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drawings/drawing3.xml" ContentType="application/vnd.openxmlformats-officedocument.drawing+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drawings/drawing4.xml" ContentType="application/vnd.openxmlformats-officedocument.drawing+xml"/>
  <Override PartName="/xl/comments5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mc:AlternateContent>
  <xr:revisionPtr revIDLastSave="0" documentId="13_ncr:1_{27175CDD-4B40-432E-AEB6-D6A3BC9154F7}" xr6:coauthVersionLast="47" xr6:coauthVersionMax="47" xr10:uidLastSave="{00000000-0000-0000-0000-000000000000}"/>
  <workbookProtection workbookAlgorithmName="SHA-512" workbookHashValue="iXVJB5EBJxyU6KYm+MhgPLX49sunegLr8Yo0o/2pAegrVH4kfNJuI2obZ3i3MRgYuH2l7RgfLBArW/2e7EqsFg==" workbookSaltValue="6lypqMAsW8xTrSSh+L79Wg==" workbookSpinCount="100000" lockStructure="1"/>
  <bookViews>
    <workbookView xWindow="-23148" yWindow="-1512" windowWidth="23256" windowHeight="12456" firstSheet="116" activeTab="131" xr2:uid="{00000000-000D-0000-FFFF-FFFF00000000}"/>
  </bookViews>
  <sheets>
    <sheet name="Notes" sheetId="1" r:id="rId1"/>
    <sheet name="p1" sheetId="3" r:id="rId2"/>
    <sheet name="Index" sheetId="2" r:id="rId3"/>
    <sheet name="B_Sheet" sheetId="44" r:id="rId4"/>
    <sheet name="B_Sheet_Summary" sheetId="120" r:id="rId5"/>
    <sheet name="IRDAddin" sheetId="86" state="hidden" r:id="rId6"/>
    <sheet name="Consolidation" sheetId="154" state="hidden" r:id="rId7"/>
    <sheet name="Income" sheetId="43" r:id="rId8"/>
    <sheet name="Income_Summary" sheetId="122" r:id="rId9"/>
    <sheet name="TRA1" sheetId="46" r:id="rId10"/>
    <sheet name="TRA2" sheetId="7" r:id="rId11"/>
    <sheet name="TRA3" sheetId="8" r:id="rId12"/>
    <sheet name="TRA4" sheetId="9" r:id="rId13"/>
    <sheet name="TRA5" sheetId="10" r:id="rId14"/>
    <sheet name="TRA6" sheetId="11" r:id="rId15"/>
    <sheet name="TRA7" sheetId="12" r:id="rId16"/>
    <sheet name="TRA8" sheetId="13" r:id="rId17"/>
    <sheet name="TRA9_14" sheetId="14" r:id="rId18"/>
    <sheet name="TRA15" sheetId="74" r:id="rId19"/>
    <sheet name="TRA16" sheetId="16" r:id="rId20"/>
    <sheet name="TRA17" sheetId="58" r:id="rId21"/>
    <sheet name="TRA18" sheetId="78" r:id="rId22"/>
    <sheet name="TRA19" sheetId="85" r:id="rId23"/>
    <sheet name="TRA20" sheetId="81" r:id="rId24"/>
    <sheet name="TRA23_24" sheetId="22" r:id="rId25"/>
    <sheet name="TRA27_28" sheetId="25" r:id="rId26"/>
    <sheet name="TRA29" sheetId="26" r:id="rId27"/>
    <sheet name="TRA30" sheetId="27" r:id="rId28"/>
    <sheet name="TRA31" sheetId="28" r:id="rId29"/>
    <sheet name="TRA33" sheetId="41" r:id="rId30"/>
    <sheet name="TRA34" sheetId="40" r:id="rId31"/>
    <sheet name="TRA35" sheetId="42" r:id="rId32"/>
    <sheet name="TRA36" sheetId="48" state="hidden" r:id="rId33"/>
    <sheet name="TRA37" sheetId="47" r:id="rId34"/>
    <sheet name="TRA39" sheetId="51" r:id="rId35"/>
    <sheet name="TRA40" sheetId="52" r:id="rId36"/>
    <sheet name="TRA41" sheetId="57" r:id="rId37"/>
    <sheet name="TRA42" sheetId="59" state="hidden" r:id="rId38"/>
    <sheet name="TRA49" sheetId="60" state="hidden" r:id="rId39"/>
    <sheet name="TRA52" sheetId="68" r:id="rId40"/>
    <sheet name="TRA53" sheetId="69" r:id="rId41"/>
    <sheet name="TRA54" sheetId="80" r:id="rId42"/>
    <sheet name="TRA55" sheetId="82" r:id="rId43"/>
    <sheet name="TRA56" sheetId="87" r:id="rId44"/>
    <sheet name="TRA57" sheetId="90" r:id="rId45"/>
    <sheet name="TRA58" sheetId="89" r:id="rId46"/>
    <sheet name="TRA60" sheetId="70" r:id="rId47"/>
    <sheet name="TRA61_FTA" sheetId="84" r:id="rId48"/>
    <sheet name="TRA62_IPA" sheetId="100" r:id="rId49"/>
    <sheet name="TRA62A_IPA" sheetId="101" r:id="rId50"/>
    <sheet name="TRA63_MTA_FIA" sheetId="76" r:id="rId51"/>
    <sheet name="TRA65" sheetId="91" r:id="rId52"/>
    <sheet name="TRA66" sheetId="92" state="hidden" r:id="rId53"/>
    <sheet name="TRA67" sheetId="93" state="hidden" r:id="rId54"/>
    <sheet name="TRA68" sheetId="94" r:id="rId55"/>
    <sheet name="TRA69" sheetId="95" r:id="rId56"/>
    <sheet name="TRA70" sheetId="96" r:id="rId57"/>
    <sheet name="TRA71" sheetId="97" state="hidden" r:id="rId58"/>
    <sheet name="TRA72" sheetId="99" state="hidden" r:id="rId59"/>
    <sheet name="TRA73" sheetId="102" r:id="rId60"/>
    <sheet name="TRA74" sheetId="103" r:id="rId61"/>
    <sheet name="Sheet1" sheetId="104" state="hidden" r:id="rId62"/>
    <sheet name="TRA75" sheetId="105" r:id="rId63"/>
    <sheet name="TRA76" sheetId="107" r:id="rId64"/>
    <sheet name="TRA77" sheetId="106" r:id="rId65"/>
    <sheet name="TRA78" sheetId="108" state="hidden" r:id="rId66"/>
    <sheet name="TRA79" sheetId="111" r:id="rId67"/>
    <sheet name="TRA80" sheetId="110" state="hidden" r:id="rId68"/>
    <sheet name="TRA81" sheetId="109" state="hidden" r:id="rId69"/>
    <sheet name="TRA82" sheetId="112" r:id="rId70"/>
    <sheet name="TRA83" sheetId="113" r:id="rId71"/>
    <sheet name="TRA84" sheetId="114" r:id="rId72"/>
    <sheet name="TRA85" sheetId="115" r:id="rId73"/>
    <sheet name="TRA86" sheetId="116" r:id="rId74"/>
    <sheet name="TRA87" sheetId="117" r:id="rId75"/>
    <sheet name="TRA88" sheetId="119" r:id="rId76"/>
    <sheet name="TRA89" sheetId="123" r:id="rId77"/>
    <sheet name="TRA90" sheetId="124" r:id="rId78"/>
    <sheet name="TRA91" sheetId="125" r:id="rId79"/>
    <sheet name="TRA92" sheetId="128" r:id="rId80"/>
    <sheet name="TRA93" sheetId="127" state="hidden" r:id="rId81"/>
    <sheet name="TRA94" sheetId="129" r:id="rId82"/>
    <sheet name="TRA95" sheetId="130" state="hidden" r:id="rId83"/>
    <sheet name="TRA96" sheetId="132" r:id="rId84"/>
    <sheet name="TRA97" sheetId="133" r:id="rId85"/>
    <sheet name="TRA98" sheetId="134" r:id="rId86"/>
    <sheet name="TRA99" sheetId="135" r:id="rId87"/>
    <sheet name="TRA100" sheetId="136" r:id="rId88"/>
    <sheet name="TRA100A" sheetId="146" r:id="rId89"/>
    <sheet name="TRA101" sheetId="137" r:id="rId90"/>
    <sheet name="TRA102" sheetId="138" r:id="rId91"/>
    <sheet name="TRA103" sheetId="139" state="hidden" r:id="rId92"/>
    <sheet name="TRA104" sheetId="141" r:id="rId93"/>
    <sheet name="TRA105" sheetId="140" state="hidden" r:id="rId94"/>
    <sheet name="TRA106" sheetId="142" state="hidden" r:id="rId95"/>
    <sheet name="TRA107" sheetId="148" r:id="rId96"/>
    <sheet name="TRA108" sheetId="144" r:id="rId97"/>
    <sheet name="TRA109" sheetId="145" r:id="rId98"/>
    <sheet name="TRA110" sheetId="147" r:id="rId99"/>
    <sheet name="TRA111" sheetId="149" r:id="rId100"/>
    <sheet name="TRA112" sheetId="150" r:id="rId101"/>
    <sheet name="TRA113" sheetId="153" r:id="rId102"/>
    <sheet name="TRA114" sheetId="151" state="hidden" r:id="rId103"/>
    <sheet name="TRA115" sheetId="152" r:id="rId104"/>
    <sheet name="TRA116" sheetId="155" r:id="rId105"/>
    <sheet name="TRA117" sheetId="156" r:id="rId106"/>
    <sheet name="TRA118" sheetId="157" r:id="rId107"/>
    <sheet name="TRA119" sheetId="158" r:id="rId108"/>
    <sheet name="TRA120" sheetId="159" r:id="rId109"/>
    <sheet name="TRA121" sheetId="160" r:id="rId110"/>
    <sheet name="TRA122" sheetId="161" r:id="rId111"/>
    <sheet name="TRA123" sheetId="162" r:id="rId112"/>
    <sheet name="TRA124" sheetId="163" r:id="rId113"/>
    <sheet name="TRA125" sheetId="164" state="hidden" r:id="rId114"/>
    <sheet name="TRA126" sheetId="165" r:id="rId115"/>
    <sheet name="TRA127" sheetId="166" r:id="rId116"/>
    <sheet name="TRA128" sheetId="167" r:id="rId117"/>
    <sheet name="TRA129" sheetId="168" state="hidden" r:id="rId118"/>
    <sheet name="TRA130" sheetId="169" r:id="rId119"/>
    <sheet name="TRA131" sheetId="170" r:id="rId120"/>
    <sheet name="TRA132" sheetId="171" r:id="rId121"/>
    <sheet name="TRA133" sheetId="172" r:id="rId122"/>
    <sheet name="TRA134" sheetId="173" r:id="rId123"/>
    <sheet name="TRA135" sheetId="174" state="hidden" r:id="rId124"/>
    <sheet name="TRA136" sheetId="176" state="hidden" r:id="rId125"/>
    <sheet name="p2" sheetId="29" r:id="rId126"/>
    <sheet name="p3" sheetId="30" r:id="rId127"/>
    <sheet name="p4" sheetId="31" r:id="rId128"/>
    <sheet name="p5" sheetId="39" r:id="rId129"/>
    <sheet name="p6" sheetId="77" r:id="rId130"/>
    <sheet name="exportmap" sheetId="55" state="hidden" r:id="rId131"/>
    <sheet name="p7" sheetId="83" r:id="rId132"/>
    <sheet name="p8" sheetId="53" r:id="rId133"/>
    <sheet name="Exchange Rates" sheetId="131" state="hidden" r:id="rId134"/>
    <sheet name="Tax Account Checks" sheetId="126" state="hidden" r:id="rId135"/>
  </sheets>
  <definedNames>
    <definedName name="__max1">'TRA79'!$S$9</definedName>
    <definedName name="_cis1">TRA61_FTA!$Y$33</definedName>
    <definedName name="_COM2">Index!$T$2</definedName>
    <definedName name="_COM3">Index!$T$3</definedName>
    <definedName name="_dts1">'p2'!$AF$2</definedName>
    <definedName name="_xlnm._FilterDatabase" localSheetId="3" hidden="1">B_Sheet!$A$1:$A$269</definedName>
    <definedName name="_xlnm._FilterDatabase" localSheetId="7" hidden="1">Income!$A$1:$A$295</definedName>
    <definedName name="_xlnm._FilterDatabase" localSheetId="2" hidden="1">Index!$B$3:$K$72</definedName>
    <definedName name="_xlnm._FilterDatabase" localSheetId="131" hidden="1">'p7'!$A$1:$A$86</definedName>
    <definedName name="_FTA1">Notes!$D$3</definedName>
    <definedName name="_FTA3">'TRA18'!$N$13</definedName>
    <definedName name="_ftn1" localSheetId="77">'TRA90'!$R$22</definedName>
    <definedName name="_ftnref1" localSheetId="77">'TRA90'!$R$6</definedName>
    <definedName name="_INC2">'TRA18'!$N$15</definedName>
    <definedName name="_max1">'TRA79'!$S$9</definedName>
    <definedName name="_nm1">'p1'!$AJ$3</definedName>
    <definedName name="_ref1">'TRA4'!$C$1</definedName>
    <definedName name="_reo1">Index!$C$275</definedName>
    <definedName name="_UA2">'TRA18'!$N$14</definedName>
    <definedName name="_ver1">Notes!$S$5</definedName>
    <definedName name="_YA1">'TRA30'!$M$1</definedName>
    <definedName name="ab">'TRA2'!$AO$17</definedName>
    <definedName name="activity">Income!$E$12:$N$263</definedName>
    <definedName name="adet">'TRA56'!$T$4</definedName>
    <definedName name="assets">'TRA5'!$B$321:$B$339</definedName>
    <definedName name="assets_bpa">'TRA6'!$B$52:$B$70</definedName>
    <definedName name="blanks">Index!$C$273</definedName>
    <definedName name="BS">'TRA135'!$X$3:$X$242</definedName>
    <definedName name="bs_date_day">B_Sheet!$C$4</definedName>
    <definedName name="bs_date_month">B_Sheet!$D$4</definedName>
    <definedName name="cbmer">'Exchange Rates'!$L$5:$S$38</definedName>
    <definedName name="cis">TRA61_FTA!$Z$33</definedName>
    <definedName name="ck">'TRA58'!$AC$4</definedName>
    <definedName name="cnt">'TRA65'!$N$5</definedName>
    <definedName name="COM">Index!$T$1</definedName>
    <definedName name="conv">'p1'!$BK$48</definedName>
    <definedName name="_xlnm.Criteria" localSheetId="3">B_Sheet!$A$1:$A$3</definedName>
    <definedName name="_xlnm.Criteria" localSheetId="7">Income!$A$1:$A$3</definedName>
    <definedName name="_xlnm.Criteria" localSheetId="131">'p7'!$A$1:$A$3</definedName>
    <definedName name="ctry_list">'TRA124'!$AB$1:$AB$108</definedName>
    <definedName name="cur">'p1'!$Z$70</definedName>
    <definedName name="curr">'p1'!$F$5</definedName>
    <definedName name="cv">TRA9_14!$K$155</definedName>
    <definedName name="dat">Index!$C$271</definedName>
    <definedName name="date_from">'p1'!$G$66</definedName>
    <definedName name="date_month">'TRA115'!$AA$2:$AB$13</definedName>
    <definedName name="date_to">'p1'!$M$66</definedName>
    <definedName name="dis">'TRA2'!$AO$19</definedName>
    <definedName name="dts">'p1'!$BE$14</definedName>
    <definedName name="efile">Notes!$D$1</definedName>
    <definedName name="engagement_1">'TRA85'!$U$4</definedName>
    <definedName name="ER_ya">'p1'!$BB$48:$BE$72</definedName>
    <definedName name="er_ya1">'p1'!$BB$47:$BD$71</definedName>
    <definedName name="eu_countries">'TRA82'!$AL$60:$AL$86</definedName>
    <definedName name="EUR">Notes!$H$5</definedName>
    <definedName name="fi">'TRA4'!$X$5</definedName>
    <definedName name="fisc">Index!$F$153</definedName>
    <definedName name="FO">'TRA7'!$W$7</definedName>
    <definedName name="ft">'TRA5'!$CA$3</definedName>
    <definedName name="FTA">Notes!$D$2</definedName>
    <definedName name="FU">Consolidation!$B$1:$B$51</definedName>
    <definedName name="fwt12a">'TRA53'!$BC$85:$BD$86</definedName>
    <definedName name="FWT5A">'TRA53'!$BC$1:$BD$12</definedName>
    <definedName name="ip">'TRA5'!$CA$4</definedName>
    <definedName name="ipc">'TRA35'!$AA$2</definedName>
    <definedName name="kambju">'Exchange Rates'!$V$5:$W$52</definedName>
    <definedName name="LATE">'TRA42'!$CP$4</definedName>
    <definedName name="LC">'TRA98'!$C$59:$C$127</definedName>
    <definedName name="ls">Index!$AJ$8</definedName>
    <definedName name="man">Income!$S$1</definedName>
    <definedName name="markedascomplete">IRDAddin!$B$6</definedName>
    <definedName name="max">Index!$C$268</definedName>
    <definedName name="md">'TRA56'!$T$2</definedName>
    <definedName name="min">'TRA79'!$R$9</definedName>
    <definedName name="mo">'TRA7'!$W$6</definedName>
    <definedName name="more36">Index!$C$272</definedName>
    <definedName name="ms">'p2'!$EA$5:$EA$33</definedName>
    <definedName name="ms_1">'p2'!$EA$4:$EB$58</definedName>
    <definedName name="mt">'TRA4'!$X$4</definedName>
    <definedName name="mtc">'TRA35'!$AA$1</definedName>
    <definedName name="MTCA">Notes!$D$8</definedName>
    <definedName name="mult">Income!$C$3</definedName>
    <definedName name="n">Index!$R$3</definedName>
    <definedName name="nd">'TRA56'!$T$3</definedName>
    <definedName name="neg">TRA63_MTA_FIA!$S$1</definedName>
    <definedName name="NM">'p1'!$L$10</definedName>
    <definedName name="noav">'TRA82'!$S$58:$S$59</definedName>
    <definedName name="nob">Index!$C$270</definedName>
    <definedName name="nofs">'TRA8'!$P$3</definedName>
    <definedName name="notifd">'p6'!$AM$3</definedName>
    <definedName name="pere">Index!$C$267</definedName>
    <definedName name="PL_income">'TRA135'!$X$243:$X$295</definedName>
    <definedName name="poyc">'TRA66'!$Z$9</definedName>
    <definedName name="poyc_1">'TRA66'!$Z$35</definedName>
    <definedName name="pr">'TRA65'!$B$7:$E$11</definedName>
    <definedName name="_xlnm.Print_Area" localSheetId="3">B_Sheet!$B$2:$E$269</definedName>
    <definedName name="_xlnm.Print_Area" localSheetId="7">Income!$E$4:$E$295</definedName>
    <definedName name="_xlnm.Print_Area" localSheetId="1">'p1'!$A$1:$AF$72</definedName>
    <definedName name="_xlnm.Print_Area" localSheetId="125">'p2'!$A$1:$L$96</definedName>
    <definedName name="_xlnm.Print_Area" localSheetId="126">'p3'!$B$1:$I$103</definedName>
    <definedName name="_xlnm.Print_Area" localSheetId="127">'p4'!$A$1:$S$64</definedName>
    <definedName name="_xlnm.Print_Area" localSheetId="128">'p5'!$A$1:$I$69</definedName>
    <definedName name="_xlnm.Print_Area" localSheetId="129">'p6'!$B$1:$W$107</definedName>
    <definedName name="_xlnm.Print_Area" localSheetId="131">'p7'!$B$5:$AC$118</definedName>
    <definedName name="_xlnm.Print_Area" localSheetId="132">'p8'!$A$1:$W$51</definedName>
    <definedName name="_xlnm.Print_Area" localSheetId="9">'TRA1'!$A$1:$H$59</definedName>
    <definedName name="_xlnm.Print_Area" localSheetId="87">'TRA100'!$A$1:$L$147</definedName>
    <definedName name="_xlnm.Print_Area" localSheetId="88">TRA100A!$A$1:$L$121</definedName>
    <definedName name="_xlnm.Print_Area" localSheetId="98">'TRA110'!$A$1:$M$250</definedName>
    <definedName name="_xlnm.Print_Area" localSheetId="19">'TRA16'!$A$3:$I$1034</definedName>
    <definedName name="_xlnm.Print_Area" localSheetId="20">'TRA17'!$A$1:$K$680</definedName>
    <definedName name="_xlnm.Print_Area" localSheetId="22">'TRA19'!$A$1:$L$39</definedName>
    <definedName name="_xlnm.Print_Area" localSheetId="10">'TRA2'!$A$1:$K$54</definedName>
    <definedName name="_xlnm.Print_Area" localSheetId="24">TRA23_24!$A$1:$K$41</definedName>
    <definedName name="_xlnm.Print_Area" localSheetId="25">TRA27_28!$B$1:$K$48</definedName>
    <definedName name="_xlnm.Print_Area" localSheetId="26">'TRA29'!$A$1:$I$115</definedName>
    <definedName name="_xlnm.Print_Area" localSheetId="11">'TRA3'!$B$1:$G$33</definedName>
    <definedName name="_xlnm.Print_Area" localSheetId="27">'TRA30'!$B$1:$N$28</definedName>
    <definedName name="_xlnm.Print_Area" localSheetId="28">'TRA31'!$B$1:$J$166</definedName>
    <definedName name="_xlnm.Print_Area" localSheetId="29">'TRA33'!$B$1:$G$49</definedName>
    <definedName name="_xlnm.Print_Area" localSheetId="30">'TRA34'!$A$1:$I$55</definedName>
    <definedName name="_xlnm.Print_Area" localSheetId="31">'TRA35'!$A$1:$M$60</definedName>
    <definedName name="_xlnm.Print_Area" localSheetId="32">'TRA36'!$A$1:$I$75</definedName>
    <definedName name="_xlnm.Print_Area" localSheetId="33">'TRA37'!$A$1:$I$39</definedName>
    <definedName name="_xlnm.Print_Area" localSheetId="34">'TRA39'!$A$3:$J$56</definedName>
    <definedName name="_xlnm.Print_Area" localSheetId="12">'TRA4'!$C$1:$M$105</definedName>
    <definedName name="_xlnm.Print_Area" localSheetId="35">'TRA40'!$A$1:$F$38</definedName>
    <definedName name="_xlnm.Print_Area" localSheetId="36">'TRA41'!$A$1:$M$48</definedName>
    <definedName name="_xlnm.Print_Area" localSheetId="37">'TRA42'!$A$1:$K$59</definedName>
    <definedName name="_xlnm.Print_Area" localSheetId="38">'TRA49'!$A$1:$K$175</definedName>
    <definedName name="_xlnm.Print_Area" localSheetId="13">'TRA5'!$B$1:$N$306</definedName>
    <definedName name="_xlnm.Print_Area" localSheetId="39">'TRA52'!$A$1:$I$53</definedName>
    <definedName name="_xlnm.Print_Area" localSheetId="40">'TRA53'!$A$1:$R$106</definedName>
    <definedName name="_xlnm.Print_Area" localSheetId="41">'TRA54'!$A$1:$I$253</definedName>
    <definedName name="_xlnm.Print_Area" localSheetId="43">'TRA56'!$C$2:$J$34</definedName>
    <definedName name="_xlnm.Print_Area" localSheetId="44">'TRA57'!$C$2:$J$34</definedName>
    <definedName name="_xlnm.Print_Area" localSheetId="45">'TRA58'!$B$2:$J$34</definedName>
    <definedName name="_xlnm.Print_Area" localSheetId="14">'TRA6'!$B$1:$K$45</definedName>
    <definedName name="_xlnm.Print_Area" localSheetId="46">'TRA60'!$A$1:$K$63</definedName>
    <definedName name="_xlnm.Print_Area" localSheetId="48">TRA62_IPA!$A$1:$H$88</definedName>
    <definedName name="_xlnm.Print_Area" localSheetId="49">TRA62A_IPA!$A$1:$E$91</definedName>
    <definedName name="_xlnm.Print_Area" localSheetId="50">TRA63_MTA_FIA!$A$1:$Q$56</definedName>
    <definedName name="_xlnm.Print_Area" localSheetId="51">'TRA65'!$A$1:$K$59</definedName>
    <definedName name="_xlnm.Print_Area" localSheetId="52">'TRA66'!$B$1:$K$67</definedName>
    <definedName name="_xlnm.Print_Area" localSheetId="53">'TRA67'!$A$1:$E$32</definedName>
    <definedName name="_xlnm.Print_Area" localSheetId="54">'TRA68'!$B$2:$I$33</definedName>
    <definedName name="_xlnm.Print_Area" localSheetId="55">'TRA69'!$A$1:$I$44</definedName>
    <definedName name="_xlnm.Print_Area" localSheetId="15">'TRA7'!$B$1:$N$26</definedName>
    <definedName name="_xlnm.Print_Area" localSheetId="56">'TRA70'!$A$1:$I$48</definedName>
    <definedName name="_xlnm.Print_Area" localSheetId="57">'TRA71'!$A$1:$E$39</definedName>
    <definedName name="_xlnm.Print_Area" localSheetId="58">'TRA72'!$A$1:$F$41</definedName>
    <definedName name="_xlnm.Print_Area" localSheetId="59">'TRA73'!$A$1:$J$124</definedName>
    <definedName name="_xlnm.Print_Area" localSheetId="60">'TRA74'!$A$1:$J$39</definedName>
    <definedName name="_xlnm.Print_Area" localSheetId="62">'TRA75'!$A$1:$F$47</definedName>
    <definedName name="_xlnm.Print_Area" localSheetId="63">'TRA76'!$A$1:$F$47</definedName>
    <definedName name="_xlnm.Print_Area" localSheetId="64">'TRA77'!$1:$51</definedName>
    <definedName name="_xlnm.Print_Area" localSheetId="65">'TRA78'!$A$1:$G$37</definedName>
    <definedName name="_xlnm.Print_Area" localSheetId="16">'TRA8'!$A$1:$L$103</definedName>
    <definedName name="_xlnm.Print_Area" localSheetId="68">'TRA81'!$A$1:$J$34</definedName>
    <definedName name="_xlnm.Print_Area" localSheetId="69">'TRA82'!$A$1:$J$790</definedName>
    <definedName name="_xlnm.Print_Area" localSheetId="70">'TRA83'!$A$1:$H$99</definedName>
    <definedName name="_xlnm.Print_Area" localSheetId="71">'TRA84'!$B$2:$I$67</definedName>
    <definedName name="_xlnm.Print_Area" localSheetId="72">'TRA85'!$C$2:$M$69</definedName>
    <definedName name="_xlnm.Print_Area" localSheetId="73">'TRA86'!$B$1:$K$436</definedName>
    <definedName name="_xlnm.Print_Area" localSheetId="74">'TRA87'!$B$1:$H$27</definedName>
    <definedName name="_xlnm.Print_Area" localSheetId="75">'TRA88'!$A$1:$K$44</definedName>
    <definedName name="_xlnm.Print_Area" localSheetId="76">'TRA89'!$A$1:$P$84</definedName>
    <definedName name="_xlnm.Print_Area" localSheetId="17">TRA9_14!$A$2:$G$156</definedName>
    <definedName name="_xlnm.Print_Area" localSheetId="77">'TRA90'!$A$1:$G$45</definedName>
    <definedName name="_xlnm.Print_Area" localSheetId="78">'TRA91'!$A$1:$L$47</definedName>
    <definedName name="_xlnm.Print_Area" localSheetId="79">'TRA92'!$A$1:$K$46</definedName>
    <definedName name="_xlnm.Print_Area" localSheetId="80">'TRA93'!$A$1:$J$43</definedName>
    <definedName name="_xlnm.Print_Area" localSheetId="81">'TRA94'!$A$1:$J$36</definedName>
    <definedName name="_xlnm.Print_Area" localSheetId="82">'TRA95'!$A$1:$O$39</definedName>
    <definedName name="_xlnm.Print_Area" localSheetId="83">'TRA96'!$A$1:$K$87</definedName>
    <definedName name="_xlnm.Print_Area" localSheetId="85">'TRA98'!$A$1:$K$39</definedName>
    <definedName name="_xlnm.Print_Area" localSheetId="86">'TRA99'!$A$1:$K$32</definedName>
    <definedName name="_xlnm.Print_Titles" localSheetId="3">B_Sheet!$B:$F,B_Sheet!$2:$4</definedName>
    <definedName name="_xlnm.Print_Titles" localSheetId="7">Income!$B:$D,Income!$4:$7</definedName>
    <definedName name="_xlnm.Print_Titles" localSheetId="131">'p7'!$B:$AB,'p7'!$1:$4</definedName>
    <definedName name="_xlnm.Print_Titles" localSheetId="87">'TRA100'!$A:$K,'TRA100'!$1:$4</definedName>
    <definedName name="_xlnm.Print_Titles" localSheetId="88">TRA100A!$A:$L,TRA100A!$1:$4</definedName>
    <definedName name="_xlnm.Print_Titles" localSheetId="98">'TRA110'!$A:$I,'TRA110'!$1:$3</definedName>
    <definedName name="_xlnm.Print_Titles" localSheetId="19">'TRA16'!$A:$I,'TRA16'!$1:$1</definedName>
    <definedName name="_xlnm.Print_Titles" localSheetId="34">'TRA39'!$A:$J,'TRA39'!$1:$2</definedName>
    <definedName name="_xlnm.Print_Titles" localSheetId="13">'TRA5'!$B:$N,'TRA5'!$1:$2</definedName>
    <definedName name="_xlnm.Print_Titles" localSheetId="73">'TRA86'!$B:$M,'TRA86'!$3:$4</definedName>
    <definedName name="_xlnm.Print_Titles" localSheetId="17">TRA9_14!$A:$E,TRA9_14!$1:$1</definedName>
    <definedName name="rafind">'p1'!$AL$2</definedName>
    <definedName name="re">Index!$C$266</definedName>
    <definedName name="ref">'p1'!$AJ$2</definedName>
    <definedName name="reg">'p1'!$L$8</definedName>
    <definedName name="regc">'TRA2'!$AO$18</definedName>
    <definedName name="reo">Index!$C$274</definedName>
    <definedName name="res">Index!$C$269</definedName>
    <definedName name="tableA">'TRA42'!$AB$4:$AD$12</definedName>
    <definedName name="TableB">'TRA42'!$AB$14:$AD$17</definedName>
    <definedName name="tableb1">'TRA49'!$AC$5:$AE$7</definedName>
    <definedName name="TableC">'TRA42'!$AB$19:$AD$27</definedName>
    <definedName name="TABLEC1">'TRA49'!$AC$9:$AE$12</definedName>
    <definedName name="TableD">'TRA42'!$AB$29:$AD$32</definedName>
    <definedName name="TableE">'TRA42'!$AB$34:$AD$37</definedName>
    <definedName name="test">'TRA82'!$AT$51:$AT$52</definedName>
    <definedName name="TIFD_cg">'TRA124'!$P$204:$P$209</definedName>
    <definedName name="tifd_codes">'TRA135'!$X$3:$X$490</definedName>
    <definedName name="TIFD_Income">'TRA124'!$M$204:$M$252</definedName>
    <definedName name="tl">Index!$C$276</definedName>
    <definedName name="tle">'TRA65'!$AG$5:$AL$8</definedName>
    <definedName name="tle_2">'TRA91'!$AH$5:$AK$8</definedName>
    <definedName name="tle_3">'TRA104'!$AI$4:$AL$6</definedName>
    <definedName name="to_day">'TRA115'!$Q$32</definedName>
    <definedName name="to_month">'TRA115'!$Q$33</definedName>
    <definedName name="TpRef">IRDAddin!$B$4</definedName>
    <definedName name="tr">'p1'!$CA$2</definedName>
    <definedName name="tra86_cell_count">'TRA86'!$T$11:$U$18</definedName>
    <definedName name="unt">'TRA5'!$CA$8</definedName>
    <definedName name="ver">Notes!$D$5</definedName>
    <definedName name="vl">Index!$AJ$7</definedName>
    <definedName name="warn">Index!$T$4</definedName>
    <definedName name="warn1">Index!$U$4</definedName>
    <definedName name="y">Index!$R$2</definedName>
    <definedName name="ya">'p1'!$L$12</definedName>
    <definedName name="yn">Index!$R$1:$R$3</definedName>
    <definedName name="Yofa">IRDAddin!$B$5</definedName>
    <definedName name="Z_99B5278F_6EA9_4B1A_8623_27A4DF4AD5E4_.wvu.Cols" localSheetId="3" hidden="1">B_Sheet!$G:$IV</definedName>
    <definedName name="Z_99B5278F_6EA9_4B1A_8623_27A4DF4AD5E4_.wvu.Cols" localSheetId="130" hidden="1">exportmap!$1:$1048576</definedName>
    <definedName name="Z_99B5278F_6EA9_4B1A_8623_27A4DF4AD5E4_.wvu.Cols" localSheetId="7" hidden="1">Income!$O:$IV</definedName>
    <definedName name="Z_99B5278F_6EA9_4B1A_8623_27A4DF4AD5E4_.wvu.Cols" localSheetId="0" hidden="1">Notes!$T:$IV</definedName>
    <definedName name="Z_99B5278F_6EA9_4B1A_8623_27A4DF4AD5E4_.wvu.Cols" localSheetId="1" hidden="1">'p1'!$AG:$IV</definedName>
    <definedName name="Z_99B5278F_6EA9_4B1A_8623_27A4DF4AD5E4_.wvu.Cols" localSheetId="125" hidden="1">'p2'!$CA:$DZ,'p2'!$EC:$IV</definedName>
    <definedName name="Z_99B5278F_6EA9_4B1A_8623_27A4DF4AD5E4_.wvu.Cols" localSheetId="126" hidden="1">'p3'!$A:$A,'p3'!$K:$IV</definedName>
    <definedName name="Z_99B5278F_6EA9_4B1A_8623_27A4DF4AD5E4_.wvu.Cols" localSheetId="127" hidden="1">'p4'!$T:$IV</definedName>
    <definedName name="Z_99B5278F_6EA9_4B1A_8623_27A4DF4AD5E4_.wvu.Cols" localSheetId="128" hidden="1">'p5'!$J:$IV</definedName>
    <definedName name="Z_99B5278F_6EA9_4B1A_8623_27A4DF4AD5E4_.wvu.Cols" localSheetId="129" hidden="1">'p6'!$I:$I</definedName>
    <definedName name="Z_99B5278F_6EA9_4B1A_8623_27A4DF4AD5E4_.wvu.Cols" localSheetId="131" hidden="1">'p7'!$CH:$IW</definedName>
    <definedName name="Z_99B5278F_6EA9_4B1A_8623_27A4DF4AD5E4_.wvu.Cols" localSheetId="132" hidden="1">'p8'!$Y:$IV</definedName>
    <definedName name="Z_99B5278F_6EA9_4B1A_8623_27A4DF4AD5E4_.wvu.Cols" localSheetId="9" hidden="1">'TRA1'!$I:$IV</definedName>
    <definedName name="Z_99B5278F_6EA9_4B1A_8623_27A4DF4AD5E4_.wvu.Cols" localSheetId="18" hidden="1">'TRA15'!$K:$IV</definedName>
    <definedName name="Z_99B5278F_6EA9_4B1A_8623_27A4DF4AD5E4_.wvu.Cols" localSheetId="19" hidden="1">'TRA16'!$K:$IV</definedName>
    <definedName name="Z_99B5278F_6EA9_4B1A_8623_27A4DF4AD5E4_.wvu.Cols" localSheetId="20" hidden="1">'TRA17'!$CA:$IV</definedName>
    <definedName name="Z_99B5278F_6EA9_4B1A_8623_27A4DF4AD5E4_.wvu.Cols" localSheetId="21" hidden="1">'TRA18'!$J:$IV</definedName>
    <definedName name="Z_99B5278F_6EA9_4B1A_8623_27A4DF4AD5E4_.wvu.Cols" localSheetId="22" hidden="1">'TRA19'!$M:$IV</definedName>
    <definedName name="Z_99B5278F_6EA9_4B1A_8623_27A4DF4AD5E4_.wvu.Cols" localSheetId="10" hidden="1">'TRA2'!$L:$IV</definedName>
    <definedName name="Z_99B5278F_6EA9_4B1A_8623_27A4DF4AD5E4_.wvu.Cols" localSheetId="23" hidden="1">'TRA20'!$M:$IV</definedName>
    <definedName name="Z_99B5278F_6EA9_4B1A_8623_27A4DF4AD5E4_.wvu.Cols" localSheetId="24" hidden="1">TRA23_24!$J:$IV</definedName>
    <definedName name="Z_99B5278F_6EA9_4B1A_8623_27A4DF4AD5E4_.wvu.Cols" localSheetId="25" hidden="1">TRA27_28!$M:$IV</definedName>
    <definedName name="Z_99B5278F_6EA9_4B1A_8623_27A4DF4AD5E4_.wvu.Cols" localSheetId="26" hidden="1">'TRA29'!$J:$IV</definedName>
    <definedName name="Z_99B5278F_6EA9_4B1A_8623_27A4DF4AD5E4_.wvu.Cols" localSheetId="11" hidden="1">'TRA3'!$I:$IV</definedName>
    <definedName name="Z_99B5278F_6EA9_4B1A_8623_27A4DF4AD5E4_.wvu.Cols" localSheetId="27" hidden="1">'TRA30'!$F:$F,'TRA30'!$I:$I,'TRA30'!$L:$L,'TRA30'!$P:$IV</definedName>
    <definedName name="Z_99B5278F_6EA9_4B1A_8623_27A4DF4AD5E4_.wvu.Cols" localSheetId="28" hidden="1">'TRA31'!$L:$IV</definedName>
    <definedName name="Z_99B5278F_6EA9_4B1A_8623_27A4DF4AD5E4_.wvu.Cols" localSheetId="29" hidden="1">'TRA33'!$J:$IV</definedName>
    <definedName name="Z_99B5278F_6EA9_4B1A_8623_27A4DF4AD5E4_.wvu.Cols" localSheetId="30" hidden="1">'TRA34'!$J:$IV</definedName>
    <definedName name="Z_99B5278F_6EA9_4B1A_8623_27A4DF4AD5E4_.wvu.Cols" localSheetId="31" hidden="1">'TRA35'!$O:$IV</definedName>
    <definedName name="Z_99B5278F_6EA9_4B1A_8623_27A4DF4AD5E4_.wvu.Cols" localSheetId="32" hidden="1">'TRA36'!$B:$B,'TRA36'!$J:$IV</definedName>
    <definedName name="Z_99B5278F_6EA9_4B1A_8623_27A4DF4AD5E4_.wvu.Cols" localSheetId="33" hidden="1">'TRA37'!$B:$B,'TRA37'!$J:$IV</definedName>
    <definedName name="Z_99B5278F_6EA9_4B1A_8623_27A4DF4AD5E4_.wvu.Cols" localSheetId="34" hidden="1">'TRA39'!$K:$IV</definedName>
    <definedName name="Z_99B5278F_6EA9_4B1A_8623_27A4DF4AD5E4_.wvu.Cols" localSheetId="12" hidden="1">'TRA4'!$A:$A,'TRA4'!$D:$D,'TRA4'!$N:$IU</definedName>
    <definedName name="Z_99B5278F_6EA9_4B1A_8623_27A4DF4AD5E4_.wvu.Cols" localSheetId="35" hidden="1">'TRA40'!$G:$IV</definedName>
    <definedName name="Z_99B5278F_6EA9_4B1A_8623_27A4DF4AD5E4_.wvu.Cols" localSheetId="36" hidden="1">'TRA41'!$N:$IV</definedName>
    <definedName name="Z_99B5278F_6EA9_4B1A_8623_27A4DF4AD5E4_.wvu.Cols" localSheetId="37" hidden="1">'TRA42'!$A:$B,'TRA42'!$L:$IV</definedName>
    <definedName name="Z_99B5278F_6EA9_4B1A_8623_27A4DF4AD5E4_.wvu.Cols" localSheetId="38" hidden="1">'TRA49'!$A:$A,'TRA49'!$L:$IV</definedName>
    <definedName name="Z_99B5278F_6EA9_4B1A_8623_27A4DF4AD5E4_.wvu.Cols" localSheetId="13" hidden="1">'TRA5'!$A:$A,'TRA5'!$C:$C,'TRA5'!$S:$IV</definedName>
    <definedName name="Z_99B5278F_6EA9_4B1A_8623_27A4DF4AD5E4_.wvu.Cols" localSheetId="39" hidden="1">'TRA52'!$A:$A,'TRA52'!$K:$IV</definedName>
    <definedName name="Z_99B5278F_6EA9_4B1A_8623_27A4DF4AD5E4_.wvu.Cols" localSheetId="40" hidden="1">'TRA53'!$T:$IY</definedName>
    <definedName name="Z_99B5278F_6EA9_4B1A_8623_27A4DF4AD5E4_.wvu.Cols" localSheetId="41" hidden="1">'TRA54'!$J:$IV</definedName>
    <definedName name="Z_99B5278F_6EA9_4B1A_8623_27A4DF4AD5E4_.wvu.Cols" localSheetId="42" hidden="1">'TRA55'!$H:$H,'TRA55'!$S:$T,'TRA55'!$X:$AA</definedName>
    <definedName name="Z_99B5278F_6EA9_4B1A_8623_27A4DF4AD5E4_.wvu.Cols" localSheetId="43" hidden="1">'TRA56'!$A:$A,'TRA56'!$L:$IV</definedName>
    <definedName name="Z_99B5278F_6EA9_4B1A_8623_27A4DF4AD5E4_.wvu.Cols" localSheetId="44" hidden="1">'TRA57'!$A:$A,'TRA57'!$L:$IV</definedName>
    <definedName name="Z_99B5278F_6EA9_4B1A_8623_27A4DF4AD5E4_.wvu.Cols" localSheetId="45" hidden="1">'TRA58'!$A:$A,'TRA58'!$L:$IV</definedName>
    <definedName name="Z_99B5278F_6EA9_4B1A_8623_27A4DF4AD5E4_.wvu.Cols" localSheetId="14" hidden="1">'TRA6'!$G:$G,'TRA6'!$I:$I,'TRA6'!$L:$IV</definedName>
    <definedName name="Z_99B5278F_6EA9_4B1A_8623_27A4DF4AD5E4_.wvu.Cols" localSheetId="46" hidden="1">'TRA60'!$B:$B</definedName>
    <definedName name="Z_99B5278F_6EA9_4B1A_8623_27A4DF4AD5E4_.wvu.Cols" localSheetId="47" hidden="1">TRA61_FTA!$A:$A</definedName>
    <definedName name="Z_99B5278F_6EA9_4B1A_8623_27A4DF4AD5E4_.wvu.Cols" localSheetId="50" hidden="1">TRA63_MTA_FIA!$BQ:$IV</definedName>
    <definedName name="Z_99B5278F_6EA9_4B1A_8623_27A4DF4AD5E4_.wvu.Cols" localSheetId="51" hidden="1">'TRA65'!$L:$IV</definedName>
    <definedName name="Z_99B5278F_6EA9_4B1A_8623_27A4DF4AD5E4_.wvu.Cols" localSheetId="52" hidden="1">'TRA66'!$M:$IV</definedName>
    <definedName name="Z_99B5278F_6EA9_4B1A_8623_27A4DF4AD5E4_.wvu.Cols" localSheetId="53" hidden="1">'TRA67'!$F:$IV</definedName>
    <definedName name="Z_99B5278F_6EA9_4B1A_8623_27A4DF4AD5E4_.wvu.Cols" localSheetId="54" hidden="1">'TRA68'!$A:$A,'TRA68'!$K:$IV</definedName>
    <definedName name="Z_99B5278F_6EA9_4B1A_8623_27A4DF4AD5E4_.wvu.Cols" localSheetId="55" hidden="1">'TRA69'!$J:$IW</definedName>
    <definedName name="Z_99B5278F_6EA9_4B1A_8623_27A4DF4AD5E4_.wvu.Cols" localSheetId="15" hidden="1">'TRA7'!$I:$I,'TRA7'!$O:$IV</definedName>
    <definedName name="Z_99B5278F_6EA9_4B1A_8623_27A4DF4AD5E4_.wvu.Cols" localSheetId="56" hidden="1">'TRA70'!$J:$IW</definedName>
    <definedName name="Z_99B5278F_6EA9_4B1A_8623_27A4DF4AD5E4_.wvu.Cols" localSheetId="57" hidden="1">'TRA71'!$F:$IV</definedName>
    <definedName name="Z_99B5278F_6EA9_4B1A_8623_27A4DF4AD5E4_.wvu.Cols" localSheetId="58" hidden="1">'TRA72'!$F:$IV</definedName>
    <definedName name="Z_99B5278F_6EA9_4B1A_8623_27A4DF4AD5E4_.wvu.Cols" localSheetId="16" hidden="1">'TRA8'!$N:$IV</definedName>
    <definedName name="Z_99B5278F_6EA9_4B1A_8623_27A4DF4AD5E4_.wvu.Cols" localSheetId="17" hidden="1">TRA9_14!$F:$F,TRA9_14!$H:$IV</definedName>
    <definedName name="Z_99B5278F_6EA9_4B1A_8623_27A4DF4AD5E4_.wvu.FilterData" localSheetId="3" hidden="1">B_Sheet!$A$1:$A$269</definedName>
    <definedName name="Z_99B5278F_6EA9_4B1A_8623_27A4DF4AD5E4_.wvu.FilterData" localSheetId="7" hidden="1">Income!$A$1:$A$295</definedName>
    <definedName name="Z_99B5278F_6EA9_4B1A_8623_27A4DF4AD5E4_.wvu.FilterData" localSheetId="2" hidden="1">Index!$B$3:$K$72</definedName>
    <definedName name="Z_99B5278F_6EA9_4B1A_8623_27A4DF4AD5E4_.wvu.FilterData" localSheetId="131" hidden="1">'p7'!$A$1:$A$86</definedName>
    <definedName name="Z_99B5278F_6EA9_4B1A_8623_27A4DF4AD5E4_.wvu.PrintArea" localSheetId="3" hidden="1">B_Sheet!$B$2:$E$269</definedName>
    <definedName name="Z_99B5278F_6EA9_4B1A_8623_27A4DF4AD5E4_.wvu.PrintArea" localSheetId="7" hidden="1">Income!$E$4:$E$295</definedName>
    <definedName name="Z_99B5278F_6EA9_4B1A_8623_27A4DF4AD5E4_.wvu.PrintArea" localSheetId="1" hidden="1">'p1'!$A$1:$AF$72</definedName>
    <definedName name="Z_99B5278F_6EA9_4B1A_8623_27A4DF4AD5E4_.wvu.PrintArea" localSheetId="125" hidden="1">'p2'!$A$1:$L$96</definedName>
    <definedName name="Z_99B5278F_6EA9_4B1A_8623_27A4DF4AD5E4_.wvu.PrintArea" localSheetId="126" hidden="1">'p3'!$B$1:$I$103</definedName>
    <definedName name="Z_99B5278F_6EA9_4B1A_8623_27A4DF4AD5E4_.wvu.PrintArea" localSheetId="127" hidden="1">'p4'!$A$1:$S$63</definedName>
    <definedName name="Z_99B5278F_6EA9_4B1A_8623_27A4DF4AD5E4_.wvu.PrintArea" localSheetId="128" hidden="1">'p5'!$A$1:$I$49</definedName>
    <definedName name="Z_99B5278F_6EA9_4B1A_8623_27A4DF4AD5E4_.wvu.PrintArea" localSheetId="129" hidden="1">'p6'!$B$1:$W$107</definedName>
    <definedName name="Z_99B5278F_6EA9_4B1A_8623_27A4DF4AD5E4_.wvu.PrintArea" localSheetId="131" hidden="1">'p7'!$B$5:$AC$118</definedName>
    <definedName name="Z_99B5278F_6EA9_4B1A_8623_27A4DF4AD5E4_.wvu.PrintArea" localSheetId="132" hidden="1">'p8'!$A$1:$W$51</definedName>
    <definedName name="Z_99B5278F_6EA9_4B1A_8623_27A4DF4AD5E4_.wvu.PrintArea" localSheetId="9" hidden="1">'TRA1'!$A$1:$H$59</definedName>
    <definedName name="Z_99B5278F_6EA9_4B1A_8623_27A4DF4AD5E4_.wvu.PrintArea" localSheetId="19" hidden="1">'TRA16'!$A$3:$I$1034</definedName>
    <definedName name="Z_99B5278F_6EA9_4B1A_8623_27A4DF4AD5E4_.wvu.PrintArea" localSheetId="20" hidden="1">'TRA17'!$A$1:$K$680</definedName>
    <definedName name="Z_99B5278F_6EA9_4B1A_8623_27A4DF4AD5E4_.wvu.PrintArea" localSheetId="22" hidden="1">'TRA19'!$A$1:$L$39</definedName>
    <definedName name="Z_99B5278F_6EA9_4B1A_8623_27A4DF4AD5E4_.wvu.PrintArea" localSheetId="10" hidden="1">'TRA2'!$A$1:$K$54</definedName>
    <definedName name="Z_99B5278F_6EA9_4B1A_8623_27A4DF4AD5E4_.wvu.PrintArea" localSheetId="24" hidden="1">TRA23_24!$A$1:$K$41</definedName>
    <definedName name="Z_99B5278F_6EA9_4B1A_8623_27A4DF4AD5E4_.wvu.PrintArea" localSheetId="25" hidden="1">TRA27_28!$B$1:$K$48</definedName>
    <definedName name="Z_99B5278F_6EA9_4B1A_8623_27A4DF4AD5E4_.wvu.PrintArea" localSheetId="26" hidden="1">'TRA29'!$A$1:$I$115</definedName>
    <definedName name="Z_99B5278F_6EA9_4B1A_8623_27A4DF4AD5E4_.wvu.PrintArea" localSheetId="11" hidden="1">'TRA3'!$B$1:$G$33</definedName>
    <definedName name="Z_99B5278F_6EA9_4B1A_8623_27A4DF4AD5E4_.wvu.PrintArea" localSheetId="27" hidden="1">'TRA30'!$B$1:$N$28</definedName>
    <definedName name="Z_99B5278F_6EA9_4B1A_8623_27A4DF4AD5E4_.wvu.PrintArea" localSheetId="28" hidden="1">'TRA31'!$B$1:$J$166</definedName>
    <definedName name="Z_99B5278F_6EA9_4B1A_8623_27A4DF4AD5E4_.wvu.PrintArea" localSheetId="29" hidden="1">'TRA33'!$B$1:$G$49</definedName>
    <definedName name="Z_99B5278F_6EA9_4B1A_8623_27A4DF4AD5E4_.wvu.PrintArea" localSheetId="30" hidden="1">'TRA34'!$A$1:$I$55</definedName>
    <definedName name="Z_99B5278F_6EA9_4B1A_8623_27A4DF4AD5E4_.wvu.PrintArea" localSheetId="31" hidden="1">'TRA35'!$A$1:$M$60</definedName>
    <definedName name="Z_99B5278F_6EA9_4B1A_8623_27A4DF4AD5E4_.wvu.PrintArea" localSheetId="32" hidden="1">'TRA36'!$A$1:$I$75</definedName>
    <definedName name="Z_99B5278F_6EA9_4B1A_8623_27A4DF4AD5E4_.wvu.PrintArea" localSheetId="33" hidden="1">'TRA37'!$A$1:$I$39</definedName>
    <definedName name="Z_99B5278F_6EA9_4B1A_8623_27A4DF4AD5E4_.wvu.PrintArea" localSheetId="34" hidden="1">'TRA39'!$A$3:$J$56</definedName>
    <definedName name="Z_99B5278F_6EA9_4B1A_8623_27A4DF4AD5E4_.wvu.PrintArea" localSheetId="12" hidden="1">'TRA4'!$C$1:$M$105</definedName>
    <definedName name="Z_99B5278F_6EA9_4B1A_8623_27A4DF4AD5E4_.wvu.PrintArea" localSheetId="35" hidden="1">'TRA40'!$A$1:$F$38</definedName>
    <definedName name="Z_99B5278F_6EA9_4B1A_8623_27A4DF4AD5E4_.wvu.PrintArea" localSheetId="36" hidden="1">'TRA41'!$A$1:$M$48</definedName>
    <definedName name="Z_99B5278F_6EA9_4B1A_8623_27A4DF4AD5E4_.wvu.PrintArea" localSheetId="37" hidden="1">'TRA42'!$A$1:$K$59</definedName>
    <definedName name="Z_99B5278F_6EA9_4B1A_8623_27A4DF4AD5E4_.wvu.PrintArea" localSheetId="38" hidden="1">'TRA49'!$A$1:$K$175</definedName>
    <definedName name="Z_99B5278F_6EA9_4B1A_8623_27A4DF4AD5E4_.wvu.PrintArea" localSheetId="13" hidden="1">'TRA5'!$B$1:$N$306</definedName>
    <definedName name="Z_99B5278F_6EA9_4B1A_8623_27A4DF4AD5E4_.wvu.PrintArea" localSheetId="39" hidden="1">'TRA52'!$A$1:$I$53</definedName>
    <definedName name="Z_99B5278F_6EA9_4B1A_8623_27A4DF4AD5E4_.wvu.PrintArea" localSheetId="40" hidden="1">'TRA53'!$A$1:$R$106</definedName>
    <definedName name="Z_99B5278F_6EA9_4B1A_8623_27A4DF4AD5E4_.wvu.PrintArea" localSheetId="43" hidden="1">'TRA56'!$C$2:$J$34</definedName>
    <definedName name="Z_99B5278F_6EA9_4B1A_8623_27A4DF4AD5E4_.wvu.PrintArea" localSheetId="44" hidden="1">'TRA57'!$C$2:$J$34</definedName>
    <definedName name="Z_99B5278F_6EA9_4B1A_8623_27A4DF4AD5E4_.wvu.PrintArea" localSheetId="45" hidden="1">'TRA58'!$B$2:$J$34</definedName>
    <definedName name="Z_99B5278F_6EA9_4B1A_8623_27A4DF4AD5E4_.wvu.PrintArea" localSheetId="14" hidden="1">'TRA6'!$B$1:$K$45</definedName>
    <definedName name="Z_99B5278F_6EA9_4B1A_8623_27A4DF4AD5E4_.wvu.PrintArea" localSheetId="46" hidden="1">'TRA60'!$A$1:$K$63</definedName>
    <definedName name="Z_99B5278F_6EA9_4B1A_8623_27A4DF4AD5E4_.wvu.PrintArea" localSheetId="48" hidden="1">TRA62_IPA!$A$1:$H$90</definedName>
    <definedName name="Z_99B5278F_6EA9_4B1A_8623_27A4DF4AD5E4_.wvu.PrintArea" localSheetId="49" hidden="1">TRA62A_IPA!$A$1:$E$92</definedName>
    <definedName name="Z_99B5278F_6EA9_4B1A_8623_27A4DF4AD5E4_.wvu.PrintArea" localSheetId="50" hidden="1">TRA63_MTA_FIA!$A$1:$P$55</definedName>
    <definedName name="Z_99B5278F_6EA9_4B1A_8623_27A4DF4AD5E4_.wvu.PrintArea" localSheetId="51" hidden="1">'TRA65'!$A$1:$K$59</definedName>
    <definedName name="Z_99B5278F_6EA9_4B1A_8623_27A4DF4AD5E4_.wvu.PrintArea" localSheetId="53" hidden="1">'TRA67'!$A$1:$E$32</definedName>
    <definedName name="Z_99B5278F_6EA9_4B1A_8623_27A4DF4AD5E4_.wvu.PrintArea" localSheetId="15" hidden="1">'TRA7'!$B$1:$N$26</definedName>
    <definedName name="Z_99B5278F_6EA9_4B1A_8623_27A4DF4AD5E4_.wvu.PrintArea" localSheetId="56" hidden="1">'TRA70'!$A$1:$I$51</definedName>
    <definedName name="Z_99B5278F_6EA9_4B1A_8623_27A4DF4AD5E4_.wvu.PrintArea" localSheetId="57" hidden="1">'TRA71'!$A$1:$F$41</definedName>
    <definedName name="Z_99B5278F_6EA9_4B1A_8623_27A4DF4AD5E4_.wvu.PrintArea" localSheetId="58" hidden="1">'TRA72'!$A$1:$F$41</definedName>
    <definedName name="Z_99B5278F_6EA9_4B1A_8623_27A4DF4AD5E4_.wvu.PrintArea" localSheetId="59" hidden="1">'TRA73'!$A$1:$J$126</definedName>
    <definedName name="Z_99B5278F_6EA9_4B1A_8623_27A4DF4AD5E4_.wvu.PrintArea" localSheetId="60" hidden="1">'TRA74'!$A$1:$J$40</definedName>
    <definedName name="Z_99B5278F_6EA9_4B1A_8623_27A4DF4AD5E4_.wvu.PrintArea" localSheetId="16" hidden="1">'TRA8'!$A$1:$L$103</definedName>
    <definedName name="Z_99B5278F_6EA9_4B1A_8623_27A4DF4AD5E4_.wvu.PrintArea" localSheetId="17" hidden="1">TRA9_14!$A$2:$G$156</definedName>
    <definedName name="Z_99B5278F_6EA9_4B1A_8623_27A4DF4AD5E4_.wvu.PrintTitles" localSheetId="3" hidden="1">B_Sheet!$B:$F,B_Sheet!$2:$4</definedName>
    <definedName name="Z_99B5278F_6EA9_4B1A_8623_27A4DF4AD5E4_.wvu.PrintTitles" localSheetId="7" hidden="1">Income!$B:$D,Income!$4:$7</definedName>
    <definedName name="Z_99B5278F_6EA9_4B1A_8623_27A4DF4AD5E4_.wvu.PrintTitles" localSheetId="131" hidden="1">'p7'!$B:$AB,'p7'!$1:$4</definedName>
    <definedName name="Z_99B5278F_6EA9_4B1A_8623_27A4DF4AD5E4_.wvu.PrintTitles" localSheetId="19" hidden="1">'TRA16'!$A:$I,'TRA16'!$1:$1</definedName>
    <definedName name="Z_99B5278F_6EA9_4B1A_8623_27A4DF4AD5E4_.wvu.PrintTitles" localSheetId="34" hidden="1">'TRA39'!$A:$J,'TRA39'!$1:$2</definedName>
    <definedName name="Z_99B5278F_6EA9_4B1A_8623_27A4DF4AD5E4_.wvu.PrintTitles" localSheetId="13" hidden="1">'TRA5'!$B:$N,'TRA5'!$1:$2</definedName>
    <definedName name="Z_99B5278F_6EA9_4B1A_8623_27A4DF4AD5E4_.wvu.PrintTitles" localSheetId="17" hidden="1">TRA9_14!$A:$E,TRA9_14!$1:$1</definedName>
    <definedName name="Z_99B5278F_6EA9_4B1A_8623_27A4DF4AD5E4_.wvu.Rows" localSheetId="3" hidden="1">B_Sheet!$275:$65538,B_Sheet!$274:$274</definedName>
    <definedName name="Z_99B5278F_6EA9_4B1A_8623_27A4DF4AD5E4_.wvu.Rows" localSheetId="130" hidden="1">exportmap!$2099:$65573,exportmap!$1:$2098</definedName>
    <definedName name="Z_99B5278F_6EA9_4B1A_8623_27A4DF4AD5E4_.wvu.Rows" localSheetId="7" hidden="1">Income!$306:$65537,Income!$247:$258,Income!$300:$305</definedName>
    <definedName name="Z_99B5278F_6EA9_4B1A_8623_27A4DF4AD5E4_.wvu.Rows" localSheetId="2" hidden="1">Index!$277:$65591,Index!$154:$276</definedName>
    <definedName name="Z_99B5278F_6EA9_4B1A_8623_27A4DF4AD5E4_.wvu.Rows" localSheetId="0" hidden="1">Notes!$96:$65536,Notes!$55:$95</definedName>
    <definedName name="Z_99B5278F_6EA9_4B1A_8623_27A4DF4AD5E4_.wvu.Rows" localSheetId="1" hidden="1">'p1'!$89:$65536,'p1'!$73:$88</definedName>
    <definedName name="Z_99B5278F_6EA9_4B1A_8623_27A4DF4AD5E4_.wvu.Rows" localSheetId="125" hidden="1">'p2'!$110:$65559,'p2'!$54:$57,'p2'!$69:$69,'p2'!$98:$109</definedName>
    <definedName name="Z_99B5278F_6EA9_4B1A_8623_27A4DF4AD5E4_.wvu.Rows" localSheetId="126" hidden="1">'p3'!$149:$65578,'p3'!$83:$83,'p3'!$86:$86,'p3'!$96:$96,'p3'!$105:$148</definedName>
    <definedName name="Z_99B5278F_6EA9_4B1A_8623_27A4DF4AD5E4_.wvu.Rows" localSheetId="127" hidden="1">'p4'!$65:$65545,'p4'!$24:$24,'p4'!$33:$34,'p4'!$38:$40,'p4'!$49:$50</definedName>
    <definedName name="Z_99B5278F_6EA9_4B1A_8623_27A4DF4AD5E4_.wvu.Rows" localSheetId="128" hidden="1">'p5'!$56:$65542,'p5'!$41:$41,'p5'!$48:$48,'p5'!$52:$55</definedName>
    <definedName name="Z_99B5278F_6EA9_4B1A_8623_27A4DF4AD5E4_.wvu.Rows" localSheetId="129" hidden="1">'p6'!$111:$65547,'p6'!$47:$48,'p6'!$61:$66,'p6'!$108:$108,'p6'!$110:$110</definedName>
    <definedName name="Z_99B5278F_6EA9_4B1A_8623_27A4DF4AD5E4_.wvu.Rows" localSheetId="131" hidden="1">'p7'!$275:$65561,'p7'!$120:$274</definedName>
    <definedName name="Z_99B5278F_6EA9_4B1A_8623_27A4DF4AD5E4_.wvu.Rows" localSheetId="132" hidden="1">'p8'!$54:$65536</definedName>
    <definedName name="Z_99B5278F_6EA9_4B1A_8623_27A4DF4AD5E4_.wvu.Rows" localSheetId="9" hidden="1">'TRA1'!$101:$65536,'TRA1'!$3:$3,'TRA1'!$7:$7,'TRA1'!$63:$100</definedName>
    <definedName name="Z_99B5278F_6EA9_4B1A_8623_27A4DF4AD5E4_.wvu.Rows" localSheetId="18" hidden="1">'TRA15'!$113:$65597,'TRA15'!$70:$82,'TRA15'!$95:$112</definedName>
    <definedName name="Z_99B5278F_6EA9_4B1A_8623_27A4DF4AD5E4_.wvu.Rows" localSheetId="19" hidden="1">'TRA16'!$1038:$66428</definedName>
    <definedName name="Z_99B5278F_6EA9_4B1A_8623_27A4DF4AD5E4_.wvu.Rows" localSheetId="20" hidden="1">'TRA17'!$683:$66116,'TRA17'!$38:$42,'TRA17'!$47:$49,'TRA17'!$86:$90,'TRA17'!$95:$97,'TRA17'!$134:$138,'TRA17'!$682:$682</definedName>
    <definedName name="Z_99B5278F_6EA9_4B1A_8623_27A4DF4AD5E4_.wvu.Rows" localSheetId="21" hidden="1">'TRA18'!$111:$65552,'TRA18'!$9:$10,'TRA18'!$31:$60,'TRA18'!$81:$110</definedName>
    <definedName name="Z_99B5278F_6EA9_4B1A_8623_27A4DF4AD5E4_.wvu.Rows" localSheetId="22" hidden="1">'TRA19'!$46:$65546,'TRA19'!$43:$45</definedName>
    <definedName name="Z_99B5278F_6EA9_4B1A_8623_27A4DF4AD5E4_.wvu.Rows" localSheetId="10" hidden="1">'TRA2'!$67:$65536,'TRA2'!$61:$66</definedName>
    <definedName name="Z_99B5278F_6EA9_4B1A_8623_27A4DF4AD5E4_.wvu.Rows" localSheetId="23" hidden="1">'TRA20'!$56:$65546</definedName>
    <definedName name="Z_99B5278F_6EA9_4B1A_8623_27A4DF4AD5E4_.wvu.Rows" localSheetId="24" hidden="1">TRA23_24!$56:$65536,TRA23_24!$45:$55</definedName>
    <definedName name="Z_99B5278F_6EA9_4B1A_8623_27A4DF4AD5E4_.wvu.Rows" localSheetId="25" hidden="1">TRA27_28!$53:$65536</definedName>
    <definedName name="Z_99B5278F_6EA9_4B1A_8623_27A4DF4AD5E4_.wvu.Rows" localSheetId="26" hidden="1">'TRA29'!$122:$65626,'TRA29'!$21:$21,'TRA29'!$116:$121</definedName>
    <definedName name="Z_99B5278F_6EA9_4B1A_8623_27A4DF4AD5E4_.wvu.Rows" localSheetId="11" hidden="1">'TRA3'!$56:$65536,'TRA3'!$38:$55</definedName>
    <definedName name="Z_99B5278F_6EA9_4B1A_8623_27A4DF4AD5E4_.wvu.Rows" localSheetId="27" hidden="1">'TRA30'!$33:$65536</definedName>
    <definedName name="Z_99B5278F_6EA9_4B1A_8623_27A4DF4AD5E4_.wvu.Rows" localSheetId="28" hidden="1">'TRA31'!$192:$65638,'TRA31'!$159:$159,'TRA31'!$187:$191</definedName>
    <definedName name="Z_99B5278F_6EA9_4B1A_8623_27A4DF4AD5E4_.wvu.Rows" localSheetId="29" hidden="1">'TRA33'!$53:$65536,'TRA33'!$6:$6,'TRA33'!$10:$12,'TRA33'!$30:$46</definedName>
    <definedName name="Z_99B5278F_6EA9_4B1A_8623_27A4DF4AD5E4_.wvu.Rows" localSheetId="30" hidden="1">'TRA34'!$62:$65536,'TRA34'!$11:$14,'TRA34'!$60:$61</definedName>
    <definedName name="Z_99B5278F_6EA9_4B1A_8623_27A4DF4AD5E4_.wvu.Rows" localSheetId="31" hidden="1">'TRA35'!$65:$65567,'TRA35'!$6:$6,'TRA35'!$8:$11,'TRA35'!$15:$15,'TRA35'!$32:$48</definedName>
    <definedName name="Z_99B5278F_6EA9_4B1A_8623_27A4DF4AD5E4_.wvu.Rows" localSheetId="32" hidden="1">'TRA36'!$79:$65536</definedName>
    <definedName name="Z_99B5278F_6EA9_4B1A_8623_27A4DF4AD5E4_.wvu.Rows" localSheetId="33" hidden="1">'TRA37'!$47:$65536,'TRA37'!$43:$46</definedName>
    <definedName name="Z_99B5278F_6EA9_4B1A_8623_27A4DF4AD5E4_.wvu.Rows" localSheetId="34" hidden="1">'TRA39'!$64:$65536,'TRA39'!$60:$63</definedName>
    <definedName name="Z_99B5278F_6EA9_4B1A_8623_27A4DF4AD5E4_.wvu.Rows" localSheetId="12" hidden="1">'TRA4'!$157:$65597,'TRA4'!$112:$156</definedName>
    <definedName name="Z_99B5278F_6EA9_4B1A_8623_27A4DF4AD5E4_.wvu.Rows" localSheetId="35" hidden="1">'TRA40'!$562:$65536,'TRA40'!$39:$561</definedName>
    <definedName name="Z_99B5278F_6EA9_4B1A_8623_27A4DF4AD5E4_.wvu.Rows" localSheetId="36" hidden="1">'TRA41'!$59:$65536,'TRA41'!$49:$58</definedName>
    <definedName name="Z_99B5278F_6EA9_4B1A_8623_27A4DF4AD5E4_.wvu.Rows" localSheetId="37" hidden="1">'TRA42'!$206:$65536,'TRA42'!$1:$1,'TRA42'!$64:$205</definedName>
    <definedName name="Z_99B5278F_6EA9_4B1A_8623_27A4DF4AD5E4_.wvu.Rows" localSheetId="38" hidden="1">'TRA49'!$216:$65536,'TRA49'!$1:$1,'TRA49'!$180:$215</definedName>
    <definedName name="Z_99B5278F_6EA9_4B1A_8623_27A4DF4AD5E4_.wvu.Rows" localSheetId="13" hidden="1">'TRA5'!$344:$65704,'TRA5'!$311:$343</definedName>
    <definedName name="Z_99B5278F_6EA9_4B1A_8623_27A4DF4AD5E4_.wvu.Rows" localSheetId="39" hidden="1">'TRA52'!$233:$65536,'TRA52'!$1:$1,'TRA52'!$59:$232</definedName>
    <definedName name="Z_99B5278F_6EA9_4B1A_8623_27A4DF4AD5E4_.wvu.Rows" localSheetId="40" hidden="1">'TRA53'!$118:$65586,'TRA53'!$88:$99,'TRA53'!$111:$117</definedName>
    <definedName name="Z_99B5278F_6EA9_4B1A_8623_27A4DF4AD5E4_.wvu.Rows" localSheetId="41" hidden="1">'TRA54'!$294:$65745,'TRA54'!$256:$293</definedName>
    <definedName name="Z_99B5278F_6EA9_4B1A_8623_27A4DF4AD5E4_.wvu.Rows" localSheetId="42" hidden="1">'TRA55'!$94:$65536,'TRA55'!$23:$93</definedName>
    <definedName name="Z_99B5278F_6EA9_4B1A_8623_27A4DF4AD5E4_.wvu.Rows" localSheetId="43" hidden="1">'TRA56'!$239:$65536,'TRA56'!$1:$1,'TRA56'!$35:$238</definedName>
    <definedName name="Z_99B5278F_6EA9_4B1A_8623_27A4DF4AD5E4_.wvu.Rows" localSheetId="44" hidden="1">'TRA57'!$239:$65536,'TRA57'!$1:$1,'TRA57'!$35:$238</definedName>
    <definedName name="Z_99B5278F_6EA9_4B1A_8623_27A4DF4AD5E4_.wvu.Rows" localSheetId="45" hidden="1">'TRA58'!$239:$65536,'TRA58'!$1:$1,'TRA58'!$35:$238</definedName>
    <definedName name="Z_99B5278F_6EA9_4B1A_8623_27A4DF4AD5E4_.wvu.Rows" localSheetId="14" hidden="1">'TRA6'!$71:$65536,'TRA6'!$15:$16,'TRA6'!$51:$70</definedName>
    <definedName name="Z_99B5278F_6EA9_4B1A_8623_27A4DF4AD5E4_.wvu.Rows" localSheetId="46" hidden="1">'TRA60'!$82:$65551,'TRA60'!$1:$1,'TRA60'!$47:$47,'TRA60'!$32:$34,'TRA60'!$67:$81</definedName>
    <definedName name="Z_99B5278F_6EA9_4B1A_8623_27A4DF4AD5E4_.wvu.Rows" localSheetId="47" hidden="1">TRA61_FTA!$141:$65536,TRA61_FTA!$16:$28,TRA61_FTA!$37:$37,TRA61_FTA!$39:$50,TRA61_FTA!$56:$140</definedName>
    <definedName name="Z_99B5278F_6EA9_4B1A_8623_27A4DF4AD5E4_.wvu.Rows" localSheetId="48" hidden="1">TRA62_IPA!$9:$9,TRA62_IPA!$35:$36,TRA62_IPA!$65:$68</definedName>
    <definedName name="Z_99B5278F_6EA9_4B1A_8623_27A4DF4AD5E4_.wvu.Rows" localSheetId="49" hidden="1">TRA62A_IPA!$32:$42</definedName>
    <definedName name="Z_99B5278F_6EA9_4B1A_8623_27A4DF4AD5E4_.wvu.Rows" localSheetId="50" hidden="1">TRA63_MTA_FIA!$101:$65543,TRA63_MTA_FIA!$8:$8,TRA63_MTA_FIA!$20:$21,TRA63_MTA_FIA!$48:$52,TRA63_MTA_FIA!$60:$100</definedName>
    <definedName name="Z_99B5278F_6EA9_4B1A_8623_27A4DF4AD5E4_.wvu.Rows" localSheetId="51" hidden="1">'TRA65'!$61:$65536,'TRA65'!$36:$36</definedName>
    <definedName name="Z_99B5278F_6EA9_4B1A_8623_27A4DF4AD5E4_.wvu.Rows" localSheetId="52" hidden="1">'TRA66'!$69:$65571</definedName>
    <definedName name="Z_99B5278F_6EA9_4B1A_8623_27A4DF4AD5E4_.wvu.Rows" localSheetId="53" hidden="1">'TRA67'!$34:$65536</definedName>
    <definedName name="Z_99B5278F_6EA9_4B1A_8623_27A4DF4AD5E4_.wvu.Rows" localSheetId="54" hidden="1">'TRA68'!$210:$65536,'TRA68'!$1:$1,'TRA68'!$36:$209</definedName>
    <definedName name="Z_99B5278F_6EA9_4B1A_8623_27A4DF4AD5E4_.wvu.Rows" localSheetId="55" hidden="1">'TRA69'!$49:$65541,'TRA69'!$9:$15,'TRA69'!$22:$25,'TRA69'!$48:$48</definedName>
    <definedName name="Z_99B5278F_6EA9_4B1A_8623_27A4DF4AD5E4_.wvu.Rows" localSheetId="15" hidden="1">'TRA7'!$51:$65536,'TRA7'!$4:$7,'TRA7'!$29:$50</definedName>
    <definedName name="Z_99B5278F_6EA9_4B1A_8623_27A4DF4AD5E4_.wvu.Rows" localSheetId="56" hidden="1">'TRA70'!$53:$65545,'TRA70'!$27:$29,'TRA70'!$52:$52</definedName>
    <definedName name="Z_99B5278F_6EA9_4B1A_8623_27A4DF4AD5E4_.wvu.Rows" localSheetId="57" hidden="1">'TRA71'!$42:$65536,'TRA71'!$3:$6,'TRA71'!$15:$16,'TRA71'!$23:$23,'TRA71'!$31:$31,'TRA71'!$35:$37</definedName>
    <definedName name="Z_99B5278F_6EA9_4B1A_8623_27A4DF4AD5E4_.wvu.Rows" localSheetId="58" hidden="1">'TRA72'!$42:$65536,'TRA72'!$3:$6,'TRA72'!$15:$16,'TRA72'!$23:$23,'TRA72'!$31:$31,'TRA72'!$35:$37</definedName>
    <definedName name="Z_99B5278F_6EA9_4B1A_8623_27A4DF4AD5E4_.wvu.Rows" localSheetId="59" hidden="1">'TRA73'!$8:$9</definedName>
    <definedName name="Z_99B5278F_6EA9_4B1A_8623_27A4DF4AD5E4_.wvu.Rows" localSheetId="60" hidden="1">'TRA74'!$7:$7</definedName>
    <definedName name="Z_99B5278F_6EA9_4B1A_8623_27A4DF4AD5E4_.wvu.Rows" localSheetId="16" hidden="1">'TRA8'!$128:$65590,'TRA8'!$109:$127</definedName>
    <definedName name="Z_99B5278F_6EA9_4B1A_8623_27A4DF4AD5E4_.wvu.Rows" localSheetId="17" hidden="1">TRA9_14!$158:$65538,TRA9_14!$5:$5,TRA9_14!$8:$8,TRA9_14!$28:$28,TRA9_14!#REF!</definedName>
  </definedNames>
  <calcPr calcId="191029" fullCalcOnLoad="1"/>
  <customWorkbookViews>
    <customWorkbookView name="borgm023 - Personal View" guid="{99B5278F-6EA9-4B1A-8623-27A4DF4AD5E4}" mergeInterval="0" personalView="1" maximized="1" xWindow="1" yWindow="1" windowWidth="1436" windowHeight="574" tabRatio="921" activeSheetId="10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4" i="43" l="1"/>
  <c r="E143" i="44"/>
  <c r="E77" i="44"/>
  <c r="E76" i="44"/>
  <c r="G87" i="10"/>
  <c r="E32" i="30"/>
  <c r="E240" i="44"/>
  <c r="E125" i="43"/>
  <c r="E183" i="43"/>
  <c r="E105" i="43"/>
  <c r="E126" i="43"/>
  <c r="E107" i="43"/>
  <c r="E147" i="43"/>
  <c r="E99" i="43"/>
  <c r="E67" i="43"/>
  <c r="T62" i="112" l="1"/>
  <c r="U62" i="112"/>
  <c r="V62" i="112"/>
  <c r="AA62" i="112"/>
  <c r="T63" i="112"/>
  <c r="U63" i="112"/>
  <c r="V63" i="112"/>
  <c r="AA63" i="112"/>
  <c r="R63" i="112" s="1"/>
  <c r="T64" i="112"/>
  <c r="U64" i="112"/>
  <c r="V64" i="112"/>
  <c r="AA64" i="112"/>
  <c r="T65" i="112"/>
  <c r="U65" i="112"/>
  <c r="V65" i="112"/>
  <c r="AA65" i="112"/>
  <c r="F85" i="30"/>
  <c r="F31" i="30"/>
  <c r="R38" i="131"/>
  <c r="S38" i="131"/>
  <c r="K76" i="102"/>
  <c r="K79" i="102"/>
  <c r="K82" i="102"/>
  <c r="K94" i="102"/>
  <c r="K108" i="102"/>
  <c r="I75" i="102"/>
  <c r="K75" i="102" s="1"/>
  <c r="I76" i="102"/>
  <c r="I78" i="102"/>
  <c r="K78" i="102" s="1"/>
  <c r="I79" i="102"/>
  <c r="I84" i="102"/>
  <c r="K84" i="102" s="1"/>
  <c r="I86" i="102"/>
  <c r="K86" i="102" s="1"/>
  <c r="I87" i="102"/>
  <c r="K87" i="102" s="1"/>
  <c r="I89" i="102"/>
  <c r="K89" i="102" s="1"/>
  <c r="I90" i="102"/>
  <c r="K90" i="102" s="1"/>
  <c r="I94" i="102"/>
  <c r="I97" i="102"/>
  <c r="K97" i="102" s="1"/>
  <c r="I100" i="102"/>
  <c r="K100" i="102" s="1"/>
  <c r="I101" i="102"/>
  <c r="K101" i="102" s="1"/>
  <c r="I102" i="102"/>
  <c r="K102" i="102" s="1"/>
  <c r="I103" i="102"/>
  <c r="K103" i="102" s="1"/>
  <c r="I108" i="102"/>
  <c r="I110" i="102"/>
  <c r="K110" i="102" s="1"/>
  <c r="I111" i="102"/>
  <c r="K111" i="102" s="1"/>
  <c r="I113" i="102"/>
  <c r="K113" i="102" s="1"/>
  <c r="I114" i="102"/>
  <c r="K114" i="102" s="1"/>
  <c r="I115" i="102"/>
  <c r="K115" i="102" s="1"/>
  <c r="M115" i="102"/>
  <c r="L115" i="102"/>
  <c r="O115" i="102" s="1"/>
  <c r="M114" i="102"/>
  <c r="L114" i="102"/>
  <c r="O114" i="102" s="1"/>
  <c r="M113" i="102"/>
  <c r="L113" i="102"/>
  <c r="O113" i="102" s="1"/>
  <c r="O112" i="102"/>
  <c r="M112" i="102"/>
  <c r="I112" i="102" s="1"/>
  <c r="K112" i="102" s="1"/>
  <c r="L112" i="102"/>
  <c r="M111" i="102"/>
  <c r="L111" i="102"/>
  <c r="O111" i="102" s="1"/>
  <c r="M110" i="102"/>
  <c r="L110" i="102"/>
  <c r="O110" i="102" s="1"/>
  <c r="M109" i="102"/>
  <c r="I109" i="102" s="1"/>
  <c r="K109" i="102" s="1"/>
  <c r="L109" i="102"/>
  <c r="O109" i="102" s="1"/>
  <c r="O108" i="102"/>
  <c r="M108" i="102"/>
  <c r="L108" i="102"/>
  <c r="M107" i="102"/>
  <c r="I107" i="102" s="1"/>
  <c r="K107" i="102" s="1"/>
  <c r="L107" i="102"/>
  <c r="O107" i="102" s="1"/>
  <c r="M106" i="102"/>
  <c r="I106" i="102" s="1"/>
  <c r="K106" i="102" s="1"/>
  <c r="L106" i="102"/>
  <c r="O106" i="102" s="1"/>
  <c r="M105" i="102"/>
  <c r="I105" i="102" s="1"/>
  <c r="K105" i="102" s="1"/>
  <c r="L105" i="102"/>
  <c r="O105" i="102" s="1"/>
  <c r="M104" i="102"/>
  <c r="I104" i="102" s="1"/>
  <c r="K104" i="102" s="1"/>
  <c r="L104" i="102"/>
  <c r="O104" i="102" s="1"/>
  <c r="M103" i="102"/>
  <c r="L103" i="102"/>
  <c r="O103" i="102" s="1"/>
  <c r="M102" i="102"/>
  <c r="L102" i="102"/>
  <c r="O102" i="102" s="1"/>
  <c r="O101" i="102"/>
  <c r="M101" i="102"/>
  <c r="L101" i="102"/>
  <c r="M100" i="102"/>
  <c r="L100" i="102"/>
  <c r="O100" i="102" s="1"/>
  <c r="M99" i="102"/>
  <c r="I99" i="102" s="1"/>
  <c r="K99" i="102" s="1"/>
  <c r="L99" i="102"/>
  <c r="O99" i="102" s="1"/>
  <c r="M98" i="102"/>
  <c r="I98" i="102" s="1"/>
  <c r="K98" i="102" s="1"/>
  <c r="L98" i="102"/>
  <c r="O98" i="102" s="1"/>
  <c r="M97" i="102"/>
  <c r="L97" i="102"/>
  <c r="O97" i="102" s="1"/>
  <c r="M96" i="102"/>
  <c r="I96" i="102" s="1"/>
  <c r="K96" i="102" s="1"/>
  <c r="L96" i="102"/>
  <c r="O96" i="102" s="1"/>
  <c r="M95" i="102"/>
  <c r="I95" i="102" s="1"/>
  <c r="K95" i="102" s="1"/>
  <c r="L95" i="102"/>
  <c r="O95" i="102" s="1"/>
  <c r="O94" i="102"/>
  <c r="M94" i="102"/>
  <c r="L94" i="102"/>
  <c r="M93" i="102"/>
  <c r="I93" i="102" s="1"/>
  <c r="K93" i="102" s="1"/>
  <c r="L93" i="102"/>
  <c r="O93" i="102" s="1"/>
  <c r="M92" i="102"/>
  <c r="I92" i="102" s="1"/>
  <c r="K92" i="102" s="1"/>
  <c r="L92" i="102"/>
  <c r="O92" i="102" s="1"/>
  <c r="M91" i="102"/>
  <c r="I91" i="102" s="1"/>
  <c r="K91" i="102" s="1"/>
  <c r="L91" i="102"/>
  <c r="O91" i="102" s="1"/>
  <c r="M90" i="102"/>
  <c r="L90" i="102"/>
  <c r="O90" i="102" s="1"/>
  <c r="M89" i="102"/>
  <c r="L89" i="102"/>
  <c r="O89" i="102" s="1"/>
  <c r="M88" i="102"/>
  <c r="I88" i="102" s="1"/>
  <c r="K88" i="102" s="1"/>
  <c r="L88" i="102"/>
  <c r="O88" i="102" s="1"/>
  <c r="M87" i="102"/>
  <c r="L87" i="102"/>
  <c r="O87" i="102" s="1"/>
  <c r="M86" i="102"/>
  <c r="L86" i="102"/>
  <c r="O86" i="102" s="1"/>
  <c r="M85" i="102"/>
  <c r="I85" i="102" s="1"/>
  <c r="K85" i="102" s="1"/>
  <c r="L85" i="102"/>
  <c r="O85" i="102" s="1"/>
  <c r="O84" i="102"/>
  <c r="M84" i="102"/>
  <c r="L84" i="102"/>
  <c r="M83" i="102"/>
  <c r="I83" i="102" s="1"/>
  <c r="K83" i="102" s="1"/>
  <c r="L83" i="102"/>
  <c r="O83" i="102" s="1"/>
  <c r="M82" i="102"/>
  <c r="I82" i="102" s="1"/>
  <c r="L82" i="102"/>
  <c r="O82" i="102" s="1"/>
  <c r="M81" i="102"/>
  <c r="I81" i="102" s="1"/>
  <c r="K81" i="102" s="1"/>
  <c r="L81" i="102"/>
  <c r="O81" i="102" s="1"/>
  <c r="M80" i="102"/>
  <c r="I80" i="102" s="1"/>
  <c r="K80" i="102" s="1"/>
  <c r="L80" i="102"/>
  <c r="O80" i="102" s="1"/>
  <c r="M79" i="102"/>
  <c r="L79" i="102"/>
  <c r="O79" i="102" s="1"/>
  <c r="M78" i="102"/>
  <c r="L78" i="102"/>
  <c r="O78" i="102" s="1"/>
  <c r="O77" i="102"/>
  <c r="M77" i="102"/>
  <c r="I77" i="102" s="1"/>
  <c r="K77" i="102" s="1"/>
  <c r="L77" i="102"/>
  <c r="M76" i="102"/>
  <c r="L76" i="102"/>
  <c r="O76" i="102" s="1"/>
  <c r="M75" i="102"/>
  <c r="L75" i="102"/>
  <c r="O75" i="102" s="1"/>
  <c r="M60" i="102"/>
  <c r="I60" i="102" s="1"/>
  <c r="K60" i="102" s="1"/>
  <c r="L60" i="102"/>
  <c r="O60" i="102" s="1"/>
  <c r="O59" i="102"/>
  <c r="M59" i="102"/>
  <c r="I59" i="102" s="1"/>
  <c r="K59" i="102" s="1"/>
  <c r="L59" i="102"/>
  <c r="M58" i="102"/>
  <c r="L58" i="102"/>
  <c r="O58" i="102" s="1"/>
  <c r="I58" i="102"/>
  <c r="K58" i="102" s="1"/>
  <c r="M57" i="102"/>
  <c r="I57" i="102" s="1"/>
  <c r="K57" i="102" s="1"/>
  <c r="L57" i="102"/>
  <c r="O57" i="102" s="1"/>
  <c r="M56" i="102"/>
  <c r="I56" i="102" s="1"/>
  <c r="K56" i="102" s="1"/>
  <c r="L56" i="102"/>
  <c r="O56" i="102" s="1"/>
  <c r="O55" i="102"/>
  <c r="M55" i="102"/>
  <c r="I55" i="102" s="1"/>
  <c r="K55" i="102" s="1"/>
  <c r="L55" i="102"/>
  <c r="M54" i="102"/>
  <c r="I54" i="102" s="1"/>
  <c r="K54" i="102" s="1"/>
  <c r="L54" i="102"/>
  <c r="O54" i="102" s="1"/>
  <c r="M53" i="102"/>
  <c r="I53" i="102" s="1"/>
  <c r="K53" i="102" s="1"/>
  <c r="L53" i="102"/>
  <c r="O53" i="102" s="1"/>
  <c r="M52" i="102"/>
  <c r="I52" i="102" s="1"/>
  <c r="K52" i="102" s="1"/>
  <c r="L52" i="102"/>
  <c r="O52" i="102" s="1"/>
  <c r="M51" i="102"/>
  <c r="I51" i="102" s="1"/>
  <c r="K51" i="102" s="1"/>
  <c r="L51" i="102"/>
  <c r="O51" i="102" s="1"/>
  <c r="M50" i="102"/>
  <c r="I50" i="102" s="1"/>
  <c r="K50" i="102" s="1"/>
  <c r="L50" i="102"/>
  <c r="O50" i="102" s="1"/>
  <c r="M49" i="102"/>
  <c r="I49" i="102" s="1"/>
  <c r="K49" i="102" s="1"/>
  <c r="L49" i="102"/>
  <c r="O49" i="102" s="1"/>
  <c r="M48" i="102"/>
  <c r="I48" i="102" s="1"/>
  <c r="K48" i="102" s="1"/>
  <c r="L48" i="102"/>
  <c r="O48" i="102" s="1"/>
  <c r="M47" i="102"/>
  <c r="I47" i="102" s="1"/>
  <c r="K47" i="102" s="1"/>
  <c r="L47" i="102"/>
  <c r="O47" i="102" s="1"/>
  <c r="M46" i="102"/>
  <c r="I46" i="102" s="1"/>
  <c r="K46" i="102" s="1"/>
  <c r="L46" i="102"/>
  <c r="O46" i="102" s="1"/>
  <c r="M45" i="102"/>
  <c r="I45" i="102" s="1"/>
  <c r="K45" i="102" s="1"/>
  <c r="L45" i="102"/>
  <c r="O45" i="102" s="1"/>
  <c r="M44" i="102"/>
  <c r="I44" i="102" s="1"/>
  <c r="K44" i="102" s="1"/>
  <c r="L44" i="102"/>
  <c r="O44" i="102" s="1"/>
  <c r="M43" i="102"/>
  <c r="I43" i="102" s="1"/>
  <c r="K43" i="102" s="1"/>
  <c r="L43" i="102"/>
  <c r="O43" i="102" s="1"/>
  <c r="M42" i="102"/>
  <c r="L42" i="102"/>
  <c r="O42" i="102" s="1"/>
  <c r="I42" i="102"/>
  <c r="K42" i="102" s="1"/>
  <c r="O41" i="102"/>
  <c r="M41" i="102"/>
  <c r="I41" i="102" s="1"/>
  <c r="K41" i="102" s="1"/>
  <c r="L41" i="102"/>
  <c r="M40" i="102"/>
  <c r="I40" i="102" s="1"/>
  <c r="K40" i="102" s="1"/>
  <c r="L40" i="102"/>
  <c r="O40" i="102" s="1"/>
  <c r="M39" i="102"/>
  <c r="I39" i="102" s="1"/>
  <c r="K39" i="102" s="1"/>
  <c r="L39" i="102"/>
  <c r="O39" i="102" s="1"/>
  <c r="M38" i="102"/>
  <c r="I38" i="102" s="1"/>
  <c r="K38" i="102" s="1"/>
  <c r="L38" i="102"/>
  <c r="O38" i="102" s="1"/>
  <c r="O37" i="102"/>
  <c r="M37" i="102"/>
  <c r="I37" i="102" s="1"/>
  <c r="K37" i="102" s="1"/>
  <c r="L37" i="102"/>
  <c r="M36" i="102"/>
  <c r="I36" i="102" s="1"/>
  <c r="K36" i="102" s="1"/>
  <c r="L36" i="102"/>
  <c r="O36" i="102" s="1"/>
  <c r="M35" i="102"/>
  <c r="I35" i="102" s="1"/>
  <c r="K35" i="102" s="1"/>
  <c r="L35" i="102"/>
  <c r="O35" i="102" s="1"/>
  <c r="M34" i="102"/>
  <c r="I34" i="102" s="1"/>
  <c r="K34" i="102" s="1"/>
  <c r="L34" i="102"/>
  <c r="O34" i="102" s="1"/>
  <c r="M33" i="102"/>
  <c r="I33" i="102" s="1"/>
  <c r="K33" i="102" s="1"/>
  <c r="L33" i="102"/>
  <c r="O33" i="102" s="1"/>
  <c r="M32" i="102"/>
  <c r="I32" i="102" s="1"/>
  <c r="K32" i="102" s="1"/>
  <c r="L32" i="102"/>
  <c r="O32" i="102" s="1"/>
  <c r="M31" i="102"/>
  <c r="I31" i="102" s="1"/>
  <c r="K31" i="102" s="1"/>
  <c r="L31" i="102"/>
  <c r="O31" i="102" s="1"/>
  <c r="M30" i="102"/>
  <c r="I30" i="102" s="1"/>
  <c r="K30" i="102" s="1"/>
  <c r="L30" i="102"/>
  <c r="O30" i="102" s="1"/>
  <c r="M29" i="102"/>
  <c r="I29" i="102" s="1"/>
  <c r="K29" i="102" s="1"/>
  <c r="L29" i="102"/>
  <c r="O29" i="102" s="1"/>
  <c r="M28" i="102"/>
  <c r="I28" i="102" s="1"/>
  <c r="K28" i="102" s="1"/>
  <c r="L28" i="102"/>
  <c r="O28" i="102" s="1"/>
  <c r="M27" i="102"/>
  <c r="I27" i="102" s="1"/>
  <c r="K27" i="102" s="1"/>
  <c r="L27" i="102"/>
  <c r="O27" i="102" s="1"/>
  <c r="M26" i="102"/>
  <c r="I26" i="102" s="1"/>
  <c r="K26" i="102" s="1"/>
  <c r="L26" i="102"/>
  <c r="O26" i="102" s="1"/>
  <c r="M25" i="102"/>
  <c r="I25" i="102" s="1"/>
  <c r="K25" i="102" s="1"/>
  <c r="L25" i="102"/>
  <c r="O25" i="102" s="1"/>
  <c r="M24" i="102"/>
  <c r="I24" i="102" s="1"/>
  <c r="K24" i="102" s="1"/>
  <c r="L24" i="102"/>
  <c r="O24" i="102" s="1"/>
  <c r="M23" i="102"/>
  <c r="L23" i="102"/>
  <c r="O23" i="102" s="1"/>
  <c r="I23" i="102"/>
  <c r="K23" i="102" s="1"/>
  <c r="M22" i="102"/>
  <c r="I22" i="102" s="1"/>
  <c r="K22" i="102" s="1"/>
  <c r="L22" i="102"/>
  <c r="O22" i="102" s="1"/>
  <c r="P32" i="84"/>
  <c r="Y33" i="84"/>
  <c r="T25" i="29"/>
  <c r="H31" i="39"/>
  <c r="F31" i="39"/>
  <c r="S45" i="176"/>
  <c r="S43" i="176"/>
  <c r="S37" i="176"/>
  <c r="S35" i="176"/>
  <c r="Q41" i="176"/>
  <c r="M27" i="176"/>
  <c r="M12" i="176"/>
  <c r="S65" i="112" l="1"/>
  <c r="R62" i="112"/>
  <c r="Q62" i="112" s="1"/>
  <c r="K62" i="112" s="1"/>
  <c r="L62" i="112" s="1"/>
  <c r="S63" i="112"/>
  <c r="Q63" i="112" s="1"/>
  <c r="K63" i="112" s="1"/>
  <c r="L63" i="112" s="1"/>
  <c r="R65" i="112"/>
  <c r="R64" i="112"/>
  <c r="S62" i="112"/>
  <c r="S64" i="112"/>
  <c r="Q313" i="176"/>
  <c r="P313" i="176"/>
  <c r="Q39" i="176"/>
  <c r="M1" i="176"/>
  <c r="O43" i="29"/>
  <c r="H43" i="29"/>
  <c r="M2" i="176"/>
  <c r="M322" i="176"/>
  <c r="M313" i="176"/>
  <c r="M302" i="176"/>
  <c r="M158" i="176"/>
  <c r="H158" i="176" s="1"/>
  <c r="M157" i="176"/>
  <c r="H157" i="176" s="1"/>
  <c r="M156" i="176"/>
  <c r="H156" i="176" s="1"/>
  <c r="L156" i="176" s="1"/>
  <c r="M155" i="176"/>
  <c r="H155" i="176" s="1"/>
  <c r="M154" i="176"/>
  <c r="H154" i="176" s="1"/>
  <c r="M153" i="176"/>
  <c r="H153" i="176" s="1"/>
  <c r="L153" i="176" s="1"/>
  <c r="M152" i="176"/>
  <c r="H152" i="176" s="1"/>
  <c r="M151" i="176"/>
  <c r="H151" i="176" s="1"/>
  <c r="M150" i="176"/>
  <c r="H150" i="176" s="1"/>
  <c r="M149" i="176"/>
  <c r="H149" i="176" s="1"/>
  <c r="M148" i="176"/>
  <c r="H148" i="176" s="1"/>
  <c r="M147" i="176"/>
  <c r="H147" i="176" s="1"/>
  <c r="M146" i="176"/>
  <c r="H146" i="176" s="1"/>
  <c r="M145" i="176"/>
  <c r="M144" i="176"/>
  <c r="H144" i="176" s="1"/>
  <c r="M143" i="176"/>
  <c r="H143" i="176" s="1"/>
  <c r="M142" i="176"/>
  <c r="H142" i="176" s="1"/>
  <c r="M141" i="176"/>
  <c r="H141" i="176" s="1"/>
  <c r="M140" i="176"/>
  <c r="H140" i="176" s="1"/>
  <c r="L140" i="176" s="1"/>
  <c r="M139" i="176"/>
  <c r="H139" i="176" s="1"/>
  <c r="M138" i="176"/>
  <c r="H138" i="176" s="1"/>
  <c r="M137" i="176"/>
  <c r="H137" i="176" s="1"/>
  <c r="L137" i="176" s="1"/>
  <c r="M136" i="176"/>
  <c r="M135" i="176"/>
  <c r="H135" i="176" s="1"/>
  <c r="M134" i="176"/>
  <c r="H134" i="176" s="1"/>
  <c r="M133" i="176"/>
  <c r="H133" i="176" s="1"/>
  <c r="M132" i="176"/>
  <c r="M131" i="176"/>
  <c r="H131" i="176" s="1"/>
  <c r="M130" i="176"/>
  <c r="H130" i="176" s="1"/>
  <c r="M129" i="176"/>
  <c r="H129" i="176" s="1"/>
  <c r="M128" i="176"/>
  <c r="M127" i="176"/>
  <c r="H127" i="176" s="1"/>
  <c r="M126" i="176"/>
  <c r="H126" i="176" s="1"/>
  <c r="M125" i="176"/>
  <c r="H125" i="176" s="1"/>
  <c r="M124" i="176"/>
  <c r="M123" i="176"/>
  <c r="H123" i="176" s="1"/>
  <c r="M122" i="176"/>
  <c r="H122" i="176" s="1"/>
  <c r="M121" i="176"/>
  <c r="H121" i="176" s="1"/>
  <c r="M120" i="176"/>
  <c r="H120" i="176" s="1"/>
  <c r="L120" i="176" s="1"/>
  <c r="M119" i="176"/>
  <c r="H119" i="176" s="1"/>
  <c r="M118" i="176"/>
  <c r="H118" i="176" s="1"/>
  <c r="M117" i="176"/>
  <c r="H117" i="176" s="1"/>
  <c r="L117" i="176" s="1"/>
  <c r="M116" i="176"/>
  <c r="H116" i="176" s="1"/>
  <c r="M115" i="176"/>
  <c r="M114" i="176"/>
  <c r="H114" i="176" s="1"/>
  <c r="M113" i="176"/>
  <c r="H113" i="176" s="1"/>
  <c r="M112" i="176"/>
  <c r="H112" i="176" s="1"/>
  <c r="M111" i="176"/>
  <c r="H111" i="176" s="1"/>
  <c r="M110" i="176"/>
  <c r="H110" i="176" s="1"/>
  <c r="M109" i="176"/>
  <c r="H109" i="176" s="1"/>
  <c r="M108" i="176"/>
  <c r="H108" i="176" s="1"/>
  <c r="M107" i="176"/>
  <c r="M106" i="176"/>
  <c r="H106" i="176" s="1"/>
  <c r="M105" i="176"/>
  <c r="H105" i="176" s="1"/>
  <c r="M104" i="176"/>
  <c r="H104" i="176" s="1"/>
  <c r="M103" i="176"/>
  <c r="M102" i="176"/>
  <c r="H102" i="176" s="1"/>
  <c r="M101" i="176"/>
  <c r="H101" i="176" s="1"/>
  <c r="M100" i="176"/>
  <c r="H100" i="176" s="1"/>
  <c r="M99" i="176"/>
  <c r="M98" i="176"/>
  <c r="H98" i="176" s="1"/>
  <c r="M97" i="176"/>
  <c r="H97" i="176" s="1"/>
  <c r="M96" i="176"/>
  <c r="H96" i="176" s="1"/>
  <c r="M95" i="176"/>
  <c r="H95" i="176" s="1"/>
  <c r="M94" i="176"/>
  <c r="H94" i="176" s="1"/>
  <c r="M93" i="176"/>
  <c r="H93" i="176" s="1"/>
  <c r="M92" i="176"/>
  <c r="H92" i="176" s="1"/>
  <c r="M91" i="176"/>
  <c r="H91" i="176" s="1"/>
  <c r="M90" i="176"/>
  <c r="H90" i="176" s="1"/>
  <c r="M89" i="176"/>
  <c r="H89" i="176" s="1"/>
  <c r="M88" i="176"/>
  <c r="H88" i="176" s="1"/>
  <c r="M87" i="176"/>
  <c r="M86" i="176"/>
  <c r="H86" i="176" s="1"/>
  <c r="M85" i="176"/>
  <c r="H85" i="176" s="1"/>
  <c r="M84" i="176"/>
  <c r="H84" i="176" s="1"/>
  <c r="M83" i="176"/>
  <c r="M82" i="176"/>
  <c r="H82" i="176" s="1"/>
  <c r="M81" i="176"/>
  <c r="H81" i="176" s="1"/>
  <c r="M80" i="176"/>
  <c r="H80" i="176" s="1"/>
  <c r="L80" i="176" s="1"/>
  <c r="M79" i="176"/>
  <c r="H79" i="176" s="1"/>
  <c r="M78" i="176"/>
  <c r="H78" i="176" s="1"/>
  <c r="M77" i="176"/>
  <c r="H77" i="176" s="1"/>
  <c r="M76" i="176"/>
  <c r="H76" i="176" s="1"/>
  <c r="M75" i="176"/>
  <c r="M74" i="176"/>
  <c r="H74" i="176" s="1"/>
  <c r="M73" i="176"/>
  <c r="H73" i="176" s="1"/>
  <c r="M72" i="176"/>
  <c r="H72" i="176" s="1"/>
  <c r="M71" i="176"/>
  <c r="M70" i="176"/>
  <c r="H70" i="176" s="1"/>
  <c r="M69" i="176"/>
  <c r="H69" i="176" s="1"/>
  <c r="M68" i="176"/>
  <c r="H68" i="176" s="1"/>
  <c r="M67" i="176"/>
  <c r="H67" i="176" s="1"/>
  <c r="M66" i="176"/>
  <c r="H66" i="176" s="1"/>
  <c r="M65" i="176"/>
  <c r="H65" i="176" s="1"/>
  <c r="L65" i="176" s="1"/>
  <c r="M64" i="176"/>
  <c r="M63" i="176"/>
  <c r="H63" i="176" s="1"/>
  <c r="M62" i="176"/>
  <c r="H62" i="176" s="1"/>
  <c r="M61" i="176"/>
  <c r="H61" i="176" s="1"/>
  <c r="M60" i="176"/>
  <c r="H60" i="176" s="1"/>
  <c r="M59" i="176"/>
  <c r="M47" i="176"/>
  <c r="Q45" i="176"/>
  <c r="M45" i="176"/>
  <c r="M43" i="176"/>
  <c r="H43" i="176"/>
  <c r="L43" i="176" s="1"/>
  <c r="M41" i="176"/>
  <c r="M39" i="176"/>
  <c r="M37" i="176"/>
  <c r="M35" i="176"/>
  <c r="M21" i="176"/>
  <c r="M6" i="176"/>
  <c r="X78" i="172"/>
  <c r="X77" i="172"/>
  <c r="X76" i="172"/>
  <c r="X75" i="172"/>
  <c r="X74" i="172"/>
  <c r="X73" i="172"/>
  <c r="X72" i="172"/>
  <c r="X71" i="172"/>
  <c r="X70" i="172"/>
  <c r="X69" i="172"/>
  <c r="X68" i="172"/>
  <c r="X67" i="172"/>
  <c r="X66" i="172"/>
  <c r="X65" i="172"/>
  <c r="X64" i="172"/>
  <c r="X63" i="172"/>
  <c r="X62" i="172"/>
  <c r="X61" i="172"/>
  <c r="X60" i="172"/>
  <c r="X59" i="172"/>
  <c r="X58" i="172"/>
  <c r="X57" i="172"/>
  <c r="X56" i="172"/>
  <c r="X55" i="172"/>
  <c r="X54" i="172"/>
  <c r="X53" i="172"/>
  <c r="X52" i="172"/>
  <c r="X51" i="172"/>
  <c r="X50" i="172"/>
  <c r="X49" i="172"/>
  <c r="X48" i="172"/>
  <c r="X47" i="172"/>
  <c r="X46" i="172"/>
  <c r="X45" i="172"/>
  <c r="X44" i="172"/>
  <c r="X43" i="172"/>
  <c r="X42" i="172"/>
  <c r="X41" i="172"/>
  <c r="X40" i="172"/>
  <c r="X39" i="172"/>
  <c r="X38" i="172"/>
  <c r="X37" i="172"/>
  <c r="X36" i="172"/>
  <c r="X35" i="172"/>
  <c r="X34" i="172"/>
  <c r="X33" i="172"/>
  <c r="X32" i="172"/>
  <c r="X31" i="172"/>
  <c r="X30" i="172"/>
  <c r="X29" i="172"/>
  <c r="X28" i="172"/>
  <c r="X27" i="172"/>
  <c r="X26" i="172"/>
  <c r="X25" i="172"/>
  <c r="X24" i="172"/>
  <c r="X23" i="172"/>
  <c r="X22" i="172"/>
  <c r="X21" i="172"/>
  <c r="X20" i="172"/>
  <c r="X19" i="172"/>
  <c r="X18" i="172"/>
  <c r="X17" i="172"/>
  <c r="X16" i="172"/>
  <c r="X15" i="172"/>
  <c r="X14" i="172"/>
  <c r="X13" i="172"/>
  <c r="X12" i="172"/>
  <c r="X11" i="172"/>
  <c r="X10" i="172"/>
  <c r="X9" i="172"/>
  <c r="Y9" i="172" s="1"/>
  <c r="W78" i="172"/>
  <c r="W77" i="172"/>
  <c r="W76" i="172"/>
  <c r="W75" i="172"/>
  <c r="W74" i="172"/>
  <c r="W73" i="172"/>
  <c r="W72" i="172"/>
  <c r="W71" i="172"/>
  <c r="W70" i="172"/>
  <c r="W69" i="172"/>
  <c r="W68" i="172"/>
  <c r="W67" i="172"/>
  <c r="W66" i="172"/>
  <c r="W65" i="172"/>
  <c r="W64" i="172"/>
  <c r="W63" i="172"/>
  <c r="W62" i="172"/>
  <c r="W61" i="172"/>
  <c r="W60" i="172"/>
  <c r="W59" i="172"/>
  <c r="W58" i="172"/>
  <c r="W57" i="172"/>
  <c r="W56" i="172"/>
  <c r="W55" i="172"/>
  <c r="W54" i="172"/>
  <c r="W53" i="172"/>
  <c r="W52" i="172"/>
  <c r="W51" i="172"/>
  <c r="W50" i="172"/>
  <c r="W49" i="172"/>
  <c r="W48" i="172"/>
  <c r="W47" i="172"/>
  <c r="W46" i="172"/>
  <c r="W45" i="172"/>
  <c r="W44" i="172"/>
  <c r="W43" i="172"/>
  <c r="W42" i="172"/>
  <c r="W41" i="172"/>
  <c r="W40" i="172"/>
  <c r="W39" i="172"/>
  <c r="W38" i="172"/>
  <c r="W37" i="172"/>
  <c r="W36" i="172"/>
  <c r="W35" i="172"/>
  <c r="W34" i="172"/>
  <c r="W33" i="172"/>
  <c r="W32" i="172"/>
  <c r="W31" i="172"/>
  <c r="W30" i="172"/>
  <c r="W29" i="172"/>
  <c r="W28" i="172"/>
  <c r="W27" i="172"/>
  <c r="W26" i="172"/>
  <c r="W25" i="172"/>
  <c r="W24" i="172"/>
  <c r="W23" i="172"/>
  <c r="W22" i="172"/>
  <c r="W21" i="172"/>
  <c r="W20" i="172"/>
  <c r="W19" i="172"/>
  <c r="W18" i="172"/>
  <c r="W17" i="172"/>
  <c r="W16" i="172"/>
  <c r="W15" i="172"/>
  <c r="W14" i="172"/>
  <c r="W13" i="172"/>
  <c r="W12" i="172"/>
  <c r="W11" i="172"/>
  <c r="W10" i="172"/>
  <c r="W9" i="172"/>
  <c r="AB9" i="170"/>
  <c r="X16" i="155"/>
  <c r="K19" i="174"/>
  <c r="N19" i="174" s="1"/>
  <c r="T30" i="152"/>
  <c r="T29" i="152"/>
  <c r="I102" i="30"/>
  <c r="P92" i="30"/>
  <c r="P86" i="30"/>
  <c r="M85" i="30"/>
  <c r="M84" i="30"/>
  <c r="M86" i="30"/>
  <c r="F92" i="30"/>
  <c r="K92" i="30" s="1"/>
  <c r="O42" i="29"/>
  <c r="H42" i="29"/>
  <c r="O90" i="174"/>
  <c r="AC84" i="174"/>
  <c r="AD84" i="174" s="1"/>
  <c r="AC83" i="174"/>
  <c r="AD83" i="174" s="1"/>
  <c r="O83" i="174"/>
  <c r="L83" i="174" s="1"/>
  <c r="N83" i="174" s="1"/>
  <c r="AC82" i="174"/>
  <c r="AD82" i="174" s="1"/>
  <c r="O82" i="174"/>
  <c r="L82" i="174"/>
  <c r="N82" i="174" s="1"/>
  <c r="AC81" i="174"/>
  <c r="AD81" i="174" s="1"/>
  <c r="O81" i="174"/>
  <c r="L81" i="174" s="1"/>
  <c r="N81" i="174" s="1"/>
  <c r="AC80" i="174"/>
  <c r="AD80" i="174" s="1"/>
  <c r="O80" i="174"/>
  <c r="L80" i="174"/>
  <c r="N80" i="174" s="1"/>
  <c r="AC79" i="174"/>
  <c r="AD79" i="174" s="1"/>
  <c r="O79" i="174"/>
  <c r="L79" i="174" s="1"/>
  <c r="N79" i="174" s="1"/>
  <c r="AC78" i="174"/>
  <c r="AD78" i="174" s="1"/>
  <c r="O78" i="174"/>
  <c r="L78" i="174"/>
  <c r="N78" i="174" s="1"/>
  <c r="AC77" i="174"/>
  <c r="AD77" i="174" s="1"/>
  <c r="O77" i="174"/>
  <c r="L77" i="174" s="1"/>
  <c r="N77" i="174" s="1"/>
  <c r="AC76" i="174"/>
  <c r="AD76" i="174" s="1"/>
  <c r="O76" i="174"/>
  <c r="L76" i="174"/>
  <c r="N76" i="174" s="1"/>
  <c r="AC75" i="174"/>
  <c r="AD75" i="174" s="1"/>
  <c r="O75" i="174"/>
  <c r="L75" i="174" s="1"/>
  <c r="N75" i="174" s="1"/>
  <c r="AC74" i="174"/>
  <c r="AD74" i="174" s="1"/>
  <c r="O74" i="174"/>
  <c r="L74" i="174"/>
  <c r="N74" i="174" s="1"/>
  <c r="AC73" i="174"/>
  <c r="AD73" i="174" s="1"/>
  <c r="O73" i="174"/>
  <c r="L73" i="174" s="1"/>
  <c r="N73" i="174" s="1"/>
  <c r="AC72" i="174"/>
  <c r="AD72" i="174" s="1"/>
  <c r="O72" i="174"/>
  <c r="L72" i="174"/>
  <c r="N72" i="174" s="1"/>
  <c r="AC71" i="174"/>
  <c r="AD71" i="174" s="1"/>
  <c r="O71" i="174"/>
  <c r="L71" i="174" s="1"/>
  <c r="N71" i="174" s="1"/>
  <c r="AC70" i="174"/>
  <c r="AD70" i="174" s="1"/>
  <c r="O70" i="174"/>
  <c r="L70" i="174" s="1"/>
  <c r="N70" i="174" s="1"/>
  <c r="AC69" i="174"/>
  <c r="AD69" i="174" s="1"/>
  <c r="O69" i="174"/>
  <c r="L69" i="174" s="1"/>
  <c r="N69" i="174" s="1"/>
  <c r="AC68" i="174"/>
  <c r="AD68" i="174" s="1"/>
  <c r="O68" i="174"/>
  <c r="L68" i="174"/>
  <c r="N68" i="174" s="1"/>
  <c r="AC67" i="174"/>
  <c r="AD67" i="174" s="1"/>
  <c r="O67" i="174"/>
  <c r="L67" i="174" s="1"/>
  <c r="N67" i="174" s="1"/>
  <c r="AC66" i="174"/>
  <c r="AD66" i="174" s="1"/>
  <c r="O66" i="174"/>
  <c r="L66" i="174"/>
  <c r="N66" i="174" s="1"/>
  <c r="AC65" i="174"/>
  <c r="AD65" i="174" s="1"/>
  <c r="O65" i="174"/>
  <c r="L65" i="174" s="1"/>
  <c r="N65" i="174" s="1"/>
  <c r="AC64" i="174"/>
  <c r="AD64" i="174" s="1"/>
  <c r="O64" i="174"/>
  <c r="L64" i="174"/>
  <c r="N64" i="174" s="1"/>
  <c r="AC63" i="174"/>
  <c r="AD63" i="174" s="1"/>
  <c r="O63" i="174"/>
  <c r="L63" i="174" s="1"/>
  <c r="N63" i="174" s="1"/>
  <c r="AC62" i="174"/>
  <c r="AD62" i="174" s="1"/>
  <c r="O62" i="174"/>
  <c r="L62" i="174"/>
  <c r="N62" i="174" s="1"/>
  <c r="AC61" i="174"/>
  <c r="AD61" i="174" s="1"/>
  <c r="O61" i="174"/>
  <c r="L61" i="174" s="1"/>
  <c r="N61" i="174" s="1"/>
  <c r="AC60" i="174"/>
  <c r="AD60" i="174" s="1"/>
  <c r="O60" i="174"/>
  <c r="L60" i="174"/>
  <c r="N60" i="174" s="1"/>
  <c r="AC59" i="174"/>
  <c r="AD59" i="174" s="1"/>
  <c r="AE59" i="174" s="1"/>
  <c r="O59" i="174"/>
  <c r="L59" i="174" s="1"/>
  <c r="N59" i="174" s="1"/>
  <c r="AC58" i="174"/>
  <c r="AD58" i="174" s="1"/>
  <c r="O58" i="174"/>
  <c r="L58" i="174"/>
  <c r="N58" i="174" s="1"/>
  <c r="AC57" i="174"/>
  <c r="AD57" i="174" s="1"/>
  <c r="O57" i="174"/>
  <c r="L57" i="174" s="1"/>
  <c r="N57" i="174" s="1"/>
  <c r="AC56" i="174"/>
  <c r="AD56" i="174" s="1"/>
  <c r="O56" i="174"/>
  <c r="L56" i="174"/>
  <c r="N56" i="174" s="1"/>
  <c r="AC55" i="174"/>
  <c r="AD55" i="174" s="1"/>
  <c r="O55" i="174"/>
  <c r="L55" i="174" s="1"/>
  <c r="N55" i="174" s="1"/>
  <c r="AC54" i="174"/>
  <c r="AD54" i="174" s="1"/>
  <c r="O54" i="174"/>
  <c r="L54" i="174"/>
  <c r="N54" i="174" s="1"/>
  <c r="AC53" i="174"/>
  <c r="AD53" i="174" s="1"/>
  <c r="O53" i="174"/>
  <c r="L53" i="174" s="1"/>
  <c r="N53" i="174" s="1"/>
  <c r="AC52" i="174"/>
  <c r="AD52" i="174" s="1"/>
  <c r="O52" i="174"/>
  <c r="L52" i="174"/>
  <c r="N52" i="174" s="1"/>
  <c r="AC51" i="174"/>
  <c r="AD51" i="174" s="1"/>
  <c r="O51" i="174"/>
  <c r="L51" i="174" s="1"/>
  <c r="N51" i="174" s="1"/>
  <c r="AC50" i="174"/>
  <c r="AD50" i="174" s="1"/>
  <c r="O50" i="174"/>
  <c r="L50" i="174"/>
  <c r="N50" i="174" s="1"/>
  <c r="AC49" i="174"/>
  <c r="AD49" i="174" s="1"/>
  <c r="O49" i="174"/>
  <c r="L49" i="174" s="1"/>
  <c r="N49" i="174" s="1"/>
  <c r="AC48" i="174"/>
  <c r="AD48" i="174" s="1"/>
  <c r="O48" i="174"/>
  <c r="L48" i="174"/>
  <c r="N48" i="174" s="1"/>
  <c r="AC47" i="174"/>
  <c r="AD47" i="174" s="1"/>
  <c r="O47" i="174"/>
  <c r="L47" i="174" s="1"/>
  <c r="N47" i="174" s="1"/>
  <c r="AC46" i="174"/>
  <c r="AD46" i="174" s="1"/>
  <c r="O46" i="174"/>
  <c r="L46" i="174" s="1"/>
  <c r="N46" i="174" s="1"/>
  <c r="AC45" i="174"/>
  <c r="AD45" i="174" s="1"/>
  <c r="O45" i="174"/>
  <c r="L45" i="174" s="1"/>
  <c r="N45" i="174" s="1"/>
  <c r="AC44" i="174"/>
  <c r="AD44" i="174" s="1"/>
  <c r="O44" i="174"/>
  <c r="L44" i="174"/>
  <c r="N44" i="174" s="1"/>
  <c r="AC43" i="174"/>
  <c r="AD43" i="174" s="1"/>
  <c r="O43" i="174"/>
  <c r="L43" i="174" s="1"/>
  <c r="N43" i="174" s="1"/>
  <c r="AC42" i="174"/>
  <c r="AD42" i="174" s="1"/>
  <c r="O42" i="174"/>
  <c r="L42" i="174"/>
  <c r="N42" i="174" s="1"/>
  <c r="AC41" i="174"/>
  <c r="AD41" i="174" s="1"/>
  <c r="O41" i="174"/>
  <c r="L41" i="174" s="1"/>
  <c r="N41" i="174" s="1"/>
  <c r="AC40" i="174"/>
  <c r="AD40" i="174" s="1"/>
  <c r="O40" i="174"/>
  <c r="L40" i="174"/>
  <c r="N40" i="174" s="1"/>
  <c r="AC39" i="174"/>
  <c r="AD39" i="174" s="1"/>
  <c r="O39" i="174"/>
  <c r="L39" i="174" s="1"/>
  <c r="N39" i="174" s="1"/>
  <c r="AC38" i="174"/>
  <c r="AD38" i="174" s="1"/>
  <c r="O38" i="174"/>
  <c r="L38" i="174"/>
  <c r="N38" i="174" s="1"/>
  <c r="AC37" i="174"/>
  <c r="AD37" i="174" s="1"/>
  <c r="O37" i="174"/>
  <c r="L37" i="174" s="1"/>
  <c r="N37" i="174" s="1"/>
  <c r="AC36" i="174"/>
  <c r="AD36" i="174" s="1"/>
  <c r="O36" i="174"/>
  <c r="L36" i="174"/>
  <c r="N36" i="174" s="1"/>
  <c r="AC35" i="174"/>
  <c r="AD35" i="174" s="1"/>
  <c r="O35" i="174"/>
  <c r="L35" i="174" s="1"/>
  <c r="N35" i="174" s="1"/>
  <c r="AC34" i="174"/>
  <c r="AD34" i="174" s="1"/>
  <c r="O34" i="174"/>
  <c r="L34" i="174"/>
  <c r="N34" i="174" s="1"/>
  <c r="AC33" i="174"/>
  <c r="AD33" i="174" s="1"/>
  <c r="O33" i="174"/>
  <c r="L33" i="174" s="1"/>
  <c r="N33" i="174" s="1"/>
  <c r="AC32" i="174"/>
  <c r="AD32" i="174" s="1"/>
  <c r="O32" i="174"/>
  <c r="L32" i="174"/>
  <c r="N32" i="174" s="1"/>
  <c r="AC31" i="174"/>
  <c r="AD31" i="174" s="1"/>
  <c r="O31" i="174"/>
  <c r="L31" i="174" s="1"/>
  <c r="N31" i="174" s="1"/>
  <c r="AC30" i="174"/>
  <c r="AD30" i="174" s="1"/>
  <c r="O30" i="174"/>
  <c r="L30" i="174"/>
  <c r="N30" i="174" s="1"/>
  <c r="AC29" i="174"/>
  <c r="AD29" i="174" s="1"/>
  <c r="O29" i="174"/>
  <c r="L29" i="174" s="1"/>
  <c r="N29" i="174" s="1"/>
  <c r="AC28" i="174"/>
  <c r="AD28" i="174" s="1"/>
  <c r="O28" i="174"/>
  <c r="L28" i="174"/>
  <c r="N28" i="174" s="1"/>
  <c r="AC27" i="174"/>
  <c r="AD27" i="174" s="1"/>
  <c r="O27" i="174"/>
  <c r="L27" i="174" s="1"/>
  <c r="N27" i="174" s="1"/>
  <c r="AC26" i="174"/>
  <c r="AD26" i="174" s="1"/>
  <c r="O26" i="174"/>
  <c r="L26" i="174"/>
  <c r="N26" i="174" s="1"/>
  <c r="AC25" i="174"/>
  <c r="AD25" i="174" s="1"/>
  <c r="O25" i="174"/>
  <c r="L25" i="174" s="1"/>
  <c r="N25" i="174" s="1"/>
  <c r="O19" i="174"/>
  <c r="O16" i="174"/>
  <c r="O13" i="174"/>
  <c r="R11" i="174"/>
  <c r="K11" i="174" s="1"/>
  <c r="N11" i="174" s="1"/>
  <c r="O11" i="174"/>
  <c r="O9" i="174"/>
  <c r="O7" i="174"/>
  <c r="L46" i="42"/>
  <c r="T46" i="42" s="1"/>
  <c r="K46" i="42"/>
  <c r="X46" i="42" s="1"/>
  <c r="W46" i="42"/>
  <c r="V46" i="42"/>
  <c r="O46" i="42"/>
  <c r="P3" i="173"/>
  <c r="Q3" i="173"/>
  <c r="O3" i="173"/>
  <c r="N4" i="173"/>
  <c r="L39" i="173" s="1"/>
  <c r="H39" i="173" s="1"/>
  <c r="K39" i="173" s="1"/>
  <c r="A54" i="173"/>
  <c r="L53" i="173"/>
  <c r="L51" i="173"/>
  <c r="L49" i="173"/>
  <c r="O48" i="173"/>
  <c r="N48" i="173"/>
  <c r="L47" i="173"/>
  <c r="G45" i="173"/>
  <c r="I52" i="70" s="1"/>
  <c r="R11" i="173" a="1"/>
  <c r="L8" i="173"/>
  <c r="T2" i="173"/>
  <c r="N1" i="173"/>
  <c r="T31" i="152" l="1"/>
  <c r="N3" i="173"/>
  <c r="N2" i="173" s="1"/>
  <c r="Q65" i="112"/>
  <c r="K65" i="112" s="1"/>
  <c r="L65" i="112" s="1"/>
  <c r="Q64" i="112"/>
  <c r="K64" i="112" s="1"/>
  <c r="L64" i="112" s="1"/>
  <c r="H41" i="176"/>
  <c r="O41" i="176" s="1"/>
  <c r="H37" i="176"/>
  <c r="L37" i="176" s="1"/>
  <c r="H35" i="176"/>
  <c r="L35" i="176" s="1"/>
  <c r="H12" i="176"/>
  <c r="L12" i="176" s="1"/>
  <c r="H27" i="176"/>
  <c r="L27" i="176" s="1"/>
  <c r="H21" i="176"/>
  <c r="L21" i="176" s="1"/>
  <c r="H47" i="176"/>
  <c r="L47" i="176" s="1"/>
  <c r="H6" i="176"/>
  <c r="L6" i="176" s="1"/>
  <c r="H313" i="176"/>
  <c r="L313" i="176" s="1"/>
  <c r="H145" i="176"/>
  <c r="L145" i="176" s="1"/>
  <c r="L61" i="176"/>
  <c r="L157" i="176"/>
  <c r="L141" i="176"/>
  <c r="L149" i="176"/>
  <c r="L69" i="176"/>
  <c r="L73" i="176"/>
  <c r="L77" i="176"/>
  <c r="L81" i="176"/>
  <c r="L85" i="176"/>
  <c r="L89" i="176"/>
  <c r="L93" i="176"/>
  <c r="L97" i="176"/>
  <c r="L101" i="176"/>
  <c r="L105" i="176"/>
  <c r="L109" i="176"/>
  <c r="L113" i="176"/>
  <c r="H71" i="176"/>
  <c r="L71" i="176" s="1"/>
  <c r="H75" i="176"/>
  <c r="L75" i="176" s="1"/>
  <c r="H83" i="176"/>
  <c r="L83" i="176" s="1"/>
  <c r="H87" i="176"/>
  <c r="L87" i="176" s="1"/>
  <c r="H99" i="176"/>
  <c r="L99" i="176" s="1"/>
  <c r="H103" i="176"/>
  <c r="L103" i="176" s="1"/>
  <c r="H107" i="176"/>
  <c r="L107" i="176" s="1"/>
  <c r="H115" i="176"/>
  <c r="L115" i="176" s="1"/>
  <c r="L67" i="176"/>
  <c r="L79" i="176"/>
  <c r="L95" i="176"/>
  <c r="L111" i="176"/>
  <c r="H59" i="176"/>
  <c r="L59" i="176" s="1"/>
  <c r="L66" i="176"/>
  <c r="L70" i="176"/>
  <c r="L74" i="176"/>
  <c r="L78" i="176"/>
  <c r="L82" i="176"/>
  <c r="L86" i="176"/>
  <c r="L90" i="176"/>
  <c r="L94" i="176"/>
  <c r="L98" i="176"/>
  <c r="L102" i="176"/>
  <c r="L106" i="176"/>
  <c r="L110" i="176"/>
  <c r="L114" i="176"/>
  <c r="L121" i="176"/>
  <c r="L125" i="176"/>
  <c r="L129" i="176"/>
  <c r="L133" i="176"/>
  <c r="H302" i="176"/>
  <c r="L302" i="176" s="1"/>
  <c r="H64" i="176"/>
  <c r="L64" i="176" s="1"/>
  <c r="H124" i="176"/>
  <c r="L124" i="176" s="1"/>
  <c r="H128" i="176"/>
  <c r="L128" i="176" s="1"/>
  <c r="H132" i="176"/>
  <c r="L132" i="176" s="1"/>
  <c r="H136" i="176"/>
  <c r="L136" i="176" s="1"/>
  <c r="L118" i="176"/>
  <c r="L122" i="176"/>
  <c r="L126" i="176"/>
  <c r="L130" i="176"/>
  <c r="L134" i="176"/>
  <c r="L138" i="176"/>
  <c r="L142" i="176"/>
  <c r="L146" i="176"/>
  <c r="L150" i="176"/>
  <c r="L62" i="176"/>
  <c r="L154" i="176"/>
  <c r="L158" i="176"/>
  <c r="L139" i="176"/>
  <c r="L143" i="176"/>
  <c r="L147" i="176"/>
  <c r="L151" i="176"/>
  <c r="L91" i="176"/>
  <c r="L68" i="176"/>
  <c r="L76" i="176"/>
  <c r="L84" i="176"/>
  <c r="L88" i="176"/>
  <c r="L92" i="176"/>
  <c r="L96" i="176"/>
  <c r="L100" i="176"/>
  <c r="L104" i="176"/>
  <c r="L108" i="176"/>
  <c r="L112" i="176"/>
  <c r="L116" i="176"/>
  <c r="L119" i="176"/>
  <c r="L144" i="176"/>
  <c r="L148" i="176"/>
  <c r="L152" i="176"/>
  <c r="L155" i="176"/>
  <c r="L72" i="176"/>
  <c r="L63" i="176"/>
  <c r="L123" i="176"/>
  <c r="L127" i="176"/>
  <c r="L131" i="176"/>
  <c r="L135" i="176"/>
  <c r="L60" i="176"/>
  <c r="H45" i="176"/>
  <c r="O45" i="176" s="1"/>
  <c r="H39" i="176"/>
  <c r="O39" i="176" s="1"/>
  <c r="G49" i="176"/>
  <c r="H49" i="176" s="1"/>
  <c r="L49" i="176" s="1"/>
  <c r="M4" i="176"/>
  <c r="Y42" i="172"/>
  <c r="Y47" i="172"/>
  <c r="Y10" i="172"/>
  <c r="Y66" i="172"/>
  <c r="Y27" i="172"/>
  <c r="Y75" i="172"/>
  <c r="Y55" i="172"/>
  <c r="Y23" i="172"/>
  <c r="Y58" i="172"/>
  <c r="Y35" i="172"/>
  <c r="Y67" i="172"/>
  <c r="Y74" i="172"/>
  <c r="Y63" i="172"/>
  <c r="Y51" i="172"/>
  <c r="Y39" i="172"/>
  <c r="Y19" i="172"/>
  <c r="Y71" i="172"/>
  <c r="Y59" i="172"/>
  <c r="Y50" i="172"/>
  <c r="Y12" i="172"/>
  <c r="Y11" i="172"/>
  <c r="Y16" i="172"/>
  <c r="Y20" i="172"/>
  <c r="Y24" i="172"/>
  <c r="Y28" i="172"/>
  <c r="Y32" i="172"/>
  <c r="Y36" i="172"/>
  <c r="Y40" i="172"/>
  <c r="Y44" i="172"/>
  <c r="Y48" i="172"/>
  <c r="Y52" i="172"/>
  <c r="Y56" i="172"/>
  <c r="Y60" i="172"/>
  <c r="Y64" i="172"/>
  <c r="Y68" i="172"/>
  <c r="Y72" i="172"/>
  <c r="Y76" i="172"/>
  <c r="Y13" i="172"/>
  <c r="Y17" i="172"/>
  <c r="Y21" i="172"/>
  <c r="Y25" i="172"/>
  <c r="Y29" i="172"/>
  <c r="Y33" i="172"/>
  <c r="Y37" i="172"/>
  <c r="Y41" i="172"/>
  <c r="Y45" i="172"/>
  <c r="Y49" i="172"/>
  <c r="Y53" i="172"/>
  <c r="Y57" i="172"/>
  <c r="Y61" i="172"/>
  <c r="Y65" i="172"/>
  <c r="Y69" i="172"/>
  <c r="Y73" i="172"/>
  <c r="Y77" i="172"/>
  <c r="Y14" i="172"/>
  <c r="Y22" i="172"/>
  <c r="Y26" i="172"/>
  <c r="Y30" i="172"/>
  <c r="Y34" i="172"/>
  <c r="Y38" i="172"/>
  <c r="Y18" i="172"/>
  <c r="Y46" i="172"/>
  <c r="Y78" i="172"/>
  <c r="Y70" i="172"/>
  <c r="Y62" i="172"/>
  <c r="Y54" i="172"/>
  <c r="Y43" i="172"/>
  <c r="Y31" i="172"/>
  <c r="Y15" i="172"/>
  <c r="L13" i="173"/>
  <c r="H13" i="173" s="1"/>
  <c r="K13" i="173" s="1"/>
  <c r="K7" i="174"/>
  <c r="N7" i="174" s="1"/>
  <c r="Y46" i="42"/>
  <c r="U46" i="42"/>
  <c r="K9" i="174"/>
  <c r="N9" i="174" s="1"/>
  <c r="L43" i="173"/>
  <c r="H43" i="173" s="1"/>
  <c r="K43" i="173" s="1"/>
  <c r="L41" i="173"/>
  <c r="H41" i="173" s="1"/>
  <c r="K41" i="173" s="1"/>
  <c r="L27" i="173"/>
  <c r="H27" i="173" s="1"/>
  <c r="K27" i="173" s="1"/>
  <c r="AG30" i="174"/>
  <c r="AF30" i="174"/>
  <c r="AG36" i="174"/>
  <c r="AF36" i="174"/>
  <c r="AG42" i="174"/>
  <c r="AF42" i="174"/>
  <c r="AG52" i="174"/>
  <c r="AF52" i="174"/>
  <c r="AG58" i="174"/>
  <c r="AF58" i="174"/>
  <c r="AG27" i="174"/>
  <c r="AF27" i="174"/>
  <c r="AG31" i="174"/>
  <c r="AF31" i="174"/>
  <c r="AG35" i="174"/>
  <c r="AF35" i="174"/>
  <c r="AG39" i="174"/>
  <c r="AF39" i="174"/>
  <c r="AG41" i="174"/>
  <c r="AF41" i="174"/>
  <c r="AG45" i="174"/>
  <c r="AF45" i="174"/>
  <c r="AG49" i="174"/>
  <c r="AF49" i="174"/>
  <c r="AG53" i="174"/>
  <c r="AF53" i="174"/>
  <c r="AG55" i="174"/>
  <c r="AF55" i="174"/>
  <c r="AG59" i="174"/>
  <c r="AF59" i="174"/>
  <c r="AG61" i="174"/>
  <c r="AE61" i="174"/>
  <c r="AF61" i="174"/>
  <c r="AG62" i="174"/>
  <c r="AF62" i="174"/>
  <c r="AG32" i="174"/>
  <c r="AF32" i="174"/>
  <c r="AG38" i="174"/>
  <c r="AF38" i="174"/>
  <c r="AG44" i="174"/>
  <c r="AF44" i="174"/>
  <c r="AG50" i="174"/>
  <c r="AF50" i="174"/>
  <c r="AG56" i="174"/>
  <c r="AF56" i="174"/>
  <c r="AF25" i="174"/>
  <c r="AG29" i="174"/>
  <c r="AF29" i="174"/>
  <c r="AG33" i="174"/>
  <c r="AF33" i="174"/>
  <c r="AG37" i="174"/>
  <c r="AF37" i="174"/>
  <c r="AG43" i="174"/>
  <c r="AF43" i="174"/>
  <c r="AG47" i="174"/>
  <c r="AF47" i="174"/>
  <c r="AG51" i="174"/>
  <c r="AF51" i="174"/>
  <c r="AG57" i="174"/>
  <c r="AF57" i="174"/>
  <c r="O4" i="174"/>
  <c r="B5" i="174" s="1"/>
  <c r="AE25" i="174"/>
  <c r="AG25" i="174" s="1"/>
  <c r="AE27" i="174"/>
  <c r="AE29" i="174"/>
  <c r="AE31" i="174"/>
  <c r="AE33" i="174"/>
  <c r="AE35" i="174"/>
  <c r="AE37" i="174"/>
  <c r="AE39" i="174"/>
  <c r="AE41" i="174"/>
  <c r="AE43" i="174"/>
  <c r="AE45" i="174"/>
  <c r="AE47" i="174"/>
  <c r="AE49" i="174"/>
  <c r="AE51" i="174"/>
  <c r="AE53" i="174"/>
  <c r="AE55" i="174"/>
  <c r="AE57" i="174"/>
  <c r="AE62" i="174"/>
  <c r="AG63" i="174"/>
  <c r="AF63" i="174"/>
  <c r="AE63" i="174"/>
  <c r="AG64" i="174"/>
  <c r="AF64" i="174"/>
  <c r="AE64" i="174"/>
  <c r="AG65" i="174"/>
  <c r="AE65" i="174"/>
  <c r="AF65" i="174"/>
  <c r="AG66" i="174"/>
  <c r="AF66" i="174"/>
  <c r="AE66" i="174"/>
  <c r="AG67" i="174"/>
  <c r="AE67" i="174"/>
  <c r="AF67" i="174"/>
  <c r="AG68" i="174"/>
  <c r="AE68" i="174"/>
  <c r="AF68" i="174"/>
  <c r="AG69" i="174"/>
  <c r="AF69" i="174"/>
  <c r="AE69" i="174"/>
  <c r="AG70" i="174"/>
  <c r="AF70" i="174"/>
  <c r="AE70" i="174"/>
  <c r="AG71" i="174"/>
  <c r="AE71" i="174"/>
  <c r="AF71" i="174"/>
  <c r="AG72" i="174"/>
  <c r="AE72" i="174"/>
  <c r="AF72" i="174"/>
  <c r="AG73" i="174"/>
  <c r="AF73" i="174"/>
  <c r="AE73" i="174"/>
  <c r="AG74" i="174"/>
  <c r="AE74" i="174"/>
  <c r="AF74" i="174"/>
  <c r="AG75" i="174"/>
  <c r="AE75" i="174"/>
  <c r="AF75" i="174"/>
  <c r="AG76" i="174"/>
  <c r="AF76" i="174"/>
  <c r="AE76" i="174"/>
  <c r="AG77" i="174"/>
  <c r="AE77" i="174"/>
  <c r="AF77" i="174"/>
  <c r="AG78" i="174"/>
  <c r="AE78" i="174"/>
  <c r="AF78" i="174"/>
  <c r="AG79" i="174"/>
  <c r="AF79" i="174"/>
  <c r="AE79" i="174"/>
  <c r="AG80" i="174"/>
  <c r="AF80" i="174"/>
  <c r="AE80" i="174"/>
  <c r="AG81" i="174"/>
  <c r="AF81" i="174"/>
  <c r="AE81" i="174"/>
  <c r="AG82" i="174"/>
  <c r="AE82" i="174"/>
  <c r="AF82" i="174"/>
  <c r="AG83" i="174"/>
  <c r="AF83" i="174"/>
  <c r="AE83" i="174"/>
  <c r="AF84" i="174"/>
  <c r="AE84" i="174"/>
  <c r="AG26" i="174"/>
  <c r="AF26" i="174"/>
  <c r="AG28" i="174"/>
  <c r="AF28" i="174"/>
  <c r="AG34" i="174"/>
  <c r="AF34" i="174"/>
  <c r="AG40" i="174"/>
  <c r="AF40" i="174"/>
  <c r="AG46" i="174"/>
  <c r="AF46" i="174"/>
  <c r="AG48" i="174"/>
  <c r="AF48" i="174"/>
  <c r="AG54" i="174"/>
  <c r="AF54" i="174"/>
  <c r="AG60" i="174"/>
  <c r="AF60" i="174"/>
  <c r="K13" i="174"/>
  <c r="N13" i="174" s="1"/>
  <c r="K16" i="174"/>
  <c r="N16" i="174" s="1"/>
  <c r="AE26" i="174"/>
  <c r="AE28" i="174"/>
  <c r="AE30" i="174"/>
  <c r="AE32" i="174"/>
  <c r="AE34" i="174"/>
  <c r="AE36" i="174"/>
  <c r="AE38" i="174"/>
  <c r="AE40" i="174"/>
  <c r="AE42" i="174"/>
  <c r="AE44" i="174"/>
  <c r="AE46" i="174"/>
  <c r="AE48" i="174"/>
  <c r="AE50" i="174"/>
  <c r="AE52" i="174"/>
  <c r="AE54" i="174"/>
  <c r="AE56" i="174"/>
  <c r="AE58" i="174"/>
  <c r="AE60" i="174"/>
  <c r="AG84" i="174"/>
  <c r="L15" i="173"/>
  <c r="H15" i="173" s="1"/>
  <c r="K15" i="173" s="1"/>
  <c r="L31" i="173"/>
  <c r="H31" i="173" s="1"/>
  <c r="K31" i="173" s="1"/>
  <c r="L11" i="173"/>
  <c r="H11" i="173" s="1"/>
  <c r="K11" i="173" s="1"/>
  <c r="L19" i="173"/>
  <c r="H19" i="173" s="1"/>
  <c r="K19" i="173" s="1"/>
  <c r="L35" i="173"/>
  <c r="H35" i="173" s="1"/>
  <c r="K35" i="173" s="1"/>
  <c r="L23" i="173"/>
  <c r="H23" i="173" s="1"/>
  <c r="K23" i="173" s="1"/>
  <c r="R11" i="173"/>
  <c r="S11" i="173" s="1"/>
  <c r="T11" i="173" s="1"/>
  <c r="S13" i="173"/>
  <c r="T13" i="173" s="1"/>
  <c r="L12" i="173"/>
  <c r="L16" i="173"/>
  <c r="H16" i="173" s="1"/>
  <c r="K16" i="173" s="1"/>
  <c r="L20" i="173"/>
  <c r="H20" i="173" s="1"/>
  <c r="K20" i="173" s="1"/>
  <c r="L24" i="173"/>
  <c r="H24" i="173" s="1"/>
  <c r="K24" i="173" s="1"/>
  <c r="L28" i="173"/>
  <c r="H28" i="173" s="1"/>
  <c r="K28" i="173" s="1"/>
  <c r="L32" i="173"/>
  <c r="H32" i="173" s="1"/>
  <c r="K32" i="173" s="1"/>
  <c r="L36" i="173"/>
  <c r="H36" i="173" s="1"/>
  <c r="K36" i="173" s="1"/>
  <c r="L40" i="173"/>
  <c r="H40" i="173" s="1"/>
  <c r="K40" i="173" s="1"/>
  <c r="L44" i="173"/>
  <c r="H44" i="173" s="1"/>
  <c r="K44" i="173" s="1"/>
  <c r="S12" i="173"/>
  <c r="T12" i="173" s="1"/>
  <c r="L14" i="173"/>
  <c r="H14" i="173" s="1"/>
  <c r="K14" i="173" s="1"/>
  <c r="L18" i="173"/>
  <c r="H18" i="173" s="1"/>
  <c r="K18" i="173" s="1"/>
  <c r="L22" i="173"/>
  <c r="H22" i="173" s="1"/>
  <c r="K22" i="173" s="1"/>
  <c r="L26" i="173"/>
  <c r="H26" i="173" s="1"/>
  <c r="K26" i="173" s="1"/>
  <c r="L30" i="173"/>
  <c r="H30" i="173" s="1"/>
  <c r="K30" i="173" s="1"/>
  <c r="L34" i="173"/>
  <c r="H34" i="173" s="1"/>
  <c r="K34" i="173" s="1"/>
  <c r="L38" i="173"/>
  <c r="H38" i="173" s="1"/>
  <c r="K38" i="173" s="1"/>
  <c r="L42" i="173"/>
  <c r="H42" i="173" s="1"/>
  <c r="K42" i="173" s="1"/>
  <c r="L17" i="173"/>
  <c r="H17" i="173" s="1"/>
  <c r="K17" i="173" s="1"/>
  <c r="L21" i="173"/>
  <c r="H21" i="173" s="1"/>
  <c r="K21" i="173" s="1"/>
  <c r="L25" i="173"/>
  <c r="H25" i="173" s="1"/>
  <c r="K25" i="173" s="1"/>
  <c r="L29" i="173"/>
  <c r="H29" i="173" s="1"/>
  <c r="K29" i="173" s="1"/>
  <c r="L33" i="173"/>
  <c r="H33" i="173" s="1"/>
  <c r="K33" i="173" s="1"/>
  <c r="L37" i="173"/>
  <c r="H37" i="173" s="1"/>
  <c r="K37" i="173" s="1"/>
  <c r="F322" i="176" l="1"/>
  <c r="L322" i="176" s="1"/>
  <c r="B5" i="176"/>
  <c r="L5" i="176" s="1"/>
  <c r="N5" i="174"/>
  <c r="L45" i="176"/>
  <c r="O325" i="176"/>
  <c r="L41" i="176"/>
  <c r="L39" i="176"/>
  <c r="G90" i="174"/>
  <c r="N90" i="174" s="1"/>
  <c r="AG85" i="174"/>
  <c r="AG88" i="174"/>
  <c r="H87" i="174" s="1"/>
  <c r="P85" i="30" s="1"/>
  <c r="AG87" i="174"/>
  <c r="H12" i="173"/>
  <c r="K12" i="173" s="1"/>
  <c r="L7" i="173"/>
  <c r="T9" i="173"/>
  <c r="G48" i="173" s="1"/>
  <c r="L4" i="176" l="1"/>
  <c r="G145" i="2"/>
  <c r="N4" i="174"/>
  <c r="P97" i="174" s="1"/>
  <c r="E144" i="2" s="1"/>
  <c r="C144" i="2" s="1"/>
  <c r="AG89" i="174"/>
  <c r="H85" i="174"/>
  <c r="H51" i="173"/>
  <c r="K51" i="173" s="1"/>
  <c r="F8" i="173"/>
  <c r="K8" i="173" s="1"/>
  <c r="H47" i="173"/>
  <c r="K47" i="173" s="1"/>
  <c r="F53" i="173"/>
  <c r="K53" i="173" s="1"/>
  <c r="H49" i="173"/>
  <c r="K49" i="173" s="1"/>
  <c r="L325" i="176" l="1"/>
  <c r="E145" i="2" s="1"/>
  <c r="C145" i="2" s="1"/>
  <c r="AD27" i="77"/>
  <c r="AF27" i="77"/>
  <c r="U27" i="77" s="1"/>
  <c r="AE27" i="77"/>
  <c r="S27" i="77" s="1"/>
  <c r="K7" i="173"/>
  <c r="N54" i="173" s="1"/>
  <c r="E143" i="2" s="1"/>
  <c r="C143" i="2" s="1"/>
  <c r="AC27" i="77" l="1"/>
  <c r="O27" i="77" s="1"/>
  <c r="G32" i="84" s="1"/>
  <c r="Q27" i="77"/>
  <c r="W45" i="42"/>
  <c r="V45" i="42"/>
  <c r="O45" i="42"/>
  <c r="L45" i="42"/>
  <c r="Y45" i="42" s="1"/>
  <c r="T85" i="172"/>
  <c r="U85" i="172" s="1"/>
  <c r="T84" i="172"/>
  <c r="T80" i="172"/>
  <c r="U80" i="172" s="1"/>
  <c r="T77" i="172"/>
  <c r="U77" i="172" s="1"/>
  <c r="T76" i="172"/>
  <c r="U76" i="172" s="1"/>
  <c r="T73" i="172"/>
  <c r="T64" i="172"/>
  <c r="T61" i="172"/>
  <c r="T60" i="172"/>
  <c r="T56" i="172"/>
  <c r="U56" i="172" s="1"/>
  <c r="T53" i="172"/>
  <c r="U53" i="172" s="1"/>
  <c r="T52" i="172"/>
  <c r="U52" i="172" s="1"/>
  <c r="T49" i="172"/>
  <c r="T40" i="172"/>
  <c r="T37" i="172"/>
  <c r="T36" i="172"/>
  <c r="T32" i="172"/>
  <c r="U32" i="172" s="1"/>
  <c r="T29" i="172"/>
  <c r="U29" i="172" s="1"/>
  <c r="T28" i="172"/>
  <c r="U28" i="172" s="1"/>
  <c r="T25" i="172"/>
  <c r="T16" i="172"/>
  <c r="T13" i="172"/>
  <c r="T12" i="172"/>
  <c r="S87" i="172"/>
  <c r="T87" i="172" s="1"/>
  <c r="S88" i="172"/>
  <c r="T88" i="172" s="1"/>
  <c r="S10" i="172"/>
  <c r="T10" i="172" s="1"/>
  <c r="U10" i="172" s="1"/>
  <c r="S11" i="172"/>
  <c r="T11" i="172" s="1"/>
  <c r="S12" i="172"/>
  <c r="S13" i="172"/>
  <c r="S14" i="172"/>
  <c r="T14" i="172" s="1"/>
  <c r="S15" i="172"/>
  <c r="T15" i="172" s="1"/>
  <c r="S16" i="172"/>
  <c r="S17" i="172"/>
  <c r="T17" i="172" s="1"/>
  <c r="U17" i="172" s="1"/>
  <c r="S18" i="172"/>
  <c r="T18" i="172" s="1"/>
  <c r="S19" i="172"/>
  <c r="T19" i="172" s="1"/>
  <c r="S20" i="172"/>
  <c r="T20" i="172" s="1"/>
  <c r="U20" i="172" s="1"/>
  <c r="S21" i="172"/>
  <c r="T21" i="172" s="1"/>
  <c r="U21" i="172" s="1"/>
  <c r="S22" i="172"/>
  <c r="T22" i="172" s="1"/>
  <c r="U22" i="172" s="1"/>
  <c r="S23" i="172"/>
  <c r="T23" i="172" s="1"/>
  <c r="U23" i="172" s="1"/>
  <c r="S24" i="172"/>
  <c r="T24" i="172" s="1"/>
  <c r="U24" i="172" s="1"/>
  <c r="S25" i="172"/>
  <c r="S26" i="172"/>
  <c r="T26" i="172" s="1"/>
  <c r="S27" i="172"/>
  <c r="T27" i="172" s="1"/>
  <c r="S28" i="172"/>
  <c r="S29" i="172"/>
  <c r="S30" i="172"/>
  <c r="T30" i="172" s="1"/>
  <c r="S31" i="172"/>
  <c r="T31" i="172" s="1"/>
  <c r="S32" i="172"/>
  <c r="S33" i="172"/>
  <c r="T33" i="172" s="1"/>
  <c r="U33" i="172" s="1"/>
  <c r="S34" i="172"/>
  <c r="T34" i="172" s="1"/>
  <c r="U34" i="172" s="1"/>
  <c r="S35" i="172"/>
  <c r="T35" i="172" s="1"/>
  <c r="U35" i="172" s="1"/>
  <c r="S36" i="172"/>
  <c r="S37" i="172"/>
  <c r="S38" i="172"/>
  <c r="T38" i="172" s="1"/>
  <c r="S39" i="172"/>
  <c r="T39" i="172" s="1"/>
  <c r="S40" i="172"/>
  <c r="S41" i="172"/>
  <c r="T41" i="172" s="1"/>
  <c r="U41" i="172" s="1"/>
  <c r="S42" i="172"/>
  <c r="T42" i="172" s="1"/>
  <c r="S43" i="172"/>
  <c r="T43" i="172" s="1"/>
  <c r="S44" i="172"/>
  <c r="T44" i="172" s="1"/>
  <c r="U44" i="172" s="1"/>
  <c r="S45" i="172"/>
  <c r="T45" i="172" s="1"/>
  <c r="U45" i="172" s="1"/>
  <c r="S46" i="172"/>
  <c r="T46" i="172" s="1"/>
  <c r="U46" i="172" s="1"/>
  <c r="S47" i="172"/>
  <c r="T47" i="172" s="1"/>
  <c r="U47" i="172" s="1"/>
  <c r="S48" i="172"/>
  <c r="T48" i="172" s="1"/>
  <c r="U48" i="172" s="1"/>
  <c r="S49" i="172"/>
  <c r="S50" i="172"/>
  <c r="T50" i="172" s="1"/>
  <c r="S51" i="172"/>
  <c r="T51" i="172" s="1"/>
  <c r="S52" i="172"/>
  <c r="S53" i="172"/>
  <c r="S54" i="172"/>
  <c r="T54" i="172" s="1"/>
  <c r="S55" i="172"/>
  <c r="T55" i="172" s="1"/>
  <c r="S56" i="172"/>
  <c r="S57" i="172"/>
  <c r="T57" i="172" s="1"/>
  <c r="U57" i="172" s="1"/>
  <c r="S58" i="172"/>
  <c r="T58" i="172" s="1"/>
  <c r="U58" i="172" s="1"/>
  <c r="S59" i="172"/>
  <c r="T59" i="172" s="1"/>
  <c r="U59" i="172" s="1"/>
  <c r="S60" i="172"/>
  <c r="S61" i="172"/>
  <c r="S62" i="172"/>
  <c r="T62" i="172" s="1"/>
  <c r="S63" i="172"/>
  <c r="T63" i="172" s="1"/>
  <c r="S64" i="172"/>
  <c r="S65" i="172"/>
  <c r="T65" i="172" s="1"/>
  <c r="U65" i="172" s="1"/>
  <c r="S66" i="172"/>
  <c r="T66" i="172" s="1"/>
  <c r="S67" i="172"/>
  <c r="T67" i="172" s="1"/>
  <c r="S68" i="172"/>
  <c r="T68" i="172" s="1"/>
  <c r="U68" i="172" s="1"/>
  <c r="S69" i="172"/>
  <c r="T69" i="172" s="1"/>
  <c r="U69" i="172" s="1"/>
  <c r="S70" i="172"/>
  <c r="T70" i="172" s="1"/>
  <c r="U70" i="172" s="1"/>
  <c r="S71" i="172"/>
  <c r="T71" i="172" s="1"/>
  <c r="U71" i="172" s="1"/>
  <c r="S72" i="172"/>
  <c r="T72" i="172" s="1"/>
  <c r="U72" i="172" s="1"/>
  <c r="S73" i="172"/>
  <c r="S74" i="172"/>
  <c r="T74" i="172" s="1"/>
  <c r="S75" i="172"/>
  <c r="T75" i="172" s="1"/>
  <c r="S76" i="172"/>
  <c r="S77" i="172"/>
  <c r="S78" i="172"/>
  <c r="T78" i="172" s="1"/>
  <c r="S79" i="172"/>
  <c r="T79" i="172" s="1"/>
  <c r="S80" i="172"/>
  <c r="S81" i="172"/>
  <c r="T81" i="172" s="1"/>
  <c r="U81" i="172" s="1"/>
  <c r="S82" i="172"/>
  <c r="T82" i="172" s="1"/>
  <c r="U82" i="172" s="1"/>
  <c r="S83" i="172"/>
  <c r="T83" i="172" s="1"/>
  <c r="U83" i="172" s="1"/>
  <c r="S84" i="172"/>
  <c r="S85" i="172"/>
  <c r="S86" i="172"/>
  <c r="T86" i="172" s="1"/>
  <c r="S9" i="172"/>
  <c r="T9" i="172" s="1"/>
  <c r="O1" i="172"/>
  <c r="I82" i="172" s="1"/>
  <c r="K45" i="42" s="1"/>
  <c r="X45" i="42" s="1"/>
  <c r="N87" i="172"/>
  <c r="N85" i="172"/>
  <c r="R81" i="172"/>
  <c r="Q80" i="172" s="1"/>
  <c r="G80" i="172"/>
  <c r="E79" i="172"/>
  <c r="J78" i="172"/>
  <c r="H78" i="172"/>
  <c r="H77" i="172"/>
  <c r="J77" i="172" s="1"/>
  <c r="H76" i="172"/>
  <c r="J76" i="172" s="1"/>
  <c r="H75" i="172"/>
  <c r="J75" i="172" s="1"/>
  <c r="H74" i="172"/>
  <c r="J74" i="172" s="1"/>
  <c r="H73" i="172"/>
  <c r="J73" i="172" s="1"/>
  <c r="H72" i="172"/>
  <c r="J72" i="172" s="1"/>
  <c r="H71" i="172"/>
  <c r="J71" i="172" s="1"/>
  <c r="H70" i="172"/>
  <c r="J70" i="172" s="1"/>
  <c r="H69" i="172"/>
  <c r="J69" i="172" s="1"/>
  <c r="H68" i="172"/>
  <c r="J68" i="172" s="1"/>
  <c r="H67" i="172"/>
  <c r="J67" i="172" s="1"/>
  <c r="H66" i="172"/>
  <c r="J66" i="172" s="1"/>
  <c r="H65" i="172"/>
  <c r="J65" i="172" s="1"/>
  <c r="H64" i="172"/>
  <c r="J64" i="172" s="1"/>
  <c r="H63" i="172"/>
  <c r="J63" i="172" s="1"/>
  <c r="H62" i="172"/>
  <c r="J62" i="172" s="1"/>
  <c r="H61" i="172"/>
  <c r="J61" i="172" s="1"/>
  <c r="H60" i="172"/>
  <c r="J60" i="172" s="1"/>
  <c r="H59" i="172"/>
  <c r="J59" i="172" s="1"/>
  <c r="H58" i="172"/>
  <c r="J58" i="172" s="1"/>
  <c r="H57" i="172"/>
  <c r="J57" i="172" s="1"/>
  <c r="H56" i="172"/>
  <c r="J56" i="172" s="1"/>
  <c r="H55" i="172"/>
  <c r="J55" i="172" s="1"/>
  <c r="H54" i="172"/>
  <c r="J54" i="172" s="1"/>
  <c r="H53" i="172"/>
  <c r="J53" i="172" s="1"/>
  <c r="H52" i="172"/>
  <c r="J52" i="172" s="1"/>
  <c r="H51" i="172"/>
  <c r="J51" i="172" s="1"/>
  <c r="H50" i="172"/>
  <c r="J50" i="172" s="1"/>
  <c r="H49" i="172"/>
  <c r="J49" i="172" s="1"/>
  <c r="H48" i="172"/>
  <c r="J48" i="172" s="1"/>
  <c r="H47" i="172"/>
  <c r="J47" i="172" s="1"/>
  <c r="H46" i="172"/>
  <c r="J46" i="172" s="1"/>
  <c r="H45" i="172"/>
  <c r="J45" i="172" s="1"/>
  <c r="H44" i="172"/>
  <c r="J44" i="172" s="1"/>
  <c r="H43" i="172"/>
  <c r="J43" i="172" s="1"/>
  <c r="H42" i="172"/>
  <c r="J42" i="172" s="1"/>
  <c r="H41" i="172"/>
  <c r="J41" i="172" s="1"/>
  <c r="H40" i="172"/>
  <c r="J40" i="172" s="1"/>
  <c r="H39" i="172"/>
  <c r="J39" i="172" s="1"/>
  <c r="H38" i="172"/>
  <c r="J38" i="172" s="1"/>
  <c r="H37" i="172"/>
  <c r="J37" i="172" s="1"/>
  <c r="H36" i="172"/>
  <c r="J36" i="172" s="1"/>
  <c r="H35" i="172"/>
  <c r="J35" i="172" s="1"/>
  <c r="J34" i="172"/>
  <c r="H34" i="172"/>
  <c r="H33" i="172"/>
  <c r="J33" i="172" s="1"/>
  <c r="H32" i="172"/>
  <c r="J32" i="172" s="1"/>
  <c r="H31" i="172"/>
  <c r="J31" i="172" s="1"/>
  <c r="H30" i="172"/>
  <c r="J30" i="172" s="1"/>
  <c r="H29" i="172"/>
  <c r="J29" i="172" s="1"/>
  <c r="H28" i="172"/>
  <c r="J28" i="172" s="1"/>
  <c r="H27" i="172"/>
  <c r="J27" i="172" s="1"/>
  <c r="H26" i="172"/>
  <c r="J26" i="172" s="1"/>
  <c r="H25" i="172"/>
  <c r="J25" i="172" s="1"/>
  <c r="H24" i="172"/>
  <c r="J24" i="172" s="1"/>
  <c r="H23" i="172"/>
  <c r="J23" i="172" s="1"/>
  <c r="H22" i="172"/>
  <c r="J22" i="172" s="1"/>
  <c r="H21" i="172"/>
  <c r="J21" i="172" s="1"/>
  <c r="H20" i="172"/>
  <c r="J20" i="172" s="1"/>
  <c r="H19" i="172"/>
  <c r="J19" i="172" s="1"/>
  <c r="H18" i="172"/>
  <c r="J18" i="172" s="1"/>
  <c r="H17" i="172"/>
  <c r="J17" i="172" s="1"/>
  <c r="H16" i="172"/>
  <c r="J16" i="172" s="1"/>
  <c r="H15" i="172"/>
  <c r="J15" i="172" s="1"/>
  <c r="H14" i="172"/>
  <c r="J14" i="172" s="1"/>
  <c r="H13" i="172"/>
  <c r="J13" i="172" s="1"/>
  <c r="H12" i="172"/>
  <c r="J12" i="172" s="1"/>
  <c r="H11" i="172"/>
  <c r="J11" i="172" s="1"/>
  <c r="H10" i="172"/>
  <c r="J10" i="172" s="1"/>
  <c r="H9" i="172"/>
  <c r="N6" i="172"/>
  <c r="V1" i="172"/>
  <c r="R1" i="172"/>
  <c r="W44" i="42"/>
  <c r="V44" i="42"/>
  <c r="O44" i="42"/>
  <c r="L44" i="42"/>
  <c r="Y44" i="42" s="1"/>
  <c r="P1" i="171"/>
  <c r="O22" i="171" s="1"/>
  <c r="O87" i="171"/>
  <c r="O85" i="171"/>
  <c r="J82" i="171"/>
  <c r="L87" i="171" s="1"/>
  <c r="N87" i="171" s="1"/>
  <c r="S81" i="171"/>
  <c r="R80" i="171"/>
  <c r="H80" i="171"/>
  <c r="F79" i="171"/>
  <c r="I78" i="171"/>
  <c r="K78" i="171" s="1"/>
  <c r="I77" i="171"/>
  <c r="K77" i="171" s="1"/>
  <c r="I76" i="171"/>
  <c r="K76" i="171" s="1"/>
  <c r="I75" i="171"/>
  <c r="K75" i="171" s="1"/>
  <c r="I74" i="171"/>
  <c r="K74" i="171" s="1"/>
  <c r="I73" i="171"/>
  <c r="K73" i="171" s="1"/>
  <c r="I72" i="171"/>
  <c r="K72" i="171" s="1"/>
  <c r="K71" i="171"/>
  <c r="I71" i="171"/>
  <c r="I70" i="171"/>
  <c r="K70" i="171" s="1"/>
  <c r="I69" i="171"/>
  <c r="K69" i="171" s="1"/>
  <c r="I68" i="171"/>
  <c r="K68" i="171" s="1"/>
  <c r="I67" i="171"/>
  <c r="K67" i="171" s="1"/>
  <c r="I66" i="171"/>
  <c r="K66" i="171" s="1"/>
  <c r="I65" i="171"/>
  <c r="K65" i="171" s="1"/>
  <c r="I64" i="171"/>
  <c r="K64" i="171" s="1"/>
  <c r="I63" i="171"/>
  <c r="K63" i="171" s="1"/>
  <c r="I62" i="171"/>
  <c r="K62" i="171" s="1"/>
  <c r="I61" i="171"/>
  <c r="K61" i="171" s="1"/>
  <c r="I60" i="171"/>
  <c r="K60" i="171" s="1"/>
  <c r="I59" i="171"/>
  <c r="K59" i="171" s="1"/>
  <c r="I58" i="171"/>
  <c r="K58" i="171" s="1"/>
  <c r="I57" i="171"/>
  <c r="K57" i="171" s="1"/>
  <c r="I56" i="171"/>
  <c r="K56" i="171" s="1"/>
  <c r="I55" i="171"/>
  <c r="K55" i="171" s="1"/>
  <c r="I54" i="171"/>
  <c r="K54" i="171" s="1"/>
  <c r="I53" i="171"/>
  <c r="K53" i="171" s="1"/>
  <c r="I52" i="171"/>
  <c r="K52" i="171" s="1"/>
  <c r="I51" i="171"/>
  <c r="K51" i="171" s="1"/>
  <c r="I50" i="171"/>
  <c r="K50" i="171" s="1"/>
  <c r="I49" i="171"/>
  <c r="K49" i="171" s="1"/>
  <c r="I48" i="171"/>
  <c r="K48" i="171" s="1"/>
  <c r="I47" i="171"/>
  <c r="K47" i="171" s="1"/>
  <c r="I46" i="171"/>
  <c r="K46" i="171" s="1"/>
  <c r="I45" i="171"/>
  <c r="K45" i="171" s="1"/>
  <c r="I44" i="171"/>
  <c r="K44" i="171" s="1"/>
  <c r="I43" i="171"/>
  <c r="K43" i="171" s="1"/>
  <c r="I42" i="171"/>
  <c r="K42" i="171" s="1"/>
  <c r="K41" i="171"/>
  <c r="I41" i="171"/>
  <c r="I40" i="171"/>
  <c r="K40" i="171" s="1"/>
  <c r="I39" i="171"/>
  <c r="K39" i="171" s="1"/>
  <c r="I38" i="171"/>
  <c r="K38" i="171" s="1"/>
  <c r="I37" i="171"/>
  <c r="K37" i="171" s="1"/>
  <c r="I36" i="171"/>
  <c r="K36" i="171" s="1"/>
  <c r="I35" i="171"/>
  <c r="K35" i="171" s="1"/>
  <c r="I34" i="171"/>
  <c r="K34" i="171" s="1"/>
  <c r="K33" i="171"/>
  <c r="I33" i="171"/>
  <c r="I32" i="171"/>
  <c r="K32" i="171" s="1"/>
  <c r="I31" i="171"/>
  <c r="K31" i="171" s="1"/>
  <c r="I30" i="171"/>
  <c r="K30" i="171" s="1"/>
  <c r="I29" i="171"/>
  <c r="K29" i="171" s="1"/>
  <c r="I28" i="171"/>
  <c r="K28" i="171" s="1"/>
  <c r="I27" i="171"/>
  <c r="K27" i="171" s="1"/>
  <c r="I26" i="171"/>
  <c r="K26" i="171" s="1"/>
  <c r="K25" i="171"/>
  <c r="I25" i="171"/>
  <c r="I24" i="171"/>
  <c r="K24" i="171" s="1"/>
  <c r="I23" i="171"/>
  <c r="K23" i="171" s="1"/>
  <c r="I22" i="171"/>
  <c r="K22" i="171" s="1"/>
  <c r="I21" i="171"/>
  <c r="K21" i="171" s="1"/>
  <c r="I20" i="171"/>
  <c r="K20" i="171" s="1"/>
  <c r="I19" i="171"/>
  <c r="K19" i="171" s="1"/>
  <c r="I18" i="171"/>
  <c r="K18" i="171" s="1"/>
  <c r="I17" i="171"/>
  <c r="K17" i="171" s="1"/>
  <c r="I16" i="171"/>
  <c r="K16" i="171" s="1"/>
  <c r="I15" i="171"/>
  <c r="K15" i="171" s="1"/>
  <c r="I14" i="171"/>
  <c r="K14" i="171" s="1"/>
  <c r="I13" i="171"/>
  <c r="K13" i="171" s="1"/>
  <c r="I12" i="171"/>
  <c r="K12" i="171" s="1"/>
  <c r="I11" i="171"/>
  <c r="K11" i="171" s="1"/>
  <c r="I10" i="171"/>
  <c r="K10" i="171" s="1"/>
  <c r="I9" i="171"/>
  <c r="O6" i="171"/>
  <c r="S1" i="171"/>
  <c r="S2" i="171" s="1"/>
  <c r="W43" i="42"/>
  <c r="V43" i="42"/>
  <c r="O43" i="42"/>
  <c r="L43" i="42"/>
  <c r="Y43" i="42" s="1"/>
  <c r="AB16" i="170"/>
  <c r="AC16" i="170"/>
  <c r="AB17" i="170"/>
  <c r="AC17" i="170"/>
  <c r="AB18" i="170"/>
  <c r="AC18" i="170"/>
  <c r="AB19" i="170"/>
  <c r="AC19" i="170"/>
  <c r="AB20" i="170"/>
  <c r="AC20" i="170"/>
  <c r="AB21" i="170"/>
  <c r="AC21" i="170"/>
  <c r="AB22" i="170"/>
  <c r="AC22" i="170"/>
  <c r="AB23" i="170"/>
  <c r="AC23" i="170"/>
  <c r="AB24" i="170"/>
  <c r="AC24" i="170"/>
  <c r="AB25" i="170"/>
  <c r="AC25" i="170"/>
  <c r="AB26" i="170"/>
  <c r="AC26" i="170"/>
  <c r="AB27" i="170"/>
  <c r="AC27" i="170"/>
  <c r="AB28" i="170"/>
  <c r="AC28" i="170"/>
  <c r="AB29" i="170"/>
  <c r="AC29" i="170"/>
  <c r="AB30" i="170"/>
  <c r="AC30" i="170"/>
  <c r="AB31" i="170"/>
  <c r="AC31" i="170"/>
  <c r="AB32" i="170"/>
  <c r="AC32" i="170"/>
  <c r="AB33" i="170"/>
  <c r="AC33" i="170"/>
  <c r="AB34" i="170"/>
  <c r="AC34" i="170"/>
  <c r="AB35" i="170"/>
  <c r="AC35" i="170"/>
  <c r="AB36" i="170"/>
  <c r="AC36" i="170"/>
  <c r="AB37" i="170"/>
  <c r="AC37" i="170"/>
  <c r="AB38" i="170"/>
  <c r="AC38" i="170"/>
  <c r="AB39" i="170"/>
  <c r="AC39" i="170"/>
  <c r="AB40" i="170"/>
  <c r="AC40" i="170"/>
  <c r="AB41" i="170"/>
  <c r="AC41" i="170"/>
  <c r="AB42" i="170"/>
  <c r="AC42" i="170"/>
  <c r="AB43" i="170"/>
  <c r="AC43" i="170"/>
  <c r="AB44" i="170"/>
  <c r="AC44" i="170"/>
  <c r="AB45" i="170"/>
  <c r="AC45" i="170"/>
  <c r="AB46" i="170"/>
  <c r="AC46" i="170"/>
  <c r="AB47" i="170"/>
  <c r="AC47" i="170"/>
  <c r="AB48" i="170"/>
  <c r="AC48" i="170"/>
  <c r="AB49" i="170"/>
  <c r="AC49" i="170"/>
  <c r="AB50" i="170"/>
  <c r="AC50" i="170"/>
  <c r="AB51" i="170"/>
  <c r="AC51" i="170"/>
  <c r="AB52" i="170"/>
  <c r="AC52" i="170"/>
  <c r="AB53" i="170"/>
  <c r="AC53" i="170"/>
  <c r="AB54" i="170"/>
  <c r="AC54" i="170"/>
  <c r="AB55" i="170"/>
  <c r="AC55" i="170"/>
  <c r="AB56" i="170"/>
  <c r="AC56" i="170"/>
  <c r="AB57" i="170"/>
  <c r="AC57" i="170"/>
  <c r="AB58" i="170"/>
  <c r="AC58" i="170"/>
  <c r="AB59" i="170"/>
  <c r="AC59" i="170"/>
  <c r="AB60" i="170"/>
  <c r="AC60" i="170"/>
  <c r="AB61" i="170"/>
  <c r="AC61" i="170"/>
  <c r="AB62" i="170"/>
  <c r="AC62" i="170"/>
  <c r="AB63" i="170"/>
  <c r="AC63" i="170"/>
  <c r="AB64" i="170"/>
  <c r="AC64" i="170"/>
  <c r="AB65" i="170"/>
  <c r="AC65" i="170"/>
  <c r="AB66" i="170"/>
  <c r="AC66" i="170"/>
  <c r="AB67" i="170"/>
  <c r="AC67" i="170"/>
  <c r="AB68" i="170"/>
  <c r="AC68" i="170"/>
  <c r="AB69" i="170"/>
  <c r="AC69" i="170"/>
  <c r="AB70" i="170"/>
  <c r="AC70" i="170"/>
  <c r="AB71" i="170"/>
  <c r="AC71" i="170"/>
  <c r="AB72" i="170"/>
  <c r="AC72" i="170"/>
  <c r="AB73" i="170"/>
  <c r="AC73" i="170"/>
  <c r="AB74" i="170"/>
  <c r="AC74" i="170"/>
  <c r="AB75" i="170"/>
  <c r="AC75" i="170"/>
  <c r="AB76" i="170"/>
  <c r="AC76" i="170"/>
  <c r="AB77" i="170"/>
  <c r="AC77" i="170"/>
  <c r="AB78" i="170"/>
  <c r="AC78" i="170"/>
  <c r="V81" i="170"/>
  <c r="W81" i="170" s="1"/>
  <c r="V79" i="170"/>
  <c r="W79" i="170" s="1"/>
  <c r="V73" i="170"/>
  <c r="W73" i="170" s="1"/>
  <c r="V71" i="170"/>
  <c r="W71" i="170" s="1"/>
  <c r="V69" i="170"/>
  <c r="W69" i="170" s="1"/>
  <c r="V67" i="170"/>
  <c r="W67" i="170" s="1"/>
  <c r="V57" i="170"/>
  <c r="W57" i="170" s="1"/>
  <c r="V55" i="170"/>
  <c r="W55" i="170" s="1"/>
  <c r="V49" i="170"/>
  <c r="W49" i="170" s="1"/>
  <c r="V47" i="170"/>
  <c r="W47" i="170" s="1"/>
  <c r="V45" i="170"/>
  <c r="W45" i="170" s="1"/>
  <c r="V43" i="170"/>
  <c r="W43" i="170" s="1"/>
  <c r="V33" i="170"/>
  <c r="W33" i="170" s="1"/>
  <c r="V31" i="170"/>
  <c r="W31" i="170" s="1"/>
  <c r="V25" i="170"/>
  <c r="W25" i="170" s="1"/>
  <c r="V23" i="170"/>
  <c r="W23" i="170" s="1"/>
  <c r="V21" i="170"/>
  <c r="W21" i="170" s="1"/>
  <c r="V19" i="170"/>
  <c r="W19" i="170" s="1"/>
  <c r="U87" i="170"/>
  <c r="V87" i="170" s="1"/>
  <c r="W87" i="170" s="1"/>
  <c r="U88" i="170"/>
  <c r="X88" i="170" s="1"/>
  <c r="U10" i="170"/>
  <c r="V10" i="170" s="1"/>
  <c r="U11" i="170"/>
  <c r="X11" i="170" s="1"/>
  <c r="U12" i="170"/>
  <c r="X12" i="170" s="1"/>
  <c r="U13" i="170"/>
  <c r="X13" i="170" s="1"/>
  <c r="U14" i="170"/>
  <c r="X14" i="170" s="1"/>
  <c r="U15" i="170"/>
  <c r="U16" i="170"/>
  <c r="X16" i="170" s="1"/>
  <c r="U17" i="170"/>
  <c r="U18" i="170"/>
  <c r="X18" i="170" s="1"/>
  <c r="U19" i="170"/>
  <c r="X19" i="170" s="1"/>
  <c r="U20" i="170"/>
  <c r="X20" i="170" s="1"/>
  <c r="U21" i="170"/>
  <c r="X21" i="170" s="1"/>
  <c r="U22" i="170"/>
  <c r="X22" i="170" s="1"/>
  <c r="U23" i="170"/>
  <c r="X23" i="170" s="1"/>
  <c r="U24" i="170"/>
  <c r="X24" i="170" s="1"/>
  <c r="U25" i="170"/>
  <c r="X25" i="170" s="1"/>
  <c r="U26" i="170"/>
  <c r="X26" i="170" s="1"/>
  <c r="U27" i="170"/>
  <c r="U28" i="170"/>
  <c r="X28" i="170" s="1"/>
  <c r="U29" i="170"/>
  <c r="U30" i="170"/>
  <c r="X30" i="170" s="1"/>
  <c r="U31" i="170"/>
  <c r="X31" i="170" s="1"/>
  <c r="U32" i="170"/>
  <c r="X32" i="170" s="1"/>
  <c r="U33" i="170"/>
  <c r="X33" i="170" s="1"/>
  <c r="U34" i="170"/>
  <c r="X34" i="170" s="1"/>
  <c r="U35" i="170"/>
  <c r="X35" i="170" s="1"/>
  <c r="U36" i="170"/>
  <c r="X36" i="170" s="1"/>
  <c r="U37" i="170"/>
  <c r="X37" i="170" s="1"/>
  <c r="U38" i="170"/>
  <c r="X38" i="170" s="1"/>
  <c r="U39" i="170"/>
  <c r="U40" i="170"/>
  <c r="X40" i="170" s="1"/>
  <c r="U41" i="170"/>
  <c r="U42" i="170"/>
  <c r="X42" i="170" s="1"/>
  <c r="U43" i="170"/>
  <c r="X43" i="170" s="1"/>
  <c r="U44" i="170"/>
  <c r="X44" i="170" s="1"/>
  <c r="U45" i="170"/>
  <c r="X45" i="170" s="1"/>
  <c r="U46" i="170"/>
  <c r="X46" i="170" s="1"/>
  <c r="U47" i="170"/>
  <c r="X47" i="170" s="1"/>
  <c r="U48" i="170"/>
  <c r="X48" i="170" s="1"/>
  <c r="U49" i="170"/>
  <c r="X49" i="170" s="1"/>
  <c r="U50" i="170"/>
  <c r="X50" i="170" s="1"/>
  <c r="U51" i="170"/>
  <c r="U52" i="170"/>
  <c r="X52" i="170" s="1"/>
  <c r="U53" i="170"/>
  <c r="U54" i="170"/>
  <c r="X54" i="170" s="1"/>
  <c r="U55" i="170"/>
  <c r="X55" i="170" s="1"/>
  <c r="U56" i="170"/>
  <c r="X56" i="170" s="1"/>
  <c r="U57" i="170"/>
  <c r="X57" i="170" s="1"/>
  <c r="U58" i="170"/>
  <c r="X58" i="170" s="1"/>
  <c r="U59" i="170"/>
  <c r="X59" i="170" s="1"/>
  <c r="U60" i="170"/>
  <c r="X60" i="170" s="1"/>
  <c r="U61" i="170"/>
  <c r="X61" i="170" s="1"/>
  <c r="U62" i="170"/>
  <c r="X62" i="170" s="1"/>
  <c r="U63" i="170"/>
  <c r="U64" i="170"/>
  <c r="X64" i="170" s="1"/>
  <c r="U65" i="170"/>
  <c r="U66" i="170"/>
  <c r="X66" i="170" s="1"/>
  <c r="U67" i="170"/>
  <c r="X67" i="170" s="1"/>
  <c r="U68" i="170"/>
  <c r="X68" i="170" s="1"/>
  <c r="U69" i="170"/>
  <c r="X69" i="170" s="1"/>
  <c r="U70" i="170"/>
  <c r="X70" i="170" s="1"/>
  <c r="U71" i="170"/>
  <c r="X71" i="170" s="1"/>
  <c r="U72" i="170"/>
  <c r="X72" i="170" s="1"/>
  <c r="U73" i="170"/>
  <c r="X73" i="170" s="1"/>
  <c r="U74" i="170"/>
  <c r="X74" i="170" s="1"/>
  <c r="U75" i="170"/>
  <c r="U76" i="170"/>
  <c r="X76" i="170" s="1"/>
  <c r="U77" i="170"/>
  <c r="U78" i="170"/>
  <c r="X78" i="170" s="1"/>
  <c r="U79" i="170"/>
  <c r="X79" i="170" s="1"/>
  <c r="U80" i="170"/>
  <c r="X80" i="170" s="1"/>
  <c r="U81" i="170"/>
  <c r="X81" i="170" s="1"/>
  <c r="U82" i="170"/>
  <c r="X82" i="170" s="1"/>
  <c r="U83" i="170"/>
  <c r="X83" i="170" s="1"/>
  <c r="U84" i="170"/>
  <c r="X84" i="170" s="1"/>
  <c r="U85" i="170"/>
  <c r="X85" i="170" s="1"/>
  <c r="U86" i="170"/>
  <c r="X86" i="170" s="1"/>
  <c r="U9" i="170"/>
  <c r="O1" i="170"/>
  <c r="N36" i="170" s="1"/>
  <c r="N87" i="170"/>
  <c r="N85" i="170"/>
  <c r="M82" i="170"/>
  <c r="R81" i="170"/>
  <c r="Q80" i="170" s="1"/>
  <c r="G80" i="170"/>
  <c r="E79" i="170"/>
  <c r="H78" i="170"/>
  <c r="J78" i="170" s="1"/>
  <c r="H77" i="170"/>
  <c r="J77" i="170" s="1"/>
  <c r="H76" i="170"/>
  <c r="J76" i="170" s="1"/>
  <c r="H75" i="170"/>
  <c r="J75" i="170" s="1"/>
  <c r="H74" i="170"/>
  <c r="J74" i="170" s="1"/>
  <c r="H73" i="170"/>
  <c r="J73" i="170" s="1"/>
  <c r="H72" i="170"/>
  <c r="J72" i="170" s="1"/>
  <c r="H71" i="170"/>
  <c r="J71" i="170" s="1"/>
  <c r="H70" i="170"/>
  <c r="J70" i="170" s="1"/>
  <c r="H69" i="170"/>
  <c r="J69" i="170" s="1"/>
  <c r="H68" i="170"/>
  <c r="J68" i="170" s="1"/>
  <c r="H67" i="170"/>
  <c r="J67" i="170" s="1"/>
  <c r="H66" i="170"/>
  <c r="J66" i="170" s="1"/>
  <c r="H65" i="170"/>
  <c r="J65" i="170" s="1"/>
  <c r="H64" i="170"/>
  <c r="J64" i="170" s="1"/>
  <c r="H63" i="170"/>
  <c r="J63" i="170" s="1"/>
  <c r="H62" i="170"/>
  <c r="J62" i="170" s="1"/>
  <c r="H61" i="170"/>
  <c r="J61" i="170" s="1"/>
  <c r="H60" i="170"/>
  <c r="J60" i="170" s="1"/>
  <c r="H59" i="170"/>
  <c r="J59" i="170" s="1"/>
  <c r="H58" i="170"/>
  <c r="J58" i="170" s="1"/>
  <c r="H57" i="170"/>
  <c r="J57" i="170" s="1"/>
  <c r="H56" i="170"/>
  <c r="J56" i="170" s="1"/>
  <c r="H55" i="170"/>
  <c r="J55" i="170" s="1"/>
  <c r="H54" i="170"/>
  <c r="J54" i="170" s="1"/>
  <c r="H53" i="170"/>
  <c r="J53" i="170" s="1"/>
  <c r="H52" i="170"/>
  <c r="J52" i="170" s="1"/>
  <c r="H51" i="170"/>
  <c r="J51" i="170" s="1"/>
  <c r="H50" i="170"/>
  <c r="J50" i="170" s="1"/>
  <c r="H49" i="170"/>
  <c r="J49" i="170" s="1"/>
  <c r="H48" i="170"/>
  <c r="J48" i="170" s="1"/>
  <c r="H47" i="170"/>
  <c r="J47" i="170" s="1"/>
  <c r="H46" i="170"/>
  <c r="J46" i="170" s="1"/>
  <c r="H45" i="170"/>
  <c r="J45" i="170" s="1"/>
  <c r="H44" i="170"/>
  <c r="J44" i="170" s="1"/>
  <c r="H43" i="170"/>
  <c r="J43" i="170" s="1"/>
  <c r="H42" i="170"/>
  <c r="J42" i="170" s="1"/>
  <c r="H41" i="170"/>
  <c r="J41" i="170" s="1"/>
  <c r="H40" i="170"/>
  <c r="J40" i="170" s="1"/>
  <c r="H39" i="170"/>
  <c r="J39" i="170" s="1"/>
  <c r="H38" i="170"/>
  <c r="J38" i="170" s="1"/>
  <c r="H37" i="170"/>
  <c r="J37" i="170" s="1"/>
  <c r="H36" i="170"/>
  <c r="J36" i="170" s="1"/>
  <c r="H35" i="170"/>
  <c r="J35" i="170" s="1"/>
  <c r="H34" i="170"/>
  <c r="J34" i="170" s="1"/>
  <c r="H33" i="170"/>
  <c r="J33" i="170" s="1"/>
  <c r="H32" i="170"/>
  <c r="J32" i="170" s="1"/>
  <c r="H31" i="170"/>
  <c r="J31" i="170" s="1"/>
  <c r="H30" i="170"/>
  <c r="J30" i="170" s="1"/>
  <c r="H29" i="170"/>
  <c r="J29" i="170" s="1"/>
  <c r="H28" i="170"/>
  <c r="J28" i="170" s="1"/>
  <c r="H27" i="170"/>
  <c r="J27" i="170" s="1"/>
  <c r="H26" i="170"/>
  <c r="J26" i="170" s="1"/>
  <c r="H25" i="170"/>
  <c r="J25" i="170" s="1"/>
  <c r="H24" i="170"/>
  <c r="J24" i="170" s="1"/>
  <c r="H23" i="170"/>
  <c r="J23" i="170" s="1"/>
  <c r="H22" i="170"/>
  <c r="J22" i="170" s="1"/>
  <c r="H21" i="170"/>
  <c r="J21" i="170" s="1"/>
  <c r="H20" i="170"/>
  <c r="J20" i="170" s="1"/>
  <c r="H19" i="170"/>
  <c r="J19" i="170" s="1"/>
  <c r="H18" i="170"/>
  <c r="J18" i="170" s="1"/>
  <c r="H17" i="170"/>
  <c r="J17" i="170" s="1"/>
  <c r="H16" i="170"/>
  <c r="J16" i="170" s="1"/>
  <c r="AC15" i="170"/>
  <c r="AB15" i="170"/>
  <c r="H15" i="170"/>
  <c r="J15" i="170" s="1"/>
  <c r="AC14" i="170"/>
  <c r="AB14" i="170"/>
  <c r="H14" i="170"/>
  <c r="J14" i="170" s="1"/>
  <c r="AC13" i="170"/>
  <c r="AB13" i="170"/>
  <c r="H13" i="170"/>
  <c r="J13" i="170" s="1"/>
  <c r="AC12" i="170"/>
  <c r="AB12" i="170"/>
  <c r="V12" i="170"/>
  <c r="W12" i="170" s="1"/>
  <c r="H12" i="170"/>
  <c r="J12" i="170" s="1"/>
  <c r="AC11" i="170"/>
  <c r="AB11" i="170"/>
  <c r="H11" i="170"/>
  <c r="J11" i="170" s="1"/>
  <c r="AC10" i="170"/>
  <c r="AB10" i="170"/>
  <c r="H10" i="170"/>
  <c r="J10" i="170" s="1"/>
  <c r="AC9" i="170"/>
  <c r="AD9" i="170" s="1"/>
  <c r="V9" i="170"/>
  <c r="S9" i="170"/>
  <c r="H9" i="170"/>
  <c r="N6" i="170"/>
  <c r="V1" i="170"/>
  <c r="R1" i="170"/>
  <c r="R5" i="170" s="1"/>
  <c r="R33" i="131"/>
  <c r="X7" i="155"/>
  <c r="Q34" i="152"/>
  <c r="Q33" i="152"/>
  <c r="O19" i="152" s="1"/>
  <c r="Q30" i="152"/>
  <c r="Q27" i="152"/>
  <c r="Q32" i="152" s="1"/>
  <c r="Q26" i="152"/>
  <c r="Q31" i="152" s="1"/>
  <c r="Q3" i="152"/>
  <c r="V785" i="112"/>
  <c r="U785" i="112"/>
  <c r="T785" i="112"/>
  <c r="L785" i="112"/>
  <c r="V784" i="112"/>
  <c r="U784" i="112"/>
  <c r="T784" i="112"/>
  <c r="L784" i="112"/>
  <c r="R5" i="172" l="1"/>
  <c r="R2" i="172"/>
  <c r="X77" i="170"/>
  <c r="V77" i="170"/>
  <c r="W77" i="170" s="1"/>
  <c r="X65" i="170"/>
  <c r="Y65" i="170" s="1"/>
  <c r="V65" i="170"/>
  <c r="W65" i="170" s="1"/>
  <c r="X53" i="170"/>
  <c r="Y53" i="170" s="1"/>
  <c r="V53" i="170"/>
  <c r="W53" i="170" s="1"/>
  <c r="X41" i="170"/>
  <c r="Y41" i="170" s="1"/>
  <c r="V41" i="170"/>
  <c r="W41" i="170" s="1"/>
  <c r="X29" i="170"/>
  <c r="Y29" i="170" s="1"/>
  <c r="V29" i="170"/>
  <c r="W29" i="170" s="1"/>
  <c r="X17" i="170"/>
  <c r="V17" i="170"/>
  <c r="W17" i="170" s="1"/>
  <c r="X75" i="170"/>
  <c r="V75" i="170"/>
  <c r="W75" i="170" s="1"/>
  <c r="X63" i="170"/>
  <c r="V63" i="170"/>
  <c r="W63" i="170" s="1"/>
  <c r="X51" i="170"/>
  <c r="Y51" i="170" s="1"/>
  <c r="V51" i="170"/>
  <c r="W51" i="170" s="1"/>
  <c r="X39" i="170"/>
  <c r="V39" i="170"/>
  <c r="W39" i="170" s="1"/>
  <c r="X27" i="170"/>
  <c r="Y27" i="170" s="1"/>
  <c r="V27" i="170"/>
  <c r="W27" i="170" s="1"/>
  <c r="V15" i="170"/>
  <c r="W15" i="170" s="1"/>
  <c r="X15" i="170"/>
  <c r="U87" i="172"/>
  <c r="U79" i="172"/>
  <c r="U67" i="172"/>
  <c r="U55" i="172"/>
  <c r="U43" i="172"/>
  <c r="U31" i="172"/>
  <c r="U19" i="172"/>
  <c r="U12" i="172"/>
  <c r="U36" i="172"/>
  <c r="U60" i="172"/>
  <c r="U84" i="172"/>
  <c r="V13" i="170"/>
  <c r="U78" i="172"/>
  <c r="U66" i="172"/>
  <c r="U54" i="172"/>
  <c r="U42" i="172"/>
  <c r="U30" i="172"/>
  <c r="U18" i="172"/>
  <c r="U13" i="172"/>
  <c r="U37" i="172"/>
  <c r="U61" i="172"/>
  <c r="U40" i="172"/>
  <c r="V11" i="170"/>
  <c r="V59" i="170"/>
  <c r="W59" i="170" s="1"/>
  <c r="U9" i="172"/>
  <c r="U63" i="172"/>
  <c r="U51" i="172"/>
  <c r="U39" i="172"/>
  <c r="U27" i="172"/>
  <c r="U15" i="172"/>
  <c r="V37" i="170"/>
  <c r="W37" i="170" s="1"/>
  <c r="V85" i="170"/>
  <c r="W85" i="170" s="1"/>
  <c r="Y85" i="170" s="1"/>
  <c r="U74" i="172"/>
  <c r="U50" i="172"/>
  <c r="U16" i="172"/>
  <c r="U64" i="172"/>
  <c r="V35" i="170"/>
  <c r="W35" i="170" s="1"/>
  <c r="V83" i="170"/>
  <c r="W83" i="170" s="1"/>
  <c r="U75" i="172"/>
  <c r="V61" i="170"/>
  <c r="W61" i="170" s="1"/>
  <c r="Y61" i="170" s="1"/>
  <c r="U86" i="172"/>
  <c r="U62" i="172"/>
  <c r="U38" i="172"/>
  <c r="U26" i="172"/>
  <c r="U14" i="172"/>
  <c r="U25" i="172"/>
  <c r="U49" i="172"/>
  <c r="U73" i="172"/>
  <c r="R785" i="112"/>
  <c r="AD36" i="170"/>
  <c r="S36" i="170"/>
  <c r="X9" i="170"/>
  <c r="N68" i="172"/>
  <c r="K68" i="172" s="1"/>
  <c r="M68" i="172" s="1"/>
  <c r="U88" i="172"/>
  <c r="T45" i="42"/>
  <c r="U45" i="42"/>
  <c r="T44" i="42"/>
  <c r="N78" i="172"/>
  <c r="N20" i="172"/>
  <c r="K20" i="172" s="1"/>
  <c r="M20" i="172" s="1"/>
  <c r="N15" i="172"/>
  <c r="N36" i="172"/>
  <c r="N11" i="172"/>
  <c r="N52" i="172"/>
  <c r="N75" i="172"/>
  <c r="N10" i="172"/>
  <c r="N23" i="172"/>
  <c r="K23" i="172" s="1"/>
  <c r="M23" i="172" s="1"/>
  <c r="N39" i="172"/>
  <c r="N55" i="172"/>
  <c r="N71" i="172"/>
  <c r="N16" i="172"/>
  <c r="K16" i="172" s="1"/>
  <c r="M16" i="172" s="1"/>
  <c r="N32" i="172"/>
  <c r="N48" i="172"/>
  <c r="N64" i="172"/>
  <c r="N76" i="172"/>
  <c r="N9" i="172"/>
  <c r="K9" i="172" s="1"/>
  <c r="M9" i="172" s="1"/>
  <c r="N12" i="172"/>
  <c r="N27" i="172"/>
  <c r="N43" i="172"/>
  <c r="K43" i="172" s="1"/>
  <c r="M43" i="172" s="1"/>
  <c r="N59" i="172"/>
  <c r="N72" i="172"/>
  <c r="Q29" i="152"/>
  <c r="Q35" i="152" s="1"/>
  <c r="T27" i="152" s="1"/>
  <c r="W10" i="170"/>
  <c r="N23" i="170"/>
  <c r="V14" i="170"/>
  <c r="W14" i="170" s="1"/>
  <c r="Y14" i="170" s="1"/>
  <c r="V16" i="170"/>
  <c r="W16" i="170" s="1"/>
  <c r="Y16" i="170" s="1"/>
  <c r="X87" i="170"/>
  <c r="Y87" i="170" s="1"/>
  <c r="R2" i="170"/>
  <c r="V18" i="170"/>
  <c r="W18" i="170" s="1"/>
  <c r="Y18" i="170" s="1"/>
  <c r="V20" i="170"/>
  <c r="W20" i="170" s="1"/>
  <c r="Y20" i="170" s="1"/>
  <c r="V22" i="170"/>
  <c r="W22" i="170" s="1"/>
  <c r="Y22" i="170" s="1"/>
  <c r="V24" i="170"/>
  <c r="W24" i="170" s="1"/>
  <c r="Y24" i="170" s="1"/>
  <c r="V26" i="170"/>
  <c r="W26" i="170" s="1"/>
  <c r="Y26" i="170" s="1"/>
  <c r="V28" i="170"/>
  <c r="W28" i="170" s="1"/>
  <c r="Y28" i="170" s="1"/>
  <c r="V30" i="170"/>
  <c r="W30" i="170" s="1"/>
  <c r="Y30" i="170" s="1"/>
  <c r="V32" i="170"/>
  <c r="W32" i="170" s="1"/>
  <c r="Y32" i="170" s="1"/>
  <c r="V34" i="170"/>
  <c r="W34" i="170" s="1"/>
  <c r="Y34" i="170" s="1"/>
  <c r="V36" i="170"/>
  <c r="W36" i="170" s="1"/>
  <c r="Y36" i="170" s="1"/>
  <c r="V38" i="170"/>
  <c r="W38" i="170" s="1"/>
  <c r="Y38" i="170" s="1"/>
  <c r="V40" i="170"/>
  <c r="W40" i="170" s="1"/>
  <c r="Y40" i="170" s="1"/>
  <c r="V42" i="170"/>
  <c r="W42" i="170" s="1"/>
  <c r="Y42" i="170" s="1"/>
  <c r="V44" i="170"/>
  <c r="W44" i="170" s="1"/>
  <c r="Y44" i="170" s="1"/>
  <c r="V46" i="170"/>
  <c r="W46" i="170" s="1"/>
  <c r="Y46" i="170" s="1"/>
  <c r="V48" i="170"/>
  <c r="W48" i="170" s="1"/>
  <c r="Y48" i="170" s="1"/>
  <c r="V50" i="170"/>
  <c r="W50" i="170" s="1"/>
  <c r="Y50" i="170" s="1"/>
  <c r="V52" i="170"/>
  <c r="W52" i="170" s="1"/>
  <c r="Y52" i="170" s="1"/>
  <c r="V54" i="170"/>
  <c r="W54" i="170" s="1"/>
  <c r="Y54" i="170" s="1"/>
  <c r="V56" i="170"/>
  <c r="W56" i="170" s="1"/>
  <c r="Y56" i="170" s="1"/>
  <c r="V58" i="170"/>
  <c r="W58" i="170" s="1"/>
  <c r="Y58" i="170" s="1"/>
  <c r="V60" i="170"/>
  <c r="W60" i="170" s="1"/>
  <c r="Y60" i="170" s="1"/>
  <c r="V62" i="170"/>
  <c r="W62" i="170" s="1"/>
  <c r="Y62" i="170" s="1"/>
  <c r="V64" i="170"/>
  <c r="W64" i="170" s="1"/>
  <c r="Y64" i="170" s="1"/>
  <c r="V66" i="170"/>
  <c r="W66" i="170" s="1"/>
  <c r="Y66" i="170" s="1"/>
  <c r="V68" i="170"/>
  <c r="W68" i="170" s="1"/>
  <c r="Y68" i="170" s="1"/>
  <c r="V70" i="170"/>
  <c r="W70" i="170" s="1"/>
  <c r="Y70" i="170" s="1"/>
  <c r="V72" i="170"/>
  <c r="W72" i="170" s="1"/>
  <c r="Y72" i="170" s="1"/>
  <c r="V74" i="170"/>
  <c r="W74" i="170" s="1"/>
  <c r="Y74" i="170" s="1"/>
  <c r="V76" i="170"/>
  <c r="W76" i="170" s="1"/>
  <c r="Y76" i="170" s="1"/>
  <c r="V78" i="170"/>
  <c r="W78" i="170" s="1"/>
  <c r="Y78" i="170" s="1"/>
  <c r="V80" i="170"/>
  <c r="W80" i="170" s="1"/>
  <c r="Y80" i="170" s="1"/>
  <c r="V82" i="170"/>
  <c r="W82" i="170" s="1"/>
  <c r="Y82" i="170" s="1"/>
  <c r="V84" i="170"/>
  <c r="W84" i="170" s="1"/>
  <c r="Y84" i="170" s="1"/>
  <c r="V86" i="170"/>
  <c r="W86" i="170" s="1"/>
  <c r="Y86" i="170" s="1"/>
  <c r="T43" i="42"/>
  <c r="U11" i="172"/>
  <c r="K87" i="172"/>
  <c r="M87" i="172" s="1"/>
  <c r="O85" i="172"/>
  <c r="N19" i="172"/>
  <c r="N28" i="172"/>
  <c r="N35" i="172"/>
  <c r="N44" i="172"/>
  <c r="K44" i="172" s="1"/>
  <c r="M44" i="172" s="1"/>
  <c r="N51" i="172"/>
  <c r="N60" i="172"/>
  <c r="N67" i="172"/>
  <c r="N24" i="172"/>
  <c r="K24" i="172" s="1"/>
  <c r="M24" i="172" s="1"/>
  <c r="N31" i="172"/>
  <c r="N40" i="172"/>
  <c r="N47" i="172"/>
  <c r="N56" i="172"/>
  <c r="K56" i="172" s="1"/>
  <c r="M56" i="172" s="1"/>
  <c r="N63" i="172"/>
  <c r="H81" i="172"/>
  <c r="J9" i="172"/>
  <c r="J83" i="172" s="1"/>
  <c r="P85" i="172"/>
  <c r="N13" i="172"/>
  <c r="N17" i="172"/>
  <c r="N21" i="172"/>
  <c r="N25" i="172"/>
  <c r="N29" i="172"/>
  <c r="N33" i="172"/>
  <c r="N37" i="172"/>
  <c r="N41" i="172"/>
  <c r="N45" i="172"/>
  <c r="N49" i="172"/>
  <c r="N53" i="172"/>
  <c r="N57" i="172"/>
  <c r="N61" i="172"/>
  <c r="N65" i="172"/>
  <c r="N69" i="172"/>
  <c r="N73" i="172"/>
  <c r="N77" i="172"/>
  <c r="N14" i="172"/>
  <c r="N18" i="172"/>
  <c r="N22" i="172"/>
  <c r="N26" i="172"/>
  <c r="N30" i="172"/>
  <c r="N34" i="172"/>
  <c r="N38" i="172"/>
  <c r="N42" i="172"/>
  <c r="N46" i="172"/>
  <c r="N50" i="172"/>
  <c r="N54" i="172"/>
  <c r="N58" i="172"/>
  <c r="N62" i="172"/>
  <c r="N66" i="172"/>
  <c r="N70" i="172"/>
  <c r="N74" i="172"/>
  <c r="Q85" i="171"/>
  <c r="O60" i="171"/>
  <c r="R60" i="171" s="1"/>
  <c r="O49" i="171"/>
  <c r="R49" i="171" s="1"/>
  <c r="P85" i="171"/>
  <c r="K44" i="42"/>
  <c r="X44" i="42" s="1"/>
  <c r="O10" i="171"/>
  <c r="S10" i="171" s="1"/>
  <c r="O78" i="171"/>
  <c r="O74" i="171"/>
  <c r="O70" i="171"/>
  <c r="O66" i="171"/>
  <c r="O62" i="171"/>
  <c r="O58" i="171"/>
  <c r="O54" i="171"/>
  <c r="O50" i="171"/>
  <c r="O46" i="171"/>
  <c r="O42" i="171"/>
  <c r="O38" i="171"/>
  <c r="O34" i="171"/>
  <c r="O30" i="171"/>
  <c r="O26" i="171"/>
  <c r="O75" i="171"/>
  <c r="O71" i="171"/>
  <c r="O67" i="171"/>
  <c r="O63" i="171"/>
  <c r="O59" i="171"/>
  <c r="O55" i="171"/>
  <c r="O51" i="171"/>
  <c r="O47" i="171"/>
  <c r="O43" i="171"/>
  <c r="O39" i="171"/>
  <c r="O35" i="171"/>
  <c r="O31" i="171"/>
  <c r="O27" i="171"/>
  <c r="O77" i="171"/>
  <c r="O72" i="171"/>
  <c r="O61" i="171"/>
  <c r="O56" i="171"/>
  <c r="O23" i="171"/>
  <c r="O19" i="171"/>
  <c r="O15" i="171"/>
  <c r="O11" i="171"/>
  <c r="O64" i="171"/>
  <c r="O53" i="171"/>
  <c r="O44" i="171"/>
  <c r="O28" i="171"/>
  <c r="O13" i="171"/>
  <c r="O76" i="171"/>
  <c r="O65" i="171"/>
  <c r="O73" i="171"/>
  <c r="O68" i="171"/>
  <c r="O57" i="171"/>
  <c r="O52" i="171"/>
  <c r="O20" i="171"/>
  <c r="O16" i="171"/>
  <c r="O12" i="171"/>
  <c r="O69" i="171"/>
  <c r="O48" i="171"/>
  <c r="O40" i="171"/>
  <c r="O36" i="171"/>
  <c r="O32" i="171"/>
  <c r="O24" i="171"/>
  <c r="O21" i="171"/>
  <c r="O17" i="171"/>
  <c r="O9" i="171"/>
  <c r="I81" i="171"/>
  <c r="O18" i="171"/>
  <c r="O25" i="171"/>
  <c r="O33" i="171"/>
  <c r="O41" i="171"/>
  <c r="O14" i="171"/>
  <c r="R22" i="171"/>
  <c r="S22" i="171"/>
  <c r="L22" i="171"/>
  <c r="N22" i="171" s="1"/>
  <c r="O29" i="171"/>
  <c r="O37" i="171"/>
  <c r="O45" i="171"/>
  <c r="S5" i="171"/>
  <c r="K9" i="171"/>
  <c r="K83" i="171" s="1"/>
  <c r="N32" i="170"/>
  <c r="H81" i="170"/>
  <c r="Y83" i="170"/>
  <c r="V88" i="170"/>
  <c r="W88" i="170" s="1"/>
  <c r="Y88" i="170" s="1"/>
  <c r="Y17" i="170"/>
  <c r="Y33" i="170"/>
  <c r="Y37" i="170"/>
  <c r="Y49" i="170"/>
  <c r="Y73" i="170"/>
  <c r="Y81" i="170"/>
  <c r="Y15" i="170"/>
  <c r="Y19" i="170"/>
  <c r="Y23" i="170"/>
  <c r="Y31" i="170"/>
  <c r="Y35" i="170"/>
  <c r="Y39" i="170"/>
  <c r="Y43" i="170"/>
  <c r="Y47" i="170"/>
  <c r="Y55" i="170"/>
  <c r="Y59" i="170"/>
  <c r="Y63" i="170"/>
  <c r="Y67" i="170"/>
  <c r="Y71" i="170"/>
  <c r="Y75" i="170"/>
  <c r="Y79" i="170"/>
  <c r="Y21" i="170"/>
  <c r="Y25" i="170"/>
  <c r="Y45" i="170"/>
  <c r="Y57" i="170"/>
  <c r="Y69" i="170"/>
  <c r="Y77" i="170"/>
  <c r="W13" i="170"/>
  <c r="Y13" i="170" s="1"/>
  <c r="N28" i="170"/>
  <c r="N18" i="170"/>
  <c r="N14" i="170"/>
  <c r="N13" i="170"/>
  <c r="N12" i="170"/>
  <c r="N11" i="170"/>
  <c r="N10" i="170"/>
  <c r="S10" i="170" s="1"/>
  <c r="N77" i="170"/>
  <c r="N75" i="170"/>
  <c r="N73" i="170"/>
  <c r="N71" i="170"/>
  <c r="N69" i="170"/>
  <c r="N67" i="170"/>
  <c r="N65" i="170"/>
  <c r="N63" i="170"/>
  <c r="N61" i="170"/>
  <c r="N59" i="170"/>
  <c r="N57" i="170"/>
  <c r="N55" i="170"/>
  <c r="N53" i="170"/>
  <c r="N51" i="170"/>
  <c r="N49" i="170"/>
  <c r="N47" i="170"/>
  <c r="N45" i="170"/>
  <c r="N43" i="170"/>
  <c r="N41" i="170"/>
  <c r="N39" i="170"/>
  <c r="N24" i="170"/>
  <c r="N22" i="170"/>
  <c r="N19" i="170"/>
  <c r="N9" i="170"/>
  <c r="N15" i="170"/>
  <c r="N25" i="170"/>
  <c r="N29" i="170"/>
  <c r="N33" i="170"/>
  <c r="N37" i="170"/>
  <c r="J9" i="170"/>
  <c r="X10" i="170"/>
  <c r="Y12" i="170"/>
  <c r="N16" i="170"/>
  <c r="N26" i="170"/>
  <c r="N30" i="170"/>
  <c r="N34" i="170"/>
  <c r="N38" i="170"/>
  <c r="N40" i="170"/>
  <c r="N42" i="170"/>
  <c r="N44" i="170"/>
  <c r="N46" i="170"/>
  <c r="N48" i="170"/>
  <c r="N50" i="170"/>
  <c r="N52" i="170"/>
  <c r="N54" i="170"/>
  <c r="N56" i="170"/>
  <c r="N58" i="170"/>
  <c r="N60" i="170"/>
  <c r="N62" i="170"/>
  <c r="N64" i="170"/>
  <c r="N66" i="170"/>
  <c r="N68" i="170"/>
  <c r="N70" i="170"/>
  <c r="N72" i="170"/>
  <c r="N74" i="170"/>
  <c r="N76" i="170"/>
  <c r="N78" i="170"/>
  <c r="R36" i="170"/>
  <c r="N17" i="170"/>
  <c r="N20" i="170"/>
  <c r="Q36" i="170"/>
  <c r="W9" i="170"/>
  <c r="W11" i="170"/>
  <c r="Y11" i="170" s="1"/>
  <c r="N21" i="170"/>
  <c r="N27" i="170"/>
  <c r="N31" i="170"/>
  <c r="N35" i="170"/>
  <c r="O20" i="152"/>
  <c r="O21" i="152"/>
  <c r="O22" i="152"/>
  <c r="O23" i="152"/>
  <c r="S785" i="112"/>
  <c r="S784" i="112"/>
  <c r="R784" i="112"/>
  <c r="T70" i="152"/>
  <c r="S69" i="152" s="1"/>
  <c r="B58" i="46"/>
  <c r="B64" i="31"/>
  <c r="B174" i="164"/>
  <c r="A193" i="163"/>
  <c r="C261" i="162"/>
  <c r="C249" i="162"/>
  <c r="C166" i="162"/>
  <c r="C83" i="162"/>
  <c r="B70" i="151"/>
  <c r="B60" i="151"/>
  <c r="B33" i="151"/>
  <c r="A250" i="147"/>
  <c r="A152" i="147"/>
  <c r="A42" i="145"/>
  <c r="A41" i="144"/>
  <c r="A36" i="148"/>
  <c r="B29" i="142"/>
  <c r="A35" i="140"/>
  <c r="B47" i="141"/>
  <c r="B33" i="139"/>
  <c r="A48" i="138"/>
  <c r="A20" i="137"/>
  <c r="B120" i="146"/>
  <c r="B46" i="146"/>
  <c r="B147" i="136"/>
  <c r="B72" i="136"/>
  <c r="A31" i="135"/>
  <c r="B39" i="134"/>
  <c r="A49" i="133"/>
  <c r="B87" i="132"/>
  <c r="B39" i="130"/>
  <c r="A36" i="129"/>
  <c r="A42" i="127"/>
  <c r="A46" i="128"/>
  <c r="B47" i="125"/>
  <c r="A45" i="124"/>
  <c r="B83" i="123"/>
  <c r="B207" i="119"/>
  <c r="B129" i="119"/>
  <c r="B86" i="119"/>
  <c r="B43" i="119"/>
  <c r="C27" i="117"/>
  <c r="C436" i="116"/>
  <c r="C252" i="116"/>
  <c r="C168" i="116"/>
  <c r="C84" i="116"/>
  <c r="C68" i="115"/>
  <c r="C67" i="114"/>
  <c r="B99" i="113"/>
  <c r="A790" i="112"/>
  <c r="A51" i="112"/>
  <c r="C25" i="111"/>
  <c r="B51" i="106"/>
  <c r="A47" i="107"/>
  <c r="A47" i="105"/>
  <c r="B38" i="103"/>
  <c r="B124" i="102"/>
  <c r="A48" i="96"/>
  <c r="A44" i="95"/>
  <c r="C30" i="94"/>
  <c r="B67" i="92"/>
  <c r="B59" i="91"/>
  <c r="B55" i="76"/>
  <c r="C24" i="76"/>
  <c r="A91" i="101"/>
  <c r="B88" i="100"/>
  <c r="B47" i="100"/>
  <c r="C53" i="84"/>
  <c r="C63" i="70"/>
  <c r="C32" i="89"/>
  <c r="C32" i="90"/>
  <c r="C32" i="87"/>
  <c r="B21" i="82"/>
  <c r="A251" i="80"/>
  <c r="A138" i="80"/>
  <c r="A93" i="80"/>
  <c r="A48" i="80"/>
  <c r="C106" i="69"/>
  <c r="C53" i="68"/>
  <c r="B44" i="57"/>
  <c r="A34" i="52"/>
  <c r="B56" i="51"/>
  <c r="B29" i="51"/>
  <c r="A39" i="47"/>
  <c r="A75" i="48"/>
  <c r="A59" i="42"/>
  <c r="B54" i="40"/>
  <c r="B48" i="41"/>
  <c r="B164" i="28"/>
  <c r="B27" i="27"/>
  <c r="A69" i="26"/>
  <c r="A46" i="26"/>
  <c r="A23" i="26"/>
  <c r="B47" i="25"/>
  <c r="A40" i="22"/>
  <c r="A25" i="22"/>
  <c r="A50" i="81"/>
  <c r="A38" i="85"/>
  <c r="B75" i="78"/>
  <c r="B574" i="58"/>
  <c r="B526" i="58"/>
  <c r="B478" i="58"/>
  <c r="B430" i="58"/>
  <c r="B382" i="58"/>
  <c r="B334" i="58"/>
  <c r="B286" i="58"/>
  <c r="B238" i="58"/>
  <c r="B190" i="58"/>
  <c r="B142" i="58"/>
  <c r="B94" i="58"/>
  <c r="B46" i="58"/>
  <c r="B1033" i="16"/>
  <c r="B671" i="16"/>
  <c r="B610" i="16"/>
  <c r="B549" i="16"/>
  <c r="B488" i="16"/>
  <c r="B427" i="16"/>
  <c r="B366" i="16"/>
  <c r="B305" i="16"/>
  <c r="B244" i="16"/>
  <c r="B183" i="16"/>
  <c r="B122" i="16"/>
  <c r="B61" i="16"/>
  <c r="B91" i="74"/>
  <c r="A152" i="14"/>
  <c r="A126" i="14"/>
  <c r="A102" i="14"/>
  <c r="A79" i="14"/>
  <c r="A56" i="14"/>
  <c r="A30" i="14"/>
  <c r="A104" i="13"/>
  <c r="B23" i="12"/>
  <c r="B45" i="11"/>
  <c r="B306" i="10"/>
  <c r="C105" i="9"/>
  <c r="B32" i="8"/>
  <c r="A54" i="7"/>
  <c r="E84" i="30"/>
  <c r="Y31" i="148"/>
  <c r="AA31" i="148"/>
  <c r="Z31" i="148"/>
  <c r="T34" i="148"/>
  <c r="S34" i="148"/>
  <c r="N32" i="148"/>
  <c r="U31" i="148"/>
  <c r="R31" i="148"/>
  <c r="AA30" i="148"/>
  <c r="Z30" i="148"/>
  <c r="Y30" i="148"/>
  <c r="U30" i="148"/>
  <c r="AN26" i="148"/>
  <c r="AL26" i="148"/>
  <c r="AG26" i="148"/>
  <c r="AF26" i="148"/>
  <c r="AA26" i="148"/>
  <c r="Y26" i="148"/>
  <c r="U26" i="148"/>
  <c r="S26" i="148"/>
  <c r="G26" i="148" s="1"/>
  <c r="AE26" i="148" s="1"/>
  <c r="AN25" i="148"/>
  <c r="AL25" i="148"/>
  <c r="AG25" i="148"/>
  <c r="AF25" i="148"/>
  <c r="AA25" i="148"/>
  <c r="Y25" i="148"/>
  <c r="U25" i="148"/>
  <c r="S25" i="148"/>
  <c r="W25" i="148" s="1"/>
  <c r="AN24" i="148"/>
  <c r="AL24" i="148"/>
  <c r="AG24" i="148"/>
  <c r="AF24" i="148"/>
  <c r="AA24" i="148"/>
  <c r="Y24" i="148"/>
  <c r="U24" i="148"/>
  <c r="S24" i="148"/>
  <c r="W24" i="148" s="1"/>
  <c r="AN23" i="148"/>
  <c r="AL23" i="148"/>
  <c r="AG23" i="148"/>
  <c r="AF23" i="148"/>
  <c r="AA23" i="148"/>
  <c r="Y23" i="148"/>
  <c r="U23" i="148"/>
  <c r="S23" i="148"/>
  <c r="W23" i="148" s="1"/>
  <c r="AN22" i="148"/>
  <c r="AL22" i="148"/>
  <c r="AG22" i="148"/>
  <c r="AF22" i="148"/>
  <c r="AA22" i="148"/>
  <c r="Y22" i="148"/>
  <c r="U22" i="148"/>
  <c r="S22" i="148"/>
  <c r="G22" i="148" s="1"/>
  <c r="AE22" i="148" s="1"/>
  <c r="AN21" i="148"/>
  <c r="AL21" i="148"/>
  <c r="AG21" i="148"/>
  <c r="AF21" i="148"/>
  <c r="AA21" i="148"/>
  <c r="Y21" i="148"/>
  <c r="U21" i="148"/>
  <c r="S21" i="148"/>
  <c r="W21" i="148" s="1"/>
  <c r="AN20" i="148"/>
  <c r="AL20" i="148"/>
  <c r="AG20" i="148"/>
  <c r="AF20" i="148"/>
  <c r="AA20" i="148"/>
  <c r="Y20" i="148"/>
  <c r="U20" i="148"/>
  <c r="S20" i="148"/>
  <c r="W20" i="148" s="1"/>
  <c r="AN19" i="148"/>
  <c r="AL19" i="148"/>
  <c r="AG19" i="148"/>
  <c r="AF19" i="148"/>
  <c r="AA19" i="148"/>
  <c r="Y19" i="148"/>
  <c r="U19" i="148"/>
  <c r="S19" i="148"/>
  <c r="W19" i="148" s="1"/>
  <c r="AN18" i="148"/>
  <c r="AL18" i="148"/>
  <c r="AG18" i="148"/>
  <c r="AF18" i="148"/>
  <c r="AA18" i="148"/>
  <c r="Y18" i="148"/>
  <c r="U18" i="148"/>
  <c r="S18" i="148"/>
  <c r="AN17" i="148"/>
  <c r="AL17" i="148"/>
  <c r="AG17" i="148"/>
  <c r="AF17" i="148"/>
  <c r="AA17" i="148"/>
  <c r="Y17" i="148"/>
  <c r="U17" i="148"/>
  <c r="S17" i="148"/>
  <c r="W17" i="148" s="1"/>
  <c r="AN16" i="148"/>
  <c r="AL16" i="148"/>
  <c r="AG16" i="148"/>
  <c r="AF16" i="148"/>
  <c r="AA16" i="148"/>
  <c r="Y16" i="148"/>
  <c r="U16" i="148"/>
  <c r="S16" i="148"/>
  <c r="W16" i="148" s="1"/>
  <c r="AN15" i="148"/>
  <c r="AL15" i="148"/>
  <c r="AG15" i="148"/>
  <c r="AF15" i="148"/>
  <c r="AA15" i="148"/>
  <c r="Y15" i="148"/>
  <c r="U15" i="148"/>
  <c r="S15" i="148"/>
  <c r="AN14" i="148"/>
  <c r="AL14" i="148"/>
  <c r="AG14" i="148"/>
  <c r="AF14" i="148"/>
  <c r="AA14" i="148"/>
  <c r="Y14" i="148"/>
  <c r="U14" i="148"/>
  <c r="S14" i="148"/>
  <c r="G14" i="148" s="1"/>
  <c r="AE14" i="148" s="1"/>
  <c r="AN13" i="148"/>
  <c r="AL13" i="148"/>
  <c r="AG13" i="148"/>
  <c r="AF13" i="148"/>
  <c r="AA13" i="148"/>
  <c r="Y13" i="148"/>
  <c r="U13" i="148"/>
  <c r="S13" i="148"/>
  <c r="W13" i="148" s="1"/>
  <c r="AN12" i="148"/>
  <c r="AL12" i="148"/>
  <c r="AG12" i="148"/>
  <c r="AF12" i="148"/>
  <c r="AD12" i="148"/>
  <c r="AA12" i="148"/>
  <c r="Y12" i="148"/>
  <c r="U12" i="148"/>
  <c r="S12" i="148"/>
  <c r="W12" i="148" s="1"/>
  <c r="AN11" i="148"/>
  <c r="AL11" i="148"/>
  <c r="AG11" i="148"/>
  <c r="AF11" i="148"/>
  <c r="AD11" i="148"/>
  <c r="AA11" i="148"/>
  <c r="Y11" i="148"/>
  <c r="U11" i="148"/>
  <c r="S11" i="148"/>
  <c r="W11" i="148" s="1"/>
  <c r="AN10" i="148"/>
  <c r="AL10" i="148"/>
  <c r="AG10" i="148"/>
  <c r="AF10" i="148"/>
  <c r="AD10" i="148"/>
  <c r="AA10" i="148"/>
  <c r="Y10" i="148"/>
  <c r="U10" i="148"/>
  <c r="S10" i="148"/>
  <c r="G10" i="148" s="1"/>
  <c r="AE10" i="148" s="1"/>
  <c r="AN9" i="148"/>
  <c r="AL9" i="148"/>
  <c r="AG9" i="148"/>
  <c r="AF9" i="148"/>
  <c r="AD9" i="148"/>
  <c r="AA9" i="148"/>
  <c r="Y9" i="148"/>
  <c r="U9" i="148"/>
  <c r="S9" i="148"/>
  <c r="V9" i="148" s="1"/>
  <c r="AI9" i="148" s="1"/>
  <c r="AN8" i="148"/>
  <c r="AL8" i="148"/>
  <c r="AG8" i="148"/>
  <c r="AF8" i="148"/>
  <c r="AD8" i="148"/>
  <c r="AA8" i="148"/>
  <c r="Y8" i="148"/>
  <c r="U8" i="148"/>
  <c r="S8" i="148"/>
  <c r="W8" i="148" s="1"/>
  <c r="AN7" i="148"/>
  <c r="AL7" i="148"/>
  <c r="AG7" i="148"/>
  <c r="AF7" i="148"/>
  <c r="AD7" i="148"/>
  <c r="AA7" i="148"/>
  <c r="Y7" i="148"/>
  <c r="U7" i="148"/>
  <c r="S7" i="148"/>
  <c r="W7" i="148" s="1"/>
  <c r="U4" i="148"/>
  <c r="N104" i="146"/>
  <c r="N105" i="146"/>
  <c r="N106" i="146"/>
  <c r="N107" i="146"/>
  <c r="N108" i="146"/>
  <c r="N109" i="146"/>
  <c r="N110" i="146"/>
  <c r="N111" i="146"/>
  <c r="N103" i="146"/>
  <c r="O1" i="146"/>
  <c r="R35" i="146"/>
  <c r="O35" i="146"/>
  <c r="Q785" i="112" l="1"/>
  <c r="AD21" i="170"/>
  <c r="S21" i="170"/>
  <c r="AD76" i="170"/>
  <c r="S76" i="170"/>
  <c r="AD68" i="170"/>
  <c r="S68" i="170"/>
  <c r="AD52" i="170"/>
  <c r="S52" i="170"/>
  <c r="AD44" i="170"/>
  <c r="S44" i="170"/>
  <c r="S34" i="170"/>
  <c r="AD34" i="170"/>
  <c r="S39" i="170"/>
  <c r="AD39" i="170"/>
  <c r="S47" i="170"/>
  <c r="AD47" i="170"/>
  <c r="S55" i="170"/>
  <c r="AD55" i="170"/>
  <c r="S63" i="170"/>
  <c r="AD63" i="170"/>
  <c r="S71" i="170"/>
  <c r="AD71" i="170"/>
  <c r="S14" i="170"/>
  <c r="AD14" i="170"/>
  <c r="S74" i="170"/>
  <c r="AD74" i="170"/>
  <c r="S58" i="170"/>
  <c r="AD58" i="170"/>
  <c r="S42" i="170"/>
  <c r="AD42" i="170"/>
  <c r="S30" i="170"/>
  <c r="AD30" i="170"/>
  <c r="AD19" i="170"/>
  <c r="S19" i="170"/>
  <c r="AD57" i="170"/>
  <c r="S57" i="170"/>
  <c r="AD65" i="170"/>
  <c r="S65" i="170"/>
  <c r="S18" i="170"/>
  <c r="AD18" i="170"/>
  <c r="S27" i="170"/>
  <c r="AD27" i="170"/>
  <c r="S78" i="170"/>
  <c r="AD78" i="170"/>
  <c r="S70" i="170"/>
  <c r="AD70" i="170"/>
  <c r="S62" i="170"/>
  <c r="AD62" i="170"/>
  <c r="S54" i="170"/>
  <c r="AD54" i="170"/>
  <c r="S46" i="170"/>
  <c r="AD46" i="170"/>
  <c r="S38" i="170"/>
  <c r="AD38" i="170"/>
  <c r="AD16" i="170"/>
  <c r="S16" i="170"/>
  <c r="AD37" i="170"/>
  <c r="S37" i="170"/>
  <c r="S15" i="170"/>
  <c r="AD15" i="170"/>
  <c r="AD24" i="170"/>
  <c r="S24" i="170"/>
  <c r="AD45" i="170"/>
  <c r="S45" i="170"/>
  <c r="AD53" i="170"/>
  <c r="S53" i="170"/>
  <c r="AD61" i="170"/>
  <c r="S61" i="170"/>
  <c r="AD69" i="170"/>
  <c r="S69" i="170"/>
  <c r="AD77" i="170"/>
  <c r="S77" i="170"/>
  <c r="AD13" i="170"/>
  <c r="S13" i="170"/>
  <c r="AD20" i="170"/>
  <c r="S20" i="170"/>
  <c r="AD60" i="170"/>
  <c r="S60" i="170"/>
  <c r="AD33" i="170"/>
  <c r="S33" i="170"/>
  <c r="AD35" i="170"/>
  <c r="S35" i="170"/>
  <c r="AD17" i="170"/>
  <c r="S17" i="170"/>
  <c r="S66" i="170"/>
  <c r="AD66" i="170"/>
  <c r="S50" i="170"/>
  <c r="AD50" i="170"/>
  <c r="AD29" i="170"/>
  <c r="S29" i="170"/>
  <c r="AD41" i="170"/>
  <c r="S41" i="170"/>
  <c r="AD49" i="170"/>
  <c r="S49" i="170"/>
  <c r="AD73" i="170"/>
  <c r="S73" i="170"/>
  <c r="R23" i="170"/>
  <c r="S23" i="170"/>
  <c r="AD23" i="170"/>
  <c r="S31" i="170"/>
  <c r="AD31" i="170"/>
  <c r="AD72" i="170"/>
  <c r="S72" i="170"/>
  <c r="AD64" i="170"/>
  <c r="S64" i="170"/>
  <c r="AD56" i="170"/>
  <c r="S56" i="170"/>
  <c r="AD48" i="170"/>
  <c r="S48" i="170"/>
  <c r="AD40" i="170"/>
  <c r="S40" i="170"/>
  <c r="S26" i="170"/>
  <c r="AD26" i="170"/>
  <c r="AD25" i="170"/>
  <c r="S25" i="170"/>
  <c r="S22" i="170"/>
  <c r="AD22" i="170"/>
  <c r="S43" i="170"/>
  <c r="AD43" i="170"/>
  <c r="AD51" i="170"/>
  <c r="S51" i="170"/>
  <c r="S59" i="170"/>
  <c r="AD59" i="170"/>
  <c r="AD67" i="170"/>
  <c r="S67" i="170"/>
  <c r="S75" i="170"/>
  <c r="AD75" i="170"/>
  <c r="AD12" i="170"/>
  <c r="S12" i="170"/>
  <c r="R28" i="170"/>
  <c r="AD28" i="170"/>
  <c r="S28" i="170"/>
  <c r="Q32" i="170"/>
  <c r="AD32" i="170"/>
  <c r="S32" i="170"/>
  <c r="S11" i="170"/>
  <c r="AD11" i="170"/>
  <c r="AD10" i="170"/>
  <c r="Y10" i="170"/>
  <c r="K42" i="172"/>
  <c r="M42" i="172" s="1"/>
  <c r="K59" i="172"/>
  <c r="M59" i="172" s="1"/>
  <c r="K32" i="172"/>
  <c r="M32" i="172" s="1"/>
  <c r="K39" i="172"/>
  <c r="M39" i="172" s="1"/>
  <c r="K70" i="172"/>
  <c r="M70" i="172" s="1"/>
  <c r="K54" i="172"/>
  <c r="M54" i="172" s="1"/>
  <c r="K38" i="172"/>
  <c r="M38" i="172" s="1"/>
  <c r="K22" i="172"/>
  <c r="M22" i="172" s="1"/>
  <c r="K73" i="172"/>
  <c r="M73" i="172" s="1"/>
  <c r="K57" i="172"/>
  <c r="M57" i="172" s="1"/>
  <c r="K41" i="172"/>
  <c r="M41" i="172" s="1"/>
  <c r="K25" i="172"/>
  <c r="M25" i="172" s="1"/>
  <c r="K76" i="172"/>
  <c r="M76" i="172" s="1"/>
  <c r="K78" i="172"/>
  <c r="M78" i="172" s="1"/>
  <c r="K74" i="172"/>
  <c r="M74" i="172" s="1"/>
  <c r="K77" i="172"/>
  <c r="M77" i="172" s="1"/>
  <c r="K45" i="172"/>
  <c r="M45" i="172" s="1"/>
  <c r="K63" i="172"/>
  <c r="M63" i="172" s="1"/>
  <c r="K51" i="172"/>
  <c r="M51" i="172" s="1"/>
  <c r="K66" i="172"/>
  <c r="M66" i="172" s="1"/>
  <c r="K50" i="172"/>
  <c r="M50" i="172" s="1"/>
  <c r="K34" i="172"/>
  <c r="M34" i="172" s="1"/>
  <c r="K18" i="172"/>
  <c r="M18" i="172" s="1"/>
  <c r="K69" i="172"/>
  <c r="M69" i="172" s="1"/>
  <c r="K53" i="172"/>
  <c r="M53" i="172" s="1"/>
  <c r="K37" i="172"/>
  <c r="M37" i="172" s="1"/>
  <c r="K21" i="172"/>
  <c r="M21" i="172" s="1"/>
  <c r="K47" i="172"/>
  <c r="M47" i="172" s="1"/>
  <c r="K67" i="172"/>
  <c r="M67" i="172" s="1"/>
  <c r="K35" i="172"/>
  <c r="M35" i="172" s="1"/>
  <c r="K27" i="172"/>
  <c r="M27" i="172" s="1"/>
  <c r="K64" i="172"/>
  <c r="M64" i="172" s="1"/>
  <c r="K71" i="172"/>
  <c r="M71" i="172" s="1"/>
  <c r="K36" i="172"/>
  <c r="M36" i="172" s="1"/>
  <c r="K58" i="172"/>
  <c r="M58" i="172" s="1"/>
  <c r="K26" i="172"/>
  <c r="M26" i="172" s="1"/>
  <c r="K61" i="172"/>
  <c r="M61" i="172" s="1"/>
  <c r="K29" i="172"/>
  <c r="M29" i="172" s="1"/>
  <c r="K31" i="172"/>
  <c r="M31" i="172" s="1"/>
  <c r="K19" i="172"/>
  <c r="M19" i="172" s="1"/>
  <c r="K52" i="172"/>
  <c r="M52" i="172" s="1"/>
  <c r="K62" i="172"/>
  <c r="M62" i="172" s="1"/>
  <c r="K46" i="172"/>
  <c r="M46" i="172" s="1"/>
  <c r="K30" i="172"/>
  <c r="M30" i="172" s="1"/>
  <c r="K65" i="172"/>
  <c r="M65" i="172" s="1"/>
  <c r="K49" i="172"/>
  <c r="M49" i="172" s="1"/>
  <c r="K33" i="172"/>
  <c r="M33" i="172" s="1"/>
  <c r="K17" i="172"/>
  <c r="M17" i="172" s="1"/>
  <c r="K40" i="172"/>
  <c r="M40" i="172" s="1"/>
  <c r="K60" i="172"/>
  <c r="M60" i="172" s="1"/>
  <c r="K28" i="172"/>
  <c r="M28" i="172" s="1"/>
  <c r="K72" i="172"/>
  <c r="M72" i="172" s="1"/>
  <c r="K48" i="172"/>
  <c r="M48" i="172" s="1"/>
  <c r="K55" i="172"/>
  <c r="M55" i="172" s="1"/>
  <c r="K75" i="172"/>
  <c r="M75" i="172" s="1"/>
  <c r="K15" i="172"/>
  <c r="M15" i="172" s="1"/>
  <c r="K10" i="172"/>
  <c r="M10" i="172" s="1"/>
  <c r="K14" i="172"/>
  <c r="M14" i="172" s="1"/>
  <c r="K13" i="172"/>
  <c r="M13" i="172" s="1"/>
  <c r="K11" i="172"/>
  <c r="M11" i="172" s="1"/>
  <c r="U7" i="172"/>
  <c r="J82" i="172" s="1"/>
  <c r="M82" i="172" s="1"/>
  <c r="K12" i="172"/>
  <c r="M12" i="172" s="1"/>
  <c r="L49" i="171"/>
  <c r="N49" i="171" s="1"/>
  <c r="L60" i="171"/>
  <c r="N60" i="171" s="1"/>
  <c r="S60" i="171"/>
  <c r="S49" i="171"/>
  <c r="R10" i="171"/>
  <c r="Q23" i="170"/>
  <c r="K23" i="170" s="1"/>
  <c r="M23" i="170" s="1"/>
  <c r="W7" i="170"/>
  <c r="I82" i="170" s="1"/>
  <c r="K43" i="42" s="1"/>
  <c r="N4" i="172"/>
  <c r="U44" i="42"/>
  <c r="K32" i="170"/>
  <c r="M32" i="170" s="1"/>
  <c r="L10" i="171"/>
  <c r="N10" i="171" s="1"/>
  <c r="S70" i="171"/>
  <c r="R70" i="171"/>
  <c r="L70" i="171"/>
  <c r="N70" i="171" s="1"/>
  <c r="S37" i="171"/>
  <c r="L37" i="171"/>
  <c r="N37" i="171" s="1"/>
  <c r="R37" i="171"/>
  <c r="S33" i="171"/>
  <c r="L33" i="171"/>
  <c r="N33" i="171" s="1"/>
  <c r="R33" i="171"/>
  <c r="L9" i="171"/>
  <c r="N9" i="171" s="1"/>
  <c r="R9" i="171"/>
  <c r="S9" i="171" s="1"/>
  <c r="S32" i="171"/>
  <c r="L32" i="171"/>
  <c r="N32" i="171" s="1"/>
  <c r="R32" i="171"/>
  <c r="S69" i="171"/>
  <c r="L69" i="171"/>
  <c r="N69" i="171" s="1"/>
  <c r="R69" i="171"/>
  <c r="S52" i="171"/>
  <c r="L52" i="171"/>
  <c r="N52" i="171" s="1"/>
  <c r="R52" i="171"/>
  <c r="S65" i="171"/>
  <c r="L65" i="171"/>
  <c r="N65" i="171" s="1"/>
  <c r="R65" i="171"/>
  <c r="S44" i="171"/>
  <c r="L44" i="171"/>
  <c r="N44" i="171" s="1"/>
  <c r="R44" i="171"/>
  <c r="L15" i="171"/>
  <c r="N15" i="171" s="1"/>
  <c r="S15" i="171"/>
  <c r="R15" i="171"/>
  <c r="S61" i="171"/>
  <c r="L61" i="171"/>
  <c r="N61" i="171" s="1"/>
  <c r="R61" i="171"/>
  <c r="R31" i="171"/>
  <c r="S31" i="171"/>
  <c r="L31" i="171"/>
  <c r="N31" i="171" s="1"/>
  <c r="R47" i="171"/>
  <c r="S47" i="171"/>
  <c r="L47" i="171"/>
  <c r="N47" i="171" s="1"/>
  <c r="R63" i="171"/>
  <c r="S63" i="171"/>
  <c r="L63" i="171"/>
  <c r="N63" i="171" s="1"/>
  <c r="S26" i="171"/>
  <c r="R26" i="171"/>
  <c r="L26" i="171"/>
  <c r="N26" i="171" s="1"/>
  <c r="S42" i="171"/>
  <c r="R42" i="171"/>
  <c r="L42" i="171"/>
  <c r="N42" i="171" s="1"/>
  <c r="R58" i="171"/>
  <c r="L58" i="171"/>
  <c r="N58" i="171" s="1"/>
  <c r="S58" i="171"/>
  <c r="R74" i="171"/>
  <c r="L74" i="171"/>
  <c r="N74" i="171" s="1"/>
  <c r="S74" i="171"/>
  <c r="S54" i="171"/>
  <c r="R54" i="171"/>
  <c r="L54" i="171"/>
  <c r="N54" i="171" s="1"/>
  <c r="S29" i="171"/>
  <c r="L29" i="171"/>
  <c r="N29" i="171" s="1"/>
  <c r="R29" i="171"/>
  <c r="S25" i="171"/>
  <c r="L25" i="171"/>
  <c r="N25" i="171" s="1"/>
  <c r="R25" i="171"/>
  <c r="S17" i="171"/>
  <c r="L17" i="171"/>
  <c r="N17" i="171" s="1"/>
  <c r="R17" i="171"/>
  <c r="S36" i="171"/>
  <c r="L36" i="171"/>
  <c r="N36" i="171" s="1"/>
  <c r="R36" i="171"/>
  <c r="R12" i="171"/>
  <c r="S12" i="171"/>
  <c r="L12" i="171"/>
  <c r="N12" i="171" s="1"/>
  <c r="S57" i="171"/>
  <c r="L57" i="171"/>
  <c r="N57" i="171" s="1"/>
  <c r="R57" i="171"/>
  <c r="S76" i="171"/>
  <c r="L76" i="171"/>
  <c r="N76" i="171" s="1"/>
  <c r="R76" i="171"/>
  <c r="S53" i="171"/>
  <c r="L53" i="171"/>
  <c r="N53" i="171" s="1"/>
  <c r="R53" i="171"/>
  <c r="S19" i="171"/>
  <c r="L19" i="171"/>
  <c r="N19" i="171" s="1"/>
  <c r="R19" i="171"/>
  <c r="S72" i="171"/>
  <c r="L72" i="171"/>
  <c r="N72" i="171" s="1"/>
  <c r="R72" i="171"/>
  <c r="R35" i="171"/>
  <c r="S35" i="171"/>
  <c r="L35" i="171"/>
  <c r="N35" i="171" s="1"/>
  <c r="R51" i="171"/>
  <c r="S51" i="171"/>
  <c r="L51" i="171"/>
  <c r="N51" i="171" s="1"/>
  <c r="R67" i="171"/>
  <c r="S67" i="171"/>
  <c r="L67" i="171"/>
  <c r="N67" i="171" s="1"/>
  <c r="R30" i="171"/>
  <c r="S30" i="171"/>
  <c r="L30" i="171"/>
  <c r="N30" i="171" s="1"/>
  <c r="S46" i="171"/>
  <c r="R46" i="171"/>
  <c r="L46" i="171"/>
  <c r="N46" i="171" s="1"/>
  <c r="L62" i="171"/>
  <c r="N62" i="171" s="1"/>
  <c r="S62" i="171"/>
  <c r="R62" i="171"/>
  <c r="L78" i="171"/>
  <c r="N78" i="171" s="1"/>
  <c r="S78" i="171"/>
  <c r="R78" i="171"/>
  <c r="S45" i="171"/>
  <c r="L45" i="171"/>
  <c r="N45" i="171" s="1"/>
  <c r="R45" i="171"/>
  <c r="S41" i="171"/>
  <c r="L41" i="171"/>
  <c r="N41" i="171" s="1"/>
  <c r="R41" i="171"/>
  <c r="S24" i="171"/>
  <c r="L24" i="171"/>
  <c r="N24" i="171" s="1"/>
  <c r="R24" i="171"/>
  <c r="S48" i="171"/>
  <c r="L48" i="171"/>
  <c r="N48" i="171" s="1"/>
  <c r="R48" i="171"/>
  <c r="R20" i="171"/>
  <c r="L20" i="171"/>
  <c r="N20" i="171" s="1"/>
  <c r="S20" i="171"/>
  <c r="S73" i="171"/>
  <c r="L73" i="171"/>
  <c r="N73" i="171" s="1"/>
  <c r="R73" i="171"/>
  <c r="S28" i="171"/>
  <c r="L28" i="171"/>
  <c r="N28" i="171" s="1"/>
  <c r="R28" i="171"/>
  <c r="S11" i="171"/>
  <c r="L11" i="171"/>
  <c r="N11" i="171" s="1"/>
  <c r="R11" i="171"/>
  <c r="S56" i="171"/>
  <c r="L56" i="171"/>
  <c r="N56" i="171" s="1"/>
  <c r="R56" i="171"/>
  <c r="R27" i="171"/>
  <c r="S27" i="171"/>
  <c r="L27" i="171"/>
  <c r="N27" i="171" s="1"/>
  <c r="R43" i="171"/>
  <c r="S43" i="171"/>
  <c r="L43" i="171"/>
  <c r="N43" i="171" s="1"/>
  <c r="R59" i="171"/>
  <c r="L59" i="171"/>
  <c r="N59" i="171" s="1"/>
  <c r="S59" i="171"/>
  <c r="R75" i="171"/>
  <c r="L75" i="171"/>
  <c r="N75" i="171" s="1"/>
  <c r="S75" i="171"/>
  <c r="S38" i="171"/>
  <c r="R38" i="171"/>
  <c r="L38" i="171"/>
  <c r="N38" i="171" s="1"/>
  <c r="S14" i="171"/>
  <c r="L14" i="171"/>
  <c r="N14" i="171" s="1"/>
  <c r="R14" i="171"/>
  <c r="S18" i="171"/>
  <c r="L18" i="171"/>
  <c r="N18" i="171" s="1"/>
  <c r="R18" i="171"/>
  <c r="S21" i="171"/>
  <c r="L21" i="171"/>
  <c r="N21" i="171" s="1"/>
  <c r="R21" i="171"/>
  <c r="S40" i="171"/>
  <c r="L40" i="171"/>
  <c r="N40" i="171" s="1"/>
  <c r="R40" i="171"/>
  <c r="R16" i="171"/>
  <c r="L16" i="171"/>
  <c r="N16" i="171" s="1"/>
  <c r="S16" i="171"/>
  <c r="S68" i="171"/>
  <c r="L68" i="171"/>
  <c r="N68" i="171" s="1"/>
  <c r="R68" i="171"/>
  <c r="S13" i="171"/>
  <c r="L13" i="171"/>
  <c r="N13" i="171" s="1"/>
  <c r="R13" i="171"/>
  <c r="S64" i="171"/>
  <c r="L64" i="171"/>
  <c r="N64" i="171" s="1"/>
  <c r="R64" i="171"/>
  <c r="S23" i="171"/>
  <c r="L23" i="171"/>
  <c r="N23" i="171" s="1"/>
  <c r="R23" i="171"/>
  <c r="S77" i="171"/>
  <c r="L77" i="171"/>
  <c r="N77" i="171" s="1"/>
  <c r="R77" i="171"/>
  <c r="R39" i="171"/>
  <c r="S39" i="171"/>
  <c r="L39" i="171"/>
  <c r="N39" i="171" s="1"/>
  <c r="R55" i="171"/>
  <c r="L55" i="171"/>
  <c r="N55" i="171" s="1"/>
  <c r="S55" i="171"/>
  <c r="R71" i="171"/>
  <c r="L71" i="171"/>
  <c r="N71" i="171" s="1"/>
  <c r="S71" i="171"/>
  <c r="S34" i="171"/>
  <c r="R34" i="171"/>
  <c r="L34" i="171"/>
  <c r="N34" i="171" s="1"/>
  <c r="S50" i="171"/>
  <c r="R50" i="171"/>
  <c r="L50" i="171"/>
  <c r="N50" i="171" s="1"/>
  <c r="R66" i="171"/>
  <c r="S66" i="171"/>
  <c r="L66" i="171"/>
  <c r="N66" i="171" s="1"/>
  <c r="O4" i="171"/>
  <c r="Q28" i="170"/>
  <c r="R32" i="170"/>
  <c r="K36" i="170"/>
  <c r="M36" i="170" s="1"/>
  <c r="Q76" i="170"/>
  <c r="R76" i="170"/>
  <c r="Q68" i="170"/>
  <c r="R68" i="170"/>
  <c r="Q52" i="170"/>
  <c r="R52" i="170"/>
  <c r="Q44" i="170"/>
  <c r="R44" i="170"/>
  <c r="R34" i="170"/>
  <c r="Q34" i="170"/>
  <c r="R33" i="170"/>
  <c r="Q33" i="170"/>
  <c r="R21" i="170"/>
  <c r="Q21" i="170"/>
  <c r="K21" i="170" s="1"/>
  <c r="M21" i="170" s="1"/>
  <c r="Q74" i="170"/>
  <c r="R74" i="170"/>
  <c r="Q66" i="170"/>
  <c r="R66" i="170"/>
  <c r="Q58" i="170"/>
  <c r="R58" i="170"/>
  <c r="Q50" i="170"/>
  <c r="R50" i="170"/>
  <c r="Q42" i="170"/>
  <c r="R42" i="170"/>
  <c r="R30" i="170"/>
  <c r="Q30" i="170"/>
  <c r="Q9" i="170"/>
  <c r="R9" i="170" s="1"/>
  <c r="N4" i="170"/>
  <c r="Q39" i="170"/>
  <c r="R39" i="170"/>
  <c r="Q47" i="170"/>
  <c r="R47" i="170"/>
  <c r="Q55" i="170"/>
  <c r="R55" i="170"/>
  <c r="Q63" i="170"/>
  <c r="R63" i="170"/>
  <c r="Q71" i="170"/>
  <c r="R71" i="170"/>
  <c r="Q10" i="170"/>
  <c r="Q14" i="170"/>
  <c r="R31" i="170"/>
  <c r="Q31" i="170"/>
  <c r="K31" i="170" s="1"/>
  <c r="M31" i="170" s="1"/>
  <c r="Q20" i="170"/>
  <c r="R20" i="170" s="1"/>
  <c r="Q78" i="170"/>
  <c r="R78" i="170"/>
  <c r="Q70" i="170"/>
  <c r="R70" i="170"/>
  <c r="Q62" i="170"/>
  <c r="R62" i="170"/>
  <c r="Q54" i="170"/>
  <c r="K54" i="170" s="1"/>
  <c r="M54" i="170" s="1"/>
  <c r="R54" i="170"/>
  <c r="Q46" i="170"/>
  <c r="R46" i="170"/>
  <c r="Q38" i="170"/>
  <c r="K38" i="170" s="1"/>
  <c r="M38" i="170" s="1"/>
  <c r="R38" i="170"/>
  <c r="R37" i="170"/>
  <c r="Q37" i="170"/>
  <c r="R25" i="170"/>
  <c r="Q25" i="170"/>
  <c r="Q22" i="170"/>
  <c r="R22" i="170"/>
  <c r="Q43" i="170"/>
  <c r="R43" i="170"/>
  <c r="Q51" i="170"/>
  <c r="R51" i="170"/>
  <c r="Q59" i="170"/>
  <c r="K59" i="170" s="1"/>
  <c r="M59" i="170" s="1"/>
  <c r="R59" i="170"/>
  <c r="Q67" i="170"/>
  <c r="R67" i="170"/>
  <c r="Q75" i="170"/>
  <c r="R75" i="170"/>
  <c r="Q12" i="170"/>
  <c r="R27" i="170"/>
  <c r="Q27" i="170"/>
  <c r="K27" i="170" s="1"/>
  <c r="M27" i="170" s="1"/>
  <c r="R17" i="170"/>
  <c r="Q17" i="170"/>
  <c r="Q60" i="170"/>
  <c r="R60" i="170"/>
  <c r="Q24" i="170"/>
  <c r="R24" i="170"/>
  <c r="Q45" i="170"/>
  <c r="R45" i="170"/>
  <c r="Q53" i="170"/>
  <c r="R53" i="170"/>
  <c r="Q61" i="170"/>
  <c r="R61" i="170"/>
  <c r="Q69" i="170"/>
  <c r="R69" i="170"/>
  <c r="Q77" i="170"/>
  <c r="R77" i="170"/>
  <c r="R13" i="170"/>
  <c r="Q13" i="170"/>
  <c r="R35" i="170"/>
  <c r="Q35" i="170"/>
  <c r="Y9" i="170"/>
  <c r="Q72" i="170"/>
  <c r="R72" i="170"/>
  <c r="Q64" i="170"/>
  <c r="R64" i="170"/>
  <c r="Q56" i="170"/>
  <c r="R56" i="170"/>
  <c r="Q48" i="170"/>
  <c r="K48" i="170" s="1"/>
  <c r="M48" i="170" s="1"/>
  <c r="R48" i="170"/>
  <c r="Q40" i="170"/>
  <c r="R40" i="170"/>
  <c r="R26" i="170"/>
  <c r="Q26" i="170"/>
  <c r="Q16" i="170"/>
  <c r="R16" i="170" s="1"/>
  <c r="R29" i="170"/>
  <c r="Q29" i="170"/>
  <c r="K29" i="170" s="1"/>
  <c r="M29" i="170" s="1"/>
  <c r="Q15" i="170"/>
  <c r="Q19" i="170"/>
  <c r="R19" i="170"/>
  <c r="Q41" i="170"/>
  <c r="K41" i="170" s="1"/>
  <c r="M41" i="170" s="1"/>
  <c r="R41" i="170"/>
  <c r="Q49" i="170"/>
  <c r="R49" i="170"/>
  <c r="Q57" i="170"/>
  <c r="R57" i="170"/>
  <c r="Q65" i="170"/>
  <c r="K65" i="170" s="1"/>
  <c r="M65" i="170" s="1"/>
  <c r="R65" i="170"/>
  <c r="Q73" i="170"/>
  <c r="R73" i="170"/>
  <c r="Q11" i="170"/>
  <c r="R11" i="170" s="1"/>
  <c r="Q18" i="170"/>
  <c r="R18" i="170" s="1"/>
  <c r="Q784" i="112"/>
  <c r="AQ11" i="148"/>
  <c r="AQ21" i="148"/>
  <c r="G9" i="148"/>
  <c r="AE9" i="148" s="1"/>
  <c r="AH9" i="148" s="1"/>
  <c r="G21" i="148"/>
  <c r="AE21" i="148" s="1"/>
  <c r="AQ15" i="148"/>
  <c r="AQ10" i="148"/>
  <c r="AQ13" i="148"/>
  <c r="V21" i="148"/>
  <c r="AI21" i="148" s="1"/>
  <c r="AQ22" i="148"/>
  <c r="AQ25" i="148"/>
  <c r="AQ26" i="148"/>
  <c r="V20" i="148"/>
  <c r="AI20" i="148" s="1"/>
  <c r="G20" i="148"/>
  <c r="AE20" i="148" s="1"/>
  <c r="AQ18" i="148"/>
  <c r="AQ14" i="148"/>
  <c r="AQ9" i="148"/>
  <c r="W9" i="148"/>
  <c r="X9" i="148" s="1"/>
  <c r="AQ17" i="148"/>
  <c r="V12" i="148"/>
  <c r="AI12" i="148" s="1"/>
  <c r="V16" i="148"/>
  <c r="AI16" i="148" s="1"/>
  <c r="V17" i="148"/>
  <c r="AI17" i="148" s="1"/>
  <c r="AQ19" i="148"/>
  <c r="AQ23" i="148"/>
  <c r="G12" i="148"/>
  <c r="AE12" i="148" s="1"/>
  <c r="G16" i="148"/>
  <c r="AE16" i="148" s="1"/>
  <c r="G17" i="148"/>
  <c r="AQ7" i="148"/>
  <c r="G8" i="148"/>
  <c r="AE8" i="148" s="1"/>
  <c r="V8" i="148"/>
  <c r="AI8" i="148" s="1"/>
  <c r="V13" i="148"/>
  <c r="AI13" i="148" s="1"/>
  <c r="V24" i="148"/>
  <c r="AI24" i="148" s="1"/>
  <c r="V25" i="148"/>
  <c r="AI25" i="148" s="1"/>
  <c r="G13" i="148"/>
  <c r="G24" i="148"/>
  <c r="G25" i="148"/>
  <c r="V15" i="148"/>
  <c r="G15" i="148"/>
  <c r="W22" i="148"/>
  <c r="V22" i="148"/>
  <c r="V19" i="148"/>
  <c r="X19" i="148" s="1"/>
  <c r="G19" i="148"/>
  <c r="AQ24" i="148"/>
  <c r="AQ16" i="148"/>
  <c r="W18" i="148"/>
  <c r="V18" i="148"/>
  <c r="W10" i="148"/>
  <c r="V10" i="148"/>
  <c r="AQ20" i="148"/>
  <c r="V7" i="148"/>
  <c r="AI7" i="148" s="1"/>
  <c r="G7" i="148"/>
  <c r="S35" i="148"/>
  <c r="AQ8" i="148"/>
  <c r="V11" i="148"/>
  <c r="AI11" i="148" s="1"/>
  <c r="G11" i="148"/>
  <c r="AQ12" i="148"/>
  <c r="W14" i="148"/>
  <c r="V14" i="148"/>
  <c r="W15" i="148"/>
  <c r="G18" i="148"/>
  <c r="V23" i="148"/>
  <c r="AI23" i="148" s="1"/>
  <c r="G23" i="148"/>
  <c r="W26" i="148"/>
  <c r="V26" i="148"/>
  <c r="R37" i="131"/>
  <c r="S37" i="131" s="1"/>
  <c r="P1" i="146"/>
  <c r="S77" i="146"/>
  <c r="R77" i="146"/>
  <c r="N99" i="146"/>
  <c r="N33" i="146"/>
  <c r="N12" i="146"/>
  <c r="U16" i="136"/>
  <c r="I28" i="114"/>
  <c r="I27" i="114"/>
  <c r="I16" i="114"/>
  <c r="M52" i="114"/>
  <c r="I52" i="114" s="1"/>
  <c r="M51" i="114"/>
  <c r="I51" i="114" s="1"/>
  <c r="M50" i="114"/>
  <c r="I50" i="114" s="1"/>
  <c r="M49" i="114"/>
  <c r="I49" i="114" s="1"/>
  <c r="M48" i="114"/>
  <c r="I48" i="114" s="1"/>
  <c r="M47" i="114"/>
  <c r="I47" i="114" s="1"/>
  <c r="M46" i="114"/>
  <c r="I46" i="114" s="1"/>
  <c r="M45" i="114"/>
  <c r="I45" i="114" s="1"/>
  <c r="M44" i="114"/>
  <c r="I44" i="114" s="1"/>
  <c r="M43" i="114"/>
  <c r="I43" i="114" s="1"/>
  <c r="M42" i="114"/>
  <c r="I42" i="114" s="1"/>
  <c r="M41" i="114"/>
  <c r="I41" i="114" s="1"/>
  <c r="M40" i="114"/>
  <c r="I40" i="114" s="1"/>
  <c r="M39" i="114"/>
  <c r="I39" i="114" s="1"/>
  <c r="M38" i="114"/>
  <c r="I38" i="114" s="1"/>
  <c r="M37" i="114"/>
  <c r="I37" i="114" s="1"/>
  <c r="M36" i="114"/>
  <c r="I36" i="114" s="1"/>
  <c r="M35" i="114"/>
  <c r="I35" i="114" s="1"/>
  <c r="M34" i="114"/>
  <c r="I34" i="114" s="1"/>
  <c r="M33" i="114"/>
  <c r="I33" i="114" s="1"/>
  <c r="M32" i="114"/>
  <c r="I32" i="114" s="1"/>
  <c r="M31" i="114"/>
  <c r="I31" i="114" s="1"/>
  <c r="M30" i="114"/>
  <c r="I30" i="114" s="1"/>
  <c r="M29" i="114"/>
  <c r="I29" i="114" s="1"/>
  <c r="M28" i="114"/>
  <c r="M27" i="114"/>
  <c r="M26" i="114"/>
  <c r="I26" i="114" s="1"/>
  <c r="M25" i="114"/>
  <c r="I25" i="114" s="1"/>
  <c r="M24" i="114"/>
  <c r="I24" i="114" s="1"/>
  <c r="M23" i="114"/>
  <c r="I23" i="114" s="1"/>
  <c r="M22" i="114"/>
  <c r="I22" i="114" s="1"/>
  <c r="M21" i="114"/>
  <c r="I21" i="114" s="1"/>
  <c r="M20" i="114"/>
  <c r="I20" i="114" s="1"/>
  <c r="M19" i="114"/>
  <c r="I19" i="114" s="1"/>
  <c r="M18" i="114"/>
  <c r="I18" i="114" s="1"/>
  <c r="M17" i="114"/>
  <c r="I17" i="114" s="1"/>
  <c r="M16" i="114"/>
  <c r="H16" i="114" s="1"/>
  <c r="M15" i="114"/>
  <c r="M14" i="114"/>
  <c r="M13" i="114"/>
  <c r="M53" i="114"/>
  <c r="M12" i="114"/>
  <c r="AB97" i="83"/>
  <c r="AB98" i="83"/>
  <c r="AB99" i="83"/>
  <c r="AB100" i="83"/>
  <c r="AB101" i="83"/>
  <c r="AB102" i="83"/>
  <c r="AB103" i="83"/>
  <c r="AB104" i="83"/>
  <c r="AB105" i="83"/>
  <c r="AB106" i="83"/>
  <c r="AB107" i="83"/>
  <c r="AB108" i="83"/>
  <c r="AB109" i="83"/>
  <c r="AB110" i="83"/>
  <c r="AB111" i="83"/>
  <c r="AB112" i="83"/>
  <c r="AB113" i="83"/>
  <c r="AB114" i="83"/>
  <c r="AB115" i="83"/>
  <c r="AB116" i="83"/>
  <c r="AB117" i="83"/>
  <c r="AH94" i="83"/>
  <c r="S11" i="159"/>
  <c r="Q9" i="159" s="1"/>
  <c r="O1" i="169"/>
  <c r="I10" i="166"/>
  <c r="J10" i="166" s="1"/>
  <c r="AA735" i="112"/>
  <c r="V735" i="112"/>
  <c r="U735" i="112"/>
  <c r="T735" i="112"/>
  <c r="AA734" i="112"/>
  <c r="V734" i="112"/>
  <c r="U734" i="112"/>
  <c r="T734" i="112"/>
  <c r="AA733" i="112"/>
  <c r="V733" i="112"/>
  <c r="U733" i="112"/>
  <c r="T733" i="112"/>
  <c r="AA732" i="112"/>
  <c r="V732" i="112"/>
  <c r="U732" i="112"/>
  <c r="T732" i="112"/>
  <c r="AA731" i="112"/>
  <c r="V731" i="112"/>
  <c r="U731" i="112"/>
  <c r="T731" i="112"/>
  <c r="AA730" i="112"/>
  <c r="V730" i="112"/>
  <c r="U730" i="112"/>
  <c r="T730" i="112"/>
  <c r="AA729" i="112"/>
  <c r="V729" i="112"/>
  <c r="U729" i="112"/>
  <c r="T729" i="112"/>
  <c r="AA728" i="112"/>
  <c r="V728" i="112"/>
  <c r="U728" i="112"/>
  <c r="T728" i="112"/>
  <c r="AA727" i="112"/>
  <c r="V727" i="112"/>
  <c r="U727" i="112"/>
  <c r="T727" i="112"/>
  <c r="AA726" i="112"/>
  <c r="V726" i="112"/>
  <c r="U726" i="112"/>
  <c r="T726" i="112"/>
  <c r="AA725" i="112"/>
  <c r="V725" i="112"/>
  <c r="U725" i="112"/>
  <c r="T725" i="112"/>
  <c r="AA724" i="112"/>
  <c r="V724" i="112"/>
  <c r="U724" i="112"/>
  <c r="T724" i="112"/>
  <c r="AA723" i="112"/>
  <c r="V723" i="112"/>
  <c r="U723" i="112"/>
  <c r="T723" i="112"/>
  <c r="AA722" i="112"/>
  <c r="V722" i="112"/>
  <c r="U722" i="112"/>
  <c r="T722" i="112"/>
  <c r="AA721" i="112"/>
  <c r="V721" i="112"/>
  <c r="U721" i="112"/>
  <c r="T721" i="112"/>
  <c r="AA720" i="112"/>
  <c r="V720" i="112"/>
  <c r="U720" i="112"/>
  <c r="T720" i="112"/>
  <c r="AA719" i="112"/>
  <c r="V719" i="112"/>
  <c r="U719" i="112"/>
  <c r="T719" i="112"/>
  <c r="AA718" i="112"/>
  <c r="V718" i="112"/>
  <c r="U718" i="112"/>
  <c r="T718" i="112"/>
  <c r="AA717" i="112"/>
  <c r="V717" i="112"/>
  <c r="U717" i="112"/>
  <c r="T717" i="112"/>
  <c r="AA716" i="112"/>
  <c r="V716" i="112"/>
  <c r="U716" i="112"/>
  <c r="T716" i="112"/>
  <c r="AA715" i="112"/>
  <c r="V715" i="112"/>
  <c r="U715" i="112"/>
  <c r="T715" i="112"/>
  <c r="AA714" i="112"/>
  <c r="V714" i="112"/>
  <c r="U714" i="112"/>
  <c r="T714" i="112"/>
  <c r="AA713" i="112"/>
  <c r="V713" i="112"/>
  <c r="U713" i="112"/>
  <c r="T713" i="112"/>
  <c r="AA712" i="112"/>
  <c r="V712" i="112"/>
  <c r="U712" i="112"/>
  <c r="T712" i="112"/>
  <c r="AA711" i="112"/>
  <c r="V711" i="112"/>
  <c r="U711" i="112"/>
  <c r="T711" i="112"/>
  <c r="AA710" i="112"/>
  <c r="V710" i="112"/>
  <c r="U710" i="112"/>
  <c r="T710" i="112"/>
  <c r="AA709" i="112"/>
  <c r="V709" i="112"/>
  <c r="U709" i="112"/>
  <c r="T709" i="112"/>
  <c r="AA708" i="112"/>
  <c r="V708" i="112"/>
  <c r="U708" i="112"/>
  <c r="T708" i="112"/>
  <c r="AA707" i="112"/>
  <c r="V707" i="112"/>
  <c r="U707" i="112"/>
  <c r="T707" i="112"/>
  <c r="AA706" i="112"/>
  <c r="V706" i="112"/>
  <c r="U706" i="112"/>
  <c r="T706" i="112"/>
  <c r="AA705" i="112"/>
  <c r="V705" i="112"/>
  <c r="U705" i="112"/>
  <c r="T705" i="112"/>
  <c r="AA704" i="112"/>
  <c r="V704" i="112"/>
  <c r="U704" i="112"/>
  <c r="T704" i="112"/>
  <c r="AA703" i="112"/>
  <c r="V703" i="112"/>
  <c r="U703" i="112"/>
  <c r="T703" i="112"/>
  <c r="AA702" i="112"/>
  <c r="V702" i="112"/>
  <c r="U702" i="112"/>
  <c r="T702" i="112"/>
  <c r="AA701" i="112"/>
  <c r="V701" i="112"/>
  <c r="U701" i="112"/>
  <c r="T701" i="112"/>
  <c r="AA700" i="112"/>
  <c r="V700" i="112"/>
  <c r="U700" i="112"/>
  <c r="T700" i="112"/>
  <c r="AA699" i="112"/>
  <c r="V699" i="112"/>
  <c r="U699" i="112"/>
  <c r="T699" i="112"/>
  <c r="AA698" i="112"/>
  <c r="V698" i="112"/>
  <c r="U698" i="112"/>
  <c r="T698" i="112"/>
  <c r="AA697" i="112"/>
  <c r="V697" i="112"/>
  <c r="U697" i="112"/>
  <c r="T697" i="112"/>
  <c r="AA696" i="112"/>
  <c r="V696" i="112"/>
  <c r="U696" i="112"/>
  <c r="T696" i="112"/>
  <c r="AA695" i="112"/>
  <c r="V695" i="112"/>
  <c r="U695" i="112"/>
  <c r="T695" i="112"/>
  <c r="AA694" i="112"/>
  <c r="V694" i="112"/>
  <c r="U694" i="112"/>
  <c r="T694" i="112"/>
  <c r="AA693" i="112"/>
  <c r="V693" i="112"/>
  <c r="U693" i="112"/>
  <c r="T693" i="112"/>
  <c r="AA692" i="112"/>
  <c r="V692" i="112"/>
  <c r="U692" i="112"/>
  <c r="T692" i="112"/>
  <c r="AA691" i="112"/>
  <c r="V691" i="112"/>
  <c r="U691" i="112"/>
  <c r="T691" i="112"/>
  <c r="AA690" i="112"/>
  <c r="V690" i="112"/>
  <c r="U690" i="112"/>
  <c r="T690" i="112"/>
  <c r="AA689" i="112"/>
  <c r="V689" i="112"/>
  <c r="U689" i="112"/>
  <c r="T689" i="112"/>
  <c r="AA688" i="112"/>
  <c r="V688" i="112"/>
  <c r="U688" i="112"/>
  <c r="T688" i="112"/>
  <c r="AA687" i="112"/>
  <c r="V687" i="112"/>
  <c r="U687" i="112"/>
  <c r="T687" i="112"/>
  <c r="AA686" i="112"/>
  <c r="V686" i="112"/>
  <c r="U686" i="112"/>
  <c r="T686" i="112"/>
  <c r="AA685" i="112"/>
  <c r="V685" i="112"/>
  <c r="U685" i="112"/>
  <c r="T685" i="112"/>
  <c r="AA684" i="112"/>
  <c r="V684" i="112"/>
  <c r="U684" i="112"/>
  <c r="T684" i="112"/>
  <c r="AA683" i="112"/>
  <c r="V683" i="112"/>
  <c r="U683" i="112"/>
  <c r="T683" i="112"/>
  <c r="AA682" i="112"/>
  <c r="V682" i="112"/>
  <c r="U682" i="112"/>
  <c r="T682" i="112"/>
  <c r="AA681" i="112"/>
  <c r="V681" i="112"/>
  <c r="U681" i="112"/>
  <c r="T681" i="112"/>
  <c r="AA680" i="112"/>
  <c r="V680" i="112"/>
  <c r="U680" i="112"/>
  <c r="T680" i="112"/>
  <c r="AA679" i="112"/>
  <c r="V679" i="112"/>
  <c r="U679" i="112"/>
  <c r="T679" i="112"/>
  <c r="AA678" i="112"/>
  <c r="V678" i="112"/>
  <c r="U678" i="112"/>
  <c r="T678" i="112"/>
  <c r="AA677" i="112"/>
  <c r="V677" i="112"/>
  <c r="U677" i="112"/>
  <c r="T677" i="112"/>
  <c r="AA676" i="112"/>
  <c r="V676" i="112"/>
  <c r="U676" i="112"/>
  <c r="T676" i="112"/>
  <c r="AA675" i="112"/>
  <c r="V675" i="112"/>
  <c r="U675" i="112"/>
  <c r="T675" i="112"/>
  <c r="AA674" i="112"/>
  <c r="V674" i="112"/>
  <c r="U674" i="112"/>
  <c r="T674" i="112"/>
  <c r="AA673" i="112"/>
  <c r="V673" i="112"/>
  <c r="U673" i="112"/>
  <c r="T673" i="112"/>
  <c r="AA672" i="112"/>
  <c r="V672" i="112"/>
  <c r="U672" i="112"/>
  <c r="T672" i="112"/>
  <c r="AA671" i="112"/>
  <c r="V671" i="112"/>
  <c r="U671" i="112"/>
  <c r="T671" i="112"/>
  <c r="AA670" i="112"/>
  <c r="V670" i="112"/>
  <c r="U670" i="112"/>
  <c r="T670" i="112"/>
  <c r="AA669" i="112"/>
  <c r="V669" i="112"/>
  <c r="U669" i="112"/>
  <c r="T669" i="112"/>
  <c r="AA668" i="112"/>
  <c r="V668" i="112"/>
  <c r="U668" i="112"/>
  <c r="T668" i="112"/>
  <c r="AA667" i="112"/>
  <c r="V667" i="112"/>
  <c r="U667" i="112"/>
  <c r="T667" i="112"/>
  <c r="AA666" i="112"/>
  <c r="V666" i="112"/>
  <c r="U666" i="112"/>
  <c r="T666" i="112"/>
  <c r="AA665" i="112"/>
  <c r="V665" i="112"/>
  <c r="U665" i="112"/>
  <c r="T665" i="112"/>
  <c r="AA664" i="112"/>
  <c r="V664" i="112"/>
  <c r="U664" i="112"/>
  <c r="T664" i="112"/>
  <c r="AA663" i="112"/>
  <c r="V663" i="112"/>
  <c r="U663" i="112"/>
  <c r="T663" i="112"/>
  <c r="AA662" i="112"/>
  <c r="V662" i="112"/>
  <c r="U662" i="112"/>
  <c r="T662" i="112"/>
  <c r="AA661" i="112"/>
  <c r="V661" i="112"/>
  <c r="U661" i="112"/>
  <c r="T661" i="112"/>
  <c r="AA660" i="112"/>
  <c r="V660" i="112"/>
  <c r="U660" i="112"/>
  <c r="T660" i="112"/>
  <c r="AA659" i="112"/>
  <c r="V659" i="112"/>
  <c r="U659" i="112"/>
  <c r="T659" i="112"/>
  <c r="AA658" i="112"/>
  <c r="V658" i="112"/>
  <c r="U658" i="112"/>
  <c r="T658" i="112"/>
  <c r="AA657" i="112"/>
  <c r="V657" i="112"/>
  <c r="U657" i="112"/>
  <c r="T657" i="112"/>
  <c r="AA656" i="112"/>
  <c r="V656" i="112"/>
  <c r="U656" i="112"/>
  <c r="T656" i="112"/>
  <c r="AA655" i="112"/>
  <c r="V655" i="112"/>
  <c r="U655" i="112"/>
  <c r="T655" i="112"/>
  <c r="AA654" i="112"/>
  <c r="V654" i="112"/>
  <c r="U654" i="112"/>
  <c r="T654" i="112"/>
  <c r="AA653" i="112"/>
  <c r="V653" i="112"/>
  <c r="U653" i="112"/>
  <c r="T653" i="112"/>
  <c r="AA652" i="112"/>
  <c r="V652" i="112"/>
  <c r="U652" i="112"/>
  <c r="T652" i="112"/>
  <c r="AA651" i="112"/>
  <c r="V651" i="112"/>
  <c r="U651" i="112"/>
  <c r="T651" i="112"/>
  <c r="AA650" i="112"/>
  <c r="V650" i="112"/>
  <c r="U650" i="112"/>
  <c r="T650" i="112"/>
  <c r="AA649" i="112"/>
  <c r="V649" i="112"/>
  <c r="U649" i="112"/>
  <c r="T649" i="112"/>
  <c r="AA648" i="112"/>
  <c r="V648" i="112"/>
  <c r="U648" i="112"/>
  <c r="T648" i="112"/>
  <c r="AA647" i="112"/>
  <c r="V647" i="112"/>
  <c r="U647" i="112"/>
  <c r="T647" i="112"/>
  <c r="AA646" i="112"/>
  <c r="V646" i="112"/>
  <c r="U646" i="112"/>
  <c r="T646" i="112"/>
  <c r="AA645" i="112"/>
  <c r="V645" i="112"/>
  <c r="U645" i="112"/>
  <c r="T645" i="112"/>
  <c r="AA644" i="112"/>
  <c r="V644" i="112"/>
  <c r="U644" i="112"/>
  <c r="T644" i="112"/>
  <c r="AA643" i="112"/>
  <c r="V643" i="112"/>
  <c r="U643" i="112"/>
  <c r="T643" i="112"/>
  <c r="AA642" i="112"/>
  <c r="V642" i="112"/>
  <c r="U642" i="112"/>
  <c r="T642" i="112"/>
  <c r="AA641" i="112"/>
  <c r="V641" i="112"/>
  <c r="U641" i="112"/>
  <c r="T641" i="112"/>
  <c r="AA640" i="112"/>
  <c r="V640" i="112"/>
  <c r="U640" i="112"/>
  <c r="T640" i="112"/>
  <c r="AA639" i="112"/>
  <c r="V639" i="112"/>
  <c r="U639" i="112"/>
  <c r="T639" i="112"/>
  <c r="AA638" i="112"/>
  <c r="V638" i="112"/>
  <c r="U638" i="112"/>
  <c r="T638" i="112"/>
  <c r="AA637" i="112"/>
  <c r="V637" i="112"/>
  <c r="U637" i="112"/>
  <c r="T637" i="112"/>
  <c r="AA636" i="112"/>
  <c r="V636" i="112"/>
  <c r="U636" i="112"/>
  <c r="T636" i="112"/>
  <c r="AA635" i="112"/>
  <c r="V635" i="112"/>
  <c r="U635" i="112"/>
  <c r="T635" i="112"/>
  <c r="AA634" i="112"/>
  <c r="V634" i="112"/>
  <c r="U634" i="112"/>
  <c r="T634" i="112"/>
  <c r="AA633" i="112"/>
  <c r="V633" i="112"/>
  <c r="U633" i="112"/>
  <c r="T633" i="112"/>
  <c r="AA632" i="112"/>
  <c r="V632" i="112"/>
  <c r="U632" i="112"/>
  <c r="T632" i="112"/>
  <c r="AA631" i="112"/>
  <c r="V631" i="112"/>
  <c r="U631" i="112"/>
  <c r="T631" i="112"/>
  <c r="AA630" i="112"/>
  <c r="V630" i="112"/>
  <c r="U630" i="112"/>
  <c r="T630" i="112"/>
  <c r="AA629" i="112"/>
  <c r="V629" i="112"/>
  <c r="U629" i="112"/>
  <c r="T629" i="112"/>
  <c r="AA628" i="112"/>
  <c r="V628" i="112"/>
  <c r="U628" i="112"/>
  <c r="T628" i="112"/>
  <c r="AA627" i="112"/>
  <c r="V627" i="112"/>
  <c r="U627" i="112"/>
  <c r="T627" i="112"/>
  <c r="AA626" i="112"/>
  <c r="V626" i="112"/>
  <c r="U626" i="112"/>
  <c r="T626" i="112"/>
  <c r="AA625" i="112"/>
  <c r="V625" i="112"/>
  <c r="U625" i="112"/>
  <c r="T625" i="112"/>
  <c r="AA624" i="112"/>
  <c r="V624" i="112"/>
  <c r="U624" i="112"/>
  <c r="T624" i="112"/>
  <c r="AA623" i="112"/>
  <c r="V623" i="112"/>
  <c r="U623" i="112"/>
  <c r="T623" i="112"/>
  <c r="AA622" i="112"/>
  <c r="V622" i="112"/>
  <c r="U622" i="112"/>
  <c r="T622" i="112"/>
  <c r="AA621" i="112"/>
  <c r="V621" i="112"/>
  <c r="U621" i="112"/>
  <c r="T621" i="112"/>
  <c r="AA620" i="112"/>
  <c r="V620" i="112"/>
  <c r="U620" i="112"/>
  <c r="T620" i="112"/>
  <c r="AA619" i="112"/>
  <c r="V619" i="112"/>
  <c r="U619" i="112"/>
  <c r="T619" i="112"/>
  <c r="AA618" i="112"/>
  <c r="V618" i="112"/>
  <c r="U618" i="112"/>
  <c r="T618" i="112"/>
  <c r="AA617" i="112"/>
  <c r="V617" i="112"/>
  <c r="U617" i="112"/>
  <c r="T617" i="112"/>
  <c r="AA616" i="112"/>
  <c r="V616" i="112"/>
  <c r="U616" i="112"/>
  <c r="T616" i="112"/>
  <c r="AA615" i="112"/>
  <c r="V615" i="112"/>
  <c r="U615" i="112"/>
  <c r="T615" i="112"/>
  <c r="AA614" i="112"/>
  <c r="V614" i="112"/>
  <c r="U614" i="112"/>
  <c r="T614" i="112"/>
  <c r="AA613" i="112"/>
  <c r="V613" i="112"/>
  <c r="U613" i="112"/>
  <c r="T613" i="112"/>
  <c r="AA612" i="112"/>
  <c r="V612" i="112"/>
  <c r="U612" i="112"/>
  <c r="T612" i="112"/>
  <c r="AA611" i="112"/>
  <c r="V611" i="112"/>
  <c r="U611" i="112"/>
  <c r="T611" i="112"/>
  <c r="AA610" i="112"/>
  <c r="V610" i="112"/>
  <c r="U610" i="112"/>
  <c r="T610" i="112"/>
  <c r="AA609" i="112"/>
  <c r="V609" i="112"/>
  <c r="U609" i="112"/>
  <c r="T609" i="112"/>
  <c r="AA608" i="112"/>
  <c r="V608" i="112"/>
  <c r="U608" i="112"/>
  <c r="T608" i="112"/>
  <c r="AA607" i="112"/>
  <c r="V607" i="112"/>
  <c r="U607" i="112"/>
  <c r="T607" i="112"/>
  <c r="AA606" i="112"/>
  <c r="V606" i="112"/>
  <c r="U606" i="112"/>
  <c r="T606" i="112"/>
  <c r="AA605" i="112"/>
  <c r="V605" i="112"/>
  <c r="U605" i="112"/>
  <c r="T605" i="112"/>
  <c r="AA604" i="112"/>
  <c r="V604" i="112"/>
  <c r="U604" i="112"/>
  <c r="T604" i="112"/>
  <c r="AA603" i="112"/>
  <c r="V603" i="112"/>
  <c r="U603" i="112"/>
  <c r="T603" i="112"/>
  <c r="AA602" i="112"/>
  <c r="V602" i="112"/>
  <c r="U602" i="112"/>
  <c r="T602" i="112"/>
  <c r="AA601" i="112"/>
  <c r="V601" i="112"/>
  <c r="U601" i="112"/>
  <c r="T601" i="112"/>
  <c r="AA600" i="112"/>
  <c r="V600" i="112"/>
  <c r="U600" i="112"/>
  <c r="T600" i="112"/>
  <c r="AA599" i="112"/>
  <c r="V599" i="112"/>
  <c r="U599" i="112"/>
  <c r="T599" i="112"/>
  <c r="AA598" i="112"/>
  <c r="V598" i="112"/>
  <c r="U598" i="112"/>
  <c r="T598" i="112"/>
  <c r="AA597" i="112"/>
  <c r="V597" i="112"/>
  <c r="U597" i="112"/>
  <c r="T597" i="112"/>
  <c r="AA596" i="112"/>
  <c r="V596" i="112"/>
  <c r="U596" i="112"/>
  <c r="T596" i="112"/>
  <c r="AA595" i="112"/>
  <c r="V595" i="112"/>
  <c r="U595" i="112"/>
  <c r="T595" i="112"/>
  <c r="AA594" i="112"/>
  <c r="V594" i="112"/>
  <c r="U594" i="112"/>
  <c r="T594" i="112"/>
  <c r="AA593" i="112"/>
  <c r="V593" i="112"/>
  <c r="U593" i="112"/>
  <c r="T593" i="112"/>
  <c r="AA592" i="112"/>
  <c r="V592" i="112"/>
  <c r="U592" i="112"/>
  <c r="T592" i="112"/>
  <c r="AA591" i="112"/>
  <c r="V591" i="112"/>
  <c r="U591" i="112"/>
  <c r="T591" i="112"/>
  <c r="AA590" i="112"/>
  <c r="V590" i="112"/>
  <c r="U590" i="112"/>
  <c r="T590" i="112"/>
  <c r="AA589" i="112"/>
  <c r="V589" i="112"/>
  <c r="U589" i="112"/>
  <c r="T589" i="112"/>
  <c r="AA588" i="112"/>
  <c r="V588" i="112"/>
  <c r="U588" i="112"/>
  <c r="T588" i="112"/>
  <c r="AA587" i="112"/>
  <c r="V587" i="112"/>
  <c r="U587" i="112"/>
  <c r="T587" i="112"/>
  <c r="AA586" i="112"/>
  <c r="V586" i="112"/>
  <c r="U586" i="112"/>
  <c r="T586" i="112"/>
  <c r="AA585" i="112"/>
  <c r="V585" i="112"/>
  <c r="U585" i="112"/>
  <c r="T585" i="112"/>
  <c r="AA584" i="112"/>
  <c r="V584" i="112"/>
  <c r="U584" i="112"/>
  <c r="T584" i="112"/>
  <c r="AA583" i="112"/>
  <c r="V583" i="112"/>
  <c r="U583" i="112"/>
  <c r="T583" i="112"/>
  <c r="AA582" i="112"/>
  <c r="V582" i="112"/>
  <c r="U582" i="112"/>
  <c r="T582" i="112"/>
  <c r="AA581" i="112"/>
  <c r="V581" i="112"/>
  <c r="U581" i="112"/>
  <c r="T581" i="112"/>
  <c r="AA580" i="112"/>
  <c r="V580" i="112"/>
  <c r="U580" i="112"/>
  <c r="T580" i="112"/>
  <c r="AA579" i="112"/>
  <c r="V579" i="112"/>
  <c r="U579" i="112"/>
  <c r="T579" i="112"/>
  <c r="AA578" i="112"/>
  <c r="V578" i="112"/>
  <c r="U578" i="112"/>
  <c r="T578" i="112"/>
  <c r="AA577" i="112"/>
  <c r="V577" i="112"/>
  <c r="U577" i="112"/>
  <c r="T577" i="112"/>
  <c r="AA576" i="112"/>
  <c r="V576" i="112"/>
  <c r="U576" i="112"/>
  <c r="T576" i="112"/>
  <c r="AA575" i="112"/>
  <c r="V575" i="112"/>
  <c r="U575" i="112"/>
  <c r="T575" i="112"/>
  <c r="AA574" i="112"/>
  <c r="V574" i="112"/>
  <c r="U574" i="112"/>
  <c r="T574" i="112"/>
  <c r="AA573" i="112"/>
  <c r="V573" i="112"/>
  <c r="U573" i="112"/>
  <c r="T573" i="112"/>
  <c r="AA572" i="112"/>
  <c r="V572" i="112"/>
  <c r="U572" i="112"/>
  <c r="T572" i="112"/>
  <c r="AA571" i="112"/>
  <c r="V571" i="112"/>
  <c r="U571" i="112"/>
  <c r="T571" i="112"/>
  <c r="AA570" i="112"/>
  <c r="V570" i="112"/>
  <c r="U570" i="112"/>
  <c r="T570" i="112"/>
  <c r="AA569" i="112"/>
  <c r="V569" i="112"/>
  <c r="U569" i="112"/>
  <c r="T569" i="112"/>
  <c r="AA568" i="112"/>
  <c r="V568" i="112"/>
  <c r="U568" i="112"/>
  <c r="T568" i="112"/>
  <c r="AA567" i="112"/>
  <c r="V567" i="112"/>
  <c r="U567" i="112"/>
  <c r="T567" i="112"/>
  <c r="AA566" i="112"/>
  <c r="V566" i="112"/>
  <c r="U566" i="112"/>
  <c r="T566" i="112"/>
  <c r="AA565" i="112"/>
  <c r="V565" i="112"/>
  <c r="U565" i="112"/>
  <c r="T565" i="112"/>
  <c r="AA564" i="112"/>
  <c r="V564" i="112"/>
  <c r="U564" i="112"/>
  <c r="T564" i="112"/>
  <c r="AA563" i="112"/>
  <c r="V563" i="112"/>
  <c r="U563" i="112"/>
  <c r="T563" i="112"/>
  <c r="AA562" i="112"/>
  <c r="V562" i="112"/>
  <c r="U562" i="112"/>
  <c r="T562" i="112"/>
  <c r="AA561" i="112"/>
  <c r="V561" i="112"/>
  <c r="U561" i="112"/>
  <c r="T561" i="112"/>
  <c r="AA560" i="112"/>
  <c r="V560" i="112"/>
  <c r="U560" i="112"/>
  <c r="T560" i="112"/>
  <c r="AA559" i="112"/>
  <c r="V559" i="112"/>
  <c r="U559" i="112"/>
  <c r="T559" i="112"/>
  <c r="AA558" i="112"/>
  <c r="V558" i="112"/>
  <c r="U558" i="112"/>
  <c r="T558" i="112"/>
  <c r="AA557" i="112"/>
  <c r="V557" i="112"/>
  <c r="U557" i="112"/>
  <c r="T557" i="112"/>
  <c r="AA556" i="112"/>
  <c r="V556" i="112"/>
  <c r="U556" i="112"/>
  <c r="T556" i="112"/>
  <c r="AA555" i="112"/>
  <c r="V555" i="112"/>
  <c r="U555" i="112"/>
  <c r="T555" i="112"/>
  <c r="AA554" i="112"/>
  <c r="V554" i="112"/>
  <c r="U554" i="112"/>
  <c r="T554" i="112"/>
  <c r="AA553" i="112"/>
  <c r="V553" i="112"/>
  <c r="U553" i="112"/>
  <c r="T553" i="112"/>
  <c r="AA552" i="112"/>
  <c r="V552" i="112"/>
  <c r="U552" i="112"/>
  <c r="T552" i="112"/>
  <c r="AA551" i="112"/>
  <c r="V551" i="112"/>
  <c r="U551" i="112"/>
  <c r="T551" i="112"/>
  <c r="AA550" i="112"/>
  <c r="V550" i="112"/>
  <c r="U550" i="112"/>
  <c r="T550" i="112"/>
  <c r="AA549" i="112"/>
  <c r="V549" i="112"/>
  <c r="U549" i="112"/>
  <c r="T549" i="112"/>
  <c r="AA548" i="112"/>
  <c r="V548" i="112"/>
  <c r="U548" i="112"/>
  <c r="T548" i="112"/>
  <c r="AA547" i="112"/>
  <c r="V547" i="112"/>
  <c r="U547" i="112"/>
  <c r="T547" i="112"/>
  <c r="AA546" i="112"/>
  <c r="V546" i="112"/>
  <c r="U546" i="112"/>
  <c r="T546" i="112"/>
  <c r="AA545" i="112"/>
  <c r="V545" i="112"/>
  <c r="U545" i="112"/>
  <c r="T545" i="112"/>
  <c r="AA544" i="112"/>
  <c r="V544" i="112"/>
  <c r="U544" i="112"/>
  <c r="T544" i="112"/>
  <c r="AA543" i="112"/>
  <c r="V543" i="112"/>
  <c r="U543" i="112"/>
  <c r="T543" i="112"/>
  <c r="AA542" i="112"/>
  <c r="V542" i="112"/>
  <c r="U542" i="112"/>
  <c r="T542" i="112"/>
  <c r="AA541" i="112"/>
  <c r="V541" i="112"/>
  <c r="U541" i="112"/>
  <c r="T541" i="112"/>
  <c r="AA540" i="112"/>
  <c r="V540" i="112"/>
  <c r="U540" i="112"/>
  <c r="T540" i="112"/>
  <c r="AA539" i="112"/>
  <c r="V539" i="112"/>
  <c r="U539" i="112"/>
  <c r="T539" i="112"/>
  <c r="AA538" i="112"/>
  <c r="V538" i="112"/>
  <c r="U538" i="112"/>
  <c r="T538" i="112"/>
  <c r="AA537" i="112"/>
  <c r="V537" i="112"/>
  <c r="U537" i="112"/>
  <c r="T537" i="112"/>
  <c r="AA536" i="112"/>
  <c r="V536" i="112"/>
  <c r="U536" i="112"/>
  <c r="T536" i="112"/>
  <c r="AA535" i="112"/>
  <c r="V535" i="112"/>
  <c r="U535" i="112"/>
  <c r="T535" i="112"/>
  <c r="AA534" i="112"/>
  <c r="V534" i="112"/>
  <c r="U534" i="112"/>
  <c r="T534" i="112"/>
  <c r="AA533" i="112"/>
  <c r="V533" i="112"/>
  <c r="U533" i="112"/>
  <c r="T533" i="112"/>
  <c r="AA532" i="112"/>
  <c r="V532" i="112"/>
  <c r="U532" i="112"/>
  <c r="T532" i="112"/>
  <c r="AA531" i="112"/>
  <c r="V531" i="112"/>
  <c r="U531" i="112"/>
  <c r="T531" i="112"/>
  <c r="AA530" i="112"/>
  <c r="V530" i="112"/>
  <c r="U530" i="112"/>
  <c r="T530" i="112"/>
  <c r="AA529" i="112"/>
  <c r="V529" i="112"/>
  <c r="U529" i="112"/>
  <c r="T529" i="112"/>
  <c r="AA528" i="112"/>
  <c r="V528" i="112"/>
  <c r="U528" i="112"/>
  <c r="T528" i="112"/>
  <c r="AA527" i="112"/>
  <c r="V527" i="112"/>
  <c r="U527" i="112"/>
  <c r="T527" i="112"/>
  <c r="AA526" i="112"/>
  <c r="V526" i="112"/>
  <c r="U526" i="112"/>
  <c r="T526" i="112"/>
  <c r="AA525" i="112"/>
  <c r="V525" i="112"/>
  <c r="U525" i="112"/>
  <c r="T525" i="112"/>
  <c r="AA524" i="112"/>
  <c r="V524" i="112"/>
  <c r="U524" i="112"/>
  <c r="T524" i="112"/>
  <c r="AA523" i="112"/>
  <c r="V523" i="112"/>
  <c r="U523" i="112"/>
  <c r="T523" i="112"/>
  <c r="AA522" i="112"/>
  <c r="V522" i="112"/>
  <c r="U522" i="112"/>
  <c r="T522" i="112"/>
  <c r="AA521" i="112"/>
  <c r="V521" i="112"/>
  <c r="U521" i="112"/>
  <c r="T521" i="112"/>
  <c r="AA520" i="112"/>
  <c r="V520" i="112"/>
  <c r="U520" i="112"/>
  <c r="T520" i="112"/>
  <c r="AA519" i="112"/>
  <c r="V519" i="112"/>
  <c r="U519" i="112"/>
  <c r="T519" i="112"/>
  <c r="AA518" i="112"/>
  <c r="V518" i="112"/>
  <c r="U518" i="112"/>
  <c r="T518" i="112"/>
  <c r="AA517" i="112"/>
  <c r="V517" i="112"/>
  <c r="U517" i="112"/>
  <c r="T517" i="112"/>
  <c r="AA516" i="112"/>
  <c r="V516" i="112"/>
  <c r="U516" i="112"/>
  <c r="T516" i="112"/>
  <c r="AA515" i="112"/>
  <c r="V515" i="112"/>
  <c r="U515" i="112"/>
  <c r="T515" i="112"/>
  <c r="AA514" i="112"/>
  <c r="V514" i="112"/>
  <c r="U514" i="112"/>
  <c r="T514" i="112"/>
  <c r="AA513" i="112"/>
  <c r="V513" i="112"/>
  <c r="U513" i="112"/>
  <c r="T513" i="112"/>
  <c r="AA512" i="112"/>
  <c r="V512" i="112"/>
  <c r="U512" i="112"/>
  <c r="T512" i="112"/>
  <c r="AA511" i="112"/>
  <c r="V511" i="112"/>
  <c r="U511" i="112"/>
  <c r="T511" i="112"/>
  <c r="AA510" i="112"/>
  <c r="V510" i="112"/>
  <c r="U510" i="112"/>
  <c r="T510" i="112"/>
  <c r="AA509" i="112"/>
  <c r="V509" i="112"/>
  <c r="U509" i="112"/>
  <c r="T509" i="112"/>
  <c r="AA508" i="112"/>
  <c r="V508" i="112"/>
  <c r="U508" i="112"/>
  <c r="T508" i="112"/>
  <c r="AA507" i="112"/>
  <c r="V507" i="112"/>
  <c r="U507" i="112"/>
  <c r="T507" i="112"/>
  <c r="AA506" i="112"/>
  <c r="V506" i="112"/>
  <c r="U506" i="112"/>
  <c r="T506" i="112"/>
  <c r="AA505" i="112"/>
  <c r="V505" i="112"/>
  <c r="U505" i="112"/>
  <c r="T505" i="112"/>
  <c r="AA504" i="112"/>
  <c r="V504" i="112"/>
  <c r="U504" i="112"/>
  <c r="T504" i="112"/>
  <c r="AA503" i="112"/>
  <c r="V503" i="112"/>
  <c r="U503" i="112"/>
  <c r="T503" i="112"/>
  <c r="AA502" i="112"/>
  <c r="V502" i="112"/>
  <c r="U502" i="112"/>
  <c r="T502" i="112"/>
  <c r="AA501" i="112"/>
  <c r="V501" i="112"/>
  <c r="U501" i="112"/>
  <c r="T501" i="112"/>
  <c r="AA500" i="112"/>
  <c r="V500" i="112"/>
  <c r="U500" i="112"/>
  <c r="T500" i="112"/>
  <c r="AA499" i="112"/>
  <c r="V499" i="112"/>
  <c r="U499" i="112"/>
  <c r="T499" i="112"/>
  <c r="AA498" i="112"/>
  <c r="V498" i="112"/>
  <c r="U498" i="112"/>
  <c r="T498" i="112"/>
  <c r="AA497" i="112"/>
  <c r="V497" i="112"/>
  <c r="U497" i="112"/>
  <c r="T497" i="112"/>
  <c r="AA496" i="112"/>
  <c r="V496" i="112"/>
  <c r="U496" i="112"/>
  <c r="T496" i="112"/>
  <c r="AA495" i="112"/>
  <c r="V495" i="112"/>
  <c r="U495" i="112"/>
  <c r="T495" i="112"/>
  <c r="AA494" i="112"/>
  <c r="V494" i="112"/>
  <c r="U494" i="112"/>
  <c r="T494" i="112"/>
  <c r="AA493" i="112"/>
  <c r="V493" i="112"/>
  <c r="U493" i="112"/>
  <c r="T493" i="112"/>
  <c r="AA492" i="112"/>
  <c r="V492" i="112"/>
  <c r="U492" i="112"/>
  <c r="T492" i="112"/>
  <c r="AA491" i="112"/>
  <c r="V491" i="112"/>
  <c r="U491" i="112"/>
  <c r="T491" i="112"/>
  <c r="AA490" i="112"/>
  <c r="V490" i="112"/>
  <c r="U490" i="112"/>
  <c r="T490" i="112"/>
  <c r="AA489" i="112"/>
  <c r="V489" i="112"/>
  <c r="U489" i="112"/>
  <c r="T489" i="112"/>
  <c r="AA488" i="112"/>
  <c r="V488" i="112"/>
  <c r="U488" i="112"/>
  <c r="T488" i="112"/>
  <c r="AA487" i="112"/>
  <c r="V487" i="112"/>
  <c r="U487" i="112"/>
  <c r="T487" i="112"/>
  <c r="AA486" i="112"/>
  <c r="V486" i="112"/>
  <c r="U486" i="112"/>
  <c r="T486" i="112"/>
  <c r="AA485" i="112"/>
  <c r="V485" i="112"/>
  <c r="U485" i="112"/>
  <c r="T485" i="112"/>
  <c r="AA484" i="112"/>
  <c r="V484" i="112"/>
  <c r="U484" i="112"/>
  <c r="T484" i="112"/>
  <c r="AA483" i="112"/>
  <c r="V483" i="112"/>
  <c r="U483" i="112"/>
  <c r="T483" i="112"/>
  <c r="AA482" i="112"/>
  <c r="V482" i="112"/>
  <c r="U482" i="112"/>
  <c r="T482" i="112"/>
  <c r="AA481" i="112"/>
  <c r="V481" i="112"/>
  <c r="U481" i="112"/>
  <c r="T481" i="112"/>
  <c r="AA480" i="112"/>
  <c r="V480" i="112"/>
  <c r="U480" i="112"/>
  <c r="T480" i="112"/>
  <c r="AA479" i="112"/>
  <c r="V479" i="112"/>
  <c r="U479" i="112"/>
  <c r="T479" i="112"/>
  <c r="AA478" i="112"/>
  <c r="V478" i="112"/>
  <c r="U478" i="112"/>
  <c r="T478" i="112"/>
  <c r="AA477" i="112"/>
  <c r="V477" i="112"/>
  <c r="U477" i="112"/>
  <c r="T477" i="112"/>
  <c r="AA476" i="112"/>
  <c r="V476" i="112"/>
  <c r="U476" i="112"/>
  <c r="T476" i="112"/>
  <c r="AA475" i="112"/>
  <c r="V475" i="112"/>
  <c r="U475" i="112"/>
  <c r="T475" i="112"/>
  <c r="AA474" i="112"/>
  <c r="V474" i="112"/>
  <c r="U474" i="112"/>
  <c r="T474" i="112"/>
  <c r="AA473" i="112"/>
  <c r="V473" i="112"/>
  <c r="U473" i="112"/>
  <c r="T473" i="112"/>
  <c r="AA472" i="112"/>
  <c r="V472" i="112"/>
  <c r="U472" i="112"/>
  <c r="T472" i="112"/>
  <c r="AA471" i="112"/>
  <c r="V471" i="112"/>
  <c r="U471" i="112"/>
  <c r="T471" i="112"/>
  <c r="AA470" i="112"/>
  <c r="V470" i="112"/>
  <c r="U470" i="112"/>
  <c r="T470" i="112"/>
  <c r="AA469" i="112"/>
  <c r="V469" i="112"/>
  <c r="U469" i="112"/>
  <c r="T469" i="112"/>
  <c r="AA468" i="112"/>
  <c r="V468" i="112"/>
  <c r="U468" i="112"/>
  <c r="T468" i="112"/>
  <c r="AA467" i="112"/>
  <c r="V467" i="112"/>
  <c r="U467" i="112"/>
  <c r="T467" i="112"/>
  <c r="AA466" i="112"/>
  <c r="V466" i="112"/>
  <c r="U466" i="112"/>
  <c r="T466" i="112"/>
  <c r="AA465" i="112"/>
  <c r="V465" i="112"/>
  <c r="U465" i="112"/>
  <c r="T465" i="112"/>
  <c r="AA464" i="112"/>
  <c r="V464" i="112"/>
  <c r="U464" i="112"/>
  <c r="T464" i="112"/>
  <c r="AA463" i="112"/>
  <c r="V463" i="112"/>
  <c r="U463" i="112"/>
  <c r="T463" i="112"/>
  <c r="AA462" i="112"/>
  <c r="V462" i="112"/>
  <c r="U462" i="112"/>
  <c r="T462" i="112"/>
  <c r="AA461" i="112"/>
  <c r="V461" i="112"/>
  <c r="U461" i="112"/>
  <c r="T461" i="112"/>
  <c r="AA460" i="112"/>
  <c r="V460" i="112"/>
  <c r="U460" i="112"/>
  <c r="T460" i="112"/>
  <c r="AA459" i="112"/>
  <c r="V459" i="112"/>
  <c r="U459" i="112"/>
  <c r="T459" i="112"/>
  <c r="AA458" i="112"/>
  <c r="V458" i="112"/>
  <c r="U458" i="112"/>
  <c r="T458" i="112"/>
  <c r="AA457" i="112"/>
  <c r="V457" i="112"/>
  <c r="U457" i="112"/>
  <c r="T457" i="112"/>
  <c r="AA456" i="112"/>
  <c r="V456" i="112"/>
  <c r="U456" i="112"/>
  <c r="T456" i="112"/>
  <c r="AA455" i="112"/>
  <c r="V455" i="112"/>
  <c r="U455" i="112"/>
  <c r="T455" i="112"/>
  <c r="AA454" i="112"/>
  <c r="V454" i="112"/>
  <c r="U454" i="112"/>
  <c r="T454" i="112"/>
  <c r="AA453" i="112"/>
  <c r="V453" i="112"/>
  <c r="U453" i="112"/>
  <c r="T453" i="112"/>
  <c r="AA452" i="112"/>
  <c r="V452" i="112"/>
  <c r="U452" i="112"/>
  <c r="T452" i="112"/>
  <c r="AA451" i="112"/>
  <c r="V451" i="112"/>
  <c r="U451" i="112"/>
  <c r="T451" i="112"/>
  <c r="AA450" i="112"/>
  <c r="V450" i="112"/>
  <c r="U450" i="112"/>
  <c r="T450" i="112"/>
  <c r="AA449" i="112"/>
  <c r="V449" i="112"/>
  <c r="U449" i="112"/>
  <c r="T449" i="112"/>
  <c r="AA448" i="112"/>
  <c r="V448" i="112"/>
  <c r="U448" i="112"/>
  <c r="T448" i="112"/>
  <c r="AA447" i="112"/>
  <c r="V447" i="112"/>
  <c r="U447" i="112"/>
  <c r="T447" i="112"/>
  <c r="AA446" i="112"/>
  <c r="V446" i="112"/>
  <c r="U446" i="112"/>
  <c r="T446" i="112"/>
  <c r="AA445" i="112"/>
  <c r="V445" i="112"/>
  <c r="U445" i="112"/>
  <c r="T445" i="112"/>
  <c r="AA444" i="112"/>
  <c r="V444" i="112"/>
  <c r="U444" i="112"/>
  <c r="T444" i="112"/>
  <c r="AA443" i="112"/>
  <c r="V443" i="112"/>
  <c r="U443" i="112"/>
  <c r="T443" i="112"/>
  <c r="AA442" i="112"/>
  <c r="V442" i="112"/>
  <c r="U442" i="112"/>
  <c r="T442" i="112"/>
  <c r="AA441" i="112"/>
  <c r="V441" i="112"/>
  <c r="U441" i="112"/>
  <c r="T441" i="112"/>
  <c r="AA440" i="112"/>
  <c r="V440" i="112"/>
  <c r="U440" i="112"/>
  <c r="T440" i="112"/>
  <c r="AA439" i="112"/>
  <c r="V439" i="112"/>
  <c r="U439" i="112"/>
  <c r="T439" i="112"/>
  <c r="AA438" i="112"/>
  <c r="V438" i="112"/>
  <c r="U438" i="112"/>
  <c r="T438" i="112"/>
  <c r="AA437" i="112"/>
  <c r="V437" i="112"/>
  <c r="U437" i="112"/>
  <c r="T437" i="112"/>
  <c r="AA436" i="112"/>
  <c r="V436" i="112"/>
  <c r="U436" i="112"/>
  <c r="T436" i="112"/>
  <c r="AA435" i="112"/>
  <c r="V435" i="112"/>
  <c r="U435" i="112"/>
  <c r="T435" i="112"/>
  <c r="AA434" i="112"/>
  <c r="V434" i="112"/>
  <c r="U434" i="112"/>
  <c r="T434" i="112"/>
  <c r="AA433" i="112"/>
  <c r="V433" i="112"/>
  <c r="U433" i="112"/>
  <c r="T433" i="112"/>
  <c r="AA432" i="112"/>
  <c r="V432" i="112"/>
  <c r="U432" i="112"/>
  <c r="T432" i="112"/>
  <c r="AA431" i="112"/>
  <c r="V431" i="112"/>
  <c r="U431" i="112"/>
  <c r="T431" i="112"/>
  <c r="AA430" i="112"/>
  <c r="V430" i="112"/>
  <c r="U430" i="112"/>
  <c r="T430" i="112"/>
  <c r="AA429" i="112"/>
  <c r="V429" i="112"/>
  <c r="U429" i="112"/>
  <c r="T429" i="112"/>
  <c r="AA428" i="112"/>
  <c r="V428" i="112"/>
  <c r="U428" i="112"/>
  <c r="T428" i="112"/>
  <c r="AA427" i="112"/>
  <c r="V427" i="112"/>
  <c r="U427" i="112"/>
  <c r="T427" i="112"/>
  <c r="AA426" i="112"/>
  <c r="V426" i="112"/>
  <c r="U426" i="112"/>
  <c r="T426" i="112"/>
  <c r="AA425" i="112"/>
  <c r="V425" i="112"/>
  <c r="U425" i="112"/>
  <c r="T425" i="112"/>
  <c r="AA424" i="112"/>
  <c r="V424" i="112"/>
  <c r="U424" i="112"/>
  <c r="T424" i="112"/>
  <c r="AA423" i="112"/>
  <c r="V423" i="112"/>
  <c r="U423" i="112"/>
  <c r="T423" i="112"/>
  <c r="AA422" i="112"/>
  <c r="V422" i="112"/>
  <c r="U422" i="112"/>
  <c r="T422" i="112"/>
  <c r="AA421" i="112"/>
  <c r="V421" i="112"/>
  <c r="U421" i="112"/>
  <c r="T421" i="112"/>
  <c r="AA420" i="112"/>
  <c r="V420" i="112"/>
  <c r="U420" i="112"/>
  <c r="T420" i="112"/>
  <c r="AA419" i="112"/>
  <c r="V419" i="112"/>
  <c r="U419" i="112"/>
  <c r="T419" i="112"/>
  <c r="AA418" i="112"/>
  <c r="V418" i="112"/>
  <c r="U418" i="112"/>
  <c r="T418" i="112"/>
  <c r="AA417" i="112"/>
  <c r="V417" i="112"/>
  <c r="U417" i="112"/>
  <c r="T417" i="112"/>
  <c r="AA416" i="112"/>
  <c r="V416" i="112"/>
  <c r="U416" i="112"/>
  <c r="T416" i="112"/>
  <c r="AA415" i="112"/>
  <c r="V415" i="112"/>
  <c r="U415" i="112"/>
  <c r="T415" i="112"/>
  <c r="AA414" i="112"/>
  <c r="V414" i="112"/>
  <c r="U414" i="112"/>
  <c r="T414" i="112"/>
  <c r="AA413" i="112"/>
  <c r="V413" i="112"/>
  <c r="U413" i="112"/>
  <c r="T413" i="112"/>
  <c r="AA412" i="112"/>
  <c r="V412" i="112"/>
  <c r="U412" i="112"/>
  <c r="T412" i="112"/>
  <c r="AA411" i="112"/>
  <c r="V411" i="112"/>
  <c r="U411" i="112"/>
  <c r="T411" i="112"/>
  <c r="AA410" i="112"/>
  <c r="V410" i="112"/>
  <c r="U410" i="112"/>
  <c r="T410" i="112"/>
  <c r="AA409" i="112"/>
  <c r="V409" i="112"/>
  <c r="U409" i="112"/>
  <c r="T409" i="112"/>
  <c r="AA408" i="112"/>
  <c r="V408" i="112"/>
  <c r="U408" i="112"/>
  <c r="T408" i="112"/>
  <c r="AA407" i="112"/>
  <c r="V407" i="112"/>
  <c r="U407" i="112"/>
  <c r="T407" i="112"/>
  <c r="AA406" i="112"/>
  <c r="V406" i="112"/>
  <c r="U406" i="112"/>
  <c r="T406" i="112"/>
  <c r="AA405" i="112"/>
  <c r="V405" i="112"/>
  <c r="U405" i="112"/>
  <c r="T405" i="112"/>
  <c r="AA404" i="112"/>
  <c r="V404" i="112"/>
  <c r="U404" i="112"/>
  <c r="T404" i="112"/>
  <c r="AA403" i="112"/>
  <c r="V403" i="112"/>
  <c r="U403" i="112"/>
  <c r="T403" i="112"/>
  <c r="AA402" i="112"/>
  <c r="V402" i="112"/>
  <c r="U402" i="112"/>
  <c r="T402" i="112"/>
  <c r="AA401" i="112"/>
  <c r="V401" i="112"/>
  <c r="U401" i="112"/>
  <c r="T401" i="112"/>
  <c r="AA400" i="112"/>
  <c r="V400" i="112"/>
  <c r="U400" i="112"/>
  <c r="T400" i="112"/>
  <c r="AA399" i="112"/>
  <c r="V399" i="112"/>
  <c r="U399" i="112"/>
  <c r="T399" i="112"/>
  <c r="AA398" i="112"/>
  <c r="V398" i="112"/>
  <c r="U398" i="112"/>
  <c r="T398" i="112"/>
  <c r="AA397" i="112"/>
  <c r="V397" i="112"/>
  <c r="U397" i="112"/>
  <c r="T397" i="112"/>
  <c r="AA396" i="112"/>
  <c r="V396" i="112"/>
  <c r="U396" i="112"/>
  <c r="T396" i="112"/>
  <c r="AA395" i="112"/>
  <c r="V395" i="112"/>
  <c r="U395" i="112"/>
  <c r="T395" i="112"/>
  <c r="AA394" i="112"/>
  <c r="V394" i="112"/>
  <c r="U394" i="112"/>
  <c r="T394" i="112"/>
  <c r="AA393" i="112"/>
  <c r="V393" i="112"/>
  <c r="U393" i="112"/>
  <c r="T393" i="112"/>
  <c r="AA392" i="112"/>
  <c r="V392" i="112"/>
  <c r="U392" i="112"/>
  <c r="T392" i="112"/>
  <c r="AA391" i="112"/>
  <c r="V391" i="112"/>
  <c r="U391" i="112"/>
  <c r="T391" i="112"/>
  <c r="AA390" i="112"/>
  <c r="V390" i="112"/>
  <c r="U390" i="112"/>
  <c r="T390" i="112"/>
  <c r="AA389" i="112"/>
  <c r="V389" i="112"/>
  <c r="U389" i="112"/>
  <c r="T389" i="112"/>
  <c r="AA388" i="112"/>
  <c r="V388" i="112"/>
  <c r="U388" i="112"/>
  <c r="T388" i="112"/>
  <c r="AA387" i="112"/>
  <c r="V387" i="112"/>
  <c r="U387" i="112"/>
  <c r="T387" i="112"/>
  <c r="AA386" i="112"/>
  <c r="V386" i="112"/>
  <c r="U386" i="112"/>
  <c r="T386" i="112"/>
  <c r="AA385" i="112"/>
  <c r="V385" i="112"/>
  <c r="U385" i="112"/>
  <c r="T385" i="112"/>
  <c r="AA384" i="112"/>
  <c r="V384" i="112"/>
  <c r="U384" i="112"/>
  <c r="T384" i="112"/>
  <c r="AA383" i="112"/>
  <c r="V383" i="112"/>
  <c r="U383" i="112"/>
  <c r="T383" i="112"/>
  <c r="AA382" i="112"/>
  <c r="V382" i="112"/>
  <c r="U382" i="112"/>
  <c r="T382" i="112"/>
  <c r="AA381" i="112"/>
  <c r="V381" i="112"/>
  <c r="U381" i="112"/>
  <c r="T381" i="112"/>
  <c r="AA380" i="112"/>
  <c r="V380" i="112"/>
  <c r="U380" i="112"/>
  <c r="T380" i="112"/>
  <c r="AA379" i="112"/>
  <c r="V379" i="112"/>
  <c r="U379" i="112"/>
  <c r="T379" i="112"/>
  <c r="AA378" i="112"/>
  <c r="V378" i="112"/>
  <c r="U378" i="112"/>
  <c r="T378" i="112"/>
  <c r="AA377" i="112"/>
  <c r="V377" i="112"/>
  <c r="U377" i="112"/>
  <c r="T377" i="112"/>
  <c r="AA376" i="112"/>
  <c r="V376" i="112"/>
  <c r="U376" i="112"/>
  <c r="T376" i="112"/>
  <c r="AA375" i="112"/>
  <c r="V375" i="112"/>
  <c r="U375" i="112"/>
  <c r="T375" i="112"/>
  <c r="AA374" i="112"/>
  <c r="V374" i="112"/>
  <c r="U374" i="112"/>
  <c r="T374" i="112"/>
  <c r="AA373" i="112"/>
  <c r="V373" i="112"/>
  <c r="U373" i="112"/>
  <c r="T373" i="112"/>
  <c r="AA372" i="112"/>
  <c r="V372" i="112"/>
  <c r="U372" i="112"/>
  <c r="T372" i="112"/>
  <c r="AA371" i="112"/>
  <c r="V371" i="112"/>
  <c r="U371" i="112"/>
  <c r="T371" i="112"/>
  <c r="AA370" i="112"/>
  <c r="V370" i="112"/>
  <c r="U370" i="112"/>
  <c r="T370" i="112"/>
  <c r="AA369" i="112"/>
  <c r="V369" i="112"/>
  <c r="U369" i="112"/>
  <c r="T369" i="112"/>
  <c r="AA368" i="112"/>
  <c r="V368" i="112"/>
  <c r="U368" i="112"/>
  <c r="T368" i="112"/>
  <c r="AA367" i="112"/>
  <c r="V367" i="112"/>
  <c r="U367" i="112"/>
  <c r="T367" i="112"/>
  <c r="AA366" i="112"/>
  <c r="V366" i="112"/>
  <c r="U366" i="112"/>
  <c r="T366" i="112"/>
  <c r="AA365" i="112"/>
  <c r="V365" i="112"/>
  <c r="U365" i="112"/>
  <c r="T365" i="112"/>
  <c r="AA364" i="112"/>
  <c r="V364" i="112"/>
  <c r="U364" i="112"/>
  <c r="T364" i="112"/>
  <c r="AA363" i="112"/>
  <c r="V363" i="112"/>
  <c r="U363" i="112"/>
  <c r="T363" i="112"/>
  <c r="AA362" i="112"/>
  <c r="V362" i="112"/>
  <c r="U362" i="112"/>
  <c r="T362" i="112"/>
  <c r="AA361" i="112"/>
  <c r="V361" i="112"/>
  <c r="U361" i="112"/>
  <c r="T361" i="112"/>
  <c r="AA360" i="112"/>
  <c r="V360" i="112"/>
  <c r="U360" i="112"/>
  <c r="T360" i="112"/>
  <c r="AA359" i="112"/>
  <c r="V359" i="112"/>
  <c r="U359" i="112"/>
  <c r="T359" i="112"/>
  <c r="AA358" i="112"/>
  <c r="V358" i="112"/>
  <c r="U358" i="112"/>
  <c r="T358" i="112"/>
  <c r="AA357" i="112"/>
  <c r="V357" i="112"/>
  <c r="U357" i="112"/>
  <c r="T357" i="112"/>
  <c r="AA356" i="112"/>
  <c r="V356" i="112"/>
  <c r="U356" i="112"/>
  <c r="T356" i="112"/>
  <c r="AA355" i="112"/>
  <c r="V355" i="112"/>
  <c r="U355" i="112"/>
  <c r="T355" i="112"/>
  <c r="AA354" i="112"/>
  <c r="V354" i="112"/>
  <c r="U354" i="112"/>
  <c r="T354" i="112"/>
  <c r="AA353" i="112"/>
  <c r="V353" i="112"/>
  <c r="U353" i="112"/>
  <c r="T353" i="112"/>
  <c r="AA352" i="112"/>
  <c r="V352" i="112"/>
  <c r="U352" i="112"/>
  <c r="T352" i="112"/>
  <c r="AA351" i="112"/>
  <c r="V351" i="112"/>
  <c r="U351" i="112"/>
  <c r="T351" i="112"/>
  <c r="AA350" i="112"/>
  <c r="V350" i="112"/>
  <c r="U350" i="112"/>
  <c r="T350" i="112"/>
  <c r="AA349" i="112"/>
  <c r="V349" i="112"/>
  <c r="U349" i="112"/>
  <c r="T349" i="112"/>
  <c r="AA348" i="112"/>
  <c r="V348" i="112"/>
  <c r="U348" i="112"/>
  <c r="T348" i="112"/>
  <c r="AA347" i="112"/>
  <c r="V347" i="112"/>
  <c r="U347" i="112"/>
  <c r="T347" i="112"/>
  <c r="AA346" i="112"/>
  <c r="V346" i="112"/>
  <c r="U346" i="112"/>
  <c r="T346" i="112"/>
  <c r="AA345" i="112"/>
  <c r="V345" i="112"/>
  <c r="U345" i="112"/>
  <c r="T345" i="112"/>
  <c r="AA344" i="112"/>
  <c r="V344" i="112"/>
  <c r="U344" i="112"/>
  <c r="T344" i="112"/>
  <c r="AA343" i="112"/>
  <c r="V343" i="112"/>
  <c r="U343" i="112"/>
  <c r="T343" i="112"/>
  <c r="AA342" i="112"/>
  <c r="V342" i="112"/>
  <c r="U342" i="112"/>
  <c r="T342" i="112"/>
  <c r="AA341" i="112"/>
  <c r="V341" i="112"/>
  <c r="U341" i="112"/>
  <c r="T341" i="112"/>
  <c r="AA340" i="112"/>
  <c r="V340" i="112"/>
  <c r="U340" i="112"/>
  <c r="T340" i="112"/>
  <c r="AA339" i="112"/>
  <c r="V339" i="112"/>
  <c r="U339" i="112"/>
  <c r="T339" i="112"/>
  <c r="AA338" i="112"/>
  <c r="V338" i="112"/>
  <c r="U338" i="112"/>
  <c r="T338" i="112"/>
  <c r="AA337" i="112"/>
  <c r="V337" i="112"/>
  <c r="U337" i="112"/>
  <c r="T337" i="112"/>
  <c r="AA336" i="112"/>
  <c r="V336" i="112"/>
  <c r="U336" i="112"/>
  <c r="T336" i="112"/>
  <c r="AA335" i="112"/>
  <c r="V335" i="112"/>
  <c r="U335" i="112"/>
  <c r="T335" i="112"/>
  <c r="AA334" i="112"/>
  <c r="V334" i="112"/>
  <c r="U334" i="112"/>
  <c r="T334" i="112"/>
  <c r="AA333" i="112"/>
  <c r="V333" i="112"/>
  <c r="U333" i="112"/>
  <c r="T333" i="112"/>
  <c r="AA332" i="112"/>
  <c r="V332" i="112"/>
  <c r="U332" i="112"/>
  <c r="T332" i="112"/>
  <c r="AA331" i="112"/>
  <c r="V331" i="112"/>
  <c r="U331" i="112"/>
  <c r="T331" i="112"/>
  <c r="AA330" i="112"/>
  <c r="V330" i="112"/>
  <c r="U330" i="112"/>
  <c r="T330" i="112"/>
  <c r="AA329" i="112"/>
  <c r="V329" i="112"/>
  <c r="U329" i="112"/>
  <c r="T329" i="112"/>
  <c r="AA328" i="112"/>
  <c r="V328" i="112"/>
  <c r="U328" i="112"/>
  <c r="T328" i="112"/>
  <c r="AA327" i="112"/>
  <c r="V327" i="112"/>
  <c r="U327" i="112"/>
  <c r="T327" i="112"/>
  <c r="AA326" i="112"/>
  <c r="V326" i="112"/>
  <c r="U326" i="112"/>
  <c r="T326" i="112"/>
  <c r="AA325" i="112"/>
  <c r="V325" i="112"/>
  <c r="U325" i="112"/>
  <c r="T325" i="112"/>
  <c r="AA324" i="112"/>
  <c r="V324" i="112"/>
  <c r="U324" i="112"/>
  <c r="T324" i="112"/>
  <c r="AA323" i="112"/>
  <c r="V323" i="112"/>
  <c r="U323" i="112"/>
  <c r="T323" i="112"/>
  <c r="AA322" i="112"/>
  <c r="V322" i="112"/>
  <c r="U322" i="112"/>
  <c r="T322" i="112"/>
  <c r="AA321" i="112"/>
  <c r="V321" i="112"/>
  <c r="U321" i="112"/>
  <c r="T321" i="112"/>
  <c r="AA320" i="112"/>
  <c r="V320" i="112"/>
  <c r="U320" i="112"/>
  <c r="T320" i="112"/>
  <c r="AA319" i="112"/>
  <c r="V319" i="112"/>
  <c r="U319" i="112"/>
  <c r="T319" i="112"/>
  <c r="AA318" i="112"/>
  <c r="V318" i="112"/>
  <c r="U318" i="112"/>
  <c r="T318" i="112"/>
  <c r="AA317" i="112"/>
  <c r="V317" i="112"/>
  <c r="U317" i="112"/>
  <c r="T317" i="112"/>
  <c r="AA316" i="112"/>
  <c r="V316" i="112"/>
  <c r="U316" i="112"/>
  <c r="T316" i="112"/>
  <c r="AA315" i="112"/>
  <c r="V315" i="112"/>
  <c r="U315" i="112"/>
  <c r="T315" i="112"/>
  <c r="AA314" i="112"/>
  <c r="V314" i="112"/>
  <c r="U314" i="112"/>
  <c r="T314" i="112"/>
  <c r="AA313" i="112"/>
  <c r="V313" i="112"/>
  <c r="U313" i="112"/>
  <c r="T313" i="112"/>
  <c r="AA312" i="112"/>
  <c r="V312" i="112"/>
  <c r="U312" i="112"/>
  <c r="T312" i="112"/>
  <c r="AA311" i="112"/>
  <c r="V311" i="112"/>
  <c r="U311" i="112"/>
  <c r="T311" i="112"/>
  <c r="AA310" i="112"/>
  <c r="V310" i="112"/>
  <c r="U310" i="112"/>
  <c r="T310" i="112"/>
  <c r="AA309" i="112"/>
  <c r="V309" i="112"/>
  <c r="U309" i="112"/>
  <c r="T309" i="112"/>
  <c r="AA308" i="112"/>
  <c r="V308" i="112"/>
  <c r="U308" i="112"/>
  <c r="T308" i="112"/>
  <c r="AA307" i="112"/>
  <c r="V307" i="112"/>
  <c r="U307" i="112"/>
  <c r="T307" i="112"/>
  <c r="AA306" i="112"/>
  <c r="V306" i="112"/>
  <c r="U306" i="112"/>
  <c r="T306" i="112"/>
  <c r="AA305" i="112"/>
  <c r="V305" i="112"/>
  <c r="U305" i="112"/>
  <c r="T305" i="112"/>
  <c r="AA304" i="112"/>
  <c r="V304" i="112"/>
  <c r="U304" i="112"/>
  <c r="T304" i="112"/>
  <c r="AA303" i="112"/>
  <c r="V303" i="112"/>
  <c r="U303" i="112"/>
  <c r="T303" i="112"/>
  <c r="AA302" i="112"/>
  <c r="V302" i="112"/>
  <c r="U302" i="112"/>
  <c r="T302" i="112"/>
  <c r="AA301" i="112"/>
  <c r="V301" i="112"/>
  <c r="U301" i="112"/>
  <c r="T301" i="112"/>
  <c r="AA300" i="112"/>
  <c r="V300" i="112"/>
  <c r="U300" i="112"/>
  <c r="T300" i="112"/>
  <c r="AA299" i="112"/>
  <c r="V299" i="112"/>
  <c r="U299" i="112"/>
  <c r="T299" i="112"/>
  <c r="AA298" i="112"/>
  <c r="V298" i="112"/>
  <c r="U298" i="112"/>
  <c r="T298" i="112"/>
  <c r="AA297" i="112"/>
  <c r="V297" i="112"/>
  <c r="U297" i="112"/>
  <c r="T297" i="112"/>
  <c r="AA296" i="112"/>
  <c r="V296" i="112"/>
  <c r="U296" i="112"/>
  <c r="T296" i="112"/>
  <c r="AA295" i="112"/>
  <c r="V295" i="112"/>
  <c r="U295" i="112"/>
  <c r="T295" i="112"/>
  <c r="AA294" i="112"/>
  <c r="V294" i="112"/>
  <c r="U294" i="112"/>
  <c r="T294" i="112"/>
  <c r="AA293" i="112"/>
  <c r="V293" i="112"/>
  <c r="U293" i="112"/>
  <c r="T293" i="112"/>
  <c r="AA292" i="112"/>
  <c r="V292" i="112"/>
  <c r="U292" i="112"/>
  <c r="T292" i="112"/>
  <c r="AA291" i="112"/>
  <c r="V291" i="112"/>
  <c r="U291" i="112"/>
  <c r="T291" i="112"/>
  <c r="AA290" i="112"/>
  <c r="V290" i="112"/>
  <c r="U290" i="112"/>
  <c r="T290" i="112"/>
  <c r="AA289" i="112"/>
  <c r="V289" i="112"/>
  <c r="U289" i="112"/>
  <c r="T289" i="112"/>
  <c r="AA288" i="112"/>
  <c r="V288" i="112"/>
  <c r="U288" i="112"/>
  <c r="T288" i="112"/>
  <c r="AA287" i="112"/>
  <c r="V287" i="112"/>
  <c r="U287" i="112"/>
  <c r="T287" i="112"/>
  <c r="AA286" i="112"/>
  <c r="V286" i="112"/>
  <c r="U286" i="112"/>
  <c r="T286" i="112"/>
  <c r="AA285" i="112"/>
  <c r="V285" i="112"/>
  <c r="U285" i="112"/>
  <c r="T285" i="112"/>
  <c r="AA284" i="112"/>
  <c r="V284" i="112"/>
  <c r="U284" i="112"/>
  <c r="T284" i="112"/>
  <c r="AA283" i="112"/>
  <c r="V283" i="112"/>
  <c r="U283" i="112"/>
  <c r="T283" i="112"/>
  <c r="AA282" i="112"/>
  <c r="V282" i="112"/>
  <c r="U282" i="112"/>
  <c r="T282" i="112"/>
  <c r="AA281" i="112"/>
  <c r="V281" i="112"/>
  <c r="U281" i="112"/>
  <c r="T281" i="112"/>
  <c r="AA280" i="112"/>
  <c r="V280" i="112"/>
  <c r="U280" i="112"/>
  <c r="T280" i="112"/>
  <c r="AA279" i="112"/>
  <c r="V279" i="112"/>
  <c r="U279" i="112"/>
  <c r="T279" i="112"/>
  <c r="AA278" i="112"/>
  <c r="V278" i="112"/>
  <c r="U278" i="112"/>
  <c r="T278" i="112"/>
  <c r="AA277" i="112"/>
  <c r="V277" i="112"/>
  <c r="U277" i="112"/>
  <c r="T277" i="112"/>
  <c r="AA276" i="112"/>
  <c r="V276" i="112"/>
  <c r="U276" i="112"/>
  <c r="T276" i="112"/>
  <c r="AA275" i="112"/>
  <c r="V275" i="112"/>
  <c r="U275" i="112"/>
  <c r="T275" i="112"/>
  <c r="AA274" i="112"/>
  <c r="V274" i="112"/>
  <c r="U274" i="112"/>
  <c r="T274" i="112"/>
  <c r="AA273" i="112"/>
  <c r="V273" i="112"/>
  <c r="U273" i="112"/>
  <c r="T273" i="112"/>
  <c r="AA272" i="112"/>
  <c r="V272" i="112"/>
  <c r="U272" i="112"/>
  <c r="T272" i="112"/>
  <c r="AA271" i="112"/>
  <c r="V271" i="112"/>
  <c r="U271" i="112"/>
  <c r="T271" i="112"/>
  <c r="AA270" i="112"/>
  <c r="V270" i="112"/>
  <c r="U270" i="112"/>
  <c r="T270" i="112"/>
  <c r="AA269" i="112"/>
  <c r="V269" i="112"/>
  <c r="U269" i="112"/>
  <c r="T269" i="112"/>
  <c r="AA268" i="112"/>
  <c r="V268" i="112"/>
  <c r="U268" i="112"/>
  <c r="T268" i="112"/>
  <c r="AA267" i="112"/>
  <c r="V267" i="112"/>
  <c r="U267" i="112"/>
  <c r="T267" i="112"/>
  <c r="AA266" i="112"/>
  <c r="V266" i="112"/>
  <c r="U266" i="112"/>
  <c r="T266" i="112"/>
  <c r="AA265" i="112"/>
  <c r="V265" i="112"/>
  <c r="U265" i="112"/>
  <c r="T265" i="112"/>
  <c r="AA264" i="112"/>
  <c r="V264" i="112"/>
  <c r="U264" i="112"/>
  <c r="T264" i="112"/>
  <c r="AA263" i="112"/>
  <c r="V263" i="112"/>
  <c r="U263" i="112"/>
  <c r="T263" i="112"/>
  <c r="AA262" i="112"/>
  <c r="V262" i="112"/>
  <c r="U262" i="112"/>
  <c r="T262" i="112"/>
  <c r="AA261" i="112"/>
  <c r="V261" i="112"/>
  <c r="U261" i="112"/>
  <c r="T261" i="112"/>
  <c r="AA260" i="112"/>
  <c r="V260" i="112"/>
  <c r="U260" i="112"/>
  <c r="T260" i="112"/>
  <c r="AA259" i="112"/>
  <c r="V259" i="112"/>
  <c r="U259" i="112"/>
  <c r="T259" i="112"/>
  <c r="AA258" i="112"/>
  <c r="V258" i="112"/>
  <c r="U258" i="112"/>
  <c r="T258" i="112"/>
  <c r="AA257" i="112"/>
  <c r="V257" i="112"/>
  <c r="U257" i="112"/>
  <c r="T257" i="112"/>
  <c r="AA256" i="112"/>
  <c r="V256" i="112"/>
  <c r="U256" i="112"/>
  <c r="T256" i="112"/>
  <c r="AA255" i="112"/>
  <c r="V255" i="112"/>
  <c r="U255" i="112"/>
  <c r="T255" i="112"/>
  <c r="AA254" i="112"/>
  <c r="V254" i="112"/>
  <c r="U254" i="112"/>
  <c r="T254" i="112"/>
  <c r="AA253" i="112"/>
  <c r="V253" i="112"/>
  <c r="U253" i="112"/>
  <c r="T253" i="112"/>
  <c r="AA252" i="112"/>
  <c r="V252" i="112"/>
  <c r="U252" i="112"/>
  <c r="T252" i="112"/>
  <c r="AA251" i="112"/>
  <c r="V251" i="112"/>
  <c r="U251" i="112"/>
  <c r="T251" i="112"/>
  <c r="AA250" i="112"/>
  <c r="V250" i="112"/>
  <c r="U250" i="112"/>
  <c r="T250" i="112"/>
  <c r="AA249" i="112"/>
  <c r="V249" i="112"/>
  <c r="U249" i="112"/>
  <c r="T249" i="112"/>
  <c r="AA248" i="112"/>
  <c r="V248" i="112"/>
  <c r="U248" i="112"/>
  <c r="T248" i="112"/>
  <c r="AA247" i="112"/>
  <c r="V247" i="112"/>
  <c r="U247" i="112"/>
  <c r="T247" i="112"/>
  <c r="AA246" i="112"/>
  <c r="V246" i="112"/>
  <c r="U246" i="112"/>
  <c r="T246" i="112"/>
  <c r="AA245" i="112"/>
  <c r="V245" i="112"/>
  <c r="U245" i="112"/>
  <c r="T245" i="112"/>
  <c r="AA244" i="112"/>
  <c r="V244" i="112"/>
  <c r="U244" i="112"/>
  <c r="T244" i="112"/>
  <c r="AA243" i="112"/>
  <c r="V243" i="112"/>
  <c r="U243" i="112"/>
  <c r="T243" i="112"/>
  <c r="AA242" i="112"/>
  <c r="V242" i="112"/>
  <c r="U242" i="112"/>
  <c r="T242" i="112"/>
  <c r="AA241" i="112"/>
  <c r="V241" i="112"/>
  <c r="U241" i="112"/>
  <c r="T241" i="112"/>
  <c r="AA240" i="112"/>
  <c r="V240" i="112"/>
  <c r="U240" i="112"/>
  <c r="T240" i="112"/>
  <c r="AA239" i="112"/>
  <c r="V239" i="112"/>
  <c r="U239" i="112"/>
  <c r="T239" i="112"/>
  <c r="AA238" i="112"/>
  <c r="V238" i="112"/>
  <c r="U238" i="112"/>
  <c r="T238" i="112"/>
  <c r="AA237" i="112"/>
  <c r="V237" i="112"/>
  <c r="U237" i="112"/>
  <c r="T237" i="112"/>
  <c r="AA236" i="112"/>
  <c r="V236" i="112"/>
  <c r="U236" i="112"/>
  <c r="T236" i="112"/>
  <c r="AA235" i="112"/>
  <c r="V235" i="112"/>
  <c r="U235" i="112"/>
  <c r="T235" i="112"/>
  <c r="AA234" i="112"/>
  <c r="V234" i="112"/>
  <c r="U234" i="112"/>
  <c r="T234" i="112"/>
  <c r="AA233" i="112"/>
  <c r="V233" i="112"/>
  <c r="U233" i="112"/>
  <c r="T233" i="112"/>
  <c r="AA232" i="112"/>
  <c r="V232" i="112"/>
  <c r="U232" i="112"/>
  <c r="T232" i="112"/>
  <c r="AA231" i="112"/>
  <c r="V231" i="112"/>
  <c r="U231" i="112"/>
  <c r="T231" i="112"/>
  <c r="AA230" i="112"/>
  <c r="V230" i="112"/>
  <c r="U230" i="112"/>
  <c r="T230" i="112"/>
  <c r="AA229" i="112"/>
  <c r="V229" i="112"/>
  <c r="U229" i="112"/>
  <c r="T229" i="112"/>
  <c r="AA228" i="112"/>
  <c r="V228" i="112"/>
  <c r="U228" i="112"/>
  <c r="T228" i="112"/>
  <c r="AA227" i="112"/>
  <c r="V227" i="112"/>
  <c r="U227" i="112"/>
  <c r="T227" i="112"/>
  <c r="AA226" i="112"/>
  <c r="V226" i="112"/>
  <c r="U226" i="112"/>
  <c r="T226" i="112"/>
  <c r="AA225" i="112"/>
  <c r="V225" i="112"/>
  <c r="U225" i="112"/>
  <c r="T225" i="112"/>
  <c r="AA224" i="112"/>
  <c r="V224" i="112"/>
  <c r="U224" i="112"/>
  <c r="T224" i="112"/>
  <c r="AA223" i="112"/>
  <c r="V223" i="112"/>
  <c r="U223" i="112"/>
  <c r="T223" i="112"/>
  <c r="AA222" i="112"/>
  <c r="V222" i="112"/>
  <c r="U222" i="112"/>
  <c r="T222" i="112"/>
  <c r="AA221" i="112"/>
  <c r="V221" i="112"/>
  <c r="U221" i="112"/>
  <c r="T221" i="112"/>
  <c r="AA220" i="112"/>
  <c r="V220" i="112"/>
  <c r="U220" i="112"/>
  <c r="T220" i="112"/>
  <c r="AA219" i="112"/>
  <c r="V219" i="112"/>
  <c r="U219" i="112"/>
  <c r="T219" i="112"/>
  <c r="AA218" i="112"/>
  <c r="V218" i="112"/>
  <c r="U218" i="112"/>
  <c r="T218" i="112"/>
  <c r="AA217" i="112"/>
  <c r="V217" i="112"/>
  <c r="U217" i="112"/>
  <c r="T217" i="112"/>
  <c r="AA216" i="112"/>
  <c r="V216" i="112"/>
  <c r="U216" i="112"/>
  <c r="T216" i="112"/>
  <c r="AA215" i="112"/>
  <c r="V215" i="112"/>
  <c r="U215" i="112"/>
  <c r="T215" i="112"/>
  <c r="AA214" i="112"/>
  <c r="V214" i="112"/>
  <c r="U214" i="112"/>
  <c r="T214" i="112"/>
  <c r="AA213" i="112"/>
  <c r="V213" i="112"/>
  <c r="U213" i="112"/>
  <c r="T213" i="112"/>
  <c r="AA212" i="112"/>
  <c r="V212" i="112"/>
  <c r="U212" i="112"/>
  <c r="T212" i="112"/>
  <c r="AA211" i="112"/>
  <c r="V211" i="112"/>
  <c r="U211" i="112"/>
  <c r="T211" i="112"/>
  <c r="AA210" i="112"/>
  <c r="V210" i="112"/>
  <c r="U210" i="112"/>
  <c r="T210" i="112"/>
  <c r="AA209" i="112"/>
  <c r="V209" i="112"/>
  <c r="U209" i="112"/>
  <c r="T209" i="112"/>
  <c r="AA208" i="112"/>
  <c r="V208" i="112"/>
  <c r="U208" i="112"/>
  <c r="T208" i="112"/>
  <c r="AA207" i="112"/>
  <c r="V207" i="112"/>
  <c r="U207" i="112"/>
  <c r="T207" i="112"/>
  <c r="AA206" i="112"/>
  <c r="V206" i="112"/>
  <c r="U206" i="112"/>
  <c r="T206" i="112"/>
  <c r="AA205" i="112"/>
  <c r="V205" i="112"/>
  <c r="U205" i="112"/>
  <c r="T205" i="112"/>
  <c r="AA204" i="112"/>
  <c r="V204" i="112"/>
  <c r="U204" i="112"/>
  <c r="T204" i="112"/>
  <c r="AA203" i="112"/>
  <c r="V203" i="112"/>
  <c r="U203" i="112"/>
  <c r="T203" i="112"/>
  <c r="AA202" i="112"/>
  <c r="V202" i="112"/>
  <c r="U202" i="112"/>
  <c r="T202" i="112"/>
  <c r="AA201" i="112"/>
  <c r="V201" i="112"/>
  <c r="U201" i="112"/>
  <c r="T201" i="112"/>
  <c r="AA200" i="112"/>
  <c r="V200" i="112"/>
  <c r="U200" i="112"/>
  <c r="T200" i="112"/>
  <c r="AA199" i="112"/>
  <c r="V199" i="112"/>
  <c r="U199" i="112"/>
  <c r="T199" i="112"/>
  <c r="AA198" i="112"/>
  <c r="V198" i="112"/>
  <c r="U198" i="112"/>
  <c r="T198" i="112"/>
  <c r="AA197" i="112"/>
  <c r="V197" i="112"/>
  <c r="U197" i="112"/>
  <c r="T197" i="112"/>
  <c r="AA196" i="112"/>
  <c r="V196" i="112"/>
  <c r="U196" i="112"/>
  <c r="T196" i="112"/>
  <c r="AA195" i="112"/>
  <c r="V195" i="112"/>
  <c r="U195" i="112"/>
  <c r="T195" i="112"/>
  <c r="AA194" i="112"/>
  <c r="V194" i="112"/>
  <c r="U194" i="112"/>
  <c r="T194" i="112"/>
  <c r="AA193" i="112"/>
  <c r="V193" i="112"/>
  <c r="U193" i="112"/>
  <c r="T193" i="112"/>
  <c r="AA192" i="112"/>
  <c r="V192" i="112"/>
  <c r="U192" i="112"/>
  <c r="T192" i="112"/>
  <c r="AA191" i="112"/>
  <c r="V191" i="112"/>
  <c r="U191" i="112"/>
  <c r="T191" i="112"/>
  <c r="AA190" i="112"/>
  <c r="V190" i="112"/>
  <c r="U190" i="112"/>
  <c r="T190" i="112"/>
  <c r="AA189" i="112"/>
  <c r="V189" i="112"/>
  <c r="U189" i="112"/>
  <c r="T189" i="112"/>
  <c r="AA188" i="112"/>
  <c r="V188" i="112"/>
  <c r="U188" i="112"/>
  <c r="T188" i="112"/>
  <c r="AA187" i="112"/>
  <c r="V187" i="112"/>
  <c r="U187" i="112"/>
  <c r="T187" i="112"/>
  <c r="AA186" i="112"/>
  <c r="V186" i="112"/>
  <c r="U186" i="112"/>
  <c r="T186" i="112"/>
  <c r="AA185" i="112"/>
  <c r="V185" i="112"/>
  <c r="U185" i="112"/>
  <c r="T185" i="112"/>
  <c r="AA184" i="112"/>
  <c r="V184" i="112"/>
  <c r="U184" i="112"/>
  <c r="T184" i="112"/>
  <c r="AA183" i="112"/>
  <c r="V183" i="112"/>
  <c r="U183" i="112"/>
  <c r="T183" i="112"/>
  <c r="AA182" i="112"/>
  <c r="V182" i="112"/>
  <c r="U182" i="112"/>
  <c r="T182" i="112"/>
  <c r="AA181" i="112"/>
  <c r="V181" i="112"/>
  <c r="U181" i="112"/>
  <c r="T181" i="112"/>
  <c r="AA180" i="112"/>
  <c r="V180" i="112"/>
  <c r="U180" i="112"/>
  <c r="T180" i="112"/>
  <c r="AA179" i="112"/>
  <c r="V179" i="112"/>
  <c r="U179" i="112"/>
  <c r="T179" i="112"/>
  <c r="AA178" i="112"/>
  <c r="V178" i="112"/>
  <c r="U178" i="112"/>
  <c r="T178" i="112"/>
  <c r="AA177" i="112"/>
  <c r="V177" i="112"/>
  <c r="U177" i="112"/>
  <c r="T177" i="112"/>
  <c r="AA176" i="112"/>
  <c r="V176" i="112"/>
  <c r="U176" i="112"/>
  <c r="T176" i="112"/>
  <c r="AA175" i="112"/>
  <c r="V175" i="112"/>
  <c r="U175" i="112"/>
  <c r="T175" i="112"/>
  <c r="AA174" i="112"/>
  <c r="V174" i="112"/>
  <c r="U174" i="112"/>
  <c r="T174" i="112"/>
  <c r="AA173" i="112"/>
  <c r="V173" i="112"/>
  <c r="U173" i="112"/>
  <c r="T173" i="112"/>
  <c r="AA172" i="112"/>
  <c r="V172" i="112"/>
  <c r="U172" i="112"/>
  <c r="T172" i="112"/>
  <c r="AA171" i="112"/>
  <c r="V171" i="112"/>
  <c r="U171" i="112"/>
  <c r="T171" i="112"/>
  <c r="AA170" i="112"/>
  <c r="V170" i="112"/>
  <c r="U170" i="112"/>
  <c r="T170" i="112"/>
  <c r="AA169" i="112"/>
  <c r="V169" i="112"/>
  <c r="U169" i="112"/>
  <c r="T169" i="112"/>
  <c r="AA168" i="112"/>
  <c r="V168" i="112"/>
  <c r="U168" i="112"/>
  <c r="T168" i="112"/>
  <c r="AA167" i="112"/>
  <c r="V167" i="112"/>
  <c r="U167" i="112"/>
  <c r="T167" i="112"/>
  <c r="AA166" i="112"/>
  <c r="V166" i="112"/>
  <c r="U166" i="112"/>
  <c r="T166" i="112"/>
  <c r="AA165" i="112"/>
  <c r="V165" i="112"/>
  <c r="U165" i="112"/>
  <c r="T165" i="112"/>
  <c r="AA164" i="112"/>
  <c r="V164" i="112"/>
  <c r="U164" i="112"/>
  <c r="T164" i="112"/>
  <c r="AA163" i="112"/>
  <c r="V163" i="112"/>
  <c r="U163" i="112"/>
  <c r="T163" i="112"/>
  <c r="AA162" i="112"/>
  <c r="V162" i="112"/>
  <c r="U162" i="112"/>
  <c r="T162" i="112"/>
  <c r="AA161" i="112"/>
  <c r="V161" i="112"/>
  <c r="U161" i="112"/>
  <c r="T161" i="112"/>
  <c r="AA160" i="112"/>
  <c r="V160" i="112"/>
  <c r="U160" i="112"/>
  <c r="T160" i="112"/>
  <c r="AA159" i="112"/>
  <c r="V159" i="112"/>
  <c r="U159" i="112"/>
  <c r="T159" i="112"/>
  <c r="AA158" i="112"/>
  <c r="V158" i="112"/>
  <c r="U158" i="112"/>
  <c r="T158" i="112"/>
  <c r="AA157" i="112"/>
  <c r="V157" i="112"/>
  <c r="U157" i="112"/>
  <c r="T157" i="112"/>
  <c r="AA156" i="112"/>
  <c r="V156" i="112"/>
  <c r="U156" i="112"/>
  <c r="T156" i="112"/>
  <c r="AA155" i="112"/>
  <c r="V155" i="112"/>
  <c r="U155" i="112"/>
  <c r="T155" i="112"/>
  <c r="AA154" i="112"/>
  <c r="V154" i="112"/>
  <c r="U154" i="112"/>
  <c r="T154" i="112"/>
  <c r="AA153" i="112"/>
  <c r="V153" i="112"/>
  <c r="U153" i="112"/>
  <c r="T153" i="112"/>
  <c r="AA152" i="112"/>
  <c r="V152" i="112"/>
  <c r="U152" i="112"/>
  <c r="T152" i="112"/>
  <c r="AA151" i="112"/>
  <c r="V151" i="112"/>
  <c r="U151" i="112"/>
  <c r="T151" i="112"/>
  <c r="AA150" i="112"/>
  <c r="V150" i="112"/>
  <c r="U150" i="112"/>
  <c r="T150" i="112"/>
  <c r="AA149" i="112"/>
  <c r="V149" i="112"/>
  <c r="U149" i="112"/>
  <c r="T149" i="112"/>
  <c r="AA148" i="112"/>
  <c r="V148" i="112"/>
  <c r="U148" i="112"/>
  <c r="T148" i="112"/>
  <c r="AA147" i="112"/>
  <c r="V147" i="112"/>
  <c r="U147" i="112"/>
  <c r="T147" i="112"/>
  <c r="AA146" i="112"/>
  <c r="V146" i="112"/>
  <c r="U146" i="112"/>
  <c r="T146" i="112"/>
  <c r="AA145" i="112"/>
  <c r="V145" i="112"/>
  <c r="U145" i="112"/>
  <c r="T145" i="112"/>
  <c r="AA144" i="112"/>
  <c r="V144" i="112"/>
  <c r="U144" i="112"/>
  <c r="T144" i="112"/>
  <c r="AA143" i="112"/>
  <c r="V143" i="112"/>
  <c r="U143" i="112"/>
  <c r="T143" i="112"/>
  <c r="AA142" i="112"/>
  <c r="V142" i="112"/>
  <c r="U142" i="112"/>
  <c r="T142" i="112"/>
  <c r="AA141" i="112"/>
  <c r="V141" i="112"/>
  <c r="U141" i="112"/>
  <c r="T141" i="112"/>
  <c r="AA140" i="112"/>
  <c r="V140" i="112"/>
  <c r="U140" i="112"/>
  <c r="T140" i="112"/>
  <c r="AA139" i="112"/>
  <c r="V139" i="112"/>
  <c r="U139" i="112"/>
  <c r="T139" i="112"/>
  <c r="AA138" i="112"/>
  <c r="V138" i="112"/>
  <c r="U138" i="112"/>
  <c r="T138" i="112"/>
  <c r="AA137" i="112"/>
  <c r="V137" i="112"/>
  <c r="U137" i="112"/>
  <c r="T137" i="112"/>
  <c r="AA136" i="112"/>
  <c r="V136" i="112"/>
  <c r="U136" i="112"/>
  <c r="T136" i="112"/>
  <c r="AA135" i="112"/>
  <c r="V135" i="112"/>
  <c r="U135" i="112"/>
  <c r="T135" i="112"/>
  <c r="AA134" i="112"/>
  <c r="V134" i="112"/>
  <c r="U134" i="112"/>
  <c r="T134" i="112"/>
  <c r="AA133" i="112"/>
  <c r="V133" i="112"/>
  <c r="U133" i="112"/>
  <c r="T133" i="112"/>
  <c r="AA132" i="112"/>
  <c r="V132" i="112"/>
  <c r="U132" i="112"/>
  <c r="T132" i="112"/>
  <c r="AA131" i="112"/>
  <c r="V131" i="112"/>
  <c r="U131" i="112"/>
  <c r="T131" i="112"/>
  <c r="AA130" i="112"/>
  <c r="V130" i="112"/>
  <c r="U130" i="112"/>
  <c r="T130" i="112"/>
  <c r="AA129" i="112"/>
  <c r="V129" i="112"/>
  <c r="U129" i="112"/>
  <c r="T129" i="112"/>
  <c r="AA128" i="112"/>
  <c r="V128" i="112"/>
  <c r="U128" i="112"/>
  <c r="T128" i="112"/>
  <c r="AA127" i="112"/>
  <c r="V127" i="112"/>
  <c r="U127" i="112"/>
  <c r="T127" i="112"/>
  <c r="AA126" i="112"/>
  <c r="V126" i="112"/>
  <c r="U126" i="112"/>
  <c r="T126" i="112"/>
  <c r="AA125" i="112"/>
  <c r="V125" i="112"/>
  <c r="U125" i="112"/>
  <c r="T125" i="112"/>
  <c r="AA124" i="112"/>
  <c r="V124" i="112"/>
  <c r="U124" i="112"/>
  <c r="T124" i="112"/>
  <c r="AA123" i="112"/>
  <c r="V123" i="112"/>
  <c r="U123" i="112"/>
  <c r="T123" i="112"/>
  <c r="AA122" i="112"/>
  <c r="V122" i="112"/>
  <c r="U122" i="112"/>
  <c r="T122" i="112"/>
  <c r="AA121" i="112"/>
  <c r="V121" i="112"/>
  <c r="U121" i="112"/>
  <c r="T121" i="112"/>
  <c r="AA120" i="112"/>
  <c r="V120" i="112"/>
  <c r="U120" i="112"/>
  <c r="T120" i="112"/>
  <c r="AA119" i="112"/>
  <c r="V119" i="112"/>
  <c r="U119" i="112"/>
  <c r="T119" i="112"/>
  <c r="AA118" i="112"/>
  <c r="V118" i="112"/>
  <c r="U118" i="112"/>
  <c r="T118" i="112"/>
  <c r="AA117" i="112"/>
  <c r="V117" i="112"/>
  <c r="U117" i="112"/>
  <c r="T117" i="112"/>
  <c r="AA116" i="112"/>
  <c r="V116" i="112"/>
  <c r="U116" i="112"/>
  <c r="T116" i="112"/>
  <c r="AA115" i="112"/>
  <c r="V115" i="112"/>
  <c r="U115" i="112"/>
  <c r="T115" i="112"/>
  <c r="AA114" i="112"/>
  <c r="V114" i="112"/>
  <c r="U114" i="112"/>
  <c r="T114" i="112"/>
  <c r="AA113" i="112"/>
  <c r="V113" i="112"/>
  <c r="U113" i="112"/>
  <c r="T113" i="112"/>
  <c r="AA112" i="112"/>
  <c r="V112" i="112"/>
  <c r="U112" i="112"/>
  <c r="T112" i="112"/>
  <c r="AA111" i="112"/>
  <c r="V111" i="112"/>
  <c r="U111" i="112"/>
  <c r="T111" i="112"/>
  <c r="AA110" i="112"/>
  <c r="V110" i="112"/>
  <c r="U110" i="112"/>
  <c r="T110" i="112"/>
  <c r="AA109" i="112"/>
  <c r="V109" i="112"/>
  <c r="U109" i="112"/>
  <c r="T109" i="112"/>
  <c r="AA108" i="112"/>
  <c r="V108" i="112"/>
  <c r="U108" i="112"/>
  <c r="T108" i="112"/>
  <c r="AA107" i="112"/>
  <c r="V107" i="112"/>
  <c r="U107" i="112"/>
  <c r="T107" i="112"/>
  <c r="AA106" i="112"/>
  <c r="V106" i="112"/>
  <c r="U106" i="112"/>
  <c r="T106" i="112"/>
  <c r="AA105" i="112"/>
  <c r="V105" i="112"/>
  <c r="U105" i="112"/>
  <c r="T105" i="112"/>
  <c r="AA104" i="112"/>
  <c r="V104" i="112"/>
  <c r="U104" i="112"/>
  <c r="T104" i="112"/>
  <c r="AA103" i="112"/>
  <c r="V103" i="112"/>
  <c r="U103" i="112"/>
  <c r="T103" i="112"/>
  <c r="AA102" i="112"/>
  <c r="V102" i="112"/>
  <c r="U102" i="112"/>
  <c r="T102" i="112"/>
  <c r="AA101" i="112"/>
  <c r="V101" i="112"/>
  <c r="U101" i="112"/>
  <c r="T101" i="112"/>
  <c r="AA100" i="112"/>
  <c r="V100" i="112"/>
  <c r="U100" i="112"/>
  <c r="T100" i="112"/>
  <c r="AA99" i="112"/>
  <c r="V99" i="112"/>
  <c r="U99" i="112"/>
  <c r="T99" i="112"/>
  <c r="AA98" i="112"/>
  <c r="V98" i="112"/>
  <c r="U98" i="112"/>
  <c r="T98" i="112"/>
  <c r="AA97" i="112"/>
  <c r="V97" i="112"/>
  <c r="U97" i="112"/>
  <c r="T97" i="112"/>
  <c r="AA96" i="112"/>
  <c r="V96" i="112"/>
  <c r="U96" i="112"/>
  <c r="T96" i="112"/>
  <c r="AA95" i="112"/>
  <c r="V95" i="112"/>
  <c r="U95" i="112"/>
  <c r="T95" i="112"/>
  <c r="AA94" i="112"/>
  <c r="V94" i="112"/>
  <c r="U94" i="112"/>
  <c r="T94" i="112"/>
  <c r="AA93" i="112"/>
  <c r="V93" i="112"/>
  <c r="U93" i="112"/>
  <c r="T93" i="112"/>
  <c r="AA92" i="112"/>
  <c r="V92" i="112"/>
  <c r="U92" i="112"/>
  <c r="T92" i="112"/>
  <c r="AA91" i="112"/>
  <c r="V91" i="112"/>
  <c r="U91" i="112"/>
  <c r="T91" i="112"/>
  <c r="AA90" i="112"/>
  <c r="V90" i="112"/>
  <c r="U90" i="112"/>
  <c r="T90" i="112"/>
  <c r="T81" i="112"/>
  <c r="U81" i="112"/>
  <c r="V81" i="112"/>
  <c r="AA81" i="112"/>
  <c r="T82" i="112"/>
  <c r="U82" i="112"/>
  <c r="V82" i="112"/>
  <c r="AA82" i="112"/>
  <c r="T83" i="112"/>
  <c r="U83" i="112"/>
  <c r="V83" i="112"/>
  <c r="AA83" i="112"/>
  <c r="AA70" i="69"/>
  <c r="AB70" i="69" s="1"/>
  <c r="Z70" i="69"/>
  <c r="W70" i="69"/>
  <c r="V70" i="69"/>
  <c r="U70" i="69"/>
  <c r="Q70" i="69"/>
  <c r="E70" i="69"/>
  <c r="AA69" i="69"/>
  <c r="E69" i="69" s="1"/>
  <c r="Z69" i="69"/>
  <c r="W69" i="69"/>
  <c r="V69" i="69"/>
  <c r="U69" i="69"/>
  <c r="Y69" i="69" s="1"/>
  <c r="Q69" i="69"/>
  <c r="AA68" i="69"/>
  <c r="E68" i="69" s="1"/>
  <c r="Z68" i="69"/>
  <c r="W68" i="69"/>
  <c r="V68" i="69"/>
  <c r="U68" i="69"/>
  <c r="Q68" i="69"/>
  <c r="AA67" i="69"/>
  <c r="AB67" i="69" s="1"/>
  <c r="Z67" i="69"/>
  <c r="W67" i="69"/>
  <c r="V67" i="69"/>
  <c r="U67" i="69"/>
  <c r="Q67" i="69"/>
  <c r="AA66" i="69"/>
  <c r="E66" i="69" s="1"/>
  <c r="Z66" i="69"/>
  <c r="W66" i="69"/>
  <c r="V66" i="69"/>
  <c r="U66" i="69"/>
  <c r="Q66" i="69"/>
  <c r="AA65" i="69"/>
  <c r="E65" i="69" s="1"/>
  <c r="Z65" i="69"/>
  <c r="W65" i="69"/>
  <c r="V65" i="69"/>
  <c r="U65" i="69"/>
  <c r="Q65" i="69"/>
  <c r="AA64" i="69"/>
  <c r="AB64" i="69" s="1"/>
  <c r="Z64" i="69"/>
  <c r="W64" i="69"/>
  <c r="V64" i="69"/>
  <c r="U64" i="69"/>
  <c r="Q64" i="69"/>
  <c r="AA63" i="69"/>
  <c r="AB63" i="69" s="1"/>
  <c r="Z63" i="69"/>
  <c r="W63" i="69"/>
  <c r="V63" i="69"/>
  <c r="U63" i="69"/>
  <c r="Y63" i="69" s="1"/>
  <c r="Q63" i="69"/>
  <c r="AA62" i="69"/>
  <c r="AB62" i="69" s="1"/>
  <c r="Z62" i="69"/>
  <c r="W62" i="69"/>
  <c r="V62" i="69"/>
  <c r="U62" i="69"/>
  <c r="Q62" i="69"/>
  <c r="AA61" i="69"/>
  <c r="E61" i="69" s="1"/>
  <c r="Z61" i="69"/>
  <c r="W61" i="69"/>
  <c r="V61" i="69"/>
  <c r="U61" i="69"/>
  <c r="Q61" i="69"/>
  <c r="AA60" i="69"/>
  <c r="E60" i="69" s="1"/>
  <c r="Z60" i="69"/>
  <c r="W60" i="69"/>
  <c r="V60" i="69"/>
  <c r="U60" i="69"/>
  <c r="Q60" i="69"/>
  <c r="AA59" i="69"/>
  <c r="AB59" i="69" s="1"/>
  <c r="Z59" i="69"/>
  <c r="W59" i="69"/>
  <c r="V59" i="69"/>
  <c r="U59" i="69"/>
  <c r="Y59" i="69" s="1"/>
  <c r="Q59" i="69"/>
  <c r="AA58" i="69"/>
  <c r="E58" i="69" s="1"/>
  <c r="Z58" i="69"/>
  <c r="W58" i="69"/>
  <c r="V58" i="69"/>
  <c r="U58" i="69"/>
  <c r="Q58" i="69"/>
  <c r="AA57" i="69"/>
  <c r="E57" i="69" s="1"/>
  <c r="Z57" i="69"/>
  <c r="W57" i="69"/>
  <c r="V57" i="69"/>
  <c r="U57" i="69"/>
  <c r="Y57" i="69" s="1"/>
  <c r="Q57" i="69"/>
  <c r="AA56" i="69"/>
  <c r="AB56" i="69" s="1"/>
  <c r="Z56" i="69"/>
  <c r="W56" i="69"/>
  <c r="V56" i="69"/>
  <c r="U56" i="69"/>
  <c r="Q56" i="69"/>
  <c r="E56" i="69"/>
  <c r="AA55" i="69"/>
  <c r="AB55" i="69" s="1"/>
  <c r="Z55" i="69"/>
  <c r="W55" i="69"/>
  <c r="V55" i="69"/>
  <c r="U55" i="69"/>
  <c r="Q55" i="69"/>
  <c r="AA54" i="69"/>
  <c r="AB54" i="69" s="1"/>
  <c r="Z54" i="69"/>
  <c r="W54" i="69"/>
  <c r="V54" i="69"/>
  <c r="U54" i="69"/>
  <c r="Y54" i="69" s="1"/>
  <c r="Q54" i="69"/>
  <c r="AA53" i="69"/>
  <c r="E53" i="69" s="1"/>
  <c r="Z53" i="69"/>
  <c r="W53" i="69"/>
  <c r="V53" i="69"/>
  <c r="U53" i="69"/>
  <c r="Q53" i="69"/>
  <c r="AA52" i="69"/>
  <c r="AB52" i="69" s="1"/>
  <c r="Z52" i="69"/>
  <c r="W52" i="69"/>
  <c r="V52" i="69"/>
  <c r="U52" i="69"/>
  <c r="Y52" i="69" s="1"/>
  <c r="Q52" i="69"/>
  <c r="AA51" i="69"/>
  <c r="AB51" i="69" s="1"/>
  <c r="Z51" i="69"/>
  <c r="W51" i="69"/>
  <c r="V51" i="69"/>
  <c r="U51" i="69"/>
  <c r="Q51" i="69"/>
  <c r="X6" i="158"/>
  <c r="I12" i="114" l="1"/>
  <c r="H12" i="114"/>
  <c r="I13" i="114"/>
  <c r="H13" i="114"/>
  <c r="K35" i="170"/>
  <c r="M35" i="170" s="1"/>
  <c r="K28" i="170"/>
  <c r="M28" i="170" s="1"/>
  <c r="I14" i="114"/>
  <c r="H14" i="114"/>
  <c r="K56" i="170"/>
  <c r="M56" i="170" s="1"/>
  <c r="K73" i="170"/>
  <c r="M73" i="170" s="1"/>
  <c r="K64" i="170"/>
  <c r="M64" i="170" s="1"/>
  <c r="K43" i="170"/>
  <c r="M43" i="170" s="1"/>
  <c r="K30" i="170"/>
  <c r="M30" i="170" s="1"/>
  <c r="K72" i="170"/>
  <c r="M72" i="170" s="1"/>
  <c r="K57" i="170"/>
  <c r="M57" i="170" s="1"/>
  <c r="K75" i="170"/>
  <c r="M75" i="170" s="1"/>
  <c r="K70" i="170"/>
  <c r="M70" i="170" s="1"/>
  <c r="K34" i="170"/>
  <c r="M34" i="170" s="1"/>
  <c r="E51" i="69"/>
  <c r="I15" i="114"/>
  <c r="H15" i="114"/>
  <c r="K49" i="170"/>
  <c r="M49" i="170" s="1"/>
  <c r="K40" i="170"/>
  <c r="M40" i="170" s="1"/>
  <c r="K13" i="170"/>
  <c r="M13" i="170" s="1"/>
  <c r="K19" i="170"/>
  <c r="M19" i="170" s="1"/>
  <c r="S619" i="112"/>
  <c r="R120" i="112"/>
  <c r="R122" i="112"/>
  <c r="R128" i="112"/>
  <c r="R130" i="112"/>
  <c r="S497" i="112"/>
  <c r="S509" i="112"/>
  <c r="S591" i="112"/>
  <c r="S611" i="112"/>
  <c r="S615" i="112"/>
  <c r="S617" i="112"/>
  <c r="R121" i="112"/>
  <c r="R129" i="112"/>
  <c r="R159" i="112"/>
  <c r="R235" i="112"/>
  <c r="R237" i="112"/>
  <c r="R238" i="112"/>
  <c r="R242" i="112"/>
  <c r="R244" i="112"/>
  <c r="R245" i="112"/>
  <c r="R81" i="112"/>
  <c r="S618" i="112"/>
  <c r="R446" i="112"/>
  <c r="Q446" i="112" s="1"/>
  <c r="K446" i="112" s="1"/>
  <c r="L446" i="112" s="1"/>
  <c r="R474" i="112"/>
  <c r="R580" i="112"/>
  <c r="R588" i="112"/>
  <c r="R616" i="112"/>
  <c r="R619" i="112"/>
  <c r="Q619" i="112" s="1"/>
  <c r="K619" i="112" s="1"/>
  <c r="L619" i="112" s="1"/>
  <c r="R454" i="112"/>
  <c r="K22" i="170"/>
  <c r="M22" i="170" s="1"/>
  <c r="K17" i="170"/>
  <c r="M17" i="170" s="1"/>
  <c r="K33" i="170"/>
  <c r="M33" i="170" s="1"/>
  <c r="K12" i="170"/>
  <c r="M12" i="170" s="1"/>
  <c r="K67" i="170"/>
  <c r="M67" i="170" s="1"/>
  <c r="K51" i="170"/>
  <c r="M51" i="170" s="1"/>
  <c r="K46" i="170"/>
  <c r="M46" i="170" s="1"/>
  <c r="K62" i="170"/>
  <c r="M62" i="170" s="1"/>
  <c r="K78" i="170"/>
  <c r="M78" i="170" s="1"/>
  <c r="K14" i="170"/>
  <c r="M14" i="170" s="1"/>
  <c r="K77" i="170"/>
  <c r="M77" i="170" s="1"/>
  <c r="K61" i="170"/>
  <c r="M61" i="170" s="1"/>
  <c r="K45" i="170"/>
  <c r="M45" i="170" s="1"/>
  <c r="K60" i="170"/>
  <c r="M60" i="170" s="1"/>
  <c r="K37" i="170"/>
  <c r="M37" i="170" s="1"/>
  <c r="K71" i="170"/>
  <c r="M71" i="170" s="1"/>
  <c r="K55" i="170"/>
  <c r="M55" i="170" s="1"/>
  <c r="K39" i="170"/>
  <c r="M39" i="170" s="1"/>
  <c r="K50" i="170"/>
  <c r="M50" i="170" s="1"/>
  <c r="K66" i="170"/>
  <c r="M66" i="170" s="1"/>
  <c r="K52" i="170"/>
  <c r="M52" i="170" s="1"/>
  <c r="K76" i="170"/>
  <c r="M76" i="170" s="1"/>
  <c r="K15" i="170"/>
  <c r="M15" i="170" s="1"/>
  <c r="K26" i="170"/>
  <c r="M26" i="170" s="1"/>
  <c r="K69" i="170"/>
  <c r="M69" i="170" s="1"/>
  <c r="K53" i="170"/>
  <c r="M53" i="170" s="1"/>
  <c r="K24" i="170"/>
  <c r="M24" i="170" s="1"/>
  <c r="K25" i="170"/>
  <c r="M25" i="170" s="1"/>
  <c r="K63" i="170"/>
  <c r="M63" i="170" s="1"/>
  <c r="K47" i="170"/>
  <c r="M47" i="170" s="1"/>
  <c r="K42" i="170"/>
  <c r="M42" i="170" s="1"/>
  <c r="K58" i="170"/>
  <c r="M58" i="170" s="1"/>
  <c r="K74" i="170"/>
  <c r="M74" i="170" s="1"/>
  <c r="K44" i="170"/>
  <c r="M44" i="170" s="1"/>
  <c r="K68" i="170"/>
  <c r="M68" i="170" s="1"/>
  <c r="K10" i="170"/>
  <c r="M10" i="170" s="1"/>
  <c r="K11" i="170"/>
  <c r="M11" i="170" s="1"/>
  <c r="Y7" i="170"/>
  <c r="J83" i="170" s="1"/>
  <c r="J89" i="172"/>
  <c r="K85" i="172"/>
  <c r="M85" i="172" s="1"/>
  <c r="H6" i="172"/>
  <c r="M6" i="172" s="1"/>
  <c r="L85" i="171"/>
  <c r="N85" i="171" s="1"/>
  <c r="K89" i="171"/>
  <c r="G6" i="171"/>
  <c r="N6" i="171" s="1"/>
  <c r="U43" i="42"/>
  <c r="X43" i="42"/>
  <c r="R12" i="170"/>
  <c r="R14" i="170"/>
  <c r="J89" i="170"/>
  <c r="H6" i="170"/>
  <c r="M6" i="170" s="1"/>
  <c r="K18" i="170"/>
  <c r="M18" i="170" s="1"/>
  <c r="R15" i="170"/>
  <c r="K16" i="170"/>
  <c r="M16" i="170" s="1"/>
  <c r="K20" i="170"/>
  <c r="M20" i="170" s="1"/>
  <c r="R10" i="170"/>
  <c r="K9" i="170"/>
  <c r="M9" i="170" s="1"/>
  <c r="K87" i="170"/>
  <c r="M87" i="170" s="1"/>
  <c r="O85" i="170"/>
  <c r="P85" i="170"/>
  <c r="S26" i="152"/>
  <c r="S625" i="112"/>
  <c r="S626" i="112"/>
  <c r="S643" i="112"/>
  <c r="S647" i="112"/>
  <c r="S649" i="112"/>
  <c r="S650" i="112"/>
  <c r="S719" i="112"/>
  <c r="S723" i="112"/>
  <c r="S725" i="112"/>
  <c r="S726" i="112"/>
  <c r="R366" i="112"/>
  <c r="S369" i="112"/>
  <c r="R476" i="112"/>
  <c r="S113" i="112"/>
  <c r="S114" i="112"/>
  <c r="S119" i="112"/>
  <c r="S288" i="112"/>
  <c r="S317" i="112"/>
  <c r="S318" i="112"/>
  <c r="S319" i="112"/>
  <c r="S320" i="112"/>
  <c r="S329" i="112"/>
  <c r="S337" i="112"/>
  <c r="S361" i="112"/>
  <c r="S367" i="112"/>
  <c r="S368" i="112"/>
  <c r="R369" i="112"/>
  <c r="R374" i="112"/>
  <c r="R376" i="112"/>
  <c r="R506" i="112"/>
  <c r="R538" i="112"/>
  <c r="R687" i="112"/>
  <c r="R386" i="112"/>
  <c r="R390" i="112"/>
  <c r="R398" i="112"/>
  <c r="R282" i="112"/>
  <c r="R314" i="112"/>
  <c r="S446" i="112"/>
  <c r="R494" i="112"/>
  <c r="R191" i="112"/>
  <c r="S148" i="112"/>
  <c r="S235" i="112"/>
  <c r="R382" i="112"/>
  <c r="R400" i="112"/>
  <c r="R425" i="112"/>
  <c r="R462" i="112"/>
  <c r="R466" i="112"/>
  <c r="S561" i="112"/>
  <c r="R200" i="112"/>
  <c r="S202" i="112"/>
  <c r="R204" i="112"/>
  <c r="R212" i="112"/>
  <c r="R216" i="112"/>
  <c r="S374" i="112"/>
  <c r="R438" i="112"/>
  <c r="R442" i="112"/>
  <c r="S445" i="112"/>
  <c r="R448" i="112"/>
  <c r="R541" i="112"/>
  <c r="R542" i="112"/>
  <c r="S545" i="112"/>
  <c r="R550" i="112"/>
  <c r="R576" i="112"/>
  <c r="S687" i="112"/>
  <c r="R510" i="112"/>
  <c r="S651" i="112"/>
  <c r="S659" i="112"/>
  <c r="R668" i="112"/>
  <c r="R696" i="112"/>
  <c r="R704" i="112"/>
  <c r="S121" i="112"/>
  <c r="S122" i="112"/>
  <c r="S127" i="112"/>
  <c r="S128" i="112"/>
  <c r="S129" i="112"/>
  <c r="S130" i="112"/>
  <c r="Q130" i="112" s="1"/>
  <c r="K130" i="112" s="1"/>
  <c r="L130" i="112" s="1"/>
  <c r="S135" i="112"/>
  <c r="R144" i="112"/>
  <c r="R152" i="112"/>
  <c r="R155" i="112"/>
  <c r="R156" i="112"/>
  <c r="S157" i="112"/>
  <c r="S158" i="112"/>
  <c r="S162" i="112"/>
  <c r="S163" i="112"/>
  <c r="S165" i="112"/>
  <c r="S166" i="112"/>
  <c r="R183" i="112"/>
  <c r="S186" i="112"/>
  <c r="S187" i="112"/>
  <c r="S189" i="112"/>
  <c r="S190" i="112"/>
  <c r="S251" i="112"/>
  <c r="R256" i="112"/>
  <c r="S353" i="112"/>
  <c r="R378" i="112"/>
  <c r="S381" i="112"/>
  <c r="R384" i="112"/>
  <c r="R402" i="112"/>
  <c r="R409" i="112"/>
  <c r="S429" i="112"/>
  <c r="R450" i="112"/>
  <c r="R456" i="112"/>
  <c r="R458" i="112"/>
  <c r="R460" i="112"/>
  <c r="R478" i="112"/>
  <c r="R482" i="112"/>
  <c r="S502" i="112"/>
  <c r="R530" i="112"/>
  <c r="S532" i="112"/>
  <c r="R537" i="112"/>
  <c r="R564" i="112"/>
  <c r="S603" i="112"/>
  <c r="R648" i="112"/>
  <c r="R651" i="112"/>
  <c r="S695" i="112"/>
  <c r="S735" i="112"/>
  <c r="R96" i="112"/>
  <c r="S289" i="112"/>
  <c r="R290" i="112"/>
  <c r="R302" i="112"/>
  <c r="R306" i="112"/>
  <c r="R338" i="112"/>
  <c r="S383" i="112"/>
  <c r="S384" i="112"/>
  <c r="R394" i="112"/>
  <c r="S397" i="112"/>
  <c r="S457" i="112"/>
  <c r="S461" i="112"/>
  <c r="R470" i="112"/>
  <c r="S473" i="112"/>
  <c r="R498" i="112"/>
  <c r="R502" i="112"/>
  <c r="S548" i="112"/>
  <c r="S553" i="112"/>
  <c r="S554" i="112"/>
  <c r="S597" i="112"/>
  <c r="S657" i="112"/>
  <c r="S658" i="112"/>
  <c r="S679" i="112"/>
  <c r="S686" i="112"/>
  <c r="S727" i="112"/>
  <c r="R728" i="112"/>
  <c r="S91" i="112"/>
  <c r="R100" i="112"/>
  <c r="S225" i="112"/>
  <c r="S231" i="112"/>
  <c r="S234" i="112"/>
  <c r="R90" i="112"/>
  <c r="R136" i="112"/>
  <c r="S139" i="112"/>
  <c r="R140" i="112"/>
  <c r="R167" i="112"/>
  <c r="R168" i="112"/>
  <c r="R175" i="112"/>
  <c r="R176" i="112"/>
  <c r="S219" i="112"/>
  <c r="S236" i="112"/>
  <c r="S237" i="112"/>
  <c r="Q237" i="112" s="1"/>
  <c r="K237" i="112" s="1"/>
  <c r="L237" i="112" s="1"/>
  <c r="S238" i="112"/>
  <c r="Q238" i="112" s="1"/>
  <c r="K238" i="112" s="1"/>
  <c r="L238" i="112" s="1"/>
  <c r="S243" i="112"/>
  <c r="S247" i="112"/>
  <c r="S250" i="112"/>
  <c r="S262" i="112"/>
  <c r="S274" i="112"/>
  <c r="S275" i="112"/>
  <c r="R276" i="112"/>
  <c r="R278" i="112"/>
  <c r="S280" i="112"/>
  <c r="R326" i="112"/>
  <c r="R327" i="112"/>
  <c r="R328" i="112"/>
  <c r="R330" i="112"/>
  <c r="R331" i="112"/>
  <c r="R332" i="112"/>
  <c r="R353" i="112"/>
  <c r="S390" i="112"/>
  <c r="R417" i="112"/>
  <c r="S428" i="112"/>
  <c r="S466" i="112"/>
  <c r="S477" i="112"/>
  <c r="R486" i="112"/>
  <c r="S489" i="112"/>
  <c r="S493" i="112"/>
  <c r="R496" i="112"/>
  <c r="R514" i="112"/>
  <c r="S562" i="112"/>
  <c r="S585" i="112"/>
  <c r="S586" i="112"/>
  <c r="R589" i="112"/>
  <c r="S627" i="112"/>
  <c r="S667" i="112"/>
  <c r="S691" i="112"/>
  <c r="S694" i="112"/>
  <c r="S711" i="112"/>
  <c r="S717" i="112"/>
  <c r="S718" i="112"/>
  <c r="R719" i="112"/>
  <c r="S224" i="112"/>
  <c r="R224" i="112"/>
  <c r="S104" i="112"/>
  <c r="R104" i="112"/>
  <c r="S105" i="112"/>
  <c r="S106" i="112"/>
  <c r="S112" i="112"/>
  <c r="R112" i="112"/>
  <c r="S260" i="112"/>
  <c r="R260" i="112"/>
  <c r="R92" i="112"/>
  <c r="S99" i="112"/>
  <c r="S95" i="112"/>
  <c r="R97" i="112"/>
  <c r="R98" i="112"/>
  <c r="S107" i="112"/>
  <c r="R108" i="112"/>
  <c r="S120" i="112"/>
  <c r="Q120" i="112" s="1"/>
  <c r="K120" i="112" s="1"/>
  <c r="L120" i="112" s="1"/>
  <c r="R138" i="112"/>
  <c r="S147" i="112"/>
  <c r="S155" i="112"/>
  <c r="R199" i="112"/>
  <c r="R201" i="112"/>
  <c r="R210" i="112"/>
  <c r="S215" i="112"/>
  <c r="S227" i="112"/>
  <c r="R251" i="112"/>
  <c r="Q251" i="112" s="1"/>
  <c r="K251" i="112" s="1"/>
  <c r="L251" i="112" s="1"/>
  <c r="R253" i="112"/>
  <c r="R254" i="112"/>
  <c r="S267" i="112"/>
  <c r="R286" i="112"/>
  <c r="R289" i="112"/>
  <c r="R296" i="112"/>
  <c r="S305" i="112"/>
  <c r="R339" i="112"/>
  <c r="R340" i="112"/>
  <c r="S394" i="112"/>
  <c r="S420" i="112"/>
  <c r="R426" i="112"/>
  <c r="R429" i="112"/>
  <c r="S470" i="112"/>
  <c r="Q470" i="112" s="1"/>
  <c r="K470" i="112" s="1"/>
  <c r="L470" i="112" s="1"/>
  <c r="R480" i="112"/>
  <c r="S506" i="112"/>
  <c r="R513" i="112"/>
  <c r="R515" i="112"/>
  <c r="R517" i="112"/>
  <c r="R565" i="112"/>
  <c r="R624" i="112"/>
  <c r="R627" i="112"/>
  <c r="R695" i="112"/>
  <c r="S90" i="112"/>
  <c r="S96" i="112"/>
  <c r="Q96" i="112" s="1"/>
  <c r="K96" i="112" s="1"/>
  <c r="L96" i="112" s="1"/>
  <c r="S97" i="112"/>
  <c r="S98" i="112"/>
  <c r="S103" i="112"/>
  <c r="R105" i="112"/>
  <c r="R106" i="112"/>
  <c r="S115" i="112"/>
  <c r="R116" i="112"/>
  <c r="S137" i="112"/>
  <c r="S138" i="112"/>
  <c r="S143" i="112"/>
  <c r="R146" i="112"/>
  <c r="S154" i="112"/>
  <c r="S170" i="112"/>
  <c r="S171" i="112"/>
  <c r="S173" i="112"/>
  <c r="S174" i="112"/>
  <c r="R184" i="112"/>
  <c r="S194" i="112"/>
  <c r="S200" i="112"/>
  <c r="Q200" i="112" s="1"/>
  <c r="K200" i="112" s="1"/>
  <c r="L200" i="112" s="1"/>
  <c r="R207" i="112"/>
  <c r="S208" i="112"/>
  <c r="S209" i="112"/>
  <c r="S211" i="112"/>
  <c r="R213" i="112"/>
  <c r="R219" i="112"/>
  <c r="R221" i="112"/>
  <c r="S252" i="112"/>
  <c r="S255" i="112"/>
  <c r="S263" i="112"/>
  <c r="R264" i="112"/>
  <c r="S294" i="112"/>
  <c r="S295" i="112"/>
  <c r="S301" i="112"/>
  <c r="R303" i="112"/>
  <c r="R342" i="112"/>
  <c r="S345" i="112"/>
  <c r="R350" i="112"/>
  <c r="S351" i="112"/>
  <c r="S352" i="112"/>
  <c r="R362" i="112"/>
  <c r="S378" i="112"/>
  <c r="R388" i="112"/>
  <c r="S398" i="112"/>
  <c r="S433" i="112"/>
  <c r="S450" i="112"/>
  <c r="R464" i="112"/>
  <c r="R522" i="112"/>
  <c r="R572" i="112"/>
  <c r="S111" i="112"/>
  <c r="R113" i="112"/>
  <c r="R114" i="112"/>
  <c r="S123" i="112"/>
  <c r="R124" i="112"/>
  <c r="S131" i="112"/>
  <c r="R132" i="112"/>
  <c r="S140" i="112"/>
  <c r="S145" i="112"/>
  <c r="S146" i="112"/>
  <c r="R148" i="112"/>
  <c r="S151" i="112"/>
  <c r="R153" i="112"/>
  <c r="R160" i="112"/>
  <c r="S178" i="112"/>
  <c r="S179" i="112"/>
  <c r="S181" i="112"/>
  <c r="S182" i="112"/>
  <c r="R192" i="112"/>
  <c r="R196" i="112"/>
  <c r="S212" i="112"/>
  <c r="S214" i="112"/>
  <c r="S223" i="112"/>
  <c r="R225" i="112"/>
  <c r="S239" i="112"/>
  <c r="S256" i="112"/>
  <c r="S259" i="112"/>
  <c r="R261" i="112"/>
  <c r="R267" i="112"/>
  <c r="R269" i="112"/>
  <c r="R270" i="112"/>
  <c r="R310" i="112"/>
  <c r="R315" i="112"/>
  <c r="R316" i="112"/>
  <c r="R318" i="112"/>
  <c r="R319" i="112"/>
  <c r="R320" i="112"/>
  <c r="S346" i="112"/>
  <c r="R358" i="112"/>
  <c r="S359" i="112"/>
  <c r="S360" i="112"/>
  <c r="R361" i="112"/>
  <c r="Q361" i="112" s="1"/>
  <c r="K361" i="112" s="1"/>
  <c r="L361" i="112" s="1"/>
  <c r="R370" i="112"/>
  <c r="R392" i="112"/>
  <c r="S412" i="112"/>
  <c r="S413" i="112"/>
  <c r="S416" i="112"/>
  <c r="R420" i="112"/>
  <c r="S430" i="112"/>
  <c r="S441" i="112"/>
  <c r="R444" i="112"/>
  <c r="S454" i="112"/>
  <c r="S458" i="112"/>
  <c r="S465" i="112"/>
  <c r="S482" i="112"/>
  <c r="S486" i="112"/>
  <c r="Q486" i="112" s="1"/>
  <c r="K486" i="112" s="1"/>
  <c r="L486" i="112" s="1"/>
  <c r="S490" i="112"/>
  <c r="R500" i="112"/>
  <c r="S525" i="112"/>
  <c r="S530" i="112"/>
  <c r="S533" i="112"/>
  <c r="S575" i="112"/>
  <c r="R597" i="112"/>
  <c r="S635" i="112"/>
  <c r="S637" i="112"/>
  <c r="R656" i="112"/>
  <c r="R659" i="112"/>
  <c r="S703" i="112"/>
  <c r="R727" i="112"/>
  <c r="R275" i="112"/>
  <c r="S297" i="112"/>
  <c r="S304" i="112"/>
  <c r="R311" i="112"/>
  <c r="R312" i="112"/>
  <c r="S321" i="112"/>
  <c r="R322" i="112"/>
  <c r="Q322" i="112" s="1"/>
  <c r="K322" i="112" s="1"/>
  <c r="L322" i="112" s="1"/>
  <c r="R343" i="112"/>
  <c r="R344" i="112"/>
  <c r="R346" i="112"/>
  <c r="R347" i="112"/>
  <c r="R348" i="112"/>
  <c r="R354" i="112"/>
  <c r="S373" i="112"/>
  <c r="S377" i="112"/>
  <c r="R380" i="112"/>
  <c r="S385" i="112"/>
  <c r="S386" i="112"/>
  <c r="S393" i="112"/>
  <c r="R396" i="112"/>
  <c r="S402" i="112"/>
  <c r="R410" i="112"/>
  <c r="R412" i="112"/>
  <c r="R422" i="112"/>
  <c r="S432" i="112"/>
  <c r="R433" i="112"/>
  <c r="R436" i="112"/>
  <c r="S442" i="112"/>
  <c r="R452" i="112"/>
  <c r="S462" i="112"/>
  <c r="R472" i="112"/>
  <c r="S478" i="112"/>
  <c r="Q478" i="112" s="1"/>
  <c r="K478" i="112" s="1"/>
  <c r="L478" i="112" s="1"/>
  <c r="R488" i="112"/>
  <c r="R490" i="112"/>
  <c r="R492" i="112"/>
  <c r="S498" i="112"/>
  <c r="S505" i="112"/>
  <c r="R508" i="112"/>
  <c r="S517" i="112"/>
  <c r="S524" i="112"/>
  <c r="R529" i="112"/>
  <c r="R531" i="112"/>
  <c r="R533" i="112"/>
  <c r="R553" i="112"/>
  <c r="Q553" i="112" s="1"/>
  <c r="K553" i="112" s="1"/>
  <c r="L553" i="112" s="1"/>
  <c r="R555" i="112"/>
  <c r="S577" i="112"/>
  <c r="S578" i="112"/>
  <c r="R581" i="112"/>
  <c r="S599" i="112"/>
  <c r="R608" i="112"/>
  <c r="S609" i="112"/>
  <c r="S610" i="112"/>
  <c r="R611" i="112"/>
  <c r="R640" i="112"/>
  <c r="S641" i="112"/>
  <c r="S642" i="112"/>
  <c r="R643" i="112"/>
  <c r="R672" i="112"/>
  <c r="S675" i="112"/>
  <c r="S678" i="112"/>
  <c r="R679" i="112"/>
  <c r="R688" i="112"/>
  <c r="S707" i="112"/>
  <c r="S709" i="112"/>
  <c r="S710" i="112"/>
  <c r="R711" i="112"/>
  <c r="R720" i="112"/>
  <c r="R468" i="112"/>
  <c r="S474" i="112"/>
  <c r="S481" i="112"/>
  <c r="R484" i="112"/>
  <c r="S494" i="112"/>
  <c r="R504" i="112"/>
  <c r="R521" i="112"/>
  <c r="R523" i="112"/>
  <c r="R525" i="112"/>
  <c r="R546" i="112"/>
  <c r="S547" i="112"/>
  <c r="R548" i="112"/>
  <c r="Q548" i="112" s="1"/>
  <c r="K548" i="112" s="1"/>
  <c r="L548" i="112" s="1"/>
  <c r="R556" i="112"/>
  <c r="R558" i="112"/>
  <c r="S569" i="112"/>
  <c r="S570" i="112"/>
  <c r="R573" i="112"/>
  <c r="S601" i="112"/>
  <c r="S602" i="112"/>
  <c r="R603" i="112"/>
  <c r="S621" i="112"/>
  <c r="S631" i="112"/>
  <c r="R632" i="112"/>
  <c r="S633" i="112"/>
  <c r="S634" i="112"/>
  <c r="R635" i="112"/>
  <c r="S653" i="112"/>
  <c r="S663" i="112"/>
  <c r="R664" i="112"/>
  <c r="S665" i="112"/>
  <c r="S666" i="112"/>
  <c r="R667" i="112"/>
  <c r="R680" i="112"/>
  <c r="S702" i="112"/>
  <c r="R703" i="112"/>
  <c r="R712" i="112"/>
  <c r="S733" i="112"/>
  <c r="S734" i="112"/>
  <c r="R735" i="112"/>
  <c r="Q735" i="112" s="1"/>
  <c r="K735" i="112" s="1"/>
  <c r="L735" i="112" s="1"/>
  <c r="E64" i="69"/>
  <c r="AB68" i="69"/>
  <c r="E52" i="69"/>
  <c r="Y53" i="69"/>
  <c r="Y55" i="69"/>
  <c r="Y58" i="69"/>
  <c r="Y60" i="69"/>
  <c r="Y62" i="69"/>
  <c r="Y65" i="69"/>
  <c r="AB66" i="69"/>
  <c r="E63" i="69"/>
  <c r="E62" i="69"/>
  <c r="Y64" i="69"/>
  <c r="E67" i="69"/>
  <c r="Y68" i="69"/>
  <c r="AB60" i="69"/>
  <c r="E54" i="69"/>
  <c r="E55" i="69"/>
  <c r="AB58" i="69"/>
  <c r="Y51" i="69"/>
  <c r="Y56" i="69"/>
  <c r="E59" i="69"/>
  <c r="Y61" i="69"/>
  <c r="Y66" i="69"/>
  <c r="Y67" i="69"/>
  <c r="Y70" i="69"/>
  <c r="X21" i="148"/>
  <c r="Z21" i="148" s="1"/>
  <c r="AJ21" i="148"/>
  <c r="AH21" i="148"/>
  <c r="AJ9" i="148"/>
  <c r="AK9" i="148" s="1"/>
  <c r="AM9" i="148" s="1"/>
  <c r="L9" i="148" s="1"/>
  <c r="O9" i="148" s="1"/>
  <c r="AH16" i="148"/>
  <c r="K16" i="148" s="1"/>
  <c r="AJ12" i="148"/>
  <c r="K21" i="148"/>
  <c r="AO9" i="148"/>
  <c r="N9" i="148" s="1"/>
  <c r="K9" i="148"/>
  <c r="AD15" i="148"/>
  <c r="Z9" i="148"/>
  <c r="AH12" i="148"/>
  <c r="AJ20" i="148"/>
  <c r="AD25" i="148"/>
  <c r="Z19" i="148"/>
  <c r="X13" i="148"/>
  <c r="X10" i="148"/>
  <c r="AH20" i="148"/>
  <c r="AK20" i="148" s="1"/>
  <c r="AM20" i="148" s="1"/>
  <c r="L20" i="148" s="1"/>
  <c r="O20" i="148" s="1"/>
  <c r="AJ16" i="148"/>
  <c r="X20" i="148"/>
  <c r="X25" i="148"/>
  <c r="Z25" i="148" s="1"/>
  <c r="X16" i="148"/>
  <c r="X17" i="148"/>
  <c r="X12" i="148"/>
  <c r="AE17" i="148"/>
  <c r="AH17" i="148" s="1"/>
  <c r="X26" i="148"/>
  <c r="Z26" i="148" s="1"/>
  <c r="AE25" i="148"/>
  <c r="AH25" i="148" s="1"/>
  <c r="AE13" i="148"/>
  <c r="AH13" i="148" s="1"/>
  <c r="AE18" i="148"/>
  <c r="AE11" i="148"/>
  <c r="AJ11" i="148"/>
  <c r="AE23" i="148"/>
  <c r="AJ23" i="148" s="1"/>
  <c r="X15" i="148"/>
  <c r="X24" i="148"/>
  <c r="Z24" i="148" s="1"/>
  <c r="AE19" i="148"/>
  <c r="AE15" i="148"/>
  <c r="AE24" i="148"/>
  <c r="AJ24" i="148" s="1"/>
  <c r="AJ8" i="148"/>
  <c r="AH8" i="148"/>
  <c r="X8" i="148"/>
  <c r="AD14" i="148" s="1"/>
  <c r="AE7" i="148"/>
  <c r="AH7" i="148" s="1"/>
  <c r="K7" i="148" s="1"/>
  <c r="X18" i="148"/>
  <c r="AH24" i="148"/>
  <c r="X14" i="148"/>
  <c r="AH11" i="148"/>
  <c r="X22" i="148"/>
  <c r="Z22" i="148" s="1"/>
  <c r="AI15" i="148"/>
  <c r="AH15" i="148" s="1"/>
  <c r="X23" i="148"/>
  <c r="Z23" i="148" s="1"/>
  <c r="X7" i="148"/>
  <c r="AI14" i="148"/>
  <c r="AJ14" i="148" s="1"/>
  <c r="AI19" i="148"/>
  <c r="AH19" i="148" s="1"/>
  <c r="AI22" i="148"/>
  <c r="AJ22" i="148" s="1"/>
  <c r="AI26" i="148"/>
  <c r="AJ26" i="148" s="1"/>
  <c r="K34" i="148"/>
  <c r="R34" i="148" s="1"/>
  <c r="AI10" i="148"/>
  <c r="AJ10" i="148" s="1"/>
  <c r="AI18" i="148"/>
  <c r="AH18" i="148" s="1"/>
  <c r="X11" i="148"/>
  <c r="L77" i="146"/>
  <c r="L99" i="146"/>
  <c r="M99" i="146" s="1"/>
  <c r="L33" i="146"/>
  <c r="L12" i="146"/>
  <c r="M12" i="146" s="1"/>
  <c r="R115" i="112"/>
  <c r="R123" i="112"/>
  <c r="R131" i="112"/>
  <c r="R139" i="112"/>
  <c r="R147" i="112"/>
  <c r="Q147" i="112" s="1"/>
  <c r="K147" i="112" s="1"/>
  <c r="L147" i="112" s="1"/>
  <c r="R154" i="112"/>
  <c r="Q154" i="112" s="1"/>
  <c r="K154" i="112" s="1"/>
  <c r="L154" i="112" s="1"/>
  <c r="R161" i="112"/>
  <c r="R169" i="112"/>
  <c r="R177" i="112"/>
  <c r="R185" i="112"/>
  <c r="R193" i="112"/>
  <c r="R202" i="112"/>
  <c r="R226" i="112"/>
  <c r="R239" i="112"/>
  <c r="R263" i="112"/>
  <c r="R265" i="112"/>
  <c r="R268" i="112"/>
  <c r="S293" i="112"/>
  <c r="R294" i="112"/>
  <c r="R295" i="112"/>
  <c r="R307" i="112"/>
  <c r="R321" i="112"/>
  <c r="S334" i="112"/>
  <c r="R334" i="112"/>
  <c r="S335" i="112"/>
  <c r="S336" i="112"/>
  <c r="R337" i="112"/>
  <c r="S349" i="112"/>
  <c r="R351" i="112"/>
  <c r="R352" i="112"/>
  <c r="S358" i="112"/>
  <c r="R364" i="112"/>
  <c r="S708" i="112"/>
  <c r="R708" i="112"/>
  <c r="R91" i="112"/>
  <c r="R99" i="112"/>
  <c r="R107" i="112"/>
  <c r="Q107" i="112" s="1"/>
  <c r="K107" i="112" s="1"/>
  <c r="L107" i="112" s="1"/>
  <c r="R93" i="112"/>
  <c r="R94" i="112"/>
  <c r="R101" i="112"/>
  <c r="R102" i="112"/>
  <c r="R109" i="112"/>
  <c r="R110" i="112"/>
  <c r="R117" i="112"/>
  <c r="R118" i="112"/>
  <c r="R125" i="112"/>
  <c r="R126" i="112"/>
  <c r="R133" i="112"/>
  <c r="R134" i="112"/>
  <c r="S136" i="112"/>
  <c r="R142" i="112"/>
  <c r="S144" i="112"/>
  <c r="R150" i="112"/>
  <c r="S152" i="112"/>
  <c r="Q152" i="112" s="1"/>
  <c r="K152" i="112" s="1"/>
  <c r="L152" i="112" s="1"/>
  <c r="S153" i="112"/>
  <c r="S160" i="112"/>
  <c r="R162" i="112"/>
  <c r="R164" i="112"/>
  <c r="S168" i="112"/>
  <c r="R170" i="112"/>
  <c r="R172" i="112"/>
  <c r="S176" i="112"/>
  <c r="R178" i="112"/>
  <c r="R180" i="112"/>
  <c r="S184" i="112"/>
  <c r="R186" i="112"/>
  <c r="R188" i="112"/>
  <c r="S192" i="112"/>
  <c r="Q192" i="112" s="1"/>
  <c r="K192" i="112" s="1"/>
  <c r="L192" i="112" s="1"/>
  <c r="R194" i="112"/>
  <c r="S203" i="112"/>
  <c r="S205" i="112"/>
  <c r="S206" i="112"/>
  <c r="R215" i="112"/>
  <c r="R217" i="112"/>
  <c r="R220" i="112"/>
  <c r="S226" i="112"/>
  <c r="R227" i="112"/>
  <c r="S240" i="112"/>
  <c r="R240" i="112"/>
  <c r="S241" i="112"/>
  <c r="S266" i="112"/>
  <c r="S281" i="112"/>
  <c r="S309" i="112"/>
  <c r="S325" i="112"/>
  <c r="S676" i="112"/>
  <c r="R676" i="112"/>
  <c r="S92" i="112"/>
  <c r="S93" i="112"/>
  <c r="S94" i="112"/>
  <c r="R95" i="112"/>
  <c r="S100" i="112"/>
  <c r="S101" i="112"/>
  <c r="Q101" i="112" s="1"/>
  <c r="K101" i="112" s="1"/>
  <c r="L101" i="112" s="1"/>
  <c r="S102" i="112"/>
  <c r="R103" i="112"/>
  <c r="S108" i="112"/>
  <c r="S109" i="112"/>
  <c r="S110" i="112"/>
  <c r="R111" i="112"/>
  <c r="S116" i="112"/>
  <c r="S117" i="112"/>
  <c r="S118" i="112"/>
  <c r="R119" i="112"/>
  <c r="S124" i="112"/>
  <c r="S125" i="112"/>
  <c r="S126" i="112"/>
  <c r="R127" i="112"/>
  <c r="S132" i="112"/>
  <c r="S133" i="112"/>
  <c r="Q133" i="112" s="1"/>
  <c r="K133" i="112" s="1"/>
  <c r="L133" i="112" s="1"/>
  <c r="S134" i="112"/>
  <c r="R135" i="112"/>
  <c r="S141" i="112"/>
  <c r="S142" i="112"/>
  <c r="R143" i="112"/>
  <c r="S149" i="112"/>
  <c r="S150" i="112"/>
  <c r="R151" i="112"/>
  <c r="S159" i="112"/>
  <c r="Q159" i="112" s="1"/>
  <c r="K159" i="112" s="1"/>
  <c r="L159" i="112" s="1"/>
  <c r="R163" i="112"/>
  <c r="S167" i="112"/>
  <c r="R171" i="112"/>
  <c r="S175" i="112"/>
  <c r="R179" i="112"/>
  <c r="S183" i="112"/>
  <c r="R187" i="112"/>
  <c r="S195" i="112"/>
  <c r="S197" i="112"/>
  <c r="S198" i="112"/>
  <c r="R208" i="112"/>
  <c r="R209" i="112"/>
  <c r="S218" i="112"/>
  <c r="R222" i="112"/>
  <c r="S228" i="112"/>
  <c r="R228" i="112"/>
  <c r="S230" i="112"/>
  <c r="R231" i="112"/>
  <c r="R233" i="112"/>
  <c r="R236" i="112"/>
  <c r="Q236" i="112" s="1"/>
  <c r="K236" i="112" s="1"/>
  <c r="L236" i="112" s="1"/>
  <c r="S242" i="112"/>
  <c r="Q242" i="112" s="1"/>
  <c r="K242" i="112" s="1"/>
  <c r="L242" i="112" s="1"/>
  <c r="R243" i="112"/>
  <c r="R248" i="112"/>
  <c r="R257" i="112"/>
  <c r="S272" i="112"/>
  <c r="R272" i="112"/>
  <c r="S273" i="112"/>
  <c r="R274" i="112"/>
  <c r="S285" i="112"/>
  <c r="R287" i="112"/>
  <c r="S296" i="112"/>
  <c r="R297" i="112"/>
  <c r="S313" i="112"/>
  <c r="S326" i="112"/>
  <c r="S327" i="112"/>
  <c r="S328" i="112"/>
  <c r="R329" i="112"/>
  <c r="S341" i="112"/>
  <c r="S357" i="112"/>
  <c r="R360" i="112"/>
  <c r="S362" i="112"/>
  <c r="S366" i="112"/>
  <c r="R372" i="112"/>
  <c r="S191" i="112"/>
  <c r="R195" i="112"/>
  <c r="S199" i="112"/>
  <c r="R203" i="112"/>
  <c r="S207" i="112"/>
  <c r="S210" i="112"/>
  <c r="R211" i="112"/>
  <c r="S220" i="112"/>
  <c r="S221" i="112"/>
  <c r="S222" i="112"/>
  <c r="R223" i="112"/>
  <c r="R229" i="112"/>
  <c r="R232" i="112"/>
  <c r="R241" i="112"/>
  <c r="S244" i="112"/>
  <c r="S246" i="112"/>
  <c r="R247" i="112"/>
  <c r="Q247" i="112" s="1"/>
  <c r="K247" i="112" s="1"/>
  <c r="L247" i="112" s="1"/>
  <c r="R249" i="112"/>
  <c r="R252" i="112"/>
  <c r="S257" i="112"/>
  <c r="R258" i="112"/>
  <c r="S271" i="112"/>
  <c r="R273" i="112"/>
  <c r="R281" i="112"/>
  <c r="S298" i="112"/>
  <c r="R298" i="112"/>
  <c r="S300" i="112"/>
  <c r="R301" i="112"/>
  <c r="S310" i="112"/>
  <c r="S311" i="112"/>
  <c r="S312" i="112"/>
  <c r="R313" i="112"/>
  <c r="R323" i="112"/>
  <c r="R324" i="112"/>
  <c r="S333" i="112"/>
  <c r="R335" i="112"/>
  <c r="R336" i="112"/>
  <c r="S342" i="112"/>
  <c r="Q342" i="112" s="1"/>
  <c r="K342" i="112" s="1"/>
  <c r="L342" i="112" s="1"/>
  <c r="S343" i="112"/>
  <c r="S344" i="112"/>
  <c r="R345" i="112"/>
  <c r="S350" i="112"/>
  <c r="R355" i="112"/>
  <c r="R356" i="112"/>
  <c r="S365" i="112"/>
  <c r="R368" i="112"/>
  <c r="S370" i="112"/>
  <c r="S375" i="112"/>
  <c r="S376" i="112"/>
  <c r="R377" i="112"/>
  <c r="S382" i="112"/>
  <c r="S401" i="112"/>
  <c r="R418" i="112"/>
  <c r="R434" i="112"/>
  <c r="S435" i="112"/>
  <c r="S449" i="112"/>
  <c r="S549" i="112"/>
  <c r="R549" i="112"/>
  <c r="S389" i="112"/>
  <c r="R406" i="112"/>
  <c r="S408" i="112"/>
  <c r="R414" i="112"/>
  <c r="S421" i="112"/>
  <c r="S424" i="112"/>
  <c r="S437" i="112"/>
  <c r="S453" i="112"/>
  <c r="S469" i="112"/>
  <c r="S485" i="112"/>
  <c r="S501" i="112"/>
  <c r="S516" i="112"/>
  <c r="S253" i="112"/>
  <c r="S254" i="112"/>
  <c r="R255" i="112"/>
  <c r="Q255" i="112" s="1"/>
  <c r="K255" i="112" s="1"/>
  <c r="L255" i="112" s="1"/>
  <c r="S258" i="112"/>
  <c r="R259" i="112"/>
  <c r="S268" i="112"/>
  <c r="S269" i="112"/>
  <c r="S270" i="112"/>
  <c r="R271" i="112"/>
  <c r="R277" i="112"/>
  <c r="R279" i="112"/>
  <c r="S284" i="112"/>
  <c r="S292" i="112"/>
  <c r="R299" i="112"/>
  <c r="S308" i="112"/>
  <c r="R309" i="112"/>
  <c r="S314" i="112"/>
  <c r="S315" i="112"/>
  <c r="S316" i="112"/>
  <c r="R317" i="112"/>
  <c r="S322" i="112"/>
  <c r="S323" i="112"/>
  <c r="S324" i="112"/>
  <c r="R325" i="112"/>
  <c r="S330" i="112"/>
  <c r="S331" i="112"/>
  <c r="S332" i="112"/>
  <c r="R333" i="112"/>
  <c r="S338" i="112"/>
  <c r="S339" i="112"/>
  <c r="Q339" i="112" s="1"/>
  <c r="K339" i="112" s="1"/>
  <c r="L339" i="112" s="1"/>
  <c r="S340" i="112"/>
  <c r="R341" i="112"/>
  <c r="S347" i="112"/>
  <c r="S348" i="112"/>
  <c r="R349" i="112"/>
  <c r="S354" i="112"/>
  <c r="S355" i="112"/>
  <c r="S356" i="112"/>
  <c r="R357" i="112"/>
  <c r="S363" i="112"/>
  <c r="S364" i="112"/>
  <c r="R365" i="112"/>
  <c r="S371" i="112"/>
  <c r="S372" i="112"/>
  <c r="R373" i="112"/>
  <c r="S379" i="112"/>
  <c r="S380" i="112"/>
  <c r="R381" i="112"/>
  <c r="S387" i="112"/>
  <c r="S388" i="112"/>
  <c r="R389" i="112"/>
  <c r="S395" i="112"/>
  <c r="S396" i="112"/>
  <c r="R397" i="112"/>
  <c r="S403" i="112"/>
  <c r="S404" i="112"/>
  <c r="S405" i="112"/>
  <c r="S409" i="112"/>
  <c r="R413" i="112"/>
  <c r="S417" i="112"/>
  <c r="R421" i="112"/>
  <c r="S425" i="112"/>
  <c r="Q425" i="112" s="1"/>
  <c r="K425" i="112" s="1"/>
  <c r="L425" i="112" s="1"/>
  <c r="S431" i="112"/>
  <c r="R432" i="112"/>
  <c r="S434" i="112"/>
  <c r="S436" i="112"/>
  <c r="R437" i="112"/>
  <c r="S443" i="112"/>
  <c r="S444" i="112"/>
  <c r="R445" i="112"/>
  <c r="Q445" i="112" s="1"/>
  <c r="K445" i="112" s="1"/>
  <c r="L445" i="112" s="1"/>
  <c r="S451" i="112"/>
  <c r="S452" i="112"/>
  <c r="R453" i="112"/>
  <c r="S459" i="112"/>
  <c r="S460" i="112"/>
  <c r="R461" i="112"/>
  <c r="S467" i="112"/>
  <c r="S468" i="112"/>
  <c r="R469" i="112"/>
  <c r="S475" i="112"/>
  <c r="S476" i="112"/>
  <c r="R477" i="112"/>
  <c r="S483" i="112"/>
  <c r="S484" i="112"/>
  <c r="R485" i="112"/>
  <c r="S491" i="112"/>
  <c r="S492" i="112"/>
  <c r="R493" i="112"/>
  <c r="S499" i="112"/>
  <c r="S500" i="112"/>
  <c r="R501" i="112"/>
  <c r="S507" i="112"/>
  <c r="S508" i="112"/>
  <c r="R509" i="112"/>
  <c r="S514" i="112"/>
  <c r="R516" i="112"/>
  <c r="R518" i="112"/>
  <c r="S522" i="112"/>
  <c r="R524" i="112"/>
  <c r="R526" i="112"/>
  <c r="R532" i="112"/>
  <c r="R534" i="112"/>
  <c r="S538" i="112"/>
  <c r="Q538" i="112" s="1"/>
  <c r="K538" i="112" s="1"/>
  <c r="L538" i="112" s="1"/>
  <c r="R539" i="112"/>
  <c r="S544" i="112"/>
  <c r="S546" i="112"/>
  <c r="S559" i="112"/>
  <c r="S583" i="112"/>
  <c r="S593" i="112"/>
  <c r="S613" i="112"/>
  <c r="S623" i="112"/>
  <c r="S645" i="112"/>
  <c r="S655" i="112"/>
  <c r="S673" i="112"/>
  <c r="S683" i="112"/>
  <c r="S684" i="112"/>
  <c r="R684" i="112"/>
  <c r="S715" i="112"/>
  <c r="S716" i="112"/>
  <c r="R716" i="112"/>
  <c r="S513" i="112"/>
  <c r="S521" i="112"/>
  <c r="Q521" i="112" s="1"/>
  <c r="K521" i="112" s="1"/>
  <c r="L521" i="112" s="1"/>
  <c r="S529" i="112"/>
  <c r="S537" i="112"/>
  <c r="S539" i="112"/>
  <c r="S540" i="112"/>
  <c r="R598" i="112"/>
  <c r="S692" i="112"/>
  <c r="R692" i="112"/>
  <c r="S724" i="112"/>
  <c r="R724" i="112"/>
  <c r="R385" i="112"/>
  <c r="S391" i="112"/>
  <c r="S392" i="112"/>
  <c r="R393" i="112"/>
  <c r="S399" i="112"/>
  <c r="S400" i="112"/>
  <c r="R401" i="112"/>
  <c r="S406" i="112"/>
  <c r="S414" i="112"/>
  <c r="S422" i="112"/>
  <c r="R430" i="112"/>
  <c r="S440" i="112"/>
  <c r="R441" i="112"/>
  <c r="S447" i="112"/>
  <c r="S448" i="112"/>
  <c r="Q448" i="112" s="1"/>
  <c r="K448" i="112" s="1"/>
  <c r="L448" i="112" s="1"/>
  <c r="R449" i="112"/>
  <c r="S455" i="112"/>
  <c r="S456" i="112"/>
  <c r="R457" i="112"/>
  <c r="S463" i="112"/>
  <c r="S464" i="112"/>
  <c r="R465" i="112"/>
  <c r="S471" i="112"/>
  <c r="S472" i="112"/>
  <c r="R473" i="112"/>
  <c r="S479" i="112"/>
  <c r="S480" i="112"/>
  <c r="R481" i="112"/>
  <c r="S487" i="112"/>
  <c r="S488" i="112"/>
  <c r="R489" i="112"/>
  <c r="S495" i="112"/>
  <c r="S496" i="112"/>
  <c r="R497" i="112"/>
  <c r="S503" i="112"/>
  <c r="S504" i="112"/>
  <c r="R505" i="112"/>
  <c r="S511" i="112"/>
  <c r="S512" i="112"/>
  <c r="S519" i="112"/>
  <c r="S520" i="112"/>
  <c r="S527" i="112"/>
  <c r="S528" i="112"/>
  <c r="S535" i="112"/>
  <c r="S536" i="112"/>
  <c r="S551" i="112"/>
  <c r="R557" i="112"/>
  <c r="S567" i="112"/>
  <c r="S605" i="112"/>
  <c r="S607" i="112"/>
  <c r="S629" i="112"/>
  <c r="S639" i="112"/>
  <c r="S661" i="112"/>
  <c r="S671" i="112"/>
  <c r="S699" i="112"/>
  <c r="S700" i="112"/>
  <c r="R700" i="112"/>
  <c r="S731" i="112"/>
  <c r="S732" i="112"/>
  <c r="R732" i="112"/>
  <c r="S543" i="112"/>
  <c r="R544" i="112"/>
  <c r="R551" i="112"/>
  <c r="S555" i="112"/>
  <c r="S556" i="112"/>
  <c r="R559" i="112"/>
  <c r="S563" i="112"/>
  <c r="S564" i="112"/>
  <c r="R567" i="112"/>
  <c r="S571" i="112"/>
  <c r="S572" i="112"/>
  <c r="R575" i="112"/>
  <c r="S579" i="112"/>
  <c r="S580" i="112"/>
  <c r="R583" i="112"/>
  <c r="S587" i="112"/>
  <c r="S588" i="112"/>
  <c r="R591" i="112"/>
  <c r="S595" i="112"/>
  <c r="R604" i="112"/>
  <c r="R605" i="112"/>
  <c r="R612" i="112"/>
  <c r="R613" i="112"/>
  <c r="R620" i="112"/>
  <c r="R621" i="112"/>
  <c r="R628" i="112"/>
  <c r="R629" i="112"/>
  <c r="R636" i="112"/>
  <c r="R637" i="112"/>
  <c r="R644" i="112"/>
  <c r="R645" i="112"/>
  <c r="R652" i="112"/>
  <c r="R653" i="112"/>
  <c r="R660" i="112"/>
  <c r="R661" i="112"/>
  <c r="R669" i="112"/>
  <c r="R673" i="112"/>
  <c r="S677" i="112"/>
  <c r="R681" i="112"/>
  <c r="S685" i="112"/>
  <c r="R689" i="112"/>
  <c r="S693" i="112"/>
  <c r="R697" i="112"/>
  <c r="S701" i="112"/>
  <c r="R705" i="112"/>
  <c r="R706" i="112"/>
  <c r="R713" i="112"/>
  <c r="R714" i="112"/>
  <c r="R721" i="112"/>
  <c r="R722" i="112"/>
  <c r="R729" i="112"/>
  <c r="R730" i="112"/>
  <c r="R540" i="112"/>
  <c r="S541" i="112"/>
  <c r="R552" i="112"/>
  <c r="S557" i="112"/>
  <c r="R560" i="112"/>
  <c r="S565" i="112"/>
  <c r="R568" i="112"/>
  <c r="S573" i="112"/>
  <c r="S581" i="112"/>
  <c r="R584" i="112"/>
  <c r="S589" i="112"/>
  <c r="Q589" i="112" s="1"/>
  <c r="K589" i="112" s="1"/>
  <c r="L589" i="112" s="1"/>
  <c r="R592" i="112"/>
  <c r="R593" i="112"/>
  <c r="S598" i="112"/>
  <c r="R599" i="112"/>
  <c r="S606" i="112"/>
  <c r="R607" i="112"/>
  <c r="S614" i="112"/>
  <c r="R615" i="112"/>
  <c r="S622" i="112"/>
  <c r="R623" i="112"/>
  <c r="S630" i="112"/>
  <c r="R631" i="112"/>
  <c r="S638" i="112"/>
  <c r="R639" i="112"/>
  <c r="S646" i="112"/>
  <c r="R647" i="112"/>
  <c r="S654" i="112"/>
  <c r="R655" i="112"/>
  <c r="S662" i="112"/>
  <c r="R663" i="112"/>
  <c r="S668" i="112"/>
  <c r="S670" i="112"/>
  <c r="R671" i="112"/>
  <c r="R675" i="112"/>
  <c r="S680" i="112"/>
  <c r="S682" i="112"/>
  <c r="R683" i="112"/>
  <c r="S688" i="112"/>
  <c r="Q688" i="112" s="1"/>
  <c r="K688" i="112" s="1"/>
  <c r="L688" i="112" s="1"/>
  <c r="S690" i="112"/>
  <c r="R691" i="112"/>
  <c r="S696" i="112"/>
  <c r="S698" i="112"/>
  <c r="R699" i="112"/>
  <c r="S704" i="112"/>
  <c r="S706" i="112"/>
  <c r="R707" i="112"/>
  <c r="Q707" i="112" s="1"/>
  <c r="K707" i="112" s="1"/>
  <c r="L707" i="112" s="1"/>
  <c r="S712" i="112"/>
  <c r="Q712" i="112" s="1"/>
  <c r="K712" i="112" s="1"/>
  <c r="L712" i="112" s="1"/>
  <c r="S713" i="112"/>
  <c r="S714" i="112"/>
  <c r="R715" i="112"/>
  <c r="S720" i="112"/>
  <c r="Q720" i="112" s="1"/>
  <c r="K720" i="112" s="1"/>
  <c r="L720" i="112" s="1"/>
  <c r="S721" i="112"/>
  <c r="S722" i="112"/>
  <c r="R723" i="112"/>
  <c r="S728" i="112"/>
  <c r="S729" i="112"/>
  <c r="S730" i="112"/>
  <c r="R731" i="112"/>
  <c r="R561" i="112"/>
  <c r="R563" i="112"/>
  <c r="R566" i="112"/>
  <c r="R569" i="112"/>
  <c r="Q569" i="112" s="1"/>
  <c r="K569" i="112" s="1"/>
  <c r="L569" i="112" s="1"/>
  <c r="R571" i="112"/>
  <c r="R574" i="112"/>
  <c r="R577" i="112"/>
  <c r="R579" i="112"/>
  <c r="R582" i="112"/>
  <c r="R585" i="112"/>
  <c r="R587" i="112"/>
  <c r="R590" i="112"/>
  <c r="S594" i="112"/>
  <c r="R595" i="112"/>
  <c r="R601" i="112"/>
  <c r="R609" i="112"/>
  <c r="Q609" i="112" s="1"/>
  <c r="K609" i="112" s="1"/>
  <c r="L609" i="112" s="1"/>
  <c r="R617" i="112"/>
  <c r="Q617" i="112" s="1"/>
  <c r="K617" i="112" s="1"/>
  <c r="L617" i="112" s="1"/>
  <c r="R625" i="112"/>
  <c r="R633" i="112"/>
  <c r="R641" i="112"/>
  <c r="R649" i="112"/>
  <c r="R657" i="112"/>
  <c r="R665" i="112"/>
  <c r="S669" i="112"/>
  <c r="R677" i="112"/>
  <c r="S681" i="112"/>
  <c r="R685" i="112"/>
  <c r="S689" i="112"/>
  <c r="R693" i="112"/>
  <c r="S697" i="112"/>
  <c r="R701" i="112"/>
  <c r="S705" i="112"/>
  <c r="R709" i="112"/>
  <c r="R710" i="112"/>
  <c r="R717" i="112"/>
  <c r="R718" i="112"/>
  <c r="R725" i="112"/>
  <c r="R726" i="112"/>
  <c r="R733" i="112"/>
  <c r="R734" i="112"/>
  <c r="R137" i="112"/>
  <c r="Q137" i="112" s="1"/>
  <c r="K137" i="112" s="1"/>
  <c r="L137" i="112" s="1"/>
  <c r="R141" i="112"/>
  <c r="R145" i="112"/>
  <c r="R149" i="112"/>
  <c r="S156" i="112"/>
  <c r="S276" i="112"/>
  <c r="R285" i="112"/>
  <c r="R158" i="112"/>
  <c r="S161" i="112"/>
  <c r="S164" i="112"/>
  <c r="R166" i="112"/>
  <c r="S169" i="112"/>
  <c r="S172" i="112"/>
  <c r="R174" i="112"/>
  <c r="S177" i="112"/>
  <c r="S180" i="112"/>
  <c r="R182" i="112"/>
  <c r="S185" i="112"/>
  <c r="S188" i="112"/>
  <c r="R190" i="112"/>
  <c r="S193" i="112"/>
  <c r="S196" i="112"/>
  <c r="R198" i="112"/>
  <c r="S201" i="112"/>
  <c r="S204" i="112"/>
  <c r="R206" i="112"/>
  <c r="S213" i="112"/>
  <c r="R214" i="112"/>
  <c r="S216" i="112"/>
  <c r="S229" i="112"/>
  <c r="R230" i="112"/>
  <c r="S232" i="112"/>
  <c r="S245" i="112"/>
  <c r="R246" i="112"/>
  <c r="S248" i="112"/>
  <c r="S261" i="112"/>
  <c r="Q261" i="112" s="1"/>
  <c r="K261" i="112" s="1"/>
  <c r="L261" i="112" s="1"/>
  <c r="R262" i="112"/>
  <c r="S264" i="112"/>
  <c r="S277" i="112"/>
  <c r="R157" i="112"/>
  <c r="R165" i="112"/>
  <c r="R173" i="112"/>
  <c r="R181" i="112"/>
  <c r="R189" i="112"/>
  <c r="R197" i="112"/>
  <c r="R205" i="112"/>
  <c r="S217" i="112"/>
  <c r="R218" i="112"/>
  <c r="S233" i="112"/>
  <c r="R234" i="112"/>
  <c r="S249" i="112"/>
  <c r="R250" i="112"/>
  <c r="S265" i="112"/>
  <c r="R266" i="112"/>
  <c r="R293" i="112"/>
  <c r="R305" i="112"/>
  <c r="S279" i="112"/>
  <c r="S282" i="112"/>
  <c r="R284" i="112"/>
  <c r="S287" i="112"/>
  <c r="S290" i="112"/>
  <c r="R292" i="112"/>
  <c r="S299" i="112"/>
  <c r="R300" i="112"/>
  <c r="S302" i="112"/>
  <c r="R283" i="112"/>
  <c r="R291" i="112"/>
  <c r="S303" i="112"/>
  <c r="R304" i="112"/>
  <c r="S306" i="112"/>
  <c r="S278" i="112"/>
  <c r="R280" i="112"/>
  <c r="S283" i="112"/>
  <c r="S286" i="112"/>
  <c r="R288" i="112"/>
  <c r="S291" i="112"/>
  <c r="S307" i="112"/>
  <c r="R308" i="112"/>
  <c r="R359" i="112"/>
  <c r="R363" i="112"/>
  <c r="R367" i="112"/>
  <c r="R371" i="112"/>
  <c r="R375" i="112"/>
  <c r="R379" i="112"/>
  <c r="R383" i="112"/>
  <c r="R387" i="112"/>
  <c r="R391" i="112"/>
  <c r="R395" i="112"/>
  <c r="R399" i="112"/>
  <c r="R403" i="112"/>
  <c r="R405" i="112"/>
  <c r="Q405" i="112" s="1"/>
  <c r="K405" i="112" s="1"/>
  <c r="L405" i="112" s="1"/>
  <c r="S407" i="112"/>
  <c r="R407" i="112"/>
  <c r="S415" i="112"/>
  <c r="R415" i="112"/>
  <c r="S423" i="112"/>
  <c r="R423" i="112"/>
  <c r="R404" i="112"/>
  <c r="S410" i="112"/>
  <c r="S418" i="112"/>
  <c r="S426" i="112"/>
  <c r="S438" i="112"/>
  <c r="S439" i="112"/>
  <c r="R440" i="112"/>
  <c r="R408" i="112"/>
  <c r="S411" i="112"/>
  <c r="R411" i="112"/>
  <c r="R416" i="112"/>
  <c r="S419" i="112"/>
  <c r="R419" i="112"/>
  <c r="R424" i="112"/>
  <c r="S427" i="112"/>
  <c r="R427" i="112"/>
  <c r="R428" i="112"/>
  <c r="R431" i="112"/>
  <c r="R435" i="112"/>
  <c r="R439" i="112"/>
  <c r="R443" i="112"/>
  <c r="R447" i="112"/>
  <c r="R451" i="112"/>
  <c r="R455" i="112"/>
  <c r="R459" i="112"/>
  <c r="R463" i="112"/>
  <c r="R467" i="112"/>
  <c r="R471" i="112"/>
  <c r="R475" i="112"/>
  <c r="R479" i="112"/>
  <c r="R483" i="112"/>
  <c r="R487" i="112"/>
  <c r="R491" i="112"/>
  <c r="R495" i="112"/>
  <c r="R499" i="112"/>
  <c r="R503" i="112"/>
  <c r="R507" i="112"/>
  <c r="S510" i="112"/>
  <c r="R545" i="112"/>
  <c r="R512" i="112"/>
  <c r="S515" i="112"/>
  <c r="S518" i="112"/>
  <c r="R520" i="112"/>
  <c r="S523" i="112"/>
  <c r="Q523" i="112" s="1"/>
  <c r="K523" i="112" s="1"/>
  <c r="L523" i="112" s="1"/>
  <c r="S526" i="112"/>
  <c r="R528" i="112"/>
  <c r="S531" i="112"/>
  <c r="S534" i="112"/>
  <c r="R536" i="112"/>
  <c r="S542" i="112"/>
  <c r="R543" i="112"/>
  <c r="R511" i="112"/>
  <c r="R519" i="112"/>
  <c r="R527" i="112"/>
  <c r="R535" i="112"/>
  <c r="Q532" i="112"/>
  <c r="K532" i="112" s="1"/>
  <c r="L532" i="112" s="1"/>
  <c r="R547" i="112"/>
  <c r="S550" i="112"/>
  <c r="S558" i="112"/>
  <c r="S566" i="112"/>
  <c r="S574" i="112"/>
  <c r="S582" i="112"/>
  <c r="S590" i="112"/>
  <c r="R596" i="112"/>
  <c r="S596" i="112"/>
  <c r="S552" i="112"/>
  <c r="R554" i="112"/>
  <c r="S560" i="112"/>
  <c r="R562" i="112"/>
  <c r="S568" i="112"/>
  <c r="R570" i="112"/>
  <c r="S576" i="112"/>
  <c r="R578" i="112"/>
  <c r="S584" i="112"/>
  <c r="R586" i="112"/>
  <c r="S592" i="112"/>
  <c r="R594" i="112"/>
  <c r="R600" i="112"/>
  <c r="S600" i="112"/>
  <c r="S604" i="112"/>
  <c r="S608" i="112"/>
  <c r="S612" i="112"/>
  <c r="S616" i="112"/>
  <c r="S620" i="112"/>
  <c r="S624" i="112"/>
  <c r="S628" i="112"/>
  <c r="S632" i="112"/>
  <c r="S636" i="112"/>
  <c r="S640" i="112"/>
  <c r="S644" i="112"/>
  <c r="S648" i="112"/>
  <c r="S652" i="112"/>
  <c r="S656" i="112"/>
  <c r="S660" i="112"/>
  <c r="S664" i="112"/>
  <c r="S672" i="112"/>
  <c r="S674" i="112"/>
  <c r="R674" i="112"/>
  <c r="R602" i="112"/>
  <c r="Q602" i="112" s="1"/>
  <c r="K602" i="112" s="1"/>
  <c r="L602" i="112" s="1"/>
  <c r="R606" i="112"/>
  <c r="R610" i="112"/>
  <c r="R614" i="112"/>
  <c r="R618" i="112"/>
  <c r="R622" i="112"/>
  <c r="R626" i="112"/>
  <c r="Q626" i="112" s="1"/>
  <c r="K626" i="112" s="1"/>
  <c r="L626" i="112" s="1"/>
  <c r="R630" i="112"/>
  <c r="R634" i="112"/>
  <c r="R638" i="112"/>
  <c r="R642" i="112"/>
  <c r="R646" i="112"/>
  <c r="R650" i="112"/>
  <c r="R654" i="112"/>
  <c r="R658" i="112"/>
  <c r="R662" i="112"/>
  <c r="R666" i="112"/>
  <c r="Q666" i="112" s="1"/>
  <c r="K666" i="112" s="1"/>
  <c r="L666" i="112" s="1"/>
  <c r="R670" i="112"/>
  <c r="R678" i="112"/>
  <c r="R682" i="112"/>
  <c r="Q682" i="112" s="1"/>
  <c r="K682" i="112" s="1"/>
  <c r="L682" i="112" s="1"/>
  <c r="R686" i="112"/>
  <c r="R690" i="112"/>
  <c r="R694" i="112"/>
  <c r="R698" i="112"/>
  <c r="R702" i="112"/>
  <c r="S83" i="112"/>
  <c r="R82" i="112"/>
  <c r="S81" i="112"/>
  <c r="R83" i="112"/>
  <c r="S82" i="112"/>
  <c r="AB53" i="69"/>
  <c r="AB57" i="69"/>
  <c r="AB61" i="69"/>
  <c r="AB65" i="69"/>
  <c r="AB69" i="69"/>
  <c r="W42" i="42"/>
  <c r="V42" i="42"/>
  <c r="O42" i="42"/>
  <c r="L42" i="42"/>
  <c r="Y42" i="42" s="1"/>
  <c r="N87" i="169"/>
  <c r="M87" i="169"/>
  <c r="N85" i="169"/>
  <c r="I82" i="169"/>
  <c r="K87" i="169" s="1"/>
  <c r="R81" i="169"/>
  <c r="Q80" i="169" s="1"/>
  <c r="G80" i="169"/>
  <c r="E79" i="169"/>
  <c r="H78" i="169"/>
  <c r="J78" i="169" s="1"/>
  <c r="H77" i="169"/>
  <c r="J77" i="169" s="1"/>
  <c r="H76" i="169"/>
  <c r="J76" i="169" s="1"/>
  <c r="H75" i="169"/>
  <c r="J75" i="169" s="1"/>
  <c r="H74" i="169"/>
  <c r="J74" i="169" s="1"/>
  <c r="H73" i="169"/>
  <c r="J73" i="169" s="1"/>
  <c r="H72" i="169"/>
  <c r="J72" i="169" s="1"/>
  <c r="H71" i="169"/>
  <c r="J71" i="169" s="1"/>
  <c r="H70" i="169"/>
  <c r="J70" i="169" s="1"/>
  <c r="H69" i="169"/>
  <c r="J69" i="169" s="1"/>
  <c r="H68" i="169"/>
  <c r="J68" i="169" s="1"/>
  <c r="H67" i="169"/>
  <c r="J67" i="169" s="1"/>
  <c r="H66" i="169"/>
  <c r="J66" i="169" s="1"/>
  <c r="H65" i="169"/>
  <c r="J65" i="169" s="1"/>
  <c r="H64" i="169"/>
  <c r="J64" i="169" s="1"/>
  <c r="H63" i="169"/>
  <c r="J63" i="169" s="1"/>
  <c r="H62" i="169"/>
  <c r="J62" i="169" s="1"/>
  <c r="H61" i="169"/>
  <c r="J61" i="169" s="1"/>
  <c r="H60" i="169"/>
  <c r="J60" i="169" s="1"/>
  <c r="H59" i="169"/>
  <c r="J59" i="169" s="1"/>
  <c r="H58" i="169"/>
  <c r="J58" i="169" s="1"/>
  <c r="H57" i="169"/>
  <c r="J57" i="169" s="1"/>
  <c r="H56" i="169"/>
  <c r="J56" i="169" s="1"/>
  <c r="H55" i="169"/>
  <c r="J55" i="169" s="1"/>
  <c r="H54" i="169"/>
  <c r="J54" i="169" s="1"/>
  <c r="H53" i="169"/>
  <c r="J53" i="169" s="1"/>
  <c r="H52" i="169"/>
  <c r="J52" i="169" s="1"/>
  <c r="H51" i="169"/>
  <c r="J51" i="169" s="1"/>
  <c r="H50" i="169"/>
  <c r="J50" i="169" s="1"/>
  <c r="H49" i="169"/>
  <c r="J49" i="169" s="1"/>
  <c r="H48" i="169"/>
  <c r="J48" i="169" s="1"/>
  <c r="H47" i="169"/>
  <c r="J47" i="169" s="1"/>
  <c r="H46" i="169"/>
  <c r="J46" i="169" s="1"/>
  <c r="H45" i="169"/>
  <c r="J45" i="169" s="1"/>
  <c r="H44" i="169"/>
  <c r="J44" i="169" s="1"/>
  <c r="H43" i="169"/>
  <c r="J43" i="169" s="1"/>
  <c r="H42" i="169"/>
  <c r="J42" i="169" s="1"/>
  <c r="H41" i="169"/>
  <c r="J41" i="169" s="1"/>
  <c r="H40" i="169"/>
  <c r="J40" i="169" s="1"/>
  <c r="H39" i="169"/>
  <c r="J39" i="169" s="1"/>
  <c r="H38" i="169"/>
  <c r="J38" i="169" s="1"/>
  <c r="H37" i="169"/>
  <c r="J37" i="169" s="1"/>
  <c r="H36" i="169"/>
  <c r="J36" i="169" s="1"/>
  <c r="H35" i="169"/>
  <c r="J35" i="169" s="1"/>
  <c r="H34" i="169"/>
  <c r="J34" i="169" s="1"/>
  <c r="H33" i="169"/>
  <c r="J33" i="169" s="1"/>
  <c r="H32" i="169"/>
  <c r="J32" i="169" s="1"/>
  <c r="H31" i="169"/>
  <c r="J31" i="169" s="1"/>
  <c r="H30" i="169"/>
  <c r="J30" i="169" s="1"/>
  <c r="H29" i="169"/>
  <c r="J29" i="169" s="1"/>
  <c r="H28" i="169"/>
  <c r="J28" i="169" s="1"/>
  <c r="H27" i="169"/>
  <c r="J27" i="169" s="1"/>
  <c r="H26" i="169"/>
  <c r="J26" i="169" s="1"/>
  <c r="H25" i="169"/>
  <c r="J25" i="169" s="1"/>
  <c r="H24" i="169"/>
  <c r="J24" i="169" s="1"/>
  <c r="H23" i="169"/>
  <c r="J23" i="169" s="1"/>
  <c r="H22" i="169"/>
  <c r="J22" i="169" s="1"/>
  <c r="H21" i="169"/>
  <c r="J21" i="169" s="1"/>
  <c r="H20" i="169"/>
  <c r="J20" i="169" s="1"/>
  <c r="H19" i="169"/>
  <c r="J19" i="169" s="1"/>
  <c r="H18" i="169"/>
  <c r="J18" i="169" s="1"/>
  <c r="H17" i="169"/>
  <c r="J17" i="169" s="1"/>
  <c r="H16" i="169"/>
  <c r="J16" i="169" s="1"/>
  <c r="H15" i="169"/>
  <c r="J15" i="169" s="1"/>
  <c r="H14" i="169"/>
  <c r="J14" i="169" s="1"/>
  <c r="H13" i="169"/>
  <c r="J13" i="169" s="1"/>
  <c r="H12" i="169"/>
  <c r="J12" i="169" s="1"/>
  <c r="H11" i="169"/>
  <c r="J11" i="169" s="1"/>
  <c r="H10" i="169"/>
  <c r="J10" i="169" s="1"/>
  <c r="H9" i="169"/>
  <c r="J9" i="169" s="1"/>
  <c r="N6" i="169"/>
  <c r="R1" i="169"/>
  <c r="R2" i="169" s="1"/>
  <c r="N76" i="169"/>
  <c r="N9" i="166"/>
  <c r="M9" i="166"/>
  <c r="Q648" i="112" l="1"/>
  <c r="K648" i="112" s="1"/>
  <c r="L648" i="112" s="1"/>
  <c r="Q492" i="112"/>
  <c r="K492" i="112" s="1"/>
  <c r="L492" i="112" s="1"/>
  <c r="Q359" i="112"/>
  <c r="K359" i="112" s="1"/>
  <c r="L359" i="112" s="1"/>
  <c r="Q117" i="112"/>
  <c r="K117" i="112" s="1"/>
  <c r="L117" i="112" s="1"/>
  <c r="Q362" i="112"/>
  <c r="K362" i="112" s="1"/>
  <c r="L362" i="112" s="1"/>
  <c r="Q179" i="112"/>
  <c r="K179" i="112" s="1"/>
  <c r="L179" i="112" s="1"/>
  <c r="Q136" i="112"/>
  <c r="K136" i="112" s="1"/>
  <c r="L136" i="112" s="1"/>
  <c r="Q123" i="112"/>
  <c r="K123" i="112" s="1"/>
  <c r="L123" i="112" s="1"/>
  <c r="Q265" i="112"/>
  <c r="K265" i="112" s="1"/>
  <c r="L265" i="112" s="1"/>
  <c r="Q514" i="112"/>
  <c r="K514" i="112" s="1"/>
  <c r="L514" i="112" s="1"/>
  <c r="Q225" i="112"/>
  <c r="K225" i="112" s="1"/>
  <c r="L225" i="112" s="1"/>
  <c r="Q235" i="112"/>
  <c r="K235" i="112" s="1"/>
  <c r="L235" i="112" s="1"/>
  <c r="Q157" i="112"/>
  <c r="K157" i="112" s="1"/>
  <c r="L157" i="112" s="1"/>
  <c r="Q641" i="112"/>
  <c r="K641" i="112" s="1"/>
  <c r="L641" i="112" s="1"/>
  <c r="Q615" i="112"/>
  <c r="K615" i="112" s="1"/>
  <c r="L615" i="112" s="1"/>
  <c r="Q509" i="112"/>
  <c r="K509" i="112" s="1"/>
  <c r="L509" i="112" s="1"/>
  <c r="Q477" i="112"/>
  <c r="K477" i="112" s="1"/>
  <c r="L477" i="112" s="1"/>
  <c r="Q148" i="112"/>
  <c r="K148" i="112" s="1"/>
  <c r="L148" i="112" s="1"/>
  <c r="Q497" i="112"/>
  <c r="K497" i="112" s="1"/>
  <c r="L497" i="112" s="1"/>
  <c r="Q167" i="112"/>
  <c r="K167" i="112" s="1"/>
  <c r="L167" i="112" s="1"/>
  <c r="Q618" i="112"/>
  <c r="K618" i="112" s="1"/>
  <c r="L618" i="112" s="1"/>
  <c r="Q718" i="112"/>
  <c r="K718" i="112" s="1"/>
  <c r="L718" i="112" s="1"/>
  <c r="Q675" i="112"/>
  <c r="K675" i="112" s="1"/>
  <c r="L675" i="112" s="1"/>
  <c r="Q392" i="112"/>
  <c r="K392" i="112" s="1"/>
  <c r="L392" i="112" s="1"/>
  <c r="Q331" i="112"/>
  <c r="K331" i="112" s="1"/>
  <c r="L331" i="112" s="1"/>
  <c r="Q611" i="112"/>
  <c r="K611" i="112" s="1"/>
  <c r="L611" i="112" s="1"/>
  <c r="Q650" i="112"/>
  <c r="K650" i="112" s="1"/>
  <c r="L650" i="112" s="1"/>
  <c r="Q368" i="112"/>
  <c r="K368" i="112" s="1"/>
  <c r="L368" i="112" s="1"/>
  <c r="Q302" i="112"/>
  <c r="K302" i="112" s="1"/>
  <c r="L302" i="112" s="1"/>
  <c r="Q410" i="112"/>
  <c r="K410" i="112" s="1"/>
  <c r="L410" i="112" s="1"/>
  <c r="Q663" i="112"/>
  <c r="K663" i="112" s="1"/>
  <c r="L663" i="112" s="1"/>
  <c r="Q572" i="112"/>
  <c r="K572" i="112" s="1"/>
  <c r="L572" i="112" s="1"/>
  <c r="Q566" i="112"/>
  <c r="K566" i="112" s="1"/>
  <c r="L566" i="112" s="1"/>
  <c r="Q213" i="112"/>
  <c r="K213" i="112" s="1"/>
  <c r="L213" i="112" s="1"/>
  <c r="Q616" i="112"/>
  <c r="K616" i="112" s="1"/>
  <c r="L616" i="112" s="1"/>
  <c r="Q570" i="112"/>
  <c r="K570" i="112" s="1"/>
  <c r="L570" i="112" s="1"/>
  <c r="Q286" i="112"/>
  <c r="K286" i="112" s="1"/>
  <c r="L286" i="112" s="1"/>
  <c r="Q206" i="112"/>
  <c r="K206" i="112" s="1"/>
  <c r="L206" i="112" s="1"/>
  <c r="Q496" i="112"/>
  <c r="K496" i="112" s="1"/>
  <c r="L496" i="112" s="1"/>
  <c r="Q329" i="112"/>
  <c r="K329" i="112" s="1"/>
  <c r="L329" i="112" s="1"/>
  <c r="Q727" i="112"/>
  <c r="K727" i="112" s="1"/>
  <c r="L727" i="112" s="1"/>
  <c r="Q450" i="112"/>
  <c r="K450" i="112" s="1"/>
  <c r="L450" i="112" s="1"/>
  <c r="Q627" i="112"/>
  <c r="K627" i="112" s="1"/>
  <c r="L627" i="112" s="1"/>
  <c r="Q394" i="112"/>
  <c r="K394" i="112" s="1"/>
  <c r="L394" i="112" s="1"/>
  <c r="Q651" i="112"/>
  <c r="K651" i="112" s="1"/>
  <c r="L651" i="112" s="1"/>
  <c r="Q582" i="112"/>
  <c r="K582" i="112" s="1"/>
  <c r="L582" i="112" s="1"/>
  <c r="Q550" i="112"/>
  <c r="K550" i="112" s="1"/>
  <c r="L550" i="112" s="1"/>
  <c r="Q306" i="112"/>
  <c r="K306" i="112" s="1"/>
  <c r="L306" i="112" s="1"/>
  <c r="Q266" i="112"/>
  <c r="K266" i="112" s="1"/>
  <c r="L266" i="112" s="1"/>
  <c r="Q196" i="112"/>
  <c r="K196" i="112" s="1"/>
  <c r="L196" i="112" s="1"/>
  <c r="Q174" i="112"/>
  <c r="K174" i="112" s="1"/>
  <c r="L174" i="112" s="1"/>
  <c r="Q513" i="112"/>
  <c r="K513" i="112" s="1"/>
  <c r="L513" i="112" s="1"/>
  <c r="Q462" i="112"/>
  <c r="K462" i="112" s="1"/>
  <c r="L462" i="112" s="1"/>
  <c r="Q506" i="112"/>
  <c r="K506" i="112" s="1"/>
  <c r="L506" i="112" s="1"/>
  <c r="Q390" i="112"/>
  <c r="K390" i="112" s="1"/>
  <c r="L390" i="112" s="1"/>
  <c r="Q680" i="112"/>
  <c r="K680" i="112" s="1"/>
  <c r="L680" i="112" s="1"/>
  <c r="Q694" i="112"/>
  <c r="K694" i="112" s="1"/>
  <c r="L694" i="112" s="1"/>
  <c r="Q624" i="112"/>
  <c r="K624" i="112" s="1"/>
  <c r="L624" i="112" s="1"/>
  <c r="Q578" i="112"/>
  <c r="K578" i="112" s="1"/>
  <c r="L578" i="112" s="1"/>
  <c r="Q562" i="112"/>
  <c r="K562" i="112" s="1"/>
  <c r="L562" i="112" s="1"/>
  <c r="Q307" i="112"/>
  <c r="K307" i="112" s="1"/>
  <c r="L307" i="112" s="1"/>
  <c r="Q304" i="112"/>
  <c r="K304" i="112" s="1"/>
  <c r="L304" i="112" s="1"/>
  <c r="Q165" i="112"/>
  <c r="K165" i="112" s="1"/>
  <c r="L165" i="112" s="1"/>
  <c r="Q726" i="112"/>
  <c r="K726" i="112" s="1"/>
  <c r="L726" i="112" s="1"/>
  <c r="Q657" i="112"/>
  <c r="K657" i="112" s="1"/>
  <c r="L657" i="112" s="1"/>
  <c r="Q704" i="112"/>
  <c r="K704" i="112" s="1"/>
  <c r="L704" i="112" s="1"/>
  <c r="Q484" i="112"/>
  <c r="K484" i="112" s="1"/>
  <c r="L484" i="112" s="1"/>
  <c r="Q417" i="112"/>
  <c r="K417" i="112" s="1"/>
  <c r="L417" i="112" s="1"/>
  <c r="Q317" i="112"/>
  <c r="K317" i="112" s="1"/>
  <c r="L317" i="112" s="1"/>
  <c r="Q244" i="112"/>
  <c r="K244" i="112" s="1"/>
  <c r="L244" i="112" s="1"/>
  <c r="Q326" i="112"/>
  <c r="K326" i="112" s="1"/>
  <c r="L326" i="112" s="1"/>
  <c r="Q168" i="112"/>
  <c r="K168" i="112" s="1"/>
  <c r="L168" i="112" s="1"/>
  <c r="Q275" i="112"/>
  <c r="K275" i="112" s="1"/>
  <c r="L275" i="112" s="1"/>
  <c r="Q256" i="112"/>
  <c r="K256" i="112" s="1"/>
  <c r="L256" i="112" s="1"/>
  <c r="Q113" i="112"/>
  <c r="K113" i="112" s="1"/>
  <c r="L113" i="112" s="1"/>
  <c r="Q122" i="112"/>
  <c r="K122" i="112" s="1"/>
  <c r="L122" i="112" s="1"/>
  <c r="Q592" i="112"/>
  <c r="K592" i="112" s="1"/>
  <c r="L592" i="112" s="1"/>
  <c r="Q397" i="112"/>
  <c r="K397" i="112" s="1"/>
  <c r="L397" i="112" s="1"/>
  <c r="Q348" i="112"/>
  <c r="K348" i="112" s="1"/>
  <c r="L348" i="112" s="1"/>
  <c r="Q519" i="112"/>
  <c r="K519" i="112" s="1"/>
  <c r="L519" i="112" s="1"/>
  <c r="Q664" i="112"/>
  <c r="K664" i="112" s="1"/>
  <c r="L664" i="112" s="1"/>
  <c r="Q245" i="112"/>
  <c r="K245" i="112" s="1"/>
  <c r="L245" i="112" s="1"/>
  <c r="Q204" i="112"/>
  <c r="K204" i="112" s="1"/>
  <c r="L204" i="112" s="1"/>
  <c r="Q591" i="112"/>
  <c r="K591" i="112" s="1"/>
  <c r="L591" i="112" s="1"/>
  <c r="Q456" i="112"/>
  <c r="K456" i="112" s="1"/>
  <c r="L456" i="112" s="1"/>
  <c r="Q335" i="112"/>
  <c r="K335" i="112" s="1"/>
  <c r="L335" i="112" s="1"/>
  <c r="Q703" i="112"/>
  <c r="K703" i="112" s="1"/>
  <c r="L703" i="112" s="1"/>
  <c r="Q433" i="112"/>
  <c r="K433" i="112" s="1"/>
  <c r="L433" i="112" s="1"/>
  <c r="Q121" i="112"/>
  <c r="K121" i="112" s="1"/>
  <c r="L121" i="112" s="1"/>
  <c r="Q658" i="112"/>
  <c r="K658" i="112" s="1"/>
  <c r="L658" i="112" s="1"/>
  <c r="Q366" i="112"/>
  <c r="K366" i="112" s="1"/>
  <c r="L366" i="112" s="1"/>
  <c r="Q337" i="112"/>
  <c r="K337" i="112" s="1"/>
  <c r="L337" i="112" s="1"/>
  <c r="Q474" i="112"/>
  <c r="K474" i="112" s="1"/>
  <c r="L474" i="112" s="1"/>
  <c r="Q643" i="112"/>
  <c r="K643" i="112" s="1"/>
  <c r="L643" i="112" s="1"/>
  <c r="Q353" i="112"/>
  <c r="K353" i="112" s="1"/>
  <c r="L353" i="112" s="1"/>
  <c r="Q655" i="112"/>
  <c r="K655" i="112" s="1"/>
  <c r="L655" i="112" s="1"/>
  <c r="Q684" i="112"/>
  <c r="K684" i="112" s="1"/>
  <c r="L684" i="112" s="1"/>
  <c r="Q420" i="112"/>
  <c r="K420" i="112" s="1"/>
  <c r="L420" i="112" s="1"/>
  <c r="Q319" i="112"/>
  <c r="K319" i="112" s="1"/>
  <c r="L319" i="112" s="1"/>
  <c r="Q454" i="112"/>
  <c r="K454" i="112" s="1"/>
  <c r="L454" i="112" s="1"/>
  <c r="Q241" i="112"/>
  <c r="K241" i="112" s="1"/>
  <c r="L241" i="112" s="1"/>
  <c r="Q719" i="112"/>
  <c r="K719" i="112" s="1"/>
  <c r="L719" i="112" s="1"/>
  <c r="Q706" i="112"/>
  <c r="K706" i="112" s="1"/>
  <c r="L706" i="112" s="1"/>
  <c r="Q512" i="112"/>
  <c r="K512" i="112" s="1"/>
  <c r="L512" i="112" s="1"/>
  <c r="Q182" i="112"/>
  <c r="K182" i="112" s="1"/>
  <c r="L182" i="112" s="1"/>
  <c r="Q471" i="112"/>
  <c r="K471" i="112" s="1"/>
  <c r="L471" i="112" s="1"/>
  <c r="Q580" i="112"/>
  <c r="K580" i="112" s="1"/>
  <c r="L580" i="112" s="1"/>
  <c r="Q287" i="112"/>
  <c r="K287" i="112" s="1"/>
  <c r="L287" i="112" s="1"/>
  <c r="Q473" i="112"/>
  <c r="K473" i="112" s="1"/>
  <c r="L473" i="112" s="1"/>
  <c r="Q537" i="112"/>
  <c r="K537" i="112" s="1"/>
  <c r="L537" i="112" s="1"/>
  <c r="Q338" i="112"/>
  <c r="K338" i="112" s="1"/>
  <c r="L338" i="112" s="1"/>
  <c r="Q313" i="112"/>
  <c r="K313" i="112" s="1"/>
  <c r="L313" i="112" s="1"/>
  <c r="Q301" i="112"/>
  <c r="K301" i="112" s="1"/>
  <c r="L301" i="112" s="1"/>
  <c r="Q503" i="112"/>
  <c r="K503" i="112" s="1"/>
  <c r="L503" i="112" s="1"/>
  <c r="Q528" i="112"/>
  <c r="K528" i="112" s="1"/>
  <c r="L528" i="112" s="1"/>
  <c r="Q81" i="112"/>
  <c r="K81" i="112" s="1"/>
  <c r="L81" i="112" s="1"/>
  <c r="Q644" i="112"/>
  <c r="K644" i="112" s="1"/>
  <c r="L644" i="112" s="1"/>
  <c r="Q612" i="112"/>
  <c r="K612" i="112" s="1"/>
  <c r="L612" i="112" s="1"/>
  <c r="Q198" i="112"/>
  <c r="K198" i="112" s="1"/>
  <c r="L198" i="112" s="1"/>
  <c r="Q441" i="112"/>
  <c r="K441" i="112" s="1"/>
  <c r="L441" i="112" s="1"/>
  <c r="Q129" i="112"/>
  <c r="K129" i="112" s="1"/>
  <c r="L129" i="112" s="1"/>
  <c r="Q660" i="112"/>
  <c r="K660" i="112" s="1"/>
  <c r="L660" i="112" s="1"/>
  <c r="Q628" i="112"/>
  <c r="K628" i="112" s="1"/>
  <c r="L628" i="112" s="1"/>
  <c r="Q584" i="112"/>
  <c r="K584" i="112" s="1"/>
  <c r="L584" i="112" s="1"/>
  <c r="Q505" i="112"/>
  <c r="K505" i="112" s="1"/>
  <c r="L505" i="112" s="1"/>
  <c r="Q464" i="112"/>
  <c r="K464" i="112" s="1"/>
  <c r="L464" i="112" s="1"/>
  <c r="Q385" i="112"/>
  <c r="K385" i="112" s="1"/>
  <c r="L385" i="112" s="1"/>
  <c r="Q728" i="112"/>
  <c r="K728" i="112" s="1"/>
  <c r="L728" i="112" s="1"/>
  <c r="Q312" i="112"/>
  <c r="K312" i="112" s="1"/>
  <c r="L312" i="112" s="1"/>
  <c r="Q289" i="112"/>
  <c r="K289" i="112" s="1"/>
  <c r="L289" i="112" s="1"/>
  <c r="Q128" i="112"/>
  <c r="K128" i="112" s="1"/>
  <c r="L128" i="112" s="1"/>
  <c r="Q193" i="112"/>
  <c r="K193" i="112" s="1"/>
  <c r="L193" i="112" s="1"/>
  <c r="Q161" i="112"/>
  <c r="K161" i="112" s="1"/>
  <c r="L161" i="112" s="1"/>
  <c r="Q723" i="112"/>
  <c r="K723" i="112" s="1"/>
  <c r="L723" i="112" s="1"/>
  <c r="Q647" i="112"/>
  <c r="K647" i="112" s="1"/>
  <c r="L647" i="112" s="1"/>
  <c r="Q318" i="112"/>
  <c r="K318" i="112" s="1"/>
  <c r="L318" i="112" s="1"/>
  <c r="Q114" i="112"/>
  <c r="K114" i="112" s="1"/>
  <c r="L114" i="112" s="1"/>
  <c r="Q398" i="112"/>
  <c r="K398" i="112" s="1"/>
  <c r="L398" i="112" s="1"/>
  <c r="Q439" i="112"/>
  <c r="K439" i="112" s="1"/>
  <c r="L439" i="112" s="1"/>
  <c r="Q661" i="112"/>
  <c r="K661" i="112" s="1"/>
  <c r="L661" i="112" s="1"/>
  <c r="Q92" i="112"/>
  <c r="K92" i="112" s="1"/>
  <c r="L92" i="112" s="1"/>
  <c r="Q603" i="112"/>
  <c r="K603" i="112" s="1"/>
  <c r="L603" i="112" s="1"/>
  <c r="Q386" i="112"/>
  <c r="K386" i="112" s="1"/>
  <c r="L386" i="112" s="1"/>
  <c r="Q608" i="112"/>
  <c r="K608" i="112" s="1"/>
  <c r="L608" i="112" s="1"/>
  <c r="Q531" i="112"/>
  <c r="K531" i="112" s="1"/>
  <c r="L531" i="112" s="1"/>
  <c r="Q545" i="112"/>
  <c r="K545" i="112" s="1"/>
  <c r="L545" i="112" s="1"/>
  <c r="Q416" i="112"/>
  <c r="K416" i="112" s="1"/>
  <c r="L416" i="112" s="1"/>
  <c r="Q216" i="112"/>
  <c r="K216" i="112" s="1"/>
  <c r="L216" i="112" s="1"/>
  <c r="Q156" i="112"/>
  <c r="K156" i="112" s="1"/>
  <c r="L156" i="112" s="1"/>
  <c r="Q577" i="112"/>
  <c r="K577" i="112" s="1"/>
  <c r="L577" i="112" s="1"/>
  <c r="Q696" i="112"/>
  <c r="K696" i="112" s="1"/>
  <c r="L696" i="112" s="1"/>
  <c r="Q481" i="112"/>
  <c r="K481" i="112" s="1"/>
  <c r="L481" i="112" s="1"/>
  <c r="Q508" i="112"/>
  <c r="K508" i="112" s="1"/>
  <c r="L508" i="112" s="1"/>
  <c r="Q476" i="112"/>
  <c r="K476" i="112" s="1"/>
  <c r="L476" i="112" s="1"/>
  <c r="Q444" i="112"/>
  <c r="K444" i="112" s="1"/>
  <c r="L444" i="112" s="1"/>
  <c r="Q373" i="112"/>
  <c r="K373" i="112" s="1"/>
  <c r="L373" i="112" s="1"/>
  <c r="Q364" i="112"/>
  <c r="K364" i="112" s="1"/>
  <c r="L364" i="112" s="1"/>
  <c r="Q330" i="112"/>
  <c r="K330" i="112" s="1"/>
  <c r="L330" i="112" s="1"/>
  <c r="Q314" i="112"/>
  <c r="K314" i="112" s="1"/>
  <c r="L314" i="112" s="1"/>
  <c r="Q259" i="112"/>
  <c r="K259" i="112" s="1"/>
  <c r="L259" i="112" s="1"/>
  <c r="Q376" i="112"/>
  <c r="K376" i="112" s="1"/>
  <c r="L376" i="112" s="1"/>
  <c r="Q243" i="112"/>
  <c r="K243" i="112" s="1"/>
  <c r="L243" i="112" s="1"/>
  <c r="Q132" i="112"/>
  <c r="K132" i="112" s="1"/>
  <c r="L132" i="112" s="1"/>
  <c r="Q100" i="112"/>
  <c r="K100" i="112" s="1"/>
  <c r="L100" i="112" s="1"/>
  <c r="Q178" i="112"/>
  <c r="K178" i="112" s="1"/>
  <c r="L178" i="112" s="1"/>
  <c r="Q358" i="112"/>
  <c r="K358" i="112" s="1"/>
  <c r="L358" i="112" s="1"/>
  <c r="Q334" i="112"/>
  <c r="K334" i="112" s="1"/>
  <c r="L334" i="112" s="1"/>
  <c r="Q294" i="112"/>
  <c r="K294" i="112" s="1"/>
  <c r="L294" i="112" s="1"/>
  <c r="Q351" i="112"/>
  <c r="K351" i="112" s="1"/>
  <c r="L351" i="112" s="1"/>
  <c r="Q480" i="112"/>
  <c r="K480" i="112" s="1"/>
  <c r="L480" i="112" s="1"/>
  <c r="Q687" i="112"/>
  <c r="K687" i="112" s="1"/>
  <c r="L687" i="112" s="1"/>
  <c r="Q374" i="112"/>
  <c r="K374" i="112" s="1"/>
  <c r="L374" i="112" s="1"/>
  <c r="Q369" i="112"/>
  <c r="K369" i="112" s="1"/>
  <c r="L369" i="112" s="1"/>
  <c r="Q672" i="112"/>
  <c r="K672" i="112" s="1"/>
  <c r="L672" i="112" s="1"/>
  <c r="Q547" i="112"/>
  <c r="K547" i="112" s="1"/>
  <c r="L547" i="112" s="1"/>
  <c r="Q510" i="112"/>
  <c r="K510" i="112" s="1"/>
  <c r="L510" i="112" s="1"/>
  <c r="Q280" i="112"/>
  <c r="K280" i="112" s="1"/>
  <c r="L280" i="112" s="1"/>
  <c r="Q249" i="112"/>
  <c r="K249" i="112" s="1"/>
  <c r="L249" i="112" s="1"/>
  <c r="Q201" i="112"/>
  <c r="K201" i="112" s="1"/>
  <c r="L201" i="112" s="1"/>
  <c r="Q180" i="112"/>
  <c r="K180" i="112" s="1"/>
  <c r="L180" i="112" s="1"/>
  <c r="Q625" i="112"/>
  <c r="K625" i="112" s="1"/>
  <c r="L625" i="112" s="1"/>
  <c r="Q691" i="112"/>
  <c r="K691" i="112" s="1"/>
  <c r="L691" i="112" s="1"/>
  <c r="Q653" i="112"/>
  <c r="K653" i="112" s="1"/>
  <c r="L653" i="112" s="1"/>
  <c r="Q588" i="112"/>
  <c r="K588" i="112" s="1"/>
  <c r="L588" i="112" s="1"/>
  <c r="Q461" i="112"/>
  <c r="K461" i="112" s="1"/>
  <c r="L461" i="112" s="1"/>
  <c r="Q381" i="112"/>
  <c r="K381" i="112" s="1"/>
  <c r="L381" i="112" s="1"/>
  <c r="Q270" i="112"/>
  <c r="K270" i="112" s="1"/>
  <c r="L270" i="112" s="1"/>
  <c r="Q163" i="112"/>
  <c r="K163" i="112" s="1"/>
  <c r="L163" i="112" s="1"/>
  <c r="Q135" i="112"/>
  <c r="K135" i="112" s="1"/>
  <c r="L135" i="112" s="1"/>
  <c r="Q127" i="112"/>
  <c r="K127" i="112" s="1"/>
  <c r="L127" i="112" s="1"/>
  <c r="Q186" i="112"/>
  <c r="K186" i="112" s="1"/>
  <c r="L186" i="112" s="1"/>
  <c r="Q352" i="112"/>
  <c r="K352" i="112" s="1"/>
  <c r="L352" i="112" s="1"/>
  <c r="Q321" i="112"/>
  <c r="K321" i="112" s="1"/>
  <c r="L321" i="112" s="1"/>
  <c r="Q525" i="112"/>
  <c r="K525" i="112" s="1"/>
  <c r="L525" i="112" s="1"/>
  <c r="Q320" i="112"/>
  <c r="K320" i="112" s="1"/>
  <c r="L320" i="112" s="1"/>
  <c r="Q219" i="112"/>
  <c r="K219" i="112" s="1"/>
  <c r="L219" i="112" s="1"/>
  <c r="Q640" i="112"/>
  <c r="K640" i="112" s="1"/>
  <c r="L640" i="112" s="1"/>
  <c r="Q632" i="112"/>
  <c r="K632" i="112" s="1"/>
  <c r="L632" i="112" s="1"/>
  <c r="Q586" i="112"/>
  <c r="K586" i="112" s="1"/>
  <c r="L586" i="112" s="1"/>
  <c r="Q491" i="112"/>
  <c r="K491" i="112" s="1"/>
  <c r="L491" i="112" s="1"/>
  <c r="Q459" i="112"/>
  <c r="K459" i="112" s="1"/>
  <c r="L459" i="112" s="1"/>
  <c r="Q418" i="112"/>
  <c r="K418" i="112" s="1"/>
  <c r="L418" i="112" s="1"/>
  <c r="Q367" i="112"/>
  <c r="K367" i="112" s="1"/>
  <c r="L367" i="112" s="1"/>
  <c r="Q288" i="112"/>
  <c r="K288" i="112" s="1"/>
  <c r="L288" i="112" s="1"/>
  <c r="Q725" i="112"/>
  <c r="K725" i="112" s="1"/>
  <c r="L725" i="112" s="1"/>
  <c r="Q649" i="112"/>
  <c r="K649" i="112" s="1"/>
  <c r="L649" i="112" s="1"/>
  <c r="Q460" i="112"/>
  <c r="K460" i="112" s="1"/>
  <c r="L460" i="112" s="1"/>
  <c r="Q349" i="112"/>
  <c r="K349" i="112" s="1"/>
  <c r="L349" i="112" s="1"/>
  <c r="Q516" i="112"/>
  <c r="K516" i="112" s="1"/>
  <c r="L516" i="112" s="1"/>
  <c r="Q370" i="112"/>
  <c r="K370" i="112" s="1"/>
  <c r="L370" i="112" s="1"/>
  <c r="Q223" i="112"/>
  <c r="K223" i="112" s="1"/>
  <c r="L223" i="112" s="1"/>
  <c r="Q297" i="112"/>
  <c r="K297" i="112" s="1"/>
  <c r="L297" i="112" s="1"/>
  <c r="Q274" i="112"/>
  <c r="K274" i="112" s="1"/>
  <c r="L274" i="112" s="1"/>
  <c r="Q530" i="112"/>
  <c r="K530" i="112" s="1"/>
  <c r="L530" i="112" s="1"/>
  <c r="Q429" i="112"/>
  <c r="K429" i="112" s="1"/>
  <c r="L429" i="112" s="1"/>
  <c r="M4" i="172"/>
  <c r="P85" i="169"/>
  <c r="O85" i="169"/>
  <c r="K42" i="42"/>
  <c r="U42" i="42" s="1"/>
  <c r="X42" i="42"/>
  <c r="N4" i="171"/>
  <c r="N89" i="171" s="1"/>
  <c r="E141" i="2" s="1"/>
  <c r="K85" i="170"/>
  <c r="M85" i="170" s="1"/>
  <c r="M4" i="170" s="1"/>
  <c r="M89" i="170" s="1"/>
  <c r="E140" i="2" s="1"/>
  <c r="C140" i="2" s="1"/>
  <c r="Q702" i="112"/>
  <c r="K702" i="112" s="1"/>
  <c r="L702" i="112" s="1"/>
  <c r="Q542" i="112"/>
  <c r="K542" i="112" s="1"/>
  <c r="L542" i="112" s="1"/>
  <c r="Q282" i="112"/>
  <c r="K282" i="112" s="1"/>
  <c r="L282" i="112" s="1"/>
  <c r="Q214" i="112"/>
  <c r="K214" i="112" s="1"/>
  <c r="L214" i="112" s="1"/>
  <c r="Q722" i="112"/>
  <c r="K722" i="112" s="1"/>
  <c r="L722" i="112" s="1"/>
  <c r="Q546" i="112"/>
  <c r="K546" i="112" s="1"/>
  <c r="L546" i="112" s="1"/>
  <c r="Q500" i="112"/>
  <c r="K500" i="112" s="1"/>
  <c r="L500" i="112" s="1"/>
  <c r="Q409" i="112"/>
  <c r="K409" i="112" s="1"/>
  <c r="L409" i="112" s="1"/>
  <c r="Q171" i="112"/>
  <c r="K171" i="112" s="1"/>
  <c r="L171" i="112" s="1"/>
  <c r="Q176" i="112"/>
  <c r="K176" i="112" s="1"/>
  <c r="L176" i="112" s="1"/>
  <c r="Q708" i="112"/>
  <c r="K708" i="112" s="1"/>
  <c r="L708" i="112" s="1"/>
  <c r="Q498" i="112"/>
  <c r="K498" i="112" s="1"/>
  <c r="L498" i="112" s="1"/>
  <c r="Q442" i="112"/>
  <c r="K442" i="112" s="1"/>
  <c r="L442" i="112" s="1"/>
  <c r="Q458" i="112"/>
  <c r="K458" i="112" s="1"/>
  <c r="L458" i="112" s="1"/>
  <c r="Q267" i="112"/>
  <c r="K267" i="112" s="1"/>
  <c r="L267" i="112" s="1"/>
  <c r="Q212" i="112"/>
  <c r="K212" i="112" s="1"/>
  <c r="L212" i="112" s="1"/>
  <c r="Q106" i="112"/>
  <c r="K106" i="112" s="1"/>
  <c r="L106" i="112" s="1"/>
  <c r="Q234" i="112"/>
  <c r="K234" i="112" s="1"/>
  <c r="L234" i="112" s="1"/>
  <c r="Q710" i="112"/>
  <c r="K710" i="112" s="1"/>
  <c r="L710" i="112" s="1"/>
  <c r="Q221" i="112"/>
  <c r="K221" i="112" s="1"/>
  <c r="L221" i="112" s="1"/>
  <c r="Q191" i="112"/>
  <c r="K191" i="112" s="1"/>
  <c r="L191" i="112" s="1"/>
  <c r="Q194" i="112"/>
  <c r="K194" i="112" s="1"/>
  <c r="L194" i="112" s="1"/>
  <c r="Q118" i="112"/>
  <c r="K118" i="112" s="1"/>
  <c r="L118" i="112" s="1"/>
  <c r="Q115" i="112"/>
  <c r="K115" i="112" s="1"/>
  <c r="L115" i="112" s="1"/>
  <c r="Q667" i="112"/>
  <c r="K667" i="112" s="1"/>
  <c r="L667" i="112" s="1"/>
  <c r="Q517" i="112"/>
  <c r="K517" i="112" s="1"/>
  <c r="L517" i="112" s="1"/>
  <c r="Q635" i="112"/>
  <c r="K635" i="112" s="1"/>
  <c r="L635" i="112" s="1"/>
  <c r="Q558" i="112"/>
  <c r="K558" i="112" s="1"/>
  <c r="L558" i="112" s="1"/>
  <c r="Q303" i="112"/>
  <c r="K303" i="112" s="1"/>
  <c r="L303" i="112" s="1"/>
  <c r="Q383" i="112"/>
  <c r="K383" i="112" s="1"/>
  <c r="L383" i="112" s="1"/>
  <c r="Q300" i="112"/>
  <c r="K300" i="112" s="1"/>
  <c r="L300" i="112" s="1"/>
  <c r="Q264" i="112"/>
  <c r="K264" i="112" s="1"/>
  <c r="L264" i="112" s="1"/>
  <c r="Q561" i="112"/>
  <c r="K561" i="112" s="1"/>
  <c r="L561" i="112" s="1"/>
  <c r="Q668" i="112"/>
  <c r="K668" i="112" s="1"/>
  <c r="L668" i="112" s="1"/>
  <c r="Q575" i="112"/>
  <c r="K575" i="112" s="1"/>
  <c r="L575" i="112" s="1"/>
  <c r="Q555" i="112"/>
  <c r="K555" i="112" s="1"/>
  <c r="L555" i="112" s="1"/>
  <c r="Q465" i="112"/>
  <c r="K465" i="112" s="1"/>
  <c r="L465" i="112" s="1"/>
  <c r="Q400" i="112"/>
  <c r="K400" i="112" s="1"/>
  <c r="L400" i="112" s="1"/>
  <c r="Q493" i="112"/>
  <c r="K493" i="112" s="1"/>
  <c r="L493" i="112" s="1"/>
  <c r="Q452" i="112"/>
  <c r="K452" i="112" s="1"/>
  <c r="L452" i="112" s="1"/>
  <c r="Q354" i="112"/>
  <c r="K354" i="112" s="1"/>
  <c r="L354" i="112" s="1"/>
  <c r="Q333" i="112"/>
  <c r="K333" i="112" s="1"/>
  <c r="L333" i="112" s="1"/>
  <c r="Q119" i="112"/>
  <c r="K119" i="112" s="1"/>
  <c r="L119" i="112" s="1"/>
  <c r="Q730" i="112"/>
  <c r="K730" i="112" s="1"/>
  <c r="L730" i="112" s="1"/>
  <c r="Q716" i="112"/>
  <c r="K716" i="112" s="1"/>
  <c r="L716" i="112" s="1"/>
  <c r="Q281" i="112"/>
  <c r="K281" i="112" s="1"/>
  <c r="L281" i="112" s="1"/>
  <c r="Q272" i="112"/>
  <c r="K272" i="112" s="1"/>
  <c r="L272" i="112" s="1"/>
  <c r="Q676" i="112"/>
  <c r="K676" i="112" s="1"/>
  <c r="L676" i="112" s="1"/>
  <c r="Q597" i="112"/>
  <c r="K597" i="112" s="1"/>
  <c r="L597" i="112" s="1"/>
  <c r="Q384" i="112"/>
  <c r="K384" i="112" s="1"/>
  <c r="L384" i="112" s="1"/>
  <c r="Q662" i="112"/>
  <c r="K662" i="112" s="1"/>
  <c r="L662" i="112" s="1"/>
  <c r="Q646" i="112"/>
  <c r="K646" i="112" s="1"/>
  <c r="L646" i="112" s="1"/>
  <c r="Q630" i="112"/>
  <c r="K630" i="112" s="1"/>
  <c r="L630" i="112" s="1"/>
  <c r="Q614" i="112"/>
  <c r="K614" i="112" s="1"/>
  <c r="L614" i="112" s="1"/>
  <c r="Q324" i="112"/>
  <c r="K324" i="112" s="1"/>
  <c r="L324" i="112" s="1"/>
  <c r="Q224" i="112"/>
  <c r="K224" i="112" s="1"/>
  <c r="L224" i="112" s="1"/>
  <c r="Q717" i="112"/>
  <c r="K717" i="112" s="1"/>
  <c r="L717" i="112" s="1"/>
  <c r="Q140" i="112"/>
  <c r="K140" i="112" s="1"/>
  <c r="L140" i="112" s="1"/>
  <c r="Q109" i="112"/>
  <c r="K109" i="112" s="1"/>
  <c r="L109" i="112" s="1"/>
  <c r="Q733" i="112"/>
  <c r="K733" i="112" s="1"/>
  <c r="L733" i="112" s="1"/>
  <c r="Q524" i="112"/>
  <c r="K524" i="112" s="1"/>
  <c r="L524" i="112" s="1"/>
  <c r="Q343" i="112"/>
  <c r="K343" i="112" s="1"/>
  <c r="L343" i="112" s="1"/>
  <c r="Q311" i="112"/>
  <c r="K311" i="112" s="1"/>
  <c r="L311" i="112" s="1"/>
  <c r="Q533" i="112"/>
  <c r="K533" i="112" s="1"/>
  <c r="L533" i="112" s="1"/>
  <c r="Q412" i="112"/>
  <c r="K412" i="112" s="1"/>
  <c r="L412" i="112" s="1"/>
  <c r="Q124" i="112"/>
  <c r="K124" i="112" s="1"/>
  <c r="L124" i="112" s="1"/>
  <c r="Q350" i="112"/>
  <c r="K350" i="112" s="1"/>
  <c r="L350" i="112" s="1"/>
  <c r="Q482" i="112"/>
  <c r="K482" i="112" s="1"/>
  <c r="L482" i="112" s="1"/>
  <c r="Q659" i="112"/>
  <c r="K659" i="112" s="1"/>
  <c r="L659" i="112" s="1"/>
  <c r="Q438" i="112"/>
  <c r="K438" i="112" s="1"/>
  <c r="L438" i="112" s="1"/>
  <c r="Q466" i="112"/>
  <c r="K466" i="112" s="1"/>
  <c r="L466" i="112" s="1"/>
  <c r="Q382" i="112"/>
  <c r="K382" i="112" s="1"/>
  <c r="L382" i="112" s="1"/>
  <c r="Q494" i="112"/>
  <c r="K494" i="112" s="1"/>
  <c r="L494" i="112" s="1"/>
  <c r="Q271" i="112"/>
  <c r="K271" i="112" s="1"/>
  <c r="L271" i="112" s="1"/>
  <c r="Q298" i="112"/>
  <c r="K298" i="112" s="1"/>
  <c r="L298" i="112" s="1"/>
  <c r="Q295" i="112"/>
  <c r="K295" i="112" s="1"/>
  <c r="L295" i="112" s="1"/>
  <c r="Q144" i="112"/>
  <c r="K144" i="112" s="1"/>
  <c r="L144" i="112" s="1"/>
  <c r="Q363" i="112"/>
  <c r="K363" i="112" s="1"/>
  <c r="L363" i="112" s="1"/>
  <c r="Q328" i="112"/>
  <c r="K328" i="112" s="1"/>
  <c r="L328" i="112" s="1"/>
  <c r="Q332" i="112"/>
  <c r="K332" i="112" s="1"/>
  <c r="L332" i="112" s="1"/>
  <c r="Q422" i="112"/>
  <c r="K422" i="112" s="1"/>
  <c r="L422" i="112" s="1"/>
  <c r="Q576" i="112"/>
  <c r="K576" i="112" s="1"/>
  <c r="L576" i="112" s="1"/>
  <c r="Q583" i="112"/>
  <c r="K583" i="112" s="1"/>
  <c r="L583" i="112" s="1"/>
  <c r="Q469" i="112"/>
  <c r="K469" i="112" s="1"/>
  <c r="L469" i="112" s="1"/>
  <c r="Q389" i="112"/>
  <c r="K389" i="112" s="1"/>
  <c r="L389" i="112" s="1"/>
  <c r="Q686" i="112"/>
  <c r="K686" i="112" s="1"/>
  <c r="L686" i="112" s="1"/>
  <c r="Q527" i="112"/>
  <c r="K527" i="112" s="1"/>
  <c r="L527" i="112" s="1"/>
  <c r="Q391" i="112"/>
  <c r="K391" i="112" s="1"/>
  <c r="L391" i="112" s="1"/>
  <c r="Q284" i="112"/>
  <c r="K284" i="112" s="1"/>
  <c r="L284" i="112" s="1"/>
  <c r="Q197" i="112"/>
  <c r="K197" i="112" s="1"/>
  <c r="L197" i="112" s="1"/>
  <c r="Q166" i="112"/>
  <c r="K166" i="112" s="1"/>
  <c r="L166" i="112" s="1"/>
  <c r="Q633" i="112"/>
  <c r="K633" i="112" s="1"/>
  <c r="L633" i="112" s="1"/>
  <c r="Q541" i="112"/>
  <c r="K541" i="112" s="1"/>
  <c r="L541" i="112" s="1"/>
  <c r="Q472" i="112"/>
  <c r="K472" i="112" s="1"/>
  <c r="L472" i="112" s="1"/>
  <c r="Q393" i="112"/>
  <c r="K393" i="112" s="1"/>
  <c r="L393" i="112" s="1"/>
  <c r="Q436" i="112"/>
  <c r="K436" i="112" s="1"/>
  <c r="L436" i="112" s="1"/>
  <c r="Q323" i="112"/>
  <c r="K323" i="112" s="1"/>
  <c r="L323" i="112" s="1"/>
  <c r="Q254" i="112"/>
  <c r="K254" i="112" s="1"/>
  <c r="L254" i="112" s="1"/>
  <c r="Q377" i="112"/>
  <c r="K377" i="112" s="1"/>
  <c r="L377" i="112" s="1"/>
  <c r="Q296" i="112"/>
  <c r="K296" i="112" s="1"/>
  <c r="L296" i="112" s="1"/>
  <c r="Q187" i="112"/>
  <c r="K187" i="112" s="1"/>
  <c r="L187" i="112" s="1"/>
  <c r="Q151" i="112"/>
  <c r="K151" i="112" s="1"/>
  <c r="L151" i="112" s="1"/>
  <c r="Q202" i="112"/>
  <c r="K202" i="112" s="1"/>
  <c r="L202" i="112" s="1"/>
  <c r="Q90" i="112"/>
  <c r="K90" i="112" s="1"/>
  <c r="L90" i="112" s="1"/>
  <c r="Q239" i="112"/>
  <c r="K239" i="112" s="1"/>
  <c r="L239" i="112" s="1"/>
  <c r="Q404" i="112"/>
  <c r="K404" i="112" s="1"/>
  <c r="L404" i="112" s="1"/>
  <c r="Q395" i="112"/>
  <c r="K395" i="112" s="1"/>
  <c r="L395" i="112" s="1"/>
  <c r="Q278" i="112"/>
  <c r="K278" i="112" s="1"/>
  <c r="L278" i="112" s="1"/>
  <c r="Q158" i="112"/>
  <c r="K158" i="112" s="1"/>
  <c r="L158" i="112" s="1"/>
  <c r="Q692" i="112"/>
  <c r="K692" i="112" s="1"/>
  <c r="L692" i="112" s="1"/>
  <c r="Q698" i="112"/>
  <c r="K698" i="112" s="1"/>
  <c r="L698" i="112" s="1"/>
  <c r="Q652" i="112"/>
  <c r="K652" i="112" s="1"/>
  <c r="L652" i="112" s="1"/>
  <c r="Q636" i="112"/>
  <c r="K636" i="112" s="1"/>
  <c r="L636" i="112" s="1"/>
  <c r="Q620" i="112"/>
  <c r="K620" i="112" s="1"/>
  <c r="L620" i="112" s="1"/>
  <c r="Q604" i="112"/>
  <c r="K604" i="112" s="1"/>
  <c r="L604" i="112" s="1"/>
  <c r="Q594" i="112"/>
  <c r="K594" i="112" s="1"/>
  <c r="L594" i="112" s="1"/>
  <c r="Q552" i="112"/>
  <c r="K552" i="112" s="1"/>
  <c r="L552" i="112" s="1"/>
  <c r="Q590" i="112"/>
  <c r="K590" i="112" s="1"/>
  <c r="L590" i="112" s="1"/>
  <c r="Q526" i="112"/>
  <c r="K526" i="112" s="1"/>
  <c r="L526" i="112" s="1"/>
  <c r="Q515" i="112"/>
  <c r="K515" i="112" s="1"/>
  <c r="L515" i="112" s="1"/>
  <c r="Q507" i="112"/>
  <c r="K507" i="112" s="1"/>
  <c r="L507" i="112" s="1"/>
  <c r="Q475" i="112"/>
  <c r="K475" i="112" s="1"/>
  <c r="L475" i="112" s="1"/>
  <c r="Q443" i="112"/>
  <c r="K443" i="112" s="1"/>
  <c r="L443" i="112" s="1"/>
  <c r="Q189" i="112"/>
  <c r="K189" i="112" s="1"/>
  <c r="L189" i="112" s="1"/>
  <c r="Q262" i="112"/>
  <c r="K262" i="112" s="1"/>
  <c r="L262" i="112" s="1"/>
  <c r="Q185" i="112"/>
  <c r="K185" i="112" s="1"/>
  <c r="L185" i="112" s="1"/>
  <c r="Q145" i="112"/>
  <c r="K145" i="112" s="1"/>
  <c r="L145" i="112" s="1"/>
  <c r="Q585" i="112"/>
  <c r="K585" i="112" s="1"/>
  <c r="L585" i="112" s="1"/>
  <c r="Q713" i="112"/>
  <c r="K713" i="112" s="1"/>
  <c r="L713" i="112" s="1"/>
  <c r="Q623" i="112"/>
  <c r="K623" i="112" s="1"/>
  <c r="L623" i="112" s="1"/>
  <c r="Q607" i="112"/>
  <c r="K607" i="112" s="1"/>
  <c r="L607" i="112" s="1"/>
  <c r="Q721" i="112"/>
  <c r="K721" i="112" s="1"/>
  <c r="L721" i="112" s="1"/>
  <c r="Q453" i="112"/>
  <c r="K453" i="112" s="1"/>
  <c r="L453" i="112" s="1"/>
  <c r="Q355" i="112"/>
  <c r="K355" i="112" s="1"/>
  <c r="L355" i="112" s="1"/>
  <c r="Q347" i="112"/>
  <c r="K347" i="112" s="1"/>
  <c r="L347" i="112" s="1"/>
  <c r="Q253" i="112"/>
  <c r="K253" i="112" s="1"/>
  <c r="L253" i="112" s="1"/>
  <c r="Q345" i="112"/>
  <c r="K345" i="112" s="1"/>
  <c r="L345" i="112" s="1"/>
  <c r="Q310" i="112"/>
  <c r="K310" i="112" s="1"/>
  <c r="L310" i="112" s="1"/>
  <c r="Q207" i="112"/>
  <c r="K207" i="112" s="1"/>
  <c r="L207" i="112" s="1"/>
  <c r="Q91" i="112"/>
  <c r="K91" i="112" s="1"/>
  <c r="L91" i="112" s="1"/>
  <c r="Q263" i="112"/>
  <c r="K263" i="112" s="1"/>
  <c r="L263" i="112" s="1"/>
  <c r="Q402" i="112"/>
  <c r="K402" i="112" s="1"/>
  <c r="L402" i="112" s="1"/>
  <c r="Q227" i="112"/>
  <c r="K227" i="112" s="1"/>
  <c r="L227" i="112" s="1"/>
  <c r="Q199" i="112"/>
  <c r="K199" i="112" s="1"/>
  <c r="L199" i="112" s="1"/>
  <c r="Q695" i="112"/>
  <c r="K695" i="112" s="1"/>
  <c r="L695" i="112" s="1"/>
  <c r="Q502" i="112"/>
  <c r="K502" i="112" s="1"/>
  <c r="L502" i="112" s="1"/>
  <c r="Q378" i="112"/>
  <c r="K378" i="112" s="1"/>
  <c r="L378" i="112" s="1"/>
  <c r="Q678" i="112"/>
  <c r="K678" i="112" s="1"/>
  <c r="L678" i="112" s="1"/>
  <c r="Q560" i="112"/>
  <c r="K560" i="112" s="1"/>
  <c r="L560" i="112" s="1"/>
  <c r="Q428" i="112"/>
  <c r="K428" i="112" s="1"/>
  <c r="L428" i="112" s="1"/>
  <c r="Q440" i="112"/>
  <c r="K440" i="112" s="1"/>
  <c r="L440" i="112" s="1"/>
  <c r="Q379" i="112"/>
  <c r="K379" i="112" s="1"/>
  <c r="L379" i="112" s="1"/>
  <c r="Q299" i="112"/>
  <c r="K299" i="112" s="1"/>
  <c r="L299" i="112" s="1"/>
  <c r="Q305" i="112"/>
  <c r="K305" i="112" s="1"/>
  <c r="L305" i="112" s="1"/>
  <c r="Q218" i="112"/>
  <c r="K218" i="112" s="1"/>
  <c r="L218" i="112" s="1"/>
  <c r="Q230" i="112"/>
  <c r="K230" i="112" s="1"/>
  <c r="L230" i="112" s="1"/>
  <c r="Q190" i="112"/>
  <c r="K190" i="112" s="1"/>
  <c r="L190" i="112" s="1"/>
  <c r="Q709" i="112"/>
  <c r="K709" i="112" s="1"/>
  <c r="L709" i="112" s="1"/>
  <c r="Q699" i="112"/>
  <c r="K699" i="112" s="1"/>
  <c r="L699" i="112" s="1"/>
  <c r="Q573" i="112"/>
  <c r="K573" i="112" s="1"/>
  <c r="L573" i="112" s="1"/>
  <c r="Q714" i="112"/>
  <c r="K714" i="112" s="1"/>
  <c r="L714" i="112" s="1"/>
  <c r="Q564" i="112"/>
  <c r="K564" i="112" s="1"/>
  <c r="L564" i="112" s="1"/>
  <c r="Q489" i="112"/>
  <c r="K489" i="112" s="1"/>
  <c r="L489" i="112" s="1"/>
  <c r="Q457" i="112"/>
  <c r="K457" i="112" s="1"/>
  <c r="L457" i="112" s="1"/>
  <c r="Q724" i="112"/>
  <c r="K724" i="112" s="1"/>
  <c r="L724" i="112" s="1"/>
  <c r="Q544" i="112"/>
  <c r="K544" i="112" s="1"/>
  <c r="L544" i="112" s="1"/>
  <c r="Q175" i="112"/>
  <c r="K175" i="112" s="1"/>
  <c r="L175" i="112" s="1"/>
  <c r="Q93" i="112"/>
  <c r="K93" i="112" s="1"/>
  <c r="L93" i="112" s="1"/>
  <c r="Q139" i="112"/>
  <c r="K139" i="112" s="1"/>
  <c r="L139" i="112" s="1"/>
  <c r="Q155" i="112"/>
  <c r="K155" i="112" s="1"/>
  <c r="L155" i="112" s="1"/>
  <c r="Q108" i="112"/>
  <c r="K108" i="112" s="1"/>
  <c r="L108" i="112" s="1"/>
  <c r="Q112" i="112"/>
  <c r="K112" i="112" s="1"/>
  <c r="L112" i="112" s="1"/>
  <c r="Q104" i="112"/>
  <c r="K104" i="112" s="1"/>
  <c r="L104" i="112" s="1"/>
  <c r="Q554" i="112"/>
  <c r="K554" i="112" s="1"/>
  <c r="L554" i="112" s="1"/>
  <c r="Q535" i="112"/>
  <c r="K535" i="112" s="1"/>
  <c r="L535" i="112" s="1"/>
  <c r="Q375" i="112"/>
  <c r="K375" i="112" s="1"/>
  <c r="L375" i="112" s="1"/>
  <c r="Q246" i="112"/>
  <c r="K246" i="112" s="1"/>
  <c r="L246" i="112" s="1"/>
  <c r="Q229" i="112"/>
  <c r="K229" i="112" s="1"/>
  <c r="L229" i="112" s="1"/>
  <c r="Q188" i="112"/>
  <c r="K188" i="112" s="1"/>
  <c r="L188" i="112" s="1"/>
  <c r="Q540" i="112"/>
  <c r="K540" i="112" s="1"/>
  <c r="L540" i="112" s="1"/>
  <c r="Q372" i="112"/>
  <c r="K372" i="112" s="1"/>
  <c r="L372" i="112" s="1"/>
  <c r="Q327" i="112"/>
  <c r="K327" i="112" s="1"/>
  <c r="L327" i="112" s="1"/>
  <c r="Q208" i="112"/>
  <c r="K208" i="112" s="1"/>
  <c r="L208" i="112" s="1"/>
  <c r="Q142" i="112"/>
  <c r="K142" i="112" s="1"/>
  <c r="L142" i="112" s="1"/>
  <c r="Q184" i="112"/>
  <c r="K184" i="112" s="1"/>
  <c r="L184" i="112" s="1"/>
  <c r="Q162" i="112"/>
  <c r="K162" i="112" s="1"/>
  <c r="L162" i="112" s="1"/>
  <c r="Q150" i="112"/>
  <c r="K150" i="112" s="1"/>
  <c r="L150" i="112" s="1"/>
  <c r="Q711" i="112"/>
  <c r="K711" i="112" s="1"/>
  <c r="L711" i="112" s="1"/>
  <c r="Q211" i="112"/>
  <c r="K211" i="112" s="1"/>
  <c r="L211" i="112" s="1"/>
  <c r="Q146" i="112"/>
  <c r="K146" i="112" s="1"/>
  <c r="L146" i="112" s="1"/>
  <c r="Q315" i="112"/>
  <c r="K315" i="112" s="1"/>
  <c r="L315" i="112" s="1"/>
  <c r="Q634" i="112"/>
  <c r="K634" i="112" s="1"/>
  <c r="L634" i="112" s="1"/>
  <c r="Q495" i="112"/>
  <c r="K495" i="112" s="1"/>
  <c r="L495" i="112" s="1"/>
  <c r="Q463" i="112"/>
  <c r="K463" i="112" s="1"/>
  <c r="L463" i="112" s="1"/>
  <c r="Q290" i="112"/>
  <c r="K290" i="112" s="1"/>
  <c r="L290" i="112" s="1"/>
  <c r="Q250" i="112"/>
  <c r="K250" i="112" s="1"/>
  <c r="L250" i="112" s="1"/>
  <c r="Q285" i="112"/>
  <c r="K285" i="112" s="1"/>
  <c r="L285" i="112" s="1"/>
  <c r="Q276" i="112"/>
  <c r="K276" i="112" s="1"/>
  <c r="L276" i="112" s="1"/>
  <c r="Q149" i="112"/>
  <c r="K149" i="112" s="1"/>
  <c r="L149" i="112" s="1"/>
  <c r="Q258" i="112"/>
  <c r="K258" i="112" s="1"/>
  <c r="L258" i="112" s="1"/>
  <c r="Q231" i="112"/>
  <c r="K231" i="112" s="1"/>
  <c r="L231" i="112" s="1"/>
  <c r="Q183" i="112"/>
  <c r="K183" i="112" s="1"/>
  <c r="L183" i="112" s="1"/>
  <c r="Q170" i="112"/>
  <c r="K170" i="112" s="1"/>
  <c r="L170" i="112" s="1"/>
  <c r="Q504" i="112"/>
  <c r="K504" i="112" s="1"/>
  <c r="L504" i="112" s="1"/>
  <c r="Q679" i="112"/>
  <c r="K679" i="112" s="1"/>
  <c r="L679" i="112" s="1"/>
  <c r="Q336" i="112"/>
  <c r="K336" i="112" s="1"/>
  <c r="L336" i="112" s="1"/>
  <c r="Q215" i="112"/>
  <c r="K215" i="112" s="1"/>
  <c r="L215" i="112" s="1"/>
  <c r="Q116" i="112"/>
  <c r="K116" i="112" s="1"/>
  <c r="L116" i="112" s="1"/>
  <c r="Q426" i="112"/>
  <c r="K426" i="112" s="1"/>
  <c r="L426" i="112" s="1"/>
  <c r="Q181" i="112"/>
  <c r="K181" i="112" s="1"/>
  <c r="L181" i="112" s="1"/>
  <c r="Q172" i="112"/>
  <c r="K172" i="112" s="1"/>
  <c r="L172" i="112" s="1"/>
  <c r="Q164" i="112"/>
  <c r="K164" i="112" s="1"/>
  <c r="L164" i="112" s="1"/>
  <c r="Q639" i="112"/>
  <c r="K639" i="112" s="1"/>
  <c r="L639" i="112" s="1"/>
  <c r="Q581" i="112"/>
  <c r="K581" i="112" s="1"/>
  <c r="L581" i="112" s="1"/>
  <c r="Q637" i="112"/>
  <c r="K637" i="112" s="1"/>
  <c r="L637" i="112" s="1"/>
  <c r="Q621" i="112"/>
  <c r="K621" i="112" s="1"/>
  <c r="L621" i="112" s="1"/>
  <c r="Q605" i="112"/>
  <c r="K605" i="112" s="1"/>
  <c r="L605" i="112" s="1"/>
  <c r="Q556" i="112"/>
  <c r="K556" i="112" s="1"/>
  <c r="L556" i="112" s="1"/>
  <c r="Q522" i="112"/>
  <c r="K522" i="112" s="1"/>
  <c r="L522" i="112" s="1"/>
  <c r="Q468" i="112"/>
  <c r="K468" i="112" s="1"/>
  <c r="L468" i="112" s="1"/>
  <c r="Q356" i="112"/>
  <c r="K356" i="112" s="1"/>
  <c r="L356" i="112" s="1"/>
  <c r="Q203" i="112"/>
  <c r="K203" i="112" s="1"/>
  <c r="L203" i="112" s="1"/>
  <c r="Q529" i="112"/>
  <c r="K529" i="112" s="1"/>
  <c r="L529" i="112" s="1"/>
  <c r="Q488" i="112"/>
  <c r="K488" i="112" s="1"/>
  <c r="L488" i="112" s="1"/>
  <c r="Q344" i="112"/>
  <c r="K344" i="112" s="1"/>
  <c r="L344" i="112" s="1"/>
  <c r="Q388" i="112"/>
  <c r="K388" i="112" s="1"/>
  <c r="L388" i="112" s="1"/>
  <c r="Q396" i="112"/>
  <c r="K396" i="112" s="1"/>
  <c r="L396" i="112" s="1"/>
  <c r="Q125" i="112"/>
  <c r="K125" i="112" s="1"/>
  <c r="L125" i="112" s="1"/>
  <c r="Q518" i="112"/>
  <c r="K518" i="112" s="1"/>
  <c r="L518" i="112" s="1"/>
  <c r="Q690" i="112"/>
  <c r="K690" i="112" s="1"/>
  <c r="L690" i="112" s="1"/>
  <c r="Q642" i="112"/>
  <c r="K642" i="112" s="1"/>
  <c r="L642" i="112" s="1"/>
  <c r="Q610" i="112"/>
  <c r="K610" i="112" s="1"/>
  <c r="L610" i="112" s="1"/>
  <c r="Q574" i="112"/>
  <c r="K574" i="112" s="1"/>
  <c r="L574" i="112" s="1"/>
  <c r="Q511" i="112"/>
  <c r="K511" i="112" s="1"/>
  <c r="L511" i="112" s="1"/>
  <c r="Q499" i="112"/>
  <c r="K499" i="112" s="1"/>
  <c r="L499" i="112" s="1"/>
  <c r="Q467" i="112"/>
  <c r="K467" i="112" s="1"/>
  <c r="L467" i="112" s="1"/>
  <c r="Q408" i="112"/>
  <c r="K408" i="112" s="1"/>
  <c r="L408" i="112" s="1"/>
  <c r="Q387" i="112"/>
  <c r="K387" i="112" s="1"/>
  <c r="L387" i="112" s="1"/>
  <c r="Q292" i="112"/>
  <c r="K292" i="112" s="1"/>
  <c r="L292" i="112" s="1"/>
  <c r="Q233" i="112"/>
  <c r="K233" i="112" s="1"/>
  <c r="L233" i="112" s="1"/>
  <c r="Q173" i="112"/>
  <c r="K173" i="112" s="1"/>
  <c r="L173" i="112" s="1"/>
  <c r="Q277" i="112"/>
  <c r="K277" i="112" s="1"/>
  <c r="L277" i="112" s="1"/>
  <c r="Q141" i="112"/>
  <c r="K141" i="112" s="1"/>
  <c r="L141" i="112" s="1"/>
  <c r="Q734" i="112"/>
  <c r="K734" i="112" s="1"/>
  <c r="L734" i="112" s="1"/>
  <c r="Q705" i="112"/>
  <c r="K705" i="112" s="1"/>
  <c r="L705" i="112" s="1"/>
  <c r="Q689" i="112"/>
  <c r="K689" i="112" s="1"/>
  <c r="L689" i="112" s="1"/>
  <c r="Q669" i="112"/>
  <c r="K669" i="112" s="1"/>
  <c r="L669" i="112" s="1"/>
  <c r="Q731" i="112"/>
  <c r="K731" i="112" s="1"/>
  <c r="L731" i="112" s="1"/>
  <c r="Q715" i="112"/>
  <c r="K715" i="112" s="1"/>
  <c r="L715" i="112" s="1"/>
  <c r="Q631" i="112"/>
  <c r="K631" i="112" s="1"/>
  <c r="L631" i="112" s="1"/>
  <c r="Q599" i="112"/>
  <c r="K599" i="112" s="1"/>
  <c r="L599" i="112" s="1"/>
  <c r="Q729" i="112"/>
  <c r="K729" i="112" s="1"/>
  <c r="L729" i="112" s="1"/>
  <c r="Q697" i="112"/>
  <c r="K697" i="112" s="1"/>
  <c r="L697" i="112" s="1"/>
  <c r="Q681" i="112"/>
  <c r="K681" i="112" s="1"/>
  <c r="L681" i="112" s="1"/>
  <c r="Q645" i="112"/>
  <c r="K645" i="112" s="1"/>
  <c r="L645" i="112" s="1"/>
  <c r="Q629" i="112"/>
  <c r="K629" i="112" s="1"/>
  <c r="L629" i="112" s="1"/>
  <c r="Q613" i="112"/>
  <c r="K613" i="112" s="1"/>
  <c r="L613" i="112" s="1"/>
  <c r="Q563" i="112"/>
  <c r="K563" i="112" s="1"/>
  <c r="L563" i="112" s="1"/>
  <c r="Q551" i="112"/>
  <c r="K551" i="112" s="1"/>
  <c r="L551" i="112" s="1"/>
  <c r="Q732" i="112"/>
  <c r="K732" i="112" s="1"/>
  <c r="L732" i="112" s="1"/>
  <c r="Q700" i="112"/>
  <c r="K700" i="112" s="1"/>
  <c r="L700" i="112" s="1"/>
  <c r="Q449" i="112"/>
  <c r="K449" i="112" s="1"/>
  <c r="L449" i="112" s="1"/>
  <c r="Q432" i="112"/>
  <c r="K432" i="112" s="1"/>
  <c r="L432" i="112" s="1"/>
  <c r="Q341" i="112"/>
  <c r="K341" i="112" s="1"/>
  <c r="L341" i="112" s="1"/>
  <c r="Q325" i="112"/>
  <c r="K325" i="112" s="1"/>
  <c r="L325" i="112" s="1"/>
  <c r="Q273" i="112"/>
  <c r="K273" i="112" s="1"/>
  <c r="L273" i="112" s="1"/>
  <c r="Q252" i="112"/>
  <c r="K252" i="112" s="1"/>
  <c r="L252" i="112" s="1"/>
  <c r="Q111" i="112"/>
  <c r="K111" i="112" s="1"/>
  <c r="L111" i="112" s="1"/>
  <c r="Q103" i="112"/>
  <c r="K103" i="112" s="1"/>
  <c r="L103" i="112" s="1"/>
  <c r="Q95" i="112"/>
  <c r="K95" i="112" s="1"/>
  <c r="L95" i="112" s="1"/>
  <c r="Q160" i="112"/>
  <c r="K160" i="112" s="1"/>
  <c r="L160" i="112" s="1"/>
  <c r="Q99" i="112"/>
  <c r="K99" i="112" s="1"/>
  <c r="L99" i="112" s="1"/>
  <c r="Q131" i="112"/>
  <c r="K131" i="112" s="1"/>
  <c r="L131" i="112" s="1"/>
  <c r="Q138" i="112"/>
  <c r="K138" i="112" s="1"/>
  <c r="L138" i="112" s="1"/>
  <c r="Q98" i="112"/>
  <c r="K98" i="112" s="1"/>
  <c r="L98" i="112" s="1"/>
  <c r="Q260" i="112"/>
  <c r="K260" i="112" s="1"/>
  <c r="L260" i="112" s="1"/>
  <c r="Q670" i="112"/>
  <c r="K670" i="112" s="1"/>
  <c r="L670" i="112" s="1"/>
  <c r="Q654" i="112"/>
  <c r="K654" i="112" s="1"/>
  <c r="L654" i="112" s="1"/>
  <c r="Q638" i="112"/>
  <c r="K638" i="112" s="1"/>
  <c r="L638" i="112" s="1"/>
  <c r="Q622" i="112"/>
  <c r="K622" i="112" s="1"/>
  <c r="L622" i="112" s="1"/>
  <c r="Q606" i="112"/>
  <c r="K606" i="112" s="1"/>
  <c r="L606" i="112" s="1"/>
  <c r="Q656" i="112"/>
  <c r="K656" i="112" s="1"/>
  <c r="L656" i="112" s="1"/>
  <c r="Q543" i="112"/>
  <c r="K543" i="112" s="1"/>
  <c r="L543" i="112" s="1"/>
  <c r="Q534" i="112"/>
  <c r="K534" i="112" s="1"/>
  <c r="L534" i="112" s="1"/>
  <c r="Q479" i="112"/>
  <c r="K479" i="112" s="1"/>
  <c r="L479" i="112" s="1"/>
  <c r="Q447" i="112"/>
  <c r="K447" i="112" s="1"/>
  <c r="L447" i="112" s="1"/>
  <c r="Q399" i="112"/>
  <c r="K399" i="112" s="1"/>
  <c r="L399" i="112" s="1"/>
  <c r="Q217" i="112"/>
  <c r="K217" i="112" s="1"/>
  <c r="L217" i="112" s="1"/>
  <c r="Q248" i="112"/>
  <c r="K248" i="112" s="1"/>
  <c r="L248" i="112" s="1"/>
  <c r="Q232" i="112"/>
  <c r="K232" i="112" s="1"/>
  <c r="L232" i="112" s="1"/>
  <c r="Q177" i="112"/>
  <c r="K177" i="112" s="1"/>
  <c r="L177" i="112" s="1"/>
  <c r="Q701" i="112"/>
  <c r="K701" i="112" s="1"/>
  <c r="L701" i="112" s="1"/>
  <c r="Q685" i="112"/>
  <c r="K685" i="112" s="1"/>
  <c r="L685" i="112" s="1"/>
  <c r="Q665" i="112"/>
  <c r="K665" i="112" s="1"/>
  <c r="L665" i="112" s="1"/>
  <c r="Q601" i="112"/>
  <c r="K601" i="112" s="1"/>
  <c r="L601" i="112" s="1"/>
  <c r="Q683" i="112"/>
  <c r="K683" i="112" s="1"/>
  <c r="L683" i="112" s="1"/>
  <c r="Q671" i="112"/>
  <c r="K671" i="112" s="1"/>
  <c r="L671" i="112" s="1"/>
  <c r="Q565" i="112"/>
  <c r="K565" i="112" s="1"/>
  <c r="L565" i="112" s="1"/>
  <c r="Q571" i="112"/>
  <c r="K571" i="112" s="1"/>
  <c r="L571" i="112" s="1"/>
  <c r="Q430" i="112"/>
  <c r="K430" i="112" s="1"/>
  <c r="L430" i="112" s="1"/>
  <c r="Q501" i="112"/>
  <c r="K501" i="112" s="1"/>
  <c r="L501" i="112" s="1"/>
  <c r="Q437" i="112"/>
  <c r="K437" i="112" s="1"/>
  <c r="L437" i="112" s="1"/>
  <c r="Q413" i="112"/>
  <c r="K413" i="112" s="1"/>
  <c r="L413" i="112" s="1"/>
  <c r="Q380" i="112"/>
  <c r="K380" i="112" s="1"/>
  <c r="L380" i="112" s="1"/>
  <c r="Q357" i="112"/>
  <c r="K357" i="112" s="1"/>
  <c r="L357" i="112" s="1"/>
  <c r="Q340" i="112"/>
  <c r="K340" i="112" s="1"/>
  <c r="L340" i="112" s="1"/>
  <c r="Q316" i="112"/>
  <c r="K316" i="112" s="1"/>
  <c r="L316" i="112" s="1"/>
  <c r="Q269" i="112"/>
  <c r="K269" i="112" s="1"/>
  <c r="L269" i="112" s="1"/>
  <c r="Q210" i="112"/>
  <c r="K210" i="112" s="1"/>
  <c r="L210" i="112" s="1"/>
  <c r="Q360" i="112"/>
  <c r="K360" i="112" s="1"/>
  <c r="L360" i="112" s="1"/>
  <c r="Q257" i="112"/>
  <c r="K257" i="112" s="1"/>
  <c r="L257" i="112" s="1"/>
  <c r="Q228" i="112"/>
  <c r="K228" i="112" s="1"/>
  <c r="L228" i="112" s="1"/>
  <c r="Q209" i="112"/>
  <c r="K209" i="112" s="1"/>
  <c r="L209" i="112" s="1"/>
  <c r="Q143" i="112"/>
  <c r="K143" i="112" s="1"/>
  <c r="L143" i="112" s="1"/>
  <c r="Q134" i="112"/>
  <c r="K134" i="112" s="1"/>
  <c r="L134" i="112" s="1"/>
  <c r="Q102" i="112"/>
  <c r="K102" i="112" s="1"/>
  <c r="L102" i="112" s="1"/>
  <c r="Q240" i="112"/>
  <c r="K240" i="112" s="1"/>
  <c r="L240" i="112" s="1"/>
  <c r="Q220" i="112"/>
  <c r="K220" i="112" s="1"/>
  <c r="L220" i="112" s="1"/>
  <c r="Q153" i="112"/>
  <c r="K153" i="112" s="1"/>
  <c r="L153" i="112" s="1"/>
  <c r="Q126" i="112"/>
  <c r="K126" i="112" s="1"/>
  <c r="L126" i="112" s="1"/>
  <c r="Q110" i="112"/>
  <c r="K110" i="112" s="1"/>
  <c r="L110" i="112" s="1"/>
  <c r="Q94" i="112"/>
  <c r="K94" i="112" s="1"/>
  <c r="L94" i="112" s="1"/>
  <c r="Q490" i="112"/>
  <c r="K490" i="112" s="1"/>
  <c r="L490" i="112" s="1"/>
  <c r="Q346" i="112"/>
  <c r="K346" i="112" s="1"/>
  <c r="L346" i="112" s="1"/>
  <c r="Q105" i="112"/>
  <c r="K105" i="112" s="1"/>
  <c r="L105" i="112" s="1"/>
  <c r="Q97" i="112"/>
  <c r="K97" i="112" s="1"/>
  <c r="L97" i="112" s="1"/>
  <c r="AK21" i="148"/>
  <c r="AM21" i="148" s="1"/>
  <c r="P21" i="148" s="1"/>
  <c r="R21" i="148" s="1"/>
  <c r="AO21" i="148"/>
  <c r="N21" i="148" s="1"/>
  <c r="AH10" i="148"/>
  <c r="AO10" i="148" s="1"/>
  <c r="N10" i="148" s="1"/>
  <c r="AJ19" i="148"/>
  <c r="AK19" i="148" s="1"/>
  <c r="AM19" i="148" s="1"/>
  <c r="L19" i="148" s="1"/>
  <c r="O19" i="148" s="1"/>
  <c r="AJ13" i="148"/>
  <c r="AK13" i="148" s="1"/>
  <c r="AM13" i="148" s="1"/>
  <c r="L13" i="148" s="1"/>
  <c r="O13" i="148" s="1"/>
  <c r="AJ17" i="148"/>
  <c r="AK17" i="148" s="1"/>
  <c r="AM17" i="148" s="1"/>
  <c r="L17" i="148" s="1"/>
  <c r="O17" i="148" s="1"/>
  <c r="AO16" i="148"/>
  <c r="N16" i="148" s="1"/>
  <c r="AK16" i="148"/>
  <c r="AM16" i="148" s="1"/>
  <c r="L16" i="148" s="1"/>
  <c r="O16" i="148" s="1"/>
  <c r="AJ15" i="148"/>
  <c r="AK15" i="148" s="1"/>
  <c r="AM15" i="148" s="1"/>
  <c r="L15" i="148" s="1"/>
  <c r="O15" i="148" s="1"/>
  <c r="AH23" i="148"/>
  <c r="AO23" i="148" s="1"/>
  <c r="N23" i="148" s="1"/>
  <c r="AH14" i="148"/>
  <c r="AO14" i="148" s="1"/>
  <c r="N14" i="148" s="1"/>
  <c r="AJ18" i="148"/>
  <c r="AK18" i="148" s="1"/>
  <c r="AM18" i="148" s="1"/>
  <c r="L18" i="148" s="1"/>
  <c r="O18" i="148" s="1"/>
  <c r="AO20" i="148"/>
  <c r="N20" i="148" s="1"/>
  <c r="K20" i="148"/>
  <c r="AO18" i="148"/>
  <c r="N18" i="148" s="1"/>
  <c r="K18" i="148"/>
  <c r="AO24" i="148"/>
  <c r="N24" i="148" s="1"/>
  <c r="K24" i="148"/>
  <c r="AO8" i="148"/>
  <c r="N8" i="148" s="1"/>
  <c r="K8" i="148"/>
  <c r="L21" i="148"/>
  <c r="O21" i="148" s="1"/>
  <c r="AO19" i="148"/>
  <c r="N19" i="148" s="1"/>
  <c r="K19" i="148"/>
  <c r="AO15" i="148"/>
  <c r="N15" i="148" s="1"/>
  <c r="K15" i="148"/>
  <c r="AO11" i="148"/>
  <c r="N11" i="148" s="1"/>
  <c r="K11" i="148"/>
  <c r="AO13" i="148"/>
  <c r="N13" i="148" s="1"/>
  <c r="K13" i="148"/>
  <c r="AO12" i="148"/>
  <c r="N12" i="148" s="1"/>
  <c r="K12" i="148"/>
  <c r="AD22" i="148"/>
  <c r="Z16" i="148"/>
  <c r="AD17" i="148"/>
  <c r="Z11" i="148"/>
  <c r="AD24" i="148"/>
  <c r="Z18" i="148"/>
  <c r="AD19" i="148"/>
  <c r="Z13" i="148"/>
  <c r="AK12" i="148"/>
  <c r="AM12" i="148" s="1"/>
  <c r="L12" i="148" s="1"/>
  <c r="O12" i="148" s="1"/>
  <c r="AD20" i="148"/>
  <c r="Z14" i="148"/>
  <c r="AD21" i="148"/>
  <c r="Z15" i="148"/>
  <c r="AD18" i="148"/>
  <c r="Z12" i="148"/>
  <c r="AD26" i="148"/>
  <c r="Z20" i="148"/>
  <c r="P20" i="148" s="1"/>
  <c r="R20" i="148" s="1"/>
  <c r="AD16" i="148"/>
  <c r="Z10" i="148"/>
  <c r="AH22" i="148"/>
  <c r="AO22" i="148" s="1"/>
  <c r="N22" i="148" s="1"/>
  <c r="AH26" i="148"/>
  <c r="AO26" i="148" s="1"/>
  <c r="N26" i="148" s="1"/>
  <c r="AJ25" i="148"/>
  <c r="AK25" i="148" s="1"/>
  <c r="AM25" i="148" s="1"/>
  <c r="L25" i="148" s="1"/>
  <c r="O25" i="148" s="1"/>
  <c r="AO25" i="148"/>
  <c r="N25" i="148" s="1"/>
  <c r="K25" i="148"/>
  <c r="AO17" i="148"/>
  <c r="N17" i="148" s="1"/>
  <c r="K17" i="148"/>
  <c r="AD23" i="148"/>
  <c r="Z17" i="148"/>
  <c r="AK11" i="148"/>
  <c r="AM11" i="148" s="1"/>
  <c r="AJ7" i="148"/>
  <c r="P9" i="148"/>
  <c r="R9" i="148" s="1"/>
  <c r="AK8" i="148"/>
  <c r="AM8" i="148" s="1"/>
  <c r="L8" i="148" s="1"/>
  <c r="O8" i="148" s="1"/>
  <c r="Z8" i="148"/>
  <c r="AO7" i="148"/>
  <c r="N7" i="148" s="1"/>
  <c r="AD13" i="148"/>
  <c r="Z7" i="148"/>
  <c r="AK24" i="148"/>
  <c r="AM24" i="148" s="1"/>
  <c r="L24" i="148" s="1"/>
  <c r="O24" i="148" s="1"/>
  <c r="T42" i="42"/>
  <c r="Q536" i="112"/>
  <c r="K536" i="112" s="1"/>
  <c r="L536" i="112" s="1"/>
  <c r="Q487" i="112"/>
  <c r="K487" i="112" s="1"/>
  <c r="L487" i="112" s="1"/>
  <c r="Q455" i="112"/>
  <c r="K455" i="112" s="1"/>
  <c r="L455" i="112" s="1"/>
  <c r="Q424" i="112"/>
  <c r="K424" i="112" s="1"/>
  <c r="L424" i="112" s="1"/>
  <c r="Q411" i="112"/>
  <c r="K411" i="112" s="1"/>
  <c r="L411" i="112" s="1"/>
  <c r="Q308" i="112"/>
  <c r="K308" i="112" s="1"/>
  <c r="L308" i="112" s="1"/>
  <c r="Q205" i="112"/>
  <c r="K205" i="112" s="1"/>
  <c r="L205" i="112" s="1"/>
  <c r="Q559" i="112"/>
  <c r="K559" i="112" s="1"/>
  <c r="L559" i="112" s="1"/>
  <c r="Q406" i="112"/>
  <c r="K406" i="112" s="1"/>
  <c r="L406" i="112" s="1"/>
  <c r="Q365" i="112"/>
  <c r="K365" i="112" s="1"/>
  <c r="L365" i="112" s="1"/>
  <c r="Q434" i="112"/>
  <c r="K434" i="112" s="1"/>
  <c r="L434" i="112" s="1"/>
  <c r="Q268" i="112"/>
  <c r="K268" i="112" s="1"/>
  <c r="L268" i="112" s="1"/>
  <c r="Q568" i="112"/>
  <c r="K568" i="112" s="1"/>
  <c r="L568" i="112" s="1"/>
  <c r="Q169" i="112"/>
  <c r="K169" i="112" s="1"/>
  <c r="L169" i="112" s="1"/>
  <c r="Q595" i="112"/>
  <c r="K595" i="112" s="1"/>
  <c r="L595" i="112" s="1"/>
  <c r="Q593" i="112"/>
  <c r="K593" i="112" s="1"/>
  <c r="L593" i="112" s="1"/>
  <c r="Q673" i="112"/>
  <c r="K673" i="112" s="1"/>
  <c r="L673" i="112" s="1"/>
  <c r="Q579" i="112"/>
  <c r="K579" i="112" s="1"/>
  <c r="L579" i="112" s="1"/>
  <c r="Q567" i="112"/>
  <c r="K567" i="112" s="1"/>
  <c r="L567" i="112" s="1"/>
  <c r="Q557" i="112"/>
  <c r="K557" i="112" s="1"/>
  <c r="L557" i="112" s="1"/>
  <c r="Q401" i="112"/>
  <c r="K401" i="112" s="1"/>
  <c r="L401" i="112" s="1"/>
  <c r="Q598" i="112"/>
  <c r="K598" i="112" s="1"/>
  <c r="L598" i="112" s="1"/>
  <c r="Q485" i="112"/>
  <c r="K485" i="112" s="1"/>
  <c r="L485" i="112" s="1"/>
  <c r="Q421" i="112"/>
  <c r="K421" i="112" s="1"/>
  <c r="L421" i="112" s="1"/>
  <c r="Q414" i="112"/>
  <c r="K414" i="112" s="1"/>
  <c r="L414" i="112" s="1"/>
  <c r="Q549" i="112"/>
  <c r="K549" i="112" s="1"/>
  <c r="L549" i="112" s="1"/>
  <c r="Q222" i="112"/>
  <c r="K222" i="112" s="1"/>
  <c r="L222" i="112" s="1"/>
  <c r="Q483" i="112"/>
  <c r="K483" i="112" s="1"/>
  <c r="L483" i="112" s="1"/>
  <c r="Q451" i="112"/>
  <c r="K451" i="112" s="1"/>
  <c r="L451" i="112" s="1"/>
  <c r="Q435" i="112"/>
  <c r="K435" i="112" s="1"/>
  <c r="L435" i="112" s="1"/>
  <c r="Q83" i="112"/>
  <c r="K83" i="112" s="1"/>
  <c r="L83" i="112" s="1"/>
  <c r="Q520" i="112"/>
  <c r="K520" i="112" s="1"/>
  <c r="L520" i="112" s="1"/>
  <c r="Q431" i="112"/>
  <c r="K431" i="112" s="1"/>
  <c r="L431" i="112" s="1"/>
  <c r="Q427" i="112"/>
  <c r="K427" i="112" s="1"/>
  <c r="L427" i="112" s="1"/>
  <c r="Q403" i="112"/>
  <c r="K403" i="112" s="1"/>
  <c r="L403" i="112" s="1"/>
  <c r="Q371" i="112"/>
  <c r="K371" i="112" s="1"/>
  <c r="L371" i="112" s="1"/>
  <c r="Q279" i="112"/>
  <c r="K279" i="112" s="1"/>
  <c r="L279" i="112" s="1"/>
  <c r="Q293" i="112"/>
  <c r="K293" i="112" s="1"/>
  <c r="L293" i="112" s="1"/>
  <c r="Q693" i="112"/>
  <c r="K693" i="112" s="1"/>
  <c r="L693" i="112" s="1"/>
  <c r="Q677" i="112"/>
  <c r="K677" i="112" s="1"/>
  <c r="L677" i="112" s="1"/>
  <c r="Q587" i="112"/>
  <c r="K587" i="112" s="1"/>
  <c r="L587" i="112" s="1"/>
  <c r="Q539" i="112"/>
  <c r="K539" i="112" s="1"/>
  <c r="L539" i="112" s="1"/>
  <c r="Q309" i="112"/>
  <c r="K309" i="112" s="1"/>
  <c r="L309" i="112" s="1"/>
  <c r="Q195" i="112"/>
  <c r="K195" i="112" s="1"/>
  <c r="L195" i="112" s="1"/>
  <c r="Q226" i="112"/>
  <c r="K226" i="112" s="1"/>
  <c r="L226" i="112" s="1"/>
  <c r="Q596" i="112"/>
  <c r="K596" i="112" s="1"/>
  <c r="L596" i="112" s="1"/>
  <c r="Q291" i="112"/>
  <c r="K291" i="112" s="1"/>
  <c r="L291" i="112" s="1"/>
  <c r="Q423" i="112"/>
  <c r="K423" i="112" s="1"/>
  <c r="L423" i="112" s="1"/>
  <c r="Q415" i="112"/>
  <c r="K415" i="112" s="1"/>
  <c r="L415" i="112" s="1"/>
  <c r="Q407" i="112"/>
  <c r="K407" i="112" s="1"/>
  <c r="L407" i="112" s="1"/>
  <c r="Q283" i="112"/>
  <c r="K283" i="112" s="1"/>
  <c r="L283" i="112" s="1"/>
  <c r="Q674" i="112"/>
  <c r="K674" i="112" s="1"/>
  <c r="L674" i="112" s="1"/>
  <c r="Q600" i="112"/>
  <c r="K600" i="112" s="1"/>
  <c r="L600" i="112" s="1"/>
  <c r="Q419" i="112"/>
  <c r="K419" i="112" s="1"/>
  <c r="L419" i="112" s="1"/>
  <c r="Q82" i="112"/>
  <c r="K82" i="112" s="1"/>
  <c r="L82" i="112" s="1"/>
  <c r="N62" i="169"/>
  <c r="K62" i="169" s="1"/>
  <c r="M62" i="169" s="1"/>
  <c r="N78" i="169"/>
  <c r="K78" i="169" s="1"/>
  <c r="M78" i="169" s="1"/>
  <c r="N9" i="169"/>
  <c r="K9" i="169" s="1"/>
  <c r="M9" i="169" s="1"/>
  <c r="N17" i="169"/>
  <c r="K17" i="169" s="1"/>
  <c r="M17" i="169" s="1"/>
  <c r="N25" i="169"/>
  <c r="K25" i="169" s="1"/>
  <c r="M25" i="169" s="1"/>
  <c r="N37" i="169"/>
  <c r="K37" i="169" s="1"/>
  <c r="M37" i="169" s="1"/>
  <c r="N41" i="169"/>
  <c r="K41" i="169" s="1"/>
  <c r="M41" i="169" s="1"/>
  <c r="N49" i="169"/>
  <c r="K49" i="169" s="1"/>
  <c r="M49" i="169" s="1"/>
  <c r="N65" i="169"/>
  <c r="K65" i="169" s="1"/>
  <c r="M65" i="169" s="1"/>
  <c r="N54" i="169"/>
  <c r="K54" i="169" s="1"/>
  <c r="M54" i="169" s="1"/>
  <c r="N61" i="169"/>
  <c r="K61" i="169" s="1"/>
  <c r="M61" i="169" s="1"/>
  <c r="N70" i="169"/>
  <c r="K70" i="169" s="1"/>
  <c r="M70" i="169" s="1"/>
  <c r="N77" i="169"/>
  <c r="K77" i="169" s="1"/>
  <c r="M77" i="169" s="1"/>
  <c r="N53" i="169"/>
  <c r="K53" i="169" s="1"/>
  <c r="M53" i="169" s="1"/>
  <c r="N69" i="169"/>
  <c r="K69" i="169" s="1"/>
  <c r="M69" i="169" s="1"/>
  <c r="N13" i="169"/>
  <c r="K13" i="169" s="1"/>
  <c r="M13" i="169" s="1"/>
  <c r="N21" i="169"/>
  <c r="K21" i="169" s="1"/>
  <c r="M21" i="169" s="1"/>
  <c r="N29" i="169"/>
  <c r="K29" i="169" s="1"/>
  <c r="M29" i="169" s="1"/>
  <c r="N33" i="169"/>
  <c r="K33" i="169" s="1"/>
  <c r="M33" i="169" s="1"/>
  <c r="N45" i="169"/>
  <c r="K45" i="169" s="1"/>
  <c r="M45" i="169" s="1"/>
  <c r="N58" i="169"/>
  <c r="K58" i="169" s="1"/>
  <c r="M58" i="169" s="1"/>
  <c r="N74" i="169"/>
  <c r="K74" i="169" s="1"/>
  <c r="M74" i="169" s="1"/>
  <c r="N10" i="169"/>
  <c r="K10" i="169" s="1"/>
  <c r="M10" i="169" s="1"/>
  <c r="N14" i="169"/>
  <c r="K14" i="169" s="1"/>
  <c r="M14" i="169" s="1"/>
  <c r="N18" i="169"/>
  <c r="K18" i="169" s="1"/>
  <c r="M18" i="169" s="1"/>
  <c r="N22" i="169"/>
  <c r="K22" i="169" s="1"/>
  <c r="M22" i="169" s="1"/>
  <c r="N26" i="169"/>
  <c r="K26" i="169" s="1"/>
  <c r="M26" i="169" s="1"/>
  <c r="N30" i="169"/>
  <c r="K30" i="169" s="1"/>
  <c r="M30" i="169" s="1"/>
  <c r="N34" i="169"/>
  <c r="K34" i="169" s="1"/>
  <c r="M34" i="169" s="1"/>
  <c r="N38" i="169"/>
  <c r="K38" i="169" s="1"/>
  <c r="M38" i="169" s="1"/>
  <c r="N42" i="169"/>
  <c r="K42" i="169" s="1"/>
  <c r="M42" i="169" s="1"/>
  <c r="N46" i="169"/>
  <c r="K46" i="169" s="1"/>
  <c r="M46" i="169" s="1"/>
  <c r="N50" i="169"/>
  <c r="K50" i="169" s="1"/>
  <c r="M50" i="169" s="1"/>
  <c r="N57" i="169"/>
  <c r="K57" i="169" s="1"/>
  <c r="M57" i="169" s="1"/>
  <c r="N66" i="169"/>
  <c r="K66" i="169" s="1"/>
  <c r="M66" i="169" s="1"/>
  <c r="N73" i="169"/>
  <c r="K73" i="169" s="1"/>
  <c r="M73" i="169" s="1"/>
  <c r="R5" i="169"/>
  <c r="K76" i="169"/>
  <c r="M76" i="169" s="1"/>
  <c r="J83" i="169"/>
  <c r="H81" i="169"/>
  <c r="N11" i="169"/>
  <c r="K11" i="169" s="1"/>
  <c r="M11" i="169" s="1"/>
  <c r="N15" i="169"/>
  <c r="K15" i="169" s="1"/>
  <c r="M15" i="169" s="1"/>
  <c r="N19" i="169"/>
  <c r="K19" i="169" s="1"/>
  <c r="M19" i="169" s="1"/>
  <c r="N23" i="169"/>
  <c r="K23" i="169" s="1"/>
  <c r="M23" i="169" s="1"/>
  <c r="N27" i="169"/>
  <c r="K27" i="169" s="1"/>
  <c r="M27" i="169" s="1"/>
  <c r="N31" i="169"/>
  <c r="K31" i="169" s="1"/>
  <c r="M31" i="169" s="1"/>
  <c r="N35" i="169"/>
  <c r="K35" i="169" s="1"/>
  <c r="M35" i="169" s="1"/>
  <c r="N39" i="169"/>
  <c r="K39" i="169" s="1"/>
  <c r="M39" i="169" s="1"/>
  <c r="N43" i="169"/>
  <c r="K43" i="169" s="1"/>
  <c r="M43" i="169" s="1"/>
  <c r="N47" i="169"/>
  <c r="K47" i="169" s="1"/>
  <c r="M47" i="169" s="1"/>
  <c r="N51" i="169"/>
  <c r="K51" i="169" s="1"/>
  <c r="M51" i="169" s="1"/>
  <c r="N55" i="169"/>
  <c r="K55" i="169" s="1"/>
  <c r="M55" i="169" s="1"/>
  <c r="N59" i="169"/>
  <c r="K59" i="169" s="1"/>
  <c r="M59" i="169" s="1"/>
  <c r="N63" i="169"/>
  <c r="K63" i="169" s="1"/>
  <c r="M63" i="169" s="1"/>
  <c r="N67" i="169"/>
  <c r="K67" i="169" s="1"/>
  <c r="M67" i="169" s="1"/>
  <c r="N71" i="169"/>
  <c r="K71" i="169" s="1"/>
  <c r="M71" i="169" s="1"/>
  <c r="N75" i="169"/>
  <c r="K75" i="169" s="1"/>
  <c r="M75" i="169" s="1"/>
  <c r="N12" i="169"/>
  <c r="K12" i="169" s="1"/>
  <c r="M12" i="169" s="1"/>
  <c r="N16" i="169"/>
  <c r="K16" i="169" s="1"/>
  <c r="M16" i="169" s="1"/>
  <c r="N20" i="169"/>
  <c r="K20" i="169" s="1"/>
  <c r="M20" i="169" s="1"/>
  <c r="N24" i="169"/>
  <c r="K24" i="169" s="1"/>
  <c r="M24" i="169" s="1"/>
  <c r="N28" i="169"/>
  <c r="K28" i="169" s="1"/>
  <c r="M28" i="169" s="1"/>
  <c r="N32" i="169"/>
  <c r="K32" i="169" s="1"/>
  <c r="M32" i="169" s="1"/>
  <c r="N36" i="169"/>
  <c r="K36" i="169" s="1"/>
  <c r="M36" i="169" s="1"/>
  <c r="N40" i="169"/>
  <c r="K40" i="169" s="1"/>
  <c r="M40" i="169" s="1"/>
  <c r="N44" i="169"/>
  <c r="K44" i="169" s="1"/>
  <c r="M44" i="169" s="1"/>
  <c r="N48" i="169"/>
  <c r="K48" i="169" s="1"/>
  <c r="M48" i="169" s="1"/>
  <c r="N52" i="169"/>
  <c r="K52" i="169" s="1"/>
  <c r="M52" i="169" s="1"/>
  <c r="N56" i="169"/>
  <c r="K56" i="169" s="1"/>
  <c r="M56" i="169" s="1"/>
  <c r="N60" i="169"/>
  <c r="K60" i="169" s="1"/>
  <c r="M60" i="169" s="1"/>
  <c r="N64" i="169"/>
  <c r="K64" i="169" s="1"/>
  <c r="M64" i="169" s="1"/>
  <c r="N68" i="169"/>
  <c r="K68" i="169" s="1"/>
  <c r="M68" i="169" s="1"/>
  <c r="N72" i="169"/>
  <c r="K72" i="169" s="1"/>
  <c r="M72" i="169" s="1"/>
  <c r="I11" i="166"/>
  <c r="J11" i="166" s="1"/>
  <c r="I12" i="166"/>
  <c r="J12" i="166" s="1"/>
  <c r="I13" i="166"/>
  <c r="J13" i="166" s="1"/>
  <c r="I14" i="166"/>
  <c r="J14" i="166" s="1"/>
  <c r="I15" i="166"/>
  <c r="J15" i="166" s="1"/>
  <c r="I16" i="166"/>
  <c r="J16" i="166" s="1"/>
  <c r="I17" i="166"/>
  <c r="J17" i="166" s="1"/>
  <c r="I18" i="166"/>
  <c r="J18" i="166" s="1"/>
  <c r="I19" i="166"/>
  <c r="J19" i="166" s="1"/>
  <c r="I20" i="166"/>
  <c r="J20" i="166" s="1"/>
  <c r="I21" i="166"/>
  <c r="J21" i="166" s="1"/>
  <c r="I22" i="166"/>
  <c r="J22" i="166" s="1"/>
  <c r="I23" i="166"/>
  <c r="J23" i="166" s="1"/>
  <c r="I24" i="166"/>
  <c r="J24" i="166" s="1"/>
  <c r="I25" i="166"/>
  <c r="J25" i="166" s="1"/>
  <c r="I26" i="166"/>
  <c r="J26" i="166" s="1"/>
  <c r="I27" i="166"/>
  <c r="J27" i="166" s="1"/>
  <c r="I28" i="166"/>
  <c r="J28" i="166" s="1"/>
  <c r="I29" i="166"/>
  <c r="J29" i="166" s="1"/>
  <c r="I30" i="166"/>
  <c r="J30" i="166" s="1"/>
  <c r="I31" i="166"/>
  <c r="J31" i="166" s="1"/>
  <c r="I32" i="166"/>
  <c r="J32" i="166" s="1"/>
  <c r="I33" i="166"/>
  <c r="J33" i="166" s="1"/>
  <c r="I34" i="166"/>
  <c r="J34" i="166" s="1"/>
  <c r="I35" i="166"/>
  <c r="J35" i="166" s="1"/>
  <c r="I36" i="166"/>
  <c r="J36" i="166" s="1"/>
  <c r="I37" i="166"/>
  <c r="J37" i="166" s="1"/>
  <c r="I38" i="166"/>
  <c r="J38" i="166" s="1"/>
  <c r="I39" i="166"/>
  <c r="J39" i="166" s="1"/>
  <c r="I40" i="166"/>
  <c r="J40" i="166" s="1"/>
  <c r="I41" i="166"/>
  <c r="J41" i="166" s="1"/>
  <c r="I42" i="166"/>
  <c r="J42" i="166" s="1"/>
  <c r="I43" i="166"/>
  <c r="J43" i="166" s="1"/>
  <c r="I44" i="166"/>
  <c r="J44" i="166" s="1"/>
  <c r="I45" i="166"/>
  <c r="J45" i="166" s="1"/>
  <c r="I46" i="166"/>
  <c r="J46" i="166" s="1"/>
  <c r="I47" i="166"/>
  <c r="J47" i="166" s="1"/>
  <c r="I48" i="166"/>
  <c r="J48" i="166" s="1"/>
  <c r="I49" i="166"/>
  <c r="J49" i="166" s="1"/>
  <c r="I50" i="166"/>
  <c r="J50" i="166" s="1"/>
  <c r="I51" i="166"/>
  <c r="J51" i="166" s="1"/>
  <c r="I52" i="166"/>
  <c r="J52" i="166" s="1"/>
  <c r="I53" i="166"/>
  <c r="J53" i="166" s="1"/>
  <c r="I54" i="166"/>
  <c r="J54" i="166" s="1"/>
  <c r="I55" i="166"/>
  <c r="J55" i="166" s="1"/>
  <c r="I56" i="166"/>
  <c r="J56" i="166" s="1"/>
  <c r="I57" i="166"/>
  <c r="J57" i="166" s="1"/>
  <c r="I58" i="166"/>
  <c r="J58" i="166" s="1"/>
  <c r="I59" i="166"/>
  <c r="J59" i="166" s="1"/>
  <c r="I60" i="166"/>
  <c r="J60" i="166" s="1"/>
  <c r="I61" i="166"/>
  <c r="J61" i="166" s="1"/>
  <c r="I62" i="166"/>
  <c r="J62" i="166" s="1"/>
  <c r="I63" i="166"/>
  <c r="J63" i="166" s="1"/>
  <c r="I64" i="166"/>
  <c r="J64" i="166" s="1"/>
  <c r="I65" i="166"/>
  <c r="J65" i="166" s="1"/>
  <c r="I66" i="166"/>
  <c r="J66" i="166" s="1"/>
  <c r="I67" i="166"/>
  <c r="J67" i="166" s="1"/>
  <c r="I68" i="166"/>
  <c r="J68" i="166" s="1"/>
  <c r="I69" i="166"/>
  <c r="J69" i="166" s="1"/>
  <c r="I70" i="166"/>
  <c r="J70" i="166" s="1"/>
  <c r="I71" i="166"/>
  <c r="J71" i="166" s="1"/>
  <c r="I72" i="166"/>
  <c r="J72" i="166" s="1"/>
  <c r="I73" i="166"/>
  <c r="J73" i="166" s="1"/>
  <c r="I74" i="166"/>
  <c r="J74" i="166" s="1"/>
  <c r="I75" i="166"/>
  <c r="J75" i="166" s="1"/>
  <c r="I76" i="166"/>
  <c r="J76" i="166" s="1"/>
  <c r="I77" i="166"/>
  <c r="J77" i="166" s="1"/>
  <c r="I78" i="166"/>
  <c r="J78" i="166" s="1"/>
  <c r="I79" i="166"/>
  <c r="J79" i="166" s="1"/>
  <c r="AE97" i="83"/>
  <c r="AE98" i="83"/>
  <c r="AE99" i="83"/>
  <c r="AE100" i="83"/>
  <c r="AE101" i="83"/>
  <c r="AE102" i="83"/>
  <c r="AE103" i="83"/>
  <c r="AE104" i="83"/>
  <c r="AE105" i="83"/>
  <c r="AE106" i="83"/>
  <c r="AE107" i="83"/>
  <c r="AE108" i="83"/>
  <c r="AE109" i="83"/>
  <c r="AE110" i="83"/>
  <c r="AE111" i="83"/>
  <c r="AE112" i="83"/>
  <c r="AE113" i="83"/>
  <c r="AE114" i="83"/>
  <c r="AE115" i="83"/>
  <c r="AE116" i="83"/>
  <c r="AE117" i="83"/>
  <c r="Q80" i="69"/>
  <c r="Q79" i="69"/>
  <c r="Q78" i="69"/>
  <c r="Q77" i="69"/>
  <c r="Q76" i="69"/>
  <c r="Q75" i="69"/>
  <c r="Q74" i="69"/>
  <c r="Q73" i="69"/>
  <c r="Q72" i="69"/>
  <c r="Q71" i="69"/>
  <c r="Q50" i="69"/>
  <c r="Q49" i="69"/>
  <c r="Q48" i="69"/>
  <c r="Q47" i="69"/>
  <c r="Q46" i="69"/>
  <c r="Q45" i="69"/>
  <c r="Q44" i="69"/>
  <c r="Q43" i="69"/>
  <c r="Q42" i="69"/>
  <c r="Q41" i="69"/>
  <c r="Q40" i="69"/>
  <c r="Q39" i="69"/>
  <c r="Q38" i="69"/>
  <c r="Q37" i="69"/>
  <c r="Q36" i="69"/>
  <c r="Q35" i="69"/>
  <c r="Q34" i="69"/>
  <c r="Q33" i="69"/>
  <c r="Q32" i="69"/>
  <c r="Q31" i="69"/>
  <c r="Q30" i="69"/>
  <c r="Q29" i="69"/>
  <c r="Q28" i="69"/>
  <c r="Q27" i="69"/>
  <c r="Q26" i="69"/>
  <c r="Q25" i="69"/>
  <c r="Q24" i="69"/>
  <c r="Q23" i="69"/>
  <c r="Q22" i="69"/>
  <c r="Q21" i="69"/>
  <c r="Q20" i="69"/>
  <c r="Q19" i="69"/>
  <c r="Q18" i="69"/>
  <c r="Q17" i="69"/>
  <c r="Q16" i="69"/>
  <c r="Q15" i="69"/>
  <c r="Q14" i="69"/>
  <c r="Q13" i="69"/>
  <c r="Q12" i="69"/>
  <c r="Q11" i="69"/>
  <c r="Q10" i="69"/>
  <c r="Q9" i="69"/>
  <c r="Q8" i="69"/>
  <c r="P1" i="136"/>
  <c r="M89" i="172" l="1"/>
  <c r="E142" i="2" s="1"/>
  <c r="C142" i="2" s="1"/>
  <c r="C141" i="2"/>
  <c r="P13" i="148"/>
  <c r="R13" i="148" s="1"/>
  <c r="P16" i="148"/>
  <c r="R16" i="148" s="1"/>
  <c r="AK10" i="148"/>
  <c r="AM10" i="148" s="1"/>
  <c r="L10" i="148" s="1"/>
  <c r="O10" i="148" s="1"/>
  <c r="K10" i="148"/>
  <c r="AK14" i="148"/>
  <c r="AM14" i="148" s="1"/>
  <c r="L14" i="148" s="1"/>
  <c r="O14" i="148" s="1"/>
  <c r="P12" i="148"/>
  <c r="R12" i="148" s="1"/>
  <c r="AK23" i="148"/>
  <c r="AM23" i="148" s="1"/>
  <c r="L23" i="148" s="1"/>
  <c r="O23" i="148" s="1"/>
  <c r="K23" i="148"/>
  <c r="K14" i="148"/>
  <c r="P17" i="148"/>
  <c r="R17" i="148" s="1"/>
  <c r="P11" i="148"/>
  <c r="R11" i="148" s="1"/>
  <c r="L11" i="148"/>
  <c r="O11" i="148" s="1"/>
  <c r="AK22" i="148"/>
  <c r="AM22" i="148" s="1"/>
  <c r="L22" i="148" s="1"/>
  <c r="O22" i="148" s="1"/>
  <c r="K22" i="148"/>
  <c r="AK26" i="148"/>
  <c r="AM26" i="148" s="1"/>
  <c r="L26" i="148" s="1"/>
  <c r="O26" i="148" s="1"/>
  <c r="K26" i="148"/>
  <c r="P25" i="148"/>
  <c r="R25" i="148" s="1"/>
  <c r="P8" i="148"/>
  <c r="R8" i="148" s="1"/>
  <c r="AK7" i="148"/>
  <c r="P15" i="148"/>
  <c r="R15" i="148" s="1"/>
  <c r="P24" i="148"/>
  <c r="R24" i="148" s="1"/>
  <c r="P19" i="148"/>
  <c r="R19" i="148" s="1"/>
  <c r="P18" i="148"/>
  <c r="R18" i="148" s="1"/>
  <c r="N27" i="148"/>
  <c r="T28" i="148" s="1"/>
  <c r="T29" i="148" s="1"/>
  <c r="J85" i="166"/>
  <c r="I84" i="166"/>
  <c r="N4" i="169"/>
  <c r="P10" i="148" l="1"/>
  <c r="R10" i="148" s="1"/>
  <c r="P23" i="148"/>
  <c r="R23" i="148" s="1"/>
  <c r="P22" i="148"/>
  <c r="R22" i="148" s="1"/>
  <c r="P14" i="148"/>
  <c r="R14" i="148" s="1"/>
  <c r="P26" i="148"/>
  <c r="R26" i="148" s="1"/>
  <c r="AM7" i="148"/>
  <c r="L7" i="148" s="1"/>
  <c r="O7" i="148" s="1"/>
  <c r="P32" i="148"/>
  <c r="R32" i="148" s="1"/>
  <c r="P29" i="148"/>
  <c r="R29" i="148" s="1"/>
  <c r="T30" i="148"/>
  <c r="T31" i="148" s="1"/>
  <c r="J89" i="169"/>
  <c r="K85" i="169"/>
  <c r="M85" i="169" s="1"/>
  <c r="H6" i="169"/>
  <c r="M6" i="169" s="1"/>
  <c r="AM95" i="83"/>
  <c r="AM96" i="83"/>
  <c r="AM97" i="83"/>
  <c r="AM98" i="83"/>
  <c r="AM99" i="83"/>
  <c r="AM100" i="83"/>
  <c r="AM101" i="83"/>
  <c r="AM102" i="83"/>
  <c r="AM103" i="83"/>
  <c r="AM104" i="83"/>
  <c r="AM105" i="83"/>
  <c r="AM106" i="83"/>
  <c r="AM107" i="83"/>
  <c r="AM108" i="83"/>
  <c r="AM109" i="83"/>
  <c r="AM110" i="83"/>
  <c r="AM111" i="83"/>
  <c r="AM112" i="83"/>
  <c r="AM113" i="83"/>
  <c r="AM114" i="83"/>
  <c r="AM115" i="83"/>
  <c r="AM116" i="83"/>
  <c r="AM117" i="83"/>
  <c r="AM94" i="83"/>
  <c r="P30" i="148" l="1"/>
  <c r="R30" i="148" s="1"/>
  <c r="P7" i="148"/>
  <c r="R7" i="148" s="1"/>
  <c r="R27" i="148" s="1"/>
  <c r="M4" i="169"/>
  <c r="M89" i="169" s="1"/>
  <c r="E139" i="2" s="1"/>
  <c r="C139" i="2" s="1"/>
  <c r="AA66" i="112"/>
  <c r="AA67" i="112"/>
  <c r="AA68" i="112"/>
  <c r="AA69" i="112"/>
  <c r="AA70" i="112"/>
  <c r="AA71" i="112"/>
  <c r="AA72" i="112"/>
  <c r="AA73" i="112"/>
  <c r="AA74" i="112"/>
  <c r="AA75" i="112"/>
  <c r="AA76" i="112"/>
  <c r="AA77" i="112"/>
  <c r="AA78" i="112"/>
  <c r="AA79" i="112"/>
  <c r="AA80" i="112"/>
  <c r="AA84" i="112"/>
  <c r="AA85" i="112"/>
  <c r="AA86" i="112"/>
  <c r="AA87" i="112"/>
  <c r="AA88" i="112"/>
  <c r="AA89" i="112"/>
  <c r="AA736" i="112"/>
  <c r="AA737" i="112"/>
  <c r="AA738" i="112"/>
  <c r="AA739" i="112"/>
  <c r="AA740" i="112"/>
  <c r="AA741" i="112"/>
  <c r="AA742" i="112"/>
  <c r="AA743" i="112"/>
  <c r="AA744" i="112"/>
  <c r="AA745" i="112"/>
  <c r="AA746" i="112"/>
  <c r="AA747" i="112"/>
  <c r="AA748" i="112"/>
  <c r="AA749" i="112"/>
  <c r="AA750" i="112"/>
  <c r="AA751" i="112"/>
  <c r="AA752" i="112"/>
  <c r="AA753" i="112"/>
  <c r="AA754" i="112"/>
  <c r="AA755" i="112"/>
  <c r="AA756" i="112"/>
  <c r="AA757" i="112"/>
  <c r="AA758" i="112"/>
  <c r="AA759" i="112"/>
  <c r="AA760" i="112"/>
  <c r="AA761" i="112"/>
  <c r="AA762" i="112"/>
  <c r="AA763" i="112"/>
  <c r="AA764" i="112"/>
  <c r="AA765" i="112"/>
  <c r="AA766" i="112"/>
  <c r="AA767" i="112"/>
  <c r="AA768" i="112"/>
  <c r="AA769" i="112"/>
  <c r="AA770" i="112"/>
  <c r="AA771" i="112"/>
  <c r="AA772" i="112"/>
  <c r="AA773" i="112"/>
  <c r="AA774" i="112"/>
  <c r="AA775" i="112"/>
  <c r="AA776" i="112"/>
  <c r="AA777" i="112"/>
  <c r="AA778" i="112"/>
  <c r="AA779" i="112"/>
  <c r="AA780" i="112"/>
  <c r="AA781" i="112"/>
  <c r="AA782" i="112"/>
  <c r="AA783" i="112"/>
  <c r="AI92" i="83"/>
  <c r="AQ95" i="83"/>
  <c r="AQ96" i="83"/>
  <c r="AQ97" i="83"/>
  <c r="AQ98" i="83"/>
  <c r="AQ99" i="83"/>
  <c r="AQ100" i="83"/>
  <c r="AQ101" i="83"/>
  <c r="AQ102" i="83"/>
  <c r="AQ103" i="83"/>
  <c r="AQ104" i="83"/>
  <c r="AQ105" i="83"/>
  <c r="AQ106" i="83"/>
  <c r="AQ107" i="83"/>
  <c r="AQ108" i="83"/>
  <c r="AQ109" i="83"/>
  <c r="AQ110" i="83"/>
  <c r="AQ111" i="83"/>
  <c r="AQ112" i="83"/>
  <c r="AQ113" i="83"/>
  <c r="AQ114" i="83"/>
  <c r="AQ115" i="83"/>
  <c r="AQ116" i="83"/>
  <c r="AQ117" i="83"/>
  <c r="AQ94" i="83"/>
  <c r="AB94" i="83" s="1"/>
  <c r="R5" i="131"/>
  <c r="H68" i="44"/>
  <c r="H66" i="44"/>
  <c r="H64" i="44"/>
  <c r="H62" i="44"/>
  <c r="H60" i="44"/>
  <c r="H58" i="44"/>
  <c r="H56" i="44"/>
  <c r="H54" i="44"/>
  <c r="H46" i="44"/>
  <c r="H44" i="44"/>
  <c r="H42" i="44"/>
  <c r="H40" i="44"/>
  <c r="H38" i="44"/>
  <c r="H36" i="44"/>
  <c r="H34" i="44"/>
  <c r="H32" i="44"/>
  <c r="H30" i="44"/>
  <c r="H21" i="44"/>
  <c r="H19" i="44"/>
  <c r="H15" i="44"/>
  <c r="H11" i="44"/>
  <c r="H9" i="44"/>
  <c r="F72" i="44"/>
  <c r="H72" i="44" s="1"/>
  <c r="F70" i="44"/>
  <c r="H70" i="44" s="1"/>
  <c r="F71" i="44"/>
  <c r="F69" i="44"/>
  <c r="F67" i="44"/>
  <c r="F68" i="44"/>
  <c r="F97" i="44"/>
  <c r="H97" i="44" s="1"/>
  <c r="F95" i="44"/>
  <c r="H95" i="44" s="1"/>
  <c r="F93" i="44"/>
  <c r="H93" i="44" s="1"/>
  <c r="F91" i="44"/>
  <c r="H91" i="44" s="1"/>
  <c r="F89" i="44"/>
  <c r="H89" i="44" s="1"/>
  <c r="F87" i="44"/>
  <c r="H87" i="44" s="1"/>
  <c r="F85" i="44"/>
  <c r="H85" i="44" s="1"/>
  <c r="F83" i="44"/>
  <c r="H83" i="44" s="1"/>
  <c r="F81" i="44"/>
  <c r="H81" i="44" s="1"/>
  <c r="F79" i="44"/>
  <c r="H79" i="44" s="1"/>
  <c r="F77" i="44"/>
  <c r="H77" i="44" s="1"/>
  <c r="F75" i="44"/>
  <c r="H75" i="44" s="1"/>
  <c r="F66" i="44"/>
  <c r="F64" i="44"/>
  <c r="F62" i="44"/>
  <c r="F60" i="44"/>
  <c r="F58" i="44"/>
  <c r="F56" i="44"/>
  <c r="F54" i="44"/>
  <c r="F52" i="44"/>
  <c r="H52" i="44" s="1"/>
  <c r="F50" i="44"/>
  <c r="H50" i="44" s="1"/>
  <c r="F48" i="44"/>
  <c r="H48" i="44" s="1"/>
  <c r="F46" i="44"/>
  <c r="F44" i="44"/>
  <c r="F42" i="44"/>
  <c r="F40" i="44"/>
  <c r="F38" i="44"/>
  <c r="F36" i="44"/>
  <c r="F34" i="44"/>
  <c r="F32" i="44"/>
  <c r="F30" i="44"/>
  <c r="F27" i="44"/>
  <c r="H27" i="44" s="1"/>
  <c r="F25" i="44"/>
  <c r="H25" i="44" s="1"/>
  <c r="F23" i="44"/>
  <c r="H23" i="44" s="1"/>
  <c r="F21" i="44"/>
  <c r="F19" i="44"/>
  <c r="F15" i="44"/>
  <c r="F13" i="44"/>
  <c r="H13" i="44" s="1"/>
  <c r="F11" i="44"/>
  <c r="F9" i="44"/>
  <c r="F7" i="44"/>
  <c r="H7" i="44" s="1"/>
  <c r="N32" i="146"/>
  <c r="R36" i="136"/>
  <c r="K36" i="146"/>
  <c r="K37" i="146"/>
  <c r="K38" i="146"/>
  <c r="K39" i="146"/>
  <c r="K40" i="146"/>
  <c r="K41" i="146"/>
  <c r="K42" i="146"/>
  <c r="K43" i="146"/>
  <c r="K35" i="146"/>
  <c r="R35" i="148" l="1"/>
  <c r="R36" i="148" s="1"/>
  <c r="G24" i="84"/>
  <c r="G25" i="84"/>
  <c r="I25" i="84" s="1"/>
  <c r="O25" i="84" l="1"/>
  <c r="N25" i="84" s="1"/>
  <c r="Q301" i="150"/>
  <c r="N301" i="150"/>
  <c r="T301" i="150" s="1"/>
  <c r="U301" i="150" s="1"/>
  <c r="V301" i="150" s="1"/>
  <c r="Q300" i="150"/>
  <c r="N300" i="150"/>
  <c r="T300" i="150" s="1"/>
  <c r="U300" i="150" s="1"/>
  <c r="V300" i="150" s="1"/>
  <c r="Q299" i="150"/>
  <c r="N299" i="150"/>
  <c r="T299" i="150" s="1"/>
  <c r="U299" i="150" s="1"/>
  <c r="V299" i="150" s="1"/>
  <c r="Q298" i="150"/>
  <c r="N298" i="150"/>
  <c r="T298" i="150" s="1"/>
  <c r="U298" i="150" s="1"/>
  <c r="V298" i="150" s="1"/>
  <c r="Q297" i="150"/>
  <c r="N297" i="150"/>
  <c r="T297" i="150" s="1"/>
  <c r="U297" i="150" s="1"/>
  <c r="V297" i="150" s="1"/>
  <c r="Q296" i="150"/>
  <c r="N296" i="150"/>
  <c r="T296" i="150" s="1"/>
  <c r="U296" i="150" s="1"/>
  <c r="V296" i="150" s="1"/>
  <c r="Q295" i="150"/>
  <c r="N295" i="150"/>
  <c r="T295" i="150" s="1"/>
  <c r="U295" i="150" s="1"/>
  <c r="V295" i="150" s="1"/>
  <c r="Q294" i="150"/>
  <c r="N294" i="150"/>
  <c r="T294" i="150" s="1"/>
  <c r="U294" i="150" s="1"/>
  <c r="V294" i="150" s="1"/>
  <c r="Q293" i="150"/>
  <c r="N293" i="150"/>
  <c r="T293" i="150" s="1"/>
  <c r="U293" i="150" s="1"/>
  <c r="V293" i="150" s="1"/>
  <c r="Q292" i="150"/>
  <c r="N292" i="150"/>
  <c r="T292" i="150" s="1"/>
  <c r="U292" i="150" s="1"/>
  <c r="V292" i="150" s="1"/>
  <c r="Q291" i="150"/>
  <c r="N291" i="150"/>
  <c r="T291" i="150" s="1"/>
  <c r="U291" i="150" s="1"/>
  <c r="V291" i="150" s="1"/>
  <c r="Q290" i="150"/>
  <c r="N290" i="150"/>
  <c r="T290" i="150" s="1"/>
  <c r="U290" i="150" s="1"/>
  <c r="V290" i="150" s="1"/>
  <c r="Q289" i="150"/>
  <c r="N289" i="150"/>
  <c r="T289" i="150" s="1"/>
  <c r="U289" i="150" s="1"/>
  <c r="V289" i="150" s="1"/>
  <c r="Q288" i="150"/>
  <c r="N288" i="150"/>
  <c r="T288" i="150" s="1"/>
  <c r="U288" i="150" s="1"/>
  <c r="V288" i="150" s="1"/>
  <c r="Q287" i="150"/>
  <c r="N287" i="150"/>
  <c r="T287" i="150" s="1"/>
  <c r="U287" i="150" s="1"/>
  <c r="V287" i="150" s="1"/>
  <c r="Q286" i="150"/>
  <c r="N286" i="150"/>
  <c r="T286" i="150" s="1"/>
  <c r="U286" i="150" s="1"/>
  <c r="V286" i="150" s="1"/>
  <c r="Q285" i="150"/>
  <c r="N285" i="150"/>
  <c r="T285" i="150" s="1"/>
  <c r="U285" i="150" s="1"/>
  <c r="V285" i="150" s="1"/>
  <c r="Q284" i="150"/>
  <c r="N284" i="150"/>
  <c r="T284" i="150" s="1"/>
  <c r="U284" i="150" s="1"/>
  <c r="V284" i="150" s="1"/>
  <c r="Q283" i="150"/>
  <c r="N283" i="150"/>
  <c r="T283" i="150" s="1"/>
  <c r="U283" i="150" s="1"/>
  <c r="V283" i="150" s="1"/>
  <c r="Q282" i="150"/>
  <c r="N282" i="150"/>
  <c r="T282" i="150" s="1"/>
  <c r="U282" i="150" s="1"/>
  <c r="V282" i="150" s="1"/>
  <c r="Q281" i="150"/>
  <c r="N281" i="150"/>
  <c r="T281" i="150" s="1"/>
  <c r="U281" i="150" s="1"/>
  <c r="V281" i="150" s="1"/>
  <c r="Q280" i="150"/>
  <c r="N280" i="150"/>
  <c r="T280" i="150" s="1"/>
  <c r="U280" i="150" s="1"/>
  <c r="V280" i="150" s="1"/>
  <c r="Q279" i="150"/>
  <c r="N279" i="150"/>
  <c r="T279" i="150" s="1"/>
  <c r="U279" i="150" s="1"/>
  <c r="V279" i="150" s="1"/>
  <c r="Q278" i="150"/>
  <c r="N278" i="150"/>
  <c r="T278" i="150" s="1"/>
  <c r="U278" i="150" s="1"/>
  <c r="V278" i="150" s="1"/>
  <c r="Q277" i="150"/>
  <c r="N277" i="150"/>
  <c r="T277" i="150" s="1"/>
  <c r="U277" i="150" s="1"/>
  <c r="V277" i="150" s="1"/>
  <c r="Q276" i="150"/>
  <c r="N276" i="150"/>
  <c r="T276" i="150" s="1"/>
  <c r="U276" i="150" s="1"/>
  <c r="V276" i="150" s="1"/>
  <c r="Q275" i="150"/>
  <c r="N275" i="150"/>
  <c r="T275" i="150" s="1"/>
  <c r="U275" i="150" s="1"/>
  <c r="V275" i="150" s="1"/>
  <c r="Q274" i="150"/>
  <c r="N274" i="150"/>
  <c r="T274" i="150" s="1"/>
  <c r="U274" i="150" s="1"/>
  <c r="V274" i="150" s="1"/>
  <c r="Q273" i="150"/>
  <c r="N273" i="150"/>
  <c r="T273" i="150" s="1"/>
  <c r="U273" i="150" s="1"/>
  <c r="V273" i="150" s="1"/>
  <c r="Q272" i="150"/>
  <c r="N272" i="150"/>
  <c r="T272" i="150" s="1"/>
  <c r="U272" i="150" s="1"/>
  <c r="V272" i="150" s="1"/>
  <c r="Q271" i="150"/>
  <c r="N271" i="150"/>
  <c r="T271" i="150" s="1"/>
  <c r="U271" i="150" s="1"/>
  <c r="V271" i="150" s="1"/>
  <c r="Q270" i="150"/>
  <c r="N270" i="150"/>
  <c r="T270" i="150" s="1"/>
  <c r="U270" i="150" s="1"/>
  <c r="V270" i="150" s="1"/>
  <c r="Q269" i="150"/>
  <c r="N269" i="150"/>
  <c r="T269" i="150" s="1"/>
  <c r="U269" i="150" s="1"/>
  <c r="V269" i="150" s="1"/>
  <c r="Q268" i="150"/>
  <c r="N268" i="150"/>
  <c r="T268" i="150" s="1"/>
  <c r="U268" i="150" s="1"/>
  <c r="V268" i="150" s="1"/>
  <c r="Q267" i="150"/>
  <c r="N267" i="150"/>
  <c r="T267" i="150" s="1"/>
  <c r="U267" i="150" s="1"/>
  <c r="V267" i="150" s="1"/>
  <c r="Q266" i="150"/>
  <c r="N266" i="150"/>
  <c r="T266" i="150" s="1"/>
  <c r="U266" i="150" s="1"/>
  <c r="V266" i="150" s="1"/>
  <c r="Q265" i="150"/>
  <c r="N265" i="150"/>
  <c r="T265" i="150" s="1"/>
  <c r="U265" i="150" s="1"/>
  <c r="V265" i="150" s="1"/>
  <c r="Q264" i="150"/>
  <c r="N264" i="150"/>
  <c r="T264" i="150" s="1"/>
  <c r="U264" i="150" s="1"/>
  <c r="V264" i="150" s="1"/>
  <c r="Q263" i="150"/>
  <c r="N263" i="150"/>
  <c r="T263" i="150" s="1"/>
  <c r="U263" i="150" s="1"/>
  <c r="V263" i="150" s="1"/>
  <c r="Q262" i="150"/>
  <c r="N262" i="150"/>
  <c r="T262" i="150" s="1"/>
  <c r="U262" i="150" s="1"/>
  <c r="V262" i="150" s="1"/>
  <c r="Q261" i="150"/>
  <c r="N261" i="150"/>
  <c r="T261" i="150" s="1"/>
  <c r="U261" i="150" s="1"/>
  <c r="V261" i="150" s="1"/>
  <c r="Q260" i="150"/>
  <c r="N260" i="150"/>
  <c r="T260" i="150" s="1"/>
  <c r="U260" i="150" s="1"/>
  <c r="V260" i="150" s="1"/>
  <c r="Q259" i="150"/>
  <c r="N259" i="150"/>
  <c r="T259" i="150" s="1"/>
  <c r="U259" i="150" s="1"/>
  <c r="V259" i="150" s="1"/>
  <c r="Q258" i="150"/>
  <c r="N258" i="150"/>
  <c r="T258" i="150" s="1"/>
  <c r="U258" i="150" s="1"/>
  <c r="V258" i="150" s="1"/>
  <c r="Q257" i="150"/>
  <c r="N257" i="150"/>
  <c r="T257" i="150" s="1"/>
  <c r="U257" i="150" s="1"/>
  <c r="V257" i="150" s="1"/>
  <c r="Q256" i="150"/>
  <c r="N256" i="150"/>
  <c r="T256" i="150" s="1"/>
  <c r="U256" i="150" s="1"/>
  <c r="V256" i="150" s="1"/>
  <c r="Q255" i="150"/>
  <c r="N255" i="150"/>
  <c r="T255" i="150" s="1"/>
  <c r="U255" i="150" s="1"/>
  <c r="V255" i="150" s="1"/>
  <c r="Q254" i="150"/>
  <c r="N254" i="150"/>
  <c r="T254" i="150" s="1"/>
  <c r="U254" i="150" s="1"/>
  <c r="V254" i="150" s="1"/>
  <c r="Q253" i="150"/>
  <c r="N253" i="150"/>
  <c r="T253" i="150" s="1"/>
  <c r="U253" i="150" s="1"/>
  <c r="V253" i="150" s="1"/>
  <c r="Q252" i="150"/>
  <c r="N252" i="150"/>
  <c r="T252" i="150" s="1"/>
  <c r="U252" i="150" s="1"/>
  <c r="V252" i="150" s="1"/>
  <c r="Q251" i="150"/>
  <c r="N251" i="150"/>
  <c r="T251" i="150" s="1"/>
  <c r="U251" i="150" s="1"/>
  <c r="V251" i="150" s="1"/>
  <c r="Q250" i="150"/>
  <c r="N250" i="150"/>
  <c r="T250" i="150" s="1"/>
  <c r="U250" i="150" s="1"/>
  <c r="V250" i="150" s="1"/>
  <c r="Q249" i="150"/>
  <c r="N249" i="150"/>
  <c r="T249" i="150" s="1"/>
  <c r="U249" i="150" s="1"/>
  <c r="V249" i="150" s="1"/>
  <c r="Q248" i="150"/>
  <c r="N248" i="150"/>
  <c r="T248" i="150" s="1"/>
  <c r="U248" i="150" s="1"/>
  <c r="V248" i="150" s="1"/>
  <c r="Q247" i="150"/>
  <c r="N247" i="150"/>
  <c r="T247" i="150" s="1"/>
  <c r="U247" i="150" s="1"/>
  <c r="V247" i="150" s="1"/>
  <c r="Q246" i="150"/>
  <c r="N246" i="150"/>
  <c r="T246" i="150" s="1"/>
  <c r="U246" i="150" s="1"/>
  <c r="V246" i="150" s="1"/>
  <c r="Q245" i="150"/>
  <c r="N245" i="150"/>
  <c r="T245" i="150" s="1"/>
  <c r="U245" i="150" s="1"/>
  <c r="V245" i="150" s="1"/>
  <c r="Q244" i="150"/>
  <c r="N244" i="150"/>
  <c r="T244" i="150" s="1"/>
  <c r="U244" i="150" s="1"/>
  <c r="V244" i="150" s="1"/>
  <c r="Q243" i="150"/>
  <c r="N243" i="150"/>
  <c r="T243" i="150" s="1"/>
  <c r="U243" i="150" s="1"/>
  <c r="V243" i="150" s="1"/>
  <c r="Q242" i="150"/>
  <c r="N242" i="150"/>
  <c r="T242" i="150" s="1"/>
  <c r="U242" i="150" s="1"/>
  <c r="V242" i="150" s="1"/>
  <c r="Q241" i="150"/>
  <c r="N241" i="150"/>
  <c r="T241" i="150" s="1"/>
  <c r="U241" i="150" s="1"/>
  <c r="V241" i="150" s="1"/>
  <c r="Q240" i="150"/>
  <c r="N240" i="150"/>
  <c r="T240" i="150" s="1"/>
  <c r="U240" i="150" s="1"/>
  <c r="V240" i="150" s="1"/>
  <c r="Q239" i="150"/>
  <c r="N239" i="150"/>
  <c r="T239" i="150" s="1"/>
  <c r="U239" i="150" s="1"/>
  <c r="V239" i="150" s="1"/>
  <c r="Q238" i="150"/>
  <c r="N238" i="150"/>
  <c r="T238" i="150" s="1"/>
  <c r="U238" i="150" s="1"/>
  <c r="V238" i="150" s="1"/>
  <c r="Q237" i="150"/>
  <c r="N237" i="150"/>
  <c r="T237" i="150" s="1"/>
  <c r="U237" i="150" s="1"/>
  <c r="V237" i="150" s="1"/>
  <c r="Q236" i="150"/>
  <c r="N236" i="150"/>
  <c r="T236" i="150" s="1"/>
  <c r="U236" i="150" s="1"/>
  <c r="V236" i="150" s="1"/>
  <c r="Q235" i="150"/>
  <c r="N235" i="150"/>
  <c r="T235" i="150" s="1"/>
  <c r="U235" i="150" s="1"/>
  <c r="V235" i="150" s="1"/>
  <c r="Q234" i="150"/>
  <c r="N234" i="150"/>
  <c r="T234" i="150" s="1"/>
  <c r="U234" i="150" s="1"/>
  <c r="V234" i="150" s="1"/>
  <c r="Q233" i="150"/>
  <c r="N233" i="150"/>
  <c r="T233" i="150" s="1"/>
  <c r="U233" i="150" s="1"/>
  <c r="V233" i="150" s="1"/>
  <c r="Q232" i="150"/>
  <c r="N232" i="150"/>
  <c r="T232" i="150" s="1"/>
  <c r="U232" i="150" s="1"/>
  <c r="V232" i="150" s="1"/>
  <c r="Q231" i="150"/>
  <c r="N231" i="150"/>
  <c r="T231" i="150" s="1"/>
  <c r="U231" i="150" s="1"/>
  <c r="V231" i="150" s="1"/>
  <c r="Q230" i="150"/>
  <c r="N230" i="150"/>
  <c r="T230" i="150" s="1"/>
  <c r="U230" i="150" s="1"/>
  <c r="V230" i="150" s="1"/>
  <c r="Q229" i="150"/>
  <c r="N229" i="150"/>
  <c r="T229" i="150" s="1"/>
  <c r="U229" i="150" s="1"/>
  <c r="V229" i="150" s="1"/>
  <c r="Q228" i="150"/>
  <c r="N228" i="150"/>
  <c r="T228" i="150" s="1"/>
  <c r="U228" i="150" s="1"/>
  <c r="V228" i="150" s="1"/>
  <c r="Q227" i="150"/>
  <c r="N227" i="150"/>
  <c r="T227" i="150" s="1"/>
  <c r="U227" i="150" s="1"/>
  <c r="V227" i="150" s="1"/>
  <c r="Q226" i="150"/>
  <c r="N226" i="150"/>
  <c r="T226" i="150" s="1"/>
  <c r="U226" i="150" s="1"/>
  <c r="V226" i="150" s="1"/>
  <c r="Q225" i="150"/>
  <c r="N225" i="150"/>
  <c r="T225" i="150" s="1"/>
  <c r="U225" i="150" s="1"/>
  <c r="V225" i="150" s="1"/>
  <c r="Q224" i="150"/>
  <c r="N224" i="150"/>
  <c r="T224" i="150" s="1"/>
  <c r="U224" i="150" s="1"/>
  <c r="V224" i="150" s="1"/>
  <c r="Q223" i="150"/>
  <c r="N223" i="150"/>
  <c r="T223" i="150" s="1"/>
  <c r="U223" i="150" s="1"/>
  <c r="V223" i="150" s="1"/>
  <c r="Q222" i="150"/>
  <c r="N222" i="150"/>
  <c r="T222" i="150" s="1"/>
  <c r="U222" i="150" s="1"/>
  <c r="V222" i="150" s="1"/>
  <c r="Q221" i="150"/>
  <c r="N221" i="150"/>
  <c r="T221" i="150" s="1"/>
  <c r="U221" i="150" s="1"/>
  <c r="V221" i="150" s="1"/>
  <c r="Q220" i="150"/>
  <c r="N220" i="150"/>
  <c r="T220" i="150" s="1"/>
  <c r="U220" i="150" s="1"/>
  <c r="V220" i="150" s="1"/>
  <c r="Q219" i="150"/>
  <c r="N219" i="150"/>
  <c r="T219" i="150" s="1"/>
  <c r="U219" i="150" s="1"/>
  <c r="V219" i="150" s="1"/>
  <c r="Q218" i="150"/>
  <c r="N218" i="150"/>
  <c r="T218" i="150" s="1"/>
  <c r="U218" i="150" s="1"/>
  <c r="V218" i="150" s="1"/>
  <c r="Q217" i="150"/>
  <c r="N217" i="150"/>
  <c r="T217" i="150" s="1"/>
  <c r="U217" i="150" s="1"/>
  <c r="V217" i="150" s="1"/>
  <c r="Q216" i="150"/>
  <c r="N216" i="150"/>
  <c r="T216" i="150" s="1"/>
  <c r="U216" i="150" s="1"/>
  <c r="V216" i="150" s="1"/>
  <c r="Q215" i="150"/>
  <c r="N215" i="150"/>
  <c r="T215" i="150" s="1"/>
  <c r="U215" i="150" s="1"/>
  <c r="V215" i="150" s="1"/>
  <c r="Q214" i="150"/>
  <c r="N214" i="150"/>
  <c r="T214" i="150" s="1"/>
  <c r="U214" i="150" s="1"/>
  <c r="V214" i="150" s="1"/>
  <c r="Q213" i="150"/>
  <c r="N213" i="150"/>
  <c r="T213" i="150" s="1"/>
  <c r="U213" i="150" s="1"/>
  <c r="V213" i="150" s="1"/>
  <c r="Q212" i="150"/>
  <c r="N212" i="150"/>
  <c r="T212" i="150" s="1"/>
  <c r="U212" i="150" s="1"/>
  <c r="V212" i="150" s="1"/>
  <c r="Q211" i="150"/>
  <c r="N211" i="150"/>
  <c r="T211" i="150" s="1"/>
  <c r="U211" i="150" s="1"/>
  <c r="V211" i="150" s="1"/>
  <c r="Q210" i="150"/>
  <c r="N210" i="150"/>
  <c r="T210" i="150" s="1"/>
  <c r="U210" i="150" s="1"/>
  <c r="V210" i="150" s="1"/>
  <c r="Q209" i="150"/>
  <c r="N209" i="150"/>
  <c r="T209" i="150" s="1"/>
  <c r="U209" i="150" s="1"/>
  <c r="V209" i="150" s="1"/>
  <c r="Q208" i="150"/>
  <c r="N208" i="150"/>
  <c r="T208" i="150" s="1"/>
  <c r="U208" i="150" s="1"/>
  <c r="V208" i="150" s="1"/>
  <c r="Q207" i="150"/>
  <c r="N207" i="150"/>
  <c r="T207" i="150" s="1"/>
  <c r="U207" i="150" s="1"/>
  <c r="V207" i="150" s="1"/>
  <c r="Q206" i="150"/>
  <c r="N206" i="150"/>
  <c r="T206" i="150" s="1"/>
  <c r="U206" i="150" s="1"/>
  <c r="V206" i="150" s="1"/>
  <c r="Q205" i="150"/>
  <c r="N205" i="150"/>
  <c r="T205" i="150" s="1"/>
  <c r="U205" i="150" s="1"/>
  <c r="V205" i="150" s="1"/>
  <c r="Q204" i="150"/>
  <c r="N204" i="150"/>
  <c r="T204" i="150" s="1"/>
  <c r="U204" i="150" s="1"/>
  <c r="V204" i="150" s="1"/>
  <c r="Q203" i="150"/>
  <c r="N203" i="150"/>
  <c r="T203" i="150" s="1"/>
  <c r="U203" i="150" s="1"/>
  <c r="V203" i="150" s="1"/>
  <c r="Q202" i="150"/>
  <c r="N202" i="150"/>
  <c r="T202" i="150" s="1"/>
  <c r="U202" i="150" s="1"/>
  <c r="V202" i="150" s="1"/>
  <c r="Q201" i="150"/>
  <c r="N201" i="150"/>
  <c r="T201" i="150" s="1"/>
  <c r="U201" i="150" s="1"/>
  <c r="V201" i="150" s="1"/>
  <c r="Q200" i="150"/>
  <c r="N200" i="150"/>
  <c r="T200" i="150" s="1"/>
  <c r="U200" i="150" s="1"/>
  <c r="V200" i="150" s="1"/>
  <c r="Q199" i="150"/>
  <c r="N199" i="150"/>
  <c r="T199" i="150" s="1"/>
  <c r="U199" i="150" s="1"/>
  <c r="V199" i="150" s="1"/>
  <c r="Q198" i="150"/>
  <c r="N198" i="150"/>
  <c r="T198" i="150" s="1"/>
  <c r="U198" i="150" s="1"/>
  <c r="V198" i="150" s="1"/>
  <c r="Q197" i="150"/>
  <c r="N197" i="150"/>
  <c r="T197" i="150" s="1"/>
  <c r="U197" i="150" s="1"/>
  <c r="V197" i="150" s="1"/>
  <c r="Q196" i="150"/>
  <c r="N196" i="150"/>
  <c r="T196" i="150" s="1"/>
  <c r="U196" i="150" s="1"/>
  <c r="V196" i="150" s="1"/>
  <c r="Q195" i="150"/>
  <c r="N195" i="150"/>
  <c r="T195" i="150" s="1"/>
  <c r="U195" i="150" s="1"/>
  <c r="V195" i="150" s="1"/>
  <c r="Q194" i="150"/>
  <c r="N194" i="150"/>
  <c r="T194" i="150" s="1"/>
  <c r="U194" i="150" s="1"/>
  <c r="V194" i="150" s="1"/>
  <c r="Q193" i="150"/>
  <c r="N193" i="150"/>
  <c r="T193" i="150" s="1"/>
  <c r="U193" i="150" s="1"/>
  <c r="V193" i="150" s="1"/>
  <c r="Q192" i="150"/>
  <c r="N192" i="150"/>
  <c r="T192" i="150" s="1"/>
  <c r="U192" i="150" s="1"/>
  <c r="V192" i="150" s="1"/>
  <c r="Q191" i="150"/>
  <c r="N191" i="150"/>
  <c r="T191" i="150" s="1"/>
  <c r="U191" i="150" s="1"/>
  <c r="V191" i="150" s="1"/>
  <c r="Q190" i="150"/>
  <c r="N190" i="150"/>
  <c r="T190" i="150" s="1"/>
  <c r="U190" i="150" s="1"/>
  <c r="V190" i="150" s="1"/>
  <c r="Q189" i="150"/>
  <c r="N189" i="150"/>
  <c r="T189" i="150" s="1"/>
  <c r="U189" i="150" s="1"/>
  <c r="V189" i="150" s="1"/>
  <c r="Q188" i="150"/>
  <c r="N188" i="150"/>
  <c r="T188" i="150" s="1"/>
  <c r="U188" i="150" s="1"/>
  <c r="V188" i="150" s="1"/>
  <c r="Q187" i="150"/>
  <c r="N187" i="150"/>
  <c r="T187" i="150" s="1"/>
  <c r="U187" i="150" s="1"/>
  <c r="V187" i="150" s="1"/>
  <c r="Q186" i="150"/>
  <c r="N186" i="150"/>
  <c r="T186" i="150" s="1"/>
  <c r="U186" i="150" s="1"/>
  <c r="V186" i="150" s="1"/>
  <c r="Q185" i="150"/>
  <c r="N185" i="150"/>
  <c r="T185" i="150" s="1"/>
  <c r="U185" i="150" s="1"/>
  <c r="V185" i="150" s="1"/>
  <c r="Q184" i="150"/>
  <c r="N184" i="150"/>
  <c r="T184" i="150" s="1"/>
  <c r="U184" i="150" s="1"/>
  <c r="V184" i="150" s="1"/>
  <c r="Q183" i="150"/>
  <c r="N183" i="150"/>
  <c r="T183" i="150" s="1"/>
  <c r="U183" i="150" s="1"/>
  <c r="V183" i="150" s="1"/>
  <c r="Q182" i="150"/>
  <c r="N182" i="150"/>
  <c r="T182" i="150" s="1"/>
  <c r="U182" i="150" s="1"/>
  <c r="V182" i="150" s="1"/>
  <c r="Q181" i="150"/>
  <c r="N181" i="150"/>
  <c r="T181" i="150" s="1"/>
  <c r="U181" i="150" s="1"/>
  <c r="V181" i="150" s="1"/>
  <c r="Q180" i="150"/>
  <c r="N180" i="150"/>
  <c r="T180" i="150" s="1"/>
  <c r="U180" i="150" s="1"/>
  <c r="V180" i="150" s="1"/>
  <c r="Q179" i="150"/>
  <c r="N179" i="150"/>
  <c r="T179" i="150" s="1"/>
  <c r="U179" i="150" s="1"/>
  <c r="V179" i="150" s="1"/>
  <c r="Q178" i="150"/>
  <c r="N178" i="150"/>
  <c r="T178" i="150" s="1"/>
  <c r="U178" i="150" s="1"/>
  <c r="V178" i="150" s="1"/>
  <c r="Q177" i="150"/>
  <c r="N177" i="150"/>
  <c r="T177" i="150" s="1"/>
  <c r="U177" i="150" s="1"/>
  <c r="V177" i="150" s="1"/>
  <c r="Q176" i="150"/>
  <c r="N176" i="150"/>
  <c r="T176" i="150" s="1"/>
  <c r="U176" i="150" s="1"/>
  <c r="V176" i="150" s="1"/>
  <c r="Q175" i="150"/>
  <c r="N175" i="150"/>
  <c r="T175" i="150" s="1"/>
  <c r="U175" i="150" s="1"/>
  <c r="V175" i="150" s="1"/>
  <c r="Q174" i="150"/>
  <c r="N174" i="150"/>
  <c r="T174" i="150" s="1"/>
  <c r="U174" i="150" s="1"/>
  <c r="V174" i="150" s="1"/>
  <c r="Q173" i="150"/>
  <c r="N173" i="150"/>
  <c r="T173" i="150" s="1"/>
  <c r="U173" i="150" s="1"/>
  <c r="V173" i="150" s="1"/>
  <c r="Q172" i="150"/>
  <c r="N172" i="150"/>
  <c r="T172" i="150" s="1"/>
  <c r="U172" i="150" s="1"/>
  <c r="V172" i="150" s="1"/>
  <c r="Q171" i="150"/>
  <c r="N171" i="150"/>
  <c r="T171" i="150" s="1"/>
  <c r="U171" i="150" s="1"/>
  <c r="V171" i="150" s="1"/>
  <c r="Q170" i="150"/>
  <c r="N170" i="150"/>
  <c r="T170" i="150" s="1"/>
  <c r="U170" i="150" s="1"/>
  <c r="V170" i="150" s="1"/>
  <c r="Q169" i="150"/>
  <c r="N169" i="150"/>
  <c r="T169" i="150" s="1"/>
  <c r="U169" i="150" s="1"/>
  <c r="V169" i="150" s="1"/>
  <c r="Q168" i="150"/>
  <c r="N168" i="150"/>
  <c r="T168" i="150" s="1"/>
  <c r="U168" i="150" s="1"/>
  <c r="V168" i="150" s="1"/>
  <c r="Q167" i="150"/>
  <c r="N167" i="150"/>
  <c r="T167" i="150" s="1"/>
  <c r="U167" i="150" s="1"/>
  <c r="V167" i="150" s="1"/>
  <c r="Q166" i="150"/>
  <c r="N166" i="150"/>
  <c r="T166" i="150" s="1"/>
  <c r="U166" i="150" s="1"/>
  <c r="V166" i="150" s="1"/>
  <c r="Q165" i="150"/>
  <c r="N165" i="150"/>
  <c r="T165" i="150" s="1"/>
  <c r="U165" i="150" s="1"/>
  <c r="V165" i="150" s="1"/>
  <c r="Q164" i="150"/>
  <c r="N164" i="150"/>
  <c r="T164" i="150" s="1"/>
  <c r="U164" i="150" s="1"/>
  <c r="V164" i="150" s="1"/>
  <c r="Q163" i="150"/>
  <c r="N163" i="150"/>
  <c r="T163" i="150" s="1"/>
  <c r="U163" i="150" s="1"/>
  <c r="V163" i="150" s="1"/>
  <c r="Q162" i="150"/>
  <c r="N162" i="150"/>
  <c r="T162" i="150" s="1"/>
  <c r="U162" i="150" s="1"/>
  <c r="V162" i="150" s="1"/>
  <c r="Q161" i="150"/>
  <c r="N161" i="150"/>
  <c r="T161" i="150" s="1"/>
  <c r="U161" i="150" s="1"/>
  <c r="V161" i="150" s="1"/>
  <c r="Q160" i="150"/>
  <c r="N160" i="150"/>
  <c r="T160" i="150" s="1"/>
  <c r="U160" i="150" s="1"/>
  <c r="V160" i="150" s="1"/>
  <c r="Q159" i="150"/>
  <c r="N159" i="150"/>
  <c r="T159" i="150" s="1"/>
  <c r="U159" i="150" s="1"/>
  <c r="V159" i="150" s="1"/>
  <c r="Q158" i="150"/>
  <c r="N158" i="150"/>
  <c r="T158" i="150" s="1"/>
  <c r="U158" i="150" s="1"/>
  <c r="V158" i="150" s="1"/>
  <c r="Q157" i="150"/>
  <c r="N157" i="150"/>
  <c r="T157" i="150" s="1"/>
  <c r="U157" i="150" s="1"/>
  <c r="V157" i="150" s="1"/>
  <c r="Q156" i="150"/>
  <c r="N156" i="150"/>
  <c r="T156" i="150" s="1"/>
  <c r="U156" i="150" s="1"/>
  <c r="V156" i="150" s="1"/>
  <c r="Q155" i="150"/>
  <c r="N155" i="150"/>
  <c r="T155" i="150" s="1"/>
  <c r="U155" i="150" s="1"/>
  <c r="V155" i="150" s="1"/>
  <c r="Q154" i="150"/>
  <c r="N154" i="150"/>
  <c r="T154" i="150" s="1"/>
  <c r="U154" i="150" s="1"/>
  <c r="V154" i="150" s="1"/>
  <c r="Q153" i="150"/>
  <c r="N153" i="150"/>
  <c r="T153" i="150" s="1"/>
  <c r="U153" i="150" s="1"/>
  <c r="V153" i="150" s="1"/>
  <c r="Q152" i="150"/>
  <c r="N152" i="150"/>
  <c r="T152" i="150" s="1"/>
  <c r="U152" i="150" s="1"/>
  <c r="V152" i="150" s="1"/>
  <c r="Q151" i="150"/>
  <c r="N151" i="150"/>
  <c r="T151" i="150" s="1"/>
  <c r="U151" i="150" s="1"/>
  <c r="V151" i="150" s="1"/>
  <c r="Q150" i="150"/>
  <c r="N150" i="150"/>
  <c r="T150" i="150" s="1"/>
  <c r="U150" i="150" s="1"/>
  <c r="V150" i="150" s="1"/>
  <c r="Q149" i="150"/>
  <c r="N149" i="150"/>
  <c r="T149" i="150" s="1"/>
  <c r="U149" i="150" s="1"/>
  <c r="V149" i="150" s="1"/>
  <c r="Q148" i="150"/>
  <c r="N148" i="150"/>
  <c r="T148" i="150" s="1"/>
  <c r="U148" i="150" s="1"/>
  <c r="V148" i="150" s="1"/>
  <c r="Q147" i="150"/>
  <c r="N147" i="150"/>
  <c r="T147" i="150" s="1"/>
  <c r="U147" i="150" s="1"/>
  <c r="V147" i="150" s="1"/>
  <c r="Q146" i="150"/>
  <c r="N146" i="150"/>
  <c r="T146" i="150" s="1"/>
  <c r="U146" i="150" s="1"/>
  <c r="V146" i="150" s="1"/>
  <c r="Q145" i="150"/>
  <c r="N145" i="150"/>
  <c r="T145" i="150" s="1"/>
  <c r="U145" i="150" s="1"/>
  <c r="V145" i="150" s="1"/>
  <c r="Q144" i="150"/>
  <c r="N144" i="150"/>
  <c r="T144" i="150" s="1"/>
  <c r="U144" i="150" s="1"/>
  <c r="V144" i="150" s="1"/>
  <c r="Q143" i="150"/>
  <c r="N143" i="150"/>
  <c r="T143" i="150" s="1"/>
  <c r="U143" i="150" s="1"/>
  <c r="V143" i="150" s="1"/>
  <c r="Q142" i="150"/>
  <c r="N142" i="150"/>
  <c r="T142" i="150" s="1"/>
  <c r="U142" i="150" s="1"/>
  <c r="V142" i="150" s="1"/>
  <c r="Q141" i="150"/>
  <c r="N141" i="150"/>
  <c r="T141" i="150" s="1"/>
  <c r="U141" i="150" s="1"/>
  <c r="V141" i="150" s="1"/>
  <c r="Q140" i="150"/>
  <c r="N140" i="150"/>
  <c r="T140" i="150" s="1"/>
  <c r="U140" i="150" s="1"/>
  <c r="V140" i="150" s="1"/>
  <c r="Q139" i="150"/>
  <c r="N139" i="150"/>
  <c r="T139" i="150" s="1"/>
  <c r="U139" i="150" s="1"/>
  <c r="V139" i="150" s="1"/>
  <c r="Q138" i="150"/>
  <c r="N138" i="150"/>
  <c r="T138" i="150" s="1"/>
  <c r="U138" i="150" s="1"/>
  <c r="V138" i="150" s="1"/>
  <c r="Q137" i="150"/>
  <c r="N137" i="150"/>
  <c r="T137" i="150" s="1"/>
  <c r="U137" i="150" s="1"/>
  <c r="V137" i="150" s="1"/>
  <c r="Q136" i="150"/>
  <c r="N136" i="150"/>
  <c r="T136" i="150" s="1"/>
  <c r="U136" i="150" s="1"/>
  <c r="V136" i="150" s="1"/>
  <c r="Q135" i="150"/>
  <c r="N135" i="150"/>
  <c r="T135" i="150" s="1"/>
  <c r="U135" i="150" s="1"/>
  <c r="V135" i="150" s="1"/>
  <c r="Q134" i="150"/>
  <c r="N134" i="150"/>
  <c r="T134" i="150" s="1"/>
  <c r="U134" i="150" s="1"/>
  <c r="V134" i="150" s="1"/>
  <c r="Q133" i="150"/>
  <c r="N133" i="150"/>
  <c r="T133" i="150" s="1"/>
  <c r="U133" i="150" s="1"/>
  <c r="V133" i="150" s="1"/>
  <c r="Q132" i="150"/>
  <c r="N132" i="150"/>
  <c r="T132" i="150" s="1"/>
  <c r="U132" i="150" s="1"/>
  <c r="V132" i="150" s="1"/>
  <c r="Q131" i="150"/>
  <c r="N131" i="150"/>
  <c r="T131" i="150" s="1"/>
  <c r="U131" i="150" s="1"/>
  <c r="V131" i="150" s="1"/>
  <c r="Q130" i="150"/>
  <c r="N130" i="150"/>
  <c r="T130" i="150" s="1"/>
  <c r="U130" i="150" s="1"/>
  <c r="V130" i="150" s="1"/>
  <c r="Q129" i="150"/>
  <c r="N129" i="150"/>
  <c r="T129" i="150" s="1"/>
  <c r="U129" i="150" s="1"/>
  <c r="V129" i="150" s="1"/>
  <c r="Q128" i="150"/>
  <c r="N128" i="150"/>
  <c r="T128" i="150" s="1"/>
  <c r="U128" i="150" s="1"/>
  <c r="V128" i="150" s="1"/>
  <c r="Q127" i="150"/>
  <c r="N127" i="150"/>
  <c r="T127" i="150" s="1"/>
  <c r="U127" i="150" s="1"/>
  <c r="V127" i="150" s="1"/>
  <c r="Q126" i="150"/>
  <c r="N126" i="150"/>
  <c r="T126" i="150" s="1"/>
  <c r="U126" i="150" s="1"/>
  <c r="V126" i="150" s="1"/>
  <c r="Q125" i="150"/>
  <c r="N125" i="150"/>
  <c r="T125" i="150" s="1"/>
  <c r="U125" i="150" s="1"/>
  <c r="V125" i="150" s="1"/>
  <c r="Q124" i="150"/>
  <c r="N124" i="150"/>
  <c r="T124" i="150" s="1"/>
  <c r="U124" i="150" s="1"/>
  <c r="V124" i="150" s="1"/>
  <c r="Q123" i="150"/>
  <c r="N123" i="150"/>
  <c r="T123" i="150" s="1"/>
  <c r="U123" i="150" s="1"/>
  <c r="V123" i="150" s="1"/>
  <c r="Q122" i="150"/>
  <c r="N122" i="150"/>
  <c r="T122" i="150" s="1"/>
  <c r="U122" i="150" s="1"/>
  <c r="V122" i="150" s="1"/>
  <c r="Q121" i="150"/>
  <c r="N121" i="150"/>
  <c r="T121" i="150" s="1"/>
  <c r="U121" i="150" s="1"/>
  <c r="V121" i="150" s="1"/>
  <c r="Q120" i="150"/>
  <c r="N120" i="150"/>
  <c r="T120" i="150" s="1"/>
  <c r="U120" i="150" s="1"/>
  <c r="V120" i="150" s="1"/>
  <c r="Q119" i="150"/>
  <c r="N119" i="150"/>
  <c r="T119" i="150" s="1"/>
  <c r="U119" i="150" s="1"/>
  <c r="V119" i="150" s="1"/>
  <c r="Q118" i="150"/>
  <c r="N118" i="150"/>
  <c r="T118" i="150" s="1"/>
  <c r="U118" i="150" s="1"/>
  <c r="V118" i="150" s="1"/>
  <c r="Q117" i="150"/>
  <c r="N117" i="150"/>
  <c r="T117" i="150" s="1"/>
  <c r="U117" i="150" s="1"/>
  <c r="V117" i="150" s="1"/>
  <c r="Q116" i="150"/>
  <c r="N116" i="150"/>
  <c r="T116" i="150" s="1"/>
  <c r="U116" i="150" s="1"/>
  <c r="V116" i="150" s="1"/>
  <c r="Q115" i="150"/>
  <c r="N115" i="150"/>
  <c r="T115" i="150" s="1"/>
  <c r="U115" i="150" s="1"/>
  <c r="V115" i="150" s="1"/>
  <c r="Q114" i="150"/>
  <c r="N114" i="150"/>
  <c r="T114" i="150" s="1"/>
  <c r="U114" i="150" s="1"/>
  <c r="V114" i="150" s="1"/>
  <c r="Q113" i="150"/>
  <c r="N113" i="150"/>
  <c r="T113" i="150" s="1"/>
  <c r="U113" i="150" s="1"/>
  <c r="V113" i="150" s="1"/>
  <c r="Q112" i="150"/>
  <c r="N112" i="150"/>
  <c r="T112" i="150" s="1"/>
  <c r="U112" i="150" s="1"/>
  <c r="V112" i="150" s="1"/>
  <c r="Q111" i="150"/>
  <c r="N111" i="150"/>
  <c r="T111" i="150" s="1"/>
  <c r="U111" i="150" s="1"/>
  <c r="V111" i="150" s="1"/>
  <c r="Q110" i="150"/>
  <c r="N110" i="150"/>
  <c r="T110" i="150" s="1"/>
  <c r="U110" i="150" s="1"/>
  <c r="V110" i="150" s="1"/>
  <c r="Q109" i="150"/>
  <c r="N109" i="150"/>
  <c r="T109" i="150" s="1"/>
  <c r="U109" i="150" s="1"/>
  <c r="V109" i="150" s="1"/>
  <c r="Q108" i="150"/>
  <c r="N108" i="150"/>
  <c r="T108" i="150" s="1"/>
  <c r="U108" i="150" s="1"/>
  <c r="V108" i="150" s="1"/>
  <c r="Q107" i="150"/>
  <c r="N107" i="150"/>
  <c r="T107" i="150" s="1"/>
  <c r="U107" i="150" s="1"/>
  <c r="V107" i="150" s="1"/>
  <c r="Q106" i="150"/>
  <c r="N106" i="150"/>
  <c r="T106" i="150" s="1"/>
  <c r="U106" i="150" s="1"/>
  <c r="V106" i="150" s="1"/>
  <c r="Q105" i="150"/>
  <c r="N105" i="150"/>
  <c r="T105" i="150" s="1"/>
  <c r="U105" i="150" s="1"/>
  <c r="V105" i="150" s="1"/>
  <c r="Q104" i="150"/>
  <c r="N104" i="150"/>
  <c r="T104" i="150" s="1"/>
  <c r="U104" i="150" s="1"/>
  <c r="V104" i="150" s="1"/>
  <c r="Q103" i="150"/>
  <c r="N103" i="150"/>
  <c r="T103" i="150" s="1"/>
  <c r="U103" i="150" s="1"/>
  <c r="V103" i="150" s="1"/>
  <c r="Q102" i="150"/>
  <c r="N102" i="150"/>
  <c r="T102" i="150" s="1"/>
  <c r="U102" i="150" s="1"/>
  <c r="V102" i="150" s="1"/>
  <c r="Q101" i="150"/>
  <c r="N101" i="150"/>
  <c r="T101" i="150" s="1"/>
  <c r="U101" i="150" s="1"/>
  <c r="V101" i="150" s="1"/>
  <c r="O155" i="147"/>
  <c r="AC144" i="147"/>
  <c r="AB144" i="147" s="1"/>
  <c r="R144" i="147"/>
  <c r="S144" i="147" s="1"/>
  <c r="U144" i="147" s="1"/>
  <c r="AC143" i="147"/>
  <c r="AB143" i="147" s="1"/>
  <c r="R143" i="147"/>
  <c r="S143" i="147" s="1"/>
  <c r="AC142" i="147"/>
  <c r="AB142" i="147" s="1"/>
  <c r="R142" i="147"/>
  <c r="S142" i="147" s="1"/>
  <c r="U142" i="147" s="1"/>
  <c r="AC141" i="147"/>
  <c r="AB141" i="147" s="1"/>
  <c r="R141" i="147"/>
  <c r="S141" i="147" s="1"/>
  <c r="AC140" i="147"/>
  <c r="AB140" i="147" s="1"/>
  <c r="R140" i="147"/>
  <c r="S140" i="147" s="1"/>
  <c r="U140" i="147" s="1"/>
  <c r="AC139" i="147"/>
  <c r="AB139" i="147" s="1"/>
  <c r="R139" i="147"/>
  <c r="S139" i="147" s="1"/>
  <c r="AC138" i="147"/>
  <c r="AB138" i="147" s="1"/>
  <c r="R138" i="147"/>
  <c r="S138" i="147" s="1"/>
  <c r="AC137" i="147"/>
  <c r="AB137" i="147" s="1"/>
  <c r="R137" i="147"/>
  <c r="S137" i="147" s="1"/>
  <c r="AC136" i="147"/>
  <c r="AB136" i="147" s="1"/>
  <c r="R136" i="147"/>
  <c r="S136" i="147" s="1"/>
  <c r="U136" i="147" s="1"/>
  <c r="AC135" i="147"/>
  <c r="AB135" i="147" s="1"/>
  <c r="R135" i="147"/>
  <c r="S135" i="147" s="1"/>
  <c r="AC134" i="147"/>
  <c r="AB134" i="147" s="1"/>
  <c r="R134" i="147"/>
  <c r="S134" i="147" s="1"/>
  <c r="AC133" i="147"/>
  <c r="AB133" i="147" s="1"/>
  <c r="R133" i="147"/>
  <c r="S133" i="147" s="1"/>
  <c r="AC132" i="147"/>
  <c r="AB132" i="147" s="1"/>
  <c r="R132" i="147"/>
  <c r="S132" i="147" s="1"/>
  <c r="U132" i="147" s="1"/>
  <c r="AC131" i="147"/>
  <c r="AB131" i="147" s="1"/>
  <c r="R131" i="147"/>
  <c r="S131" i="147" s="1"/>
  <c r="U131" i="147" s="1"/>
  <c r="AC130" i="147"/>
  <c r="AB130" i="147" s="1"/>
  <c r="R130" i="147"/>
  <c r="S130" i="147" s="1"/>
  <c r="AC129" i="147"/>
  <c r="AB129" i="147" s="1"/>
  <c r="R129" i="147"/>
  <c r="S129" i="147" s="1"/>
  <c r="AC128" i="147"/>
  <c r="AB128" i="147" s="1"/>
  <c r="R128" i="147"/>
  <c r="S128" i="147" s="1"/>
  <c r="U128" i="147" s="1"/>
  <c r="AC127" i="147"/>
  <c r="AB127" i="147" s="1"/>
  <c r="R127" i="147"/>
  <c r="S127" i="147" s="1"/>
  <c r="AC126" i="147"/>
  <c r="AB126" i="147" s="1"/>
  <c r="R126" i="147"/>
  <c r="S126" i="147" s="1"/>
  <c r="AC125" i="147"/>
  <c r="AB125" i="147" s="1"/>
  <c r="R125" i="147"/>
  <c r="S125" i="147" s="1"/>
  <c r="AC124" i="147"/>
  <c r="AB124" i="147" s="1"/>
  <c r="R124" i="147"/>
  <c r="S124" i="147" s="1"/>
  <c r="AC123" i="147"/>
  <c r="AB123" i="147" s="1"/>
  <c r="R123" i="147"/>
  <c r="S123" i="147" s="1"/>
  <c r="U123" i="147" s="1"/>
  <c r="AC122" i="147"/>
  <c r="AB122" i="147" s="1"/>
  <c r="R122" i="147"/>
  <c r="S122" i="147" s="1"/>
  <c r="AC121" i="147"/>
  <c r="AB121" i="147" s="1"/>
  <c r="R121" i="147"/>
  <c r="S121" i="147" s="1"/>
  <c r="AC120" i="147"/>
  <c r="AB120" i="147" s="1"/>
  <c r="R120" i="147"/>
  <c r="S120" i="147" s="1"/>
  <c r="U120" i="147" s="1"/>
  <c r="AC119" i="147"/>
  <c r="AB119" i="147" s="1"/>
  <c r="R119" i="147"/>
  <c r="S119" i="147" s="1"/>
  <c r="AC118" i="147"/>
  <c r="AB118" i="147" s="1"/>
  <c r="R118" i="147"/>
  <c r="S118" i="147" s="1"/>
  <c r="AC117" i="147"/>
  <c r="AB117" i="147" s="1"/>
  <c r="R117" i="147"/>
  <c r="S117" i="147" s="1"/>
  <c r="AC116" i="147"/>
  <c r="AB116" i="147" s="1"/>
  <c r="R116" i="147"/>
  <c r="S116" i="147" s="1"/>
  <c r="AC115" i="147"/>
  <c r="AB115" i="147" s="1"/>
  <c r="R115" i="147"/>
  <c r="S115" i="147" s="1"/>
  <c r="T115" i="147" s="1"/>
  <c r="AC114" i="147"/>
  <c r="AB114" i="147" s="1"/>
  <c r="R114" i="147"/>
  <c r="S114" i="147" s="1"/>
  <c r="AC113" i="147"/>
  <c r="AB113" i="147" s="1"/>
  <c r="R113" i="147"/>
  <c r="S113" i="147" s="1"/>
  <c r="AC112" i="147"/>
  <c r="AB112" i="147" s="1"/>
  <c r="R112" i="147"/>
  <c r="S112" i="147" s="1"/>
  <c r="AC111" i="147"/>
  <c r="AB111" i="147" s="1"/>
  <c r="R111" i="147"/>
  <c r="S111" i="147" s="1"/>
  <c r="T111" i="147" s="1"/>
  <c r="AC110" i="147"/>
  <c r="AB110" i="147" s="1"/>
  <c r="R110" i="147"/>
  <c r="S110" i="147" s="1"/>
  <c r="AC109" i="147"/>
  <c r="AB109" i="147" s="1"/>
  <c r="R109" i="147"/>
  <c r="S109" i="147" s="1"/>
  <c r="AC108" i="147"/>
  <c r="AB108" i="147" s="1"/>
  <c r="R108" i="147"/>
  <c r="S108" i="147" s="1"/>
  <c r="U108" i="147" s="1"/>
  <c r="AC107" i="147"/>
  <c r="AB107" i="147" s="1"/>
  <c r="R107" i="147"/>
  <c r="S107" i="147" s="1"/>
  <c r="T107" i="147" s="1"/>
  <c r="AC106" i="147"/>
  <c r="AB106" i="147" s="1"/>
  <c r="R106" i="147"/>
  <c r="S106" i="147" s="1"/>
  <c r="AC105" i="147"/>
  <c r="AB105" i="147" s="1"/>
  <c r="R105" i="147"/>
  <c r="S105" i="147" s="1"/>
  <c r="AC104" i="147"/>
  <c r="AB104" i="147" s="1"/>
  <c r="R104" i="147"/>
  <c r="S104" i="147" s="1"/>
  <c r="AC103" i="147"/>
  <c r="AB103" i="147" s="1"/>
  <c r="R103" i="147"/>
  <c r="S103" i="147" s="1"/>
  <c r="T103" i="147" s="1"/>
  <c r="AC102" i="147"/>
  <c r="AB102" i="147" s="1"/>
  <c r="R102" i="147"/>
  <c r="S102" i="147" s="1"/>
  <c r="AC101" i="147"/>
  <c r="AB101" i="147" s="1"/>
  <c r="R101" i="147"/>
  <c r="S101" i="147" s="1"/>
  <c r="AC100" i="147"/>
  <c r="AB100" i="147" s="1"/>
  <c r="R100" i="147"/>
  <c r="S100" i="147" s="1"/>
  <c r="AC99" i="147"/>
  <c r="AB99" i="147" s="1"/>
  <c r="R99" i="147"/>
  <c r="S99" i="147" s="1"/>
  <c r="T99" i="147" s="1"/>
  <c r="AC98" i="147"/>
  <c r="AB98" i="147" s="1"/>
  <c r="R98" i="147"/>
  <c r="S98" i="147" s="1"/>
  <c r="AC97" i="147"/>
  <c r="AB97" i="147" s="1"/>
  <c r="R97" i="147"/>
  <c r="S97" i="147" s="1"/>
  <c r="AC96" i="147"/>
  <c r="AB96" i="147" s="1"/>
  <c r="R96" i="147"/>
  <c r="S96" i="147" s="1"/>
  <c r="U96" i="147" s="1"/>
  <c r="AC95" i="147"/>
  <c r="AB95" i="147" s="1"/>
  <c r="R95" i="147"/>
  <c r="S95" i="147" s="1"/>
  <c r="T95" i="147" s="1"/>
  <c r="AC94" i="147"/>
  <c r="AB94" i="147" s="1"/>
  <c r="R94" i="147"/>
  <c r="S94" i="147" s="1"/>
  <c r="AC93" i="147"/>
  <c r="AB93" i="147" s="1"/>
  <c r="R93" i="147"/>
  <c r="S93" i="147" s="1"/>
  <c r="U93" i="147" s="1"/>
  <c r="AC85" i="147"/>
  <c r="P7" i="147"/>
  <c r="AC20" i="147"/>
  <c r="AB20" i="147" s="1"/>
  <c r="AC68" i="147"/>
  <c r="AB68" i="147" s="1"/>
  <c r="AC67" i="147"/>
  <c r="AB67" i="147" s="1"/>
  <c r="AC66" i="147"/>
  <c r="AB66" i="147" s="1"/>
  <c r="AC65" i="147"/>
  <c r="AB65" i="147" s="1"/>
  <c r="AC64" i="147"/>
  <c r="AB64" i="147" s="1"/>
  <c r="AC63" i="147"/>
  <c r="AB63" i="147" s="1"/>
  <c r="AC62" i="147"/>
  <c r="AB62" i="147" s="1"/>
  <c r="AC61" i="147"/>
  <c r="AB61" i="147" s="1"/>
  <c r="AC60" i="147"/>
  <c r="AB60" i="147" s="1"/>
  <c r="AC59" i="147"/>
  <c r="AB59" i="147" s="1"/>
  <c r="AC58" i="147"/>
  <c r="AB58" i="147" s="1"/>
  <c r="AC57" i="147"/>
  <c r="AB57" i="147" s="1"/>
  <c r="AC56" i="147"/>
  <c r="AB56" i="147" s="1"/>
  <c r="AC55" i="147"/>
  <c r="AB55" i="147" s="1"/>
  <c r="AC54" i="147"/>
  <c r="AB54" i="147" s="1"/>
  <c r="AC53" i="147"/>
  <c r="AB53" i="147" s="1"/>
  <c r="AC52" i="147"/>
  <c r="AB52" i="147" s="1"/>
  <c r="AC51" i="147"/>
  <c r="AB51" i="147" s="1"/>
  <c r="AC50" i="147"/>
  <c r="AB50" i="147" s="1"/>
  <c r="AC49" i="147"/>
  <c r="AB49" i="147" s="1"/>
  <c r="AC48" i="147"/>
  <c r="AB48" i="147" s="1"/>
  <c r="AC47" i="147"/>
  <c r="AB47" i="147" s="1"/>
  <c r="AC46" i="147"/>
  <c r="AB46" i="147" s="1"/>
  <c r="AC45" i="147"/>
  <c r="AB45" i="147" s="1"/>
  <c r="AC44" i="147"/>
  <c r="AB44" i="147" s="1"/>
  <c r="AC43" i="147"/>
  <c r="AB43" i="147" s="1"/>
  <c r="AC42" i="147"/>
  <c r="AB42" i="147" s="1"/>
  <c r="AC41" i="147"/>
  <c r="AB41" i="147" s="1"/>
  <c r="AC40" i="147"/>
  <c r="AB40" i="147" s="1"/>
  <c r="AC39" i="147"/>
  <c r="AB39" i="147" s="1"/>
  <c r="AC38" i="147"/>
  <c r="AB38" i="147" s="1"/>
  <c r="AC37" i="147"/>
  <c r="AB37" i="147" s="1"/>
  <c r="AC36" i="147"/>
  <c r="AB36" i="147" s="1"/>
  <c r="AC35" i="147"/>
  <c r="AB35" i="147" s="1"/>
  <c r="AC34" i="147"/>
  <c r="AB34" i="147" s="1"/>
  <c r="AC33" i="147"/>
  <c r="AB33" i="147" s="1"/>
  <c r="AC32" i="147"/>
  <c r="AB32" i="147" s="1"/>
  <c r="AC31" i="147"/>
  <c r="AB31" i="147" s="1"/>
  <c r="AC30" i="147"/>
  <c r="AB30" i="147" s="1"/>
  <c r="AC29" i="147"/>
  <c r="AB29" i="147" s="1"/>
  <c r="AC28" i="147"/>
  <c r="AB28" i="147" s="1"/>
  <c r="AC27" i="147"/>
  <c r="AB27" i="147" s="1"/>
  <c r="AC26" i="147"/>
  <c r="AB26" i="147" s="1"/>
  <c r="AC25" i="147"/>
  <c r="AB25" i="147" s="1"/>
  <c r="AC24" i="147"/>
  <c r="AB24" i="147" s="1"/>
  <c r="AC23" i="147"/>
  <c r="AB23" i="147" s="1"/>
  <c r="AC22" i="147"/>
  <c r="AB22" i="147" s="1"/>
  <c r="AC21" i="147"/>
  <c r="AB21" i="147" s="1"/>
  <c r="AC19" i="147"/>
  <c r="AB19" i="147" s="1"/>
  <c r="AC18" i="147"/>
  <c r="AB18" i="147" s="1"/>
  <c r="X31" i="164"/>
  <c r="J25" i="84" l="1"/>
  <c r="L25" i="84" s="1"/>
  <c r="T108" i="147"/>
  <c r="U139" i="147"/>
  <c r="T139" i="147"/>
  <c r="U135" i="147"/>
  <c r="T135" i="147"/>
  <c r="U100" i="147"/>
  <c r="T100" i="147"/>
  <c r="U134" i="147"/>
  <c r="T134" i="147"/>
  <c r="U112" i="147"/>
  <c r="T112" i="147"/>
  <c r="U119" i="147"/>
  <c r="T119" i="147"/>
  <c r="T127" i="147"/>
  <c r="U127" i="147"/>
  <c r="T130" i="147"/>
  <c r="U130" i="147"/>
  <c r="U138" i="147"/>
  <c r="T138" i="147"/>
  <c r="U104" i="147"/>
  <c r="T104" i="147"/>
  <c r="U143" i="147"/>
  <c r="T143" i="147"/>
  <c r="U116" i="147"/>
  <c r="T116" i="147"/>
  <c r="U124" i="147"/>
  <c r="T124" i="147"/>
  <c r="T96" i="147"/>
  <c r="U103" i="147"/>
  <c r="T123" i="147"/>
  <c r="T128" i="147"/>
  <c r="T131" i="147"/>
  <c r="T142" i="147"/>
  <c r="T120" i="147"/>
  <c r="U94" i="147"/>
  <c r="T94" i="147"/>
  <c r="U111" i="147"/>
  <c r="U117" i="147"/>
  <c r="T117" i="147"/>
  <c r="U122" i="147"/>
  <c r="T122" i="147"/>
  <c r="U125" i="147"/>
  <c r="T125" i="147"/>
  <c r="U129" i="147"/>
  <c r="T129" i="147"/>
  <c r="T93" i="147"/>
  <c r="U98" i="147"/>
  <c r="T98" i="147"/>
  <c r="T101" i="147"/>
  <c r="U101" i="147"/>
  <c r="U106" i="147"/>
  <c r="T106" i="147"/>
  <c r="U109" i="147"/>
  <c r="T109" i="147"/>
  <c r="U114" i="147"/>
  <c r="T114" i="147"/>
  <c r="U141" i="147"/>
  <c r="T141" i="147"/>
  <c r="U95" i="147"/>
  <c r="U99" i="147"/>
  <c r="U107" i="147"/>
  <c r="U115" i="147"/>
  <c r="U118" i="147"/>
  <c r="T118" i="147"/>
  <c r="U121" i="147"/>
  <c r="T121" i="147"/>
  <c r="U126" i="147"/>
  <c r="T126" i="147"/>
  <c r="U137" i="147"/>
  <c r="T137" i="147"/>
  <c r="U97" i="147"/>
  <c r="T97" i="147"/>
  <c r="U102" i="147"/>
  <c r="T102" i="147"/>
  <c r="U105" i="147"/>
  <c r="T105" i="147"/>
  <c r="U110" i="147"/>
  <c r="T110" i="147"/>
  <c r="U113" i="147"/>
  <c r="T113" i="147"/>
  <c r="U133" i="147"/>
  <c r="T133" i="147"/>
  <c r="T132" i="147"/>
  <c r="T136" i="147"/>
  <c r="T140" i="147"/>
  <c r="T144" i="147"/>
  <c r="F98" i="44"/>
  <c r="F96" i="44"/>
  <c r="H96" i="44" s="1"/>
  <c r="F94" i="44"/>
  <c r="H94" i="44" s="1"/>
  <c r="F92" i="44"/>
  <c r="H92" i="44" s="1"/>
  <c r="F90" i="44"/>
  <c r="H90" i="44" s="1"/>
  <c r="F88" i="44"/>
  <c r="H88" i="44" s="1"/>
  <c r="F86" i="44"/>
  <c r="H86" i="44" s="1"/>
  <c r="F84" i="44"/>
  <c r="H84" i="44" s="1"/>
  <c r="F82" i="44"/>
  <c r="H82" i="44" s="1"/>
  <c r="F80" i="44"/>
  <c r="H80" i="44" s="1"/>
  <c r="F78" i="44"/>
  <c r="H78" i="44" s="1"/>
  <c r="F76" i="44"/>
  <c r="H76" i="44" s="1"/>
  <c r="F74" i="44"/>
  <c r="F73" i="44"/>
  <c r="H73" i="44" s="1"/>
  <c r="H67" i="44"/>
  <c r="F65" i="44"/>
  <c r="H65" i="44" s="1"/>
  <c r="F63" i="44"/>
  <c r="H63" i="44" s="1"/>
  <c r="F61" i="44"/>
  <c r="H61" i="44" s="1"/>
  <c r="F59" i="44"/>
  <c r="H59" i="44" s="1"/>
  <c r="F57" i="44"/>
  <c r="H57" i="44" s="1"/>
  <c r="F55" i="44"/>
  <c r="H55" i="44" s="1"/>
  <c r="F53" i="44"/>
  <c r="H53" i="44" s="1"/>
  <c r="F51" i="44"/>
  <c r="H51" i="44" s="1"/>
  <c r="F49" i="44"/>
  <c r="F47" i="44"/>
  <c r="F45" i="44"/>
  <c r="F43" i="44"/>
  <c r="F41" i="44"/>
  <c r="F39" i="44"/>
  <c r="H39" i="44" s="1"/>
  <c r="F37" i="44"/>
  <c r="H37" i="44" s="1"/>
  <c r="F35" i="44"/>
  <c r="H35" i="44" s="1"/>
  <c r="F33" i="44"/>
  <c r="H33" i="44" s="1"/>
  <c r="F31" i="44"/>
  <c r="H31" i="44" s="1"/>
  <c r="F29" i="44"/>
  <c r="H29" i="44" s="1"/>
  <c r="F28" i="44"/>
  <c r="H28" i="44" s="1"/>
  <c r="F26" i="44"/>
  <c r="H26" i="44" s="1"/>
  <c r="F24" i="44"/>
  <c r="H24" i="44" s="1"/>
  <c r="F22" i="44"/>
  <c r="H22" i="44" s="1"/>
  <c r="F20" i="44"/>
  <c r="H20" i="44" s="1"/>
  <c r="F18" i="44"/>
  <c r="H18" i="44" s="1"/>
  <c r="F14" i="44"/>
  <c r="F12" i="44"/>
  <c r="H12" i="44" s="1"/>
  <c r="F10" i="44"/>
  <c r="F8" i="44"/>
  <c r="F6" i="44"/>
  <c r="H6" i="44" s="1"/>
  <c r="H71" i="44"/>
  <c r="H69" i="44"/>
  <c r="H49" i="44"/>
  <c r="H47" i="44"/>
  <c r="H45" i="44"/>
  <c r="H41" i="44"/>
  <c r="H98" i="44"/>
  <c r="H74" i="44"/>
  <c r="H43" i="44"/>
  <c r="H14" i="44"/>
  <c r="H10" i="44"/>
  <c r="H8" i="44"/>
  <c r="H99" i="44" l="1"/>
  <c r="AA41" i="42"/>
  <c r="W41" i="42"/>
  <c r="V41" i="42"/>
  <c r="O41" i="42"/>
  <c r="L41" i="42"/>
  <c r="Y41" i="42" s="1"/>
  <c r="K41" i="42"/>
  <c r="X41" i="42" s="1"/>
  <c r="M38" i="168"/>
  <c r="M36" i="168"/>
  <c r="I36" i="168"/>
  <c r="L36" i="168" s="1"/>
  <c r="P33" i="168"/>
  <c r="O33" i="168"/>
  <c r="M33" i="168"/>
  <c r="M28" i="168"/>
  <c r="M24" i="168"/>
  <c r="G16" i="168"/>
  <c r="G18" i="168" s="1"/>
  <c r="H22" i="168" s="1"/>
  <c r="M14" i="168"/>
  <c r="M12" i="168"/>
  <c r="M10" i="168"/>
  <c r="M8" i="168"/>
  <c r="L1" i="168"/>
  <c r="T41" i="42" l="1"/>
  <c r="AB41" i="42"/>
  <c r="U41" i="42"/>
  <c r="H10" i="168"/>
  <c r="L10" i="168" s="1"/>
  <c r="H26" i="168"/>
  <c r="H30" i="168" s="1"/>
  <c r="M4" i="168"/>
  <c r="I33" i="168" s="1"/>
  <c r="L33" i="168" s="1"/>
  <c r="H12" i="168"/>
  <c r="L12" i="168" s="1"/>
  <c r="H14" i="168"/>
  <c r="L14" i="168" s="1"/>
  <c r="I24" i="168" l="1"/>
  <c r="L24" i="168" s="1"/>
  <c r="I38" i="168"/>
  <c r="L38" i="168" s="1"/>
  <c r="I28" i="168"/>
  <c r="L28" i="168" s="1"/>
  <c r="N87" i="165" l="1"/>
  <c r="N89" i="166"/>
  <c r="N87" i="167"/>
  <c r="N85" i="167"/>
  <c r="N85" i="165"/>
  <c r="N85" i="42"/>
  <c r="N87" i="166"/>
  <c r="V40" i="42"/>
  <c r="W40" i="42"/>
  <c r="O40" i="42"/>
  <c r="L40" i="42"/>
  <c r="Y40" i="42" s="1"/>
  <c r="O1" i="167"/>
  <c r="N73" i="167" s="1"/>
  <c r="I82" i="167"/>
  <c r="K87" i="167" s="1"/>
  <c r="M87" i="167" s="1"/>
  <c r="R81" i="167"/>
  <c r="Q80" i="167" s="1"/>
  <c r="G80" i="167"/>
  <c r="E79" i="167"/>
  <c r="H78" i="167"/>
  <c r="J78" i="167" s="1"/>
  <c r="H77" i="167"/>
  <c r="J77" i="167" s="1"/>
  <c r="H76" i="167"/>
  <c r="J76" i="167" s="1"/>
  <c r="H75" i="167"/>
  <c r="J75" i="167" s="1"/>
  <c r="H74" i="167"/>
  <c r="J74" i="167" s="1"/>
  <c r="H73" i="167"/>
  <c r="J73" i="167" s="1"/>
  <c r="H72" i="167"/>
  <c r="J72" i="167" s="1"/>
  <c r="H71" i="167"/>
  <c r="J71" i="167" s="1"/>
  <c r="H70" i="167"/>
  <c r="J70" i="167" s="1"/>
  <c r="H69" i="167"/>
  <c r="J69" i="167" s="1"/>
  <c r="H68" i="167"/>
  <c r="J68" i="167" s="1"/>
  <c r="H67" i="167"/>
  <c r="J67" i="167" s="1"/>
  <c r="H66" i="167"/>
  <c r="J66" i="167" s="1"/>
  <c r="H65" i="167"/>
  <c r="J65" i="167" s="1"/>
  <c r="H64" i="167"/>
  <c r="J64" i="167" s="1"/>
  <c r="H63" i="167"/>
  <c r="J63" i="167" s="1"/>
  <c r="H62" i="167"/>
  <c r="J62" i="167" s="1"/>
  <c r="H61" i="167"/>
  <c r="J61" i="167" s="1"/>
  <c r="H60" i="167"/>
  <c r="J60" i="167" s="1"/>
  <c r="H59" i="167"/>
  <c r="J59" i="167" s="1"/>
  <c r="H58" i="167"/>
  <c r="J58" i="167" s="1"/>
  <c r="H57" i="167"/>
  <c r="J57" i="167" s="1"/>
  <c r="H56" i="167"/>
  <c r="J56" i="167" s="1"/>
  <c r="H55" i="167"/>
  <c r="J55" i="167" s="1"/>
  <c r="H54" i="167"/>
  <c r="J54" i="167" s="1"/>
  <c r="H53" i="167"/>
  <c r="J53" i="167" s="1"/>
  <c r="H52" i="167"/>
  <c r="J52" i="167" s="1"/>
  <c r="H51" i="167"/>
  <c r="J51" i="167" s="1"/>
  <c r="H50" i="167"/>
  <c r="J50" i="167" s="1"/>
  <c r="H49" i="167"/>
  <c r="J49" i="167" s="1"/>
  <c r="H48" i="167"/>
  <c r="J48" i="167" s="1"/>
  <c r="H47" i="167"/>
  <c r="J47" i="167" s="1"/>
  <c r="H46" i="167"/>
  <c r="J46" i="167" s="1"/>
  <c r="H45" i="167"/>
  <c r="J45" i="167" s="1"/>
  <c r="H44" i="167"/>
  <c r="J44" i="167" s="1"/>
  <c r="H43" i="167"/>
  <c r="J43" i="167" s="1"/>
  <c r="H42" i="167"/>
  <c r="J42" i="167" s="1"/>
  <c r="H41" i="167"/>
  <c r="J41" i="167" s="1"/>
  <c r="H40" i="167"/>
  <c r="J40" i="167" s="1"/>
  <c r="H39" i="167"/>
  <c r="J39" i="167" s="1"/>
  <c r="H38" i="167"/>
  <c r="J38" i="167" s="1"/>
  <c r="H37" i="167"/>
  <c r="J37" i="167" s="1"/>
  <c r="H36" i="167"/>
  <c r="J36" i="167" s="1"/>
  <c r="H35" i="167"/>
  <c r="J35" i="167" s="1"/>
  <c r="H34" i="167"/>
  <c r="J34" i="167" s="1"/>
  <c r="H33" i="167"/>
  <c r="J33" i="167" s="1"/>
  <c r="H32" i="167"/>
  <c r="J32" i="167" s="1"/>
  <c r="H31" i="167"/>
  <c r="J31" i="167" s="1"/>
  <c r="H30" i="167"/>
  <c r="J30" i="167" s="1"/>
  <c r="H29" i="167"/>
  <c r="J29" i="167" s="1"/>
  <c r="H28" i="167"/>
  <c r="J28" i="167" s="1"/>
  <c r="H27" i="167"/>
  <c r="J27" i="167" s="1"/>
  <c r="H26" i="167"/>
  <c r="J26" i="167" s="1"/>
  <c r="H25" i="167"/>
  <c r="J25" i="167" s="1"/>
  <c r="H24" i="167"/>
  <c r="J24" i="167" s="1"/>
  <c r="H23" i="167"/>
  <c r="J23" i="167" s="1"/>
  <c r="H22" i="167"/>
  <c r="J22" i="167" s="1"/>
  <c r="H21" i="167"/>
  <c r="J21" i="167" s="1"/>
  <c r="H20" i="167"/>
  <c r="J20" i="167" s="1"/>
  <c r="H19" i="167"/>
  <c r="J19" i="167" s="1"/>
  <c r="H18" i="167"/>
  <c r="J18" i="167" s="1"/>
  <c r="H17" i="167"/>
  <c r="J17" i="167" s="1"/>
  <c r="H16" i="167"/>
  <c r="J16" i="167" s="1"/>
  <c r="H15" i="167"/>
  <c r="J15" i="167" s="1"/>
  <c r="H14" i="167"/>
  <c r="J14" i="167" s="1"/>
  <c r="H13" i="167"/>
  <c r="J13" i="167" s="1"/>
  <c r="H12" i="167"/>
  <c r="J12" i="167" s="1"/>
  <c r="H11" i="167"/>
  <c r="J11" i="167" s="1"/>
  <c r="H10" i="167"/>
  <c r="J10" i="167" s="1"/>
  <c r="H9" i="167"/>
  <c r="N6" i="167"/>
  <c r="R1" i="167"/>
  <c r="R2" i="167" s="1"/>
  <c r="O39" i="42"/>
  <c r="W39" i="42"/>
  <c r="V39" i="42"/>
  <c r="L39" i="42"/>
  <c r="O1" i="166"/>
  <c r="H83" i="166"/>
  <c r="R82" i="166"/>
  <c r="Q81" i="166" s="1"/>
  <c r="G81" i="166"/>
  <c r="E80" i="166"/>
  <c r="N6" i="166"/>
  <c r="R1" i="166"/>
  <c r="R5" i="166" s="1"/>
  <c r="N12" i="166" l="1"/>
  <c r="N16" i="166"/>
  <c r="K16" i="166" s="1"/>
  <c r="M16" i="166" s="1"/>
  <c r="N20" i="166"/>
  <c r="N24" i="166"/>
  <c r="N28" i="166"/>
  <c r="N32" i="166"/>
  <c r="K32" i="166" s="1"/>
  <c r="M32" i="166" s="1"/>
  <c r="N36" i="166"/>
  <c r="K36" i="166" s="1"/>
  <c r="M36" i="166" s="1"/>
  <c r="N40" i="166"/>
  <c r="N44" i="166"/>
  <c r="N48" i="166"/>
  <c r="K48" i="166" s="1"/>
  <c r="M48" i="166" s="1"/>
  <c r="N52" i="166"/>
  <c r="K52" i="166" s="1"/>
  <c r="M52" i="166" s="1"/>
  <c r="N56" i="166"/>
  <c r="N60" i="166"/>
  <c r="N64" i="166"/>
  <c r="K64" i="166" s="1"/>
  <c r="N68" i="166"/>
  <c r="K68" i="166" s="1"/>
  <c r="M68" i="166" s="1"/>
  <c r="N72" i="166"/>
  <c r="N76" i="166"/>
  <c r="N10" i="166"/>
  <c r="K10" i="166" s="1"/>
  <c r="N13" i="166"/>
  <c r="N17" i="166"/>
  <c r="K17" i="166" s="1"/>
  <c r="N21" i="166"/>
  <c r="N25" i="166"/>
  <c r="K25" i="166" s="1"/>
  <c r="M25" i="166" s="1"/>
  <c r="N29" i="166"/>
  <c r="N33" i="166"/>
  <c r="K33" i="166" s="1"/>
  <c r="N37" i="166"/>
  <c r="N41" i="166"/>
  <c r="K41" i="166" s="1"/>
  <c r="N45" i="166"/>
  <c r="N49" i="166"/>
  <c r="K49" i="166" s="1"/>
  <c r="N53" i="166"/>
  <c r="N57" i="166"/>
  <c r="K57" i="166" s="1"/>
  <c r="M57" i="166" s="1"/>
  <c r="N61" i="166"/>
  <c r="K61" i="166" s="1"/>
  <c r="M61" i="166" s="1"/>
  <c r="N65" i="166"/>
  <c r="K65" i="166" s="1"/>
  <c r="N69" i="166"/>
  <c r="K69" i="166" s="1"/>
  <c r="M69" i="166" s="1"/>
  <c r="N73" i="166"/>
  <c r="K73" i="166" s="1"/>
  <c r="M73" i="166" s="1"/>
  <c r="N77" i="166"/>
  <c r="N14" i="166"/>
  <c r="N18" i="166"/>
  <c r="K18" i="166" s="1"/>
  <c r="M18" i="166" s="1"/>
  <c r="N22" i="166"/>
  <c r="N26" i="166"/>
  <c r="N30" i="166"/>
  <c r="K30" i="166" s="1"/>
  <c r="N34" i="166"/>
  <c r="N38" i="166"/>
  <c r="K38" i="166" s="1"/>
  <c r="M38" i="166" s="1"/>
  <c r="N42" i="166"/>
  <c r="N46" i="166"/>
  <c r="N50" i="166"/>
  <c r="K50" i="166" s="1"/>
  <c r="N54" i="166"/>
  <c r="K54" i="166" s="1"/>
  <c r="M54" i="166" s="1"/>
  <c r="N58" i="166"/>
  <c r="N62" i="166"/>
  <c r="N66" i="166"/>
  <c r="N70" i="166"/>
  <c r="N74" i="166"/>
  <c r="N78" i="166"/>
  <c r="K78" i="166" s="1"/>
  <c r="N11" i="166"/>
  <c r="K11" i="166" s="1"/>
  <c r="N15" i="166"/>
  <c r="N19" i="166"/>
  <c r="N23" i="166"/>
  <c r="K23" i="166" s="1"/>
  <c r="N27" i="166"/>
  <c r="K27" i="166" s="1"/>
  <c r="N31" i="166"/>
  <c r="K31" i="166" s="1"/>
  <c r="M31" i="166" s="1"/>
  <c r="N35" i="166"/>
  <c r="N39" i="166"/>
  <c r="K39" i="166" s="1"/>
  <c r="N43" i="166"/>
  <c r="N47" i="166"/>
  <c r="N51" i="166"/>
  <c r="N55" i="166"/>
  <c r="K55" i="166" s="1"/>
  <c r="N59" i="166"/>
  <c r="N63" i="166"/>
  <c r="N67" i="166"/>
  <c r="N71" i="166"/>
  <c r="N75" i="166"/>
  <c r="N79" i="166"/>
  <c r="K89" i="166"/>
  <c r="M89" i="166" s="1"/>
  <c r="N37" i="167"/>
  <c r="K37" i="167" s="1"/>
  <c r="M37" i="167" s="1"/>
  <c r="N53" i="167"/>
  <c r="K53" i="167" s="1"/>
  <c r="M53" i="167" s="1"/>
  <c r="N69" i="167"/>
  <c r="K69" i="167" s="1"/>
  <c r="M69" i="167" s="1"/>
  <c r="N76" i="167"/>
  <c r="K76" i="167" s="1"/>
  <c r="M76" i="167" s="1"/>
  <c r="N9" i="167"/>
  <c r="K9" i="167" s="1"/>
  <c r="M9" i="167" s="1"/>
  <c r="N11" i="167"/>
  <c r="K11" i="167" s="1"/>
  <c r="M11" i="167" s="1"/>
  <c r="N13" i="167"/>
  <c r="K13" i="167" s="1"/>
  <c r="M13" i="167" s="1"/>
  <c r="N15" i="167"/>
  <c r="K15" i="167" s="1"/>
  <c r="M15" i="167" s="1"/>
  <c r="N17" i="167"/>
  <c r="K17" i="167" s="1"/>
  <c r="M17" i="167" s="1"/>
  <c r="N19" i="167"/>
  <c r="K19" i="167" s="1"/>
  <c r="M19" i="167" s="1"/>
  <c r="N21" i="167"/>
  <c r="K21" i="167" s="1"/>
  <c r="M21" i="167" s="1"/>
  <c r="N23" i="167"/>
  <c r="K23" i="167" s="1"/>
  <c r="M23" i="167" s="1"/>
  <c r="N25" i="167"/>
  <c r="K25" i="167" s="1"/>
  <c r="M25" i="167" s="1"/>
  <c r="N27" i="167"/>
  <c r="K27" i="167" s="1"/>
  <c r="M27" i="167" s="1"/>
  <c r="N29" i="167"/>
  <c r="K29" i="167" s="1"/>
  <c r="M29" i="167" s="1"/>
  <c r="N45" i="167"/>
  <c r="K45" i="167" s="1"/>
  <c r="M45" i="167" s="1"/>
  <c r="N61" i="167"/>
  <c r="K61" i="167" s="1"/>
  <c r="M61" i="167" s="1"/>
  <c r="N77" i="167"/>
  <c r="K77" i="167" s="1"/>
  <c r="M77" i="167" s="1"/>
  <c r="T40" i="42"/>
  <c r="O85" i="167"/>
  <c r="N33" i="167"/>
  <c r="K33" i="167" s="1"/>
  <c r="M33" i="167" s="1"/>
  <c r="N49" i="167"/>
  <c r="K49" i="167" s="1"/>
  <c r="M49" i="167" s="1"/>
  <c r="N65" i="167"/>
  <c r="K65" i="167" s="1"/>
  <c r="M65" i="167" s="1"/>
  <c r="N41" i="167"/>
  <c r="K41" i="167" s="1"/>
  <c r="M41" i="167" s="1"/>
  <c r="N57" i="167"/>
  <c r="K57" i="167" s="1"/>
  <c r="M57" i="167" s="1"/>
  <c r="R2" i="166"/>
  <c r="R5" i="167"/>
  <c r="K73" i="167"/>
  <c r="M73" i="167" s="1"/>
  <c r="K40" i="42"/>
  <c r="X40" i="42" s="1"/>
  <c r="H81" i="167"/>
  <c r="J9" i="167"/>
  <c r="J83" i="167" s="1"/>
  <c r="N10" i="167"/>
  <c r="K10" i="167" s="1"/>
  <c r="M10" i="167" s="1"/>
  <c r="N14" i="167"/>
  <c r="K14" i="167" s="1"/>
  <c r="M14" i="167" s="1"/>
  <c r="N18" i="167"/>
  <c r="K18" i="167" s="1"/>
  <c r="M18" i="167" s="1"/>
  <c r="N22" i="167"/>
  <c r="K22" i="167" s="1"/>
  <c r="M22" i="167" s="1"/>
  <c r="N26" i="167"/>
  <c r="K26" i="167" s="1"/>
  <c r="M26" i="167" s="1"/>
  <c r="N30" i="167"/>
  <c r="K30" i="167" s="1"/>
  <c r="M30" i="167" s="1"/>
  <c r="N34" i="167"/>
  <c r="K34" i="167" s="1"/>
  <c r="M34" i="167" s="1"/>
  <c r="N38" i="167"/>
  <c r="K38" i="167" s="1"/>
  <c r="M38" i="167" s="1"/>
  <c r="N42" i="167"/>
  <c r="K42" i="167" s="1"/>
  <c r="M42" i="167" s="1"/>
  <c r="N46" i="167"/>
  <c r="K46" i="167" s="1"/>
  <c r="M46" i="167" s="1"/>
  <c r="N50" i="167"/>
  <c r="K50" i="167" s="1"/>
  <c r="M50" i="167" s="1"/>
  <c r="N54" i="167"/>
  <c r="K54" i="167" s="1"/>
  <c r="M54" i="167" s="1"/>
  <c r="N58" i="167"/>
  <c r="K58" i="167" s="1"/>
  <c r="M58" i="167" s="1"/>
  <c r="N62" i="167"/>
  <c r="K62" i="167" s="1"/>
  <c r="M62" i="167" s="1"/>
  <c r="N66" i="167"/>
  <c r="K66" i="167" s="1"/>
  <c r="M66" i="167" s="1"/>
  <c r="N70" i="167"/>
  <c r="K70" i="167" s="1"/>
  <c r="M70" i="167" s="1"/>
  <c r="N74" i="167"/>
  <c r="K74" i="167" s="1"/>
  <c r="M74" i="167" s="1"/>
  <c r="N78" i="167"/>
  <c r="K78" i="167" s="1"/>
  <c r="M78" i="167" s="1"/>
  <c r="P85" i="167"/>
  <c r="N31" i="167"/>
  <c r="K31" i="167" s="1"/>
  <c r="M31" i="167" s="1"/>
  <c r="N35" i="167"/>
  <c r="K35" i="167" s="1"/>
  <c r="M35" i="167" s="1"/>
  <c r="N39" i="167"/>
  <c r="K39" i="167" s="1"/>
  <c r="M39" i="167" s="1"/>
  <c r="N43" i="167"/>
  <c r="K43" i="167" s="1"/>
  <c r="M43" i="167" s="1"/>
  <c r="N47" i="167"/>
  <c r="K47" i="167" s="1"/>
  <c r="M47" i="167" s="1"/>
  <c r="N51" i="167"/>
  <c r="K51" i="167" s="1"/>
  <c r="M51" i="167" s="1"/>
  <c r="N55" i="167"/>
  <c r="K55" i="167" s="1"/>
  <c r="M55" i="167" s="1"/>
  <c r="N59" i="167"/>
  <c r="K59" i="167" s="1"/>
  <c r="M59" i="167" s="1"/>
  <c r="N63" i="167"/>
  <c r="K63" i="167" s="1"/>
  <c r="M63" i="167" s="1"/>
  <c r="N67" i="167"/>
  <c r="K67" i="167" s="1"/>
  <c r="M67" i="167" s="1"/>
  <c r="N71" i="167"/>
  <c r="K71" i="167" s="1"/>
  <c r="M71" i="167" s="1"/>
  <c r="N75" i="167"/>
  <c r="K75" i="167" s="1"/>
  <c r="M75" i="167" s="1"/>
  <c r="N12" i="167"/>
  <c r="K12" i="167" s="1"/>
  <c r="M12" i="167" s="1"/>
  <c r="N16" i="167"/>
  <c r="K16" i="167" s="1"/>
  <c r="M16" i="167" s="1"/>
  <c r="N20" i="167"/>
  <c r="K20" i="167" s="1"/>
  <c r="M20" i="167" s="1"/>
  <c r="N24" i="167"/>
  <c r="K24" i="167" s="1"/>
  <c r="M24" i="167" s="1"/>
  <c r="N28" i="167"/>
  <c r="K28" i="167" s="1"/>
  <c r="M28" i="167" s="1"/>
  <c r="N32" i="167"/>
  <c r="K32" i="167" s="1"/>
  <c r="M32" i="167" s="1"/>
  <c r="N36" i="167"/>
  <c r="K36" i="167" s="1"/>
  <c r="M36" i="167" s="1"/>
  <c r="N40" i="167"/>
  <c r="K40" i="167" s="1"/>
  <c r="M40" i="167" s="1"/>
  <c r="N44" i="167"/>
  <c r="K44" i="167" s="1"/>
  <c r="M44" i="167" s="1"/>
  <c r="N48" i="167"/>
  <c r="K48" i="167" s="1"/>
  <c r="M48" i="167" s="1"/>
  <c r="N52" i="167"/>
  <c r="K52" i="167" s="1"/>
  <c r="M52" i="167" s="1"/>
  <c r="N56" i="167"/>
  <c r="K56" i="167" s="1"/>
  <c r="M56" i="167" s="1"/>
  <c r="N60" i="167"/>
  <c r="K60" i="167" s="1"/>
  <c r="M60" i="167" s="1"/>
  <c r="N64" i="167"/>
  <c r="K64" i="167" s="1"/>
  <c r="M64" i="167" s="1"/>
  <c r="N68" i="167"/>
  <c r="K68" i="167" s="1"/>
  <c r="M68" i="167" s="1"/>
  <c r="N72" i="167"/>
  <c r="K72" i="167" s="1"/>
  <c r="M72" i="167" s="1"/>
  <c r="O87" i="166"/>
  <c r="P87" i="166"/>
  <c r="T39" i="42"/>
  <c r="Y39" i="42"/>
  <c r="K39" i="42"/>
  <c r="X39" i="42" s="1"/>
  <c r="M64" i="166"/>
  <c r="M41" i="166"/>
  <c r="K63" i="166" l="1"/>
  <c r="M63" i="166" s="1"/>
  <c r="K15" i="166"/>
  <c r="M15" i="166" s="1"/>
  <c r="K62" i="166"/>
  <c r="M62" i="166" s="1"/>
  <c r="K46" i="166"/>
  <c r="M46" i="166" s="1"/>
  <c r="K14" i="166"/>
  <c r="M14" i="166" s="1"/>
  <c r="K72" i="166"/>
  <c r="M72" i="166" s="1"/>
  <c r="K56" i="166"/>
  <c r="M56" i="166" s="1"/>
  <c r="K40" i="166"/>
  <c r="M40" i="166" s="1"/>
  <c r="K24" i="166"/>
  <c r="M24" i="166" s="1"/>
  <c r="K79" i="166"/>
  <c r="M79" i="166" s="1"/>
  <c r="K47" i="166"/>
  <c r="M47" i="166" s="1"/>
  <c r="K70" i="166"/>
  <c r="M70" i="166" s="1"/>
  <c r="K71" i="166"/>
  <c r="M71" i="166" s="1"/>
  <c r="K67" i="166"/>
  <c r="M67" i="166" s="1"/>
  <c r="K51" i="166"/>
  <c r="M51" i="166" s="1"/>
  <c r="K35" i="166"/>
  <c r="M35" i="166" s="1"/>
  <c r="K19" i="166"/>
  <c r="M19" i="166" s="1"/>
  <c r="K74" i="166"/>
  <c r="M74" i="166" s="1"/>
  <c r="K58" i="166"/>
  <c r="M58" i="166" s="1"/>
  <c r="K42" i="166"/>
  <c r="M42" i="166" s="1"/>
  <c r="K26" i="166"/>
  <c r="M26" i="166" s="1"/>
  <c r="K77" i="166"/>
  <c r="M77" i="166" s="1"/>
  <c r="K45" i="166"/>
  <c r="M45" i="166" s="1"/>
  <c r="K29" i="166"/>
  <c r="M29" i="166" s="1"/>
  <c r="K13" i="166"/>
  <c r="M13" i="166" s="1"/>
  <c r="K20" i="166"/>
  <c r="M20" i="166" s="1"/>
  <c r="K22" i="166"/>
  <c r="M22" i="166" s="1"/>
  <c r="K75" i="166"/>
  <c r="M75" i="166" s="1"/>
  <c r="K59" i="166"/>
  <c r="M59" i="166" s="1"/>
  <c r="K43" i="166"/>
  <c r="M43" i="166" s="1"/>
  <c r="K66" i="166"/>
  <c r="M66" i="166" s="1"/>
  <c r="K34" i="166"/>
  <c r="M34" i="166" s="1"/>
  <c r="K53" i="166"/>
  <c r="M53" i="166" s="1"/>
  <c r="K37" i="166"/>
  <c r="M37" i="166" s="1"/>
  <c r="K21" i="166"/>
  <c r="M21" i="166" s="1"/>
  <c r="K76" i="166"/>
  <c r="M76" i="166" s="1"/>
  <c r="K60" i="166"/>
  <c r="M60" i="166" s="1"/>
  <c r="K44" i="166"/>
  <c r="M44" i="166" s="1"/>
  <c r="K28" i="166"/>
  <c r="M28" i="166" s="1"/>
  <c r="K12" i="166"/>
  <c r="M12" i="166" s="1"/>
  <c r="M10" i="166"/>
  <c r="M55" i="166"/>
  <c r="M39" i="166"/>
  <c r="M23" i="166"/>
  <c r="M78" i="166"/>
  <c r="M30" i="166"/>
  <c r="M65" i="166"/>
  <c r="M49" i="166"/>
  <c r="M33" i="166"/>
  <c r="M17" i="166"/>
  <c r="M11" i="166"/>
  <c r="M27" i="166"/>
  <c r="M50" i="166"/>
  <c r="U40" i="42"/>
  <c r="N4" i="167"/>
  <c r="U39" i="42"/>
  <c r="N4" i="166"/>
  <c r="H6" i="166" s="1"/>
  <c r="M6" i="166" s="1"/>
  <c r="J89" i="167" l="1"/>
  <c r="M89" i="167" s="1"/>
  <c r="K85" i="167"/>
  <c r="M85" i="167" s="1"/>
  <c r="H6" i="167"/>
  <c r="M6" i="167" s="1"/>
  <c r="I91" i="166"/>
  <c r="M91" i="166" s="1"/>
  <c r="K87" i="166"/>
  <c r="M87" i="166" s="1"/>
  <c r="M4" i="167" l="1"/>
  <c r="M91" i="167" s="1"/>
  <c r="E137" i="2" s="1"/>
  <c r="C137" i="2" s="1"/>
  <c r="M4" i="166"/>
  <c r="M93" i="166" s="1"/>
  <c r="E136" i="2" s="1"/>
  <c r="C136" i="2" s="1"/>
  <c r="O38" i="42" l="1"/>
  <c r="L38" i="42"/>
  <c r="W38" i="42"/>
  <c r="V38" i="42"/>
  <c r="O1" i="165"/>
  <c r="N77" i="165" s="1"/>
  <c r="I82" i="165"/>
  <c r="K87" i="165" s="1"/>
  <c r="M87" i="165" s="1"/>
  <c r="R81" i="165"/>
  <c r="Q80" i="165" s="1"/>
  <c r="G80" i="165"/>
  <c r="E79" i="165"/>
  <c r="H78" i="165"/>
  <c r="J78" i="165" s="1"/>
  <c r="H77" i="165"/>
  <c r="J77" i="165" s="1"/>
  <c r="H76" i="165"/>
  <c r="J76" i="165" s="1"/>
  <c r="H75" i="165"/>
  <c r="J75" i="165" s="1"/>
  <c r="H74" i="165"/>
  <c r="J74" i="165" s="1"/>
  <c r="H73" i="165"/>
  <c r="J73" i="165" s="1"/>
  <c r="H72" i="165"/>
  <c r="J72" i="165" s="1"/>
  <c r="H71" i="165"/>
  <c r="J71" i="165" s="1"/>
  <c r="H70" i="165"/>
  <c r="J70" i="165" s="1"/>
  <c r="H69" i="165"/>
  <c r="J69" i="165" s="1"/>
  <c r="H68" i="165"/>
  <c r="J68" i="165" s="1"/>
  <c r="H67" i="165"/>
  <c r="J67" i="165" s="1"/>
  <c r="H66" i="165"/>
  <c r="J66" i="165" s="1"/>
  <c r="H65" i="165"/>
  <c r="J65" i="165" s="1"/>
  <c r="H64" i="165"/>
  <c r="J64" i="165" s="1"/>
  <c r="H63" i="165"/>
  <c r="J63" i="165" s="1"/>
  <c r="H62" i="165"/>
  <c r="J62" i="165" s="1"/>
  <c r="H61" i="165"/>
  <c r="J61" i="165" s="1"/>
  <c r="H60" i="165"/>
  <c r="J60" i="165" s="1"/>
  <c r="H59" i="165"/>
  <c r="J59" i="165" s="1"/>
  <c r="H58" i="165"/>
  <c r="J58" i="165" s="1"/>
  <c r="H57" i="165"/>
  <c r="J57" i="165" s="1"/>
  <c r="H56" i="165"/>
  <c r="J56" i="165" s="1"/>
  <c r="H55" i="165"/>
  <c r="J55" i="165" s="1"/>
  <c r="H54" i="165"/>
  <c r="J54" i="165" s="1"/>
  <c r="H53" i="165"/>
  <c r="J53" i="165" s="1"/>
  <c r="H52" i="165"/>
  <c r="J52" i="165" s="1"/>
  <c r="H51" i="165"/>
  <c r="J51" i="165" s="1"/>
  <c r="H50" i="165"/>
  <c r="J50" i="165" s="1"/>
  <c r="H49" i="165"/>
  <c r="J49" i="165" s="1"/>
  <c r="H48" i="165"/>
  <c r="J48" i="165" s="1"/>
  <c r="J47" i="165"/>
  <c r="H47" i="165"/>
  <c r="H46" i="165"/>
  <c r="J46" i="165" s="1"/>
  <c r="H45" i="165"/>
  <c r="J45" i="165" s="1"/>
  <c r="H44" i="165"/>
  <c r="J44" i="165" s="1"/>
  <c r="H43" i="165"/>
  <c r="J43" i="165" s="1"/>
  <c r="H42" i="165"/>
  <c r="J42" i="165" s="1"/>
  <c r="H41" i="165"/>
  <c r="J41" i="165" s="1"/>
  <c r="H40" i="165"/>
  <c r="J40" i="165" s="1"/>
  <c r="H39" i="165"/>
  <c r="J39" i="165" s="1"/>
  <c r="H38" i="165"/>
  <c r="J38" i="165" s="1"/>
  <c r="H37" i="165"/>
  <c r="J37" i="165" s="1"/>
  <c r="H36" i="165"/>
  <c r="J36" i="165" s="1"/>
  <c r="H35" i="165"/>
  <c r="J35" i="165" s="1"/>
  <c r="H34" i="165"/>
  <c r="J34" i="165" s="1"/>
  <c r="H33" i="165"/>
  <c r="J33" i="165" s="1"/>
  <c r="H32" i="165"/>
  <c r="J32" i="165" s="1"/>
  <c r="H31" i="165"/>
  <c r="J31" i="165" s="1"/>
  <c r="H30" i="165"/>
  <c r="J30" i="165" s="1"/>
  <c r="H29" i="165"/>
  <c r="J29" i="165" s="1"/>
  <c r="H28" i="165"/>
  <c r="J28" i="165" s="1"/>
  <c r="H27" i="165"/>
  <c r="J27" i="165" s="1"/>
  <c r="H26" i="165"/>
  <c r="J26" i="165" s="1"/>
  <c r="H25" i="165"/>
  <c r="J25" i="165" s="1"/>
  <c r="H24" i="165"/>
  <c r="J24" i="165" s="1"/>
  <c r="H23" i="165"/>
  <c r="J23" i="165" s="1"/>
  <c r="H22" i="165"/>
  <c r="J22" i="165" s="1"/>
  <c r="H21" i="165"/>
  <c r="J21" i="165" s="1"/>
  <c r="H20" i="165"/>
  <c r="J20" i="165" s="1"/>
  <c r="H19" i="165"/>
  <c r="J19" i="165" s="1"/>
  <c r="H18" i="165"/>
  <c r="J18" i="165" s="1"/>
  <c r="H17" i="165"/>
  <c r="J17" i="165" s="1"/>
  <c r="H16" i="165"/>
  <c r="J16" i="165" s="1"/>
  <c r="H15" i="165"/>
  <c r="J15" i="165" s="1"/>
  <c r="J14" i="165"/>
  <c r="H14" i="165"/>
  <c r="H13" i="165"/>
  <c r="J13" i="165" s="1"/>
  <c r="H12" i="165"/>
  <c r="J12" i="165" s="1"/>
  <c r="H11" i="165"/>
  <c r="J11" i="165" s="1"/>
  <c r="H10" i="165"/>
  <c r="J10" i="165" s="1"/>
  <c r="H9" i="165"/>
  <c r="N6" i="165"/>
  <c r="R1" i="165"/>
  <c r="R2" i="165" s="1"/>
  <c r="AC5" i="119"/>
  <c r="AB4" i="119" s="1"/>
  <c r="N9" i="165" l="1"/>
  <c r="K9" i="165" s="1"/>
  <c r="M9" i="165" s="1"/>
  <c r="N13" i="165"/>
  <c r="K13" i="165" s="1"/>
  <c r="M13" i="165" s="1"/>
  <c r="N17" i="165"/>
  <c r="K17" i="165" s="1"/>
  <c r="M17" i="165" s="1"/>
  <c r="N49" i="165"/>
  <c r="K49" i="165" s="1"/>
  <c r="M49" i="165" s="1"/>
  <c r="N76" i="165"/>
  <c r="K76" i="165" s="1"/>
  <c r="M76" i="165" s="1"/>
  <c r="N11" i="165"/>
  <c r="K11" i="165" s="1"/>
  <c r="M11" i="165" s="1"/>
  <c r="N15" i="165"/>
  <c r="K15" i="165" s="1"/>
  <c r="M15" i="165" s="1"/>
  <c r="N25" i="165"/>
  <c r="K25" i="165" s="1"/>
  <c r="M25" i="165" s="1"/>
  <c r="N61" i="165"/>
  <c r="K61" i="165" s="1"/>
  <c r="M61" i="165" s="1"/>
  <c r="N33" i="165"/>
  <c r="K33" i="165" s="1"/>
  <c r="M33" i="165" s="1"/>
  <c r="N21" i="165"/>
  <c r="K21" i="165" s="1"/>
  <c r="M21" i="165" s="1"/>
  <c r="N37" i="165"/>
  <c r="K37" i="165" s="1"/>
  <c r="M37" i="165" s="1"/>
  <c r="N57" i="165"/>
  <c r="N29" i="165"/>
  <c r="K29" i="165" s="1"/>
  <c r="M29" i="165" s="1"/>
  <c r="N41" i="165"/>
  <c r="K41" i="165" s="1"/>
  <c r="M41" i="165" s="1"/>
  <c r="N53" i="165"/>
  <c r="K53" i="165" s="1"/>
  <c r="M53" i="165" s="1"/>
  <c r="N45" i="165"/>
  <c r="R5" i="165"/>
  <c r="K57" i="165"/>
  <c r="M57" i="165" s="1"/>
  <c r="Y38" i="42"/>
  <c r="T38" i="42"/>
  <c r="K38" i="42"/>
  <c r="X38" i="42" s="1"/>
  <c r="O85" i="165"/>
  <c r="N65" i="165"/>
  <c r="K65" i="165" s="1"/>
  <c r="M65" i="165" s="1"/>
  <c r="N69" i="165"/>
  <c r="K69" i="165" s="1"/>
  <c r="M69" i="165" s="1"/>
  <c r="N73" i="165"/>
  <c r="K73" i="165" s="1"/>
  <c r="M73" i="165" s="1"/>
  <c r="H81" i="165"/>
  <c r="J9" i="165"/>
  <c r="J83" i="165" s="1"/>
  <c r="K45" i="165"/>
  <c r="M45" i="165" s="1"/>
  <c r="K77" i="165"/>
  <c r="M77" i="165" s="1"/>
  <c r="N10" i="165"/>
  <c r="K10" i="165" s="1"/>
  <c r="M10" i="165" s="1"/>
  <c r="N14" i="165"/>
  <c r="K14" i="165" s="1"/>
  <c r="M14" i="165" s="1"/>
  <c r="N18" i="165"/>
  <c r="K18" i="165" s="1"/>
  <c r="M18" i="165" s="1"/>
  <c r="N22" i="165"/>
  <c r="K22" i="165" s="1"/>
  <c r="M22" i="165" s="1"/>
  <c r="N26" i="165"/>
  <c r="K26" i="165" s="1"/>
  <c r="M26" i="165" s="1"/>
  <c r="N30" i="165"/>
  <c r="K30" i="165" s="1"/>
  <c r="M30" i="165" s="1"/>
  <c r="N34" i="165"/>
  <c r="K34" i="165" s="1"/>
  <c r="M34" i="165" s="1"/>
  <c r="N38" i="165"/>
  <c r="K38" i="165" s="1"/>
  <c r="M38" i="165" s="1"/>
  <c r="N42" i="165"/>
  <c r="K42" i="165" s="1"/>
  <c r="M42" i="165" s="1"/>
  <c r="N46" i="165"/>
  <c r="K46" i="165" s="1"/>
  <c r="M46" i="165" s="1"/>
  <c r="N50" i="165"/>
  <c r="K50" i="165" s="1"/>
  <c r="M50" i="165" s="1"/>
  <c r="N54" i="165"/>
  <c r="K54" i="165" s="1"/>
  <c r="M54" i="165" s="1"/>
  <c r="N58" i="165"/>
  <c r="K58" i="165" s="1"/>
  <c r="M58" i="165" s="1"/>
  <c r="N62" i="165"/>
  <c r="K62" i="165" s="1"/>
  <c r="M62" i="165" s="1"/>
  <c r="N66" i="165"/>
  <c r="K66" i="165" s="1"/>
  <c r="M66" i="165" s="1"/>
  <c r="N70" i="165"/>
  <c r="K70" i="165" s="1"/>
  <c r="M70" i="165" s="1"/>
  <c r="N74" i="165"/>
  <c r="K74" i="165" s="1"/>
  <c r="M74" i="165" s="1"/>
  <c r="N78" i="165"/>
  <c r="K78" i="165" s="1"/>
  <c r="M78" i="165" s="1"/>
  <c r="P85" i="165"/>
  <c r="N19" i="165"/>
  <c r="K19" i="165" s="1"/>
  <c r="M19" i="165" s="1"/>
  <c r="N23" i="165"/>
  <c r="K23" i="165" s="1"/>
  <c r="M23" i="165" s="1"/>
  <c r="N27" i="165"/>
  <c r="K27" i="165" s="1"/>
  <c r="M27" i="165" s="1"/>
  <c r="N31" i="165"/>
  <c r="K31" i="165" s="1"/>
  <c r="M31" i="165" s="1"/>
  <c r="N35" i="165"/>
  <c r="K35" i="165" s="1"/>
  <c r="M35" i="165" s="1"/>
  <c r="N39" i="165"/>
  <c r="K39" i="165" s="1"/>
  <c r="M39" i="165" s="1"/>
  <c r="N43" i="165"/>
  <c r="K43" i="165" s="1"/>
  <c r="M43" i="165" s="1"/>
  <c r="N47" i="165"/>
  <c r="K47" i="165" s="1"/>
  <c r="M47" i="165" s="1"/>
  <c r="N51" i="165"/>
  <c r="K51" i="165" s="1"/>
  <c r="M51" i="165" s="1"/>
  <c r="N55" i="165"/>
  <c r="K55" i="165" s="1"/>
  <c r="M55" i="165" s="1"/>
  <c r="N59" i="165"/>
  <c r="K59" i="165" s="1"/>
  <c r="M59" i="165" s="1"/>
  <c r="N63" i="165"/>
  <c r="K63" i="165" s="1"/>
  <c r="M63" i="165" s="1"/>
  <c r="N67" i="165"/>
  <c r="K67" i="165" s="1"/>
  <c r="M67" i="165" s="1"/>
  <c r="N71" i="165"/>
  <c r="K71" i="165" s="1"/>
  <c r="M71" i="165" s="1"/>
  <c r="N75" i="165"/>
  <c r="K75" i="165" s="1"/>
  <c r="M75" i="165" s="1"/>
  <c r="N12" i="165"/>
  <c r="K12" i="165" s="1"/>
  <c r="M12" i="165" s="1"/>
  <c r="N16" i="165"/>
  <c r="K16" i="165" s="1"/>
  <c r="M16" i="165" s="1"/>
  <c r="N20" i="165"/>
  <c r="K20" i="165" s="1"/>
  <c r="M20" i="165" s="1"/>
  <c r="N24" i="165"/>
  <c r="K24" i="165" s="1"/>
  <c r="M24" i="165" s="1"/>
  <c r="N28" i="165"/>
  <c r="K28" i="165" s="1"/>
  <c r="M28" i="165" s="1"/>
  <c r="N32" i="165"/>
  <c r="K32" i="165" s="1"/>
  <c r="M32" i="165" s="1"/>
  <c r="N36" i="165"/>
  <c r="K36" i="165" s="1"/>
  <c r="M36" i="165" s="1"/>
  <c r="N40" i="165"/>
  <c r="K40" i="165" s="1"/>
  <c r="M40" i="165" s="1"/>
  <c r="N44" i="165"/>
  <c r="K44" i="165" s="1"/>
  <c r="M44" i="165" s="1"/>
  <c r="N48" i="165"/>
  <c r="K48" i="165" s="1"/>
  <c r="M48" i="165" s="1"/>
  <c r="N52" i="165"/>
  <c r="K52" i="165" s="1"/>
  <c r="M52" i="165" s="1"/>
  <c r="N56" i="165"/>
  <c r="K56" i="165" s="1"/>
  <c r="M56" i="165" s="1"/>
  <c r="N60" i="165"/>
  <c r="K60" i="165" s="1"/>
  <c r="M60" i="165" s="1"/>
  <c r="N64" i="165"/>
  <c r="K64" i="165" s="1"/>
  <c r="M64" i="165" s="1"/>
  <c r="N68" i="165"/>
  <c r="K68" i="165" s="1"/>
  <c r="M68" i="165" s="1"/>
  <c r="N72" i="165"/>
  <c r="K72" i="165" s="1"/>
  <c r="M72" i="165" s="1"/>
  <c r="U38" i="42" l="1"/>
  <c r="N4" i="165"/>
  <c r="J89" i="165" l="1"/>
  <c r="K85" i="165"/>
  <c r="M85" i="165" s="1"/>
  <c r="H6" i="165"/>
  <c r="M6" i="165" s="1"/>
  <c r="M4" i="165" l="1"/>
  <c r="J43" i="146"/>
  <c r="J42" i="146"/>
  <c r="J41" i="146"/>
  <c r="J40" i="146"/>
  <c r="J39" i="146"/>
  <c r="J38" i="146"/>
  <c r="J37" i="146"/>
  <c r="J36" i="146"/>
  <c r="J35" i="146"/>
  <c r="I43" i="146"/>
  <c r="I42" i="146"/>
  <c r="I41" i="146"/>
  <c r="I40" i="146"/>
  <c r="I39" i="146"/>
  <c r="I38" i="146"/>
  <c r="I37" i="146"/>
  <c r="I36" i="146"/>
  <c r="I35" i="146"/>
  <c r="H36" i="146"/>
  <c r="H37" i="146"/>
  <c r="H38" i="146"/>
  <c r="H39" i="146"/>
  <c r="H40" i="146"/>
  <c r="H41" i="146"/>
  <c r="H42" i="146"/>
  <c r="H43" i="146"/>
  <c r="H35" i="146"/>
  <c r="O15" i="136"/>
  <c r="L15" i="136"/>
  <c r="N15" i="136" s="1"/>
  <c r="N32" i="136"/>
  <c r="AE114" i="119"/>
  <c r="AF114" i="119" s="1"/>
  <c r="AG114" i="119" s="1"/>
  <c r="T114" i="119"/>
  <c r="S114" i="119"/>
  <c r="P114" i="119"/>
  <c r="N114" i="119" s="1"/>
  <c r="H114" i="119"/>
  <c r="J114" i="119" s="1"/>
  <c r="AE113" i="119"/>
  <c r="AF113" i="119" s="1"/>
  <c r="AG113" i="119" s="1"/>
  <c r="T113" i="119"/>
  <c r="S113" i="119"/>
  <c r="P113" i="119"/>
  <c r="N113" i="119" s="1"/>
  <c r="H113" i="119"/>
  <c r="J113" i="119" s="1"/>
  <c r="AE112" i="119"/>
  <c r="AF112" i="119" s="1"/>
  <c r="AG112" i="119" s="1"/>
  <c r="T112" i="119"/>
  <c r="S112" i="119"/>
  <c r="P112" i="119"/>
  <c r="N112" i="119" s="1"/>
  <c r="H112" i="119"/>
  <c r="J112" i="119" s="1"/>
  <c r="AE111" i="119"/>
  <c r="AF111" i="119" s="1"/>
  <c r="AG111" i="119" s="1"/>
  <c r="T111" i="119"/>
  <c r="S111" i="119"/>
  <c r="P111" i="119"/>
  <c r="N111" i="119" s="1"/>
  <c r="H111" i="119"/>
  <c r="J111" i="119" s="1"/>
  <c r="AE110" i="119"/>
  <c r="AF110" i="119" s="1"/>
  <c r="AG110" i="119" s="1"/>
  <c r="T110" i="119"/>
  <c r="S110" i="119"/>
  <c r="P110" i="119"/>
  <c r="N110" i="119" s="1"/>
  <c r="H110" i="119"/>
  <c r="J110" i="119" s="1"/>
  <c r="AE109" i="119"/>
  <c r="AF109" i="119" s="1"/>
  <c r="S109" i="119"/>
  <c r="P109" i="119"/>
  <c r="N109" i="119" s="1"/>
  <c r="H109" i="119"/>
  <c r="AE108" i="119"/>
  <c r="AF108" i="119" s="1"/>
  <c r="AG108" i="119" s="1"/>
  <c r="S108" i="119"/>
  <c r="P108" i="119"/>
  <c r="N108" i="119" s="1"/>
  <c r="H108" i="119"/>
  <c r="AE71" i="119"/>
  <c r="AF71" i="119" s="1"/>
  <c r="AG71" i="119" s="1"/>
  <c r="T71" i="119"/>
  <c r="S71" i="119"/>
  <c r="P71" i="119"/>
  <c r="N71" i="119" s="1"/>
  <c r="H71" i="119"/>
  <c r="J71" i="119" s="1"/>
  <c r="AE70" i="119"/>
  <c r="AF70" i="119" s="1"/>
  <c r="AG70" i="119" s="1"/>
  <c r="T70" i="119"/>
  <c r="S70" i="119"/>
  <c r="P70" i="119"/>
  <c r="N70" i="119" s="1"/>
  <c r="H70" i="119"/>
  <c r="J70" i="119" s="1"/>
  <c r="AE69" i="119"/>
  <c r="AF69" i="119" s="1"/>
  <c r="AG69" i="119" s="1"/>
  <c r="T69" i="119"/>
  <c r="S69" i="119"/>
  <c r="P69" i="119"/>
  <c r="N69" i="119" s="1"/>
  <c r="H69" i="119"/>
  <c r="J69" i="119" s="1"/>
  <c r="AE68" i="119"/>
  <c r="AF68" i="119" s="1"/>
  <c r="AG68" i="119" s="1"/>
  <c r="S68" i="119"/>
  <c r="P68" i="119"/>
  <c r="N68" i="119" s="1"/>
  <c r="H68" i="119"/>
  <c r="AE67" i="119"/>
  <c r="AF67" i="119" s="1"/>
  <c r="AG67" i="119" s="1"/>
  <c r="T67" i="119"/>
  <c r="S67" i="119"/>
  <c r="P67" i="119"/>
  <c r="N67" i="119" s="1"/>
  <c r="H67" i="119"/>
  <c r="J67" i="119" s="1"/>
  <c r="AE66" i="119"/>
  <c r="AF66" i="119" s="1"/>
  <c r="S66" i="119"/>
  <c r="P66" i="119"/>
  <c r="N66" i="119" s="1"/>
  <c r="H66" i="119"/>
  <c r="AE65" i="119"/>
  <c r="AF65" i="119" s="1"/>
  <c r="AG65" i="119" s="1"/>
  <c r="S65" i="119"/>
  <c r="P65" i="119"/>
  <c r="N65" i="119" s="1"/>
  <c r="H65" i="119"/>
  <c r="H22" i="119"/>
  <c r="H23" i="119"/>
  <c r="H24" i="119"/>
  <c r="J24" i="119" s="1"/>
  <c r="H25" i="119"/>
  <c r="J25" i="119" s="1"/>
  <c r="H26" i="119"/>
  <c r="J26" i="119" s="1"/>
  <c r="H27" i="119"/>
  <c r="H28" i="119"/>
  <c r="J28" i="119" s="1"/>
  <c r="AE22" i="119"/>
  <c r="AF22" i="119" s="1"/>
  <c r="AG22" i="119" s="1"/>
  <c r="AE23" i="119"/>
  <c r="AF23" i="119" s="1"/>
  <c r="AE24" i="119"/>
  <c r="AF24" i="119" s="1"/>
  <c r="AG24" i="119" s="1"/>
  <c r="AE25" i="119"/>
  <c r="AF25" i="119" s="1"/>
  <c r="AG25" i="119" s="1"/>
  <c r="AE26" i="119"/>
  <c r="AF26" i="119" s="1"/>
  <c r="AG26" i="119" s="1"/>
  <c r="AE27" i="119"/>
  <c r="AF27" i="119" s="1"/>
  <c r="AG27" i="119" s="1"/>
  <c r="AE28" i="119"/>
  <c r="AF28" i="119" s="1"/>
  <c r="AG28" i="119" s="1"/>
  <c r="T27" i="119"/>
  <c r="T26" i="119"/>
  <c r="T25" i="119"/>
  <c r="T24" i="119"/>
  <c r="S22" i="119"/>
  <c r="S23" i="119"/>
  <c r="S24" i="119"/>
  <c r="S25" i="119"/>
  <c r="S26" i="119"/>
  <c r="S27" i="119"/>
  <c r="P22" i="119"/>
  <c r="N22" i="119" s="1"/>
  <c r="P23" i="119"/>
  <c r="N23" i="119" s="1"/>
  <c r="P24" i="119"/>
  <c r="N24" i="119" s="1"/>
  <c r="P25" i="119"/>
  <c r="N25" i="119" s="1"/>
  <c r="P26" i="119"/>
  <c r="N26" i="119" s="1"/>
  <c r="P27" i="119"/>
  <c r="N27" i="119" s="1"/>
  <c r="M91" i="165" l="1"/>
  <c r="E135" i="2" s="1"/>
  <c r="C135" i="2" s="1"/>
  <c r="J27" i="119"/>
  <c r="AA75" i="69"/>
  <c r="AB75" i="69" s="1"/>
  <c r="Z75" i="69"/>
  <c r="W75" i="69"/>
  <c r="V75" i="69"/>
  <c r="U75" i="69"/>
  <c r="AA74" i="69"/>
  <c r="E74" i="69" s="1"/>
  <c r="Z74" i="69"/>
  <c r="W74" i="69"/>
  <c r="V74" i="69"/>
  <c r="U74" i="69"/>
  <c r="AA73" i="69"/>
  <c r="E73" i="69" s="1"/>
  <c r="Z73" i="69"/>
  <c r="W73" i="69"/>
  <c r="V73" i="69"/>
  <c r="U73" i="69"/>
  <c r="AA72" i="69"/>
  <c r="E72" i="69" s="1"/>
  <c r="Z72" i="69"/>
  <c r="W72" i="69"/>
  <c r="V72" i="69"/>
  <c r="U72" i="69"/>
  <c r="AA71" i="69"/>
  <c r="AB71" i="69" s="1"/>
  <c r="Z71" i="69"/>
  <c r="W71" i="69"/>
  <c r="V71" i="69"/>
  <c r="U71" i="69"/>
  <c r="AA50" i="69"/>
  <c r="E50" i="69" s="1"/>
  <c r="Z50" i="69"/>
  <c r="W50" i="69"/>
  <c r="V50" i="69"/>
  <c r="U50" i="69"/>
  <c r="AA49" i="69"/>
  <c r="E49" i="69" s="1"/>
  <c r="Z49" i="69"/>
  <c r="W49" i="69"/>
  <c r="V49" i="69"/>
  <c r="U49" i="69"/>
  <c r="AA48" i="69"/>
  <c r="AB48" i="69" s="1"/>
  <c r="Z48" i="69"/>
  <c r="W48" i="69"/>
  <c r="V48" i="69"/>
  <c r="U48" i="69"/>
  <c r="AA47" i="69"/>
  <c r="AB47" i="69" s="1"/>
  <c r="Z47" i="69"/>
  <c r="W47" i="69"/>
  <c r="V47" i="69"/>
  <c r="U47" i="69"/>
  <c r="AA46" i="69"/>
  <c r="E46" i="69" s="1"/>
  <c r="Z46" i="69"/>
  <c r="W46" i="69"/>
  <c r="V46" i="69"/>
  <c r="U46" i="69"/>
  <c r="AA45" i="69"/>
  <c r="E45" i="69" s="1"/>
  <c r="Z45" i="69"/>
  <c r="W45" i="69"/>
  <c r="V45" i="69"/>
  <c r="U45" i="69"/>
  <c r="AA44" i="69"/>
  <c r="E44" i="69" s="1"/>
  <c r="Z44" i="69"/>
  <c r="W44" i="69"/>
  <c r="V44" i="69"/>
  <c r="U44" i="69"/>
  <c r="AA43" i="69"/>
  <c r="AB43" i="69" s="1"/>
  <c r="Z43" i="69"/>
  <c r="W43" i="69"/>
  <c r="V43" i="69"/>
  <c r="U43" i="69"/>
  <c r="AA42" i="69"/>
  <c r="E42" i="69" s="1"/>
  <c r="Z42" i="69"/>
  <c r="W42" i="69"/>
  <c r="V42" i="69"/>
  <c r="U42" i="69"/>
  <c r="AA41" i="69"/>
  <c r="E41" i="69" s="1"/>
  <c r="Z41" i="69"/>
  <c r="W41" i="69"/>
  <c r="V41" i="69"/>
  <c r="U41" i="69"/>
  <c r="AA40" i="69"/>
  <c r="AB40" i="69" s="1"/>
  <c r="Z40" i="69"/>
  <c r="W40" i="69"/>
  <c r="V40" i="69"/>
  <c r="U40" i="69"/>
  <c r="AA39" i="69"/>
  <c r="AB39" i="69" s="1"/>
  <c r="Z39" i="69"/>
  <c r="W39" i="69"/>
  <c r="V39" i="69"/>
  <c r="U39" i="69"/>
  <c r="AA38" i="69"/>
  <c r="E38" i="69" s="1"/>
  <c r="Z38" i="69"/>
  <c r="W38" i="69"/>
  <c r="V38" i="69"/>
  <c r="U38" i="69"/>
  <c r="AA37" i="69"/>
  <c r="E37" i="69" s="1"/>
  <c r="Z37" i="69"/>
  <c r="W37" i="69"/>
  <c r="V37" i="69"/>
  <c r="U37" i="69"/>
  <c r="AA36" i="69"/>
  <c r="E36" i="69" s="1"/>
  <c r="Z36" i="69"/>
  <c r="W36" i="69"/>
  <c r="V36" i="69"/>
  <c r="U36" i="69"/>
  <c r="AA35" i="69"/>
  <c r="AB35" i="69" s="1"/>
  <c r="Z35" i="69"/>
  <c r="W35" i="69"/>
  <c r="V35" i="69"/>
  <c r="U35" i="69"/>
  <c r="AA34" i="69"/>
  <c r="E34" i="69" s="1"/>
  <c r="Z34" i="69"/>
  <c r="W34" i="69"/>
  <c r="V34" i="69"/>
  <c r="U34" i="69"/>
  <c r="AA33" i="69"/>
  <c r="E33" i="69" s="1"/>
  <c r="Z33" i="69"/>
  <c r="W33" i="69"/>
  <c r="V33" i="69"/>
  <c r="U33" i="69"/>
  <c r="AA32" i="69"/>
  <c r="E32" i="69" s="1"/>
  <c r="Z32" i="69"/>
  <c r="W32" i="69"/>
  <c r="V32" i="69"/>
  <c r="U32" i="69"/>
  <c r="AA31" i="69"/>
  <c r="AB31" i="69" s="1"/>
  <c r="Z31" i="69"/>
  <c r="W31" i="69"/>
  <c r="V31" i="69"/>
  <c r="U31" i="69"/>
  <c r="AA30" i="69"/>
  <c r="E30" i="69" s="1"/>
  <c r="Z30" i="69"/>
  <c r="W30" i="69"/>
  <c r="V30" i="69"/>
  <c r="U30" i="69"/>
  <c r="AA29" i="69"/>
  <c r="AB29" i="69" s="1"/>
  <c r="Z29" i="69"/>
  <c r="W29" i="69"/>
  <c r="V29" i="69"/>
  <c r="U29" i="69"/>
  <c r="AA28" i="69"/>
  <c r="E28" i="69" s="1"/>
  <c r="Z28" i="69"/>
  <c r="W28" i="69"/>
  <c r="V28" i="69"/>
  <c r="U28" i="69"/>
  <c r="AA27" i="69"/>
  <c r="AB27" i="69" s="1"/>
  <c r="Z27" i="69"/>
  <c r="W27" i="69"/>
  <c r="V27" i="69"/>
  <c r="U27" i="69"/>
  <c r="AA26" i="69"/>
  <c r="E26" i="69" s="1"/>
  <c r="Z26" i="69"/>
  <c r="W26" i="69"/>
  <c r="V26" i="69"/>
  <c r="U26" i="69"/>
  <c r="Y75" i="69" l="1"/>
  <c r="E40" i="69"/>
  <c r="AB44" i="69"/>
  <c r="AB41" i="69"/>
  <c r="Y28" i="69"/>
  <c r="Y30" i="69"/>
  <c r="Y38" i="69"/>
  <c r="AB37" i="69"/>
  <c r="Y39" i="69"/>
  <c r="Y34" i="69"/>
  <c r="Y42" i="69"/>
  <c r="Y27" i="69"/>
  <c r="Y31" i="69"/>
  <c r="Y35" i="69"/>
  <c r="Y50" i="69"/>
  <c r="E27" i="69"/>
  <c r="AB33" i="69"/>
  <c r="AB45" i="69"/>
  <c r="AB72" i="69"/>
  <c r="AB36" i="69"/>
  <c r="AB32" i="69"/>
  <c r="Y43" i="69"/>
  <c r="AB28" i="69"/>
  <c r="Y26" i="69"/>
  <c r="E31" i="69"/>
  <c r="Y33" i="69"/>
  <c r="E35" i="69"/>
  <c r="Y37" i="69"/>
  <c r="E39" i="69"/>
  <c r="Y41" i="69"/>
  <c r="E43" i="69"/>
  <c r="Y72" i="69"/>
  <c r="Y29" i="69"/>
  <c r="Y32" i="69"/>
  <c r="Y36" i="69"/>
  <c r="Y40" i="69"/>
  <c r="Y44" i="69"/>
  <c r="Y71" i="69"/>
  <c r="Y74" i="69"/>
  <c r="E75" i="69"/>
  <c r="Y73" i="69"/>
  <c r="E48" i="69"/>
  <c r="AB49" i="69"/>
  <c r="Y45" i="69"/>
  <c r="E71" i="69"/>
  <c r="E47" i="69"/>
  <c r="Y46" i="69"/>
  <c r="Y47" i="69"/>
  <c r="Y48" i="69"/>
  <c r="Y49" i="69"/>
  <c r="AB73" i="69"/>
  <c r="AB26" i="69"/>
  <c r="E29" i="69"/>
  <c r="AB30" i="69"/>
  <c r="AB34" i="69"/>
  <c r="AB38" i="69"/>
  <c r="AB42" i="69"/>
  <c r="AB46" i="69"/>
  <c r="AB50" i="69"/>
  <c r="AB74" i="69"/>
  <c r="L12" i="158"/>
  <c r="N12" i="158" s="1"/>
  <c r="L9" i="158"/>
  <c r="N9" i="158" s="1"/>
  <c r="L8" i="158"/>
  <c r="N8" i="158" s="1"/>
  <c r="L10" i="158" l="1"/>
  <c r="N10" i="158" s="1"/>
  <c r="L11" i="158"/>
  <c r="N11" i="158" s="1"/>
  <c r="L13" i="158"/>
  <c r="N13" i="158" s="1"/>
  <c r="L14" i="158"/>
  <c r="N14" i="158" s="1"/>
  <c r="L15" i="158"/>
  <c r="N15" i="158" s="1"/>
  <c r="L16" i="158"/>
  <c r="N16" i="158" s="1"/>
  <c r="L17" i="158"/>
  <c r="N17" i="158" s="1"/>
  <c r="L18" i="158"/>
  <c r="N18" i="158" s="1"/>
  <c r="L19" i="158"/>
  <c r="N19" i="158" s="1"/>
  <c r="L20" i="158"/>
  <c r="N20" i="158" s="1"/>
  <c r="L21" i="158"/>
  <c r="N21" i="158" s="1"/>
  <c r="L22" i="158"/>
  <c r="N22" i="158" s="1"/>
  <c r="L23" i="158"/>
  <c r="N23" i="158" s="1"/>
  <c r="L24" i="158"/>
  <c r="N24" i="158" s="1"/>
  <c r="L25" i="158"/>
  <c r="N25" i="158" s="1"/>
  <c r="L26" i="158"/>
  <c r="N26" i="158" s="1"/>
  <c r="L27" i="158"/>
  <c r="N27" i="158" s="1"/>
  <c r="L28" i="158"/>
  <c r="N28" i="158" s="1"/>
  <c r="L29" i="158"/>
  <c r="N29" i="158" s="1"/>
  <c r="L30" i="158"/>
  <c r="N30" i="158" s="1"/>
  <c r="L31" i="158"/>
  <c r="N31" i="158" s="1"/>
  <c r="L32" i="158"/>
  <c r="N32" i="158" s="1"/>
  <c r="Y4" i="119" l="1"/>
  <c r="T68" i="119" s="1"/>
  <c r="J68" i="119" s="1"/>
  <c r="T109" i="119" l="1"/>
  <c r="T108" i="119"/>
  <c r="T106" i="119"/>
  <c r="T107" i="119"/>
  <c r="T105" i="119"/>
  <c r="T66" i="119"/>
  <c r="T65" i="119"/>
  <c r="T64" i="119"/>
  <c r="T63" i="119"/>
  <c r="T62" i="119"/>
  <c r="T22" i="119"/>
  <c r="T23" i="119"/>
  <c r="T21" i="119"/>
  <c r="T28" i="119"/>
  <c r="T19" i="119"/>
  <c r="T20" i="119"/>
  <c r="A32" i="53"/>
  <c r="J108" i="119" l="1"/>
  <c r="J109" i="119"/>
  <c r="J65" i="119"/>
  <c r="J66" i="119"/>
  <c r="J23" i="119"/>
  <c r="J22" i="119"/>
  <c r="L53" i="132"/>
  <c r="X37" i="53"/>
  <c r="X38" i="53"/>
  <c r="X39" i="53"/>
  <c r="M7" i="80"/>
  <c r="Q238" i="162"/>
  <c r="Q155" i="162"/>
  <c r="X238" i="162"/>
  <c r="U229" i="162"/>
  <c r="U228" i="162"/>
  <c r="U146" i="162"/>
  <c r="U147" i="162" s="1"/>
  <c r="U145" i="162"/>
  <c r="X155" i="162"/>
  <c r="U62" i="162"/>
  <c r="U63" i="162" s="1"/>
  <c r="X71" i="162"/>
  <c r="Q71" i="162"/>
  <c r="U61" i="162"/>
  <c r="Q64" i="162"/>
  <c r="O50" i="163"/>
  <c r="O51" i="163"/>
  <c r="O52" i="163"/>
  <c r="O53" i="163"/>
  <c r="O54" i="163"/>
  <c r="O55" i="163"/>
  <c r="O56" i="163"/>
  <c r="O57" i="163"/>
  <c r="O58" i="163"/>
  <c r="O59" i="163"/>
  <c r="O60" i="163"/>
  <c r="O61" i="163"/>
  <c r="O62" i="163"/>
  <c r="O63" i="163"/>
  <c r="O64" i="163"/>
  <c r="O65" i="163"/>
  <c r="O66" i="163"/>
  <c r="O67" i="163"/>
  <c r="O68" i="163"/>
  <c r="O69" i="163"/>
  <c r="O70" i="163"/>
  <c r="O71" i="163"/>
  <c r="O72" i="163"/>
  <c r="O73" i="163"/>
  <c r="O74" i="163"/>
  <c r="O75" i="163"/>
  <c r="O76" i="163"/>
  <c r="O77" i="163"/>
  <c r="O78" i="163"/>
  <c r="O79" i="163"/>
  <c r="O80" i="163"/>
  <c r="O81" i="163"/>
  <c r="O82" i="163"/>
  <c r="O83" i="163"/>
  <c r="O84" i="163"/>
  <c r="O85" i="163"/>
  <c r="O86" i="163"/>
  <c r="O87" i="163"/>
  <c r="O88" i="163"/>
  <c r="O89" i="163"/>
  <c r="O90" i="163"/>
  <c r="O91" i="163"/>
  <c r="O92" i="163"/>
  <c r="O93" i="163"/>
  <c r="O94" i="163"/>
  <c r="O95" i="163"/>
  <c r="O96" i="163"/>
  <c r="O97" i="163"/>
  <c r="O98" i="163"/>
  <c r="O99" i="163"/>
  <c r="O100" i="163"/>
  <c r="O140" i="163"/>
  <c r="O141" i="163"/>
  <c r="O142" i="163"/>
  <c r="O143" i="163"/>
  <c r="O144" i="163"/>
  <c r="O145" i="163"/>
  <c r="O146" i="163"/>
  <c r="O147" i="163"/>
  <c r="O148" i="163"/>
  <c r="O149" i="163"/>
  <c r="O150" i="163"/>
  <c r="O151" i="163"/>
  <c r="O152" i="163"/>
  <c r="O153" i="163"/>
  <c r="O154" i="163"/>
  <c r="O155" i="163"/>
  <c r="O156" i="163"/>
  <c r="O157" i="163"/>
  <c r="O158" i="163"/>
  <c r="O159" i="163"/>
  <c r="O160" i="163"/>
  <c r="O161" i="163"/>
  <c r="O162" i="163"/>
  <c r="O163" i="163"/>
  <c r="O164" i="163"/>
  <c r="O165" i="163"/>
  <c r="O166" i="163"/>
  <c r="O167" i="163"/>
  <c r="O168" i="163"/>
  <c r="O169" i="163"/>
  <c r="O170" i="163"/>
  <c r="O171" i="163"/>
  <c r="O172" i="163"/>
  <c r="O173" i="163"/>
  <c r="O174" i="163"/>
  <c r="O175" i="163"/>
  <c r="O176" i="163"/>
  <c r="O177" i="163"/>
  <c r="O178" i="163"/>
  <c r="O179" i="163"/>
  <c r="O180" i="163"/>
  <c r="O181" i="163"/>
  <c r="O182" i="163"/>
  <c r="O183" i="163"/>
  <c r="O184" i="163"/>
  <c r="O185" i="163"/>
  <c r="O186" i="163"/>
  <c r="O187" i="163"/>
  <c r="O188" i="163"/>
  <c r="O189" i="163"/>
  <c r="X231" i="162" l="1"/>
  <c r="U230" i="162"/>
  <c r="X148" i="162"/>
  <c r="X64" i="162"/>
  <c r="L32" i="164"/>
  <c r="J32" i="164"/>
  <c r="H32" i="164"/>
  <c r="L24" i="164"/>
  <c r="J24" i="164"/>
  <c r="H24" i="164"/>
  <c r="Q170" i="164"/>
  <c r="Z31" i="164" l="1"/>
  <c r="V31" i="164"/>
  <c r="Z23" i="164"/>
  <c r="X23" i="164"/>
  <c r="V23" i="164"/>
  <c r="R1" i="164"/>
  <c r="M10" i="164" s="1"/>
  <c r="P10" i="164" s="1"/>
  <c r="L168" i="164"/>
  <c r="R58" i="31" s="1"/>
  <c r="J168" i="164"/>
  <c r="H168" i="164"/>
  <c r="Q167" i="164"/>
  <c r="M167" i="164" s="1"/>
  <c r="P167" i="164" s="1"/>
  <c r="Q166" i="164"/>
  <c r="M166" i="164" s="1"/>
  <c r="P166" i="164" s="1"/>
  <c r="Q165" i="164"/>
  <c r="M165" i="164" s="1"/>
  <c r="P165" i="164" s="1"/>
  <c r="Q164" i="164"/>
  <c r="M164" i="164" s="1"/>
  <c r="P164" i="164" s="1"/>
  <c r="Q163" i="164"/>
  <c r="M163" i="164" s="1"/>
  <c r="P163" i="164" s="1"/>
  <c r="Q162" i="164"/>
  <c r="M162" i="164" s="1"/>
  <c r="P162" i="164" s="1"/>
  <c r="Q161" i="164"/>
  <c r="M161" i="164" s="1"/>
  <c r="P161" i="164" s="1"/>
  <c r="Q160" i="164"/>
  <c r="M160" i="164" s="1"/>
  <c r="P160" i="164" s="1"/>
  <c r="Q159" i="164"/>
  <c r="M159" i="164" s="1"/>
  <c r="P159" i="164" s="1"/>
  <c r="Q158" i="164"/>
  <c r="M158" i="164" s="1"/>
  <c r="P158" i="164" s="1"/>
  <c r="Q157" i="164"/>
  <c r="M157" i="164" s="1"/>
  <c r="P157" i="164" s="1"/>
  <c r="Q156" i="164"/>
  <c r="M156" i="164" s="1"/>
  <c r="P156" i="164" s="1"/>
  <c r="Q155" i="164"/>
  <c r="M155" i="164" s="1"/>
  <c r="P155" i="164" s="1"/>
  <c r="Q154" i="164"/>
  <c r="M154" i="164" s="1"/>
  <c r="P154" i="164" s="1"/>
  <c r="Q153" i="164"/>
  <c r="M153" i="164" s="1"/>
  <c r="P153" i="164" s="1"/>
  <c r="Q152" i="164"/>
  <c r="M152" i="164" s="1"/>
  <c r="P152" i="164" s="1"/>
  <c r="Q151" i="164"/>
  <c r="M151" i="164" s="1"/>
  <c r="P151" i="164" s="1"/>
  <c r="Q150" i="164"/>
  <c r="M150" i="164"/>
  <c r="P150" i="164" s="1"/>
  <c r="Q149" i="164"/>
  <c r="M149" i="164" s="1"/>
  <c r="P149" i="164" s="1"/>
  <c r="Q148" i="164"/>
  <c r="M148" i="164" s="1"/>
  <c r="P148" i="164" s="1"/>
  <c r="Q147" i="164"/>
  <c r="M147" i="164" s="1"/>
  <c r="P147" i="164" s="1"/>
  <c r="Q146" i="164"/>
  <c r="M146" i="164" s="1"/>
  <c r="P146" i="164" s="1"/>
  <c r="Q145" i="164"/>
  <c r="M145" i="164" s="1"/>
  <c r="P145" i="164" s="1"/>
  <c r="Q144" i="164"/>
  <c r="M144" i="164" s="1"/>
  <c r="P144" i="164" s="1"/>
  <c r="Q143" i="164"/>
  <c r="M143" i="164" s="1"/>
  <c r="P143" i="164" s="1"/>
  <c r="Q142" i="164"/>
  <c r="M142" i="164" s="1"/>
  <c r="P142" i="164" s="1"/>
  <c r="Q141" i="164"/>
  <c r="M141" i="164" s="1"/>
  <c r="P141" i="164" s="1"/>
  <c r="Q140" i="164"/>
  <c r="M140" i="164" s="1"/>
  <c r="P140" i="164" s="1"/>
  <c r="Q139" i="164"/>
  <c r="M139" i="164" s="1"/>
  <c r="P139" i="164" s="1"/>
  <c r="Q138" i="164"/>
  <c r="M138" i="164" s="1"/>
  <c r="P138" i="164" s="1"/>
  <c r="Q137" i="164"/>
  <c r="M137" i="164" s="1"/>
  <c r="P137" i="164" s="1"/>
  <c r="Q136" i="164"/>
  <c r="M136" i="164" s="1"/>
  <c r="P136" i="164" s="1"/>
  <c r="Q135" i="164"/>
  <c r="M135" i="164" s="1"/>
  <c r="P135" i="164" s="1"/>
  <c r="Q134" i="164"/>
  <c r="M134" i="164" s="1"/>
  <c r="P134" i="164" s="1"/>
  <c r="Q133" i="164"/>
  <c r="M133" i="164" s="1"/>
  <c r="P133" i="164" s="1"/>
  <c r="Q132" i="164"/>
  <c r="M132" i="164" s="1"/>
  <c r="P132" i="164" s="1"/>
  <c r="Q131" i="164"/>
  <c r="M131" i="164" s="1"/>
  <c r="P131" i="164" s="1"/>
  <c r="Q130" i="164"/>
  <c r="M130" i="164" s="1"/>
  <c r="P130" i="164" s="1"/>
  <c r="Q129" i="164"/>
  <c r="M129" i="164" s="1"/>
  <c r="P129" i="164" s="1"/>
  <c r="Q128" i="164"/>
  <c r="M128" i="164" s="1"/>
  <c r="P128" i="164" s="1"/>
  <c r="Q127" i="164"/>
  <c r="M127" i="164" s="1"/>
  <c r="P127" i="164" s="1"/>
  <c r="Q126" i="164"/>
  <c r="L90" i="164"/>
  <c r="R19" i="31" s="1"/>
  <c r="J90" i="164"/>
  <c r="O19" i="31" s="1"/>
  <c r="H90" i="164"/>
  <c r="K19" i="31" s="1"/>
  <c r="Q89" i="164"/>
  <c r="M89" i="164" s="1"/>
  <c r="P89" i="164" s="1"/>
  <c r="Q88" i="164"/>
  <c r="M88" i="164" s="1"/>
  <c r="P88" i="164" s="1"/>
  <c r="Q87" i="164"/>
  <c r="M87" i="164" s="1"/>
  <c r="P87" i="164" s="1"/>
  <c r="Q86" i="164"/>
  <c r="M86" i="164" s="1"/>
  <c r="P86" i="164" s="1"/>
  <c r="Q85" i="164"/>
  <c r="M85" i="164" s="1"/>
  <c r="P85" i="164" s="1"/>
  <c r="Q84" i="164"/>
  <c r="M84" i="164" s="1"/>
  <c r="P84" i="164" s="1"/>
  <c r="Q83" i="164"/>
  <c r="M83" i="164" s="1"/>
  <c r="P83" i="164" s="1"/>
  <c r="Q82" i="164"/>
  <c r="M82" i="164" s="1"/>
  <c r="P82" i="164" s="1"/>
  <c r="Q81" i="164"/>
  <c r="M81" i="164" s="1"/>
  <c r="P81" i="164" s="1"/>
  <c r="Q80" i="164"/>
  <c r="M80" i="164" s="1"/>
  <c r="P80" i="164" s="1"/>
  <c r="Q79" i="164"/>
  <c r="M79" i="164" s="1"/>
  <c r="P79" i="164" s="1"/>
  <c r="Q78" i="164"/>
  <c r="M78" i="164" s="1"/>
  <c r="P78" i="164" s="1"/>
  <c r="Q77" i="164"/>
  <c r="M77" i="164" s="1"/>
  <c r="P77" i="164" s="1"/>
  <c r="Q76" i="164"/>
  <c r="M76" i="164" s="1"/>
  <c r="P76" i="164" s="1"/>
  <c r="Q75" i="164"/>
  <c r="M75" i="164" s="1"/>
  <c r="P75" i="164" s="1"/>
  <c r="Q74" i="164"/>
  <c r="M74" i="164" s="1"/>
  <c r="P74" i="164" s="1"/>
  <c r="Q73" i="164"/>
  <c r="M73" i="164" s="1"/>
  <c r="P73" i="164" s="1"/>
  <c r="Q72" i="164"/>
  <c r="M72" i="164" s="1"/>
  <c r="P72" i="164" s="1"/>
  <c r="Q71" i="164"/>
  <c r="M71" i="164" s="1"/>
  <c r="P71" i="164" s="1"/>
  <c r="Q70" i="164"/>
  <c r="M70" i="164" s="1"/>
  <c r="P70" i="164" s="1"/>
  <c r="Q69" i="164"/>
  <c r="M69" i="164" s="1"/>
  <c r="P69" i="164" s="1"/>
  <c r="Q68" i="164"/>
  <c r="M68" i="164" s="1"/>
  <c r="P68" i="164" s="1"/>
  <c r="Q67" i="164"/>
  <c r="M67" i="164" s="1"/>
  <c r="P67" i="164" s="1"/>
  <c r="Q66" i="164"/>
  <c r="M66" i="164" s="1"/>
  <c r="P66" i="164" s="1"/>
  <c r="Q65" i="164"/>
  <c r="M65" i="164" s="1"/>
  <c r="P65" i="164" s="1"/>
  <c r="Q64" i="164"/>
  <c r="M64" i="164" s="1"/>
  <c r="P64" i="164" s="1"/>
  <c r="Q63" i="164"/>
  <c r="M63" i="164" s="1"/>
  <c r="P63" i="164" s="1"/>
  <c r="Q62" i="164"/>
  <c r="M62" i="164" s="1"/>
  <c r="P62" i="164" s="1"/>
  <c r="Q61" i="164"/>
  <c r="M61" i="164" s="1"/>
  <c r="P61" i="164" s="1"/>
  <c r="Q60" i="164"/>
  <c r="M60" i="164" s="1"/>
  <c r="P60" i="164" s="1"/>
  <c r="Q59" i="164"/>
  <c r="M59" i="164" s="1"/>
  <c r="P59" i="164" s="1"/>
  <c r="Q58" i="164"/>
  <c r="M58" i="164" s="1"/>
  <c r="P58" i="164" s="1"/>
  <c r="Q57" i="164"/>
  <c r="M57" i="164" s="1"/>
  <c r="P57" i="164" s="1"/>
  <c r="Q56" i="164"/>
  <c r="M56" i="164" s="1"/>
  <c r="P56" i="164" s="1"/>
  <c r="Q55" i="164"/>
  <c r="M55" i="164" s="1"/>
  <c r="P55" i="164" s="1"/>
  <c r="Q54" i="164"/>
  <c r="M54" i="164" s="1"/>
  <c r="P54" i="164" s="1"/>
  <c r="Q53" i="164"/>
  <c r="M53" i="164" s="1"/>
  <c r="P53" i="164" s="1"/>
  <c r="Q52" i="164"/>
  <c r="M52" i="164" s="1"/>
  <c r="P52" i="164" s="1"/>
  <c r="Q51" i="164"/>
  <c r="M51" i="164" s="1"/>
  <c r="P51" i="164" s="1"/>
  <c r="Q50" i="164"/>
  <c r="M50" i="164" s="1"/>
  <c r="P50" i="164" s="1"/>
  <c r="Q49" i="164"/>
  <c r="M49" i="164" s="1"/>
  <c r="P49" i="164" s="1"/>
  <c r="Q48" i="164"/>
  <c r="M48" i="164" s="1"/>
  <c r="P48" i="164" s="1"/>
  <c r="Q31" i="164"/>
  <c r="L26" i="164"/>
  <c r="L33" i="164" s="1"/>
  <c r="J26" i="164"/>
  <c r="J33" i="164" s="1"/>
  <c r="H26" i="164"/>
  <c r="H33" i="164" s="1"/>
  <c r="Q25" i="164"/>
  <c r="M25" i="164" s="1"/>
  <c r="P25" i="164" s="1"/>
  <c r="Q23" i="164"/>
  <c r="Q12" i="164"/>
  <c r="Q10" i="164"/>
  <c r="M31" i="164" l="1"/>
  <c r="P31" i="164" s="1"/>
  <c r="Q169" i="164"/>
  <c r="O58" i="31"/>
  <c r="Y170" i="164"/>
  <c r="Z170" i="164"/>
  <c r="K58" i="31"/>
  <c r="X170" i="164"/>
  <c r="M126" i="164"/>
  <c r="P126" i="164" s="1"/>
  <c r="P21" i="164"/>
  <c r="Q92" i="164"/>
  <c r="M23" i="164"/>
  <c r="P23" i="164" s="1"/>
  <c r="M12" i="164"/>
  <c r="P12" i="164" s="1"/>
  <c r="Q172" i="164" l="1"/>
  <c r="J170" i="164" s="1"/>
  <c r="P170" i="164" s="1"/>
  <c r="J172" i="164" l="1"/>
  <c r="O41" i="29"/>
  <c r="H41" i="29"/>
  <c r="Q2" i="163" l="1"/>
  <c r="Q1" i="163"/>
  <c r="L191" i="163"/>
  <c r="O139" i="163"/>
  <c r="O138" i="163"/>
  <c r="O137" i="163"/>
  <c r="O136" i="163"/>
  <c r="O135" i="163"/>
  <c r="O134" i="163"/>
  <c r="O133" i="163"/>
  <c r="O132" i="163"/>
  <c r="O131" i="163"/>
  <c r="O130" i="163"/>
  <c r="O129" i="163"/>
  <c r="O128" i="163"/>
  <c r="O127" i="163"/>
  <c r="O126" i="163"/>
  <c r="O125" i="163"/>
  <c r="O124" i="163"/>
  <c r="O123" i="163"/>
  <c r="O122" i="163"/>
  <c r="O121" i="163"/>
  <c r="O120" i="163"/>
  <c r="O119" i="163"/>
  <c r="O118" i="163"/>
  <c r="O117" i="163"/>
  <c r="O116" i="163"/>
  <c r="O115" i="163"/>
  <c r="O114" i="163"/>
  <c r="O113" i="163"/>
  <c r="O112" i="163"/>
  <c r="O111" i="163"/>
  <c r="O110" i="163"/>
  <c r="O109" i="163"/>
  <c r="O108" i="163"/>
  <c r="O107" i="163"/>
  <c r="O106" i="163"/>
  <c r="O105" i="163"/>
  <c r="O104" i="163"/>
  <c r="O49" i="163"/>
  <c r="O48" i="163"/>
  <c r="O47" i="163"/>
  <c r="O46" i="163"/>
  <c r="O45" i="163"/>
  <c r="O44" i="163"/>
  <c r="O43" i="163"/>
  <c r="O42" i="163"/>
  <c r="O41" i="163"/>
  <c r="O40" i="163"/>
  <c r="O39" i="163"/>
  <c r="O38" i="163"/>
  <c r="O37" i="163"/>
  <c r="O36" i="163"/>
  <c r="O35" i="163"/>
  <c r="O34" i="163"/>
  <c r="O33" i="163"/>
  <c r="O32" i="163"/>
  <c r="O31" i="163"/>
  <c r="O30" i="163"/>
  <c r="O29" i="163"/>
  <c r="O28" i="163"/>
  <c r="O27" i="163"/>
  <c r="O26" i="163"/>
  <c r="O25" i="163"/>
  <c r="O24" i="163"/>
  <c r="O23" i="163"/>
  <c r="O22" i="163"/>
  <c r="O21" i="163"/>
  <c r="O20" i="163"/>
  <c r="O19" i="163"/>
  <c r="L15" i="163"/>
  <c r="L13" i="163"/>
  <c r="L139" i="163" l="1"/>
  <c r="L51" i="163"/>
  <c r="H51" i="163" s="1"/>
  <c r="K51" i="163" s="1"/>
  <c r="L53" i="163"/>
  <c r="H53" i="163" s="1"/>
  <c r="K53" i="163" s="1"/>
  <c r="L50" i="163"/>
  <c r="H50" i="163" s="1"/>
  <c r="K50" i="163" s="1"/>
  <c r="L55" i="163"/>
  <c r="H55" i="163" s="1"/>
  <c r="K55" i="163" s="1"/>
  <c r="L57" i="163"/>
  <c r="H57" i="163" s="1"/>
  <c r="K57" i="163" s="1"/>
  <c r="L64" i="163"/>
  <c r="H64" i="163" s="1"/>
  <c r="K64" i="163" s="1"/>
  <c r="L66" i="163"/>
  <c r="H66" i="163" s="1"/>
  <c r="K66" i="163" s="1"/>
  <c r="L71" i="163"/>
  <c r="H71" i="163" s="1"/>
  <c r="K71" i="163" s="1"/>
  <c r="L73" i="163"/>
  <c r="H73" i="163" s="1"/>
  <c r="K73" i="163" s="1"/>
  <c r="L80" i="163"/>
  <c r="H80" i="163" s="1"/>
  <c r="K80" i="163" s="1"/>
  <c r="L82" i="163"/>
  <c r="H82" i="163" s="1"/>
  <c r="K82" i="163" s="1"/>
  <c r="L87" i="163"/>
  <c r="H87" i="163" s="1"/>
  <c r="K87" i="163" s="1"/>
  <c r="L89" i="163"/>
  <c r="H89" i="163" s="1"/>
  <c r="K89" i="163" s="1"/>
  <c r="L96" i="163"/>
  <c r="H96" i="163" s="1"/>
  <c r="K96" i="163" s="1"/>
  <c r="L98" i="163"/>
  <c r="H98" i="163" s="1"/>
  <c r="K98" i="163" s="1"/>
  <c r="L140" i="163"/>
  <c r="G140" i="163" s="1"/>
  <c r="K140" i="163" s="1"/>
  <c r="L147" i="163"/>
  <c r="G147" i="163" s="1"/>
  <c r="K147" i="163" s="1"/>
  <c r="L150" i="163"/>
  <c r="G150" i="163" s="1"/>
  <c r="K150" i="163" s="1"/>
  <c r="L153" i="163"/>
  <c r="G153" i="163" s="1"/>
  <c r="K153" i="163" s="1"/>
  <c r="L156" i="163"/>
  <c r="G156" i="163" s="1"/>
  <c r="K156" i="163" s="1"/>
  <c r="L163" i="163"/>
  <c r="G163" i="163" s="1"/>
  <c r="K163" i="163" s="1"/>
  <c r="L166" i="163"/>
  <c r="G166" i="163" s="1"/>
  <c r="K166" i="163" s="1"/>
  <c r="L169" i="163"/>
  <c r="G169" i="163" s="1"/>
  <c r="K169" i="163" s="1"/>
  <c r="L172" i="163"/>
  <c r="G172" i="163" s="1"/>
  <c r="K172" i="163" s="1"/>
  <c r="L179" i="163"/>
  <c r="G179" i="163" s="1"/>
  <c r="K179" i="163" s="1"/>
  <c r="L182" i="163"/>
  <c r="G182" i="163" s="1"/>
  <c r="K182" i="163" s="1"/>
  <c r="L185" i="163"/>
  <c r="G185" i="163" s="1"/>
  <c r="K185" i="163" s="1"/>
  <c r="L188" i="163"/>
  <c r="G188" i="163" s="1"/>
  <c r="K188" i="163" s="1"/>
  <c r="L62" i="163"/>
  <c r="H62" i="163" s="1"/>
  <c r="K62" i="163" s="1"/>
  <c r="L67" i="163"/>
  <c r="H67" i="163" s="1"/>
  <c r="K67" i="163" s="1"/>
  <c r="L69" i="163"/>
  <c r="H69" i="163" s="1"/>
  <c r="K69" i="163" s="1"/>
  <c r="L76" i="163"/>
  <c r="H76" i="163" s="1"/>
  <c r="K76" i="163" s="1"/>
  <c r="L78" i="163"/>
  <c r="H78" i="163" s="1"/>
  <c r="K78" i="163" s="1"/>
  <c r="L99" i="163"/>
  <c r="H99" i="163" s="1"/>
  <c r="K99" i="163" s="1"/>
  <c r="L52" i="163"/>
  <c r="H52" i="163" s="1"/>
  <c r="K52" i="163" s="1"/>
  <c r="L54" i="163"/>
  <c r="H54" i="163" s="1"/>
  <c r="K54" i="163" s="1"/>
  <c r="L59" i="163"/>
  <c r="H59" i="163" s="1"/>
  <c r="K59" i="163" s="1"/>
  <c r="L61" i="163"/>
  <c r="H61" i="163" s="1"/>
  <c r="K61" i="163" s="1"/>
  <c r="L68" i="163"/>
  <c r="H68" i="163" s="1"/>
  <c r="K68" i="163" s="1"/>
  <c r="L70" i="163"/>
  <c r="H70" i="163" s="1"/>
  <c r="K70" i="163" s="1"/>
  <c r="L75" i="163"/>
  <c r="H75" i="163" s="1"/>
  <c r="K75" i="163" s="1"/>
  <c r="L77" i="163"/>
  <c r="H77" i="163" s="1"/>
  <c r="K77" i="163" s="1"/>
  <c r="L84" i="163"/>
  <c r="H84" i="163" s="1"/>
  <c r="K84" i="163" s="1"/>
  <c r="L86" i="163"/>
  <c r="H86" i="163" s="1"/>
  <c r="K86" i="163" s="1"/>
  <c r="L91" i="163"/>
  <c r="H91" i="163" s="1"/>
  <c r="K91" i="163" s="1"/>
  <c r="L93" i="163"/>
  <c r="H93" i="163" s="1"/>
  <c r="K93" i="163" s="1"/>
  <c r="L100" i="163"/>
  <c r="H100" i="163" s="1"/>
  <c r="K100" i="163" s="1"/>
  <c r="L143" i="163"/>
  <c r="G143" i="163" s="1"/>
  <c r="K143" i="163" s="1"/>
  <c r="L146" i="163"/>
  <c r="G146" i="163" s="1"/>
  <c r="K146" i="163" s="1"/>
  <c r="L149" i="163"/>
  <c r="G149" i="163" s="1"/>
  <c r="K149" i="163" s="1"/>
  <c r="L152" i="163"/>
  <c r="G152" i="163" s="1"/>
  <c r="K152" i="163" s="1"/>
  <c r="L159" i="163"/>
  <c r="G159" i="163" s="1"/>
  <c r="K159" i="163" s="1"/>
  <c r="L162" i="163"/>
  <c r="G162" i="163" s="1"/>
  <c r="K162" i="163" s="1"/>
  <c r="L165" i="163"/>
  <c r="G165" i="163" s="1"/>
  <c r="K165" i="163" s="1"/>
  <c r="L168" i="163"/>
  <c r="G168" i="163" s="1"/>
  <c r="K168" i="163" s="1"/>
  <c r="L175" i="163"/>
  <c r="G175" i="163" s="1"/>
  <c r="K175" i="163" s="1"/>
  <c r="L178" i="163"/>
  <c r="G178" i="163" s="1"/>
  <c r="K178" i="163" s="1"/>
  <c r="L181" i="163"/>
  <c r="G181" i="163" s="1"/>
  <c r="K181" i="163" s="1"/>
  <c r="L184" i="163"/>
  <c r="G184" i="163" s="1"/>
  <c r="K184" i="163" s="1"/>
  <c r="L60" i="163"/>
  <c r="H60" i="163" s="1"/>
  <c r="K60" i="163" s="1"/>
  <c r="L83" i="163"/>
  <c r="H83" i="163" s="1"/>
  <c r="K83" i="163" s="1"/>
  <c r="L85" i="163"/>
  <c r="H85" i="163" s="1"/>
  <c r="K85" i="163" s="1"/>
  <c r="L56" i="163"/>
  <c r="H56" i="163" s="1"/>
  <c r="K56" i="163" s="1"/>
  <c r="L58" i="163"/>
  <c r="H58" i="163" s="1"/>
  <c r="K58" i="163" s="1"/>
  <c r="L63" i="163"/>
  <c r="H63" i="163" s="1"/>
  <c r="K63" i="163" s="1"/>
  <c r="L65" i="163"/>
  <c r="H65" i="163" s="1"/>
  <c r="K65" i="163" s="1"/>
  <c r="L72" i="163"/>
  <c r="H72" i="163" s="1"/>
  <c r="K72" i="163" s="1"/>
  <c r="L74" i="163"/>
  <c r="H74" i="163" s="1"/>
  <c r="K74" i="163" s="1"/>
  <c r="L79" i="163"/>
  <c r="H79" i="163" s="1"/>
  <c r="K79" i="163" s="1"/>
  <c r="L81" i="163"/>
  <c r="H81" i="163" s="1"/>
  <c r="K81" i="163" s="1"/>
  <c r="L88" i="163"/>
  <c r="H88" i="163" s="1"/>
  <c r="K88" i="163" s="1"/>
  <c r="L90" i="163"/>
  <c r="H90" i="163" s="1"/>
  <c r="K90" i="163" s="1"/>
  <c r="L95" i="163"/>
  <c r="H95" i="163" s="1"/>
  <c r="K95" i="163" s="1"/>
  <c r="L97" i="163"/>
  <c r="H97" i="163" s="1"/>
  <c r="K97" i="163" s="1"/>
  <c r="L142" i="163"/>
  <c r="G142" i="163" s="1"/>
  <c r="K142" i="163" s="1"/>
  <c r="L145" i="163"/>
  <c r="G145" i="163" s="1"/>
  <c r="K145" i="163" s="1"/>
  <c r="L148" i="163"/>
  <c r="G148" i="163" s="1"/>
  <c r="K148" i="163" s="1"/>
  <c r="L155" i="163"/>
  <c r="G155" i="163" s="1"/>
  <c r="K155" i="163" s="1"/>
  <c r="L158" i="163"/>
  <c r="G158" i="163" s="1"/>
  <c r="K158" i="163" s="1"/>
  <c r="L161" i="163"/>
  <c r="G161" i="163" s="1"/>
  <c r="K161" i="163" s="1"/>
  <c r="L164" i="163"/>
  <c r="G164" i="163" s="1"/>
  <c r="K164" i="163" s="1"/>
  <c r="L171" i="163"/>
  <c r="G171" i="163" s="1"/>
  <c r="K171" i="163" s="1"/>
  <c r="L174" i="163"/>
  <c r="G174" i="163" s="1"/>
  <c r="K174" i="163" s="1"/>
  <c r="L177" i="163"/>
  <c r="G177" i="163" s="1"/>
  <c r="K177" i="163" s="1"/>
  <c r="L180" i="163"/>
  <c r="G180" i="163" s="1"/>
  <c r="K180" i="163" s="1"/>
  <c r="L187" i="163"/>
  <c r="G187" i="163" s="1"/>
  <c r="K187" i="163" s="1"/>
  <c r="L92" i="163"/>
  <c r="H92" i="163" s="1"/>
  <c r="K92" i="163" s="1"/>
  <c r="L94" i="163"/>
  <c r="H94" i="163" s="1"/>
  <c r="K94" i="163" s="1"/>
  <c r="L151" i="163"/>
  <c r="G151" i="163" s="1"/>
  <c r="K151" i="163" s="1"/>
  <c r="L170" i="163"/>
  <c r="G170" i="163" s="1"/>
  <c r="K170" i="163" s="1"/>
  <c r="L173" i="163"/>
  <c r="G173" i="163" s="1"/>
  <c r="K173" i="163" s="1"/>
  <c r="L176" i="163"/>
  <c r="G176" i="163" s="1"/>
  <c r="K176" i="163" s="1"/>
  <c r="L154" i="163"/>
  <c r="G154" i="163" s="1"/>
  <c r="K154" i="163" s="1"/>
  <c r="L157" i="163"/>
  <c r="G157" i="163" s="1"/>
  <c r="K157" i="163" s="1"/>
  <c r="L160" i="163"/>
  <c r="G160" i="163" s="1"/>
  <c r="K160" i="163" s="1"/>
  <c r="L141" i="163"/>
  <c r="G141" i="163" s="1"/>
  <c r="K141" i="163" s="1"/>
  <c r="L144" i="163"/>
  <c r="G144" i="163" s="1"/>
  <c r="K144" i="163" s="1"/>
  <c r="L167" i="163"/>
  <c r="G167" i="163" s="1"/>
  <c r="K167" i="163" s="1"/>
  <c r="L186" i="163"/>
  <c r="G186" i="163" s="1"/>
  <c r="K186" i="163" s="1"/>
  <c r="L189" i="163"/>
  <c r="G189" i="163" s="1"/>
  <c r="K189" i="163" s="1"/>
  <c r="L183" i="163"/>
  <c r="G183" i="163" s="1"/>
  <c r="K183" i="163" s="1"/>
  <c r="H15" i="163"/>
  <c r="H13" i="163"/>
  <c r="G139" i="163"/>
  <c r="K139" i="163" s="1"/>
  <c r="L20" i="163"/>
  <c r="L22" i="163"/>
  <c r="L24" i="163"/>
  <c r="L26" i="163"/>
  <c r="H26" i="163" s="1"/>
  <c r="L34" i="163"/>
  <c r="L42" i="163"/>
  <c r="L32" i="163"/>
  <c r="L40" i="163"/>
  <c r="H40" i="163" s="1"/>
  <c r="L48" i="163"/>
  <c r="L19" i="163"/>
  <c r="H19" i="163" s="1"/>
  <c r="L21" i="163"/>
  <c r="L23" i="163"/>
  <c r="H23" i="163" s="1"/>
  <c r="L25" i="163"/>
  <c r="L30" i="163"/>
  <c r="L38" i="163"/>
  <c r="L46" i="163"/>
  <c r="L28" i="163"/>
  <c r="L44" i="163"/>
  <c r="L36" i="163"/>
  <c r="L104" i="163"/>
  <c r="G104" i="163" s="1"/>
  <c r="L106" i="163"/>
  <c r="G106" i="163" s="1"/>
  <c r="L109" i="163"/>
  <c r="G109" i="163" s="1"/>
  <c r="L112" i="163"/>
  <c r="G112" i="163" s="1"/>
  <c r="L114" i="163"/>
  <c r="G114" i="163" s="1"/>
  <c r="L117" i="163"/>
  <c r="G117" i="163" s="1"/>
  <c r="L120" i="163"/>
  <c r="G120" i="163" s="1"/>
  <c r="L122" i="163"/>
  <c r="G122" i="163" s="1"/>
  <c r="L125" i="163"/>
  <c r="G125" i="163" s="1"/>
  <c r="L130" i="163"/>
  <c r="G130" i="163" s="1"/>
  <c r="L133" i="163"/>
  <c r="G133" i="163" s="1"/>
  <c r="L138" i="163"/>
  <c r="G138" i="163" s="1"/>
  <c r="L111" i="163"/>
  <c r="G111" i="163" s="1"/>
  <c r="L119" i="163"/>
  <c r="G119" i="163" s="1"/>
  <c r="L27" i="163"/>
  <c r="L29" i="163"/>
  <c r="H29" i="163" s="1"/>
  <c r="L31" i="163"/>
  <c r="L33" i="163"/>
  <c r="H33" i="163" s="1"/>
  <c r="L35" i="163"/>
  <c r="L37" i="163"/>
  <c r="H37" i="163" s="1"/>
  <c r="L39" i="163"/>
  <c r="L41" i="163"/>
  <c r="L43" i="163"/>
  <c r="L45" i="163"/>
  <c r="L47" i="163"/>
  <c r="L49" i="163"/>
  <c r="L105" i="163"/>
  <c r="G105" i="163" s="1"/>
  <c r="L108" i="163"/>
  <c r="G108" i="163" s="1"/>
  <c r="L110" i="163"/>
  <c r="G110" i="163" s="1"/>
  <c r="L113" i="163"/>
  <c r="G113" i="163" s="1"/>
  <c r="L116" i="163"/>
  <c r="G116" i="163" s="1"/>
  <c r="L118" i="163"/>
  <c r="G118" i="163" s="1"/>
  <c r="L121" i="163"/>
  <c r="G121" i="163" s="1"/>
  <c r="L124" i="163"/>
  <c r="G124" i="163" s="1"/>
  <c r="L126" i="163"/>
  <c r="G126" i="163" s="1"/>
  <c r="L129" i="163"/>
  <c r="G129" i="163" s="1"/>
  <c r="L134" i="163"/>
  <c r="G134" i="163" s="1"/>
  <c r="L137" i="163"/>
  <c r="G137" i="163" s="1"/>
  <c r="L107" i="163"/>
  <c r="G107" i="163" s="1"/>
  <c r="L115" i="163"/>
  <c r="G115" i="163" s="1"/>
  <c r="L123" i="163"/>
  <c r="G123" i="163" s="1"/>
  <c r="L128" i="163"/>
  <c r="G128" i="163" s="1"/>
  <c r="L132" i="163"/>
  <c r="G132" i="163" s="1"/>
  <c r="L136" i="163"/>
  <c r="G136" i="163" s="1"/>
  <c r="L127" i="163"/>
  <c r="G127" i="163" s="1"/>
  <c r="L131" i="163"/>
  <c r="G131" i="163" s="1"/>
  <c r="L135" i="163"/>
  <c r="G135" i="163" s="1"/>
  <c r="V36" i="42"/>
  <c r="W36" i="42"/>
  <c r="V37" i="42"/>
  <c r="W37" i="42"/>
  <c r="H36" i="163" l="1"/>
  <c r="K36" i="163" s="1"/>
  <c r="H38" i="163"/>
  <c r="K38" i="163" s="1"/>
  <c r="H21" i="163"/>
  <c r="K21" i="163" s="1"/>
  <c r="H32" i="163"/>
  <c r="K32" i="163" s="1"/>
  <c r="H24" i="163"/>
  <c r="K24" i="163" s="1"/>
  <c r="H49" i="163"/>
  <c r="K49" i="163" s="1"/>
  <c r="H41" i="163"/>
  <c r="K41" i="163" s="1"/>
  <c r="H44" i="163"/>
  <c r="K44" i="163" s="1"/>
  <c r="H30" i="163"/>
  <c r="K30" i="163" s="1"/>
  <c r="H42" i="163"/>
  <c r="K42" i="163" s="1"/>
  <c r="H22" i="163"/>
  <c r="K22" i="163" s="1"/>
  <c r="H43" i="163"/>
  <c r="K43" i="163" s="1"/>
  <c r="H47" i="163"/>
  <c r="K47" i="163" s="1"/>
  <c r="H39" i="163"/>
  <c r="K39" i="163" s="1"/>
  <c r="H31" i="163"/>
  <c r="K31" i="163" s="1"/>
  <c r="H28" i="163"/>
  <c r="K28" i="163" s="1"/>
  <c r="H25" i="163"/>
  <c r="K25" i="163" s="1"/>
  <c r="H48" i="163"/>
  <c r="K48" i="163" s="1"/>
  <c r="H34" i="163"/>
  <c r="K34" i="163" s="1"/>
  <c r="H35" i="163"/>
  <c r="K35" i="163" s="1"/>
  <c r="H27" i="163"/>
  <c r="K27" i="163" s="1"/>
  <c r="H45" i="163"/>
  <c r="K45" i="163" s="1"/>
  <c r="H46" i="163"/>
  <c r="K46" i="163" s="1"/>
  <c r="H20" i="163"/>
  <c r="K20" i="163" s="1"/>
  <c r="K124" i="163"/>
  <c r="K119" i="163"/>
  <c r="K26" i="163"/>
  <c r="K115" i="163"/>
  <c r="K29" i="163"/>
  <c r="K111" i="163"/>
  <c r="K33" i="163"/>
  <c r="K112" i="163"/>
  <c r="K116" i="163"/>
  <c r="K108" i="163"/>
  <c r="K123" i="163"/>
  <c r="K107" i="163"/>
  <c r="K37" i="163"/>
  <c r="K40" i="163"/>
  <c r="K23" i="163"/>
  <c r="K120" i="163"/>
  <c r="K19" i="163"/>
  <c r="K113" i="163"/>
  <c r="K138" i="163"/>
  <c r="K122" i="163"/>
  <c r="L194" i="163"/>
  <c r="K136" i="163"/>
  <c r="K134" i="163"/>
  <c r="K121" i="163"/>
  <c r="K110" i="163"/>
  <c r="K133" i="163"/>
  <c r="K109" i="163"/>
  <c r="K132" i="163"/>
  <c r="K129" i="163"/>
  <c r="K118" i="163"/>
  <c r="K130" i="163"/>
  <c r="K117" i="163"/>
  <c r="K106" i="163"/>
  <c r="K127" i="163"/>
  <c r="K137" i="163"/>
  <c r="K135" i="163"/>
  <c r="K131" i="163"/>
  <c r="K128" i="163"/>
  <c r="K126" i="163"/>
  <c r="K105" i="163"/>
  <c r="K125" i="163"/>
  <c r="K114" i="163"/>
  <c r="K104" i="163"/>
  <c r="F191" i="163" l="1"/>
  <c r="K191" i="163" s="1"/>
  <c r="O37" i="42"/>
  <c r="W1" i="162" l="1"/>
  <c r="I256" i="162" s="1"/>
  <c r="K37" i="42" s="1"/>
  <c r="X37" i="42" s="1"/>
  <c r="Q260" i="162"/>
  <c r="Q244" i="162"/>
  <c r="T241" i="162"/>
  <c r="S241" i="162"/>
  <c r="Q241" i="162"/>
  <c r="C241" i="162"/>
  <c r="X236" i="162"/>
  <c r="Q236" i="162"/>
  <c r="Q232" i="162"/>
  <c r="AE220" i="162"/>
  <c r="AE219" i="162"/>
  <c r="H201" i="162"/>
  <c r="Q198" i="162"/>
  <c r="Q196" i="162"/>
  <c r="Q194" i="162"/>
  <c r="Q192" i="162"/>
  <c r="Q190" i="162"/>
  <c r="Q189" i="162"/>
  <c r="Q188" i="162"/>
  <c r="Q186" i="162"/>
  <c r="Q179" i="162"/>
  <c r="AU175" i="162"/>
  <c r="AH169" i="162"/>
  <c r="AE170" i="162" s="1"/>
  <c r="Y169" i="162"/>
  <c r="Q161" i="162"/>
  <c r="T158" i="162"/>
  <c r="S158" i="162"/>
  <c r="Q158" i="162"/>
  <c r="C158" i="162"/>
  <c r="X153" i="162"/>
  <c r="Q153" i="162"/>
  <c r="Q149" i="162"/>
  <c r="AE137" i="162"/>
  <c r="AE136" i="162"/>
  <c r="H118" i="162"/>
  <c r="Q115" i="162"/>
  <c r="Q113" i="162"/>
  <c r="Q111" i="162"/>
  <c r="Q109" i="162"/>
  <c r="Q107" i="162"/>
  <c r="Q106" i="162"/>
  <c r="Q105" i="162"/>
  <c r="Q103" i="162"/>
  <c r="Q96" i="162"/>
  <c r="AH86" i="162"/>
  <c r="Y86" i="162"/>
  <c r="Q78" i="162"/>
  <c r="T75" i="162"/>
  <c r="S75" i="162"/>
  <c r="Q75" i="162"/>
  <c r="C75" i="162"/>
  <c r="X69" i="162"/>
  <c r="Q69" i="162"/>
  <c r="Q65" i="162"/>
  <c r="AE53" i="162"/>
  <c r="AE52" i="162"/>
  <c r="H34" i="162"/>
  <c r="Q31" i="162"/>
  <c r="Q29" i="162"/>
  <c r="Q27" i="162"/>
  <c r="Q25" i="162"/>
  <c r="Q23" i="162"/>
  <c r="Q22" i="162"/>
  <c r="Q21" i="162"/>
  <c r="Q19" i="162"/>
  <c r="BC17" i="162"/>
  <c r="BC16" i="162"/>
  <c r="BC15" i="162"/>
  <c r="BC14" i="162"/>
  <c r="BC13" i="162"/>
  <c r="BC12" i="162"/>
  <c r="Q12" i="162"/>
  <c r="BC11" i="162"/>
  <c r="BC10" i="162"/>
  <c r="BC9" i="162"/>
  <c r="BC8" i="162"/>
  <c r="BC7" i="162"/>
  <c r="BC6" i="162"/>
  <c r="BC5" i="162"/>
  <c r="BC4" i="162"/>
  <c r="BC3" i="162"/>
  <c r="BC2" i="162"/>
  <c r="AH1" i="162"/>
  <c r="AE2" i="162" s="1"/>
  <c r="Y1" i="162"/>
  <c r="P1" i="162"/>
  <c r="X232" i="162" l="1"/>
  <c r="X149" i="162"/>
  <c r="AE87" i="162"/>
  <c r="Q249" i="162"/>
  <c r="Q83" i="162"/>
  <c r="I64" i="162" s="1"/>
  <c r="S12" i="162"/>
  <c r="X65" i="162"/>
  <c r="S96" i="162"/>
  <c r="I258" i="162"/>
  <c r="L37" i="42" s="1"/>
  <c r="U37" i="42" s="1"/>
  <c r="S179" i="162"/>
  <c r="I232" i="162" l="1"/>
  <c r="P232" i="162" s="1"/>
  <c r="I231" i="162"/>
  <c r="P231" i="162" s="1"/>
  <c r="X235" i="162"/>
  <c r="X237" i="162" s="1"/>
  <c r="X239" i="162" s="1"/>
  <c r="I65" i="162"/>
  <c r="P65" i="162" s="1"/>
  <c r="P64" i="162"/>
  <c r="K23" i="162"/>
  <c r="P23" i="162" s="1"/>
  <c r="X152" i="162"/>
  <c r="X154" i="162" s="1"/>
  <c r="X156" i="162" s="1"/>
  <c r="J12" i="162"/>
  <c r="P12" i="162" s="1"/>
  <c r="Y37" i="42"/>
  <c r="T37" i="42"/>
  <c r="Q148" i="162"/>
  <c r="Q166" i="162" s="1"/>
  <c r="K190" i="162"/>
  <c r="P190" i="162" s="1"/>
  <c r="K198" i="162"/>
  <c r="P198" i="162" s="1"/>
  <c r="J241" i="162"/>
  <c r="P241" i="162" s="1"/>
  <c r="H188" i="162"/>
  <c r="K196" i="162"/>
  <c r="P196" i="162" s="1"/>
  <c r="J179" i="162"/>
  <c r="P179" i="162" s="1"/>
  <c r="H186" i="162"/>
  <c r="P186" i="162" s="1"/>
  <c r="K188" i="162"/>
  <c r="P194" i="162" s="1"/>
  <c r="K192" i="162"/>
  <c r="P192" i="162" s="1"/>
  <c r="K186" i="162"/>
  <c r="P188" i="162" s="1"/>
  <c r="H244" i="162"/>
  <c r="P244" i="162" s="1"/>
  <c r="K25" i="162"/>
  <c r="P25" i="162" s="1"/>
  <c r="K31" i="162"/>
  <c r="P31" i="162" s="1"/>
  <c r="K21" i="162"/>
  <c r="P27" i="162" s="1"/>
  <c r="K29" i="162"/>
  <c r="P29" i="162" s="1"/>
  <c r="H78" i="162"/>
  <c r="P78" i="162" s="1"/>
  <c r="H21" i="162"/>
  <c r="K19" i="162"/>
  <c r="P21" i="162" s="1"/>
  <c r="J75" i="162"/>
  <c r="P75" i="162" s="1"/>
  <c r="H19" i="162"/>
  <c r="P19" i="162" s="1"/>
  <c r="I236" i="162" l="1"/>
  <c r="P236" i="162" s="1"/>
  <c r="H237" i="162" s="1"/>
  <c r="I238" i="162" s="1"/>
  <c r="P238" i="162" s="1"/>
  <c r="H239" i="162" s="1"/>
  <c r="H235" i="162"/>
  <c r="K113" i="162"/>
  <c r="P113" i="162" s="1"/>
  <c r="I148" i="162"/>
  <c r="P148" i="162" s="1"/>
  <c r="H152" i="162" s="1"/>
  <c r="H105" i="162"/>
  <c r="K109" i="162"/>
  <c r="P109" i="162" s="1"/>
  <c r="J96" i="162"/>
  <c r="P96" i="162" s="1"/>
  <c r="H103" i="162"/>
  <c r="P103" i="162" s="1"/>
  <c r="I149" i="162"/>
  <c r="P149" i="162" s="1"/>
  <c r="K115" i="162"/>
  <c r="P115" i="162" s="1"/>
  <c r="Q255" i="162"/>
  <c r="J260" i="162" s="1"/>
  <c r="P260" i="162" s="1"/>
  <c r="J158" i="162"/>
  <c r="P158" i="162" s="1"/>
  <c r="K107" i="162"/>
  <c r="P107" i="162" s="1"/>
  <c r="K103" i="162"/>
  <c r="P105" i="162" s="1"/>
  <c r="H161" i="162"/>
  <c r="P161" i="162" s="1"/>
  <c r="I153" i="162"/>
  <c r="P153" i="162" s="1"/>
  <c r="H154" i="162" s="1"/>
  <c r="I155" i="162" s="1"/>
  <c r="P155" i="162" s="1"/>
  <c r="H156" i="162" s="1"/>
  <c r="K105" i="162"/>
  <c r="P111" i="162" s="1"/>
  <c r="X68" i="162"/>
  <c r="P249" i="162" l="1"/>
  <c r="P166" i="162"/>
  <c r="H68" i="162"/>
  <c r="I69" i="162"/>
  <c r="P69" i="162" s="1"/>
  <c r="X70" i="162"/>
  <c r="X72" i="162" s="1"/>
  <c r="R1" i="161"/>
  <c r="R3" i="161"/>
  <c r="R4" i="161" s="1"/>
  <c r="H70" i="162" l="1"/>
  <c r="N15" i="161"/>
  <c r="N19" i="161"/>
  <c r="N11" i="161"/>
  <c r="N12" i="161"/>
  <c r="N16" i="161"/>
  <c r="N20" i="161"/>
  <c r="N14" i="161"/>
  <c r="N22" i="161"/>
  <c r="N13" i="161"/>
  <c r="N17" i="161"/>
  <c r="I17" i="161" s="1"/>
  <c r="N21" i="161"/>
  <c r="N18" i="161"/>
  <c r="O36" i="42"/>
  <c r="L36" i="42"/>
  <c r="U36" i="42" s="1"/>
  <c r="K36" i="42"/>
  <c r="X36" i="42" s="1"/>
  <c r="P42" i="161"/>
  <c r="N42" i="161"/>
  <c r="P40" i="161"/>
  <c r="N40" i="161"/>
  <c r="T39" i="161"/>
  <c r="S39" i="161"/>
  <c r="N38" i="161"/>
  <c r="N33" i="161"/>
  <c r="N29" i="161"/>
  <c r="M27" i="161"/>
  <c r="U26" i="161"/>
  <c r="T25" i="161" s="1"/>
  <c r="H23" i="161"/>
  <c r="P22" i="161"/>
  <c r="P21" i="161"/>
  <c r="P20" i="161"/>
  <c r="P19" i="161"/>
  <c r="P18" i="161"/>
  <c r="P17" i="161"/>
  <c r="P16" i="161"/>
  <c r="P15" i="161"/>
  <c r="P14" i="161"/>
  <c r="P13" i="161"/>
  <c r="P12" i="161"/>
  <c r="P11" i="161"/>
  <c r="N8" i="161"/>
  <c r="H8" i="161"/>
  <c r="M8" i="161" s="1"/>
  <c r="T1" i="161"/>
  <c r="I20" i="161" l="1"/>
  <c r="I15" i="161"/>
  <c r="M15" i="161" s="1"/>
  <c r="I19" i="161"/>
  <c r="M19" i="161" s="1"/>
  <c r="I18" i="161"/>
  <c r="M18" i="161" s="1"/>
  <c r="I71" i="162"/>
  <c r="P71" i="162" s="1"/>
  <c r="H72" i="162" s="1"/>
  <c r="I21" i="161"/>
  <c r="M21" i="161" s="1"/>
  <c r="I14" i="161"/>
  <c r="M14" i="161" s="1"/>
  <c r="I11" i="161"/>
  <c r="M11" i="161" s="1"/>
  <c r="I22" i="161"/>
  <c r="M22" i="161" s="1"/>
  <c r="I13" i="161"/>
  <c r="M13" i="161" s="1"/>
  <c r="I16" i="161"/>
  <c r="M16" i="161" s="1"/>
  <c r="I12" i="161"/>
  <c r="M12" i="161" s="1"/>
  <c r="T36" i="42"/>
  <c r="Y36" i="42"/>
  <c r="I23" i="161"/>
  <c r="M23" i="161" s="1"/>
  <c r="M17" i="161"/>
  <c r="M20" i="161"/>
  <c r="N6" i="161"/>
  <c r="N44" i="161"/>
  <c r="I42" i="161" s="1"/>
  <c r="M42" i="161" s="1"/>
  <c r="R80" i="147"/>
  <c r="S80" i="147" s="1"/>
  <c r="P83" i="162" l="1"/>
  <c r="Q256" i="162" s="1"/>
  <c r="P261" i="162" s="1"/>
  <c r="E132" i="2" s="1"/>
  <c r="C132" i="2" s="1"/>
  <c r="I29" i="161"/>
  <c r="M29" i="161" s="1"/>
  <c r="H27" i="161"/>
  <c r="I40" i="161"/>
  <c r="M40" i="161" s="1"/>
  <c r="I38" i="161"/>
  <c r="M38" i="161" s="1"/>
  <c r="I33" i="161"/>
  <c r="M33" i="161" s="1"/>
  <c r="T80" i="147"/>
  <c r="U80" i="147"/>
  <c r="Y1" i="147"/>
  <c r="R150" i="147"/>
  <c r="S150" i="147" s="1"/>
  <c r="R149" i="147"/>
  <c r="S149" i="147" s="1"/>
  <c r="R148" i="147"/>
  <c r="S148" i="147" s="1"/>
  <c r="R147" i="147"/>
  <c r="S147" i="147" s="1"/>
  <c r="R146" i="147"/>
  <c r="S146" i="147" s="1"/>
  <c r="R145" i="147"/>
  <c r="S145" i="147" s="1"/>
  <c r="R92" i="147"/>
  <c r="R91" i="147"/>
  <c r="R90" i="147"/>
  <c r="R89" i="147"/>
  <c r="R88" i="147"/>
  <c r="R87" i="147"/>
  <c r="R86" i="147"/>
  <c r="R85" i="147"/>
  <c r="R84" i="147"/>
  <c r="R83" i="147"/>
  <c r="R82" i="147"/>
  <c r="R81" i="147"/>
  <c r="S81" i="147" s="1"/>
  <c r="U81" i="147" s="1"/>
  <c r="S83" i="147" l="1"/>
  <c r="U83" i="147" s="1"/>
  <c r="S87" i="147"/>
  <c r="U87" i="147" s="1"/>
  <c r="S84" i="147"/>
  <c r="U84" i="147" s="1"/>
  <c r="S88" i="147"/>
  <c r="T88" i="147" s="1"/>
  <c r="S92" i="147"/>
  <c r="S85" i="147"/>
  <c r="T85" i="147" s="1"/>
  <c r="S89" i="147"/>
  <c r="U89" i="147" s="1"/>
  <c r="S91" i="147"/>
  <c r="U91" i="147" s="1"/>
  <c r="S82" i="147"/>
  <c r="U82" i="147" s="1"/>
  <c r="S86" i="147"/>
  <c r="T86" i="147" s="1"/>
  <c r="S90" i="147"/>
  <c r="T90" i="147" s="1"/>
  <c r="H31" i="161"/>
  <c r="H35" i="161" s="1"/>
  <c r="M6" i="161"/>
  <c r="M44" i="161" s="1"/>
  <c r="M47" i="161" s="1"/>
  <c r="E131" i="2" s="1"/>
  <c r="C131" i="2" s="1"/>
  <c r="T145" i="147"/>
  <c r="U145" i="147"/>
  <c r="T149" i="147"/>
  <c r="U149" i="147"/>
  <c r="U146" i="147"/>
  <c r="T146" i="147"/>
  <c r="T150" i="147"/>
  <c r="U150" i="147"/>
  <c r="T87" i="147"/>
  <c r="T147" i="147"/>
  <c r="U147" i="147"/>
  <c r="U88" i="147"/>
  <c r="U92" i="147"/>
  <c r="T92" i="147"/>
  <c r="U148" i="147"/>
  <c r="T148" i="147"/>
  <c r="T82" i="147"/>
  <c r="T81" i="147"/>
  <c r="V781" i="112"/>
  <c r="U781" i="112"/>
  <c r="T781" i="112"/>
  <c r="V780" i="112"/>
  <c r="U780" i="112"/>
  <c r="T780" i="112"/>
  <c r="V779" i="112"/>
  <c r="U779" i="112"/>
  <c r="T779" i="112"/>
  <c r="V778" i="112"/>
  <c r="U778" i="112"/>
  <c r="T778" i="112"/>
  <c r="V777" i="112"/>
  <c r="U777" i="112"/>
  <c r="T777" i="112"/>
  <c r="V776" i="112"/>
  <c r="U776" i="112"/>
  <c r="T776" i="112"/>
  <c r="V775" i="112"/>
  <c r="U775" i="112"/>
  <c r="T775" i="112"/>
  <c r="V774" i="112"/>
  <c r="U774" i="112"/>
  <c r="T774" i="112"/>
  <c r="V773" i="112"/>
  <c r="U773" i="112"/>
  <c r="T773" i="112"/>
  <c r="V772" i="112"/>
  <c r="U772" i="112"/>
  <c r="T772" i="112"/>
  <c r="V771" i="112"/>
  <c r="U771" i="112"/>
  <c r="T771" i="112"/>
  <c r="V770" i="112"/>
  <c r="U770" i="112"/>
  <c r="T770" i="112"/>
  <c r="V769" i="112"/>
  <c r="U769" i="112"/>
  <c r="T769" i="112"/>
  <c r="V768" i="112"/>
  <c r="U768" i="112"/>
  <c r="T768" i="112"/>
  <c r="V767" i="112"/>
  <c r="U767" i="112"/>
  <c r="T767" i="112"/>
  <c r="V766" i="112"/>
  <c r="U766" i="112"/>
  <c r="T766" i="112"/>
  <c r="V765" i="112"/>
  <c r="U765" i="112"/>
  <c r="T765" i="112"/>
  <c r="V764" i="112"/>
  <c r="U764" i="112"/>
  <c r="T764" i="112"/>
  <c r="V763" i="112"/>
  <c r="U763" i="112"/>
  <c r="T763" i="112"/>
  <c r="V762" i="112"/>
  <c r="U762" i="112"/>
  <c r="T762" i="112"/>
  <c r="V761" i="112"/>
  <c r="U761" i="112"/>
  <c r="T761" i="112"/>
  <c r="V760" i="112"/>
  <c r="U760" i="112"/>
  <c r="T760" i="112"/>
  <c r="V759" i="112"/>
  <c r="U759" i="112"/>
  <c r="T759" i="112"/>
  <c r="V758" i="112"/>
  <c r="U758" i="112"/>
  <c r="T758" i="112"/>
  <c r="V757" i="112"/>
  <c r="U757" i="112"/>
  <c r="T757" i="112"/>
  <c r="V756" i="112"/>
  <c r="U756" i="112"/>
  <c r="T756" i="112"/>
  <c r="V755" i="112"/>
  <c r="U755" i="112"/>
  <c r="T755" i="112"/>
  <c r="V754" i="112"/>
  <c r="U754" i="112"/>
  <c r="T754" i="112"/>
  <c r="V753" i="112"/>
  <c r="U753" i="112"/>
  <c r="T753" i="112"/>
  <c r="V752" i="112"/>
  <c r="U752" i="112"/>
  <c r="T752" i="112"/>
  <c r="V751" i="112"/>
  <c r="U751" i="112"/>
  <c r="T751" i="112"/>
  <c r="V750" i="112"/>
  <c r="U750" i="112"/>
  <c r="T750" i="112"/>
  <c r="V749" i="112"/>
  <c r="U749" i="112"/>
  <c r="T749" i="112"/>
  <c r="V748" i="112"/>
  <c r="U748" i="112"/>
  <c r="T748" i="112"/>
  <c r="V747" i="112"/>
  <c r="U747" i="112"/>
  <c r="T747" i="112"/>
  <c r="V746" i="112"/>
  <c r="U746" i="112"/>
  <c r="T746" i="112"/>
  <c r="V745" i="112"/>
  <c r="U745" i="112"/>
  <c r="T745" i="112"/>
  <c r="V744" i="112"/>
  <c r="U744" i="112"/>
  <c r="T744" i="112"/>
  <c r="V743" i="112"/>
  <c r="U743" i="112"/>
  <c r="T743" i="112"/>
  <c r="V742" i="112"/>
  <c r="U742" i="112"/>
  <c r="T742" i="112"/>
  <c r="V741" i="112"/>
  <c r="U741" i="112"/>
  <c r="T741" i="112"/>
  <c r="V740" i="112"/>
  <c r="U740" i="112"/>
  <c r="T740" i="112"/>
  <c r="V739" i="112"/>
  <c r="U739" i="112"/>
  <c r="T739" i="112"/>
  <c r="V738" i="112"/>
  <c r="U738" i="112"/>
  <c r="T738" i="112"/>
  <c r="V737" i="112"/>
  <c r="U737" i="112"/>
  <c r="T737" i="112"/>
  <c r="V736" i="112"/>
  <c r="U736" i="112"/>
  <c r="T736" i="112"/>
  <c r="V89" i="112"/>
  <c r="U89" i="112"/>
  <c r="T89" i="112"/>
  <c r="V88" i="112"/>
  <c r="U88" i="112"/>
  <c r="T88" i="112"/>
  <c r="V87" i="112"/>
  <c r="U87" i="112"/>
  <c r="T87" i="112"/>
  <c r="V86" i="112"/>
  <c r="U86" i="112"/>
  <c r="T86" i="112"/>
  <c r="V85" i="112"/>
  <c r="U85" i="112"/>
  <c r="T85" i="112"/>
  <c r="V84" i="112"/>
  <c r="U84" i="112"/>
  <c r="T84" i="112"/>
  <c r="GL73" i="77"/>
  <c r="BE85" i="83" s="1"/>
  <c r="U90" i="147" l="1"/>
  <c r="T89" i="147"/>
  <c r="U85" i="147"/>
  <c r="R85" i="112"/>
  <c r="R89" i="112"/>
  <c r="R739" i="112"/>
  <c r="R743" i="112"/>
  <c r="R747" i="112"/>
  <c r="R751" i="112"/>
  <c r="R755" i="112"/>
  <c r="R759" i="112"/>
  <c r="R763" i="112"/>
  <c r="R767" i="112"/>
  <c r="R771" i="112"/>
  <c r="R775" i="112"/>
  <c r="R779" i="112"/>
  <c r="U86" i="147"/>
  <c r="T91" i="147"/>
  <c r="T84" i="147"/>
  <c r="T83" i="147"/>
  <c r="R86" i="112"/>
  <c r="R736" i="112"/>
  <c r="R740" i="112"/>
  <c r="R744" i="112"/>
  <c r="R748" i="112"/>
  <c r="R752" i="112"/>
  <c r="R756" i="112"/>
  <c r="R760" i="112"/>
  <c r="R764" i="112"/>
  <c r="R768" i="112"/>
  <c r="R772" i="112"/>
  <c r="R776" i="112"/>
  <c r="R780" i="112"/>
  <c r="R84" i="112"/>
  <c r="R88" i="112"/>
  <c r="R738" i="112"/>
  <c r="R742" i="112"/>
  <c r="R746" i="112"/>
  <c r="R750" i="112"/>
  <c r="R754" i="112"/>
  <c r="R758" i="112"/>
  <c r="R762" i="112"/>
  <c r="R766" i="112"/>
  <c r="R770" i="112"/>
  <c r="R774" i="112"/>
  <c r="R778" i="112"/>
  <c r="R87" i="112"/>
  <c r="R737" i="112"/>
  <c r="R741" i="112"/>
  <c r="R745" i="112"/>
  <c r="R749" i="112"/>
  <c r="R753" i="112"/>
  <c r="R757" i="112"/>
  <c r="R761" i="112"/>
  <c r="R765" i="112"/>
  <c r="R769" i="112"/>
  <c r="R773" i="112"/>
  <c r="R777" i="112"/>
  <c r="R781" i="112"/>
  <c r="S765" i="112"/>
  <c r="S777" i="112"/>
  <c r="S749" i="112"/>
  <c r="S741" i="112"/>
  <c r="S739" i="112"/>
  <c r="S781" i="112"/>
  <c r="S769" i="112"/>
  <c r="S773" i="112"/>
  <c r="S84" i="112"/>
  <c r="S753" i="112"/>
  <c r="S763" i="112"/>
  <c r="S87" i="112"/>
  <c r="S748" i="112"/>
  <c r="S757" i="112"/>
  <c r="S761" i="112"/>
  <c r="S767" i="112"/>
  <c r="S86" i="112"/>
  <c r="S88" i="112"/>
  <c r="S736" i="112"/>
  <c r="S752" i="112"/>
  <c r="S779" i="112"/>
  <c r="Q779" i="112" s="1"/>
  <c r="K779" i="112" s="1"/>
  <c r="S743" i="112"/>
  <c r="S737" i="112"/>
  <c r="S745" i="112"/>
  <c r="S747" i="112"/>
  <c r="Q747" i="112" s="1"/>
  <c r="K747" i="112" s="1"/>
  <c r="S751" i="112"/>
  <c r="S755" i="112"/>
  <c r="S759" i="112"/>
  <c r="S771" i="112"/>
  <c r="Q771" i="112" s="1"/>
  <c r="K771" i="112" s="1"/>
  <c r="S775" i="112"/>
  <c r="S780" i="112"/>
  <c r="S764" i="112"/>
  <c r="S85" i="112"/>
  <c r="Q85" i="112" s="1"/>
  <c r="K85" i="112" s="1"/>
  <c r="S89" i="112"/>
  <c r="Q89" i="112" s="1"/>
  <c r="K89" i="112" s="1"/>
  <c r="S742" i="112"/>
  <c r="S758" i="112"/>
  <c r="S774" i="112"/>
  <c r="S778" i="112"/>
  <c r="S746" i="112"/>
  <c r="S762" i="112"/>
  <c r="S768" i="112"/>
  <c r="S740" i="112"/>
  <c r="S750" i="112"/>
  <c r="S756" i="112"/>
  <c r="S766" i="112"/>
  <c r="S772" i="112"/>
  <c r="S738" i="112"/>
  <c r="S744" i="112"/>
  <c r="S754" i="112"/>
  <c r="S760" i="112"/>
  <c r="S770" i="112"/>
  <c r="S776" i="112"/>
  <c r="AI91" i="83"/>
  <c r="AI93" i="83" s="1"/>
  <c r="Q755" i="112" l="1"/>
  <c r="K755" i="112" s="1"/>
  <c r="Q763" i="112"/>
  <c r="K763" i="112" s="1"/>
  <c r="AK94" i="83"/>
  <c r="AL94" i="83"/>
  <c r="Q775" i="112"/>
  <c r="K775" i="112" s="1"/>
  <c r="L775" i="112" s="1"/>
  <c r="Q743" i="112"/>
  <c r="K743" i="112" s="1"/>
  <c r="L743" i="112" s="1"/>
  <c r="Q739" i="112"/>
  <c r="K739" i="112" s="1"/>
  <c r="Q87" i="112"/>
  <c r="K87" i="112" s="1"/>
  <c r="L87" i="112" s="1"/>
  <c r="Q777" i="112"/>
  <c r="K777" i="112" s="1"/>
  <c r="L777" i="112" s="1"/>
  <c r="Q750" i="112"/>
  <c r="K750" i="112" s="1"/>
  <c r="L750" i="112" s="1"/>
  <c r="Q760" i="112"/>
  <c r="K760" i="112" s="1"/>
  <c r="L760" i="112" s="1"/>
  <c r="Q778" i="112"/>
  <c r="K778" i="112" s="1"/>
  <c r="L778" i="112" s="1"/>
  <c r="Q761" i="112"/>
  <c r="K761" i="112" s="1"/>
  <c r="L761" i="112" s="1"/>
  <c r="Q776" i="112"/>
  <c r="Q744" i="112"/>
  <c r="K744" i="112" s="1"/>
  <c r="L744" i="112" s="1"/>
  <c r="Q773" i="112"/>
  <c r="K773" i="112" s="1"/>
  <c r="L773" i="112" s="1"/>
  <c r="Q766" i="112"/>
  <c r="Q762" i="112"/>
  <c r="Q88" i="112"/>
  <c r="Q772" i="112"/>
  <c r="K772" i="112" s="1"/>
  <c r="L772" i="112" s="1"/>
  <c r="Q756" i="112"/>
  <c r="K756" i="112" s="1"/>
  <c r="L756" i="112" s="1"/>
  <c r="Q740" i="112"/>
  <c r="K740" i="112" s="1"/>
  <c r="L740" i="112" s="1"/>
  <c r="Q745" i="112"/>
  <c r="Q757" i="112"/>
  <c r="Q746" i="112"/>
  <c r="Q769" i="112"/>
  <c r="K769" i="112" s="1"/>
  <c r="L769" i="112" s="1"/>
  <c r="Q753" i="112"/>
  <c r="Q737" i="112"/>
  <c r="K737" i="112" s="1"/>
  <c r="L737" i="112" s="1"/>
  <c r="Q774" i="112"/>
  <c r="Q758" i="112"/>
  <c r="Q742" i="112"/>
  <c r="K742" i="112" s="1"/>
  <c r="L742" i="112" s="1"/>
  <c r="Q84" i="112"/>
  <c r="K84" i="112" s="1"/>
  <c r="Q768" i="112"/>
  <c r="Q752" i="112"/>
  <c r="Q736" i="112"/>
  <c r="K736" i="112" s="1"/>
  <c r="L736" i="112" s="1"/>
  <c r="Q86" i="112"/>
  <c r="K86" i="112" s="1"/>
  <c r="Q751" i="112"/>
  <c r="Q767" i="112"/>
  <c r="Q741" i="112"/>
  <c r="Q781" i="112"/>
  <c r="K781" i="112" s="1"/>
  <c r="L781" i="112" s="1"/>
  <c r="Q765" i="112"/>
  <c r="Q749" i="112"/>
  <c r="Q770" i="112"/>
  <c r="K770" i="112" s="1"/>
  <c r="L770" i="112" s="1"/>
  <c r="Q754" i="112"/>
  <c r="Q738" i="112"/>
  <c r="K738" i="112" s="1"/>
  <c r="L738" i="112" s="1"/>
  <c r="Q780" i="112"/>
  <c r="K780" i="112" s="1"/>
  <c r="L780" i="112" s="1"/>
  <c r="Q764" i="112"/>
  <c r="Q748" i="112"/>
  <c r="K748" i="112" s="1"/>
  <c r="L748" i="112" s="1"/>
  <c r="Q759" i="112"/>
  <c r="L755" i="112"/>
  <c r="L779" i="112"/>
  <c r="L763" i="112"/>
  <c r="L771" i="112"/>
  <c r="L739" i="112"/>
  <c r="L747" i="112"/>
  <c r="L89" i="112"/>
  <c r="K88" i="112" l="1"/>
  <c r="L88" i="112" s="1"/>
  <c r="K741" i="112"/>
  <c r="L741" i="112" s="1"/>
  <c r="K751" i="112"/>
  <c r="L751" i="112" s="1"/>
  <c r="K745" i="112"/>
  <c r="L745" i="112" s="1"/>
  <c r="K776" i="112"/>
  <c r="L776" i="112" s="1"/>
  <c r="K764" i="112"/>
  <c r="L764" i="112" s="1"/>
  <c r="K754" i="112"/>
  <c r="L754" i="112" s="1"/>
  <c r="K749" i="112"/>
  <c r="L749" i="112" s="1"/>
  <c r="K752" i="112"/>
  <c r="L752" i="112" s="1"/>
  <c r="K758" i="112"/>
  <c r="L758" i="112" s="1"/>
  <c r="K753" i="112"/>
  <c r="L753" i="112" s="1"/>
  <c r="K757" i="112"/>
  <c r="L757" i="112" s="1"/>
  <c r="K759" i="112"/>
  <c r="L759" i="112" s="1"/>
  <c r="K765" i="112"/>
  <c r="L765" i="112" s="1"/>
  <c r="K768" i="112"/>
  <c r="L768" i="112" s="1"/>
  <c r="K774" i="112"/>
  <c r="L774" i="112" s="1"/>
  <c r="K762" i="112"/>
  <c r="L762" i="112" s="1"/>
  <c r="K766" i="112"/>
  <c r="L766" i="112" s="1"/>
  <c r="K767" i="112"/>
  <c r="L767" i="112" s="1"/>
  <c r="K746" i="112"/>
  <c r="L746" i="112" s="1"/>
  <c r="AK97" i="83"/>
  <c r="AL97" i="83" s="1"/>
  <c r="AK101" i="83"/>
  <c r="AL101" i="83" s="1"/>
  <c r="AK105" i="83"/>
  <c r="AL105" i="83" s="1"/>
  <c r="AK109" i="83"/>
  <c r="AL109" i="83" s="1"/>
  <c r="AK113" i="83"/>
  <c r="AL113" i="83" s="1"/>
  <c r="AK117" i="83"/>
  <c r="AL117" i="83" s="1"/>
  <c r="AK104" i="83"/>
  <c r="AL104" i="83" s="1"/>
  <c r="AK98" i="83"/>
  <c r="AK102" i="83"/>
  <c r="AL102" i="83" s="1"/>
  <c r="AK106" i="83"/>
  <c r="AL106" i="83" s="1"/>
  <c r="AK110" i="83"/>
  <c r="AL110" i="83" s="1"/>
  <c r="AK114" i="83"/>
  <c r="AL114" i="83" s="1"/>
  <c r="AK96" i="83"/>
  <c r="AK112" i="83"/>
  <c r="AL112" i="83" s="1"/>
  <c r="AK95" i="83"/>
  <c r="AK99" i="83"/>
  <c r="AL99" i="83" s="1"/>
  <c r="AK103" i="83"/>
  <c r="AL103" i="83" s="1"/>
  <c r="AK107" i="83"/>
  <c r="AL107" i="83" s="1"/>
  <c r="AK111" i="83"/>
  <c r="AL111" i="83" s="1"/>
  <c r="AK115" i="83"/>
  <c r="AL115" i="83" s="1"/>
  <c r="AK100" i="83"/>
  <c r="AL100" i="83" s="1"/>
  <c r="AK108" i="83"/>
  <c r="AL108" i="83" s="1"/>
  <c r="AK116" i="83"/>
  <c r="AL116" i="83" s="1"/>
  <c r="R36" i="131"/>
  <c r="S36" i="131" s="1"/>
  <c r="R35" i="131"/>
  <c r="S35" i="131" s="1"/>
  <c r="R34" i="131"/>
  <c r="S34" i="131" s="1"/>
  <c r="S33" i="131"/>
  <c r="AL96" i="83" l="1"/>
  <c r="P82" i="155"/>
  <c r="Z83" i="155"/>
  <c r="Y83" i="155"/>
  <c r="X83" i="155"/>
  <c r="S82" i="155"/>
  <c r="P76" i="155"/>
  <c r="AA83" i="155" l="1"/>
  <c r="D81" i="149" l="1"/>
  <c r="E81" i="149"/>
  <c r="S392" i="156" l="1"/>
  <c r="H392" i="156"/>
  <c r="S391" i="156"/>
  <c r="H391" i="156"/>
  <c r="S390" i="156"/>
  <c r="H390" i="156"/>
  <c r="S389" i="156"/>
  <c r="H389" i="156"/>
  <c r="S388" i="156"/>
  <c r="H388" i="156"/>
  <c r="S387" i="156"/>
  <c r="H387" i="156"/>
  <c r="S386" i="156"/>
  <c r="H386" i="156"/>
  <c r="S385" i="156"/>
  <c r="H385" i="156"/>
  <c r="S384" i="156"/>
  <c r="H384" i="156"/>
  <c r="S383" i="156"/>
  <c r="H383" i="156"/>
  <c r="S382" i="156"/>
  <c r="H382" i="156"/>
  <c r="S381" i="156"/>
  <c r="H381" i="156"/>
  <c r="S380" i="156"/>
  <c r="H380" i="156"/>
  <c r="S379" i="156"/>
  <c r="H379" i="156"/>
  <c r="S378" i="156"/>
  <c r="H378" i="156"/>
  <c r="S377" i="156"/>
  <c r="H377" i="156"/>
  <c r="S376" i="156"/>
  <c r="H376" i="156"/>
  <c r="S375" i="156"/>
  <c r="H375" i="156"/>
  <c r="S374" i="156"/>
  <c r="H374" i="156"/>
  <c r="S373" i="156"/>
  <c r="H373" i="156"/>
  <c r="S372" i="156"/>
  <c r="H372" i="156"/>
  <c r="S371" i="156"/>
  <c r="H371" i="156"/>
  <c r="S370" i="156"/>
  <c r="H370" i="156"/>
  <c r="S369" i="156"/>
  <c r="H369" i="156"/>
  <c r="S368" i="156"/>
  <c r="H368" i="156"/>
  <c r="S367" i="156"/>
  <c r="H367" i="156"/>
  <c r="S366" i="156"/>
  <c r="H366" i="156"/>
  <c r="S365" i="156"/>
  <c r="H365" i="156"/>
  <c r="S364" i="156"/>
  <c r="H364" i="156"/>
  <c r="S363" i="156"/>
  <c r="H363" i="156"/>
  <c r="S362" i="156"/>
  <c r="H362" i="156"/>
  <c r="S361" i="156"/>
  <c r="H361" i="156"/>
  <c r="S360" i="156"/>
  <c r="H360" i="156"/>
  <c r="S359" i="156"/>
  <c r="H359" i="156"/>
  <c r="S358" i="156"/>
  <c r="H358" i="156"/>
  <c r="S357" i="156"/>
  <c r="H357" i="156"/>
  <c r="S356" i="156"/>
  <c r="H356" i="156"/>
  <c r="S355" i="156"/>
  <c r="H355" i="156"/>
  <c r="S354" i="156"/>
  <c r="H354" i="156"/>
  <c r="S353" i="156"/>
  <c r="H353" i="156"/>
  <c r="S352" i="156"/>
  <c r="H352" i="156"/>
  <c r="S351" i="156"/>
  <c r="H351" i="156"/>
  <c r="S350" i="156"/>
  <c r="H350" i="156"/>
  <c r="S349" i="156"/>
  <c r="H349" i="156"/>
  <c r="S348" i="156"/>
  <c r="H348" i="156"/>
  <c r="S347" i="156"/>
  <c r="H347" i="156"/>
  <c r="S346" i="156"/>
  <c r="H346" i="156"/>
  <c r="H205" i="156"/>
  <c r="H204" i="156"/>
  <c r="H203" i="156"/>
  <c r="H202" i="156"/>
  <c r="H201" i="156"/>
  <c r="H200" i="156"/>
  <c r="H199" i="156"/>
  <c r="H198" i="156"/>
  <c r="H197" i="156"/>
  <c r="H196" i="156"/>
  <c r="H195" i="156"/>
  <c r="H194" i="156"/>
  <c r="H193" i="156"/>
  <c r="H192" i="156"/>
  <c r="H191" i="156"/>
  <c r="H190" i="156"/>
  <c r="H189" i="156"/>
  <c r="H188" i="156"/>
  <c r="H187" i="156"/>
  <c r="H186" i="156"/>
  <c r="H185" i="156"/>
  <c r="H184" i="156"/>
  <c r="H183" i="156"/>
  <c r="H182" i="156"/>
  <c r="H181" i="156"/>
  <c r="H180" i="156"/>
  <c r="H179" i="156"/>
  <c r="H178" i="156"/>
  <c r="H177" i="156"/>
  <c r="H176" i="156"/>
  <c r="H175" i="156"/>
  <c r="H174" i="156"/>
  <c r="H173" i="156"/>
  <c r="H172" i="156"/>
  <c r="H171" i="156"/>
  <c r="H170" i="156"/>
  <c r="H169" i="156"/>
  <c r="H168" i="156"/>
  <c r="H167" i="156"/>
  <c r="H166" i="156"/>
  <c r="H165" i="156"/>
  <c r="H164" i="156"/>
  <c r="H163" i="156"/>
  <c r="H162" i="156"/>
  <c r="H161" i="156"/>
  <c r="H160" i="156"/>
  <c r="H159" i="156"/>
  <c r="H158" i="156"/>
  <c r="I77" i="156"/>
  <c r="I76" i="156"/>
  <c r="I75" i="156"/>
  <c r="I74" i="156"/>
  <c r="I73" i="156"/>
  <c r="I72" i="156"/>
  <c r="I71" i="156"/>
  <c r="I70" i="156"/>
  <c r="I69" i="156"/>
  <c r="I68" i="156"/>
  <c r="I67" i="156"/>
  <c r="I66" i="156"/>
  <c r="I65" i="156"/>
  <c r="I64" i="156"/>
  <c r="I63" i="156"/>
  <c r="I62" i="156"/>
  <c r="I61" i="156"/>
  <c r="I60" i="156"/>
  <c r="I59" i="156"/>
  <c r="I58" i="156"/>
  <c r="I57" i="156"/>
  <c r="I56" i="156"/>
  <c r="I55" i="156"/>
  <c r="I54" i="156"/>
  <c r="I53" i="156"/>
  <c r="I52" i="156"/>
  <c r="I51" i="156"/>
  <c r="I50" i="156"/>
  <c r="I49" i="156"/>
  <c r="I48" i="156"/>
  <c r="I47" i="156"/>
  <c r="I46" i="156"/>
  <c r="I45" i="156"/>
  <c r="I44" i="156"/>
  <c r="I43" i="156"/>
  <c r="I42" i="156"/>
  <c r="I41" i="156"/>
  <c r="I40" i="156"/>
  <c r="I39" i="156"/>
  <c r="I38" i="156"/>
  <c r="I37" i="156"/>
  <c r="I36" i="156"/>
  <c r="I35" i="156"/>
  <c r="I34" i="156"/>
  <c r="I33" i="156"/>
  <c r="I32" i="156"/>
  <c r="I31" i="156"/>
  <c r="H341" i="156" l="1"/>
  <c r="H342" i="156"/>
  <c r="H343" i="156"/>
  <c r="H344" i="156"/>
  <c r="H345" i="156"/>
  <c r="H340" i="156"/>
  <c r="H393" i="156" l="1"/>
  <c r="S341" i="156"/>
  <c r="S342" i="156"/>
  <c r="S343" i="156"/>
  <c r="S344" i="156"/>
  <c r="S345" i="156"/>
  <c r="S340" i="156"/>
  <c r="P338" i="156"/>
  <c r="P274" i="156"/>
  <c r="G336" i="156"/>
  <c r="N14" i="150" l="1"/>
  <c r="N15" i="150"/>
  <c r="N16" i="150"/>
  <c r="N17" i="150"/>
  <c r="N18" i="150"/>
  <c r="N19" i="150"/>
  <c r="N20" i="150"/>
  <c r="N21" i="150"/>
  <c r="N22" i="150"/>
  <c r="N23" i="150"/>
  <c r="N24" i="150"/>
  <c r="N25" i="150"/>
  <c r="N26" i="150"/>
  <c r="N27" i="150"/>
  <c r="N28" i="150"/>
  <c r="N29" i="150"/>
  <c r="N30" i="150"/>
  <c r="N31" i="150"/>
  <c r="N32" i="150"/>
  <c r="N33" i="150"/>
  <c r="N34" i="150"/>
  <c r="N35" i="150"/>
  <c r="N36" i="150"/>
  <c r="N37" i="150"/>
  <c r="N38" i="150"/>
  <c r="N39" i="150"/>
  <c r="N40" i="150"/>
  <c r="N41" i="150"/>
  <c r="N42" i="150"/>
  <c r="N43" i="150"/>
  <c r="N44" i="150"/>
  <c r="N45" i="150"/>
  <c r="N46" i="150"/>
  <c r="N47" i="150"/>
  <c r="N48" i="150"/>
  <c r="N49" i="150"/>
  <c r="N50" i="150"/>
  <c r="N51" i="150"/>
  <c r="N52" i="150"/>
  <c r="N53" i="150"/>
  <c r="N54" i="150"/>
  <c r="N55" i="150"/>
  <c r="N56" i="150"/>
  <c r="N57" i="150"/>
  <c r="N58" i="150"/>
  <c r="N59" i="150"/>
  <c r="N60" i="150"/>
  <c r="N61" i="150"/>
  <c r="N62" i="150"/>
  <c r="N63" i="150"/>
  <c r="N64" i="150"/>
  <c r="N65" i="150"/>
  <c r="N66" i="150"/>
  <c r="N67" i="150"/>
  <c r="N68" i="150"/>
  <c r="N69" i="150"/>
  <c r="N70" i="150"/>
  <c r="N71" i="150"/>
  <c r="N72" i="150"/>
  <c r="N73" i="150"/>
  <c r="N74" i="150"/>
  <c r="N75" i="150"/>
  <c r="N76" i="150"/>
  <c r="N77" i="150"/>
  <c r="N78" i="150"/>
  <c r="N79" i="150"/>
  <c r="N80" i="150"/>
  <c r="N81" i="150"/>
  <c r="N82" i="150"/>
  <c r="N83" i="150"/>
  <c r="N84" i="150"/>
  <c r="N85" i="150"/>
  <c r="N86" i="150"/>
  <c r="N87" i="150"/>
  <c r="N88" i="150"/>
  <c r="N89" i="150"/>
  <c r="N90" i="150"/>
  <c r="N91" i="150"/>
  <c r="N92" i="150"/>
  <c r="N93" i="150"/>
  <c r="N94" i="150"/>
  <c r="N95" i="150"/>
  <c r="N96" i="150"/>
  <c r="N97" i="150"/>
  <c r="N98" i="150"/>
  <c r="N99" i="150"/>
  <c r="N100" i="150"/>
  <c r="N302" i="150"/>
  <c r="N303" i="150"/>
  <c r="N304" i="150"/>
  <c r="N305" i="150"/>
  <c r="N306" i="150"/>
  <c r="N307" i="150"/>
  <c r="N308" i="150"/>
  <c r="N309" i="150"/>
  <c r="N310" i="150"/>
  <c r="N311" i="150"/>
  <c r="N312" i="150"/>
  <c r="N313" i="150"/>
  <c r="N314" i="150"/>
  <c r="N315" i="150"/>
  <c r="N316" i="150"/>
  <c r="N317" i="150"/>
  <c r="N318" i="150"/>
  <c r="N319" i="150"/>
  <c r="N320" i="150"/>
  <c r="N321" i="150"/>
  <c r="N322" i="150"/>
  <c r="N323" i="150"/>
  <c r="N324" i="150"/>
  <c r="N325" i="150"/>
  <c r="N326" i="150"/>
  <c r="N327" i="150"/>
  <c r="N328" i="150"/>
  <c r="N329" i="150"/>
  <c r="N330" i="150"/>
  <c r="N331" i="150"/>
  <c r="N332" i="150"/>
  <c r="N333" i="150"/>
  <c r="N334" i="150"/>
  <c r="N335" i="150"/>
  <c r="N336" i="150"/>
  <c r="N337" i="150"/>
  <c r="N338" i="150"/>
  <c r="N339" i="150"/>
  <c r="N340" i="150"/>
  <c r="N341" i="150"/>
  <c r="N342" i="150"/>
  <c r="N343" i="150"/>
  <c r="N344" i="150"/>
  <c r="N345" i="150"/>
  <c r="N346" i="150"/>
  <c r="N347" i="150"/>
  <c r="N348" i="150"/>
  <c r="N349" i="150"/>
  <c r="N350" i="150"/>
  <c r="N351" i="150"/>
  <c r="N352" i="150"/>
  <c r="N353" i="150"/>
  <c r="N354" i="150"/>
  <c r="N355" i="150"/>
  <c r="N356" i="150"/>
  <c r="N357" i="150"/>
  <c r="N358" i="150"/>
  <c r="N359" i="150"/>
  <c r="N360" i="150"/>
  <c r="N361" i="150"/>
  <c r="N362" i="150"/>
  <c r="N363" i="150"/>
  <c r="N364" i="150"/>
  <c r="N365" i="150"/>
  <c r="N366" i="150"/>
  <c r="N367" i="150"/>
  <c r="N368" i="150"/>
  <c r="N369" i="150"/>
  <c r="N370" i="150"/>
  <c r="N371" i="150"/>
  <c r="N372" i="150"/>
  <c r="N373" i="150"/>
  <c r="N374" i="150"/>
  <c r="N375" i="150"/>
  <c r="N376" i="150"/>
  <c r="N377" i="150"/>
  <c r="N378" i="150"/>
  <c r="N379" i="150"/>
  <c r="N380" i="150"/>
  <c r="N381" i="150"/>
  <c r="N382" i="150"/>
  <c r="N383" i="150"/>
  <c r="N384" i="150"/>
  <c r="N385" i="150"/>
  <c r="N386" i="150"/>
  <c r="N387" i="150"/>
  <c r="N388" i="150"/>
  <c r="N389" i="150"/>
  <c r="N390" i="150"/>
  <c r="N391" i="150"/>
  <c r="N392" i="150"/>
  <c r="N393" i="150"/>
  <c r="N394" i="150"/>
  <c r="N395" i="150"/>
  <c r="N396" i="150"/>
  <c r="N397" i="150"/>
  <c r="N398" i="150"/>
  <c r="N399" i="150"/>
  <c r="N400" i="150"/>
  <c r="N401" i="150"/>
  <c r="N402" i="150"/>
  <c r="N403" i="150"/>
  <c r="N404" i="150"/>
  <c r="N405" i="150"/>
  <c r="N406" i="150"/>
  <c r="N407" i="150"/>
  <c r="N408" i="150"/>
  <c r="N409" i="150"/>
  <c r="N410" i="150"/>
  <c r="N411" i="150"/>
  <c r="N412" i="150"/>
  <c r="N413" i="150"/>
  <c r="N414" i="150"/>
  <c r="N415" i="150"/>
  <c r="N416" i="150"/>
  <c r="N417" i="150"/>
  <c r="N418" i="150"/>
  <c r="N419" i="150"/>
  <c r="N420" i="150"/>
  <c r="N421" i="150"/>
  <c r="N422" i="150"/>
  <c r="N423" i="150"/>
  <c r="N424" i="150"/>
  <c r="N425" i="150"/>
  <c r="N426" i="150"/>
  <c r="N427" i="150"/>
  <c r="N428" i="150"/>
  <c r="N429" i="150"/>
  <c r="N430" i="150"/>
  <c r="N431" i="150"/>
  <c r="N432" i="150"/>
  <c r="N433" i="150"/>
  <c r="N434" i="150"/>
  <c r="N435" i="150"/>
  <c r="N436" i="150"/>
  <c r="N437" i="150"/>
  <c r="N438" i="150"/>
  <c r="N439" i="150"/>
  <c r="N440" i="150"/>
  <c r="N441" i="150"/>
  <c r="N442" i="150"/>
  <c r="N443" i="150"/>
  <c r="N444" i="150"/>
  <c r="N445" i="150"/>
  <c r="N446" i="150"/>
  <c r="N447" i="150"/>
  <c r="N448" i="150"/>
  <c r="N449" i="150"/>
  <c r="N450" i="150"/>
  <c r="N451" i="150"/>
  <c r="N452" i="150"/>
  <c r="N453" i="150"/>
  <c r="N454" i="150"/>
  <c r="N455" i="150"/>
  <c r="N456" i="150"/>
  <c r="N457" i="150"/>
  <c r="N458" i="150"/>
  <c r="N459" i="150"/>
  <c r="N460" i="150"/>
  <c r="N461" i="150"/>
  <c r="N462" i="150"/>
  <c r="O35" i="42" l="1"/>
  <c r="R6" i="149" l="1"/>
  <c r="R29" i="131" l="1"/>
  <c r="S29" i="131" s="1"/>
  <c r="U29" i="131"/>
  <c r="R30" i="131"/>
  <c r="S30" i="131" s="1"/>
  <c r="U30" i="131"/>
  <c r="I570" i="58" l="1"/>
  <c r="I522" i="58"/>
  <c r="I474" i="58"/>
  <c r="I426" i="58"/>
  <c r="I378" i="58"/>
  <c r="I330" i="58"/>
  <c r="I282" i="58"/>
  <c r="I234" i="58"/>
  <c r="I186" i="58"/>
  <c r="I138" i="58"/>
  <c r="I90" i="58"/>
  <c r="I42" i="58"/>
  <c r="Q49" i="149"/>
  <c r="R49" i="149"/>
  <c r="Q48" i="149"/>
  <c r="Q47" i="149"/>
  <c r="Q46" i="149"/>
  <c r="Q44" i="149"/>
  <c r="R47" i="149"/>
  <c r="R48" i="149"/>
  <c r="R46" i="149"/>
  <c r="R44" i="149"/>
  <c r="Q45" i="149" l="1"/>
  <c r="R45" i="149"/>
  <c r="R43" i="149"/>
  <c r="Q43" i="149"/>
  <c r="N13" i="150" l="1"/>
  <c r="T13" i="150" s="1"/>
  <c r="U13" i="150" s="1"/>
  <c r="V13" i="150" s="1"/>
  <c r="H55" i="29" l="1"/>
  <c r="H54" i="29"/>
  <c r="AC17" i="117"/>
  <c r="N91" i="113" l="1"/>
  <c r="P22" i="160"/>
  <c r="P21" i="160"/>
  <c r="P20" i="160"/>
  <c r="P19" i="160"/>
  <c r="P18" i="160"/>
  <c r="P17" i="160"/>
  <c r="P16" i="160"/>
  <c r="P15" i="160"/>
  <c r="P14" i="160"/>
  <c r="P13" i="160"/>
  <c r="P12" i="160"/>
  <c r="P11" i="160"/>
  <c r="W35" i="42"/>
  <c r="V35" i="42"/>
  <c r="L35" i="42"/>
  <c r="K35" i="42"/>
  <c r="X35" i="42" s="1"/>
  <c r="I24" i="84"/>
  <c r="J15" i="159"/>
  <c r="Y35" i="42" l="1"/>
  <c r="U35" i="42"/>
  <c r="O24" i="84"/>
  <c r="N24" i="84" s="1"/>
  <c r="T35" i="42"/>
  <c r="S21" i="41" l="1"/>
  <c r="H21" i="41" s="1"/>
  <c r="Q21" i="41"/>
  <c r="E21" i="41" s="1"/>
  <c r="I22" i="156" l="1"/>
  <c r="I23" i="156"/>
  <c r="I24" i="156"/>
  <c r="I25" i="156"/>
  <c r="I26" i="156"/>
  <c r="I27" i="156"/>
  <c r="I28" i="156"/>
  <c r="I29" i="156"/>
  <c r="I30" i="156"/>
  <c r="I20" i="156"/>
  <c r="I21" i="156"/>
  <c r="I19" i="156"/>
  <c r="R1" i="160" l="1"/>
  <c r="P66" i="160"/>
  <c r="N66" i="160"/>
  <c r="P64" i="160"/>
  <c r="N64" i="160"/>
  <c r="T63" i="160"/>
  <c r="S63" i="160"/>
  <c r="N62" i="160"/>
  <c r="N57" i="160"/>
  <c r="N53" i="160"/>
  <c r="M51" i="160"/>
  <c r="U50" i="160"/>
  <c r="T49" i="160" s="1"/>
  <c r="N8" i="160"/>
  <c r="R3" i="160"/>
  <c r="R4" i="160" s="1"/>
  <c r="T1" i="160"/>
  <c r="P21" i="159"/>
  <c r="N21" i="159"/>
  <c r="N19" i="159"/>
  <c r="N17" i="159"/>
  <c r="R21" i="41"/>
  <c r="G21" i="41" s="1"/>
  <c r="N13" i="159"/>
  <c r="M13" i="159"/>
  <c r="N11" i="159"/>
  <c r="N9" i="159"/>
  <c r="Q3" i="159"/>
  <c r="Q4" i="159" s="1"/>
  <c r="S1" i="158"/>
  <c r="R62" i="158"/>
  <c r="Q62" i="158"/>
  <c r="I62" i="158"/>
  <c r="R59" i="158"/>
  <c r="R57" i="158"/>
  <c r="O55" i="158"/>
  <c r="K55" i="158"/>
  <c r="H55" i="158"/>
  <c r="G55" i="158"/>
  <c r="T32" i="158"/>
  <c r="S32" i="158"/>
  <c r="T31" i="158"/>
  <c r="S31" i="158"/>
  <c r="T30" i="158"/>
  <c r="S30" i="158"/>
  <c r="T29" i="158"/>
  <c r="S29" i="158"/>
  <c r="T28" i="158"/>
  <c r="S28" i="158"/>
  <c r="T27" i="158"/>
  <c r="S27" i="158"/>
  <c r="T26" i="158"/>
  <c r="S26" i="158"/>
  <c r="T25" i="158"/>
  <c r="S25" i="158"/>
  <c r="T24" i="158"/>
  <c r="S24" i="158"/>
  <c r="T23" i="158"/>
  <c r="S23" i="158"/>
  <c r="T22" i="158"/>
  <c r="S22" i="158"/>
  <c r="T21" i="158"/>
  <c r="S21" i="158"/>
  <c r="T20" i="158"/>
  <c r="S20" i="158"/>
  <c r="T19" i="158"/>
  <c r="S19" i="158"/>
  <c r="T18" i="158"/>
  <c r="S18" i="158"/>
  <c r="T17" i="158"/>
  <c r="S17" i="158"/>
  <c r="T16" i="158"/>
  <c r="S16" i="158"/>
  <c r="T15" i="158"/>
  <c r="S15" i="158"/>
  <c r="T14" i="158"/>
  <c r="S14" i="158"/>
  <c r="T13" i="158"/>
  <c r="S13" i="158"/>
  <c r="T12" i="158"/>
  <c r="S12" i="158"/>
  <c r="T11" i="158"/>
  <c r="S11" i="158"/>
  <c r="T10" i="158"/>
  <c r="S10" i="158"/>
  <c r="T9" i="158"/>
  <c r="S9" i="158"/>
  <c r="T8" i="158"/>
  <c r="L1" i="157"/>
  <c r="E6" i="157" s="1"/>
  <c r="I6" i="157" s="1"/>
  <c r="T40" i="29"/>
  <c r="O40" i="29"/>
  <c r="H40" i="29"/>
  <c r="M40" i="29" s="1"/>
  <c r="L2" i="157"/>
  <c r="M57" i="157" s="1"/>
  <c r="G110" i="157"/>
  <c r="J6" i="157"/>
  <c r="N12" i="160" l="1"/>
  <c r="H12" i="160" s="1"/>
  <c r="N16" i="160"/>
  <c r="H16" i="160" s="1"/>
  <c r="N20" i="160"/>
  <c r="H20" i="160" s="1"/>
  <c r="N21" i="160"/>
  <c r="H21" i="160" s="1"/>
  <c r="N13" i="160"/>
  <c r="H13" i="160" s="1"/>
  <c r="N14" i="160"/>
  <c r="H14" i="160" s="1"/>
  <c r="N18" i="160"/>
  <c r="H18" i="160" s="1"/>
  <c r="N22" i="160"/>
  <c r="H22" i="160" s="1"/>
  <c r="N15" i="160"/>
  <c r="H15" i="160" s="1"/>
  <c r="N19" i="160"/>
  <c r="H19" i="160" s="1"/>
  <c r="N11" i="160"/>
  <c r="H11" i="160" s="1"/>
  <c r="I11" i="160" s="1"/>
  <c r="M11" i="160" s="1"/>
  <c r="N17" i="160"/>
  <c r="H17" i="160" s="1"/>
  <c r="M9" i="158"/>
  <c r="M10" i="158"/>
  <c r="M11" i="158"/>
  <c r="M12" i="158"/>
  <c r="M13" i="158"/>
  <c r="M14" i="158"/>
  <c r="M15" i="158"/>
  <c r="M16" i="158"/>
  <c r="M17" i="158"/>
  <c r="M18" i="158"/>
  <c r="M19" i="158"/>
  <c r="M20" i="158"/>
  <c r="M21" i="158"/>
  <c r="M22" i="158"/>
  <c r="M23" i="158"/>
  <c r="M24" i="158"/>
  <c r="M25" i="158"/>
  <c r="M26" i="158"/>
  <c r="M27" i="158"/>
  <c r="M28" i="158"/>
  <c r="M29" i="158"/>
  <c r="M30" i="158"/>
  <c r="M31" i="158"/>
  <c r="M32" i="158"/>
  <c r="L55" i="158"/>
  <c r="R32" i="158"/>
  <c r="P32" i="158" s="1"/>
  <c r="Q32" i="158" s="1"/>
  <c r="J80" i="157"/>
  <c r="F80" i="157" s="1"/>
  <c r="I80" i="157" s="1"/>
  <c r="J48" i="157"/>
  <c r="F48" i="157" s="1"/>
  <c r="I48" i="157" s="1"/>
  <c r="M65" i="157"/>
  <c r="J104" i="157"/>
  <c r="F104" i="157" s="1"/>
  <c r="I104" i="157" s="1"/>
  <c r="J72" i="157"/>
  <c r="F72" i="157" s="1"/>
  <c r="I72" i="157" s="1"/>
  <c r="J33" i="157"/>
  <c r="F33" i="157" s="1"/>
  <c r="I33" i="157" s="1"/>
  <c r="M49" i="157"/>
  <c r="M97" i="157"/>
  <c r="J96" i="157"/>
  <c r="F96" i="157" s="1"/>
  <c r="I96" i="157" s="1"/>
  <c r="J64" i="157"/>
  <c r="F64" i="157" s="1"/>
  <c r="I64" i="157" s="1"/>
  <c r="M33" i="157"/>
  <c r="J88" i="157"/>
  <c r="F88" i="157" s="1"/>
  <c r="I88" i="157" s="1"/>
  <c r="J56" i="157"/>
  <c r="F56" i="157" s="1"/>
  <c r="I56" i="157" s="1"/>
  <c r="M81" i="157"/>
  <c r="S8" i="158"/>
  <c r="J93" i="157"/>
  <c r="F93" i="157" s="1"/>
  <c r="I93" i="157" s="1"/>
  <c r="J85" i="157"/>
  <c r="F85" i="157" s="1"/>
  <c r="I85" i="157" s="1"/>
  <c r="J69" i="157"/>
  <c r="F69" i="157" s="1"/>
  <c r="I69" i="157" s="1"/>
  <c r="J45" i="157"/>
  <c r="F45" i="157" s="1"/>
  <c r="I45" i="157" s="1"/>
  <c r="M45" i="157"/>
  <c r="J108" i="157"/>
  <c r="F108" i="157" s="1"/>
  <c r="I108" i="157" s="1"/>
  <c r="J84" i="157"/>
  <c r="F84" i="157" s="1"/>
  <c r="I84" i="157" s="1"/>
  <c r="J60" i="157"/>
  <c r="F60" i="157" s="1"/>
  <c r="I60" i="157" s="1"/>
  <c r="M28" i="157"/>
  <c r="M30" i="157"/>
  <c r="M34" i="157"/>
  <c r="M38" i="157"/>
  <c r="M42" i="157"/>
  <c r="M46" i="157"/>
  <c r="M50" i="157"/>
  <c r="M54" i="157"/>
  <c r="M58" i="157"/>
  <c r="M62" i="157"/>
  <c r="M66" i="157"/>
  <c r="M70" i="157"/>
  <c r="M74" i="157"/>
  <c r="M78" i="157"/>
  <c r="M82" i="157"/>
  <c r="M86" i="157"/>
  <c r="M90" i="157"/>
  <c r="M94" i="157"/>
  <c r="M98" i="157"/>
  <c r="M102" i="157"/>
  <c r="M106" i="157"/>
  <c r="J30" i="157"/>
  <c r="F30" i="157" s="1"/>
  <c r="I30" i="157" s="1"/>
  <c r="J34" i="157"/>
  <c r="F34" i="157" s="1"/>
  <c r="I34" i="157" s="1"/>
  <c r="J38" i="157"/>
  <c r="F38" i="157" s="1"/>
  <c r="I38" i="157" s="1"/>
  <c r="J42" i="157"/>
  <c r="F42" i="157" s="1"/>
  <c r="I42" i="157" s="1"/>
  <c r="J46" i="157"/>
  <c r="F46" i="157" s="1"/>
  <c r="I46" i="157" s="1"/>
  <c r="J50" i="157"/>
  <c r="F50" i="157" s="1"/>
  <c r="I50" i="157" s="1"/>
  <c r="J54" i="157"/>
  <c r="F54" i="157" s="1"/>
  <c r="I54" i="157" s="1"/>
  <c r="J58" i="157"/>
  <c r="F58" i="157" s="1"/>
  <c r="I58" i="157" s="1"/>
  <c r="J62" i="157"/>
  <c r="F62" i="157" s="1"/>
  <c r="I62" i="157" s="1"/>
  <c r="J66" i="157"/>
  <c r="F66" i="157" s="1"/>
  <c r="I66" i="157" s="1"/>
  <c r="J70" i="157"/>
  <c r="F70" i="157" s="1"/>
  <c r="I70" i="157" s="1"/>
  <c r="J74" i="157"/>
  <c r="F74" i="157" s="1"/>
  <c r="I74" i="157" s="1"/>
  <c r="J78" i="157"/>
  <c r="F78" i="157" s="1"/>
  <c r="I78" i="157" s="1"/>
  <c r="J82" i="157"/>
  <c r="F82" i="157" s="1"/>
  <c r="I82" i="157" s="1"/>
  <c r="J86" i="157"/>
  <c r="F86" i="157" s="1"/>
  <c r="I86" i="157" s="1"/>
  <c r="J90" i="157"/>
  <c r="F90" i="157" s="1"/>
  <c r="I90" i="157" s="1"/>
  <c r="J94" i="157"/>
  <c r="F94" i="157" s="1"/>
  <c r="I94" i="157" s="1"/>
  <c r="J98" i="157"/>
  <c r="F98" i="157" s="1"/>
  <c r="I98" i="157" s="1"/>
  <c r="J102" i="157"/>
  <c r="F102" i="157" s="1"/>
  <c r="I102" i="157" s="1"/>
  <c r="J106" i="157"/>
  <c r="F106" i="157" s="1"/>
  <c r="I106" i="157" s="1"/>
  <c r="M35" i="157"/>
  <c r="M47" i="157"/>
  <c r="M59" i="157"/>
  <c r="M67" i="157"/>
  <c r="M75" i="157"/>
  <c r="M83" i="157"/>
  <c r="M87" i="157"/>
  <c r="M95" i="157"/>
  <c r="M103" i="157"/>
  <c r="M107" i="157"/>
  <c r="J35" i="157"/>
  <c r="F35" i="157" s="1"/>
  <c r="I35" i="157" s="1"/>
  <c r="J43" i="157"/>
  <c r="F43" i="157" s="1"/>
  <c r="I43" i="157" s="1"/>
  <c r="J47" i="157"/>
  <c r="F47" i="157" s="1"/>
  <c r="I47" i="157" s="1"/>
  <c r="J55" i="157"/>
  <c r="F55" i="157" s="1"/>
  <c r="I55" i="157" s="1"/>
  <c r="J63" i="157"/>
  <c r="F63" i="157" s="1"/>
  <c r="I63" i="157" s="1"/>
  <c r="J71" i="157"/>
  <c r="F71" i="157" s="1"/>
  <c r="I71" i="157" s="1"/>
  <c r="J79" i="157"/>
  <c r="F79" i="157" s="1"/>
  <c r="I79" i="157" s="1"/>
  <c r="J87" i="157"/>
  <c r="F87" i="157" s="1"/>
  <c r="I87" i="157" s="1"/>
  <c r="J95" i="157"/>
  <c r="F95" i="157" s="1"/>
  <c r="I95" i="157" s="1"/>
  <c r="J103" i="157"/>
  <c r="F103" i="157" s="1"/>
  <c r="I103" i="157" s="1"/>
  <c r="M32" i="157"/>
  <c r="M36" i="157"/>
  <c r="M40" i="157"/>
  <c r="M44" i="157"/>
  <c r="M48" i="157"/>
  <c r="M52" i="157"/>
  <c r="M56" i="157"/>
  <c r="M60" i="157"/>
  <c r="M64" i="157"/>
  <c r="M68" i="157"/>
  <c r="M72" i="157"/>
  <c r="M76" i="157"/>
  <c r="M80" i="157"/>
  <c r="M84" i="157"/>
  <c r="M88" i="157"/>
  <c r="M92" i="157"/>
  <c r="M96" i="157"/>
  <c r="M100" i="157"/>
  <c r="M104" i="157"/>
  <c r="M108" i="157"/>
  <c r="J32" i="157"/>
  <c r="F32" i="157" s="1"/>
  <c r="I32" i="157" s="1"/>
  <c r="J36" i="157"/>
  <c r="F36" i="157" s="1"/>
  <c r="I36" i="157" s="1"/>
  <c r="J40" i="157"/>
  <c r="F40" i="157" s="1"/>
  <c r="I40" i="157" s="1"/>
  <c r="J44" i="157"/>
  <c r="F44" i="157" s="1"/>
  <c r="I44" i="157" s="1"/>
  <c r="M31" i="157"/>
  <c r="M39" i="157"/>
  <c r="M43" i="157"/>
  <c r="M51" i="157"/>
  <c r="M55" i="157"/>
  <c r="M63" i="157"/>
  <c r="M71" i="157"/>
  <c r="M79" i="157"/>
  <c r="M91" i="157"/>
  <c r="M99" i="157"/>
  <c r="J31" i="157"/>
  <c r="F31" i="157" s="1"/>
  <c r="I31" i="157" s="1"/>
  <c r="J39" i="157"/>
  <c r="F39" i="157" s="1"/>
  <c r="I39" i="157" s="1"/>
  <c r="J51" i="157"/>
  <c r="F51" i="157" s="1"/>
  <c r="I51" i="157" s="1"/>
  <c r="J59" i="157"/>
  <c r="F59" i="157" s="1"/>
  <c r="I59" i="157" s="1"/>
  <c r="J67" i="157"/>
  <c r="F67" i="157" s="1"/>
  <c r="I67" i="157" s="1"/>
  <c r="J75" i="157"/>
  <c r="F75" i="157" s="1"/>
  <c r="I75" i="157" s="1"/>
  <c r="J83" i="157"/>
  <c r="F83" i="157" s="1"/>
  <c r="I83" i="157" s="1"/>
  <c r="J91" i="157"/>
  <c r="F91" i="157" s="1"/>
  <c r="I91" i="157" s="1"/>
  <c r="J99" i="157"/>
  <c r="F99" i="157" s="1"/>
  <c r="I99" i="157" s="1"/>
  <c r="J107" i="157"/>
  <c r="F107" i="157" s="1"/>
  <c r="I107" i="157" s="1"/>
  <c r="J101" i="157"/>
  <c r="F101" i="157" s="1"/>
  <c r="I101" i="157" s="1"/>
  <c r="J77" i="157"/>
  <c r="F77" i="157" s="1"/>
  <c r="I77" i="157" s="1"/>
  <c r="J61" i="157"/>
  <c r="F61" i="157" s="1"/>
  <c r="I61" i="157" s="1"/>
  <c r="J53" i="157"/>
  <c r="F53" i="157" s="1"/>
  <c r="I53" i="157" s="1"/>
  <c r="J29" i="157"/>
  <c r="F29" i="157" s="1"/>
  <c r="I29" i="157" s="1"/>
  <c r="M93" i="157"/>
  <c r="M77" i="157"/>
  <c r="M61" i="157"/>
  <c r="M29" i="157"/>
  <c r="J100" i="157"/>
  <c r="F100" i="157" s="1"/>
  <c r="I100" i="157" s="1"/>
  <c r="J92" i="157"/>
  <c r="F92" i="157" s="1"/>
  <c r="I92" i="157" s="1"/>
  <c r="J76" i="157"/>
  <c r="F76" i="157" s="1"/>
  <c r="I76" i="157" s="1"/>
  <c r="J68" i="157"/>
  <c r="F68" i="157" s="1"/>
  <c r="I68" i="157" s="1"/>
  <c r="J52" i="157"/>
  <c r="F52" i="157" s="1"/>
  <c r="I52" i="157" s="1"/>
  <c r="J41" i="157"/>
  <c r="F41" i="157" s="1"/>
  <c r="I41" i="157" s="1"/>
  <c r="M105" i="157"/>
  <c r="M89" i="157"/>
  <c r="M73" i="157"/>
  <c r="M41" i="157"/>
  <c r="J105" i="157"/>
  <c r="F105" i="157" s="1"/>
  <c r="I105" i="157" s="1"/>
  <c r="J97" i="157"/>
  <c r="F97" i="157" s="1"/>
  <c r="I97" i="157" s="1"/>
  <c r="J89" i="157"/>
  <c r="F89" i="157" s="1"/>
  <c r="I89" i="157" s="1"/>
  <c r="J81" i="157"/>
  <c r="F81" i="157" s="1"/>
  <c r="I81" i="157" s="1"/>
  <c r="J73" i="157"/>
  <c r="F73" i="157" s="1"/>
  <c r="I73" i="157" s="1"/>
  <c r="J65" i="157"/>
  <c r="F65" i="157" s="1"/>
  <c r="I65" i="157" s="1"/>
  <c r="J57" i="157"/>
  <c r="F57" i="157" s="1"/>
  <c r="I57" i="157" s="1"/>
  <c r="J49" i="157"/>
  <c r="F49" i="157" s="1"/>
  <c r="I49" i="157" s="1"/>
  <c r="J37" i="157"/>
  <c r="F37" i="157" s="1"/>
  <c r="I37" i="157" s="1"/>
  <c r="M101" i="157"/>
  <c r="M85" i="157"/>
  <c r="M69" i="157"/>
  <c r="M53" i="157"/>
  <c r="M37" i="157"/>
  <c r="N7" i="159"/>
  <c r="K17" i="159" s="1"/>
  <c r="M17" i="159" s="1"/>
  <c r="M8" i="158"/>
  <c r="I12" i="160"/>
  <c r="M12" i="160" s="1"/>
  <c r="I13" i="160"/>
  <c r="M13" i="160" s="1"/>
  <c r="I15" i="160"/>
  <c r="M15" i="160" s="1"/>
  <c r="R9" i="158"/>
  <c r="P9" i="158" s="1"/>
  <c r="R11" i="158"/>
  <c r="R13" i="158"/>
  <c r="R15" i="158"/>
  <c r="R17" i="158"/>
  <c r="P17" i="158" s="1"/>
  <c r="Q17" i="158" s="1"/>
  <c r="R19" i="158"/>
  <c r="P19" i="158" s="1"/>
  <c r="Q19" i="158" s="1"/>
  <c r="R21" i="158"/>
  <c r="P21" i="158" s="1"/>
  <c r="Q21" i="158" s="1"/>
  <c r="R22" i="158"/>
  <c r="P22" i="158" s="1"/>
  <c r="R24" i="158"/>
  <c r="P24" i="158" s="1"/>
  <c r="R25" i="158"/>
  <c r="P25" i="158" s="1"/>
  <c r="Q25" i="158" s="1"/>
  <c r="R26" i="158"/>
  <c r="R8" i="158"/>
  <c r="R10" i="158"/>
  <c r="R12" i="158"/>
  <c r="R14" i="158"/>
  <c r="P14" i="158" s="1"/>
  <c r="R16" i="158"/>
  <c r="P16" i="158" s="1"/>
  <c r="R18" i="158"/>
  <c r="P18" i="158" s="1"/>
  <c r="R20" i="158"/>
  <c r="P20" i="158" s="1"/>
  <c r="R23" i="158"/>
  <c r="P23" i="158" s="1"/>
  <c r="R27" i="158"/>
  <c r="R28" i="158"/>
  <c r="P28" i="158" s="1"/>
  <c r="R29" i="158"/>
  <c r="R30" i="158"/>
  <c r="R31" i="158"/>
  <c r="P31" i="158" s="1"/>
  <c r="J10" i="157"/>
  <c r="F10" i="157" s="1"/>
  <c r="I10" i="157" s="1"/>
  <c r="J12" i="157"/>
  <c r="F12" i="157" s="1"/>
  <c r="I12" i="157" s="1"/>
  <c r="J14" i="157"/>
  <c r="F14" i="157" s="1"/>
  <c r="I14" i="157" s="1"/>
  <c r="J16" i="157"/>
  <c r="F16" i="157" s="1"/>
  <c r="I16" i="157" s="1"/>
  <c r="J18" i="157"/>
  <c r="F18" i="157" s="1"/>
  <c r="I18" i="157" s="1"/>
  <c r="J20" i="157"/>
  <c r="F20" i="157" s="1"/>
  <c r="I20" i="157" s="1"/>
  <c r="J23" i="157"/>
  <c r="F23" i="157" s="1"/>
  <c r="I23" i="157" s="1"/>
  <c r="M11" i="157"/>
  <c r="M13" i="157"/>
  <c r="M15" i="157"/>
  <c r="M17" i="157"/>
  <c r="M19" i="157"/>
  <c r="M21" i="157"/>
  <c r="M24" i="157"/>
  <c r="M27" i="157"/>
  <c r="J9" i="157"/>
  <c r="J11" i="157"/>
  <c r="F11" i="157" s="1"/>
  <c r="I11" i="157" s="1"/>
  <c r="J13" i="157"/>
  <c r="F13" i="157" s="1"/>
  <c r="I13" i="157" s="1"/>
  <c r="J15" i="157"/>
  <c r="F15" i="157" s="1"/>
  <c r="I15" i="157" s="1"/>
  <c r="J17" i="157"/>
  <c r="F17" i="157" s="1"/>
  <c r="I17" i="157" s="1"/>
  <c r="J19" i="157"/>
  <c r="F19" i="157" s="1"/>
  <c r="I19" i="157" s="1"/>
  <c r="J21" i="157"/>
  <c r="F21" i="157" s="1"/>
  <c r="I21" i="157" s="1"/>
  <c r="J22" i="157"/>
  <c r="F22" i="157" s="1"/>
  <c r="I22" i="157" s="1"/>
  <c r="J24" i="157"/>
  <c r="F24" i="157" s="1"/>
  <c r="I24" i="157" s="1"/>
  <c r="J25" i="157"/>
  <c r="F25" i="157" s="1"/>
  <c r="I25" i="157" s="1"/>
  <c r="J26" i="157"/>
  <c r="F26" i="157" s="1"/>
  <c r="I26" i="157" s="1"/>
  <c r="J27" i="157"/>
  <c r="F27" i="157" s="1"/>
  <c r="I27" i="157" s="1"/>
  <c r="J28" i="157"/>
  <c r="F28" i="157" s="1"/>
  <c r="I28" i="157" s="1"/>
  <c r="M9" i="157"/>
  <c r="M10" i="157"/>
  <c r="M12" i="157"/>
  <c r="M14" i="157"/>
  <c r="M16" i="157"/>
  <c r="M18" i="157"/>
  <c r="M20" i="157"/>
  <c r="M22" i="157"/>
  <c r="M23" i="157"/>
  <c r="M25" i="157"/>
  <c r="M26" i="157"/>
  <c r="P8" i="158" l="1"/>
  <c r="Q8" i="158" s="1"/>
  <c r="I18" i="160"/>
  <c r="M18" i="160" s="1"/>
  <c r="I16" i="160"/>
  <c r="M16" i="160" s="1"/>
  <c r="I19" i="160"/>
  <c r="M19" i="160" s="1"/>
  <c r="I14" i="160"/>
  <c r="M14" i="160" s="1"/>
  <c r="I20" i="160"/>
  <c r="M20" i="160" s="1"/>
  <c r="M55" i="158"/>
  <c r="N6" i="160"/>
  <c r="I53" i="160" s="1"/>
  <c r="I21" i="160"/>
  <c r="M21" i="160" s="1"/>
  <c r="I17" i="160"/>
  <c r="M17" i="160" s="1"/>
  <c r="I22" i="160"/>
  <c r="M22" i="160" s="1"/>
  <c r="N68" i="160"/>
  <c r="I66" i="160" s="1"/>
  <c r="M66" i="160" s="1"/>
  <c r="H47" i="160"/>
  <c r="I47" i="160" s="1"/>
  <c r="M47" i="160" s="1"/>
  <c r="N55" i="158"/>
  <c r="K58" i="158" s="1"/>
  <c r="Q20" i="158"/>
  <c r="P12" i="158"/>
  <c r="Q12" i="158" s="1"/>
  <c r="P29" i="158"/>
  <c r="Q29" i="158" s="1"/>
  <c r="P13" i="158"/>
  <c r="Q13" i="158" s="1"/>
  <c r="Q23" i="158"/>
  <c r="Q22" i="158"/>
  <c r="Q28" i="158"/>
  <c r="Q18" i="158"/>
  <c r="P15" i="158"/>
  <c r="Q15" i="158" s="1"/>
  <c r="P30" i="158"/>
  <c r="Q30" i="158" s="1"/>
  <c r="Q14" i="158"/>
  <c r="Q31" i="158"/>
  <c r="Q16" i="158"/>
  <c r="Q24" i="158"/>
  <c r="Q9" i="158"/>
  <c r="P27" i="158"/>
  <c r="Q27" i="158" s="1"/>
  <c r="P11" i="158"/>
  <c r="Q11" i="158" s="1"/>
  <c r="P26" i="158"/>
  <c r="Q26" i="158" s="1"/>
  <c r="P10" i="158"/>
  <c r="Q10" i="158" s="1"/>
  <c r="J21" i="159"/>
  <c r="M21" i="159" s="1"/>
  <c r="G9" i="159"/>
  <c r="M9" i="159" s="1"/>
  <c r="R65" i="158"/>
  <c r="J5" i="157"/>
  <c r="E110" i="157" s="1"/>
  <c r="I110" i="157" s="1"/>
  <c r="K13" i="159"/>
  <c r="K19" i="159"/>
  <c r="M19" i="159" s="1"/>
  <c r="G11" i="159"/>
  <c r="M11" i="159" s="1"/>
  <c r="H8" i="160"/>
  <c r="M8" i="160" s="1"/>
  <c r="F9" i="157"/>
  <c r="I9" i="157" s="1"/>
  <c r="I57" i="160" l="1"/>
  <c r="M57" i="160" s="1"/>
  <c r="I62" i="160"/>
  <c r="M62" i="160" s="1"/>
  <c r="H51" i="160"/>
  <c r="M53" i="160" s="1"/>
  <c r="H55" i="160" s="1"/>
  <c r="H59" i="160" s="1"/>
  <c r="F17" i="70"/>
  <c r="I64" i="160"/>
  <c r="M64" i="160" s="1"/>
  <c r="M7" i="159"/>
  <c r="M24" i="159" s="1"/>
  <c r="E129" i="2" s="1"/>
  <c r="C129" i="2" s="1"/>
  <c r="L59" i="158"/>
  <c r="Q59" i="158" s="1"/>
  <c r="L57" i="158"/>
  <c r="Q57" i="158" s="1"/>
  <c r="I5" i="157"/>
  <c r="M6" i="160" l="1"/>
  <c r="M68" i="160" s="1"/>
  <c r="M71" i="160" s="1"/>
  <c r="E130" i="2" s="1"/>
  <c r="C130" i="2" s="1"/>
  <c r="J114" i="157"/>
  <c r="E127" i="2" s="1"/>
  <c r="Q65" i="158"/>
  <c r="Q68" i="158" s="1"/>
  <c r="E128" i="2" s="1"/>
  <c r="C128" i="2" s="1"/>
  <c r="Q1" i="156" l="1"/>
  <c r="T39" i="29"/>
  <c r="H39" i="29"/>
  <c r="M39" i="29" s="1"/>
  <c r="O39" i="29"/>
  <c r="Q2" i="156"/>
  <c r="F272" i="156"/>
  <c r="P208" i="156"/>
  <c r="H157" i="156"/>
  <c r="H156" i="156"/>
  <c r="H155" i="156"/>
  <c r="H154" i="156"/>
  <c r="H153" i="156"/>
  <c r="H152" i="156"/>
  <c r="H151" i="156"/>
  <c r="H150" i="156"/>
  <c r="H149" i="156"/>
  <c r="H148" i="156"/>
  <c r="H147" i="156"/>
  <c r="H146" i="156"/>
  <c r="P144" i="156"/>
  <c r="G142" i="156"/>
  <c r="P80" i="156"/>
  <c r="I78" i="156"/>
  <c r="P17" i="156"/>
  <c r="P382" i="156" l="1"/>
  <c r="P381" i="156"/>
  <c r="P380" i="156"/>
  <c r="P379" i="156"/>
  <c r="P378" i="156"/>
  <c r="P377" i="156"/>
  <c r="P376" i="156"/>
  <c r="P375" i="156"/>
  <c r="R374" i="156"/>
  <c r="R373" i="156"/>
  <c r="R372" i="156"/>
  <c r="R371" i="156"/>
  <c r="R370" i="156"/>
  <c r="R369" i="156"/>
  <c r="R368" i="156"/>
  <c r="R367" i="156"/>
  <c r="P350" i="156"/>
  <c r="P349" i="156"/>
  <c r="P348" i="156"/>
  <c r="P347" i="156"/>
  <c r="P346" i="156"/>
  <c r="R333" i="156"/>
  <c r="R330" i="156"/>
  <c r="P329" i="156"/>
  <c r="R327" i="156"/>
  <c r="P326" i="156"/>
  <c r="R324" i="156"/>
  <c r="P323" i="156"/>
  <c r="P320" i="156"/>
  <c r="R317" i="156"/>
  <c r="R314" i="156"/>
  <c r="P313" i="156"/>
  <c r="R311" i="156"/>
  <c r="P310" i="156"/>
  <c r="R308" i="156"/>
  <c r="P307" i="156"/>
  <c r="P304" i="156"/>
  <c r="R301" i="156"/>
  <c r="R298" i="156"/>
  <c r="P297" i="156"/>
  <c r="R295" i="156"/>
  <c r="P294" i="156"/>
  <c r="R292" i="156"/>
  <c r="P291" i="156"/>
  <c r="P288" i="156"/>
  <c r="R285" i="156"/>
  <c r="R282" i="156"/>
  <c r="P271" i="156"/>
  <c r="P269" i="156"/>
  <c r="R267" i="156"/>
  <c r="P264" i="156"/>
  <c r="R262" i="156"/>
  <c r="P261" i="156"/>
  <c r="R259" i="156"/>
  <c r="P256" i="156"/>
  <c r="R254" i="156"/>
  <c r="P253" i="156"/>
  <c r="R251" i="156"/>
  <c r="P248" i="156"/>
  <c r="R246" i="156"/>
  <c r="P245" i="156"/>
  <c r="R243" i="156"/>
  <c r="P240" i="156"/>
  <c r="R238" i="156"/>
  <c r="P237" i="156"/>
  <c r="R235" i="156"/>
  <c r="R392" i="156"/>
  <c r="P392" i="156"/>
  <c r="P391" i="156"/>
  <c r="R390" i="156"/>
  <c r="R389" i="156"/>
  <c r="R388" i="156"/>
  <c r="R387" i="156"/>
  <c r="R386" i="156"/>
  <c r="R385" i="156"/>
  <c r="R384" i="156"/>
  <c r="R383" i="156"/>
  <c r="R382" i="156"/>
  <c r="R378" i="156"/>
  <c r="P373" i="156"/>
  <c r="P369" i="156"/>
  <c r="P358" i="156"/>
  <c r="P357" i="156"/>
  <c r="P356" i="156"/>
  <c r="P355" i="156"/>
  <c r="P354" i="156"/>
  <c r="P353" i="156"/>
  <c r="P352" i="156"/>
  <c r="P351" i="156"/>
  <c r="R347" i="156"/>
  <c r="P334" i="156"/>
  <c r="P332" i="156"/>
  <c r="P330" i="156"/>
  <c r="P328" i="156"/>
  <c r="R326" i="156"/>
  <c r="P324" i="156"/>
  <c r="R322" i="156"/>
  <c r="R320" i="156"/>
  <c r="R318" i="156"/>
  <c r="R316" i="156"/>
  <c r="R312" i="156"/>
  <c r="P309" i="156"/>
  <c r="P305" i="156"/>
  <c r="P303" i="156"/>
  <c r="P301" i="156"/>
  <c r="P299" i="156"/>
  <c r="R297" i="156"/>
  <c r="P295" i="156"/>
  <c r="R293" i="156"/>
  <c r="R291" i="156"/>
  <c r="R289" i="156"/>
  <c r="R287" i="156"/>
  <c r="R283" i="156"/>
  <c r="R269" i="156"/>
  <c r="P267" i="156"/>
  <c r="P265" i="156"/>
  <c r="P263" i="156"/>
  <c r="R260" i="156"/>
  <c r="R258" i="156"/>
  <c r="R256" i="156"/>
  <c r="P254" i="156"/>
  <c r="P252" i="156"/>
  <c r="P250" i="156"/>
  <c r="R241" i="156"/>
  <c r="R239" i="156"/>
  <c r="R237" i="156"/>
  <c r="P235" i="156"/>
  <c r="P233" i="156"/>
  <c r="R231" i="156"/>
  <c r="P228" i="156"/>
  <c r="R226" i="156"/>
  <c r="P225" i="156"/>
  <c r="R223" i="156"/>
  <c r="R204" i="156"/>
  <c r="P203" i="156"/>
  <c r="R200" i="156"/>
  <c r="P199" i="156"/>
  <c r="R196" i="156"/>
  <c r="P195" i="156"/>
  <c r="R192" i="156"/>
  <c r="P191" i="156"/>
  <c r="R188" i="156"/>
  <c r="P187" i="156"/>
  <c r="R184" i="156"/>
  <c r="P183" i="156"/>
  <c r="R180" i="156"/>
  <c r="P179" i="156"/>
  <c r="R176" i="156"/>
  <c r="P175" i="156"/>
  <c r="P390" i="156"/>
  <c r="P389" i="156"/>
  <c r="P388" i="156"/>
  <c r="P387" i="156"/>
  <c r="P386" i="156"/>
  <c r="P385" i="156"/>
  <c r="P384" i="156"/>
  <c r="P383" i="156"/>
  <c r="R379" i="156"/>
  <c r="R375" i="156"/>
  <c r="P374" i="156"/>
  <c r="P370" i="156"/>
  <c r="R348" i="156"/>
  <c r="R335" i="156"/>
  <c r="R331" i="156"/>
  <c r="P322" i="156"/>
  <c r="P318" i="156"/>
  <c r="P316" i="156"/>
  <c r="P314" i="156"/>
  <c r="P312" i="156"/>
  <c r="R310" i="156"/>
  <c r="P308" i="156"/>
  <c r="R306" i="156"/>
  <c r="R304" i="156"/>
  <c r="R302" i="156"/>
  <c r="R300" i="156"/>
  <c r="R296" i="156"/>
  <c r="P293" i="156"/>
  <c r="P289" i="156"/>
  <c r="P287" i="156"/>
  <c r="P285" i="156"/>
  <c r="P283" i="156"/>
  <c r="R271" i="156"/>
  <c r="R268" i="156"/>
  <c r="R266" i="156"/>
  <c r="R264" i="156"/>
  <c r="P262" i="156"/>
  <c r="P260" i="156"/>
  <c r="P258" i="156"/>
  <c r="R249" i="156"/>
  <c r="R247" i="156"/>
  <c r="R245" i="156"/>
  <c r="P243" i="156"/>
  <c r="P241" i="156"/>
  <c r="P239" i="156"/>
  <c r="R236" i="156"/>
  <c r="R234" i="156"/>
  <c r="R232" i="156"/>
  <c r="P231" i="156"/>
  <c r="R229" i="156"/>
  <c r="P226" i="156"/>
  <c r="R224" i="156"/>
  <c r="P223" i="156"/>
  <c r="R205" i="156"/>
  <c r="P204" i="156"/>
  <c r="R201" i="156"/>
  <c r="P200" i="156"/>
  <c r="R380" i="156"/>
  <c r="R376" i="156"/>
  <c r="P371" i="156"/>
  <c r="P367" i="156"/>
  <c r="R366" i="156"/>
  <c r="R365" i="156"/>
  <c r="R364" i="156"/>
  <c r="R363" i="156"/>
  <c r="R362" i="156"/>
  <c r="R361" i="156"/>
  <c r="R360" i="156"/>
  <c r="R359" i="156"/>
  <c r="R349" i="156"/>
  <c r="P335" i="156"/>
  <c r="P333" i="156"/>
  <c r="P331" i="156"/>
  <c r="R329" i="156"/>
  <c r="P327" i="156"/>
  <c r="R325" i="156"/>
  <c r="R323" i="156"/>
  <c r="R321" i="156"/>
  <c r="R319" i="156"/>
  <c r="R315" i="156"/>
  <c r="P306" i="156"/>
  <c r="P302" i="156"/>
  <c r="P300" i="156"/>
  <c r="P298" i="156"/>
  <c r="P296" i="156"/>
  <c r="R294" i="156"/>
  <c r="P292" i="156"/>
  <c r="R290" i="156"/>
  <c r="R288" i="156"/>
  <c r="R286" i="156"/>
  <c r="R284" i="156"/>
  <c r="R270" i="156"/>
  <c r="P268" i="156"/>
  <c r="P266" i="156"/>
  <c r="R257" i="156"/>
  <c r="R255" i="156"/>
  <c r="R253" i="156"/>
  <c r="P251" i="156"/>
  <c r="P249" i="156"/>
  <c r="P247" i="156"/>
  <c r="R244" i="156"/>
  <c r="R242" i="156"/>
  <c r="R240" i="156"/>
  <c r="P238" i="156"/>
  <c r="P236" i="156"/>
  <c r="P234" i="156"/>
  <c r="P232" i="156"/>
  <c r="R230" i="156"/>
  <c r="P229" i="156"/>
  <c r="R227" i="156"/>
  <c r="P224" i="156"/>
  <c r="R222" i="156"/>
  <c r="P205" i="156"/>
  <c r="R202" i="156"/>
  <c r="P201" i="156"/>
  <c r="R198" i="156"/>
  <c r="P197" i="156"/>
  <c r="R194" i="156"/>
  <c r="P193" i="156"/>
  <c r="R190" i="156"/>
  <c r="P189" i="156"/>
  <c r="R186" i="156"/>
  <c r="P185" i="156"/>
  <c r="R182" i="156"/>
  <c r="P181" i="156"/>
  <c r="R178" i="156"/>
  <c r="P177" i="156"/>
  <c r="R174" i="156"/>
  <c r="R381" i="156"/>
  <c r="P372" i="156"/>
  <c r="P363" i="156"/>
  <c r="P359" i="156"/>
  <c r="R355" i="156"/>
  <c r="R351" i="156"/>
  <c r="R346" i="156"/>
  <c r="P315" i="156"/>
  <c r="R307" i="156"/>
  <c r="R299" i="156"/>
  <c r="P284" i="156"/>
  <c r="R265" i="156"/>
  <c r="P257" i="156"/>
  <c r="R248" i="156"/>
  <c r="R225" i="156"/>
  <c r="P173" i="156"/>
  <c r="R170" i="156"/>
  <c r="P169" i="156"/>
  <c r="R166" i="156"/>
  <c r="P165" i="156"/>
  <c r="R162" i="156"/>
  <c r="P161" i="156"/>
  <c r="R158" i="156"/>
  <c r="R141" i="156"/>
  <c r="R139" i="156"/>
  <c r="R136" i="156"/>
  <c r="P135" i="156"/>
  <c r="R133" i="156"/>
  <c r="P132" i="156"/>
  <c r="R130" i="156"/>
  <c r="P129" i="156"/>
  <c r="P126" i="156"/>
  <c r="R123" i="156"/>
  <c r="R120" i="156"/>
  <c r="P119" i="156"/>
  <c r="R117" i="156"/>
  <c r="P116" i="156"/>
  <c r="R114" i="156"/>
  <c r="P113" i="156"/>
  <c r="P110" i="156"/>
  <c r="R107" i="156"/>
  <c r="R104" i="156"/>
  <c r="P103" i="156"/>
  <c r="R101" i="156"/>
  <c r="P100" i="156"/>
  <c r="R98" i="156"/>
  <c r="P97" i="156"/>
  <c r="P94" i="156"/>
  <c r="R75" i="156"/>
  <c r="P74" i="156"/>
  <c r="R71" i="156"/>
  <c r="P70" i="156"/>
  <c r="R67" i="156"/>
  <c r="P66" i="156"/>
  <c r="R63" i="156"/>
  <c r="P62" i="156"/>
  <c r="R59" i="156"/>
  <c r="P58" i="156"/>
  <c r="R55" i="156"/>
  <c r="P54" i="156"/>
  <c r="R51" i="156"/>
  <c r="P50" i="156"/>
  <c r="R47" i="156"/>
  <c r="P46" i="156"/>
  <c r="R43" i="156"/>
  <c r="P42" i="156"/>
  <c r="R39" i="156"/>
  <c r="P38" i="156"/>
  <c r="R35" i="156"/>
  <c r="P34" i="156"/>
  <c r="R31" i="156"/>
  <c r="R72" i="156"/>
  <c r="P71" i="156"/>
  <c r="R60" i="156"/>
  <c r="P59" i="156"/>
  <c r="R377" i="156"/>
  <c r="P368" i="156"/>
  <c r="P364" i="156"/>
  <c r="P360" i="156"/>
  <c r="R356" i="156"/>
  <c r="R352" i="156"/>
  <c r="R328" i="156"/>
  <c r="P321" i="156"/>
  <c r="R313" i="156"/>
  <c r="R305" i="156"/>
  <c r="P290" i="156"/>
  <c r="P282" i="156"/>
  <c r="R263" i="156"/>
  <c r="P255" i="156"/>
  <c r="P246" i="156"/>
  <c r="P230" i="156"/>
  <c r="R203" i="156"/>
  <c r="P198" i="156"/>
  <c r="P196" i="156"/>
  <c r="P194" i="156"/>
  <c r="P192" i="156"/>
  <c r="P190" i="156"/>
  <c r="P188" i="156"/>
  <c r="P186" i="156"/>
  <c r="P184" i="156"/>
  <c r="P182" i="156"/>
  <c r="P180" i="156"/>
  <c r="P178" i="156"/>
  <c r="P176" i="156"/>
  <c r="P174" i="156"/>
  <c r="R171" i="156"/>
  <c r="P170" i="156"/>
  <c r="R167" i="156"/>
  <c r="P166" i="156"/>
  <c r="R163" i="156"/>
  <c r="P162" i="156"/>
  <c r="R159" i="156"/>
  <c r="P158" i="156"/>
  <c r="P141" i="156"/>
  <c r="P139" i="156"/>
  <c r="R137" i="156"/>
  <c r="P136" i="156"/>
  <c r="R134" i="156"/>
  <c r="P133" i="156"/>
  <c r="P130" i="156"/>
  <c r="R127" i="156"/>
  <c r="R124" i="156"/>
  <c r="P123" i="156"/>
  <c r="R121" i="156"/>
  <c r="P120" i="156"/>
  <c r="R118" i="156"/>
  <c r="P117" i="156"/>
  <c r="P114" i="156"/>
  <c r="R111" i="156"/>
  <c r="R108" i="156"/>
  <c r="P107" i="156"/>
  <c r="R105" i="156"/>
  <c r="P104" i="156"/>
  <c r="R102" i="156"/>
  <c r="P101" i="156"/>
  <c r="P98" i="156"/>
  <c r="R95" i="156"/>
  <c r="R76" i="156"/>
  <c r="P75" i="156"/>
  <c r="R68" i="156"/>
  <c r="P67" i="156"/>
  <c r="R64" i="156"/>
  <c r="P63" i="156"/>
  <c r="R56" i="156"/>
  <c r="P55" i="156"/>
  <c r="R52" i="156"/>
  <c r="P51" i="156"/>
  <c r="R48" i="156"/>
  <c r="P365" i="156"/>
  <c r="P361" i="156"/>
  <c r="R357" i="156"/>
  <c r="R353" i="156"/>
  <c r="R334" i="156"/>
  <c r="P319" i="156"/>
  <c r="P311" i="156"/>
  <c r="R303" i="156"/>
  <c r="P270" i="156"/>
  <c r="R261" i="156"/>
  <c r="R252" i="156"/>
  <c r="P244" i="156"/>
  <c r="R228" i="156"/>
  <c r="P222" i="156"/>
  <c r="R172" i="156"/>
  <c r="P171" i="156"/>
  <c r="R168" i="156"/>
  <c r="P167" i="156"/>
  <c r="R164" i="156"/>
  <c r="P163" i="156"/>
  <c r="R160" i="156"/>
  <c r="P159" i="156"/>
  <c r="R138" i="156"/>
  <c r="P137" i="156"/>
  <c r="P134" i="156"/>
  <c r="R131" i="156"/>
  <c r="R128" i="156"/>
  <c r="P127" i="156"/>
  <c r="R125" i="156"/>
  <c r="P124" i="156"/>
  <c r="R122" i="156"/>
  <c r="P121" i="156"/>
  <c r="P118" i="156"/>
  <c r="R115" i="156"/>
  <c r="R112" i="156"/>
  <c r="P111" i="156"/>
  <c r="R109" i="156"/>
  <c r="P108" i="156"/>
  <c r="R106" i="156"/>
  <c r="P105" i="156"/>
  <c r="P102" i="156"/>
  <c r="R99" i="156"/>
  <c r="R96" i="156"/>
  <c r="P95" i="156"/>
  <c r="R77" i="156"/>
  <c r="P76" i="156"/>
  <c r="R73" i="156"/>
  <c r="P72" i="156"/>
  <c r="R69" i="156"/>
  <c r="P68" i="156"/>
  <c r="R65" i="156"/>
  <c r="P64" i="156"/>
  <c r="R61" i="156"/>
  <c r="P60" i="156"/>
  <c r="R57" i="156"/>
  <c r="P56" i="156"/>
  <c r="R53" i="156"/>
  <c r="P52" i="156"/>
  <c r="R49" i="156"/>
  <c r="P48" i="156"/>
  <c r="R45" i="156"/>
  <c r="P44" i="156"/>
  <c r="R41" i="156"/>
  <c r="P40" i="156"/>
  <c r="R37" i="156"/>
  <c r="P36" i="156"/>
  <c r="R33" i="156"/>
  <c r="P32" i="156"/>
  <c r="R391" i="156"/>
  <c r="R354" i="156"/>
  <c r="P325" i="156"/>
  <c r="R250" i="156"/>
  <c r="R193" i="156"/>
  <c r="R185" i="156"/>
  <c r="R177" i="156"/>
  <c r="P172" i="156"/>
  <c r="R169" i="156"/>
  <c r="P164" i="156"/>
  <c r="R161" i="156"/>
  <c r="P138" i="156"/>
  <c r="R132" i="156"/>
  <c r="R126" i="156"/>
  <c r="P115" i="156"/>
  <c r="P109" i="156"/>
  <c r="R103" i="156"/>
  <c r="R97" i="156"/>
  <c r="P47" i="156"/>
  <c r="P45" i="156"/>
  <c r="P43" i="156"/>
  <c r="P41" i="156"/>
  <c r="P39" i="156"/>
  <c r="P37" i="156"/>
  <c r="P35" i="156"/>
  <c r="P33" i="156"/>
  <c r="P31" i="156"/>
  <c r="P57" i="156"/>
  <c r="R309" i="156"/>
  <c r="R233" i="156"/>
  <c r="R197" i="156"/>
  <c r="R181" i="156"/>
  <c r="P168" i="156"/>
  <c r="R165" i="156"/>
  <c r="P106" i="156"/>
  <c r="R94" i="156"/>
  <c r="R46" i="156"/>
  <c r="R42" i="156"/>
  <c r="R36" i="156"/>
  <c r="R358" i="156"/>
  <c r="R332" i="156"/>
  <c r="P259" i="156"/>
  <c r="P227" i="156"/>
  <c r="P202" i="156"/>
  <c r="R191" i="156"/>
  <c r="P140" i="156"/>
  <c r="P128" i="156"/>
  <c r="P122" i="156"/>
  <c r="R110" i="156"/>
  <c r="P99" i="156"/>
  <c r="R58" i="156"/>
  <c r="R50" i="156"/>
  <c r="P366" i="156"/>
  <c r="R350" i="156"/>
  <c r="P317" i="156"/>
  <c r="P286" i="156"/>
  <c r="P242" i="156"/>
  <c r="R195" i="156"/>
  <c r="R187" i="156"/>
  <c r="R179" i="156"/>
  <c r="P131" i="156"/>
  <c r="P125" i="156"/>
  <c r="R119" i="156"/>
  <c r="R113" i="156"/>
  <c r="P96" i="156"/>
  <c r="P73" i="156"/>
  <c r="R70" i="156"/>
  <c r="P65" i="156"/>
  <c r="R62" i="156"/>
  <c r="R54" i="156"/>
  <c r="P49" i="156"/>
  <c r="P362" i="156"/>
  <c r="R189" i="156"/>
  <c r="R173" i="156"/>
  <c r="P160" i="156"/>
  <c r="R140" i="156"/>
  <c r="R135" i="156"/>
  <c r="R129" i="156"/>
  <c r="P112" i="156"/>
  <c r="R100" i="156"/>
  <c r="R44" i="156"/>
  <c r="R40" i="156"/>
  <c r="R38" i="156"/>
  <c r="R34" i="156"/>
  <c r="R32" i="156"/>
  <c r="R199" i="156"/>
  <c r="R183" i="156"/>
  <c r="R175" i="156"/>
  <c r="R116" i="156"/>
  <c r="P77" i="156"/>
  <c r="R74" i="156"/>
  <c r="P69" i="156"/>
  <c r="R66" i="156"/>
  <c r="P61" i="156"/>
  <c r="P53" i="156"/>
  <c r="M17" i="156"/>
  <c r="O17" i="156" s="1"/>
  <c r="H274" i="156"/>
  <c r="O274" i="156" s="1"/>
  <c r="H80" i="156"/>
  <c r="O80" i="156" s="1"/>
  <c r="I338" i="156"/>
  <c r="O338" i="156" s="1"/>
  <c r="I144" i="156"/>
  <c r="O144" i="156" s="1"/>
  <c r="G208" i="156"/>
  <c r="O208" i="156" s="1"/>
  <c r="P345" i="156"/>
  <c r="P343" i="156"/>
  <c r="P340" i="156"/>
  <c r="P344" i="156"/>
  <c r="P341" i="156"/>
  <c r="P342" i="156"/>
  <c r="R342" i="156"/>
  <c r="R340" i="156"/>
  <c r="R343" i="156"/>
  <c r="R344" i="156"/>
  <c r="R341" i="156"/>
  <c r="R345" i="156"/>
  <c r="R28" i="156"/>
  <c r="R278" i="156"/>
  <c r="P277" i="156"/>
  <c r="P281" i="156"/>
  <c r="R279" i="156"/>
  <c r="P278" i="156"/>
  <c r="P276" i="156"/>
  <c r="R276" i="156"/>
  <c r="R280" i="156"/>
  <c r="P279" i="156"/>
  <c r="R277" i="156"/>
  <c r="R281" i="156"/>
  <c r="P280" i="156"/>
  <c r="P148" i="156"/>
  <c r="P152" i="156"/>
  <c r="P19" i="156"/>
  <c r="R24" i="156"/>
  <c r="P156" i="156"/>
  <c r="P155" i="156"/>
  <c r="R154" i="156"/>
  <c r="P151" i="156"/>
  <c r="R150" i="156"/>
  <c r="P147" i="156"/>
  <c r="R146" i="156"/>
  <c r="P28" i="156"/>
  <c r="R27" i="156"/>
  <c r="P24" i="156"/>
  <c r="R23" i="156"/>
  <c r="P221" i="156"/>
  <c r="P218" i="156"/>
  <c r="P215" i="156"/>
  <c r="P213" i="156"/>
  <c r="P211" i="156"/>
  <c r="R156" i="156"/>
  <c r="P153" i="156"/>
  <c r="P89" i="156"/>
  <c r="P86" i="156"/>
  <c r="P84" i="156"/>
  <c r="P82" i="156"/>
  <c r="R29" i="156"/>
  <c r="P26" i="156"/>
  <c r="R21" i="156"/>
  <c r="R19" i="156"/>
  <c r="R221" i="156"/>
  <c r="R220" i="156"/>
  <c r="R219" i="156"/>
  <c r="R218" i="156"/>
  <c r="R217" i="156"/>
  <c r="R216" i="156"/>
  <c r="R215" i="156"/>
  <c r="R214" i="156"/>
  <c r="R213" i="156"/>
  <c r="R212" i="156"/>
  <c r="R211" i="156"/>
  <c r="R210" i="156"/>
  <c r="R157" i="156"/>
  <c r="P154" i="156"/>
  <c r="R153" i="156"/>
  <c r="P150" i="156"/>
  <c r="R149" i="156"/>
  <c r="P146" i="156"/>
  <c r="R93" i="156"/>
  <c r="R92" i="156"/>
  <c r="R91" i="156"/>
  <c r="R90" i="156"/>
  <c r="R89" i="156"/>
  <c r="R88" i="156"/>
  <c r="R87" i="156"/>
  <c r="R86" i="156"/>
  <c r="R85" i="156"/>
  <c r="R84" i="156"/>
  <c r="R83" i="156"/>
  <c r="R82" i="156"/>
  <c r="R30" i="156"/>
  <c r="P27" i="156"/>
  <c r="R26" i="156"/>
  <c r="P23" i="156"/>
  <c r="R22" i="156"/>
  <c r="P220" i="156"/>
  <c r="P219" i="156"/>
  <c r="P217" i="156"/>
  <c r="P216" i="156"/>
  <c r="P214" i="156"/>
  <c r="P212" i="156"/>
  <c r="P210" i="156"/>
  <c r="P157" i="156"/>
  <c r="R152" i="156"/>
  <c r="P149" i="156"/>
  <c r="R148" i="156"/>
  <c r="P93" i="156"/>
  <c r="P92" i="156"/>
  <c r="P91" i="156"/>
  <c r="P90" i="156"/>
  <c r="P88" i="156"/>
  <c r="P87" i="156"/>
  <c r="P85" i="156"/>
  <c r="P83" i="156"/>
  <c r="P30" i="156"/>
  <c r="R25" i="156"/>
  <c r="P22" i="156"/>
  <c r="R20" i="156"/>
  <c r="P20" i="156"/>
  <c r="R147" i="156"/>
  <c r="R151" i="156"/>
  <c r="R155" i="156"/>
  <c r="P21" i="156"/>
  <c r="P25" i="156"/>
  <c r="P29" i="156"/>
  <c r="H206" i="156"/>
  <c r="U397" i="156" s="1"/>
  <c r="N694" i="58"/>
  <c r="N693" i="58"/>
  <c r="P693" i="58" s="1"/>
  <c r="N692" i="58"/>
  <c r="P692" i="58" s="1"/>
  <c r="N691" i="58"/>
  <c r="P691" i="58" s="1"/>
  <c r="N690" i="58"/>
  <c r="P690" i="58" s="1"/>
  <c r="N689" i="58"/>
  <c r="P689" i="58" s="1"/>
  <c r="N688" i="58"/>
  <c r="P688" i="58" s="1"/>
  <c r="N687" i="58"/>
  <c r="P687" i="58" s="1"/>
  <c r="N686" i="58"/>
  <c r="P686" i="58" s="1"/>
  <c r="N685" i="58"/>
  <c r="P685" i="58" s="1"/>
  <c r="N684" i="58"/>
  <c r="P684" i="58" s="1"/>
  <c r="N683" i="58"/>
  <c r="P683" i="58" s="1"/>
  <c r="AE37" i="74"/>
  <c r="AE36" i="74"/>
  <c r="AE35" i="74"/>
  <c r="AE34" i="74"/>
  <c r="AE33" i="74"/>
  <c r="AE32" i="74"/>
  <c r="AE31" i="74"/>
  <c r="AE30" i="74"/>
  <c r="AE29" i="74"/>
  <c r="AE28" i="74"/>
  <c r="AE27" i="74"/>
  <c r="AE26" i="74"/>
  <c r="AE17" i="74"/>
  <c r="AE16" i="74"/>
  <c r="AE15" i="74"/>
  <c r="AE14" i="74"/>
  <c r="AE13" i="74"/>
  <c r="AE12" i="74"/>
  <c r="AE11" i="74"/>
  <c r="AE10" i="74"/>
  <c r="AE9" i="74"/>
  <c r="AE8" i="74"/>
  <c r="AE7" i="74"/>
  <c r="AE6" i="74"/>
  <c r="U53" i="155"/>
  <c r="U52" i="155"/>
  <c r="U51" i="155"/>
  <c r="U50" i="155"/>
  <c r="U49" i="155"/>
  <c r="U48" i="155"/>
  <c r="U47" i="155"/>
  <c r="U46" i="155"/>
  <c r="U45" i="155"/>
  <c r="U44" i="155"/>
  <c r="U43" i="155"/>
  <c r="U42" i="155"/>
  <c r="U33" i="155"/>
  <c r="U32" i="155"/>
  <c r="U31" i="155"/>
  <c r="U30" i="155"/>
  <c r="U29" i="155"/>
  <c r="U28" i="155"/>
  <c r="U27" i="155"/>
  <c r="U26" i="155"/>
  <c r="U25" i="155"/>
  <c r="U24" i="155"/>
  <c r="U23" i="155"/>
  <c r="U22" i="155"/>
  <c r="AB37" i="74"/>
  <c r="AC37" i="74" s="1"/>
  <c r="AD37" i="74" s="1"/>
  <c r="AB36" i="74"/>
  <c r="AC36" i="74" s="1"/>
  <c r="AD36" i="74" s="1"/>
  <c r="AB35" i="74"/>
  <c r="AC35" i="74" s="1"/>
  <c r="AD35" i="74" s="1"/>
  <c r="AB34" i="74"/>
  <c r="AB33" i="74"/>
  <c r="AC33" i="74" s="1"/>
  <c r="AD33" i="74" s="1"/>
  <c r="AB32" i="74"/>
  <c r="AC32" i="74" s="1"/>
  <c r="AD32" i="74" s="1"/>
  <c r="AB31" i="74"/>
  <c r="AC31" i="74" s="1"/>
  <c r="AD31" i="74" s="1"/>
  <c r="AB30" i="74"/>
  <c r="AC30" i="74" s="1"/>
  <c r="AB29" i="74"/>
  <c r="AC29" i="74" s="1"/>
  <c r="AD29" i="74" s="1"/>
  <c r="AB28" i="74"/>
  <c r="AC28" i="74" s="1"/>
  <c r="AD28" i="74" s="1"/>
  <c r="AB27" i="74"/>
  <c r="AC27" i="74" s="1"/>
  <c r="AD27" i="74" s="1"/>
  <c r="AB26" i="74"/>
  <c r="AC26" i="74" s="1"/>
  <c r="AB17" i="74"/>
  <c r="AC17" i="74" s="1"/>
  <c r="AD17" i="74" s="1"/>
  <c r="AB16" i="74"/>
  <c r="AC16" i="74" s="1"/>
  <c r="AD16" i="74" s="1"/>
  <c r="AB15" i="74"/>
  <c r="AC15" i="74" s="1"/>
  <c r="AD15" i="74" s="1"/>
  <c r="AB14" i="74"/>
  <c r="AC14" i="74" s="1"/>
  <c r="AD14" i="74" s="1"/>
  <c r="AB13" i="74"/>
  <c r="AC13" i="74" s="1"/>
  <c r="AD13" i="74" s="1"/>
  <c r="AB12" i="74"/>
  <c r="AC12" i="74" s="1"/>
  <c r="AD12" i="74" s="1"/>
  <c r="AB11" i="74"/>
  <c r="AC11" i="74" s="1"/>
  <c r="AD11" i="74" s="1"/>
  <c r="AB10" i="74"/>
  <c r="AC10" i="74" s="1"/>
  <c r="AB9" i="74"/>
  <c r="AC9" i="74" s="1"/>
  <c r="AD9" i="74" s="1"/>
  <c r="AB8" i="74"/>
  <c r="AC8" i="74" s="1"/>
  <c r="AD8" i="74" s="1"/>
  <c r="AB7" i="74"/>
  <c r="AC7" i="74" s="1"/>
  <c r="AD7" i="74" s="1"/>
  <c r="AB6" i="74"/>
  <c r="AC6" i="74" s="1"/>
  <c r="R53" i="155"/>
  <c r="R52" i="155"/>
  <c r="R51" i="155"/>
  <c r="R50" i="155"/>
  <c r="R49" i="155"/>
  <c r="R48" i="155"/>
  <c r="R47" i="155"/>
  <c r="R46" i="155"/>
  <c r="R42" i="155"/>
  <c r="R45" i="155"/>
  <c r="R44" i="155"/>
  <c r="R43" i="155"/>
  <c r="R33" i="155"/>
  <c r="R32" i="155"/>
  <c r="R31" i="155"/>
  <c r="R30" i="155"/>
  <c r="R29" i="155"/>
  <c r="R28" i="155"/>
  <c r="R27" i="155"/>
  <c r="R26" i="155"/>
  <c r="R25" i="155"/>
  <c r="R24" i="155"/>
  <c r="R23" i="155"/>
  <c r="R22" i="155"/>
  <c r="P7" i="155"/>
  <c r="H317" i="156" l="1"/>
  <c r="H319" i="156"/>
  <c r="H290" i="156"/>
  <c r="O290" i="156" s="1"/>
  <c r="H286" i="156"/>
  <c r="O286" i="156" s="1"/>
  <c r="H315" i="156"/>
  <c r="O315" i="156" s="1"/>
  <c r="H298" i="156"/>
  <c r="O298" i="156" s="1"/>
  <c r="H325" i="156"/>
  <c r="O325" i="156" s="1"/>
  <c r="H311" i="156"/>
  <c r="O311" i="156" s="1"/>
  <c r="H282" i="156"/>
  <c r="O282" i="156" s="1"/>
  <c r="H321" i="156"/>
  <c r="O321" i="156" s="1"/>
  <c r="H284" i="156"/>
  <c r="O284" i="156" s="1"/>
  <c r="H292" i="156"/>
  <c r="O292" i="156" s="1"/>
  <c r="H300" i="156"/>
  <c r="H327" i="156"/>
  <c r="H335" i="156"/>
  <c r="O335" i="156" s="1"/>
  <c r="H285" i="156"/>
  <c r="H314" i="156"/>
  <c r="O314" i="156" s="1"/>
  <c r="H295" i="156"/>
  <c r="H303" i="156"/>
  <c r="O303" i="156" s="1"/>
  <c r="H324" i="156"/>
  <c r="O324" i="156" s="1"/>
  <c r="H332" i="156"/>
  <c r="O332" i="156" s="1"/>
  <c r="H291" i="156"/>
  <c r="O291" i="156" s="1"/>
  <c r="H297" i="156"/>
  <c r="O297" i="156" s="1"/>
  <c r="H307" i="156"/>
  <c r="O307" i="156" s="1"/>
  <c r="H313" i="156"/>
  <c r="O313" i="156" s="1"/>
  <c r="H323" i="156"/>
  <c r="H329" i="156"/>
  <c r="O329" i="156" s="1"/>
  <c r="H302" i="156"/>
  <c r="O302" i="156" s="1"/>
  <c r="H287" i="156"/>
  <c r="O287" i="156" s="1"/>
  <c r="H308" i="156"/>
  <c r="H316" i="156"/>
  <c r="O316" i="156" s="1"/>
  <c r="H305" i="156"/>
  <c r="O305" i="156" s="1"/>
  <c r="H334" i="156"/>
  <c r="O334" i="156" s="1"/>
  <c r="H277" i="156"/>
  <c r="O277" i="156" s="1"/>
  <c r="H281" i="156"/>
  <c r="O281" i="156" s="1"/>
  <c r="H279" i="156"/>
  <c r="O279" i="156" s="1"/>
  <c r="H278" i="156"/>
  <c r="H276" i="156"/>
  <c r="H280" i="156"/>
  <c r="O280" i="156" s="1"/>
  <c r="H296" i="156"/>
  <c r="O296" i="156" s="1"/>
  <c r="H306" i="156"/>
  <c r="O306" i="156" s="1"/>
  <c r="H331" i="156"/>
  <c r="O331" i="156" s="1"/>
  <c r="H289" i="156"/>
  <c r="O289" i="156" s="1"/>
  <c r="H318" i="156"/>
  <c r="O318" i="156" s="1"/>
  <c r="H299" i="156"/>
  <c r="O299" i="156" s="1"/>
  <c r="H309" i="156"/>
  <c r="O309" i="156" s="1"/>
  <c r="H328" i="156"/>
  <c r="O328" i="156" s="1"/>
  <c r="H294" i="156"/>
  <c r="O294" i="156" s="1"/>
  <c r="H310" i="156"/>
  <c r="H326" i="156"/>
  <c r="H333" i="156"/>
  <c r="O333" i="156" s="1"/>
  <c r="H283" i="156"/>
  <c r="O283" i="156" s="1"/>
  <c r="H293" i="156"/>
  <c r="O293" i="156" s="1"/>
  <c r="H312" i="156"/>
  <c r="H322" i="156"/>
  <c r="O322" i="156" s="1"/>
  <c r="H301" i="156"/>
  <c r="O301" i="156" s="1"/>
  <c r="H330" i="156"/>
  <c r="O330" i="156" s="1"/>
  <c r="H288" i="156"/>
  <c r="O288" i="156" s="1"/>
  <c r="H304" i="156"/>
  <c r="O304" i="156" s="1"/>
  <c r="H320" i="156"/>
  <c r="O320" i="156" s="1"/>
  <c r="G212" i="156"/>
  <c r="O212" i="156" s="1"/>
  <c r="G259" i="156"/>
  <c r="O259" i="156" s="1"/>
  <c r="H95" i="156"/>
  <c r="O95" i="156" s="1"/>
  <c r="H111" i="156"/>
  <c r="O111" i="156" s="1"/>
  <c r="O317" i="156"/>
  <c r="G227" i="156"/>
  <c r="O227" i="156" s="1"/>
  <c r="H115" i="156"/>
  <c r="O115" i="156" s="1"/>
  <c r="H107" i="156"/>
  <c r="O107" i="156" s="1"/>
  <c r="H123" i="156"/>
  <c r="O123" i="156" s="1"/>
  <c r="H139" i="156"/>
  <c r="O139" i="156" s="1"/>
  <c r="H103" i="156"/>
  <c r="O103" i="156" s="1"/>
  <c r="H119" i="156"/>
  <c r="O119" i="156" s="1"/>
  <c r="H135" i="156"/>
  <c r="O135" i="156" s="1"/>
  <c r="G249" i="156"/>
  <c r="O249" i="156" s="1"/>
  <c r="G243" i="156"/>
  <c r="O243" i="156" s="1"/>
  <c r="O285" i="156"/>
  <c r="G225" i="156"/>
  <c r="O225" i="156" s="1"/>
  <c r="G233" i="156"/>
  <c r="O233" i="156" s="1"/>
  <c r="G265" i="156"/>
  <c r="O265" i="156" s="1"/>
  <c r="G271" i="156"/>
  <c r="O271" i="156" s="1"/>
  <c r="H127" i="156"/>
  <c r="O127" i="156" s="1"/>
  <c r="M53" i="156"/>
  <c r="O53" i="156" s="1"/>
  <c r="I160" i="156"/>
  <c r="O160" i="156" s="1"/>
  <c r="M47" i="156"/>
  <c r="O47" i="156" s="1"/>
  <c r="M63" i="156"/>
  <c r="O63" i="156" s="1"/>
  <c r="M75" i="156"/>
  <c r="O75" i="156" s="1"/>
  <c r="I178" i="156"/>
  <c r="O178" i="156" s="1"/>
  <c r="M59" i="156"/>
  <c r="O59" i="156" s="1"/>
  <c r="I363" i="156"/>
  <c r="O363" i="156" s="1"/>
  <c r="I177" i="156"/>
  <c r="O177" i="156" s="1"/>
  <c r="I185" i="156"/>
  <c r="O185" i="156" s="1"/>
  <c r="I193" i="156"/>
  <c r="O193" i="156" s="1"/>
  <c r="I201" i="156"/>
  <c r="O201" i="156" s="1"/>
  <c r="I384" i="156"/>
  <c r="O384" i="156" s="1"/>
  <c r="I392" i="156"/>
  <c r="O392" i="156" s="1"/>
  <c r="I347" i="156"/>
  <c r="O347" i="156" s="1"/>
  <c r="H138" i="156"/>
  <c r="O138" i="156" s="1"/>
  <c r="H128" i="156"/>
  <c r="O128" i="156" s="1"/>
  <c r="H125" i="156"/>
  <c r="O125" i="156" s="1"/>
  <c r="H122" i="156"/>
  <c r="O122" i="156" s="1"/>
  <c r="H112" i="156"/>
  <c r="O112" i="156" s="1"/>
  <c r="H109" i="156"/>
  <c r="O109" i="156" s="1"/>
  <c r="H106" i="156"/>
  <c r="O106" i="156" s="1"/>
  <c r="H96" i="156"/>
  <c r="O96" i="156" s="1"/>
  <c r="H132" i="156"/>
  <c r="O132" i="156" s="1"/>
  <c r="H129" i="156"/>
  <c r="O129" i="156" s="1"/>
  <c r="H126" i="156"/>
  <c r="O126" i="156" s="1"/>
  <c r="H116" i="156"/>
  <c r="O116" i="156" s="1"/>
  <c r="H113" i="156"/>
  <c r="O113" i="156" s="1"/>
  <c r="H110" i="156"/>
  <c r="O110" i="156" s="1"/>
  <c r="H100" i="156"/>
  <c r="O100" i="156" s="1"/>
  <c r="H97" i="156"/>
  <c r="O97" i="156" s="1"/>
  <c r="H94" i="156"/>
  <c r="O94" i="156" s="1"/>
  <c r="H141" i="156"/>
  <c r="O141" i="156" s="1"/>
  <c r="H136" i="156"/>
  <c r="O136" i="156" s="1"/>
  <c r="H133" i="156"/>
  <c r="O133" i="156" s="1"/>
  <c r="H130" i="156"/>
  <c r="O130" i="156" s="1"/>
  <c r="H120" i="156"/>
  <c r="O120" i="156" s="1"/>
  <c r="H117" i="156"/>
  <c r="O117" i="156" s="1"/>
  <c r="H114" i="156"/>
  <c r="O114" i="156" s="1"/>
  <c r="H104" i="156"/>
  <c r="O104" i="156" s="1"/>
  <c r="H101" i="156"/>
  <c r="O101" i="156" s="1"/>
  <c r="H98" i="156"/>
  <c r="O98" i="156" s="1"/>
  <c r="H121" i="156"/>
  <c r="O121" i="156" s="1"/>
  <c r="H124" i="156"/>
  <c r="O124" i="156" s="1"/>
  <c r="H137" i="156"/>
  <c r="O137" i="156" s="1"/>
  <c r="H108" i="156"/>
  <c r="O108" i="156" s="1"/>
  <c r="H102" i="156"/>
  <c r="O102" i="156" s="1"/>
  <c r="H118" i="156"/>
  <c r="O118" i="156" s="1"/>
  <c r="H134" i="156"/>
  <c r="O134" i="156" s="1"/>
  <c r="H105" i="156"/>
  <c r="O105" i="156" s="1"/>
  <c r="M61" i="156"/>
  <c r="O61" i="156" s="1"/>
  <c r="M77" i="156"/>
  <c r="O77" i="156" s="1"/>
  <c r="M73" i="156"/>
  <c r="O73" i="156" s="1"/>
  <c r="H99" i="156"/>
  <c r="O99" i="156" s="1"/>
  <c r="H140" i="156"/>
  <c r="O140" i="156" s="1"/>
  <c r="M33" i="156"/>
  <c r="O33" i="156" s="1"/>
  <c r="M41" i="156"/>
  <c r="O41" i="156" s="1"/>
  <c r="I164" i="156"/>
  <c r="O164" i="156" s="1"/>
  <c r="M36" i="156"/>
  <c r="O36" i="156" s="1"/>
  <c r="M44" i="156"/>
  <c r="O44" i="156" s="1"/>
  <c r="M52" i="156"/>
  <c r="O52" i="156" s="1"/>
  <c r="M60" i="156"/>
  <c r="O60" i="156" s="1"/>
  <c r="M68" i="156"/>
  <c r="O68" i="156" s="1"/>
  <c r="M76" i="156"/>
  <c r="O76" i="156" s="1"/>
  <c r="I159" i="156"/>
  <c r="O159" i="156" s="1"/>
  <c r="I167" i="156"/>
  <c r="O167" i="156" s="1"/>
  <c r="I180" i="156"/>
  <c r="O180" i="156" s="1"/>
  <c r="I188" i="156"/>
  <c r="O188" i="156" s="1"/>
  <c r="I196" i="156"/>
  <c r="O196" i="156" s="1"/>
  <c r="M34" i="156"/>
  <c r="O34" i="156" s="1"/>
  <c r="M42" i="156"/>
  <c r="O42" i="156" s="1"/>
  <c r="M50" i="156"/>
  <c r="O50" i="156" s="1"/>
  <c r="M58" i="156"/>
  <c r="O58" i="156" s="1"/>
  <c r="M66" i="156"/>
  <c r="O66" i="156" s="1"/>
  <c r="M74" i="156"/>
  <c r="O74" i="156" s="1"/>
  <c r="I161" i="156"/>
  <c r="O161" i="156" s="1"/>
  <c r="I169" i="156"/>
  <c r="O169" i="156" s="1"/>
  <c r="G251" i="156"/>
  <c r="O251" i="156" s="1"/>
  <c r="I389" i="156"/>
  <c r="O389" i="156" s="1"/>
  <c r="I179" i="156"/>
  <c r="O179" i="156" s="1"/>
  <c r="I187" i="156"/>
  <c r="O187" i="156" s="1"/>
  <c r="I195" i="156"/>
  <c r="O195" i="156" s="1"/>
  <c r="I203" i="156"/>
  <c r="O203" i="156" s="1"/>
  <c r="G235" i="156"/>
  <c r="O235" i="156" s="1"/>
  <c r="G267" i="156"/>
  <c r="O267" i="156" s="1"/>
  <c r="I357" i="156"/>
  <c r="O357" i="156" s="1"/>
  <c r="I376" i="156"/>
  <c r="O376" i="156" s="1"/>
  <c r="I383" i="156"/>
  <c r="O383" i="156" s="1"/>
  <c r="I351" i="156"/>
  <c r="O351" i="156" s="1"/>
  <c r="I359" i="156"/>
  <c r="O359" i="156" s="1"/>
  <c r="I391" i="156"/>
  <c r="O391" i="156" s="1"/>
  <c r="I375" i="156"/>
  <c r="O375" i="156" s="1"/>
  <c r="I367" i="156"/>
  <c r="O367" i="156" s="1"/>
  <c r="I385" i="156"/>
  <c r="O385" i="156" s="1"/>
  <c r="I361" i="156"/>
  <c r="O361" i="156" s="1"/>
  <c r="I370" i="156"/>
  <c r="O370" i="156" s="1"/>
  <c r="I356" i="156"/>
  <c r="O356" i="156" s="1"/>
  <c r="I388" i="156"/>
  <c r="O388" i="156" s="1"/>
  <c r="I377" i="156"/>
  <c r="O377" i="156" s="1"/>
  <c r="I362" i="156"/>
  <c r="O362" i="156" s="1"/>
  <c r="I348" i="156"/>
  <c r="O348" i="156" s="1"/>
  <c r="I380" i="156"/>
  <c r="O380" i="156" s="1"/>
  <c r="I369" i="156"/>
  <c r="O369" i="156" s="1"/>
  <c r="I346" i="156"/>
  <c r="O346" i="156" s="1"/>
  <c r="I378" i="156"/>
  <c r="O378" i="156" s="1"/>
  <c r="I364" i="156"/>
  <c r="O364" i="156" s="1"/>
  <c r="I353" i="156"/>
  <c r="O353" i="156" s="1"/>
  <c r="I354" i="156"/>
  <c r="O354" i="156" s="1"/>
  <c r="I386" i="156"/>
  <c r="O386" i="156" s="1"/>
  <c r="I372" i="156"/>
  <c r="O372" i="156" s="1"/>
  <c r="M49" i="156"/>
  <c r="O49" i="156" s="1"/>
  <c r="M31" i="156"/>
  <c r="O31" i="156" s="1"/>
  <c r="M39" i="156"/>
  <c r="O39" i="156" s="1"/>
  <c r="M51" i="156"/>
  <c r="O51" i="156" s="1"/>
  <c r="I162" i="156"/>
  <c r="O162" i="156" s="1"/>
  <c r="I170" i="156"/>
  <c r="O170" i="156" s="1"/>
  <c r="I186" i="156"/>
  <c r="O186" i="156" s="1"/>
  <c r="I194" i="156"/>
  <c r="O194" i="156" s="1"/>
  <c r="I360" i="156"/>
  <c r="O360" i="156" s="1"/>
  <c r="I204" i="156"/>
  <c r="O204" i="156" s="1"/>
  <c r="I374" i="156"/>
  <c r="O374" i="156" s="1"/>
  <c r="I352" i="156"/>
  <c r="O352" i="156" s="1"/>
  <c r="I373" i="156"/>
  <c r="O373" i="156" s="1"/>
  <c r="I379" i="156"/>
  <c r="O379" i="156" s="1"/>
  <c r="G266" i="156"/>
  <c r="O266" i="156" s="1"/>
  <c r="G258" i="156"/>
  <c r="O258" i="156" s="1"/>
  <c r="G250" i="156"/>
  <c r="O250" i="156" s="1"/>
  <c r="G242" i="156"/>
  <c r="O242" i="156" s="1"/>
  <c r="G234" i="156"/>
  <c r="O234" i="156" s="1"/>
  <c r="G248" i="156"/>
  <c r="O248" i="156" s="1"/>
  <c r="G246" i="156"/>
  <c r="O246" i="156" s="1"/>
  <c r="G244" i="156"/>
  <c r="O244" i="156" s="1"/>
  <c r="G230" i="156"/>
  <c r="O230" i="156" s="1"/>
  <c r="G222" i="156"/>
  <c r="O222" i="156" s="1"/>
  <c r="G256" i="156"/>
  <c r="O256" i="156" s="1"/>
  <c r="G254" i="156"/>
  <c r="O254" i="156" s="1"/>
  <c r="G252" i="156"/>
  <c r="O252" i="156" s="1"/>
  <c r="G228" i="156"/>
  <c r="O228" i="156" s="1"/>
  <c r="G264" i="156"/>
  <c r="O264" i="156" s="1"/>
  <c r="G262" i="156"/>
  <c r="O262" i="156" s="1"/>
  <c r="G260" i="156"/>
  <c r="O260" i="156" s="1"/>
  <c r="G226" i="156"/>
  <c r="O226" i="156" s="1"/>
  <c r="G240" i="156"/>
  <c r="O240" i="156" s="1"/>
  <c r="G232" i="156"/>
  <c r="O232" i="156" s="1"/>
  <c r="G238" i="156"/>
  <c r="O238" i="156" s="1"/>
  <c r="G224" i="156"/>
  <c r="O224" i="156" s="1"/>
  <c r="G236" i="156"/>
  <c r="O236" i="156" s="1"/>
  <c r="G268" i="156"/>
  <c r="O268" i="156" s="1"/>
  <c r="O319" i="156"/>
  <c r="O300" i="156"/>
  <c r="O326" i="156"/>
  <c r="O295" i="156"/>
  <c r="O312" i="156"/>
  <c r="O310" i="156"/>
  <c r="O308" i="156"/>
  <c r="O323" i="156"/>
  <c r="O327" i="156"/>
  <c r="H131" i="156"/>
  <c r="O131" i="156" s="1"/>
  <c r="I366" i="156"/>
  <c r="O366" i="156" s="1"/>
  <c r="I168" i="156"/>
  <c r="O168" i="156" s="1"/>
  <c r="M35" i="156"/>
  <c r="O35" i="156" s="1"/>
  <c r="M43" i="156"/>
  <c r="O43" i="156" s="1"/>
  <c r="G270" i="156"/>
  <c r="O270" i="156" s="1"/>
  <c r="I365" i="156"/>
  <c r="O365" i="156" s="1"/>
  <c r="M55" i="156"/>
  <c r="O55" i="156" s="1"/>
  <c r="M67" i="156"/>
  <c r="O67" i="156" s="1"/>
  <c r="I158" i="156"/>
  <c r="O158" i="156" s="1"/>
  <c r="I166" i="156"/>
  <c r="O166" i="156" s="1"/>
  <c r="I174" i="156"/>
  <c r="O174" i="156" s="1"/>
  <c r="I182" i="156"/>
  <c r="O182" i="156" s="1"/>
  <c r="I190" i="156"/>
  <c r="O190" i="156" s="1"/>
  <c r="I198" i="156"/>
  <c r="O198" i="156" s="1"/>
  <c r="G255" i="156"/>
  <c r="O255" i="156" s="1"/>
  <c r="I368" i="156"/>
  <c r="O368" i="156" s="1"/>
  <c r="M71" i="156"/>
  <c r="O71" i="156" s="1"/>
  <c r="G257" i="156"/>
  <c r="O257" i="156" s="1"/>
  <c r="I181" i="156"/>
  <c r="O181" i="156" s="1"/>
  <c r="I189" i="156"/>
  <c r="O189" i="156" s="1"/>
  <c r="I197" i="156"/>
  <c r="O197" i="156" s="1"/>
  <c r="I205" i="156"/>
  <c r="O205" i="156" s="1"/>
  <c r="G229" i="156"/>
  <c r="O229" i="156" s="1"/>
  <c r="I200" i="156"/>
  <c r="O200" i="156" s="1"/>
  <c r="G223" i="156"/>
  <c r="O223" i="156" s="1"/>
  <c r="G231" i="156"/>
  <c r="O231" i="156" s="1"/>
  <c r="G239" i="156"/>
  <c r="O239" i="156" s="1"/>
  <c r="I390" i="156"/>
  <c r="O390" i="156" s="1"/>
  <c r="I358" i="156"/>
  <c r="O358" i="156" s="1"/>
  <c r="I349" i="156"/>
  <c r="O349" i="156" s="1"/>
  <c r="I381" i="156"/>
  <c r="O381" i="156" s="1"/>
  <c r="M69" i="156"/>
  <c r="O69" i="156" s="1"/>
  <c r="M65" i="156"/>
  <c r="O65" i="156" s="1"/>
  <c r="I202" i="156"/>
  <c r="O202" i="156" s="1"/>
  <c r="M57" i="156"/>
  <c r="O57" i="156" s="1"/>
  <c r="M37" i="156"/>
  <c r="O37" i="156" s="1"/>
  <c r="M45" i="156"/>
  <c r="O45" i="156" s="1"/>
  <c r="I172" i="156"/>
  <c r="O172" i="156" s="1"/>
  <c r="M32" i="156"/>
  <c r="O32" i="156" s="1"/>
  <c r="M40" i="156"/>
  <c r="O40" i="156" s="1"/>
  <c r="M48" i="156"/>
  <c r="O48" i="156" s="1"/>
  <c r="M56" i="156"/>
  <c r="O56" i="156" s="1"/>
  <c r="M64" i="156"/>
  <c r="O64" i="156" s="1"/>
  <c r="M72" i="156"/>
  <c r="O72" i="156" s="1"/>
  <c r="I163" i="156"/>
  <c r="O163" i="156" s="1"/>
  <c r="I171" i="156"/>
  <c r="O171" i="156" s="1"/>
  <c r="I176" i="156"/>
  <c r="O176" i="156" s="1"/>
  <c r="I184" i="156"/>
  <c r="O184" i="156" s="1"/>
  <c r="I192" i="156"/>
  <c r="O192" i="156" s="1"/>
  <c r="M38" i="156"/>
  <c r="O38" i="156" s="1"/>
  <c r="M46" i="156"/>
  <c r="O46" i="156" s="1"/>
  <c r="M54" i="156"/>
  <c r="O54" i="156" s="1"/>
  <c r="M62" i="156"/>
  <c r="O62" i="156" s="1"/>
  <c r="M70" i="156"/>
  <c r="O70" i="156" s="1"/>
  <c r="I165" i="156"/>
  <c r="O165" i="156" s="1"/>
  <c r="I173" i="156"/>
  <c r="O173" i="156" s="1"/>
  <c r="G247" i="156"/>
  <c r="O247" i="156" s="1"/>
  <c r="I371" i="156"/>
  <c r="O371" i="156" s="1"/>
  <c r="G241" i="156"/>
  <c r="O241" i="156" s="1"/>
  <c r="I387" i="156"/>
  <c r="O387" i="156" s="1"/>
  <c r="I175" i="156"/>
  <c r="O175" i="156" s="1"/>
  <c r="I183" i="156"/>
  <c r="O183" i="156" s="1"/>
  <c r="I191" i="156"/>
  <c r="O191" i="156" s="1"/>
  <c r="I199" i="156"/>
  <c r="O199" i="156" s="1"/>
  <c r="G263" i="156"/>
  <c r="O263" i="156" s="1"/>
  <c r="I355" i="156"/>
  <c r="O355" i="156" s="1"/>
  <c r="G237" i="156"/>
  <c r="O237" i="156" s="1"/>
  <c r="G245" i="156"/>
  <c r="O245" i="156" s="1"/>
  <c r="G253" i="156"/>
  <c r="O253" i="156" s="1"/>
  <c r="G261" i="156"/>
  <c r="O261" i="156" s="1"/>
  <c r="G269" i="156"/>
  <c r="O269" i="156" s="1"/>
  <c r="I350" i="156"/>
  <c r="O350" i="156" s="1"/>
  <c r="I382" i="156"/>
  <c r="O382" i="156" s="1"/>
  <c r="G210" i="156"/>
  <c r="O210" i="156" s="1"/>
  <c r="G211" i="156"/>
  <c r="O211" i="156" s="1"/>
  <c r="G216" i="156"/>
  <c r="O216" i="156" s="1"/>
  <c r="G220" i="156"/>
  <c r="O220" i="156" s="1"/>
  <c r="G219" i="156"/>
  <c r="O219" i="156" s="1"/>
  <c r="G217" i="156"/>
  <c r="O217" i="156" s="1"/>
  <c r="G221" i="156"/>
  <c r="O221" i="156" s="1"/>
  <c r="G218" i="156"/>
  <c r="O218" i="156" s="1"/>
  <c r="G213" i="156"/>
  <c r="O213" i="156" s="1"/>
  <c r="G214" i="156"/>
  <c r="O214" i="156" s="1"/>
  <c r="G215" i="156"/>
  <c r="O215" i="156" s="1"/>
  <c r="I345" i="156"/>
  <c r="O345" i="156" s="1"/>
  <c r="I342" i="156"/>
  <c r="O342" i="156" s="1"/>
  <c r="I344" i="156"/>
  <c r="O344" i="156" s="1"/>
  <c r="I340" i="156"/>
  <c r="O340" i="156" s="1"/>
  <c r="I341" i="156"/>
  <c r="O341" i="156" s="1"/>
  <c r="I343" i="156"/>
  <c r="O343" i="156" s="1"/>
  <c r="M28" i="156"/>
  <c r="O28" i="156" s="1"/>
  <c r="M29" i="156"/>
  <c r="O29" i="156" s="1"/>
  <c r="M24" i="156"/>
  <c r="O24" i="156" s="1"/>
  <c r="M20" i="156"/>
  <c r="O20" i="156" s="1"/>
  <c r="M22" i="156"/>
  <c r="O22" i="156" s="1"/>
  <c r="M25" i="156"/>
  <c r="O25" i="156" s="1"/>
  <c r="M23" i="156"/>
  <c r="O23" i="156" s="1"/>
  <c r="M30" i="156"/>
  <c r="O30" i="156" s="1"/>
  <c r="M19" i="156"/>
  <c r="O19" i="156" s="1"/>
  <c r="M26" i="156"/>
  <c r="O26" i="156" s="1"/>
  <c r="M21" i="156"/>
  <c r="O21" i="156" s="1"/>
  <c r="M27" i="156"/>
  <c r="O27" i="156" s="1"/>
  <c r="O276" i="156"/>
  <c r="O278" i="156"/>
  <c r="H86" i="156"/>
  <c r="O86" i="156" s="1"/>
  <c r="H90" i="156"/>
  <c r="O90" i="156" s="1"/>
  <c r="H82" i="156"/>
  <c r="O82" i="156" s="1"/>
  <c r="H83" i="156"/>
  <c r="O83" i="156" s="1"/>
  <c r="H87" i="156"/>
  <c r="O87" i="156" s="1"/>
  <c r="H91" i="156"/>
  <c r="O91" i="156" s="1"/>
  <c r="H84" i="156"/>
  <c r="O84" i="156" s="1"/>
  <c r="H88" i="156"/>
  <c r="O88" i="156" s="1"/>
  <c r="H92" i="156"/>
  <c r="O92" i="156" s="1"/>
  <c r="H85" i="156"/>
  <c r="O85" i="156" s="1"/>
  <c r="H89" i="156"/>
  <c r="O89" i="156" s="1"/>
  <c r="H93" i="156"/>
  <c r="O93" i="156" s="1"/>
  <c r="I150" i="156"/>
  <c r="O150" i="156" s="1"/>
  <c r="I154" i="156"/>
  <c r="O154" i="156" s="1"/>
  <c r="I146" i="156"/>
  <c r="O146" i="156" s="1"/>
  <c r="I147" i="156"/>
  <c r="O147" i="156" s="1"/>
  <c r="I151" i="156"/>
  <c r="O151" i="156" s="1"/>
  <c r="I155" i="156"/>
  <c r="O155" i="156" s="1"/>
  <c r="I148" i="156"/>
  <c r="O148" i="156" s="1"/>
  <c r="I152" i="156"/>
  <c r="O152" i="156" s="1"/>
  <c r="I156" i="156"/>
  <c r="O156" i="156" s="1"/>
  <c r="I149" i="156"/>
  <c r="O149" i="156" s="1"/>
  <c r="I153" i="156"/>
  <c r="O153" i="156" s="1"/>
  <c r="I157" i="156"/>
  <c r="O157" i="156" s="1"/>
  <c r="E52" i="30"/>
  <c r="P52" i="30" s="1"/>
  <c r="P5" i="156"/>
  <c r="F395" i="156" s="1"/>
  <c r="O395" i="156" s="1"/>
  <c r="Q683" i="58"/>
  <c r="Q687" i="58"/>
  <c r="Q684" i="58"/>
  <c r="Q688" i="58"/>
  <c r="Q689" i="58"/>
  <c r="Q685" i="58"/>
  <c r="AD26" i="74"/>
  <c r="AD30" i="74"/>
  <c r="AC34" i="74"/>
  <c r="AD34" i="74" s="1"/>
  <c r="AD10" i="74"/>
  <c r="AD6" i="74"/>
  <c r="S53" i="155"/>
  <c r="T53" i="155" s="1"/>
  <c r="S52" i="155"/>
  <c r="T52" i="155" s="1"/>
  <c r="S51" i="155"/>
  <c r="T51" i="155" s="1"/>
  <c r="S50" i="155"/>
  <c r="T50" i="155" s="1"/>
  <c r="S49" i="155"/>
  <c r="T49" i="155" s="1"/>
  <c r="S48" i="155"/>
  <c r="T48" i="155" s="1"/>
  <c r="S47" i="155"/>
  <c r="T47" i="155" s="1"/>
  <c r="S45" i="155"/>
  <c r="T45" i="155" s="1"/>
  <c r="S44" i="155"/>
  <c r="T44" i="155" s="1"/>
  <c r="S43" i="155"/>
  <c r="T43" i="155" s="1"/>
  <c r="S42" i="155"/>
  <c r="T42" i="155" s="1"/>
  <c r="S46" i="155"/>
  <c r="T46" i="155" s="1"/>
  <c r="G34" i="155"/>
  <c r="G35" i="155"/>
  <c r="G36" i="155"/>
  <c r="G37" i="155"/>
  <c r="G38" i="155"/>
  <c r="G39" i="155"/>
  <c r="G40" i="155"/>
  <c r="I34" i="155"/>
  <c r="I35" i="155"/>
  <c r="I36" i="155"/>
  <c r="I37" i="155"/>
  <c r="I38" i="155"/>
  <c r="I39" i="155"/>
  <c r="I40" i="155"/>
  <c r="AJ16" i="74" l="1"/>
  <c r="AJ27" i="74"/>
  <c r="O5" i="156"/>
  <c r="P400" i="156" s="1"/>
  <c r="AJ11" i="74"/>
  <c r="AJ17" i="74"/>
  <c r="AJ10" i="74"/>
  <c r="AJ20" i="74"/>
  <c r="AJ24" i="74"/>
  <c r="AJ21" i="74"/>
  <c r="AJ6" i="74"/>
  <c r="AJ19" i="74"/>
  <c r="AJ18" i="74"/>
  <c r="AJ22" i="74"/>
  <c r="AJ23" i="74"/>
  <c r="AJ12" i="74"/>
  <c r="AJ9" i="74"/>
  <c r="AJ15" i="74"/>
  <c r="AJ8" i="74"/>
  <c r="AJ14" i="74"/>
  <c r="AJ7" i="74"/>
  <c r="AJ13" i="74"/>
  <c r="AJ35" i="74"/>
  <c r="AJ30" i="74"/>
  <c r="AJ37" i="74"/>
  <c r="AJ26" i="74"/>
  <c r="AJ31" i="74"/>
  <c r="AJ32" i="74"/>
  <c r="AJ29" i="74"/>
  <c r="AJ34" i="74"/>
  <c r="AJ28" i="74"/>
  <c r="AJ36" i="74"/>
  <c r="AJ33" i="74"/>
  <c r="Z52" i="155"/>
  <c r="Z45" i="155"/>
  <c r="Z49" i="155"/>
  <c r="Z53" i="155"/>
  <c r="Z42" i="155"/>
  <c r="Z46" i="155"/>
  <c r="Z50" i="155"/>
  <c r="Z43" i="155"/>
  <c r="Z47" i="155"/>
  <c r="Z51" i="155"/>
  <c r="Z44" i="155"/>
  <c r="Z48" i="155"/>
  <c r="S33" i="155"/>
  <c r="AK26" i="74" l="1"/>
  <c r="AL26" i="74" s="1"/>
  <c r="B26" i="74" s="1"/>
  <c r="AK17" i="74"/>
  <c r="E17" i="74" s="1"/>
  <c r="AK6" i="74"/>
  <c r="C127" i="2"/>
  <c r="E126" i="2"/>
  <c r="C126" i="2" s="1"/>
  <c r="AK37" i="74"/>
  <c r="I37" i="74" s="1"/>
  <c r="AA42" i="155"/>
  <c r="T33" i="155"/>
  <c r="S26" i="155"/>
  <c r="S23" i="155"/>
  <c r="S22" i="155"/>
  <c r="R420" i="58"/>
  <c r="R516" i="58"/>
  <c r="R468" i="58"/>
  <c r="R564" i="58"/>
  <c r="R372" i="58"/>
  <c r="R324" i="58"/>
  <c r="G295" i="58" s="1"/>
  <c r="L295" i="58" s="1"/>
  <c r="R276" i="58"/>
  <c r="G247" i="58" s="1"/>
  <c r="L247" i="58" s="1"/>
  <c r="R228" i="58"/>
  <c r="G199" i="58" s="1"/>
  <c r="L199" i="58" s="1"/>
  <c r="R180" i="58"/>
  <c r="G151" i="58" s="1"/>
  <c r="L151" i="58" s="1"/>
  <c r="R132" i="58"/>
  <c r="R84" i="58"/>
  <c r="AK27" i="74" l="1"/>
  <c r="AL27" i="74" s="1"/>
  <c r="E26" i="74"/>
  <c r="AL17" i="74"/>
  <c r="AP17" i="74"/>
  <c r="AH18" i="74" s="1"/>
  <c r="AH19" i="74" s="1"/>
  <c r="AH20" i="74" s="1"/>
  <c r="AH21" i="74" s="1"/>
  <c r="AH22" i="74" s="1"/>
  <c r="AH23" i="74" s="1"/>
  <c r="AH24" i="74" s="1"/>
  <c r="G17" i="74"/>
  <c r="I17" i="74"/>
  <c r="AN17" i="74"/>
  <c r="B17" i="74"/>
  <c r="E6" i="74"/>
  <c r="AP6" i="74"/>
  <c r="I6" i="74" s="1"/>
  <c r="AN6" i="74"/>
  <c r="G6" i="74" s="1"/>
  <c r="AL6" i="74"/>
  <c r="B6" i="74" s="1"/>
  <c r="AK7" i="74"/>
  <c r="AO37" i="74"/>
  <c r="G37" i="74"/>
  <c r="H37" i="74"/>
  <c r="B37" i="74"/>
  <c r="B27" i="74"/>
  <c r="E27" i="74"/>
  <c r="AP37" i="74"/>
  <c r="AM37" i="74"/>
  <c r="F37" i="74" s="1"/>
  <c r="E37" i="74"/>
  <c r="AN37" i="74"/>
  <c r="AL37" i="74"/>
  <c r="AK28" i="74"/>
  <c r="AL28" i="74" s="1"/>
  <c r="G42" i="155"/>
  <c r="AA43" i="155"/>
  <c r="G43" i="155" s="1"/>
  <c r="AB42" i="155"/>
  <c r="T22" i="155"/>
  <c r="T26" i="155"/>
  <c r="T23" i="155"/>
  <c r="S25" i="155"/>
  <c r="S29" i="155"/>
  <c r="S27" i="155"/>
  <c r="S31" i="155"/>
  <c r="S30" i="155"/>
  <c r="S24" i="155"/>
  <c r="S28" i="155"/>
  <c r="S32" i="155"/>
  <c r="Q1" i="155"/>
  <c r="E7" i="74" l="1"/>
  <c r="AL7" i="74"/>
  <c r="AN7" i="74"/>
  <c r="G7" i="74" s="1"/>
  <c r="AK8" i="74"/>
  <c r="AP7" i="74"/>
  <c r="I7" i="74" s="1"/>
  <c r="B7" i="74"/>
  <c r="G28" i="74"/>
  <c r="H28" i="74"/>
  <c r="I28" i="74"/>
  <c r="B28" i="74"/>
  <c r="E28" i="74"/>
  <c r="AN28" i="74"/>
  <c r="AP28" i="74"/>
  <c r="AM28" i="74"/>
  <c r="F28" i="74" s="1"/>
  <c r="AK29" i="74"/>
  <c r="AO28" i="74"/>
  <c r="B42" i="155"/>
  <c r="AA44" i="155"/>
  <c r="AB43" i="155"/>
  <c r="T25" i="155"/>
  <c r="T32" i="155"/>
  <c r="T24" i="155"/>
  <c r="T27" i="155"/>
  <c r="T28" i="155"/>
  <c r="T30" i="155"/>
  <c r="T31" i="155"/>
  <c r="T29" i="155"/>
  <c r="H85" i="155"/>
  <c r="S79" i="155"/>
  <c r="P79" i="155"/>
  <c r="L79" i="155" s="1"/>
  <c r="O79" i="155" s="1"/>
  <c r="S78" i="155"/>
  <c r="P78" i="155"/>
  <c r="L78" i="155" s="1"/>
  <c r="O78" i="155" s="1"/>
  <c r="S77" i="155"/>
  <c r="P77" i="155"/>
  <c r="L77" i="155" s="1"/>
  <c r="O77" i="155" s="1"/>
  <c r="S76" i="155"/>
  <c r="L76" i="155"/>
  <c r="O76" i="155" s="1"/>
  <c r="S75" i="155"/>
  <c r="P75" i="155"/>
  <c r="L75" i="155" s="1"/>
  <c r="O75" i="155" s="1"/>
  <c r="S74" i="155"/>
  <c r="P74" i="155"/>
  <c r="L74" i="155" s="1"/>
  <c r="O74" i="155" s="1"/>
  <c r="S73" i="155"/>
  <c r="P73" i="155"/>
  <c r="L73" i="155" s="1"/>
  <c r="O73" i="155" s="1"/>
  <c r="S72" i="155"/>
  <c r="P72" i="155"/>
  <c r="L72" i="155" s="1"/>
  <c r="O72" i="155" s="1"/>
  <c r="S71" i="155"/>
  <c r="P71" i="155"/>
  <c r="L71" i="155" s="1"/>
  <c r="O71" i="155" s="1"/>
  <c r="S70" i="155"/>
  <c r="P70" i="155"/>
  <c r="L70" i="155" s="1"/>
  <c r="O70" i="155" s="1"/>
  <c r="S69" i="155"/>
  <c r="P69" i="155"/>
  <c r="L69" i="155" s="1"/>
  <c r="O69" i="155" s="1"/>
  <c r="S68" i="155"/>
  <c r="P68" i="155"/>
  <c r="L68" i="155" s="1"/>
  <c r="O68" i="155" s="1"/>
  <c r="S67" i="155"/>
  <c r="P67" i="155"/>
  <c r="L67" i="155" s="1"/>
  <c r="O67" i="155" s="1"/>
  <c r="S66" i="155"/>
  <c r="P66" i="155"/>
  <c r="L66" i="155" s="1"/>
  <c r="O66" i="155" s="1"/>
  <c r="S65" i="155"/>
  <c r="P65" i="155"/>
  <c r="L65" i="155" s="1"/>
  <c r="O65" i="155" s="1"/>
  <c r="S64" i="155"/>
  <c r="P64" i="155"/>
  <c r="L64" i="155" s="1"/>
  <c r="O64" i="155" s="1"/>
  <c r="S63" i="155"/>
  <c r="P63" i="155"/>
  <c r="L63" i="155" s="1"/>
  <c r="O63" i="155" s="1"/>
  <c r="S62" i="155"/>
  <c r="P62" i="155"/>
  <c r="L62" i="155" s="1"/>
  <c r="O62" i="155" s="1"/>
  <c r="S61" i="155"/>
  <c r="P61" i="155"/>
  <c r="S60" i="155"/>
  <c r="P60" i="155"/>
  <c r="S59" i="155"/>
  <c r="P59" i="155"/>
  <c r="S58" i="155"/>
  <c r="P58" i="155"/>
  <c r="L58" i="155" s="1"/>
  <c r="O58" i="155" s="1"/>
  <c r="P18" i="155"/>
  <c r="P16" i="155"/>
  <c r="P12" i="155"/>
  <c r="M12" i="155"/>
  <c r="P4" i="155" l="1"/>
  <c r="L60" i="155"/>
  <c r="O60" i="155" s="1"/>
  <c r="L61" i="155"/>
  <c r="O61" i="155" s="1"/>
  <c r="E8" i="74"/>
  <c r="G8" i="74"/>
  <c r="AL8" i="74"/>
  <c r="B8" i="74"/>
  <c r="AN8" i="74"/>
  <c r="I8" i="74"/>
  <c r="AP8" i="74"/>
  <c r="AK9" i="74"/>
  <c r="L59" i="155"/>
  <c r="O59" i="155" s="1"/>
  <c r="E29" i="74"/>
  <c r="AM29" i="74"/>
  <c r="F29" i="74" s="1"/>
  <c r="AO29" i="74"/>
  <c r="G29" i="74"/>
  <c r="AN29" i="74"/>
  <c r="AL29" i="74"/>
  <c r="H29" i="74"/>
  <c r="AK30" i="74"/>
  <c r="I29" i="74"/>
  <c r="B29" i="74"/>
  <c r="AP29" i="74"/>
  <c r="G44" i="155"/>
  <c r="B43" i="155"/>
  <c r="AA45" i="155"/>
  <c r="AB44" i="155"/>
  <c r="Z22" i="155"/>
  <c r="Z23" i="155"/>
  <c r="Z26" i="155"/>
  <c r="Z25" i="155"/>
  <c r="Z27" i="155"/>
  <c r="Z24" i="155"/>
  <c r="Z30" i="155"/>
  <c r="Z28" i="155"/>
  <c r="Z32" i="155"/>
  <c r="Z31" i="155"/>
  <c r="Z29" i="155"/>
  <c r="Z33" i="155"/>
  <c r="I7" i="155"/>
  <c r="O7" i="155" s="1"/>
  <c r="X12" i="155"/>
  <c r="M16" i="155" s="1"/>
  <c r="R36" i="58"/>
  <c r="T1" i="58"/>
  <c r="M18" i="155" l="1"/>
  <c r="O18" i="155" s="1"/>
  <c r="I16" i="155"/>
  <c r="E9" i="74"/>
  <c r="B9" i="74"/>
  <c r="G9" i="74"/>
  <c r="AL9" i="74"/>
  <c r="AK10" i="74"/>
  <c r="AN9" i="74"/>
  <c r="I9" i="74"/>
  <c r="AP9" i="74"/>
  <c r="J85" i="155"/>
  <c r="O85" i="155" s="1"/>
  <c r="E30" i="74"/>
  <c r="AP30" i="74"/>
  <c r="AL30" i="74"/>
  <c r="G30" i="74"/>
  <c r="AM30" i="74"/>
  <c r="F30" i="74" s="1"/>
  <c r="I30" i="74"/>
  <c r="B30" i="74"/>
  <c r="AN30" i="74"/>
  <c r="H30" i="74"/>
  <c r="AK31" i="74"/>
  <c r="AO30" i="74"/>
  <c r="AA33" i="155"/>
  <c r="G45" i="155"/>
  <c r="O548" i="58"/>
  <c r="G439" i="58"/>
  <c r="L439" i="58" s="1"/>
  <c r="B44" i="155"/>
  <c r="AA46" i="155"/>
  <c r="AB45" i="155"/>
  <c r="AA22" i="155"/>
  <c r="I12" i="155"/>
  <c r="O12" i="155" s="1"/>
  <c r="O452" i="58"/>
  <c r="O500" i="58"/>
  <c r="O356" i="58"/>
  <c r="O404" i="58"/>
  <c r="O260" i="58"/>
  <c r="O308" i="58"/>
  <c r="O164" i="58"/>
  <c r="O212" i="58"/>
  <c r="O116" i="58"/>
  <c r="G103" i="58"/>
  <c r="L103" i="58" s="1"/>
  <c r="O20" i="58"/>
  <c r="O68" i="58"/>
  <c r="G55" i="58"/>
  <c r="L55" i="58" s="1"/>
  <c r="G7" i="58"/>
  <c r="L7" i="58" s="1"/>
  <c r="L678" i="16"/>
  <c r="L617" i="16"/>
  <c r="L556" i="16"/>
  <c r="L495" i="16"/>
  <c r="L434" i="16"/>
  <c r="O16" i="155" l="1"/>
  <c r="E10" i="74"/>
  <c r="AL10" i="74"/>
  <c r="AK11" i="74"/>
  <c r="I10" i="74"/>
  <c r="AN10" i="74"/>
  <c r="G10" i="74"/>
  <c r="AP10" i="74"/>
  <c r="B10" i="74"/>
  <c r="G31" i="74"/>
  <c r="AL31" i="74"/>
  <c r="E31" i="74"/>
  <c r="AM31" i="74"/>
  <c r="F31" i="74" s="1"/>
  <c r="I31" i="74"/>
  <c r="B31" i="74"/>
  <c r="AK32" i="74"/>
  <c r="AN31" i="74"/>
  <c r="H31" i="74"/>
  <c r="AP31" i="74"/>
  <c r="AO31" i="74"/>
  <c r="G46" i="155"/>
  <c r="AE46" i="155"/>
  <c r="AC46" i="155"/>
  <c r="AD33" i="155"/>
  <c r="AF33" i="155"/>
  <c r="AA23" i="155"/>
  <c r="G22" i="155"/>
  <c r="AA47" i="155"/>
  <c r="AB46" i="155"/>
  <c r="AF46" i="155"/>
  <c r="K46" i="155" s="1"/>
  <c r="AD46" i="155"/>
  <c r="I46" i="155" s="1"/>
  <c r="B45" i="155"/>
  <c r="I33" i="155"/>
  <c r="B33" i="155"/>
  <c r="G33" i="155"/>
  <c r="K33" i="155"/>
  <c r="AB33" i="155"/>
  <c r="AB22" i="155"/>
  <c r="B22" i="155" s="1"/>
  <c r="L373" i="16"/>
  <c r="L312" i="16"/>
  <c r="G312" i="16"/>
  <c r="M312" i="16" s="1"/>
  <c r="L251" i="16"/>
  <c r="L190" i="16"/>
  <c r="L129" i="16"/>
  <c r="L68" i="16"/>
  <c r="P3" i="16"/>
  <c r="N20" i="16" s="1"/>
  <c r="T38" i="29"/>
  <c r="O38" i="29"/>
  <c r="H38" i="29"/>
  <c r="M38" i="29" s="1"/>
  <c r="L7" i="16"/>
  <c r="E11" i="74" l="1"/>
  <c r="I11" i="74"/>
  <c r="AK12" i="74"/>
  <c r="G11" i="74"/>
  <c r="AL11" i="74"/>
  <c r="AN11" i="74"/>
  <c r="AP11" i="74"/>
  <c r="B11" i="74"/>
  <c r="H32" i="74"/>
  <c r="AL32" i="74"/>
  <c r="E32" i="74"/>
  <c r="AK33" i="74"/>
  <c r="AN32" i="74"/>
  <c r="G32" i="74"/>
  <c r="AP32" i="74"/>
  <c r="AO32" i="74"/>
  <c r="I32" i="74"/>
  <c r="B32" i="74"/>
  <c r="AM32" i="74"/>
  <c r="F32" i="74" s="1"/>
  <c r="J46" i="155"/>
  <c r="AE47" i="155"/>
  <c r="G47" i="155"/>
  <c r="AC47" i="155"/>
  <c r="AF23" i="155"/>
  <c r="AD23" i="155"/>
  <c r="B46" i="155"/>
  <c r="AA48" i="155"/>
  <c r="K47" i="155"/>
  <c r="J47" i="155"/>
  <c r="AF47" i="155"/>
  <c r="AB47" i="155"/>
  <c r="H47" i="155"/>
  <c r="I47" i="155"/>
  <c r="AD47" i="155"/>
  <c r="G23" i="155"/>
  <c r="AB23" i="155"/>
  <c r="B23" i="155" s="1"/>
  <c r="AA24" i="155"/>
  <c r="N691" i="16"/>
  <c r="N678" i="16"/>
  <c r="N617" i="16"/>
  <c r="N630" i="16"/>
  <c r="N569" i="16"/>
  <c r="N556" i="16"/>
  <c r="N508" i="16"/>
  <c r="N495" i="16"/>
  <c r="B22" i="16"/>
  <c r="N447" i="16"/>
  <c r="N434" i="16"/>
  <c r="N386" i="16"/>
  <c r="N393" i="16" s="1"/>
  <c r="D392" i="16" s="1"/>
  <c r="M393" i="16" s="1"/>
  <c r="N373" i="16"/>
  <c r="N325" i="16"/>
  <c r="B324" i="16" s="1"/>
  <c r="N312" i="16"/>
  <c r="N264" i="16"/>
  <c r="N271" i="16" s="1"/>
  <c r="D270" i="16" s="1"/>
  <c r="M271" i="16" s="1"/>
  <c r="N251" i="16"/>
  <c r="N81" i="16"/>
  <c r="N87" i="16" s="1"/>
  <c r="N190" i="16"/>
  <c r="N203" i="16"/>
  <c r="B207" i="16" s="1"/>
  <c r="N129" i="16"/>
  <c r="N142" i="16"/>
  <c r="N149" i="16" s="1"/>
  <c r="D148" i="16" s="1"/>
  <c r="M149" i="16" s="1"/>
  <c r="N7" i="16"/>
  <c r="N68" i="16"/>
  <c r="E12" i="74" l="1"/>
  <c r="I12" i="74"/>
  <c r="AP12" i="74"/>
  <c r="G12" i="74"/>
  <c r="AL12" i="74"/>
  <c r="B12" i="74"/>
  <c r="AK13" i="74"/>
  <c r="AN12" i="74"/>
  <c r="E33" i="74"/>
  <c r="AP33" i="74"/>
  <c r="AO33" i="74"/>
  <c r="H33" i="74"/>
  <c r="AM33" i="74"/>
  <c r="F33" i="74" s="1"/>
  <c r="G33" i="74"/>
  <c r="AN33" i="74"/>
  <c r="I33" i="74"/>
  <c r="B33" i="74"/>
  <c r="AK34" i="74"/>
  <c r="AL33" i="74"/>
  <c r="AC48" i="155"/>
  <c r="G48" i="155"/>
  <c r="AE48" i="155"/>
  <c r="B47" i="155"/>
  <c r="AA49" i="155"/>
  <c r="K48" i="155"/>
  <c r="J48" i="155"/>
  <c r="AF48" i="155"/>
  <c r="AD48" i="155"/>
  <c r="I48" i="155"/>
  <c r="AB48" i="155"/>
  <c r="H48" i="155"/>
  <c r="AB24" i="155"/>
  <c r="B24" i="155" s="1"/>
  <c r="G24" i="155"/>
  <c r="AA25" i="155"/>
  <c r="N698" i="16"/>
  <c r="D697" i="16" s="1"/>
  <c r="M698" i="16" s="1"/>
  <c r="B693" i="16"/>
  <c r="N697" i="16"/>
  <c r="B695" i="16"/>
  <c r="B690" i="16"/>
  <c r="B19" i="16"/>
  <c r="N26" i="16"/>
  <c r="N27" i="16"/>
  <c r="D26" i="16" s="1"/>
  <c r="M27" i="16" s="1"/>
  <c r="N637" i="16"/>
  <c r="D636" i="16" s="1"/>
  <c r="M637" i="16" s="1"/>
  <c r="B629" i="16"/>
  <c r="B632" i="16"/>
  <c r="B634" i="16"/>
  <c r="N636" i="16"/>
  <c r="N576" i="16"/>
  <c r="D575" i="16" s="1"/>
  <c r="M576" i="16" s="1"/>
  <c r="B571" i="16"/>
  <c r="N575" i="16"/>
  <c r="B573" i="16"/>
  <c r="B568" i="16"/>
  <c r="B24" i="16"/>
  <c r="N515" i="16"/>
  <c r="D514" i="16" s="1"/>
  <c r="M515" i="16" s="1"/>
  <c r="B507" i="16"/>
  <c r="B510" i="16"/>
  <c r="B512" i="16"/>
  <c r="N514" i="16"/>
  <c r="B83" i="16"/>
  <c r="B144" i="16"/>
  <c r="N454" i="16"/>
  <c r="D453" i="16" s="1"/>
  <c r="M454" i="16" s="1"/>
  <c r="B446" i="16"/>
  <c r="B449" i="16"/>
  <c r="B451" i="16"/>
  <c r="N453" i="16"/>
  <c r="N392" i="16"/>
  <c r="B390" i="16"/>
  <c r="B388" i="16"/>
  <c r="B385" i="16"/>
  <c r="N331" i="16"/>
  <c r="B329" i="16"/>
  <c r="B327" i="16"/>
  <c r="N332" i="16"/>
  <c r="B266" i="16"/>
  <c r="B268" i="16"/>
  <c r="B202" i="16"/>
  <c r="B263" i="16"/>
  <c r="N270" i="16"/>
  <c r="B141" i="16"/>
  <c r="N148" i="16"/>
  <c r="N209" i="16"/>
  <c r="N210" i="16"/>
  <c r="D209" i="16" s="1"/>
  <c r="M210" i="16" s="1"/>
  <c r="B205" i="16"/>
  <c r="B146" i="16"/>
  <c r="B80" i="16"/>
  <c r="N88" i="16"/>
  <c r="D87" i="16" s="1"/>
  <c r="M88" i="16" s="1"/>
  <c r="B85" i="16"/>
  <c r="E13" i="74" l="1"/>
  <c r="AK14" i="74"/>
  <c r="AN13" i="74"/>
  <c r="I13" i="74"/>
  <c r="AP13" i="74"/>
  <c r="G13" i="74"/>
  <c r="AL13" i="74"/>
  <c r="B13" i="74"/>
  <c r="H34" i="74"/>
  <c r="AK35" i="74"/>
  <c r="AO34" i="74"/>
  <c r="E34" i="74"/>
  <c r="AP34" i="74"/>
  <c r="AL34" i="74"/>
  <c r="G34" i="74"/>
  <c r="AM34" i="74"/>
  <c r="F34" i="74" s="1"/>
  <c r="I34" i="74"/>
  <c r="B34" i="74"/>
  <c r="AN34" i="74"/>
  <c r="AC49" i="155"/>
  <c r="G49" i="155"/>
  <c r="AE49" i="155"/>
  <c r="AD25" i="155"/>
  <c r="AF25" i="155"/>
  <c r="B48" i="155"/>
  <c r="AA50" i="155"/>
  <c r="K49" i="155"/>
  <c r="J49" i="155"/>
  <c r="AF49" i="155"/>
  <c r="H49" i="155"/>
  <c r="I49" i="155"/>
  <c r="AD49" i="155"/>
  <c r="AB49" i="155"/>
  <c r="K25" i="155"/>
  <c r="G25" i="155"/>
  <c r="I25" i="155"/>
  <c r="AB25" i="155"/>
  <c r="B25" i="155" s="1"/>
  <c r="AA26" i="155"/>
  <c r="D331" i="16"/>
  <c r="M332" i="16" s="1"/>
  <c r="E14" i="74" l="1"/>
  <c r="AN14" i="74"/>
  <c r="G14" i="74"/>
  <c r="I14" i="74"/>
  <c r="AP14" i="74"/>
  <c r="B14" i="74"/>
  <c r="AL14" i="74"/>
  <c r="AK15" i="74"/>
  <c r="H35" i="74"/>
  <c r="AP35" i="74"/>
  <c r="AO35" i="74"/>
  <c r="G35" i="74"/>
  <c r="AL35" i="74"/>
  <c r="E35" i="74"/>
  <c r="AM35" i="74"/>
  <c r="F35" i="74" s="1"/>
  <c r="I35" i="74"/>
  <c r="B35" i="74"/>
  <c r="AK36" i="74"/>
  <c r="AN35" i="74"/>
  <c r="G50" i="155"/>
  <c r="AE50" i="155"/>
  <c r="AC50" i="155"/>
  <c r="AD26" i="155"/>
  <c r="AF26" i="155"/>
  <c r="B49" i="155"/>
  <c r="AA51" i="155"/>
  <c r="K50" i="155"/>
  <c r="AB50" i="155"/>
  <c r="J50" i="155"/>
  <c r="AF50" i="155"/>
  <c r="AD50" i="155"/>
  <c r="I50" i="155"/>
  <c r="H50" i="155"/>
  <c r="K26" i="155"/>
  <c r="I26" i="155"/>
  <c r="B26" i="155"/>
  <c r="G26" i="155"/>
  <c r="AB26" i="155"/>
  <c r="AA27" i="155"/>
  <c r="E15" i="74" l="1"/>
  <c r="AP15" i="74"/>
  <c r="B15" i="74"/>
  <c r="AN15" i="74"/>
  <c r="AK16" i="74"/>
  <c r="AL15" i="74"/>
  <c r="I15" i="74"/>
  <c r="G15" i="74"/>
  <c r="H36" i="74"/>
  <c r="AP36" i="74"/>
  <c r="AO36" i="74"/>
  <c r="E36" i="74"/>
  <c r="AM36" i="74"/>
  <c r="F36" i="74" s="1"/>
  <c r="G36" i="74"/>
  <c r="AL36" i="74"/>
  <c r="I36" i="74"/>
  <c r="B36" i="74"/>
  <c r="AN36" i="74"/>
  <c r="G51" i="155"/>
  <c r="AE51" i="155"/>
  <c r="AC51" i="155"/>
  <c r="AD27" i="155"/>
  <c r="AF27" i="155"/>
  <c r="B50" i="155"/>
  <c r="AA52" i="155"/>
  <c r="K51" i="155"/>
  <c r="J51" i="155"/>
  <c r="AF51" i="155"/>
  <c r="AB51" i="155"/>
  <c r="H51" i="155"/>
  <c r="I51" i="155"/>
  <c r="AD51" i="155"/>
  <c r="G27" i="155"/>
  <c r="K27" i="155"/>
  <c r="AB27" i="155"/>
  <c r="I27" i="155"/>
  <c r="B27" i="155"/>
  <c r="AA28" i="155"/>
  <c r="E16" i="74" l="1"/>
  <c r="G16" i="74"/>
  <c r="AL16" i="74"/>
  <c r="B16" i="74"/>
  <c r="I16" i="74"/>
  <c r="AN16" i="74"/>
  <c r="AP16" i="74"/>
  <c r="AC52" i="155"/>
  <c r="G52" i="155"/>
  <c r="AE52" i="155"/>
  <c r="AD28" i="155"/>
  <c r="AF28" i="155"/>
  <c r="B51" i="155"/>
  <c r="AA53" i="155"/>
  <c r="K52" i="155"/>
  <c r="J52" i="155"/>
  <c r="AF52" i="155"/>
  <c r="H52" i="155"/>
  <c r="AD52" i="155"/>
  <c r="I52" i="155"/>
  <c r="AB52" i="155"/>
  <c r="G28" i="155"/>
  <c r="K28" i="155"/>
  <c r="AB28" i="155"/>
  <c r="I28" i="155"/>
  <c r="B28" i="155"/>
  <c r="AA29" i="155"/>
  <c r="T14" i="150"/>
  <c r="U14" i="150" s="1"/>
  <c r="V14" i="150" s="1"/>
  <c r="T15" i="150"/>
  <c r="U15" i="150" s="1"/>
  <c r="V15" i="150" s="1"/>
  <c r="T16" i="150"/>
  <c r="U16" i="150" s="1"/>
  <c r="V16" i="150" s="1"/>
  <c r="T17" i="150"/>
  <c r="U17" i="150" s="1"/>
  <c r="V17" i="150" s="1"/>
  <c r="T18" i="150"/>
  <c r="U18" i="150" s="1"/>
  <c r="V18" i="150" s="1"/>
  <c r="T19" i="150"/>
  <c r="U19" i="150" s="1"/>
  <c r="V19" i="150" s="1"/>
  <c r="T20" i="150"/>
  <c r="U20" i="150" s="1"/>
  <c r="V20" i="150" s="1"/>
  <c r="T21" i="150"/>
  <c r="U21" i="150" s="1"/>
  <c r="V21" i="150" s="1"/>
  <c r="T22" i="150"/>
  <c r="U22" i="150" s="1"/>
  <c r="V22" i="150" s="1"/>
  <c r="T23" i="150"/>
  <c r="U23" i="150" s="1"/>
  <c r="V23" i="150" s="1"/>
  <c r="T24" i="150"/>
  <c r="U24" i="150" s="1"/>
  <c r="V24" i="150" s="1"/>
  <c r="T25" i="150"/>
  <c r="U25" i="150" s="1"/>
  <c r="V25" i="150" s="1"/>
  <c r="T26" i="150"/>
  <c r="U26" i="150" s="1"/>
  <c r="V26" i="150" s="1"/>
  <c r="T27" i="150"/>
  <c r="U27" i="150" s="1"/>
  <c r="V27" i="150" s="1"/>
  <c r="T28" i="150"/>
  <c r="U28" i="150" s="1"/>
  <c r="V28" i="150" s="1"/>
  <c r="T29" i="150"/>
  <c r="U29" i="150" s="1"/>
  <c r="V29" i="150" s="1"/>
  <c r="T30" i="150"/>
  <c r="U30" i="150" s="1"/>
  <c r="V30" i="150" s="1"/>
  <c r="T31" i="150"/>
  <c r="U31" i="150" s="1"/>
  <c r="V31" i="150" s="1"/>
  <c r="T32" i="150"/>
  <c r="U32" i="150" s="1"/>
  <c r="V32" i="150" s="1"/>
  <c r="T33" i="150"/>
  <c r="U33" i="150" s="1"/>
  <c r="V33" i="150" s="1"/>
  <c r="T34" i="150"/>
  <c r="U34" i="150" s="1"/>
  <c r="V34" i="150" s="1"/>
  <c r="T35" i="150"/>
  <c r="U35" i="150" s="1"/>
  <c r="V35" i="150" s="1"/>
  <c r="T36" i="150"/>
  <c r="U36" i="150" s="1"/>
  <c r="V36" i="150" s="1"/>
  <c r="T37" i="150"/>
  <c r="U37" i="150" s="1"/>
  <c r="V37" i="150" s="1"/>
  <c r="T38" i="150"/>
  <c r="U38" i="150" s="1"/>
  <c r="V38" i="150" s="1"/>
  <c r="T39" i="150"/>
  <c r="U39" i="150" s="1"/>
  <c r="V39" i="150" s="1"/>
  <c r="T40" i="150"/>
  <c r="U40" i="150" s="1"/>
  <c r="V40" i="150" s="1"/>
  <c r="T41" i="150"/>
  <c r="U41" i="150" s="1"/>
  <c r="V41" i="150" s="1"/>
  <c r="T42" i="150"/>
  <c r="U42" i="150" s="1"/>
  <c r="V42" i="150" s="1"/>
  <c r="T43" i="150"/>
  <c r="U43" i="150" s="1"/>
  <c r="V43" i="150" s="1"/>
  <c r="T44" i="150"/>
  <c r="U44" i="150" s="1"/>
  <c r="V44" i="150" s="1"/>
  <c r="T45" i="150"/>
  <c r="U45" i="150" s="1"/>
  <c r="V45" i="150" s="1"/>
  <c r="T46" i="150"/>
  <c r="U46" i="150" s="1"/>
  <c r="V46" i="150" s="1"/>
  <c r="T47" i="150"/>
  <c r="U47" i="150" s="1"/>
  <c r="V47" i="150" s="1"/>
  <c r="T48" i="150"/>
  <c r="U48" i="150" s="1"/>
  <c r="V48" i="150" s="1"/>
  <c r="T49" i="150"/>
  <c r="U49" i="150" s="1"/>
  <c r="V49" i="150" s="1"/>
  <c r="T50" i="150"/>
  <c r="U50" i="150" s="1"/>
  <c r="V50" i="150" s="1"/>
  <c r="T51" i="150"/>
  <c r="U51" i="150" s="1"/>
  <c r="V51" i="150" s="1"/>
  <c r="T52" i="150"/>
  <c r="U52" i="150" s="1"/>
  <c r="V52" i="150" s="1"/>
  <c r="T53" i="150"/>
  <c r="U53" i="150" s="1"/>
  <c r="V53" i="150" s="1"/>
  <c r="T54" i="150"/>
  <c r="U54" i="150" s="1"/>
  <c r="V54" i="150" s="1"/>
  <c r="T55" i="150"/>
  <c r="U55" i="150" s="1"/>
  <c r="V55" i="150" s="1"/>
  <c r="T56" i="150"/>
  <c r="U56" i="150" s="1"/>
  <c r="V56" i="150" s="1"/>
  <c r="T57" i="150"/>
  <c r="U57" i="150" s="1"/>
  <c r="V57" i="150" s="1"/>
  <c r="T58" i="150"/>
  <c r="U58" i="150" s="1"/>
  <c r="V58" i="150" s="1"/>
  <c r="T59" i="150"/>
  <c r="U59" i="150" s="1"/>
  <c r="V59" i="150" s="1"/>
  <c r="T60" i="150"/>
  <c r="U60" i="150" s="1"/>
  <c r="V60" i="150" s="1"/>
  <c r="T61" i="150"/>
  <c r="U61" i="150" s="1"/>
  <c r="V61" i="150" s="1"/>
  <c r="T62" i="150"/>
  <c r="U62" i="150" s="1"/>
  <c r="V62" i="150" s="1"/>
  <c r="T63" i="150"/>
  <c r="U63" i="150" s="1"/>
  <c r="V63" i="150" s="1"/>
  <c r="T64" i="150"/>
  <c r="U64" i="150" s="1"/>
  <c r="V64" i="150" s="1"/>
  <c r="T65" i="150"/>
  <c r="U65" i="150" s="1"/>
  <c r="V65" i="150" s="1"/>
  <c r="T66" i="150"/>
  <c r="U66" i="150" s="1"/>
  <c r="V66" i="150" s="1"/>
  <c r="T67" i="150"/>
  <c r="U67" i="150" s="1"/>
  <c r="V67" i="150" s="1"/>
  <c r="T68" i="150"/>
  <c r="U68" i="150" s="1"/>
  <c r="V68" i="150" s="1"/>
  <c r="T69" i="150"/>
  <c r="U69" i="150" s="1"/>
  <c r="V69" i="150" s="1"/>
  <c r="T70" i="150"/>
  <c r="U70" i="150" s="1"/>
  <c r="V70" i="150" s="1"/>
  <c r="T71" i="150"/>
  <c r="U71" i="150" s="1"/>
  <c r="V71" i="150" s="1"/>
  <c r="T72" i="150"/>
  <c r="U72" i="150" s="1"/>
  <c r="V72" i="150" s="1"/>
  <c r="T73" i="150"/>
  <c r="U73" i="150" s="1"/>
  <c r="V73" i="150" s="1"/>
  <c r="T74" i="150"/>
  <c r="U74" i="150" s="1"/>
  <c r="V74" i="150" s="1"/>
  <c r="T75" i="150"/>
  <c r="U75" i="150" s="1"/>
  <c r="V75" i="150" s="1"/>
  <c r="T76" i="150"/>
  <c r="U76" i="150" s="1"/>
  <c r="V76" i="150" s="1"/>
  <c r="T77" i="150"/>
  <c r="U77" i="150" s="1"/>
  <c r="V77" i="150" s="1"/>
  <c r="T78" i="150"/>
  <c r="U78" i="150" s="1"/>
  <c r="V78" i="150" s="1"/>
  <c r="T79" i="150"/>
  <c r="U79" i="150" s="1"/>
  <c r="V79" i="150" s="1"/>
  <c r="T80" i="150"/>
  <c r="U80" i="150" s="1"/>
  <c r="V80" i="150" s="1"/>
  <c r="T81" i="150"/>
  <c r="U81" i="150" s="1"/>
  <c r="V81" i="150" s="1"/>
  <c r="T82" i="150"/>
  <c r="U82" i="150" s="1"/>
  <c r="V82" i="150" s="1"/>
  <c r="T83" i="150"/>
  <c r="U83" i="150" s="1"/>
  <c r="V83" i="150" s="1"/>
  <c r="T84" i="150"/>
  <c r="U84" i="150" s="1"/>
  <c r="V84" i="150" s="1"/>
  <c r="T85" i="150"/>
  <c r="U85" i="150" s="1"/>
  <c r="V85" i="150" s="1"/>
  <c r="T86" i="150"/>
  <c r="U86" i="150" s="1"/>
  <c r="V86" i="150" s="1"/>
  <c r="T87" i="150"/>
  <c r="U87" i="150" s="1"/>
  <c r="V87" i="150" s="1"/>
  <c r="T88" i="150"/>
  <c r="U88" i="150" s="1"/>
  <c r="V88" i="150" s="1"/>
  <c r="T89" i="150"/>
  <c r="U89" i="150" s="1"/>
  <c r="V89" i="150" s="1"/>
  <c r="T90" i="150"/>
  <c r="U90" i="150" s="1"/>
  <c r="V90" i="150" s="1"/>
  <c r="T91" i="150"/>
  <c r="U91" i="150" s="1"/>
  <c r="V91" i="150" s="1"/>
  <c r="T92" i="150"/>
  <c r="U92" i="150" s="1"/>
  <c r="V92" i="150" s="1"/>
  <c r="T93" i="150"/>
  <c r="U93" i="150" s="1"/>
  <c r="V93" i="150" s="1"/>
  <c r="T94" i="150"/>
  <c r="U94" i="150" s="1"/>
  <c r="V94" i="150" s="1"/>
  <c r="T95" i="150"/>
  <c r="U95" i="150" s="1"/>
  <c r="V95" i="150" s="1"/>
  <c r="T96" i="150"/>
  <c r="U96" i="150" s="1"/>
  <c r="V96" i="150" s="1"/>
  <c r="T97" i="150"/>
  <c r="U97" i="150" s="1"/>
  <c r="V97" i="150" s="1"/>
  <c r="T98" i="150"/>
  <c r="U98" i="150" s="1"/>
  <c r="V98" i="150" s="1"/>
  <c r="T99" i="150"/>
  <c r="U99" i="150" s="1"/>
  <c r="V99" i="150" s="1"/>
  <c r="T100" i="150"/>
  <c r="U100" i="150" s="1"/>
  <c r="V100" i="150" s="1"/>
  <c r="T302" i="150"/>
  <c r="U302" i="150" s="1"/>
  <c r="V302" i="150" s="1"/>
  <c r="T303" i="150"/>
  <c r="U303" i="150" s="1"/>
  <c r="V303" i="150" s="1"/>
  <c r="T304" i="150"/>
  <c r="U304" i="150" s="1"/>
  <c r="V304" i="150" s="1"/>
  <c r="T305" i="150"/>
  <c r="U305" i="150" s="1"/>
  <c r="V305" i="150" s="1"/>
  <c r="T306" i="150"/>
  <c r="U306" i="150" s="1"/>
  <c r="V306" i="150" s="1"/>
  <c r="T307" i="150"/>
  <c r="U307" i="150" s="1"/>
  <c r="V307" i="150" s="1"/>
  <c r="T308" i="150"/>
  <c r="U308" i="150" s="1"/>
  <c r="V308" i="150" s="1"/>
  <c r="T309" i="150"/>
  <c r="U309" i="150" s="1"/>
  <c r="V309" i="150" s="1"/>
  <c r="T310" i="150"/>
  <c r="U310" i="150" s="1"/>
  <c r="V310" i="150" s="1"/>
  <c r="T311" i="150"/>
  <c r="U311" i="150" s="1"/>
  <c r="V311" i="150" s="1"/>
  <c r="T312" i="150"/>
  <c r="U312" i="150" s="1"/>
  <c r="V312" i="150" s="1"/>
  <c r="T313" i="150"/>
  <c r="U313" i="150" s="1"/>
  <c r="V313" i="150" s="1"/>
  <c r="T314" i="150"/>
  <c r="U314" i="150" s="1"/>
  <c r="V314" i="150" s="1"/>
  <c r="T315" i="150"/>
  <c r="U315" i="150" s="1"/>
  <c r="V315" i="150" s="1"/>
  <c r="T316" i="150"/>
  <c r="U316" i="150" s="1"/>
  <c r="V316" i="150" s="1"/>
  <c r="T317" i="150"/>
  <c r="U317" i="150" s="1"/>
  <c r="V317" i="150" s="1"/>
  <c r="T318" i="150"/>
  <c r="U318" i="150" s="1"/>
  <c r="V318" i="150" s="1"/>
  <c r="T319" i="150"/>
  <c r="U319" i="150" s="1"/>
  <c r="V319" i="150" s="1"/>
  <c r="T320" i="150"/>
  <c r="U320" i="150" s="1"/>
  <c r="V320" i="150" s="1"/>
  <c r="T321" i="150"/>
  <c r="U321" i="150" s="1"/>
  <c r="V321" i="150" s="1"/>
  <c r="T322" i="150"/>
  <c r="U322" i="150" s="1"/>
  <c r="V322" i="150" s="1"/>
  <c r="T323" i="150"/>
  <c r="U323" i="150" s="1"/>
  <c r="V323" i="150" s="1"/>
  <c r="T324" i="150"/>
  <c r="U324" i="150" s="1"/>
  <c r="V324" i="150" s="1"/>
  <c r="T325" i="150"/>
  <c r="U325" i="150" s="1"/>
  <c r="V325" i="150" s="1"/>
  <c r="T326" i="150"/>
  <c r="U326" i="150" s="1"/>
  <c r="V326" i="150" s="1"/>
  <c r="T327" i="150"/>
  <c r="U327" i="150" s="1"/>
  <c r="V327" i="150" s="1"/>
  <c r="T328" i="150"/>
  <c r="U328" i="150" s="1"/>
  <c r="V328" i="150" s="1"/>
  <c r="T329" i="150"/>
  <c r="U329" i="150" s="1"/>
  <c r="V329" i="150" s="1"/>
  <c r="T330" i="150"/>
  <c r="U330" i="150" s="1"/>
  <c r="V330" i="150" s="1"/>
  <c r="T331" i="150"/>
  <c r="U331" i="150" s="1"/>
  <c r="V331" i="150" s="1"/>
  <c r="T332" i="150"/>
  <c r="U332" i="150" s="1"/>
  <c r="V332" i="150" s="1"/>
  <c r="T333" i="150"/>
  <c r="U333" i="150" s="1"/>
  <c r="V333" i="150" s="1"/>
  <c r="T334" i="150"/>
  <c r="U334" i="150" s="1"/>
  <c r="V334" i="150" s="1"/>
  <c r="T335" i="150"/>
  <c r="U335" i="150" s="1"/>
  <c r="V335" i="150" s="1"/>
  <c r="T336" i="150"/>
  <c r="U336" i="150" s="1"/>
  <c r="V336" i="150" s="1"/>
  <c r="T337" i="150"/>
  <c r="U337" i="150" s="1"/>
  <c r="V337" i="150" s="1"/>
  <c r="T338" i="150"/>
  <c r="U338" i="150" s="1"/>
  <c r="V338" i="150" s="1"/>
  <c r="T339" i="150"/>
  <c r="U339" i="150" s="1"/>
  <c r="V339" i="150" s="1"/>
  <c r="T340" i="150"/>
  <c r="U340" i="150" s="1"/>
  <c r="V340" i="150" s="1"/>
  <c r="T341" i="150"/>
  <c r="U341" i="150" s="1"/>
  <c r="V341" i="150" s="1"/>
  <c r="T342" i="150"/>
  <c r="U342" i="150" s="1"/>
  <c r="V342" i="150" s="1"/>
  <c r="T343" i="150"/>
  <c r="U343" i="150" s="1"/>
  <c r="V343" i="150" s="1"/>
  <c r="T344" i="150"/>
  <c r="U344" i="150" s="1"/>
  <c r="V344" i="150" s="1"/>
  <c r="T345" i="150"/>
  <c r="U345" i="150" s="1"/>
  <c r="V345" i="150" s="1"/>
  <c r="T346" i="150"/>
  <c r="U346" i="150" s="1"/>
  <c r="V346" i="150" s="1"/>
  <c r="T347" i="150"/>
  <c r="U347" i="150" s="1"/>
  <c r="V347" i="150" s="1"/>
  <c r="T348" i="150"/>
  <c r="U348" i="150" s="1"/>
  <c r="V348" i="150" s="1"/>
  <c r="T349" i="150"/>
  <c r="U349" i="150" s="1"/>
  <c r="V349" i="150" s="1"/>
  <c r="T350" i="150"/>
  <c r="U350" i="150" s="1"/>
  <c r="V350" i="150" s="1"/>
  <c r="T351" i="150"/>
  <c r="U351" i="150" s="1"/>
  <c r="V351" i="150" s="1"/>
  <c r="T352" i="150"/>
  <c r="U352" i="150" s="1"/>
  <c r="V352" i="150" s="1"/>
  <c r="T353" i="150"/>
  <c r="U353" i="150" s="1"/>
  <c r="V353" i="150" s="1"/>
  <c r="T354" i="150"/>
  <c r="U354" i="150" s="1"/>
  <c r="V354" i="150" s="1"/>
  <c r="T355" i="150"/>
  <c r="U355" i="150" s="1"/>
  <c r="V355" i="150" s="1"/>
  <c r="T356" i="150"/>
  <c r="U356" i="150" s="1"/>
  <c r="V356" i="150" s="1"/>
  <c r="T357" i="150"/>
  <c r="U357" i="150" s="1"/>
  <c r="V357" i="150" s="1"/>
  <c r="T358" i="150"/>
  <c r="U358" i="150" s="1"/>
  <c r="V358" i="150" s="1"/>
  <c r="T359" i="150"/>
  <c r="U359" i="150" s="1"/>
  <c r="V359" i="150" s="1"/>
  <c r="T360" i="150"/>
  <c r="U360" i="150" s="1"/>
  <c r="V360" i="150" s="1"/>
  <c r="T361" i="150"/>
  <c r="U361" i="150" s="1"/>
  <c r="V361" i="150" s="1"/>
  <c r="T362" i="150"/>
  <c r="U362" i="150" s="1"/>
  <c r="V362" i="150" s="1"/>
  <c r="T363" i="150"/>
  <c r="U363" i="150" s="1"/>
  <c r="V363" i="150" s="1"/>
  <c r="T364" i="150"/>
  <c r="U364" i="150" s="1"/>
  <c r="V364" i="150" s="1"/>
  <c r="T365" i="150"/>
  <c r="U365" i="150" s="1"/>
  <c r="V365" i="150" s="1"/>
  <c r="T366" i="150"/>
  <c r="U366" i="150" s="1"/>
  <c r="V366" i="150" s="1"/>
  <c r="T367" i="150"/>
  <c r="U367" i="150" s="1"/>
  <c r="V367" i="150" s="1"/>
  <c r="T368" i="150"/>
  <c r="U368" i="150" s="1"/>
  <c r="V368" i="150" s="1"/>
  <c r="T369" i="150"/>
  <c r="U369" i="150" s="1"/>
  <c r="V369" i="150" s="1"/>
  <c r="T370" i="150"/>
  <c r="U370" i="150" s="1"/>
  <c r="V370" i="150" s="1"/>
  <c r="T371" i="150"/>
  <c r="U371" i="150" s="1"/>
  <c r="V371" i="150" s="1"/>
  <c r="T372" i="150"/>
  <c r="U372" i="150" s="1"/>
  <c r="V372" i="150" s="1"/>
  <c r="T373" i="150"/>
  <c r="U373" i="150" s="1"/>
  <c r="V373" i="150" s="1"/>
  <c r="T374" i="150"/>
  <c r="U374" i="150" s="1"/>
  <c r="V374" i="150" s="1"/>
  <c r="T375" i="150"/>
  <c r="U375" i="150" s="1"/>
  <c r="V375" i="150" s="1"/>
  <c r="T376" i="150"/>
  <c r="U376" i="150" s="1"/>
  <c r="V376" i="150" s="1"/>
  <c r="T377" i="150"/>
  <c r="U377" i="150" s="1"/>
  <c r="V377" i="150" s="1"/>
  <c r="T378" i="150"/>
  <c r="U378" i="150" s="1"/>
  <c r="V378" i="150" s="1"/>
  <c r="T379" i="150"/>
  <c r="U379" i="150" s="1"/>
  <c r="V379" i="150" s="1"/>
  <c r="T380" i="150"/>
  <c r="U380" i="150" s="1"/>
  <c r="V380" i="150" s="1"/>
  <c r="T381" i="150"/>
  <c r="U381" i="150" s="1"/>
  <c r="V381" i="150" s="1"/>
  <c r="T382" i="150"/>
  <c r="U382" i="150" s="1"/>
  <c r="V382" i="150" s="1"/>
  <c r="T383" i="150"/>
  <c r="U383" i="150" s="1"/>
  <c r="V383" i="150" s="1"/>
  <c r="T384" i="150"/>
  <c r="U384" i="150" s="1"/>
  <c r="V384" i="150" s="1"/>
  <c r="T385" i="150"/>
  <c r="U385" i="150" s="1"/>
  <c r="V385" i="150" s="1"/>
  <c r="T386" i="150"/>
  <c r="U386" i="150" s="1"/>
  <c r="V386" i="150" s="1"/>
  <c r="T387" i="150"/>
  <c r="U387" i="150" s="1"/>
  <c r="V387" i="150" s="1"/>
  <c r="T388" i="150"/>
  <c r="U388" i="150" s="1"/>
  <c r="V388" i="150" s="1"/>
  <c r="T389" i="150"/>
  <c r="U389" i="150" s="1"/>
  <c r="V389" i="150" s="1"/>
  <c r="T390" i="150"/>
  <c r="U390" i="150" s="1"/>
  <c r="V390" i="150" s="1"/>
  <c r="T391" i="150"/>
  <c r="U391" i="150" s="1"/>
  <c r="V391" i="150" s="1"/>
  <c r="T392" i="150"/>
  <c r="U392" i="150" s="1"/>
  <c r="V392" i="150" s="1"/>
  <c r="T393" i="150"/>
  <c r="U393" i="150" s="1"/>
  <c r="V393" i="150" s="1"/>
  <c r="T394" i="150"/>
  <c r="U394" i="150" s="1"/>
  <c r="V394" i="150" s="1"/>
  <c r="T395" i="150"/>
  <c r="U395" i="150" s="1"/>
  <c r="V395" i="150" s="1"/>
  <c r="T396" i="150"/>
  <c r="U396" i="150" s="1"/>
  <c r="V396" i="150" s="1"/>
  <c r="T397" i="150"/>
  <c r="U397" i="150" s="1"/>
  <c r="V397" i="150" s="1"/>
  <c r="T398" i="150"/>
  <c r="U398" i="150" s="1"/>
  <c r="V398" i="150" s="1"/>
  <c r="T399" i="150"/>
  <c r="U399" i="150" s="1"/>
  <c r="V399" i="150" s="1"/>
  <c r="T400" i="150"/>
  <c r="U400" i="150" s="1"/>
  <c r="V400" i="150" s="1"/>
  <c r="T401" i="150"/>
  <c r="U401" i="150" s="1"/>
  <c r="V401" i="150" s="1"/>
  <c r="T402" i="150"/>
  <c r="U402" i="150" s="1"/>
  <c r="V402" i="150" s="1"/>
  <c r="T403" i="150"/>
  <c r="U403" i="150" s="1"/>
  <c r="V403" i="150" s="1"/>
  <c r="T404" i="150"/>
  <c r="U404" i="150" s="1"/>
  <c r="V404" i="150" s="1"/>
  <c r="T405" i="150"/>
  <c r="U405" i="150" s="1"/>
  <c r="V405" i="150" s="1"/>
  <c r="T406" i="150"/>
  <c r="U406" i="150" s="1"/>
  <c r="V406" i="150" s="1"/>
  <c r="T407" i="150"/>
  <c r="U407" i="150" s="1"/>
  <c r="V407" i="150" s="1"/>
  <c r="T408" i="150"/>
  <c r="U408" i="150" s="1"/>
  <c r="V408" i="150" s="1"/>
  <c r="T409" i="150"/>
  <c r="U409" i="150" s="1"/>
  <c r="V409" i="150" s="1"/>
  <c r="T410" i="150"/>
  <c r="U410" i="150" s="1"/>
  <c r="V410" i="150" s="1"/>
  <c r="T411" i="150"/>
  <c r="U411" i="150" s="1"/>
  <c r="V411" i="150" s="1"/>
  <c r="T412" i="150"/>
  <c r="U412" i="150" s="1"/>
  <c r="V412" i="150" s="1"/>
  <c r="T413" i="150"/>
  <c r="U413" i="150" s="1"/>
  <c r="V413" i="150" s="1"/>
  <c r="T414" i="150"/>
  <c r="U414" i="150" s="1"/>
  <c r="V414" i="150" s="1"/>
  <c r="T415" i="150"/>
  <c r="U415" i="150" s="1"/>
  <c r="V415" i="150" s="1"/>
  <c r="T416" i="150"/>
  <c r="U416" i="150" s="1"/>
  <c r="V416" i="150" s="1"/>
  <c r="T417" i="150"/>
  <c r="U417" i="150" s="1"/>
  <c r="V417" i="150" s="1"/>
  <c r="T418" i="150"/>
  <c r="U418" i="150" s="1"/>
  <c r="V418" i="150" s="1"/>
  <c r="T419" i="150"/>
  <c r="U419" i="150" s="1"/>
  <c r="V419" i="150" s="1"/>
  <c r="T420" i="150"/>
  <c r="U420" i="150" s="1"/>
  <c r="V420" i="150" s="1"/>
  <c r="T421" i="150"/>
  <c r="U421" i="150" s="1"/>
  <c r="V421" i="150" s="1"/>
  <c r="T422" i="150"/>
  <c r="U422" i="150" s="1"/>
  <c r="V422" i="150" s="1"/>
  <c r="T423" i="150"/>
  <c r="U423" i="150" s="1"/>
  <c r="V423" i="150" s="1"/>
  <c r="T424" i="150"/>
  <c r="U424" i="150" s="1"/>
  <c r="V424" i="150" s="1"/>
  <c r="T425" i="150"/>
  <c r="U425" i="150" s="1"/>
  <c r="V425" i="150" s="1"/>
  <c r="T426" i="150"/>
  <c r="U426" i="150" s="1"/>
  <c r="V426" i="150" s="1"/>
  <c r="T427" i="150"/>
  <c r="U427" i="150" s="1"/>
  <c r="V427" i="150" s="1"/>
  <c r="T428" i="150"/>
  <c r="U428" i="150" s="1"/>
  <c r="V428" i="150" s="1"/>
  <c r="T429" i="150"/>
  <c r="U429" i="150" s="1"/>
  <c r="V429" i="150" s="1"/>
  <c r="T430" i="150"/>
  <c r="U430" i="150" s="1"/>
  <c r="V430" i="150" s="1"/>
  <c r="T431" i="150"/>
  <c r="U431" i="150" s="1"/>
  <c r="V431" i="150" s="1"/>
  <c r="T432" i="150"/>
  <c r="U432" i="150" s="1"/>
  <c r="V432" i="150" s="1"/>
  <c r="T433" i="150"/>
  <c r="U433" i="150" s="1"/>
  <c r="V433" i="150" s="1"/>
  <c r="T434" i="150"/>
  <c r="U434" i="150" s="1"/>
  <c r="V434" i="150" s="1"/>
  <c r="T435" i="150"/>
  <c r="U435" i="150" s="1"/>
  <c r="V435" i="150" s="1"/>
  <c r="T436" i="150"/>
  <c r="U436" i="150" s="1"/>
  <c r="V436" i="150" s="1"/>
  <c r="T437" i="150"/>
  <c r="U437" i="150" s="1"/>
  <c r="V437" i="150" s="1"/>
  <c r="T438" i="150"/>
  <c r="U438" i="150" s="1"/>
  <c r="V438" i="150" s="1"/>
  <c r="T439" i="150"/>
  <c r="U439" i="150" s="1"/>
  <c r="V439" i="150" s="1"/>
  <c r="T440" i="150"/>
  <c r="U440" i="150" s="1"/>
  <c r="V440" i="150" s="1"/>
  <c r="T441" i="150"/>
  <c r="U441" i="150" s="1"/>
  <c r="V441" i="150" s="1"/>
  <c r="T442" i="150"/>
  <c r="U442" i="150" s="1"/>
  <c r="V442" i="150" s="1"/>
  <c r="T443" i="150"/>
  <c r="U443" i="150" s="1"/>
  <c r="V443" i="150" s="1"/>
  <c r="T444" i="150"/>
  <c r="U444" i="150" s="1"/>
  <c r="V444" i="150" s="1"/>
  <c r="T445" i="150"/>
  <c r="U445" i="150" s="1"/>
  <c r="V445" i="150" s="1"/>
  <c r="T446" i="150"/>
  <c r="U446" i="150" s="1"/>
  <c r="V446" i="150" s="1"/>
  <c r="T447" i="150"/>
  <c r="U447" i="150" s="1"/>
  <c r="V447" i="150" s="1"/>
  <c r="T448" i="150"/>
  <c r="U448" i="150" s="1"/>
  <c r="V448" i="150" s="1"/>
  <c r="T449" i="150"/>
  <c r="U449" i="150" s="1"/>
  <c r="V449" i="150" s="1"/>
  <c r="T450" i="150"/>
  <c r="U450" i="150" s="1"/>
  <c r="V450" i="150" s="1"/>
  <c r="T451" i="150"/>
  <c r="U451" i="150" s="1"/>
  <c r="V451" i="150" s="1"/>
  <c r="T452" i="150"/>
  <c r="U452" i="150" s="1"/>
  <c r="V452" i="150" s="1"/>
  <c r="T453" i="150"/>
  <c r="U453" i="150" s="1"/>
  <c r="V453" i="150" s="1"/>
  <c r="T454" i="150"/>
  <c r="U454" i="150" s="1"/>
  <c r="V454" i="150" s="1"/>
  <c r="T455" i="150"/>
  <c r="U455" i="150" s="1"/>
  <c r="V455" i="150" s="1"/>
  <c r="T456" i="150"/>
  <c r="U456" i="150" s="1"/>
  <c r="V456" i="150" s="1"/>
  <c r="T457" i="150"/>
  <c r="U457" i="150" s="1"/>
  <c r="V457" i="150" s="1"/>
  <c r="T458" i="150"/>
  <c r="U458" i="150" s="1"/>
  <c r="V458" i="150" s="1"/>
  <c r="T459" i="150"/>
  <c r="U459" i="150" s="1"/>
  <c r="V459" i="150" s="1"/>
  <c r="T460" i="150"/>
  <c r="U460" i="150" s="1"/>
  <c r="V460" i="150" s="1"/>
  <c r="T461" i="150"/>
  <c r="U461" i="150" s="1"/>
  <c r="V461" i="150" s="1"/>
  <c r="T462" i="150"/>
  <c r="U462" i="150" s="1"/>
  <c r="V462" i="150" s="1"/>
  <c r="AC53" i="155" l="1"/>
  <c r="G53" i="155"/>
  <c r="AE53" i="155"/>
  <c r="AD29" i="155"/>
  <c r="AF29" i="155"/>
  <c r="B52" i="155"/>
  <c r="K53" i="155"/>
  <c r="J53" i="155"/>
  <c r="AF53" i="155"/>
  <c r="AB53" i="155"/>
  <c r="I53" i="155"/>
  <c r="H53" i="155"/>
  <c r="AD53" i="155"/>
  <c r="I29" i="155"/>
  <c r="B29" i="155"/>
  <c r="G29" i="155"/>
  <c r="K29" i="155"/>
  <c r="AB29" i="155"/>
  <c r="AA30" i="155"/>
  <c r="Q467" i="150"/>
  <c r="E40" i="30" s="1"/>
  <c r="N467" i="150"/>
  <c r="Q462" i="150"/>
  <c r="Q461" i="150"/>
  <c r="Q460" i="150"/>
  <c r="Q459" i="150"/>
  <c r="Q458" i="150"/>
  <c r="Q457" i="150"/>
  <c r="Q456" i="150"/>
  <c r="Q455" i="150"/>
  <c r="Q454" i="150"/>
  <c r="Q453" i="150"/>
  <c r="Q452" i="150"/>
  <c r="Q451" i="150"/>
  <c r="Q450" i="150"/>
  <c r="Q449" i="150"/>
  <c r="Q448" i="150"/>
  <c r="Q447" i="150"/>
  <c r="Q446" i="150"/>
  <c r="Q445" i="150"/>
  <c r="Q444" i="150"/>
  <c r="Q443" i="150"/>
  <c r="Q442" i="150"/>
  <c r="Q441" i="150"/>
  <c r="Q440" i="150"/>
  <c r="Q439" i="150"/>
  <c r="Q438" i="150"/>
  <c r="Q437" i="150"/>
  <c r="Q436" i="150"/>
  <c r="Q435" i="150"/>
  <c r="Q434" i="150"/>
  <c r="Q433" i="150"/>
  <c r="Q432" i="150"/>
  <c r="Q431" i="150"/>
  <c r="Q430" i="150"/>
  <c r="Q429" i="150"/>
  <c r="Q428" i="150"/>
  <c r="Q427" i="150"/>
  <c r="Q426" i="150"/>
  <c r="Q425" i="150"/>
  <c r="Q424" i="150"/>
  <c r="Q423" i="150"/>
  <c r="Q422" i="150"/>
  <c r="Q421" i="150"/>
  <c r="Q420" i="150"/>
  <c r="Q419" i="150"/>
  <c r="Q418" i="150"/>
  <c r="Q417" i="150"/>
  <c r="Q416" i="150"/>
  <c r="Q415" i="150"/>
  <c r="Q414" i="150"/>
  <c r="Q413" i="150"/>
  <c r="Q412" i="150"/>
  <c r="Q411" i="150"/>
  <c r="Q410" i="150"/>
  <c r="Q409" i="150"/>
  <c r="Q408" i="150"/>
  <c r="Q407" i="150"/>
  <c r="Q406" i="150"/>
  <c r="Q405" i="150"/>
  <c r="Q404" i="150"/>
  <c r="Q403" i="150"/>
  <c r="Q402" i="150"/>
  <c r="Q401" i="150"/>
  <c r="Q400" i="150"/>
  <c r="Q399" i="150"/>
  <c r="Q398" i="150"/>
  <c r="Q397" i="150"/>
  <c r="Q396" i="150"/>
  <c r="Q395" i="150"/>
  <c r="Q394" i="150"/>
  <c r="Q393" i="150"/>
  <c r="Q392" i="150"/>
  <c r="Q391" i="150"/>
  <c r="Q390" i="150"/>
  <c r="Q389" i="150"/>
  <c r="Q388" i="150"/>
  <c r="Q387" i="150"/>
  <c r="Q386" i="150"/>
  <c r="Q385" i="150"/>
  <c r="Q384" i="150"/>
  <c r="Q383" i="150"/>
  <c r="Q382" i="150"/>
  <c r="Q381" i="150"/>
  <c r="Q380" i="150"/>
  <c r="Q379" i="150"/>
  <c r="Q378" i="150"/>
  <c r="Q377" i="150"/>
  <c r="Q376" i="150"/>
  <c r="Q375" i="150"/>
  <c r="Q374" i="150"/>
  <c r="Q373" i="150"/>
  <c r="Q372" i="150"/>
  <c r="Q371" i="150"/>
  <c r="Q370" i="150"/>
  <c r="Q369" i="150"/>
  <c r="Q368" i="150"/>
  <c r="Q367" i="150"/>
  <c r="Q366" i="150"/>
  <c r="Q365" i="150"/>
  <c r="Q364" i="150"/>
  <c r="Q363" i="150"/>
  <c r="Q362" i="150"/>
  <c r="Q361" i="150"/>
  <c r="Q360" i="150"/>
  <c r="Q359" i="150"/>
  <c r="Q358" i="150"/>
  <c r="Q357" i="150"/>
  <c r="Q356" i="150"/>
  <c r="Q355" i="150"/>
  <c r="Q354" i="150"/>
  <c r="Q353" i="150"/>
  <c r="Q352" i="150"/>
  <c r="Q351" i="150"/>
  <c r="Q350" i="150"/>
  <c r="Q349" i="150"/>
  <c r="Q348" i="150"/>
  <c r="Q347" i="150"/>
  <c r="Q346" i="150"/>
  <c r="Q345" i="150"/>
  <c r="Q344" i="150"/>
  <c r="Q343" i="150"/>
  <c r="Q342" i="150"/>
  <c r="Q341" i="150"/>
  <c r="Q340" i="150"/>
  <c r="Q339" i="150"/>
  <c r="Q338" i="150"/>
  <c r="Q337" i="150"/>
  <c r="Q336" i="150"/>
  <c r="Q335" i="150"/>
  <c r="Q334" i="150"/>
  <c r="Q333" i="150"/>
  <c r="Q332" i="150"/>
  <c r="Q331" i="150"/>
  <c r="Q330" i="150"/>
  <c r="Q329" i="150"/>
  <c r="Q328" i="150"/>
  <c r="Q327" i="150"/>
  <c r="Q326" i="150"/>
  <c r="Q325" i="150"/>
  <c r="Q324" i="150"/>
  <c r="Q323" i="150"/>
  <c r="Q322" i="150"/>
  <c r="Q321" i="150"/>
  <c r="Q320" i="150"/>
  <c r="Q319" i="150"/>
  <c r="Q318" i="150"/>
  <c r="Q317" i="150"/>
  <c r="Q316" i="150"/>
  <c r="Q315" i="150"/>
  <c r="Q314" i="150"/>
  <c r="Q313" i="150"/>
  <c r="Q312" i="150"/>
  <c r="Q311" i="150"/>
  <c r="Q310" i="150"/>
  <c r="Q309" i="150"/>
  <c r="Q308" i="150"/>
  <c r="Q307" i="150"/>
  <c r="Q306" i="150"/>
  <c r="Q305" i="150"/>
  <c r="Q304" i="150"/>
  <c r="Q303" i="150"/>
  <c r="Q302" i="150"/>
  <c r="Q100" i="150"/>
  <c r="Q99" i="150"/>
  <c r="Q98" i="150"/>
  <c r="Q97" i="150"/>
  <c r="Q96" i="150"/>
  <c r="Q95" i="150"/>
  <c r="Q94" i="150"/>
  <c r="Q93" i="150"/>
  <c r="Q92" i="150"/>
  <c r="Q91" i="150"/>
  <c r="Q90" i="150"/>
  <c r="Q89" i="150"/>
  <c r="Q88" i="150"/>
  <c r="Q87" i="150"/>
  <c r="Q86" i="150"/>
  <c r="Q85" i="150"/>
  <c r="Q84" i="150"/>
  <c r="Q83" i="150"/>
  <c r="Q82" i="150"/>
  <c r="Q81" i="150"/>
  <c r="Q80" i="150"/>
  <c r="Q79" i="150"/>
  <c r="Q78" i="150"/>
  <c r="Q77" i="150"/>
  <c r="Q76" i="150"/>
  <c r="Q75" i="150"/>
  <c r="Q74" i="150"/>
  <c r="Q73" i="150"/>
  <c r="Q72" i="150"/>
  <c r="Q71" i="150"/>
  <c r="Q70" i="150"/>
  <c r="Q69" i="150"/>
  <c r="Q68" i="150"/>
  <c r="Q67" i="150"/>
  <c r="Q66" i="150"/>
  <c r="Q65" i="150"/>
  <c r="Q64" i="150"/>
  <c r="Q63" i="150"/>
  <c r="Q62" i="150"/>
  <c r="Q61" i="150"/>
  <c r="Q60" i="150"/>
  <c r="Q59" i="150"/>
  <c r="Q58" i="150"/>
  <c r="Q57" i="150"/>
  <c r="Q56" i="150"/>
  <c r="Q55" i="150"/>
  <c r="Q54" i="150"/>
  <c r="Q53" i="150"/>
  <c r="Q52" i="150"/>
  <c r="Q51" i="150"/>
  <c r="Q50" i="150"/>
  <c r="Q49" i="150"/>
  <c r="Q48" i="150"/>
  <c r="Q47" i="150"/>
  <c r="Q46" i="150"/>
  <c r="Q45" i="150"/>
  <c r="Q44" i="150"/>
  <c r="Q43" i="150"/>
  <c r="Q42" i="150"/>
  <c r="Q41" i="150"/>
  <c r="Q40" i="150"/>
  <c r="Q39" i="150"/>
  <c r="Q38" i="150"/>
  <c r="Q37" i="150"/>
  <c r="Q36" i="150"/>
  <c r="Q35" i="150"/>
  <c r="Q34" i="150"/>
  <c r="Q33" i="150"/>
  <c r="Q32" i="150"/>
  <c r="Q31" i="150"/>
  <c r="Q30" i="150"/>
  <c r="Q29" i="150"/>
  <c r="Q28" i="150"/>
  <c r="Q27" i="150"/>
  <c r="Q26" i="150"/>
  <c r="Q25" i="150"/>
  <c r="Q24" i="150"/>
  <c r="Q23" i="150"/>
  <c r="AD30" i="155" l="1"/>
  <c r="AF30" i="155"/>
  <c r="B53" i="155"/>
  <c r="K30" i="155"/>
  <c r="AB30" i="155"/>
  <c r="I30" i="155"/>
  <c r="B30" i="155"/>
  <c r="G30" i="155"/>
  <c r="AA31" i="155"/>
  <c r="E66" i="149"/>
  <c r="R12" i="149"/>
  <c r="AD31" i="155" l="1"/>
  <c r="AF31" i="155"/>
  <c r="G31" i="155"/>
  <c r="K31" i="155"/>
  <c r="AB31" i="155"/>
  <c r="I31" i="155"/>
  <c r="B31" i="155"/>
  <c r="AA32" i="155"/>
  <c r="S2" i="149"/>
  <c r="AD32" i="155" l="1"/>
  <c r="AF32" i="155"/>
  <c r="G32" i="155"/>
  <c r="K32" i="155"/>
  <c r="AB32" i="155"/>
  <c r="I32" i="155"/>
  <c r="B32" i="155"/>
  <c r="U11" i="149"/>
  <c r="R11" i="149" s="1"/>
  <c r="AM1" i="83" l="1"/>
  <c r="D1" i="154" l="1"/>
  <c r="H36" i="29" s="1"/>
  <c r="AE215" i="116" l="1"/>
  <c r="AD215" i="116"/>
  <c r="AE214" i="116"/>
  <c r="AD214" i="116"/>
  <c r="AE130" i="116"/>
  <c r="AE131" i="116"/>
  <c r="AD131" i="116"/>
  <c r="AD130" i="116"/>
  <c r="Y1" i="116" l="1"/>
  <c r="Y90" i="116"/>
  <c r="Q151" i="116" s="1"/>
  <c r="Y174" i="116"/>
  <c r="Q235" i="116" s="1"/>
  <c r="Q150" i="116" l="1"/>
  <c r="Q234" i="116"/>
  <c r="I34" i="106"/>
  <c r="K34" i="106" s="1"/>
  <c r="I33" i="106"/>
  <c r="K33" i="106" s="1"/>
  <c r="I32" i="106"/>
  <c r="K32" i="106" s="1"/>
  <c r="I31" i="106"/>
  <c r="K31" i="106" s="1"/>
  <c r="I30" i="106"/>
  <c r="K30" i="106" s="1"/>
  <c r="I29" i="106"/>
  <c r="K29" i="106" s="1"/>
  <c r="I28" i="106"/>
  <c r="K28" i="106" s="1"/>
  <c r="I27" i="106"/>
  <c r="K27" i="106" s="1"/>
  <c r="I26" i="106"/>
  <c r="K26" i="106" s="1"/>
  <c r="I25" i="106"/>
  <c r="K25" i="106" s="1"/>
  <c r="I24" i="106"/>
  <c r="K24" i="106" s="1"/>
  <c r="I23" i="106"/>
  <c r="K23" i="106" s="1"/>
  <c r="I22" i="106"/>
  <c r="K22" i="106" s="1"/>
  <c r="I21" i="106"/>
  <c r="K21" i="106" s="1"/>
  <c r="I20" i="106"/>
  <c r="K20" i="106" s="1"/>
  <c r="I19" i="106"/>
  <c r="K19" i="106" s="1"/>
  <c r="I18" i="106"/>
  <c r="K18" i="106" s="1"/>
  <c r="I17" i="106"/>
  <c r="K17" i="106" s="1"/>
  <c r="I16" i="106"/>
  <c r="K16" i="106" s="1"/>
  <c r="I15" i="106"/>
  <c r="K15" i="106" s="1"/>
  <c r="H521" i="58" l="1"/>
  <c r="H473" i="58"/>
  <c r="H425" i="58"/>
  <c r="H377" i="58"/>
  <c r="H329" i="58"/>
  <c r="H281" i="58"/>
  <c r="H233" i="58"/>
  <c r="H185" i="58"/>
  <c r="H137" i="58"/>
  <c r="N435" i="116" l="1"/>
  <c r="Q247" i="116"/>
  <c r="T244" i="116"/>
  <c r="S244" i="116"/>
  <c r="Q244" i="116"/>
  <c r="C244" i="116"/>
  <c r="Q242" i="116"/>
  <c r="Q239" i="116"/>
  <c r="AB233" i="116"/>
  <c r="AB231" i="116"/>
  <c r="Q229" i="116"/>
  <c r="Q227" i="116"/>
  <c r="Q225" i="116"/>
  <c r="AB223" i="116"/>
  <c r="AB220" i="116"/>
  <c r="Q220" i="116"/>
  <c r="Q218" i="116"/>
  <c r="AB217" i="116"/>
  <c r="Q215" i="116"/>
  <c r="AB211" i="116"/>
  <c r="Q211" i="116"/>
  <c r="Q208" i="116"/>
  <c r="Q205" i="116"/>
  <c r="Q204" i="116"/>
  <c r="H202" i="116"/>
  <c r="Q199" i="116"/>
  <c r="Q197" i="116"/>
  <c r="BC195" i="116"/>
  <c r="Q195" i="116"/>
  <c r="BC194" i="116"/>
  <c r="BC193" i="116"/>
  <c r="Q193" i="116"/>
  <c r="BC192" i="116"/>
  <c r="BC191" i="116"/>
  <c r="AM191" i="116"/>
  <c r="Q191" i="116"/>
  <c r="BC190" i="116"/>
  <c r="AK190" i="116"/>
  <c r="Q190" i="116"/>
  <c r="BC189" i="116"/>
  <c r="Q189" i="116"/>
  <c r="BC188" i="116"/>
  <c r="BC187" i="116"/>
  <c r="Q187" i="116"/>
  <c r="BC186" i="116"/>
  <c r="BC185" i="116"/>
  <c r="BC184" i="116"/>
  <c r="BC183" i="116"/>
  <c r="BC182" i="116"/>
  <c r="Q182" i="116"/>
  <c r="BC181" i="116"/>
  <c r="BC180" i="116"/>
  <c r="Q180" i="116"/>
  <c r="BC179" i="116"/>
  <c r="BC178" i="116"/>
  <c r="BC177" i="116"/>
  <c r="BC176" i="116"/>
  <c r="AU176" i="116"/>
  <c r="BC175" i="116"/>
  <c r="BC174" i="116"/>
  <c r="BC173" i="116"/>
  <c r="BC172" i="116"/>
  <c r="AH171" i="116"/>
  <c r="Y171" i="116"/>
  <c r="Q163" i="116"/>
  <c r="T160" i="116"/>
  <c r="S160" i="116"/>
  <c r="Q160" i="116"/>
  <c r="C160" i="116"/>
  <c r="Q158" i="116"/>
  <c r="Q155" i="116"/>
  <c r="AB149" i="116"/>
  <c r="AB147" i="116"/>
  <c r="Q145" i="116"/>
  <c r="Q143" i="116"/>
  <c r="Q141" i="116"/>
  <c r="AB139" i="116"/>
  <c r="AB136" i="116"/>
  <c r="Q136" i="116"/>
  <c r="Q134" i="116"/>
  <c r="AB133" i="116"/>
  <c r="Q131" i="116"/>
  <c r="AB127" i="116"/>
  <c r="Q127" i="116"/>
  <c r="Q124" i="116"/>
  <c r="Q121" i="116"/>
  <c r="Q120" i="116"/>
  <c r="H118" i="116"/>
  <c r="Q115" i="116"/>
  <c r="Q113" i="116"/>
  <c r="BC111" i="116"/>
  <c r="Q111" i="116"/>
  <c r="BC110" i="116"/>
  <c r="BC109" i="116"/>
  <c r="Q109" i="116"/>
  <c r="BC108" i="116"/>
  <c r="BC107" i="116"/>
  <c r="AM107" i="116"/>
  <c r="Q107" i="116"/>
  <c r="BC106" i="116"/>
  <c r="AK106" i="116"/>
  <c r="Q106" i="116"/>
  <c r="BC105" i="116"/>
  <c r="Q105" i="116"/>
  <c r="BC104" i="116"/>
  <c r="BC103" i="116"/>
  <c r="Q103" i="116"/>
  <c r="BC102" i="116"/>
  <c r="BC101" i="116"/>
  <c r="BC100" i="116"/>
  <c r="BC99" i="116"/>
  <c r="BC98" i="116"/>
  <c r="Q98" i="116"/>
  <c r="BC97" i="116"/>
  <c r="BC96" i="116"/>
  <c r="Q96" i="116"/>
  <c r="BC95" i="116"/>
  <c r="BC94" i="116"/>
  <c r="BC93" i="116"/>
  <c r="BC92" i="116"/>
  <c r="AU92" i="116"/>
  <c r="BC91" i="116"/>
  <c r="BC90" i="116"/>
  <c r="BC89" i="116"/>
  <c r="BC88" i="116"/>
  <c r="AH87" i="116"/>
  <c r="Y87" i="116"/>
  <c r="Q12" i="116"/>
  <c r="W1" i="116"/>
  <c r="AB117" i="116" l="1"/>
  <c r="AB116" i="116"/>
  <c r="AB120" i="116"/>
  <c r="AB121" i="116" s="1"/>
  <c r="AB118" i="116"/>
  <c r="AB200" i="116"/>
  <c r="AB204" i="116"/>
  <c r="AB205" i="116" s="1"/>
  <c r="AB202" i="116"/>
  <c r="AB201" i="116"/>
  <c r="AE88" i="116"/>
  <c r="AB144" i="116"/>
  <c r="AB227" i="116"/>
  <c r="AB214" i="116"/>
  <c r="I431" i="116"/>
  <c r="K16" i="42" s="1"/>
  <c r="AB131" i="116"/>
  <c r="AB132" i="116" s="1"/>
  <c r="I433" i="116"/>
  <c r="L16" i="42" s="1"/>
  <c r="AB130" i="116"/>
  <c r="Q168" i="116"/>
  <c r="G128" i="116" s="1"/>
  <c r="AB215" i="116"/>
  <c r="AB216" i="116" s="1"/>
  <c r="S96" i="116"/>
  <c r="S180" i="116"/>
  <c r="I211" i="116"/>
  <c r="P211" i="116" s="1"/>
  <c r="AB228" i="116"/>
  <c r="AE172" i="116"/>
  <c r="I127" i="116"/>
  <c r="P127" i="116" s="1"/>
  <c r="S12" i="116"/>
  <c r="N205" i="119"/>
  <c r="N123" i="119"/>
  <c r="N121" i="119"/>
  <c r="G116" i="119"/>
  <c r="AG109" i="119" s="1"/>
  <c r="E115" i="119"/>
  <c r="AE107" i="119"/>
  <c r="AF107" i="119" s="1"/>
  <c r="AG107" i="119" s="1"/>
  <c r="S107" i="119"/>
  <c r="P107" i="119"/>
  <c r="N107" i="119" s="1"/>
  <c r="H107" i="119"/>
  <c r="J107" i="119" s="1"/>
  <c r="AE106" i="119"/>
  <c r="AF106" i="119" s="1"/>
  <c r="AG106" i="119" s="1"/>
  <c r="S106" i="119"/>
  <c r="P106" i="119"/>
  <c r="N106" i="119" s="1"/>
  <c r="H106" i="119"/>
  <c r="J106" i="119" s="1"/>
  <c r="AE105" i="119"/>
  <c r="AF105" i="119" s="1"/>
  <c r="AG105" i="119" s="1"/>
  <c r="S105" i="119"/>
  <c r="P105" i="119"/>
  <c r="N105" i="119" s="1"/>
  <c r="H105" i="119"/>
  <c r="N102" i="119"/>
  <c r="N100" i="119"/>
  <c r="N99" i="119"/>
  <c r="V98" i="119"/>
  <c r="N98" i="119"/>
  <c r="N97" i="119"/>
  <c r="N96" i="119"/>
  <c r="V93" i="119"/>
  <c r="V92" i="119"/>
  <c r="V91" i="119"/>
  <c r="Y90" i="119"/>
  <c r="V90" i="119"/>
  <c r="S90" i="119"/>
  <c r="N80" i="119"/>
  <c r="N78" i="119"/>
  <c r="G73" i="119"/>
  <c r="AG66" i="119" s="1"/>
  <c r="E72" i="119"/>
  <c r="AE64" i="119"/>
  <c r="AF64" i="119" s="1"/>
  <c r="AG64" i="119" s="1"/>
  <c r="S64" i="119"/>
  <c r="P64" i="119"/>
  <c r="N64" i="119" s="1"/>
  <c r="H64" i="119"/>
  <c r="J64" i="119" s="1"/>
  <c r="AE63" i="119"/>
  <c r="AF63" i="119" s="1"/>
  <c r="AG63" i="119" s="1"/>
  <c r="S63" i="119"/>
  <c r="P63" i="119"/>
  <c r="N63" i="119" s="1"/>
  <c r="H63" i="119"/>
  <c r="J63" i="119" s="1"/>
  <c r="AE62" i="119"/>
  <c r="AF62" i="119" s="1"/>
  <c r="AG62" i="119" s="1"/>
  <c r="S62" i="119"/>
  <c r="P62" i="119"/>
  <c r="N62" i="119" s="1"/>
  <c r="H62" i="119"/>
  <c r="N59" i="119"/>
  <c r="N57" i="119"/>
  <c r="N56" i="119"/>
  <c r="V55" i="119"/>
  <c r="N55" i="119"/>
  <c r="N54" i="119"/>
  <c r="N53" i="119"/>
  <c r="V50" i="119"/>
  <c r="V49" i="119"/>
  <c r="V48" i="119"/>
  <c r="Y47" i="119"/>
  <c r="V47" i="119"/>
  <c r="S47" i="119"/>
  <c r="J96" i="116" l="1"/>
  <c r="P96" i="116" s="1"/>
  <c r="Q252" i="116"/>
  <c r="G127" i="116"/>
  <c r="G212" i="116"/>
  <c r="H163" i="116"/>
  <c r="P163" i="116" s="1"/>
  <c r="H105" i="116"/>
  <c r="J160" i="116"/>
  <c r="P160" i="116" s="1"/>
  <c r="I134" i="116"/>
  <c r="P134" i="116" s="1"/>
  <c r="K113" i="116"/>
  <c r="P113" i="116" s="1"/>
  <c r="K103" i="116"/>
  <c r="P105" i="116" s="1"/>
  <c r="I121" i="116"/>
  <c r="P121" i="116" s="1"/>
  <c r="K115" i="116"/>
  <c r="P115" i="116" s="1"/>
  <c r="K107" i="116"/>
  <c r="P107" i="116" s="1"/>
  <c r="H103" i="116"/>
  <c r="P103" i="116" s="1"/>
  <c r="I131" i="116"/>
  <c r="P131" i="116" s="1"/>
  <c r="K105" i="116"/>
  <c r="P111" i="116" s="1"/>
  <c r="J98" i="116"/>
  <c r="P98" i="116" s="1"/>
  <c r="I145" i="116" s="1"/>
  <c r="P145" i="116" s="1"/>
  <c r="I124" i="116"/>
  <c r="P124" i="116" s="1"/>
  <c r="I120" i="116"/>
  <c r="P120" i="116" s="1"/>
  <c r="K109" i="116"/>
  <c r="P109" i="116" s="1"/>
  <c r="I136" i="116"/>
  <c r="P136" i="116" s="1"/>
  <c r="W91" i="119"/>
  <c r="W48" i="119"/>
  <c r="N115" i="119"/>
  <c r="N128" i="119" s="1"/>
  <c r="AG115" i="119"/>
  <c r="H116" i="119" s="1"/>
  <c r="AG72" i="119"/>
  <c r="H73" i="119" s="1"/>
  <c r="N72" i="119"/>
  <c r="N85" i="119" s="1"/>
  <c r="N10" i="119"/>
  <c r="W1" i="119"/>
  <c r="V5" i="119"/>
  <c r="N68" i="151"/>
  <c r="N54" i="151"/>
  <c r="N52" i="151"/>
  <c r="G47" i="151"/>
  <c r="E46" i="151"/>
  <c r="AE45" i="151"/>
  <c r="AF45" i="151" s="1"/>
  <c r="T45" i="151"/>
  <c r="S45" i="151"/>
  <c r="P45" i="151"/>
  <c r="N45" i="151" s="1"/>
  <c r="H45" i="151"/>
  <c r="J45" i="151" s="1"/>
  <c r="AE44" i="151"/>
  <c r="AF44" i="151" s="1"/>
  <c r="AG44" i="151" s="1"/>
  <c r="T44" i="151"/>
  <c r="S44" i="151"/>
  <c r="P44" i="151"/>
  <c r="N44" i="151" s="1"/>
  <c r="H44" i="151"/>
  <c r="J44" i="151" s="1"/>
  <c r="AE43" i="151"/>
  <c r="AF43" i="151" s="1"/>
  <c r="AG43" i="151" s="1"/>
  <c r="T43" i="151"/>
  <c r="S43" i="151"/>
  <c r="P43" i="151"/>
  <c r="N43" i="151" s="1"/>
  <c r="H43" i="151"/>
  <c r="J43" i="151" s="1"/>
  <c r="AE42" i="151"/>
  <c r="AF42" i="151" s="1"/>
  <c r="AG42" i="151" s="1"/>
  <c r="T42" i="151"/>
  <c r="S42" i="151"/>
  <c r="P42" i="151"/>
  <c r="N42" i="151" s="1"/>
  <c r="H42" i="151"/>
  <c r="N39" i="151"/>
  <c r="N37" i="151"/>
  <c r="N10" i="151"/>
  <c r="W1" i="151"/>
  <c r="P10" i="151" s="1"/>
  <c r="K109" i="119" l="1"/>
  <c r="K110" i="119"/>
  <c r="K107" i="119"/>
  <c r="K111" i="119"/>
  <c r="K113" i="119"/>
  <c r="K114" i="119"/>
  <c r="K108" i="119"/>
  <c r="K112" i="119"/>
  <c r="M112" i="119" s="1"/>
  <c r="K106" i="119"/>
  <c r="K69" i="119"/>
  <c r="M69" i="119" s="1"/>
  <c r="K68" i="119"/>
  <c r="M68" i="119" s="1"/>
  <c r="K70" i="119"/>
  <c r="M70" i="119" s="1"/>
  <c r="K67" i="119"/>
  <c r="M67" i="119" s="1"/>
  <c r="K66" i="119"/>
  <c r="K65" i="119"/>
  <c r="K64" i="119"/>
  <c r="K71" i="119"/>
  <c r="M71" i="119" s="1"/>
  <c r="M107" i="119"/>
  <c r="M108" i="119"/>
  <c r="M114" i="119"/>
  <c r="M109" i="119"/>
  <c r="M113" i="119"/>
  <c r="M110" i="119"/>
  <c r="K63" i="119"/>
  <c r="K62" i="119"/>
  <c r="M111" i="119"/>
  <c r="K105" i="119"/>
  <c r="AG46" i="151"/>
  <c r="H47" i="151" s="1"/>
  <c r="K191" i="116"/>
  <c r="P191" i="116" s="1"/>
  <c r="J180" i="116"/>
  <c r="P180" i="116" s="1"/>
  <c r="K187" i="116"/>
  <c r="P189" i="116" s="1"/>
  <c r="K189" i="116"/>
  <c r="P195" i="116" s="1"/>
  <c r="I208" i="116"/>
  <c r="P208" i="116" s="1"/>
  <c r="H247" i="116"/>
  <c r="P247" i="116" s="1"/>
  <c r="K193" i="116"/>
  <c r="P193" i="116" s="1"/>
  <c r="H187" i="116"/>
  <c r="P187" i="116" s="1"/>
  <c r="H189" i="116"/>
  <c r="K199" i="116"/>
  <c r="P199" i="116" s="1"/>
  <c r="G211" i="116"/>
  <c r="I204" i="116"/>
  <c r="P204" i="116" s="1"/>
  <c r="I205" i="116"/>
  <c r="P205" i="116" s="1"/>
  <c r="K197" i="116"/>
  <c r="P197" i="116" s="1"/>
  <c r="J244" i="116"/>
  <c r="P244" i="116" s="1"/>
  <c r="I218" i="116"/>
  <c r="P218" i="116" s="1"/>
  <c r="I215" i="116"/>
  <c r="P215" i="116" s="1"/>
  <c r="J182" i="116"/>
  <c r="P182" i="116" s="1"/>
  <c r="I229" i="116" s="1"/>
  <c r="P229" i="116" s="1"/>
  <c r="I220" i="116"/>
  <c r="P220" i="116" s="1"/>
  <c r="I98" i="119"/>
  <c r="I55" i="119"/>
  <c r="H141" i="116"/>
  <c r="P141" i="116" s="1"/>
  <c r="H143" i="116"/>
  <c r="P143" i="116" s="1"/>
  <c r="P96" i="119"/>
  <c r="I203" i="119"/>
  <c r="L17" i="42" s="1"/>
  <c r="P53" i="119"/>
  <c r="H97" i="119"/>
  <c r="M97" i="119" s="1"/>
  <c r="H100" i="119"/>
  <c r="M100" i="119" s="1"/>
  <c r="H99" i="119"/>
  <c r="M99" i="119" s="1"/>
  <c r="H98" i="119"/>
  <c r="H56" i="119"/>
  <c r="M56" i="119" s="1"/>
  <c r="H59" i="119"/>
  <c r="M59" i="119" s="1"/>
  <c r="H54" i="119"/>
  <c r="M54" i="119" s="1"/>
  <c r="H55" i="119"/>
  <c r="H57" i="119"/>
  <c r="M57" i="119" s="1"/>
  <c r="H102" i="119"/>
  <c r="M102" i="119" s="1"/>
  <c r="J123" i="119"/>
  <c r="M123" i="119" s="1"/>
  <c r="H96" i="119"/>
  <c r="M96" i="119" s="1"/>
  <c r="H53" i="119"/>
  <c r="M53" i="119" s="1"/>
  <c r="J80" i="119"/>
  <c r="M80" i="119" s="1"/>
  <c r="P10" i="119"/>
  <c r="I66" i="151"/>
  <c r="L33" i="42" s="1"/>
  <c r="U33" i="42" s="1"/>
  <c r="P37" i="151"/>
  <c r="J42" i="151"/>
  <c r="N46" i="151"/>
  <c r="N59" i="151" s="1"/>
  <c r="B144" i="80"/>
  <c r="L134" i="80"/>
  <c r="M134" i="80" s="1"/>
  <c r="K134" i="80"/>
  <c r="B134" i="80"/>
  <c r="L132" i="80"/>
  <c r="I122" i="80"/>
  <c r="J124" i="80" s="1"/>
  <c r="L120" i="80"/>
  <c r="K120" i="80"/>
  <c r="D106" i="80"/>
  <c r="K110" i="80" s="1"/>
  <c r="D110" i="80" s="1"/>
  <c r="D114" i="80" s="1"/>
  <c r="D118" i="80" s="1"/>
  <c r="D124" i="80" s="1"/>
  <c r="D128" i="80" s="1"/>
  <c r="E132" i="80" s="1"/>
  <c r="J132" i="80" s="1"/>
  <c r="L104" i="80"/>
  <c r="M103" i="80"/>
  <c r="L103" i="80"/>
  <c r="M97" i="80"/>
  <c r="E120" i="80" s="1"/>
  <c r="J120" i="80" s="1"/>
  <c r="L89" i="80"/>
  <c r="M89" i="80" s="1"/>
  <c r="K89" i="80"/>
  <c r="B89" i="80"/>
  <c r="L87" i="80"/>
  <c r="I77" i="80"/>
  <c r="J79" i="80" s="1"/>
  <c r="L75" i="80"/>
  <c r="K75" i="80"/>
  <c r="D61" i="80"/>
  <c r="K65" i="80" s="1"/>
  <c r="D65" i="80" s="1"/>
  <c r="D69" i="80" s="1"/>
  <c r="D73" i="80" s="1"/>
  <c r="D79" i="80" s="1"/>
  <c r="D83" i="80" s="1"/>
  <c r="E87" i="80" s="1"/>
  <c r="J87" i="80" s="1"/>
  <c r="L59" i="80"/>
  <c r="M58" i="80"/>
  <c r="L58" i="80"/>
  <c r="M52" i="80"/>
  <c r="E75" i="80" s="1"/>
  <c r="J75" i="80" s="1"/>
  <c r="P1" i="80"/>
  <c r="K2" i="26"/>
  <c r="K48" i="26"/>
  <c r="K25" i="26"/>
  <c r="J67" i="26"/>
  <c r="AA63" i="26"/>
  <c r="Z63" i="26"/>
  <c r="L63" i="26"/>
  <c r="L62" i="26" s="1"/>
  <c r="J63" i="26"/>
  <c r="G60" i="26"/>
  <c r="M62" i="26" s="1"/>
  <c r="D60" i="26"/>
  <c r="J59" i="26" s="1"/>
  <c r="F59" i="26"/>
  <c r="F61" i="26" s="1"/>
  <c r="N62" i="26" s="1"/>
  <c r="E62" i="26" s="1"/>
  <c r="J58" i="26"/>
  <c r="L57" i="26"/>
  <c r="G57" i="26"/>
  <c r="M60" i="26" s="1"/>
  <c r="E57" i="26"/>
  <c r="J57" i="26" s="1"/>
  <c r="L56" i="26"/>
  <c r="L55" i="26"/>
  <c r="H55" i="26" s="1"/>
  <c r="J55" i="26" s="1"/>
  <c r="G55" i="26"/>
  <c r="J44" i="26"/>
  <c r="AA40" i="26"/>
  <c r="Z40" i="26"/>
  <c r="L40" i="26"/>
  <c r="L39" i="26" s="1"/>
  <c r="J40" i="26"/>
  <c r="G37" i="26"/>
  <c r="L42" i="26" s="1"/>
  <c r="M42" i="26" s="1"/>
  <c r="D37" i="26"/>
  <c r="J36" i="26" s="1"/>
  <c r="F36" i="26"/>
  <c r="F38" i="26" s="1"/>
  <c r="N39" i="26" s="1"/>
  <c r="E39" i="26" s="1"/>
  <c r="J35" i="26"/>
  <c r="L34" i="26"/>
  <c r="G34" i="26"/>
  <c r="M37" i="26" s="1"/>
  <c r="E34" i="26"/>
  <c r="J34" i="26" s="1"/>
  <c r="L33" i="26"/>
  <c r="L32" i="26"/>
  <c r="H32" i="26" s="1"/>
  <c r="J32" i="26" s="1"/>
  <c r="G32" i="26"/>
  <c r="G36" i="26" s="1"/>
  <c r="P1" i="26"/>
  <c r="G59" i="26" l="1"/>
  <c r="Y63" i="26"/>
  <c r="E63" i="26" s="1"/>
  <c r="M98" i="119"/>
  <c r="H227" i="116"/>
  <c r="P227" i="116" s="1"/>
  <c r="H225" i="116"/>
  <c r="P225" i="116" s="1"/>
  <c r="M55" i="119"/>
  <c r="D144" i="80"/>
  <c r="L18" i="42" s="1"/>
  <c r="E81" i="80"/>
  <c r="J81" i="80" s="1"/>
  <c r="K52" i="151"/>
  <c r="M52" i="151" s="1"/>
  <c r="H39" i="151"/>
  <c r="M39" i="151" s="1"/>
  <c r="K44" i="151"/>
  <c r="K43" i="151"/>
  <c r="K42" i="151"/>
  <c r="K45" i="151"/>
  <c r="H37" i="151"/>
  <c r="M37" i="151" s="1"/>
  <c r="J54" i="151"/>
  <c r="M54" i="151" s="1"/>
  <c r="E71" i="80"/>
  <c r="J71" i="80" s="1"/>
  <c r="E77" i="80"/>
  <c r="J77" i="80" s="1"/>
  <c r="D58" i="80"/>
  <c r="J58" i="80" s="1"/>
  <c r="E89" i="80"/>
  <c r="E134" i="80"/>
  <c r="J134" i="80" s="1"/>
  <c r="AC134" i="80" s="1"/>
  <c r="E126" i="80"/>
  <c r="J126" i="80" s="1"/>
  <c r="D103" i="80"/>
  <c r="J103" i="80" s="1"/>
  <c r="E122" i="80"/>
  <c r="J122" i="80" s="1"/>
  <c r="E116" i="80"/>
  <c r="J116" i="80" s="1"/>
  <c r="E110" i="80"/>
  <c r="J110" i="80" s="1"/>
  <c r="F101" i="80"/>
  <c r="J101" i="80" s="1"/>
  <c r="F56" i="80"/>
  <c r="J56" i="80" s="1"/>
  <c r="O251" i="80"/>
  <c r="D252" i="80" s="1"/>
  <c r="E67" i="80"/>
  <c r="J67" i="80" s="1"/>
  <c r="D52" i="80"/>
  <c r="J52" i="80" s="1"/>
  <c r="D97" i="80"/>
  <c r="J97" i="80" s="1"/>
  <c r="L7" i="80"/>
  <c r="D142" i="80"/>
  <c r="K18" i="42" s="1"/>
  <c r="L97" i="80"/>
  <c r="L52" i="80"/>
  <c r="I58" i="80"/>
  <c r="J57" i="80" s="1"/>
  <c r="E99" i="80"/>
  <c r="J99" i="80" s="1"/>
  <c r="E112" i="80"/>
  <c r="J112" i="80" s="1"/>
  <c r="E65" i="80"/>
  <c r="J65" i="80" s="1"/>
  <c r="E54" i="80"/>
  <c r="J54" i="80" s="1"/>
  <c r="I103" i="80"/>
  <c r="J102" i="80" s="1"/>
  <c r="E136" i="80"/>
  <c r="J136" i="80" s="1"/>
  <c r="B104" i="80"/>
  <c r="J104" i="80" s="1"/>
  <c r="E108" i="80"/>
  <c r="J108" i="80" s="1"/>
  <c r="E91" i="80"/>
  <c r="J91" i="80" s="1"/>
  <c r="B59" i="80"/>
  <c r="J59" i="80" s="1"/>
  <c r="E63" i="80"/>
  <c r="J63" i="80" s="1"/>
  <c r="H60" i="26"/>
  <c r="J60" i="26" s="1"/>
  <c r="F42" i="26"/>
  <c r="G5" i="26"/>
  <c r="J5" i="26" s="1"/>
  <c r="G28" i="26"/>
  <c r="J28" i="26" s="1"/>
  <c r="H37" i="26"/>
  <c r="J37" i="26" s="1"/>
  <c r="L28" i="26"/>
  <c r="L51" i="26"/>
  <c r="L5" i="26"/>
  <c r="F75" i="26"/>
  <c r="L3" i="42" s="1"/>
  <c r="G51" i="26"/>
  <c r="J51" i="26" s="1"/>
  <c r="M39" i="26"/>
  <c r="Y40" i="26"/>
  <c r="E40" i="26" s="1"/>
  <c r="O112" i="26"/>
  <c r="D112" i="26" s="1"/>
  <c r="N58" i="26"/>
  <c r="G61" i="26"/>
  <c r="G62" i="26" s="1"/>
  <c r="J62" i="26" s="1"/>
  <c r="T61" i="26"/>
  <c r="N60" i="26"/>
  <c r="N65" i="26"/>
  <c r="L65" i="26"/>
  <c r="M65" i="26" s="1"/>
  <c r="F65" i="26" s="1"/>
  <c r="J65" i="26" s="1"/>
  <c r="T38" i="26"/>
  <c r="N37" i="26"/>
  <c r="N35" i="26"/>
  <c r="G38" i="26"/>
  <c r="G39" i="26" s="1"/>
  <c r="J39" i="26" s="1"/>
  <c r="N42" i="26"/>
  <c r="J89" i="80" l="1"/>
  <c r="AC89" i="80" s="1"/>
  <c r="AC103" i="80"/>
  <c r="AC135" i="80" s="1"/>
  <c r="J138" i="80"/>
  <c r="AC58" i="80"/>
  <c r="J42" i="26"/>
  <c r="J45" i="26" s="1"/>
  <c r="J68" i="26"/>
  <c r="S61" i="26"/>
  <c r="N63" i="26"/>
  <c r="K68" i="26"/>
  <c r="N68" i="26" s="1"/>
  <c r="K45" i="26"/>
  <c r="N45" i="26" s="1"/>
  <c r="S38" i="26"/>
  <c r="N40" i="26"/>
  <c r="F59" i="152"/>
  <c r="R64" i="152" s="1"/>
  <c r="O92" i="152"/>
  <c r="M92" i="152"/>
  <c r="O84" i="152"/>
  <c r="M84" i="152"/>
  <c r="S83" i="152"/>
  <c r="R83" i="152"/>
  <c r="M82" i="152"/>
  <c r="M77" i="152"/>
  <c r="M73" i="152"/>
  <c r="L71" i="152"/>
  <c r="G67" i="152"/>
  <c r="F67" i="152"/>
  <c r="R63" i="152" s="1"/>
  <c r="O66" i="152"/>
  <c r="M66" i="152"/>
  <c r="O65" i="152"/>
  <c r="M65" i="152"/>
  <c r="O64" i="152"/>
  <c r="M64" i="152"/>
  <c r="O63" i="152"/>
  <c r="M63" i="152"/>
  <c r="O62" i="152"/>
  <c r="M62" i="152"/>
  <c r="M55" i="152"/>
  <c r="W53" i="152"/>
  <c r="M53" i="152"/>
  <c r="M8" i="152"/>
  <c r="P1" i="152"/>
  <c r="O8" i="152" s="1"/>
  <c r="J93" i="80" l="1"/>
  <c r="AC90" i="80"/>
  <c r="G90" i="152"/>
  <c r="L34" i="42" s="1"/>
  <c r="U34" i="42" s="1"/>
  <c r="G88" i="152"/>
  <c r="K34" i="42" s="1"/>
  <c r="O51" i="152"/>
  <c r="M51" i="152" s="1"/>
  <c r="R65" i="152"/>
  <c r="H67" i="152" s="1"/>
  <c r="L67" i="152" s="1"/>
  <c r="R66" i="152"/>
  <c r="M85" i="152" l="1"/>
  <c r="M48" i="152" s="1"/>
  <c r="U64" i="152"/>
  <c r="U66" i="152" s="1"/>
  <c r="G53" i="152" l="1"/>
  <c r="H82" i="152"/>
  <c r="I49" i="152"/>
  <c r="L49" i="152" s="1"/>
  <c r="G55" i="152"/>
  <c r="H84" i="152"/>
  <c r="H77" i="152"/>
  <c r="GL91" i="77"/>
  <c r="AD73" i="77"/>
  <c r="AD75" i="77"/>
  <c r="AF1" i="77"/>
  <c r="U77" i="77" s="1"/>
  <c r="A258" i="44"/>
  <c r="E251" i="44"/>
  <c r="A250" i="44"/>
  <c r="T76" i="116"/>
  <c r="S76" i="116"/>
  <c r="Q77" i="77" l="1"/>
  <c r="S77" i="77"/>
  <c r="W77" i="77"/>
  <c r="O77" i="77"/>
  <c r="M77" i="77"/>
  <c r="O280" i="43"/>
  <c r="A280" i="43"/>
  <c r="Z280" i="43" s="1"/>
  <c r="GL77" i="77" l="1"/>
  <c r="M1" i="133"/>
  <c r="P1" i="113"/>
  <c r="AE1" i="106"/>
  <c r="T33" i="106" s="1"/>
  <c r="L1" i="107"/>
  <c r="L1" i="105"/>
  <c r="N37" i="133" l="1"/>
  <c r="H37" i="133" s="1"/>
  <c r="N33" i="133"/>
  <c r="H33" i="133" s="1"/>
  <c r="N29" i="133"/>
  <c r="N25" i="133"/>
  <c r="N21" i="133"/>
  <c r="N17" i="133"/>
  <c r="H17" i="133" s="1"/>
  <c r="N13" i="133"/>
  <c r="H13" i="133" s="1"/>
  <c r="N9" i="133"/>
  <c r="H9" i="133" s="1"/>
  <c r="N36" i="133"/>
  <c r="H36" i="133" s="1"/>
  <c r="N32" i="133"/>
  <c r="H32" i="133" s="1"/>
  <c r="N28" i="133"/>
  <c r="N24" i="133"/>
  <c r="N20" i="133"/>
  <c r="N16" i="133"/>
  <c r="H16" i="133" s="1"/>
  <c r="N12" i="133"/>
  <c r="H12" i="133" s="1"/>
  <c r="N35" i="133"/>
  <c r="H35" i="133" s="1"/>
  <c r="N31" i="133"/>
  <c r="H31" i="133" s="1"/>
  <c r="N27" i="133"/>
  <c r="N23" i="133"/>
  <c r="N19" i="133"/>
  <c r="H19" i="133" s="1"/>
  <c r="N15" i="133"/>
  <c r="H15" i="133" s="1"/>
  <c r="N11" i="133"/>
  <c r="H11" i="133" s="1"/>
  <c r="N38" i="133"/>
  <c r="H38" i="133" s="1"/>
  <c r="N34" i="133"/>
  <c r="H34" i="133" s="1"/>
  <c r="N30" i="133"/>
  <c r="N26" i="133"/>
  <c r="N22" i="133"/>
  <c r="N18" i="133"/>
  <c r="H18" i="133" s="1"/>
  <c r="N14" i="133"/>
  <c r="H14" i="133" s="1"/>
  <c r="N10" i="133"/>
  <c r="H10" i="133" s="1"/>
  <c r="O86" i="113"/>
  <c r="O82" i="113"/>
  <c r="O78" i="113"/>
  <c r="O74" i="113"/>
  <c r="O70" i="113"/>
  <c r="O66" i="113"/>
  <c r="O62" i="113"/>
  <c r="O58" i="113"/>
  <c r="O54" i="113"/>
  <c r="O50" i="113"/>
  <c r="O46" i="113"/>
  <c r="O42" i="113"/>
  <c r="O38" i="113"/>
  <c r="O34" i="113"/>
  <c r="O30" i="113"/>
  <c r="O26" i="113"/>
  <c r="O22" i="113"/>
  <c r="O18" i="113"/>
  <c r="O14" i="113"/>
  <c r="O79" i="113"/>
  <c r="O71" i="113"/>
  <c r="O63" i="113"/>
  <c r="O51" i="113"/>
  <c r="O39" i="113"/>
  <c r="O27" i="113"/>
  <c r="O15" i="113"/>
  <c r="O85" i="113"/>
  <c r="O81" i="113"/>
  <c r="O77" i="113"/>
  <c r="O73" i="113"/>
  <c r="O69" i="113"/>
  <c r="O65" i="113"/>
  <c r="O61" i="113"/>
  <c r="O57" i="113"/>
  <c r="O53" i="113"/>
  <c r="O49" i="113"/>
  <c r="O45" i="113"/>
  <c r="O41" i="113"/>
  <c r="O37" i="113"/>
  <c r="O33" i="113"/>
  <c r="O29" i="113"/>
  <c r="O25" i="113"/>
  <c r="O21" i="113"/>
  <c r="O17" i="113"/>
  <c r="O13" i="113"/>
  <c r="O75" i="113"/>
  <c r="O55" i="113"/>
  <c r="O43" i="113"/>
  <c r="O31" i="113"/>
  <c r="O19" i="113"/>
  <c r="O84" i="113"/>
  <c r="O80" i="113"/>
  <c r="O76" i="113"/>
  <c r="O72" i="113"/>
  <c r="O68" i="113"/>
  <c r="O64" i="113"/>
  <c r="O60" i="113"/>
  <c r="O56" i="113"/>
  <c r="O52" i="113"/>
  <c r="O48" i="113"/>
  <c r="O44" i="113"/>
  <c r="O40" i="113"/>
  <c r="O36" i="113"/>
  <c r="O32" i="113"/>
  <c r="O28" i="113"/>
  <c r="O24" i="113"/>
  <c r="O20" i="113"/>
  <c r="O16" i="113"/>
  <c r="O12" i="113"/>
  <c r="O83" i="113"/>
  <c r="O67" i="113"/>
  <c r="O59" i="113"/>
  <c r="O47" i="113"/>
  <c r="O35" i="113"/>
  <c r="O23" i="113"/>
  <c r="O11" i="113"/>
  <c r="L38" i="105"/>
  <c r="F38" i="105" s="1"/>
  <c r="L34" i="105"/>
  <c r="F34" i="105" s="1"/>
  <c r="L30" i="105"/>
  <c r="F30" i="105" s="1"/>
  <c r="L26" i="105"/>
  <c r="F26" i="105" s="1"/>
  <c r="L22" i="105"/>
  <c r="F22" i="105" s="1"/>
  <c r="L18" i="105"/>
  <c r="F18" i="105" s="1"/>
  <c r="L14" i="105"/>
  <c r="F14" i="105" s="1"/>
  <c r="L10" i="105"/>
  <c r="F10" i="105" s="1"/>
  <c r="L37" i="105"/>
  <c r="F37" i="105" s="1"/>
  <c r="L33" i="105"/>
  <c r="F33" i="105" s="1"/>
  <c r="L29" i="105"/>
  <c r="F29" i="105" s="1"/>
  <c r="L25" i="105"/>
  <c r="F25" i="105" s="1"/>
  <c r="L21" i="105"/>
  <c r="F21" i="105" s="1"/>
  <c r="L17" i="105"/>
  <c r="F17" i="105" s="1"/>
  <c r="L13" i="105"/>
  <c r="F13" i="105" s="1"/>
  <c r="L9" i="105"/>
  <c r="F9" i="105" s="1"/>
  <c r="L36" i="105"/>
  <c r="F36" i="105" s="1"/>
  <c r="L32" i="105"/>
  <c r="F32" i="105" s="1"/>
  <c r="L28" i="105"/>
  <c r="F28" i="105" s="1"/>
  <c r="L24" i="105"/>
  <c r="F24" i="105" s="1"/>
  <c r="L20" i="105"/>
  <c r="F20" i="105" s="1"/>
  <c r="L16" i="105"/>
  <c r="F16" i="105" s="1"/>
  <c r="L12" i="105"/>
  <c r="F12" i="105" s="1"/>
  <c r="L35" i="105"/>
  <c r="F35" i="105" s="1"/>
  <c r="L31" i="105"/>
  <c r="F31" i="105" s="1"/>
  <c r="L27" i="105"/>
  <c r="F27" i="105" s="1"/>
  <c r="L23" i="105"/>
  <c r="F23" i="105" s="1"/>
  <c r="L19" i="105"/>
  <c r="F19" i="105" s="1"/>
  <c r="L15" i="105"/>
  <c r="F15" i="105" s="1"/>
  <c r="L11" i="105"/>
  <c r="F11" i="105" s="1"/>
  <c r="L36" i="107"/>
  <c r="F36" i="107" s="1"/>
  <c r="L32" i="107"/>
  <c r="F32" i="107" s="1"/>
  <c r="L28" i="107"/>
  <c r="F28" i="107" s="1"/>
  <c r="L24" i="107"/>
  <c r="F24" i="107" s="1"/>
  <c r="L20" i="107"/>
  <c r="F20" i="107" s="1"/>
  <c r="L16" i="107"/>
  <c r="F16" i="107" s="1"/>
  <c r="L12" i="107"/>
  <c r="F12" i="107" s="1"/>
  <c r="L35" i="107"/>
  <c r="F35" i="107" s="1"/>
  <c r="L31" i="107"/>
  <c r="F31" i="107" s="1"/>
  <c r="L27" i="107"/>
  <c r="F27" i="107" s="1"/>
  <c r="L23" i="107"/>
  <c r="F23" i="107" s="1"/>
  <c r="L19" i="107"/>
  <c r="F19" i="107" s="1"/>
  <c r="L15" i="107"/>
  <c r="F15" i="107" s="1"/>
  <c r="L11" i="107"/>
  <c r="F11" i="107" s="1"/>
  <c r="L38" i="107"/>
  <c r="F38" i="107" s="1"/>
  <c r="L34" i="107"/>
  <c r="F34" i="107" s="1"/>
  <c r="L30" i="107"/>
  <c r="F30" i="107" s="1"/>
  <c r="L26" i="107"/>
  <c r="F26" i="107" s="1"/>
  <c r="L22" i="107"/>
  <c r="F22" i="107" s="1"/>
  <c r="L18" i="107"/>
  <c r="F18" i="107" s="1"/>
  <c r="L14" i="107"/>
  <c r="F14" i="107" s="1"/>
  <c r="L10" i="107"/>
  <c r="F10" i="107" s="1"/>
  <c r="L37" i="107"/>
  <c r="F37" i="107" s="1"/>
  <c r="L33" i="107"/>
  <c r="F33" i="107" s="1"/>
  <c r="L29" i="107"/>
  <c r="F29" i="107" s="1"/>
  <c r="L25" i="107"/>
  <c r="F25" i="107" s="1"/>
  <c r="L21" i="107"/>
  <c r="F21" i="107" s="1"/>
  <c r="L17" i="107"/>
  <c r="F17" i="107" s="1"/>
  <c r="L13" i="107"/>
  <c r="F13" i="107" s="1"/>
  <c r="L9" i="107"/>
  <c r="F9" i="107" s="1"/>
  <c r="T13" i="106"/>
  <c r="N13" i="106" s="1"/>
  <c r="T21" i="106"/>
  <c r="T29" i="106"/>
  <c r="T37" i="106"/>
  <c r="N37" i="106" s="1"/>
  <c r="T9" i="106"/>
  <c r="N9" i="106" s="1"/>
  <c r="T17" i="106"/>
  <c r="N17" i="106" s="1"/>
  <c r="T25" i="106"/>
  <c r="T15" i="106"/>
  <c r="N15" i="106" s="1"/>
  <c r="T23" i="106"/>
  <c r="T31" i="106"/>
  <c r="N31" i="106" s="1"/>
  <c r="T11" i="106"/>
  <c r="N11" i="106" s="1"/>
  <c r="T19" i="106"/>
  <c r="T27" i="106"/>
  <c r="T35" i="106"/>
  <c r="N35" i="106" s="1"/>
  <c r="H30" i="133"/>
  <c r="T10" i="106"/>
  <c r="N10" i="106" s="1"/>
  <c r="T14" i="106"/>
  <c r="N14" i="106" s="1"/>
  <c r="T18" i="106"/>
  <c r="N18" i="106" s="1"/>
  <c r="T22" i="106"/>
  <c r="T26" i="106"/>
  <c r="T30" i="106"/>
  <c r="N30" i="106" s="1"/>
  <c r="T34" i="106"/>
  <c r="N34" i="106" s="1"/>
  <c r="T38" i="106"/>
  <c r="N38" i="106" s="1"/>
  <c r="N33" i="106"/>
  <c r="T12" i="106"/>
  <c r="N12" i="106" s="1"/>
  <c r="T16" i="106"/>
  <c r="N16" i="106" s="1"/>
  <c r="T20" i="106"/>
  <c r="T24" i="106"/>
  <c r="T28" i="106"/>
  <c r="T32" i="106"/>
  <c r="N32" i="106" s="1"/>
  <c r="T36" i="106"/>
  <c r="N36" i="106" s="1"/>
  <c r="X89" i="69"/>
  <c r="S89" i="69" s="1"/>
  <c r="X82" i="69"/>
  <c r="S82" i="69" s="1"/>
  <c r="X83" i="69"/>
  <c r="V1" i="69"/>
  <c r="Q1" i="58"/>
  <c r="X66" i="69" l="1"/>
  <c r="S66" i="69" s="1"/>
  <c r="X65" i="69"/>
  <c r="S65" i="69" s="1"/>
  <c r="X62" i="69"/>
  <c r="S62" i="69" s="1"/>
  <c r="X61" i="69"/>
  <c r="S61" i="69" s="1"/>
  <c r="X58" i="69"/>
  <c r="S58" i="69" s="1"/>
  <c r="X57" i="69"/>
  <c r="S57" i="69" s="1"/>
  <c r="X54" i="69"/>
  <c r="S54" i="69" s="1"/>
  <c r="X53" i="69"/>
  <c r="S53" i="69" s="1"/>
  <c r="X70" i="69"/>
  <c r="S70" i="69" s="1"/>
  <c r="X69" i="69"/>
  <c r="S69" i="69" s="1"/>
  <c r="X64" i="69"/>
  <c r="S64" i="69" s="1"/>
  <c r="X60" i="69"/>
  <c r="S60" i="69" s="1"/>
  <c r="X56" i="69"/>
  <c r="S56" i="69" s="1"/>
  <c r="X52" i="69"/>
  <c r="S52" i="69" s="1"/>
  <c r="X68" i="69"/>
  <c r="S68" i="69" s="1"/>
  <c r="X67" i="69"/>
  <c r="S67" i="69" s="1"/>
  <c r="X63" i="69"/>
  <c r="S63" i="69" s="1"/>
  <c r="X59" i="69"/>
  <c r="S59" i="69" s="1"/>
  <c r="X55" i="69"/>
  <c r="S55" i="69" s="1"/>
  <c r="X51" i="69"/>
  <c r="S51" i="69" s="1"/>
  <c r="X86" i="69"/>
  <c r="S86" i="69" s="1"/>
  <c r="X50" i="69"/>
  <c r="S50" i="69" s="1"/>
  <c r="X49" i="69"/>
  <c r="S49" i="69" s="1"/>
  <c r="X41" i="69"/>
  <c r="S41" i="69" s="1"/>
  <c r="X40" i="69"/>
  <c r="S40" i="69" s="1"/>
  <c r="X39" i="69"/>
  <c r="S39" i="69" s="1"/>
  <c r="X38" i="69"/>
  <c r="S38" i="69" s="1"/>
  <c r="X30" i="69"/>
  <c r="S30" i="69" s="1"/>
  <c r="X29" i="69"/>
  <c r="S29" i="69" s="1"/>
  <c r="X73" i="69"/>
  <c r="S73" i="69" s="1"/>
  <c r="X72" i="69"/>
  <c r="S72" i="69" s="1"/>
  <c r="X71" i="69"/>
  <c r="S71" i="69" s="1"/>
  <c r="X46" i="69"/>
  <c r="S46" i="69" s="1"/>
  <c r="X37" i="69"/>
  <c r="S37" i="69" s="1"/>
  <c r="X36" i="69"/>
  <c r="S36" i="69" s="1"/>
  <c r="X35" i="69"/>
  <c r="S35" i="69" s="1"/>
  <c r="X34" i="69"/>
  <c r="S34" i="69" s="1"/>
  <c r="X28" i="69"/>
  <c r="S28" i="69" s="1"/>
  <c r="X27" i="69"/>
  <c r="S27" i="69" s="1"/>
  <c r="X26" i="69"/>
  <c r="S26" i="69" s="1"/>
  <c r="X48" i="69"/>
  <c r="S48" i="69" s="1"/>
  <c r="X42" i="69"/>
  <c r="S42" i="69" s="1"/>
  <c r="X31" i="69"/>
  <c r="S31" i="69" s="1"/>
  <c r="X75" i="69"/>
  <c r="S75" i="69" s="1"/>
  <c r="X74" i="69"/>
  <c r="S74" i="69" s="1"/>
  <c r="X47" i="69"/>
  <c r="S47" i="69" s="1"/>
  <c r="X45" i="69"/>
  <c r="S45" i="69" s="1"/>
  <c r="X44" i="69"/>
  <c r="S44" i="69" s="1"/>
  <c r="X43" i="69"/>
  <c r="S43" i="69" s="1"/>
  <c r="X33" i="69"/>
  <c r="S33" i="69" s="1"/>
  <c r="X32" i="69"/>
  <c r="S32" i="69" s="1"/>
  <c r="N39" i="133"/>
  <c r="X11" i="69"/>
  <c r="S11" i="69" s="1"/>
  <c r="X77" i="69"/>
  <c r="S77" i="69" s="1"/>
  <c r="X15" i="69"/>
  <c r="S15" i="69" s="1"/>
  <c r="X87" i="69"/>
  <c r="S87" i="69" s="1"/>
  <c r="X19" i="69"/>
  <c r="S19" i="69" s="1"/>
  <c r="X23" i="69"/>
  <c r="S23" i="69" s="1"/>
  <c r="X8" i="69"/>
  <c r="S8" i="69" s="1"/>
  <c r="X12" i="69"/>
  <c r="S12" i="69" s="1"/>
  <c r="X16" i="69"/>
  <c r="S16" i="69" s="1"/>
  <c r="X20" i="69"/>
  <c r="S20" i="69" s="1"/>
  <c r="X24" i="69"/>
  <c r="S24" i="69" s="1"/>
  <c r="X78" i="69"/>
  <c r="S78" i="69" s="1"/>
  <c r="X88" i="69"/>
  <c r="S88" i="69" s="1"/>
  <c r="X81" i="69"/>
  <c r="S81" i="69" s="1"/>
  <c r="X9" i="69"/>
  <c r="S9" i="69" s="1"/>
  <c r="X13" i="69"/>
  <c r="S13" i="69" s="1"/>
  <c r="X17" i="69"/>
  <c r="S17" i="69" s="1"/>
  <c r="X21" i="69"/>
  <c r="S21" i="69" s="1"/>
  <c r="X25" i="69"/>
  <c r="S25" i="69" s="1"/>
  <c r="X79" i="69"/>
  <c r="S79" i="69" s="1"/>
  <c r="X85" i="69"/>
  <c r="S85" i="69" s="1"/>
  <c r="X10" i="69"/>
  <c r="S10" i="69" s="1"/>
  <c r="X14" i="69"/>
  <c r="S14" i="69" s="1"/>
  <c r="X18" i="69"/>
  <c r="S18" i="69" s="1"/>
  <c r="X22" i="69"/>
  <c r="S22" i="69" s="1"/>
  <c r="X76" i="69"/>
  <c r="S76" i="69" s="1"/>
  <c r="X80" i="69"/>
  <c r="S80" i="69" s="1"/>
  <c r="L676" i="16"/>
  <c r="L615" i="16"/>
  <c r="L554" i="16"/>
  <c r="L493" i="16"/>
  <c r="L432" i="16"/>
  <c r="L371" i="16"/>
  <c r="L310" i="16"/>
  <c r="L249" i="16"/>
  <c r="L188" i="16"/>
  <c r="L127" i="16"/>
  <c r="L66" i="16"/>
  <c r="L5" i="16"/>
  <c r="P1" i="16"/>
  <c r="T51" i="69" l="1"/>
  <c r="AG51" i="69"/>
  <c r="T67" i="69"/>
  <c r="AG67" i="69"/>
  <c r="AG60" i="69"/>
  <c r="T60" i="69"/>
  <c r="AG53" i="69"/>
  <c r="T53" i="69"/>
  <c r="AG61" i="69"/>
  <c r="T61" i="69"/>
  <c r="T55" i="69"/>
  <c r="AG55" i="69"/>
  <c r="AG68" i="69"/>
  <c r="T68" i="69"/>
  <c r="AG64" i="69"/>
  <c r="T64" i="69"/>
  <c r="T54" i="69"/>
  <c r="AG54" i="69"/>
  <c r="AG62" i="69"/>
  <c r="T62" i="69"/>
  <c r="T59" i="69"/>
  <c r="AG59" i="69"/>
  <c r="AG52" i="69"/>
  <c r="T52" i="69"/>
  <c r="AG69" i="69"/>
  <c r="T69" i="69"/>
  <c r="AG57" i="69"/>
  <c r="T57" i="69"/>
  <c r="AG65" i="69"/>
  <c r="T65" i="69"/>
  <c r="T63" i="69"/>
  <c r="AG63" i="69"/>
  <c r="T56" i="69"/>
  <c r="AG56" i="69"/>
  <c r="AG70" i="69"/>
  <c r="T70" i="69"/>
  <c r="T58" i="69"/>
  <c r="AG58" i="69"/>
  <c r="T66" i="69"/>
  <c r="AG66" i="69"/>
  <c r="AG35" i="69"/>
  <c r="T35" i="69"/>
  <c r="T41" i="69"/>
  <c r="AG41" i="69"/>
  <c r="AG32" i="69"/>
  <c r="T32" i="69"/>
  <c r="AG45" i="69"/>
  <c r="T45" i="69"/>
  <c r="T31" i="69"/>
  <c r="AG31" i="69"/>
  <c r="T27" i="69"/>
  <c r="AG27" i="69"/>
  <c r="AG36" i="69"/>
  <c r="T36" i="69"/>
  <c r="T72" i="69"/>
  <c r="AG72" i="69"/>
  <c r="AG38" i="69"/>
  <c r="T38" i="69"/>
  <c r="T49" i="69"/>
  <c r="AG49" i="69"/>
  <c r="AG26" i="69"/>
  <c r="T26" i="69"/>
  <c r="T71" i="69"/>
  <c r="AG71" i="69"/>
  <c r="T33" i="69"/>
  <c r="AG33" i="69"/>
  <c r="T47" i="69"/>
  <c r="AG47" i="69"/>
  <c r="AG42" i="69"/>
  <c r="T42" i="69"/>
  <c r="T28" i="69"/>
  <c r="AG28" i="69"/>
  <c r="T37" i="69"/>
  <c r="AG37" i="69"/>
  <c r="AG73" i="69"/>
  <c r="T73" i="69"/>
  <c r="AG39" i="69"/>
  <c r="T39" i="69"/>
  <c r="AG50" i="69"/>
  <c r="T50" i="69"/>
  <c r="AG44" i="69"/>
  <c r="T44" i="69"/>
  <c r="T75" i="69"/>
  <c r="AG75" i="69"/>
  <c r="AG30" i="69"/>
  <c r="T30" i="69"/>
  <c r="T43" i="69"/>
  <c r="AG43" i="69"/>
  <c r="AG74" i="69"/>
  <c r="T74" i="69"/>
  <c r="T48" i="69"/>
  <c r="AG48" i="69"/>
  <c r="AG34" i="69"/>
  <c r="T34" i="69"/>
  <c r="AG46" i="69"/>
  <c r="T46" i="69"/>
  <c r="AG29" i="69"/>
  <c r="T29" i="69"/>
  <c r="AG40" i="69"/>
  <c r="T40" i="69"/>
  <c r="G535" i="58"/>
  <c r="L535" i="58" s="1"/>
  <c r="G487" i="58"/>
  <c r="L487" i="58" s="1"/>
  <c r="G391" i="58"/>
  <c r="L391" i="58" s="1"/>
  <c r="G343" i="58"/>
  <c r="L343" i="58" s="1"/>
  <c r="G293" i="58"/>
  <c r="G197" i="58"/>
  <c r="G149" i="58"/>
  <c r="G5" i="58"/>
  <c r="G53" i="58"/>
  <c r="T34" i="58"/>
  <c r="G120" i="58" l="1"/>
  <c r="G101" i="58"/>
  <c r="G341" i="58"/>
  <c r="L341" i="58" s="1"/>
  <c r="G389" i="58"/>
  <c r="L389" i="58" s="1"/>
  <c r="G437" i="58"/>
  <c r="L437" i="58" s="1"/>
  <c r="G245" i="58"/>
  <c r="L245" i="58" s="1"/>
  <c r="G485" i="58"/>
  <c r="L485" i="58" s="1"/>
  <c r="G533" i="58"/>
  <c r="L533" i="58" s="1"/>
  <c r="R93" i="149"/>
  <c r="P15" i="133" l="1"/>
  <c r="Q15" i="133" s="1"/>
  <c r="P16" i="133"/>
  <c r="Q16" i="133" s="1"/>
  <c r="P17" i="133"/>
  <c r="R17" i="133" s="1"/>
  <c r="P18" i="133"/>
  <c r="Q18" i="133" s="1"/>
  <c r="P19" i="133"/>
  <c r="Q19" i="133" s="1"/>
  <c r="P20" i="133"/>
  <c r="Q20" i="133" s="1"/>
  <c r="P21" i="133"/>
  <c r="R21" i="133" s="1"/>
  <c r="P22" i="133"/>
  <c r="Q22" i="133" s="1"/>
  <c r="P23" i="133"/>
  <c r="R23" i="133" s="1"/>
  <c r="P24" i="133"/>
  <c r="Q24" i="133" s="1"/>
  <c r="P25" i="133"/>
  <c r="R25" i="133" s="1"/>
  <c r="P26" i="133"/>
  <c r="Q26" i="133" s="1"/>
  <c r="P27" i="133"/>
  <c r="Q27" i="133" s="1"/>
  <c r="P28" i="133"/>
  <c r="Q28" i="133" s="1"/>
  <c r="P29" i="133"/>
  <c r="R29" i="133" s="1"/>
  <c r="P30" i="133"/>
  <c r="Q30" i="133" s="1"/>
  <c r="P31" i="133"/>
  <c r="Q31" i="133" s="1"/>
  <c r="P32" i="133"/>
  <c r="Q32" i="133" s="1"/>
  <c r="P33" i="133"/>
  <c r="R33" i="133" s="1"/>
  <c r="P34" i="133"/>
  <c r="Q34" i="133" s="1"/>
  <c r="P35" i="133"/>
  <c r="Q35" i="133" s="1"/>
  <c r="Q33" i="133" l="1"/>
  <c r="R18" i="133"/>
  <c r="R34" i="133"/>
  <c r="R15" i="133"/>
  <c r="R35" i="133"/>
  <c r="Q17" i="133"/>
  <c r="R27" i="133"/>
  <c r="Q23" i="133"/>
  <c r="R19" i="133"/>
  <c r="R22" i="133"/>
  <c r="R31" i="133"/>
  <c r="Q21" i="133"/>
  <c r="Q29" i="133"/>
  <c r="Q25" i="133"/>
  <c r="R26" i="133"/>
  <c r="R30" i="133"/>
  <c r="R32" i="133"/>
  <c r="R28" i="133"/>
  <c r="R24" i="133"/>
  <c r="R20" i="133"/>
  <c r="R16" i="133"/>
  <c r="M39" i="133"/>
  <c r="K15" i="133"/>
  <c r="K16" i="133"/>
  <c r="K19" i="133"/>
  <c r="K20" i="133"/>
  <c r="K21" i="133"/>
  <c r="K23" i="133"/>
  <c r="K24" i="133"/>
  <c r="K25" i="133"/>
  <c r="K27" i="133"/>
  <c r="K28" i="133"/>
  <c r="K29" i="133"/>
  <c r="K31" i="133"/>
  <c r="K32" i="133"/>
  <c r="K33" i="133"/>
  <c r="K17" i="133"/>
  <c r="K18" i="133"/>
  <c r="K22" i="133"/>
  <c r="K26" i="133"/>
  <c r="K30" i="133"/>
  <c r="K34" i="133"/>
  <c r="Q42" i="113"/>
  <c r="R42" i="113" s="1"/>
  <c r="Q43" i="113"/>
  <c r="R43" i="113" s="1"/>
  <c r="U43" i="113" s="1"/>
  <c r="H43" i="113" s="1"/>
  <c r="Q44" i="113"/>
  <c r="R44" i="113" s="1"/>
  <c r="Q45" i="113"/>
  <c r="R45" i="113" s="1"/>
  <c r="Q46" i="113"/>
  <c r="R46" i="113" s="1"/>
  <c r="Q47" i="113"/>
  <c r="R47" i="113" s="1"/>
  <c r="Q48" i="113"/>
  <c r="R48" i="113" s="1"/>
  <c r="Q49" i="113"/>
  <c r="R49" i="113" s="1"/>
  <c r="Q50" i="113"/>
  <c r="R50" i="113" s="1"/>
  <c r="Q51" i="113"/>
  <c r="R51" i="113" s="1"/>
  <c r="Q52" i="113"/>
  <c r="R52" i="113" s="1"/>
  <c r="Q53" i="113"/>
  <c r="R53" i="113" s="1"/>
  <c r="Q54" i="113"/>
  <c r="R54" i="113" s="1"/>
  <c r="Q55" i="113"/>
  <c r="R55" i="113" s="1"/>
  <c r="Q56" i="113"/>
  <c r="R56" i="113" s="1"/>
  <c r="Q57" i="113"/>
  <c r="R57" i="113" s="1"/>
  <c r="Q58" i="113"/>
  <c r="R58" i="113" s="1"/>
  <c r="Q59" i="113"/>
  <c r="R59" i="113" s="1"/>
  <c r="Q60" i="113"/>
  <c r="R60" i="113" s="1"/>
  <c r="Q61" i="113"/>
  <c r="R61" i="113" s="1"/>
  <c r="Q62" i="113"/>
  <c r="R62" i="113" s="1"/>
  <c r="Q63" i="113"/>
  <c r="R63" i="113" s="1"/>
  <c r="Q64" i="113"/>
  <c r="R64" i="113" s="1"/>
  <c r="Q65" i="113"/>
  <c r="R65" i="113" s="1"/>
  <c r="Q66" i="113"/>
  <c r="R66" i="113" s="1"/>
  <c r="Q67" i="113"/>
  <c r="R67" i="113" s="1"/>
  <c r="Q68" i="113"/>
  <c r="R68" i="113" s="1"/>
  <c r="Q69" i="113"/>
  <c r="R69" i="113" s="1"/>
  <c r="Q70" i="113"/>
  <c r="R70" i="113" s="1"/>
  <c r="Q71" i="113"/>
  <c r="R71" i="113" s="1"/>
  <c r="Q72" i="113"/>
  <c r="Q73" i="113"/>
  <c r="R73" i="113" s="1"/>
  <c r="Q74" i="113"/>
  <c r="Q75" i="113"/>
  <c r="R75" i="113" s="1"/>
  <c r="Q76" i="113"/>
  <c r="Q77" i="113"/>
  <c r="R77" i="113" s="1"/>
  <c r="Q78" i="113"/>
  <c r="R78" i="113" s="1"/>
  <c r="Q79" i="113"/>
  <c r="R79" i="113" s="1"/>
  <c r="Q80" i="113"/>
  <c r="R80" i="113" s="1"/>
  <c r="Q81" i="113"/>
  <c r="R81" i="113" s="1"/>
  <c r="Q82" i="113"/>
  <c r="R82" i="113" s="1"/>
  <c r="Q83" i="113"/>
  <c r="R83" i="113" s="1"/>
  <c r="Q84" i="113"/>
  <c r="R84" i="113" s="1"/>
  <c r="Q85" i="113"/>
  <c r="R85" i="113" s="1"/>
  <c r="Q86" i="113"/>
  <c r="R86" i="113" s="1"/>
  <c r="Q21" i="113"/>
  <c r="R21" i="113" s="1"/>
  <c r="Q22" i="113"/>
  <c r="R22" i="113" s="1"/>
  <c r="U22" i="113" s="1"/>
  <c r="H22" i="113" s="1"/>
  <c r="Q23" i="113"/>
  <c r="R23" i="113" s="1"/>
  <c r="Q24" i="113"/>
  <c r="R24" i="113" s="1"/>
  <c r="Q25" i="113"/>
  <c r="R25" i="113" s="1"/>
  <c r="Q26" i="113"/>
  <c r="R26" i="113" s="1"/>
  <c r="U26" i="113" s="1"/>
  <c r="H26" i="113" s="1"/>
  <c r="Q27" i="113"/>
  <c r="R27" i="113" s="1"/>
  <c r="Q28" i="113"/>
  <c r="R28" i="113" s="1"/>
  <c r="Q29" i="113"/>
  <c r="R29" i="113" s="1"/>
  <c r="Q30" i="113"/>
  <c r="R30" i="113" s="1"/>
  <c r="U30" i="113" s="1"/>
  <c r="H30" i="113" s="1"/>
  <c r="Q31" i="113"/>
  <c r="R31" i="113" s="1"/>
  <c r="Q32" i="113"/>
  <c r="R32" i="113" s="1"/>
  <c r="Q33" i="113"/>
  <c r="R33" i="113" s="1"/>
  <c r="Q34" i="113"/>
  <c r="R34" i="113" s="1"/>
  <c r="U34" i="113" s="1"/>
  <c r="H34" i="113" s="1"/>
  <c r="Q35" i="113"/>
  <c r="R35" i="113" s="1"/>
  <c r="Q36" i="113"/>
  <c r="R36" i="113" s="1"/>
  <c r="Q37" i="113"/>
  <c r="R37" i="113" s="1"/>
  <c r="Q38" i="113"/>
  <c r="R38" i="113" s="1"/>
  <c r="U38" i="113" s="1"/>
  <c r="H38" i="113" s="1"/>
  <c r="Q39" i="113"/>
  <c r="R39" i="113" s="1"/>
  <c r="Q40" i="113"/>
  <c r="R40" i="113" s="1"/>
  <c r="Q41" i="113"/>
  <c r="R41" i="113" s="1"/>
  <c r="U41" i="113" s="1"/>
  <c r="H41" i="113" s="1"/>
  <c r="N22" i="113"/>
  <c r="N26" i="113"/>
  <c r="N28" i="113"/>
  <c r="N30" i="113"/>
  <c r="N32" i="113"/>
  <c r="N33" i="113"/>
  <c r="N34" i="113"/>
  <c r="N38" i="113"/>
  <c r="N40" i="113"/>
  <c r="N21" i="113"/>
  <c r="N23" i="113"/>
  <c r="N24" i="113"/>
  <c r="N25" i="113"/>
  <c r="N27" i="113"/>
  <c r="N29" i="113"/>
  <c r="N31" i="113"/>
  <c r="N35" i="113"/>
  <c r="N36" i="113"/>
  <c r="N37" i="113"/>
  <c r="N39" i="113"/>
  <c r="N41" i="113"/>
  <c r="R72" i="113"/>
  <c r="R74" i="113"/>
  <c r="R76" i="113"/>
  <c r="N42" i="113"/>
  <c r="N44" i="113"/>
  <c r="N46" i="113"/>
  <c r="N48" i="113"/>
  <c r="N50" i="113"/>
  <c r="N52" i="113"/>
  <c r="N53" i="113"/>
  <c r="N54" i="113"/>
  <c r="N56" i="113"/>
  <c r="N57" i="113"/>
  <c r="N43" i="113"/>
  <c r="N45" i="113"/>
  <c r="N47" i="113"/>
  <c r="N49" i="113"/>
  <c r="N51" i="113"/>
  <c r="N55" i="113"/>
  <c r="N58" i="113"/>
  <c r="N59" i="113"/>
  <c r="N60" i="113"/>
  <c r="Q16" i="106"/>
  <c r="Q17" i="106"/>
  <c r="Q18" i="106"/>
  <c r="Q20" i="106"/>
  <c r="Q21" i="106"/>
  <c r="Q22" i="106"/>
  <c r="Q25" i="106"/>
  <c r="Q26" i="106"/>
  <c r="Q30" i="106"/>
  <c r="Q34" i="106"/>
  <c r="Q36" i="106"/>
  <c r="Q15" i="106"/>
  <c r="Q19" i="106"/>
  <c r="Q23" i="106"/>
  <c r="Q24" i="106"/>
  <c r="Q27" i="106"/>
  <c r="Q28" i="106"/>
  <c r="Q29" i="106"/>
  <c r="Q31" i="106"/>
  <c r="Q32" i="106"/>
  <c r="Q33" i="106"/>
  <c r="N34" i="107"/>
  <c r="P34" i="107" s="1"/>
  <c r="I34" i="107"/>
  <c r="N33" i="107"/>
  <c r="O33" i="107" s="1"/>
  <c r="N32" i="107"/>
  <c r="P32" i="107" s="1"/>
  <c r="N31" i="107"/>
  <c r="P31" i="107" s="1"/>
  <c r="I31" i="107"/>
  <c r="N30" i="107"/>
  <c r="P30" i="107" s="1"/>
  <c r="N29" i="107"/>
  <c r="O29" i="107" s="1"/>
  <c r="N28" i="107"/>
  <c r="P28" i="107" s="1"/>
  <c r="N27" i="107"/>
  <c r="O27" i="107" s="1"/>
  <c r="I27" i="107"/>
  <c r="N26" i="107"/>
  <c r="P26" i="107" s="1"/>
  <c r="I26" i="107"/>
  <c r="N25" i="107"/>
  <c r="O25" i="107" s="1"/>
  <c r="I25" i="107"/>
  <c r="N24" i="107"/>
  <c r="P24" i="107" s="1"/>
  <c r="N23" i="107"/>
  <c r="O23" i="107" s="1"/>
  <c r="I23" i="107"/>
  <c r="N22" i="107"/>
  <c r="P22" i="107" s="1"/>
  <c r="I22" i="107"/>
  <c r="N21" i="107"/>
  <c r="P21" i="107" s="1"/>
  <c r="I21" i="107"/>
  <c r="N20" i="107"/>
  <c r="P20" i="107" s="1"/>
  <c r="N19" i="107"/>
  <c r="O19" i="107" s="1"/>
  <c r="I19" i="107"/>
  <c r="N18" i="107"/>
  <c r="P18" i="107" s="1"/>
  <c r="I18" i="107"/>
  <c r="N17" i="107"/>
  <c r="O17" i="107" s="1"/>
  <c r="I17" i="107"/>
  <c r="N16" i="107"/>
  <c r="P16" i="107" s="1"/>
  <c r="N15" i="107"/>
  <c r="O15" i="107" s="1"/>
  <c r="I15" i="107"/>
  <c r="I30" i="107"/>
  <c r="I16" i="107"/>
  <c r="I20" i="107"/>
  <c r="I24" i="107"/>
  <c r="I28" i="107"/>
  <c r="I29" i="107"/>
  <c r="I32" i="107"/>
  <c r="I33" i="107"/>
  <c r="E39" i="105"/>
  <c r="I15" i="105"/>
  <c r="N15" i="105"/>
  <c r="P15" i="105" s="1"/>
  <c r="I16" i="105"/>
  <c r="N16" i="105"/>
  <c r="O16" i="105" s="1"/>
  <c r="I17" i="105"/>
  <c r="N17" i="105"/>
  <c r="O17" i="105" s="1"/>
  <c r="I18" i="105"/>
  <c r="N18" i="105"/>
  <c r="P18" i="105" s="1"/>
  <c r="I19" i="105"/>
  <c r="N19" i="105"/>
  <c r="P19" i="105" s="1"/>
  <c r="I20" i="105"/>
  <c r="N20" i="105"/>
  <c r="O20" i="105" s="1"/>
  <c r="I21" i="105"/>
  <c r="N21" i="105"/>
  <c r="P21" i="105" s="1"/>
  <c r="I22" i="105"/>
  <c r="N22" i="105"/>
  <c r="O22" i="105" s="1"/>
  <c r="I23" i="105"/>
  <c r="N23" i="105"/>
  <c r="P23" i="105" s="1"/>
  <c r="I24" i="105"/>
  <c r="N24" i="105"/>
  <c r="O24" i="105" s="1"/>
  <c r="I25" i="105"/>
  <c r="N25" i="105"/>
  <c r="P25" i="105" s="1"/>
  <c r="I26" i="105"/>
  <c r="N26" i="105"/>
  <c r="O26" i="105" s="1"/>
  <c r="I27" i="105"/>
  <c r="N27" i="105"/>
  <c r="P27" i="105" s="1"/>
  <c r="I28" i="105"/>
  <c r="N28" i="105"/>
  <c r="O28" i="105" s="1"/>
  <c r="I29" i="105"/>
  <c r="N29" i="105"/>
  <c r="P29" i="105" s="1"/>
  <c r="I30" i="105"/>
  <c r="N30" i="105"/>
  <c r="O30" i="105" s="1"/>
  <c r="I31" i="105"/>
  <c r="N31" i="105"/>
  <c r="P31" i="105" s="1"/>
  <c r="I32" i="105"/>
  <c r="N32" i="105"/>
  <c r="P32" i="105" s="1"/>
  <c r="I33" i="105"/>
  <c r="N33" i="105"/>
  <c r="O33" i="105" s="1"/>
  <c r="I34" i="105"/>
  <c r="N34" i="105"/>
  <c r="O34" i="105" s="1"/>
  <c r="U27" i="149"/>
  <c r="L31" i="149"/>
  <c r="P34" i="105" l="1"/>
  <c r="O21" i="105"/>
  <c r="O31" i="105"/>
  <c r="O16" i="107"/>
  <c r="P30" i="105"/>
  <c r="O32" i="107"/>
  <c r="O32" i="105"/>
  <c r="P17" i="105"/>
  <c r="O31" i="107"/>
  <c r="P15" i="107"/>
  <c r="O25" i="105"/>
  <c r="O18" i="105"/>
  <c r="O15" i="105"/>
  <c r="M34" i="113"/>
  <c r="S34" i="113" s="1"/>
  <c r="M30" i="113"/>
  <c r="S30" i="113" s="1"/>
  <c r="M22" i="113"/>
  <c r="S22" i="113" s="1"/>
  <c r="M43" i="113"/>
  <c r="S43" i="113" s="1"/>
  <c r="M38" i="113"/>
  <c r="S38" i="113" s="1"/>
  <c r="M26" i="113"/>
  <c r="S26" i="113" s="1"/>
  <c r="U60" i="113"/>
  <c r="H60" i="113" s="1"/>
  <c r="U55" i="113"/>
  <c r="H55" i="113" s="1"/>
  <c r="U50" i="113"/>
  <c r="H50" i="113" s="1"/>
  <c r="U44" i="113"/>
  <c r="H44" i="113" s="1"/>
  <c r="U37" i="113"/>
  <c r="H37" i="113" s="1"/>
  <c r="U29" i="113"/>
  <c r="H29" i="113" s="1"/>
  <c r="U25" i="113"/>
  <c r="H25" i="113" s="1"/>
  <c r="U21" i="113"/>
  <c r="H21" i="113" s="1"/>
  <c r="U48" i="113"/>
  <c r="H48" i="113" s="1"/>
  <c r="U49" i="113"/>
  <c r="H49" i="113" s="1"/>
  <c r="U45" i="113"/>
  <c r="H45" i="113" s="1"/>
  <c r="U40" i="113"/>
  <c r="U36" i="113"/>
  <c r="H36" i="113" s="1"/>
  <c r="M36" i="113" s="1"/>
  <c r="S36" i="113" s="1"/>
  <c r="U32" i="113"/>
  <c r="U28" i="113"/>
  <c r="U24" i="113"/>
  <c r="U46" i="113"/>
  <c r="H46" i="113" s="1"/>
  <c r="U47" i="113"/>
  <c r="H47" i="113" s="1"/>
  <c r="U42" i="113"/>
  <c r="H42" i="113" s="1"/>
  <c r="U35" i="113"/>
  <c r="H35" i="113" s="1"/>
  <c r="U31" i="113"/>
  <c r="H31" i="113" s="1"/>
  <c r="U27" i="113"/>
  <c r="H27" i="113" s="1"/>
  <c r="U23" i="113"/>
  <c r="H23" i="113" s="1"/>
  <c r="U59" i="113"/>
  <c r="H59" i="113" s="1"/>
  <c r="U54" i="113"/>
  <c r="H54" i="113" s="1"/>
  <c r="U53" i="113"/>
  <c r="H53" i="113" s="1"/>
  <c r="U58" i="113"/>
  <c r="H58" i="113" s="1"/>
  <c r="U57" i="113"/>
  <c r="H57" i="113" s="1"/>
  <c r="U56" i="113"/>
  <c r="H56" i="113" s="1"/>
  <c r="U51" i="113"/>
  <c r="H51" i="113" s="1"/>
  <c r="U52" i="113"/>
  <c r="H52" i="113" s="1"/>
  <c r="U39" i="113"/>
  <c r="H39" i="113" s="1"/>
  <c r="U33" i="113"/>
  <c r="H33" i="113" s="1"/>
  <c r="M41" i="113"/>
  <c r="S41" i="113" s="1"/>
  <c r="O20" i="107"/>
  <c r="P23" i="107"/>
  <c r="O24" i="107"/>
  <c r="P27" i="107"/>
  <c r="O28" i="107"/>
  <c r="O29" i="105"/>
  <c r="P19" i="107"/>
  <c r="O21" i="107"/>
  <c r="P17" i="107"/>
  <c r="O18" i="107"/>
  <c r="O22" i="107"/>
  <c r="P25" i="107"/>
  <c r="O26" i="107"/>
  <c r="P29" i="107"/>
  <c r="O30" i="107"/>
  <c r="P33" i="107"/>
  <c r="O34" i="107"/>
  <c r="O27" i="105"/>
  <c r="P26" i="105"/>
  <c r="O23" i="105"/>
  <c r="P22" i="105"/>
  <c r="O19" i="105"/>
  <c r="L39" i="105"/>
  <c r="P33" i="105"/>
  <c r="P28" i="105"/>
  <c r="P24" i="105"/>
  <c r="P20" i="105"/>
  <c r="P16" i="105"/>
  <c r="H37" i="29"/>
  <c r="M37" i="29" s="1"/>
  <c r="O37" i="29"/>
  <c r="T37" i="29"/>
  <c r="B58" i="29"/>
  <c r="U16" i="132"/>
  <c r="U15" i="132"/>
  <c r="U14" i="132"/>
  <c r="U13" i="132"/>
  <c r="V13" i="132" s="1"/>
  <c r="W13" i="132" s="1"/>
  <c r="U12" i="132"/>
  <c r="V12" i="132" s="1"/>
  <c r="W12" i="132" s="1"/>
  <c r="U17" i="132"/>
  <c r="E16" i="132"/>
  <c r="V17" i="132"/>
  <c r="W17" i="132" s="1"/>
  <c r="V16" i="132"/>
  <c r="W16" i="132" s="1"/>
  <c r="V15" i="132"/>
  <c r="W15" i="132" s="1"/>
  <c r="V14" i="132"/>
  <c r="W14" i="132" s="1"/>
  <c r="Q17" i="132"/>
  <c r="R17" i="132" s="1"/>
  <c r="S17" i="132" s="1"/>
  <c r="H32" i="113" l="1"/>
  <c r="M32" i="113" s="1"/>
  <c r="S32" i="113" s="1"/>
  <c r="H24" i="113"/>
  <c r="M24" i="113" s="1"/>
  <c r="S24" i="113" s="1"/>
  <c r="H40" i="113"/>
  <c r="M40" i="113" s="1"/>
  <c r="S40" i="113" s="1"/>
  <c r="H28" i="113"/>
  <c r="M28" i="113" s="1"/>
  <c r="S28" i="113" s="1"/>
  <c r="M44" i="113"/>
  <c r="S44" i="113" s="1"/>
  <c r="M52" i="113"/>
  <c r="S52" i="113" s="1"/>
  <c r="M58" i="113"/>
  <c r="S58" i="113" s="1"/>
  <c r="M23" i="113"/>
  <c r="S23" i="113" s="1"/>
  <c r="M42" i="113"/>
  <c r="S42" i="113" s="1"/>
  <c r="M45" i="113"/>
  <c r="S45" i="113" s="1"/>
  <c r="M25" i="113"/>
  <c r="S25" i="113" s="1"/>
  <c r="M50" i="113"/>
  <c r="S50" i="113" s="1"/>
  <c r="M57" i="113"/>
  <c r="S57" i="113" s="1"/>
  <c r="M59" i="113"/>
  <c r="S59" i="113" s="1"/>
  <c r="M35" i="113"/>
  <c r="S35" i="113" s="1"/>
  <c r="M21" i="113"/>
  <c r="S21" i="113" s="1"/>
  <c r="M51" i="113"/>
  <c r="S51" i="113" s="1"/>
  <c r="M53" i="113"/>
  <c r="S53" i="113" s="1"/>
  <c r="M27" i="113"/>
  <c r="S27" i="113" s="1"/>
  <c r="M47" i="113"/>
  <c r="S47" i="113" s="1"/>
  <c r="M49" i="113"/>
  <c r="S49" i="113" s="1"/>
  <c r="M29" i="113"/>
  <c r="S29" i="113" s="1"/>
  <c r="M55" i="113"/>
  <c r="S55" i="113" s="1"/>
  <c r="M39" i="113"/>
  <c r="S39" i="113" s="1"/>
  <c r="M33" i="113"/>
  <c r="S33" i="113" s="1"/>
  <c r="M56" i="113"/>
  <c r="S56" i="113" s="1"/>
  <c r="M54" i="113"/>
  <c r="S54" i="113" s="1"/>
  <c r="M31" i="113"/>
  <c r="S31" i="113" s="1"/>
  <c r="M46" i="113"/>
  <c r="S46" i="113" s="1"/>
  <c r="M48" i="113"/>
  <c r="S48" i="113" s="1"/>
  <c r="M37" i="113"/>
  <c r="S37" i="113" s="1"/>
  <c r="M60" i="113"/>
  <c r="S60" i="113" s="1"/>
  <c r="W50" i="115"/>
  <c r="V50" i="115"/>
  <c r="U50" i="115"/>
  <c r="L50" i="115"/>
  <c r="W49" i="115"/>
  <c r="V49" i="115"/>
  <c r="U49" i="115"/>
  <c r="L49" i="115"/>
  <c r="W48" i="115"/>
  <c r="V48" i="115"/>
  <c r="U48" i="115"/>
  <c r="L48" i="115"/>
  <c r="W47" i="115"/>
  <c r="V47" i="115"/>
  <c r="U47" i="115"/>
  <c r="L47" i="115"/>
  <c r="W46" i="115"/>
  <c r="V46" i="115"/>
  <c r="U46" i="115"/>
  <c r="L46" i="115"/>
  <c r="W45" i="115"/>
  <c r="V45" i="115"/>
  <c r="U45" i="115"/>
  <c r="L45" i="115"/>
  <c r="W44" i="115"/>
  <c r="V44" i="115"/>
  <c r="U44" i="115"/>
  <c r="L44" i="115"/>
  <c r="W43" i="115"/>
  <c r="V43" i="115"/>
  <c r="U43" i="115"/>
  <c r="L43" i="115"/>
  <c r="W42" i="115"/>
  <c r="V42" i="115"/>
  <c r="U42" i="115"/>
  <c r="L42" i="115"/>
  <c r="W41" i="115"/>
  <c r="V41" i="115"/>
  <c r="U41" i="115"/>
  <c r="L41" i="115"/>
  <c r="W40" i="115"/>
  <c r="V40" i="115"/>
  <c r="U40" i="115"/>
  <c r="L40" i="115"/>
  <c r="W39" i="115"/>
  <c r="V39" i="115"/>
  <c r="U39" i="115"/>
  <c r="L39" i="115"/>
  <c r="W38" i="115"/>
  <c r="V38" i="115"/>
  <c r="U38" i="115"/>
  <c r="L38" i="115"/>
  <c r="W37" i="115"/>
  <c r="V37" i="115"/>
  <c r="U37" i="115"/>
  <c r="L37" i="115"/>
  <c r="W36" i="115"/>
  <c r="V36" i="115"/>
  <c r="U36" i="115"/>
  <c r="L36" i="115"/>
  <c r="W35" i="115"/>
  <c r="V35" i="115"/>
  <c r="U35" i="115"/>
  <c r="L35" i="115"/>
  <c r="W34" i="115"/>
  <c r="V34" i="115"/>
  <c r="U34" i="115"/>
  <c r="L34" i="115"/>
  <c r="W33" i="115"/>
  <c r="V33" i="115"/>
  <c r="U33" i="115"/>
  <c r="L33" i="115"/>
  <c r="W32" i="115"/>
  <c r="V32" i="115"/>
  <c r="U32" i="115"/>
  <c r="L32" i="115"/>
  <c r="W31" i="115"/>
  <c r="V31" i="115"/>
  <c r="U31" i="115"/>
  <c r="L31" i="115"/>
  <c r="W30" i="115"/>
  <c r="V30" i="115"/>
  <c r="U30" i="115"/>
  <c r="L30" i="115"/>
  <c r="W29" i="115"/>
  <c r="V29" i="115"/>
  <c r="U29" i="115"/>
  <c r="L29" i="115"/>
  <c r="W28" i="115"/>
  <c r="V28" i="115"/>
  <c r="U28" i="115"/>
  <c r="L28" i="115"/>
  <c r="W27" i="115"/>
  <c r="V27" i="115"/>
  <c r="U27" i="115"/>
  <c r="L27" i="115"/>
  <c r="W26" i="115"/>
  <c r="V26" i="115"/>
  <c r="U26" i="115"/>
  <c r="L26" i="115"/>
  <c r="W25" i="115"/>
  <c r="V25" i="115"/>
  <c r="U25" i="115"/>
  <c r="L25" i="115"/>
  <c r="W24" i="115"/>
  <c r="V24" i="115"/>
  <c r="U24" i="115"/>
  <c r="L24" i="115"/>
  <c r="W23" i="115"/>
  <c r="V23" i="115"/>
  <c r="U23" i="115"/>
  <c r="L23" i="115"/>
  <c r="W22" i="115"/>
  <c r="V22" i="115"/>
  <c r="U22" i="115"/>
  <c r="L22" i="115"/>
  <c r="W21" i="115"/>
  <c r="V21" i="115"/>
  <c r="U21" i="115"/>
  <c r="L21" i="115"/>
  <c r="R50" i="114"/>
  <c r="Q50" i="114"/>
  <c r="R49" i="114"/>
  <c r="Q49" i="114"/>
  <c r="R48" i="114"/>
  <c r="Q48" i="114"/>
  <c r="R47" i="114"/>
  <c r="Q47" i="114"/>
  <c r="R46" i="114"/>
  <c r="Q46" i="114"/>
  <c r="R45" i="114"/>
  <c r="Q45" i="114"/>
  <c r="R44" i="114"/>
  <c r="Q44" i="114"/>
  <c r="R43" i="114"/>
  <c r="Q43" i="114"/>
  <c r="S43" i="114" s="1"/>
  <c r="R42" i="114"/>
  <c r="Q42" i="114"/>
  <c r="R41" i="114"/>
  <c r="Q41" i="114"/>
  <c r="S41" i="114" s="1"/>
  <c r="R40" i="114"/>
  <c r="Q40" i="114"/>
  <c r="R39" i="114"/>
  <c r="Q39" i="114"/>
  <c r="R38" i="114"/>
  <c r="Q38" i="114"/>
  <c r="R37" i="114"/>
  <c r="Q37" i="114"/>
  <c r="R36" i="114"/>
  <c r="Q36" i="114"/>
  <c r="R35" i="114"/>
  <c r="Q35" i="114"/>
  <c r="R34" i="114"/>
  <c r="Q34" i="114"/>
  <c r="R33" i="114"/>
  <c r="Q33" i="114"/>
  <c r="R32" i="114"/>
  <c r="Q32" i="114"/>
  <c r="R31" i="114"/>
  <c r="Q31" i="114"/>
  <c r="R30" i="114"/>
  <c r="Q30" i="114"/>
  <c r="R29" i="114"/>
  <c r="Q29" i="114"/>
  <c r="R28" i="114"/>
  <c r="Q28" i="114"/>
  <c r="R27" i="114"/>
  <c r="Q27" i="114"/>
  <c r="R26" i="114"/>
  <c r="Q26" i="114"/>
  <c r="R25" i="114"/>
  <c r="Q25" i="114"/>
  <c r="R24" i="114"/>
  <c r="Q24" i="114"/>
  <c r="R23" i="114"/>
  <c r="Q23" i="114"/>
  <c r="R22" i="114"/>
  <c r="Q22" i="114"/>
  <c r="R21" i="114"/>
  <c r="Q21" i="114"/>
  <c r="R20" i="114"/>
  <c r="Q20" i="114"/>
  <c r="R19" i="114"/>
  <c r="Q19" i="114"/>
  <c r="R18" i="114"/>
  <c r="Q18" i="114"/>
  <c r="N50" i="114"/>
  <c r="N49" i="114"/>
  <c r="N48" i="114"/>
  <c r="H47" i="114"/>
  <c r="N46" i="114"/>
  <c r="N45" i="114"/>
  <c r="N44" i="114"/>
  <c r="H43" i="114"/>
  <c r="N42" i="114"/>
  <c r="H41" i="114"/>
  <c r="N40" i="114"/>
  <c r="H39" i="114"/>
  <c r="N38" i="114"/>
  <c r="N37" i="114"/>
  <c r="N36" i="114"/>
  <c r="H35" i="114"/>
  <c r="N34" i="114"/>
  <c r="N33" i="114"/>
  <c r="N32" i="114"/>
  <c r="H31" i="114"/>
  <c r="N30" i="114"/>
  <c r="N29" i="114"/>
  <c r="N28" i="114"/>
  <c r="H27" i="114"/>
  <c r="N26" i="114"/>
  <c r="H25" i="114"/>
  <c r="N24" i="114"/>
  <c r="H23" i="114"/>
  <c r="N22" i="114"/>
  <c r="N21" i="114"/>
  <c r="N20" i="114"/>
  <c r="H19" i="114"/>
  <c r="N18" i="114"/>
  <c r="H48" i="114"/>
  <c r="H40" i="114"/>
  <c r="B4" i="112"/>
  <c r="L42" i="95"/>
  <c r="L46" i="96"/>
  <c r="F6" i="96" s="1"/>
  <c r="S11" i="96"/>
  <c r="T11" i="96" s="1"/>
  <c r="O1" i="96"/>
  <c r="O1" i="95"/>
  <c r="S12" i="96"/>
  <c r="T12" i="96" s="1"/>
  <c r="U12" i="96" s="1"/>
  <c r="V12" i="96"/>
  <c r="V11" i="96"/>
  <c r="V10" i="96"/>
  <c r="S10" i="96"/>
  <c r="T10" i="96" s="1"/>
  <c r="U10" i="96" s="1"/>
  <c r="V9" i="96"/>
  <c r="S9" i="96"/>
  <c r="T9" i="96" s="1"/>
  <c r="U9" i="96" s="1"/>
  <c r="V8" i="96"/>
  <c r="S8" i="96"/>
  <c r="T8" i="96" s="1"/>
  <c r="U8" i="96" s="1"/>
  <c r="V7" i="96"/>
  <c r="S7" i="96"/>
  <c r="T7" i="96" s="1"/>
  <c r="U7" i="96" s="1"/>
  <c r="V6" i="96"/>
  <c r="S6" i="96"/>
  <c r="T6" i="96" s="1"/>
  <c r="U6" i="96" s="1"/>
  <c r="V5" i="96"/>
  <c r="S5" i="96"/>
  <c r="T5" i="96" s="1"/>
  <c r="U5" i="96" s="1"/>
  <c r="V4" i="96"/>
  <c r="S4" i="96"/>
  <c r="T4" i="96" s="1"/>
  <c r="U4" i="96" s="1"/>
  <c r="V3" i="96"/>
  <c r="S3" i="96"/>
  <c r="T3" i="96" s="1"/>
  <c r="U3" i="96" s="1"/>
  <c r="V2" i="96"/>
  <c r="S2" i="96"/>
  <c r="T2" i="96" s="1"/>
  <c r="U2" i="96" s="1"/>
  <c r="V1" i="96"/>
  <c r="S1" i="96"/>
  <c r="T1" i="96" s="1"/>
  <c r="U1" i="96" s="1"/>
  <c r="S45" i="114" l="1"/>
  <c r="N25" i="114"/>
  <c r="H24" i="114"/>
  <c r="H42" i="114"/>
  <c r="S21" i="114"/>
  <c r="S33" i="114"/>
  <c r="X21" i="115"/>
  <c r="Q21" i="115" s="1"/>
  <c r="X23" i="115"/>
  <c r="Q23" i="115" s="1"/>
  <c r="X28" i="115"/>
  <c r="Y28" i="115" s="1"/>
  <c r="X29" i="115"/>
  <c r="Q29" i="115" s="1"/>
  <c r="X31" i="115"/>
  <c r="Q31" i="115" s="1"/>
  <c r="X36" i="115"/>
  <c r="Y36" i="115" s="1"/>
  <c r="X37" i="115"/>
  <c r="M37" i="115" s="1"/>
  <c r="P37" i="115" s="1"/>
  <c r="X39" i="115"/>
  <c r="Y39" i="115" s="1"/>
  <c r="X40" i="115"/>
  <c r="M40" i="115" s="1"/>
  <c r="P40" i="115" s="1"/>
  <c r="X41" i="115"/>
  <c r="M41" i="115" s="1"/>
  <c r="P41" i="115" s="1"/>
  <c r="X43" i="115"/>
  <c r="M43" i="115" s="1"/>
  <c r="P43" i="115" s="1"/>
  <c r="X48" i="115"/>
  <c r="Q48" i="115" s="1"/>
  <c r="X50" i="115"/>
  <c r="M50" i="115" s="1"/>
  <c r="P50" i="115" s="1"/>
  <c r="H28" i="114"/>
  <c r="H45" i="114"/>
  <c r="S18" i="114"/>
  <c r="S20" i="114"/>
  <c r="S22" i="114"/>
  <c r="S24" i="114"/>
  <c r="S30" i="114"/>
  <c r="S32" i="114"/>
  <c r="S34" i="114"/>
  <c r="S50" i="114"/>
  <c r="H22" i="114"/>
  <c r="H33" i="114"/>
  <c r="H34" i="114"/>
  <c r="S37" i="114"/>
  <c r="H18" i="114"/>
  <c r="H38" i="114"/>
  <c r="X26" i="115"/>
  <c r="Y26" i="115" s="1"/>
  <c r="X34" i="115"/>
  <c r="M34" i="115" s="1"/>
  <c r="P34" i="115" s="1"/>
  <c r="H30" i="114"/>
  <c r="S23" i="114"/>
  <c r="S25" i="114"/>
  <c r="S27" i="114"/>
  <c r="S29" i="114"/>
  <c r="S31" i="114"/>
  <c r="X24" i="115"/>
  <c r="M24" i="115" s="1"/>
  <c r="P24" i="115" s="1"/>
  <c r="X32" i="115"/>
  <c r="M32" i="115" s="1"/>
  <c r="P32" i="115" s="1"/>
  <c r="M28" i="115"/>
  <c r="P28" i="115" s="1"/>
  <c r="Q28" i="115"/>
  <c r="H29" i="114"/>
  <c r="S49" i="114"/>
  <c r="H20" i="114"/>
  <c r="H36" i="114"/>
  <c r="H50" i="114"/>
  <c r="X22" i="115"/>
  <c r="M22" i="115" s="1"/>
  <c r="P22" i="115" s="1"/>
  <c r="X30" i="115"/>
  <c r="M30" i="115" s="1"/>
  <c r="P30" i="115" s="1"/>
  <c r="X38" i="115"/>
  <c r="Q38" i="115" s="1"/>
  <c r="H21" i="114"/>
  <c r="H26" i="114"/>
  <c r="H32" i="114"/>
  <c r="H37" i="114"/>
  <c r="H44" i="114"/>
  <c r="S19" i="114"/>
  <c r="S26" i="114"/>
  <c r="S28" i="114"/>
  <c r="S35" i="114"/>
  <c r="S40" i="114"/>
  <c r="X25" i="115"/>
  <c r="Q25" i="115" s="1"/>
  <c r="X27" i="115"/>
  <c r="Y27" i="115" s="1"/>
  <c r="X33" i="115"/>
  <c r="M33" i="115" s="1"/>
  <c r="P33" i="115" s="1"/>
  <c r="X35" i="115"/>
  <c r="Q35" i="115" s="1"/>
  <c r="X44" i="115"/>
  <c r="M44" i="115" s="1"/>
  <c r="P44" i="115" s="1"/>
  <c r="M48" i="115"/>
  <c r="P48" i="115" s="1"/>
  <c r="X42" i="115"/>
  <c r="Y42" i="115" s="1"/>
  <c r="X49" i="115"/>
  <c r="Y49" i="115" s="1"/>
  <c r="X45" i="115"/>
  <c r="M45" i="115" s="1"/>
  <c r="P45" i="115" s="1"/>
  <c r="X46" i="115"/>
  <c r="Y46" i="115" s="1"/>
  <c r="X47" i="115"/>
  <c r="Y47" i="115" s="1"/>
  <c r="Q43" i="115"/>
  <c r="Y43" i="115"/>
  <c r="Q50" i="115"/>
  <c r="Y21" i="115"/>
  <c r="M29" i="115"/>
  <c r="P29" i="115" s="1"/>
  <c r="Y29" i="115"/>
  <c r="Q37" i="115"/>
  <c r="Q39" i="115"/>
  <c r="Y48" i="115"/>
  <c r="H49" i="114"/>
  <c r="N41" i="114"/>
  <c r="S36" i="114"/>
  <c r="S38" i="114"/>
  <c r="S47" i="114"/>
  <c r="S42" i="114"/>
  <c r="S44" i="114"/>
  <c r="H46" i="114"/>
  <c r="S39" i="114"/>
  <c r="S46" i="114"/>
  <c r="S48" i="114"/>
  <c r="N47" i="114"/>
  <c r="N19" i="114"/>
  <c r="N23" i="114"/>
  <c r="N27" i="114"/>
  <c r="N31" i="114"/>
  <c r="N35" i="114"/>
  <c r="N39" i="114"/>
  <c r="N43" i="114"/>
  <c r="H11" i="96"/>
  <c r="J11" i="96" s="1"/>
  <c r="H8" i="96"/>
  <c r="J8" i="96" s="1"/>
  <c r="H9" i="96"/>
  <c r="J9" i="96" s="1"/>
  <c r="H10" i="96"/>
  <c r="J10" i="96" s="1"/>
  <c r="U11" i="96"/>
  <c r="S1" i="95"/>
  <c r="T1" i="95"/>
  <c r="U1" i="95" s="1"/>
  <c r="V1" i="95"/>
  <c r="S2" i="95"/>
  <c r="T2" i="95"/>
  <c r="U2" i="95" s="1"/>
  <c r="V2" i="95"/>
  <c r="S3" i="95"/>
  <c r="T3" i="95"/>
  <c r="U3" i="95" s="1"/>
  <c r="V3" i="95"/>
  <c r="S4" i="95"/>
  <c r="T4" i="95"/>
  <c r="U4" i="95" s="1"/>
  <c r="V4" i="95"/>
  <c r="S5" i="95"/>
  <c r="T5" i="95"/>
  <c r="U5" i="95" s="1"/>
  <c r="V5" i="95"/>
  <c r="S6" i="95"/>
  <c r="T6" i="95"/>
  <c r="U6" i="95" s="1"/>
  <c r="V6" i="95"/>
  <c r="S7" i="95"/>
  <c r="T7" i="95"/>
  <c r="U7" i="95" s="1"/>
  <c r="V7" i="95"/>
  <c r="S8" i="95"/>
  <c r="T8" i="95"/>
  <c r="U8" i="95" s="1"/>
  <c r="V8" i="95"/>
  <c r="S9" i="95"/>
  <c r="T9" i="95"/>
  <c r="U9" i="95" s="1"/>
  <c r="V9" i="95"/>
  <c r="S10" i="95"/>
  <c r="T10" i="95"/>
  <c r="U10" i="95" s="1"/>
  <c r="V10" i="95"/>
  <c r="S11" i="95"/>
  <c r="T11" i="95" s="1"/>
  <c r="U11" i="95" s="1"/>
  <c r="V11" i="95"/>
  <c r="S12" i="95"/>
  <c r="T12" i="95"/>
  <c r="U12" i="95" s="1"/>
  <c r="V12" i="95"/>
  <c r="F6" i="95"/>
  <c r="M25" i="115" l="1"/>
  <c r="P25" i="115" s="1"/>
  <c r="Y38" i="115"/>
  <c r="Y37" i="115"/>
  <c r="M31" i="115"/>
  <c r="P31" i="115" s="1"/>
  <c r="M23" i="115"/>
  <c r="P23" i="115" s="1"/>
  <c r="Q34" i="115"/>
  <c r="M26" i="115"/>
  <c r="P26" i="115" s="1"/>
  <c r="Q33" i="115"/>
  <c r="Y34" i="115"/>
  <c r="Q32" i="115"/>
  <c r="Y45" i="115"/>
  <c r="Y31" i="115"/>
  <c r="Q22" i="115"/>
  <c r="Q49" i="115"/>
  <c r="Y33" i="115"/>
  <c r="Q40" i="115"/>
  <c r="M21" i="115"/>
  <c r="P21" i="115" s="1"/>
  <c r="Y50" i="115"/>
  <c r="Y40" i="115"/>
  <c r="M39" i="115"/>
  <c r="P39" i="115" s="1"/>
  <c r="Y32" i="115"/>
  <c r="Y23" i="115"/>
  <c r="Q26" i="115"/>
  <c r="Q41" i="115"/>
  <c r="Q24" i="115"/>
  <c r="Q36" i="115"/>
  <c r="Y24" i="115"/>
  <c r="Q30" i="115"/>
  <c r="Y41" i="115"/>
  <c r="M27" i="115"/>
  <c r="P27" i="115" s="1"/>
  <c r="M36" i="115"/>
  <c r="P36" i="115" s="1"/>
  <c r="Y30" i="115"/>
  <c r="Y25" i="115"/>
  <c r="M35" i="115"/>
  <c r="P35" i="115" s="1"/>
  <c r="Y22" i="115"/>
  <c r="Y35" i="115"/>
  <c r="Q45" i="115"/>
  <c r="M47" i="115"/>
  <c r="P47" i="115" s="1"/>
  <c r="Q27" i="115"/>
  <c r="M38" i="115"/>
  <c r="P38" i="115" s="1"/>
  <c r="Y44" i="115"/>
  <c r="M49" i="115"/>
  <c r="P49" i="115" s="1"/>
  <c r="Q44" i="115"/>
  <c r="Q42" i="115"/>
  <c r="Q47" i="115"/>
  <c r="M42" i="115"/>
  <c r="P42" i="115" s="1"/>
  <c r="M46" i="115"/>
  <c r="P46" i="115" s="1"/>
  <c r="Q46" i="115"/>
  <c r="V13" i="95"/>
  <c r="V14" i="95"/>
  <c r="V15" i="95"/>
  <c r="V16" i="95"/>
  <c r="H8" i="95" l="1"/>
  <c r="H11" i="95"/>
  <c r="J11" i="95" s="1"/>
  <c r="H10" i="95"/>
  <c r="J10" i="95" s="1"/>
  <c r="H9" i="95"/>
  <c r="J9" i="95" s="1"/>
  <c r="Q88" i="28" l="1"/>
  <c r="P88" i="28" s="1"/>
  <c r="K88" i="28"/>
  <c r="J88" i="28"/>
  <c r="I88" i="28"/>
  <c r="H88" i="28"/>
  <c r="Q87" i="28"/>
  <c r="K87" i="28"/>
  <c r="J87" i="28"/>
  <c r="I87" i="28"/>
  <c r="H87" i="28"/>
  <c r="Q86" i="28"/>
  <c r="F86" i="28" s="1"/>
  <c r="K86" i="28"/>
  <c r="J86" i="28"/>
  <c r="I86" i="28"/>
  <c r="H86" i="28"/>
  <c r="Q85" i="28"/>
  <c r="F85" i="28" s="1"/>
  <c r="K85" i="28"/>
  <c r="J85" i="28"/>
  <c r="I85" i="28"/>
  <c r="H85" i="28"/>
  <c r="Q84" i="28"/>
  <c r="F84" i="28" s="1"/>
  <c r="K84" i="28"/>
  <c r="AA84" i="28" s="1"/>
  <c r="J84" i="28"/>
  <c r="I84" i="28"/>
  <c r="H84" i="28"/>
  <c r="Q83" i="28"/>
  <c r="K83" i="28"/>
  <c r="AA83" i="28" s="1"/>
  <c r="J83" i="28"/>
  <c r="I83" i="28"/>
  <c r="H83" i="28"/>
  <c r="Q82" i="28"/>
  <c r="F82" i="28" s="1"/>
  <c r="K82" i="28"/>
  <c r="AA82" i="28" s="1"/>
  <c r="J82" i="28"/>
  <c r="I82" i="28"/>
  <c r="H82" i="28"/>
  <c r="Q81" i="28"/>
  <c r="P81" i="28" s="1"/>
  <c r="K81" i="28"/>
  <c r="J81" i="28"/>
  <c r="I81" i="28"/>
  <c r="H81" i="28"/>
  <c r="Q80" i="28"/>
  <c r="P80" i="28" s="1"/>
  <c r="K80" i="28"/>
  <c r="J80" i="28"/>
  <c r="I80" i="28"/>
  <c r="H80" i="28"/>
  <c r="Q79" i="28"/>
  <c r="K79" i="28"/>
  <c r="J79" i="28"/>
  <c r="I79" i="28"/>
  <c r="H79" i="28"/>
  <c r="Q78" i="28"/>
  <c r="F78" i="28" s="1"/>
  <c r="K78" i="28"/>
  <c r="AA78" i="28" s="1"/>
  <c r="J78" i="28"/>
  <c r="I78" i="28"/>
  <c r="H78" i="28"/>
  <c r="Q77" i="28"/>
  <c r="F77" i="28" s="1"/>
  <c r="K77" i="28"/>
  <c r="J77" i="28"/>
  <c r="I77" i="28"/>
  <c r="H77" i="28"/>
  <c r="Q76" i="28"/>
  <c r="F76" i="28" s="1"/>
  <c r="K76" i="28"/>
  <c r="AA76" i="28" s="1"/>
  <c r="J76" i="28"/>
  <c r="I76" i="28"/>
  <c r="H76" i="28"/>
  <c r="Q75" i="28"/>
  <c r="K75" i="28"/>
  <c r="AA75" i="28" s="1"/>
  <c r="J75" i="28"/>
  <c r="I75" i="28"/>
  <c r="H75" i="28"/>
  <c r="Q74" i="28"/>
  <c r="F74" i="28" s="1"/>
  <c r="K74" i="28"/>
  <c r="J74" i="28"/>
  <c r="I74" i="28"/>
  <c r="H74" i="28"/>
  <c r="Q73" i="28"/>
  <c r="P73" i="28" s="1"/>
  <c r="K73" i="28"/>
  <c r="J73" i="28"/>
  <c r="I73" i="28"/>
  <c r="H73" i="28"/>
  <c r="Q72" i="28"/>
  <c r="P72" i="28" s="1"/>
  <c r="K72" i="28"/>
  <c r="AA72" i="28" s="1"/>
  <c r="J72" i="28"/>
  <c r="I72" i="28"/>
  <c r="H72" i="28"/>
  <c r="Q71" i="28"/>
  <c r="K71" i="28"/>
  <c r="J71" i="28"/>
  <c r="I71" i="28"/>
  <c r="H71" i="28"/>
  <c r="Q70" i="28"/>
  <c r="F70" i="28" s="1"/>
  <c r="K70" i="28"/>
  <c r="J70" i="28"/>
  <c r="I70" i="28"/>
  <c r="H70" i="28"/>
  <c r="Q69" i="28"/>
  <c r="P69" i="28" s="1"/>
  <c r="K69" i="28"/>
  <c r="AA69" i="28" s="1"/>
  <c r="J69" i="28"/>
  <c r="I69" i="28"/>
  <c r="H69" i="28"/>
  <c r="Q68" i="28"/>
  <c r="P68" i="28" s="1"/>
  <c r="K68" i="28"/>
  <c r="J68" i="28"/>
  <c r="I68" i="28"/>
  <c r="H68" i="28"/>
  <c r="Q67" i="28"/>
  <c r="K67" i="28"/>
  <c r="AA67" i="28" s="1"/>
  <c r="J67" i="28"/>
  <c r="I67" i="28"/>
  <c r="H67" i="28"/>
  <c r="Q66" i="28"/>
  <c r="F66" i="28" s="1"/>
  <c r="K66" i="28"/>
  <c r="J66" i="28"/>
  <c r="I66" i="28"/>
  <c r="H66" i="28"/>
  <c r="Q65" i="28"/>
  <c r="P65" i="28" s="1"/>
  <c r="K65" i="28"/>
  <c r="J65" i="28"/>
  <c r="I65" i="28"/>
  <c r="H65" i="28"/>
  <c r="Q64" i="28"/>
  <c r="P64" i="28" s="1"/>
  <c r="K64" i="28"/>
  <c r="AA64" i="28" s="1"/>
  <c r="J64" i="28"/>
  <c r="I64" i="28"/>
  <c r="H64" i="28"/>
  <c r="Q63" i="28"/>
  <c r="K63" i="28"/>
  <c r="AA63" i="28" s="1"/>
  <c r="J63" i="28"/>
  <c r="I63" i="28"/>
  <c r="H63" i="28"/>
  <c r="Q62" i="28"/>
  <c r="F62" i="28" s="1"/>
  <c r="K62" i="28"/>
  <c r="J62" i="28"/>
  <c r="I62" i="28"/>
  <c r="H62" i="28"/>
  <c r="Q61" i="28"/>
  <c r="P61" i="28" s="1"/>
  <c r="K61" i="28"/>
  <c r="J61" i="28"/>
  <c r="I61" i="28"/>
  <c r="H61" i="28"/>
  <c r="Q60" i="28"/>
  <c r="P60" i="28" s="1"/>
  <c r="K60" i="28"/>
  <c r="AA60" i="28" s="1"/>
  <c r="J60" i="28"/>
  <c r="I60" i="28"/>
  <c r="H60" i="28"/>
  <c r="Q59" i="28"/>
  <c r="K59" i="28"/>
  <c r="AA59" i="28" s="1"/>
  <c r="J59" i="28"/>
  <c r="I59" i="28"/>
  <c r="H59" i="28"/>
  <c r="Q58" i="28"/>
  <c r="F58" i="28" s="1"/>
  <c r="K58" i="28"/>
  <c r="J58" i="28"/>
  <c r="I58" i="28"/>
  <c r="H58" i="28"/>
  <c r="Q57" i="28"/>
  <c r="F57" i="28" s="1"/>
  <c r="K57" i="28"/>
  <c r="J57" i="28"/>
  <c r="I57" i="28"/>
  <c r="H57" i="28"/>
  <c r="Q56" i="28"/>
  <c r="P56" i="28" s="1"/>
  <c r="K56" i="28"/>
  <c r="J56" i="28"/>
  <c r="I56" i="28"/>
  <c r="H56" i="28"/>
  <c r="Q55" i="28"/>
  <c r="K55" i="28"/>
  <c r="J55" i="28"/>
  <c r="I55" i="28"/>
  <c r="H55" i="28"/>
  <c r="Q54" i="28"/>
  <c r="F54" i="28" s="1"/>
  <c r="K54" i="28"/>
  <c r="J54" i="28"/>
  <c r="I54" i="28"/>
  <c r="H54" i="28"/>
  <c r="Q53" i="28"/>
  <c r="F53" i="28" s="1"/>
  <c r="K53" i="28"/>
  <c r="J53" i="28"/>
  <c r="I53" i="28"/>
  <c r="H53" i="28"/>
  <c r="Q52" i="28"/>
  <c r="P52" i="28" s="1"/>
  <c r="K52" i="28"/>
  <c r="AA52" i="28" s="1"/>
  <c r="J52" i="28"/>
  <c r="I52" i="28"/>
  <c r="H52" i="28"/>
  <c r="Q51" i="28"/>
  <c r="K51" i="28"/>
  <c r="J51" i="28"/>
  <c r="I51" i="28"/>
  <c r="H51" i="28"/>
  <c r="Q50" i="28"/>
  <c r="F50" i="28" s="1"/>
  <c r="K50" i="28"/>
  <c r="J50" i="28"/>
  <c r="I50" i="28"/>
  <c r="H50" i="28"/>
  <c r="Q49" i="28"/>
  <c r="F49" i="28" s="1"/>
  <c r="K49" i="28"/>
  <c r="J49" i="28"/>
  <c r="I49" i="28"/>
  <c r="H49" i="28"/>
  <c r="Q48" i="28"/>
  <c r="P48" i="28" s="1"/>
  <c r="K48" i="28"/>
  <c r="J48" i="28"/>
  <c r="I48" i="28"/>
  <c r="H48" i="28"/>
  <c r="Q47" i="28"/>
  <c r="K47" i="28"/>
  <c r="AA47" i="28" s="1"/>
  <c r="J47" i="28"/>
  <c r="I47" i="28"/>
  <c r="H47" i="28"/>
  <c r="Q46" i="28"/>
  <c r="F46" i="28" s="1"/>
  <c r="K46" i="28"/>
  <c r="J46" i="28"/>
  <c r="I46" i="28"/>
  <c r="H46" i="28"/>
  <c r="Q45" i="28"/>
  <c r="P45" i="28" s="1"/>
  <c r="K45" i="28"/>
  <c r="J45" i="28"/>
  <c r="I45" i="28"/>
  <c r="H45" i="28"/>
  <c r="Q44" i="28"/>
  <c r="P44" i="28" s="1"/>
  <c r="K44" i="28"/>
  <c r="AA44" i="28" s="1"/>
  <c r="J44" i="28"/>
  <c r="I44" i="28"/>
  <c r="H44" i="28"/>
  <c r="Q43" i="28"/>
  <c r="K43" i="28"/>
  <c r="AA43" i="28" s="1"/>
  <c r="J43" i="28"/>
  <c r="I43" i="28"/>
  <c r="H43" i="28"/>
  <c r="Q42" i="28"/>
  <c r="F42" i="28" s="1"/>
  <c r="K42" i="28"/>
  <c r="J42" i="28"/>
  <c r="I42" i="28"/>
  <c r="H42" i="28"/>
  <c r="Q41" i="28"/>
  <c r="P41" i="28" s="1"/>
  <c r="K41" i="28"/>
  <c r="J41" i="28"/>
  <c r="I41" i="28"/>
  <c r="H41" i="28"/>
  <c r="Q40" i="28"/>
  <c r="P40" i="28" s="1"/>
  <c r="K40" i="28"/>
  <c r="J40" i="28"/>
  <c r="I40" i="28"/>
  <c r="H40" i="28"/>
  <c r="Q39" i="28"/>
  <c r="K39" i="28"/>
  <c r="AA39" i="28" s="1"/>
  <c r="J39" i="28"/>
  <c r="I39" i="28"/>
  <c r="H39" i="28"/>
  <c r="Q38" i="28"/>
  <c r="F38" i="28" s="1"/>
  <c r="K38" i="28"/>
  <c r="J38" i="28"/>
  <c r="I38" i="28"/>
  <c r="H38" i="28"/>
  <c r="P38" i="81"/>
  <c r="P46" i="81"/>
  <c r="T3" i="81"/>
  <c r="P2" i="81"/>
  <c r="P1" i="81"/>
  <c r="P2" i="85"/>
  <c r="P1" i="85"/>
  <c r="P91" i="29"/>
  <c r="O36" i="29"/>
  <c r="B14" i="146" s="1"/>
  <c r="T36" i="29"/>
  <c r="M36" i="29"/>
  <c r="F69" i="28" l="1"/>
  <c r="AC70" i="28"/>
  <c r="F80" i="28"/>
  <c r="AD80" i="28"/>
  <c r="P84" i="28"/>
  <c r="P53" i="28"/>
  <c r="AC54" i="28"/>
  <c r="F56" i="28"/>
  <c r="F88" i="28"/>
  <c r="H92" i="29"/>
  <c r="H91" i="29"/>
  <c r="F52" i="28"/>
  <c r="AD79" i="28"/>
  <c r="F81" i="28"/>
  <c r="AB81" i="28"/>
  <c r="AC87" i="28"/>
  <c r="P85" i="28"/>
  <c r="AC86" i="28"/>
  <c r="AB41" i="28"/>
  <c r="AD68" i="28"/>
  <c r="AD67" i="28"/>
  <c r="AC55" i="28"/>
  <c r="AC58" i="28"/>
  <c r="AD43" i="28"/>
  <c r="AA68" i="28"/>
  <c r="AD70" i="28"/>
  <c r="AD71" i="28"/>
  <c r="AD38" i="28"/>
  <c r="AC50" i="28"/>
  <c r="P77" i="28"/>
  <c r="AD39" i="28"/>
  <c r="AB44" i="28"/>
  <c r="AB48" i="28"/>
  <c r="AB53" i="28"/>
  <c r="P78" i="28"/>
  <c r="AA80" i="28"/>
  <c r="AD82" i="28"/>
  <c r="P82" i="28"/>
  <c r="AC42" i="28"/>
  <c r="AC46" i="28"/>
  <c r="AB56" i="28"/>
  <c r="AD63" i="28"/>
  <c r="AB66" i="28"/>
  <c r="AD75" i="28"/>
  <c r="AB86" i="28"/>
  <c r="AD88" i="28"/>
  <c r="AC38" i="28"/>
  <c r="F44" i="28"/>
  <c r="AB45" i="28"/>
  <c r="AD47" i="28"/>
  <c r="AA48" i="28"/>
  <c r="AB49" i="28"/>
  <c r="AD51" i="28"/>
  <c r="AD59" i="28"/>
  <c r="AB62" i="28"/>
  <c r="P66" i="28"/>
  <c r="AA71" i="28"/>
  <c r="AB74" i="28"/>
  <c r="P86" i="28"/>
  <c r="F41" i="28"/>
  <c r="P49" i="28"/>
  <c r="P57" i="28"/>
  <c r="P62" i="28"/>
  <c r="P70" i="28"/>
  <c r="AD72" i="28"/>
  <c r="P74" i="28"/>
  <c r="P76" i="28"/>
  <c r="AB78" i="28"/>
  <c r="AD83" i="28"/>
  <c r="AD42" i="28"/>
  <c r="AD66" i="28"/>
  <c r="AD74" i="28"/>
  <c r="AC78" i="28"/>
  <c r="AC39" i="28"/>
  <c r="F40" i="28"/>
  <c r="F45" i="28"/>
  <c r="AD46" i="28"/>
  <c r="AA51" i="28"/>
  <c r="AA55" i="28"/>
  <c r="AA56" i="28"/>
  <c r="AD58" i="28"/>
  <c r="F61" i="28"/>
  <c r="AB61" i="28"/>
  <c r="F65" i="28"/>
  <c r="AB65" i="28"/>
  <c r="AC71" i="28"/>
  <c r="F72" i="28"/>
  <c r="F73" i="28"/>
  <c r="AB73" i="28"/>
  <c r="AD78" i="28"/>
  <c r="AD86" i="28"/>
  <c r="AA87" i="28"/>
  <c r="AD62" i="28"/>
  <c r="AC79" i="28"/>
  <c r="AB38" i="28"/>
  <c r="F48" i="28"/>
  <c r="AD50" i="28"/>
  <c r="AD54" i="28"/>
  <c r="AD55" i="28"/>
  <c r="AB57" i="28"/>
  <c r="AC59" i="28"/>
  <c r="F60" i="28"/>
  <c r="AB60" i="28"/>
  <c r="AC62" i="28"/>
  <c r="AC63" i="28"/>
  <c r="F64" i="28"/>
  <c r="AD64" i="28"/>
  <c r="AC66" i="28"/>
  <c r="AC67" i="28"/>
  <c r="AB70" i="28"/>
  <c r="AC74" i="28"/>
  <c r="AC75" i="28"/>
  <c r="AD76" i="28"/>
  <c r="AA79" i="28"/>
  <c r="AB82" i="28"/>
  <c r="AC82" i="28"/>
  <c r="AC83" i="28"/>
  <c r="AD84" i="28"/>
  <c r="AB85" i="28"/>
  <c r="AD87" i="28"/>
  <c r="AA88" i="28"/>
  <c r="F68" i="28"/>
  <c r="AA77" i="28"/>
  <c r="AD77" i="28"/>
  <c r="AC77" i="28"/>
  <c r="P79" i="28"/>
  <c r="F79" i="28"/>
  <c r="P38" i="28"/>
  <c r="P39" i="28"/>
  <c r="F39" i="28"/>
  <c r="AA41" i="28"/>
  <c r="AD41" i="28"/>
  <c r="AC41" i="28"/>
  <c r="AB42" i="28"/>
  <c r="AC43" i="28"/>
  <c r="AD44" i="28"/>
  <c r="AC44" i="28"/>
  <c r="AA45" i="28"/>
  <c r="AD45" i="28"/>
  <c r="AC45" i="28"/>
  <c r="AB46" i="28"/>
  <c r="AC47" i="28"/>
  <c r="AD48" i="28"/>
  <c r="AC48" i="28"/>
  <c r="AA49" i="28"/>
  <c r="AD49" i="28"/>
  <c r="AC49" i="28"/>
  <c r="AB50" i="28"/>
  <c r="AC51" i="28"/>
  <c r="AD52" i="28"/>
  <c r="AC52" i="28"/>
  <c r="AB52" i="28"/>
  <c r="P63" i="28"/>
  <c r="F63" i="28"/>
  <c r="P75" i="28"/>
  <c r="F75" i="28"/>
  <c r="P87" i="28"/>
  <c r="F87" i="28"/>
  <c r="AD69" i="28"/>
  <c r="AC69" i="28"/>
  <c r="P42" i="28"/>
  <c r="P43" i="28"/>
  <c r="F43" i="28"/>
  <c r="P46" i="28"/>
  <c r="P47" i="28"/>
  <c r="F47" i="28"/>
  <c r="P50" i="28"/>
  <c r="P51" i="28"/>
  <c r="F51" i="28"/>
  <c r="AA53" i="28"/>
  <c r="AD53" i="28"/>
  <c r="AC53" i="28"/>
  <c r="AB54" i="28"/>
  <c r="AD56" i="28"/>
  <c r="AC56" i="28"/>
  <c r="AA57" i="28"/>
  <c r="AD57" i="28"/>
  <c r="AC57" i="28"/>
  <c r="AB58" i="28"/>
  <c r="AD60" i="28"/>
  <c r="AC60" i="28"/>
  <c r="AA61" i="28"/>
  <c r="AC61" i="28"/>
  <c r="AD61" i="28"/>
  <c r="P67" i="28"/>
  <c r="F67" i="28"/>
  <c r="AA73" i="28"/>
  <c r="AD73" i="28"/>
  <c r="AC73" i="28"/>
  <c r="AA85" i="28"/>
  <c r="AC85" i="28"/>
  <c r="AD85" i="28"/>
  <c r="AD40" i="28"/>
  <c r="AC40" i="28"/>
  <c r="AB40" i="28"/>
  <c r="AA40" i="28"/>
  <c r="P54" i="28"/>
  <c r="P55" i="28"/>
  <c r="F55" i="28"/>
  <c r="P58" i="28"/>
  <c r="P59" i="28"/>
  <c r="F59" i="28"/>
  <c r="AA65" i="28"/>
  <c r="AD65" i="28"/>
  <c r="AC65" i="28"/>
  <c r="AB69" i="28"/>
  <c r="P71" i="28"/>
  <c r="F71" i="28"/>
  <c r="AB77" i="28"/>
  <c r="AA81" i="28"/>
  <c r="AD81" i="28"/>
  <c r="AC81" i="28"/>
  <c r="P83" i="28"/>
  <c r="F83" i="28"/>
  <c r="AB64" i="28"/>
  <c r="AB84" i="28"/>
  <c r="AB88" i="28"/>
  <c r="AA38" i="28"/>
  <c r="AB39" i="28"/>
  <c r="AA42" i="28"/>
  <c r="AB43" i="28"/>
  <c r="AA46" i="28"/>
  <c r="AB47" i="28"/>
  <c r="AA50" i="28"/>
  <c r="AB51" i="28"/>
  <c r="AA54" i="28"/>
  <c r="AB55" i="28"/>
  <c r="AA58" i="28"/>
  <c r="AB59" i="28"/>
  <c r="AA62" i="28"/>
  <c r="AB63" i="28"/>
  <c r="AC64" i="28"/>
  <c r="AA66" i="28"/>
  <c r="AB67" i="28"/>
  <c r="AC68" i="28"/>
  <c r="AA70" i="28"/>
  <c r="AB71" i="28"/>
  <c r="AC72" i="28"/>
  <c r="AA74" i="28"/>
  <c r="AB75" i="28"/>
  <c r="AC76" i="28"/>
  <c r="AB79" i="28"/>
  <c r="AC80" i="28"/>
  <c r="AB83" i="28"/>
  <c r="AC84" i="28"/>
  <c r="AA86" i="28"/>
  <c r="AB87" i="28"/>
  <c r="AC88" i="28"/>
  <c r="AB68" i="28"/>
  <c r="AB72" i="28"/>
  <c r="AB76" i="28"/>
  <c r="AB80" i="28"/>
  <c r="H93" i="29"/>
  <c r="H94" i="29"/>
  <c r="T3" i="85" l="1"/>
  <c r="T35" i="85"/>
  <c r="E36" i="85"/>
  <c r="N47" i="74"/>
  <c r="N48" i="74"/>
  <c r="N49" i="74"/>
  <c r="N50" i="74"/>
  <c r="N51" i="74"/>
  <c r="N52" i="74"/>
  <c r="N53" i="74"/>
  <c r="N54" i="74"/>
  <c r="N55" i="74"/>
  <c r="N56" i="74"/>
  <c r="N57" i="74"/>
  <c r="N58" i="74"/>
  <c r="N59" i="74"/>
  <c r="N60" i="74"/>
  <c r="L47" i="74"/>
  <c r="J47" i="74" s="1"/>
  <c r="K47" i="74" s="1"/>
  <c r="L48" i="74"/>
  <c r="J48" i="74" s="1"/>
  <c r="K48" i="74" s="1"/>
  <c r="L49" i="74"/>
  <c r="J49" i="74" s="1"/>
  <c r="K49" i="74" s="1"/>
  <c r="L50" i="74"/>
  <c r="L51" i="74"/>
  <c r="J51" i="74" s="1"/>
  <c r="K51" i="74" s="1"/>
  <c r="L52" i="74"/>
  <c r="J52" i="74" s="1"/>
  <c r="K52" i="74" s="1"/>
  <c r="L53" i="74"/>
  <c r="J53" i="74" s="1"/>
  <c r="K53" i="74" s="1"/>
  <c r="L54" i="74"/>
  <c r="J54" i="74" s="1"/>
  <c r="K54" i="74" s="1"/>
  <c r="L55" i="74"/>
  <c r="J55" i="74" s="1"/>
  <c r="K55" i="74" s="1"/>
  <c r="L56" i="74"/>
  <c r="J56" i="74" s="1"/>
  <c r="K56" i="74" s="1"/>
  <c r="L57" i="74"/>
  <c r="J57" i="74" s="1"/>
  <c r="K57" i="74" s="1"/>
  <c r="L58" i="74"/>
  <c r="J58" i="74" s="1"/>
  <c r="K58" i="74" s="1"/>
  <c r="L59" i="74"/>
  <c r="J59" i="74" s="1"/>
  <c r="K59" i="74" s="1"/>
  <c r="L60" i="74"/>
  <c r="J60" i="74" s="1"/>
  <c r="K60" i="74" s="1"/>
  <c r="L37" i="74"/>
  <c r="L36" i="74"/>
  <c r="L35" i="74"/>
  <c r="L34" i="74"/>
  <c r="L33" i="74"/>
  <c r="L32" i="74"/>
  <c r="L31" i="74"/>
  <c r="L30" i="74"/>
  <c r="L29" i="74"/>
  <c r="N576" i="58"/>
  <c r="S575" i="58"/>
  <c r="AB573" i="58"/>
  <c r="AA573" i="58"/>
  <c r="I573" i="58"/>
  <c r="F573" i="58"/>
  <c r="AB572" i="58"/>
  <c r="AA572" i="58"/>
  <c r="G572" i="58"/>
  <c r="AB571" i="58"/>
  <c r="AA571" i="58"/>
  <c r="AB570" i="58"/>
  <c r="AA570" i="58"/>
  <c r="AB569" i="58"/>
  <c r="AA569" i="58"/>
  <c r="H568" i="58"/>
  <c r="L568" i="58" s="1"/>
  <c r="F567" i="58"/>
  <c r="L567" i="58" s="1"/>
  <c r="H565" i="58"/>
  <c r="J531" i="58"/>
  <c r="L531" i="58" s="1"/>
  <c r="T562" i="58"/>
  <c r="B558" i="58"/>
  <c r="T554" i="58"/>
  <c r="S554" i="58"/>
  <c r="M531" i="58"/>
  <c r="B556" i="58" s="1"/>
  <c r="N528" i="58"/>
  <c r="S527" i="58"/>
  <c r="AB525" i="58"/>
  <c r="AA525" i="58"/>
  <c r="I525" i="58"/>
  <c r="H525" i="58"/>
  <c r="G525" i="58"/>
  <c r="F525" i="58"/>
  <c r="AB524" i="58"/>
  <c r="AA524" i="58"/>
  <c r="G524" i="58"/>
  <c r="AB523" i="58"/>
  <c r="AA523" i="58"/>
  <c r="AB522" i="58"/>
  <c r="AA522" i="58"/>
  <c r="H522" i="58"/>
  <c r="P522" i="58" s="1"/>
  <c r="O693" i="58" s="1"/>
  <c r="Q693" i="58" s="1"/>
  <c r="AB521" i="58"/>
  <c r="AA521" i="58"/>
  <c r="B521" i="58"/>
  <c r="D521" i="58" s="1"/>
  <c r="L521" i="58" s="1"/>
  <c r="H520" i="58"/>
  <c r="L520" i="58" s="1"/>
  <c r="F519" i="58"/>
  <c r="L519" i="58" s="1"/>
  <c r="H517" i="58"/>
  <c r="T525" i="58" s="1"/>
  <c r="G504" i="58"/>
  <c r="L504" i="58" s="1"/>
  <c r="T514" i="58"/>
  <c r="B510" i="58"/>
  <c r="T506" i="58"/>
  <c r="S506" i="58"/>
  <c r="M483" i="58"/>
  <c r="B508" i="58" s="1"/>
  <c r="N480" i="58"/>
  <c r="S479" i="58"/>
  <c r="AB477" i="58"/>
  <c r="AA477" i="58"/>
  <c r="H477" i="58"/>
  <c r="G477" i="58"/>
  <c r="F477" i="58"/>
  <c r="AB476" i="58"/>
  <c r="AA476" i="58"/>
  <c r="G476" i="58"/>
  <c r="AB475" i="58"/>
  <c r="AA475" i="58"/>
  <c r="AB474" i="58"/>
  <c r="AA474" i="58"/>
  <c r="H474" i="58"/>
  <c r="P474" i="58" s="1"/>
  <c r="O692" i="58" s="1"/>
  <c r="Q692" i="58" s="1"/>
  <c r="AB473" i="58"/>
  <c r="AA473" i="58"/>
  <c r="B473" i="58"/>
  <c r="D473" i="58" s="1"/>
  <c r="L473" i="58" s="1"/>
  <c r="H472" i="58"/>
  <c r="L472" i="58" s="1"/>
  <c r="F471" i="58"/>
  <c r="L471" i="58" s="1"/>
  <c r="H469" i="58"/>
  <c r="T477" i="58" s="1"/>
  <c r="I477" i="58" s="1"/>
  <c r="G456" i="58"/>
  <c r="L456" i="58" s="1"/>
  <c r="T466" i="58"/>
  <c r="B462" i="58"/>
  <c r="T458" i="58"/>
  <c r="S458" i="58"/>
  <c r="M435" i="58"/>
  <c r="B460" i="58" s="1"/>
  <c r="N432" i="58"/>
  <c r="S431" i="58"/>
  <c r="AB429" i="58"/>
  <c r="AA429" i="58"/>
  <c r="I429" i="58"/>
  <c r="H429" i="58"/>
  <c r="F429" i="58"/>
  <c r="AB428" i="58"/>
  <c r="AA428" i="58"/>
  <c r="G428" i="58"/>
  <c r="AB427" i="58"/>
  <c r="AA427" i="58"/>
  <c r="AB426" i="58"/>
  <c r="AA426" i="58"/>
  <c r="H426" i="58"/>
  <c r="P426" i="58" s="1"/>
  <c r="O691" i="58" s="1"/>
  <c r="Q691" i="58" s="1"/>
  <c r="AB425" i="58"/>
  <c r="AA425" i="58"/>
  <c r="B425" i="58"/>
  <c r="D425" i="58" s="1"/>
  <c r="L425" i="58" s="1"/>
  <c r="H424" i="58"/>
  <c r="L424" i="58" s="1"/>
  <c r="F423" i="58"/>
  <c r="L423" i="58" s="1"/>
  <c r="H421" i="58"/>
  <c r="T429" i="58" s="1"/>
  <c r="G429" i="58" s="1"/>
  <c r="H406" i="58"/>
  <c r="L406" i="58" s="1"/>
  <c r="T418" i="58"/>
  <c r="B414" i="58"/>
  <c r="T410" i="58"/>
  <c r="S410" i="58"/>
  <c r="M387" i="58"/>
  <c r="B412" i="58" s="1"/>
  <c r="N384" i="58"/>
  <c r="S383" i="58"/>
  <c r="AB381" i="58"/>
  <c r="AA381" i="58"/>
  <c r="I381" i="58"/>
  <c r="G381" i="58"/>
  <c r="F381" i="58"/>
  <c r="AB380" i="58"/>
  <c r="AA380" i="58"/>
  <c r="G380" i="58"/>
  <c r="AB379" i="58"/>
  <c r="AA379" i="58"/>
  <c r="AB378" i="58"/>
  <c r="AA378" i="58"/>
  <c r="AB377" i="58"/>
  <c r="AA377" i="58"/>
  <c r="H378" i="58"/>
  <c r="P378" i="58" s="1"/>
  <c r="O690" i="58" s="1"/>
  <c r="Q690" i="58" s="1"/>
  <c r="B377" i="58"/>
  <c r="D377" i="58" s="1"/>
  <c r="L377" i="58" s="1"/>
  <c r="H376" i="58"/>
  <c r="L376" i="58" s="1"/>
  <c r="F375" i="58"/>
  <c r="L375" i="58" s="1"/>
  <c r="H373" i="58"/>
  <c r="T381" i="58" s="1"/>
  <c r="H381" i="58" s="1"/>
  <c r="G360" i="58"/>
  <c r="L360" i="58" s="1"/>
  <c r="T370" i="58"/>
  <c r="B366" i="58"/>
  <c r="T362" i="58"/>
  <c r="S362" i="58"/>
  <c r="M339" i="58"/>
  <c r="B364" i="58" s="1"/>
  <c r="N336" i="58"/>
  <c r="S335" i="58"/>
  <c r="AB333" i="58"/>
  <c r="AA333" i="58"/>
  <c r="I333" i="58"/>
  <c r="H333" i="58"/>
  <c r="G333" i="58"/>
  <c r="F333" i="58"/>
  <c r="AB332" i="58"/>
  <c r="AA332" i="58"/>
  <c r="G332" i="58"/>
  <c r="AB331" i="58"/>
  <c r="AA331" i="58"/>
  <c r="AB330" i="58"/>
  <c r="AA330" i="58"/>
  <c r="H330" i="58"/>
  <c r="P330" i="58" s="1"/>
  <c r="O689" i="58" s="1"/>
  <c r="AB329" i="58"/>
  <c r="AA329" i="58"/>
  <c r="B329" i="58"/>
  <c r="D329" i="58" s="1"/>
  <c r="L329" i="58" s="1"/>
  <c r="H328" i="58"/>
  <c r="L328" i="58" s="1"/>
  <c r="F327" i="58"/>
  <c r="L327" i="58" s="1"/>
  <c r="H325" i="58"/>
  <c r="T333" i="58" s="1"/>
  <c r="T322" i="58"/>
  <c r="B318" i="58"/>
  <c r="T314" i="58"/>
  <c r="S314" i="58"/>
  <c r="G314" i="58"/>
  <c r="L314" i="58" s="1"/>
  <c r="M291" i="58"/>
  <c r="B316" i="58" s="1"/>
  <c r="N288" i="58"/>
  <c r="S287" i="58"/>
  <c r="AB285" i="58"/>
  <c r="AA285" i="58"/>
  <c r="I285" i="58"/>
  <c r="H285" i="58"/>
  <c r="G285" i="58"/>
  <c r="F285" i="58"/>
  <c r="AB284" i="58"/>
  <c r="AA284" i="58"/>
  <c r="G284" i="58"/>
  <c r="AB283" i="58"/>
  <c r="AA283" i="58"/>
  <c r="AB282" i="58"/>
  <c r="AA282" i="58"/>
  <c r="H282" i="58"/>
  <c r="P282" i="58" s="1"/>
  <c r="O688" i="58" s="1"/>
  <c r="AB281" i="58"/>
  <c r="AA281" i="58"/>
  <c r="B281" i="58"/>
  <c r="D281" i="58" s="1"/>
  <c r="L281" i="58" s="1"/>
  <c r="H280" i="58"/>
  <c r="L280" i="58" s="1"/>
  <c r="F279" i="58"/>
  <c r="L279" i="58" s="1"/>
  <c r="H277" i="58"/>
  <c r="T285" i="58" s="1"/>
  <c r="T274" i="58"/>
  <c r="B270" i="58"/>
  <c r="T266" i="58"/>
  <c r="S266" i="58"/>
  <c r="G264" i="58"/>
  <c r="L264" i="58" s="1"/>
  <c r="H262" i="58"/>
  <c r="L262" i="58" s="1"/>
  <c r="M243" i="58"/>
  <c r="B268" i="58" s="1"/>
  <c r="J243" i="58"/>
  <c r="L243" i="58" s="1"/>
  <c r="N240" i="58"/>
  <c r="S239" i="58"/>
  <c r="AB237" i="58"/>
  <c r="AA237" i="58"/>
  <c r="I237" i="58"/>
  <c r="H237" i="58"/>
  <c r="G237" i="58"/>
  <c r="F237" i="58"/>
  <c r="AB236" i="58"/>
  <c r="AA236" i="58"/>
  <c r="G236" i="58"/>
  <c r="AB235" i="58"/>
  <c r="AA235" i="58"/>
  <c r="AB234" i="58"/>
  <c r="AA234" i="58"/>
  <c r="H234" i="58"/>
  <c r="P234" i="58" s="1"/>
  <c r="O687" i="58" s="1"/>
  <c r="AB233" i="58"/>
  <c r="AA233" i="58"/>
  <c r="B233" i="58"/>
  <c r="D233" i="58" s="1"/>
  <c r="L233" i="58" s="1"/>
  <c r="H232" i="58"/>
  <c r="L232" i="58" s="1"/>
  <c r="F231" i="58"/>
  <c r="L231" i="58" s="1"/>
  <c r="H229" i="58"/>
  <c r="L197" i="58"/>
  <c r="T226" i="58"/>
  <c r="B222" i="58"/>
  <c r="T218" i="58"/>
  <c r="S218" i="58"/>
  <c r="M195" i="58"/>
  <c r="B220" i="58" s="1"/>
  <c r="N192" i="58"/>
  <c r="S191" i="58"/>
  <c r="AB189" i="58"/>
  <c r="AA189" i="58"/>
  <c r="I189" i="58"/>
  <c r="H189" i="58"/>
  <c r="G189" i="58"/>
  <c r="F189" i="58"/>
  <c r="AB188" i="58"/>
  <c r="AA188" i="58"/>
  <c r="G188" i="58"/>
  <c r="AB187" i="58"/>
  <c r="AA187" i="58"/>
  <c r="AB186" i="58"/>
  <c r="AA186" i="58"/>
  <c r="H186" i="58"/>
  <c r="P186" i="58" s="1"/>
  <c r="O686" i="58" s="1"/>
  <c r="Q686" i="58" s="1"/>
  <c r="AB185" i="58"/>
  <c r="AA185" i="58"/>
  <c r="B185" i="58"/>
  <c r="D185" i="58" s="1"/>
  <c r="L185" i="58" s="1"/>
  <c r="H184" i="58"/>
  <c r="L184" i="58" s="1"/>
  <c r="F183" i="58"/>
  <c r="L183" i="58" s="1"/>
  <c r="H181" i="58"/>
  <c r="T189" i="58" s="1"/>
  <c r="T178" i="58"/>
  <c r="B174" i="58"/>
  <c r="T170" i="58"/>
  <c r="S170" i="58"/>
  <c r="M147" i="58"/>
  <c r="B172" i="58" s="1"/>
  <c r="X49" i="155" l="1"/>
  <c r="AE42" i="155" s="1"/>
  <c r="J42" i="155" s="1"/>
  <c r="AH33" i="74"/>
  <c r="AI35" i="74"/>
  <c r="Y51" i="155"/>
  <c r="AF44" i="155" s="1"/>
  <c r="K44" i="155" s="1"/>
  <c r="X48" i="155"/>
  <c r="AH32" i="74"/>
  <c r="AG29" i="74"/>
  <c r="W45" i="155"/>
  <c r="AG30" i="74"/>
  <c r="W46" i="155"/>
  <c r="AI31" i="74"/>
  <c r="Y47" i="155"/>
  <c r="AI32" i="74"/>
  <c r="Y48" i="155"/>
  <c r="Y49" i="155"/>
  <c r="AI33" i="74"/>
  <c r="V51" i="155"/>
  <c r="AC44" i="155" s="1"/>
  <c r="AF35" i="74"/>
  <c r="AF36" i="74"/>
  <c r="V52" i="155"/>
  <c r="Y45" i="155"/>
  <c r="AI29" i="74"/>
  <c r="Y46" i="155"/>
  <c r="AI30" i="74"/>
  <c r="AG31" i="74"/>
  <c r="W47" i="155"/>
  <c r="AG32" i="74"/>
  <c r="W48" i="155"/>
  <c r="AG33" i="74"/>
  <c r="W49" i="155"/>
  <c r="AH34" i="74"/>
  <c r="X50" i="155"/>
  <c r="AE43" i="155" s="1"/>
  <c r="J43" i="155" s="1"/>
  <c r="X51" i="155"/>
  <c r="AE44" i="155" s="1"/>
  <c r="J44" i="155" s="1"/>
  <c r="AH35" i="74"/>
  <c r="X52" i="155"/>
  <c r="AH36" i="74"/>
  <c r="AF29" i="74"/>
  <c r="V45" i="155"/>
  <c r="AF30" i="74"/>
  <c r="V46" i="155"/>
  <c r="X47" i="155"/>
  <c r="AH31" i="74"/>
  <c r="X45" i="155"/>
  <c r="AH29" i="74"/>
  <c r="AH30" i="74"/>
  <c r="X46" i="155"/>
  <c r="V47" i="155"/>
  <c r="AF31" i="74"/>
  <c r="AF32" i="74"/>
  <c r="V48" i="155"/>
  <c r="AF33" i="74"/>
  <c r="V49" i="155"/>
  <c r="AC42" i="155" s="1"/>
  <c r="AF34" i="74"/>
  <c r="V50" i="155"/>
  <c r="AC43" i="155" s="1"/>
  <c r="AG35" i="74"/>
  <c r="W51" i="155"/>
  <c r="AD44" i="155" s="1"/>
  <c r="I44" i="155" s="1"/>
  <c r="AG36" i="74"/>
  <c r="W52" i="155"/>
  <c r="AG34" i="74"/>
  <c r="W50" i="155"/>
  <c r="AD43" i="155" s="1"/>
  <c r="I43" i="155" s="1"/>
  <c r="Y50" i="155"/>
  <c r="AF43" i="155" s="1"/>
  <c r="K43" i="155" s="1"/>
  <c r="AI34" i="74"/>
  <c r="AI36" i="74"/>
  <c r="Y52" i="155"/>
  <c r="AI37" i="74"/>
  <c r="AP27" i="74" s="1"/>
  <c r="I27" i="74" s="1"/>
  <c r="Y53" i="155"/>
  <c r="AF45" i="155" s="1"/>
  <c r="K45" i="155" s="1"/>
  <c r="AF37" i="74"/>
  <c r="AM27" i="74" s="1"/>
  <c r="F27" i="74" s="1"/>
  <c r="V53" i="155"/>
  <c r="AC45" i="155" s="1"/>
  <c r="B569" i="58"/>
  <c r="D569" i="58" s="1"/>
  <c r="L569" i="58" s="1"/>
  <c r="AA682" i="58"/>
  <c r="H569" i="58" s="1"/>
  <c r="H570" i="58" s="1"/>
  <c r="P570" i="58" s="1"/>
  <c r="O694" i="58" s="1"/>
  <c r="G336" i="58"/>
  <c r="L336" i="58" s="1"/>
  <c r="L293" i="58"/>
  <c r="M260" i="58"/>
  <c r="B260" i="58" s="1"/>
  <c r="M272" i="58"/>
  <c r="B274" i="58" s="1"/>
  <c r="M277" i="58"/>
  <c r="B277" i="58" s="1"/>
  <c r="E264" i="58"/>
  <c r="G268" i="58"/>
  <c r="L268" i="58" s="1"/>
  <c r="AA195" i="58"/>
  <c r="M164" i="58"/>
  <c r="B164" i="58" s="1"/>
  <c r="G168" i="58"/>
  <c r="L168" i="58" s="1"/>
  <c r="L149" i="58"/>
  <c r="AA291" i="58"/>
  <c r="AA435" i="58"/>
  <c r="E504" i="58"/>
  <c r="H502" i="58"/>
  <c r="L502" i="58" s="1"/>
  <c r="G508" i="58"/>
  <c r="L508" i="58" s="1"/>
  <c r="E456" i="58"/>
  <c r="M464" i="58"/>
  <c r="B466" i="58" s="1"/>
  <c r="M469" i="58"/>
  <c r="B469" i="58" s="1"/>
  <c r="M452" i="58"/>
  <c r="B452" i="58" s="1"/>
  <c r="H573" i="58"/>
  <c r="M500" i="58"/>
  <c r="B500" i="58" s="1"/>
  <c r="M512" i="58"/>
  <c r="B514" i="58" s="1"/>
  <c r="M517" i="58"/>
  <c r="B517" i="58" s="1"/>
  <c r="AA531" i="58"/>
  <c r="J483" i="58"/>
  <c r="L483" i="58" s="1"/>
  <c r="AA483" i="58"/>
  <c r="H454" i="58"/>
  <c r="L454" i="58" s="1"/>
  <c r="J435" i="58"/>
  <c r="L435" i="58" s="1"/>
  <c r="G460" i="58"/>
  <c r="L460" i="58" s="1"/>
  <c r="M404" i="58"/>
  <c r="B404" i="58" s="1"/>
  <c r="M416" i="58"/>
  <c r="B418" i="58" s="1"/>
  <c r="M421" i="58"/>
  <c r="B421" i="58" s="1"/>
  <c r="D404" i="58"/>
  <c r="L404" i="58" s="1"/>
  <c r="G408" i="58"/>
  <c r="L408" i="58" s="1"/>
  <c r="J387" i="58"/>
  <c r="L387" i="58" s="1"/>
  <c r="E408" i="58"/>
  <c r="G412" i="58"/>
  <c r="L412" i="58" s="1"/>
  <c r="M356" i="58"/>
  <c r="B356" i="58" s="1"/>
  <c r="H358" i="58"/>
  <c r="L358" i="58" s="1"/>
  <c r="G364" i="58"/>
  <c r="L364" i="58" s="1"/>
  <c r="J339" i="58"/>
  <c r="L339" i="58" s="1"/>
  <c r="E360" i="58"/>
  <c r="M368" i="58"/>
  <c r="B370" i="58" s="1"/>
  <c r="M373" i="58"/>
  <c r="B373" i="58" s="1"/>
  <c r="AA387" i="58"/>
  <c r="D356" i="58"/>
  <c r="L356" i="58" s="1"/>
  <c r="AA339" i="58"/>
  <c r="M320" i="58"/>
  <c r="B322" i="58" s="1"/>
  <c r="M325" i="58"/>
  <c r="B325" i="58" s="1"/>
  <c r="M308" i="58"/>
  <c r="B308" i="58" s="1"/>
  <c r="E312" i="58"/>
  <c r="G318" i="58"/>
  <c r="L318" i="58" s="1"/>
  <c r="I320" i="58"/>
  <c r="L320" i="58" s="1"/>
  <c r="G312" i="58"/>
  <c r="L312" i="58" s="1"/>
  <c r="G316" i="58"/>
  <c r="L316" i="58" s="1"/>
  <c r="H310" i="58"/>
  <c r="L310" i="58" s="1"/>
  <c r="I322" i="58"/>
  <c r="L322" i="58" s="1"/>
  <c r="J291" i="58"/>
  <c r="L291" i="58" s="1"/>
  <c r="D308" i="58"/>
  <c r="L308" i="58" s="1"/>
  <c r="G552" i="58"/>
  <c r="L552" i="58" s="1"/>
  <c r="J147" i="58"/>
  <c r="L147" i="58" s="1"/>
  <c r="H166" i="58"/>
  <c r="L166" i="58" s="1"/>
  <c r="M176" i="58"/>
  <c r="B178" i="58" s="1"/>
  <c r="M181" i="58"/>
  <c r="B181" i="58" s="1"/>
  <c r="G172" i="58"/>
  <c r="L172" i="58" s="1"/>
  <c r="E168" i="58"/>
  <c r="H550" i="58"/>
  <c r="L550" i="58" s="1"/>
  <c r="D548" i="58"/>
  <c r="L548" i="58" s="1"/>
  <c r="G554" i="58"/>
  <c r="L554" i="58" s="1"/>
  <c r="G558" i="58"/>
  <c r="L558" i="58" s="1"/>
  <c r="M560" i="58"/>
  <c r="B562" i="58" s="1"/>
  <c r="M548" i="58"/>
  <c r="B548" i="58" s="1"/>
  <c r="G556" i="58"/>
  <c r="L556" i="58" s="1"/>
  <c r="M565" i="58"/>
  <c r="B565" i="58" s="1"/>
  <c r="E552" i="58"/>
  <c r="T237" i="58"/>
  <c r="AA243" i="58"/>
  <c r="E216" i="58"/>
  <c r="G220" i="58"/>
  <c r="L220" i="58" s="1"/>
  <c r="G216" i="58"/>
  <c r="L216" i="58" s="1"/>
  <c r="M212" i="58"/>
  <c r="B212" i="58" s="1"/>
  <c r="M224" i="58"/>
  <c r="B226" i="58" s="1"/>
  <c r="M229" i="58"/>
  <c r="B229" i="58" s="1"/>
  <c r="J195" i="58"/>
  <c r="L195" i="58" s="1"/>
  <c r="H214" i="58"/>
  <c r="L214" i="58" s="1"/>
  <c r="G576" i="58"/>
  <c r="L576" i="58" s="1"/>
  <c r="I560" i="58"/>
  <c r="L560" i="58" s="1"/>
  <c r="I562" i="58"/>
  <c r="L562" i="58" s="1"/>
  <c r="B552" i="58"/>
  <c r="G528" i="58"/>
  <c r="L528" i="58" s="1"/>
  <c r="D500" i="58"/>
  <c r="L500" i="58" s="1"/>
  <c r="I512" i="58"/>
  <c r="L512" i="58" s="1"/>
  <c r="I514" i="58"/>
  <c r="L514" i="58" s="1"/>
  <c r="B504" i="58"/>
  <c r="G506" i="58"/>
  <c r="L506" i="58" s="1"/>
  <c r="G510" i="58"/>
  <c r="L510" i="58" s="1"/>
  <c r="G480" i="58"/>
  <c r="L480" i="58" s="1"/>
  <c r="D452" i="58"/>
  <c r="L452" i="58" s="1"/>
  <c r="I464" i="58"/>
  <c r="L464" i="58" s="1"/>
  <c r="I466" i="58"/>
  <c r="L466" i="58" s="1"/>
  <c r="B456" i="58"/>
  <c r="G458" i="58"/>
  <c r="L458" i="58" s="1"/>
  <c r="G462" i="58"/>
  <c r="L462" i="58" s="1"/>
  <c r="G432" i="58"/>
  <c r="L432" i="58" s="1"/>
  <c r="I416" i="58"/>
  <c r="L416" i="58" s="1"/>
  <c r="I418" i="58"/>
  <c r="L418" i="58" s="1"/>
  <c r="B408" i="58"/>
  <c r="G410" i="58"/>
  <c r="L410" i="58" s="1"/>
  <c r="G414" i="58"/>
  <c r="L414" i="58" s="1"/>
  <c r="G384" i="58"/>
  <c r="L384" i="58" s="1"/>
  <c r="I368" i="58"/>
  <c r="L368" i="58" s="1"/>
  <c r="I370" i="58"/>
  <c r="L370" i="58" s="1"/>
  <c r="B360" i="58"/>
  <c r="G362" i="58"/>
  <c r="L362" i="58" s="1"/>
  <c r="G366" i="58"/>
  <c r="L366" i="58" s="1"/>
  <c r="B312" i="58"/>
  <c r="B272" i="58"/>
  <c r="G288" i="58"/>
  <c r="L288" i="58" s="1"/>
  <c r="D260" i="58"/>
  <c r="L260" i="58" s="1"/>
  <c r="I272" i="58"/>
  <c r="L272" i="58" s="1"/>
  <c r="I274" i="58"/>
  <c r="L274" i="58" s="1"/>
  <c r="B264" i="58"/>
  <c r="G266" i="58"/>
  <c r="L266" i="58" s="1"/>
  <c r="G270" i="58"/>
  <c r="L270" i="58" s="1"/>
  <c r="G240" i="58"/>
  <c r="L240" i="58" s="1"/>
  <c r="D212" i="58"/>
  <c r="L212" i="58" s="1"/>
  <c r="I224" i="58"/>
  <c r="L224" i="58" s="1"/>
  <c r="I226" i="58"/>
  <c r="L226" i="58" s="1"/>
  <c r="B216" i="58"/>
  <c r="G218" i="58"/>
  <c r="L218" i="58" s="1"/>
  <c r="G222" i="58"/>
  <c r="L222" i="58" s="1"/>
  <c r="G192" i="58"/>
  <c r="L192" i="58" s="1"/>
  <c r="D164" i="58"/>
  <c r="L164" i="58" s="1"/>
  <c r="I176" i="58"/>
  <c r="L176" i="58" s="1"/>
  <c r="I178" i="58"/>
  <c r="L178" i="58" s="1"/>
  <c r="B168" i="58"/>
  <c r="G170" i="58"/>
  <c r="L170" i="58" s="1"/>
  <c r="G174" i="58"/>
  <c r="L174" i="58" s="1"/>
  <c r="L15" i="74"/>
  <c r="L14" i="74"/>
  <c r="L13" i="74"/>
  <c r="L12" i="74"/>
  <c r="L11" i="74"/>
  <c r="L10" i="74"/>
  <c r="L9" i="74"/>
  <c r="L8" i="74"/>
  <c r="L7" i="74"/>
  <c r="H731" i="16"/>
  <c r="H730" i="16"/>
  <c r="F729" i="16"/>
  <c r="F728" i="16"/>
  <c r="E728" i="16"/>
  <c r="D728" i="16"/>
  <c r="G728" i="16" s="1"/>
  <c r="M728" i="16" s="1"/>
  <c r="C728" i="16"/>
  <c r="L727" i="16"/>
  <c r="G727" i="16" s="1"/>
  <c r="M727" i="16" s="1"/>
  <c r="L726" i="16"/>
  <c r="G726" i="16" s="1"/>
  <c r="M726" i="16" s="1"/>
  <c r="L725" i="16"/>
  <c r="G725" i="16" s="1"/>
  <c r="M725" i="16" s="1"/>
  <c r="L724" i="16"/>
  <c r="G724" i="16" s="1"/>
  <c r="M724" i="16" s="1"/>
  <c r="L723" i="16"/>
  <c r="G723" i="16" s="1"/>
  <c r="M723" i="16" s="1"/>
  <c r="L722" i="16"/>
  <c r="G722" i="16" s="1"/>
  <c r="M722" i="16" s="1"/>
  <c r="L721" i="16"/>
  <c r="G721" i="16" s="1"/>
  <c r="M721" i="16" s="1"/>
  <c r="L720" i="16"/>
  <c r="G720" i="16" s="1"/>
  <c r="M720" i="16" s="1"/>
  <c r="L719" i="16"/>
  <c r="G719" i="16" s="1"/>
  <c r="M719" i="16" s="1"/>
  <c r="L718" i="16"/>
  <c r="G718" i="16" s="1"/>
  <c r="M718" i="16" s="1"/>
  <c r="L717" i="16"/>
  <c r="G717" i="16" s="1"/>
  <c r="M717" i="16" s="1"/>
  <c r="L716" i="16"/>
  <c r="G716" i="16" s="1"/>
  <c r="M716" i="16" s="1"/>
  <c r="L715" i="16"/>
  <c r="G715" i="16" s="1"/>
  <c r="M715" i="16" s="1"/>
  <c r="L714" i="16"/>
  <c r="G714" i="16" s="1"/>
  <c r="M714" i="16" s="1"/>
  <c r="L713" i="16"/>
  <c r="G713" i="16" s="1"/>
  <c r="M713" i="16" s="1"/>
  <c r="L712" i="16"/>
  <c r="G712" i="16" s="1"/>
  <c r="M712" i="16" s="1"/>
  <c r="L711" i="16"/>
  <c r="G711" i="16" s="1"/>
  <c r="M711" i="16" s="1"/>
  <c r="L710" i="16"/>
  <c r="G710" i="16" s="1"/>
  <c r="M710" i="16" s="1"/>
  <c r="L709" i="16"/>
  <c r="G709" i="16" s="1"/>
  <c r="M709" i="16" s="1"/>
  <c r="L708" i="16"/>
  <c r="G708" i="16" s="1"/>
  <c r="M708" i="16" s="1"/>
  <c r="L707" i="16"/>
  <c r="G707" i="16" s="1"/>
  <c r="M707" i="16" s="1"/>
  <c r="L706" i="16"/>
  <c r="G706" i="16" s="1"/>
  <c r="M706" i="16" s="1"/>
  <c r="L705" i="16"/>
  <c r="G705" i="16" s="1"/>
  <c r="M705" i="16" s="1"/>
  <c r="L704" i="16"/>
  <c r="G704" i="16" s="1"/>
  <c r="M704" i="16" s="1"/>
  <c r="L703" i="16"/>
  <c r="G703" i="16" s="1"/>
  <c r="M703" i="16" s="1"/>
  <c r="L702" i="16"/>
  <c r="M699" i="16"/>
  <c r="L698" i="16"/>
  <c r="G678" i="16" s="1"/>
  <c r="M678" i="16" s="1"/>
  <c r="L697" i="16"/>
  <c r="L695" i="16"/>
  <c r="L694" i="16"/>
  <c r="L693" i="16"/>
  <c r="L691" i="16"/>
  <c r="I670" i="16"/>
  <c r="H669" i="16"/>
  <c r="F668" i="16"/>
  <c r="F667" i="16"/>
  <c r="E667" i="16"/>
  <c r="D667" i="16"/>
  <c r="G667" i="16" s="1"/>
  <c r="M667" i="16" s="1"/>
  <c r="C667" i="16"/>
  <c r="L666" i="16"/>
  <c r="G666" i="16" s="1"/>
  <c r="M666" i="16" s="1"/>
  <c r="L665" i="16"/>
  <c r="G665" i="16" s="1"/>
  <c r="M665" i="16" s="1"/>
  <c r="L664" i="16"/>
  <c r="G664" i="16" s="1"/>
  <c r="M664" i="16" s="1"/>
  <c r="L663" i="16"/>
  <c r="G663" i="16" s="1"/>
  <c r="M663" i="16" s="1"/>
  <c r="L662" i="16"/>
  <c r="G662" i="16" s="1"/>
  <c r="M662" i="16" s="1"/>
  <c r="L661" i="16"/>
  <c r="G661" i="16" s="1"/>
  <c r="M661" i="16" s="1"/>
  <c r="L660" i="16"/>
  <c r="G660" i="16" s="1"/>
  <c r="M660" i="16" s="1"/>
  <c r="L659" i="16"/>
  <c r="G659" i="16" s="1"/>
  <c r="M659" i="16" s="1"/>
  <c r="L658" i="16"/>
  <c r="G658" i="16" s="1"/>
  <c r="M658" i="16" s="1"/>
  <c r="L657" i="16"/>
  <c r="G657" i="16" s="1"/>
  <c r="M657" i="16" s="1"/>
  <c r="L656" i="16"/>
  <c r="G656" i="16" s="1"/>
  <c r="M656" i="16" s="1"/>
  <c r="L655" i="16"/>
  <c r="G655" i="16" s="1"/>
  <c r="M655" i="16" s="1"/>
  <c r="L654" i="16"/>
  <c r="G654" i="16" s="1"/>
  <c r="M654" i="16" s="1"/>
  <c r="L653" i="16"/>
  <c r="G653" i="16" s="1"/>
  <c r="M653" i="16" s="1"/>
  <c r="L652" i="16"/>
  <c r="G652" i="16" s="1"/>
  <c r="M652" i="16" s="1"/>
  <c r="L651" i="16"/>
  <c r="G651" i="16" s="1"/>
  <c r="M651" i="16" s="1"/>
  <c r="L650" i="16"/>
  <c r="G650" i="16" s="1"/>
  <c r="M650" i="16" s="1"/>
  <c r="L649" i="16"/>
  <c r="G649" i="16" s="1"/>
  <c r="M649" i="16" s="1"/>
  <c r="L648" i="16"/>
  <c r="G648" i="16" s="1"/>
  <c r="M648" i="16" s="1"/>
  <c r="L647" i="16"/>
  <c r="G647" i="16" s="1"/>
  <c r="M647" i="16" s="1"/>
  <c r="L646" i="16"/>
  <c r="G646" i="16" s="1"/>
  <c r="M646" i="16" s="1"/>
  <c r="L645" i="16"/>
  <c r="G645" i="16" s="1"/>
  <c r="M645" i="16" s="1"/>
  <c r="L644" i="16"/>
  <c r="G644" i="16" s="1"/>
  <c r="M644" i="16" s="1"/>
  <c r="L643" i="16"/>
  <c r="G643" i="16" s="1"/>
  <c r="M643" i="16" s="1"/>
  <c r="L642" i="16"/>
  <c r="G642" i="16" s="1"/>
  <c r="M642" i="16" s="1"/>
  <c r="L641" i="16"/>
  <c r="M638" i="16"/>
  <c r="L637" i="16"/>
  <c r="G617" i="16" s="1"/>
  <c r="M617" i="16" s="1"/>
  <c r="L636" i="16"/>
  <c r="L634" i="16"/>
  <c r="L633" i="16"/>
  <c r="L632" i="16"/>
  <c r="L630" i="16"/>
  <c r="I609" i="16"/>
  <c r="H609" i="16"/>
  <c r="H608" i="16"/>
  <c r="F607" i="16"/>
  <c r="F606" i="16"/>
  <c r="E606" i="16"/>
  <c r="D606" i="16"/>
  <c r="G606" i="16" s="1"/>
  <c r="M606" i="16" s="1"/>
  <c r="C606" i="16"/>
  <c r="L605" i="16"/>
  <c r="G605" i="16" s="1"/>
  <c r="M605" i="16" s="1"/>
  <c r="L604" i="16"/>
  <c r="G604" i="16" s="1"/>
  <c r="M604" i="16" s="1"/>
  <c r="L603" i="16"/>
  <c r="G603" i="16" s="1"/>
  <c r="M603" i="16" s="1"/>
  <c r="L602" i="16"/>
  <c r="G602" i="16" s="1"/>
  <c r="M602" i="16" s="1"/>
  <c r="L601" i="16"/>
  <c r="G601" i="16" s="1"/>
  <c r="M601" i="16" s="1"/>
  <c r="L600" i="16"/>
  <c r="G600" i="16" s="1"/>
  <c r="M600" i="16" s="1"/>
  <c r="L599" i="16"/>
  <c r="G599" i="16" s="1"/>
  <c r="M599" i="16" s="1"/>
  <c r="L598" i="16"/>
  <c r="G598" i="16" s="1"/>
  <c r="M598" i="16" s="1"/>
  <c r="L597" i="16"/>
  <c r="G597" i="16" s="1"/>
  <c r="M597" i="16" s="1"/>
  <c r="L596" i="16"/>
  <c r="G596" i="16" s="1"/>
  <c r="M596" i="16" s="1"/>
  <c r="L595" i="16"/>
  <c r="G595" i="16" s="1"/>
  <c r="M595" i="16" s="1"/>
  <c r="L594" i="16"/>
  <c r="G594" i="16" s="1"/>
  <c r="M594" i="16" s="1"/>
  <c r="L593" i="16"/>
  <c r="G593" i="16" s="1"/>
  <c r="M593" i="16" s="1"/>
  <c r="L592" i="16"/>
  <c r="G592" i="16" s="1"/>
  <c r="M592" i="16" s="1"/>
  <c r="L591" i="16"/>
  <c r="G591" i="16" s="1"/>
  <c r="M591" i="16" s="1"/>
  <c r="L590" i="16"/>
  <c r="G590" i="16" s="1"/>
  <c r="M590" i="16" s="1"/>
  <c r="L589" i="16"/>
  <c r="G589" i="16" s="1"/>
  <c r="M589" i="16" s="1"/>
  <c r="L588" i="16"/>
  <c r="G588" i="16" s="1"/>
  <c r="M588" i="16" s="1"/>
  <c r="L587" i="16"/>
  <c r="G587" i="16" s="1"/>
  <c r="M587" i="16" s="1"/>
  <c r="L586" i="16"/>
  <c r="G586" i="16" s="1"/>
  <c r="M586" i="16" s="1"/>
  <c r="L585" i="16"/>
  <c r="G585" i="16" s="1"/>
  <c r="M585" i="16" s="1"/>
  <c r="L584" i="16"/>
  <c r="G584" i="16" s="1"/>
  <c r="M584" i="16" s="1"/>
  <c r="L583" i="16"/>
  <c r="G583" i="16" s="1"/>
  <c r="M583" i="16" s="1"/>
  <c r="L582" i="16"/>
  <c r="G582" i="16" s="1"/>
  <c r="M582" i="16" s="1"/>
  <c r="L581" i="16"/>
  <c r="G581" i="16" s="1"/>
  <c r="M581" i="16" s="1"/>
  <c r="L580" i="16"/>
  <c r="M577" i="16"/>
  <c r="L576" i="16"/>
  <c r="G556" i="16" s="1"/>
  <c r="M556" i="16" s="1"/>
  <c r="L575" i="16"/>
  <c r="L573" i="16"/>
  <c r="L572" i="16"/>
  <c r="L571" i="16"/>
  <c r="L569" i="16"/>
  <c r="I548" i="16"/>
  <c r="H548" i="16"/>
  <c r="H547" i="16"/>
  <c r="F546" i="16"/>
  <c r="F545" i="16"/>
  <c r="E545" i="16"/>
  <c r="D545" i="16"/>
  <c r="G545" i="16" s="1"/>
  <c r="M545" i="16" s="1"/>
  <c r="C545" i="16"/>
  <c r="L544" i="16"/>
  <c r="G544" i="16" s="1"/>
  <c r="M544" i="16" s="1"/>
  <c r="L543" i="16"/>
  <c r="G543" i="16" s="1"/>
  <c r="M543" i="16" s="1"/>
  <c r="L542" i="16"/>
  <c r="G542" i="16" s="1"/>
  <c r="M542" i="16" s="1"/>
  <c r="L541" i="16"/>
  <c r="G541" i="16" s="1"/>
  <c r="M541" i="16" s="1"/>
  <c r="L540" i="16"/>
  <c r="G540" i="16" s="1"/>
  <c r="M540" i="16" s="1"/>
  <c r="L539" i="16"/>
  <c r="G539" i="16" s="1"/>
  <c r="M539" i="16" s="1"/>
  <c r="L538" i="16"/>
  <c r="G538" i="16" s="1"/>
  <c r="M538" i="16" s="1"/>
  <c r="L537" i="16"/>
  <c r="G537" i="16" s="1"/>
  <c r="M537" i="16" s="1"/>
  <c r="L536" i="16"/>
  <c r="G536" i="16" s="1"/>
  <c r="M536" i="16" s="1"/>
  <c r="L535" i="16"/>
  <c r="G535" i="16" s="1"/>
  <c r="M535" i="16" s="1"/>
  <c r="L534" i="16"/>
  <c r="G534" i="16" s="1"/>
  <c r="M534" i="16" s="1"/>
  <c r="L533" i="16"/>
  <c r="G533" i="16" s="1"/>
  <c r="M533" i="16" s="1"/>
  <c r="L532" i="16"/>
  <c r="G532" i="16" s="1"/>
  <c r="M532" i="16" s="1"/>
  <c r="L531" i="16"/>
  <c r="G531" i="16" s="1"/>
  <c r="M531" i="16" s="1"/>
  <c r="L530" i="16"/>
  <c r="G530" i="16" s="1"/>
  <c r="M530" i="16" s="1"/>
  <c r="L529" i="16"/>
  <c r="G529" i="16" s="1"/>
  <c r="M529" i="16" s="1"/>
  <c r="L528" i="16"/>
  <c r="G528" i="16" s="1"/>
  <c r="M528" i="16" s="1"/>
  <c r="L527" i="16"/>
  <c r="G527" i="16" s="1"/>
  <c r="M527" i="16" s="1"/>
  <c r="L526" i="16"/>
  <c r="G526" i="16" s="1"/>
  <c r="M526" i="16" s="1"/>
  <c r="L525" i="16"/>
  <c r="G525" i="16" s="1"/>
  <c r="M525" i="16" s="1"/>
  <c r="L524" i="16"/>
  <c r="G524" i="16" s="1"/>
  <c r="M524" i="16" s="1"/>
  <c r="L523" i="16"/>
  <c r="G523" i="16" s="1"/>
  <c r="M523" i="16" s="1"/>
  <c r="L522" i="16"/>
  <c r="G522" i="16" s="1"/>
  <c r="M522" i="16" s="1"/>
  <c r="L521" i="16"/>
  <c r="G521" i="16" s="1"/>
  <c r="M521" i="16" s="1"/>
  <c r="L520" i="16"/>
  <c r="G520" i="16" s="1"/>
  <c r="M520" i="16" s="1"/>
  <c r="L519" i="16"/>
  <c r="M516" i="16"/>
  <c r="L515" i="16"/>
  <c r="G495" i="16" s="1"/>
  <c r="M495" i="16" s="1"/>
  <c r="L514" i="16"/>
  <c r="L512" i="16"/>
  <c r="L511" i="16"/>
  <c r="L510" i="16"/>
  <c r="L508" i="16"/>
  <c r="H486" i="16"/>
  <c r="F485" i="16"/>
  <c r="F484" i="16"/>
  <c r="E484" i="16"/>
  <c r="D484" i="16"/>
  <c r="G484" i="16" s="1"/>
  <c r="M484" i="16" s="1"/>
  <c r="C484" i="16"/>
  <c r="L483" i="16"/>
  <c r="G483" i="16" s="1"/>
  <c r="M483" i="16" s="1"/>
  <c r="L482" i="16"/>
  <c r="G482" i="16" s="1"/>
  <c r="M482" i="16" s="1"/>
  <c r="L481" i="16"/>
  <c r="G481" i="16" s="1"/>
  <c r="M481" i="16" s="1"/>
  <c r="L480" i="16"/>
  <c r="G480" i="16" s="1"/>
  <c r="M480" i="16" s="1"/>
  <c r="L479" i="16"/>
  <c r="G479" i="16" s="1"/>
  <c r="M479" i="16" s="1"/>
  <c r="L478" i="16"/>
  <c r="G478" i="16" s="1"/>
  <c r="M478" i="16" s="1"/>
  <c r="L477" i="16"/>
  <c r="G477" i="16" s="1"/>
  <c r="M477" i="16" s="1"/>
  <c r="L476" i="16"/>
  <c r="G476" i="16" s="1"/>
  <c r="M476" i="16" s="1"/>
  <c r="L475" i="16"/>
  <c r="G475" i="16" s="1"/>
  <c r="M475" i="16" s="1"/>
  <c r="L474" i="16"/>
  <c r="G474" i="16" s="1"/>
  <c r="M474" i="16" s="1"/>
  <c r="L473" i="16"/>
  <c r="G473" i="16" s="1"/>
  <c r="M473" i="16" s="1"/>
  <c r="L472" i="16"/>
  <c r="G472" i="16" s="1"/>
  <c r="M472" i="16" s="1"/>
  <c r="L471" i="16"/>
  <c r="G471" i="16" s="1"/>
  <c r="M471" i="16" s="1"/>
  <c r="L470" i="16"/>
  <c r="G470" i="16" s="1"/>
  <c r="M470" i="16" s="1"/>
  <c r="L469" i="16"/>
  <c r="G469" i="16" s="1"/>
  <c r="M469" i="16" s="1"/>
  <c r="L468" i="16"/>
  <c r="G468" i="16" s="1"/>
  <c r="M468" i="16" s="1"/>
  <c r="L467" i="16"/>
  <c r="G467" i="16" s="1"/>
  <c r="M467" i="16" s="1"/>
  <c r="L466" i="16"/>
  <c r="G466" i="16" s="1"/>
  <c r="M466" i="16" s="1"/>
  <c r="L465" i="16"/>
  <c r="G465" i="16" s="1"/>
  <c r="M465" i="16" s="1"/>
  <c r="L464" i="16"/>
  <c r="G464" i="16" s="1"/>
  <c r="M464" i="16" s="1"/>
  <c r="L463" i="16"/>
  <c r="G463" i="16" s="1"/>
  <c r="M463" i="16" s="1"/>
  <c r="L462" i="16"/>
  <c r="G462" i="16" s="1"/>
  <c r="M462" i="16" s="1"/>
  <c r="L461" i="16"/>
  <c r="G461" i="16" s="1"/>
  <c r="M461" i="16" s="1"/>
  <c r="L460" i="16"/>
  <c r="G460" i="16" s="1"/>
  <c r="M460" i="16" s="1"/>
  <c r="L459" i="16"/>
  <c r="G459" i="16" s="1"/>
  <c r="M459" i="16" s="1"/>
  <c r="L458" i="16"/>
  <c r="M455" i="16"/>
  <c r="L454" i="16"/>
  <c r="G434" i="16" s="1"/>
  <c r="M434" i="16" s="1"/>
  <c r="L453" i="16"/>
  <c r="L451" i="16"/>
  <c r="L450" i="16"/>
  <c r="L449" i="16"/>
  <c r="L447" i="16"/>
  <c r="I426" i="16"/>
  <c r="H426" i="16"/>
  <c r="H425" i="16"/>
  <c r="F424" i="16"/>
  <c r="F423" i="16"/>
  <c r="E423" i="16"/>
  <c r="D423" i="16"/>
  <c r="G423" i="16" s="1"/>
  <c r="M423" i="16" s="1"/>
  <c r="C423" i="16"/>
  <c r="L422" i="16"/>
  <c r="G422" i="16" s="1"/>
  <c r="M422" i="16" s="1"/>
  <c r="L421" i="16"/>
  <c r="G421" i="16" s="1"/>
  <c r="M421" i="16" s="1"/>
  <c r="L420" i="16"/>
  <c r="G420" i="16" s="1"/>
  <c r="M420" i="16" s="1"/>
  <c r="L419" i="16"/>
  <c r="G419" i="16" s="1"/>
  <c r="M419" i="16" s="1"/>
  <c r="L418" i="16"/>
  <c r="G418" i="16" s="1"/>
  <c r="M418" i="16" s="1"/>
  <c r="L417" i="16"/>
  <c r="G417" i="16" s="1"/>
  <c r="M417" i="16" s="1"/>
  <c r="L416" i="16"/>
  <c r="G416" i="16" s="1"/>
  <c r="M416" i="16" s="1"/>
  <c r="L415" i="16"/>
  <c r="G415" i="16" s="1"/>
  <c r="M415" i="16" s="1"/>
  <c r="L414" i="16"/>
  <c r="G414" i="16" s="1"/>
  <c r="M414" i="16" s="1"/>
  <c r="L413" i="16"/>
  <c r="G413" i="16" s="1"/>
  <c r="M413" i="16" s="1"/>
  <c r="L412" i="16"/>
  <c r="G412" i="16" s="1"/>
  <c r="M412" i="16" s="1"/>
  <c r="L411" i="16"/>
  <c r="G411" i="16" s="1"/>
  <c r="M411" i="16" s="1"/>
  <c r="L410" i="16"/>
  <c r="G410" i="16" s="1"/>
  <c r="M410" i="16" s="1"/>
  <c r="L409" i="16"/>
  <c r="G409" i="16" s="1"/>
  <c r="M409" i="16" s="1"/>
  <c r="L408" i="16"/>
  <c r="G408" i="16" s="1"/>
  <c r="M408" i="16" s="1"/>
  <c r="L407" i="16"/>
  <c r="G407" i="16" s="1"/>
  <c r="M407" i="16" s="1"/>
  <c r="L406" i="16"/>
  <c r="G406" i="16" s="1"/>
  <c r="M406" i="16" s="1"/>
  <c r="L405" i="16"/>
  <c r="G405" i="16" s="1"/>
  <c r="M405" i="16" s="1"/>
  <c r="L404" i="16"/>
  <c r="G404" i="16" s="1"/>
  <c r="M404" i="16" s="1"/>
  <c r="L403" i="16"/>
  <c r="G403" i="16" s="1"/>
  <c r="M403" i="16" s="1"/>
  <c r="L402" i="16"/>
  <c r="G402" i="16" s="1"/>
  <c r="M402" i="16" s="1"/>
  <c r="L401" i="16"/>
  <c r="G401" i="16" s="1"/>
  <c r="M401" i="16" s="1"/>
  <c r="L400" i="16"/>
  <c r="G400" i="16" s="1"/>
  <c r="M400" i="16" s="1"/>
  <c r="L399" i="16"/>
  <c r="G399" i="16" s="1"/>
  <c r="M399" i="16" s="1"/>
  <c r="L398" i="16"/>
  <c r="G398" i="16" s="1"/>
  <c r="M398" i="16" s="1"/>
  <c r="L397" i="16"/>
  <c r="M394" i="16"/>
  <c r="L393" i="16"/>
  <c r="G373" i="16" s="1"/>
  <c r="M373" i="16" s="1"/>
  <c r="L392" i="16"/>
  <c r="L390" i="16"/>
  <c r="L389" i="16"/>
  <c r="L388" i="16"/>
  <c r="L386" i="16"/>
  <c r="I365" i="16"/>
  <c r="H365" i="16"/>
  <c r="H364" i="16"/>
  <c r="F363" i="16"/>
  <c r="F362" i="16"/>
  <c r="E362" i="16"/>
  <c r="D362" i="16"/>
  <c r="G362" i="16" s="1"/>
  <c r="M362" i="16" s="1"/>
  <c r="C362" i="16"/>
  <c r="L361" i="16"/>
  <c r="G361" i="16" s="1"/>
  <c r="M361" i="16" s="1"/>
  <c r="L360" i="16"/>
  <c r="G360" i="16" s="1"/>
  <c r="M360" i="16" s="1"/>
  <c r="L359" i="16"/>
  <c r="G359" i="16" s="1"/>
  <c r="M359" i="16" s="1"/>
  <c r="L358" i="16"/>
  <c r="G358" i="16" s="1"/>
  <c r="M358" i="16" s="1"/>
  <c r="L357" i="16"/>
  <c r="G357" i="16" s="1"/>
  <c r="M357" i="16" s="1"/>
  <c r="L356" i="16"/>
  <c r="G356" i="16" s="1"/>
  <c r="M356" i="16" s="1"/>
  <c r="L355" i="16"/>
  <c r="G355" i="16" s="1"/>
  <c r="M355" i="16" s="1"/>
  <c r="L354" i="16"/>
  <c r="G354" i="16" s="1"/>
  <c r="M354" i="16" s="1"/>
  <c r="L353" i="16"/>
  <c r="G353" i="16" s="1"/>
  <c r="M353" i="16" s="1"/>
  <c r="L352" i="16"/>
  <c r="G352" i="16" s="1"/>
  <c r="M352" i="16" s="1"/>
  <c r="L351" i="16"/>
  <c r="G351" i="16" s="1"/>
  <c r="M351" i="16" s="1"/>
  <c r="L350" i="16"/>
  <c r="G350" i="16" s="1"/>
  <c r="M350" i="16" s="1"/>
  <c r="L349" i="16"/>
  <c r="G349" i="16" s="1"/>
  <c r="M349" i="16" s="1"/>
  <c r="L348" i="16"/>
  <c r="G348" i="16" s="1"/>
  <c r="M348" i="16" s="1"/>
  <c r="L347" i="16"/>
  <c r="G347" i="16" s="1"/>
  <c r="M347" i="16" s="1"/>
  <c r="L346" i="16"/>
  <c r="G346" i="16" s="1"/>
  <c r="M346" i="16" s="1"/>
  <c r="L345" i="16"/>
  <c r="G345" i="16" s="1"/>
  <c r="M345" i="16" s="1"/>
  <c r="L344" i="16"/>
  <c r="G344" i="16" s="1"/>
  <c r="M344" i="16" s="1"/>
  <c r="L343" i="16"/>
  <c r="G343" i="16" s="1"/>
  <c r="M343" i="16" s="1"/>
  <c r="L342" i="16"/>
  <c r="G342" i="16" s="1"/>
  <c r="M342" i="16" s="1"/>
  <c r="L341" i="16"/>
  <c r="G341" i="16" s="1"/>
  <c r="M341" i="16" s="1"/>
  <c r="L340" i="16"/>
  <c r="G340" i="16" s="1"/>
  <c r="M340" i="16" s="1"/>
  <c r="L339" i="16"/>
  <c r="G339" i="16" s="1"/>
  <c r="M339" i="16" s="1"/>
  <c r="L338" i="16"/>
  <c r="G338" i="16" s="1"/>
  <c r="M338" i="16" s="1"/>
  <c r="L337" i="16"/>
  <c r="G337" i="16" s="1"/>
  <c r="M337" i="16" s="1"/>
  <c r="L336" i="16"/>
  <c r="M333" i="16"/>
  <c r="L332" i="16"/>
  <c r="L331" i="16"/>
  <c r="L329" i="16"/>
  <c r="L328" i="16"/>
  <c r="L327" i="16"/>
  <c r="L325" i="16"/>
  <c r="I304" i="16"/>
  <c r="H304" i="16"/>
  <c r="H303" i="16"/>
  <c r="F302" i="16"/>
  <c r="F301" i="16"/>
  <c r="E301" i="16"/>
  <c r="D301" i="16"/>
  <c r="G301" i="16" s="1"/>
  <c r="M301" i="16" s="1"/>
  <c r="C301" i="16"/>
  <c r="L300" i="16"/>
  <c r="G300" i="16" s="1"/>
  <c r="M300" i="16" s="1"/>
  <c r="L299" i="16"/>
  <c r="G299" i="16" s="1"/>
  <c r="M299" i="16" s="1"/>
  <c r="L298" i="16"/>
  <c r="G298" i="16" s="1"/>
  <c r="M298" i="16" s="1"/>
  <c r="L297" i="16"/>
  <c r="G297" i="16" s="1"/>
  <c r="M297" i="16" s="1"/>
  <c r="L296" i="16"/>
  <c r="G296" i="16" s="1"/>
  <c r="M296" i="16" s="1"/>
  <c r="L295" i="16"/>
  <c r="G295" i="16" s="1"/>
  <c r="M295" i="16" s="1"/>
  <c r="L294" i="16"/>
  <c r="G294" i="16" s="1"/>
  <c r="M294" i="16" s="1"/>
  <c r="L293" i="16"/>
  <c r="G293" i="16" s="1"/>
  <c r="M293" i="16" s="1"/>
  <c r="L292" i="16"/>
  <c r="G292" i="16" s="1"/>
  <c r="M292" i="16" s="1"/>
  <c r="L291" i="16"/>
  <c r="G291" i="16" s="1"/>
  <c r="M291" i="16" s="1"/>
  <c r="L290" i="16"/>
  <c r="G290" i="16" s="1"/>
  <c r="M290" i="16" s="1"/>
  <c r="L289" i="16"/>
  <c r="G289" i="16" s="1"/>
  <c r="M289" i="16" s="1"/>
  <c r="L288" i="16"/>
  <c r="G288" i="16" s="1"/>
  <c r="M288" i="16" s="1"/>
  <c r="L287" i="16"/>
  <c r="G287" i="16" s="1"/>
  <c r="M287" i="16" s="1"/>
  <c r="L286" i="16"/>
  <c r="G286" i="16" s="1"/>
  <c r="M286" i="16" s="1"/>
  <c r="L285" i="16"/>
  <c r="G285" i="16" s="1"/>
  <c r="M285" i="16" s="1"/>
  <c r="L284" i="16"/>
  <c r="G284" i="16" s="1"/>
  <c r="M284" i="16" s="1"/>
  <c r="L283" i="16"/>
  <c r="G283" i="16" s="1"/>
  <c r="M283" i="16" s="1"/>
  <c r="L282" i="16"/>
  <c r="G282" i="16" s="1"/>
  <c r="M282" i="16" s="1"/>
  <c r="L281" i="16"/>
  <c r="G281" i="16" s="1"/>
  <c r="M281" i="16" s="1"/>
  <c r="L280" i="16"/>
  <c r="G280" i="16" s="1"/>
  <c r="M280" i="16" s="1"/>
  <c r="L279" i="16"/>
  <c r="G279" i="16" s="1"/>
  <c r="M279" i="16" s="1"/>
  <c r="L278" i="16"/>
  <c r="G278" i="16" s="1"/>
  <c r="M278" i="16" s="1"/>
  <c r="L277" i="16"/>
  <c r="G277" i="16" s="1"/>
  <c r="M277" i="16" s="1"/>
  <c r="L276" i="16"/>
  <c r="G276" i="16" s="1"/>
  <c r="M276" i="16" s="1"/>
  <c r="L275" i="16"/>
  <c r="M272" i="16"/>
  <c r="L271" i="16"/>
  <c r="L270" i="16"/>
  <c r="L268" i="16"/>
  <c r="L267" i="16"/>
  <c r="L266" i="16"/>
  <c r="L264" i="16"/>
  <c r="I243" i="16"/>
  <c r="H242" i="16"/>
  <c r="F241" i="16"/>
  <c r="F240" i="16"/>
  <c r="E240" i="16"/>
  <c r="D240" i="16"/>
  <c r="G240" i="16" s="1"/>
  <c r="M240" i="16" s="1"/>
  <c r="C240" i="16"/>
  <c r="L239" i="16"/>
  <c r="G239" i="16" s="1"/>
  <c r="M239" i="16" s="1"/>
  <c r="L238" i="16"/>
  <c r="G238" i="16" s="1"/>
  <c r="M238" i="16" s="1"/>
  <c r="L237" i="16"/>
  <c r="G237" i="16" s="1"/>
  <c r="M237" i="16" s="1"/>
  <c r="L236" i="16"/>
  <c r="G236" i="16" s="1"/>
  <c r="M236" i="16" s="1"/>
  <c r="L235" i="16"/>
  <c r="G235" i="16" s="1"/>
  <c r="M235" i="16" s="1"/>
  <c r="L234" i="16"/>
  <c r="G234" i="16" s="1"/>
  <c r="M234" i="16" s="1"/>
  <c r="L233" i="16"/>
  <c r="G233" i="16" s="1"/>
  <c r="M233" i="16" s="1"/>
  <c r="L232" i="16"/>
  <c r="G232" i="16" s="1"/>
  <c r="M232" i="16" s="1"/>
  <c r="L231" i="16"/>
  <c r="G231" i="16" s="1"/>
  <c r="M231" i="16" s="1"/>
  <c r="L230" i="16"/>
  <c r="G230" i="16" s="1"/>
  <c r="M230" i="16" s="1"/>
  <c r="L229" i="16"/>
  <c r="G229" i="16" s="1"/>
  <c r="M229" i="16" s="1"/>
  <c r="L228" i="16"/>
  <c r="G228" i="16" s="1"/>
  <c r="M228" i="16" s="1"/>
  <c r="L227" i="16"/>
  <c r="G227" i="16" s="1"/>
  <c r="M227" i="16" s="1"/>
  <c r="L226" i="16"/>
  <c r="G226" i="16" s="1"/>
  <c r="M226" i="16" s="1"/>
  <c r="L225" i="16"/>
  <c r="G225" i="16" s="1"/>
  <c r="M225" i="16" s="1"/>
  <c r="L224" i="16"/>
  <c r="G224" i="16" s="1"/>
  <c r="M224" i="16" s="1"/>
  <c r="L223" i="16"/>
  <c r="G223" i="16" s="1"/>
  <c r="M223" i="16" s="1"/>
  <c r="L222" i="16"/>
  <c r="G222" i="16" s="1"/>
  <c r="M222" i="16" s="1"/>
  <c r="L221" i="16"/>
  <c r="G221" i="16" s="1"/>
  <c r="M221" i="16" s="1"/>
  <c r="L220" i="16"/>
  <c r="G220" i="16" s="1"/>
  <c r="M220" i="16" s="1"/>
  <c r="L219" i="16"/>
  <c r="G219" i="16" s="1"/>
  <c r="M219" i="16" s="1"/>
  <c r="L218" i="16"/>
  <c r="G218" i="16" s="1"/>
  <c r="M218" i="16" s="1"/>
  <c r="L217" i="16"/>
  <c r="G217" i="16" s="1"/>
  <c r="M217" i="16" s="1"/>
  <c r="L216" i="16"/>
  <c r="G216" i="16" s="1"/>
  <c r="M216" i="16" s="1"/>
  <c r="L215" i="16"/>
  <c r="G215" i="16" s="1"/>
  <c r="M215" i="16" s="1"/>
  <c r="L214" i="16"/>
  <c r="M211" i="16"/>
  <c r="L210" i="16"/>
  <c r="L209" i="16"/>
  <c r="L207" i="16"/>
  <c r="L206" i="16"/>
  <c r="L205" i="16"/>
  <c r="L203" i="16"/>
  <c r="L146" i="16"/>
  <c r="L20" i="16"/>
  <c r="P3" i="13"/>
  <c r="L9" i="13"/>
  <c r="L10" i="13"/>
  <c r="L11" i="13"/>
  <c r="L12" i="13"/>
  <c r="L13" i="13"/>
  <c r="L14" i="13"/>
  <c r="L15" i="13"/>
  <c r="L16" i="13"/>
  <c r="L17" i="13"/>
  <c r="L18" i="13"/>
  <c r="L19" i="13"/>
  <c r="L20" i="13"/>
  <c r="L21" i="13"/>
  <c r="L22" i="13"/>
  <c r="L23" i="13"/>
  <c r="J40" i="9"/>
  <c r="I40" i="9"/>
  <c r="J39" i="9"/>
  <c r="I39" i="9"/>
  <c r="J38" i="9"/>
  <c r="I38" i="9"/>
  <c r="J37" i="9"/>
  <c r="I37" i="9"/>
  <c r="J36" i="9"/>
  <c r="I36" i="9"/>
  <c r="J35" i="9"/>
  <c r="I35" i="9"/>
  <c r="J34" i="9"/>
  <c r="I34" i="9"/>
  <c r="J33" i="9"/>
  <c r="I33" i="9"/>
  <c r="J32" i="9"/>
  <c r="I32" i="9"/>
  <c r="J31" i="9"/>
  <c r="I31" i="9"/>
  <c r="J30" i="9"/>
  <c r="I30" i="9"/>
  <c r="J29" i="9"/>
  <c r="I29" i="9"/>
  <c r="J28" i="9"/>
  <c r="I28" i="9"/>
  <c r="J27" i="9"/>
  <c r="I27" i="9"/>
  <c r="J26" i="9"/>
  <c r="I26" i="9"/>
  <c r="J25" i="9"/>
  <c r="I25" i="9"/>
  <c r="J24" i="9"/>
  <c r="I24" i="9"/>
  <c r="J23" i="9"/>
  <c r="I23" i="9"/>
  <c r="J22" i="9"/>
  <c r="I22" i="9"/>
  <c r="J21" i="9"/>
  <c r="I21" i="9"/>
  <c r="J20" i="9"/>
  <c r="I20" i="9"/>
  <c r="J19" i="9"/>
  <c r="I19" i="9"/>
  <c r="J18" i="9"/>
  <c r="I18" i="9"/>
  <c r="J17" i="9"/>
  <c r="I17" i="9"/>
  <c r="J16" i="9"/>
  <c r="I16" i="9"/>
  <c r="J15" i="9"/>
  <c r="I15" i="9"/>
  <c r="J14" i="9"/>
  <c r="I14" i="9"/>
  <c r="J13" i="9"/>
  <c r="I13" i="9"/>
  <c r="J12" i="9"/>
  <c r="I12" i="9"/>
  <c r="J11" i="9"/>
  <c r="I11" i="9"/>
  <c r="J10" i="9"/>
  <c r="I10" i="9"/>
  <c r="AF250" i="10"/>
  <c r="AE250" i="10"/>
  <c r="X250" i="10"/>
  <c r="W250" i="10"/>
  <c r="L250" i="10" s="1"/>
  <c r="AF249" i="10"/>
  <c r="AE249" i="10"/>
  <c r="X249" i="10"/>
  <c r="W249" i="10"/>
  <c r="L249" i="10" s="1"/>
  <c r="AF248" i="10"/>
  <c r="AE248" i="10"/>
  <c r="X248" i="10"/>
  <c r="W248" i="10"/>
  <c r="L248" i="10" s="1"/>
  <c r="AF247" i="10"/>
  <c r="AE247" i="10"/>
  <c r="X247" i="10"/>
  <c r="W247" i="10"/>
  <c r="L247" i="10" s="1"/>
  <c r="AF246" i="10"/>
  <c r="AE246" i="10"/>
  <c r="X246" i="10"/>
  <c r="W246" i="10"/>
  <c r="L246" i="10" s="1"/>
  <c r="AF245" i="10"/>
  <c r="AE245" i="10"/>
  <c r="X245" i="10"/>
  <c r="W245" i="10"/>
  <c r="L245" i="10" s="1"/>
  <c r="AF244" i="10"/>
  <c r="AE244" i="10"/>
  <c r="X244" i="10"/>
  <c r="W244" i="10"/>
  <c r="L244" i="10" s="1"/>
  <c r="AF243" i="10"/>
  <c r="AE243" i="10"/>
  <c r="X243" i="10"/>
  <c r="W243" i="10"/>
  <c r="L243" i="10" s="1"/>
  <c r="AF242" i="10"/>
  <c r="AE242" i="10"/>
  <c r="X242" i="10"/>
  <c r="W242" i="10"/>
  <c r="L242" i="10" s="1"/>
  <c r="AF241" i="10"/>
  <c r="AE241" i="10"/>
  <c r="X241" i="10"/>
  <c r="W241" i="10"/>
  <c r="L241" i="10" s="1"/>
  <c r="AF240" i="10"/>
  <c r="AE240" i="10"/>
  <c r="X240" i="10"/>
  <c r="W240" i="10"/>
  <c r="L240" i="10" s="1"/>
  <c r="AF239" i="10"/>
  <c r="AE239" i="10"/>
  <c r="X239" i="10"/>
  <c r="W239" i="10"/>
  <c r="L239" i="10" s="1"/>
  <c r="AF238" i="10"/>
  <c r="AE238" i="10"/>
  <c r="X238" i="10"/>
  <c r="W238" i="10"/>
  <c r="L238" i="10" s="1"/>
  <c r="AF237" i="10"/>
  <c r="AE237" i="10"/>
  <c r="X237" i="10"/>
  <c r="W237" i="10"/>
  <c r="L237" i="10" s="1"/>
  <c r="AF236" i="10"/>
  <c r="AE236" i="10"/>
  <c r="X236" i="10"/>
  <c r="W236" i="10"/>
  <c r="L236" i="10" s="1"/>
  <c r="AF235" i="10"/>
  <c r="AE235" i="10"/>
  <c r="X235" i="10"/>
  <c r="W235" i="10"/>
  <c r="L235" i="10" s="1"/>
  <c r="AF234" i="10"/>
  <c r="AE234" i="10"/>
  <c r="X234" i="10"/>
  <c r="W234" i="10"/>
  <c r="L234" i="10" s="1"/>
  <c r="AF233" i="10"/>
  <c r="AE233" i="10"/>
  <c r="X233" i="10"/>
  <c r="W233" i="10"/>
  <c r="L233" i="10" s="1"/>
  <c r="AF232" i="10"/>
  <c r="AE232" i="10"/>
  <c r="X232" i="10"/>
  <c r="W232" i="10"/>
  <c r="L232" i="10" s="1"/>
  <c r="AF231" i="10"/>
  <c r="AE231" i="10"/>
  <c r="X231" i="10"/>
  <c r="W231" i="10"/>
  <c r="L231" i="10" s="1"/>
  <c r="AF230" i="10"/>
  <c r="AE230" i="10"/>
  <c r="W230" i="10"/>
  <c r="L230" i="10" s="1"/>
  <c r="P250" i="10"/>
  <c r="S250" i="10" s="1"/>
  <c r="P249" i="10"/>
  <c r="S249" i="10" s="1"/>
  <c r="P248" i="10"/>
  <c r="S248" i="10" s="1"/>
  <c r="P247" i="10"/>
  <c r="S247" i="10" s="1"/>
  <c r="P246" i="10"/>
  <c r="S246" i="10" s="1"/>
  <c r="P245" i="10"/>
  <c r="S245" i="10" s="1"/>
  <c r="P244" i="10"/>
  <c r="S244" i="10" s="1"/>
  <c r="P243" i="10"/>
  <c r="S243" i="10" s="1"/>
  <c r="P242" i="10"/>
  <c r="S242" i="10" s="1"/>
  <c r="P241" i="10"/>
  <c r="S241" i="10" s="1"/>
  <c r="P240" i="10"/>
  <c r="S240" i="10" s="1"/>
  <c r="P239" i="10"/>
  <c r="S239" i="10" s="1"/>
  <c r="P238" i="10"/>
  <c r="S238" i="10" s="1"/>
  <c r="P237" i="10"/>
  <c r="S237" i="10" s="1"/>
  <c r="P236" i="10"/>
  <c r="S236" i="10" s="1"/>
  <c r="P235" i="10"/>
  <c r="S235" i="10" s="1"/>
  <c r="P234" i="10"/>
  <c r="S234" i="10" s="1"/>
  <c r="P233" i="10"/>
  <c r="S233" i="10" s="1"/>
  <c r="P232" i="10"/>
  <c r="S232" i="10" s="1"/>
  <c r="P231" i="10"/>
  <c r="S231" i="10" s="1"/>
  <c r="P230" i="10"/>
  <c r="S230" i="10" s="1"/>
  <c r="AJ117" i="10"/>
  <c r="AI117" i="10"/>
  <c r="AF117" i="10"/>
  <c r="AE117" i="10"/>
  <c r="V117" i="10"/>
  <c r="T117" i="10" s="1"/>
  <c r="AC117" i="10" s="1"/>
  <c r="AJ116" i="10"/>
  <c r="AI116" i="10"/>
  <c r="AF116" i="10"/>
  <c r="AE116" i="10"/>
  <c r="V116" i="10"/>
  <c r="T116" i="10" s="1"/>
  <c r="N116" i="10" s="1"/>
  <c r="AJ115" i="10"/>
  <c r="AI115" i="10"/>
  <c r="AF115" i="10"/>
  <c r="AE115" i="10"/>
  <c r="V115" i="10"/>
  <c r="T115" i="10" s="1"/>
  <c r="N115" i="10" s="1"/>
  <c r="AJ114" i="10"/>
  <c r="AI114" i="10"/>
  <c r="AF114" i="10"/>
  <c r="AE114" i="10"/>
  <c r="V114" i="10"/>
  <c r="T114" i="10" s="1"/>
  <c r="AC114" i="10" s="1"/>
  <c r="AJ113" i="10"/>
  <c r="AI113" i="10"/>
  <c r="AF113" i="10"/>
  <c r="AE113" i="10"/>
  <c r="V113" i="10"/>
  <c r="T113" i="10" s="1"/>
  <c r="AC113" i="10" s="1"/>
  <c r="AJ112" i="10"/>
  <c r="AI112" i="10"/>
  <c r="AF112" i="10"/>
  <c r="AE112" i="10"/>
  <c r="V112" i="10"/>
  <c r="T112" i="10" s="1"/>
  <c r="N112" i="10" s="1"/>
  <c r="AJ111" i="10"/>
  <c r="AI111" i="10"/>
  <c r="AF111" i="10"/>
  <c r="AE111" i="10"/>
  <c r="V111" i="10"/>
  <c r="T111" i="10" s="1"/>
  <c r="M111" i="10" s="1"/>
  <c r="AJ110" i="10"/>
  <c r="AI110" i="10"/>
  <c r="AF110" i="10"/>
  <c r="AE110" i="10"/>
  <c r="V110" i="10"/>
  <c r="T110" i="10" s="1"/>
  <c r="AJ109" i="10"/>
  <c r="AI109" i="10"/>
  <c r="AF109" i="10"/>
  <c r="AE109" i="10"/>
  <c r="V109" i="10"/>
  <c r="T109" i="10" s="1"/>
  <c r="AC109" i="10" s="1"/>
  <c r="AJ108" i="10"/>
  <c r="AI108" i="10"/>
  <c r="AF108" i="10"/>
  <c r="AE108" i="10"/>
  <c r="V108" i="10"/>
  <c r="T108" i="10" s="1"/>
  <c r="N108" i="10" s="1"/>
  <c r="AJ107" i="10"/>
  <c r="AI107" i="10"/>
  <c r="AF107" i="10"/>
  <c r="AE107" i="10"/>
  <c r="V107" i="10"/>
  <c r="T107" i="10" s="1"/>
  <c r="M107" i="10" s="1"/>
  <c r="AJ106" i="10"/>
  <c r="AI106" i="10"/>
  <c r="AF106" i="10"/>
  <c r="AE106" i="10"/>
  <c r="V106" i="10"/>
  <c r="T106" i="10" s="1"/>
  <c r="AJ105" i="10"/>
  <c r="AI105" i="10"/>
  <c r="AF105" i="10"/>
  <c r="AE105" i="10"/>
  <c r="V105" i="10"/>
  <c r="T105" i="10" s="1"/>
  <c r="AC105" i="10" s="1"/>
  <c r="AJ104" i="10"/>
  <c r="AI104" i="10"/>
  <c r="AF104" i="10"/>
  <c r="AE104" i="10"/>
  <c r="V104" i="10"/>
  <c r="T104" i="10" s="1"/>
  <c r="N104" i="10" s="1"/>
  <c r="AJ103" i="10"/>
  <c r="AI103" i="10"/>
  <c r="AF103" i="10"/>
  <c r="AE103" i="10"/>
  <c r="V103" i="10"/>
  <c r="T103" i="10" s="1"/>
  <c r="N103" i="10" s="1"/>
  <c r="AJ102" i="10"/>
  <c r="AI102" i="10"/>
  <c r="AF102" i="10"/>
  <c r="AE102" i="10"/>
  <c r="V102" i="10"/>
  <c r="T102" i="10" s="1"/>
  <c r="N102" i="10" s="1"/>
  <c r="AJ101" i="10"/>
  <c r="AI101" i="10"/>
  <c r="AF101" i="10"/>
  <c r="AE101" i="10"/>
  <c r="V101" i="10"/>
  <c r="T101" i="10" s="1"/>
  <c r="AC101" i="10" s="1"/>
  <c r="AJ100" i="10"/>
  <c r="AI100" i="10"/>
  <c r="AF100" i="10"/>
  <c r="AE100" i="10"/>
  <c r="V100" i="10"/>
  <c r="T100" i="10" s="1"/>
  <c r="N100" i="10" s="1"/>
  <c r="AJ99" i="10"/>
  <c r="AI99" i="10"/>
  <c r="AF99" i="10"/>
  <c r="AE99" i="10"/>
  <c r="V99" i="10"/>
  <c r="T99" i="10" s="1"/>
  <c r="N99" i="10" s="1"/>
  <c r="AJ98" i="10"/>
  <c r="AI98" i="10"/>
  <c r="AF98" i="10"/>
  <c r="AE98" i="10"/>
  <c r="V98" i="10"/>
  <c r="T98" i="10" s="1"/>
  <c r="N98" i="10" s="1"/>
  <c r="AJ97" i="10"/>
  <c r="AI97" i="10"/>
  <c r="AF97" i="10"/>
  <c r="AE97" i="10"/>
  <c r="V97" i="10"/>
  <c r="T97" i="10" s="1"/>
  <c r="AC97" i="10" s="1"/>
  <c r="AJ96" i="10"/>
  <c r="AI96" i="10"/>
  <c r="AF96" i="10"/>
  <c r="AE96" i="10"/>
  <c r="V96" i="10"/>
  <c r="T96" i="10" s="1"/>
  <c r="M96" i="10" s="1"/>
  <c r="AJ95" i="10"/>
  <c r="AI95" i="10"/>
  <c r="AF95" i="10"/>
  <c r="AE95" i="10"/>
  <c r="V95" i="10"/>
  <c r="T95" i="10" s="1"/>
  <c r="M95" i="10" s="1"/>
  <c r="AJ94" i="10"/>
  <c r="AI94" i="10"/>
  <c r="AF94" i="10"/>
  <c r="AE94" i="10"/>
  <c r="V94" i="10"/>
  <c r="T94" i="10" s="1"/>
  <c r="M94" i="10" s="1"/>
  <c r="AJ93" i="10"/>
  <c r="AI93" i="10"/>
  <c r="AF93" i="10"/>
  <c r="AE93" i="10"/>
  <c r="V93" i="10"/>
  <c r="T93" i="10" s="1"/>
  <c r="AC93" i="10" s="1"/>
  <c r="AJ92" i="10"/>
  <c r="AI92" i="10"/>
  <c r="AF92" i="10"/>
  <c r="AE92" i="10"/>
  <c r="V92" i="10"/>
  <c r="T92" i="10" s="1"/>
  <c r="M92" i="10" s="1"/>
  <c r="AJ91" i="10"/>
  <c r="AI91" i="10"/>
  <c r="AF91" i="10"/>
  <c r="AE91" i="10"/>
  <c r="V91" i="10"/>
  <c r="T91" i="10" s="1"/>
  <c r="AJ90" i="10"/>
  <c r="AI90" i="10"/>
  <c r="AF90" i="10"/>
  <c r="AE90" i="10"/>
  <c r="V90" i="10"/>
  <c r="T90" i="10" s="1"/>
  <c r="AJ89" i="10"/>
  <c r="AI89" i="10"/>
  <c r="AF89" i="10"/>
  <c r="AE89" i="10"/>
  <c r="V89" i="10"/>
  <c r="T89" i="10" s="1"/>
  <c r="AC89" i="10" s="1"/>
  <c r="AJ88" i="10"/>
  <c r="AI88" i="10"/>
  <c r="AF88" i="10"/>
  <c r="AE88" i="10"/>
  <c r="V88" i="10"/>
  <c r="T88" i="10" s="1"/>
  <c r="AJ87" i="10"/>
  <c r="AI87" i="10"/>
  <c r="AF87" i="10"/>
  <c r="AE87" i="10"/>
  <c r="V87" i="10"/>
  <c r="T87" i="10" s="1"/>
  <c r="AJ86" i="10"/>
  <c r="AI86" i="10"/>
  <c r="AF86" i="10"/>
  <c r="AE86" i="10"/>
  <c r="V86" i="10"/>
  <c r="T86" i="10" s="1"/>
  <c r="AJ85" i="10"/>
  <c r="AI85" i="10"/>
  <c r="AF85" i="10"/>
  <c r="AE85" i="10"/>
  <c r="V85" i="10"/>
  <c r="T85" i="10" s="1"/>
  <c r="AJ84" i="10"/>
  <c r="AI84" i="10"/>
  <c r="AF84" i="10"/>
  <c r="AE84" i="10"/>
  <c r="V84" i="10"/>
  <c r="T84" i="10" s="1"/>
  <c r="AJ83" i="10"/>
  <c r="AI83" i="10"/>
  <c r="AF83" i="10"/>
  <c r="AE83" i="10"/>
  <c r="V83" i="10"/>
  <c r="T83" i="10" s="1"/>
  <c r="AJ82" i="10"/>
  <c r="AI82" i="10"/>
  <c r="AF82" i="10"/>
  <c r="AE82" i="10"/>
  <c r="V82" i="10"/>
  <c r="T82" i="10" s="1"/>
  <c r="AJ81" i="10"/>
  <c r="AI81" i="10"/>
  <c r="AF81" i="10"/>
  <c r="AE81" i="10"/>
  <c r="V81" i="10"/>
  <c r="T81" i="10" s="1"/>
  <c r="AJ80" i="10"/>
  <c r="AI80" i="10"/>
  <c r="AF80" i="10"/>
  <c r="AE80" i="10"/>
  <c r="V80" i="10"/>
  <c r="T80" i="10" s="1"/>
  <c r="AJ79" i="10"/>
  <c r="AI79" i="10"/>
  <c r="AF79" i="10"/>
  <c r="AE79" i="10"/>
  <c r="V79" i="10"/>
  <c r="T79" i="10" s="1"/>
  <c r="AJ78" i="10"/>
  <c r="AI78" i="10"/>
  <c r="AF78" i="10"/>
  <c r="AE78" i="10"/>
  <c r="V78" i="10"/>
  <c r="T78" i="10" s="1"/>
  <c r="P117" i="10"/>
  <c r="S117" i="10" s="1"/>
  <c r="P116" i="10"/>
  <c r="S116" i="10" s="1"/>
  <c r="P115" i="10"/>
  <c r="S115" i="10" s="1"/>
  <c r="P114" i="10"/>
  <c r="S114" i="10" s="1"/>
  <c r="P113" i="10"/>
  <c r="S113" i="10" s="1"/>
  <c r="P112" i="10"/>
  <c r="S112" i="10" s="1"/>
  <c r="P111" i="10"/>
  <c r="S111" i="10" s="1"/>
  <c r="P110" i="10"/>
  <c r="S110" i="10" s="1"/>
  <c r="P109" i="10"/>
  <c r="S109" i="10" s="1"/>
  <c r="P108" i="10"/>
  <c r="S108" i="10" s="1"/>
  <c r="P107" i="10"/>
  <c r="S107" i="10" s="1"/>
  <c r="P106" i="10"/>
  <c r="S106" i="10" s="1"/>
  <c r="P105" i="10"/>
  <c r="S105" i="10" s="1"/>
  <c r="P104" i="10"/>
  <c r="S104" i="10" s="1"/>
  <c r="P103" i="10"/>
  <c r="S103" i="10" s="1"/>
  <c r="P102" i="10"/>
  <c r="S102" i="10" s="1"/>
  <c r="P101" i="10"/>
  <c r="S101" i="10" s="1"/>
  <c r="P100" i="10"/>
  <c r="S100" i="10" s="1"/>
  <c r="P99" i="10"/>
  <c r="S99" i="10" s="1"/>
  <c r="P98" i="10"/>
  <c r="S98" i="10" s="1"/>
  <c r="P97" i="10"/>
  <c r="S97" i="10" s="1"/>
  <c r="P96" i="10"/>
  <c r="S96" i="10" s="1"/>
  <c r="P95" i="10"/>
  <c r="S95" i="10" s="1"/>
  <c r="P94" i="10"/>
  <c r="S94" i="10" s="1"/>
  <c r="P93" i="10"/>
  <c r="S93" i="10" s="1"/>
  <c r="P92" i="10"/>
  <c r="S92" i="10" s="1"/>
  <c r="P91" i="10"/>
  <c r="S91" i="10" s="1"/>
  <c r="P90" i="10"/>
  <c r="S90" i="10" s="1"/>
  <c r="P89" i="10"/>
  <c r="S89" i="10" s="1"/>
  <c r="P88" i="10"/>
  <c r="S88" i="10" s="1"/>
  <c r="P87" i="10"/>
  <c r="S87" i="10" s="1"/>
  <c r="P86" i="10"/>
  <c r="S86" i="10" s="1"/>
  <c r="P85" i="10"/>
  <c r="S85" i="10" s="1"/>
  <c r="P84" i="10"/>
  <c r="S84" i="10" s="1"/>
  <c r="P83" i="10"/>
  <c r="S83" i="10" s="1"/>
  <c r="P81" i="10"/>
  <c r="S81" i="10" s="1"/>
  <c r="P80" i="10"/>
  <c r="S80" i="10" s="1"/>
  <c r="P79" i="10"/>
  <c r="S79" i="10" s="1"/>
  <c r="P78" i="10"/>
  <c r="S78" i="10" s="1"/>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1" i="10"/>
  <c r="J80" i="10"/>
  <c r="J79" i="10"/>
  <c r="J78" i="10"/>
  <c r="BB32" i="10"/>
  <c r="BA32" i="10" s="1"/>
  <c r="BB31" i="10"/>
  <c r="BA31" i="10" s="1"/>
  <c r="BB30" i="10"/>
  <c r="BA30" i="10" s="1"/>
  <c r="BB29" i="10"/>
  <c r="BA29" i="10" s="1"/>
  <c r="BB28" i="10"/>
  <c r="BA28" i="10" s="1"/>
  <c r="BB27" i="10"/>
  <c r="BA27" i="10" s="1"/>
  <c r="BB26" i="10"/>
  <c r="BA26" i="10" s="1"/>
  <c r="BB25" i="10"/>
  <c r="BA25" i="10" s="1"/>
  <c r="BB24" i="10"/>
  <c r="BA24" i="10" s="1"/>
  <c r="BB23" i="10"/>
  <c r="BA23" i="10" s="1"/>
  <c r="BB22" i="10"/>
  <c r="BA22" i="10" s="1"/>
  <c r="BB21" i="10"/>
  <c r="BA21" i="10" s="1"/>
  <c r="BB20" i="10"/>
  <c r="BA20" i="10" s="1"/>
  <c r="BB19" i="10"/>
  <c r="BA19" i="10" s="1"/>
  <c r="BB18" i="10"/>
  <c r="BA18" i="10" s="1"/>
  <c r="AR32" i="10"/>
  <c r="AQ32" i="10"/>
  <c r="AO32" i="10"/>
  <c r="AN32" i="10"/>
  <c r="AM32" i="10"/>
  <c r="AK32" i="10"/>
  <c r="AJ32" i="10"/>
  <c r="AI32" i="10"/>
  <c r="AH32" i="10"/>
  <c r="AG32" i="10"/>
  <c r="AF32" i="10"/>
  <c r="AE32" i="10"/>
  <c r="AA32" i="10"/>
  <c r="X32" i="10"/>
  <c r="T32" i="10" s="1"/>
  <c r="U32" i="10" s="1"/>
  <c r="AR31" i="10"/>
  <c r="AQ31" i="10"/>
  <c r="AO31" i="10"/>
  <c r="AN31" i="10"/>
  <c r="AM31" i="10"/>
  <c r="AK31" i="10"/>
  <c r="AJ31" i="10"/>
  <c r="AI31" i="10"/>
  <c r="AH31" i="10"/>
  <c r="AG31" i="10"/>
  <c r="AF31" i="10"/>
  <c r="AE31" i="10"/>
  <c r="AA31" i="10"/>
  <c r="X31" i="10"/>
  <c r="T31" i="10" s="1"/>
  <c r="U31" i="10" s="1"/>
  <c r="AR30" i="10"/>
  <c r="AQ30" i="10"/>
  <c r="AO30" i="10"/>
  <c r="AN30" i="10"/>
  <c r="AM30" i="10"/>
  <c r="AK30" i="10"/>
  <c r="AJ30" i="10"/>
  <c r="AI30" i="10"/>
  <c r="AH30" i="10"/>
  <c r="AG30" i="10"/>
  <c r="AF30" i="10"/>
  <c r="AE30" i="10"/>
  <c r="AA30" i="10"/>
  <c r="X30" i="10"/>
  <c r="T30" i="10" s="1"/>
  <c r="U30" i="10" s="1"/>
  <c r="AR29" i="10"/>
  <c r="AQ29" i="10"/>
  <c r="AO29" i="10"/>
  <c r="AN29" i="10"/>
  <c r="AM29" i="10"/>
  <c r="AK29" i="10"/>
  <c r="AJ29" i="10"/>
  <c r="AI29" i="10"/>
  <c r="AH29" i="10"/>
  <c r="AG29" i="10"/>
  <c r="AF29" i="10"/>
  <c r="AE29" i="10"/>
  <c r="AA29" i="10"/>
  <c r="X29" i="10"/>
  <c r="T29" i="10" s="1"/>
  <c r="U29" i="10" s="1"/>
  <c r="AR28" i="10"/>
  <c r="AQ28" i="10"/>
  <c r="AO28" i="10"/>
  <c r="AN28" i="10"/>
  <c r="AM28" i="10"/>
  <c r="AK28" i="10"/>
  <c r="AJ28" i="10"/>
  <c r="AI28" i="10"/>
  <c r="AH28" i="10"/>
  <c r="AG28" i="10"/>
  <c r="AF28" i="10"/>
  <c r="AE28" i="10"/>
  <c r="AA28" i="10"/>
  <c r="X28" i="10"/>
  <c r="T28" i="10" s="1"/>
  <c r="U28" i="10" s="1"/>
  <c r="AR27" i="10"/>
  <c r="AQ27" i="10"/>
  <c r="AO27" i="10"/>
  <c r="AN27" i="10"/>
  <c r="AM27" i="10"/>
  <c r="AK27" i="10"/>
  <c r="AJ27" i="10"/>
  <c r="AI27" i="10"/>
  <c r="AH27" i="10"/>
  <c r="AG27" i="10"/>
  <c r="AF27" i="10"/>
  <c r="AE27" i="10"/>
  <c r="AA27" i="10"/>
  <c r="X27" i="10"/>
  <c r="T27" i="10" s="1"/>
  <c r="U27" i="10" s="1"/>
  <c r="AR26" i="10"/>
  <c r="AQ26" i="10"/>
  <c r="AO26" i="10"/>
  <c r="AN26" i="10"/>
  <c r="AM26" i="10"/>
  <c r="AK26" i="10"/>
  <c r="AJ26" i="10"/>
  <c r="AI26" i="10"/>
  <c r="AH26" i="10"/>
  <c r="AG26" i="10"/>
  <c r="AF26" i="10"/>
  <c r="AE26" i="10"/>
  <c r="AA26" i="10"/>
  <c r="X26" i="10"/>
  <c r="T26" i="10" s="1"/>
  <c r="U26" i="10" s="1"/>
  <c r="AR25" i="10"/>
  <c r="AQ25" i="10"/>
  <c r="AO25" i="10"/>
  <c r="AN25" i="10"/>
  <c r="AM25" i="10"/>
  <c r="AK25" i="10"/>
  <c r="AJ25" i="10"/>
  <c r="AI25" i="10"/>
  <c r="AH25" i="10"/>
  <c r="AG25" i="10"/>
  <c r="AF25" i="10"/>
  <c r="AE25" i="10"/>
  <c r="AA25" i="10"/>
  <c r="X25" i="10"/>
  <c r="T25" i="10" s="1"/>
  <c r="U25" i="10" s="1"/>
  <c r="AR24" i="10"/>
  <c r="AQ24" i="10"/>
  <c r="AO24" i="10"/>
  <c r="AN24" i="10"/>
  <c r="AM24" i="10"/>
  <c r="AK24" i="10"/>
  <c r="AJ24" i="10"/>
  <c r="AI24" i="10"/>
  <c r="AH24" i="10"/>
  <c r="AG24" i="10"/>
  <c r="AF24" i="10"/>
  <c r="AE24" i="10"/>
  <c r="AA24" i="10"/>
  <c r="X24" i="10"/>
  <c r="T24" i="10" s="1"/>
  <c r="U24" i="10" s="1"/>
  <c r="AR23" i="10"/>
  <c r="AQ23" i="10"/>
  <c r="AO23" i="10"/>
  <c r="AN23" i="10"/>
  <c r="AM23" i="10"/>
  <c r="AK23" i="10"/>
  <c r="AJ23" i="10"/>
  <c r="AI23" i="10"/>
  <c r="AH23" i="10"/>
  <c r="AG23" i="10"/>
  <c r="AF23" i="10"/>
  <c r="AE23" i="10"/>
  <c r="AA23" i="10"/>
  <c r="X23" i="10"/>
  <c r="T23" i="10" s="1"/>
  <c r="U23" i="10" s="1"/>
  <c r="AR22" i="10"/>
  <c r="AQ22" i="10"/>
  <c r="AO22" i="10"/>
  <c r="AN22" i="10"/>
  <c r="AM22" i="10"/>
  <c r="AK22" i="10"/>
  <c r="AJ22" i="10"/>
  <c r="AI22" i="10"/>
  <c r="AH22" i="10"/>
  <c r="AG22" i="10"/>
  <c r="AF22" i="10"/>
  <c r="AE22" i="10"/>
  <c r="AA22" i="10"/>
  <c r="X22" i="10"/>
  <c r="T22" i="10" s="1"/>
  <c r="U22" i="10" s="1"/>
  <c r="AR21" i="10"/>
  <c r="AQ21" i="10"/>
  <c r="AO21" i="10"/>
  <c r="AN21" i="10"/>
  <c r="AM21" i="10"/>
  <c r="AK21" i="10"/>
  <c r="AJ21" i="10"/>
  <c r="AI21" i="10"/>
  <c r="AH21" i="10"/>
  <c r="AG21" i="10"/>
  <c r="AF21" i="10"/>
  <c r="AE21" i="10"/>
  <c r="AA21" i="10"/>
  <c r="X21" i="10"/>
  <c r="T21" i="10" s="1"/>
  <c r="U21" i="10" s="1"/>
  <c r="AR20" i="10"/>
  <c r="AQ20" i="10"/>
  <c r="AO20" i="10"/>
  <c r="AN20" i="10"/>
  <c r="AM20" i="10"/>
  <c r="AK20" i="10"/>
  <c r="AJ20" i="10"/>
  <c r="AI20" i="10"/>
  <c r="AH20" i="10"/>
  <c r="AG20" i="10"/>
  <c r="AF20" i="10"/>
  <c r="AE20" i="10"/>
  <c r="AA20" i="10"/>
  <c r="X20" i="10"/>
  <c r="T20" i="10" s="1"/>
  <c r="U20" i="10" s="1"/>
  <c r="AR19" i="10"/>
  <c r="AQ19" i="10"/>
  <c r="AO19" i="10"/>
  <c r="AN19" i="10"/>
  <c r="AM19" i="10"/>
  <c r="AK19" i="10"/>
  <c r="AJ19" i="10"/>
  <c r="AI19" i="10"/>
  <c r="AH19" i="10"/>
  <c r="AG19" i="10"/>
  <c r="AF19" i="10"/>
  <c r="AE19" i="10"/>
  <c r="AA19" i="10"/>
  <c r="X19" i="10"/>
  <c r="T19" i="10" s="1"/>
  <c r="U19" i="10" s="1"/>
  <c r="AR18" i="10"/>
  <c r="AQ18" i="10"/>
  <c r="AO18" i="10"/>
  <c r="AN18" i="10"/>
  <c r="AM18" i="10"/>
  <c r="AK18" i="10"/>
  <c r="AJ18" i="10"/>
  <c r="AI18" i="10"/>
  <c r="AH18" i="10"/>
  <c r="AG18" i="10"/>
  <c r="AF18" i="10"/>
  <c r="AE18" i="10"/>
  <c r="AA18" i="10"/>
  <c r="X18" i="10"/>
  <c r="T18" i="10" s="1"/>
  <c r="U18" i="10" s="1"/>
  <c r="P32" i="10"/>
  <c r="S32" i="10" s="1"/>
  <c r="P31" i="10"/>
  <c r="S31" i="10" s="1"/>
  <c r="P30" i="10"/>
  <c r="S30" i="10" s="1"/>
  <c r="P29" i="10"/>
  <c r="S29" i="10" s="1"/>
  <c r="P28" i="10"/>
  <c r="S28" i="10" s="1"/>
  <c r="P27" i="10"/>
  <c r="S27" i="10" s="1"/>
  <c r="P26" i="10"/>
  <c r="S26" i="10" s="1"/>
  <c r="P25" i="10"/>
  <c r="S25" i="10" s="1"/>
  <c r="P24" i="10"/>
  <c r="S24" i="10" s="1"/>
  <c r="P23" i="10"/>
  <c r="S23" i="10" s="1"/>
  <c r="P22" i="10"/>
  <c r="S22" i="10" s="1"/>
  <c r="P21" i="10"/>
  <c r="S21" i="10" s="1"/>
  <c r="P20" i="10"/>
  <c r="S20" i="10" s="1"/>
  <c r="P19" i="10"/>
  <c r="S19" i="10" s="1"/>
  <c r="N32" i="10"/>
  <c r="M32" i="10"/>
  <c r="L32" i="10"/>
  <c r="V32" i="10" s="1"/>
  <c r="N31" i="10"/>
  <c r="M31" i="10"/>
  <c r="L31" i="10"/>
  <c r="V31" i="10" s="1"/>
  <c r="N30" i="10"/>
  <c r="M30" i="10"/>
  <c r="L30" i="10"/>
  <c r="V30" i="10" s="1"/>
  <c r="N29" i="10"/>
  <c r="M29" i="10"/>
  <c r="L29" i="10"/>
  <c r="V29" i="10" s="1"/>
  <c r="N28" i="10"/>
  <c r="M28" i="10"/>
  <c r="L28" i="10"/>
  <c r="V28" i="10" s="1"/>
  <c r="N27" i="10"/>
  <c r="M27" i="10"/>
  <c r="L27" i="10"/>
  <c r="V27" i="10" s="1"/>
  <c r="N26" i="10"/>
  <c r="M26" i="10"/>
  <c r="L26" i="10"/>
  <c r="V26" i="10" s="1"/>
  <c r="N25" i="10"/>
  <c r="M25" i="10"/>
  <c r="L25" i="10"/>
  <c r="V25" i="10" s="1"/>
  <c r="N24" i="10"/>
  <c r="M24" i="10"/>
  <c r="L24" i="10"/>
  <c r="V24" i="10" s="1"/>
  <c r="N23" i="10"/>
  <c r="M23" i="10"/>
  <c r="L23" i="10"/>
  <c r="V23" i="10" s="1"/>
  <c r="N22" i="10"/>
  <c r="M22" i="10"/>
  <c r="L22" i="10"/>
  <c r="V22" i="10" s="1"/>
  <c r="N21" i="10"/>
  <c r="M21" i="10"/>
  <c r="L21" i="10"/>
  <c r="V21" i="10" s="1"/>
  <c r="L20" i="10"/>
  <c r="V20" i="10" s="1"/>
  <c r="N19" i="10"/>
  <c r="M19" i="10"/>
  <c r="L19" i="10"/>
  <c r="V19" i="10" s="1"/>
  <c r="B320" i="58" l="1"/>
  <c r="B512" i="58"/>
  <c r="W20" i="10"/>
  <c r="AD246" i="10"/>
  <c r="AD238" i="10"/>
  <c r="AD239" i="10"/>
  <c r="AD242" i="10"/>
  <c r="AD243" i="10"/>
  <c r="AD244" i="10"/>
  <c r="AD245" i="10"/>
  <c r="AD85" i="10"/>
  <c r="AC85" i="10" s="1"/>
  <c r="AD93" i="10"/>
  <c r="AD97" i="10"/>
  <c r="AD247" i="10"/>
  <c r="AD250" i="10"/>
  <c r="AD23" i="10"/>
  <c r="AD78" i="10"/>
  <c r="AC78" i="10" s="1"/>
  <c r="AD86" i="10"/>
  <c r="AD90" i="10"/>
  <c r="AD94" i="10"/>
  <c r="AD102" i="10"/>
  <c r="AD105" i="10"/>
  <c r="AD113" i="10"/>
  <c r="AD104" i="10"/>
  <c r="AD231" i="10"/>
  <c r="AD234" i="10"/>
  <c r="AD235" i="10"/>
  <c r="AD236" i="10"/>
  <c r="AD237" i="10"/>
  <c r="AD114" i="10"/>
  <c r="Y28" i="155"/>
  <c r="AI12" i="74"/>
  <c r="Y26" i="155"/>
  <c r="AI10" i="74"/>
  <c r="Y30" i="155"/>
  <c r="AI14" i="74"/>
  <c r="AD89" i="10"/>
  <c r="AD101" i="10"/>
  <c r="AG11" i="74"/>
  <c r="W27" i="155"/>
  <c r="AG15" i="74"/>
  <c r="W31" i="155"/>
  <c r="AG12" i="74"/>
  <c r="W28" i="155"/>
  <c r="W24" i="10"/>
  <c r="W32" i="10"/>
  <c r="AD30" i="10"/>
  <c r="AD110" i="10"/>
  <c r="AD233" i="10"/>
  <c r="AD241" i="10"/>
  <c r="AD248" i="10"/>
  <c r="AD249" i="10"/>
  <c r="AG10" i="74"/>
  <c r="W26" i="155"/>
  <c r="AI11" i="74"/>
  <c r="Y27" i="155"/>
  <c r="AG14" i="74"/>
  <c r="W30" i="155"/>
  <c r="AI15" i="74"/>
  <c r="Y31" i="155"/>
  <c r="AI16" i="74"/>
  <c r="Y32" i="155"/>
  <c r="AF24" i="155" s="1"/>
  <c r="K24" i="155" s="1"/>
  <c r="AG17" i="74"/>
  <c r="W33" i="155"/>
  <c r="Q694" i="58"/>
  <c r="Q682" i="58" s="1"/>
  <c r="H55" i="155" s="1"/>
  <c r="P694" i="58"/>
  <c r="P682" i="58" s="1"/>
  <c r="Y25" i="155"/>
  <c r="AF22" i="155" s="1"/>
  <c r="AI9" i="74"/>
  <c r="T573" i="58"/>
  <c r="G573" i="58" s="1"/>
  <c r="B464" i="58"/>
  <c r="X53" i="155"/>
  <c r="AE45" i="155" s="1"/>
  <c r="J45" i="155" s="1"/>
  <c r="J80" i="155" s="1"/>
  <c r="H67" i="74" s="1"/>
  <c r="AH37" i="74"/>
  <c r="AO27" i="74" s="1"/>
  <c r="H27" i="74" s="1"/>
  <c r="H44" i="155"/>
  <c r="H45" i="155"/>
  <c r="H46" i="155"/>
  <c r="K23" i="155"/>
  <c r="I23" i="155"/>
  <c r="K304" i="16"/>
  <c r="L334" i="16"/>
  <c r="I331" i="16" s="1"/>
  <c r="L456" i="16"/>
  <c r="D451" i="16" s="1"/>
  <c r="M451" i="16" s="1"/>
  <c r="L578" i="16"/>
  <c r="K670" i="16"/>
  <c r="H670" i="16" s="1"/>
  <c r="L700" i="16"/>
  <c r="L395" i="16"/>
  <c r="D390" i="16" s="1"/>
  <c r="L639" i="16"/>
  <c r="D634" i="16" s="1"/>
  <c r="L517" i="16"/>
  <c r="D508" i="16" s="1"/>
  <c r="M508" i="16" s="1"/>
  <c r="K731" i="16"/>
  <c r="I731" i="16" s="1"/>
  <c r="L273" i="16"/>
  <c r="G251" i="16" s="1"/>
  <c r="M251" i="16" s="1"/>
  <c r="K243" i="16"/>
  <c r="H243" i="16" s="1"/>
  <c r="L212" i="16"/>
  <c r="B416" i="58"/>
  <c r="B368" i="58"/>
  <c r="B224" i="58"/>
  <c r="B176" i="58"/>
  <c r="M89" i="10"/>
  <c r="M104" i="10"/>
  <c r="M112" i="10"/>
  <c r="N91" i="10"/>
  <c r="M91" i="10"/>
  <c r="N92" i="10"/>
  <c r="M108" i="10"/>
  <c r="M113" i="10"/>
  <c r="B560" i="58"/>
  <c r="AC106" i="10"/>
  <c r="N106" i="10"/>
  <c r="M106" i="10"/>
  <c r="AD26" i="10"/>
  <c r="M98" i="10"/>
  <c r="M114" i="10"/>
  <c r="AC94" i="10"/>
  <c r="AC98" i="10"/>
  <c r="AD106" i="10"/>
  <c r="AD109" i="10"/>
  <c r="AD87" i="10"/>
  <c r="AD103" i="10"/>
  <c r="AD117" i="10"/>
  <c r="AP25" i="10"/>
  <c r="N96" i="10"/>
  <c r="M105" i="10"/>
  <c r="N111" i="10"/>
  <c r="N114" i="10"/>
  <c r="AD79" i="10"/>
  <c r="AC79" i="10" s="1"/>
  <c r="AD84" i="10"/>
  <c r="AD92" i="10"/>
  <c r="AD95" i="10"/>
  <c r="AD96" i="10"/>
  <c r="AD98" i="10"/>
  <c r="AD112" i="10"/>
  <c r="W28" i="10"/>
  <c r="AD22" i="10"/>
  <c r="AP29" i="10"/>
  <c r="AP30" i="10"/>
  <c r="AD31" i="10"/>
  <c r="K487" i="16"/>
  <c r="I487" i="16" s="1"/>
  <c r="H487" i="16"/>
  <c r="K426" i="16"/>
  <c r="K365" i="16"/>
  <c r="K548" i="16"/>
  <c r="K609" i="16"/>
  <c r="D512" i="16"/>
  <c r="M512" i="16" s="1"/>
  <c r="AD230" i="10"/>
  <c r="AD83" i="10"/>
  <c r="AC83" i="10" s="1"/>
  <c r="M20" i="10"/>
  <c r="AC90" i="10"/>
  <c r="N90" i="10"/>
  <c r="M90" i="10"/>
  <c r="AC86" i="10"/>
  <c r="M103" i="10"/>
  <c r="M97" i="10"/>
  <c r="X230" i="10"/>
  <c r="AD232" i="10"/>
  <c r="AD240" i="10"/>
  <c r="AC84" i="10"/>
  <c r="M88" i="10"/>
  <c r="N88" i="10"/>
  <c r="AD115" i="10"/>
  <c r="AP21" i="10"/>
  <c r="AP32" i="10"/>
  <c r="N94" i="10"/>
  <c r="M100" i="10"/>
  <c r="N107" i="10"/>
  <c r="N110" i="10"/>
  <c r="M116" i="10"/>
  <c r="AD88" i="10"/>
  <c r="AD91" i="10"/>
  <c r="N95" i="10"/>
  <c r="M101" i="10"/>
  <c r="M110" i="10"/>
  <c r="M117" i="10"/>
  <c r="AD80" i="10"/>
  <c r="AC80" i="10" s="1"/>
  <c r="AD99" i="10"/>
  <c r="AD107" i="10"/>
  <c r="W21" i="10"/>
  <c r="AD20" i="10"/>
  <c r="AP20" i="10"/>
  <c r="AD21" i="10"/>
  <c r="AD27" i="10"/>
  <c r="M93" i="10"/>
  <c r="M99" i="10"/>
  <c r="M102" i="10"/>
  <c r="M109" i="10"/>
  <c r="M115" i="10"/>
  <c r="AD81" i="10"/>
  <c r="AC81" i="10" s="1"/>
  <c r="AD100" i="10"/>
  <c r="AC102" i="10"/>
  <c r="AD108" i="10"/>
  <c r="AC110" i="10"/>
  <c r="AD111" i="10"/>
  <c r="AD116" i="10"/>
  <c r="AD82" i="10"/>
  <c r="N89" i="10"/>
  <c r="N93" i="10"/>
  <c r="N97" i="10"/>
  <c r="N101" i="10"/>
  <c r="N105" i="10"/>
  <c r="N109" i="10"/>
  <c r="N113" i="10"/>
  <c r="N117" i="10"/>
  <c r="AC87" i="10"/>
  <c r="AC88" i="10"/>
  <c r="AC91" i="10"/>
  <c r="AC92" i="10"/>
  <c r="AC95" i="10"/>
  <c r="AC96" i="10"/>
  <c r="AC99" i="10"/>
  <c r="AC100" i="10"/>
  <c r="AC103" i="10"/>
  <c r="AC104" i="10"/>
  <c r="AC107" i="10"/>
  <c r="AC108" i="10"/>
  <c r="AC111" i="10"/>
  <c r="AC112" i="10"/>
  <c r="AC115" i="10"/>
  <c r="AC116"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AD18" i="10"/>
  <c r="Y24" i="10"/>
  <c r="Y28" i="10"/>
  <c r="Y32" i="10"/>
  <c r="AD24" i="10"/>
  <c r="AP24" i="10"/>
  <c r="AD25" i="10"/>
  <c r="AD28" i="10"/>
  <c r="AP28" i="10"/>
  <c r="AP31" i="10"/>
  <c r="W25" i="10"/>
  <c r="W29" i="10"/>
  <c r="AP19" i="10"/>
  <c r="AD29" i="10"/>
  <c r="AD32" i="10"/>
  <c r="AD19" i="10"/>
  <c r="Y20" i="10"/>
  <c r="N20" i="10" s="1"/>
  <c r="AP22" i="10"/>
  <c r="AP23" i="10"/>
  <c r="AP26" i="10"/>
  <c r="AP27" i="10"/>
  <c r="AP18" i="10"/>
  <c r="P18" i="10" s="1"/>
  <c r="S18" i="10" s="1"/>
  <c r="L18" i="10"/>
  <c r="V18" i="10" s="1"/>
  <c r="Y18" i="10" s="1"/>
  <c r="W26" i="10"/>
  <c r="Y26" i="10"/>
  <c r="Y25" i="10"/>
  <c r="Y29" i="10"/>
  <c r="W22" i="10"/>
  <c r="Y22" i="10"/>
  <c r="W30" i="10"/>
  <c r="Y30" i="10"/>
  <c r="W19" i="10"/>
  <c r="Y19" i="10"/>
  <c r="W23" i="10"/>
  <c r="Y23" i="10"/>
  <c r="W27" i="10"/>
  <c r="Y27" i="10"/>
  <c r="W31" i="10"/>
  <c r="Y31" i="10"/>
  <c r="Y21" i="10"/>
  <c r="X48" i="153"/>
  <c r="V48" i="153"/>
  <c r="J17" i="2"/>
  <c r="Y80" i="155" l="1"/>
  <c r="J83" i="155"/>
  <c r="AI13" i="74"/>
  <c r="Y29" i="155"/>
  <c r="W29" i="155"/>
  <c r="AG13" i="74"/>
  <c r="W32" i="155"/>
  <c r="AD24" i="155" s="1"/>
  <c r="I24" i="155" s="1"/>
  <c r="AG16" i="74"/>
  <c r="Y33" i="155"/>
  <c r="AI17" i="74"/>
  <c r="AG9" i="74"/>
  <c r="W25" i="155"/>
  <c r="AD22" i="155" s="1"/>
  <c r="AG37" i="74"/>
  <c r="AN27" i="74" s="1"/>
  <c r="G27" i="74" s="1"/>
  <c r="W53" i="155"/>
  <c r="AD45" i="155" s="1"/>
  <c r="I45" i="155" s="1"/>
  <c r="G676" i="16"/>
  <c r="M676" i="16" s="1"/>
  <c r="I697" i="16"/>
  <c r="M697" i="16" s="1"/>
  <c r="D695" i="16"/>
  <c r="M695" i="16" s="1"/>
  <c r="G615" i="16"/>
  <c r="M615" i="16" s="1"/>
  <c r="I636" i="16"/>
  <c r="M636" i="16" s="1"/>
  <c r="I632" i="16"/>
  <c r="M632" i="16" s="1"/>
  <c r="G554" i="16"/>
  <c r="M554" i="16" s="1"/>
  <c r="I575" i="16"/>
  <c r="M575" i="16" s="1"/>
  <c r="D573" i="16"/>
  <c r="M573" i="16" s="1"/>
  <c r="I571" i="16"/>
  <c r="M571" i="16" s="1"/>
  <c r="D571" i="16"/>
  <c r="M572" i="16" s="1"/>
  <c r="G580" i="16"/>
  <c r="M580" i="16" s="1"/>
  <c r="D569" i="16"/>
  <c r="M569" i="16" s="1"/>
  <c r="G493" i="16"/>
  <c r="M493" i="16" s="1"/>
  <c r="I514" i="16"/>
  <c r="M514" i="16" s="1"/>
  <c r="I510" i="16"/>
  <c r="M510" i="16" s="1"/>
  <c r="D510" i="16"/>
  <c r="M511" i="16" s="1"/>
  <c r="G519" i="16"/>
  <c r="M519" i="16" s="1"/>
  <c r="G432" i="16"/>
  <c r="M432" i="16" s="1"/>
  <c r="I453" i="16"/>
  <c r="M453" i="16" s="1"/>
  <c r="G371" i="16"/>
  <c r="M371" i="16" s="1"/>
  <c r="I392" i="16"/>
  <c r="M392" i="16" s="1"/>
  <c r="D325" i="16"/>
  <c r="M325" i="16" s="1"/>
  <c r="I327" i="16"/>
  <c r="M327" i="16" s="1"/>
  <c r="G336" i="16"/>
  <c r="M336" i="16" s="1"/>
  <c r="D329" i="16"/>
  <c r="M329" i="16" s="1"/>
  <c r="G310" i="16"/>
  <c r="M310" i="16" s="1"/>
  <c r="G397" i="16"/>
  <c r="M397" i="16" s="1"/>
  <c r="D388" i="16"/>
  <c r="M389" i="16" s="1"/>
  <c r="D266" i="16"/>
  <c r="M267" i="16" s="1"/>
  <c r="D264" i="16"/>
  <c r="M264" i="16" s="1"/>
  <c r="I266" i="16"/>
  <c r="M266" i="16" s="1"/>
  <c r="G275" i="16"/>
  <c r="M275" i="16" s="1"/>
  <c r="D268" i="16"/>
  <c r="M268" i="16" s="1"/>
  <c r="G249" i="16"/>
  <c r="M249" i="16" s="1"/>
  <c r="I270" i="16"/>
  <c r="M270" i="16" s="1"/>
  <c r="I209" i="16"/>
  <c r="M209" i="16" s="1"/>
  <c r="D207" i="16"/>
  <c r="M207" i="16" s="1"/>
  <c r="D205" i="16"/>
  <c r="M206" i="16" s="1"/>
  <c r="G190" i="16"/>
  <c r="M190" i="16" s="1"/>
  <c r="D203" i="16"/>
  <c r="M203" i="16" s="1"/>
  <c r="I205" i="16"/>
  <c r="M205" i="16" s="1"/>
  <c r="G188" i="16"/>
  <c r="M188" i="16" s="1"/>
  <c r="G214" i="16"/>
  <c r="M214" i="16" s="1"/>
  <c r="M331" i="16"/>
  <c r="D327" i="16"/>
  <c r="M328" i="16" s="1"/>
  <c r="D693" i="16"/>
  <c r="M694" i="16" s="1"/>
  <c r="D691" i="16"/>
  <c r="M691" i="16" s="1"/>
  <c r="I693" i="16"/>
  <c r="M693" i="16" s="1"/>
  <c r="G641" i="16"/>
  <c r="M641" i="16" s="1"/>
  <c r="D449" i="16"/>
  <c r="M450" i="16" s="1"/>
  <c r="I449" i="16"/>
  <c r="M449" i="16" s="1"/>
  <c r="G458" i="16"/>
  <c r="M458" i="16" s="1"/>
  <c r="D447" i="16"/>
  <c r="M447" i="16" s="1"/>
  <c r="D386" i="16"/>
  <c r="M386" i="16" s="1"/>
  <c r="M390" i="16"/>
  <c r="D632" i="16"/>
  <c r="M633" i="16" s="1"/>
  <c r="M634" i="16"/>
  <c r="I388" i="16"/>
  <c r="M388" i="16" s="1"/>
  <c r="D630" i="16"/>
  <c r="M630" i="16" s="1"/>
  <c r="G702" i="16"/>
  <c r="M702" i="16" s="1"/>
  <c r="N18" i="10"/>
  <c r="W18" i="10"/>
  <c r="M18" i="10" s="1"/>
  <c r="N69" i="153"/>
  <c r="K69" i="153"/>
  <c r="Y82" i="155" l="1"/>
  <c r="Y91" i="155" s="1"/>
  <c r="Y81" i="155"/>
  <c r="M607" i="16"/>
  <c r="M546" i="16"/>
  <c r="M668" i="16"/>
  <c r="M729" i="16"/>
  <c r="M363" i="16"/>
  <c r="M302" i="16"/>
  <c r="M241" i="16"/>
  <c r="M424" i="16"/>
  <c r="M485" i="16"/>
  <c r="O85" i="153"/>
  <c r="S75" i="153"/>
  <c r="Q69" i="153"/>
  <c r="H69" i="153"/>
  <c r="S67" i="153"/>
  <c r="AE65" i="153"/>
  <c r="B65" i="153"/>
  <c r="B63" i="153"/>
  <c r="Z48" i="153"/>
  <c r="N42" i="153"/>
  <c r="K42" i="153"/>
  <c r="H42" i="153"/>
  <c r="N41" i="153"/>
  <c r="K41" i="153"/>
  <c r="H41" i="153"/>
  <c r="M36" i="153"/>
  <c r="J36" i="153"/>
  <c r="G36" i="153"/>
  <c r="Q27" i="153"/>
  <c r="N27" i="153"/>
  <c r="Z32" i="153" s="1"/>
  <c r="K27" i="153"/>
  <c r="X32" i="153" s="1"/>
  <c r="H27" i="153"/>
  <c r="V21" i="153"/>
  <c r="Y17" i="153"/>
  <c r="W17" i="153"/>
  <c r="U17" i="153"/>
  <c r="W14" i="153"/>
  <c r="T8" i="153"/>
  <c r="U3" i="153"/>
  <c r="U2" i="153"/>
  <c r="L24" i="153" s="1"/>
  <c r="U1" i="153"/>
  <c r="I24" i="153" s="1"/>
  <c r="Y85" i="155" l="1"/>
  <c r="Y90" i="155"/>
  <c r="Y84" i="155"/>
  <c r="N86" i="153"/>
  <c r="L86" i="153"/>
  <c r="M86" i="153"/>
  <c r="T32" i="153"/>
  <c r="U36" i="153"/>
  <c r="M44" i="153"/>
  <c r="F85" i="153"/>
  <c r="U69" i="153"/>
  <c r="M71" i="153" s="1"/>
  <c r="O24" i="153"/>
  <c r="O33" i="153"/>
  <c r="O7" i="153"/>
  <c r="O8" i="153"/>
  <c r="O36" i="153"/>
  <c r="J47" i="153"/>
  <c r="E86" i="153"/>
  <c r="J67" i="153"/>
  <c r="L63" i="153" s="1"/>
  <c r="T73" i="153"/>
  <c r="M84" i="153" s="1"/>
  <c r="L73" i="153"/>
  <c r="L20" i="153"/>
  <c r="L8" i="153"/>
  <c r="L6" i="153"/>
  <c r="L12" i="153"/>
  <c r="L9" i="153"/>
  <c r="L11" i="153"/>
  <c r="L7" i="153"/>
  <c r="L14" i="153"/>
  <c r="I19" i="153"/>
  <c r="G38" i="153"/>
  <c r="D85" i="153"/>
  <c r="I73" i="153"/>
  <c r="I14" i="153"/>
  <c r="I6" i="153"/>
  <c r="I11" i="153"/>
  <c r="S73" i="153"/>
  <c r="L84" i="153" s="1"/>
  <c r="H30" i="153"/>
  <c r="W33" i="153" s="1"/>
  <c r="I20" i="153"/>
  <c r="S32" i="153"/>
  <c r="D86" i="153"/>
  <c r="I17" i="153"/>
  <c r="T69" i="153"/>
  <c r="J71" i="153" s="1"/>
  <c r="L29" i="153"/>
  <c r="L22" i="153"/>
  <c r="L17" i="153"/>
  <c r="L15" i="153"/>
  <c r="O6" i="153"/>
  <c r="I8" i="153"/>
  <c r="I9" i="153"/>
  <c r="I12" i="153"/>
  <c r="I32" i="153"/>
  <c r="L35" i="153"/>
  <c r="S69" i="153"/>
  <c r="G71" i="153" s="1"/>
  <c r="I71" i="153" s="1"/>
  <c r="U4" i="153"/>
  <c r="I36" i="153"/>
  <c r="O29" i="153"/>
  <c r="O22" i="153"/>
  <c r="O17" i="153"/>
  <c r="O15" i="153"/>
  <c r="O20" i="153"/>
  <c r="O19" i="153"/>
  <c r="O14" i="153"/>
  <c r="O12" i="153"/>
  <c r="O11" i="153"/>
  <c r="O9" i="153"/>
  <c r="I7" i="153"/>
  <c r="I15" i="153"/>
  <c r="I35" i="153"/>
  <c r="G67" i="153"/>
  <c r="I67" i="153" s="1"/>
  <c r="I33" i="153"/>
  <c r="I46" i="153"/>
  <c r="I45" i="153"/>
  <c r="L19" i="153"/>
  <c r="I22" i="153"/>
  <c r="G44" i="153"/>
  <c r="V32" i="153"/>
  <c r="I63" i="153" s="1"/>
  <c r="S36" i="153"/>
  <c r="G47" i="153"/>
  <c r="I29" i="153"/>
  <c r="L32" i="153"/>
  <c r="O35" i="153"/>
  <c r="H37" i="153"/>
  <c r="K30" i="153"/>
  <c r="O32" i="153"/>
  <c r="U32" i="153"/>
  <c r="L36" i="153"/>
  <c r="K37" i="153"/>
  <c r="M38" i="153"/>
  <c r="J44" i="153"/>
  <c r="L45" i="153"/>
  <c r="L46" i="153"/>
  <c r="M67" i="153"/>
  <c r="O67" i="153" s="1"/>
  <c r="O73" i="153"/>
  <c r="U73" i="153"/>
  <c r="N84" i="153" s="1"/>
  <c r="F86" i="153"/>
  <c r="N30" i="153"/>
  <c r="L33" i="153"/>
  <c r="T36" i="153"/>
  <c r="N37" i="153"/>
  <c r="N43" i="153" s="1"/>
  <c r="N44" i="153" s="1"/>
  <c r="J38" i="153"/>
  <c r="O45" i="153"/>
  <c r="O46" i="153"/>
  <c r="M47" i="153"/>
  <c r="P26" i="74"/>
  <c r="I72" i="74" s="1"/>
  <c r="O26" i="74"/>
  <c r="H72" i="74" s="1"/>
  <c r="N72" i="74" s="1"/>
  <c r="N26" i="74"/>
  <c r="G72" i="74" s="1"/>
  <c r="N77" i="13"/>
  <c r="N76" i="13"/>
  <c r="O44" i="153" l="1"/>
  <c r="Y86" i="155"/>
  <c r="Y88" i="155" s="1"/>
  <c r="M91" i="153"/>
  <c r="L91" i="153"/>
  <c r="N91" i="153"/>
  <c r="L100" i="153"/>
  <c r="N94" i="153"/>
  <c r="N90" i="153"/>
  <c r="M90" i="153"/>
  <c r="N89" i="153"/>
  <c r="M89" i="153"/>
  <c r="G86" i="153"/>
  <c r="O86" i="153"/>
  <c r="N99" i="153"/>
  <c r="L67" i="153"/>
  <c r="Q67" i="153" s="1"/>
  <c r="L71" i="153"/>
  <c r="O63" i="153"/>
  <c r="O65" i="153" s="1"/>
  <c r="O71" i="153"/>
  <c r="L65" i="153"/>
  <c r="M94" i="153"/>
  <c r="N100" i="153"/>
  <c r="Q22" i="153"/>
  <c r="Q8" i="153"/>
  <c r="Q35" i="153"/>
  <c r="Q19" i="153"/>
  <c r="Q17" i="153"/>
  <c r="Q46" i="153"/>
  <c r="Q14" i="153"/>
  <c r="Q12" i="153"/>
  <c r="Q7" i="153"/>
  <c r="Q11" i="153"/>
  <c r="L99" i="153"/>
  <c r="O84" i="153"/>
  <c r="N93" i="153"/>
  <c r="L93" i="153"/>
  <c r="Q73" i="153"/>
  <c r="M93" i="153"/>
  <c r="Q20" i="153"/>
  <c r="Q6" i="153"/>
  <c r="Q29" i="153"/>
  <c r="Q36" i="153"/>
  <c r="M95" i="153"/>
  <c r="L95" i="153"/>
  <c r="N95" i="153"/>
  <c r="H43" i="153"/>
  <c r="H44" i="153" s="1"/>
  <c r="H38" i="153"/>
  <c r="Q33" i="153"/>
  <c r="Q15" i="153"/>
  <c r="Q9" i="153"/>
  <c r="N47" i="153"/>
  <c r="O47" i="153" s="1"/>
  <c r="Q32" i="153"/>
  <c r="I65" i="153"/>
  <c r="N38" i="153"/>
  <c r="N101" i="153"/>
  <c r="L101" i="153"/>
  <c r="K43" i="153"/>
  <c r="K44" i="153" s="1"/>
  <c r="L44" i="153" s="1"/>
  <c r="K38" i="153"/>
  <c r="Q45" i="153"/>
  <c r="L75" i="153"/>
  <c r="Q75" i="153" s="1"/>
  <c r="Q24" i="153"/>
  <c r="M72" i="74"/>
  <c r="O72" i="74"/>
  <c r="R82" i="13"/>
  <c r="F92" i="13" s="1"/>
  <c r="F93" i="13" s="1"/>
  <c r="F111" i="13" s="1"/>
  <c r="Q82" i="13"/>
  <c r="E92" i="13" s="1"/>
  <c r="P82" i="13"/>
  <c r="D92" i="13" s="1"/>
  <c r="D93" i="13" s="1"/>
  <c r="D111" i="13" s="1"/>
  <c r="Y87" i="155" l="1"/>
  <c r="J50" i="74"/>
  <c r="K50" i="74" s="1"/>
  <c r="N48" i="153"/>
  <c r="O38" i="153"/>
  <c r="N54" i="153"/>
  <c r="S86" i="153"/>
  <c r="N102" i="153"/>
  <c r="E30" i="30" s="1"/>
  <c r="L102" i="153"/>
  <c r="F51" i="70" s="1"/>
  <c r="L38" i="153"/>
  <c r="K54" i="153"/>
  <c r="Q71" i="153"/>
  <c r="Q63" i="153"/>
  <c r="N92" i="153"/>
  <c r="V26" i="74" s="1"/>
  <c r="M96" i="153"/>
  <c r="S110" i="14" s="1"/>
  <c r="D117" i="14" s="1"/>
  <c r="N117" i="14" s="1"/>
  <c r="M92" i="153"/>
  <c r="U26" i="74" s="1"/>
  <c r="N96" i="153"/>
  <c r="T110" i="14" s="1"/>
  <c r="E117" i="14" s="1"/>
  <c r="O117" i="14" s="1"/>
  <c r="I38" i="153"/>
  <c r="H54" i="153"/>
  <c r="Q65" i="153"/>
  <c r="H47" i="153"/>
  <c r="I47" i="153" s="1"/>
  <c r="I44" i="153"/>
  <c r="Q44" i="153" s="1"/>
  <c r="K47" i="153"/>
  <c r="L47" i="153" s="1"/>
  <c r="Q92" i="13"/>
  <c r="E93" i="13"/>
  <c r="E111" i="13" s="1"/>
  <c r="P92" i="13"/>
  <c r="R92" i="13"/>
  <c r="N57" i="153" l="1"/>
  <c r="F84" i="153" s="1"/>
  <c r="O53" i="153"/>
  <c r="H68" i="74"/>
  <c r="I68" i="74"/>
  <c r="Q38" i="153"/>
  <c r="H57" i="153"/>
  <c r="D84" i="153" s="1"/>
  <c r="L89" i="153" s="1"/>
  <c r="I53" i="153"/>
  <c r="K57" i="153"/>
  <c r="L53" i="153"/>
  <c r="K48" i="153"/>
  <c r="H48" i="153"/>
  <c r="N78" i="13"/>
  <c r="E85" i="153" l="1"/>
  <c r="E84" i="153"/>
  <c r="L90" i="153" s="1"/>
  <c r="L92" i="153" s="1"/>
  <c r="T26" i="74" s="1"/>
  <c r="O68" i="74"/>
  <c r="N68" i="74"/>
  <c r="S57" i="153"/>
  <c r="Q53" i="153"/>
  <c r="Q76" i="153" s="1"/>
  <c r="Q78" i="153" s="1"/>
  <c r="E122" i="2" s="1"/>
  <c r="C122" i="2" s="1"/>
  <c r="F105" i="13"/>
  <c r="N105" i="13" s="1"/>
  <c r="G84" i="153" l="1"/>
  <c r="S84" i="153" s="1"/>
  <c r="G85" i="153"/>
  <c r="S85" i="153" s="1"/>
  <c r="L94" i="153"/>
  <c r="L96" i="153" s="1"/>
  <c r="R110" i="14" s="1"/>
  <c r="C117" i="14" s="1"/>
  <c r="G110" i="14" s="1"/>
  <c r="H110" i="14" s="1"/>
  <c r="G68" i="74"/>
  <c r="J138" i="14"/>
  <c r="P132" i="14"/>
  <c r="E149" i="14" s="1"/>
  <c r="O132" i="14"/>
  <c r="D149" i="14" s="1"/>
  <c r="N149" i="14" s="1"/>
  <c r="N132" i="14"/>
  <c r="C149" i="14" s="1"/>
  <c r="C150" i="14" s="1"/>
  <c r="K31" i="31" s="1"/>
  <c r="P110" i="14"/>
  <c r="E123" i="14" s="1"/>
  <c r="E124" i="14" s="1"/>
  <c r="R30" i="31" s="1"/>
  <c r="O110" i="14"/>
  <c r="D123" i="14" s="1"/>
  <c r="D124" i="14" s="1"/>
  <c r="O30" i="31" s="1"/>
  <c r="N110" i="14"/>
  <c r="C123" i="14" s="1"/>
  <c r="C124" i="14" s="1"/>
  <c r="K30" i="31" s="1"/>
  <c r="P87" i="14"/>
  <c r="E99" i="14" s="1"/>
  <c r="E100" i="14" s="1"/>
  <c r="R29" i="31" s="1"/>
  <c r="N87" i="14"/>
  <c r="C99" i="14" s="1"/>
  <c r="C100" i="14" s="1"/>
  <c r="K29" i="31" s="1"/>
  <c r="F476" i="150"/>
  <c r="P63" i="14"/>
  <c r="E77" i="14" s="1"/>
  <c r="O80" i="14" s="1"/>
  <c r="N63" i="14"/>
  <c r="C77" i="14" s="1"/>
  <c r="C78" i="14" s="1"/>
  <c r="K28" i="31" s="1"/>
  <c r="P39" i="14"/>
  <c r="E53" i="14" s="1"/>
  <c r="E54" i="14" s="1"/>
  <c r="R27" i="31" s="1"/>
  <c r="O39" i="14"/>
  <c r="D53" i="14" s="1"/>
  <c r="D54" i="14" s="1"/>
  <c r="O27" i="31" s="1"/>
  <c r="N39" i="14"/>
  <c r="C53" i="14" s="1"/>
  <c r="C54" i="14" s="1"/>
  <c r="K27" i="31" s="1"/>
  <c r="B23" i="14"/>
  <c r="L6" i="14"/>
  <c r="C22" i="14" s="1"/>
  <c r="M22" i="14" s="1"/>
  <c r="N6" i="14"/>
  <c r="E22" i="14" s="1"/>
  <c r="E23" i="14" s="1"/>
  <c r="R26" i="31" s="1"/>
  <c r="M6" i="14"/>
  <c r="D22" i="14" s="1"/>
  <c r="D23" i="14" s="1"/>
  <c r="O26" i="31" s="1"/>
  <c r="O149" i="14" l="1"/>
  <c r="E150" i="14"/>
  <c r="R31" i="31" s="1"/>
  <c r="D150" i="14"/>
  <c r="O31" i="31" s="1"/>
  <c r="O53" i="14"/>
  <c r="O99" i="14"/>
  <c r="M117" i="14"/>
  <c r="I117" i="14"/>
  <c r="M68" i="74"/>
  <c r="M80" i="14"/>
  <c r="M149" i="14"/>
  <c r="M123" i="14"/>
  <c r="N123" i="14"/>
  <c r="O123" i="14"/>
  <c r="M99" i="14"/>
  <c r="M53" i="14"/>
  <c r="N53" i="14"/>
  <c r="N22" i="14"/>
  <c r="O22" i="14"/>
  <c r="E78" i="14"/>
  <c r="R28" i="31" s="1"/>
  <c r="G71" i="30" s="1"/>
  <c r="C23" i="14"/>
  <c r="K26" i="31" s="1"/>
  <c r="W34" i="42"/>
  <c r="O34" i="42"/>
  <c r="Y34" i="42"/>
  <c r="V34" i="42"/>
  <c r="W33" i="42"/>
  <c r="V33" i="42"/>
  <c r="O33" i="42"/>
  <c r="Y33" i="42"/>
  <c r="O41" i="152"/>
  <c r="M41" i="152"/>
  <c r="S40" i="152"/>
  <c r="R40" i="152"/>
  <c r="M39" i="152"/>
  <c r="M34" i="152"/>
  <c r="M30" i="152"/>
  <c r="L28" i="152"/>
  <c r="G24" i="152"/>
  <c r="F24" i="152"/>
  <c r="R20" i="152" s="1"/>
  <c r="M23" i="152"/>
  <c r="M22" i="152"/>
  <c r="M21" i="152"/>
  <c r="M20" i="152"/>
  <c r="M19" i="152"/>
  <c r="F16" i="152"/>
  <c r="R21" i="152" s="1"/>
  <c r="M12" i="152"/>
  <c r="W10" i="152"/>
  <c r="M10" i="152"/>
  <c r="Q4" i="152"/>
  <c r="S1" i="152"/>
  <c r="N27" i="151"/>
  <c r="N25" i="151"/>
  <c r="G20" i="151"/>
  <c r="E19" i="151"/>
  <c r="AE18" i="151"/>
  <c r="AF18" i="151" s="1"/>
  <c r="T18" i="151"/>
  <c r="S18" i="151"/>
  <c r="P18" i="151"/>
  <c r="N18" i="151" s="1"/>
  <c r="H18" i="151"/>
  <c r="J18" i="151" s="1"/>
  <c r="AE17" i="151"/>
  <c r="AF17" i="151" s="1"/>
  <c r="AG17" i="151" s="1"/>
  <c r="T17" i="151"/>
  <c r="S17" i="151"/>
  <c r="P17" i="151"/>
  <c r="N17" i="151" s="1"/>
  <c r="H17" i="151"/>
  <c r="J17" i="151" s="1"/>
  <c r="AE16" i="151"/>
  <c r="AF16" i="151" s="1"/>
  <c r="AG16" i="151" s="1"/>
  <c r="T16" i="151"/>
  <c r="S16" i="151"/>
  <c r="P16" i="151"/>
  <c r="N16" i="151" s="1"/>
  <c r="H16" i="151"/>
  <c r="J16" i="151" s="1"/>
  <c r="AE15" i="151"/>
  <c r="AF15" i="151" s="1"/>
  <c r="AG15" i="151" s="1"/>
  <c r="T15" i="151"/>
  <c r="S15" i="151"/>
  <c r="P15" i="151"/>
  <c r="N15" i="151" s="1"/>
  <c r="H15" i="151"/>
  <c r="J15" i="151" s="1"/>
  <c r="N12" i="151"/>
  <c r="R7" i="151"/>
  <c r="R6" i="151"/>
  <c r="R8" i="151" s="1"/>
  <c r="V4" i="151"/>
  <c r="F46" i="151" s="1"/>
  <c r="M46" i="151" s="1"/>
  <c r="S1" i="151"/>
  <c r="P1" i="151"/>
  <c r="H19" i="152" l="1"/>
  <c r="Q18" i="151"/>
  <c r="U44" i="151"/>
  <c r="Q42" i="151"/>
  <c r="Q45" i="151"/>
  <c r="Q43" i="151"/>
  <c r="U45" i="151"/>
  <c r="Q44" i="151"/>
  <c r="U42" i="151"/>
  <c r="U43" i="151"/>
  <c r="G72" i="30"/>
  <c r="J139" i="14"/>
  <c r="J140" i="14" s="1"/>
  <c r="D153" i="14" s="1"/>
  <c r="M45" i="152"/>
  <c r="Q90" i="152" s="1"/>
  <c r="M95" i="152" s="1"/>
  <c r="H92" i="152" s="1"/>
  <c r="L92" i="152" s="1"/>
  <c r="H66" i="152"/>
  <c r="L66" i="152" s="1"/>
  <c r="H65" i="152"/>
  <c r="L65" i="152" s="1"/>
  <c r="H63" i="152"/>
  <c r="L63" i="152" s="1"/>
  <c r="H64" i="152"/>
  <c r="L64" i="152" s="1"/>
  <c r="H62" i="152"/>
  <c r="L62" i="152" s="1"/>
  <c r="K88" i="14"/>
  <c r="T33" i="42"/>
  <c r="U16" i="151"/>
  <c r="X16" i="151" s="1"/>
  <c r="U17" i="151"/>
  <c r="X17" i="151" s="1"/>
  <c r="F19" i="151"/>
  <c r="M19" i="151" s="1"/>
  <c r="U15" i="151"/>
  <c r="W15" i="151" s="1"/>
  <c r="Q17" i="151"/>
  <c r="U18" i="151"/>
  <c r="Z18" i="151" s="1"/>
  <c r="X34" i="42"/>
  <c r="T34" i="42"/>
  <c r="R22" i="152"/>
  <c r="H24" i="152" s="1"/>
  <c r="L24" i="152" s="1"/>
  <c r="M6" i="152"/>
  <c r="G8" i="152" s="1"/>
  <c r="H23" i="152"/>
  <c r="L23" i="152" s="1"/>
  <c r="H20" i="152"/>
  <c r="L20" i="152" s="1"/>
  <c r="L19" i="152"/>
  <c r="H21" i="152"/>
  <c r="L21" i="152" s="1"/>
  <c r="H22" i="152"/>
  <c r="L22" i="152" s="1"/>
  <c r="R23" i="152"/>
  <c r="N19" i="151"/>
  <c r="N32" i="151" s="1"/>
  <c r="Q63" i="151" s="1"/>
  <c r="J68" i="151" s="1"/>
  <c r="M68" i="151" s="1"/>
  <c r="AG19" i="151"/>
  <c r="H20" i="151" s="1"/>
  <c r="Q16" i="151"/>
  <c r="Q15" i="151"/>
  <c r="V17" i="151" l="1"/>
  <c r="Z17" i="151"/>
  <c r="V18" i="151"/>
  <c r="W17" i="151"/>
  <c r="W16" i="151"/>
  <c r="I153" i="14"/>
  <c r="W42" i="151"/>
  <c r="V42" i="151"/>
  <c r="Z42" i="151"/>
  <c r="AA42" i="151" s="1"/>
  <c r="X42" i="151"/>
  <c r="Z45" i="151"/>
  <c r="V45" i="151"/>
  <c r="W45" i="151"/>
  <c r="X45" i="151"/>
  <c r="X44" i="151"/>
  <c r="V44" i="151"/>
  <c r="W44" i="151"/>
  <c r="Z44" i="151"/>
  <c r="X43" i="151"/>
  <c r="V43" i="151"/>
  <c r="Z43" i="151"/>
  <c r="W43" i="151"/>
  <c r="Z15" i="151"/>
  <c r="AA15" i="151" s="1"/>
  <c r="AB16" i="151" s="1"/>
  <c r="V15" i="151"/>
  <c r="X15" i="151"/>
  <c r="H10" i="151"/>
  <c r="M10" i="151" s="1"/>
  <c r="M45" i="151"/>
  <c r="M42" i="151"/>
  <c r="M43" i="151"/>
  <c r="M44" i="151"/>
  <c r="Z16" i="151"/>
  <c r="V16" i="151"/>
  <c r="L84" i="152"/>
  <c r="H41" i="152"/>
  <c r="L41" i="152" s="1"/>
  <c r="U21" i="152"/>
  <c r="U23" i="152" s="1"/>
  <c r="H34" i="152"/>
  <c r="L34" i="152" s="1"/>
  <c r="G71" i="152"/>
  <c r="H73" i="152" s="1"/>
  <c r="H39" i="152"/>
  <c r="L39" i="152" s="1"/>
  <c r="L8" i="152"/>
  <c r="W18" i="151"/>
  <c r="X18" i="151"/>
  <c r="G10" i="152"/>
  <c r="L10" i="152" s="1"/>
  <c r="G12" i="152"/>
  <c r="L12" i="152" s="1"/>
  <c r="G28" i="152"/>
  <c r="H30" i="152" s="1"/>
  <c r="K18" i="151"/>
  <c r="M18" i="151" s="1"/>
  <c r="K15" i="151"/>
  <c r="M15" i="151" s="1"/>
  <c r="H12" i="151"/>
  <c r="M12" i="151" s="1"/>
  <c r="K17" i="151"/>
  <c r="M17" i="151" s="1"/>
  <c r="J27" i="151"/>
  <c r="M27" i="151" s="1"/>
  <c r="K16" i="151"/>
  <c r="M16" i="151" s="1"/>
  <c r="W19" i="151" l="1"/>
  <c r="I22" i="151" s="1"/>
  <c r="U25" i="151" s="1"/>
  <c r="W46" i="151"/>
  <c r="I49" i="151" s="1"/>
  <c r="AB43" i="151"/>
  <c r="AA43" i="151"/>
  <c r="V46" i="151"/>
  <c r="H48" i="151" s="1"/>
  <c r="X46" i="151"/>
  <c r="J50" i="151" s="1"/>
  <c r="V19" i="151"/>
  <c r="H21" i="151" s="1"/>
  <c r="AA16" i="151"/>
  <c r="AB17" i="151" s="1"/>
  <c r="X19" i="151"/>
  <c r="J23" i="151" s="1"/>
  <c r="L30" i="152"/>
  <c r="L45" i="152" s="1"/>
  <c r="T25" i="151"/>
  <c r="K25" i="151" s="1"/>
  <c r="M25" i="151" s="1"/>
  <c r="I64" i="151" l="1"/>
  <c r="K33" i="42" s="1"/>
  <c r="X33" i="42" s="1"/>
  <c r="AA44" i="151"/>
  <c r="AB44" i="151"/>
  <c r="T52" i="151"/>
  <c r="U52" i="151"/>
  <c r="AA17" i="151"/>
  <c r="AA18" i="151" s="1"/>
  <c r="AA19" i="151" s="1"/>
  <c r="G32" i="152"/>
  <c r="G36" i="152" s="1"/>
  <c r="L6" i="152"/>
  <c r="AB18" i="151" l="1"/>
  <c r="AB19" i="151" s="1"/>
  <c r="J22" i="151" s="1"/>
  <c r="M22" i="151" s="1"/>
  <c r="M32" i="151" s="1"/>
  <c r="AB45" i="151"/>
  <c r="AB46" i="151" s="1"/>
  <c r="J49" i="151" s="1"/>
  <c r="M49" i="151" s="1"/>
  <c r="M59" i="151" s="1"/>
  <c r="AA45" i="151"/>
  <c r="AA46" i="151" s="1"/>
  <c r="O1" i="150"/>
  <c r="T35" i="29"/>
  <c r="O35" i="29"/>
  <c r="H35" i="29"/>
  <c r="M35" i="29" s="1"/>
  <c r="Q478" i="150"/>
  <c r="N478" i="150"/>
  <c r="G476" i="150"/>
  <c r="E476" i="150"/>
  <c r="N475" i="150"/>
  <c r="N474" i="150"/>
  <c r="N473" i="150"/>
  <c r="N472" i="150"/>
  <c r="N471" i="150"/>
  <c r="N470" i="150"/>
  <c r="N469" i="150"/>
  <c r="N468" i="150"/>
  <c r="Q22" i="150"/>
  <c r="Q21" i="150"/>
  <c r="Q20" i="150"/>
  <c r="Q19" i="150"/>
  <c r="Q18" i="150"/>
  <c r="Q17" i="150"/>
  <c r="Q16" i="150"/>
  <c r="Q15" i="150"/>
  <c r="Q14" i="150"/>
  <c r="A14" i="150"/>
  <c r="A15" i="150" s="1"/>
  <c r="A16" i="150" s="1"/>
  <c r="A17" i="150" s="1"/>
  <c r="A18" i="150" s="1"/>
  <c r="A19" i="150" s="1"/>
  <c r="A20" i="150" s="1"/>
  <c r="A21" i="150" s="1"/>
  <c r="A22" i="150" s="1"/>
  <c r="A23" i="150" s="1"/>
  <c r="A24" i="150" s="1"/>
  <c r="A25" i="150" s="1"/>
  <c r="A26" i="150" s="1"/>
  <c r="A27" i="150" s="1"/>
  <c r="A28" i="150" s="1"/>
  <c r="A29" i="150" s="1"/>
  <c r="A30" i="150" s="1"/>
  <c r="A31" i="150" s="1"/>
  <c r="A32" i="150" s="1"/>
  <c r="A33" i="150" s="1"/>
  <c r="A34" i="150" s="1"/>
  <c r="A35" i="150" s="1"/>
  <c r="A36" i="150" s="1"/>
  <c r="A37" i="150" s="1"/>
  <c r="A38" i="150" s="1"/>
  <c r="A39" i="150" s="1"/>
  <c r="A40" i="150" s="1"/>
  <c r="A41" i="150" s="1"/>
  <c r="A42" i="150" s="1"/>
  <c r="A43" i="150" s="1"/>
  <c r="A44" i="150" s="1"/>
  <c r="A45" i="150" s="1"/>
  <c r="A46" i="150" s="1"/>
  <c r="A47" i="150" s="1"/>
  <c r="A48" i="150" s="1"/>
  <c r="A49" i="150" s="1"/>
  <c r="A50" i="150" s="1"/>
  <c r="A51" i="150" s="1"/>
  <c r="A52" i="150" s="1"/>
  <c r="A53" i="150" s="1"/>
  <c r="A54" i="150" s="1"/>
  <c r="A55" i="150" s="1"/>
  <c r="A56" i="150" s="1"/>
  <c r="A57" i="150" s="1"/>
  <c r="A58" i="150" s="1"/>
  <c r="A59" i="150" s="1"/>
  <c r="A60" i="150" s="1"/>
  <c r="A61" i="150" s="1"/>
  <c r="A62" i="150" s="1"/>
  <c r="A63" i="150" s="1"/>
  <c r="A64" i="150" s="1"/>
  <c r="A65" i="150" s="1"/>
  <c r="A66" i="150" s="1"/>
  <c r="A67" i="150" s="1"/>
  <c r="A68" i="150" s="1"/>
  <c r="A69" i="150" s="1"/>
  <c r="A70" i="150" s="1"/>
  <c r="A71" i="150" s="1"/>
  <c r="A72" i="150" s="1"/>
  <c r="A73" i="150" s="1"/>
  <c r="A74" i="150" s="1"/>
  <c r="A75" i="150" s="1"/>
  <c r="A76" i="150" s="1"/>
  <c r="A77" i="150" s="1"/>
  <c r="A78" i="150" s="1"/>
  <c r="A79" i="150" s="1"/>
  <c r="A80" i="150" s="1"/>
  <c r="A81" i="150" s="1"/>
  <c r="A82" i="150" s="1"/>
  <c r="A83" i="150" s="1"/>
  <c r="A84" i="150" s="1"/>
  <c r="A85" i="150" s="1"/>
  <c r="A86" i="150" s="1"/>
  <c r="A87" i="150" s="1"/>
  <c r="A88" i="150" s="1"/>
  <c r="A89" i="150" s="1"/>
  <c r="A90" i="150" s="1"/>
  <c r="A91" i="150" s="1"/>
  <c r="A92" i="150" s="1"/>
  <c r="A93" i="150" s="1"/>
  <c r="A94" i="150" s="1"/>
  <c r="A95" i="150" s="1"/>
  <c r="A96" i="150" s="1"/>
  <c r="A97" i="150" s="1"/>
  <c r="A98" i="150" s="1"/>
  <c r="A99" i="150" s="1"/>
  <c r="A100" i="150" s="1"/>
  <c r="Q13" i="150"/>
  <c r="N8" i="150"/>
  <c r="N6" i="150"/>
  <c r="O34" i="29"/>
  <c r="H34" i="29"/>
  <c r="M34" i="29" s="1"/>
  <c r="T34" i="29"/>
  <c r="U93" i="149"/>
  <c r="F91" i="149"/>
  <c r="R90" i="149"/>
  <c r="R89" i="149"/>
  <c r="R88" i="149"/>
  <c r="R87" i="149"/>
  <c r="R86" i="149"/>
  <c r="R85" i="149"/>
  <c r="R84" i="149"/>
  <c r="R83" i="149"/>
  <c r="R82" i="149"/>
  <c r="R81" i="149"/>
  <c r="R75" i="149"/>
  <c r="R74" i="149"/>
  <c r="R73" i="149"/>
  <c r="R72" i="149"/>
  <c r="R71" i="149"/>
  <c r="R70" i="149"/>
  <c r="R69" i="149"/>
  <c r="R68" i="149"/>
  <c r="R67" i="149"/>
  <c r="G66" i="149"/>
  <c r="G76" i="149" s="1"/>
  <c r="F61" i="149"/>
  <c r="X60" i="149"/>
  <c r="Y60" i="149" s="1"/>
  <c r="R60" i="149"/>
  <c r="C60" i="149"/>
  <c r="X59" i="149"/>
  <c r="Y59" i="149" s="1"/>
  <c r="R59" i="149"/>
  <c r="C59" i="149"/>
  <c r="X58" i="149"/>
  <c r="Y58" i="149" s="1"/>
  <c r="R58" i="149"/>
  <c r="C58" i="149"/>
  <c r="X57" i="149"/>
  <c r="Y57" i="149" s="1"/>
  <c r="R57" i="149"/>
  <c r="C57" i="149"/>
  <c r="X56" i="149"/>
  <c r="R56" i="149"/>
  <c r="C56" i="149"/>
  <c r="L51" i="149"/>
  <c r="J51" i="149"/>
  <c r="I51" i="149"/>
  <c r="R37" i="149"/>
  <c r="R35" i="149"/>
  <c r="K34" i="149"/>
  <c r="L36" i="149" s="1"/>
  <c r="L38" i="149" s="1"/>
  <c r="R30" i="149"/>
  <c r="R29" i="149"/>
  <c r="R28" i="149"/>
  <c r="R27" i="149"/>
  <c r="F24" i="149"/>
  <c r="E24" i="149"/>
  <c r="R23" i="149"/>
  <c r="U22" i="149"/>
  <c r="R22" i="149"/>
  <c r="L21" i="149"/>
  <c r="U20" i="149"/>
  <c r="R20" i="149"/>
  <c r="R16" i="149"/>
  <c r="M16" i="149"/>
  <c r="S16" i="149" s="1"/>
  <c r="U15" i="149"/>
  <c r="R15" i="149"/>
  <c r="Y1" i="149"/>
  <c r="U1" i="149"/>
  <c r="H61" i="149" l="1"/>
  <c r="J35" i="149" s="1"/>
  <c r="I61" i="149"/>
  <c r="F66" i="149" s="1"/>
  <c r="F76" i="149" s="1"/>
  <c r="H76" i="149" s="1"/>
  <c r="A101" i="150"/>
  <c r="A102" i="150" s="1"/>
  <c r="A103" i="150" s="1"/>
  <c r="A104" i="150" s="1"/>
  <c r="A105" i="150" s="1"/>
  <c r="A106" i="150" s="1"/>
  <c r="A107" i="150" s="1"/>
  <c r="A108" i="150" s="1"/>
  <c r="A109" i="150" s="1"/>
  <c r="A110" i="150" s="1"/>
  <c r="A111" i="150" s="1"/>
  <c r="A112" i="150" s="1"/>
  <c r="A113" i="150" s="1"/>
  <c r="A114" i="150" s="1"/>
  <c r="A115" i="150" s="1"/>
  <c r="A116" i="150" s="1"/>
  <c r="A117" i="150" s="1"/>
  <c r="A118" i="150" s="1"/>
  <c r="A119" i="150" s="1"/>
  <c r="A120" i="150" s="1"/>
  <c r="A121" i="150" s="1"/>
  <c r="A122" i="150" s="1"/>
  <c r="A123" i="150" s="1"/>
  <c r="A124" i="150" s="1"/>
  <c r="A125" i="150" s="1"/>
  <c r="A126" i="150" s="1"/>
  <c r="A127" i="150" s="1"/>
  <c r="A128" i="150" s="1"/>
  <c r="A129" i="150" s="1"/>
  <c r="A130" i="150" s="1"/>
  <c r="A131" i="150" s="1"/>
  <c r="A132" i="150" s="1"/>
  <c r="A133" i="150" s="1"/>
  <c r="A134" i="150" s="1"/>
  <c r="A135" i="150" s="1"/>
  <c r="A136" i="150" s="1"/>
  <c r="A137" i="150" s="1"/>
  <c r="A138" i="150" s="1"/>
  <c r="A139" i="150" s="1"/>
  <c r="A140" i="150" s="1"/>
  <c r="A141" i="150" s="1"/>
  <c r="A142" i="150" s="1"/>
  <c r="A143" i="150" s="1"/>
  <c r="A144" i="150" s="1"/>
  <c r="A145" i="150" s="1"/>
  <c r="A146" i="150" s="1"/>
  <c r="A147" i="150" s="1"/>
  <c r="A148" i="150" s="1"/>
  <c r="A149" i="150" s="1"/>
  <c r="A150" i="150" s="1"/>
  <c r="A151" i="150" s="1"/>
  <c r="A152" i="150" s="1"/>
  <c r="A153" i="150" s="1"/>
  <c r="A154" i="150" s="1"/>
  <c r="A155" i="150" s="1"/>
  <c r="A156" i="150" s="1"/>
  <c r="A157" i="150" s="1"/>
  <c r="A158" i="150" s="1"/>
  <c r="A159" i="150" s="1"/>
  <c r="A160" i="150" s="1"/>
  <c r="A161" i="150" s="1"/>
  <c r="A162" i="150" s="1"/>
  <c r="A163" i="150" s="1"/>
  <c r="A164" i="150" s="1"/>
  <c r="A165" i="150" s="1"/>
  <c r="A166" i="150" s="1"/>
  <c r="A167" i="150" s="1"/>
  <c r="A168" i="150" s="1"/>
  <c r="A169" i="150" s="1"/>
  <c r="A170" i="150" s="1"/>
  <c r="A171" i="150" s="1"/>
  <c r="A172" i="150" s="1"/>
  <c r="A173" i="150" s="1"/>
  <c r="A174" i="150" s="1"/>
  <c r="A175" i="150" s="1"/>
  <c r="A176" i="150" s="1"/>
  <c r="A177" i="150" s="1"/>
  <c r="A178" i="150" s="1"/>
  <c r="A179" i="150" s="1"/>
  <c r="A180" i="150" s="1"/>
  <c r="A181" i="150" s="1"/>
  <c r="A182" i="150" s="1"/>
  <c r="A183" i="150" s="1"/>
  <c r="A184" i="150" s="1"/>
  <c r="A185" i="150" s="1"/>
  <c r="A186" i="150" s="1"/>
  <c r="A187" i="150" s="1"/>
  <c r="A188" i="150" s="1"/>
  <c r="A189" i="150" s="1"/>
  <c r="A190" i="150" s="1"/>
  <c r="A191" i="150" s="1"/>
  <c r="A192" i="150" s="1"/>
  <c r="A193" i="150" s="1"/>
  <c r="A194" i="150" s="1"/>
  <c r="A195" i="150" s="1"/>
  <c r="A196" i="150" s="1"/>
  <c r="A197" i="150" s="1"/>
  <c r="A198" i="150" s="1"/>
  <c r="A199" i="150" s="1"/>
  <c r="A200" i="150" s="1"/>
  <c r="A201" i="150" s="1"/>
  <c r="A202" i="150" s="1"/>
  <c r="A203" i="150" s="1"/>
  <c r="A204" i="150" s="1"/>
  <c r="A205" i="150" s="1"/>
  <c r="A206" i="150" s="1"/>
  <c r="A207" i="150" s="1"/>
  <c r="A208" i="150" s="1"/>
  <c r="A209" i="150" s="1"/>
  <c r="A210" i="150" s="1"/>
  <c r="A211" i="150" s="1"/>
  <c r="A212" i="150" s="1"/>
  <c r="A213" i="150" s="1"/>
  <c r="A214" i="150" s="1"/>
  <c r="A215" i="150" s="1"/>
  <c r="A216" i="150" s="1"/>
  <c r="A217" i="150" s="1"/>
  <c r="A218" i="150" s="1"/>
  <c r="A219" i="150" s="1"/>
  <c r="A220" i="150" s="1"/>
  <c r="A221" i="150" s="1"/>
  <c r="A222" i="150" s="1"/>
  <c r="A223" i="150" s="1"/>
  <c r="A224" i="150" s="1"/>
  <c r="A225" i="150" s="1"/>
  <c r="A226" i="150" s="1"/>
  <c r="A227" i="150" s="1"/>
  <c r="A228" i="150" s="1"/>
  <c r="A229" i="150" s="1"/>
  <c r="A230" i="150" s="1"/>
  <c r="A231" i="150" s="1"/>
  <c r="A232" i="150" s="1"/>
  <c r="A233" i="150" s="1"/>
  <c r="A234" i="150" s="1"/>
  <c r="A235" i="150" s="1"/>
  <c r="A236" i="150" s="1"/>
  <c r="A237" i="150" s="1"/>
  <c r="A238" i="150" s="1"/>
  <c r="A239" i="150" s="1"/>
  <c r="A240" i="150" s="1"/>
  <c r="A241" i="150" s="1"/>
  <c r="A242" i="150" s="1"/>
  <c r="A243" i="150" s="1"/>
  <c r="A244" i="150" s="1"/>
  <c r="A245" i="150" s="1"/>
  <c r="A246" i="150" s="1"/>
  <c r="A247" i="150" s="1"/>
  <c r="A248" i="150" s="1"/>
  <c r="A249" i="150" s="1"/>
  <c r="A250" i="150" s="1"/>
  <c r="A251" i="150" s="1"/>
  <c r="A252" i="150" s="1"/>
  <c r="A253" i="150" s="1"/>
  <c r="A254" i="150" s="1"/>
  <c r="A255" i="150" s="1"/>
  <c r="A256" i="150" s="1"/>
  <c r="A257" i="150" s="1"/>
  <c r="A258" i="150" s="1"/>
  <c r="A259" i="150" s="1"/>
  <c r="A260" i="150" s="1"/>
  <c r="A261" i="150" s="1"/>
  <c r="A262" i="150" s="1"/>
  <c r="A263" i="150" s="1"/>
  <c r="A264" i="150" s="1"/>
  <c r="A265" i="150" s="1"/>
  <c r="A266" i="150" s="1"/>
  <c r="A267" i="150" s="1"/>
  <c r="A268" i="150" s="1"/>
  <c r="A269" i="150" s="1"/>
  <c r="A270" i="150" s="1"/>
  <c r="A271" i="150" s="1"/>
  <c r="A272" i="150" s="1"/>
  <c r="A273" i="150" s="1"/>
  <c r="A274" i="150" s="1"/>
  <c r="A275" i="150" s="1"/>
  <c r="A276" i="150" s="1"/>
  <c r="A277" i="150" s="1"/>
  <c r="A278" i="150" s="1"/>
  <c r="A279" i="150" s="1"/>
  <c r="A280" i="150" s="1"/>
  <c r="A281" i="150" s="1"/>
  <c r="A282" i="150" s="1"/>
  <c r="A283" i="150" s="1"/>
  <c r="A284" i="150" s="1"/>
  <c r="A285" i="150" s="1"/>
  <c r="A286" i="150" s="1"/>
  <c r="A287" i="150" s="1"/>
  <c r="A288" i="150" s="1"/>
  <c r="A289" i="150" s="1"/>
  <c r="A290" i="150" s="1"/>
  <c r="A291" i="150" s="1"/>
  <c r="A292" i="150" s="1"/>
  <c r="A293" i="150" s="1"/>
  <c r="A294" i="150" s="1"/>
  <c r="A295" i="150" s="1"/>
  <c r="A296" i="150" s="1"/>
  <c r="A297" i="150" s="1"/>
  <c r="A298" i="150" s="1"/>
  <c r="A299" i="150" s="1"/>
  <c r="A300" i="150" s="1"/>
  <c r="A301" i="150" s="1"/>
  <c r="A302" i="150" s="1"/>
  <c r="A303" i="150" s="1"/>
  <c r="A304" i="150" s="1"/>
  <c r="A305" i="150" s="1"/>
  <c r="A306" i="150" s="1"/>
  <c r="A307" i="150" s="1"/>
  <c r="A308" i="150" s="1"/>
  <c r="A309" i="150" s="1"/>
  <c r="A310" i="150" s="1"/>
  <c r="A311" i="150" s="1"/>
  <c r="A312" i="150" s="1"/>
  <c r="A313" i="150" s="1"/>
  <c r="A314" i="150" s="1"/>
  <c r="A315" i="150" s="1"/>
  <c r="A316" i="150" s="1"/>
  <c r="A317" i="150" s="1"/>
  <c r="A318" i="150" s="1"/>
  <c r="A319" i="150" s="1"/>
  <c r="A320" i="150" s="1"/>
  <c r="A321" i="150" s="1"/>
  <c r="A322" i="150" s="1"/>
  <c r="A323" i="150" s="1"/>
  <c r="A324" i="150" s="1"/>
  <c r="A325" i="150" s="1"/>
  <c r="A326" i="150" s="1"/>
  <c r="A327" i="150" s="1"/>
  <c r="A328" i="150" s="1"/>
  <c r="A329" i="150" s="1"/>
  <c r="A330" i="150" s="1"/>
  <c r="A331" i="150" s="1"/>
  <c r="A332" i="150" s="1"/>
  <c r="A333" i="150" s="1"/>
  <c r="A334" i="150" s="1"/>
  <c r="A335" i="150" s="1"/>
  <c r="A336" i="150" s="1"/>
  <c r="A337" i="150" s="1"/>
  <c r="A338" i="150" s="1"/>
  <c r="A339" i="150" s="1"/>
  <c r="A340" i="150" s="1"/>
  <c r="A341" i="150" s="1"/>
  <c r="A342" i="150" s="1"/>
  <c r="A343" i="150" s="1"/>
  <c r="A344" i="150" s="1"/>
  <c r="A345" i="150" s="1"/>
  <c r="A346" i="150" s="1"/>
  <c r="A347" i="150" s="1"/>
  <c r="A348" i="150" s="1"/>
  <c r="A349" i="150" s="1"/>
  <c r="A350" i="150" s="1"/>
  <c r="A351" i="150" s="1"/>
  <c r="A352" i="150" s="1"/>
  <c r="A353" i="150" s="1"/>
  <c r="A354" i="150" s="1"/>
  <c r="A355" i="150" s="1"/>
  <c r="A356" i="150" s="1"/>
  <c r="A357" i="150" s="1"/>
  <c r="A358" i="150" s="1"/>
  <c r="A359" i="150" s="1"/>
  <c r="A360" i="150" s="1"/>
  <c r="A361" i="150" s="1"/>
  <c r="A362" i="150" s="1"/>
  <c r="A363" i="150" s="1"/>
  <c r="A364" i="150" s="1"/>
  <c r="A365" i="150" s="1"/>
  <c r="A366" i="150" s="1"/>
  <c r="A367" i="150" s="1"/>
  <c r="A368" i="150" s="1"/>
  <c r="A369" i="150" s="1"/>
  <c r="A370" i="150" s="1"/>
  <c r="A371" i="150" s="1"/>
  <c r="A372" i="150" s="1"/>
  <c r="A373" i="150" s="1"/>
  <c r="A374" i="150" s="1"/>
  <c r="A375" i="150" s="1"/>
  <c r="A376" i="150" s="1"/>
  <c r="A377" i="150" s="1"/>
  <c r="A378" i="150" s="1"/>
  <c r="A379" i="150" s="1"/>
  <c r="A380" i="150" s="1"/>
  <c r="A381" i="150" s="1"/>
  <c r="A382" i="150" s="1"/>
  <c r="A383" i="150" s="1"/>
  <c r="A384" i="150" s="1"/>
  <c r="A385" i="150" s="1"/>
  <c r="A386" i="150" s="1"/>
  <c r="A387" i="150" s="1"/>
  <c r="A388" i="150" s="1"/>
  <c r="A389" i="150" s="1"/>
  <c r="A390" i="150" s="1"/>
  <c r="A391" i="150" s="1"/>
  <c r="A392" i="150" s="1"/>
  <c r="A393" i="150" s="1"/>
  <c r="A394" i="150" s="1"/>
  <c r="A395" i="150" s="1"/>
  <c r="A396" i="150" s="1"/>
  <c r="A397" i="150" s="1"/>
  <c r="A398" i="150" s="1"/>
  <c r="A399" i="150" s="1"/>
  <c r="A400" i="150" s="1"/>
  <c r="A401" i="150" s="1"/>
  <c r="A402" i="150" s="1"/>
  <c r="A403" i="150" s="1"/>
  <c r="A404" i="150" s="1"/>
  <c r="A405" i="150" s="1"/>
  <c r="A406" i="150" s="1"/>
  <c r="A407" i="150" s="1"/>
  <c r="A408" i="150" s="1"/>
  <c r="A409" i="150" s="1"/>
  <c r="A410" i="150" s="1"/>
  <c r="A411" i="150" s="1"/>
  <c r="A412" i="150" s="1"/>
  <c r="A413" i="150" s="1"/>
  <c r="A414" i="150" s="1"/>
  <c r="A415" i="150" s="1"/>
  <c r="A416" i="150" s="1"/>
  <c r="A417" i="150" s="1"/>
  <c r="A418" i="150" s="1"/>
  <c r="A419" i="150" s="1"/>
  <c r="A420" i="150" s="1"/>
  <c r="A421" i="150" s="1"/>
  <c r="A422" i="150" s="1"/>
  <c r="A423" i="150" s="1"/>
  <c r="A424" i="150" s="1"/>
  <c r="A425" i="150" s="1"/>
  <c r="A426" i="150" s="1"/>
  <c r="A427" i="150" s="1"/>
  <c r="A428" i="150" s="1"/>
  <c r="A429" i="150" s="1"/>
  <c r="A430" i="150" s="1"/>
  <c r="A431" i="150" s="1"/>
  <c r="A432" i="150" s="1"/>
  <c r="A433" i="150" s="1"/>
  <c r="A434" i="150" s="1"/>
  <c r="A435" i="150" s="1"/>
  <c r="A436" i="150" s="1"/>
  <c r="A437" i="150" s="1"/>
  <c r="A438" i="150" s="1"/>
  <c r="A439" i="150" s="1"/>
  <c r="A440" i="150" s="1"/>
  <c r="A441" i="150" s="1"/>
  <c r="A442" i="150" s="1"/>
  <c r="A443" i="150" s="1"/>
  <c r="A444" i="150" s="1"/>
  <c r="A445" i="150" s="1"/>
  <c r="A446" i="150" s="1"/>
  <c r="A447" i="150" s="1"/>
  <c r="A448" i="150" s="1"/>
  <c r="A449" i="150" s="1"/>
  <c r="A450" i="150" s="1"/>
  <c r="A451" i="150" s="1"/>
  <c r="A452" i="150" s="1"/>
  <c r="A453" i="150" s="1"/>
  <c r="A454" i="150" s="1"/>
  <c r="A455" i="150" s="1"/>
  <c r="A456" i="150" s="1"/>
  <c r="A457" i="150" s="1"/>
  <c r="A458" i="150" s="1"/>
  <c r="A459" i="150" s="1"/>
  <c r="A460" i="150" s="1"/>
  <c r="A461" i="150" s="1"/>
  <c r="A462" i="150" s="1"/>
  <c r="O11" i="149"/>
  <c r="K37" i="149"/>
  <c r="W37" i="149" s="1"/>
  <c r="L6" i="149"/>
  <c r="S6" i="149" s="1"/>
  <c r="L11" i="149"/>
  <c r="M50" i="149"/>
  <c r="Q50" i="149"/>
  <c r="R50" i="149"/>
  <c r="Q64" i="151"/>
  <c r="M136" i="151" s="1"/>
  <c r="E123" i="2" s="1"/>
  <c r="C123" i="2" s="1"/>
  <c r="Q463" i="150"/>
  <c r="S1" i="149"/>
  <c r="G80" i="149"/>
  <c r="E37" i="149"/>
  <c r="U37" i="149"/>
  <c r="N4" i="150"/>
  <c r="H38" i="149"/>
  <c r="V66" i="149"/>
  <c r="G24" i="149"/>
  <c r="S24" i="149" s="1"/>
  <c r="G59" i="149"/>
  <c r="Z59" i="149"/>
  <c r="E61" i="149"/>
  <c r="G57" i="149"/>
  <c r="J57" i="149" s="1"/>
  <c r="Z57" i="149"/>
  <c r="Z58" i="149"/>
  <c r="G58" i="149"/>
  <c r="J58" i="149" s="1"/>
  <c r="M45" i="149"/>
  <c r="H51" i="149"/>
  <c r="K52" i="149" s="1"/>
  <c r="Z60" i="149"/>
  <c r="G91" i="149"/>
  <c r="G60" i="149"/>
  <c r="J60" i="149" s="1"/>
  <c r="W46" i="78"/>
  <c r="V46" i="78"/>
  <c r="U46" i="78"/>
  <c r="S46" i="78"/>
  <c r="W45" i="78"/>
  <c r="V45" i="78"/>
  <c r="U45" i="78"/>
  <c r="S45" i="78"/>
  <c r="W44" i="78"/>
  <c r="V44" i="78"/>
  <c r="U44" i="78"/>
  <c r="S44" i="78"/>
  <c r="W43" i="78"/>
  <c r="V43" i="78"/>
  <c r="U43" i="78"/>
  <c r="S43" i="78"/>
  <c r="W42" i="78"/>
  <c r="V42" i="78"/>
  <c r="U42" i="78"/>
  <c r="S42" i="78"/>
  <c r="W41" i="78"/>
  <c r="V41" i="78"/>
  <c r="U41" i="78"/>
  <c r="S41" i="78"/>
  <c r="W40" i="78"/>
  <c r="V40" i="78"/>
  <c r="U40" i="78"/>
  <c r="S40" i="78"/>
  <c r="W39" i="78"/>
  <c r="V39" i="78"/>
  <c r="U39" i="78"/>
  <c r="S39" i="78"/>
  <c r="W38" i="78"/>
  <c r="V38" i="78"/>
  <c r="U38" i="78"/>
  <c r="S38" i="78"/>
  <c r="W37" i="78"/>
  <c r="V37" i="78"/>
  <c r="U37" i="78"/>
  <c r="S37" i="78"/>
  <c r="W36" i="78"/>
  <c r="V36" i="78"/>
  <c r="U36" i="78"/>
  <c r="S36" i="78"/>
  <c r="W35" i="78"/>
  <c r="V35" i="78"/>
  <c r="U35" i="78"/>
  <c r="S35" i="78"/>
  <c r="W34" i="78"/>
  <c r="V34" i="78"/>
  <c r="U34" i="78"/>
  <c r="S34" i="78"/>
  <c r="W33" i="78"/>
  <c r="V33" i="78"/>
  <c r="U33" i="78"/>
  <c r="S33" i="78"/>
  <c r="L60" i="78"/>
  <c r="L59" i="78"/>
  <c r="L58" i="78"/>
  <c r="L46" i="78"/>
  <c r="L45" i="78"/>
  <c r="L44" i="78"/>
  <c r="L43" i="78"/>
  <c r="L42" i="78"/>
  <c r="L41" i="78"/>
  <c r="L40" i="78"/>
  <c r="L39" i="78"/>
  <c r="L38" i="78"/>
  <c r="L35" i="78"/>
  <c r="L34" i="78"/>
  <c r="L33" i="78"/>
  <c r="H33" i="78"/>
  <c r="K33" i="78" s="1"/>
  <c r="H34" i="78"/>
  <c r="K34" i="78" s="1"/>
  <c r="H35" i="78"/>
  <c r="K35" i="78" s="1"/>
  <c r="H36" i="78"/>
  <c r="K36" i="78" s="1"/>
  <c r="H37" i="78"/>
  <c r="K37" i="78" s="1"/>
  <c r="H38" i="78"/>
  <c r="K38" i="78" s="1"/>
  <c r="H39" i="78"/>
  <c r="H40" i="78"/>
  <c r="H41" i="78"/>
  <c r="H42" i="78"/>
  <c r="H43" i="78"/>
  <c r="H44" i="78"/>
  <c r="H45" i="78"/>
  <c r="H46" i="78"/>
  <c r="H58" i="78"/>
  <c r="H59" i="78"/>
  <c r="H60" i="78"/>
  <c r="S8" i="78"/>
  <c r="H8" i="78" s="1"/>
  <c r="K8" i="78" s="1"/>
  <c r="U8" i="78"/>
  <c r="V8" i="78"/>
  <c r="W8" i="78"/>
  <c r="F141" i="58"/>
  <c r="F45" i="58"/>
  <c r="U66" i="149" l="1"/>
  <c r="J59" i="149"/>
  <c r="S11" i="149"/>
  <c r="M49" i="149"/>
  <c r="M48" i="149"/>
  <c r="M47" i="149"/>
  <c r="M44" i="149"/>
  <c r="M46" i="149"/>
  <c r="H469" i="150"/>
  <c r="O469" i="150" s="1"/>
  <c r="H467" i="150"/>
  <c r="O467" i="150" s="1"/>
  <c r="AF28" i="74"/>
  <c r="V44" i="155"/>
  <c r="AF26" i="74"/>
  <c r="V42" i="155"/>
  <c r="H468" i="150"/>
  <c r="O468" i="150" s="1"/>
  <c r="H471" i="150"/>
  <c r="O471" i="150" s="1"/>
  <c r="H470" i="150"/>
  <c r="O470" i="150" s="1"/>
  <c r="H472" i="150"/>
  <c r="O472" i="150" s="1"/>
  <c r="H473" i="150"/>
  <c r="O473" i="150" s="1"/>
  <c r="H474" i="150"/>
  <c r="O474" i="150" s="1"/>
  <c r="H475" i="150"/>
  <c r="O475" i="150" s="1"/>
  <c r="K6" i="150"/>
  <c r="O6" i="150" s="1"/>
  <c r="K8" i="150" s="1"/>
  <c r="L36" i="150" s="1"/>
  <c r="F478" i="150"/>
  <c r="O478" i="150" s="1"/>
  <c r="D5" i="150"/>
  <c r="M43" i="149"/>
  <c r="K51" i="149"/>
  <c r="L52" i="149" s="1"/>
  <c r="C100" i="13"/>
  <c r="G102" i="13"/>
  <c r="E61" i="78" s="1"/>
  <c r="L13" i="150" l="1"/>
  <c r="L14" i="150"/>
  <c r="L15" i="150"/>
  <c r="L16" i="150"/>
  <c r="O16" i="150" s="1"/>
  <c r="L17" i="150"/>
  <c r="L378" i="150"/>
  <c r="O378" i="150" s="1"/>
  <c r="L223" i="150"/>
  <c r="O223" i="150" s="1"/>
  <c r="L270" i="150"/>
  <c r="O270" i="150" s="1"/>
  <c r="L262" i="150"/>
  <c r="O262" i="150" s="1"/>
  <c r="L439" i="150"/>
  <c r="O439" i="150" s="1"/>
  <c r="L318" i="150"/>
  <c r="O318" i="150" s="1"/>
  <c r="L441" i="150"/>
  <c r="O441" i="150" s="1"/>
  <c r="L440" i="150"/>
  <c r="O440" i="150" s="1"/>
  <c r="L419" i="150"/>
  <c r="L343" i="150"/>
  <c r="O343" i="150" s="1"/>
  <c r="L422" i="150"/>
  <c r="O422" i="150" s="1"/>
  <c r="L355" i="150"/>
  <c r="O355" i="150" s="1"/>
  <c r="L346" i="150"/>
  <c r="O346" i="150" s="1"/>
  <c r="L191" i="150"/>
  <c r="O191" i="150" s="1"/>
  <c r="L47" i="150"/>
  <c r="O47" i="150" s="1"/>
  <c r="L326" i="150"/>
  <c r="O326" i="150" s="1"/>
  <c r="L179" i="150"/>
  <c r="O179" i="150" s="1"/>
  <c r="L178" i="150"/>
  <c r="O178" i="150" s="1"/>
  <c r="L265" i="150"/>
  <c r="O265" i="150" s="1"/>
  <c r="L97" i="150"/>
  <c r="L348" i="150"/>
  <c r="L264" i="150"/>
  <c r="L180" i="150"/>
  <c r="O180" i="150" s="1"/>
  <c r="L92" i="150"/>
  <c r="O92" i="150" s="1"/>
  <c r="L403" i="150"/>
  <c r="L127" i="150"/>
  <c r="O127" i="150" s="1"/>
  <c r="L362" i="150"/>
  <c r="O362" i="150" s="1"/>
  <c r="L423" i="150"/>
  <c r="O423" i="150" s="1"/>
  <c r="L327" i="150"/>
  <c r="O327" i="150" s="1"/>
  <c r="L459" i="150"/>
  <c r="O459" i="150" s="1"/>
  <c r="L95" i="150"/>
  <c r="O95" i="150" s="1"/>
  <c r="L279" i="150"/>
  <c r="O279" i="150" s="1"/>
  <c r="L414" i="150"/>
  <c r="L294" i="150"/>
  <c r="L206" i="150"/>
  <c r="O206" i="150" s="1"/>
  <c r="L425" i="150"/>
  <c r="O425" i="150" s="1"/>
  <c r="L323" i="150"/>
  <c r="O323" i="150" s="1"/>
  <c r="L147" i="150"/>
  <c r="O147" i="150" s="1"/>
  <c r="L198" i="150"/>
  <c r="O198" i="150" s="1"/>
  <c r="L424" i="150"/>
  <c r="O424" i="150" s="1"/>
  <c r="L314" i="150"/>
  <c r="O314" i="150" s="1"/>
  <c r="L146" i="150"/>
  <c r="O146" i="150" s="1"/>
  <c r="L337" i="150"/>
  <c r="O337" i="150" s="1"/>
  <c r="L249" i="150"/>
  <c r="O249" i="150" s="1"/>
  <c r="L165" i="150"/>
  <c r="L81" i="150"/>
  <c r="L332" i="150"/>
  <c r="O332" i="150" s="1"/>
  <c r="L248" i="150"/>
  <c r="O248" i="150" s="1"/>
  <c r="L164" i="150"/>
  <c r="O164" i="150" s="1"/>
  <c r="L76" i="150"/>
  <c r="O76" i="150" s="1"/>
  <c r="L363" i="150"/>
  <c r="O363" i="150" s="1"/>
  <c r="L442" i="150"/>
  <c r="O442" i="150" s="1"/>
  <c r="L183" i="150"/>
  <c r="O183" i="150" s="1"/>
  <c r="L391" i="150"/>
  <c r="O391" i="150" s="1"/>
  <c r="L239" i="150"/>
  <c r="O239" i="150" s="1"/>
  <c r="L387" i="150"/>
  <c r="O387" i="150" s="1"/>
  <c r="L418" i="150"/>
  <c r="L55" i="150"/>
  <c r="O55" i="150" s="1"/>
  <c r="L382" i="150"/>
  <c r="O382" i="150" s="1"/>
  <c r="L167" i="150"/>
  <c r="O167" i="150" s="1"/>
  <c r="L110" i="150"/>
  <c r="O110" i="150" s="1"/>
  <c r="L397" i="150"/>
  <c r="O397" i="150" s="1"/>
  <c r="L267" i="150"/>
  <c r="O267" i="150" s="1"/>
  <c r="L99" i="150"/>
  <c r="O99" i="150" s="1"/>
  <c r="L86" i="150"/>
  <c r="O86" i="150" s="1"/>
  <c r="L396" i="150"/>
  <c r="O396" i="150" s="1"/>
  <c r="L266" i="150"/>
  <c r="O266" i="150" s="1"/>
  <c r="L90" i="150"/>
  <c r="O90" i="150" s="1"/>
  <c r="L309" i="150"/>
  <c r="L225" i="150"/>
  <c r="L137" i="150"/>
  <c r="O137" i="150" s="1"/>
  <c r="L53" i="150"/>
  <c r="O53" i="150" s="1"/>
  <c r="L308" i="150"/>
  <c r="O308" i="150" s="1"/>
  <c r="L220" i="150"/>
  <c r="O220" i="150" s="1"/>
  <c r="L136" i="150"/>
  <c r="O136" i="150" s="1"/>
  <c r="L52" i="150"/>
  <c r="O52" i="150" s="1"/>
  <c r="L353" i="150"/>
  <c r="O353" i="150" s="1"/>
  <c r="L181" i="150"/>
  <c r="O181" i="150" s="1"/>
  <c r="L335" i="150"/>
  <c r="O335" i="150" s="1"/>
  <c r="L426" i="150"/>
  <c r="O426" i="150" s="1"/>
  <c r="L119" i="150"/>
  <c r="O119" i="150" s="1"/>
  <c r="L383" i="150"/>
  <c r="L175" i="150"/>
  <c r="O175" i="150" s="1"/>
  <c r="L371" i="150"/>
  <c r="O371" i="150" s="1"/>
  <c r="L402" i="150"/>
  <c r="O402" i="150" s="1"/>
  <c r="L454" i="150"/>
  <c r="O454" i="150" s="1"/>
  <c r="L374" i="150"/>
  <c r="O374" i="150" s="1"/>
  <c r="L135" i="150"/>
  <c r="O135" i="150" s="1"/>
  <c r="L38" i="150"/>
  <c r="O38" i="150" s="1"/>
  <c r="L381" i="150"/>
  <c r="O381" i="150" s="1"/>
  <c r="L235" i="150"/>
  <c r="O235" i="150" s="1"/>
  <c r="L67" i="150"/>
  <c r="O67" i="150" s="1"/>
  <c r="L22" i="150"/>
  <c r="O22" i="150" s="1"/>
  <c r="L380" i="150"/>
  <c r="O380" i="150" s="1"/>
  <c r="L234" i="150"/>
  <c r="O234" i="150" s="1"/>
  <c r="L58" i="150"/>
  <c r="O58" i="150" s="1"/>
  <c r="L293" i="150"/>
  <c r="O293" i="150" s="1"/>
  <c r="L209" i="150"/>
  <c r="O209" i="150" s="1"/>
  <c r="L121" i="150"/>
  <c r="O121" i="150" s="1"/>
  <c r="L37" i="150"/>
  <c r="O37" i="150" s="1"/>
  <c r="L292" i="150"/>
  <c r="O292" i="150" s="1"/>
  <c r="L204" i="150"/>
  <c r="O204" i="150" s="1"/>
  <c r="L120" i="150"/>
  <c r="O120" i="150" s="1"/>
  <c r="L19" i="150"/>
  <c r="O19" i="150" s="1"/>
  <c r="L32" i="150"/>
  <c r="L48" i="150"/>
  <c r="O48" i="150" s="1"/>
  <c r="L64" i="150"/>
  <c r="O64" i="150" s="1"/>
  <c r="L80" i="150"/>
  <c r="O80" i="150" s="1"/>
  <c r="L96" i="150"/>
  <c r="O96" i="150" s="1"/>
  <c r="L112" i="150"/>
  <c r="O112" i="150" s="1"/>
  <c r="L128" i="150"/>
  <c r="O128" i="150" s="1"/>
  <c r="L144" i="150"/>
  <c r="O144" i="150" s="1"/>
  <c r="L160" i="150"/>
  <c r="O160" i="150" s="1"/>
  <c r="L176" i="150"/>
  <c r="O176" i="150" s="1"/>
  <c r="L192" i="150"/>
  <c r="O192" i="150" s="1"/>
  <c r="L208" i="150"/>
  <c r="O208" i="150" s="1"/>
  <c r="L224" i="150"/>
  <c r="L240" i="150"/>
  <c r="L256" i="150"/>
  <c r="O256" i="150" s="1"/>
  <c r="L272" i="150"/>
  <c r="O272" i="150" s="1"/>
  <c r="L288" i="150"/>
  <c r="O288" i="150" s="1"/>
  <c r="L304" i="150"/>
  <c r="O304" i="150" s="1"/>
  <c r="L320" i="150"/>
  <c r="O320" i="150" s="1"/>
  <c r="L336" i="150"/>
  <c r="O336" i="150" s="1"/>
  <c r="L352" i="150"/>
  <c r="O352" i="150" s="1"/>
  <c r="L29" i="150"/>
  <c r="O29" i="150" s="1"/>
  <c r="L45" i="150"/>
  <c r="O45" i="150" s="1"/>
  <c r="L61" i="150"/>
  <c r="O61" i="150" s="1"/>
  <c r="L77" i="150"/>
  <c r="L93" i="150"/>
  <c r="O93" i="150" s="1"/>
  <c r="L109" i="150"/>
  <c r="O109" i="150" s="1"/>
  <c r="L125" i="150"/>
  <c r="O125" i="150" s="1"/>
  <c r="L141" i="150"/>
  <c r="O141" i="150" s="1"/>
  <c r="L157" i="150"/>
  <c r="O157" i="150" s="1"/>
  <c r="L173" i="150"/>
  <c r="O173" i="150" s="1"/>
  <c r="L189" i="150"/>
  <c r="O189" i="150" s="1"/>
  <c r="L205" i="150"/>
  <c r="O205" i="150" s="1"/>
  <c r="L221" i="150"/>
  <c r="O221" i="150" s="1"/>
  <c r="L237" i="150"/>
  <c r="O237" i="150" s="1"/>
  <c r="L253" i="150"/>
  <c r="O253" i="150" s="1"/>
  <c r="L269" i="150"/>
  <c r="O269" i="150" s="1"/>
  <c r="L285" i="150"/>
  <c r="O285" i="150" s="1"/>
  <c r="L301" i="150"/>
  <c r="O301" i="150" s="1"/>
  <c r="L317" i="150"/>
  <c r="O317" i="150" s="1"/>
  <c r="L333" i="150"/>
  <c r="O333" i="150" s="1"/>
  <c r="L349" i="150"/>
  <c r="O349" i="150" s="1"/>
  <c r="L34" i="150"/>
  <c r="O34" i="150" s="1"/>
  <c r="L66" i="150"/>
  <c r="O66" i="150" s="1"/>
  <c r="L98" i="150"/>
  <c r="O98" i="150" s="1"/>
  <c r="L130" i="150"/>
  <c r="O130" i="150" s="1"/>
  <c r="L162" i="150"/>
  <c r="O162" i="150" s="1"/>
  <c r="L194" i="150"/>
  <c r="O194" i="150" s="1"/>
  <c r="L226" i="150"/>
  <c r="O226" i="150" s="1"/>
  <c r="L258" i="150"/>
  <c r="O258" i="150" s="1"/>
  <c r="L290" i="150"/>
  <c r="O290" i="150" s="1"/>
  <c r="L322" i="150"/>
  <c r="O322" i="150" s="1"/>
  <c r="L354" i="150"/>
  <c r="O354" i="150" s="1"/>
  <c r="L372" i="150"/>
  <c r="O372" i="150" s="1"/>
  <c r="L388" i="150"/>
  <c r="O388" i="150" s="1"/>
  <c r="L404" i="150"/>
  <c r="O404" i="150" s="1"/>
  <c r="L420" i="150"/>
  <c r="O420" i="150" s="1"/>
  <c r="L436" i="150"/>
  <c r="O436" i="150" s="1"/>
  <c r="L452" i="150"/>
  <c r="O452" i="150" s="1"/>
  <c r="L46" i="150"/>
  <c r="O46" i="150" s="1"/>
  <c r="L102" i="150"/>
  <c r="L166" i="150"/>
  <c r="O166" i="150" s="1"/>
  <c r="L230" i="150"/>
  <c r="O230" i="150" s="1"/>
  <c r="L27" i="150"/>
  <c r="O27" i="150" s="1"/>
  <c r="L59" i="150"/>
  <c r="O59" i="150" s="1"/>
  <c r="L91" i="150"/>
  <c r="O91" i="150" s="1"/>
  <c r="L123" i="150"/>
  <c r="O123" i="150" s="1"/>
  <c r="L155" i="150"/>
  <c r="O155" i="150" s="1"/>
  <c r="L187" i="150"/>
  <c r="O187" i="150" s="1"/>
  <c r="L219" i="150"/>
  <c r="O219" i="150" s="1"/>
  <c r="L251" i="150"/>
  <c r="O251" i="150" s="1"/>
  <c r="L283" i="150"/>
  <c r="O283" i="150" s="1"/>
  <c r="L315" i="150"/>
  <c r="O315" i="150" s="1"/>
  <c r="L347" i="150"/>
  <c r="O347" i="150" s="1"/>
  <c r="L369" i="150"/>
  <c r="O369" i="150" s="1"/>
  <c r="L385" i="150"/>
  <c r="O385" i="150" s="1"/>
  <c r="L401" i="150"/>
  <c r="O401" i="150" s="1"/>
  <c r="L417" i="150"/>
  <c r="O417" i="150" s="1"/>
  <c r="L433" i="150"/>
  <c r="O433" i="150" s="1"/>
  <c r="L449" i="150"/>
  <c r="O449" i="150" s="1"/>
  <c r="L30" i="150"/>
  <c r="O30" i="150" s="1"/>
  <c r="L94" i="150"/>
  <c r="O94" i="150" s="1"/>
  <c r="L158" i="150"/>
  <c r="O158" i="150" s="1"/>
  <c r="L222" i="150"/>
  <c r="O222" i="150" s="1"/>
  <c r="L286" i="150"/>
  <c r="L20" i="150"/>
  <c r="O20" i="150" s="1"/>
  <c r="L40" i="150"/>
  <c r="O40" i="150" s="1"/>
  <c r="L60" i="150"/>
  <c r="O60" i="150" s="1"/>
  <c r="L84" i="150"/>
  <c r="O84" i="150" s="1"/>
  <c r="L104" i="150"/>
  <c r="O104" i="150" s="1"/>
  <c r="L124" i="150"/>
  <c r="O124" i="150" s="1"/>
  <c r="L148" i="150"/>
  <c r="O148" i="150" s="1"/>
  <c r="L168" i="150"/>
  <c r="O168" i="150" s="1"/>
  <c r="L188" i="150"/>
  <c r="O188" i="150" s="1"/>
  <c r="L212" i="150"/>
  <c r="O212" i="150" s="1"/>
  <c r="L232" i="150"/>
  <c r="O232" i="150" s="1"/>
  <c r="L252" i="150"/>
  <c r="O252" i="150" s="1"/>
  <c r="L276" i="150"/>
  <c r="O276" i="150" s="1"/>
  <c r="L296" i="150"/>
  <c r="O296" i="150" s="1"/>
  <c r="L316" i="150"/>
  <c r="O316" i="150" s="1"/>
  <c r="L340" i="150"/>
  <c r="O340" i="150" s="1"/>
  <c r="L21" i="150"/>
  <c r="O21" i="150" s="1"/>
  <c r="L41" i="150"/>
  <c r="O41" i="150" s="1"/>
  <c r="L65" i="150"/>
  <c r="O65" i="150" s="1"/>
  <c r="L85" i="150"/>
  <c r="O85" i="150" s="1"/>
  <c r="L105" i="150"/>
  <c r="O105" i="150" s="1"/>
  <c r="L129" i="150"/>
  <c r="O129" i="150" s="1"/>
  <c r="L149" i="150"/>
  <c r="O149" i="150" s="1"/>
  <c r="L169" i="150"/>
  <c r="L193" i="150"/>
  <c r="O193" i="150" s="1"/>
  <c r="L213" i="150"/>
  <c r="O213" i="150" s="1"/>
  <c r="L233" i="150"/>
  <c r="O233" i="150" s="1"/>
  <c r="L257" i="150"/>
  <c r="O257" i="150" s="1"/>
  <c r="L277" i="150"/>
  <c r="O277" i="150" s="1"/>
  <c r="L297" i="150"/>
  <c r="O297" i="150" s="1"/>
  <c r="L321" i="150"/>
  <c r="O321" i="150" s="1"/>
  <c r="L341" i="150"/>
  <c r="O341" i="150" s="1"/>
  <c r="L26" i="150"/>
  <c r="O26" i="150" s="1"/>
  <c r="L74" i="150"/>
  <c r="O74" i="150" s="1"/>
  <c r="L114" i="150"/>
  <c r="O114" i="150" s="1"/>
  <c r="L154" i="150"/>
  <c r="L202" i="150"/>
  <c r="O202" i="150" s="1"/>
  <c r="L242" i="150"/>
  <c r="O242" i="150" s="1"/>
  <c r="L282" i="150"/>
  <c r="O282" i="150" s="1"/>
  <c r="L330" i="150"/>
  <c r="O330" i="150" s="1"/>
  <c r="L364" i="150"/>
  <c r="O364" i="150" s="1"/>
  <c r="L384" i="150"/>
  <c r="O384" i="150" s="1"/>
  <c r="L408" i="150"/>
  <c r="O408" i="150" s="1"/>
  <c r="L428" i="150"/>
  <c r="O428" i="150" s="1"/>
  <c r="L448" i="150"/>
  <c r="O448" i="150" s="1"/>
  <c r="L54" i="150"/>
  <c r="O54" i="150" s="1"/>
  <c r="L134" i="150"/>
  <c r="O134" i="150" s="1"/>
  <c r="L214" i="150"/>
  <c r="O214" i="150" s="1"/>
  <c r="L35" i="150"/>
  <c r="O35" i="150" s="1"/>
  <c r="L75" i="150"/>
  <c r="O75" i="150" s="1"/>
  <c r="L115" i="150"/>
  <c r="O115" i="150" s="1"/>
  <c r="L163" i="150"/>
  <c r="O163" i="150" s="1"/>
  <c r="L203" i="150"/>
  <c r="O203" i="150" s="1"/>
  <c r="L243" i="150"/>
  <c r="O243" i="150" s="1"/>
  <c r="L291" i="150"/>
  <c r="O291" i="150" s="1"/>
  <c r="L331" i="150"/>
  <c r="O331" i="150" s="1"/>
  <c r="L365" i="150"/>
  <c r="O365" i="150" s="1"/>
  <c r="L389" i="150"/>
  <c r="O389" i="150" s="1"/>
  <c r="L409" i="150"/>
  <c r="O409" i="150" s="1"/>
  <c r="L429" i="150"/>
  <c r="O429" i="150" s="1"/>
  <c r="L453" i="150"/>
  <c r="O453" i="150" s="1"/>
  <c r="L62" i="150"/>
  <c r="O62" i="150" s="1"/>
  <c r="L142" i="150"/>
  <c r="O142" i="150" s="1"/>
  <c r="L238" i="150"/>
  <c r="O238" i="150" s="1"/>
  <c r="L71" i="150"/>
  <c r="O71" i="150" s="1"/>
  <c r="L199" i="150"/>
  <c r="O199" i="150" s="1"/>
  <c r="L310" i="150"/>
  <c r="O310" i="150" s="1"/>
  <c r="L366" i="150"/>
  <c r="O366" i="150" s="1"/>
  <c r="L398" i="150"/>
  <c r="O398" i="150" s="1"/>
  <c r="L430" i="150"/>
  <c r="O430" i="150" s="1"/>
  <c r="L462" i="150"/>
  <c r="O462" i="150" s="1"/>
  <c r="L215" i="150"/>
  <c r="L370" i="150"/>
  <c r="O370" i="150" s="1"/>
  <c r="L434" i="150"/>
  <c r="O434" i="150" s="1"/>
  <c r="L159" i="150"/>
  <c r="O159" i="150" s="1"/>
  <c r="L351" i="150"/>
  <c r="O351" i="150" s="1"/>
  <c r="L427" i="150"/>
  <c r="O427" i="150" s="1"/>
  <c r="L79" i="150"/>
  <c r="O79" i="150" s="1"/>
  <c r="L207" i="150"/>
  <c r="O207" i="150" s="1"/>
  <c r="L311" i="150"/>
  <c r="O311" i="150" s="1"/>
  <c r="L367" i="150"/>
  <c r="O367" i="150" s="1"/>
  <c r="L399" i="150"/>
  <c r="O399" i="150" s="1"/>
  <c r="L431" i="150"/>
  <c r="O431" i="150" s="1"/>
  <c r="L23" i="150"/>
  <c r="L302" i="150"/>
  <c r="O302" i="150" s="1"/>
  <c r="L24" i="150"/>
  <c r="O24" i="150" s="1"/>
  <c r="L44" i="150"/>
  <c r="O44" i="150" s="1"/>
  <c r="L68" i="150"/>
  <c r="O68" i="150" s="1"/>
  <c r="L88" i="150"/>
  <c r="O88" i="150" s="1"/>
  <c r="L108" i="150"/>
  <c r="O108" i="150" s="1"/>
  <c r="L132" i="150"/>
  <c r="O132" i="150" s="1"/>
  <c r="L152" i="150"/>
  <c r="O152" i="150" s="1"/>
  <c r="L172" i="150"/>
  <c r="O172" i="150" s="1"/>
  <c r="L196" i="150"/>
  <c r="O196" i="150" s="1"/>
  <c r="L216" i="150"/>
  <c r="O216" i="150" s="1"/>
  <c r="L236" i="150"/>
  <c r="L260" i="150"/>
  <c r="O260" i="150" s="1"/>
  <c r="L280" i="150"/>
  <c r="O280" i="150" s="1"/>
  <c r="L300" i="150"/>
  <c r="O300" i="150" s="1"/>
  <c r="L324" i="150"/>
  <c r="O324" i="150" s="1"/>
  <c r="L344" i="150"/>
  <c r="O344" i="150" s="1"/>
  <c r="L25" i="150"/>
  <c r="O25" i="150" s="1"/>
  <c r="L49" i="150"/>
  <c r="O49" i="150" s="1"/>
  <c r="L69" i="150"/>
  <c r="O69" i="150" s="1"/>
  <c r="L89" i="150"/>
  <c r="O89" i="150" s="1"/>
  <c r="L113" i="150"/>
  <c r="O113" i="150" s="1"/>
  <c r="L133" i="150"/>
  <c r="O133" i="150" s="1"/>
  <c r="L153" i="150"/>
  <c r="O153" i="150" s="1"/>
  <c r="L177" i="150"/>
  <c r="O177" i="150" s="1"/>
  <c r="L197" i="150"/>
  <c r="O197" i="150" s="1"/>
  <c r="L217" i="150"/>
  <c r="O217" i="150" s="1"/>
  <c r="L241" i="150"/>
  <c r="O241" i="150" s="1"/>
  <c r="L261" i="150"/>
  <c r="O261" i="150" s="1"/>
  <c r="L281" i="150"/>
  <c r="O281" i="150" s="1"/>
  <c r="L305" i="150"/>
  <c r="O305" i="150" s="1"/>
  <c r="L325" i="150"/>
  <c r="O325" i="150" s="1"/>
  <c r="L345" i="150"/>
  <c r="O345" i="150" s="1"/>
  <c r="L42" i="150"/>
  <c r="O42" i="150" s="1"/>
  <c r="L82" i="150"/>
  <c r="O82" i="150" s="1"/>
  <c r="L122" i="150"/>
  <c r="O122" i="150" s="1"/>
  <c r="L170" i="150"/>
  <c r="O170" i="150" s="1"/>
  <c r="L210" i="150"/>
  <c r="O210" i="150" s="1"/>
  <c r="L250" i="150"/>
  <c r="O250" i="150" s="1"/>
  <c r="L298" i="150"/>
  <c r="O298" i="150" s="1"/>
  <c r="L338" i="150"/>
  <c r="O338" i="150" s="1"/>
  <c r="L368" i="150"/>
  <c r="O368" i="150" s="1"/>
  <c r="L392" i="150"/>
  <c r="O392" i="150" s="1"/>
  <c r="L412" i="150"/>
  <c r="O412" i="150" s="1"/>
  <c r="L432" i="150"/>
  <c r="O432" i="150" s="1"/>
  <c r="L456" i="150"/>
  <c r="O456" i="150" s="1"/>
  <c r="L70" i="150"/>
  <c r="O70" i="150" s="1"/>
  <c r="L150" i="150"/>
  <c r="O150" i="150" s="1"/>
  <c r="L246" i="150"/>
  <c r="O246" i="150" s="1"/>
  <c r="L43" i="150"/>
  <c r="O43" i="150" s="1"/>
  <c r="L83" i="150"/>
  <c r="O83" i="150" s="1"/>
  <c r="L131" i="150"/>
  <c r="O131" i="150" s="1"/>
  <c r="L171" i="150"/>
  <c r="O171" i="150" s="1"/>
  <c r="L211" i="150"/>
  <c r="O211" i="150" s="1"/>
  <c r="L259" i="150"/>
  <c r="O259" i="150" s="1"/>
  <c r="L299" i="150"/>
  <c r="O299" i="150" s="1"/>
  <c r="L339" i="150"/>
  <c r="O339" i="150" s="1"/>
  <c r="L373" i="150"/>
  <c r="O373" i="150" s="1"/>
  <c r="L393" i="150"/>
  <c r="O393" i="150" s="1"/>
  <c r="L413" i="150"/>
  <c r="O413" i="150" s="1"/>
  <c r="L437" i="150"/>
  <c r="O437" i="150" s="1"/>
  <c r="L457" i="150"/>
  <c r="O457" i="150" s="1"/>
  <c r="L78" i="150"/>
  <c r="O78" i="150" s="1"/>
  <c r="L174" i="150"/>
  <c r="O174" i="150" s="1"/>
  <c r="L254" i="150"/>
  <c r="O254" i="150" s="1"/>
  <c r="L18" i="150"/>
  <c r="O18" i="150" s="1"/>
  <c r="L435" i="150"/>
  <c r="O435" i="150" s="1"/>
  <c r="L379" i="150"/>
  <c r="O379" i="150" s="1"/>
  <c r="L255" i="150"/>
  <c r="O255" i="150" s="1"/>
  <c r="L458" i="150"/>
  <c r="O458" i="150" s="1"/>
  <c r="L394" i="150"/>
  <c r="O394" i="150" s="1"/>
  <c r="L247" i="150"/>
  <c r="O247" i="150" s="1"/>
  <c r="L447" i="150"/>
  <c r="O447" i="150" s="1"/>
  <c r="L407" i="150"/>
  <c r="O407" i="150" s="1"/>
  <c r="L359" i="150"/>
  <c r="O359" i="150" s="1"/>
  <c r="L271" i="150"/>
  <c r="O271" i="150" s="1"/>
  <c r="L111" i="150"/>
  <c r="O111" i="150" s="1"/>
  <c r="L411" i="150"/>
  <c r="O411" i="150" s="1"/>
  <c r="L287" i="150"/>
  <c r="O287" i="150" s="1"/>
  <c r="L450" i="150"/>
  <c r="O450" i="150" s="1"/>
  <c r="L350" i="150"/>
  <c r="O350" i="150" s="1"/>
  <c r="L87" i="150"/>
  <c r="O87" i="150" s="1"/>
  <c r="L438" i="150"/>
  <c r="O438" i="150" s="1"/>
  <c r="L390" i="150"/>
  <c r="O390" i="150" s="1"/>
  <c r="L342" i="150"/>
  <c r="O342" i="150" s="1"/>
  <c r="L231" i="150"/>
  <c r="O231" i="150" s="1"/>
  <c r="L39" i="150"/>
  <c r="O39" i="150" s="1"/>
  <c r="L126" i="150"/>
  <c r="O126" i="150" s="1"/>
  <c r="L445" i="150"/>
  <c r="O445" i="150" s="1"/>
  <c r="L405" i="150"/>
  <c r="O405" i="150" s="1"/>
  <c r="L361" i="150"/>
  <c r="O361" i="150" s="1"/>
  <c r="L275" i="150"/>
  <c r="O275" i="150" s="1"/>
  <c r="L195" i="150"/>
  <c r="O195" i="150" s="1"/>
  <c r="L107" i="150"/>
  <c r="O107" i="150" s="1"/>
  <c r="L278" i="150"/>
  <c r="O278" i="150" s="1"/>
  <c r="L118" i="150"/>
  <c r="L444" i="150"/>
  <c r="O444" i="150" s="1"/>
  <c r="L400" i="150"/>
  <c r="O400" i="150" s="1"/>
  <c r="L360" i="150"/>
  <c r="O360" i="150" s="1"/>
  <c r="L274" i="150"/>
  <c r="O274" i="150" s="1"/>
  <c r="L186" i="150"/>
  <c r="O186" i="150" s="1"/>
  <c r="L106" i="150"/>
  <c r="O106" i="150" s="1"/>
  <c r="L357" i="150"/>
  <c r="O357" i="150" s="1"/>
  <c r="L313" i="150"/>
  <c r="O313" i="150" s="1"/>
  <c r="L273" i="150"/>
  <c r="O273" i="150" s="1"/>
  <c r="L229" i="150"/>
  <c r="O229" i="150" s="1"/>
  <c r="L185" i="150"/>
  <c r="O185" i="150" s="1"/>
  <c r="L145" i="150"/>
  <c r="O145" i="150" s="1"/>
  <c r="L101" i="150"/>
  <c r="O101" i="150" s="1"/>
  <c r="L57" i="150"/>
  <c r="O57" i="150" s="1"/>
  <c r="L356" i="150"/>
  <c r="O356" i="150" s="1"/>
  <c r="L312" i="150"/>
  <c r="O312" i="150" s="1"/>
  <c r="L268" i="150"/>
  <c r="O268" i="150" s="1"/>
  <c r="L228" i="150"/>
  <c r="O228" i="150" s="1"/>
  <c r="L184" i="150"/>
  <c r="O184" i="150" s="1"/>
  <c r="L140" i="150"/>
  <c r="O140" i="150" s="1"/>
  <c r="L100" i="150"/>
  <c r="O100" i="150" s="1"/>
  <c r="L56" i="150"/>
  <c r="O56" i="150" s="1"/>
  <c r="L451" i="150"/>
  <c r="O451" i="150" s="1"/>
  <c r="L395" i="150"/>
  <c r="O395" i="150" s="1"/>
  <c r="L303" i="150"/>
  <c r="O303" i="150" s="1"/>
  <c r="L31" i="150"/>
  <c r="O31" i="150" s="1"/>
  <c r="L410" i="150"/>
  <c r="O410" i="150" s="1"/>
  <c r="L334" i="150"/>
  <c r="O334" i="150" s="1"/>
  <c r="L455" i="150"/>
  <c r="O455" i="150" s="1"/>
  <c r="L415" i="150"/>
  <c r="O415" i="150" s="1"/>
  <c r="L375" i="150"/>
  <c r="O375" i="150" s="1"/>
  <c r="L295" i="150"/>
  <c r="O295" i="150" s="1"/>
  <c r="L143" i="150"/>
  <c r="O143" i="150" s="1"/>
  <c r="L443" i="150"/>
  <c r="O443" i="150" s="1"/>
  <c r="L319" i="150"/>
  <c r="O319" i="150" s="1"/>
  <c r="L63" i="150"/>
  <c r="O63" i="150" s="1"/>
  <c r="L386" i="150"/>
  <c r="O386" i="150" s="1"/>
  <c r="L151" i="150"/>
  <c r="O151" i="150" s="1"/>
  <c r="L446" i="150"/>
  <c r="O446" i="150" s="1"/>
  <c r="L406" i="150"/>
  <c r="O406" i="150" s="1"/>
  <c r="L358" i="150"/>
  <c r="O358" i="150" s="1"/>
  <c r="L263" i="150"/>
  <c r="O263" i="150" s="1"/>
  <c r="L103" i="150"/>
  <c r="O103" i="150" s="1"/>
  <c r="L190" i="150"/>
  <c r="O190" i="150" s="1"/>
  <c r="L461" i="150"/>
  <c r="O461" i="150" s="1"/>
  <c r="L421" i="150"/>
  <c r="O421" i="150" s="1"/>
  <c r="L377" i="150"/>
  <c r="O377" i="150" s="1"/>
  <c r="L307" i="150"/>
  <c r="O307" i="150" s="1"/>
  <c r="L227" i="150"/>
  <c r="O227" i="150" s="1"/>
  <c r="L139" i="150"/>
  <c r="O139" i="150" s="1"/>
  <c r="L51" i="150"/>
  <c r="O51" i="150" s="1"/>
  <c r="L182" i="150"/>
  <c r="O182" i="150" s="1"/>
  <c r="L460" i="150"/>
  <c r="O460" i="150" s="1"/>
  <c r="L416" i="150"/>
  <c r="O416" i="150" s="1"/>
  <c r="L376" i="150"/>
  <c r="O376" i="150" s="1"/>
  <c r="L306" i="150"/>
  <c r="O306" i="150" s="1"/>
  <c r="L218" i="150"/>
  <c r="O218" i="150" s="1"/>
  <c r="L138" i="150"/>
  <c r="O138" i="150" s="1"/>
  <c r="L50" i="150"/>
  <c r="O50" i="150" s="1"/>
  <c r="L329" i="150"/>
  <c r="O329" i="150" s="1"/>
  <c r="L289" i="150"/>
  <c r="O289" i="150" s="1"/>
  <c r="L245" i="150"/>
  <c r="O245" i="150" s="1"/>
  <c r="L201" i="150"/>
  <c r="O201" i="150" s="1"/>
  <c r="L161" i="150"/>
  <c r="O161" i="150" s="1"/>
  <c r="L117" i="150"/>
  <c r="O117" i="150" s="1"/>
  <c r="L73" i="150"/>
  <c r="O73" i="150" s="1"/>
  <c r="L33" i="150"/>
  <c r="O33" i="150" s="1"/>
  <c r="L328" i="150"/>
  <c r="O328" i="150" s="1"/>
  <c r="L284" i="150"/>
  <c r="O284" i="150" s="1"/>
  <c r="L244" i="150"/>
  <c r="O244" i="150" s="1"/>
  <c r="L200" i="150"/>
  <c r="O200" i="150" s="1"/>
  <c r="L156" i="150"/>
  <c r="O156" i="150" s="1"/>
  <c r="L116" i="150"/>
  <c r="O116" i="150" s="1"/>
  <c r="L72" i="150"/>
  <c r="O72" i="150" s="1"/>
  <c r="L28" i="150"/>
  <c r="O28" i="150" s="1"/>
  <c r="O118" i="150"/>
  <c r="O154" i="150"/>
  <c r="O102" i="150"/>
  <c r="O286" i="150"/>
  <c r="O225" i="150"/>
  <c r="O294" i="150"/>
  <c r="O236" i="150"/>
  <c r="O240" i="150"/>
  <c r="O215" i="150"/>
  <c r="O264" i="150"/>
  <c r="O224" i="150"/>
  <c r="O165" i="150"/>
  <c r="O169" i="150"/>
  <c r="M51" i="149"/>
  <c r="D56" i="149" s="1"/>
  <c r="R4" i="149"/>
  <c r="T51" i="149"/>
  <c r="O14" i="150"/>
  <c r="O15" i="150"/>
  <c r="O36" i="150"/>
  <c r="O414" i="150"/>
  <c r="O348" i="150"/>
  <c r="O419" i="150"/>
  <c r="O23" i="150"/>
  <c r="O97" i="150"/>
  <c r="O81" i="150"/>
  <c r="O418" i="150"/>
  <c r="O32" i="150"/>
  <c r="O403" i="150"/>
  <c r="O383" i="150"/>
  <c r="O309" i="150"/>
  <c r="O77" i="150"/>
  <c r="O17" i="150"/>
  <c r="O8" i="150"/>
  <c r="O13" i="150"/>
  <c r="AH83" i="83"/>
  <c r="AL83" i="83" s="1"/>
  <c r="AH82" i="83"/>
  <c r="AL82" i="83" s="1"/>
  <c r="AH81" i="83"/>
  <c r="AL81" i="83" s="1"/>
  <c r="AH80" i="83"/>
  <c r="AL80" i="83" s="1"/>
  <c r="AH79" i="83"/>
  <c r="AL79" i="83" s="1"/>
  <c r="AH78" i="83"/>
  <c r="AL78" i="83" s="1"/>
  <c r="AH77" i="83"/>
  <c r="AL77" i="83" s="1"/>
  <c r="AH76" i="83"/>
  <c r="AL76" i="83" s="1"/>
  <c r="AH75" i="83"/>
  <c r="AL75" i="83" s="1"/>
  <c r="AH74" i="83"/>
  <c r="AL74" i="83" s="1"/>
  <c r="AH73" i="83"/>
  <c r="AL73" i="83" s="1"/>
  <c r="AH72" i="83"/>
  <c r="AL72" i="83" s="1"/>
  <c r="AH71" i="83"/>
  <c r="AL71" i="83" s="1"/>
  <c r="AH70" i="83"/>
  <c r="AL70" i="83" s="1"/>
  <c r="AH69" i="83"/>
  <c r="AL69" i="83" s="1"/>
  <c r="AH68" i="83"/>
  <c r="AL68" i="83" s="1"/>
  <c r="AH67" i="83"/>
  <c r="AL67" i="83" s="1"/>
  <c r="AH66" i="83"/>
  <c r="AL66" i="83" s="1"/>
  <c r="AH65" i="83"/>
  <c r="AL65" i="83" s="1"/>
  <c r="AH64" i="83"/>
  <c r="AL64" i="83" s="1"/>
  <c r="AH63" i="83"/>
  <c r="AL63" i="83" s="1"/>
  <c r="AH62" i="83"/>
  <c r="AL62" i="83" s="1"/>
  <c r="AH61" i="83"/>
  <c r="AH60" i="83"/>
  <c r="AL60" i="83" s="1"/>
  <c r="AH59" i="83"/>
  <c r="AL59" i="83" s="1"/>
  <c r="AH58" i="83"/>
  <c r="AL58" i="83" s="1"/>
  <c r="AH57" i="83"/>
  <c r="AL57" i="83" s="1"/>
  <c r="AH56" i="83"/>
  <c r="AL56" i="83" s="1"/>
  <c r="AH55" i="83"/>
  <c r="AL55" i="83" s="1"/>
  <c r="AH54" i="83"/>
  <c r="AL54" i="83" s="1"/>
  <c r="AH53" i="83"/>
  <c r="AL53" i="83" s="1"/>
  <c r="AH52" i="83"/>
  <c r="AL52" i="83" s="1"/>
  <c r="AH51" i="83"/>
  <c r="AL51" i="83" s="1"/>
  <c r="AH50" i="83"/>
  <c r="AL50" i="83" s="1"/>
  <c r="AH49" i="83"/>
  <c r="AL49" i="83" s="1"/>
  <c r="AH48" i="83"/>
  <c r="AL48" i="83" s="1"/>
  <c r="AH47" i="83"/>
  <c r="AL47" i="83" s="1"/>
  <c r="AH46" i="83"/>
  <c r="AL46" i="83" s="1"/>
  <c r="AH45" i="83"/>
  <c r="AL45" i="83" s="1"/>
  <c r="AH44" i="83"/>
  <c r="AL44" i="83" s="1"/>
  <c r="AH43" i="83"/>
  <c r="AL43" i="83" s="1"/>
  <c r="AH42" i="83"/>
  <c r="AL42" i="83" s="1"/>
  <c r="AH41" i="83"/>
  <c r="AL41" i="83" s="1"/>
  <c r="AH40" i="83"/>
  <c r="AL40" i="83" s="1"/>
  <c r="AH39" i="83"/>
  <c r="AL39" i="83" s="1"/>
  <c r="AH38" i="83"/>
  <c r="AL38" i="83" s="1"/>
  <c r="AH37" i="83"/>
  <c r="AL37" i="83" s="1"/>
  <c r="AH36" i="83"/>
  <c r="AL36" i="83" s="1"/>
  <c r="AH35" i="83"/>
  <c r="AL35" i="83" s="1"/>
  <c r="AH34" i="83"/>
  <c r="AL34" i="83" s="1"/>
  <c r="AH33" i="83"/>
  <c r="AL33" i="83" s="1"/>
  <c r="AH32" i="83"/>
  <c r="AL32" i="83" s="1"/>
  <c r="AH31" i="83"/>
  <c r="AL31" i="83" s="1"/>
  <c r="AH30" i="83"/>
  <c r="AL30" i="83" s="1"/>
  <c r="AH29" i="83"/>
  <c r="AL29" i="83" s="1"/>
  <c r="AH28" i="83"/>
  <c r="AL28" i="83" s="1"/>
  <c r="AH27" i="83"/>
  <c r="AL27" i="83" s="1"/>
  <c r="AH26" i="83"/>
  <c r="AL26" i="83" s="1"/>
  <c r="AH25" i="83"/>
  <c r="AL25" i="83" s="1"/>
  <c r="AH24" i="83"/>
  <c r="AL24" i="83" s="1"/>
  <c r="AH23" i="83"/>
  <c r="AL23" i="83" s="1"/>
  <c r="AH22" i="83"/>
  <c r="AL22" i="83" s="1"/>
  <c r="AH21" i="83"/>
  <c r="AL21" i="83" s="1"/>
  <c r="AH20" i="83"/>
  <c r="AL20" i="83" s="1"/>
  <c r="AH19" i="83"/>
  <c r="AL19" i="83" s="1"/>
  <c r="AH18" i="83"/>
  <c r="AL18" i="83" s="1"/>
  <c r="AH17" i="83"/>
  <c r="AL17" i="83" s="1"/>
  <c r="AH16" i="83"/>
  <c r="AL16" i="83" s="1"/>
  <c r="AH15" i="83"/>
  <c r="AL15" i="83" s="1"/>
  <c r="AH14" i="83"/>
  <c r="AL14" i="83" s="1"/>
  <c r="AH13" i="83"/>
  <c r="AL13" i="83" s="1"/>
  <c r="AH12" i="83"/>
  <c r="AL12" i="83" s="1"/>
  <c r="AH11" i="83"/>
  <c r="AL11" i="83" s="1"/>
  <c r="AL61" i="83"/>
  <c r="AL10" i="83"/>
  <c r="AH10" i="83"/>
  <c r="K59" i="149" l="1"/>
  <c r="S59" i="149" s="1"/>
  <c r="K57" i="149"/>
  <c r="S57" i="149" s="1"/>
  <c r="K58" i="149"/>
  <c r="S58" i="149" s="1"/>
  <c r="K60" i="149"/>
  <c r="S60" i="149" s="1"/>
  <c r="G22" i="149"/>
  <c r="S22" i="149" s="1"/>
  <c r="G23" i="149"/>
  <c r="S23" i="149" s="1"/>
  <c r="O43" i="149"/>
  <c r="L12" i="149"/>
  <c r="G90" i="149" s="1"/>
  <c r="O50" i="149"/>
  <c r="O46" i="149"/>
  <c r="O48" i="149"/>
  <c r="O47" i="149"/>
  <c r="O49" i="149"/>
  <c r="O45" i="149"/>
  <c r="O44" i="149"/>
  <c r="N51" i="149"/>
  <c r="O51" i="149" s="1"/>
  <c r="G81" i="149"/>
  <c r="H72" i="149"/>
  <c r="G85" i="149"/>
  <c r="H75" i="149"/>
  <c r="K63" i="149"/>
  <c r="H71" i="149"/>
  <c r="M15" i="149"/>
  <c r="G82" i="149"/>
  <c r="J93" i="149"/>
  <c r="G86" i="149"/>
  <c r="J78" i="149"/>
  <c r="G83" i="149"/>
  <c r="H69" i="149"/>
  <c r="H73" i="149"/>
  <c r="H70" i="149"/>
  <c r="H74" i="149"/>
  <c r="G5" i="149"/>
  <c r="S5" i="149" s="1"/>
  <c r="H67" i="149"/>
  <c r="G84" i="149"/>
  <c r="H68" i="149"/>
  <c r="G56" i="149"/>
  <c r="K56" i="149" s="1"/>
  <c r="D61" i="149"/>
  <c r="U51" i="149"/>
  <c r="AC45" i="83"/>
  <c r="AE45" i="83" s="1"/>
  <c r="AC44" i="83"/>
  <c r="AE44" i="83" s="1"/>
  <c r="AC42" i="83"/>
  <c r="AE42" i="83" s="1"/>
  <c r="AC41" i="83"/>
  <c r="AE41" i="83" s="1"/>
  <c r="AC40" i="83"/>
  <c r="AE40" i="83" s="1"/>
  <c r="AC38" i="83"/>
  <c r="AE38" i="83" s="1"/>
  <c r="AC37" i="83"/>
  <c r="AE37" i="83" s="1"/>
  <c r="AC36" i="83"/>
  <c r="AE36" i="83" s="1"/>
  <c r="AC34" i="83"/>
  <c r="AE34" i="83" s="1"/>
  <c r="AC33" i="83"/>
  <c r="AE33" i="83" s="1"/>
  <c r="AC30" i="83"/>
  <c r="AE30" i="83" s="1"/>
  <c r="AC29" i="83"/>
  <c r="AE29" i="83" s="1"/>
  <c r="AC26" i="83"/>
  <c r="AE26" i="83" s="1"/>
  <c r="AC25" i="83"/>
  <c r="AE25" i="83" s="1"/>
  <c r="AC24" i="83"/>
  <c r="AE24" i="83" s="1"/>
  <c r="AC22" i="83"/>
  <c r="AE22" i="83" s="1"/>
  <c r="AC21" i="83"/>
  <c r="AE21" i="83" s="1"/>
  <c r="S51" i="149" l="1"/>
  <c r="S12" i="149"/>
  <c r="G89" i="149"/>
  <c r="G88" i="149"/>
  <c r="G87" i="149"/>
  <c r="J56" i="149"/>
  <c r="J61" i="149" s="1"/>
  <c r="G61" i="149"/>
  <c r="E33" i="149" s="1"/>
  <c r="AC32" i="83"/>
  <c r="AE32" i="83" s="1"/>
  <c r="AC28" i="83"/>
  <c r="AE28" i="83" s="1"/>
  <c r="AC23" i="83"/>
  <c r="AE23" i="83" s="1"/>
  <c r="AC27" i="83"/>
  <c r="AE27" i="83" s="1"/>
  <c r="AC31" i="83"/>
  <c r="AE31" i="83" s="1"/>
  <c r="AC35" i="83"/>
  <c r="AE35" i="83" s="1"/>
  <c r="AC39" i="83"/>
  <c r="AE39" i="83" s="1"/>
  <c r="AC43" i="83"/>
  <c r="AE43" i="83" s="1"/>
  <c r="AA35" i="76"/>
  <c r="L44" i="80" l="1"/>
  <c r="K44" i="80"/>
  <c r="K6" i="46" l="1"/>
  <c r="E116" i="14"/>
  <c r="D116" i="14"/>
  <c r="C116" i="14"/>
  <c r="K119" i="14" l="1"/>
  <c r="I116" i="14"/>
  <c r="E116" i="2" l="1"/>
  <c r="L23" i="42" l="1"/>
  <c r="L55" i="42" s="1"/>
  <c r="K23" i="42"/>
  <c r="I52" i="39" l="1"/>
  <c r="L8" i="3"/>
  <c r="B6" i="168" l="1"/>
  <c r="H8" i="168"/>
  <c r="L8" i="168" s="1"/>
  <c r="L4" i="168" s="1"/>
  <c r="L40" i="168" s="1"/>
  <c r="E138" i="2" s="1"/>
  <c r="C138" i="2" s="1"/>
  <c r="D66" i="149"/>
  <c r="AP8" i="3"/>
  <c r="R11" i="138"/>
  <c r="S12" i="144" l="1"/>
  <c r="T10" i="144" l="1"/>
  <c r="A64" i="31" l="1"/>
  <c r="C10" i="14" l="1"/>
  <c r="Y3" i="144" l="1"/>
  <c r="AC150" i="147" l="1"/>
  <c r="AB150" i="147" s="1"/>
  <c r="AC149" i="147"/>
  <c r="AB149" i="147" s="1"/>
  <c r="AC148" i="147"/>
  <c r="AB148" i="147" s="1"/>
  <c r="AC147" i="147"/>
  <c r="AB147" i="147" s="1"/>
  <c r="AC146" i="147"/>
  <c r="AB146" i="147" s="1"/>
  <c r="AC145" i="147"/>
  <c r="AB145" i="147" s="1"/>
  <c r="AC92" i="147"/>
  <c r="AB92" i="147" s="1"/>
  <c r="AC91" i="147"/>
  <c r="AB91" i="147" s="1"/>
  <c r="AC90" i="147"/>
  <c r="AB90" i="147" s="1"/>
  <c r="AC89" i="147"/>
  <c r="AB89" i="147" s="1"/>
  <c r="AC88" i="147"/>
  <c r="AB88" i="147" s="1"/>
  <c r="AC87" i="147"/>
  <c r="AB87" i="147" s="1"/>
  <c r="AC86" i="147"/>
  <c r="AB86" i="147" s="1"/>
  <c r="AB85" i="147"/>
  <c r="AC84" i="147"/>
  <c r="AB84" i="147" s="1"/>
  <c r="AC83" i="147"/>
  <c r="AB83" i="147" s="1"/>
  <c r="AC82" i="147"/>
  <c r="AB82" i="147" s="1"/>
  <c r="AC81" i="147"/>
  <c r="AB81" i="147" s="1"/>
  <c r="AC80" i="147"/>
  <c r="AB80" i="147" s="1"/>
  <c r="P246" i="147"/>
  <c r="O228" i="147"/>
  <c r="O80" i="147"/>
  <c r="O7" i="147"/>
  <c r="P155" i="147"/>
  <c r="P80" i="147"/>
  <c r="T7" i="147"/>
  <c r="S7" i="147"/>
  <c r="AC8" i="147"/>
  <c r="AB8" i="147" s="1"/>
  <c r="AC9" i="147"/>
  <c r="AB9" i="147" s="1"/>
  <c r="AC10" i="147"/>
  <c r="AB10" i="147" s="1"/>
  <c r="AC11" i="147"/>
  <c r="AB11" i="147" s="1"/>
  <c r="AC12" i="147"/>
  <c r="AB12" i="147" s="1"/>
  <c r="AC13" i="147"/>
  <c r="AB13" i="147" s="1"/>
  <c r="AC14" i="147"/>
  <c r="AB14" i="147" s="1"/>
  <c r="AC15" i="147"/>
  <c r="AB15" i="147" s="1"/>
  <c r="AC16" i="147"/>
  <c r="AB16" i="147" s="1"/>
  <c r="AC17" i="147"/>
  <c r="AB17" i="147" s="1"/>
  <c r="AC69" i="147"/>
  <c r="AB69" i="147" s="1"/>
  <c r="AC70" i="147"/>
  <c r="AB70" i="147" s="1"/>
  <c r="AC71" i="147"/>
  <c r="AB71" i="147" s="1"/>
  <c r="AC72" i="147"/>
  <c r="AB72" i="147" s="1"/>
  <c r="AC73" i="147"/>
  <c r="AB73" i="147" s="1"/>
  <c r="AC74" i="147"/>
  <c r="AB74" i="147" s="1"/>
  <c r="AC75" i="147"/>
  <c r="AB75" i="147" s="1"/>
  <c r="AC76" i="147"/>
  <c r="AB76" i="147" s="1"/>
  <c r="AC7" i="147"/>
  <c r="AB7" i="147" s="1"/>
  <c r="J7" i="147" s="1"/>
  <c r="M80" i="147" l="1"/>
  <c r="N80" i="147" s="1"/>
  <c r="P156" i="147"/>
  <c r="P157" i="147" s="1"/>
  <c r="J157" i="147" s="1"/>
  <c r="J155" i="147"/>
  <c r="N155" i="147" s="1"/>
  <c r="O246" i="147"/>
  <c r="G248" i="147" s="1"/>
  <c r="N244" i="147" s="1"/>
  <c r="P81" i="147"/>
  <c r="M81" i="147" s="1"/>
  <c r="N7" i="147"/>
  <c r="AD1" i="147"/>
  <c r="AC1" i="147" s="1"/>
  <c r="J156" i="147" l="1"/>
  <c r="N156" i="147" s="1"/>
  <c r="C163" i="147"/>
  <c r="N154" i="147" s="1"/>
  <c r="C17" i="147"/>
  <c r="N6" i="147" s="1"/>
  <c r="C161" i="147"/>
  <c r="N153" i="147" s="1"/>
  <c r="C15" i="147"/>
  <c r="N5" i="147" s="1"/>
  <c r="C92" i="147"/>
  <c r="N79" i="147" s="1"/>
  <c r="C90" i="147"/>
  <c r="N78" i="147" s="1"/>
  <c r="N81" i="147"/>
  <c r="P82" i="147"/>
  <c r="M82" i="147" s="1"/>
  <c r="J3" i="147"/>
  <c r="N3" i="147" s="1"/>
  <c r="B247" i="147"/>
  <c r="N245" i="147" s="1"/>
  <c r="P158" i="147"/>
  <c r="J158" i="147" s="1"/>
  <c r="N157" i="147"/>
  <c r="P8" i="147"/>
  <c r="J8" i="147" s="1"/>
  <c r="H10" i="144"/>
  <c r="P83" i="147" l="1"/>
  <c r="M83" i="147" s="1"/>
  <c r="P159" i="147"/>
  <c r="J159" i="147" s="1"/>
  <c r="N158" i="147"/>
  <c r="P9" i="147"/>
  <c r="J9" i="147" s="1"/>
  <c r="N8" i="147"/>
  <c r="N83" i="147" l="1"/>
  <c r="P84" i="147"/>
  <c r="M84" i="147" s="1"/>
  <c r="P160" i="147"/>
  <c r="J160" i="147" s="1"/>
  <c r="N159" i="147"/>
  <c r="P10" i="147"/>
  <c r="J10" i="147" s="1"/>
  <c r="N9" i="147"/>
  <c r="K116" i="146"/>
  <c r="X117" i="146"/>
  <c r="N84" i="147" l="1"/>
  <c r="P85" i="147"/>
  <c r="M85" i="147" s="1"/>
  <c r="P161" i="147"/>
  <c r="J161" i="147" s="1"/>
  <c r="N160" i="147"/>
  <c r="P11" i="147"/>
  <c r="J11" i="147" s="1"/>
  <c r="N10" i="147"/>
  <c r="I28" i="136"/>
  <c r="V79" i="146"/>
  <c r="V80" i="146" s="1"/>
  <c r="V81" i="146" s="1"/>
  <c r="V82" i="146" s="1"/>
  <c r="V83" i="146" s="1"/>
  <c r="V84" i="146" s="1"/>
  <c r="V85" i="146" s="1"/>
  <c r="V86" i="146" s="1"/>
  <c r="V87" i="146" s="1"/>
  <c r="N85" i="147" l="1"/>
  <c r="P86" i="147"/>
  <c r="M86" i="147" s="1"/>
  <c r="P162" i="147"/>
  <c r="J162" i="147" s="1"/>
  <c r="N161" i="147"/>
  <c r="P12" i="147"/>
  <c r="J12" i="147" s="1"/>
  <c r="N11" i="147"/>
  <c r="N92" i="146"/>
  <c r="N86" i="147" l="1"/>
  <c r="P87" i="147"/>
  <c r="M87" i="147" s="1"/>
  <c r="P163" i="147"/>
  <c r="J163" i="147" s="1"/>
  <c r="N162" i="147"/>
  <c r="P13" i="147"/>
  <c r="J13" i="147" s="1"/>
  <c r="N12" i="147"/>
  <c r="P88" i="147" l="1"/>
  <c r="M88" i="147" s="1"/>
  <c r="N87" i="147"/>
  <c r="P164" i="147"/>
  <c r="N163" i="147"/>
  <c r="P14" i="147"/>
  <c r="J14" i="147" s="1"/>
  <c r="N13" i="147"/>
  <c r="P165" i="147" l="1"/>
  <c r="P166" i="147" s="1"/>
  <c r="J166" i="147" s="1"/>
  <c r="J164" i="147"/>
  <c r="N164" i="147" s="1"/>
  <c r="P89" i="147"/>
  <c r="M89" i="147" s="1"/>
  <c r="N88" i="147"/>
  <c r="P15" i="147"/>
  <c r="J15" i="147" s="1"/>
  <c r="N14" i="147"/>
  <c r="J165" i="147" l="1"/>
  <c r="N165" i="147" s="1"/>
  <c r="P167" i="147"/>
  <c r="J167" i="147" s="1"/>
  <c r="N166" i="147"/>
  <c r="P90" i="147"/>
  <c r="M90" i="147" s="1"/>
  <c r="N89" i="147"/>
  <c r="P16" i="147"/>
  <c r="J16" i="147" s="1"/>
  <c r="N15" i="147"/>
  <c r="P168" i="147" l="1"/>
  <c r="J168" i="147" s="1"/>
  <c r="N167" i="147"/>
  <c r="P91" i="147"/>
  <c r="M91" i="147" s="1"/>
  <c r="N90" i="147"/>
  <c r="P17" i="147"/>
  <c r="N16" i="147"/>
  <c r="M1" i="27"/>
  <c r="K1" i="174" l="1"/>
  <c r="H1" i="173"/>
  <c r="H1" i="176"/>
  <c r="K1" i="171"/>
  <c r="J1" i="170"/>
  <c r="J1" i="172"/>
  <c r="J1" i="169"/>
  <c r="N1" i="148"/>
  <c r="P18" i="147"/>
  <c r="J18" i="147" s="1"/>
  <c r="N18" i="147" s="1"/>
  <c r="J17" i="147"/>
  <c r="N17" i="147" s="1"/>
  <c r="P169" i="147"/>
  <c r="J169" i="147" s="1"/>
  <c r="N168" i="147"/>
  <c r="I1" i="168"/>
  <c r="I1" i="166"/>
  <c r="J1" i="167"/>
  <c r="J1" i="165"/>
  <c r="M1" i="164"/>
  <c r="H1" i="163"/>
  <c r="K1" i="162"/>
  <c r="I1" i="161"/>
  <c r="F1" i="157"/>
  <c r="K1" i="159"/>
  <c r="O1" i="158"/>
  <c r="I1" i="160"/>
  <c r="M1" i="155"/>
  <c r="I1" i="156"/>
  <c r="I529" i="58"/>
  <c r="I481" i="58"/>
  <c r="I385" i="58"/>
  <c r="I433" i="58"/>
  <c r="I241" i="58"/>
  <c r="I193" i="58"/>
  <c r="I337" i="58"/>
  <c r="I289" i="58"/>
  <c r="I145" i="58"/>
  <c r="N1" i="153"/>
  <c r="H1" i="152"/>
  <c r="K1" i="151"/>
  <c r="O1" i="149"/>
  <c r="L1" i="150"/>
  <c r="H1" i="145"/>
  <c r="L1" i="147"/>
  <c r="P92" i="147"/>
  <c r="M92" i="147" s="1"/>
  <c r="N91" i="147"/>
  <c r="AA1" i="31"/>
  <c r="Z1" i="31" s="1"/>
  <c r="P19" i="147" l="1"/>
  <c r="J19" i="147" s="1"/>
  <c r="N19" i="147" s="1"/>
  <c r="N169" i="147"/>
  <c r="P170" i="147"/>
  <c r="J170" i="147" s="1"/>
  <c r="N92" i="147"/>
  <c r="P93" i="147"/>
  <c r="M93" i="147" s="1"/>
  <c r="H125" i="146"/>
  <c r="AM105" i="146"/>
  <c r="AD98" i="146"/>
  <c r="F122" i="146"/>
  <c r="K26" i="136"/>
  <c r="J26" i="136"/>
  <c r="K20" i="136"/>
  <c r="J20" i="136"/>
  <c r="P20" i="147" l="1"/>
  <c r="J20" i="147" s="1"/>
  <c r="P171" i="147"/>
  <c r="J171" i="147" s="1"/>
  <c r="N170" i="147"/>
  <c r="P94" i="147"/>
  <c r="M94" i="147" s="1"/>
  <c r="N93" i="147"/>
  <c r="P21" i="147"/>
  <c r="J21" i="147" s="1"/>
  <c r="N20" i="147"/>
  <c r="AF107" i="146"/>
  <c r="AF108" i="146"/>
  <c r="AF105" i="146"/>
  <c r="P172" i="147" l="1"/>
  <c r="J172" i="147" s="1"/>
  <c r="N171" i="147"/>
  <c r="N94" i="147"/>
  <c r="P95" i="147"/>
  <c r="M95" i="147" s="1"/>
  <c r="P22" i="147"/>
  <c r="J22" i="147" s="1"/>
  <c r="N21" i="147"/>
  <c r="I46" i="136"/>
  <c r="K46" i="136" s="1"/>
  <c r="N172" i="147" l="1"/>
  <c r="P173" i="147"/>
  <c r="J173" i="147" s="1"/>
  <c r="N95" i="147"/>
  <c r="P96" i="147"/>
  <c r="M96" i="147" s="1"/>
  <c r="P23" i="147"/>
  <c r="J23" i="147" s="1"/>
  <c r="N22" i="147"/>
  <c r="E89" i="146"/>
  <c r="F89" i="146"/>
  <c r="J33" i="146"/>
  <c r="F45" i="146"/>
  <c r="E45" i="146"/>
  <c r="D45" i="146"/>
  <c r="C45" i="146"/>
  <c r="H33" i="146"/>
  <c r="E44" i="146"/>
  <c r="F44" i="146"/>
  <c r="V35" i="146"/>
  <c r="V36" i="146" s="1"/>
  <c r="V37" i="146" s="1"/>
  <c r="V38" i="146" s="1"/>
  <c r="V39" i="146" s="1"/>
  <c r="V40" i="146" s="1"/>
  <c r="V41" i="146" s="1"/>
  <c r="V42" i="146" s="1"/>
  <c r="V43" i="146" s="1"/>
  <c r="U35" i="146"/>
  <c r="U36" i="146" s="1"/>
  <c r="U37" i="146" s="1"/>
  <c r="U38" i="146" s="1"/>
  <c r="U39" i="146" s="1"/>
  <c r="U40" i="146" s="1"/>
  <c r="U41" i="146" s="1"/>
  <c r="U42" i="146" s="1"/>
  <c r="U43" i="146" s="1"/>
  <c r="O36" i="146"/>
  <c r="O38" i="146"/>
  <c r="O39" i="146"/>
  <c r="O40" i="146"/>
  <c r="O41" i="146"/>
  <c r="O42" i="146"/>
  <c r="O43" i="146"/>
  <c r="P36" i="146"/>
  <c r="P37" i="146"/>
  <c r="P38" i="146"/>
  <c r="P39" i="146"/>
  <c r="P40" i="146"/>
  <c r="P41" i="146"/>
  <c r="P42" i="146"/>
  <c r="P43" i="146"/>
  <c r="P35" i="146"/>
  <c r="Q35" i="146"/>
  <c r="J80" i="146"/>
  <c r="K80" i="146"/>
  <c r="BE104" i="146" s="1"/>
  <c r="J81" i="146"/>
  <c r="K81" i="146"/>
  <c r="BE105" i="146" s="1"/>
  <c r="J82" i="146"/>
  <c r="K82" i="146"/>
  <c r="J83" i="146"/>
  <c r="K83" i="146"/>
  <c r="J84" i="146"/>
  <c r="K84" i="146"/>
  <c r="J85" i="146"/>
  <c r="K85" i="146"/>
  <c r="J86" i="146"/>
  <c r="K86" i="146"/>
  <c r="J87" i="146"/>
  <c r="K79" i="146"/>
  <c r="J79" i="146"/>
  <c r="L35" i="146" l="1"/>
  <c r="M35" i="146" s="1"/>
  <c r="N173" i="147"/>
  <c r="P174" i="147"/>
  <c r="J174" i="147" s="1"/>
  <c r="N96" i="147"/>
  <c r="P97" i="147"/>
  <c r="M97" i="147" s="1"/>
  <c r="P24" i="147"/>
  <c r="J24" i="147" s="1"/>
  <c r="N23" i="147"/>
  <c r="X119" i="146"/>
  <c r="BC103" i="146"/>
  <c r="X110" i="146"/>
  <c r="BE110" i="146"/>
  <c r="X108" i="146"/>
  <c r="BE108" i="146"/>
  <c r="X106" i="146"/>
  <c r="BE106" i="146"/>
  <c r="BE103" i="146"/>
  <c r="W110" i="146"/>
  <c r="BC110" i="146"/>
  <c r="W108" i="146"/>
  <c r="BC108" i="146"/>
  <c r="W106" i="146"/>
  <c r="BC106" i="146"/>
  <c r="BC104" i="146"/>
  <c r="X107" i="146"/>
  <c r="BE107" i="146"/>
  <c r="X109" i="146"/>
  <c r="BE109" i="146"/>
  <c r="W111" i="146"/>
  <c r="BC111" i="146"/>
  <c r="W109" i="146"/>
  <c r="BC109" i="146"/>
  <c r="W107" i="146"/>
  <c r="BC107" i="146"/>
  <c r="BC105" i="146"/>
  <c r="W79" i="146"/>
  <c r="W80" i="146" s="1"/>
  <c r="W81" i="146" s="1"/>
  <c r="W82" i="146" s="1"/>
  <c r="W83" i="146" s="1"/>
  <c r="W84" i="146" s="1"/>
  <c r="W85" i="146" s="1"/>
  <c r="W86" i="146" s="1"/>
  <c r="W87" i="146" s="1"/>
  <c r="H29" i="29"/>
  <c r="T33" i="29"/>
  <c r="O33" i="29"/>
  <c r="H33" i="29"/>
  <c r="M33" i="29" s="1"/>
  <c r="B33" i="136"/>
  <c r="C33" i="136"/>
  <c r="D33" i="136"/>
  <c r="E33" i="136"/>
  <c r="F33" i="136"/>
  <c r="G33" i="136"/>
  <c r="H33" i="136"/>
  <c r="I33" i="136"/>
  <c r="J33" i="136"/>
  <c r="K33" i="136"/>
  <c r="K87" i="146" s="1"/>
  <c r="X111" i="146" s="1"/>
  <c r="L27" i="136"/>
  <c r="J52" i="39"/>
  <c r="Z8" i="14"/>
  <c r="BE111" i="146" l="1"/>
  <c r="P175" i="147"/>
  <c r="J175" i="147" s="1"/>
  <c r="N174" i="147"/>
  <c r="P98" i="147"/>
  <c r="M98" i="147" s="1"/>
  <c r="N97" i="147"/>
  <c r="P25" i="147"/>
  <c r="J25" i="147" s="1"/>
  <c r="N24" i="147"/>
  <c r="Y8" i="14"/>
  <c r="BE114" i="146"/>
  <c r="BC114" i="146"/>
  <c r="N175" i="147" l="1"/>
  <c r="P176" i="147"/>
  <c r="J176" i="147" s="1"/>
  <c r="N98" i="147"/>
  <c r="P99" i="147"/>
  <c r="M99" i="147" s="1"/>
  <c r="P26" i="147"/>
  <c r="J26" i="147" s="1"/>
  <c r="N25" i="147"/>
  <c r="G8" i="14"/>
  <c r="H8" i="14" s="1"/>
  <c r="AJ112" i="146"/>
  <c r="P177" i="147" l="1"/>
  <c r="J177" i="147" s="1"/>
  <c r="N176" i="147"/>
  <c r="N99" i="147"/>
  <c r="P100" i="147"/>
  <c r="M100" i="147" s="1"/>
  <c r="P27" i="147"/>
  <c r="J27" i="147" s="1"/>
  <c r="N26" i="147"/>
  <c r="D89" i="146"/>
  <c r="J89" i="146"/>
  <c r="BC113" i="146" s="1"/>
  <c r="K89" i="146"/>
  <c r="BE113" i="146" s="1"/>
  <c r="N177" i="147" l="1"/>
  <c r="P178" i="147"/>
  <c r="J178" i="147" s="1"/>
  <c r="N100" i="147"/>
  <c r="P101" i="147"/>
  <c r="M101" i="147" s="1"/>
  <c r="P28" i="147"/>
  <c r="J28" i="147" s="1"/>
  <c r="N27" i="147"/>
  <c r="AC111" i="146"/>
  <c r="AB111" i="146"/>
  <c r="AC110" i="146"/>
  <c r="AB110" i="146"/>
  <c r="AC109" i="146"/>
  <c r="AB109" i="146"/>
  <c r="AC108" i="146"/>
  <c r="AB108" i="146"/>
  <c r="AC107" i="146"/>
  <c r="AB107" i="146"/>
  <c r="AC106" i="146"/>
  <c r="AB106" i="146"/>
  <c r="AC105" i="146"/>
  <c r="AB105" i="146"/>
  <c r="AC104" i="146"/>
  <c r="AB104" i="146"/>
  <c r="AC103" i="146"/>
  <c r="AB103" i="146"/>
  <c r="P179" i="147" l="1"/>
  <c r="J179" i="147" s="1"/>
  <c r="N178" i="147"/>
  <c r="P102" i="147"/>
  <c r="M102" i="147" s="1"/>
  <c r="N101" i="147"/>
  <c r="P29" i="147"/>
  <c r="J29" i="147" s="1"/>
  <c r="N28" i="147"/>
  <c r="K95" i="146"/>
  <c r="T36" i="146"/>
  <c r="T37" i="146"/>
  <c r="T38" i="146"/>
  <c r="T39" i="146"/>
  <c r="T40" i="146"/>
  <c r="T41" i="146"/>
  <c r="T42" i="146"/>
  <c r="T43" i="146"/>
  <c r="T35" i="146"/>
  <c r="J44" i="146"/>
  <c r="K44" i="146"/>
  <c r="K57" i="146"/>
  <c r="J22" i="136"/>
  <c r="I44" i="136" s="1"/>
  <c r="P180" i="147" l="1"/>
  <c r="J180" i="147" s="1"/>
  <c r="N179" i="147"/>
  <c r="N102" i="147"/>
  <c r="P103" i="147"/>
  <c r="M103" i="147" s="1"/>
  <c r="P30" i="147"/>
  <c r="J30" i="147" s="1"/>
  <c r="N29" i="147"/>
  <c r="I45" i="136"/>
  <c r="K45" i="136" s="1"/>
  <c r="C112" i="146"/>
  <c r="C90" i="146"/>
  <c r="K66" i="146"/>
  <c r="J59" i="146"/>
  <c r="K59" i="146"/>
  <c r="O74" i="146"/>
  <c r="D90" i="146"/>
  <c r="U79" i="146"/>
  <c r="U80" i="146" s="1"/>
  <c r="U81" i="146" s="1"/>
  <c r="U82" i="146" s="1"/>
  <c r="U83" i="146" s="1"/>
  <c r="U84" i="146" s="1"/>
  <c r="U85" i="146" s="1"/>
  <c r="U86" i="146" s="1"/>
  <c r="U87" i="146" s="1"/>
  <c r="N74" i="146"/>
  <c r="T79" i="146"/>
  <c r="L79" i="146" s="1"/>
  <c r="J57" i="146"/>
  <c r="J61" i="146" s="1"/>
  <c r="C89" i="146"/>
  <c r="K61" i="146"/>
  <c r="J68" i="146"/>
  <c r="P181" i="147" l="1"/>
  <c r="J181" i="147" s="1"/>
  <c r="N180" i="147"/>
  <c r="N103" i="147"/>
  <c r="P104" i="147"/>
  <c r="M104" i="147" s="1"/>
  <c r="P31" i="147"/>
  <c r="J31" i="147" s="1"/>
  <c r="N30" i="147"/>
  <c r="P42" i="136"/>
  <c r="K42" i="136" s="1"/>
  <c r="L89" i="146"/>
  <c r="M89" i="146" s="1"/>
  <c r="F123" i="146"/>
  <c r="I47" i="136"/>
  <c r="M79" i="146"/>
  <c r="T80" i="146"/>
  <c r="L80" i="146" s="1"/>
  <c r="N123" i="146"/>
  <c r="N122" i="146"/>
  <c r="O59" i="146"/>
  <c r="O57" i="146"/>
  <c r="N181" i="147" l="1"/>
  <c r="P182" i="147"/>
  <c r="J182" i="147" s="1"/>
  <c r="N104" i="147"/>
  <c r="P105" i="147"/>
  <c r="M105" i="147" s="1"/>
  <c r="P32" i="147"/>
  <c r="J32" i="147" s="1"/>
  <c r="N31" i="147"/>
  <c r="M80" i="146"/>
  <c r="T81" i="146"/>
  <c r="L81" i="146" s="1"/>
  <c r="F36" i="136"/>
  <c r="P183" i="147" l="1"/>
  <c r="J183" i="147" s="1"/>
  <c r="N182" i="147"/>
  <c r="P106" i="147"/>
  <c r="M106" i="147" s="1"/>
  <c r="N105" i="147"/>
  <c r="P33" i="147"/>
  <c r="J33" i="147" s="1"/>
  <c r="N32" i="147"/>
  <c r="T82" i="146"/>
  <c r="L82" i="146" s="1"/>
  <c r="M81" i="146"/>
  <c r="L95" i="146"/>
  <c r="M95" i="146" s="1"/>
  <c r="K93" i="146"/>
  <c r="D44" i="146"/>
  <c r="U5" i="131"/>
  <c r="U8" i="131"/>
  <c r="U9" i="131"/>
  <c r="U10" i="131"/>
  <c r="U11" i="131"/>
  <c r="U12" i="131"/>
  <c r="U13" i="131"/>
  <c r="U14" i="131"/>
  <c r="U15" i="131"/>
  <c r="U16" i="131"/>
  <c r="U17" i="131"/>
  <c r="U18" i="131"/>
  <c r="U19" i="131"/>
  <c r="U20" i="131"/>
  <c r="U21" i="131"/>
  <c r="U22" i="131"/>
  <c r="U23" i="131"/>
  <c r="U24" i="131"/>
  <c r="U25" i="131"/>
  <c r="U26" i="131"/>
  <c r="U27" i="131"/>
  <c r="U28" i="131"/>
  <c r="U6" i="131"/>
  <c r="U7" i="131"/>
  <c r="N183" i="147" l="1"/>
  <c r="P184" i="147"/>
  <c r="J184" i="147" s="1"/>
  <c r="N106" i="147"/>
  <c r="P107" i="147"/>
  <c r="M107" i="147" s="1"/>
  <c r="P34" i="147"/>
  <c r="J34" i="147" s="1"/>
  <c r="N33" i="147"/>
  <c r="T83" i="146"/>
  <c r="L83" i="146" s="1"/>
  <c r="M82" i="146"/>
  <c r="P94" i="146"/>
  <c r="J67" i="146"/>
  <c r="J69" i="146" s="1"/>
  <c r="K96" i="146"/>
  <c r="T1" i="136"/>
  <c r="D10" i="14"/>
  <c r="N184" i="147" l="1"/>
  <c r="P185" i="147"/>
  <c r="J185" i="147" s="1"/>
  <c r="N107" i="147"/>
  <c r="P108" i="147"/>
  <c r="M108" i="147" s="1"/>
  <c r="P35" i="147"/>
  <c r="J35" i="147" s="1"/>
  <c r="N34" i="147"/>
  <c r="R97" i="146"/>
  <c r="T84" i="146"/>
  <c r="L84" i="146" s="1"/>
  <c r="M83" i="146"/>
  <c r="I81" i="146"/>
  <c r="BD105" i="146" s="1"/>
  <c r="I83" i="146"/>
  <c r="I85" i="146"/>
  <c r="I87" i="146"/>
  <c r="H80" i="146"/>
  <c r="H82" i="146"/>
  <c r="H84" i="146"/>
  <c r="H86" i="146"/>
  <c r="I79" i="146"/>
  <c r="I80" i="146"/>
  <c r="BD104" i="146" s="1"/>
  <c r="I82" i="146"/>
  <c r="I86" i="146"/>
  <c r="H79" i="146"/>
  <c r="H83" i="146"/>
  <c r="H87" i="146"/>
  <c r="I84" i="146"/>
  <c r="H85" i="146"/>
  <c r="R3" i="136"/>
  <c r="S1" i="136"/>
  <c r="X1" i="146" s="1"/>
  <c r="N185" i="147" l="1"/>
  <c r="P186" i="147"/>
  <c r="J186" i="147" s="1"/>
  <c r="N108" i="147"/>
  <c r="P109" i="147"/>
  <c r="M109" i="147" s="1"/>
  <c r="P36" i="147"/>
  <c r="J36" i="147" s="1"/>
  <c r="N35" i="147"/>
  <c r="U109" i="146"/>
  <c r="BB109" i="146"/>
  <c r="V107" i="146"/>
  <c r="BD107" i="146"/>
  <c r="BB103" i="146"/>
  <c r="BB104" i="146"/>
  <c r="U106" i="146"/>
  <c r="BB106" i="146"/>
  <c r="V108" i="146"/>
  <c r="BD108" i="146"/>
  <c r="BD103" i="146"/>
  <c r="I89" i="146"/>
  <c r="BD113" i="146" s="1"/>
  <c r="U111" i="146"/>
  <c r="BB111" i="146"/>
  <c r="V110" i="146"/>
  <c r="BD110" i="146"/>
  <c r="U110" i="146"/>
  <c r="BB110" i="146"/>
  <c r="V111" i="146"/>
  <c r="BD111" i="146"/>
  <c r="U107" i="146"/>
  <c r="BB107" i="146"/>
  <c r="V106" i="146"/>
  <c r="BD106" i="146"/>
  <c r="U108" i="146"/>
  <c r="BB108" i="146"/>
  <c r="V109" i="146"/>
  <c r="BD109" i="146"/>
  <c r="T85" i="146"/>
  <c r="L85" i="146" s="1"/>
  <c r="M84" i="146"/>
  <c r="I44" i="146"/>
  <c r="P187" i="147" l="1"/>
  <c r="J187" i="147" s="1"/>
  <c r="N186" i="147"/>
  <c r="P110" i="147"/>
  <c r="M110" i="147" s="1"/>
  <c r="N109" i="147"/>
  <c r="P37" i="147"/>
  <c r="J37" i="147" s="1"/>
  <c r="N36" i="147"/>
  <c r="BD114" i="146"/>
  <c r="T86" i="146"/>
  <c r="L86" i="146" s="1"/>
  <c r="M85" i="146"/>
  <c r="K142" i="136"/>
  <c r="R141" i="136"/>
  <c r="Q141" i="136"/>
  <c r="N141" i="136"/>
  <c r="R140" i="136"/>
  <c r="Q140" i="136"/>
  <c r="N140" i="136"/>
  <c r="R139" i="136"/>
  <c r="Q139" i="136"/>
  <c r="N139" i="136"/>
  <c r="R138" i="136"/>
  <c r="Q138" i="136"/>
  <c r="N138" i="136"/>
  <c r="R137" i="136"/>
  <c r="Q137" i="136"/>
  <c r="N137" i="136"/>
  <c r="R136" i="136"/>
  <c r="Q136" i="136"/>
  <c r="N136" i="136"/>
  <c r="R135" i="136"/>
  <c r="Q135" i="136"/>
  <c r="N135" i="136"/>
  <c r="R134" i="136"/>
  <c r="Q134" i="136"/>
  <c r="N134" i="136"/>
  <c r="R133" i="136"/>
  <c r="Q133" i="136"/>
  <c r="N133" i="136"/>
  <c r="R132" i="136"/>
  <c r="Q132" i="136"/>
  <c r="R131" i="136"/>
  <c r="Q131" i="136"/>
  <c r="R130" i="136"/>
  <c r="Q130" i="136"/>
  <c r="R129" i="136"/>
  <c r="Q129" i="136"/>
  <c r="R128" i="136"/>
  <c r="Q128" i="136"/>
  <c r="R127" i="136"/>
  <c r="Q127" i="136"/>
  <c r="R126" i="136"/>
  <c r="Q126" i="136"/>
  <c r="R125" i="136"/>
  <c r="Q125" i="136"/>
  <c r="R124" i="136"/>
  <c r="Q124" i="136"/>
  <c r="R123" i="136"/>
  <c r="Q123" i="136"/>
  <c r="R122" i="136"/>
  <c r="Q122" i="136"/>
  <c r="R121" i="136"/>
  <c r="Q121" i="136"/>
  <c r="R120" i="136"/>
  <c r="Q120" i="136"/>
  <c r="R119" i="136"/>
  <c r="Q119" i="136"/>
  <c r="R118" i="136"/>
  <c r="Q118" i="136"/>
  <c r="R117" i="136"/>
  <c r="Q117" i="136"/>
  <c r="R116" i="136"/>
  <c r="Q116" i="136"/>
  <c r="R115" i="136"/>
  <c r="Q115" i="136"/>
  <c r="R114" i="136"/>
  <c r="Q114" i="136"/>
  <c r="R113" i="136"/>
  <c r="Q113" i="136"/>
  <c r="R112" i="136"/>
  <c r="Q112" i="136"/>
  <c r="R111" i="136"/>
  <c r="Q111" i="136"/>
  <c r="R110" i="136"/>
  <c r="Q110" i="136"/>
  <c r="R109" i="136"/>
  <c r="Q109" i="136"/>
  <c r="R108" i="136"/>
  <c r="Q108" i="136"/>
  <c r="R107" i="136"/>
  <c r="Q107" i="136"/>
  <c r="R106" i="136"/>
  <c r="Q106" i="136"/>
  <c r="R105" i="136"/>
  <c r="Q105" i="136"/>
  <c r="R104" i="136"/>
  <c r="Q104" i="136"/>
  <c r="R103" i="136"/>
  <c r="Q103" i="136"/>
  <c r="R102" i="136"/>
  <c r="Q102" i="136"/>
  <c r="R101" i="136"/>
  <c r="Q101" i="136"/>
  <c r="R100" i="136"/>
  <c r="Q100" i="136"/>
  <c r="R94" i="136"/>
  <c r="R92" i="136"/>
  <c r="R91" i="136"/>
  <c r="R90" i="136"/>
  <c r="A73" i="136"/>
  <c r="I70" i="136"/>
  <c r="T53" i="136"/>
  <c r="U13" i="136"/>
  <c r="U11" i="136"/>
  <c r="AH10" i="136"/>
  <c r="U9" i="136"/>
  <c r="AH8" i="136"/>
  <c r="U8" i="136"/>
  <c r="U7" i="136"/>
  <c r="P188" i="147" l="1"/>
  <c r="J188" i="147" s="1"/>
  <c r="N187" i="147"/>
  <c r="N110" i="147"/>
  <c r="P111" i="147"/>
  <c r="M111" i="147" s="1"/>
  <c r="P38" i="147"/>
  <c r="J38" i="147" s="1"/>
  <c r="N37" i="147"/>
  <c r="T87" i="146"/>
  <c r="L87" i="146" s="1"/>
  <c r="M86" i="146"/>
  <c r="AI10" i="136"/>
  <c r="P13" i="146"/>
  <c r="Q1" i="146"/>
  <c r="K30" i="146"/>
  <c r="J30" i="146"/>
  <c r="I30" i="146"/>
  <c r="H30" i="146"/>
  <c r="R29" i="146"/>
  <c r="R28" i="146"/>
  <c r="K19" i="146"/>
  <c r="K25" i="146" s="1"/>
  <c r="L27" i="146" l="1"/>
  <c r="M27" i="146" s="1"/>
  <c r="K38" i="136"/>
  <c r="P189" i="147"/>
  <c r="J189" i="147" s="1"/>
  <c r="N188" i="147"/>
  <c r="N111" i="147"/>
  <c r="P112" i="147"/>
  <c r="M112" i="147" s="1"/>
  <c r="P39" i="147"/>
  <c r="J39" i="147" s="1"/>
  <c r="N38" i="147"/>
  <c r="O7" i="146"/>
  <c r="AE1" i="146"/>
  <c r="O37" i="146"/>
  <c r="C44" i="146"/>
  <c r="L44" i="146" s="1"/>
  <c r="M44" i="146" s="1"/>
  <c r="M87" i="146"/>
  <c r="L30" i="146"/>
  <c r="X84" i="146"/>
  <c r="AA84" i="146" s="1"/>
  <c r="X83" i="146"/>
  <c r="AA83" i="146" s="1"/>
  <c r="Q36" i="146"/>
  <c r="R36" i="146"/>
  <c r="R37" i="146" s="1"/>
  <c r="R38" i="146" s="1"/>
  <c r="R30" i="146"/>
  <c r="M30" i="146" s="1"/>
  <c r="R62" i="146"/>
  <c r="J62" i="146" s="1"/>
  <c r="M62" i="146" s="1"/>
  <c r="R63" i="146"/>
  <c r="O11" i="145"/>
  <c r="H16" i="145" s="1"/>
  <c r="P9" i="144"/>
  <c r="L32" i="42"/>
  <c r="T32" i="42" s="1"/>
  <c r="L31" i="42"/>
  <c r="T31" i="42" s="1"/>
  <c r="K32" i="42"/>
  <c r="X32" i="42" s="1"/>
  <c r="K31" i="42"/>
  <c r="X31" i="42" s="1"/>
  <c r="W32" i="42"/>
  <c r="V32" i="42"/>
  <c r="O32" i="42"/>
  <c r="W31" i="42"/>
  <c r="V31" i="42"/>
  <c r="O31" i="42"/>
  <c r="O39" i="145"/>
  <c r="M39" i="145"/>
  <c r="O37" i="145"/>
  <c r="M37" i="145"/>
  <c r="S35" i="145"/>
  <c r="R35" i="145"/>
  <c r="M35" i="145"/>
  <c r="Q30" i="145"/>
  <c r="M30" i="145"/>
  <c r="M26" i="145"/>
  <c r="T21" i="145"/>
  <c r="F19" i="145"/>
  <c r="F20" i="145" s="1"/>
  <c r="F24" i="145" s="1"/>
  <c r="Q24" i="145" s="1"/>
  <c r="M18" i="145"/>
  <c r="M17" i="145"/>
  <c r="T16" i="145"/>
  <c r="S15" i="145" s="1"/>
  <c r="O16" i="145"/>
  <c r="M16" i="145"/>
  <c r="M15" i="145"/>
  <c r="M13" i="145"/>
  <c r="W11" i="145"/>
  <c r="M11" i="145"/>
  <c r="Q6" i="145"/>
  <c r="Q26" i="145" s="1"/>
  <c r="S2" i="145"/>
  <c r="P38" i="144"/>
  <c r="P36" i="144"/>
  <c r="N34" i="144"/>
  <c r="Q32" i="144"/>
  <c r="Q34" i="144" s="1"/>
  <c r="V29" i="144"/>
  <c r="Y35" i="144" s="1"/>
  <c r="N29" i="144"/>
  <c r="H31" i="144" s="1"/>
  <c r="V27" i="144"/>
  <c r="N27" i="144"/>
  <c r="N24" i="144"/>
  <c r="N21" i="144"/>
  <c r="Y19" i="144"/>
  <c r="V18" i="144"/>
  <c r="N18" i="144"/>
  <c r="V17" i="144"/>
  <c r="N17" i="144"/>
  <c r="V16" i="144"/>
  <c r="N16" i="144"/>
  <c r="S14" i="144"/>
  <c r="H14" i="144"/>
  <c r="N13" i="144"/>
  <c r="N11" i="144"/>
  <c r="N9" i="144"/>
  <c r="R7" i="144"/>
  <c r="R6" i="144"/>
  <c r="V24" i="144" s="1"/>
  <c r="L36" i="146" l="1"/>
  <c r="N189" i="147"/>
  <c r="P190" i="147"/>
  <c r="J190" i="147" s="1"/>
  <c r="N112" i="147"/>
  <c r="P113" i="147"/>
  <c r="M113" i="147" s="1"/>
  <c r="P40" i="147"/>
  <c r="J40" i="147" s="1"/>
  <c r="N39" i="147"/>
  <c r="H81" i="146"/>
  <c r="H44" i="146"/>
  <c r="H35" i="145"/>
  <c r="L35" i="145" s="1"/>
  <c r="R39" i="146"/>
  <c r="R93" i="136"/>
  <c r="Q37" i="146"/>
  <c r="L37" i="146" s="1"/>
  <c r="V19" i="144"/>
  <c r="H19" i="144" s="1"/>
  <c r="M40" i="145"/>
  <c r="G11" i="145"/>
  <c r="L11" i="145" s="1"/>
  <c r="G15" i="145"/>
  <c r="L15" i="145" s="1"/>
  <c r="G16" i="145"/>
  <c r="L16" i="145" s="1"/>
  <c r="U32" i="42"/>
  <c r="Y32" i="42"/>
  <c r="U31" i="42"/>
  <c r="Y31" i="42"/>
  <c r="Q28" i="145"/>
  <c r="F28" i="145" s="1"/>
  <c r="F32" i="145" s="1"/>
  <c r="G18" i="145"/>
  <c r="L18" i="145" s="1"/>
  <c r="G26" i="145"/>
  <c r="L26" i="145" s="1"/>
  <c r="G30" i="145"/>
  <c r="L30" i="145" s="1"/>
  <c r="H37" i="145"/>
  <c r="L37" i="145" s="1"/>
  <c r="H39" i="145"/>
  <c r="L39" i="145" s="1"/>
  <c r="G13" i="145"/>
  <c r="L13" i="145" s="1"/>
  <c r="Z35" i="144"/>
  <c r="H35" i="144" s="1"/>
  <c r="O30" i="144"/>
  <c r="P191" i="147" l="1"/>
  <c r="J191" i="147" s="1"/>
  <c r="N190" i="147"/>
  <c r="P114" i="147"/>
  <c r="M114" i="147" s="1"/>
  <c r="N113" i="147"/>
  <c r="P41" i="147"/>
  <c r="J41" i="147" s="1"/>
  <c r="N40" i="147"/>
  <c r="O45" i="146"/>
  <c r="K64" i="146"/>
  <c r="K40" i="136" s="1"/>
  <c r="U105" i="146"/>
  <c r="H89" i="146"/>
  <c r="BB105" i="146"/>
  <c r="BB114" i="146" s="1"/>
  <c r="J9" i="144"/>
  <c r="V22" i="144"/>
  <c r="X19" i="144" s="1"/>
  <c r="Z19" i="144" s="1"/>
  <c r="W16" i="144"/>
  <c r="J16" i="144" s="1"/>
  <c r="M16" i="144" s="1"/>
  <c r="R40" i="146"/>
  <c r="Q38" i="146"/>
  <c r="L38" i="146" s="1"/>
  <c r="J38" i="144"/>
  <c r="J36" i="144"/>
  <c r="J18" i="144"/>
  <c r="M18" i="144" s="1"/>
  <c r="J11" i="144"/>
  <c r="M11" i="144" s="1"/>
  <c r="E9" i="144"/>
  <c r="J34" i="144"/>
  <c r="M34" i="144" s="1"/>
  <c r="J24" i="144"/>
  <c r="M24" i="144" s="1"/>
  <c r="J17" i="144"/>
  <c r="M17" i="144" s="1"/>
  <c r="J13" i="144"/>
  <c r="M13" i="144" s="1"/>
  <c r="P192" i="147" l="1"/>
  <c r="J192" i="147" s="1"/>
  <c r="N191" i="147"/>
  <c r="N114" i="147"/>
  <c r="P115" i="147"/>
  <c r="M115" i="147" s="1"/>
  <c r="P42" i="147"/>
  <c r="J42" i="147" s="1"/>
  <c r="N41" i="147"/>
  <c r="K70" i="146"/>
  <c r="BB113" i="146"/>
  <c r="O89" i="146"/>
  <c r="C116" i="2"/>
  <c r="R41" i="146"/>
  <c r="Q39" i="146"/>
  <c r="L39" i="146" s="1"/>
  <c r="N38" i="144"/>
  <c r="M38" i="144"/>
  <c r="N36" i="144"/>
  <c r="M36" i="144"/>
  <c r="M9" i="144"/>
  <c r="P193" i="147" l="1"/>
  <c r="J193" i="147" s="1"/>
  <c r="N192" i="147"/>
  <c r="N115" i="147"/>
  <c r="P116" i="147"/>
  <c r="M116" i="147" s="1"/>
  <c r="P43" i="147"/>
  <c r="J43" i="147" s="1"/>
  <c r="N42" i="147"/>
  <c r="P98" i="146"/>
  <c r="K49" i="136"/>
  <c r="R42" i="146"/>
  <c r="Q40" i="146"/>
  <c r="L40" i="146" s="1"/>
  <c r="M39" i="146"/>
  <c r="N39" i="144"/>
  <c r="N193" i="147" l="1"/>
  <c r="P194" i="147"/>
  <c r="J194" i="147" s="1"/>
  <c r="N116" i="147"/>
  <c r="P117" i="147"/>
  <c r="M117" i="147" s="1"/>
  <c r="P44" i="147"/>
  <c r="J44" i="147" s="1"/>
  <c r="N43" i="147"/>
  <c r="R43" i="146"/>
  <c r="Q41" i="146"/>
  <c r="L41" i="146" s="1"/>
  <c r="M40" i="146"/>
  <c r="U84" i="13"/>
  <c r="P195" i="147" l="1"/>
  <c r="J195" i="147" s="1"/>
  <c r="N194" i="147"/>
  <c r="P118" i="147"/>
  <c r="M118" i="147" s="1"/>
  <c r="N117" i="147"/>
  <c r="P45" i="147"/>
  <c r="J45" i="147" s="1"/>
  <c r="N44" i="147"/>
  <c r="Q42" i="146"/>
  <c r="L42" i="146" s="1"/>
  <c r="M41" i="146"/>
  <c r="S19" i="119"/>
  <c r="P196" i="147" l="1"/>
  <c r="J196" i="147" s="1"/>
  <c r="N195" i="147"/>
  <c r="N118" i="147"/>
  <c r="P119" i="147"/>
  <c r="M119" i="147" s="1"/>
  <c r="P46" i="147"/>
  <c r="J46" i="147" s="1"/>
  <c r="N45" i="147"/>
  <c r="Q43" i="146"/>
  <c r="L43" i="146" s="1"/>
  <c r="M42" i="146"/>
  <c r="L30" i="42"/>
  <c r="K30" i="42"/>
  <c r="N22" i="142"/>
  <c r="M22" i="142"/>
  <c r="I16" i="142"/>
  <c r="N20" i="142" s="1"/>
  <c r="M1" i="142"/>
  <c r="P197" i="147" l="1"/>
  <c r="J197" i="147" s="1"/>
  <c r="N196" i="147"/>
  <c r="N119" i="147"/>
  <c r="P120" i="147"/>
  <c r="M120" i="147" s="1"/>
  <c r="P47" i="147"/>
  <c r="J47" i="147" s="1"/>
  <c r="N46" i="147"/>
  <c r="J20" i="142"/>
  <c r="K20" i="142" s="1"/>
  <c r="G11" i="142"/>
  <c r="K11" i="142" s="1"/>
  <c r="M43" i="146"/>
  <c r="I27" i="142"/>
  <c r="K27" i="142" s="1"/>
  <c r="G9" i="142"/>
  <c r="K9" i="142" s="1"/>
  <c r="J18" i="142"/>
  <c r="K18" i="142" s="1"/>
  <c r="J14" i="142"/>
  <c r="K14" i="142" s="1"/>
  <c r="J22" i="142"/>
  <c r="K22" i="142" s="1"/>
  <c r="J24" i="142"/>
  <c r="K24" i="142" s="1"/>
  <c r="N197" i="147" l="1"/>
  <c r="P198" i="147"/>
  <c r="J198" i="147" s="1"/>
  <c r="N120" i="147"/>
  <c r="P121" i="147"/>
  <c r="M121" i="147" s="1"/>
  <c r="P48" i="147"/>
  <c r="J48" i="147" s="1"/>
  <c r="N47" i="147"/>
  <c r="K31" i="142"/>
  <c r="P199" i="147" l="1"/>
  <c r="J199" i="147" s="1"/>
  <c r="N198" i="147"/>
  <c r="P122" i="147"/>
  <c r="M122" i="147" s="1"/>
  <c r="N121" i="147"/>
  <c r="P49" i="147"/>
  <c r="J49" i="147" s="1"/>
  <c r="N48" i="147"/>
  <c r="K32" i="142"/>
  <c r="E115" i="2" s="1"/>
  <c r="C115" i="2" s="1"/>
  <c r="P200" i="147" l="1"/>
  <c r="J200" i="147" s="1"/>
  <c r="N199" i="147"/>
  <c r="N122" i="147"/>
  <c r="P123" i="147"/>
  <c r="M123" i="147" s="1"/>
  <c r="P50" i="147"/>
  <c r="J50" i="147" s="1"/>
  <c r="N49" i="147"/>
  <c r="P16" i="135"/>
  <c r="N200" i="147" l="1"/>
  <c r="P201" i="147"/>
  <c r="J201" i="147" s="1"/>
  <c r="N123" i="147"/>
  <c r="P124" i="147"/>
  <c r="M124" i="147" s="1"/>
  <c r="P51" i="147"/>
  <c r="J51" i="147" s="1"/>
  <c r="N50" i="147"/>
  <c r="C46" i="70"/>
  <c r="N201" i="147" l="1"/>
  <c r="P202" i="147"/>
  <c r="J202" i="147" s="1"/>
  <c r="N124" i="147"/>
  <c r="P125" i="147"/>
  <c r="M125" i="147" s="1"/>
  <c r="P52" i="147"/>
  <c r="J52" i="147" s="1"/>
  <c r="N51" i="147"/>
  <c r="F16" i="135"/>
  <c r="P203" i="147" l="1"/>
  <c r="J203" i="147" s="1"/>
  <c r="N202" i="147"/>
  <c r="P126" i="147"/>
  <c r="M126" i="147" s="1"/>
  <c r="N125" i="147"/>
  <c r="P53" i="147"/>
  <c r="J53" i="147" s="1"/>
  <c r="N52" i="147"/>
  <c r="P66" i="132"/>
  <c r="O66" i="132"/>
  <c r="P53" i="132"/>
  <c r="N4" i="132"/>
  <c r="J66" i="132" s="1"/>
  <c r="N203" i="147" l="1"/>
  <c r="P204" i="147"/>
  <c r="J204" i="147" s="1"/>
  <c r="N126" i="147"/>
  <c r="P127" i="147"/>
  <c r="M127" i="147" s="1"/>
  <c r="P54" i="147"/>
  <c r="J54" i="147" s="1"/>
  <c r="N53" i="147"/>
  <c r="I12" i="132"/>
  <c r="K53" i="132"/>
  <c r="I17" i="132"/>
  <c r="I13" i="132"/>
  <c r="I14" i="132"/>
  <c r="I16" i="132"/>
  <c r="I15" i="132"/>
  <c r="G17" i="132"/>
  <c r="BD8" i="135"/>
  <c r="P205" i="147" l="1"/>
  <c r="J205" i="147" s="1"/>
  <c r="N204" i="147"/>
  <c r="N127" i="147"/>
  <c r="P128" i="147"/>
  <c r="M128" i="147" s="1"/>
  <c r="P55" i="147"/>
  <c r="J55" i="147" s="1"/>
  <c r="N54" i="147"/>
  <c r="L17" i="132"/>
  <c r="I41" i="132"/>
  <c r="I39" i="132"/>
  <c r="P45" i="132" s="1"/>
  <c r="N205" i="147" l="1"/>
  <c r="P206" i="147"/>
  <c r="J206" i="147" s="1"/>
  <c r="N128" i="147"/>
  <c r="P129" i="147"/>
  <c r="M129" i="147" s="1"/>
  <c r="P56" i="147"/>
  <c r="J56" i="147" s="1"/>
  <c r="N55" i="147"/>
  <c r="I43" i="132"/>
  <c r="J47" i="132" s="1"/>
  <c r="R28" i="131"/>
  <c r="S28" i="131" s="1"/>
  <c r="R27" i="131"/>
  <c r="S27" i="131" s="1"/>
  <c r="P207" i="147" l="1"/>
  <c r="J207" i="147" s="1"/>
  <c r="N206" i="147"/>
  <c r="P130" i="147"/>
  <c r="M130" i="147" s="1"/>
  <c r="N129" i="147"/>
  <c r="P57" i="147"/>
  <c r="J57" i="147" s="1"/>
  <c r="N56" i="147"/>
  <c r="S1" i="10"/>
  <c r="P208" i="147" l="1"/>
  <c r="J208" i="147" s="1"/>
  <c r="N207" i="147"/>
  <c r="N130" i="147"/>
  <c r="P131" i="147"/>
  <c r="M131" i="147" s="1"/>
  <c r="P58" i="147"/>
  <c r="J58" i="147" s="1"/>
  <c r="N57" i="147"/>
  <c r="D71" i="2"/>
  <c r="D153" i="2"/>
  <c r="C29" i="2"/>
  <c r="C30" i="2"/>
  <c r="C33" i="2"/>
  <c r="C34" i="2"/>
  <c r="C40" i="2"/>
  <c r="C46" i="2"/>
  <c r="C51" i="2"/>
  <c r="C52" i="2"/>
  <c r="C53" i="2"/>
  <c r="C54" i="2"/>
  <c r="C55" i="2"/>
  <c r="C56" i="2"/>
  <c r="C58" i="2"/>
  <c r="C59" i="2"/>
  <c r="C67" i="2"/>
  <c r="C79" i="2"/>
  <c r="C89" i="2"/>
  <c r="AK26" i="77"/>
  <c r="AJ26" i="77"/>
  <c r="P209" i="147" l="1"/>
  <c r="J209" i="147" s="1"/>
  <c r="N208" i="147"/>
  <c r="N131" i="147"/>
  <c r="P132" i="147"/>
  <c r="M132" i="147" s="1"/>
  <c r="P59" i="147"/>
  <c r="J59" i="147" s="1"/>
  <c r="N58" i="147"/>
  <c r="X81" i="146"/>
  <c r="AA81" i="146" s="1"/>
  <c r="M37" i="146"/>
  <c r="S97" i="146"/>
  <c r="Q97" i="146" s="1"/>
  <c r="N209" i="147" l="1"/>
  <c r="P210" i="147"/>
  <c r="J210" i="147" s="1"/>
  <c r="N132" i="147"/>
  <c r="P133" i="147"/>
  <c r="M133" i="147" s="1"/>
  <c r="P60" i="147"/>
  <c r="J60" i="147" s="1"/>
  <c r="N59" i="147"/>
  <c r="V7" i="119"/>
  <c r="N13" i="119"/>
  <c r="P211" i="147" l="1"/>
  <c r="J211" i="147" s="1"/>
  <c r="N210" i="147"/>
  <c r="P134" i="147"/>
  <c r="M134" i="147" s="1"/>
  <c r="N133" i="147"/>
  <c r="P61" i="147"/>
  <c r="J61" i="147" s="1"/>
  <c r="N60" i="147"/>
  <c r="P11" i="140"/>
  <c r="L37" i="135"/>
  <c r="I45" i="138"/>
  <c r="M45" i="138" s="1"/>
  <c r="P6" i="137"/>
  <c r="L28" i="42"/>
  <c r="K28" i="42"/>
  <c r="V28" i="42" s="1"/>
  <c r="L29" i="42"/>
  <c r="U29" i="42" s="1"/>
  <c r="K29" i="42"/>
  <c r="X29" i="42" s="1"/>
  <c r="W28" i="42"/>
  <c r="O28" i="42"/>
  <c r="Q46" i="141"/>
  <c r="V45" i="141"/>
  <c r="U45" i="141"/>
  <c r="Q44" i="141"/>
  <c r="Q42" i="141"/>
  <c r="Q38" i="141"/>
  <c r="R34" i="141"/>
  <c r="Q34" i="141"/>
  <c r="Q25" i="141"/>
  <c r="N25" i="141"/>
  <c r="Y21" i="141"/>
  <c r="R21" i="141"/>
  <c r="Q21" i="141"/>
  <c r="I21" i="141"/>
  <c r="D21" i="141"/>
  <c r="T21" i="141" s="1"/>
  <c r="Y19" i="141"/>
  <c r="R19" i="141"/>
  <c r="Q19" i="141"/>
  <c r="I19" i="141"/>
  <c r="D19" i="141"/>
  <c r="T19" i="141" s="1"/>
  <c r="Y17" i="141"/>
  <c r="R17" i="141"/>
  <c r="Q17" i="141"/>
  <c r="I17" i="141"/>
  <c r="D17" i="141"/>
  <c r="T17" i="141" s="1"/>
  <c r="AC12" i="141"/>
  <c r="AB12" i="141"/>
  <c r="AA12" i="141"/>
  <c r="AA17" i="141" s="1"/>
  <c r="Q12" i="141"/>
  <c r="J21" i="141" s="1"/>
  <c r="N21" i="141" s="1"/>
  <c r="AC10" i="141"/>
  <c r="AB10" i="141"/>
  <c r="AA10" i="141"/>
  <c r="AA16" i="141" s="1"/>
  <c r="Q10" i="141"/>
  <c r="J19" i="141" s="1"/>
  <c r="N19" i="141" s="1"/>
  <c r="AB8" i="141"/>
  <c r="AC8" i="141" s="1"/>
  <c r="AA8" i="141"/>
  <c r="AA15" i="141" s="1"/>
  <c r="Q8" i="141"/>
  <c r="J17" i="141" s="1"/>
  <c r="N17" i="141" s="1"/>
  <c r="AB5" i="141"/>
  <c r="Q1" i="141"/>
  <c r="O2" i="141" s="1"/>
  <c r="P32" i="140"/>
  <c r="P30" i="140"/>
  <c r="N28" i="140"/>
  <c r="Q26" i="140"/>
  <c r="Q28" i="140" s="1"/>
  <c r="V23" i="140"/>
  <c r="Y29" i="140" s="1"/>
  <c r="N23" i="140"/>
  <c r="N21" i="140"/>
  <c r="N20" i="140"/>
  <c r="U17" i="140"/>
  <c r="T17" i="140"/>
  <c r="N17" i="140"/>
  <c r="N14" i="140"/>
  <c r="T13" i="140"/>
  <c r="N12" i="140"/>
  <c r="N11" i="140"/>
  <c r="B9" i="140"/>
  <c r="M9" i="140" s="1"/>
  <c r="R7" i="140"/>
  <c r="S7" i="140" s="1"/>
  <c r="R6" i="140"/>
  <c r="Y5" i="140"/>
  <c r="Y2" i="140"/>
  <c r="L27" i="42"/>
  <c r="W27" i="42" s="1"/>
  <c r="K27" i="42"/>
  <c r="V27" i="42" s="1"/>
  <c r="M27" i="139"/>
  <c r="P24" i="139"/>
  <c r="O24" i="139"/>
  <c r="C25" i="139" s="1"/>
  <c r="R15" i="139"/>
  <c r="C15" i="139" s="1"/>
  <c r="C18" i="139" s="1"/>
  <c r="C20" i="139" s="1"/>
  <c r="C22" i="139" s="1"/>
  <c r="M14" i="139"/>
  <c r="M13" i="139"/>
  <c r="M12" i="139"/>
  <c r="M11" i="139"/>
  <c r="M10" i="139"/>
  <c r="M9" i="139"/>
  <c r="M8" i="139"/>
  <c r="O7" i="139"/>
  <c r="M7" i="139"/>
  <c r="O6" i="139"/>
  <c r="T5" i="139"/>
  <c r="M2" i="139"/>
  <c r="O1" i="139"/>
  <c r="O2" i="139" s="1"/>
  <c r="L26" i="42"/>
  <c r="U26" i="42" s="1"/>
  <c r="K26" i="42"/>
  <c r="V26" i="42" s="1"/>
  <c r="P45" i="138"/>
  <c r="N45" i="138"/>
  <c r="P43" i="138"/>
  <c r="N43" i="138"/>
  <c r="T41" i="138"/>
  <c r="S41" i="138"/>
  <c r="I42" i="138" s="1"/>
  <c r="N41" i="138"/>
  <c r="R37" i="138"/>
  <c r="N37" i="138"/>
  <c r="Q34" i="138"/>
  <c r="T34" i="138" s="1"/>
  <c r="Q33" i="138"/>
  <c r="T33" i="138" s="1"/>
  <c r="Q32" i="138"/>
  <c r="T32" i="138" s="1"/>
  <c r="Q31" i="138"/>
  <c r="T31" i="138" s="1"/>
  <c r="I24" i="138"/>
  <c r="I25" i="138" s="1"/>
  <c r="I26" i="138" s="1"/>
  <c r="S32" i="138" s="1"/>
  <c r="N23" i="138"/>
  <c r="N22" i="138"/>
  <c r="N21" i="138"/>
  <c r="N20" i="138"/>
  <c r="U19" i="138"/>
  <c r="T18" i="138" s="1"/>
  <c r="N18" i="138"/>
  <c r="N15" i="138"/>
  <c r="N13" i="138"/>
  <c r="N12" i="138"/>
  <c r="X11" i="138"/>
  <c r="N11" i="138"/>
  <c r="N10" i="138"/>
  <c r="R6" i="138"/>
  <c r="L25" i="42"/>
  <c r="T25" i="42" s="1"/>
  <c r="K25" i="42"/>
  <c r="X25" i="42" s="1"/>
  <c r="Y30" i="42"/>
  <c r="X30" i="42"/>
  <c r="W30" i="42"/>
  <c r="V30" i="42"/>
  <c r="U30" i="42"/>
  <c r="T30" i="42"/>
  <c r="V29" i="42"/>
  <c r="X26" i="42"/>
  <c r="W26" i="42"/>
  <c r="W25" i="42"/>
  <c r="V25" i="42"/>
  <c r="O30" i="42"/>
  <c r="O29" i="42"/>
  <c r="O27" i="42"/>
  <c r="O26" i="42"/>
  <c r="O25" i="42"/>
  <c r="P17" i="137"/>
  <c r="N17" i="137"/>
  <c r="P15" i="137"/>
  <c r="N15" i="137"/>
  <c r="N13" i="137"/>
  <c r="R11" i="137"/>
  <c r="Q11" i="137"/>
  <c r="Q13" i="137" s="1"/>
  <c r="V9" i="137"/>
  <c r="Y14" i="137" s="1"/>
  <c r="N9" i="137"/>
  <c r="T7" i="137"/>
  <c r="N7" i="137"/>
  <c r="N6" i="137"/>
  <c r="R4" i="137"/>
  <c r="R3" i="137"/>
  <c r="T28" i="42" l="1"/>
  <c r="U28" i="42"/>
  <c r="P212" i="147"/>
  <c r="J212" i="147" s="1"/>
  <c r="N211" i="147"/>
  <c r="N134" i="147"/>
  <c r="P135" i="147"/>
  <c r="M135" i="147" s="1"/>
  <c r="P62" i="147"/>
  <c r="J62" i="147" s="1"/>
  <c r="N61" i="147"/>
  <c r="Y26" i="42"/>
  <c r="S34" i="138"/>
  <c r="U34" i="138" s="1"/>
  <c r="Y25" i="42"/>
  <c r="X28" i="42"/>
  <c r="Y28" i="42"/>
  <c r="S33" i="138"/>
  <c r="H33" i="138" s="1"/>
  <c r="Y29" i="42"/>
  <c r="X27" i="42"/>
  <c r="Y27" i="42"/>
  <c r="W29" i="42"/>
  <c r="I23" i="141"/>
  <c r="I27" i="141" s="1"/>
  <c r="H32" i="141" s="1"/>
  <c r="H36" i="141" s="1"/>
  <c r="H40" i="141" s="1"/>
  <c r="T29" i="42"/>
  <c r="U25" i="42"/>
  <c r="U27" i="42"/>
  <c r="T27" i="42"/>
  <c r="E42" i="138"/>
  <c r="T26" i="42"/>
  <c r="J11" i="138"/>
  <c r="M10" i="138" s="1"/>
  <c r="L12" i="141"/>
  <c r="N12" i="141" s="1"/>
  <c r="M16" i="139"/>
  <c r="M28" i="139" s="1"/>
  <c r="E24" i="139" s="1"/>
  <c r="I24" i="139" s="1"/>
  <c r="H32" i="138"/>
  <c r="N18" i="137"/>
  <c r="J17" i="137" s="1"/>
  <c r="M17" i="137" s="1"/>
  <c r="V17" i="140"/>
  <c r="X17" i="140" s="1"/>
  <c r="F11" i="138"/>
  <c r="M11" i="138" s="1"/>
  <c r="Q5" i="141"/>
  <c r="J44" i="141" s="1"/>
  <c r="N44" i="141" s="1"/>
  <c r="L8" i="141"/>
  <c r="N8" i="141" s="1"/>
  <c r="L10" i="141"/>
  <c r="N10" i="141" s="1"/>
  <c r="V21" i="140"/>
  <c r="O24" i="140"/>
  <c r="Z29" i="140"/>
  <c r="H29" i="140" s="1"/>
  <c r="E15" i="139"/>
  <c r="I15" i="139" s="1"/>
  <c r="F34" i="138"/>
  <c r="F32" i="138"/>
  <c r="F33" i="138"/>
  <c r="S31" i="138"/>
  <c r="F31" i="138"/>
  <c r="U32" i="138"/>
  <c r="J13" i="138"/>
  <c r="M12" i="138" s="1"/>
  <c r="J20" i="138"/>
  <c r="M20" i="138" s="1"/>
  <c r="J22" i="138"/>
  <c r="M22" i="138" s="1"/>
  <c r="J41" i="138"/>
  <c r="M41" i="138" s="1"/>
  <c r="F13" i="138"/>
  <c r="M13" i="138" s="1"/>
  <c r="F15" i="138"/>
  <c r="M15" i="138" s="1"/>
  <c r="J21" i="138"/>
  <c r="M21" i="138" s="1"/>
  <c r="J23" i="138"/>
  <c r="M23" i="138" s="1"/>
  <c r="J24" i="138"/>
  <c r="I43" i="138"/>
  <c r="M43" i="138" s="1"/>
  <c r="B11" i="137"/>
  <c r="Z14" i="137"/>
  <c r="H14" i="137" s="1"/>
  <c r="O11" i="137"/>
  <c r="T32" i="29"/>
  <c r="O32" i="29"/>
  <c r="R1" i="136" s="1"/>
  <c r="W1" i="146" s="1"/>
  <c r="W3" i="146" s="1"/>
  <c r="H32" i="29"/>
  <c r="M32" i="29" s="1"/>
  <c r="L28" i="146" l="1"/>
  <c r="L29" i="146"/>
  <c r="L13" i="146"/>
  <c r="L32" i="146"/>
  <c r="Q1" i="136"/>
  <c r="L10" i="136" s="1"/>
  <c r="N10" i="136" s="1"/>
  <c r="H34" i="138"/>
  <c r="N34" i="138" s="1"/>
  <c r="U33" i="138"/>
  <c r="P213" i="147"/>
  <c r="N212" i="147"/>
  <c r="N135" i="147"/>
  <c r="P136" i="147"/>
  <c r="M136" i="147" s="1"/>
  <c r="P63" i="147"/>
  <c r="J63" i="147" s="1"/>
  <c r="N62" i="147"/>
  <c r="E7" i="139"/>
  <c r="I7" i="139" s="1"/>
  <c r="N46" i="136"/>
  <c r="E27" i="139"/>
  <c r="I27" i="139" s="1"/>
  <c r="E14" i="139"/>
  <c r="I14" i="139" s="1"/>
  <c r="E29" i="139"/>
  <c r="I29" i="139" s="1"/>
  <c r="E8" i="139"/>
  <c r="I8" i="139" s="1"/>
  <c r="N32" i="138"/>
  <c r="E11" i="139"/>
  <c r="I11" i="139" s="1"/>
  <c r="E12" i="139"/>
  <c r="I12" i="139" s="1"/>
  <c r="E21" i="139"/>
  <c r="H24" i="139" s="1"/>
  <c r="E19" i="139"/>
  <c r="I19" i="139" s="1"/>
  <c r="N33" i="138"/>
  <c r="E9" i="139"/>
  <c r="I9" i="139" s="1"/>
  <c r="E10" i="139"/>
  <c r="I10" i="139" s="1"/>
  <c r="E13" i="139"/>
  <c r="I13" i="139" s="1"/>
  <c r="H17" i="140"/>
  <c r="M18" i="138"/>
  <c r="I38" i="141"/>
  <c r="N38" i="141" s="1"/>
  <c r="I46" i="141"/>
  <c r="N45" i="141" s="1"/>
  <c r="I34" i="141"/>
  <c r="N34" i="141" s="1"/>
  <c r="J25" i="141"/>
  <c r="L42" i="141"/>
  <c r="N42" i="141" s="1"/>
  <c r="H5" i="141"/>
  <c r="N5" i="141" s="1"/>
  <c r="J32" i="140"/>
  <c r="J30" i="140"/>
  <c r="J17" i="140"/>
  <c r="M17" i="140" s="1"/>
  <c r="G14" i="140"/>
  <c r="M14" i="140" s="1"/>
  <c r="J12" i="140"/>
  <c r="E11" i="140"/>
  <c r="J28" i="140"/>
  <c r="M28" i="140" s="1"/>
  <c r="E12" i="140"/>
  <c r="J11" i="140"/>
  <c r="T24" i="138"/>
  <c r="M24" i="138"/>
  <c r="H31" i="138"/>
  <c r="N31" i="138" s="1"/>
  <c r="U31" i="138"/>
  <c r="J15" i="137"/>
  <c r="M15" i="137" s="1"/>
  <c r="E7" i="137"/>
  <c r="J6" i="137"/>
  <c r="J13" i="137"/>
  <c r="M13" i="137" s="1"/>
  <c r="J9" i="137"/>
  <c r="M9" i="137" s="1"/>
  <c r="J7" i="137"/>
  <c r="E6" i="137"/>
  <c r="M6" i="137" s="1"/>
  <c r="L4" i="136" l="1"/>
  <c r="L17" i="136"/>
  <c r="N17" i="136" s="1"/>
  <c r="L6" i="136"/>
  <c r="U36" i="138"/>
  <c r="I36" i="138" s="1"/>
  <c r="R36" i="138" s="1"/>
  <c r="J37" i="138" s="1"/>
  <c r="M37" i="138" s="1"/>
  <c r="P214" i="147"/>
  <c r="J213" i="147"/>
  <c r="N213" i="147" s="1"/>
  <c r="N136" i="147"/>
  <c r="P137" i="147"/>
  <c r="M137" i="147" s="1"/>
  <c r="P64" i="147"/>
  <c r="J64" i="147" s="1"/>
  <c r="N63" i="147"/>
  <c r="I21" i="139"/>
  <c r="I31" i="139" s="1"/>
  <c r="I34" i="139" s="1"/>
  <c r="E112" i="2" s="1"/>
  <c r="C112" i="2" s="1"/>
  <c r="H21" i="139"/>
  <c r="M12" i="140"/>
  <c r="N46" i="141"/>
  <c r="N47" i="141" s="1"/>
  <c r="E113" i="2" s="1"/>
  <c r="C113" i="2" s="1"/>
  <c r="N30" i="140"/>
  <c r="M30" i="140"/>
  <c r="M11" i="140"/>
  <c r="N32" i="140"/>
  <c r="M32" i="140"/>
  <c r="N38" i="138"/>
  <c r="R38" i="138" s="1"/>
  <c r="I38" i="138" s="1"/>
  <c r="M7" i="137"/>
  <c r="M19" i="137" s="1"/>
  <c r="N20" i="137" s="1"/>
  <c r="E110" i="2" s="1"/>
  <c r="C110" i="2" s="1"/>
  <c r="Y15" i="136" l="1"/>
  <c r="L14" i="136"/>
  <c r="N14" i="136" s="1"/>
  <c r="L12" i="136"/>
  <c r="L8" i="136"/>
  <c r="M13" i="146"/>
  <c r="M32" i="146"/>
  <c r="L59" i="146"/>
  <c r="M59" i="146" s="1"/>
  <c r="P215" i="147"/>
  <c r="J214" i="147"/>
  <c r="N214" i="147" s="1"/>
  <c r="P138" i="147"/>
  <c r="M138" i="147" s="1"/>
  <c r="N137" i="147"/>
  <c r="P65" i="147"/>
  <c r="J65" i="147" s="1"/>
  <c r="N64" i="147"/>
  <c r="N46" i="138"/>
  <c r="I32" i="138" s="1"/>
  <c r="M32" i="138" s="1"/>
  <c r="N33" i="140"/>
  <c r="P216" i="147" l="1"/>
  <c r="J215" i="147"/>
  <c r="N215" i="147" s="1"/>
  <c r="N138" i="147"/>
  <c r="P139" i="147"/>
  <c r="M139" i="147" s="1"/>
  <c r="P66" i="147"/>
  <c r="N65" i="147"/>
  <c r="I34" i="138"/>
  <c r="M34" i="138" s="1"/>
  <c r="I33" i="138"/>
  <c r="M33" i="138" s="1"/>
  <c r="I31" i="138"/>
  <c r="M31" i="138" s="1"/>
  <c r="P140" i="147" l="1"/>
  <c r="M140" i="147" s="1"/>
  <c r="N139" i="147"/>
  <c r="J216" i="147"/>
  <c r="N216" i="147" s="1"/>
  <c r="P217" i="147"/>
  <c r="P67" i="147"/>
  <c r="J66" i="147"/>
  <c r="N66" i="147" s="1"/>
  <c r="M47" i="138"/>
  <c r="M50" i="138" s="1"/>
  <c r="E111" i="2" s="1"/>
  <c r="C111" i="2" s="1"/>
  <c r="P141" i="147" l="1"/>
  <c r="M141" i="147" s="1"/>
  <c r="N140" i="147"/>
  <c r="J217" i="147"/>
  <c r="N217" i="147" s="1"/>
  <c r="P218" i="147"/>
  <c r="P68" i="147"/>
  <c r="J67" i="147"/>
  <c r="N67" i="147" s="1"/>
  <c r="V32" i="78"/>
  <c r="W32" i="78"/>
  <c r="K39" i="78"/>
  <c r="K40" i="78"/>
  <c r="K41" i="78"/>
  <c r="K42" i="78"/>
  <c r="K43" i="78"/>
  <c r="K44" i="78"/>
  <c r="K45" i="78"/>
  <c r="K46" i="78"/>
  <c r="K58" i="78"/>
  <c r="K59" i="78"/>
  <c r="K60" i="78"/>
  <c r="N48" i="58"/>
  <c r="N96" i="58"/>
  <c r="N144" i="58"/>
  <c r="AB141" i="58"/>
  <c r="AA141" i="58"/>
  <c r="AB140" i="58"/>
  <c r="AA140" i="58"/>
  <c r="AB139" i="58"/>
  <c r="AA139" i="58"/>
  <c r="AB138" i="58"/>
  <c r="AA138" i="58"/>
  <c r="AB137" i="58"/>
  <c r="AA137" i="58"/>
  <c r="L53" i="58"/>
  <c r="B126" i="58"/>
  <c r="B78" i="58"/>
  <c r="B30" i="58"/>
  <c r="B137" i="58"/>
  <c r="D137" i="58" s="1"/>
  <c r="L137" i="58" s="1"/>
  <c r="H136" i="58"/>
  <c r="L136" i="58" s="1"/>
  <c r="F135" i="58"/>
  <c r="L135" i="58" s="1"/>
  <c r="AB93" i="58"/>
  <c r="AA93" i="58"/>
  <c r="AB92" i="58"/>
  <c r="AA92" i="58"/>
  <c r="AB91" i="58"/>
  <c r="AA91" i="58"/>
  <c r="AB90" i="58"/>
  <c r="AA90" i="58"/>
  <c r="AB89" i="58"/>
  <c r="AA89" i="58"/>
  <c r="H88" i="58"/>
  <c r="L88" i="58" s="1"/>
  <c r="F87" i="58"/>
  <c r="L87" i="58" s="1"/>
  <c r="F39" i="58"/>
  <c r="L39" i="58" s="1"/>
  <c r="H40" i="58"/>
  <c r="L40" i="58" s="1"/>
  <c r="AB45" i="58"/>
  <c r="AA45" i="58"/>
  <c r="AB44" i="58"/>
  <c r="AA44" i="58"/>
  <c r="AB43" i="58"/>
  <c r="AA43" i="58"/>
  <c r="AB42" i="58"/>
  <c r="AB41" i="58"/>
  <c r="AA42" i="58"/>
  <c r="AA41" i="58"/>
  <c r="P142" i="147" l="1"/>
  <c r="M142" i="147" s="1"/>
  <c r="N141" i="147"/>
  <c r="J218" i="147"/>
  <c r="N218" i="147" s="1"/>
  <c r="P219" i="147"/>
  <c r="P69" i="147"/>
  <c r="J68" i="147"/>
  <c r="N68" i="147" s="1"/>
  <c r="G144" i="58"/>
  <c r="L101" i="58"/>
  <c r="G48" i="58"/>
  <c r="L48" i="58" s="1"/>
  <c r="L5" i="58"/>
  <c r="G24" i="58"/>
  <c r="R575" i="58"/>
  <c r="AA147" i="58"/>
  <c r="N680" i="58"/>
  <c r="G96" i="58"/>
  <c r="L96" i="58" s="1"/>
  <c r="H138" i="58"/>
  <c r="P138" i="58" s="1"/>
  <c r="B41" i="58"/>
  <c r="D41" i="58" s="1"/>
  <c r="L41" i="58" s="1"/>
  <c r="AA99" i="58"/>
  <c r="AA51" i="58"/>
  <c r="H41" i="58" s="1"/>
  <c r="H42" i="58" s="1"/>
  <c r="P42" i="58" s="1"/>
  <c r="O683" i="58" s="1"/>
  <c r="B89" i="58"/>
  <c r="D89" i="58" s="1"/>
  <c r="L89" i="58" s="1"/>
  <c r="P21" i="135"/>
  <c r="P75" i="29"/>
  <c r="J6" i="135"/>
  <c r="L29" i="135"/>
  <c r="T31" i="29"/>
  <c r="P12" i="135"/>
  <c r="O12" i="135"/>
  <c r="O31" i="29"/>
  <c r="H31" i="29"/>
  <c r="M31" i="29" s="1"/>
  <c r="P18" i="135"/>
  <c r="P2" i="135"/>
  <c r="P143" i="147" l="1"/>
  <c r="M143" i="147" s="1"/>
  <c r="N142" i="147"/>
  <c r="J219" i="147"/>
  <c r="N219" i="147" s="1"/>
  <c r="P220" i="147"/>
  <c r="J69" i="147"/>
  <c r="N69" i="147" s="1"/>
  <c r="P70" i="147"/>
  <c r="O685" i="58"/>
  <c r="O1" i="135"/>
  <c r="N1" i="135" s="1"/>
  <c r="H78" i="29"/>
  <c r="H76" i="29"/>
  <c r="H75" i="29"/>
  <c r="S12" i="131"/>
  <c r="R26" i="131"/>
  <c r="S26" i="131" s="1"/>
  <c r="R25" i="131"/>
  <c r="S25" i="131" s="1"/>
  <c r="R24" i="131"/>
  <c r="S24" i="131" s="1"/>
  <c r="R23" i="131"/>
  <c r="S23" i="131" s="1"/>
  <c r="R22" i="131"/>
  <c r="S22" i="131" s="1"/>
  <c r="R21" i="131"/>
  <c r="S21" i="131" s="1"/>
  <c r="R20" i="131"/>
  <c r="S20" i="131" s="1"/>
  <c r="R19" i="131"/>
  <c r="S19" i="131" s="1"/>
  <c r="R18" i="131"/>
  <c r="S18" i="131" s="1"/>
  <c r="R17" i="131"/>
  <c r="S17" i="131" s="1"/>
  <c r="R16" i="131"/>
  <c r="S16" i="131" s="1"/>
  <c r="R15" i="131"/>
  <c r="S15" i="131" s="1"/>
  <c r="R14" i="131"/>
  <c r="S14" i="131" s="1"/>
  <c r="R13" i="131"/>
  <c r="S13" i="131" s="1"/>
  <c r="R11" i="131"/>
  <c r="S11" i="131" s="1"/>
  <c r="R10" i="131"/>
  <c r="S10" i="131" s="1"/>
  <c r="R9" i="131"/>
  <c r="S9" i="131" s="1"/>
  <c r="R8" i="131"/>
  <c r="S8" i="131" s="1"/>
  <c r="R7" i="131"/>
  <c r="S7" i="131" s="1"/>
  <c r="R6" i="131"/>
  <c r="S6" i="131" s="1"/>
  <c r="S5" i="131"/>
  <c r="P144" i="147" l="1"/>
  <c r="M144" i="147" s="1"/>
  <c r="N143" i="147"/>
  <c r="J220" i="147"/>
  <c r="N220" i="147" s="1"/>
  <c r="P221" i="147"/>
  <c r="J70" i="147"/>
  <c r="N70" i="147" s="1"/>
  <c r="P71" i="147"/>
  <c r="Z3" i="144"/>
  <c r="W12" i="145"/>
  <c r="T14" i="145" s="1"/>
  <c r="G17" i="145" s="1"/>
  <c r="L17" i="145" s="1"/>
  <c r="L41" i="145" s="1"/>
  <c r="L44" i="145" s="1"/>
  <c r="E118" i="2" s="1"/>
  <c r="C118" i="2" s="1"/>
  <c r="P3" i="135"/>
  <c r="P5" i="135" s="1"/>
  <c r="J16" i="135" s="1"/>
  <c r="L16" i="135" s="1"/>
  <c r="Y3" i="140"/>
  <c r="Y6" i="140"/>
  <c r="Y17" i="140" s="1"/>
  <c r="Z17" i="140" s="1"/>
  <c r="V19" i="140" s="1"/>
  <c r="I29" i="135"/>
  <c r="J14" i="135"/>
  <c r="L14" i="135" s="1"/>
  <c r="H6" i="135"/>
  <c r="L6" i="135" s="1"/>
  <c r="J8" i="135"/>
  <c r="J12" i="135"/>
  <c r="L12" i="135" s="1"/>
  <c r="J18" i="135"/>
  <c r="L18" i="135" s="1"/>
  <c r="J10" i="135"/>
  <c r="L10" i="135" s="1"/>
  <c r="N12" i="132"/>
  <c r="I21" i="134"/>
  <c r="I20" i="134"/>
  <c r="I19" i="134"/>
  <c r="P145" i="147" l="1"/>
  <c r="M145" i="147" s="1"/>
  <c r="N144" i="147"/>
  <c r="J221" i="147"/>
  <c r="N221" i="147" s="1"/>
  <c r="P222" i="147"/>
  <c r="J71" i="147"/>
  <c r="N71" i="147" s="1"/>
  <c r="P72" i="147"/>
  <c r="W8" i="144"/>
  <c r="W9" i="144"/>
  <c r="T15" i="144" s="1"/>
  <c r="L33" i="135"/>
  <c r="P4" i="135"/>
  <c r="V25" i="140"/>
  <c r="H25" i="140" s="1"/>
  <c r="H19" i="140"/>
  <c r="AC4" i="134"/>
  <c r="AC3" i="134"/>
  <c r="I29" i="134"/>
  <c r="L29" i="134" s="1"/>
  <c r="I31" i="134"/>
  <c r="L31" i="134" s="1"/>
  <c r="P2" i="134"/>
  <c r="H29" i="134"/>
  <c r="I49" i="70" s="1"/>
  <c r="M21" i="134"/>
  <c r="B21" i="134"/>
  <c r="M20" i="134"/>
  <c r="B20" i="134"/>
  <c r="O19" i="134"/>
  <c r="N19" i="134"/>
  <c r="M19" i="134"/>
  <c r="B19" i="134"/>
  <c r="O16" i="134"/>
  <c r="N16" i="134"/>
  <c r="P7" i="134"/>
  <c r="N145" i="147" l="1"/>
  <c r="P146" i="147"/>
  <c r="M146" i="147" s="1"/>
  <c r="J222" i="147"/>
  <c r="N222" i="147" s="1"/>
  <c r="P223" i="147"/>
  <c r="J72" i="147"/>
  <c r="N72" i="147" s="1"/>
  <c r="P73" i="147"/>
  <c r="N82" i="147" s="1"/>
  <c r="T14" i="144"/>
  <c r="T17" i="144" s="1"/>
  <c r="J21" i="144"/>
  <c r="M21" i="144" s="1"/>
  <c r="P22" i="135"/>
  <c r="H20" i="135"/>
  <c r="O20" i="135"/>
  <c r="P3" i="134"/>
  <c r="O25" i="134" s="1"/>
  <c r="H31" i="134" s="1"/>
  <c r="L35" i="135"/>
  <c r="E107" i="2" s="1"/>
  <c r="C107" i="2" s="1"/>
  <c r="J21" i="140"/>
  <c r="M21" i="140" s="1"/>
  <c r="F20" i="140"/>
  <c r="M20" i="140" s="1"/>
  <c r="P23" i="140"/>
  <c r="R26" i="140"/>
  <c r="B26" i="140" s="1"/>
  <c r="J23" i="140"/>
  <c r="M23" i="140" s="1"/>
  <c r="G19" i="134"/>
  <c r="L19" i="134" s="1"/>
  <c r="K7" i="134"/>
  <c r="L7" i="134" s="1"/>
  <c r="G20" i="134"/>
  <c r="L20" i="134" s="1"/>
  <c r="G21" i="134"/>
  <c r="L21" i="134" s="1"/>
  <c r="I37" i="134"/>
  <c r="L37" i="134" s="1"/>
  <c r="I27" i="134"/>
  <c r="L27" i="134" s="1"/>
  <c r="I33" i="134"/>
  <c r="L33" i="134" s="1"/>
  <c r="F16" i="134"/>
  <c r="L16" i="134" s="1"/>
  <c r="K12" i="134"/>
  <c r="L12" i="134" s="1"/>
  <c r="I25" i="134"/>
  <c r="L25" i="134" s="1"/>
  <c r="N146" i="147" l="1"/>
  <c r="P147" i="147"/>
  <c r="M147" i="147" s="1"/>
  <c r="J223" i="147"/>
  <c r="N223" i="147" s="1"/>
  <c r="P224" i="147"/>
  <c r="J73" i="147"/>
  <c r="N73" i="147" s="1"/>
  <c r="P74" i="147"/>
  <c r="O22" i="135"/>
  <c r="I22" i="135" s="1"/>
  <c r="F50" i="70" s="1"/>
  <c r="V23" i="144"/>
  <c r="I20" i="135"/>
  <c r="M34" i="140"/>
  <c r="J31" i="134"/>
  <c r="F49" i="70"/>
  <c r="L42" i="134"/>
  <c r="L43" i="134" s="1"/>
  <c r="E106" i="2" s="1"/>
  <c r="C106" i="2" s="1"/>
  <c r="N147" i="147" l="1"/>
  <c r="P148" i="147"/>
  <c r="M148" i="147" s="1"/>
  <c r="J224" i="147"/>
  <c r="N224" i="147" s="1"/>
  <c r="J74" i="147"/>
  <c r="N74" i="147" s="1"/>
  <c r="P75" i="147"/>
  <c r="H23" i="144"/>
  <c r="J29" i="144" s="1"/>
  <c r="M29" i="144" s="1"/>
  <c r="V25" i="144"/>
  <c r="N35" i="140"/>
  <c r="E114" i="2" s="1"/>
  <c r="C114" i="2" s="1"/>
  <c r="M40" i="133"/>
  <c r="P38" i="133"/>
  <c r="R38" i="133" s="1"/>
  <c r="P37" i="133"/>
  <c r="R37" i="133" s="1"/>
  <c r="K37" i="133"/>
  <c r="P36" i="133"/>
  <c r="R36" i="133" s="1"/>
  <c r="K36" i="133"/>
  <c r="K35" i="133"/>
  <c r="P14" i="133"/>
  <c r="R14" i="133" s="1"/>
  <c r="K14" i="133"/>
  <c r="P13" i="133"/>
  <c r="R13" i="133" s="1"/>
  <c r="K13" i="133"/>
  <c r="P12" i="133"/>
  <c r="R12" i="133" s="1"/>
  <c r="K12" i="133"/>
  <c r="P11" i="133"/>
  <c r="R11" i="133" s="1"/>
  <c r="K11" i="133"/>
  <c r="P10" i="133"/>
  <c r="R10" i="133" s="1"/>
  <c r="K10" i="133"/>
  <c r="AA9" i="133"/>
  <c r="P9" i="133"/>
  <c r="R9" i="133" s="1"/>
  <c r="AC8" i="133"/>
  <c r="AB8" i="133"/>
  <c r="K38" i="92"/>
  <c r="N38" i="92" s="1"/>
  <c r="P60" i="92"/>
  <c r="O60" i="92"/>
  <c r="AB2" i="92"/>
  <c r="AB3" i="92" s="1"/>
  <c r="N148" i="147" l="1"/>
  <c r="P149" i="147"/>
  <c r="M149" i="147" s="1"/>
  <c r="J75" i="147"/>
  <c r="N75" i="147" s="1"/>
  <c r="P76" i="147"/>
  <c r="K38" i="133"/>
  <c r="E45" i="133"/>
  <c r="K45" i="133" s="1"/>
  <c r="H25" i="144"/>
  <c r="Z27" i="144" s="1"/>
  <c r="J27" i="144" s="1"/>
  <c r="M27" i="144" s="1"/>
  <c r="M40" i="144" s="1"/>
  <c r="N41" i="144" s="1"/>
  <c r="E117" i="2" s="1"/>
  <c r="C117" i="2" s="1"/>
  <c r="V31" i="144"/>
  <c r="Q11" i="133"/>
  <c r="Q13" i="133"/>
  <c r="Q37" i="133"/>
  <c r="M41" i="133"/>
  <c r="F39" i="133" s="1"/>
  <c r="K39" i="133" s="1"/>
  <c r="AB9" i="133"/>
  <c r="K9" i="133"/>
  <c r="Q9" i="133"/>
  <c r="Q10" i="133"/>
  <c r="Q12" i="133"/>
  <c r="Q14" i="133"/>
  <c r="Q36" i="133"/>
  <c r="Q38" i="133"/>
  <c r="N149" i="147" l="1"/>
  <c r="P150" i="147"/>
  <c r="M150" i="147" s="1"/>
  <c r="J76" i="147"/>
  <c r="N76" i="147" s="1"/>
  <c r="P29" i="144"/>
  <c r="R32" i="144"/>
  <c r="D39" i="133"/>
  <c r="F48" i="70" s="1"/>
  <c r="E39" i="133"/>
  <c r="E47" i="133"/>
  <c r="K47" i="133" s="1"/>
  <c r="E43" i="133"/>
  <c r="K43" i="133" s="1"/>
  <c r="N150" i="147" l="1"/>
  <c r="N246" i="147" s="1"/>
  <c r="N248" i="147" s="1"/>
  <c r="E119" i="2" s="1"/>
  <c r="C119" i="2" s="1"/>
  <c r="D41" i="133"/>
  <c r="G22" i="84" s="1"/>
  <c r="I22" i="84" s="1"/>
  <c r="K48" i="133"/>
  <c r="K49" i="133" s="1"/>
  <c r="E105" i="2" s="1"/>
  <c r="C105" i="2" s="1"/>
  <c r="S31" i="78"/>
  <c r="H31" i="78" s="1"/>
  <c r="K31" i="78" s="1"/>
  <c r="U31" i="78"/>
  <c r="V31" i="78"/>
  <c r="W31" i="78"/>
  <c r="L31" i="78"/>
  <c r="O22" i="84" l="1"/>
  <c r="N22" i="84" s="1"/>
  <c r="J77" i="132"/>
  <c r="O23" i="42" l="1"/>
  <c r="G21" i="84"/>
  <c r="I21" i="84" s="1"/>
  <c r="V23" i="42"/>
  <c r="I47" i="70"/>
  <c r="R15" i="132"/>
  <c r="S15" i="132" s="1"/>
  <c r="R16" i="132"/>
  <c r="S16" i="132" s="1"/>
  <c r="J43" i="132"/>
  <c r="Q13" i="132"/>
  <c r="R13" i="132" s="1"/>
  <c r="S13" i="132" s="1"/>
  <c r="Q14" i="132"/>
  <c r="R14" i="132" s="1"/>
  <c r="S14" i="132" s="1"/>
  <c r="Q15" i="132"/>
  <c r="Q16" i="132"/>
  <c r="Q20" i="132"/>
  <c r="P2" i="132"/>
  <c r="P3" i="132" s="1"/>
  <c r="P6" i="132" s="1"/>
  <c r="F47" i="70"/>
  <c r="I71" i="132"/>
  <c r="Q12" i="132"/>
  <c r="R12" i="132" s="1"/>
  <c r="S12" i="132" s="1"/>
  <c r="P34" i="132" l="1"/>
  <c r="X53" i="146"/>
  <c r="Z53" i="146" s="1"/>
  <c r="S12" i="136"/>
  <c r="U12" i="136" s="1"/>
  <c r="P61" i="132"/>
  <c r="O61" i="132"/>
  <c r="P68" i="132"/>
  <c r="J69" i="132" s="1"/>
  <c r="M69" i="132" s="1"/>
  <c r="X23" i="42"/>
  <c r="AB23" i="42"/>
  <c r="S16" i="77" s="1"/>
  <c r="Y23" i="42"/>
  <c r="T23" i="42"/>
  <c r="W23" i="42"/>
  <c r="U23" i="42"/>
  <c r="AA23" i="42"/>
  <c r="Q16" i="77" s="1"/>
  <c r="O21" i="84"/>
  <c r="J34" i="132" l="1"/>
  <c r="J36" i="132" s="1"/>
  <c r="J51" i="132" s="1"/>
  <c r="J55" i="132" s="1"/>
  <c r="J45" i="132"/>
  <c r="K68" i="132"/>
  <c r="P75" i="132" s="1"/>
  <c r="K75" i="132" s="1"/>
  <c r="L75" i="132" s="1"/>
  <c r="N21" i="84"/>
  <c r="L34" i="132" l="1"/>
  <c r="P57" i="132"/>
  <c r="J59" i="132"/>
  <c r="L68" i="132"/>
  <c r="I73" i="132"/>
  <c r="K45" i="132"/>
  <c r="M45" i="132" s="1"/>
  <c r="M91" i="132" s="1"/>
  <c r="G104" i="2" s="1"/>
  <c r="R3" i="130" l="1"/>
  <c r="R4" i="130" s="1"/>
  <c r="S15" i="130" s="1"/>
  <c r="I46" i="70"/>
  <c r="T32" i="130"/>
  <c r="T30" i="130"/>
  <c r="T28" i="130"/>
  <c r="I20" i="130"/>
  <c r="S6" i="130"/>
  <c r="E22" i="130" l="1"/>
  <c r="K15" i="130"/>
  <c r="P15" i="130" s="1"/>
  <c r="J8" i="130"/>
  <c r="P8" i="130" s="1"/>
  <c r="J37" i="130"/>
  <c r="P37" i="130" s="1"/>
  <c r="M15" i="130"/>
  <c r="Q15" i="130" s="1"/>
  <c r="T34" i="130"/>
  <c r="I22" i="130" s="1"/>
  <c r="O28" i="130"/>
  <c r="P28" i="130" s="1"/>
  <c r="J6" i="130"/>
  <c r="P6" i="130" s="1"/>
  <c r="R5" i="130"/>
  <c r="S13" i="130" s="1"/>
  <c r="R6" i="130"/>
  <c r="O32" i="130"/>
  <c r="P32" i="130" s="1"/>
  <c r="O30" i="130"/>
  <c r="P30" i="130" s="1"/>
  <c r="K13" i="130" l="1"/>
  <c r="J22" i="130"/>
  <c r="P22" i="130" s="1"/>
  <c r="F46" i="70"/>
  <c r="P13" i="130" l="1"/>
  <c r="P40" i="130" s="1"/>
  <c r="P44" i="130" s="1"/>
  <c r="E103" i="2" s="1"/>
  <c r="C103" i="2" s="1"/>
  <c r="M13" i="130"/>
  <c r="Q13" i="130" s="1"/>
  <c r="Q40" i="130" s="1"/>
  <c r="G103" i="2" s="1"/>
  <c r="Q74" i="116"/>
  <c r="U19" i="76" l="1"/>
  <c r="U20" i="76"/>
  <c r="U18" i="76"/>
  <c r="U46" i="76"/>
  <c r="U47" i="76"/>
  <c r="U45" i="76"/>
  <c r="J58" i="39" l="1"/>
  <c r="I66" i="39"/>
  <c r="G58" i="39"/>
  <c r="G59" i="39"/>
  <c r="G60" i="39"/>
  <c r="G61" i="39"/>
  <c r="G57" i="39"/>
  <c r="AI8" i="3"/>
  <c r="J60" i="39" l="1"/>
  <c r="J66" i="39"/>
  <c r="J59" i="39"/>
  <c r="L54" i="39"/>
  <c r="J61" i="39"/>
  <c r="J57" i="39"/>
  <c r="L52" i="39"/>
  <c r="L53" i="39" s="1"/>
  <c r="J63" i="39" s="1"/>
  <c r="B51" i="123"/>
  <c r="I72" i="13"/>
  <c r="F72" i="13"/>
  <c r="F73" i="13"/>
  <c r="F71" i="13"/>
  <c r="P72" i="13"/>
  <c r="P73" i="13"/>
  <c r="P71" i="13"/>
  <c r="I71" i="13" s="1"/>
  <c r="Q72" i="13"/>
  <c r="Q73" i="13"/>
  <c r="Q71" i="13"/>
  <c r="W15" i="76"/>
  <c r="O23" i="76"/>
  <c r="N23" i="76"/>
  <c r="M23" i="76"/>
  <c r="P9" i="76"/>
  <c r="S9" i="76"/>
  <c r="T9" i="76"/>
  <c r="Q9" i="76" s="1"/>
  <c r="R9" i="76" s="1"/>
  <c r="P10" i="76"/>
  <c r="S10" i="76"/>
  <c r="T10" i="76"/>
  <c r="Q10" i="76" s="1"/>
  <c r="R10" i="76" s="1"/>
  <c r="P11" i="76"/>
  <c r="S11" i="76"/>
  <c r="T11" i="76"/>
  <c r="Q11" i="76" s="1"/>
  <c r="R11" i="76" s="1"/>
  <c r="P12" i="76"/>
  <c r="S12" i="76"/>
  <c r="T12" i="76"/>
  <c r="Q12" i="76" s="1"/>
  <c r="R12" i="76" s="1"/>
  <c r="P13" i="76"/>
  <c r="S13" i="76"/>
  <c r="T13" i="76"/>
  <c r="Q13" i="76" s="1"/>
  <c r="R13" i="76" s="1"/>
  <c r="P14" i="76"/>
  <c r="S14" i="76"/>
  <c r="T14" i="76"/>
  <c r="Q14" i="76" s="1"/>
  <c r="R14" i="76" s="1"/>
  <c r="S15" i="76"/>
  <c r="T15" i="76"/>
  <c r="P20" i="76"/>
  <c r="S20" i="76"/>
  <c r="T20" i="76"/>
  <c r="S27" i="129"/>
  <c r="R27" i="129"/>
  <c r="S39" i="128"/>
  <c r="T39" i="128"/>
  <c r="S35" i="127"/>
  <c r="R35" i="127"/>
  <c r="V6" i="119"/>
  <c r="V4" i="119"/>
  <c r="N14" i="119"/>
  <c r="U48" i="76" l="1"/>
  <c r="L57" i="39"/>
  <c r="N72" i="13"/>
  <c r="N71" i="13"/>
  <c r="O71" i="13"/>
  <c r="O72" i="13"/>
  <c r="I73" i="13"/>
  <c r="W22" i="42"/>
  <c r="V22" i="42"/>
  <c r="W21" i="42"/>
  <c r="V21" i="42"/>
  <c r="W20" i="42"/>
  <c r="V20" i="42"/>
  <c r="O22" i="42"/>
  <c r="O21" i="42"/>
  <c r="O20" i="42"/>
  <c r="L22" i="42"/>
  <c r="K22" i="42"/>
  <c r="X22" i="42" s="1"/>
  <c r="L21" i="42"/>
  <c r="T21" i="42" s="1"/>
  <c r="K21" i="42"/>
  <c r="L20" i="42"/>
  <c r="T20" i="42" s="1"/>
  <c r="K20" i="42"/>
  <c r="O21" i="129"/>
  <c r="O24" i="129"/>
  <c r="O22" i="129"/>
  <c r="H14" i="129"/>
  <c r="N4" i="129"/>
  <c r="M3" i="129" s="1"/>
  <c r="N30" i="129"/>
  <c r="N9" i="129"/>
  <c r="Q22" i="129" s="1"/>
  <c r="O6" i="129"/>
  <c r="N73" i="13" l="1"/>
  <c r="O73" i="13"/>
  <c r="O74" i="13" s="1"/>
  <c r="H18" i="129"/>
  <c r="L18" i="129" s="1"/>
  <c r="H15" i="129"/>
  <c r="L15" i="129" s="1"/>
  <c r="H17" i="129"/>
  <c r="L17" i="129" s="1"/>
  <c r="N31" i="129"/>
  <c r="H22" i="129" s="1"/>
  <c r="U21" i="42"/>
  <c r="U20" i="42"/>
  <c r="Y20" i="42"/>
  <c r="X20" i="42"/>
  <c r="Y21" i="42"/>
  <c r="X21" i="42"/>
  <c r="U22" i="42"/>
  <c r="T22" i="42"/>
  <c r="Y22" i="42"/>
  <c r="C28" i="129"/>
  <c r="H16" i="129"/>
  <c r="L16" i="129" s="1"/>
  <c r="H11" i="129"/>
  <c r="L11" i="129" s="1"/>
  <c r="H12" i="129"/>
  <c r="L12" i="129" s="1"/>
  <c r="L13" i="129"/>
  <c r="L14" i="129"/>
  <c r="H32" i="129" l="1"/>
  <c r="L32" i="129" s="1"/>
  <c r="H27" i="129"/>
  <c r="L27" i="129" s="1"/>
  <c r="H30" i="129"/>
  <c r="L30" i="129" s="1"/>
  <c r="L34" i="129"/>
  <c r="L36" i="129" s="1"/>
  <c r="E102" i="2" s="1"/>
  <c r="C102" i="2" s="1"/>
  <c r="P11" i="128" l="1"/>
  <c r="J21" i="128" s="1"/>
  <c r="I20" i="128"/>
  <c r="I25" i="128" s="1"/>
  <c r="N31" i="128"/>
  <c r="U19" i="128"/>
  <c r="T18" i="128" s="1"/>
  <c r="N24" i="128"/>
  <c r="N23" i="128"/>
  <c r="N22" i="128"/>
  <c r="N21" i="128"/>
  <c r="N20" i="128"/>
  <c r="N13" i="128"/>
  <c r="N11" i="128"/>
  <c r="P43" i="128"/>
  <c r="N43" i="128"/>
  <c r="P41" i="128"/>
  <c r="N41" i="128"/>
  <c r="F40" i="128"/>
  <c r="N39" i="128"/>
  <c r="R35" i="128"/>
  <c r="N35" i="128"/>
  <c r="N32" i="128"/>
  <c r="K25" i="128"/>
  <c r="N18" i="128"/>
  <c r="N15" i="128"/>
  <c r="X11" i="128"/>
  <c r="R6" i="128"/>
  <c r="R32" i="128" s="1"/>
  <c r="T32" i="128" s="1"/>
  <c r="Q30" i="127"/>
  <c r="O11" i="127"/>
  <c r="G18" i="127" s="1"/>
  <c r="F19" i="127"/>
  <c r="M39" i="127"/>
  <c r="M37" i="127"/>
  <c r="M35" i="127"/>
  <c r="G17" i="127" l="1"/>
  <c r="J20" i="128"/>
  <c r="J23" i="128"/>
  <c r="J22" i="128"/>
  <c r="J24" i="128"/>
  <c r="R31" i="128"/>
  <c r="T31" i="128" s="1"/>
  <c r="N25" i="128"/>
  <c r="N44" i="128" s="1"/>
  <c r="I26" i="128"/>
  <c r="I27" i="128" s="1"/>
  <c r="I30" i="128" s="1"/>
  <c r="R30" i="128" s="1"/>
  <c r="T30" i="128" s="1"/>
  <c r="J13" i="128"/>
  <c r="F36" i="127"/>
  <c r="T34" i="128" l="1"/>
  <c r="D37" i="128" s="1"/>
  <c r="M37" i="128" s="1"/>
  <c r="J32" i="128"/>
  <c r="M32" i="128" s="1"/>
  <c r="J31" i="128"/>
  <c r="M31" i="128" s="1"/>
  <c r="R34" i="128"/>
  <c r="J35" i="128" s="1"/>
  <c r="M35" i="128" s="1"/>
  <c r="J25" i="128"/>
  <c r="T25" i="128" s="1"/>
  <c r="M22" i="128"/>
  <c r="G13" i="128"/>
  <c r="M13" i="128" s="1"/>
  <c r="I41" i="128"/>
  <c r="M41" i="128" s="1"/>
  <c r="M23" i="128"/>
  <c r="G11" i="128"/>
  <c r="M11" i="128" s="1"/>
  <c r="I43" i="128"/>
  <c r="M43" i="128" s="1"/>
  <c r="J39" i="128"/>
  <c r="M39" i="128" s="1"/>
  <c r="J15" i="128"/>
  <c r="M15" i="128" s="1"/>
  <c r="M24" i="128"/>
  <c r="M20" i="128"/>
  <c r="M21" i="128"/>
  <c r="F20" i="127"/>
  <c r="M18" i="127"/>
  <c r="M17" i="127"/>
  <c r="W11" i="127"/>
  <c r="M25" i="128" l="1"/>
  <c r="R36" i="128"/>
  <c r="I36" i="128" s="1"/>
  <c r="I34" i="128"/>
  <c r="M18" i="128"/>
  <c r="F24" i="127"/>
  <c r="Q24" i="127" s="1"/>
  <c r="H35" i="127"/>
  <c r="H39" i="127"/>
  <c r="T16" i="127"/>
  <c r="S15" i="127" s="1"/>
  <c r="J18" i="127"/>
  <c r="J17" i="127"/>
  <c r="M45" i="128" l="1"/>
  <c r="M48" i="128" s="1"/>
  <c r="E100" i="2" s="1"/>
  <c r="C100" i="2" s="1"/>
  <c r="L18" i="127"/>
  <c r="M11" i="127"/>
  <c r="M13" i="127"/>
  <c r="O39" i="127" l="1"/>
  <c r="O37" i="127"/>
  <c r="H37" i="127" s="1"/>
  <c r="L35" i="127"/>
  <c r="M30" i="127"/>
  <c r="M26" i="127"/>
  <c r="S18" i="127"/>
  <c r="M16" i="127"/>
  <c r="M15" i="127"/>
  <c r="Q6" i="127"/>
  <c r="M40" i="127" l="1"/>
  <c r="G26" i="127"/>
  <c r="L26" i="127" s="1"/>
  <c r="Q26" i="127"/>
  <c r="Q28" i="127" s="1"/>
  <c r="F28" i="127" l="1"/>
  <c r="F32" i="127" s="1"/>
  <c r="G30" i="127"/>
  <c r="L30" i="127" s="1"/>
  <c r="BC2" i="116"/>
  <c r="AH1" i="116"/>
  <c r="Q22" i="116"/>
  <c r="AM89" i="69"/>
  <c r="AL89" i="69" s="1"/>
  <c r="AM88" i="69"/>
  <c r="AL88" i="69" s="1"/>
  <c r="U87" i="69"/>
  <c r="V87" i="69"/>
  <c r="U88" i="69"/>
  <c r="V88" i="69"/>
  <c r="U89" i="69"/>
  <c r="V89" i="69"/>
  <c r="AG87" i="69"/>
  <c r="AG89" i="69"/>
  <c r="AA88" i="69"/>
  <c r="AB88" i="69" s="1"/>
  <c r="AA89" i="69"/>
  <c r="AB89" i="69" s="1"/>
  <c r="I235" i="116" l="1"/>
  <c r="P235" i="116" s="1"/>
  <c r="I151" i="116"/>
  <c r="P151" i="116" s="1"/>
  <c r="I234" i="116"/>
  <c r="P234" i="116" s="1"/>
  <c r="I150" i="116"/>
  <c r="P150" i="116" s="1"/>
  <c r="Y89" i="69"/>
  <c r="Y88" i="69"/>
  <c r="AG88" i="69" s="1"/>
  <c r="AK88" i="69"/>
  <c r="AJ88" i="69" s="1"/>
  <c r="N88" i="69" s="1"/>
  <c r="AK89" i="69"/>
  <c r="AJ89" i="69" s="1"/>
  <c r="N89" i="69" s="1"/>
  <c r="T89" i="69"/>
  <c r="T88" i="69" l="1"/>
  <c r="Q86" i="69"/>
  <c r="Q87" i="69"/>
  <c r="Q85" i="69"/>
  <c r="E88" i="69"/>
  <c r="E89" i="69"/>
  <c r="T6" i="102"/>
  <c r="T4" i="102"/>
  <c r="T3" i="102"/>
  <c r="M74" i="102"/>
  <c r="I74" i="102" s="1"/>
  <c r="K74" i="102" s="1"/>
  <c r="L74" i="102"/>
  <c r="O74" i="102" s="1"/>
  <c r="M73" i="102"/>
  <c r="I73" i="102" s="1"/>
  <c r="K73" i="102" s="1"/>
  <c r="L73" i="102"/>
  <c r="O73" i="102" s="1"/>
  <c r="M72" i="102"/>
  <c r="I72" i="102" s="1"/>
  <c r="K72" i="102" s="1"/>
  <c r="L72" i="102"/>
  <c r="O72" i="102" s="1"/>
  <c r="M71" i="102"/>
  <c r="I71" i="102" s="1"/>
  <c r="K71" i="102" s="1"/>
  <c r="L71" i="102"/>
  <c r="O71" i="102" s="1"/>
  <c r="M70" i="102"/>
  <c r="I70" i="102" s="1"/>
  <c r="K70" i="102" s="1"/>
  <c r="L70" i="102"/>
  <c r="O70" i="102" s="1"/>
  <c r="M69" i="102"/>
  <c r="I69" i="102" s="1"/>
  <c r="K69" i="102" s="1"/>
  <c r="L69" i="102"/>
  <c r="O69" i="102" s="1"/>
  <c r="M68" i="102"/>
  <c r="I68" i="102" s="1"/>
  <c r="K68" i="102" s="1"/>
  <c r="L68" i="102"/>
  <c r="O68" i="102" s="1"/>
  <c r="M67" i="102"/>
  <c r="I67" i="102" s="1"/>
  <c r="K67" i="102" s="1"/>
  <c r="L67" i="102"/>
  <c r="O67" i="102" s="1"/>
  <c r="M66" i="102"/>
  <c r="I66" i="102" s="1"/>
  <c r="K66" i="102" s="1"/>
  <c r="L66" i="102"/>
  <c r="O66" i="102" s="1"/>
  <c r="M65" i="102"/>
  <c r="L65" i="102"/>
  <c r="O65" i="102" s="1"/>
  <c r="L12" i="102"/>
  <c r="O12" i="102" s="1"/>
  <c r="M12" i="102"/>
  <c r="I12" i="102" s="1"/>
  <c r="K12" i="102" s="1"/>
  <c r="L13" i="102"/>
  <c r="O13" i="102" s="1"/>
  <c r="M13" i="102"/>
  <c r="I13" i="102" s="1"/>
  <c r="K13" i="102" s="1"/>
  <c r="L14" i="102"/>
  <c r="O14" i="102" s="1"/>
  <c r="M14" i="102"/>
  <c r="I14" i="102" s="1"/>
  <c r="K14" i="102" s="1"/>
  <c r="L15" i="102"/>
  <c r="O15" i="102" s="1"/>
  <c r="M15" i="102"/>
  <c r="I15" i="102" s="1"/>
  <c r="K15" i="102" s="1"/>
  <c r="L16" i="102"/>
  <c r="O16" i="102" s="1"/>
  <c r="M16" i="102"/>
  <c r="I16" i="102" s="1"/>
  <c r="K16" i="102" s="1"/>
  <c r="L17" i="102"/>
  <c r="O17" i="102" s="1"/>
  <c r="M17" i="102"/>
  <c r="I17" i="102" s="1"/>
  <c r="K17" i="102" s="1"/>
  <c r="L18" i="102"/>
  <c r="O18" i="102" s="1"/>
  <c r="M18" i="102"/>
  <c r="I18" i="102" s="1"/>
  <c r="K18" i="102" s="1"/>
  <c r="L19" i="102"/>
  <c r="O19" i="102" s="1"/>
  <c r="M19" i="102"/>
  <c r="I19" i="102" s="1"/>
  <c r="K19" i="102" s="1"/>
  <c r="L20" i="102"/>
  <c r="O20" i="102" s="1"/>
  <c r="M20" i="102"/>
  <c r="I20" i="102" s="1"/>
  <c r="K20" i="102" s="1"/>
  <c r="L21" i="102"/>
  <c r="O21" i="102" s="1"/>
  <c r="M21" i="102"/>
  <c r="I21" i="102" s="1"/>
  <c r="K21" i="102" s="1"/>
  <c r="L11" i="102"/>
  <c r="O11" i="102" s="1"/>
  <c r="M11" i="102"/>
  <c r="Q20" i="113"/>
  <c r="R20" i="113" s="1"/>
  <c r="Q19" i="113"/>
  <c r="R19" i="113" s="1"/>
  <c r="Q18" i="113"/>
  <c r="R18" i="113" s="1"/>
  <c r="Q17" i="113"/>
  <c r="R17" i="113" s="1"/>
  <c r="Q16" i="113"/>
  <c r="R16" i="113" s="1"/>
  <c r="Q15" i="113"/>
  <c r="R15" i="113" s="1"/>
  <c r="Q14" i="113"/>
  <c r="R14" i="113" s="1"/>
  <c r="Q13" i="113"/>
  <c r="R13" i="113" s="1"/>
  <c r="Q12" i="113"/>
  <c r="R12" i="113" s="1"/>
  <c r="N11" i="113"/>
  <c r="Q11" i="113"/>
  <c r="R11" i="113" s="1"/>
  <c r="U11" i="113" s="1"/>
  <c r="H11" i="113" s="1"/>
  <c r="N12" i="113"/>
  <c r="N13" i="113"/>
  <c r="N14" i="113"/>
  <c r="N15" i="113"/>
  <c r="N16" i="113"/>
  <c r="N17" i="113"/>
  <c r="N18" i="113"/>
  <c r="N19" i="113"/>
  <c r="N20" i="113"/>
  <c r="N61" i="113"/>
  <c r="N62" i="113"/>
  <c r="N63" i="113"/>
  <c r="N64" i="113"/>
  <c r="N65" i="113"/>
  <c r="N66" i="113"/>
  <c r="N67" i="113"/>
  <c r="N68" i="113"/>
  <c r="N69" i="113"/>
  <c r="N70" i="113"/>
  <c r="N71" i="113"/>
  <c r="N73" i="113"/>
  <c r="N74" i="113"/>
  <c r="AB15" i="87"/>
  <c r="AD15" i="87" s="1"/>
  <c r="AA15" i="87"/>
  <c r="AC15" i="87" s="1"/>
  <c r="X30" i="87"/>
  <c r="C30" i="87" s="1"/>
  <c r="N29" i="87"/>
  <c r="P28" i="87"/>
  <c r="P27" i="87"/>
  <c r="P26" i="87"/>
  <c r="P25" i="87"/>
  <c r="P24" i="87"/>
  <c r="P23" i="87"/>
  <c r="P22" i="87"/>
  <c r="P21" i="87"/>
  <c r="P20" i="87"/>
  <c r="P19" i="87"/>
  <c r="P18" i="87"/>
  <c r="P17" i="87"/>
  <c r="P16" i="87"/>
  <c r="P15" i="87"/>
  <c r="O14" i="87"/>
  <c r="O15" i="87" s="1"/>
  <c r="O16" i="87" s="1"/>
  <c r="P5" i="87"/>
  <c r="G31" i="87" s="1"/>
  <c r="M61" i="102" l="1"/>
  <c r="I10" i="102" s="1"/>
  <c r="U19" i="113"/>
  <c r="H19" i="113" s="1"/>
  <c r="U16" i="113"/>
  <c r="H16" i="113" s="1"/>
  <c r="U20" i="113"/>
  <c r="H20" i="113" s="1"/>
  <c r="U64" i="113"/>
  <c r="H64" i="113" s="1"/>
  <c r="U68" i="113"/>
  <c r="H68" i="113" s="1"/>
  <c r="U67" i="113"/>
  <c r="H67" i="113" s="1"/>
  <c r="U85" i="69"/>
  <c r="V85" i="69"/>
  <c r="V86" i="69"/>
  <c r="U86" i="69"/>
  <c r="U71" i="113"/>
  <c r="H71" i="113" s="1"/>
  <c r="U63" i="113"/>
  <c r="H63" i="113" s="1"/>
  <c r="U15" i="113"/>
  <c r="H15" i="113" s="1"/>
  <c r="M118" i="102"/>
  <c r="M11" i="113"/>
  <c r="S11" i="113" s="1"/>
  <c r="U74" i="113"/>
  <c r="H74" i="113" s="1"/>
  <c r="U69" i="113"/>
  <c r="H69" i="113" s="1"/>
  <c r="U66" i="113"/>
  <c r="H66" i="113" s="1"/>
  <c r="U61" i="113"/>
  <c r="H61" i="113" s="1"/>
  <c r="U18" i="113"/>
  <c r="H18" i="113" s="1"/>
  <c r="U13" i="113"/>
  <c r="H13" i="113" s="1"/>
  <c r="U73" i="113"/>
  <c r="H73" i="113" s="1"/>
  <c r="U70" i="113"/>
  <c r="H70" i="113" s="1"/>
  <c r="U65" i="113"/>
  <c r="H65" i="113" s="1"/>
  <c r="U62" i="113"/>
  <c r="H62" i="113" s="1"/>
  <c r="U17" i="113"/>
  <c r="H17" i="113" s="1"/>
  <c r="U14" i="113"/>
  <c r="H14" i="113" s="1"/>
  <c r="U12" i="113"/>
  <c r="H12" i="113" s="1"/>
  <c r="U72" i="113"/>
  <c r="H72" i="113" s="1"/>
  <c r="N72" i="113"/>
  <c r="G11" i="87"/>
  <c r="G9" i="87"/>
  <c r="M9" i="87" s="1"/>
  <c r="O17" i="87"/>
  <c r="J16" i="87"/>
  <c r="J15" i="87"/>
  <c r="M123" i="102" l="1"/>
  <c r="M62" i="113"/>
  <c r="S62" i="113" s="1"/>
  <c r="M69" i="113"/>
  <c r="S69" i="113" s="1"/>
  <c r="M65" i="113"/>
  <c r="S65" i="113" s="1"/>
  <c r="M18" i="113"/>
  <c r="S18" i="113" s="1"/>
  <c r="M74" i="113"/>
  <c r="S74" i="113" s="1"/>
  <c r="M63" i="113"/>
  <c r="S63" i="113" s="1"/>
  <c r="M64" i="113"/>
  <c r="S64" i="113" s="1"/>
  <c r="M72" i="113"/>
  <c r="S72" i="113" s="1"/>
  <c r="M14" i="113"/>
  <c r="S14" i="113" s="1"/>
  <c r="M71" i="113"/>
  <c r="S71" i="113" s="1"/>
  <c r="M20" i="113"/>
  <c r="S20" i="113" s="1"/>
  <c r="M13" i="113"/>
  <c r="S13" i="113" s="1"/>
  <c r="M70" i="113"/>
  <c r="S70" i="113" s="1"/>
  <c r="M61" i="113"/>
  <c r="S61" i="113" s="1"/>
  <c r="M17" i="113"/>
  <c r="S17" i="113" s="1"/>
  <c r="M73" i="113"/>
  <c r="S73" i="113" s="1"/>
  <c r="M66" i="113"/>
  <c r="S66" i="113" s="1"/>
  <c r="M67" i="113"/>
  <c r="S67" i="113" s="1"/>
  <c r="M16" i="113"/>
  <c r="S16" i="113" s="1"/>
  <c r="M68" i="113"/>
  <c r="S68" i="113" s="1"/>
  <c r="M19" i="113"/>
  <c r="S19" i="113" s="1"/>
  <c r="M12" i="113"/>
  <c r="S12" i="113" s="1"/>
  <c r="M15" i="113"/>
  <c r="S15" i="113" s="1"/>
  <c r="I30" i="87"/>
  <c r="T11" i="87"/>
  <c r="M11" i="87"/>
  <c r="N30" i="87"/>
  <c r="J29" i="87" s="1"/>
  <c r="J17" i="87"/>
  <c r="O18" i="87"/>
  <c r="T15" i="87"/>
  <c r="M15" i="87"/>
  <c r="M16" i="87"/>
  <c r="T16" i="87"/>
  <c r="M29" i="87" l="1"/>
  <c r="T29" i="87"/>
  <c r="O19" i="87"/>
  <c r="J18" i="87"/>
  <c r="T17" i="87"/>
  <c r="M17" i="87"/>
  <c r="T18" i="87" l="1"/>
  <c r="M18" i="87"/>
  <c r="O20" i="87"/>
  <c r="J19" i="87"/>
  <c r="T19" i="87" l="1"/>
  <c r="M19" i="87"/>
  <c r="O21" i="87"/>
  <c r="J20" i="87"/>
  <c r="M20" i="87" l="1"/>
  <c r="T20" i="87"/>
  <c r="J21" i="87"/>
  <c r="O22" i="87"/>
  <c r="T21" i="87" l="1"/>
  <c r="M21" i="87"/>
  <c r="O23" i="87"/>
  <c r="J22" i="87"/>
  <c r="O24" i="87" l="1"/>
  <c r="J23" i="87"/>
  <c r="T22" i="87"/>
  <c r="M22" i="87"/>
  <c r="O25" i="87" l="1"/>
  <c r="J24" i="87"/>
  <c r="T23" i="87"/>
  <c r="M23" i="87"/>
  <c r="J25" i="87" l="1"/>
  <c r="O26" i="87"/>
  <c r="M24" i="87"/>
  <c r="T24" i="87"/>
  <c r="T25" i="87" l="1"/>
  <c r="M25" i="87"/>
  <c r="O27" i="87"/>
  <c r="J26" i="87"/>
  <c r="O28" i="87" l="1"/>
  <c r="J28" i="87" s="1"/>
  <c r="J27" i="87"/>
  <c r="T26" i="87"/>
  <c r="M26" i="87"/>
  <c r="T27" i="87" l="1"/>
  <c r="M27" i="87"/>
  <c r="M28" i="87"/>
  <c r="T28" i="87"/>
  <c r="M31" i="87" l="1"/>
  <c r="M33" i="87" s="1"/>
  <c r="T31" i="87"/>
  <c r="P5" i="90" l="1"/>
  <c r="G31" i="90" s="1"/>
  <c r="I28" i="90"/>
  <c r="N29" i="90"/>
  <c r="N32" i="90" l="1"/>
  <c r="J29" i="90" s="1"/>
  <c r="G9" i="90"/>
  <c r="O24" i="42"/>
  <c r="O48" i="42"/>
  <c r="O49" i="42"/>
  <c r="V4" i="42"/>
  <c r="W4" i="42"/>
  <c r="V5" i="42"/>
  <c r="W5" i="42"/>
  <c r="X6" i="42"/>
  <c r="Y6" i="42"/>
  <c r="V7" i="42"/>
  <c r="W7" i="42"/>
  <c r="T9" i="42"/>
  <c r="U9" i="42"/>
  <c r="V9" i="42"/>
  <c r="W9" i="42"/>
  <c r="X9" i="42"/>
  <c r="Y9" i="42"/>
  <c r="T10" i="42"/>
  <c r="U10" i="42"/>
  <c r="V10" i="42"/>
  <c r="W10" i="42"/>
  <c r="X10" i="42"/>
  <c r="Y10" i="42"/>
  <c r="T11" i="42"/>
  <c r="U11" i="42"/>
  <c r="V11" i="42"/>
  <c r="W11" i="42"/>
  <c r="X11" i="42"/>
  <c r="Y11" i="42"/>
  <c r="T12" i="42"/>
  <c r="U12" i="42"/>
  <c r="V12" i="42"/>
  <c r="W12" i="42"/>
  <c r="X12" i="42"/>
  <c r="Y12" i="42"/>
  <c r="V13" i="42"/>
  <c r="W13" i="42"/>
  <c r="V14" i="42"/>
  <c r="W14" i="42"/>
  <c r="V15" i="42"/>
  <c r="W15" i="42"/>
  <c r="V16" i="42"/>
  <c r="W16" i="42"/>
  <c r="V18" i="42"/>
  <c r="W18" i="42"/>
  <c r="V19" i="42"/>
  <c r="W19" i="42"/>
  <c r="V24" i="42"/>
  <c r="W24" i="42"/>
  <c r="V48" i="42"/>
  <c r="W48" i="42"/>
  <c r="R41" i="92" l="1"/>
  <c r="AH42" i="92"/>
  <c r="AH43" i="92"/>
  <c r="AH44" i="92"/>
  <c r="AH45" i="92"/>
  <c r="AH46" i="92"/>
  <c r="AH47" i="92"/>
  <c r="AH48" i="92"/>
  <c r="AH49" i="92"/>
  <c r="AH50" i="92"/>
  <c r="AH41" i="92"/>
  <c r="I42" i="92"/>
  <c r="V42" i="92" s="1"/>
  <c r="I43" i="92"/>
  <c r="I44" i="92"/>
  <c r="V44" i="92" s="1"/>
  <c r="I45" i="92"/>
  <c r="V45" i="92" s="1"/>
  <c r="I46" i="92"/>
  <c r="V46" i="92" s="1"/>
  <c r="I47" i="92"/>
  <c r="V47" i="92" s="1"/>
  <c r="I48" i="92"/>
  <c r="V48" i="92" s="1"/>
  <c r="I49" i="92"/>
  <c r="V49" i="92" s="1"/>
  <c r="I50" i="92"/>
  <c r="V50" i="92" s="1"/>
  <c r="W50" i="92"/>
  <c r="W49" i="92"/>
  <c r="W48" i="92"/>
  <c r="W47" i="92"/>
  <c r="W46" i="92"/>
  <c r="W45" i="92"/>
  <c r="W44" i="92"/>
  <c r="W43" i="92"/>
  <c r="V43" i="92"/>
  <c r="W42" i="92"/>
  <c r="W41" i="92"/>
  <c r="P28" i="92"/>
  <c r="S50" i="92"/>
  <c r="R50" i="92"/>
  <c r="Q50" i="92"/>
  <c r="P50" i="92"/>
  <c r="O50" i="92"/>
  <c r="S49" i="92"/>
  <c r="R49" i="92"/>
  <c r="Q49" i="92"/>
  <c r="P49" i="92"/>
  <c r="O49" i="92"/>
  <c r="S48" i="92"/>
  <c r="R48" i="92"/>
  <c r="Q48" i="92"/>
  <c r="P48" i="92"/>
  <c r="O48" i="92"/>
  <c r="S47" i="92"/>
  <c r="R47" i="92"/>
  <c r="Q47" i="92"/>
  <c r="P47" i="92"/>
  <c r="O47" i="92"/>
  <c r="S46" i="92"/>
  <c r="R46" i="92"/>
  <c r="Q46" i="92"/>
  <c r="P46" i="92"/>
  <c r="O46" i="92"/>
  <c r="S45" i="92"/>
  <c r="R45" i="92"/>
  <c r="Q45" i="92"/>
  <c r="P45" i="92"/>
  <c r="O45" i="92"/>
  <c r="S44" i="92"/>
  <c r="R44" i="92"/>
  <c r="Q44" i="92"/>
  <c r="P44" i="92"/>
  <c r="O44" i="92"/>
  <c r="S43" i="92"/>
  <c r="R43" i="92"/>
  <c r="Q43" i="92"/>
  <c r="P43" i="92"/>
  <c r="O43" i="92"/>
  <c r="S42" i="92"/>
  <c r="R42" i="92"/>
  <c r="Q42" i="92"/>
  <c r="P42" i="92"/>
  <c r="O42" i="92"/>
  <c r="AB41" i="92"/>
  <c r="AA41" i="92" s="1"/>
  <c r="S41" i="92"/>
  <c r="Q41" i="92"/>
  <c r="P41" i="92"/>
  <c r="O41" i="92"/>
  <c r="T40" i="92"/>
  <c r="T41" i="92" s="1"/>
  <c r="T42" i="92" s="1"/>
  <c r="T43" i="92" s="1"/>
  <c r="T44" i="92" s="1"/>
  <c r="T45" i="92" s="1"/>
  <c r="T46" i="92" s="1"/>
  <c r="T47" i="92" s="1"/>
  <c r="T48" i="92" s="1"/>
  <c r="T49" i="92" s="1"/>
  <c r="T50" i="92" s="1"/>
  <c r="B50" i="92" s="1"/>
  <c r="P35" i="92"/>
  <c r="AB15" i="92"/>
  <c r="Z35" i="92"/>
  <c r="I41" i="92"/>
  <c r="V41" i="92" s="1"/>
  <c r="L38" i="13"/>
  <c r="X3" i="13"/>
  <c r="N61" i="126"/>
  <c r="Q61" i="126" s="1"/>
  <c r="O61" i="126"/>
  <c r="O77" i="126"/>
  <c r="O78" i="126"/>
  <c r="O79" i="126"/>
  <c r="O76" i="126"/>
  <c r="O56" i="126"/>
  <c r="O57" i="126"/>
  <c r="O58" i="126"/>
  <c r="O59" i="126"/>
  <c r="O63" i="126"/>
  <c r="O64" i="126"/>
  <c r="O65" i="126"/>
  <c r="O66" i="126"/>
  <c r="O67" i="126"/>
  <c r="O68" i="126"/>
  <c r="O69" i="126"/>
  <c r="O70" i="126"/>
  <c r="O71" i="126"/>
  <c r="O72" i="126"/>
  <c r="O55" i="126"/>
  <c r="N60" i="126"/>
  <c r="N63" i="126"/>
  <c r="R63" i="126" s="1"/>
  <c r="N64" i="126"/>
  <c r="N65" i="126"/>
  <c r="N66" i="126"/>
  <c r="R66" i="126" s="1"/>
  <c r="N67" i="126"/>
  <c r="R67" i="126" s="1"/>
  <c r="N68" i="126"/>
  <c r="Q68" i="126" s="1"/>
  <c r="N69" i="126"/>
  <c r="S69" i="126" s="1"/>
  <c r="N70" i="126"/>
  <c r="R70" i="126" s="1"/>
  <c r="N71" i="126"/>
  <c r="R71" i="126" s="1"/>
  <c r="N72" i="126"/>
  <c r="Q72" i="126" s="1"/>
  <c r="N56" i="126"/>
  <c r="R56" i="126" s="1"/>
  <c r="N57" i="126"/>
  <c r="R57" i="126" s="1"/>
  <c r="N58" i="126"/>
  <c r="N59" i="126"/>
  <c r="N55" i="126"/>
  <c r="S55" i="126" s="1"/>
  <c r="N51" i="126"/>
  <c r="R51" i="126" s="1"/>
  <c r="O51" i="126"/>
  <c r="N52" i="126"/>
  <c r="O52" i="126"/>
  <c r="N53" i="126"/>
  <c r="R53" i="126" s="1"/>
  <c r="O53" i="126"/>
  <c r="O50" i="126"/>
  <c r="N50" i="126"/>
  <c r="R50" i="126" s="1"/>
  <c r="N47" i="126"/>
  <c r="O47" i="126"/>
  <c r="N48" i="126"/>
  <c r="R48" i="126" s="1"/>
  <c r="O48" i="126"/>
  <c r="O46" i="126"/>
  <c r="N46" i="126"/>
  <c r="O43" i="126"/>
  <c r="O44" i="126"/>
  <c r="N43" i="126"/>
  <c r="R43" i="126" s="1"/>
  <c r="N44" i="126"/>
  <c r="N42" i="126"/>
  <c r="F13" i="126"/>
  <c r="E13" i="126"/>
  <c r="D13" i="126"/>
  <c r="B1" i="126"/>
  <c r="R46" i="126" l="1"/>
  <c r="K60" i="92"/>
  <c r="N60" i="92" s="1"/>
  <c r="X54" i="92"/>
  <c r="X53" i="92"/>
  <c r="K50" i="92"/>
  <c r="N50" i="92" s="1"/>
  <c r="K41" i="92"/>
  <c r="N41" i="92" s="1"/>
  <c r="K54" i="92"/>
  <c r="N54" i="92" s="1"/>
  <c r="AA15" i="92"/>
  <c r="K11" i="92"/>
  <c r="S65" i="126"/>
  <c r="S59" i="126"/>
  <c r="Q64" i="126"/>
  <c r="X49" i="92"/>
  <c r="J49" i="92" s="1"/>
  <c r="AD2" i="92"/>
  <c r="X42" i="92"/>
  <c r="J42" i="92" s="1"/>
  <c r="X44" i="92"/>
  <c r="J44" i="92" s="1"/>
  <c r="X43" i="92"/>
  <c r="J43" i="92" s="1"/>
  <c r="X46" i="92"/>
  <c r="J46" i="92" s="1"/>
  <c r="X48" i="92"/>
  <c r="J48" i="92" s="1"/>
  <c r="X50" i="92"/>
  <c r="J50" i="92" s="1"/>
  <c r="X41" i="92"/>
  <c r="J41" i="92" s="1"/>
  <c r="X45" i="92"/>
  <c r="J45" i="92" s="1"/>
  <c r="X47" i="92"/>
  <c r="J47" i="92" s="1"/>
  <c r="AC3" i="92"/>
  <c r="B42" i="92"/>
  <c r="K42" i="92" s="1"/>
  <c r="B46" i="92"/>
  <c r="K46" i="92" s="1"/>
  <c r="B45" i="92"/>
  <c r="K45" i="92" s="1"/>
  <c r="B49" i="92"/>
  <c r="K49" i="92" s="1"/>
  <c r="B44" i="92"/>
  <c r="K44" i="92" s="1"/>
  <c r="B48" i="92"/>
  <c r="K48" i="92" s="1"/>
  <c r="B43" i="92"/>
  <c r="K43" i="92" s="1"/>
  <c r="B47" i="92"/>
  <c r="K47" i="92" s="1"/>
  <c r="F31" i="92"/>
  <c r="N31" i="92" s="1"/>
  <c r="Q44" i="126"/>
  <c r="Q47" i="126"/>
  <c r="Q52" i="126"/>
  <c r="S58" i="126"/>
  <c r="R44" i="126"/>
  <c r="R47" i="126"/>
  <c r="R52" i="126"/>
  <c r="Q50" i="126"/>
  <c r="R72" i="126"/>
  <c r="R68" i="126"/>
  <c r="R64" i="126"/>
  <c r="R58" i="126"/>
  <c r="R61" i="126"/>
  <c r="Q69" i="126"/>
  <c r="Q65" i="126"/>
  <c r="Q60" i="126"/>
  <c r="Q56" i="126"/>
  <c r="S70" i="126"/>
  <c r="S66" i="126"/>
  <c r="S61" i="126"/>
  <c r="S56" i="126"/>
  <c r="R55" i="126"/>
  <c r="R69" i="126"/>
  <c r="R65" i="126"/>
  <c r="R59" i="126"/>
  <c r="Q70" i="126"/>
  <c r="Q66" i="126"/>
  <c r="Q57" i="126"/>
  <c r="S71" i="126"/>
  <c r="S67" i="126"/>
  <c r="S63" i="126"/>
  <c r="S57" i="126"/>
  <c r="Q53" i="126"/>
  <c r="Q51" i="126"/>
  <c r="Q48" i="126"/>
  <c r="Q46" i="126"/>
  <c r="Q43" i="126"/>
  <c r="Q71" i="126"/>
  <c r="Q67" i="126"/>
  <c r="Q63" i="126"/>
  <c r="Q58" i="126"/>
  <c r="S72" i="126"/>
  <c r="S68" i="126"/>
  <c r="S64" i="126"/>
  <c r="Q55" i="126"/>
  <c r="Q59" i="126"/>
  <c r="N45" i="92" l="1"/>
  <c r="N49" i="92"/>
  <c r="N43" i="92"/>
  <c r="N48" i="92"/>
  <c r="N44" i="92"/>
  <c r="N47" i="92"/>
  <c r="N46" i="92"/>
  <c r="N42" i="92"/>
  <c r="S11" i="92"/>
  <c r="G74" i="2" s="1"/>
  <c r="K10" i="92"/>
  <c r="W39" i="92"/>
  <c r="Q74" i="126"/>
  <c r="E34" i="126" s="1"/>
  <c r="T72" i="13" l="1"/>
  <c r="U72" i="13" s="1"/>
  <c r="V72" i="13"/>
  <c r="W72" i="13" s="1"/>
  <c r="T73" i="13"/>
  <c r="U73" i="13" s="1"/>
  <c r="V73" i="13"/>
  <c r="W73" i="13" s="1"/>
  <c r="V71" i="13"/>
  <c r="W71" i="13" s="1"/>
  <c r="T71" i="13"/>
  <c r="U71" i="13" s="1"/>
  <c r="Z72" i="13"/>
  <c r="AA72" i="13"/>
  <c r="Z73" i="13"/>
  <c r="AA73" i="13"/>
  <c r="AA71" i="13"/>
  <c r="Z71" i="13"/>
  <c r="W74" i="13" l="1"/>
  <c r="K7" i="42" s="1"/>
  <c r="X7" i="42" s="1"/>
  <c r="V74" i="13"/>
  <c r="L7" i="42" s="1"/>
  <c r="U74" i="13"/>
  <c r="K6" i="42" s="1"/>
  <c r="V6" i="42" s="1"/>
  <c r="T74" i="13"/>
  <c r="L6" i="42" s="1"/>
  <c r="H74" i="13"/>
  <c r="E74" i="13"/>
  <c r="D74" i="13"/>
  <c r="D69" i="13"/>
  <c r="E69" i="13"/>
  <c r="F69" i="13"/>
  <c r="F80" i="13" s="1"/>
  <c r="G69" i="13"/>
  <c r="G80" i="13" s="1"/>
  <c r="H69" i="13"/>
  <c r="I69" i="13"/>
  <c r="J69" i="13"/>
  <c r="K69" i="13"/>
  <c r="C69" i="13"/>
  <c r="C80" i="13" s="1"/>
  <c r="S23" i="126"/>
  <c r="R23" i="126"/>
  <c r="P5" i="126"/>
  <c r="P6" i="126"/>
  <c r="P14" i="126"/>
  <c r="P16" i="126"/>
  <c r="P17" i="126"/>
  <c r="P19" i="126"/>
  <c r="P20" i="126"/>
  <c r="P21" i="126"/>
  <c r="P22" i="126"/>
  <c r="P24" i="126"/>
  <c r="O5" i="126"/>
  <c r="O6" i="126"/>
  <c r="O14" i="126"/>
  <c r="O16" i="126"/>
  <c r="O17" i="126"/>
  <c r="O19" i="126"/>
  <c r="O20" i="126"/>
  <c r="O21" i="126"/>
  <c r="O22" i="126"/>
  <c r="O24" i="126"/>
  <c r="F15" i="41"/>
  <c r="F13" i="41"/>
  <c r="AI66" i="3"/>
  <c r="U7" i="42" l="1"/>
  <c r="Y7" i="42"/>
  <c r="T7" i="42"/>
  <c r="T6" i="42"/>
  <c r="W6" i="42"/>
  <c r="U6" i="42"/>
  <c r="P23" i="126"/>
  <c r="N23" i="126"/>
  <c r="Q23" i="126"/>
  <c r="E80" i="13"/>
  <c r="D80" i="13"/>
  <c r="O23" i="126"/>
  <c r="K168" i="28"/>
  <c r="F166" i="28"/>
  <c r="L15" i="42"/>
  <c r="K15" i="42"/>
  <c r="X15" i="42" s="1"/>
  <c r="G39" i="124"/>
  <c r="O37" i="124"/>
  <c r="N37" i="124"/>
  <c r="K37" i="124"/>
  <c r="G36" i="124"/>
  <c r="K34" i="124"/>
  <c r="K32" i="124"/>
  <c r="E31" i="124"/>
  <c r="E33" i="124" s="1"/>
  <c r="E35" i="124" s="1"/>
  <c r="I30" i="124"/>
  <c r="G30" i="124"/>
  <c r="G29" i="124"/>
  <c r="K28" i="124"/>
  <c r="K25" i="124"/>
  <c r="K24" i="124"/>
  <c r="K21" i="124"/>
  <c r="K20" i="124"/>
  <c r="P19" i="124"/>
  <c r="P20" i="124" s="1"/>
  <c r="K19" i="124"/>
  <c r="K16" i="124"/>
  <c r="K14" i="124"/>
  <c r="K12" i="124"/>
  <c r="M11" i="124"/>
  <c r="A22" i="124" s="1"/>
  <c r="M10" i="124"/>
  <c r="L8" i="124"/>
  <c r="O2" i="124"/>
  <c r="O3" i="124" s="1"/>
  <c r="E30" i="100"/>
  <c r="D25" i="126" s="1"/>
  <c r="G25" i="126" s="1"/>
  <c r="BA1" i="44"/>
  <c r="BA3" i="44" s="1"/>
  <c r="AZ3" i="44"/>
  <c r="AZ2" i="44"/>
  <c r="U15" i="42" l="1"/>
  <c r="Q16" i="126" s="1"/>
  <c r="Y15" i="42"/>
  <c r="S16" i="126" s="1"/>
  <c r="T15" i="42"/>
  <c r="N16" i="126" s="1"/>
  <c r="Z23" i="126"/>
  <c r="AA23" i="126" s="1"/>
  <c r="AB23" i="126" s="1"/>
  <c r="T23" i="126"/>
  <c r="AC23" i="126"/>
  <c r="AD23" i="126" s="1"/>
  <c r="AE23" i="126" s="1"/>
  <c r="W23" i="126"/>
  <c r="K44" i="124"/>
  <c r="G25" i="124" s="1"/>
  <c r="I25" i="124" s="1"/>
  <c r="M13" i="124"/>
  <c r="M14" i="124"/>
  <c r="AY3" i="44"/>
  <c r="BA2" i="44"/>
  <c r="AY2" i="44" s="1"/>
  <c r="V23" i="126" l="1"/>
  <c r="U23" i="126"/>
  <c r="Z16" i="126"/>
  <c r="AA16" i="126" s="1"/>
  <c r="AB16" i="126" s="1"/>
  <c r="T16" i="126"/>
  <c r="Y23" i="126"/>
  <c r="X23" i="126"/>
  <c r="W16" i="126"/>
  <c r="AC16" i="126"/>
  <c r="AD16" i="126" s="1"/>
  <c r="AE16" i="126" s="1"/>
  <c r="G20" i="124"/>
  <c r="I20" i="124" s="1"/>
  <c r="G37" i="124"/>
  <c r="I37" i="124" s="1"/>
  <c r="G42" i="124"/>
  <c r="I42" i="124" s="1"/>
  <c r="G14" i="124"/>
  <c r="I14" i="124" s="1"/>
  <c r="G32" i="124"/>
  <c r="I32" i="124" s="1"/>
  <c r="G19" i="124"/>
  <c r="I19" i="124" s="1"/>
  <c r="G21" i="124"/>
  <c r="I21" i="124" s="1"/>
  <c r="G40" i="124"/>
  <c r="I40" i="124" s="1"/>
  <c r="G12" i="124"/>
  <c r="I12" i="124" s="1"/>
  <c r="G16" i="124"/>
  <c r="I16" i="124" s="1"/>
  <c r="G34" i="124"/>
  <c r="I34" i="124" s="1"/>
  <c r="G24" i="124"/>
  <c r="I24" i="124" s="1"/>
  <c r="E26" i="124" s="1"/>
  <c r="AY4" i="44"/>
  <c r="C3" i="44" l="1"/>
  <c r="I3" i="44" s="1"/>
  <c r="G7" i="2" s="1"/>
  <c r="L28" i="124"/>
  <c r="G28" i="124" s="1"/>
  <c r="I28" i="124" s="1"/>
  <c r="I44" i="124" s="1"/>
  <c r="H45" i="124" s="1"/>
  <c r="E98" i="2" s="1"/>
  <c r="C98" i="2" s="1"/>
  <c r="V16" i="126"/>
  <c r="U16" i="126"/>
  <c r="Y16" i="126"/>
  <c r="X16" i="126"/>
  <c r="AG60" i="123"/>
  <c r="O55" i="51"/>
  <c r="K26" i="51"/>
  <c r="O27" i="51"/>
  <c r="W234" i="43"/>
  <c r="Z2" i="51" s="1"/>
  <c r="W65" i="43"/>
  <c r="Z1" i="51" s="1"/>
  <c r="I15" i="84"/>
  <c r="U93" i="77"/>
  <c r="S93" i="77"/>
  <c r="M93" i="77"/>
  <c r="P1" i="125"/>
  <c r="N2" i="125" s="1"/>
  <c r="L13" i="42"/>
  <c r="K13" i="42"/>
  <c r="X13" i="42" s="1"/>
  <c r="D21" i="125"/>
  <c r="D19" i="125"/>
  <c r="D17" i="125"/>
  <c r="U45" i="125"/>
  <c r="T45" i="125"/>
  <c r="Q34" i="125"/>
  <c r="AA5" i="125"/>
  <c r="Z12" i="125"/>
  <c r="Z17" i="125" s="1"/>
  <c r="Z10" i="125"/>
  <c r="AA10" i="125" s="1"/>
  <c r="AB10" i="125" s="1"/>
  <c r="Z8" i="125"/>
  <c r="Z15" i="125" s="1"/>
  <c r="I21" i="125"/>
  <c r="I19" i="125"/>
  <c r="I17" i="125"/>
  <c r="X17" i="125"/>
  <c r="P46" i="125"/>
  <c r="P44" i="125"/>
  <c r="P42" i="125"/>
  <c r="P38" i="125"/>
  <c r="P34" i="125"/>
  <c r="P25" i="125"/>
  <c r="P21" i="125"/>
  <c r="P19" i="125"/>
  <c r="P17" i="125"/>
  <c r="P12" i="125"/>
  <c r="L12" i="125" s="1"/>
  <c r="M12" i="125" s="1"/>
  <c r="P10" i="125"/>
  <c r="L10" i="125" s="1"/>
  <c r="M10" i="125" s="1"/>
  <c r="P8" i="125"/>
  <c r="L8" i="125" s="1"/>
  <c r="M8" i="125" s="1"/>
  <c r="X21" i="125"/>
  <c r="Q21" i="125"/>
  <c r="X19" i="125"/>
  <c r="Q19" i="125"/>
  <c r="Q17" i="125"/>
  <c r="F56" i="2"/>
  <c r="U13" i="42" l="1"/>
  <c r="Q14" i="126" s="1"/>
  <c r="Y13" i="42"/>
  <c r="S14" i="126" s="1"/>
  <c r="T13" i="42"/>
  <c r="N14" i="126" s="1"/>
  <c r="J53" i="51"/>
  <c r="P55" i="51" s="1"/>
  <c r="J26" i="51"/>
  <c r="P27" i="51" s="1"/>
  <c r="S17" i="125"/>
  <c r="J19" i="125"/>
  <c r="M19" i="125" s="1"/>
  <c r="S19" i="125"/>
  <c r="AA12" i="125"/>
  <c r="AB12" i="125" s="1"/>
  <c r="J21" i="125" s="1"/>
  <c r="M21" i="125" s="1"/>
  <c r="AA8" i="125"/>
  <c r="AB8" i="125" s="1"/>
  <c r="J17" i="125" s="1"/>
  <c r="M17" i="125" s="1"/>
  <c r="Z16" i="125"/>
  <c r="S21" i="125"/>
  <c r="I23" i="125"/>
  <c r="P5" i="125"/>
  <c r="AC14" i="126" l="1"/>
  <c r="AD14" i="126" s="1"/>
  <c r="AE14" i="126" s="1"/>
  <c r="W14" i="126"/>
  <c r="Z14" i="126"/>
  <c r="AA14" i="126" s="1"/>
  <c r="AB14" i="126" s="1"/>
  <c r="T14" i="126"/>
  <c r="I46" i="125"/>
  <c r="I38" i="125"/>
  <c r="J25" i="125"/>
  <c r="M25" i="125"/>
  <c r="I27" i="125"/>
  <c r="H32" i="125" s="1"/>
  <c r="H36" i="125" s="1"/>
  <c r="H40" i="125" s="1"/>
  <c r="L42" i="125"/>
  <c r="M42" i="125" s="1"/>
  <c r="I34" i="125"/>
  <c r="J44" i="125"/>
  <c r="H5" i="125"/>
  <c r="M5" i="125" s="1"/>
  <c r="W18" i="123"/>
  <c r="W17" i="123"/>
  <c r="CC304" i="10"/>
  <c r="BB59" i="123"/>
  <c r="AD57" i="123"/>
  <c r="I101" i="69"/>
  <c r="L101" i="69"/>
  <c r="M101" i="69"/>
  <c r="N101" i="69"/>
  <c r="R101" i="69"/>
  <c r="W8" i="69"/>
  <c r="V83" i="69"/>
  <c r="U83" i="69"/>
  <c r="V82" i="69"/>
  <c r="U82" i="69"/>
  <c r="V80" i="69"/>
  <c r="U80" i="69"/>
  <c r="V79" i="69"/>
  <c r="U79" i="69"/>
  <c r="V78" i="69"/>
  <c r="U78" i="69"/>
  <c r="V77" i="69"/>
  <c r="U77" i="69"/>
  <c r="V76" i="69"/>
  <c r="U76" i="69"/>
  <c r="V25" i="69"/>
  <c r="U25" i="69"/>
  <c r="V24" i="69"/>
  <c r="U24" i="69"/>
  <c r="V23" i="69"/>
  <c r="U23" i="69"/>
  <c r="V22" i="69"/>
  <c r="U22" i="69"/>
  <c r="V21" i="69"/>
  <c r="U21" i="69"/>
  <c r="V20" i="69"/>
  <c r="U20" i="69"/>
  <c r="V19" i="69"/>
  <c r="U19" i="69"/>
  <c r="V18" i="69"/>
  <c r="U18" i="69"/>
  <c r="V17" i="69"/>
  <c r="U17" i="69"/>
  <c r="V16" i="69"/>
  <c r="U16" i="69"/>
  <c r="V15" i="69"/>
  <c r="U15" i="69"/>
  <c r="V14" i="69"/>
  <c r="U14" i="69"/>
  <c r="V12" i="69"/>
  <c r="U12" i="69"/>
  <c r="V11" i="69"/>
  <c r="U11" i="69"/>
  <c r="T83" i="69"/>
  <c r="Y83" i="69" l="1"/>
  <c r="Y14" i="126"/>
  <c r="X14" i="126"/>
  <c r="V14" i="126"/>
  <c r="U14" i="126"/>
  <c r="W57" i="123"/>
  <c r="W59" i="123"/>
  <c r="W60" i="123"/>
  <c r="W63" i="123"/>
  <c r="W73" i="123"/>
  <c r="W84" i="123" l="1"/>
  <c r="F84" i="123"/>
  <c r="W80" i="123"/>
  <c r="AD74" i="123"/>
  <c r="O73" i="123"/>
  <c r="AD69" i="123"/>
  <c r="O63" i="123"/>
  <c r="BB60" i="123"/>
  <c r="BA60" i="123"/>
  <c r="O60" i="123"/>
  <c r="P60" i="123" s="1"/>
  <c r="S60" i="123" s="1"/>
  <c r="BA59" i="123"/>
  <c r="O59" i="123"/>
  <c r="O57" i="123"/>
  <c r="U50" i="123"/>
  <c r="BN48" i="123"/>
  <c r="BM48" i="123"/>
  <c r="BL48" i="123"/>
  <c r="BK48" i="123"/>
  <c r="BJ48" i="123"/>
  <c r="BI48" i="123"/>
  <c r="BF48" i="123"/>
  <c r="BE48" i="123"/>
  <c r="BD48" i="123"/>
  <c r="BC48" i="123"/>
  <c r="BB48" i="123"/>
  <c r="BA48" i="123"/>
  <c r="Z48" i="123"/>
  <c r="W48" i="123"/>
  <c r="J48" i="123" s="1"/>
  <c r="BN47" i="123"/>
  <c r="BM47" i="123"/>
  <c r="BL47" i="123"/>
  <c r="BK47" i="123"/>
  <c r="BJ47" i="123"/>
  <c r="BI47" i="123"/>
  <c r="BF47" i="123"/>
  <c r="BE47" i="123"/>
  <c r="BD47" i="123"/>
  <c r="BC47" i="123"/>
  <c r="BB47" i="123"/>
  <c r="BA47" i="123"/>
  <c r="Z47" i="123"/>
  <c r="W47" i="123"/>
  <c r="J47" i="123" s="1"/>
  <c r="BN46" i="123"/>
  <c r="BM46" i="123"/>
  <c r="BL46" i="123"/>
  <c r="BK46" i="123"/>
  <c r="BJ46" i="123"/>
  <c r="BI46" i="123"/>
  <c r="BF46" i="123"/>
  <c r="BE46" i="123"/>
  <c r="BD46" i="123"/>
  <c r="BC46" i="123"/>
  <c r="BB46" i="123"/>
  <c r="BA46" i="123"/>
  <c r="Z46" i="123"/>
  <c r="W46" i="123"/>
  <c r="J46" i="123" s="1"/>
  <c r="BN45" i="123"/>
  <c r="BM45" i="123"/>
  <c r="BL45" i="123"/>
  <c r="BK45" i="123"/>
  <c r="BJ45" i="123"/>
  <c r="BI45" i="123"/>
  <c r="BF45" i="123"/>
  <c r="BE45" i="123"/>
  <c r="BD45" i="123"/>
  <c r="BC45" i="123"/>
  <c r="BB45" i="123"/>
  <c r="BA45" i="123"/>
  <c r="Z45" i="123"/>
  <c r="W45" i="123"/>
  <c r="J45" i="123" s="1"/>
  <c r="BN44" i="123"/>
  <c r="BM44" i="123"/>
  <c r="BL44" i="123"/>
  <c r="BK44" i="123"/>
  <c r="BJ44" i="123"/>
  <c r="BI44" i="123"/>
  <c r="BF44" i="123"/>
  <c r="BE44" i="123"/>
  <c r="BD44" i="123"/>
  <c r="BC44" i="123"/>
  <c r="BB44" i="123"/>
  <c r="BA44" i="123"/>
  <c r="Z44" i="123"/>
  <c r="W44" i="123"/>
  <c r="J44" i="123" s="1"/>
  <c r="BN43" i="123"/>
  <c r="BM43" i="123"/>
  <c r="BL43" i="123"/>
  <c r="BK43" i="123"/>
  <c r="BJ43" i="123"/>
  <c r="BI43" i="123"/>
  <c r="BF43" i="123"/>
  <c r="BE43" i="123"/>
  <c r="BD43" i="123"/>
  <c r="BC43" i="123"/>
  <c r="BB43" i="123"/>
  <c r="BA43" i="123"/>
  <c r="Z43" i="123"/>
  <c r="W43" i="123"/>
  <c r="J43" i="123" s="1"/>
  <c r="BN42" i="123"/>
  <c r="BM42" i="123"/>
  <c r="BL42" i="123"/>
  <c r="BK42" i="123"/>
  <c r="BJ42" i="123"/>
  <c r="BI42" i="123"/>
  <c r="BF42" i="123"/>
  <c r="BE42" i="123"/>
  <c r="BD42" i="123"/>
  <c r="BC42" i="123"/>
  <c r="BB42" i="123"/>
  <c r="BA42" i="123"/>
  <c r="Z42" i="123"/>
  <c r="W42" i="123"/>
  <c r="J42" i="123" s="1"/>
  <c r="BN41" i="123"/>
  <c r="BM41" i="123"/>
  <c r="BL41" i="123"/>
  <c r="BK41" i="123"/>
  <c r="BJ41" i="123"/>
  <c r="BI41" i="123"/>
  <c r="BF41" i="123"/>
  <c r="BE41" i="123"/>
  <c r="BD41" i="123"/>
  <c r="BC41" i="123"/>
  <c r="BB41" i="123"/>
  <c r="BA41" i="123"/>
  <c r="Z41" i="123"/>
  <c r="W41" i="123"/>
  <c r="J41" i="123" s="1"/>
  <c r="BN40" i="123"/>
  <c r="BM40" i="123"/>
  <c r="BL40" i="123"/>
  <c r="BK40" i="123"/>
  <c r="BJ40" i="123"/>
  <c r="BI40" i="123"/>
  <c r="BF40" i="123"/>
  <c r="BE40" i="123"/>
  <c r="BD40" i="123"/>
  <c r="BC40" i="123"/>
  <c r="BB40" i="123"/>
  <c r="BA40" i="123"/>
  <c r="Z40" i="123"/>
  <c r="W40" i="123"/>
  <c r="J40" i="123" s="1"/>
  <c r="BN39" i="123"/>
  <c r="BM39" i="123"/>
  <c r="BL39" i="123"/>
  <c r="BK39" i="123"/>
  <c r="BJ39" i="123"/>
  <c r="BI39" i="123"/>
  <c r="BF39" i="123"/>
  <c r="BE39" i="123"/>
  <c r="BD39" i="123"/>
  <c r="BC39" i="123"/>
  <c r="BB39" i="123"/>
  <c r="BA39" i="123"/>
  <c r="Z39" i="123"/>
  <c r="W39" i="123"/>
  <c r="J39" i="123" s="1"/>
  <c r="BN38" i="123"/>
  <c r="BM38" i="123"/>
  <c r="BL38" i="123"/>
  <c r="BK38" i="123"/>
  <c r="BJ38" i="123"/>
  <c r="BI38" i="123"/>
  <c r="BF38" i="123"/>
  <c r="BE38" i="123"/>
  <c r="BD38" i="123"/>
  <c r="BC38" i="123"/>
  <c r="BB38" i="123"/>
  <c r="BA38" i="123"/>
  <c r="Z38" i="123"/>
  <c r="W38" i="123"/>
  <c r="J38" i="123" s="1"/>
  <c r="BN37" i="123"/>
  <c r="BM37" i="123"/>
  <c r="BL37" i="123"/>
  <c r="BK37" i="123"/>
  <c r="BJ37" i="123"/>
  <c r="BI37" i="123"/>
  <c r="BF37" i="123"/>
  <c r="BE37" i="123"/>
  <c r="BD37" i="123"/>
  <c r="BC37" i="123"/>
  <c r="BB37" i="123"/>
  <c r="BA37" i="123"/>
  <c r="Z37" i="123"/>
  <c r="W37" i="123"/>
  <c r="J37" i="123" s="1"/>
  <c r="BN36" i="123"/>
  <c r="BM36" i="123"/>
  <c r="BL36" i="123"/>
  <c r="BK36" i="123"/>
  <c r="BJ36" i="123"/>
  <c r="BI36" i="123"/>
  <c r="BF36" i="123"/>
  <c r="BE36" i="123"/>
  <c r="BD36" i="123"/>
  <c r="BC36" i="123"/>
  <c r="BB36" i="123"/>
  <c r="BA36" i="123"/>
  <c r="Z36" i="123"/>
  <c r="W36" i="123"/>
  <c r="J36" i="123" s="1"/>
  <c r="BN35" i="123"/>
  <c r="BM35" i="123"/>
  <c r="BL35" i="123"/>
  <c r="BK35" i="123"/>
  <c r="BJ35" i="123"/>
  <c r="BI35" i="123"/>
  <c r="BF35" i="123"/>
  <c r="BE35" i="123"/>
  <c r="BD35" i="123"/>
  <c r="BC35" i="123"/>
  <c r="BB35" i="123"/>
  <c r="BA35" i="123"/>
  <c r="Z35" i="123"/>
  <c r="W35" i="123"/>
  <c r="J35" i="123" s="1"/>
  <c r="BN34" i="123"/>
  <c r="BM34" i="123"/>
  <c r="BL34" i="123"/>
  <c r="BK34" i="123"/>
  <c r="BJ34" i="123"/>
  <c r="BI34" i="123"/>
  <c r="BF34" i="123"/>
  <c r="BE34" i="123"/>
  <c r="BD34" i="123"/>
  <c r="BC34" i="123"/>
  <c r="BB34" i="123"/>
  <c r="BA34" i="123"/>
  <c r="Z34" i="123"/>
  <c r="W34" i="123"/>
  <c r="J34" i="123" s="1"/>
  <c r="BN33" i="123"/>
  <c r="BM33" i="123"/>
  <c r="BL33" i="123"/>
  <c r="BK33" i="123"/>
  <c r="BJ33" i="123"/>
  <c r="BI33" i="123"/>
  <c r="BF33" i="123"/>
  <c r="BE33" i="123"/>
  <c r="BD33" i="123"/>
  <c r="BC33" i="123"/>
  <c r="BB33" i="123"/>
  <c r="BA33" i="123"/>
  <c r="Z33" i="123"/>
  <c r="W33" i="123"/>
  <c r="J33" i="123" s="1"/>
  <c r="BN32" i="123"/>
  <c r="BM32" i="123"/>
  <c r="BL32" i="123"/>
  <c r="BK32" i="123"/>
  <c r="BJ32" i="123"/>
  <c r="BI32" i="123"/>
  <c r="BF32" i="123"/>
  <c r="BE32" i="123"/>
  <c r="BD32" i="123"/>
  <c r="BC32" i="123"/>
  <c r="BB32" i="123"/>
  <c r="BA32" i="123"/>
  <c r="Z32" i="123"/>
  <c r="W32" i="123"/>
  <c r="J32" i="123" s="1"/>
  <c r="BN31" i="123"/>
  <c r="BM31" i="123"/>
  <c r="BL31" i="123"/>
  <c r="BK31" i="123"/>
  <c r="BJ31" i="123"/>
  <c r="BI31" i="123"/>
  <c r="BF31" i="123"/>
  <c r="BE31" i="123"/>
  <c r="BD31" i="123"/>
  <c r="BC31" i="123"/>
  <c r="BB31" i="123"/>
  <c r="BA31" i="123"/>
  <c r="Z31" i="123"/>
  <c r="W31" i="123"/>
  <c r="J31" i="123" s="1"/>
  <c r="Z30" i="123"/>
  <c r="W30" i="123"/>
  <c r="J30" i="123" s="1"/>
  <c r="Z29" i="123"/>
  <c r="W29" i="123"/>
  <c r="J29" i="123" s="1"/>
  <c r="Z28" i="123"/>
  <c r="W28" i="123"/>
  <c r="J28" i="123" s="1"/>
  <c r="Z27" i="123"/>
  <c r="W27" i="123"/>
  <c r="J27" i="123" s="1"/>
  <c r="Z26" i="123"/>
  <c r="W26" i="123"/>
  <c r="J26" i="123" s="1"/>
  <c r="Z25" i="123"/>
  <c r="W25" i="123"/>
  <c r="J25" i="123" s="1"/>
  <c r="Z24" i="123"/>
  <c r="W24" i="123"/>
  <c r="BA22" i="123"/>
  <c r="BA26" i="123" s="1"/>
  <c r="W16" i="123"/>
  <c r="W15" i="123"/>
  <c r="W14" i="123"/>
  <c r="W13" i="123"/>
  <c r="B13" i="123"/>
  <c r="BC10" i="123"/>
  <c r="BB10" i="123"/>
  <c r="S13" i="109"/>
  <c r="W86" i="123" l="1"/>
  <c r="BA27" i="123"/>
  <c r="BA28" i="123"/>
  <c r="BA29" i="123"/>
  <c r="BA30" i="123"/>
  <c r="B14" i="123"/>
  <c r="K14" i="123" s="1"/>
  <c r="S14" i="123" s="1"/>
  <c r="K13" i="123"/>
  <c r="S13" i="123" s="1"/>
  <c r="Y38" i="123"/>
  <c r="S38" i="123"/>
  <c r="Y30" i="123"/>
  <c r="S30" i="123"/>
  <c r="Y43" i="123"/>
  <c r="S43" i="123"/>
  <c r="Y47" i="123"/>
  <c r="S47" i="123"/>
  <c r="Y35" i="123"/>
  <c r="S35" i="123"/>
  <c r="Y39" i="123"/>
  <c r="S39" i="123"/>
  <c r="Y27" i="123"/>
  <c r="S27" i="123"/>
  <c r="Y31" i="123"/>
  <c r="S31" i="123"/>
  <c r="Y46" i="123"/>
  <c r="S46" i="123"/>
  <c r="Y32" i="123"/>
  <c r="S32" i="123"/>
  <c r="Y42" i="123"/>
  <c r="S42" i="123"/>
  <c r="Y33" i="123"/>
  <c r="S33" i="123"/>
  <c r="Y36" i="123"/>
  <c r="S36" i="123"/>
  <c r="Y41" i="123"/>
  <c r="S41" i="123"/>
  <c r="Y44" i="123"/>
  <c r="S44" i="123"/>
  <c r="Z50" i="123"/>
  <c r="Y29" i="123"/>
  <c r="S29" i="123"/>
  <c r="Y34" i="123"/>
  <c r="S34" i="123"/>
  <c r="Y40" i="123"/>
  <c r="S40" i="123"/>
  <c r="Y28" i="123"/>
  <c r="S28" i="123"/>
  <c r="Y26" i="123"/>
  <c r="S26" i="123"/>
  <c r="Y37" i="123"/>
  <c r="S37" i="123"/>
  <c r="Y45" i="123"/>
  <c r="S45" i="123"/>
  <c r="Y48" i="123"/>
  <c r="S48" i="123"/>
  <c r="Y25" i="123"/>
  <c r="S25" i="123"/>
  <c r="BI22" i="123"/>
  <c r="BA25" i="123"/>
  <c r="J13" i="123"/>
  <c r="BB22" i="123"/>
  <c r="BA24" i="123"/>
  <c r="J24" i="123"/>
  <c r="S24" i="123" s="1"/>
  <c r="K5" i="97"/>
  <c r="E13" i="97" s="1"/>
  <c r="A247" i="43"/>
  <c r="A248" i="43"/>
  <c r="A249" i="43"/>
  <c r="A250" i="43"/>
  <c r="A251" i="43"/>
  <c r="A252" i="43"/>
  <c r="A253" i="43"/>
  <c r="A254" i="43"/>
  <c r="A255" i="43"/>
  <c r="A256" i="43"/>
  <c r="A257" i="43"/>
  <c r="J10" i="123" l="1"/>
  <c r="S10" i="123" s="1"/>
  <c r="L80" i="123"/>
  <c r="S80" i="123" s="1"/>
  <c r="B15" i="123"/>
  <c r="K15" i="123" s="1"/>
  <c r="S15" i="123" s="1"/>
  <c r="J14" i="123"/>
  <c r="BI26" i="123"/>
  <c r="BI30" i="123"/>
  <c r="BI29" i="123"/>
  <c r="BI28" i="123"/>
  <c r="BI27" i="123"/>
  <c r="BB26" i="123"/>
  <c r="BB30" i="123"/>
  <c r="BB29" i="123"/>
  <c r="BB28" i="123"/>
  <c r="BB27" i="123"/>
  <c r="L6" i="123"/>
  <c r="S6" i="123" s="1"/>
  <c r="L8" i="123"/>
  <c r="S8" i="123" s="1"/>
  <c r="H84" i="123"/>
  <c r="S84" i="123" s="1"/>
  <c r="BB25" i="123"/>
  <c r="BJ22" i="123"/>
  <c r="BB24" i="123"/>
  <c r="BC22" i="123"/>
  <c r="BI24" i="123"/>
  <c r="BI25" i="123"/>
  <c r="BA50" i="123"/>
  <c r="Y24" i="123"/>
  <c r="A13" i="43"/>
  <c r="A14" i="43"/>
  <c r="A15" i="43"/>
  <c r="A16" i="43"/>
  <c r="A17" i="43"/>
  <c r="A18" i="43"/>
  <c r="A19" i="43"/>
  <c r="A20" i="43"/>
  <c r="A21" i="43"/>
  <c r="A22" i="43"/>
  <c r="A23"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59" i="43"/>
  <c r="A60" i="43"/>
  <c r="A61" i="43"/>
  <c r="A62" i="43"/>
  <c r="A63" i="43"/>
  <c r="A64" i="43"/>
  <c r="A65" i="43"/>
  <c r="A69" i="43"/>
  <c r="A70" i="43"/>
  <c r="A71" i="43"/>
  <c r="A72" i="43"/>
  <c r="A73" i="43"/>
  <c r="A74" i="43"/>
  <c r="A75" i="43"/>
  <c r="A76" i="43"/>
  <c r="A77" i="43"/>
  <c r="A78" i="43"/>
  <c r="A79" i="43"/>
  <c r="A80" i="43"/>
  <c r="A81" i="43"/>
  <c r="A82" i="43"/>
  <c r="A83" i="43"/>
  <c r="A84" i="43"/>
  <c r="A85" i="43"/>
  <c r="A86" i="43"/>
  <c r="A87" i="43"/>
  <c r="A88" i="43"/>
  <c r="A89" i="43"/>
  <c r="A90" i="43"/>
  <c r="A91" i="43"/>
  <c r="A92" i="43"/>
  <c r="A93" i="43"/>
  <c r="A94" i="43"/>
  <c r="A95" i="43"/>
  <c r="A96" i="43"/>
  <c r="A97" i="43"/>
  <c r="A98" i="43"/>
  <c r="A99" i="43"/>
  <c r="A101" i="43"/>
  <c r="A102" i="43"/>
  <c r="A103" i="43"/>
  <c r="A104" i="43"/>
  <c r="A105" i="43"/>
  <c r="A106" i="43"/>
  <c r="A107" i="43"/>
  <c r="A108" i="43"/>
  <c r="A109" i="43"/>
  <c r="A110" i="43"/>
  <c r="A111" i="43"/>
  <c r="A112" i="43"/>
  <c r="A113" i="43"/>
  <c r="A114" i="43"/>
  <c r="A115" i="43"/>
  <c r="A116" i="43"/>
  <c r="A117" i="43"/>
  <c r="A118" i="43"/>
  <c r="A119" i="43"/>
  <c r="A120" i="43"/>
  <c r="A121" i="43"/>
  <c r="A122" i="43"/>
  <c r="A123" i="43"/>
  <c r="A124" i="43"/>
  <c r="A125" i="43"/>
  <c r="A126" i="43"/>
  <c r="A127" i="43"/>
  <c r="A128" i="43"/>
  <c r="A129" i="43"/>
  <c r="A130" i="43"/>
  <c r="A131" i="43"/>
  <c r="A132" i="43"/>
  <c r="A133" i="43"/>
  <c r="A134" i="43"/>
  <c r="A135" i="43"/>
  <c r="A136" i="43"/>
  <c r="A137" i="43"/>
  <c r="A138" i="43"/>
  <c r="A139" i="43"/>
  <c r="A140" i="43"/>
  <c r="A141" i="43"/>
  <c r="A142" i="43"/>
  <c r="A143" i="43"/>
  <c r="A144" i="43"/>
  <c r="A145" i="43"/>
  <c r="A146" i="43"/>
  <c r="A147" i="43"/>
  <c r="A148" i="43"/>
  <c r="A149" i="43"/>
  <c r="A150" i="43"/>
  <c r="A151" i="43"/>
  <c r="A152" i="43"/>
  <c r="A153" i="43"/>
  <c r="A154" i="43"/>
  <c r="A155" i="43"/>
  <c r="A156" i="43"/>
  <c r="A157" i="43"/>
  <c r="A158" i="43"/>
  <c r="A159" i="43"/>
  <c r="A160" i="43"/>
  <c r="A161" i="43"/>
  <c r="A162" i="43"/>
  <c r="A163" i="43"/>
  <c r="A164" i="43"/>
  <c r="A165" i="43"/>
  <c r="A166" i="43"/>
  <c r="A167" i="43"/>
  <c r="A168" i="43"/>
  <c r="A169" i="43"/>
  <c r="A170" i="43"/>
  <c r="A171" i="43"/>
  <c r="A172" i="43"/>
  <c r="A173" i="43"/>
  <c r="A174" i="43"/>
  <c r="A175" i="43"/>
  <c r="A176" i="43"/>
  <c r="A177" i="43"/>
  <c r="A178" i="43"/>
  <c r="A179" i="43"/>
  <c r="A180" i="43"/>
  <c r="A181" i="43"/>
  <c r="A182" i="43"/>
  <c r="A183" i="43"/>
  <c r="A184" i="43"/>
  <c r="A185" i="43"/>
  <c r="A186" i="43"/>
  <c r="A187" i="43"/>
  <c r="A188" i="43"/>
  <c r="A189" i="43"/>
  <c r="A190" i="43"/>
  <c r="A191" i="43"/>
  <c r="A192" i="43"/>
  <c r="A193" i="43"/>
  <c r="A194" i="43"/>
  <c r="A195" i="43"/>
  <c r="A196" i="43"/>
  <c r="A197" i="43"/>
  <c r="A198" i="43"/>
  <c r="A199" i="43"/>
  <c r="A200" i="43"/>
  <c r="A201" i="43"/>
  <c r="A202" i="43"/>
  <c r="A203" i="43"/>
  <c r="A204" i="43"/>
  <c r="A205" i="43"/>
  <c r="A206" i="43"/>
  <c r="A207" i="43"/>
  <c r="A208" i="43"/>
  <c r="A209" i="43"/>
  <c r="A210" i="43"/>
  <c r="A211" i="43"/>
  <c r="A212" i="43"/>
  <c r="A213" i="43"/>
  <c r="A214" i="43"/>
  <c r="A215" i="43"/>
  <c r="A216" i="43"/>
  <c r="A217" i="43"/>
  <c r="A218" i="43"/>
  <c r="A219" i="43"/>
  <c r="A220" i="43"/>
  <c r="A221" i="43"/>
  <c r="A222" i="43"/>
  <c r="A223" i="43"/>
  <c r="A224" i="43"/>
  <c r="A225" i="43"/>
  <c r="A226" i="43"/>
  <c r="A227" i="43"/>
  <c r="A228" i="43"/>
  <c r="A229" i="43"/>
  <c r="A230" i="43"/>
  <c r="A231" i="43"/>
  <c r="A232" i="43"/>
  <c r="A233" i="43"/>
  <c r="A234" i="43"/>
  <c r="A235" i="43"/>
  <c r="A236" i="43"/>
  <c r="A237" i="43"/>
  <c r="A238" i="43"/>
  <c r="A239" i="43"/>
  <c r="A240" i="43"/>
  <c r="A241" i="43"/>
  <c r="A242" i="43"/>
  <c r="A243" i="43"/>
  <c r="A244" i="43"/>
  <c r="A245" i="43"/>
  <c r="A246" i="43"/>
  <c r="A264" i="43"/>
  <c r="A265" i="43"/>
  <c r="A267" i="43"/>
  <c r="Z267" i="43" s="1"/>
  <c r="A268" i="43"/>
  <c r="A270" i="43"/>
  <c r="A271" i="43"/>
  <c r="Z271" i="43" s="1"/>
  <c r="A272" i="43"/>
  <c r="Z272" i="43" s="1"/>
  <c r="A273" i="43"/>
  <c r="Z273" i="43" s="1"/>
  <c r="A274" i="43"/>
  <c r="Z274" i="43" s="1"/>
  <c r="A275" i="43"/>
  <c r="Z275" i="43" s="1"/>
  <c r="A276" i="43"/>
  <c r="Z276" i="43" s="1"/>
  <c r="A277" i="43"/>
  <c r="Z277" i="43" s="1"/>
  <c r="A278" i="43"/>
  <c r="A281" i="43"/>
  <c r="A282" i="43"/>
  <c r="Z282" i="43" s="1"/>
  <c r="A283" i="43"/>
  <c r="Z283" i="43" s="1"/>
  <c r="A284" i="43"/>
  <c r="Z284" i="43" s="1"/>
  <c r="A285" i="43"/>
  <c r="Z285" i="43" s="1"/>
  <c r="A286" i="43"/>
  <c r="Z286" i="43" s="1"/>
  <c r="A287" i="43"/>
  <c r="Z287" i="43" s="1"/>
  <c r="A288" i="43"/>
  <c r="Z288" i="43" s="1"/>
  <c r="A12" i="43"/>
  <c r="Z68" i="43" s="1"/>
  <c r="B4" i="120"/>
  <c r="Z7" i="43"/>
  <c r="Z8" i="43"/>
  <c r="Z9" i="43"/>
  <c r="Z10" i="43"/>
  <c r="Z11" i="43"/>
  <c r="Z270" i="43"/>
  <c r="Z6" i="43"/>
  <c r="Z175" i="44"/>
  <c r="Z241" i="44"/>
  <c r="Z262" i="44"/>
  <c r="AJ2" i="3"/>
  <c r="C76" i="116"/>
  <c r="J15" i="123" l="1"/>
  <c r="B16" i="123"/>
  <c r="K16" i="123" s="1"/>
  <c r="S16" i="123" s="1"/>
  <c r="H56" i="123"/>
  <c r="H55" i="123" s="1"/>
  <c r="H54" i="123" s="1"/>
  <c r="T54" i="123" s="1"/>
  <c r="BC26" i="123"/>
  <c r="BC30" i="123"/>
  <c r="BC29" i="123"/>
  <c r="BC28" i="123"/>
  <c r="BC27" i="123"/>
  <c r="BJ26" i="123"/>
  <c r="BJ30" i="123"/>
  <c r="BJ29" i="123"/>
  <c r="BJ28" i="123"/>
  <c r="BJ27" i="123"/>
  <c r="BI50" i="123"/>
  <c r="BC24" i="123"/>
  <c r="BD22" i="123"/>
  <c r="BC25" i="123"/>
  <c r="BK22" i="123"/>
  <c r="BJ24" i="123"/>
  <c r="BJ25" i="123"/>
  <c r="BB50" i="123"/>
  <c r="I56" i="123" s="1"/>
  <c r="Z263" i="43"/>
  <c r="Z266" i="43"/>
  <c r="Z260" i="43"/>
  <c r="L2" i="114"/>
  <c r="H58" i="123" l="1"/>
  <c r="J16" i="123"/>
  <c r="B17" i="123"/>
  <c r="K17" i="123" s="1"/>
  <c r="S17" i="123" s="1"/>
  <c r="H70" i="123"/>
  <c r="AD56" i="123"/>
  <c r="AD58" i="123" s="1"/>
  <c r="AD60" i="123" s="1"/>
  <c r="AD62" i="123" s="1"/>
  <c r="BK26" i="123"/>
  <c r="BK30" i="123"/>
  <c r="BK29" i="123"/>
  <c r="BK28" i="123"/>
  <c r="BK27" i="123"/>
  <c r="BD26" i="123"/>
  <c r="BD30" i="123"/>
  <c r="BD29" i="123"/>
  <c r="BD28" i="123"/>
  <c r="BD27" i="123"/>
  <c r="H61" i="123"/>
  <c r="H62" i="123" s="1"/>
  <c r="BC50" i="123"/>
  <c r="J56" i="123" s="1"/>
  <c r="I58" i="123"/>
  <c r="I61" i="123" s="1"/>
  <c r="I55" i="123"/>
  <c r="I54" i="123" s="1"/>
  <c r="U54" i="123" s="1"/>
  <c r="BD24" i="123"/>
  <c r="BE22" i="123"/>
  <c r="BD25" i="123"/>
  <c r="BL22" i="123"/>
  <c r="BK24" i="123"/>
  <c r="BK25" i="123"/>
  <c r="BJ50" i="123"/>
  <c r="I32" i="80"/>
  <c r="BJ48" i="3"/>
  <c r="BK48" i="3" s="1"/>
  <c r="B18" i="123" l="1"/>
  <c r="K18" i="123" s="1"/>
  <c r="S18" i="123" s="1"/>
  <c r="J17" i="123"/>
  <c r="AD68" i="123"/>
  <c r="AD71" i="123" s="1"/>
  <c r="AD75" i="123" s="1"/>
  <c r="AD77" i="123" s="1"/>
  <c r="BL26" i="123"/>
  <c r="BL30" i="123"/>
  <c r="BL29" i="123"/>
  <c r="BL28" i="123"/>
  <c r="BL27" i="123"/>
  <c r="BE26" i="123"/>
  <c r="BE30" i="123"/>
  <c r="BE29" i="123"/>
  <c r="BE28" i="123"/>
  <c r="BE27" i="123"/>
  <c r="H65" i="123"/>
  <c r="J58" i="123"/>
  <c r="J55" i="123"/>
  <c r="J54" i="123" s="1"/>
  <c r="V54" i="123" s="1"/>
  <c r="I65" i="123"/>
  <c r="H64" i="123"/>
  <c r="I70" i="123"/>
  <c r="BK50" i="123"/>
  <c r="BE24" i="123"/>
  <c r="BF22" i="123"/>
  <c r="BE25" i="123"/>
  <c r="BM22" i="123"/>
  <c r="BL25" i="123"/>
  <c r="BL24" i="123"/>
  <c r="BD50" i="123"/>
  <c r="K56" i="123" s="1"/>
  <c r="K55" i="123" s="1"/>
  <c r="K54" i="123" s="1"/>
  <c r="W54" i="123" s="1"/>
  <c r="BA1" i="115"/>
  <c r="J18" i="123" l="1"/>
  <c r="AD73" i="123"/>
  <c r="AD78" i="123" s="1"/>
  <c r="BM26" i="123"/>
  <c r="BM30" i="123"/>
  <c r="BM29" i="123"/>
  <c r="BM28" i="123"/>
  <c r="BM27" i="123"/>
  <c r="BF26" i="123"/>
  <c r="BF30" i="123"/>
  <c r="BF29" i="123"/>
  <c r="BF28" i="123"/>
  <c r="BF27" i="123"/>
  <c r="J61" i="123"/>
  <c r="J62" i="123" s="1"/>
  <c r="I62" i="123"/>
  <c r="I64" i="123"/>
  <c r="I66" i="123" s="1"/>
  <c r="H66" i="123"/>
  <c r="H68" i="123" s="1"/>
  <c r="J70" i="123"/>
  <c r="BE50" i="123"/>
  <c r="L56" i="123" s="1"/>
  <c r="BM24" i="123"/>
  <c r="BM25" i="123"/>
  <c r="BF25" i="123"/>
  <c r="BN22" i="123"/>
  <c r="BF24" i="123"/>
  <c r="K58" i="123"/>
  <c r="BL50" i="123"/>
  <c r="BN26" i="123" l="1"/>
  <c r="BN30" i="123"/>
  <c r="BN29" i="123"/>
  <c r="BN28" i="123"/>
  <c r="BN27" i="123"/>
  <c r="J65" i="123"/>
  <c r="J64" i="123"/>
  <c r="K61" i="123"/>
  <c r="K64" i="123" s="1"/>
  <c r="L58" i="123"/>
  <c r="L55" i="123"/>
  <c r="L54" i="123" s="1"/>
  <c r="X54" i="123" s="1"/>
  <c r="I68" i="123"/>
  <c r="I69" i="123" s="1"/>
  <c r="K70" i="123"/>
  <c r="BM50" i="123"/>
  <c r="BF50" i="123"/>
  <c r="M56" i="123" s="1"/>
  <c r="M55" i="123" s="1"/>
  <c r="M54" i="123" s="1"/>
  <c r="Y54" i="123" s="1"/>
  <c r="AD80" i="123"/>
  <c r="AG75" i="123"/>
  <c r="H69" i="123"/>
  <c r="BA74" i="123" s="1"/>
  <c r="BN24" i="123"/>
  <c r="BN25" i="123"/>
  <c r="H19" i="119"/>
  <c r="P1" i="119"/>
  <c r="O2" i="117"/>
  <c r="AA1" i="117"/>
  <c r="P1" i="116"/>
  <c r="Q10" i="115"/>
  <c r="Q65" i="115"/>
  <c r="AA1" i="115"/>
  <c r="M64" i="114"/>
  <c r="M8" i="114"/>
  <c r="AA2" i="114"/>
  <c r="N97" i="113"/>
  <c r="N95" i="113"/>
  <c r="P3" i="113"/>
  <c r="P2" i="113"/>
  <c r="M55" i="114"/>
  <c r="AE19" i="119"/>
  <c r="AF19" i="119" s="1"/>
  <c r="AG19" i="119" s="1"/>
  <c r="AE20" i="119"/>
  <c r="AF20" i="119" s="1"/>
  <c r="AG20" i="119" s="1"/>
  <c r="AE21" i="119"/>
  <c r="AF21" i="119" s="1"/>
  <c r="AG21" i="119" s="1"/>
  <c r="H21" i="119"/>
  <c r="H20" i="119"/>
  <c r="P28" i="119"/>
  <c r="J34" i="80"/>
  <c r="R16" i="126"/>
  <c r="X16" i="42"/>
  <c r="S28" i="119"/>
  <c r="S21" i="119"/>
  <c r="S20" i="119"/>
  <c r="J20" i="119" l="1"/>
  <c r="J21" i="119"/>
  <c r="J62" i="119"/>
  <c r="J105" i="119"/>
  <c r="E44" i="80"/>
  <c r="D7" i="80"/>
  <c r="J7" i="80" s="1"/>
  <c r="O2" i="113"/>
  <c r="T16" i="42"/>
  <c r="N17" i="126" s="1"/>
  <c r="U16" i="42"/>
  <c r="Q17" i="126" s="1"/>
  <c r="Y16" i="42"/>
  <c r="S17" i="126" s="1"/>
  <c r="J66" i="123"/>
  <c r="J68" i="123" s="1"/>
  <c r="J69" i="123" s="1"/>
  <c r="BC74" i="123" s="1"/>
  <c r="J74" i="123" s="1"/>
  <c r="J75" i="123" s="1"/>
  <c r="L61" i="123"/>
  <c r="L62" i="123" s="1"/>
  <c r="K65" i="123"/>
  <c r="K62" i="123"/>
  <c r="Z54" i="123"/>
  <c r="P54" i="123" s="1"/>
  <c r="S54" i="123" s="1"/>
  <c r="I71" i="123"/>
  <c r="BB74" i="123"/>
  <c r="I74" i="123" s="1"/>
  <c r="I75" i="123" s="1"/>
  <c r="L70" i="123"/>
  <c r="BN50" i="123"/>
  <c r="M58" i="123"/>
  <c r="O56" i="123"/>
  <c r="BA77" i="123"/>
  <c r="Z78" i="123"/>
  <c r="H74" i="123"/>
  <c r="H71" i="123"/>
  <c r="E32" i="80"/>
  <c r="J32" i="80" s="1"/>
  <c r="J19" i="119" l="1"/>
  <c r="T17" i="126"/>
  <c r="Z17" i="126"/>
  <c r="AA17" i="126" s="1"/>
  <c r="AB17" i="126" s="1"/>
  <c r="AC17" i="126"/>
  <c r="W17" i="126"/>
  <c r="J71" i="123"/>
  <c r="J77" i="123" s="1"/>
  <c r="M61" i="123"/>
  <c r="M65" i="123" s="1"/>
  <c r="L65" i="123"/>
  <c r="L64" i="123"/>
  <c r="K66" i="123"/>
  <c r="K68" i="123" s="1"/>
  <c r="K69" i="123" s="1"/>
  <c r="BD74" i="123" s="1"/>
  <c r="K74" i="123" s="1"/>
  <c r="K75" i="123" s="1"/>
  <c r="I76" i="123"/>
  <c r="I78" i="123" s="1"/>
  <c r="M70" i="123"/>
  <c r="O70" i="123" s="1"/>
  <c r="I77" i="123"/>
  <c r="O58" i="123"/>
  <c r="F16" i="70" s="1"/>
  <c r="H77" i="123"/>
  <c r="H75" i="123"/>
  <c r="W17" i="42"/>
  <c r="P18" i="126" s="1"/>
  <c r="Y17" i="42" l="1"/>
  <c r="S18" i="126" s="1"/>
  <c r="V17" i="126"/>
  <c r="U17" i="126"/>
  <c r="Y17" i="126"/>
  <c r="J76" i="123"/>
  <c r="J78" i="123" s="1"/>
  <c r="L66" i="123"/>
  <c r="L68" i="123" s="1"/>
  <c r="L69" i="123" s="1"/>
  <c r="BE74" i="123" s="1"/>
  <c r="L74" i="123" s="1"/>
  <c r="L75" i="123" s="1"/>
  <c r="O65" i="123"/>
  <c r="M62" i="123"/>
  <c r="O62" i="123" s="1"/>
  <c r="O61" i="123"/>
  <c r="M64" i="123"/>
  <c r="M66" i="123" s="1"/>
  <c r="H76" i="123"/>
  <c r="K71" i="123"/>
  <c r="S1" i="119"/>
  <c r="P19" i="119"/>
  <c r="P20" i="119"/>
  <c r="N20" i="119" s="1"/>
  <c r="P21" i="119"/>
  <c r="N21" i="119" s="1"/>
  <c r="N37" i="119"/>
  <c r="N35" i="119"/>
  <c r="G30" i="119"/>
  <c r="AG23" i="119" s="1"/>
  <c r="AG29" i="119" s="1"/>
  <c r="H30" i="119" s="1"/>
  <c r="E29" i="119"/>
  <c r="N16" i="119"/>
  <c r="N12" i="119"/>
  <c r="N11" i="119"/>
  <c r="AB43" i="116"/>
  <c r="Q19" i="116"/>
  <c r="AB55" i="116"/>
  <c r="AB52" i="116"/>
  <c r="Q57" i="116"/>
  <c r="Q59" i="116"/>
  <c r="Q61" i="116"/>
  <c r="AE47" i="116"/>
  <c r="AD47" i="116"/>
  <c r="AE46" i="116"/>
  <c r="AD46" i="116"/>
  <c r="Q14" i="116"/>
  <c r="U110" i="119" l="1"/>
  <c r="U111" i="119"/>
  <c r="U112" i="119"/>
  <c r="U113" i="119"/>
  <c r="U114" i="119"/>
  <c r="U108" i="119"/>
  <c r="U109" i="119"/>
  <c r="U70" i="119"/>
  <c r="U68" i="119"/>
  <c r="U71" i="119"/>
  <c r="U67" i="119"/>
  <c r="U69" i="119"/>
  <c r="U63" i="119"/>
  <c r="U65" i="119"/>
  <c r="U66" i="119"/>
  <c r="U19" i="119"/>
  <c r="Z19" i="119" s="1"/>
  <c r="AA19" i="119" s="1"/>
  <c r="AB20" i="119" s="1"/>
  <c r="U27" i="119"/>
  <c r="U25" i="119"/>
  <c r="U26" i="119"/>
  <c r="U24" i="119"/>
  <c r="U23" i="119"/>
  <c r="U22" i="119"/>
  <c r="M105" i="119"/>
  <c r="U107" i="119"/>
  <c r="U105" i="119"/>
  <c r="U64" i="119"/>
  <c r="U62" i="119"/>
  <c r="U106" i="119"/>
  <c r="M68" i="123"/>
  <c r="O64" i="123"/>
  <c r="L71" i="123"/>
  <c r="L77" i="123" s="1"/>
  <c r="O66" i="123"/>
  <c r="H78" i="123"/>
  <c r="K77" i="123"/>
  <c r="K76" i="123"/>
  <c r="K78" i="123" s="1"/>
  <c r="U21" i="119"/>
  <c r="Z21" i="119" s="1"/>
  <c r="U28" i="119"/>
  <c r="U20" i="119"/>
  <c r="N19" i="119"/>
  <c r="Q52" i="116"/>
  <c r="H34" i="116"/>
  <c r="V109" i="119" l="1"/>
  <c r="W109" i="119"/>
  <c r="Z109" i="119"/>
  <c r="X109" i="119"/>
  <c r="X112" i="119"/>
  <c r="Z112" i="119"/>
  <c r="W112" i="119"/>
  <c r="V112" i="119"/>
  <c r="X113" i="119"/>
  <c r="W113" i="119"/>
  <c r="V113" i="119"/>
  <c r="Z113" i="119"/>
  <c r="V108" i="119"/>
  <c r="X108" i="119"/>
  <c r="W108" i="119"/>
  <c r="Z108" i="119"/>
  <c r="W111" i="119"/>
  <c r="X111" i="119"/>
  <c r="V111" i="119"/>
  <c r="Z111" i="119"/>
  <c r="X114" i="119"/>
  <c r="W114" i="119"/>
  <c r="Z114" i="119"/>
  <c r="V114" i="119"/>
  <c r="Z110" i="119"/>
  <c r="X110" i="119"/>
  <c r="V110" i="119"/>
  <c r="W110" i="119"/>
  <c r="W67" i="119"/>
  <c r="V67" i="119"/>
  <c r="Z67" i="119"/>
  <c r="X67" i="119"/>
  <c r="V66" i="119"/>
  <c r="W66" i="119"/>
  <c r="X66" i="119"/>
  <c r="Z66" i="119"/>
  <c r="Z65" i="119"/>
  <c r="V65" i="119"/>
  <c r="X65" i="119"/>
  <c r="W65" i="119"/>
  <c r="Z71" i="119"/>
  <c r="X71" i="119"/>
  <c r="V71" i="119"/>
  <c r="W71" i="119"/>
  <c r="X68" i="119"/>
  <c r="W68" i="119"/>
  <c r="V68" i="119"/>
  <c r="Z68" i="119"/>
  <c r="Z69" i="119"/>
  <c r="X69" i="119"/>
  <c r="V69" i="119"/>
  <c r="W69" i="119"/>
  <c r="X70" i="119"/>
  <c r="W70" i="119"/>
  <c r="Z70" i="119"/>
  <c r="V70" i="119"/>
  <c r="W26" i="119"/>
  <c r="V26" i="119"/>
  <c r="Z26" i="119"/>
  <c r="X26" i="119"/>
  <c r="V28" i="119"/>
  <c r="X28" i="119"/>
  <c r="Z28" i="119"/>
  <c r="V22" i="119"/>
  <c r="W22" i="119"/>
  <c r="X22" i="119"/>
  <c r="Z22" i="119"/>
  <c r="W25" i="119"/>
  <c r="V25" i="119"/>
  <c r="Z25" i="119"/>
  <c r="X25" i="119"/>
  <c r="W23" i="119"/>
  <c r="X23" i="119"/>
  <c r="V23" i="119"/>
  <c r="Z23" i="119"/>
  <c r="Z27" i="119"/>
  <c r="W27" i="119"/>
  <c r="V27" i="119"/>
  <c r="X27" i="119"/>
  <c r="X24" i="119"/>
  <c r="V24" i="119"/>
  <c r="Z24" i="119"/>
  <c r="W24" i="119"/>
  <c r="AB229" i="116"/>
  <c r="AB143" i="116"/>
  <c r="AB145" i="116" s="1"/>
  <c r="V62" i="119"/>
  <c r="X62" i="119"/>
  <c r="W62" i="119"/>
  <c r="Z62" i="119"/>
  <c r="AA62" i="119" s="1"/>
  <c r="Z105" i="119"/>
  <c r="AA105" i="119" s="1"/>
  <c r="AB106" i="119" s="1"/>
  <c r="V105" i="119"/>
  <c r="W105" i="119"/>
  <c r="X105" i="119"/>
  <c r="V106" i="119"/>
  <c r="X106" i="119"/>
  <c r="Z106" i="119"/>
  <c r="W106" i="119"/>
  <c r="Z63" i="119"/>
  <c r="V63" i="119"/>
  <c r="W63" i="119"/>
  <c r="X63" i="119"/>
  <c r="X64" i="119"/>
  <c r="V64" i="119"/>
  <c r="W64" i="119"/>
  <c r="Z64" i="119"/>
  <c r="X107" i="119"/>
  <c r="Z107" i="119"/>
  <c r="V107" i="119"/>
  <c r="W107" i="119"/>
  <c r="L76" i="123"/>
  <c r="L78" i="123" s="1"/>
  <c r="M69" i="123"/>
  <c r="BF74" i="123" s="1"/>
  <c r="M74" i="123" s="1"/>
  <c r="O68" i="123"/>
  <c r="K55" i="31" s="1"/>
  <c r="Z20" i="119"/>
  <c r="W28" i="119"/>
  <c r="W21" i="119"/>
  <c r="V21" i="119"/>
  <c r="X21" i="119"/>
  <c r="X20" i="119"/>
  <c r="W20" i="119"/>
  <c r="V20" i="119"/>
  <c r="W19" i="119"/>
  <c r="V19" i="119"/>
  <c r="X19" i="119"/>
  <c r="AB47" i="116"/>
  <c r="AB46" i="116"/>
  <c r="X166" i="164" l="1"/>
  <c r="H152" i="116"/>
  <c r="H236" i="116"/>
  <c r="AA106" i="119"/>
  <c r="AB107" i="119" s="1"/>
  <c r="X115" i="119"/>
  <c r="J119" i="119" s="1"/>
  <c r="AB63" i="119"/>
  <c r="AA63" i="119"/>
  <c r="W115" i="119"/>
  <c r="I118" i="119" s="1"/>
  <c r="W72" i="119"/>
  <c r="I75" i="119" s="1"/>
  <c r="V115" i="119"/>
  <c r="H117" i="119" s="1"/>
  <c r="X72" i="119"/>
  <c r="J76" i="119" s="1"/>
  <c r="V72" i="119"/>
  <c r="H74" i="119" s="1"/>
  <c r="M75" i="123"/>
  <c r="O74" i="123"/>
  <c r="BA159" i="28" s="1"/>
  <c r="H159" i="28" s="1"/>
  <c r="M71" i="123"/>
  <c r="O69" i="123"/>
  <c r="BA68" i="123" s="1"/>
  <c r="AA20" i="119"/>
  <c r="W29" i="119"/>
  <c r="I32" i="119" s="1"/>
  <c r="X29" i="119"/>
  <c r="J33" i="119" s="1"/>
  <c r="V29" i="119"/>
  <c r="H31" i="119" s="1"/>
  <c r="L25" i="117"/>
  <c r="F34" i="70"/>
  <c r="F33" i="70"/>
  <c r="F32" i="70"/>
  <c r="AA107" i="119" l="1"/>
  <c r="T35" i="119"/>
  <c r="I201" i="119"/>
  <c r="K17" i="42" s="1"/>
  <c r="U17" i="42" s="1"/>
  <c r="Q18" i="126" s="1"/>
  <c r="AA64" i="119"/>
  <c r="AB64" i="119"/>
  <c r="U121" i="119"/>
  <c r="T121" i="119"/>
  <c r="K121" i="119" s="1"/>
  <c r="M121" i="119" s="1"/>
  <c r="U78" i="119"/>
  <c r="T78" i="119"/>
  <c r="K78" i="119" s="1"/>
  <c r="M78" i="119" s="1"/>
  <c r="O75" i="123"/>
  <c r="M76" i="123"/>
  <c r="O76" i="123" s="1"/>
  <c r="AZ159" i="28" s="1"/>
  <c r="H160" i="28" s="1"/>
  <c r="M77" i="123"/>
  <c r="O77" i="123" s="1"/>
  <c r="O71" i="123"/>
  <c r="BA81" i="123"/>
  <c r="K81" i="123" s="1"/>
  <c r="S86" i="123" s="1"/>
  <c r="Q15" i="77"/>
  <c r="G20" i="84"/>
  <c r="U35" i="119"/>
  <c r="AB21" i="119"/>
  <c r="AA21" i="119"/>
  <c r="Q23" i="116"/>
  <c r="O17" i="42"/>
  <c r="W5" i="119"/>
  <c r="V12" i="119"/>
  <c r="AB108" i="119" l="1"/>
  <c r="AA108" i="119"/>
  <c r="AB65" i="119"/>
  <c r="AA65" i="119"/>
  <c r="AA22" i="119"/>
  <c r="AB22" i="119"/>
  <c r="W18" i="126"/>
  <c r="AC18" i="126"/>
  <c r="V17" i="42"/>
  <c r="T17" i="42"/>
  <c r="N18" i="126" s="1"/>
  <c r="X17" i="42"/>
  <c r="R18" i="126" s="1"/>
  <c r="M78" i="123"/>
  <c r="O78" i="123" s="1"/>
  <c r="S88" i="123"/>
  <c r="E97" i="2" s="1"/>
  <c r="C97" i="2" s="1"/>
  <c r="S96" i="123"/>
  <c r="I20" i="84"/>
  <c r="O20" i="84"/>
  <c r="N28" i="119"/>
  <c r="N29" i="119" s="1"/>
  <c r="S4" i="119"/>
  <c r="BC4" i="116"/>
  <c r="BC23" i="116"/>
  <c r="BC25" i="116"/>
  <c r="BC21" i="116"/>
  <c r="BC19" i="116"/>
  <c r="BC11" i="116"/>
  <c r="BC10" i="116"/>
  <c r="BC24" i="116"/>
  <c r="BC12" i="116"/>
  <c r="BC6" i="116"/>
  <c r="BC5" i="116"/>
  <c r="BC13" i="116"/>
  <c r="BC3" i="116"/>
  <c r="BC18" i="116"/>
  <c r="BC8" i="116"/>
  <c r="BC9" i="116"/>
  <c r="BC7" i="116"/>
  <c r="BC20" i="116"/>
  <c r="BC17" i="116"/>
  <c r="BC16" i="116"/>
  <c r="BC22" i="116"/>
  <c r="BC15" i="116"/>
  <c r="BC14" i="116"/>
  <c r="AU8" i="116"/>
  <c r="Q47" i="116"/>
  <c r="O18" i="126" l="1"/>
  <c r="AB109" i="119"/>
  <c r="AA109" i="119"/>
  <c r="M64" i="119"/>
  <c r="M65" i="119"/>
  <c r="M63" i="119"/>
  <c r="M66" i="119"/>
  <c r="M62" i="119"/>
  <c r="AB66" i="119"/>
  <c r="AA66" i="119"/>
  <c r="AA23" i="119"/>
  <c r="AB23" i="119"/>
  <c r="AB207" i="116"/>
  <c r="I43" i="116"/>
  <c r="H209" i="116"/>
  <c r="AB123" i="116"/>
  <c r="H125" i="116"/>
  <c r="AD18" i="126"/>
  <c r="AE18" i="126" s="1"/>
  <c r="Y18" i="126"/>
  <c r="X18" i="126"/>
  <c r="Z18" i="126"/>
  <c r="AA18" i="126" s="1"/>
  <c r="AB18" i="126" s="1"/>
  <c r="T18" i="126"/>
  <c r="N20" i="84"/>
  <c r="P19" i="84"/>
  <c r="Q34" i="70"/>
  <c r="L23" i="117"/>
  <c r="O21" i="117"/>
  <c r="N20" i="117"/>
  <c r="L20" i="117" s="1"/>
  <c r="N19" i="117"/>
  <c r="L19" i="117" s="1"/>
  <c r="N18" i="117"/>
  <c r="L18" i="117" s="1"/>
  <c r="P17" i="117"/>
  <c r="P18" i="117" s="1"/>
  <c r="N17" i="117"/>
  <c r="L13" i="117"/>
  <c r="L11" i="117"/>
  <c r="N5" i="117"/>
  <c r="AB65" i="116"/>
  <c r="Q79" i="116"/>
  <c r="AB63" i="116"/>
  <c r="Q76" i="116"/>
  <c r="Q71" i="116"/>
  <c r="AB49" i="116"/>
  <c r="Q50" i="116"/>
  <c r="Q43" i="116"/>
  <c r="Q40" i="116"/>
  <c r="Q37" i="116"/>
  <c r="Q36" i="116"/>
  <c r="AM23" i="116"/>
  <c r="AK22" i="116"/>
  <c r="AB48" i="116" s="1"/>
  <c r="Q31" i="116"/>
  <c r="Q29" i="116"/>
  <c r="Q27" i="116"/>
  <c r="Q25" i="116"/>
  <c r="Q21" i="116"/>
  <c r="T65" i="115"/>
  <c r="Q60" i="115"/>
  <c r="T56" i="115"/>
  <c r="Q56" i="115"/>
  <c r="W53" i="115"/>
  <c r="V53" i="115"/>
  <c r="U53" i="115"/>
  <c r="L53" i="115"/>
  <c r="W52" i="115"/>
  <c r="V52" i="115"/>
  <c r="U52" i="115"/>
  <c r="L52" i="115"/>
  <c r="W51" i="115"/>
  <c r="V51" i="115"/>
  <c r="U51" i="115"/>
  <c r="L51" i="115"/>
  <c r="W20" i="115"/>
  <c r="V20" i="115"/>
  <c r="U20" i="115"/>
  <c r="L20" i="115"/>
  <c r="W19" i="115"/>
  <c r="V19" i="115"/>
  <c r="U19" i="115"/>
  <c r="L19" i="115"/>
  <c r="W18" i="115"/>
  <c r="V18" i="115"/>
  <c r="U18" i="115"/>
  <c r="L18" i="115"/>
  <c r="W17" i="115"/>
  <c r="V17" i="115"/>
  <c r="U17" i="115"/>
  <c r="L17" i="115"/>
  <c r="W16" i="115"/>
  <c r="V16" i="115"/>
  <c r="U16" i="115"/>
  <c r="L16" i="115"/>
  <c r="W15" i="115"/>
  <c r="V15" i="115"/>
  <c r="U15" i="115"/>
  <c r="L15" i="115"/>
  <c r="W14" i="115"/>
  <c r="V14" i="115"/>
  <c r="U14" i="115"/>
  <c r="L14" i="115"/>
  <c r="U2" i="115"/>
  <c r="U3" i="115" s="1"/>
  <c r="G13" i="115" s="1"/>
  <c r="P65" i="114"/>
  <c r="M59" i="114"/>
  <c r="L53" i="114"/>
  <c r="R52" i="114"/>
  <c r="Q52" i="114"/>
  <c r="R51" i="114"/>
  <c r="Q51" i="114"/>
  <c r="R17" i="114"/>
  <c r="Q17" i="114"/>
  <c r="N17" i="114"/>
  <c r="R16" i="114"/>
  <c r="Q16" i="114"/>
  <c r="N16" i="114"/>
  <c r="R15" i="114"/>
  <c r="Q15" i="114"/>
  <c r="N15" i="114"/>
  <c r="R14" i="114"/>
  <c r="Q14" i="114"/>
  <c r="N14" i="114"/>
  <c r="R13" i="114"/>
  <c r="Q13" i="114"/>
  <c r="R12" i="114"/>
  <c r="Q12" i="114"/>
  <c r="N12" i="114"/>
  <c r="N89" i="113"/>
  <c r="N86" i="113"/>
  <c r="N85" i="113"/>
  <c r="N84" i="113"/>
  <c r="N83" i="113"/>
  <c r="N82" i="113"/>
  <c r="N81" i="113"/>
  <c r="N80" i="113"/>
  <c r="N79" i="113"/>
  <c r="N78" i="113"/>
  <c r="N77" i="113"/>
  <c r="N76" i="113"/>
  <c r="N75" i="113"/>
  <c r="N7" i="113"/>
  <c r="M68" i="114" l="1"/>
  <c r="AB110" i="119"/>
  <c r="AA110" i="119"/>
  <c r="AA67" i="119"/>
  <c r="AB67" i="119"/>
  <c r="AB24" i="119"/>
  <c r="AA24" i="119"/>
  <c r="AB210" i="116"/>
  <c r="H206" i="116"/>
  <c r="AM193" i="116"/>
  <c r="AM110" i="116"/>
  <c r="AM195" i="116"/>
  <c r="AM112" i="116"/>
  <c r="AM196" i="116"/>
  <c r="AM111" i="116"/>
  <c r="AM194" i="116"/>
  <c r="AM109" i="116"/>
  <c r="AB126" i="116"/>
  <c r="H122" i="116"/>
  <c r="AD204" i="116"/>
  <c r="AD120" i="116"/>
  <c r="N51" i="114"/>
  <c r="H51" i="114"/>
  <c r="N52" i="114"/>
  <c r="H52" i="114"/>
  <c r="S13" i="114"/>
  <c r="S17" i="114"/>
  <c r="V18" i="126"/>
  <c r="U18" i="126"/>
  <c r="G17" i="117"/>
  <c r="K17" i="117" s="1"/>
  <c r="Q17" i="117" s="1"/>
  <c r="S15" i="114"/>
  <c r="S52" i="114"/>
  <c r="X15" i="115"/>
  <c r="M15" i="115" s="1"/>
  <c r="P15" i="115" s="1"/>
  <c r="X16" i="115"/>
  <c r="M16" i="115" s="1"/>
  <c r="P16" i="115" s="1"/>
  <c r="X17" i="115"/>
  <c r="M17" i="115" s="1"/>
  <c r="P17" i="115" s="1"/>
  <c r="X18" i="115"/>
  <c r="M18" i="115" s="1"/>
  <c r="P18" i="115" s="1"/>
  <c r="X20" i="115"/>
  <c r="M20" i="115" s="1"/>
  <c r="P20" i="115" s="1"/>
  <c r="X51" i="115"/>
  <c r="M51" i="115" s="1"/>
  <c r="P51" i="115" s="1"/>
  <c r="X52" i="115"/>
  <c r="M52" i="115" s="1"/>
  <c r="P52" i="115" s="1"/>
  <c r="X53" i="115"/>
  <c r="M53" i="115" s="1"/>
  <c r="P53" i="115" s="1"/>
  <c r="S14" i="114"/>
  <c r="S16" i="114"/>
  <c r="S51" i="114"/>
  <c r="L17" i="117"/>
  <c r="L26" i="117" s="1"/>
  <c r="S12" i="114"/>
  <c r="N13" i="114"/>
  <c r="AB60" i="116"/>
  <c r="AB59" i="116"/>
  <c r="AM27" i="116"/>
  <c r="AM28" i="116"/>
  <c r="AM26" i="116"/>
  <c r="X14" i="115"/>
  <c r="M14" i="115" s="1"/>
  <c r="L54" i="115"/>
  <c r="X19" i="115"/>
  <c r="M19" i="115" s="1"/>
  <c r="P19" i="115" s="1"/>
  <c r="U75" i="113"/>
  <c r="H75" i="113" s="1"/>
  <c r="N98" i="113"/>
  <c r="H91" i="113" s="1"/>
  <c r="AB39" i="116"/>
  <c r="Q66" i="116"/>
  <c r="Q67" i="116"/>
  <c r="N15" i="42"/>
  <c r="O15" i="42" s="1"/>
  <c r="P19" i="117"/>
  <c r="G18" i="117"/>
  <c r="K18" i="117" s="1"/>
  <c r="Q18" i="117" s="1"/>
  <c r="AE2" i="116"/>
  <c r="AM25" i="116"/>
  <c r="AB32" i="116"/>
  <c r="AB33" i="116"/>
  <c r="AB36" i="116"/>
  <c r="AB37" i="116" s="1"/>
  <c r="U4" i="115"/>
  <c r="R10" i="115"/>
  <c r="Q18" i="115" l="1"/>
  <c r="O52" i="114"/>
  <c r="AB111" i="119"/>
  <c r="AA111" i="119"/>
  <c r="AB68" i="119"/>
  <c r="AA68" i="119"/>
  <c r="AA25" i="119"/>
  <c r="AB25" i="119"/>
  <c r="Q84" i="116"/>
  <c r="J12" i="116" s="1"/>
  <c r="P12" i="116" s="1"/>
  <c r="M91" i="113"/>
  <c r="G96" i="113"/>
  <c r="M95" i="113" s="1"/>
  <c r="G43" i="116"/>
  <c r="G44" i="116"/>
  <c r="AB128" i="116"/>
  <c r="H130" i="116"/>
  <c r="H214" i="116"/>
  <c r="AB212" i="116"/>
  <c r="M75" i="113"/>
  <c r="S75" i="113" s="1"/>
  <c r="Q53" i="115"/>
  <c r="Y53" i="115"/>
  <c r="Y19" i="115"/>
  <c r="L47" i="114"/>
  <c r="L43" i="114"/>
  <c r="L39" i="114"/>
  <c r="L35" i="114"/>
  <c r="L31" i="114"/>
  <c r="L27" i="114"/>
  <c r="L23" i="114"/>
  <c r="L19" i="114"/>
  <c r="L50" i="114"/>
  <c r="L46" i="114"/>
  <c r="L42" i="114"/>
  <c r="L38" i="114"/>
  <c r="L34" i="114"/>
  <c r="L30" i="114"/>
  <c r="L26" i="114"/>
  <c r="L22" i="114"/>
  <c r="L18" i="114"/>
  <c r="L49" i="114"/>
  <c r="L45" i="114"/>
  <c r="L41" i="114"/>
  <c r="L37" i="114"/>
  <c r="L33" i="114"/>
  <c r="L29" i="114"/>
  <c r="L25" i="114"/>
  <c r="L21" i="114"/>
  <c r="L48" i="114"/>
  <c r="L44" i="114"/>
  <c r="L40" i="114"/>
  <c r="L36" i="114"/>
  <c r="L32" i="114"/>
  <c r="L28" i="114"/>
  <c r="L24" i="114"/>
  <c r="L20" i="114"/>
  <c r="Y51" i="115"/>
  <c r="Y18" i="115"/>
  <c r="Q19" i="115"/>
  <c r="Q20" i="115"/>
  <c r="Y20" i="115"/>
  <c r="Q15" i="115"/>
  <c r="Y15" i="115"/>
  <c r="Y16" i="115"/>
  <c r="Q16" i="115"/>
  <c r="Q51" i="115"/>
  <c r="Y52" i="115"/>
  <c r="Q17" i="115"/>
  <c r="Y17" i="115"/>
  <c r="Q52" i="115"/>
  <c r="U76" i="113"/>
  <c r="H76" i="113" s="1"/>
  <c r="L58" i="115"/>
  <c r="M60" i="115" s="1"/>
  <c r="M56" i="115"/>
  <c r="P56" i="115" s="1"/>
  <c r="Q14" i="115"/>
  <c r="P14" i="115"/>
  <c r="Y14" i="115"/>
  <c r="H11" i="117"/>
  <c r="K11" i="117" s="1"/>
  <c r="F25" i="117"/>
  <c r="K25" i="117" s="1"/>
  <c r="I8" i="114"/>
  <c r="L8" i="114" s="1"/>
  <c r="G64" i="114"/>
  <c r="L64" i="114" s="1"/>
  <c r="L12" i="114"/>
  <c r="L13" i="114"/>
  <c r="AB61" i="116"/>
  <c r="H68" i="116" s="1"/>
  <c r="AB34" i="116"/>
  <c r="H13" i="117"/>
  <c r="H7" i="113"/>
  <c r="M7" i="113" s="1"/>
  <c r="G97" i="113"/>
  <c r="M97" i="113" s="1"/>
  <c r="G19" i="117"/>
  <c r="K19" i="117" s="1"/>
  <c r="Q19" i="117" s="1"/>
  <c r="P20" i="117"/>
  <c r="U77" i="113"/>
  <c r="H77" i="113" s="1"/>
  <c r="U78" i="113"/>
  <c r="H78" i="113" s="1"/>
  <c r="AB112" i="119" l="1"/>
  <c r="AA112" i="119"/>
  <c r="AA69" i="119"/>
  <c r="AB69" i="119"/>
  <c r="AA26" i="119"/>
  <c r="AB26" i="119"/>
  <c r="I67" i="116"/>
  <c r="I66" i="116"/>
  <c r="H19" i="116"/>
  <c r="I52" i="116"/>
  <c r="K19" i="116"/>
  <c r="K25" i="116"/>
  <c r="P25" i="116" s="1"/>
  <c r="K29" i="116"/>
  <c r="I37" i="116"/>
  <c r="H21" i="116"/>
  <c r="K23" i="116"/>
  <c r="K21" i="116"/>
  <c r="K31" i="116"/>
  <c r="P31" i="116" s="1"/>
  <c r="J14" i="116"/>
  <c r="I50" i="116"/>
  <c r="I36" i="116"/>
  <c r="I47" i="116"/>
  <c r="I40" i="116"/>
  <c r="Q430" i="116"/>
  <c r="AB134" i="116"/>
  <c r="AB135" i="116" s="1"/>
  <c r="AB137" i="116" s="1"/>
  <c r="H132" i="116"/>
  <c r="AB218" i="116"/>
  <c r="AB219" i="116" s="1"/>
  <c r="H216" i="116"/>
  <c r="M76" i="113"/>
  <c r="S76" i="113" s="1"/>
  <c r="Z53" i="115"/>
  <c r="Q69" i="115"/>
  <c r="M10" i="115" s="1"/>
  <c r="P10" i="115" s="1"/>
  <c r="P29" i="116"/>
  <c r="J76" i="116"/>
  <c r="L62" i="115"/>
  <c r="P60" i="115"/>
  <c r="K13" i="117"/>
  <c r="L14" i="114"/>
  <c r="L52" i="114"/>
  <c r="L51" i="114"/>
  <c r="L17" i="114"/>
  <c r="H17" i="114"/>
  <c r="L16" i="114"/>
  <c r="L15" i="114"/>
  <c r="H79" i="116"/>
  <c r="H38" i="116"/>
  <c r="AD36" i="116"/>
  <c r="Q24" i="117"/>
  <c r="G20" i="117"/>
  <c r="K20" i="117" s="1"/>
  <c r="U79" i="113"/>
  <c r="H79" i="113" s="1"/>
  <c r="M77" i="113"/>
  <c r="S77" i="113" s="1"/>
  <c r="M78" i="113"/>
  <c r="S78" i="113" s="1"/>
  <c r="AB113" i="119" l="1"/>
  <c r="AA113" i="119"/>
  <c r="AB70" i="119"/>
  <c r="AA70" i="119"/>
  <c r="AA27" i="119"/>
  <c r="AB27" i="119"/>
  <c r="H135" i="116"/>
  <c r="AB141" i="116"/>
  <c r="H137" i="116"/>
  <c r="AB221" i="116"/>
  <c r="H219" i="116"/>
  <c r="H65" i="115"/>
  <c r="P65" i="115" s="1"/>
  <c r="P69" i="115" s="1"/>
  <c r="P70" i="115" s="1"/>
  <c r="E93" i="2" s="1"/>
  <c r="C93" i="2" s="1"/>
  <c r="H53" i="114"/>
  <c r="I55" i="114" s="1"/>
  <c r="AB42" i="116"/>
  <c r="H46" i="116" s="1"/>
  <c r="Q20" i="117"/>
  <c r="Q21" i="117" s="1"/>
  <c r="M79" i="113"/>
  <c r="S79" i="113" s="1"/>
  <c r="U80" i="113"/>
  <c r="H80" i="113" s="1"/>
  <c r="AB114" i="119" l="1"/>
  <c r="AB115" i="119" s="1"/>
  <c r="J118" i="119" s="1"/>
  <c r="M118" i="119" s="1"/>
  <c r="AA114" i="119"/>
  <c r="AA115" i="119" s="1"/>
  <c r="AA71" i="119"/>
  <c r="AA72" i="119" s="1"/>
  <c r="AB71" i="119"/>
  <c r="AB72" i="119" s="1"/>
  <c r="J75" i="119" s="1"/>
  <c r="M75" i="119" s="1"/>
  <c r="M85" i="119" s="1"/>
  <c r="AA28" i="119"/>
  <c r="AA29" i="119" s="1"/>
  <c r="AB28" i="119"/>
  <c r="AB29" i="119" s="1"/>
  <c r="J32" i="119" s="1"/>
  <c r="M32" i="119" s="1"/>
  <c r="AB146" i="116"/>
  <c r="H148" i="116"/>
  <c r="AB225" i="116"/>
  <c r="H221" i="116"/>
  <c r="H41" i="116"/>
  <c r="AB44" i="116"/>
  <c r="L55" i="114"/>
  <c r="H57" i="114"/>
  <c r="I59" i="114" s="1"/>
  <c r="L59" i="114" s="1"/>
  <c r="F21" i="117"/>
  <c r="G21" i="117" s="1"/>
  <c r="Q22" i="117"/>
  <c r="U81" i="113"/>
  <c r="H81" i="113" s="1"/>
  <c r="M81" i="113" s="1"/>
  <c r="M80" i="113"/>
  <c r="S80" i="113" s="1"/>
  <c r="I155" i="116" l="1"/>
  <c r="P155" i="116" s="1"/>
  <c r="AB148" i="116"/>
  <c r="AB150" i="116" s="1"/>
  <c r="H154" i="116"/>
  <c r="H232" i="116"/>
  <c r="AB230" i="116"/>
  <c r="K21" i="117"/>
  <c r="H23" i="117"/>
  <c r="K23" i="117" s="1"/>
  <c r="H61" i="114"/>
  <c r="L68" i="114"/>
  <c r="L69" i="114" s="1"/>
  <c r="E92" i="2" s="1"/>
  <c r="C92" i="2" s="1"/>
  <c r="AB50" i="116"/>
  <c r="AB51" i="116" s="1"/>
  <c r="G24" i="117"/>
  <c r="U82" i="113"/>
  <c r="H82" i="113" s="1"/>
  <c r="S81" i="113"/>
  <c r="H156" i="116" l="1"/>
  <c r="I158" i="116" s="1"/>
  <c r="P158" i="116" s="1"/>
  <c r="P168" i="116" s="1"/>
  <c r="I239" i="116"/>
  <c r="P239" i="116" s="1"/>
  <c r="H238" i="116"/>
  <c r="AB232" i="116"/>
  <c r="AB234" i="116" s="1"/>
  <c r="AB53" i="116"/>
  <c r="AB57" i="116" s="1"/>
  <c r="AB62" i="116" s="1"/>
  <c r="N23" i="117"/>
  <c r="N25" i="117" s="1"/>
  <c r="V23" i="117"/>
  <c r="V25" i="117" s="1"/>
  <c r="K26" i="117"/>
  <c r="K27" i="117" s="1"/>
  <c r="E95" i="2" s="1"/>
  <c r="C95" i="2" s="1"/>
  <c r="U83" i="113"/>
  <c r="H83" i="113" s="1"/>
  <c r="M82" i="113"/>
  <c r="S82" i="113" s="1"/>
  <c r="H240" i="116" l="1"/>
  <c r="I242" i="116" s="1"/>
  <c r="P242" i="116" s="1"/>
  <c r="P252" i="116" s="1"/>
  <c r="H70" i="116"/>
  <c r="I71" i="116"/>
  <c r="AB64" i="116"/>
  <c r="AB66" i="116" s="1"/>
  <c r="U84" i="113"/>
  <c r="H84" i="113" s="1"/>
  <c r="M83" i="113"/>
  <c r="S83" i="113" s="1"/>
  <c r="M84" i="113" l="1"/>
  <c r="S84" i="113" s="1"/>
  <c r="U85" i="113"/>
  <c r="H85" i="113" s="1"/>
  <c r="U86" i="113"/>
  <c r="H86" i="113" s="1"/>
  <c r="M86" i="113" l="1"/>
  <c r="S86" i="113" s="1"/>
  <c r="M85" i="113"/>
  <c r="S85" i="113" s="1"/>
  <c r="S87" i="113" l="1"/>
  <c r="S89" i="113" s="1"/>
  <c r="G90" i="113" s="1"/>
  <c r="H89" i="113" s="1"/>
  <c r="G87" i="113" l="1"/>
  <c r="F15" i="70" s="1"/>
  <c r="M89" i="113"/>
  <c r="C22" i="97"/>
  <c r="N19" i="112"/>
  <c r="S34" i="112"/>
  <c r="I34" i="112" s="1"/>
  <c r="O3" i="112"/>
  <c r="BA108" i="43"/>
  <c r="T54" i="29"/>
  <c r="T55" i="29"/>
  <c r="T30" i="29"/>
  <c r="P62" i="29"/>
  <c r="N1" i="112" s="1"/>
  <c r="X10" i="29"/>
  <c r="W10" i="29" s="1"/>
  <c r="T10" i="29" s="1"/>
  <c r="T77" i="29"/>
  <c r="BA32" i="43"/>
  <c r="BD32" i="43" s="1"/>
  <c r="T59" i="29"/>
  <c r="N61" i="29"/>
  <c r="N63" i="29"/>
  <c r="O54" i="29"/>
  <c r="M55" i="29" s="1"/>
  <c r="O55" i="29"/>
  <c r="N10" i="100"/>
  <c r="G10" i="100" s="1"/>
  <c r="K1" i="101"/>
  <c r="AA1" i="101"/>
  <c r="L5" i="42"/>
  <c r="L19" i="42"/>
  <c r="L48" i="42"/>
  <c r="R17" i="126"/>
  <c r="K19" i="42"/>
  <c r="K48" i="42"/>
  <c r="AZ13" i="77"/>
  <c r="BA13" i="77"/>
  <c r="T42" i="100"/>
  <c r="R42" i="100" s="1"/>
  <c r="R43" i="100" s="1"/>
  <c r="R44" i="100" s="1"/>
  <c r="R45" i="100" s="1"/>
  <c r="J46" i="100"/>
  <c r="S27" i="76"/>
  <c r="P30" i="29"/>
  <c r="V19" i="76" s="1"/>
  <c r="AN3" i="77"/>
  <c r="AM3" i="77" s="1"/>
  <c r="T19" i="76"/>
  <c r="Z1" i="10"/>
  <c r="Q1" i="10"/>
  <c r="W228" i="10"/>
  <c r="L228" i="10" s="1"/>
  <c r="X228" i="10"/>
  <c r="W229" i="10"/>
  <c r="L229" i="10" s="1"/>
  <c r="X229" i="10"/>
  <c r="W251" i="10"/>
  <c r="L251" i="10" s="1"/>
  <c r="X251" i="10"/>
  <c r="W252" i="10"/>
  <c r="L252" i="10" s="1"/>
  <c r="X252" i="10"/>
  <c r="W253" i="10"/>
  <c r="L253" i="10" s="1"/>
  <c r="X253" i="10"/>
  <c r="W254" i="10"/>
  <c r="L254" i="10" s="1"/>
  <c r="X254" i="10"/>
  <c r="W255" i="10"/>
  <c r="L255" i="10" s="1"/>
  <c r="X255" i="10"/>
  <c r="W256" i="10"/>
  <c r="L256" i="10" s="1"/>
  <c r="X256" i="10"/>
  <c r="W257" i="10"/>
  <c r="L257" i="10" s="1"/>
  <c r="X257" i="10"/>
  <c r="W258" i="10"/>
  <c r="L258" i="10" s="1"/>
  <c r="X258" i="10"/>
  <c r="W259" i="10"/>
  <c r="L259" i="10" s="1"/>
  <c r="X259" i="10"/>
  <c r="W260" i="10"/>
  <c r="L260" i="10" s="1"/>
  <c r="X260" i="10"/>
  <c r="W261" i="10"/>
  <c r="L261" i="10" s="1"/>
  <c r="X261" i="10"/>
  <c r="W262" i="10"/>
  <c r="L262" i="10" s="1"/>
  <c r="X262" i="10"/>
  <c r="W263" i="10"/>
  <c r="L263" i="10" s="1"/>
  <c r="X263" i="10"/>
  <c r="W264" i="10"/>
  <c r="L264" i="10" s="1"/>
  <c r="X264" i="10"/>
  <c r="W265" i="10"/>
  <c r="L265" i="10" s="1"/>
  <c r="X265" i="10"/>
  <c r="W266" i="10"/>
  <c r="L266" i="10" s="1"/>
  <c r="X266" i="10"/>
  <c r="W267" i="10"/>
  <c r="L267" i="10" s="1"/>
  <c r="X267" i="10"/>
  <c r="W268" i="10"/>
  <c r="L268" i="10" s="1"/>
  <c r="X268" i="10"/>
  <c r="W269" i="10"/>
  <c r="L269" i="10" s="1"/>
  <c r="X269" i="10"/>
  <c r="W270" i="10"/>
  <c r="L270" i="10" s="1"/>
  <c r="X270" i="10"/>
  <c r="V74" i="10"/>
  <c r="T74" i="10" s="1"/>
  <c r="AA36" i="53"/>
  <c r="BF94" i="83"/>
  <c r="BE94" i="83"/>
  <c r="O10" i="29"/>
  <c r="V17" i="76" s="1"/>
  <c r="U22" i="76"/>
  <c r="U53" i="76" s="1"/>
  <c r="P19" i="76"/>
  <c r="Y118" i="83"/>
  <c r="M15" i="109"/>
  <c r="H17" i="109" s="1"/>
  <c r="Q24" i="109" s="1"/>
  <c r="T15" i="109"/>
  <c r="V15" i="109" s="1"/>
  <c r="X15" i="109" s="1"/>
  <c r="T17" i="109" s="1"/>
  <c r="P24" i="109"/>
  <c r="P26" i="109" s="1"/>
  <c r="M19" i="109"/>
  <c r="M21" i="109"/>
  <c r="M12" i="109"/>
  <c r="M13" i="109"/>
  <c r="Q6" i="109"/>
  <c r="S23" i="112"/>
  <c r="BA113" i="43"/>
  <c r="S22" i="112"/>
  <c r="AK29" i="112"/>
  <c r="AK31" i="112"/>
  <c r="AK32" i="112" s="1"/>
  <c r="AK33" i="112" s="1"/>
  <c r="AL29" i="112"/>
  <c r="AL31" i="112"/>
  <c r="AL32" i="112" s="1"/>
  <c r="AL33" i="112" s="1"/>
  <c r="AM29" i="112"/>
  <c r="AM31" i="112"/>
  <c r="AM32" i="112" s="1"/>
  <c r="AM33" i="112" s="1"/>
  <c r="AJ29" i="112"/>
  <c r="AJ31" i="112"/>
  <c r="AJ32" i="112" s="1"/>
  <c r="AJ33" i="112" s="1"/>
  <c r="AJ22" i="112"/>
  <c r="AL22" i="112"/>
  <c r="AM22" i="112" s="1"/>
  <c r="AN22" i="112" s="1"/>
  <c r="AJ3" i="3"/>
  <c r="C1" i="9" s="1"/>
  <c r="S24" i="112"/>
  <c r="S35" i="112"/>
  <c r="S36" i="112"/>
  <c r="S37" i="112"/>
  <c r="S38" i="112"/>
  <c r="S39" i="112"/>
  <c r="S40" i="112"/>
  <c r="T66" i="112"/>
  <c r="U66" i="112"/>
  <c r="V66" i="112"/>
  <c r="T67" i="112"/>
  <c r="U67" i="112"/>
  <c r="V67" i="112"/>
  <c r="T68" i="112"/>
  <c r="U68" i="112"/>
  <c r="V68" i="112"/>
  <c r="T69" i="112"/>
  <c r="U69" i="112"/>
  <c r="V69" i="112"/>
  <c r="T70" i="112"/>
  <c r="U70" i="112"/>
  <c r="V70" i="112"/>
  <c r="T71" i="112"/>
  <c r="U71" i="112"/>
  <c r="V71" i="112"/>
  <c r="T72" i="112"/>
  <c r="U72" i="112"/>
  <c r="V72" i="112"/>
  <c r="T73" i="112"/>
  <c r="U73" i="112"/>
  <c r="V73" i="112"/>
  <c r="T74" i="112"/>
  <c r="U74" i="112"/>
  <c r="V74" i="112"/>
  <c r="T75" i="112"/>
  <c r="U75" i="112"/>
  <c r="V75" i="112"/>
  <c r="T76" i="112"/>
  <c r="U76" i="112"/>
  <c r="V76" i="112"/>
  <c r="T77" i="112"/>
  <c r="U77" i="112"/>
  <c r="V77" i="112"/>
  <c r="T78" i="112"/>
  <c r="U78" i="112"/>
  <c r="V78" i="112"/>
  <c r="T79" i="112"/>
  <c r="U79" i="112"/>
  <c r="V79" i="112"/>
  <c r="T80" i="112"/>
  <c r="U80" i="112"/>
  <c r="V80" i="112"/>
  <c r="T782" i="112"/>
  <c r="U782" i="112"/>
  <c r="V782" i="112"/>
  <c r="T783" i="112"/>
  <c r="U783" i="112"/>
  <c r="V783" i="112"/>
  <c r="F7" i="1"/>
  <c r="D5" i="1" s="1"/>
  <c r="T34" i="112"/>
  <c r="T35" i="112"/>
  <c r="T36" i="112"/>
  <c r="T37" i="112"/>
  <c r="T38" i="112"/>
  <c r="T39" i="112"/>
  <c r="T40" i="112"/>
  <c r="J786" i="112"/>
  <c r="I786" i="112"/>
  <c r="I25" i="112"/>
  <c r="H25" i="112"/>
  <c r="G25" i="112"/>
  <c r="F25" i="112"/>
  <c r="AL24" i="112"/>
  <c r="AM24" i="112" s="1"/>
  <c r="AN24" i="112" s="1"/>
  <c r="AO24" i="112" s="1"/>
  <c r="AJ24" i="112"/>
  <c r="AL23" i="112"/>
  <c r="AM23" i="112" s="1"/>
  <c r="AN23" i="112" s="1"/>
  <c r="AO23" i="112" s="1"/>
  <c r="AJ23" i="112"/>
  <c r="O12" i="109"/>
  <c r="O28" i="109"/>
  <c r="M26" i="109"/>
  <c r="O30" i="109"/>
  <c r="T21" i="109"/>
  <c r="W27" i="109" s="1"/>
  <c r="H27" i="109"/>
  <c r="O10" i="110"/>
  <c r="M16" i="110"/>
  <c r="AC16" i="110"/>
  <c r="N16" i="110"/>
  <c r="AD16" i="110"/>
  <c r="O16" i="110"/>
  <c r="AE16" i="110"/>
  <c r="M17" i="110"/>
  <c r="AC17" i="110"/>
  <c r="AD17" i="110"/>
  <c r="AE17" i="110"/>
  <c r="M18" i="110"/>
  <c r="AC18" i="110"/>
  <c r="AD18" i="110"/>
  <c r="AE18" i="110"/>
  <c r="M19" i="110"/>
  <c r="AC19" i="110"/>
  <c r="AD19" i="110"/>
  <c r="AE19" i="110"/>
  <c r="T10" i="110"/>
  <c r="V21" i="110" s="1"/>
  <c r="Q16" i="110"/>
  <c r="R16" i="110"/>
  <c r="S16" i="110"/>
  <c r="Q17" i="110"/>
  <c r="Q18" i="110"/>
  <c r="Q19" i="110"/>
  <c r="Q6" i="110"/>
  <c r="T25" i="110" s="1"/>
  <c r="M10" i="110"/>
  <c r="M12" i="110"/>
  <c r="M13" i="110"/>
  <c r="M29" i="110"/>
  <c r="M25" i="110"/>
  <c r="O36" i="110"/>
  <c r="N17" i="110"/>
  <c r="O17" i="110"/>
  <c r="N18" i="110"/>
  <c r="O18" i="110"/>
  <c r="N19" i="110"/>
  <c r="O19" i="110"/>
  <c r="O38" i="110"/>
  <c r="B38" i="110"/>
  <c r="T29" i="110"/>
  <c r="W35" i="110" s="1"/>
  <c r="H35" i="110"/>
  <c r="R17" i="110"/>
  <c r="S17" i="110"/>
  <c r="R18" i="110"/>
  <c r="S18" i="110"/>
  <c r="R19" i="110"/>
  <c r="S19" i="110"/>
  <c r="G21" i="110"/>
  <c r="F21" i="110"/>
  <c r="E21" i="110"/>
  <c r="Z20" i="110"/>
  <c r="AA20" i="110" s="1"/>
  <c r="S13" i="110"/>
  <c r="E27" i="111"/>
  <c r="M25" i="111"/>
  <c r="M22" i="111"/>
  <c r="H22" i="111"/>
  <c r="I45" i="70" s="1"/>
  <c r="P21" i="111"/>
  <c r="M21" i="111"/>
  <c r="N21" i="111" s="1"/>
  <c r="J21" i="111"/>
  <c r="L21" i="111" s="1"/>
  <c r="I21" i="111"/>
  <c r="P20" i="111"/>
  <c r="M20" i="111"/>
  <c r="N20" i="111" s="1"/>
  <c r="J20" i="111"/>
  <c r="L20" i="111" s="1"/>
  <c r="I20" i="111"/>
  <c r="P19" i="111"/>
  <c r="M19" i="111"/>
  <c r="N19" i="111" s="1"/>
  <c r="J19" i="111"/>
  <c r="L19" i="111" s="1"/>
  <c r="I19" i="111"/>
  <c r="P18" i="111"/>
  <c r="M18" i="111"/>
  <c r="N18" i="111" s="1"/>
  <c r="J18" i="111"/>
  <c r="L18" i="111" s="1"/>
  <c r="I18" i="111"/>
  <c r="P17" i="111"/>
  <c r="M17" i="111"/>
  <c r="N17" i="111" s="1"/>
  <c r="J17" i="111"/>
  <c r="L17" i="111" s="1"/>
  <c r="I17" i="111"/>
  <c r="P16" i="111"/>
  <c r="M16" i="111"/>
  <c r="N16" i="111" s="1"/>
  <c r="J16" i="111"/>
  <c r="L16" i="111" s="1"/>
  <c r="I16" i="111"/>
  <c r="P15" i="111"/>
  <c r="M15" i="111"/>
  <c r="N15" i="111" s="1"/>
  <c r="J15" i="111"/>
  <c r="L15" i="111" s="1"/>
  <c r="I15" i="111"/>
  <c r="P14" i="111"/>
  <c r="M14" i="111"/>
  <c r="N14" i="111" s="1"/>
  <c r="J14" i="111"/>
  <c r="L14" i="111" s="1"/>
  <c r="I14" i="111"/>
  <c r="N11" i="111"/>
  <c r="J9" i="111" s="1"/>
  <c r="L9" i="111" s="1"/>
  <c r="J11" i="111"/>
  <c r="L11" i="111" s="1"/>
  <c r="M9" i="111"/>
  <c r="L7" i="111"/>
  <c r="K1" i="108"/>
  <c r="F34" i="108" s="1"/>
  <c r="I34" i="108" s="1"/>
  <c r="I25" i="108"/>
  <c r="N23" i="108"/>
  <c r="I23" i="108"/>
  <c r="T21" i="108"/>
  <c r="I21" i="108"/>
  <c r="E19" i="108"/>
  <c r="F17" i="108"/>
  <c r="F16" i="108"/>
  <c r="F15" i="108"/>
  <c r="V8" i="108"/>
  <c r="V11" i="108" s="1"/>
  <c r="S55" i="29"/>
  <c r="Q55" i="29"/>
  <c r="R55" i="29" s="1"/>
  <c r="T56" i="29"/>
  <c r="M16" i="97"/>
  <c r="M54" i="29"/>
  <c r="O30" i="29"/>
  <c r="N14" i="97"/>
  <c r="N16" i="97" s="1"/>
  <c r="D18" i="96"/>
  <c r="J18" i="96" s="1"/>
  <c r="J8" i="99"/>
  <c r="J8" i="97"/>
  <c r="E37" i="96"/>
  <c r="L2" i="96"/>
  <c r="F46" i="96" s="1"/>
  <c r="J46" i="96" s="1"/>
  <c r="L2" i="93"/>
  <c r="D10" i="93" s="1"/>
  <c r="J10" i="93" s="1"/>
  <c r="M11" i="22"/>
  <c r="M12" i="22"/>
  <c r="M13" i="22"/>
  <c r="M14" i="22"/>
  <c r="M15" i="22"/>
  <c r="M10" i="22"/>
  <c r="D25" i="93"/>
  <c r="E30" i="78" s="1"/>
  <c r="L30" i="78" s="1"/>
  <c r="I9" i="106"/>
  <c r="K9" i="106" s="1"/>
  <c r="J39" i="106"/>
  <c r="F14" i="70" s="1"/>
  <c r="D39" i="105"/>
  <c r="F12" i="70" s="1"/>
  <c r="D39" i="107"/>
  <c r="F13" i="70" s="1"/>
  <c r="E39" i="107"/>
  <c r="W16" i="92"/>
  <c r="W17" i="92"/>
  <c r="W18" i="92"/>
  <c r="W19" i="92"/>
  <c r="W20" i="92"/>
  <c r="W21" i="92"/>
  <c r="W22" i="92"/>
  <c r="W23" i="92"/>
  <c r="W24" i="92"/>
  <c r="W15" i="92"/>
  <c r="F24" i="70"/>
  <c r="P27" i="84"/>
  <c r="P28" i="84"/>
  <c r="P15" i="84"/>
  <c r="P16" i="84"/>
  <c r="P17" i="84"/>
  <c r="P18" i="84"/>
  <c r="P20" i="84"/>
  <c r="J20" i="84" s="1"/>
  <c r="L20" i="84" s="1"/>
  <c r="P21" i="84"/>
  <c r="J21" i="84" s="1"/>
  <c r="L21" i="84" s="1"/>
  <c r="P22" i="84"/>
  <c r="J22" i="84" s="1"/>
  <c r="L22" i="84" s="1"/>
  <c r="P23" i="84"/>
  <c r="P24" i="84"/>
  <c r="J24" i="84" s="1"/>
  <c r="L24" i="84" s="1"/>
  <c r="P25" i="84"/>
  <c r="P26" i="84"/>
  <c r="Q38" i="106"/>
  <c r="I38" i="106"/>
  <c r="K38" i="106" s="1"/>
  <c r="Q37" i="106"/>
  <c r="I37" i="106"/>
  <c r="K37" i="106" s="1"/>
  <c r="I36" i="106"/>
  <c r="K36" i="106" s="1"/>
  <c r="Q35" i="106"/>
  <c r="I35" i="106"/>
  <c r="K35" i="106" s="1"/>
  <c r="Q14" i="106"/>
  <c r="I14" i="106"/>
  <c r="K14" i="106" s="1"/>
  <c r="Q13" i="106"/>
  <c r="I13" i="106"/>
  <c r="K13" i="106" s="1"/>
  <c r="Q12" i="106"/>
  <c r="I12" i="106"/>
  <c r="K12" i="106" s="1"/>
  <c r="Q11" i="106"/>
  <c r="I11" i="106"/>
  <c r="K11" i="106" s="1"/>
  <c r="I10" i="106"/>
  <c r="K10" i="106" s="1"/>
  <c r="AF9" i="106"/>
  <c r="Q9" i="106"/>
  <c r="AF8" i="106"/>
  <c r="AD8" i="106"/>
  <c r="AG9" i="106" s="1"/>
  <c r="N10" i="107"/>
  <c r="O10" i="107" s="1"/>
  <c r="N11" i="107"/>
  <c r="O11" i="107" s="1"/>
  <c r="N12" i="107"/>
  <c r="N13" i="107"/>
  <c r="O13" i="107" s="1"/>
  <c r="N14" i="107"/>
  <c r="O14" i="107" s="1"/>
  <c r="N35" i="107"/>
  <c r="O35" i="107" s="1"/>
  <c r="N36" i="107"/>
  <c r="P36" i="107" s="1"/>
  <c r="N37" i="107"/>
  <c r="P37" i="107" s="1"/>
  <c r="N38" i="107"/>
  <c r="P38" i="107" s="1"/>
  <c r="N9" i="107"/>
  <c r="P9" i="107" s="1"/>
  <c r="I38" i="107"/>
  <c r="I37" i="107"/>
  <c r="I36" i="107"/>
  <c r="I35" i="107"/>
  <c r="I14" i="107"/>
  <c r="I13" i="107"/>
  <c r="I12" i="107"/>
  <c r="I11" i="107"/>
  <c r="I10" i="107"/>
  <c r="I9" i="107"/>
  <c r="N9" i="105"/>
  <c r="P9" i="105" s="1"/>
  <c r="N38" i="105"/>
  <c r="P38" i="105" s="1"/>
  <c r="I38" i="105"/>
  <c r="N37" i="105"/>
  <c r="P37" i="105" s="1"/>
  <c r="I37" i="105"/>
  <c r="N36" i="105"/>
  <c r="P36" i="105" s="1"/>
  <c r="I36" i="105"/>
  <c r="N35" i="105"/>
  <c r="P35" i="105" s="1"/>
  <c r="I35" i="105"/>
  <c r="N14" i="105"/>
  <c r="P14" i="105" s="1"/>
  <c r="I14" i="105"/>
  <c r="N13" i="105"/>
  <c r="P13" i="105" s="1"/>
  <c r="I13" i="105"/>
  <c r="N12" i="105"/>
  <c r="P12" i="105" s="1"/>
  <c r="I12" i="105"/>
  <c r="N11" i="105"/>
  <c r="P11" i="105" s="1"/>
  <c r="I11" i="105"/>
  <c r="N10" i="105"/>
  <c r="P10" i="105" s="1"/>
  <c r="BC13" i="77"/>
  <c r="BD13" i="77"/>
  <c r="W6" i="78"/>
  <c r="W7" i="78"/>
  <c r="W12" i="78"/>
  <c r="W13" i="78"/>
  <c r="W14" i="78"/>
  <c r="W16" i="78"/>
  <c r="W17" i="78"/>
  <c r="W18" i="78"/>
  <c r="W19" i="78"/>
  <c r="W20" i="78"/>
  <c r="W21" i="78"/>
  <c r="W22" i="78"/>
  <c r="W23" i="78"/>
  <c r="W24" i="78"/>
  <c r="W26" i="78"/>
  <c r="W27" i="78"/>
  <c r="W28" i="78"/>
  <c r="W29" i="78"/>
  <c r="W30" i="78"/>
  <c r="W61" i="78"/>
  <c r="W62" i="78"/>
  <c r="G24" i="22"/>
  <c r="L24" i="22" s="1"/>
  <c r="H39" i="22"/>
  <c r="L39" i="22" s="1"/>
  <c r="G102" i="30"/>
  <c r="AA31" i="84"/>
  <c r="F15" i="39"/>
  <c r="E14" i="126" s="1"/>
  <c r="H15" i="39"/>
  <c r="F14" i="126" s="1"/>
  <c r="F16" i="126" s="1"/>
  <c r="L3" i="101"/>
  <c r="D59" i="104"/>
  <c r="D52" i="104"/>
  <c r="D53" i="104"/>
  <c r="D54" i="104"/>
  <c r="D55" i="104"/>
  <c r="D56" i="104"/>
  <c r="D57" i="104"/>
  <c r="D50" i="104"/>
  <c r="D49" i="104"/>
  <c r="D46" i="104"/>
  <c r="L9" i="26"/>
  <c r="H9" i="26" s="1"/>
  <c r="J9" i="26" s="1"/>
  <c r="G14" i="26"/>
  <c r="F73" i="26" s="1"/>
  <c r="K3" i="42" s="1"/>
  <c r="D39" i="104"/>
  <c r="D40" i="104"/>
  <c r="D34" i="104"/>
  <c r="D33" i="104"/>
  <c r="D30" i="104"/>
  <c r="D29" i="104"/>
  <c r="D28" i="104"/>
  <c r="D27" i="104"/>
  <c r="D26" i="104"/>
  <c r="D25" i="104"/>
  <c r="D24" i="104"/>
  <c r="D23" i="104"/>
  <c r="D18" i="104"/>
  <c r="U38" i="77"/>
  <c r="B27" i="14"/>
  <c r="G9" i="84" s="1"/>
  <c r="O9" i="84" s="1"/>
  <c r="H85" i="101"/>
  <c r="D85" i="101" s="1"/>
  <c r="F85" i="101" s="1"/>
  <c r="CA99" i="30"/>
  <c r="O99" i="30"/>
  <c r="N99" i="30" s="1"/>
  <c r="D82" i="101"/>
  <c r="I76" i="101"/>
  <c r="H76" i="101"/>
  <c r="D63" i="101"/>
  <c r="F63" i="101" s="1"/>
  <c r="D61" i="101"/>
  <c r="F61" i="101" s="1"/>
  <c r="L59" i="101"/>
  <c r="AL98" i="83"/>
  <c r="AL95" i="83"/>
  <c r="V118" i="83"/>
  <c r="S118" i="83"/>
  <c r="F3" i="3"/>
  <c r="F1" i="3"/>
  <c r="A4" i="3"/>
  <c r="A1" i="3"/>
  <c r="P191" i="10"/>
  <c r="S191" i="10" s="1"/>
  <c r="P190" i="10"/>
  <c r="S190" i="10" s="1"/>
  <c r="P189" i="10"/>
  <c r="S189" i="10" s="1"/>
  <c r="P188" i="10"/>
  <c r="S188" i="10" s="1"/>
  <c r="P187" i="10"/>
  <c r="S187" i="10" s="1"/>
  <c r="P186" i="10"/>
  <c r="S186" i="10" s="1"/>
  <c r="P185" i="10"/>
  <c r="S185" i="10" s="1"/>
  <c r="P184" i="10"/>
  <c r="S184" i="10" s="1"/>
  <c r="P183" i="10"/>
  <c r="S183" i="10" s="1"/>
  <c r="P182" i="10"/>
  <c r="S182" i="10" s="1"/>
  <c r="P181" i="10"/>
  <c r="S181" i="10" s="1"/>
  <c r="P180" i="10"/>
  <c r="S180" i="10" s="1"/>
  <c r="P179" i="10"/>
  <c r="S179" i="10" s="1"/>
  <c r="P178" i="10"/>
  <c r="S178" i="10" s="1"/>
  <c r="P177" i="10"/>
  <c r="S177" i="10" s="1"/>
  <c r="P176" i="10"/>
  <c r="S176" i="10" s="1"/>
  <c r="P175" i="10"/>
  <c r="S175" i="10" s="1"/>
  <c r="P174" i="10"/>
  <c r="S174" i="10" s="1"/>
  <c r="P173" i="10"/>
  <c r="S173" i="10" s="1"/>
  <c r="P172" i="10"/>
  <c r="S172" i="10" s="1"/>
  <c r="P171" i="10"/>
  <c r="S171" i="10" s="1"/>
  <c r="P170" i="10"/>
  <c r="S170" i="10" s="1"/>
  <c r="P169" i="10"/>
  <c r="S169" i="10" s="1"/>
  <c r="P168" i="10"/>
  <c r="S168" i="10" s="1"/>
  <c r="P167" i="10"/>
  <c r="S167" i="10" s="1"/>
  <c r="P166" i="10"/>
  <c r="S166" i="10" s="1"/>
  <c r="P165" i="10"/>
  <c r="S165" i="10" s="1"/>
  <c r="P164" i="10"/>
  <c r="S164" i="10" s="1"/>
  <c r="P163" i="10"/>
  <c r="S163" i="10" s="1"/>
  <c r="P162" i="10"/>
  <c r="S162" i="10" s="1"/>
  <c r="P161" i="10"/>
  <c r="S161" i="10" s="1"/>
  <c r="P160" i="10"/>
  <c r="S160" i="10" s="1"/>
  <c r="P159" i="10"/>
  <c r="S159" i="10" s="1"/>
  <c r="P158" i="10"/>
  <c r="S158" i="10" s="1"/>
  <c r="P157" i="10"/>
  <c r="S157" i="10" s="1"/>
  <c r="P156" i="10"/>
  <c r="S156" i="10" s="1"/>
  <c r="P155" i="10"/>
  <c r="S155" i="10" s="1"/>
  <c r="P154" i="10"/>
  <c r="S154" i="10" s="1"/>
  <c r="P153" i="10"/>
  <c r="S153" i="10" s="1"/>
  <c r="P152" i="10"/>
  <c r="S152" i="10" s="1"/>
  <c r="P151" i="10"/>
  <c r="S151" i="10" s="1"/>
  <c r="P150" i="10"/>
  <c r="S150" i="10" s="1"/>
  <c r="P149" i="10"/>
  <c r="S149" i="10" s="1"/>
  <c r="P148" i="10"/>
  <c r="S148" i="10" s="1"/>
  <c r="P147" i="10"/>
  <c r="S147" i="10" s="1"/>
  <c r="P146" i="10"/>
  <c r="S146" i="10" s="1"/>
  <c r="P145" i="10"/>
  <c r="S145" i="10" s="1"/>
  <c r="P144" i="10"/>
  <c r="S144" i="10" s="1"/>
  <c r="P143" i="10"/>
  <c r="S143" i="10" s="1"/>
  <c r="P141" i="10"/>
  <c r="S141" i="10" s="1"/>
  <c r="P140" i="10"/>
  <c r="S140" i="10" s="1"/>
  <c r="P139" i="10"/>
  <c r="S139" i="10" s="1"/>
  <c r="P138" i="10"/>
  <c r="S138" i="10" s="1"/>
  <c r="P137" i="10"/>
  <c r="S137" i="10" s="1"/>
  <c r="P136" i="10"/>
  <c r="S136" i="10" s="1"/>
  <c r="P135" i="10"/>
  <c r="S135" i="10" s="1"/>
  <c r="P134" i="10"/>
  <c r="S134" i="10" s="1"/>
  <c r="P133" i="10"/>
  <c r="S133" i="10" s="1"/>
  <c r="P132" i="10"/>
  <c r="S132" i="10" s="1"/>
  <c r="P131" i="10"/>
  <c r="S131" i="10" s="1"/>
  <c r="P130" i="10"/>
  <c r="S130" i="10" s="1"/>
  <c r="P129" i="10"/>
  <c r="S129" i="10" s="1"/>
  <c r="P128" i="10"/>
  <c r="S128" i="10" s="1"/>
  <c r="P127" i="10"/>
  <c r="S127" i="10" s="1"/>
  <c r="P126" i="10"/>
  <c r="S126" i="10" s="1"/>
  <c r="P125" i="10"/>
  <c r="S125" i="10" s="1"/>
  <c r="P124" i="10"/>
  <c r="S124" i="10" s="1"/>
  <c r="P123" i="10"/>
  <c r="S123" i="10" s="1"/>
  <c r="P122" i="10"/>
  <c r="S122" i="10" s="1"/>
  <c r="P121" i="10"/>
  <c r="S121" i="10" s="1"/>
  <c r="P120" i="10"/>
  <c r="S120" i="10" s="1"/>
  <c r="P119" i="10"/>
  <c r="S119" i="10" s="1"/>
  <c r="P118" i="10"/>
  <c r="S118" i="10" s="1"/>
  <c r="P77" i="10"/>
  <c r="S77" i="10" s="1"/>
  <c r="P76" i="10"/>
  <c r="S76" i="10" s="1"/>
  <c r="AH95" i="83"/>
  <c r="AH96" i="83"/>
  <c r="AH97" i="83"/>
  <c r="A97" i="83" s="1"/>
  <c r="AH98" i="83"/>
  <c r="A98" i="83" s="1"/>
  <c r="AH99" i="83"/>
  <c r="A99" i="83" s="1"/>
  <c r="AH100" i="83"/>
  <c r="A100" i="83" s="1"/>
  <c r="AH101" i="83"/>
  <c r="A101" i="83" s="1"/>
  <c r="AH102" i="83"/>
  <c r="A102" i="83" s="1"/>
  <c r="AH103" i="83"/>
  <c r="A103" i="83" s="1"/>
  <c r="AH104" i="83"/>
  <c r="A104" i="83" s="1"/>
  <c r="AH105" i="83"/>
  <c r="A105" i="83" s="1"/>
  <c r="AH106" i="83"/>
  <c r="A106" i="83" s="1"/>
  <c r="AH107" i="83"/>
  <c r="A107" i="83" s="1"/>
  <c r="AH108" i="83"/>
  <c r="A108" i="83" s="1"/>
  <c r="AH109" i="83"/>
  <c r="A109" i="83" s="1"/>
  <c r="AH110" i="83"/>
  <c r="A110" i="83" s="1"/>
  <c r="AH111" i="83"/>
  <c r="A111" i="83" s="1"/>
  <c r="AH112" i="83"/>
  <c r="A112" i="83" s="1"/>
  <c r="AH113" i="83"/>
  <c r="A113" i="83" s="1"/>
  <c r="AH114" i="83"/>
  <c r="A114" i="83" s="1"/>
  <c r="AH115" i="83"/>
  <c r="A115" i="83" s="1"/>
  <c r="AH116" i="83"/>
  <c r="A116" i="83" s="1"/>
  <c r="AH117" i="83"/>
  <c r="A117" i="83" s="1"/>
  <c r="A94" i="83"/>
  <c r="O28" i="29"/>
  <c r="O29" i="29"/>
  <c r="I9" i="103"/>
  <c r="I10" i="103"/>
  <c r="I8" i="103"/>
  <c r="N28" i="103"/>
  <c r="O32" i="103"/>
  <c r="N32" i="103"/>
  <c r="M20" i="103"/>
  <c r="G20" i="103" s="1"/>
  <c r="K20" i="103" s="1"/>
  <c r="M21" i="103"/>
  <c r="G21" i="103" s="1"/>
  <c r="K21" i="103" s="1"/>
  <c r="M22" i="103"/>
  <c r="G22" i="103" s="1"/>
  <c r="K22" i="103" s="1"/>
  <c r="M23" i="103"/>
  <c r="G23" i="103" s="1"/>
  <c r="K23" i="103" s="1"/>
  <c r="M24" i="103"/>
  <c r="G24" i="103" s="1"/>
  <c r="K24" i="103" s="1"/>
  <c r="M25" i="103"/>
  <c r="G25" i="103" s="1"/>
  <c r="K25" i="103" s="1"/>
  <c r="M26" i="103"/>
  <c r="G26" i="103" s="1"/>
  <c r="K26" i="103" s="1"/>
  <c r="M19" i="103"/>
  <c r="M9" i="103"/>
  <c r="J9" i="103" s="1"/>
  <c r="K9" i="103" s="1"/>
  <c r="M10" i="103"/>
  <c r="M8" i="103"/>
  <c r="O1" i="103"/>
  <c r="N1" i="103" s="1"/>
  <c r="G28" i="103" s="1"/>
  <c r="K28" i="103" s="1"/>
  <c r="T76" i="29"/>
  <c r="H86" i="29"/>
  <c r="M86" i="29" s="1"/>
  <c r="H87" i="29"/>
  <c r="M87" i="29" s="1"/>
  <c r="H88" i="29"/>
  <c r="M88" i="29" s="1"/>
  <c r="H89" i="29"/>
  <c r="M89" i="29" s="1"/>
  <c r="H90" i="29"/>
  <c r="M90" i="29" s="1"/>
  <c r="M91" i="29"/>
  <c r="M92" i="29"/>
  <c r="M93" i="29"/>
  <c r="M94" i="29"/>
  <c r="H85" i="29"/>
  <c r="M85" i="29" s="1"/>
  <c r="M78" i="29"/>
  <c r="M75" i="29"/>
  <c r="M76" i="29"/>
  <c r="H72" i="29"/>
  <c r="M72" i="29" s="1"/>
  <c r="H73" i="29"/>
  <c r="M73" i="29" s="1"/>
  <c r="H71" i="29"/>
  <c r="M71" i="29" s="1"/>
  <c r="H19" i="29"/>
  <c r="M19" i="29" s="1"/>
  <c r="M29" i="29"/>
  <c r="H8" i="29"/>
  <c r="M8" i="29" s="1"/>
  <c r="H9" i="29"/>
  <c r="M9" i="29" s="1"/>
  <c r="H10" i="29"/>
  <c r="M10" i="29" s="1"/>
  <c r="H11" i="29"/>
  <c r="M11" i="29" s="1"/>
  <c r="H12" i="29"/>
  <c r="M12" i="29" s="1"/>
  <c r="H13" i="29"/>
  <c r="M13" i="29" s="1"/>
  <c r="H14" i="29"/>
  <c r="M14" i="29" s="1"/>
  <c r="H15" i="29"/>
  <c r="M15" i="29" s="1"/>
  <c r="H16" i="29"/>
  <c r="M16" i="29" s="1"/>
  <c r="H17" i="29"/>
  <c r="M17" i="29" s="1"/>
  <c r="H18" i="29"/>
  <c r="M18" i="29" s="1"/>
  <c r="H20" i="29"/>
  <c r="M20" i="29" s="1"/>
  <c r="H21" i="29"/>
  <c r="M21" i="29" s="1"/>
  <c r="H22" i="29"/>
  <c r="M22" i="29" s="1"/>
  <c r="H23" i="29"/>
  <c r="M23" i="29" s="1"/>
  <c r="H24" i="29"/>
  <c r="H25" i="29"/>
  <c r="M25" i="29" s="1"/>
  <c r="H26" i="29"/>
  <c r="M26" i="29" s="1"/>
  <c r="H27" i="29"/>
  <c r="M27" i="29" s="1"/>
  <c r="H28" i="29"/>
  <c r="M28" i="29" s="1"/>
  <c r="H7" i="29"/>
  <c r="M7" i="29" s="1"/>
  <c r="F58" i="29"/>
  <c r="J58" i="29" s="1"/>
  <c r="M58" i="29" s="1"/>
  <c r="M18" i="103"/>
  <c r="M13" i="103"/>
  <c r="G11" i="103"/>
  <c r="G30" i="103" s="1"/>
  <c r="F43" i="70" s="1"/>
  <c r="W8" i="103"/>
  <c r="Q22" i="70"/>
  <c r="Q46" i="70"/>
  <c r="Q47" i="70"/>
  <c r="Q48" i="70"/>
  <c r="Q31" i="70"/>
  <c r="Q35" i="70"/>
  <c r="Q36" i="70"/>
  <c r="Q37" i="70"/>
  <c r="N63" i="70"/>
  <c r="L121" i="102"/>
  <c r="L120" i="102"/>
  <c r="I64" i="102" s="1"/>
  <c r="O10" i="102"/>
  <c r="N10" i="102" s="1"/>
  <c r="R11" i="102"/>
  <c r="D86" i="101"/>
  <c r="F86" i="101" s="1"/>
  <c r="D87" i="101"/>
  <c r="F87" i="101" s="1"/>
  <c r="D88" i="101"/>
  <c r="F88" i="101" s="1"/>
  <c r="M99" i="58"/>
  <c r="M133" i="58" s="1"/>
  <c r="B133" i="58" s="1"/>
  <c r="M51" i="58"/>
  <c r="B76" i="58" s="1"/>
  <c r="M3" i="58"/>
  <c r="H141" i="58"/>
  <c r="G140" i="58"/>
  <c r="H133" i="58"/>
  <c r="I130" i="58"/>
  <c r="L130" i="58" s="1"/>
  <c r="T130" i="58"/>
  <c r="T122" i="58"/>
  <c r="S122" i="58"/>
  <c r="I93" i="58"/>
  <c r="G93" i="58"/>
  <c r="G92" i="58"/>
  <c r="H85" i="58"/>
  <c r="I82" i="58"/>
  <c r="L82" i="58" s="1"/>
  <c r="T82" i="58"/>
  <c r="T74" i="58"/>
  <c r="S74" i="58"/>
  <c r="H82" i="100"/>
  <c r="AL2" i="82"/>
  <c r="AK2" i="82" s="1"/>
  <c r="I8" i="82"/>
  <c r="E6" i="82" s="1"/>
  <c r="G6" i="82" s="1"/>
  <c r="I14" i="82"/>
  <c r="E12" i="82" s="1"/>
  <c r="G12" i="82" s="1"/>
  <c r="E46" i="100"/>
  <c r="D20" i="101"/>
  <c r="F20" i="101" s="1"/>
  <c r="D27" i="101"/>
  <c r="F27" i="101" s="1"/>
  <c r="L1" i="100"/>
  <c r="F72" i="100"/>
  <c r="K78" i="100"/>
  <c r="H78" i="100" s="1"/>
  <c r="I78" i="100" s="1"/>
  <c r="K79" i="100"/>
  <c r="H79" i="100" s="1"/>
  <c r="I79" i="100" s="1"/>
  <c r="K80" i="100"/>
  <c r="H80" i="100" s="1"/>
  <c r="I80" i="100" s="1"/>
  <c r="K81" i="100"/>
  <c r="H81" i="100" s="1"/>
  <c r="I81" i="100" s="1"/>
  <c r="K77" i="100"/>
  <c r="H77" i="100" s="1"/>
  <c r="I77" i="100" s="1"/>
  <c r="K53" i="100"/>
  <c r="H53" i="100" s="1"/>
  <c r="I53" i="100" s="1"/>
  <c r="K54" i="100"/>
  <c r="H54" i="100" s="1"/>
  <c r="I54" i="100" s="1"/>
  <c r="K55" i="100"/>
  <c r="H55" i="100" s="1"/>
  <c r="I55" i="100" s="1"/>
  <c r="K56" i="100"/>
  <c r="H56" i="100" s="1"/>
  <c r="I56" i="100" s="1"/>
  <c r="K57" i="100"/>
  <c r="H57" i="100" s="1"/>
  <c r="I57" i="100" s="1"/>
  <c r="K58" i="100"/>
  <c r="H58" i="100" s="1"/>
  <c r="I58" i="100" s="1"/>
  <c r="K59" i="100"/>
  <c r="H59" i="100" s="1"/>
  <c r="I59" i="100" s="1"/>
  <c r="K60" i="100"/>
  <c r="H60" i="100" s="1"/>
  <c r="I60" i="100" s="1"/>
  <c r="K61" i="100"/>
  <c r="H61" i="100" s="1"/>
  <c r="I61" i="100" s="1"/>
  <c r="K62" i="100"/>
  <c r="H62" i="100" s="1"/>
  <c r="I62" i="100" s="1"/>
  <c r="K63" i="100"/>
  <c r="H63" i="100" s="1"/>
  <c r="I63" i="100" s="1"/>
  <c r="K65" i="100"/>
  <c r="H65" i="100" s="1"/>
  <c r="I65" i="100" s="1"/>
  <c r="K66" i="100"/>
  <c r="H66" i="100" s="1"/>
  <c r="I66" i="100" s="1"/>
  <c r="K67" i="100"/>
  <c r="H67" i="100" s="1"/>
  <c r="I67" i="100" s="1"/>
  <c r="K68" i="100"/>
  <c r="H68" i="100" s="1"/>
  <c r="I68" i="100" s="1"/>
  <c r="K69" i="100"/>
  <c r="H69" i="100" s="1"/>
  <c r="I69" i="100" s="1"/>
  <c r="K70" i="100"/>
  <c r="H70" i="100" s="1"/>
  <c r="I70" i="100" s="1"/>
  <c r="K71" i="100"/>
  <c r="H71" i="100" s="1"/>
  <c r="I71" i="100" s="1"/>
  <c r="K64" i="100"/>
  <c r="H64" i="100" s="1"/>
  <c r="I64" i="100" s="1"/>
  <c r="M64" i="101"/>
  <c r="C64" i="101" s="1"/>
  <c r="D68" i="101" s="1"/>
  <c r="C28" i="101"/>
  <c r="D29" i="101" s="1"/>
  <c r="F29" i="101" s="1"/>
  <c r="D21" i="101"/>
  <c r="G43" i="100"/>
  <c r="G44" i="100"/>
  <c r="G45" i="100"/>
  <c r="J23" i="100"/>
  <c r="J22" i="100"/>
  <c r="J33" i="100"/>
  <c r="J32" i="100"/>
  <c r="J31" i="100"/>
  <c r="J30" i="100"/>
  <c r="J81" i="100"/>
  <c r="J80" i="100"/>
  <c r="J79" i="100"/>
  <c r="J78" i="100"/>
  <c r="J77" i="100"/>
  <c r="J54" i="100"/>
  <c r="J55" i="100"/>
  <c r="J56" i="100"/>
  <c r="J57" i="100"/>
  <c r="J58" i="100"/>
  <c r="J59" i="100"/>
  <c r="J60" i="100"/>
  <c r="J61" i="100"/>
  <c r="J62" i="100"/>
  <c r="J63" i="100"/>
  <c r="J64" i="100"/>
  <c r="J65" i="100"/>
  <c r="J66" i="100"/>
  <c r="J67" i="100"/>
  <c r="J68" i="100"/>
  <c r="J69" i="100"/>
  <c r="J70" i="100"/>
  <c r="J71" i="100"/>
  <c r="J53" i="100"/>
  <c r="G31" i="100"/>
  <c r="G32" i="100"/>
  <c r="G33" i="100"/>
  <c r="G30" i="100"/>
  <c r="G42" i="100"/>
  <c r="G78" i="100"/>
  <c r="G79" i="100"/>
  <c r="G80" i="100"/>
  <c r="G81" i="100"/>
  <c r="G59" i="100"/>
  <c r="G60" i="100"/>
  <c r="G61" i="100"/>
  <c r="G62" i="100"/>
  <c r="G63" i="100"/>
  <c r="G64" i="100"/>
  <c r="G65" i="100"/>
  <c r="G66" i="100"/>
  <c r="G67" i="100"/>
  <c r="G68" i="100"/>
  <c r="G69" i="100"/>
  <c r="G70" i="100"/>
  <c r="G71" i="100"/>
  <c r="G77" i="100"/>
  <c r="G54" i="100"/>
  <c r="G55" i="100"/>
  <c r="G56" i="100"/>
  <c r="G57" i="100"/>
  <c r="G58" i="100"/>
  <c r="G53" i="100"/>
  <c r="F82" i="100"/>
  <c r="D82" i="100"/>
  <c r="J82" i="100" s="1"/>
  <c r="D72" i="100"/>
  <c r="F46" i="100"/>
  <c r="D46" i="100"/>
  <c r="P45" i="100"/>
  <c r="O45" i="100"/>
  <c r="N45" i="100"/>
  <c r="M45" i="100"/>
  <c r="K45" i="100"/>
  <c r="J45" i="100"/>
  <c r="P44" i="100"/>
  <c r="O44" i="100"/>
  <c r="N44" i="100"/>
  <c r="M44" i="100"/>
  <c r="K44" i="100"/>
  <c r="J44" i="100"/>
  <c r="P43" i="100"/>
  <c r="O43" i="100"/>
  <c r="M43" i="100"/>
  <c r="N43" i="100"/>
  <c r="K43" i="100"/>
  <c r="J43" i="100"/>
  <c r="P42" i="100"/>
  <c r="O42" i="100"/>
  <c r="N42" i="100"/>
  <c r="M42" i="100"/>
  <c r="K42" i="100"/>
  <c r="J42" i="100"/>
  <c r="B38" i="100"/>
  <c r="F34" i="100"/>
  <c r="E34" i="100"/>
  <c r="D34" i="100"/>
  <c r="V33" i="100"/>
  <c r="U33" i="100"/>
  <c r="T33" i="100"/>
  <c r="S33" i="100"/>
  <c r="Q33" i="100"/>
  <c r="P33" i="100"/>
  <c r="V32" i="100"/>
  <c r="U32" i="100"/>
  <c r="S32" i="100"/>
  <c r="T32" i="100"/>
  <c r="Q32" i="100"/>
  <c r="P32" i="100"/>
  <c r="V31" i="100"/>
  <c r="U31" i="100"/>
  <c r="T31" i="100"/>
  <c r="S31" i="100"/>
  <c r="Q31" i="100"/>
  <c r="P31" i="100"/>
  <c r="V30" i="100"/>
  <c r="U30" i="100"/>
  <c r="T30" i="100"/>
  <c r="S30" i="100"/>
  <c r="Q30" i="100"/>
  <c r="P30" i="100"/>
  <c r="F24" i="100"/>
  <c r="D24" i="100"/>
  <c r="V23" i="100"/>
  <c r="U23" i="100"/>
  <c r="T23" i="100"/>
  <c r="S23" i="100"/>
  <c r="Q23" i="100"/>
  <c r="P23" i="100"/>
  <c r="G23" i="100"/>
  <c r="V22" i="100"/>
  <c r="U22" i="100"/>
  <c r="T22" i="100"/>
  <c r="S22" i="100"/>
  <c r="Q22" i="100"/>
  <c r="P22" i="100"/>
  <c r="G22" i="100"/>
  <c r="V21" i="100"/>
  <c r="T21" i="100"/>
  <c r="S21" i="100"/>
  <c r="V20" i="100"/>
  <c r="T20" i="100"/>
  <c r="S20" i="100"/>
  <c r="K5" i="99"/>
  <c r="M19" i="99"/>
  <c r="K32" i="99"/>
  <c r="G15" i="99"/>
  <c r="G16" i="99"/>
  <c r="N14" i="99"/>
  <c r="C22" i="99"/>
  <c r="C25" i="99" s="1"/>
  <c r="C27" i="99" s="1"/>
  <c r="M29" i="99"/>
  <c r="N29" i="99"/>
  <c r="M19" i="14"/>
  <c r="T25" i="14"/>
  <c r="R25" i="14" s="1"/>
  <c r="U25" i="14"/>
  <c r="W25" i="14" s="1"/>
  <c r="DA25" i="14"/>
  <c r="DB25" i="14" s="1"/>
  <c r="D15" i="39"/>
  <c r="D14" i="126" s="1"/>
  <c r="BA38" i="77"/>
  <c r="T28" i="29"/>
  <c r="T29" i="29"/>
  <c r="T7" i="29"/>
  <c r="U7" i="29" s="1"/>
  <c r="T8" i="29"/>
  <c r="T9" i="29"/>
  <c r="O11" i="29"/>
  <c r="T12" i="29"/>
  <c r="T13" i="29"/>
  <c r="T14" i="29"/>
  <c r="T15" i="29"/>
  <c r="T16" i="29"/>
  <c r="T17" i="29"/>
  <c r="T18" i="29"/>
  <c r="T19" i="29"/>
  <c r="T20" i="29"/>
  <c r="T21" i="29"/>
  <c r="T22" i="29"/>
  <c r="T23" i="29"/>
  <c r="T24" i="29"/>
  <c r="T26" i="29"/>
  <c r="T27" i="29"/>
  <c r="K32" i="97"/>
  <c r="K33" i="97" s="1"/>
  <c r="E24" i="97" s="1"/>
  <c r="G24" i="97" s="1"/>
  <c r="T71" i="29"/>
  <c r="T72" i="29"/>
  <c r="T73" i="29"/>
  <c r="T75" i="29"/>
  <c r="T85" i="29"/>
  <c r="T86" i="29"/>
  <c r="T87" i="29"/>
  <c r="T88" i="29"/>
  <c r="T89" i="29"/>
  <c r="T90" i="29"/>
  <c r="T91" i="29"/>
  <c r="T92" i="29"/>
  <c r="T93" i="29"/>
  <c r="T94" i="29"/>
  <c r="T78" i="29"/>
  <c r="F16" i="2"/>
  <c r="F9" i="91"/>
  <c r="J9" i="91"/>
  <c r="F11" i="91"/>
  <c r="J11" i="91"/>
  <c r="K54" i="91"/>
  <c r="L54" i="91" s="1"/>
  <c r="L45" i="74"/>
  <c r="Q45" i="74"/>
  <c r="P45" i="74"/>
  <c r="R45" i="74"/>
  <c r="AA86" i="69"/>
  <c r="AB86" i="69" s="1"/>
  <c r="AA87" i="69"/>
  <c r="AB87" i="69" s="1"/>
  <c r="AA85" i="69"/>
  <c r="AB85" i="69" s="1"/>
  <c r="T87" i="69"/>
  <c r="E85" i="69"/>
  <c r="Y85" i="69"/>
  <c r="E86" i="69"/>
  <c r="E87" i="69"/>
  <c r="Z122" i="14"/>
  <c r="AA122" i="14"/>
  <c r="F31" i="95"/>
  <c r="J31" i="95" s="1"/>
  <c r="E31" i="96"/>
  <c r="N39" i="96"/>
  <c r="N41" i="96" s="1"/>
  <c r="F41" i="96" s="1"/>
  <c r="J41" i="96" s="1"/>
  <c r="L33" i="96"/>
  <c r="L39" i="96"/>
  <c r="L29" i="95"/>
  <c r="E27" i="95"/>
  <c r="O31" i="95" s="1"/>
  <c r="N33" i="95" s="1"/>
  <c r="F33" i="95" s="1"/>
  <c r="J33" i="95" s="1"/>
  <c r="L33" i="95"/>
  <c r="L35" i="95"/>
  <c r="N35" i="95"/>
  <c r="N37" i="95" s="1"/>
  <c r="F37" i="95" s="1"/>
  <c r="J37" i="95" s="1"/>
  <c r="T57" i="29"/>
  <c r="AB35" i="84"/>
  <c r="BA40" i="100" s="1"/>
  <c r="F41" i="70"/>
  <c r="H51" i="84"/>
  <c r="S40" i="77" s="1"/>
  <c r="O18" i="77"/>
  <c r="G12" i="84"/>
  <c r="O12" i="84" s="1"/>
  <c r="N12" i="84" s="1"/>
  <c r="G13" i="84"/>
  <c r="I13" i="84" s="1"/>
  <c r="U6" i="78"/>
  <c r="U7" i="78"/>
  <c r="U12" i="78"/>
  <c r="U13" i="78"/>
  <c r="U14" i="78"/>
  <c r="U16" i="78"/>
  <c r="U17" i="78"/>
  <c r="U18" i="78"/>
  <c r="U19" i="78"/>
  <c r="U20" i="78"/>
  <c r="U21" i="78"/>
  <c r="U22" i="78"/>
  <c r="U23" i="78"/>
  <c r="U24" i="78"/>
  <c r="U28" i="78"/>
  <c r="U29" i="78"/>
  <c r="U30" i="78"/>
  <c r="U27" i="78"/>
  <c r="U61" i="78"/>
  <c r="U62" i="78"/>
  <c r="O25" i="29"/>
  <c r="I32" i="84"/>
  <c r="I29" i="84"/>
  <c r="I33" i="84"/>
  <c r="O29" i="84"/>
  <c r="J29" i="84" s="1"/>
  <c r="L29" i="84" s="1"/>
  <c r="P29" i="84"/>
  <c r="P14" i="84"/>
  <c r="P9" i="84"/>
  <c r="I36" i="84"/>
  <c r="I35" i="84"/>
  <c r="R31" i="84"/>
  <c r="R33" i="84"/>
  <c r="Q33" i="84"/>
  <c r="J36" i="84"/>
  <c r="L36" i="84" s="1"/>
  <c r="AE6" i="10"/>
  <c r="AF6" i="10"/>
  <c r="AG6" i="10"/>
  <c r="AE7" i="10"/>
  <c r="AF7" i="10"/>
  <c r="AG7" i="10"/>
  <c r="BB38" i="10"/>
  <c r="BA38" i="10" s="1"/>
  <c r="BB37" i="10"/>
  <c r="BA37" i="10" s="1"/>
  <c r="BB36" i="10"/>
  <c r="BA36" i="10" s="1"/>
  <c r="BB35" i="10"/>
  <c r="BA35" i="10" s="1"/>
  <c r="BB34" i="10"/>
  <c r="BA34" i="10" s="1"/>
  <c r="BB33" i="10"/>
  <c r="BA33" i="10" s="1"/>
  <c r="BB17" i="10"/>
  <c r="BA17" i="10" s="1"/>
  <c r="BB16" i="10"/>
  <c r="BA16" i="10" s="1"/>
  <c r="BB15" i="10"/>
  <c r="BA15" i="10" s="1"/>
  <c r="BB14" i="10"/>
  <c r="BA14" i="10" s="1"/>
  <c r="BB13" i="10"/>
  <c r="BA13" i="10" s="1"/>
  <c r="BB12" i="10"/>
  <c r="BA12" i="10" s="1"/>
  <c r="BB11" i="10"/>
  <c r="BA11" i="10" s="1"/>
  <c r="BB10" i="10"/>
  <c r="BA10" i="10" s="1"/>
  <c r="BB9" i="10"/>
  <c r="BA9" i="10" s="1"/>
  <c r="BB8" i="10"/>
  <c r="BA8" i="10" s="1"/>
  <c r="BB7" i="10"/>
  <c r="BA7" i="10" s="1"/>
  <c r="BB6" i="10"/>
  <c r="BA6" i="10" s="1"/>
  <c r="V191" i="10"/>
  <c r="T191" i="10" s="1"/>
  <c r="V190" i="10"/>
  <c r="T190" i="10" s="1"/>
  <c r="V189" i="10"/>
  <c r="T189" i="10" s="1"/>
  <c r="L189" i="10" s="1"/>
  <c r="V188" i="10"/>
  <c r="T188" i="10" s="1"/>
  <c r="V187" i="10"/>
  <c r="T187" i="10" s="1"/>
  <c r="M187" i="10" s="1"/>
  <c r="V186" i="10"/>
  <c r="T186" i="10" s="1"/>
  <c r="V185" i="10"/>
  <c r="T185" i="10" s="1"/>
  <c r="L185" i="10" s="1"/>
  <c r="V184" i="10"/>
  <c r="T184" i="10" s="1"/>
  <c r="M184" i="10" s="1"/>
  <c r="V183" i="10"/>
  <c r="T183" i="10" s="1"/>
  <c r="M183" i="10" s="1"/>
  <c r="V182" i="10"/>
  <c r="T182" i="10" s="1"/>
  <c r="U182" i="10" s="1"/>
  <c r="Y182" i="10" s="1"/>
  <c r="V181" i="10"/>
  <c r="T181" i="10" s="1"/>
  <c r="M181" i="10" s="1"/>
  <c r="V180" i="10"/>
  <c r="T180" i="10" s="1"/>
  <c r="N180" i="10" s="1"/>
  <c r="V179" i="10"/>
  <c r="T179" i="10" s="1"/>
  <c r="V178" i="10"/>
  <c r="T178" i="10" s="1"/>
  <c r="M178" i="10" s="1"/>
  <c r="V177" i="10"/>
  <c r="T177" i="10" s="1"/>
  <c r="V176" i="10"/>
  <c r="T176" i="10" s="1"/>
  <c r="V175" i="10"/>
  <c r="T175" i="10" s="1"/>
  <c r="V174" i="10"/>
  <c r="T174" i="10" s="1"/>
  <c r="M174" i="10" s="1"/>
  <c r="V173" i="10"/>
  <c r="T173" i="10" s="1"/>
  <c r="N173" i="10" s="1"/>
  <c r="V172" i="10"/>
  <c r="T172" i="10" s="1"/>
  <c r="V171" i="10"/>
  <c r="T171" i="10" s="1"/>
  <c r="V170" i="10"/>
  <c r="T170" i="10" s="1"/>
  <c r="M170" i="10" s="1"/>
  <c r="V169" i="10"/>
  <c r="T169" i="10" s="1"/>
  <c r="V168" i="10"/>
  <c r="T168" i="10" s="1"/>
  <c r="V167" i="10"/>
  <c r="T167" i="10" s="1"/>
  <c r="M167" i="10" s="1"/>
  <c r="V166" i="10"/>
  <c r="T166" i="10" s="1"/>
  <c r="M166" i="10" s="1"/>
  <c r="V165" i="10"/>
  <c r="T165" i="10" s="1"/>
  <c r="V164" i="10"/>
  <c r="T164" i="10" s="1"/>
  <c r="V163" i="10"/>
  <c r="T163" i="10" s="1"/>
  <c r="V162" i="10"/>
  <c r="T162" i="10" s="1"/>
  <c r="V161" i="10"/>
  <c r="T161" i="10" s="1"/>
  <c r="V160" i="10"/>
  <c r="T160" i="10" s="1"/>
  <c r="V159" i="10"/>
  <c r="T159" i="10" s="1"/>
  <c r="V158" i="10"/>
  <c r="T158" i="10" s="1"/>
  <c r="V157" i="10"/>
  <c r="T157" i="10" s="1"/>
  <c r="V156" i="10"/>
  <c r="T156" i="10" s="1"/>
  <c r="V155" i="10"/>
  <c r="T155" i="10" s="1"/>
  <c r="V154" i="10"/>
  <c r="T154" i="10" s="1"/>
  <c r="V153" i="10"/>
  <c r="T153" i="10" s="1"/>
  <c r="V152" i="10"/>
  <c r="T152" i="10" s="1"/>
  <c r="V151" i="10"/>
  <c r="T151" i="10" s="1"/>
  <c r="M151" i="10" s="1"/>
  <c r="V150" i="10"/>
  <c r="T150" i="10" s="1"/>
  <c r="M150" i="10" s="1"/>
  <c r="V149" i="10"/>
  <c r="T149" i="10" s="1"/>
  <c r="V148" i="10"/>
  <c r="T148" i="10" s="1"/>
  <c r="V147" i="10"/>
  <c r="T147" i="10" s="1"/>
  <c r="V146" i="10"/>
  <c r="T146" i="10" s="1"/>
  <c r="M146" i="10" s="1"/>
  <c r="V145" i="10"/>
  <c r="T145" i="10" s="1"/>
  <c r="N145" i="10" s="1"/>
  <c r="V144" i="10"/>
  <c r="T144" i="10" s="1"/>
  <c r="V143" i="10"/>
  <c r="T143" i="10" s="1"/>
  <c r="V142" i="10"/>
  <c r="T142" i="10" s="1"/>
  <c r="M142" i="10" s="1"/>
  <c r="V141" i="10"/>
  <c r="T141" i="10" s="1"/>
  <c r="AC141" i="10" s="1"/>
  <c r="V140" i="10"/>
  <c r="T140" i="10" s="1"/>
  <c r="V139" i="10"/>
  <c r="T139" i="10" s="1"/>
  <c r="V138" i="10"/>
  <c r="T138" i="10" s="1"/>
  <c r="V137" i="10"/>
  <c r="T137" i="10" s="1"/>
  <c r="V136" i="10"/>
  <c r="T136" i="10" s="1"/>
  <c r="V135" i="10"/>
  <c r="T135" i="10" s="1"/>
  <c r="M135" i="10" s="1"/>
  <c r="V134" i="10"/>
  <c r="T134" i="10" s="1"/>
  <c r="L134" i="10" s="1"/>
  <c r="V133" i="10"/>
  <c r="T133" i="10" s="1"/>
  <c r="M133" i="10" s="1"/>
  <c r="V132" i="10"/>
  <c r="T132" i="10" s="1"/>
  <c r="N132" i="10" s="1"/>
  <c r="V131" i="10"/>
  <c r="T131" i="10" s="1"/>
  <c r="V130" i="10"/>
  <c r="T130" i="10" s="1"/>
  <c r="V129" i="10"/>
  <c r="T129" i="10" s="1"/>
  <c r="L129" i="10" s="1"/>
  <c r="V128" i="10"/>
  <c r="T128" i="10" s="1"/>
  <c r="V127" i="10"/>
  <c r="T127" i="10" s="1"/>
  <c r="L127" i="10" s="1"/>
  <c r="V126" i="10"/>
  <c r="T126" i="10" s="1"/>
  <c r="V125" i="10"/>
  <c r="T125" i="10" s="1"/>
  <c r="V124" i="10"/>
  <c r="T124" i="10" s="1"/>
  <c r="V123" i="10"/>
  <c r="T123" i="10" s="1"/>
  <c r="V122" i="10"/>
  <c r="T122" i="10" s="1"/>
  <c r="V121" i="10"/>
  <c r="T121" i="10" s="1"/>
  <c r="V120" i="10"/>
  <c r="T120" i="10" s="1"/>
  <c r="V119" i="10"/>
  <c r="T119" i="10" s="1"/>
  <c r="M119" i="10" s="1"/>
  <c r="V118" i="10"/>
  <c r="T118" i="10" s="1"/>
  <c r="U118" i="10" s="1"/>
  <c r="Y118" i="10" s="1"/>
  <c r="V77" i="10"/>
  <c r="T77" i="10" s="1"/>
  <c r="V76" i="10"/>
  <c r="T76" i="10" s="1"/>
  <c r="V75" i="10"/>
  <c r="T75" i="10" s="1"/>
  <c r="X38" i="10"/>
  <c r="T38" i="10" s="1"/>
  <c r="U38" i="10" s="1"/>
  <c r="X37" i="10"/>
  <c r="T37" i="10" s="1"/>
  <c r="U37" i="10" s="1"/>
  <c r="X36" i="10"/>
  <c r="T36" i="10" s="1"/>
  <c r="U36" i="10" s="1"/>
  <c r="X35" i="10"/>
  <c r="T35" i="10" s="1"/>
  <c r="U35" i="10" s="1"/>
  <c r="X34" i="10"/>
  <c r="T34" i="10" s="1"/>
  <c r="U34" i="10" s="1"/>
  <c r="X33" i="10"/>
  <c r="T33" i="10" s="1"/>
  <c r="U33" i="10" s="1"/>
  <c r="X17" i="10"/>
  <c r="T17" i="10" s="1"/>
  <c r="U17" i="10" s="1"/>
  <c r="X16" i="10"/>
  <c r="T16" i="10" s="1"/>
  <c r="U16" i="10" s="1"/>
  <c r="X15" i="10"/>
  <c r="T15" i="10" s="1"/>
  <c r="U15" i="10" s="1"/>
  <c r="X14" i="10"/>
  <c r="T14" i="10" s="1"/>
  <c r="U14" i="10" s="1"/>
  <c r="X13" i="10"/>
  <c r="T13" i="10" s="1"/>
  <c r="U13" i="10" s="1"/>
  <c r="X12" i="10"/>
  <c r="T12" i="10" s="1"/>
  <c r="U12" i="10" s="1"/>
  <c r="X11" i="10"/>
  <c r="T11" i="10" s="1"/>
  <c r="U11" i="10" s="1"/>
  <c r="X10" i="10"/>
  <c r="T10" i="10" s="1"/>
  <c r="U10" i="10" s="1"/>
  <c r="X9" i="10"/>
  <c r="T9" i="10" s="1"/>
  <c r="U9" i="10" s="1"/>
  <c r="X8" i="10"/>
  <c r="X7" i="10"/>
  <c r="T7" i="10" s="1"/>
  <c r="U7" i="10" s="1"/>
  <c r="X6" i="10"/>
  <c r="T6" i="10" s="1"/>
  <c r="U6" i="10" s="1"/>
  <c r="M29" i="97"/>
  <c r="N29" i="97"/>
  <c r="G15" i="97"/>
  <c r="G16" i="97"/>
  <c r="J27" i="96"/>
  <c r="J28" i="96"/>
  <c r="J29" i="96"/>
  <c r="N31" i="96"/>
  <c r="O19" i="96"/>
  <c r="Q39" i="96"/>
  <c r="Q35" i="95"/>
  <c r="F40" i="70" s="1"/>
  <c r="N27" i="95"/>
  <c r="M20" i="94"/>
  <c r="N20" i="94" s="1"/>
  <c r="M19" i="94"/>
  <c r="N19" i="94" s="1"/>
  <c r="M21" i="94"/>
  <c r="N21" i="94" s="1"/>
  <c r="M22" i="94"/>
  <c r="N22" i="94" s="1"/>
  <c r="M23" i="94"/>
  <c r="N23" i="94" s="1"/>
  <c r="M24" i="94"/>
  <c r="N24" i="94" s="1"/>
  <c r="M25" i="94"/>
  <c r="N25" i="94" s="1"/>
  <c r="M26" i="94"/>
  <c r="N26" i="94" s="1"/>
  <c r="M11" i="94"/>
  <c r="F9" i="94" s="1"/>
  <c r="K9" i="94" s="1"/>
  <c r="I13" i="94"/>
  <c r="K13" i="94" s="1"/>
  <c r="G16" i="94"/>
  <c r="K16" i="94" s="1"/>
  <c r="Q39" i="70"/>
  <c r="M27" i="94"/>
  <c r="I28" i="94"/>
  <c r="G39" i="70" s="1"/>
  <c r="R39" i="70"/>
  <c r="E32" i="94"/>
  <c r="P19" i="94"/>
  <c r="P18" i="94"/>
  <c r="M9" i="94"/>
  <c r="M13" i="68"/>
  <c r="I21" i="68" s="1"/>
  <c r="J21" i="68" s="1"/>
  <c r="O50" i="14"/>
  <c r="O56" i="14" s="1"/>
  <c r="P50" i="14"/>
  <c r="P56" i="14" s="1"/>
  <c r="D127" i="14"/>
  <c r="C113" i="14"/>
  <c r="D113" i="14"/>
  <c r="E113" i="14"/>
  <c r="L112" i="14"/>
  <c r="G112" i="14" s="1"/>
  <c r="V30" i="78"/>
  <c r="C31" i="93"/>
  <c r="L8" i="93"/>
  <c r="N19" i="14"/>
  <c r="O19" i="14"/>
  <c r="P19" i="14"/>
  <c r="AH20" i="14"/>
  <c r="B10" i="14"/>
  <c r="AI20" i="14"/>
  <c r="AJ20" i="14"/>
  <c r="AK20" i="14"/>
  <c r="E10" i="14"/>
  <c r="M20" i="14"/>
  <c r="N20" i="14"/>
  <c r="O20" i="14"/>
  <c r="P20" i="14"/>
  <c r="L21" i="14"/>
  <c r="L9" i="14"/>
  <c r="G9" i="14" s="1"/>
  <c r="G6" i="14"/>
  <c r="H6" i="14" s="1"/>
  <c r="I12" i="14"/>
  <c r="I13" i="14"/>
  <c r="J13" i="14"/>
  <c r="I14" i="14"/>
  <c r="J14" i="14"/>
  <c r="I15" i="14"/>
  <c r="J15" i="14"/>
  <c r="I16" i="14"/>
  <c r="J16" i="14"/>
  <c r="I17" i="14"/>
  <c r="J17" i="14"/>
  <c r="I18" i="14"/>
  <c r="J18" i="14"/>
  <c r="I19" i="14"/>
  <c r="J19" i="14"/>
  <c r="O54" i="76"/>
  <c r="S44" i="77" s="1"/>
  <c r="H259" i="44"/>
  <c r="BD54" i="77"/>
  <c r="G10" i="84"/>
  <c r="F51" i="84"/>
  <c r="O40" i="77" s="1"/>
  <c r="J37" i="84"/>
  <c r="O26" i="29"/>
  <c r="O27" i="29"/>
  <c r="BE10" i="3"/>
  <c r="BE12" i="3"/>
  <c r="BE8" i="3"/>
  <c r="E7" i="92"/>
  <c r="Z9" i="92" s="1"/>
  <c r="I23" i="92"/>
  <c r="V23" i="92" s="1"/>
  <c r="P3" i="92"/>
  <c r="F5" i="92" s="1"/>
  <c r="N5" i="92" s="1"/>
  <c r="I15" i="92"/>
  <c r="V15" i="92" s="1"/>
  <c r="T14" i="92"/>
  <c r="T15" i="92" s="1"/>
  <c r="T16" i="92" s="1"/>
  <c r="O15" i="92"/>
  <c r="P15" i="92"/>
  <c r="Q15" i="92"/>
  <c r="S16" i="92"/>
  <c r="O16" i="92"/>
  <c r="P16" i="92"/>
  <c r="Q16" i="92"/>
  <c r="R15" i="92"/>
  <c r="S17" i="92"/>
  <c r="S18" i="92"/>
  <c r="S19" i="92"/>
  <c r="S20" i="92"/>
  <c r="S21" i="92"/>
  <c r="S22" i="92"/>
  <c r="S23" i="92"/>
  <c r="S24" i="92"/>
  <c r="S15" i="92"/>
  <c r="O17" i="92"/>
  <c r="P17" i="92"/>
  <c r="Q17" i="92"/>
  <c r="R17" i="92"/>
  <c r="R16" i="92"/>
  <c r="I16" i="92"/>
  <c r="V16" i="92" s="1"/>
  <c r="I17" i="92"/>
  <c r="V17" i="92" s="1"/>
  <c r="I18" i="92"/>
  <c r="V18" i="92" s="1"/>
  <c r="I19" i="92"/>
  <c r="V19" i="92" s="1"/>
  <c r="I20" i="92"/>
  <c r="V20" i="92" s="1"/>
  <c r="I21" i="92"/>
  <c r="V21" i="92" s="1"/>
  <c r="I22" i="92"/>
  <c r="V22" i="92" s="1"/>
  <c r="I24" i="92"/>
  <c r="V24" i="92" s="1"/>
  <c r="P9" i="92"/>
  <c r="C26" i="92"/>
  <c r="R1" i="92"/>
  <c r="P1" i="92"/>
  <c r="R24" i="92"/>
  <c r="Q24" i="92"/>
  <c r="P24" i="92"/>
  <c r="O24" i="92"/>
  <c r="R23" i="92"/>
  <c r="Q23" i="92"/>
  <c r="P23" i="92"/>
  <c r="O23" i="92"/>
  <c r="R22" i="92"/>
  <c r="Q22" i="92"/>
  <c r="P22" i="92"/>
  <c r="O22" i="92"/>
  <c r="R21" i="92"/>
  <c r="Q21" i="92"/>
  <c r="P21" i="92"/>
  <c r="O21" i="92"/>
  <c r="R20" i="92"/>
  <c r="Q20" i="92"/>
  <c r="P20" i="92"/>
  <c r="O20" i="92"/>
  <c r="R19" i="92"/>
  <c r="Q19" i="92"/>
  <c r="P19" i="92"/>
  <c r="O19" i="92"/>
  <c r="R18" i="92"/>
  <c r="Q18" i="92"/>
  <c r="P18" i="92"/>
  <c r="O18" i="92"/>
  <c r="N16" i="89"/>
  <c r="N15" i="89"/>
  <c r="N17" i="89"/>
  <c r="P5" i="89"/>
  <c r="G11" i="89" s="1"/>
  <c r="G37" i="70" s="1"/>
  <c r="O14" i="90"/>
  <c r="O15" i="90" s="1"/>
  <c r="O14" i="89"/>
  <c r="O15" i="89" s="1"/>
  <c r="P16" i="89"/>
  <c r="P15" i="89"/>
  <c r="N28" i="89"/>
  <c r="N27" i="89"/>
  <c r="N26" i="89"/>
  <c r="N25" i="89"/>
  <c r="N24" i="89"/>
  <c r="N23" i="89"/>
  <c r="N22" i="89"/>
  <c r="N21" i="89"/>
  <c r="N20" i="89"/>
  <c r="N19" i="89"/>
  <c r="N18" i="89"/>
  <c r="M29" i="90"/>
  <c r="F13" i="26"/>
  <c r="F15" i="26" s="1"/>
  <c r="N16" i="26" s="1"/>
  <c r="E16" i="26" s="1"/>
  <c r="D14" i="26"/>
  <c r="J13" i="26" s="1"/>
  <c r="G9" i="26"/>
  <c r="G11" i="26"/>
  <c r="M14" i="26" s="1"/>
  <c r="AA17" i="26"/>
  <c r="Z17" i="26"/>
  <c r="E11" i="26"/>
  <c r="J11" i="26" s="1"/>
  <c r="J12" i="26"/>
  <c r="AB15" i="90"/>
  <c r="AD15" i="90" s="1"/>
  <c r="AA15" i="90"/>
  <c r="AC15" i="90" s="1"/>
  <c r="AA15" i="89"/>
  <c r="AC15" i="89" s="1"/>
  <c r="AB15" i="89"/>
  <c r="AD15" i="89" s="1"/>
  <c r="BD31" i="91"/>
  <c r="BE31" i="91"/>
  <c r="O31" i="91"/>
  <c r="N7" i="91"/>
  <c r="N16" i="91" s="1"/>
  <c r="BE35" i="91"/>
  <c r="BE33" i="91"/>
  <c r="N5" i="91"/>
  <c r="G44" i="91" s="1"/>
  <c r="L44" i="91" s="1"/>
  <c r="N11" i="91"/>
  <c r="O20" i="91"/>
  <c r="BF20" i="91"/>
  <c r="T20" i="91"/>
  <c r="BD20" i="91" s="1"/>
  <c r="W20" i="91"/>
  <c r="X20" i="91"/>
  <c r="N9" i="91"/>
  <c r="B18" i="91" s="1"/>
  <c r="S18" i="91" s="1"/>
  <c r="O18" i="91"/>
  <c r="BE18" i="91"/>
  <c r="T18" i="91"/>
  <c r="BD18" i="91" s="1"/>
  <c r="W18" i="91"/>
  <c r="X18" i="91"/>
  <c r="O16" i="91"/>
  <c r="BF16" i="91"/>
  <c r="T16" i="91"/>
  <c r="BG16" i="91"/>
  <c r="W16" i="91"/>
  <c r="X16" i="91"/>
  <c r="BG18" i="91"/>
  <c r="BG20" i="91"/>
  <c r="I16" i="91"/>
  <c r="I18" i="91"/>
  <c r="I20" i="91"/>
  <c r="BF31" i="91"/>
  <c r="O33" i="91"/>
  <c r="BD33" i="91"/>
  <c r="BF33" i="91"/>
  <c r="O35" i="91"/>
  <c r="BD35" i="91"/>
  <c r="BF35" i="91"/>
  <c r="N54" i="91"/>
  <c r="P42" i="91"/>
  <c r="R31" i="91"/>
  <c r="S31" i="91" s="1"/>
  <c r="R33" i="91"/>
  <c r="S33" i="91" s="1"/>
  <c r="R35" i="91"/>
  <c r="S35" i="91" s="1"/>
  <c r="BL35" i="91"/>
  <c r="Q35" i="91"/>
  <c r="P35" i="91"/>
  <c r="E35" i="91"/>
  <c r="BL33" i="91"/>
  <c r="Q33" i="91"/>
  <c r="P33" i="91"/>
  <c r="E33" i="91"/>
  <c r="BL31" i="91"/>
  <c r="Q31" i="91"/>
  <c r="P31" i="91"/>
  <c r="E31" i="91"/>
  <c r="U22" i="91"/>
  <c r="BE20" i="91"/>
  <c r="Z20" i="91"/>
  <c r="P20" i="91"/>
  <c r="BF18" i="91"/>
  <c r="Z18" i="91"/>
  <c r="P18" i="91"/>
  <c r="BE16" i="91"/>
  <c r="Z16" i="91"/>
  <c r="P16" i="91"/>
  <c r="O12" i="42"/>
  <c r="O3" i="42"/>
  <c r="O19" i="42"/>
  <c r="O4" i="42"/>
  <c r="O5" i="42"/>
  <c r="O6" i="42"/>
  <c r="O7" i="42"/>
  <c r="O13" i="42"/>
  <c r="O14" i="42"/>
  <c r="O16" i="42"/>
  <c r="O18" i="42"/>
  <c r="O8" i="42"/>
  <c r="O9" i="42"/>
  <c r="O10" i="42"/>
  <c r="O11" i="42"/>
  <c r="V18" i="78"/>
  <c r="J17" i="26"/>
  <c r="P17" i="89"/>
  <c r="P11" i="89"/>
  <c r="W15" i="89"/>
  <c r="W16" i="89"/>
  <c r="W17" i="89"/>
  <c r="W18" i="89"/>
  <c r="W19" i="89"/>
  <c r="W20" i="89"/>
  <c r="W21" i="89"/>
  <c r="W22" i="89"/>
  <c r="W23" i="89"/>
  <c r="W24" i="89"/>
  <c r="W25" i="89"/>
  <c r="W26" i="89"/>
  <c r="W27" i="89"/>
  <c r="W28" i="89"/>
  <c r="AF259" i="10"/>
  <c r="AE259" i="10"/>
  <c r="P259" i="10"/>
  <c r="S259" i="10" s="1"/>
  <c r="AF258" i="10"/>
  <c r="AE258" i="10"/>
  <c r="P258" i="10"/>
  <c r="S258" i="10" s="1"/>
  <c r="AF257" i="10"/>
  <c r="AE257" i="10"/>
  <c r="P257" i="10"/>
  <c r="S257" i="10" s="1"/>
  <c r="AF256" i="10"/>
  <c r="AE256" i="10"/>
  <c r="P256" i="10"/>
  <c r="S256" i="10" s="1"/>
  <c r="AF255" i="10"/>
  <c r="AE255" i="10"/>
  <c r="P255" i="10"/>
  <c r="S255" i="10" s="1"/>
  <c r="AF254" i="10"/>
  <c r="AE254" i="10"/>
  <c r="P254" i="10"/>
  <c r="S254" i="10" s="1"/>
  <c r="AF253" i="10"/>
  <c r="AE253" i="10"/>
  <c r="P253" i="10"/>
  <c r="S253" i="10" s="1"/>
  <c r="AF252" i="10"/>
  <c r="AE252" i="10"/>
  <c r="P252" i="10"/>
  <c r="S252" i="10" s="1"/>
  <c r="AF251" i="10"/>
  <c r="AE251" i="10"/>
  <c r="AD251" i="10" s="1"/>
  <c r="P251" i="10"/>
  <c r="S251" i="10" s="1"/>
  <c r="AF229" i="10"/>
  <c r="AE229" i="10"/>
  <c r="P229" i="10"/>
  <c r="S229" i="10" s="1"/>
  <c r="AJ157" i="10"/>
  <c r="AI157" i="10"/>
  <c r="AF157" i="10"/>
  <c r="AE157" i="10"/>
  <c r="J157" i="10"/>
  <c r="AJ156" i="10"/>
  <c r="AI156" i="10"/>
  <c r="AF156" i="10"/>
  <c r="AE156" i="10"/>
  <c r="J156" i="10"/>
  <c r="AJ155" i="10"/>
  <c r="AI155" i="10"/>
  <c r="AF155" i="10"/>
  <c r="AE155" i="10"/>
  <c r="J155" i="10"/>
  <c r="AJ154" i="10"/>
  <c r="AI154" i="10"/>
  <c r="AF154" i="10"/>
  <c r="AE154" i="10"/>
  <c r="J154" i="10"/>
  <c r="AJ153" i="10"/>
  <c r="AI153" i="10"/>
  <c r="AF153" i="10"/>
  <c r="AE153" i="10"/>
  <c r="J153" i="10"/>
  <c r="AJ170" i="10"/>
  <c r="AI170" i="10"/>
  <c r="AF170" i="10"/>
  <c r="AE170" i="10"/>
  <c r="J170" i="10"/>
  <c r="AJ169" i="10"/>
  <c r="AI169" i="10"/>
  <c r="AF169" i="10"/>
  <c r="AE169" i="10"/>
  <c r="J169" i="10"/>
  <c r="AJ168" i="10"/>
  <c r="AI168" i="10"/>
  <c r="AF168" i="10"/>
  <c r="AE168" i="10"/>
  <c r="J168" i="10"/>
  <c r="AJ167" i="10"/>
  <c r="AI167" i="10"/>
  <c r="AF167" i="10"/>
  <c r="AE167" i="10"/>
  <c r="J167" i="10"/>
  <c r="AJ166" i="10"/>
  <c r="AI166" i="10"/>
  <c r="AF166" i="10"/>
  <c r="AE166" i="10"/>
  <c r="J166" i="10"/>
  <c r="AJ165" i="10"/>
  <c r="AI165" i="10"/>
  <c r="AF165" i="10"/>
  <c r="AE165" i="10"/>
  <c r="J165" i="10"/>
  <c r="AJ164" i="10"/>
  <c r="AI164" i="10"/>
  <c r="AF164" i="10"/>
  <c r="AE164" i="10"/>
  <c r="J164" i="10"/>
  <c r="AJ163" i="10"/>
  <c r="AI163" i="10"/>
  <c r="AF163" i="10"/>
  <c r="AE163" i="10"/>
  <c r="J163" i="10"/>
  <c r="AJ162" i="10"/>
  <c r="AI162" i="10"/>
  <c r="AF162" i="10"/>
  <c r="AE162" i="10"/>
  <c r="J162" i="10"/>
  <c r="AJ161" i="10"/>
  <c r="AI161" i="10"/>
  <c r="AF161" i="10"/>
  <c r="AE161" i="10"/>
  <c r="J161" i="10"/>
  <c r="AJ160" i="10"/>
  <c r="AI160" i="10"/>
  <c r="AF160" i="10"/>
  <c r="AE160" i="10"/>
  <c r="J160" i="10"/>
  <c r="AJ159" i="10"/>
  <c r="AI159" i="10"/>
  <c r="AF159" i="10"/>
  <c r="AE159" i="10"/>
  <c r="J159" i="10"/>
  <c r="AJ158" i="10"/>
  <c r="AI158" i="10"/>
  <c r="AF158" i="10"/>
  <c r="AE158" i="10"/>
  <c r="J158" i="10"/>
  <c r="AJ152" i="10"/>
  <c r="AI152" i="10"/>
  <c r="AF152" i="10"/>
  <c r="AE152" i="10"/>
  <c r="J152" i="10"/>
  <c r="AJ151" i="10"/>
  <c r="AI151" i="10"/>
  <c r="AF151" i="10"/>
  <c r="AE151" i="10"/>
  <c r="J151" i="10"/>
  <c r="H5" i="1"/>
  <c r="P28" i="89"/>
  <c r="P27" i="89"/>
  <c r="P26" i="89"/>
  <c r="P25" i="89"/>
  <c r="P24" i="89"/>
  <c r="P23" i="89"/>
  <c r="P22" i="89"/>
  <c r="P21" i="89"/>
  <c r="P20" i="89"/>
  <c r="P19" i="89"/>
  <c r="P18" i="89"/>
  <c r="P27" i="90"/>
  <c r="P26" i="90"/>
  <c r="P25" i="90"/>
  <c r="P24" i="90"/>
  <c r="P23" i="90"/>
  <c r="P22" i="90"/>
  <c r="P21" i="90"/>
  <c r="P20" i="90"/>
  <c r="P19" i="90"/>
  <c r="P18" i="90"/>
  <c r="P17" i="90"/>
  <c r="P16" i="90"/>
  <c r="P15" i="90"/>
  <c r="L28" i="78"/>
  <c r="L12" i="78"/>
  <c r="I43" i="7"/>
  <c r="L19" i="78"/>
  <c r="V28" i="78"/>
  <c r="V26" i="78"/>
  <c r="V12" i="78"/>
  <c r="V7" i="78"/>
  <c r="V6" i="78"/>
  <c r="V13" i="78"/>
  <c r="V14" i="78"/>
  <c r="V16" i="78"/>
  <c r="V17" i="78"/>
  <c r="V19" i="78"/>
  <c r="V20" i="78"/>
  <c r="V21" i="78"/>
  <c r="V22" i="78"/>
  <c r="V23" i="78"/>
  <c r="V24" i="78"/>
  <c r="V29" i="78"/>
  <c r="V61" i="78"/>
  <c r="V62" i="78"/>
  <c r="S7" i="78"/>
  <c r="H7" i="78" s="1"/>
  <c r="K7" i="78" s="1"/>
  <c r="S28" i="78"/>
  <c r="H28" i="78" s="1"/>
  <c r="K28" i="78" s="1"/>
  <c r="S12" i="78"/>
  <c r="H12" i="78" s="1"/>
  <c r="K12" i="78" s="1"/>
  <c r="S6" i="78"/>
  <c r="H6" i="78" s="1"/>
  <c r="K6" i="78" s="1"/>
  <c r="S19" i="78"/>
  <c r="H19" i="78" s="1"/>
  <c r="K19" i="78" s="1"/>
  <c r="AA10" i="41"/>
  <c r="AA11" i="41"/>
  <c r="AA12" i="41"/>
  <c r="AA13" i="41"/>
  <c r="I12" i="60"/>
  <c r="I70" i="60"/>
  <c r="I128" i="60"/>
  <c r="J44" i="80"/>
  <c r="AC44" i="80" s="1"/>
  <c r="M44" i="80"/>
  <c r="L17" i="26"/>
  <c r="L16" i="26" s="1"/>
  <c r="X30" i="90"/>
  <c r="C30" i="90" s="1"/>
  <c r="X30" i="89"/>
  <c r="C30" i="89" s="1"/>
  <c r="P8" i="59"/>
  <c r="H10" i="59" s="1"/>
  <c r="L10" i="59" s="1"/>
  <c r="K53" i="48"/>
  <c r="C51" i="48" s="1"/>
  <c r="G51" i="48" s="1"/>
  <c r="G52" i="48" s="1"/>
  <c r="K63" i="48"/>
  <c r="H70" i="48" s="1"/>
  <c r="J71" i="48" s="1"/>
  <c r="G33" i="48"/>
  <c r="B5" i="86"/>
  <c r="T44" i="76"/>
  <c r="Q44" i="76" s="1"/>
  <c r="R44" i="76" s="1"/>
  <c r="O15" i="29"/>
  <c r="V27" i="76" s="1"/>
  <c r="G16" i="81"/>
  <c r="I16" i="81"/>
  <c r="I42" i="81"/>
  <c r="K16" i="81"/>
  <c r="N46" i="81"/>
  <c r="E36" i="81"/>
  <c r="O9" i="31"/>
  <c r="AE9" i="31" s="1"/>
  <c r="O11" i="31"/>
  <c r="AE11" i="31" s="1"/>
  <c r="O10" i="31"/>
  <c r="AE10" i="31" s="1"/>
  <c r="O14" i="31"/>
  <c r="O15" i="31"/>
  <c r="X15" i="31" s="1"/>
  <c r="O16" i="31"/>
  <c r="X16" i="31" s="1"/>
  <c r="O17" i="31"/>
  <c r="X26" i="31"/>
  <c r="AF106" i="146"/>
  <c r="AF110" i="146"/>
  <c r="K9" i="31"/>
  <c r="AD9" i="31" s="1"/>
  <c r="K11" i="31"/>
  <c r="AD11" i="31" s="1"/>
  <c r="K10" i="31"/>
  <c r="AD10" i="31" s="1"/>
  <c r="K14" i="31"/>
  <c r="W27" i="164" s="1"/>
  <c r="K15" i="31"/>
  <c r="K16" i="31"/>
  <c r="K17" i="31"/>
  <c r="Y27" i="164" s="1"/>
  <c r="F58" i="16"/>
  <c r="F57" i="16"/>
  <c r="H60" i="16"/>
  <c r="H121" i="16"/>
  <c r="H182" i="16"/>
  <c r="R9" i="31"/>
  <c r="AF9" i="31" s="1"/>
  <c r="R11" i="31"/>
  <c r="R10" i="31"/>
  <c r="AF10" i="31" s="1"/>
  <c r="R14" i="31"/>
  <c r="W29" i="164" s="1"/>
  <c r="R15" i="31"/>
  <c r="R16" i="31"/>
  <c r="R17" i="31"/>
  <c r="Y29" i="164" s="1"/>
  <c r="I182" i="16"/>
  <c r="I16" i="85"/>
  <c r="J50" i="31"/>
  <c r="R47" i="31"/>
  <c r="Q46" i="31" s="1"/>
  <c r="K47" i="31"/>
  <c r="J46" i="31" s="1"/>
  <c r="O47" i="31"/>
  <c r="N46" i="31" s="1"/>
  <c r="S100" i="30"/>
  <c r="F9" i="70"/>
  <c r="O18" i="7"/>
  <c r="P18" i="7"/>
  <c r="Q18" i="7"/>
  <c r="T18" i="7"/>
  <c r="O19" i="7"/>
  <c r="P19" i="7"/>
  <c r="Q19" i="7"/>
  <c r="O20" i="7"/>
  <c r="P20" i="7"/>
  <c r="Q20" i="7"/>
  <c r="O21" i="7"/>
  <c r="P21" i="7"/>
  <c r="Q21" i="7"/>
  <c r="O22" i="7"/>
  <c r="P22" i="7"/>
  <c r="Q22" i="7"/>
  <c r="O23" i="7"/>
  <c r="P23" i="7"/>
  <c r="Q23" i="7"/>
  <c r="O24" i="7"/>
  <c r="P24" i="7"/>
  <c r="Q24" i="7"/>
  <c r="O25" i="7"/>
  <c r="P25" i="7"/>
  <c r="Q25" i="7"/>
  <c r="O26" i="7"/>
  <c r="P26" i="7"/>
  <c r="Q26" i="7"/>
  <c r="O27" i="7"/>
  <c r="P27" i="7"/>
  <c r="Q27" i="7"/>
  <c r="O28" i="7"/>
  <c r="P28" i="7"/>
  <c r="Q28" i="7"/>
  <c r="O29" i="7"/>
  <c r="P29" i="7"/>
  <c r="Q29" i="7"/>
  <c r="O30" i="7"/>
  <c r="P30" i="7"/>
  <c r="Q30" i="7"/>
  <c r="O31" i="7"/>
  <c r="P31" i="7"/>
  <c r="Q31" i="7"/>
  <c r="O32" i="7"/>
  <c r="P32" i="7"/>
  <c r="Q32" i="7"/>
  <c r="O33" i="7"/>
  <c r="P33" i="7"/>
  <c r="Q33" i="7"/>
  <c r="AA81" i="30"/>
  <c r="T102" i="30"/>
  <c r="BA6" i="30"/>
  <c r="BB6" i="30"/>
  <c r="T16" i="81"/>
  <c r="L38" i="81"/>
  <c r="R38" i="81" s="1"/>
  <c r="E52" i="81"/>
  <c r="T17" i="81"/>
  <c r="L17" i="81" s="1"/>
  <c r="R17" i="81" s="1"/>
  <c r="T18" i="81"/>
  <c r="L18" i="81" s="1"/>
  <c r="R18" i="81" s="1"/>
  <c r="T19" i="81"/>
  <c r="L19" i="81" s="1"/>
  <c r="R19" i="81" s="1"/>
  <c r="T20" i="81"/>
  <c r="L20" i="81" s="1"/>
  <c r="R20" i="81" s="1"/>
  <c r="T21" i="81"/>
  <c r="L21" i="81" s="1"/>
  <c r="R21" i="81" s="1"/>
  <c r="T22" i="81"/>
  <c r="L22" i="81" s="1"/>
  <c r="R22" i="81" s="1"/>
  <c r="T23" i="81"/>
  <c r="L23" i="81" s="1"/>
  <c r="R23" i="81" s="1"/>
  <c r="T24" i="81"/>
  <c r="L24" i="81" s="1"/>
  <c r="R24" i="81" s="1"/>
  <c r="T25" i="81"/>
  <c r="L25" i="81" s="1"/>
  <c r="R25" i="81" s="1"/>
  <c r="T26" i="81"/>
  <c r="L26" i="81" s="1"/>
  <c r="R26" i="81" s="1"/>
  <c r="T27" i="81"/>
  <c r="L27" i="81" s="1"/>
  <c r="R27" i="81" s="1"/>
  <c r="T28" i="81"/>
  <c r="L28" i="81" s="1"/>
  <c r="R28" i="81" s="1"/>
  <c r="T29" i="81"/>
  <c r="L29" i="81" s="1"/>
  <c r="R29" i="81" s="1"/>
  <c r="T30" i="81"/>
  <c r="L30" i="81" s="1"/>
  <c r="R30" i="81" s="1"/>
  <c r="T31" i="81"/>
  <c r="L31" i="81" s="1"/>
  <c r="R31" i="81" s="1"/>
  <c r="T32" i="81"/>
  <c r="L32" i="81" s="1"/>
  <c r="R32" i="81" s="1"/>
  <c r="T33" i="81"/>
  <c r="L33" i="81" s="1"/>
  <c r="R33" i="81" s="1"/>
  <c r="T34" i="81"/>
  <c r="L34" i="81" s="1"/>
  <c r="R34" i="81" s="1"/>
  <c r="T35" i="81"/>
  <c r="L35" i="81" s="1"/>
  <c r="R35" i="81" s="1"/>
  <c r="G17" i="81"/>
  <c r="G18" i="81"/>
  <c r="G19" i="81"/>
  <c r="G20" i="81"/>
  <c r="G21" i="81"/>
  <c r="G22" i="81"/>
  <c r="G23" i="81"/>
  <c r="G24" i="81"/>
  <c r="G25" i="81"/>
  <c r="G26" i="81"/>
  <c r="G27" i="81"/>
  <c r="G28" i="81"/>
  <c r="G29" i="81"/>
  <c r="G30" i="81"/>
  <c r="G31" i="81"/>
  <c r="G32" i="81"/>
  <c r="G33" i="81"/>
  <c r="G34" i="81"/>
  <c r="G35" i="81"/>
  <c r="I17" i="81"/>
  <c r="I18" i="81"/>
  <c r="I19" i="81"/>
  <c r="I20" i="81"/>
  <c r="I21" i="81"/>
  <c r="I22" i="81"/>
  <c r="I23" i="81"/>
  <c r="I24" i="81"/>
  <c r="I25" i="81"/>
  <c r="I26" i="81"/>
  <c r="I27" i="81"/>
  <c r="I28" i="81"/>
  <c r="I29" i="81"/>
  <c r="I30" i="81"/>
  <c r="I31" i="81"/>
  <c r="I32" i="81"/>
  <c r="I33" i="81"/>
  <c r="I34" i="81"/>
  <c r="I35" i="81"/>
  <c r="K17" i="81"/>
  <c r="K18" i="81"/>
  <c r="K19" i="81"/>
  <c r="K20" i="81"/>
  <c r="K21" i="81"/>
  <c r="K22" i="81"/>
  <c r="K23" i="81"/>
  <c r="K24" i="81"/>
  <c r="K25" i="81"/>
  <c r="K26" i="81"/>
  <c r="K27" i="81"/>
  <c r="K28" i="81"/>
  <c r="K29" i="81"/>
  <c r="K30" i="81"/>
  <c r="K31" i="81"/>
  <c r="K32" i="81"/>
  <c r="K33" i="81"/>
  <c r="K34" i="81"/>
  <c r="K35" i="81"/>
  <c r="R48" i="81"/>
  <c r="N38" i="81"/>
  <c r="K16" i="85"/>
  <c r="G16" i="85"/>
  <c r="D32" i="104"/>
  <c r="T16" i="85"/>
  <c r="T17" i="85"/>
  <c r="T18" i="85"/>
  <c r="L18" i="85" s="1"/>
  <c r="R18" i="85" s="1"/>
  <c r="T19" i="85"/>
  <c r="L19" i="85" s="1"/>
  <c r="R19" i="85" s="1"/>
  <c r="T20" i="85"/>
  <c r="L20" i="85" s="1"/>
  <c r="R20" i="85" s="1"/>
  <c r="T21" i="85"/>
  <c r="L21" i="85" s="1"/>
  <c r="R21" i="85" s="1"/>
  <c r="T22" i="85"/>
  <c r="L22" i="85" s="1"/>
  <c r="R22" i="85" s="1"/>
  <c r="T23" i="85"/>
  <c r="L23" i="85" s="1"/>
  <c r="R23" i="85" s="1"/>
  <c r="T24" i="85"/>
  <c r="L24" i="85" s="1"/>
  <c r="R24" i="85" s="1"/>
  <c r="T25" i="85"/>
  <c r="L25" i="85" s="1"/>
  <c r="R25" i="85" s="1"/>
  <c r="T26" i="85"/>
  <c r="L26" i="85" s="1"/>
  <c r="R26" i="85" s="1"/>
  <c r="T27" i="85"/>
  <c r="L27" i="85" s="1"/>
  <c r="R27" i="85" s="1"/>
  <c r="T28" i="85"/>
  <c r="L28" i="85" s="1"/>
  <c r="R28" i="85" s="1"/>
  <c r="T29" i="85"/>
  <c r="L29" i="85" s="1"/>
  <c r="R29" i="85" s="1"/>
  <c r="T30" i="85"/>
  <c r="L30" i="85" s="1"/>
  <c r="R30" i="85" s="1"/>
  <c r="T31" i="85"/>
  <c r="L31" i="85" s="1"/>
  <c r="R31" i="85" s="1"/>
  <c r="T32" i="85"/>
  <c r="L32" i="85" s="1"/>
  <c r="R32" i="85" s="1"/>
  <c r="T33" i="85"/>
  <c r="L33" i="85" s="1"/>
  <c r="R33" i="85" s="1"/>
  <c r="T34" i="85"/>
  <c r="L34" i="85" s="1"/>
  <c r="R34" i="85" s="1"/>
  <c r="L35" i="85"/>
  <c r="R35" i="85" s="1"/>
  <c r="E40" i="85"/>
  <c r="K17" i="85"/>
  <c r="K18" i="85"/>
  <c r="K19" i="85"/>
  <c r="K20" i="85"/>
  <c r="K21" i="85"/>
  <c r="K22" i="85"/>
  <c r="K23" i="85"/>
  <c r="K24" i="85"/>
  <c r="K25" i="85"/>
  <c r="K26" i="85"/>
  <c r="K27" i="85"/>
  <c r="K28" i="85"/>
  <c r="K29" i="85"/>
  <c r="K30" i="85"/>
  <c r="K31" i="85"/>
  <c r="K32" i="85"/>
  <c r="K33" i="85"/>
  <c r="K34" i="85"/>
  <c r="K35" i="85"/>
  <c r="I17" i="85"/>
  <c r="I18" i="85"/>
  <c r="I19" i="85"/>
  <c r="I20" i="85"/>
  <c r="I21" i="85"/>
  <c r="I22" i="85"/>
  <c r="I23" i="85"/>
  <c r="I24" i="85"/>
  <c r="I25" i="85"/>
  <c r="I26" i="85"/>
  <c r="I27" i="85"/>
  <c r="I28" i="85"/>
  <c r="I29" i="85"/>
  <c r="I30" i="85"/>
  <c r="I31" i="85"/>
  <c r="I32" i="85"/>
  <c r="I33" i="85"/>
  <c r="I34" i="85"/>
  <c r="I35" i="85"/>
  <c r="G17" i="85"/>
  <c r="G18" i="85"/>
  <c r="G19" i="85"/>
  <c r="G20" i="85"/>
  <c r="G21" i="85"/>
  <c r="G22" i="85"/>
  <c r="G23" i="85"/>
  <c r="G24" i="85"/>
  <c r="G25" i="85"/>
  <c r="G26" i="85"/>
  <c r="G27" i="85"/>
  <c r="G28" i="85"/>
  <c r="G29" i="85"/>
  <c r="G30" i="85"/>
  <c r="G31" i="85"/>
  <c r="G32" i="85"/>
  <c r="G33" i="85"/>
  <c r="G34" i="85"/>
  <c r="G35" i="85"/>
  <c r="V304" i="10"/>
  <c r="I6" i="9"/>
  <c r="AE6" i="9" s="1"/>
  <c r="I7" i="9"/>
  <c r="AE7" i="9" s="1"/>
  <c r="I8" i="9"/>
  <c r="AE8" i="9" s="1"/>
  <c r="I9" i="9"/>
  <c r="AE9" i="9" s="1"/>
  <c r="I41" i="9"/>
  <c r="AE41" i="9" s="1"/>
  <c r="I42" i="9"/>
  <c r="AE42" i="9" s="1"/>
  <c r="I43" i="9"/>
  <c r="AE43" i="9" s="1"/>
  <c r="I44" i="9"/>
  <c r="AE44" i="9" s="1"/>
  <c r="I45" i="9"/>
  <c r="AE45" i="9" s="1"/>
  <c r="I46" i="9"/>
  <c r="AE46" i="9" s="1"/>
  <c r="I47" i="9"/>
  <c r="AE47" i="9" s="1"/>
  <c r="I48" i="9"/>
  <c r="AE48" i="9" s="1"/>
  <c r="I49" i="9"/>
  <c r="AE49" i="9" s="1"/>
  <c r="I50" i="9"/>
  <c r="AE50" i="9" s="1"/>
  <c r="I51" i="9"/>
  <c r="AE51" i="9" s="1"/>
  <c r="I52" i="9"/>
  <c r="AE52" i="9" s="1"/>
  <c r="I53" i="9"/>
  <c r="AE53" i="9" s="1"/>
  <c r="I54" i="9"/>
  <c r="AE54" i="9" s="1"/>
  <c r="I55" i="9"/>
  <c r="AE55" i="9" s="1"/>
  <c r="I56" i="9"/>
  <c r="AE56" i="9" s="1"/>
  <c r="I57" i="9"/>
  <c r="AE57" i="9" s="1"/>
  <c r="I58" i="9"/>
  <c r="AE58" i="9" s="1"/>
  <c r="I59" i="9"/>
  <c r="AE59" i="9" s="1"/>
  <c r="I60" i="9"/>
  <c r="AE60" i="9" s="1"/>
  <c r="I61" i="9"/>
  <c r="AE61" i="9" s="1"/>
  <c r="I62" i="9"/>
  <c r="AE62" i="9" s="1"/>
  <c r="I63" i="9"/>
  <c r="AE63" i="9" s="1"/>
  <c r="I64" i="9"/>
  <c r="AE64" i="9" s="1"/>
  <c r="I65" i="9"/>
  <c r="AE65" i="9" s="1"/>
  <c r="I66" i="9"/>
  <c r="AE66" i="9" s="1"/>
  <c r="O100" i="9"/>
  <c r="P100" i="9"/>
  <c r="J6" i="9"/>
  <c r="AL6" i="9" s="1"/>
  <c r="J7" i="9"/>
  <c r="AL7" i="9" s="1"/>
  <c r="J8" i="9"/>
  <c r="AL8" i="9" s="1"/>
  <c r="J9" i="9"/>
  <c r="AL9" i="9" s="1"/>
  <c r="J41" i="9"/>
  <c r="AL41" i="9" s="1"/>
  <c r="J42" i="9"/>
  <c r="AL42" i="9" s="1"/>
  <c r="J43" i="9"/>
  <c r="AL43" i="9" s="1"/>
  <c r="J44" i="9"/>
  <c r="AL44" i="9" s="1"/>
  <c r="J45" i="9"/>
  <c r="AL45" i="9" s="1"/>
  <c r="J46" i="9"/>
  <c r="AL46" i="9" s="1"/>
  <c r="J47" i="9"/>
  <c r="AL47" i="9" s="1"/>
  <c r="J48" i="9"/>
  <c r="AL48" i="9" s="1"/>
  <c r="J49" i="9"/>
  <c r="AL49" i="9" s="1"/>
  <c r="J50" i="9"/>
  <c r="AL50" i="9" s="1"/>
  <c r="J51" i="9"/>
  <c r="AL51" i="9" s="1"/>
  <c r="J52" i="9"/>
  <c r="AL52" i="9" s="1"/>
  <c r="J53" i="9"/>
  <c r="AL53" i="9" s="1"/>
  <c r="J54" i="9"/>
  <c r="AL54" i="9" s="1"/>
  <c r="J55" i="9"/>
  <c r="AL55" i="9" s="1"/>
  <c r="J56" i="9"/>
  <c r="AL56" i="9" s="1"/>
  <c r="J57" i="9"/>
  <c r="AL57" i="9" s="1"/>
  <c r="J58" i="9"/>
  <c r="AL58" i="9" s="1"/>
  <c r="J59" i="9"/>
  <c r="AL59" i="9" s="1"/>
  <c r="J60" i="9"/>
  <c r="AL60" i="9" s="1"/>
  <c r="J61" i="9"/>
  <c r="AL61" i="9" s="1"/>
  <c r="J62" i="9"/>
  <c r="AL62" i="9" s="1"/>
  <c r="J63" i="9"/>
  <c r="AL63" i="9" s="1"/>
  <c r="J64" i="9"/>
  <c r="AL64" i="9" s="1"/>
  <c r="J65" i="9"/>
  <c r="AL65" i="9" s="1"/>
  <c r="J66" i="9"/>
  <c r="AL66" i="9" s="1"/>
  <c r="O102" i="9"/>
  <c r="P102" i="9"/>
  <c r="AF74" i="10"/>
  <c r="AE74" i="10"/>
  <c r="AD9" i="82"/>
  <c r="AC9" i="82" s="1"/>
  <c r="N190" i="60"/>
  <c r="N180" i="60"/>
  <c r="C63" i="60"/>
  <c r="N181" i="60" s="1"/>
  <c r="Q46" i="77"/>
  <c r="AC19" i="77"/>
  <c r="V19" i="77" s="1"/>
  <c r="Z19" i="77" s="1"/>
  <c r="T20" i="77"/>
  <c r="R20" i="77"/>
  <c r="P20" i="77"/>
  <c r="P19" i="77"/>
  <c r="T19" i="77"/>
  <c r="R19" i="77"/>
  <c r="T29" i="76"/>
  <c r="Q29" i="76" s="1"/>
  <c r="R29" i="76" s="1"/>
  <c r="Q15" i="76"/>
  <c r="R15" i="76" s="1"/>
  <c r="T36" i="76"/>
  <c r="Q36" i="76" s="1"/>
  <c r="R36" i="76" s="1"/>
  <c r="P29" i="76"/>
  <c r="H101" i="69"/>
  <c r="AA8" i="69"/>
  <c r="E8" i="69" s="1"/>
  <c r="F39" i="40"/>
  <c r="U54" i="77"/>
  <c r="BA54" i="77"/>
  <c r="P10" i="84"/>
  <c r="P13" i="84"/>
  <c r="O32" i="84"/>
  <c r="D54" i="84"/>
  <c r="O36" i="84"/>
  <c r="Z33" i="84"/>
  <c r="W31" i="84" s="1"/>
  <c r="O33" i="84"/>
  <c r="N33" i="84" s="1"/>
  <c r="P12" i="84"/>
  <c r="P11" i="84"/>
  <c r="N21" i="39"/>
  <c r="Z10" i="41"/>
  <c r="Z11" i="41"/>
  <c r="Z12" i="41"/>
  <c r="Z13" i="41"/>
  <c r="M5" i="27"/>
  <c r="M6" i="27"/>
  <c r="AJ104" i="146" s="1"/>
  <c r="M7" i="27"/>
  <c r="M8" i="27"/>
  <c r="M9" i="27"/>
  <c r="M10" i="27"/>
  <c r="M11" i="27"/>
  <c r="M12" i="27"/>
  <c r="M13" i="27"/>
  <c r="AE14" i="27"/>
  <c r="AE15" i="27"/>
  <c r="AE16" i="27"/>
  <c r="AB10" i="41"/>
  <c r="AB11" i="41"/>
  <c r="AB12" i="41"/>
  <c r="AB13" i="41"/>
  <c r="Q84" i="83"/>
  <c r="BR84" i="83" s="1"/>
  <c r="S84" i="83"/>
  <c r="U84" i="83"/>
  <c r="W84" i="83"/>
  <c r="Y84" i="83"/>
  <c r="H4" i="28"/>
  <c r="K4" i="28"/>
  <c r="AA4" i="28" s="1"/>
  <c r="H5" i="28"/>
  <c r="K5" i="28"/>
  <c r="H6" i="28"/>
  <c r="H7" i="28"/>
  <c r="K7" i="28"/>
  <c r="AA7" i="28" s="1"/>
  <c r="H8" i="28"/>
  <c r="H9" i="28"/>
  <c r="K9" i="28"/>
  <c r="AA9" i="28" s="1"/>
  <c r="H10" i="28"/>
  <c r="K10" i="28"/>
  <c r="AA10" i="28" s="1"/>
  <c r="H11" i="28"/>
  <c r="K11" i="28"/>
  <c r="AA11" i="28" s="1"/>
  <c r="H12" i="28"/>
  <c r="K12" i="28"/>
  <c r="AA12" i="28" s="1"/>
  <c r="H13" i="28"/>
  <c r="H14" i="28"/>
  <c r="K14" i="28"/>
  <c r="H15" i="28"/>
  <c r="K15" i="28"/>
  <c r="AA15" i="28" s="1"/>
  <c r="H16" i="28"/>
  <c r="K16" i="28"/>
  <c r="H17" i="28"/>
  <c r="H18" i="28"/>
  <c r="K18" i="28"/>
  <c r="AA18" i="28" s="1"/>
  <c r="H19" i="28"/>
  <c r="H20" i="28"/>
  <c r="K20" i="28"/>
  <c r="AA20" i="28" s="1"/>
  <c r="H21" i="28"/>
  <c r="K21" i="28"/>
  <c r="AA21" i="28" s="1"/>
  <c r="H22" i="28"/>
  <c r="K22" i="28"/>
  <c r="AA22" i="28" s="1"/>
  <c r="H23" i="28"/>
  <c r="K23" i="28"/>
  <c r="AA23" i="28" s="1"/>
  <c r="H24" i="28"/>
  <c r="K24" i="28"/>
  <c r="AA24" i="28" s="1"/>
  <c r="H25" i="28"/>
  <c r="K25" i="28"/>
  <c r="H26" i="28"/>
  <c r="K26" i="28"/>
  <c r="AA26" i="28" s="1"/>
  <c r="H27" i="28"/>
  <c r="K27" i="28"/>
  <c r="AA27" i="28" s="1"/>
  <c r="H28" i="28"/>
  <c r="K28" i="28"/>
  <c r="AA28" i="28" s="1"/>
  <c r="H29" i="28"/>
  <c r="K29" i="28"/>
  <c r="H30" i="28"/>
  <c r="H31" i="28"/>
  <c r="K31" i="28"/>
  <c r="AA31" i="28" s="1"/>
  <c r="H32" i="28"/>
  <c r="K32" i="28"/>
  <c r="AA32" i="28" s="1"/>
  <c r="H33" i="28"/>
  <c r="K33" i="28"/>
  <c r="AA33" i="28" s="1"/>
  <c r="H34" i="28"/>
  <c r="K34" i="28"/>
  <c r="AA34" i="28" s="1"/>
  <c r="H35" i="28"/>
  <c r="K35" i="28"/>
  <c r="AA35" i="28" s="1"/>
  <c r="H36" i="28"/>
  <c r="H37" i="28"/>
  <c r="H139" i="28"/>
  <c r="K139" i="28"/>
  <c r="AA139" i="28" s="1"/>
  <c r="H140" i="28"/>
  <c r="K140" i="28"/>
  <c r="AA140" i="28" s="1"/>
  <c r="H141" i="28"/>
  <c r="H142" i="28"/>
  <c r="K142" i="28"/>
  <c r="AA142" i="28" s="1"/>
  <c r="H143" i="28"/>
  <c r="K143" i="28"/>
  <c r="H144" i="28"/>
  <c r="K144" i="28"/>
  <c r="AA144" i="28" s="1"/>
  <c r="H145" i="28"/>
  <c r="H146" i="28"/>
  <c r="K146" i="28"/>
  <c r="AA146" i="28" s="1"/>
  <c r="H147" i="28"/>
  <c r="K147" i="28"/>
  <c r="AA147" i="28" s="1"/>
  <c r="H148" i="28"/>
  <c r="K148" i="28"/>
  <c r="AA148" i="28" s="1"/>
  <c r="H149" i="28"/>
  <c r="H150" i="28"/>
  <c r="H151" i="28"/>
  <c r="K151" i="28"/>
  <c r="H152" i="28"/>
  <c r="H153" i="28"/>
  <c r="H154" i="28"/>
  <c r="K154" i="28"/>
  <c r="H155" i="28"/>
  <c r="H156" i="28"/>
  <c r="K156" i="28"/>
  <c r="AA156" i="28" s="1"/>
  <c r="H157" i="28"/>
  <c r="K157" i="28"/>
  <c r="AA157" i="28" s="1"/>
  <c r="I4" i="28"/>
  <c r="I5" i="28"/>
  <c r="I6" i="28"/>
  <c r="K6" i="28"/>
  <c r="AA6" i="28" s="1"/>
  <c r="I7" i="28"/>
  <c r="I8" i="28"/>
  <c r="K8" i="28"/>
  <c r="AA8" i="28" s="1"/>
  <c r="I9" i="28"/>
  <c r="I10" i="28"/>
  <c r="AB10" i="28" s="1"/>
  <c r="I11" i="28"/>
  <c r="I12" i="28"/>
  <c r="I13" i="28"/>
  <c r="K13" i="28"/>
  <c r="AA13" i="28" s="1"/>
  <c r="I14" i="28"/>
  <c r="I15" i="28"/>
  <c r="I16" i="28"/>
  <c r="AB16" i="28" s="1"/>
  <c r="I17" i="28"/>
  <c r="I18" i="28"/>
  <c r="I19" i="28"/>
  <c r="K19" i="28"/>
  <c r="I20" i="28"/>
  <c r="I21" i="28"/>
  <c r="I22" i="28"/>
  <c r="I23" i="28"/>
  <c r="AB23" i="28" s="1"/>
  <c r="I24" i="28"/>
  <c r="I25" i="28"/>
  <c r="I26" i="28"/>
  <c r="I27" i="28"/>
  <c r="I28" i="28"/>
  <c r="I29" i="28"/>
  <c r="I30" i="28"/>
  <c r="I31" i="28"/>
  <c r="I32" i="28"/>
  <c r="AB32" i="28" s="1"/>
  <c r="I33" i="28"/>
  <c r="I34" i="28"/>
  <c r="I35" i="28"/>
  <c r="I36" i="28"/>
  <c r="K36" i="28"/>
  <c r="AA36" i="28" s="1"/>
  <c r="I37" i="28"/>
  <c r="I139" i="28"/>
  <c r="I140" i="28"/>
  <c r="I141" i="28"/>
  <c r="K141" i="28"/>
  <c r="AA141" i="28" s="1"/>
  <c r="I142" i="28"/>
  <c r="I143" i="28"/>
  <c r="I144" i="28"/>
  <c r="I145" i="28"/>
  <c r="K145" i="28"/>
  <c r="AA145" i="28" s="1"/>
  <c r="I146" i="28"/>
  <c r="I147" i="28"/>
  <c r="I148" i="28"/>
  <c r="I149" i="28"/>
  <c r="K149" i="28"/>
  <c r="AA149" i="28" s="1"/>
  <c r="I150" i="28"/>
  <c r="K150" i="28"/>
  <c r="AA150" i="28" s="1"/>
  <c r="I151" i="28"/>
  <c r="I152" i="28"/>
  <c r="I153" i="28"/>
  <c r="K153" i="28"/>
  <c r="AA153" i="28" s="1"/>
  <c r="I154" i="28"/>
  <c r="I155" i="28"/>
  <c r="I156" i="28"/>
  <c r="I157" i="28"/>
  <c r="J4" i="28"/>
  <c r="J5" i="28"/>
  <c r="J6" i="28"/>
  <c r="J7" i="28"/>
  <c r="J8" i="28"/>
  <c r="J9" i="28"/>
  <c r="J10" i="28"/>
  <c r="J11" i="28"/>
  <c r="AC11" i="28" s="1"/>
  <c r="J12" i="28"/>
  <c r="J13" i="28"/>
  <c r="AC13" i="28" s="1"/>
  <c r="J14" i="28"/>
  <c r="J15" i="28"/>
  <c r="J16" i="28"/>
  <c r="AC16" i="28" s="1"/>
  <c r="J17" i="28"/>
  <c r="K17" i="28"/>
  <c r="J18" i="28"/>
  <c r="AC18" i="28" s="1"/>
  <c r="J19" i="28"/>
  <c r="AC19" i="28" s="1"/>
  <c r="J20" i="28"/>
  <c r="J21" i="28"/>
  <c r="J22" i="28"/>
  <c r="J23" i="28"/>
  <c r="J24" i="28"/>
  <c r="J25" i="28"/>
  <c r="J26" i="28"/>
  <c r="J27" i="28"/>
  <c r="J28" i="28"/>
  <c r="J29" i="28"/>
  <c r="J30" i="28"/>
  <c r="K30" i="28"/>
  <c r="J31" i="28"/>
  <c r="J32" i="28"/>
  <c r="J33" i="28"/>
  <c r="AC33" i="28" s="1"/>
  <c r="J34" i="28"/>
  <c r="J35" i="28"/>
  <c r="J36" i="28"/>
  <c r="J37" i="28"/>
  <c r="J139" i="28"/>
  <c r="J140" i="28"/>
  <c r="J141" i="28"/>
  <c r="J142" i="28"/>
  <c r="J143" i="28"/>
  <c r="J144" i="28"/>
  <c r="J145" i="28"/>
  <c r="J146" i="28"/>
  <c r="J147" i="28"/>
  <c r="J148" i="28"/>
  <c r="J149" i="28"/>
  <c r="J150" i="28"/>
  <c r="J151" i="28"/>
  <c r="J152" i="28"/>
  <c r="K152" i="28"/>
  <c r="AA152" i="28" s="1"/>
  <c r="J153" i="28"/>
  <c r="J154" i="28"/>
  <c r="J155" i="28"/>
  <c r="K155" i="28"/>
  <c r="AA155" i="28" s="1"/>
  <c r="J156" i="28"/>
  <c r="J157" i="28"/>
  <c r="AC157" i="28" s="1"/>
  <c r="E17" i="82"/>
  <c r="O101" i="30"/>
  <c r="J101" i="30" s="1"/>
  <c r="G148" i="2" s="1"/>
  <c r="D148" i="2" s="1"/>
  <c r="N4" i="22"/>
  <c r="M7" i="41" s="1"/>
  <c r="A10" i="83"/>
  <c r="G17" i="22"/>
  <c r="G19" i="22"/>
  <c r="N186" i="60"/>
  <c r="L13" i="80"/>
  <c r="I13" i="80" s="1"/>
  <c r="J12" i="80" s="1"/>
  <c r="AC13" i="80" s="1"/>
  <c r="D16" i="80"/>
  <c r="K20" i="80" s="1"/>
  <c r="D20" i="80" s="1"/>
  <c r="S13" i="78"/>
  <c r="H13" i="78" s="1"/>
  <c r="K13" i="78" s="1"/>
  <c r="S14" i="78"/>
  <c r="H14" i="78" s="1"/>
  <c r="K14" i="78" s="1"/>
  <c r="S16" i="78"/>
  <c r="H16" i="78" s="1"/>
  <c r="K16" i="78" s="1"/>
  <c r="S20" i="78"/>
  <c r="H20" i="78" s="1"/>
  <c r="K20" i="78" s="1"/>
  <c r="S17" i="78"/>
  <c r="H17" i="78" s="1"/>
  <c r="K17" i="78" s="1"/>
  <c r="Q2" i="22"/>
  <c r="F30" i="22"/>
  <c r="G30" i="22" s="1"/>
  <c r="H30" i="22" s="1"/>
  <c r="F31" i="22"/>
  <c r="G31" i="22" s="1"/>
  <c r="H31" i="22" s="1"/>
  <c r="F32" i="22"/>
  <c r="G32" i="22" s="1"/>
  <c r="H32" i="22" s="1"/>
  <c r="F33" i="22"/>
  <c r="G33" i="22" s="1"/>
  <c r="H33" i="22" s="1"/>
  <c r="F34" i="22"/>
  <c r="G34" i="22" s="1"/>
  <c r="H34" i="22" s="1"/>
  <c r="D36" i="22"/>
  <c r="AA37" i="53"/>
  <c r="X44" i="53"/>
  <c r="AE2" i="83"/>
  <c r="AG2" i="83"/>
  <c r="AP5" i="83"/>
  <c r="A11" i="83"/>
  <c r="AC12" i="83"/>
  <c r="AE12" i="83" s="1"/>
  <c r="AC14" i="83"/>
  <c r="AE14" i="83" s="1"/>
  <c r="AC15" i="83"/>
  <c r="AE15" i="83" s="1"/>
  <c r="AC17" i="83"/>
  <c r="AE17" i="83" s="1"/>
  <c r="A18" i="83"/>
  <c r="A20" i="83"/>
  <c r="AC47" i="83"/>
  <c r="AE47" i="83" s="1"/>
  <c r="A50" i="83"/>
  <c r="A51" i="83"/>
  <c r="A52" i="83"/>
  <c r="AC53" i="83"/>
  <c r="AE53" i="83" s="1"/>
  <c r="A55" i="83"/>
  <c r="AC56" i="83"/>
  <c r="AE56" i="83" s="1"/>
  <c r="AC57" i="83"/>
  <c r="AE57" i="83" s="1"/>
  <c r="A58" i="83"/>
  <c r="AC59" i="83"/>
  <c r="AE59" i="83" s="1"/>
  <c r="AC61" i="83"/>
  <c r="AE61" i="83" s="1"/>
  <c r="AC63" i="83"/>
  <c r="AE63" i="83" s="1"/>
  <c r="AC65" i="83"/>
  <c r="AE65" i="83" s="1"/>
  <c r="AC66" i="83"/>
  <c r="AE66" i="83" s="1"/>
  <c r="A68" i="83"/>
  <c r="AC69" i="83"/>
  <c r="AE69" i="83" s="1"/>
  <c r="A71" i="83"/>
  <c r="A72" i="83"/>
  <c r="A75" i="83"/>
  <c r="A76" i="83"/>
  <c r="A77" i="83"/>
  <c r="A78" i="83"/>
  <c r="AC79" i="83"/>
  <c r="AE79" i="83" s="1"/>
  <c r="A80" i="83"/>
  <c r="A81" i="83"/>
  <c r="M84" i="83"/>
  <c r="AA84" i="83"/>
  <c r="AG86" i="83"/>
  <c r="AI86" i="83"/>
  <c r="AH86" i="83" s="1"/>
  <c r="S42" i="22"/>
  <c r="F7" i="39"/>
  <c r="F12" i="39" s="1"/>
  <c r="H7" i="39"/>
  <c r="H12" i="39" s="1"/>
  <c r="O21" i="39"/>
  <c r="M28" i="39"/>
  <c r="AZ3" i="28"/>
  <c r="L47" i="39"/>
  <c r="L48" i="39"/>
  <c r="I45" i="39"/>
  <c r="J45" i="39" s="1"/>
  <c r="I47" i="39"/>
  <c r="J47" i="39" s="1"/>
  <c r="N9" i="77"/>
  <c r="P10" i="77"/>
  <c r="R10" i="77"/>
  <c r="T10" i="77"/>
  <c r="H40" i="22"/>
  <c r="BF13" i="77" s="1"/>
  <c r="M25" i="77" s="1"/>
  <c r="CA13" i="77"/>
  <c r="CA14" i="77" s="1"/>
  <c r="CA17" i="77"/>
  <c r="P17" i="77" s="1"/>
  <c r="AD19" i="77"/>
  <c r="BA21" i="77"/>
  <c r="P22" i="77"/>
  <c r="P24" i="77"/>
  <c r="R24" i="77"/>
  <c r="T24" i="77"/>
  <c r="N33" i="77"/>
  <c r="P33" i="77"/>
  <c r="R33" i="77"/>
  <c r="T33" i="77"/>
  <c r="N38" i="77"/>
  <c r="P38" i="77"/>
  <c r="R38" i="77"/>
  <c r="T38" i="77"/>
  <c r="BB38" i="77"/>
  <c r="BD38" i="77"/>
  <c r="BE38" i="77"/>
  <c r="CA39" i="77"/>
  <c r="CA41" i="77" s="1"/>
  <c r="CA43" i="77" s="1"/>
  <c r="CA45" i="77" s="1"/>
  <c r="CA40" i="77"/>
  <c r="R40" i="77" s="1"/>
  <c r="M54" i="76"/>
  <c r="O44" i="77" s="1"/>
  <c r="N54" i="77"/>
  <c r="P54" i="77"/>
  <c r="R54" i="77"/>
  <c r="T54" i="77"/>
  <c r="CA55" i="77"/>
  <c r="CA57" i="77" s="1"/>
  <c r="CA59" i="77" s="1"/>
  <c r="U56" i="77"/>
  <c r="BE56" i="77"/>
  <c r="BA56" i="77"/>
  <c r="BB56" i="77"/>
  <c r="CA56" i="77"/>
  <c r="P56" i="77" s="1"/>
  <c r="BD58" i="77"/>
  <c r="S58" i="77" s="1"/>
  <c r="M58" i="77" s="1"/>
  <c r="CA72" i="77"/>
  <c r="CA74" i="77" s="1"/>
  <c r="CA76" i="77" s="1"/>
  <c r="CA80" i="77"/>
  <c r="GL83" i="77"/>
  <c r="CA84" i="77"/>
  <c r="GL85" i="77"/>
  <c r="GL87" i="77"/>
  <c r="GL89" i="77"/>
  <c r="O93" i="77"/>
  <c r="Q93" i="77"/>
  <c r="W93" i="77"/>
  <c r="CA96" i="77"/>
  <c r="BC105" i="77"/>
  <c r="BD105" i="77" s="1"/>
  <c r="W107" i="77"/>
  <c r="J20" i="39"/>
  <c r="O35" i="39"/>
  <c r="Q39" i="39"/>
  <c r="AD35" i="60"/>
  <c r="AC35" i="60"/>
  <c r="M98" i="30"/>
  <c r="M101" i="30" s="1"/>
  <c r="Y7" i="31" s="1"/>
  <c r="J9" i="31"/>
  <c r="N9" i="31"/>
  <c r="Q9" i="31"/>
  <c r="U10" i="31"/>
  <c r="BA10" i="31"/>
  <c r="Q10" i="31" s="1"/>
  <c r="P62" i="30"/>
  <c r="P63" i="30"/>
  <c r="P8" i="30"/>
  <c r="P9" i="30"/>
  <c r="P30" i="30"/>
  <c r="P40" i="30"/>
  <c r="P50" i="30"/>
  <c r="P61" i="30"/>
  <c r="L62" i="30"/>
  <c r="L63" i="30"/>
  <c r="L61" i="30"/>
  <c r="X12" i="31"/>
  <c r="X13" i="31"/>
  <c r="BA13" i="31"/>
  <c r="J13" i="31" s="1"/>
  <c r="L8" i="30"/>
  <c r="W14" i="31" s="1"/>
  <c r="W15" i="31"/>
  <c r="V22" i="31"/>
  <c r="X18" i="31"/>
  <c r="W22" i="31"/>
  <c r="BA22" i="31"/>
  <c r="AC23" i="31"/>
  <c r="X28" i="31"/>
  <c r="X29" i="31"/>
  <c r="X33" i="31"/>
  <c r="Y33" i="31"/>
  <c r="U34" i="31"/>
  <c r="V34" i="31"/>
  <c r="X34" i="31"/>
  <c r="Y34" i="31"/>
  <c r="Z34" i="31"/>
  <c r="Z35" i="31" s="1"/>
  <c r="AA34" i="31"/>
  <c r="AB34" i="31"/>
  <c r="AD35" i="31" s="1"/>
  <c r="J35" i="31"/>
  <c r="N35" i="31"/>
  <c r="Q35" i="31"/>
  <c r="BA36" i="31"/>
  <c r="J37" i="31"/>
  <c r="N37" i="31"/>
  <c r="Q37" i="31"/>
  <c r="U38" i="31"/>
  <c r="X38" i="31"/>
  <c r="Y38" i="31"/>
  <c r="BA38" i="31"/>
  <c r="N38" i="31" s="1"/>
  <c r="U39" i="31"/>
  <c r="V39" i="31"/>
  <c r="O7" i="29"/>
  <c r="O8" i="29"/>
  <c r="X39" i="31"/>
  <c r="Y39" i="31"/>
  <c r="U40" i="31"/>
  <c r="J41" i="31"/>
  <c r="N41" i="31"/>
  <c r="Q41" i="31"/>
  <c r="BA42" i="31"/>
  <c r="N42" i="31" s="1"/>
  <c r="P14" i="29"/>
  <c r="BA44" i="31"/>
  <c r="J44" i="31" s="1"/>
  <c r="X46" i="31"/>
  <c r="X47" i="31"/>
  <c r="BA47" i="31"/>
  <c r="X48" i="31"/>
  <c r="X52" i="31"/>
  <c r="J54" i="31"/>
  <c r="N54" i="31"/>
  <c r="Q54" i="31"/>
  <c r="BA61" i="31"/>
  <c r="O1" i="30"/>
  <c r="BB197" i="43"/>
  <c r="BB205" i="43"/>
  <c r="BB90" i="43"/>
  <c r="BB91" i="43"/>
  <c r="BB92" i="43"/>
  <c r="BB198" i="43"/>
  <c r="BB199" i="43"/>
  <c r="BB200" i="43"/>
  <c r="BB201" i="43"/>
  <c r="BB202" i="43"/>
  <c r="BB203" i="43"/>
  <c r="BB204" i="43"/>
  <c r="BB206" i="43"/>
  <c r="BB207" i="43"/>
  <c r="BB208" i="43"/>
  <c r="BB209" i="43"/>
  <c r="BB210" i="43"/>
  <c r="BB211" i="43"/>
  <c r="BB212" i="43"/>
  <c r="BB213" i="43"/>
  <c r="BB214" i="43"/>
  <c r="BB215" i="43"/>
  <c r="BB216" i="43"/>
  <c r="BB217" i="43"/>
  <c r="BB218" i="43"/>
  <c r="BB219" i="43"/>
  <c r="BB220" i="43"/>
  <c r="BB221" i="43"/>
  <c r="BB222" i="43"/>
  <c r="BB223" i="43"/>
  <c r="BB224" i="43"/>
  <c r="BB225" i="43"/>
  <c r="BB226" i="43"/>
  <c r="BB227" i="43"/>
  <c r="BB228" i="43"/>
  <c r="BB229" i="43"/>
  <c r="BB230" i="43"/>
  <c r="BB231" i="43"/>
  <c r="BB232" i="43"/>
  <c r="BC192" i="43"/>
  <c r="BC193" i="43"/>
  <c r="BC194" i="43"/>
  <c r="BC195" i="43"/>
  <c r="BC196" i="43"/>
  <c r="P10" i="30"/>
  <c r="F11" i="30"/>
  <c r="K11" i="30" s="1"/>
  <c r="L11" i="30"/>
  <c r="P11" i="30"/>
  <c r="F12" i="30"/>
  <c r="K12" i="30" s="1"/>
  <c r="L12" i="30"/>
  <c r="P12" i="30"/>
  <c r="F13" i="30"/>
  <c r="K13" i="30" s="1"/>
  <c r="L13" i="30"/>
  <c r="P13" i="30"/>
  <c r="P19" i="30"/>
  <c r="F20" i="30"/>
  <c r="K20" i="30" s="1"/>
  <c r="P20" i="30"/>
  <c r="F21" i="30"/>
  <c r="K21" i="30" s="1"/>
  <c r="P21" i="30"/>
  <c r="F22" i="30"/>
  <c r="K22" i="30" s="1"/>
  <c r="P22" i="30"/>
  <c r="F23" i="30"/>
  <c r="K23" i="30" s="1"/>
  <c r="P23" i="30"/>
  <c r="P29" i="30"/>
  <c r="F30" i="30"/>
  <c r="K31" i="30"/>
  <c r="P31" i="30"/>
  <c r="F32" i="30"/>
  <c r="K32" i="30" s="1"/>
  <c r="P32" i="30"/>
  <c r="F33" i="30"/>
  <c r="K33" i="30" s="1"/>
  <c r="P33" i="30"/>
  <c r="F40" i="30"/>
  <c r="F41" i="30"/>
  <c r="K41" i="30" s="1"/>
  <c r="P41" i="30"/>
  <c r="F42" i="30"/>
  <c r="K42" i="30" s="1"/>
  <c r="P42" i="30"/>
  <c r="F50" i="30"/>
  <c r="K50" i="30" s="1"/>
  <c r="F51" i="30"/>
  <c r="K51" i="30" s="1"/>
  <c r="P51" i="30"/>
  <c r="P59" i="30"/>
  <c r="P60" i="30"/>
  <c r="F61" i="30"/>
  <c r="K61" i="30" s="1"/>
  <c r="F62" i="30"/>
  <c r="K62" i="30" s="1"/>
  <c r="F63" i="30"/>
  <c r="K63" i="30" s="1"/>
  <c r="P69" i="30"/>
  <c r="P79" i="30"/>
  <c r="N84" i="30"/>
  <c r="N85" i="30"/>
  <c r="N86" i="30"/>
  <c r="P83" i="30"/>
  <c r="K84" i="30"/>
  <c r="K85" i="30"/>
  <c r="F93" i="30"/>
  <c r="K93" i="30" s="1"/>
  <c r="B99" i="30"/>
  <c r="AC99" i="30"/>
  <c r="B100" i="30"/>
  <c r="D100" i="30"/>
  <c r="F100" i="30"/>
  <c r="H100" i="30"/>
  <c r="N100" i="30"/>
  <c r="O100" i="30"/>
  <c r="AC100" i="30"/>
  <c r="E102" i="30"/>
  <c r="A3" i="29"/>
  <c r="O9" i="29"/>
  <c r="O12" i="29"/>
  <c r="O13" i="29"/>
  <c r="O14" i="29"/>
  <c r="O16" i="29"/>
  <c r="O17" i="29"/>
  <c r="O18" i="29"/>
  <c r="O19" i="29"/>
  <c r="O20" i="29"/>
  <c r="O21" i="29"/>
  <c r="O22" i="29"/>
  <c r="O23" i="29"/>
  <c r="O24" i="29"/>
  <c r="BA107" i="43"/>
  <c r="BA119" i="43"/>
  <c r="BA121" i="43"/>
  <c r="BA83" i="43"/>
  <c r="BA109" i="43"/>
  <c r="BA110" i="43"/>
  <c r="BA111" i="43"/>
  <c r="BA112" i="43"/>
  <c r="BA114" i="43"/>
  <c r="BA115" i="43"/>
  <c r="BA118" i="43"/>
  <c r="BA120" i="43"/>
  <c r="BA122" i="43"/>
  <c r="BA123" i="43"/>
  <c r="AH61" i="29"/>
  <c r="AK61" i="29"/>
  <c r="AL61" i="29" s="1"/>
  <c r="AM61" i="29" s="1"/>
  <c r="AI61" i="29"/>
  <c r="AH62" i="29"/>
  <c r="AK62" i="29"/>
  <c r="AL62" i="29" s="1"/>
  <c r="AM62" i="29" s="1"/>
  <c r="AI62" i="29"/>
  <c r="AH63" i="29"/>
  <c r="AK63" i="29"/>
  <c r="AL63" i="29" s="1"/>
  <c r="AM63" i="29" s="1"/>
  <c r="AI63" i="29"/>
  <c r="P15" i="76"/>
  <c r="P16" i="76"/>
  <c r="S16" i="76"/>
  <c r="T16" i="76"/>
  <c r="Q16" i="76" s="1"/>
  <c r="P17" i="76"/>
  <c r="S17" i="76"/>
  <c r="T17" i="76"/>
  <c r="Q17" i="76" s="1"/>
  <c r="R17" i="76" s="1"/>
  <c r="P18" i="76"/>
  <c r="S18" i="76"/>
  <c r="T18" i="76"/>
  <c r="S19" i="76"/>
  <c r="S29" i="76"/>
  <c r="P30" i="76"/>
  <c r="S30" i="76"/>
  <c r="T30" i="76"/>
  <c r="Q30" i="76" s="1"/>
  <c r="R30" i="76" s="1"/>
  <c r="P31" i="76"/>
  <c r="S31" i="76"/>
  <c r="T31" i="76"/>
  <c r="Q31" i="76" s="1"/>
  <c r="P32" i="76"/>
  <c r="S32" i="76"/>
  <c r="T32" i="76"/>
  <c r="Q32" i="76" s="1"/>
  <c r="R32" i="76" s="1"/>
  <c r="P33" i="76"/>
  <c r="S33" i="76"/>
  <c r="T33" i="76"/>
  <c r="Q33" i="76" s="1"/>
  <c r="R33" i="76" s="1"/>
  <c r="P34" i="76"/>
  <c r="T34" i="76"/>
  <c r="Q34" i="76" s="1"/>
  <c r="R34" i="76" s="1"/>
  <c r="S34" i="76"/>
  <c r="P36" i="76"/>
  <c r="S36" i="76"/>
  <c r="P38" i="76"/>
  <c r="S38" i="76"/>
  <c r="T38" i="76"/>
  <c r="Q38" i="76" s="1"/>
  <c r="R38" i="76" s="1"/>
  <c r="P39" i="76"/>
  <c r="S39" i="76"/>
  <c r="T39" i="76"/>
  <c r="Q39" i="76" s="1"/>
  <c r="R39" i="76" s="1"/>
  <c r="P40" i="76"/>
  <c r="S40" i="76"/>
  <c r="T40" i="76"/>
  <c r="Q40" i="76" s="1"/>
  <c r="R40" i="76" s="1"/>
  <c r="P41" i="76"/>
  <c r="S41" i="76"/>
  <c r="T41" i="76"/>
  <c r="Q41" i="76" s="1"/>
  <c r="R41" i="76" s="1"/>
  <c r="P42" i="76"/>
  <c r="S42" i="76"/>
  <c r="T42" i="76"/>
  <c r="Q42" i="76" s="1"/>
  <c r="R42" i="76" s="1"/>
  <c r="P43" i="76"/>
  <c r="S43" i="76"/>
  <c r="T43" i="76"/>
  <c r="Q43" i="76" s="1"/>
  <c r="R43" i="76" s="1"/>
  <c r="P44" i="76"/>
  <c r="S44" i="76"/>
  <c r="P45" i="76"/>
  <c r="S45" i="76"/>
  <c r="T45" i="76"/>
  <c r="P46" i="76"/>
  <c r="S46" i="76"/>
  <c r="T46" i="76"/>
  <c r="P47" i="76"/>
  <c r="S47" i="76"/>
  <c r="T47" i="76"/>
  <c r="J57" i="76"/>
  <c r="S98" i="76"/>
  <c r="D26" i="70"/>
  <c r="D65" i="70"/>
  <c r="P9" i="82"/>
  <c r="Q9" i="82"/>
  <c r="R9" i="82"/>
  <c r="U9" i="82"/>
  <c r="V9" i="82"/>
  <c r="W9" i="82"/>
  <c r="P15" i="82"/>
  <c r="Q15" i="82"/>
  <c r="R15" i="82"/>
  <c r="U15" i="82"/>
  <c r="V15" i="82"/>
  <c r="W15" i="82"/>
  <c r="AD15" i="82"/>
  <c r="D19" i="82"/>
  <c r="M13" i="80"/>
  <c r="L14" i="80"/>
  <c r="E30" i="80"/>
  <c r="J30" i="80" s="1"/>
  <c r="K30" i="80"/>
  <c r="L30" i="80"/>
  <c r="L42" i="80"/>
  <c r="B44" i="80"/>
  <c r="B252" i="80"/>
  <c r="W6" i="69"/>
  <c r="X6" i="69"/>
  <c r="Z8" i="69"/>
  <c r="W9" i="69"/>
  <c r="Z9" i="69"/>
  <c r="AA9" i="69"/>
  <c r="E9" i="69" s="1"/>
  <c r="W10" i="69"/>
  <c r="Z10" i="69"/>
  <c r="T10" i="69" s="1"/>
  <c r="AA10" i="69"/>
  <c r="E10" i="69" s="1"/>
  <c r="Y11" i="69"/>
  <c r="W11" i="69"/>
  <c r="Z11" i="69"/>
  <c r="AA11" i="69"/>
  <c r="Y12" i="69"/>
  <c r="W12" i="69"/>
  <c r="T12" i="69"/>
  <c r="Z12" i="69"/>
  <c r="AA12" i="69"/>
  <c r="E12" i="69" s="1"/>
  <c r="W13" i="69"/>
  <c r="Z13" i="69"/>
  <c r="AA13" i="69"/>
  <c r="E13" i="69" s="1"/>
  <c r="Y14" i="69"/>
  <c r="W14" i="69"/>
  <c r="T14" i="69"/>
  <c r="Z14" i="69"/>
  <c r="AA14" i="69"/>
  <c r="Y15" i="69"/>
  <c r="W15" i="69"/>
  <c r="Z15" i="69"/>
  <c r="AA15" i="69"/>
  <c r="Y16" i="69"/>
  <c r="W16" i="69"/>
  <c r="T16" i="69"/>
  <c r="Z16" i="69"/>
  <c r="AA16" i="69"/>
  <c r="AB16" i="69" s="1"/>
  <c r="Y17" i="69"/>
  <c r="W17" i="69"/>
  <c r="Z17" i="69"/>
  <c r="AA17" i="69"/>
  <c r="E17" i="69" s="1"/>
  <c r="Y18" i="69"/>
  <c r="W18" i="69"/>
  <c r="Z18" i="69"/>
  <c r="AA18" i="69"/>
  <c r="AB18" i="69" s="1"/>
  <c r="Y19" i="69"/>
  <c r="W19" i="69"/>
  <c r="AG19" i="69"/>
  <c r="Z19" i="69"/>
  <c r="AA19" i="69"/>
  <c r="W20" i="69"/>
  <c r="Z20" i="69"/>
  <c r="AA20" i="69"/>
  <c r="AB20" i="69" s="1"/>
  <c r="Y21" i="69"/>
  <c r="W21" i="69"/>
  <c r="AG21" i="69"/>
  <c r="Z21" i="69"/>
  <c r="AA21" i="69"/>
  <c r="AB21" i="69" s="1"/>
  <c r="Y22" i="69"/>
  <c r="W22" i="69"/>
  <c r="Z22" i="69"/>
  <c r="AA22" i="69"/>
  <c r="AB22" i="69" s="1"/>
  <c r="Y23" i="69"/>
  <c r="W23" i="69"/>
  <c r="AG23" i="69"/>
  <c r="Z23" i="69"/>
  <c r="AA23" i="69"/>
  <c r="W24" i="69"/>
  <c r="Z24" i="69"/>
  <c r="AA24" i="69"/>
  <c r="AB24" i="69" s="1"/>
  <c r="Y25" i="69"/>
  <c r="W25" i="69"/>
  <c r="AG25" i="69"/>
  <c r="Z25" i="69"/>
  <c r="AA25" i="69"/>
  <c r="E25" i="69" s="1"/>
  <c r="Y76" i="69"/>
  <c r="W76" i="69"/>
  <c r="Z76" i="69"/>
  <c r="AA76" i="69"/>
  <c r="E76" i="69" s="1"/>
  <c r="Y77" i="69"/>
  <c r="W77" i="69"/>
  <c r="Z77" i="69"/>
  <c r="AA77" i="69"/>
  <c r="AB77" i="69" s="1"/>
  <c r="Y78" i="69"/>
  <c r="W78" i="69"/>
  <c r="Z78" i="69"/>
  <c r="AA78" i="69"/>
  <c r="AB78" i="69" s="1"/>
  <c r="Y79" i="69"/>
  <c r="W79" i="69"/>
  <c r="Z79" i="69"/>
  <c r="AA79" i="69"/>
  <c r="E79" i="69" s="1"/>
  <c r="Y80" i="69"/>
  <c r="W80" i="69"/>
  <c r="Z80" i="69"/>
  <c r="AA80" i="69"/>
  <c r="AB80" i="69" s="1"/>
  <c r="W81" i="69"/>
  <c r="Z81" i="69"/>
  <c r="AA81" i="69"/>
  <c r="AB81" i="69" s="1"/>
  <c r="Y82" i="69"/>
  <c r="W82" i="69"/>
  <c r="Z82" i="69"/>
  <c r="AA82" i="69"/>
  <c r="AB82" i="69" s="1"/>
  <c r="AG84" i="69"/>
  <c r="X104" i="69"/>
  <c r="X105" i="69" s="1"/>
  <c r="E107" i="69"/>
  <c r="J7" i="68"/>
  <c r="L9" i="68"/>
  <c r="I11" i="68"/>
  <c r="J11" i="68" s="1"/>
  <c r="L13" i="68"/>
  <c r="J24" i="68"/>
  <c r="I25" i="68"/>
  <c r="J25" i="68" s="1"/>
  <c r="L27" i="68"/>
  <c r="L14" i="68"/>
  <c r="L15" i="68"/>
  <c r="L16" i="68"/>
  <c r="O18" i="68"/>
  <c r="L19" i="68"/>
  <c r="M19" i="68" s="1"/>
  <c r="O19" i="68"/>
  <c r="L20" i="68"/>
  <c r="M20" i="68" s="1"/>
  <c r="L21" i="68"/>
  <c r="M21" i="68" s="1"/>
  <c r="L22" i="68"/>
  <c r="M22" i="68" s="1"/>
  <c r="L23" i="68"/>
  <c r="M23" i="68" s="1"/>
  <c r="L24" i="68"/>
  <c r="M24" i="68" s="1"/>
  <c r="L25" i="68"/>
  <c r="M25" i="68" s="1"/>
  <c r="L26" i="68"/>
  <c r="M26" i="68" s="1"/>
  <c r="G27" i="68"/>
  <c r="J29" i="68"/>
  <c r="L31" i="68"/>
  <c r="I38" i="68" s="1"/>
  <c r="J38" i="68" s="1"/>
  <c r="I33" i="68"/>
  <c r="J33" i="68" s="1"/>
  <c r="M35" i="68"/>
  <c r="I41" i="68" s="1"/>
  <c r="J41" i="68" s="1"/>
  <c r="L53" i="68"/>
  <c r="L41" i="68"/>
  <c r="M41" i="68" s="1"/>
  <c r="O41" i="68"/>
  <c r="L42" i="68"/>
  <c r="M42" i="68" s="1"/>
  <c r="O42" i="68"/>
  <c r="L43" i="68"/>
  <c r="M43" i="68" s="1"/>
  <c r="O43" i="68"/>
  <c r="L44" i="68"/>
  <c r="M44" i="68" s="1"/>
  <c r="O44" i="68"/>
  <c r="L45" i="68"/>
  <c r="M45" i="68" s="1"/>
  <c r="O45" i="68"/>
  <c r="L46" i="68"/>
  <c r="M46" i="68" s="1"/>
  <c r="O46" i="68"/>
  <c r="L47" i="68"/>
  <c r="M47" i="68" s="1"/>
  <c r="O47" i="68"/>
  <c r="L48" i="68"/>
  <c r="M48" i="68" s="1"/>
  <c r="O48" i="68"/>
  <c r="G49" i="68"/>
  <c r="E55" i="68"/>
  <c r="P3" i="60"/>
  <c r="CB3" i="60"/>
  <c r="C4" i="60"/>
  <c r="CB4" i="60"/>
  <c r="CB5" i="60"/>
  <c r="CB6" i="60"/>
  <c r="Q8" i="60"/>
  <c r="H10" i="60" s="1"/>
  <c r="L10" i="60" s="1"/>
  <c r="CB8" i="60"/>
  <c r="O13" i="60"/>
  <c r="N14" i="60"/>
  <c r="Q14" i="60" s="1"/>
  <c r="O14" i="60"/>
  <c r="P16" i="60"/>
  <c r="P23" i="60" s="1"/>
  <c r="S23" i="60" s="1"/>
  <c r="F47" i="60" s="1"/>
  <c r="P18" i="60"/>
  <c r="V29" i="60"/>
  <c r="M29" i="60"/>
  <c r="N29" i="60" s="1"/>
  <c r="Q29" i="60"/>
  <c r="R29" i="60"/>
  <c r="S29" i="60" s="1"/>
  <c r="U29" i="60"/>
  <c r="V30" i="60"/>
  <c r="M30" i="60"/>
  <c r="O30" i="60" s="1"/>
  <c r="X30" i="60" s="1"/>
  <c r="M31" i="60"/>
  <c r="O31" i="60" s="1"/>
  <c r="X31" i="60" s="1"/>
  <c r="N30" i="60"/>
  <c r="Q30" i="60"/>
  <c r="R30" i="60"/>
  <c r="U30" i="60"/>
  <c r="V31" i="60"/>
  <c r="R31" i="60"/>
  <c r="S31" i="60" s="1"/>
  <c r="N31" i="60"/>
  <c r="Q31" i="60"/>
  <c r="U31" i="60"/>
  <c r="F32" i="60"/>
  <c r="N33" i="60"/>
  <c r="T33" i="60"/>
  <c r="U33" i="60"/>
  <c r="BA33" i="60"/>
  <c r="BB33" i="60" s="1"/>
  <c r="Q34" i="60"/>
  <c r="I33" i="60" s="1"/>
  <c r="L33" i="60" s="1"/>
  <c r="C36" i="60"/>
  <c r="N40" i="60"/>
  <c r="Q40" i="60"/>
  <c r="J42" i="60" s="1"/>
  <c r="L42" i="60" s="1"/>
  <c r="N41" i="60"/>
  <c r="C42" i="60"/>
  <c r="N42" i="60"/>
  <c r="N43" i="60"/>
  <c r="N44" i="60"/>
  <c r="O43" i="60"/>
  <c r="P44" i="60" s="1"/>
  <c r="J44" i="60"/>
  <c r="L44" i="60" s="1"/>
  <c r="G47" i="60"/>
  <c r="H48" i="60"/>
  <c r="Q48" i="60"/>
  <c r="N53" i="60"/>
  <c r="C56" i="60"/>
  <c r="M56" i="60"/>
  <c r="P58" i="60"/>
  <c r="J58" i="60" s="1"/>
  <c r="CB61" i="60"/>
  <c r="CB62" i="60"/>
  <c r="CB63" i="60"/>
  <c r="CB64" i="60"/>
  <c r="Q66" i="60"/>
  <c r="H71" i="60" s="1"/>
  <c r="L71" i="60" s="1"/>
  <c r="CB66" i="60"/>
  <c r="O71" i="60"/>
  <c r="N72" i="60"/>
  <c r="O72" i="60"/>
  <c r="V87" i="60"/>
  <c r="M87" i="60"/>
  <c r="N87" i="60" s="1"/>
  <c r="Q87" i="60"/>
  <c r="R87" i="60"/>
  <c r="S87" i="60" s="1"/>
  <c r="U87" i="60"/>
  <c r="V88" i="60"/>
  <c r="M88" i="60"/>
  <c r="O88" i="60" s="1"/>
  <c r="X88" i="60" s="1"/>
  <c r="V89" i="60"/>
  <c r="M89" i="60"/>
  <c r="O89" i="60" s="1"/>
  <c r="X89" i="60" s="1"/>
  <c r="N88" i="60"/>
  <c r="Q88" i="60"/>
  <c r="R88" i="60"/>
  <c r="S88" i="60" s="1"/>
  <c r="U88" i="60"/>
  <c r="N89" i="60"/>
  <c r="Q89" i="60"/>
  <c r="R89" i="60"/>
  <c r="S89" i="60" s="1"/>
  <c r="U89" i="60"/>
  <c r="F90" i="60"/>
  <c r="N91" i="60"/>
  <c r="T91" i="60"/>
  <c r="U91" i="60"/>
  <c r="BA91" i="60"/>
  <c r="BB91" i="60" s="1"/>
  <c r="Q92" i="60"/>
  <c r="I91" i="60" s="1"/>
  <c r="L91" i="60" s="1"/>
  <c r="N98" i="60"/>
  <c r="Q98" i="60"/>
  <c r="N99" i="60"/>
  <c r="N101" i="60"/>
  <c r="N102" i="60"/>
  <c r="N100" i="60"/>
  <c r="O101" i="60"/>
  <c r="Q102" i="60" s="1"/>
  <c r="J102" i="60"/>
  <c r="L102" i="60" s="1"/>
  <c r="H106" i="60"/>
  <c r="Q106" i="60"/>
  <c r="N111" i="60"/>
  <c r="C114" i="60"/>
  <c r="M114" i="60"/>
  <c r="CB119" i="60"/>
  <c r="CB120" i="60"/>
  <c r="CB121" i="60"/>
  <c r="CB122" i="60"/>
  <c r="Q124" i="60"/>
  <c r="J137" i="60" s="1"/>
  <c r="L137" i="60" s="1"/>
  <c r="CB124" i="60"/>
  <c r="O129" i="60"/>
  <c r="N130" i="60"/>
  <c r="Q130" i="60" s="1"/>
  <c r="O130" i="60"/>
  <c r="V145" i="60"/>
  <c r="V146" i="60"/>
  <c r="V147" i="60"/>
  <c r="R145" i="60"/>
  <c r="S145" i="60" s="1"/>
  <c r="R146" i="60"/>
  <c r="S146" i="60" s="1"/>
  <c r="R147" i="60"/>
  <c r="S147" i="60" s="1"/>
  <c r="M145" i="60"/>
  <c r="O145" i="60" s="1"/>
  <c r="P145" i="60" s="1"/>
  <c r="Q145" i="60"/>
  <c r="U145" i="60"/>
  <c r="M146" i="60"/>
  <c r="N146" i="60"/>
  <c r="Q146" i="60"/>
  <c r="U146" i="60"/>
  <c r="M147" i="60"/>
  <c r="O147" i="60" s="1"/>
  <c r="P147" i="60" s="1"/>
  <c r="Y147" i="60" s="1"/>
  <c r="N147" i="60"/>
  <c r="Q147" i="60"/>
  <c r="U147" i="60"/>
  <c r="F148" i="60"/>
  <c r="N149" i="60"/>
  <c r="T149" i="60"/>
  <c r="U149" i="60"/>
  <c r="BA149" i="60"/>
  <c r="BB149" i="60" s="1"/>
  <c r="Q150" i="60"/>
  <c r="I149" i="60" s="1"/>
  <c r="L149" i="60" s="1"/>
  <c r="N156" i="60"/>
  <c r="Q156" i="60"/>
  <c r="N157" i="60"/>
  <c r="N158" i="60"/>
  <c r="N159" i="60"/>
  <c r="N160" i="60"/>
  <c r="O159" i="60"/>
  <c r="J160" i="60"/>
  <c r="L160" i="60" s="1"/>
  <c r="H164" i="60"/>
  <c r="Q164" i="60"/>
  <c r="N169" i="60"/>
  <c r="C172" i="60"/>
  <c r="M172" i="60"/>
  <c r="C176" i="60"/>
  <c r="M180" i="60"/>
  <c r="O180" i="60" s="1"/>
  <c r="M181" i="60"/>
  <c r="M182" i="60"/>
  <c r="M190" i="60"/>
  <c r="O190" i="60" s="1"/>
  <c r="L14" i="42" s="1"/>
  <c r="CB3" i="59"/>
  <c r="K4" i="59"/>
  <c r="CB4" i="59"/>
  <c r="CB5" i="59"/>
  <c r="CB6" i="59"/>
  <c r="CB8" i="59"/>
  <c r="O13" i="59"/>
  <c r="N14" i="59"/>
  <c r="Q14" i="59" s="1"/>
  <c r="O14" i="59"/>
  <c r="N16" i="59"/>
  <c r="G42" i="59" s="1"/>
  <c r="R16" i="59"/>
  <c r="R17" i="59"/>
  <c r="P19" i="59"/>
  <c r="R21" i="59" s="1"/>
  <c r="Q20" i="59" s="1"/>
  <c r="S21" i="59" s="1"/>
  <c r="F41" i="59" s="1"/>
  <c r="P20" i="59"/>
  <c r="I25" i="59"/>
  <c r="P25" i="59"/>
  <c r="Q25" i="59"/>
  <c r="S25" i="59"/>
  <c r="T25" i="59"/>
  <c r="V25" i="59"/>
  <c r="Q18" i="59" s="1"/>
  <c r="W25" i="59"/>
  <c r="W26" i="59"/>
  <c r="W27" i="59"/>
  <c r="W28" i="59"/>
  <c r="W29" i="59"/>
  <c r="W30" i="59"/>
  <c r="W31" i="59"/>
  <c r="I26" i="59"/>
  <c r="J26" i="59" s="1"/>
  <c r="R26" i="59" s="1"/>
  <c r="K26" i="59" s="1"/>
  <c r="L26" i="59" s="1"/>
  <c r="P26" i="59"/>
  <c r="Q26" i="59"/>
  <c r="S26" i="59"/>
  <c r="T26" i="59"/>
  <c r="V26" i="59"/>
  <c r="I27" i="59"/>
  <c r="J27" i="59" s="1"/>
  <c r="R27" i="59" s="1"/>
  <c r="K27" i="59" s="1"/>
  <c r="L27" i="59" s="1"/>
  <c r="P27" i="59"/>
  <c r="Q27" i="59"/>
  <c r="S27" i="59"/>
  <c r="T27" i="59"/>
  <c r="V27" i="59"/>
  <c r="I28" i="59"/>
  <c r="J28" i="59" s="1"/>
  <c r="P28" i="59"/>
  <c r="Q28" i="59"/>
  <c r="S28" i="59"/>
  <c r="T28" i="59"/>
  <c r="V28" i="59"/>
  <c r="I29" i="59"/>
  <c r="P29" i="59"/>
  <c r="Q29" i="59"/>
  <c r="S29" i="59"/>
  <c r="T29" i="59"/>
  <c r="V29" i="59"/>
  <c r="I30" i="59"/>
  <c r="J30" i="59" s="1"/>
  <c r="R30" i="59" s="1"/>
  <c r="K30" i="59" s="1"/>
  <c r="L30" i="59" s="1"/>
  <c r="P30" i="59"/>
  <c r="Q30" i="59"/>
  <c r="S30" i="59"/>
  <c r="T30" i="59"/>
  <c r="V30" i="59"/>
  <c r="I31" i="59"/>
  <c r="J31" i="59" s="1"/>
  <c r="R31" i="59" s="1"/>
  <c r="K31" i="59" s="1"/>
  <c r="L31" i="59" s="1"/>
  <c r="P31" i="59"/>
  <c r="Q31" i="59"/>
  <c r="S31" i="59"/>
  <c r="T31" i="59"/>
  <c r="V31" i="59"/>
  <c r="F33" i="59"/>
  <c r="I8" i="59" s="1"/>
  <c r="N8" i="59" s="1"/>
  <c r="G33" i="59"/>
  <c r="I34" i="59" s="1"/>
  <c r="N35" i="59" s="1"/>
  <c r="H33" i="59"/>
  <c r="G51" i="59"/>
  <c r="M56" i="59"/>
  <c r="L61" i="59" s="1"/>
  <c r="E50" i="2" s="1"/>
  <c r="C50" i="2" s="1"/>
  <c r="C57" i="59"/>
  <c r="F61" i="59"/>
  <c r="N1" i="57"/>
  <c r="O1" i="57"/>
  <c r="B4" i="57"/>
  <c r="O5" i="57"/>
  <c r="P5" i="57"/>
  <c r="B10" i="57"/>
  <c r="F16" i="57"/>
  <c r="P16" i="57"/>
  <c r="R16" i="57"/>
  <c r="F17" i="57"/>
  <c r="P17" i="57"/>
  <c r="M17" i="57" s="1"/>
  <c r="N17" i="57" s="1"/>
  <c r="R17" i="57"/>
  <c r="S17" i="57" s="1"/>
  <c r="F18" i="57"/>
  <c r="P18" i="57"/>
  <c r="M18" i="57" s="1"/>
  <c r="N18" i="57" s="1"/>
  <c r="R18" i="57"/>
  <c r="S18" i="57" s="1"/>
  <c r="F19" i="57"/>
  <c r="P19" i="57"/>
  <c r="M19" i="57" s="1"/>
  <c r="N19" i="57" s="1"/>
  <c r="R19" i="57"/>
  <c r="S19" i="57" s="1"/>
  <c r="F20" i="57"/>
  <c r="P20" i="57"/>
  <c r="M20" i="57" s="1"/>
  <c r="N20" i="57" s="1"/>
  <c r="R20" i="57"/>
  <c r="F21" i="57"/>
  <c r="P21" i="57"/>
  <c r="M21" i="57" s="1"/>
  <c r="N21" i="57" s="1"/>
  <c r="R21" i="57"/>
  <c r="S21" i="57" s="1"/>
  <c r="F22" i="57"/>
  <c r="P22" i="57"/>
  <c r="M22" i="57" s="1"/>
  <c r="N22" i="57" s="1"/>
  <c r="R22" i="57"/>
  <c r="F23" i="57"/>
  <c r="P23" i="57"/>
  <c r="M23" i="57" s="1"/>
  <c r="N23" i="57" s="1"/>
  <c r="R23" i="57"/>
  <c r="S23" i="57" s="1"/>
  <c r="F24" i="57"/>
  <c r="P24" i="57"/>
  <c r="M24" i="57" s="1"/>
  <c r="N24" i="57" s="1"/>
  <c r="R24" i="57"/>
  <c r="F25" i="57"/>
  <c r="P25" i="57"/>
  <c r="M25" i="57" s="1"/>
  <c r="N25" i="57" s="1"/>
  <c r="R25" i="57"/>
  <c r="S25" i="57" s="1"/>
  <c r="H27" i="57"/>
  <c r="J27" i="57"/>
  <c r="J35" i="57" s="1"/>
  <c r="L27" i="57"/>
  <c r="H47" i="57"/>
  <c r="B5" i="52"/>
  <c r="I5" i="52"/>
  <c r="F5" i="52" s="1"/>
  <c r="L5" i="52"/>
  <c r="B6" i="52"/>
  <c r="I6" i="52"/>
  <c r="F6" i="52" s="1"/>
  <c r="L6" i="52"/>
  <c r="B7" i="52"/>
  <c r="I7" i="52"/>
  <c r="F7" i="52" s="1"/>
  <c r="L7" i="52"/>
  <c r="B8" i="52"/>
  <c r="I8" i="52"/>
  <c r="F8" i="52" s="1"/>
  <c r="L8" i="52"/>
  <c r="B9" i="52"/>
  <c r="I9" i="52"/>
  <c r="F9" i="52" s="1"/>
  <c r="L9" i="52"/>
  <c r="B10" i="52"/>
  <c r="I10" i="52"/>
  <c r="F10" i="52" s="1"/>
  <c r="L10" i="52"/>
  <c r="B11" i="52"/>
  <c r="I11" i="52"/>
  <c r="F11" i="52" s="1"/>
  <c r="L11" i="52"/>
  <c r="B12" i="52"/>
  <c r="I12" i="52"/>
  <c r="F12" i="52" s="1"/>
  <c r="L12" i="52"/>
  <c r="B13" i="52"/>
  <c r="I13" i="52"/>
  <c r="F13" i="52" s="1"/>
  <c r="L13" i="52"/>
  <c r="I14" i="52"/>
  <c r="F14" i="52" s="1"/>
  <c r="I15" i="52"/>
  <c r="I16" i="52"/>
  <c r="F16" i="52" s="1"/>
  <c r="I17" i="52"/>
  <c r="I18" i="52"/>
  <c r="F18" i="52" s="1"/>
  <c r="I19" i="52"/>
  <c r="I20" i="52"/>
  <c r="H20" i="52" s="1"/>
  <c r="D36" i="52"/>
  <c r="B2" i="51"/>
  <c r="M7" i="51"/>
  <c r="M8" i="51"/>
  <c r="K8" i="51" s="1"/>
  <c r="J8" i="51" s="1"/>
  <c r="M9" i="51"/>
  <c r="K9" i="51" s="1"/>
  <c r="J9" i="51" s="1"/>
  <c r="M10" i="51"/>
  <c r="K10" i="51" s="1"/>
  <c r="J10" i="51" s="1"/>
  <c r="M11" i="51"/>
  <c r="K11" i="51" s="1"/>
  <c r="J11" i="51" s="1"/>
  <c r="M12" i="51"/>
  <c r="K12" i="51" s="1"/>
  <c r="J12" i="51" s="1"/>
  <c r="M13" i="51"/>
  <c r="K13" i="51" s="1"/>
  <c r="J13" i="51" s="1"/>
  <c r="M14" i="51"/>
  <c r="K14" i="51" s="1"/>
  <c r="J14" i="51" s="1"/>
  <c r="M15" i="51"/>
  <c r="K15" i="51" s="1"/>
  <c r="J15" i="51" s="1"/>
  <c r="M16" i="51"/>
  <c r="K16" i="51" s="1"/>
  <c r="J16" i="51" s="1"/>
  <c r="M17" i="51"/>
  <c r="K17" i="51" s="1"/>
  <c r="J17" i="51" s="1"/>
  <c r="M18" i="51"/>
  <c r="K18" i="51" s="1"/>
  <c r="J18" i="51" s="1"/>
  <c r="M19" i="51"/>
  <c r="K19" i="51" s="1"/>
  <c r="J19" i="51" s="1"/>
  <c r="M20" i="51"/>
  <c r="K20" i="51" s="1"/>
  <c r="J20" i="51" s="1"/>
  <c r="M21" i="51"/>
  <c r="K21" i="51" s="1"/>
  <c r="J21" i="51" s="1"/>
  <c r="M22" i="51"/>
  <c r="K22" i="51" s="1"/>
  <c r="J22" i="51" s="1"/>
  <c r="M23" i="51"/>
  <c r="K23" i="51" s="1"/>
  <c r="J23" i="51" s="1"/>
  <c r="M24" i="51"/>
  <c r="K24" i="51" s="1"/>
  <c r="J24" i="51" s="1"/>
  <c r="M25" i="51"/>
  <c r="K25" i="51" s="1"/>
  <c r="J25" i="51" s="1"/>
  <c r="M27" i="51"/>
  <c r="K27" i="51" s="1"/>
  <c r="M34" i="51"/>
  <c r="M35" i="51"/>
  <c r="K35" i="51" s="1"/>
  <c r="J35" i="51" s="1"/>
  <c r="M36" i="51"/>
  <c r="K36" i="51" s="1"/>
  <c r="J36" i="51" s="1"/>
  <c r="M37" i="51"/>
  <c r="K37" i="51" s="1"/>
  <c r="J37" i="51" s="1"/>
  <c r="M38" i="51"/>
  <c r="K38" i="51" s="1"/>
  <c r="J38" i="51" s="1"/>
  <c r="M39" i="51"/>
  <c r="K39" i="51" s="1"/>
  <c r="J39" i="51" s="1"/>
  <c r="M40" i="51"/>
  <c r="K40" i="51" s="1"/>
  <c r="J40" i="51" s="1"/>
  <c r="M41" i="51"/>
  <c r="K41" i="51" s="1"/>
  <c r="J41" i="51" s="1"/>
  <c r="M42" i="51"/>
  <c r="K42" i="51" s="1"/>
  <c r="J42" i="51" s="1"/>
  <c r="M43" i="51"/>
  <c r="K43" i="51" s="1"/>
  <c r="J43" i="51" s="1"/>
  <c r="M44" i="51"/>
  <c r="K44" i="51" s="1"/>
  <c r="J44" i="51" s="1"/>
  <c r="M45" i="51"/>
  <c r="K45" i="51" s="1"/>
  <c r="J45" i="51" s="1"/>
  <c r="M46" i="51"/>
  <c r="K46" i="51" s="1"/>
  <c r="J46" i="51" s="1"/>
  <c r="M47" i="51"/>
  <c r="K47" i="51" s="1"/>
  <c r="J47" i="51" s="1"/>
  <c r="M48" i="51"/>
  <c r="K48" i="51" s="1"/>
  <c r="J48" i="51" s="1"/>
  <c r="M49" i="51"/>
  <c r="K49" i="51" s="1"/>
  <c r="J49" i="51" s="1"/>
  <c r="M50" i="51"/>
  <c r="K50" i="51" s="1"/>
  <c r="J50" i="51" s="1"/>
  <c r="M51" i="51"/>
  <c r="K51" i="51" s="1"/>
  <c r="J51" i="51" s="1"/>
  <c r="M52" i="51"/>
  <c r="K52" i="51" s="1"/>
  <c r="J52" i="51" s="1"/>
  <c r="G54" i="51"/>
  <c r="G55" i="51"/>
  <c r="M55" i="51"/>
  <c r="K55" i="51" s="1"/>
  <c r="O57" i="51"/>
  <c r="O58" i="51"/>
  <c r="P57" i="51"/>
  <c r="P58" i="51"/>
  <c r="F58" i="51"/>
  <c r="J4" i="47"/>
  <c r="K4" i="47"/>
  <c r="K6" i="47"/>
  <c r="I15" i="47" s="1"/>
  <c r="J15" i="47" s="1"/>
  <c r="A7" i="47"/>
  <c r="T8" i="47"/>
  <c r="M11" i="47"/>
  <c r="K13" i="47"/>
  <c r="C18" i="47" s="1"/>
  <c r="K16" i="47"/>
  <c r="E34" i="47" s="1"/>
  <c r="J34" i="47" s="1"/>
  <c r="G17" i="47"/>
  <c r="M17" i="47"/>
  <c r="K22" i="47"/>
  <c r="K23" i="47" s="1"/>
  <c r="G24" i="47" s="1"/>
  <c r="R24" i="47"/>
  <c r="E21" i="78" s="1"/>
  <c r="H21" i="78" s="1"/>
  <c r="K21" i="78" s="1"/>
  <c r="R25" i="47"/>
  <c r="E22" i="78" s="1"/>
  <c r="H22" i="78" s="1"/>
  <c r="K22" i="78" s="1"/>
  <c r="R26" i="47"/>
  <c r="E23" i="78" s="1"/>
  <c r="R27" i="47"/>
  <c r="E24" i="78" s="1"/>
  <c r="L24" i="78" s="1"/>
  <c r="M30" i="47"/>
  <c r="K37" i="47"/>
  <c r="A41" i="47"/>
  <c r="A6" i="48"/>
  <c r="G7" i="48"/>
  <c r="J7" i="48" s="1"/>
  <c r="K7" i="48"/>
  <c r="J77" i="48" s="1"/>
  <c r="E44" i="2" s="1"/>
  <c r="C44" i="2" s="1"/>
  <c r="H50" i="48"/>
  <c r="J50" i="48" s="1"/>
  <c r="H63" i="48"/>
  <c r="J66" i="48" s="1"/>
  <c r="H54" i="48"/>
  <c r="J54" i="48" s="1"/>
  <c r="K12" i="48"/>
  <c r="J12" i="48" s="1"/>
  <c r="H12" i="48" s="1"/>
  <c r="T8" i="48"/>
  <c r="A12" i="48"/>
  <c r="M12" i="48"/>
  <c r="N12" i="48"/>
  <c r="A18" i="48"/>
  <c r="K18" i="48"/>
  <c r="J18" i="48" s="1"/>
  <c r="H18" i="48" s="1"/>
  <c r="A24" i="48"/>
  <c r="K24" i="48"/>
  <c r="J24" i="48" s="1"/>
  <c r="H24" i="48" s="1"/>
  <c r="A30" i="48"/>
  <c r="K30" i="48"/>
  <c r="J30" i="48" s="1"/>
  <c r="H30" i="48" s="1"/>
  <c r="G44" i="48"/>
  <c r="G53" i="48"/>
  <c r="K64" i="48"/>
  <c r="K71" i="48"/>
  <c r="E77" i="48"/>
  <c r="D61" i="42"/>
  <c r="AX1" i="40"/>
  <c r="AC2" i="40"/>
  <c r="D15" i="40" s="1"/>
  <c r="L5" i="40"/>
  <c r="M23" i="40"/>
  <c r="D24" i="40"/>
  <c r="F29" i="40"/>
  <c r="L29" i="40"/>
  <c r="O29" i="40" s="1"/>
  <c r="N29" i="40"/>
  <c r="F30" i="40"/>
  <c r="L30" i="40"/>
  <c r="O30" i="40" s="1"/>
  <c r="N30" i="40"/>
  <c r="F31" i="40"/>
  <c r="L31" i="40"/>
  <c r="O31" i="40" s="1"/>
  <c r="N31" i="40"/>
  <c r="F32" i="40"/>
  <c r="L32" i="40"/>
  <c r="O32" i="40" s="1"/>
  <c r="N32" i="40"/>
  <c r="F33" i="40"/>
  <c r="L33" i="40"/>
  <c r="N33" i="40"/>
  <c r="F34" i="40"/>
  <c r="L34" i="40"/>
  <c r="O34" i="40" s="1"/>
  <c r="N34" i="40"/>
  <c r="B47" i="40"/>
  <c r="AD47" i="40"/>
  <c r="X47" i="40" s="1"/>
  <c r="Y47" i="40" s="1"/>
  <c r="B48" i="40"/>
  <c r="AD48" i="40"/>
  <c r="F48" i="40" s="1"/>
  <c r="B49" i="40"/>
  <c r="AD49" i="40"/>
  <c r="F49" i="40" s="1"/>
  <c r="B50" i="40"/>
  <c r="AD50" i="40"/>
  <c r="F50" i="40" s="1"/>
  <c r="B51" i="40"/>
  <c r="AD51" i="40"/>
  <c r="AC51" i="40" s="1"/>
  <c r="G51" i="40" s="1"/>
  <c r="B52" i="40"/>
  <c r="AD52" i="40"/>
  <c r="F52" i="40" s="1"/>
  <c r="AD53" i="40"/>
  <c r="B56" i="40"/>
  <c r="G13" i="41"/>
  <c r="I13" i="41"/>
  <c r="K13" i="41" s="1"/>
  <c r="U13" i="41"/>
  <c r="V13" i="41"/>
  <c r="W13" i="41"/>
  <c r="N14" i="41"/>
  <c r="I14" i="41" s="1"/>
  <c r="K14" i="41" s="1"/>
  <c r="O14" i="41"/>
  <c r="U14" i="41"/>
  <c r="V14" i="41"/>
  <c r="W14" i="41"/>
  <c r="Z14" i="41"/>
  <c r="AA14" i="41"/>
  <c r="AB14" i="41"/>
  <c r="G15" i="41"/>
  <c r="I15" i="41"/>
  <c r="K15" i="41" s="1"/>
  <c r="U15" i="41"/>
  <c r="V15" i="41"/>
  <c r="W15" i="41"/>
  <c r="Z15" i="41"/>
  <c r="AA15" i="41"/>
  <c r="AB15" i="41"/>
  <c r="N17" i="41"/>
  <c r="I17" i="41" s="1"/>
  <c r="O17" i="41" s="1"/>
  <c r="U17" i="41"/>
  <c r="V17" i="41"/>
  <c r="W17" i="41"/>
  <c r="Z17" i="41"/>
  <c r="AA17" i="41"/>
  <c r="AB17" i="41"/>
  <c r="N18" i="41"/>
  <c r="G18" i="41" s="1"/>
  <c r="L18" i="41" s="1"/>
  <c r="O18" i="41"/>
  <c r="U18" i="41"/>
  <c r="V18" i="41"/>
  <c r="W18" i="41"/>
  <c r="AB18" i="41"/>
  <c r="Z19" i="41"/>
  <c r="AA19" i="41"/>
  <c r="AB19" i="41"/>
  <c r="N20" i="41"/>
  <c r="D20" i="41" s="1"/>
  <c r="U20" i="41"/>
  <c r="V20" i="41"/>
  <c r="W20" i="41"/>
  <c r="Z20" i="41"/>
  <c r="AA20" i="41"/>
  <c r="AB20" i="41"/>
  <c r="U21" i="41"/>
  <c r="V21" i="41"/>
  <c r="W21" i="41"/>
  <c r="Z21" i="41"/>
  <c r="AA21" i="41"/>
  <c r="AB21" i="41"/>
  <c r="N22" i="41"/>
  <c r="G22" i="41" s="1"/>
  <c r="U22" i="41"/>
  <c r="V22" i="41"/>
  <c r="W22" i="41"/>
  <c r="Z22" i="41"/>
  <c r="AA22" i="41"/>
  <c r="AB22" i="41"/>
  <c r="N23" i="41"/>
  <c r="I23" i="41" s="1"/>
  <c r="K23" i="41" s="1"/>
  <c r="U23" i="41"/>
  <c r="V23" i="41"/>
  <c r="W23" i="41"/>
  <c r="Z23" i="41"/>
  <c r="AA23" i="41"/>
  <c r="AB23" i="41"/>
  <c r="N24" i="41"/>
  <c r="D24" i="41" s="1"/>
  <c r="U24" i="41"/>
  <c r="V24" i="41"/>
  <c r="W24" i="41"/>
  <c r="Z24" i="41"/>
  <c r="AA24" i="41"/>
  <c r="AB24" i="41"/>
  <c r="N25" i="41"/>
  <c r="U25" i="41"/>
  <c r="V25" i="41"/>
  <c r="W25" i="41"/>
  <c r="Z25" i="41"/>
  <c r="AA25" i="41"/>
  <c r="AB25" i="41"/>
  <c r="N26" i="41"/>
  <c r="G26" i="41" s="1"/>
  <c r="U26" i="41"/>
  <c r="V26" i="41"/>
  <c r="W26" i="41"/>
  <c r="Z26" i="41"/>
  <c r="AA26" i="41"/>
  <c r="AB26" i="41"/>
  <c r="C50" i="41"/>
  <c r="L4" i="28"/>
  <c r="M4" i="28"/>
  <c r="Q4" i="28"/>
  <c r="F4" i="28" s="1"/>
  <c r="Q5" i="28"/>
  <c r="F5" i="28" s="1"/>
  <c r="Q6" i="28"/>
  <c r="Q7" i="28"/>
  <c r="Q8" i="28"/>
  <c r="F8" i="28" s="1"/>
  <c r="Q9" i="28"/>
  <c r="F9" i="28" s="1"/>
  <c r="M10" i="28"/>
  <c r="Q10" i="28"/>
  <c r="Q11" i="28"/>
  <c r="F11" i="28" s="1"/>
  <c r="Q12" i="28"/>
  <c r="F12" i="28" s="1"/>
  <c r="Q13" i="28"/>
  <c r="Q14" i="28"/>
  <c r="F14" i="28" s="1"/>
  <c r="Q15" i="28"/>
  <c r="F15" i="28" s="1"/>
  <c r="Q16" i="28"/>
  <c r="F16" i="28" s="1"/>
  <c r="Q17" i="28"/>
  <c r="Q18" i="28"/>
  <c r="Q19" i="28"/>
  <c r="F19" i="28" s="1"/>
  <c r="Q20" i="28"/>
  <c r="Q21" i="28"/>
  <c r="Q22" i="28"/>
  <c r="Q23" i="28"/>
  <c r="P23" i="28" s="1"/>
  <c r="Q24" i="28"/>
  <c r="F24" i="28" s="1"/>
  <c r="Q25" i="28"/>
  <c r="F25" i="28" s="1"/>
  <c r="Q26" i="28"/>
  <c r="P26" i="28" s="1"/>
  <c r="Q27" i="28"/>
  <c r="P27" i="28" s="1"/>
  <c r="Q28" i="28"/>
  <c r="Q29" i="28"/>
  <c r="F29" i="28" s="1"/>
  <c r="Q30" i="28"/>
  <c r="F30" i="28" s="1"/>
  <c r="Q31" i="28"/>
  <c r="P31" i="28" s="1"/>
  <c r="Q32" i="28"/>
  <c r="Q33" i="28"/>
  <c r="F33" i="28" s="1"/>
  <c r="Q34" i="28"/>
  <c r="Q35" i="28"/>
  <c r="P35" i="28" s="1"/>
  <c r="Q36" i="28"/>
  <c r="K37" i="28"/>
  <c r="AA37" i="28" s="1"/>
  <c r="Q37" i="28"/>
  <c r="Q139" i="28"/>
  <c r="F139" i="28" s="1"/>
  <c r="Q140" i="28"/>
  <c r="F140" i="28" s="1"/>
  <c r="Q141" i="28"/>
  <c r="F141" i="28" s="1"/>
  <c r="Q142" i="28"/>
  <c r="Q143" i="28"/>
  <c r="P143" i="28" s="1"/>
  <c r="Q144" i="28"/>
  <c r="F144" i="28" s="1"/>
  <c r="Q145" i="28"/>
  <c r="F145" i="28" s="1"/>
  <c r="Q146" i="28"/>
  <c r="F146" i="28" s="1"/>
  <c r="Q147" i="28"/>
  <c r="Q148" i="28"/>
  <c r="F148" i="28" s="1"/>
  <c r="Q149" i="28"/>
  <c r="Q150" i="28"/>
  <c r="Q151" i="28"/>
  <c r="F151" i="28" s="1"/>
  <c r="Q152" i="28"/>
  <c r="F152" i="28" s="1"/>
  <c r="Q153" i="28"/>
  <c r="F153" i="28" s="1"/>
  <c r="Q154" i="28"/>
  <c r="F154" i="28" s="1"/>
  <c r="Q155" i="28"/>
  <c r="P155" i="28" s="1"/>
  <c r="Q156" i="28"/>
  <c r="F156" i="28" s="1"/>
  <c r="Q157" i="28"/>
  <c r="P157" i="28" s="1"/>
  <c r="K158" i="28"/>
  <c r="AA158" i="28" s="1"/>
  <c r="Q158" i="28"/>
  <c r="P158" i="28" s="1"/>
  <c r="K159" i="28"/>
  <c r="AA159" i="28" s="1"/>
  <c r="Q159" i="28"/>
  <c r="P159" i="28" s="1"/>
  <c r="AD161" i="28"/>
  <c r="D166" i="28"/>
  <c r="T5" i="27"/>
  <c r="U5" i="27"/>
  <c r="V5" i="27"/>
  <c r="X5" i="27"/>
  <c r="Y5" i="27"/>
  <c r="Z5" i="27"/>
  <c r="AB5" i="27"/>
  <c r="AC5" i="27"/>
  <c r="AD5" i="27"/>
  <c r="T6" i="27"/>
  <c r="U6" i="27"/>
  <c r="V6" i="27"/>
  <c r="X6" i="27"/>
  <c r="Y6" i="27"/>
  <c r="Z6" i="27"/>
  <c r="AB6" i="27"/>
  <c r="AC6" i="27"/>
  <c r="AD6" i="27"/>
  <c r="T7" i="27"/>
  <c r="U7" i="27"/>
  <c r="V7" i="27"/>
  <c r="X7" i="27"/>
  <c r="Y7" i="27"/>
  <c r="Z7" i="27"/>
  <c r="AB7" i="27"/>
  <c r="AC7" i="27"/>
  <c r="AD7" i="27"/>
  <c r="T8" i="27"/>
  <c r="U8" i="27"/>
  <c r="V8" i="27"/>
  <c r="X8" i="27"/>
  <c r="Y8" i="27"/>
  <c r="Z8" i="27"/>
  <c r="AB8" i="27"/>
  <c r="AC8" i="27"/>
  <c r="AD8" i="27"/>
  <c r="T9" i="27"/>
  <c r="U9" i="27"/>
  <c r="V9" i="27"/>
  <c r="X9" i="27"/>
  <c r="Y9" i="27"/>
  <c r="Z9" i="27"/>
  <c r="AB9" i="27"/>
  <c r="AC9" i="27"/>
  <c r="AD9" i="27"/>
  <c r="T10" i="27"/>
  <c r="U10" i="27"/>
  <c r="V10" i="27"/>
  <c r="X10" i="27"/>
  <c r="Y10" i="27"/>
  <c r="Z10" i="27"/>
  <c r="AB10" i="27"/>
  <c r="AC10" i="27"/>
  <c r="AD10" i="27"/>
  <c r="T11" i="27"/>
  <c r="U11" i="27"/>
  <c r="V11" i="27"/>
  <c r="X11" i="27"/>
  <c r="Y11" i="27"/>
  <c r="Z11" i="27"/>
  <c r="AB11" i="27"/>
  <c r="AC11" i="27"/>
  <c r="AD11" i="27"/>
  <c r="T12" i="27"/>
  <c r="U12" i="27"/>
  <c r="V12" i="27"/>
  <c r="X12" i="27"/>
  <c r="Y12" i="27"/>
  <c r="Z12" i="27"/>
  <c r="AB12" i="27"/>
  <c r="AC12" i="27"/>
  <c r="AD12" i="27"/>
  <c r="F13" i="27"/>
  <c r="F14" i="27" s="1"/>
  <c r="F15" i="27" s="1"/>
  <c r="I13" i="27"/>
  <c r="I14" i="27" s="1"/>
  <c r="I15" i="27" s="1"/>
  <c r="L13" i="27"/>
  <c r="L14" i="27" s="1"/>
  <c r="L15" i="27" s="1"/>
  <c r="T13" i="27"/>
  <c r="U13" i="27"/>
  <c r="V13" i="27"/>
  <c r="X13" i="27"/>
  <c r="Y13" i="27"/>
  <c r="Z13" i="27"/>
  <c r="AB13" i="27"/>
  <c r="AC13" i="27"/>
  <c r="AD13" i="27"/>
  <c r="N14" i="27"/>
  <c r="T14" i="27"/>
  <c r="U14" i="27"/>
  <c r="V14" i="27"/>
  <c r="X14" i="27"/>
  <c r="Y14" i="27"/>
  <c r="Z14" i="27"/>
  <c r="AB14" i="27"/>
  <c r="AC14" i="27"/>
  <c r="AD14" i="27"/>
  <c r="N15" i="27"/>
  <c r="T15" i="27"/>
  <c r="U15" i="27"/>
  <c r="V15" i="27"/>
  <c r="X15" i="27"/>
  <c r="Y15" i="27"/>
  <c r="Z15" i="27"/>
  <c r="AB15" i="27"/>
  <c r="AC15" i="27"/>
  <c r="AD15" i="27"/>
  <c r="N16" i="27"/>
  <c r="T16" i="27"/>
  <c r="U16" i="27"/>
  <c r="V16" i="27"/>
  <c r="X16" i="27"/>
  <c r="Y16" i="27"/>
  <c r="Z16" i="27"/>
  <c r="AB16" i="27"/>
  <c r="AC16" i="27"/>
  <c r="AD16" i="27"/>
  <c r="D17" i="27"/>
  <c r="G17" i="27"/>
  <c r="J17" i="27"/>
  <c r="C29" i="27"/>
  <c r="L10" i="26"/>
  <c r="L11" i="26"/>
  <c r="J21" i="26"/>
  <c r="B112" i="26"/>
  <c r="K1" i="25"/>
  <c r="AA2" i="25"/>
  <c r="M8" i="41" s="1"/>
  <c r="E16" i="41" s="1"/>
  <c r="J9" i="25"/>
  <c r="K9" i="25" s="1"/>
  <c r="N9" i="25"/>
  <c r="O9" i="25"/>
  <c r="P9" i="25"/>
  <c r="Q9" i="25"/>
  <c r="R9" i="25"/>
  <c r="J10" i="25"/>
  <c r="K10" i="25" s="1"/>
  <c r="N10" i="25"/>
  <c r="O10" i="25"/>
  <c r="P10" i="25"/>
  <c r="Q10" i="25"/>
  <c r="R10" i="25"/>
  <c r="J11" i="25"/>
  <c r="K11" i="25" s="1"/>
  <c r="N11" i="25"/>
  <c r="O11" i="25"/>
  <c r="P11" i="25"/>
  <c r="Q11" i="25"/>
  <c r="R11" i="25"/>
  <c r="J12" i="25"/>
  <c r="K12" i="25" s="1"/>
  <c r="N12" i="25"/>
  <c r="O12" i="25"/>
  <c r="P12" i="25"/>
  <c r="Q12" i="25"/>
  <c r="R12" i="25"/>
  <c r="J13" i="25"/>
  <c r="K13" i="25" s="1"/>
  <c r="N13" i="25"/>
  <c r="O13" i="25"/>
  <c r="P13" i="25"/>
  <c r="Q13" i="25"/>
  <c r="R13" i="25"/>
  <c r="J14" i="25"/>
  <c r="K14" i="25" s="1"/>
  <c r="N14" i="25"/>
  <c r="O14" i="25"/>
  <c r="P14" i="25"/>
  <c r="Q14" i="25"/>
  <c r="R14" i="25"/>
  <c r="J15" i="25"/>
  <c r="K15" i="25" s="1"/>
  <c r="N15" i="25"/>
  <c r="O15" i="25"/>
  <c r="P15" i="25"/>
  <c r="Q15" i="25"/>
  <c r="R15" i="25"/>
  <c r="J16" i="25"/>
  <c r="K16" i="25" s="1"/>
  <c r="N16" i="25"/>
  <c r="O16" i="25"/>
  <c r="P16" i="25"/>
  <c r="Q16" i="25"/>
  <c r="R16" i="25"/>
  <c r="J17" i="25"/>
  <c r="K17" i="25" s="1"/>
  <c r="N17" i="25"/>
  <c r="O17" i="25"/>
  <c r="P17" i="25"/>
  <c r="Q17" i="25"/>
  <c r="R17" i="25"/>
  <c r="J18" i="25"/>
  <c r="K18" i="25" s="1"/>
  <c r="N18" i="25"/>
  <c r="O18" i="25"/>
  <c r="P18" i="25"/>
  <c r="Q18" i="25"/>
  <c r="R18" i="25"/>
  <c r="J19" i="25"/>
  <c r="K19" i="25" s="1"/>
  <c r="N19" i="25"/>
  <c r="O19" i="25"/>
  <c r="P19" i="25"/>
  <c r="Q19" i="25"/>
  <c r="R19" i="25"/>
  <c r="J20" i="25"/>
  <c r="K20" i="25" s="1"/>
  <c r="N20" i="25"/>
  <c r="O20" i="25"/>
  <c r="P20" i="25"/>
  <c r="Q20" i="25"/>
  <c r="R20" i="25"/>
  <c r="J21" i="25"/>
  <c r="K21" i="25" s="1"/>
  <c r="N21" i="25"/>
  <c r="O21" i="25"/>
  <c r="P21" i="25"/>
  <c r="Q21" i="25"/>
  <c r="R21" i="25"/>
  <c r="J22" i="25"/>
  <c r="K22" i="25" s="1"/>
  <c r="N22" i="25"/>
  <c r="O22" i="25"/>
  <c r="P22" i="25"/>
  <c r="Q22" i="25"/>
  <c r="R22" i="25"/>
  <c r="J23" i="25"/>
  <c r="K23" i="25" s="1"/>
  <c r="N23" i="25"/>
  <c r="O23" i="25"/>
  <c r="P23" i="25"/>
  <c r="Q23" i="25"/>
  <c r="R23" i="25"/>
  <c r="J24" i="25"/>
  <c r="K24" i="25" s="1"/>
  <c r="N24" i="25"/>
  <c r="O24" i="25"/>
  <c r="P24" i="25"/>
  <c r="Q24" i="25"/>
  <c r="R24" i="25"/>
  <c r="G25" i="25"/>
  <c r="K26" i="25"/>
  <c r="M25" i="25" s="1"/>
  <c r="F32" i="25"/>
  <c r="F33" i="25"/>
  <c r="F34" i="25"/>
  <c r="F35" i="25"/>
  <c r="F36" i="25"/>
  <c r="F37" i="25"/>
  <c r="F38" i="25"/>
  <c r="F39" i="25"/>
  <c r="F40" i="25"/>
  <c r="F41" i="25"/>
  <c r="F42" i="25"/>
  <c r="F43" i="25"/>
  <c r="F44" i="25"/>
  <c r="F45" i="25"/>
  <c r="C46" i="25"/>
  <c r="D46" i="25"/>
  <c r="G46" i="25"/>
  <c r="K47" i="25"/>
  <c r="D49" i="25"/>
  <c r="O9" i="22"/>
  <c r="O2" i="22"/>
  <c r="O10" i="22"/>
  <c r="O17" i="22"/>
  <c r="D21" i="22"/>
  <c r="H25" i="22"/>
  <c r="CO30" i="22" s="1"/>
  <c r="CL25" i="22"/>
  <c r="M30" i="22"/>
  <c r="I30" i="22" s="1"/>
  <c r="L30" i="22" s="1"/>
  <c r="M31" i="22"/>
  <c r="I31" i="22" s="1"/>
  <c r="L31" i="22" s="1"/>
  <c r="M32" i="22"/>
  <c r="I32" i="22" s="1"/>
  <c r="L32" i="22" s="1"/>
  <c r="M33" i="22"/>
  <c r="I33" i="22" s="1"/>
  <c r="L33" i="22" s="1"/>
  <c r="M34" i="22"/>
  <c r="I34" i="22" s="1"/>
  <c r="L34" i="22" s="1"/>
  <c r="Q42" i="22"/>
  <c r="CN37" i="22"/>
  <c r="Z38" i="22"/>
  <c r="Z39" i="22" s="1"/>
  <c r="AA39" i="22"/>
  <c r="E39" i="22"/>
  <c r="C41" i="22"/>
  <c r="L13" i="78"/>
  <c r="L14" i="78"/>
  <c r="L16" i="78"/>
  <c r="L17" i="78"/>
  <c r="L20" i="78"/>
  <c r="Y27" i="78"/>
  <c r="S29" i="78"/>
  <c r="S61" i="78"/>
  <c r="H61" i="78" s="1"/>
  <c r="D62" i="78"/>
  <c r="L62" i="78"/>
  <c r="S62" i="78"/>
  <c r="H62" i="78" s="1"/>
  <c r="D77" i="78"/>
  <c r="S26" i="58"/>
  <c r="T26" i="58"/>
  <c r="D20" i="58"/>
  <c r="L20" i="58" s="1"/>
  <c r="H37" i="58"/>
  <c r="T45" i="58" s="1"/>
  <c r="G44" i="58"/>
  <c r="S143" i="58"/>
  <c r="L22" i="16"/>
  <c r="L23" i="16"/>
  <c r="L24" i="16"/>
  <c r="L26" i="16"/>
  <c r="L27" i="16"/>
  <c r="O26" i="16"/>
  <c r="P26" i="16"/>
  <c r="M28" i="16"/>
  <c r="L31" i="16"/>
  <c r="L32" i="16"/>
  <c r="G32" i="16" s="1"/>
  <c r="M32" i="16" s="1"/>
  <c r="L33" i="16"/>
  <c r="G33" i="16" s="1"/>
  <c r="M33" i="16" s="1"/>
  <c r="L34" i="16"/>
  <c r="G34" i="16" s="1"/>
  <c r="M34" i="16" s="1"/>
  <c r="L35" i="16"/>
  <c r="G35" i="16" s="1"/>
  <c r="M35" i="16" s="1"/>
  <c r="L36" i="16"/>
  <c r="G36" i="16" s="1"/>
  <c r="M36" i="16" s="1"/>
  <c r="L37" i="16"/>
  <c r="G37" i="16" s="1"/>
  <c r="M37" i="16" s="1"/>
  <c r="L38" i="16"/>
  <c r="G38" i="16" s="1"/>
  <c r="M38" i="16" s="1"/>
  <c r="L39" i="16"/>
  <c r="G39" i="16" s="1"/>
  <c r="M39" i="16" s="1"/>
  <c r="L40" i="16"/>
  <c r="G40" i="16" s="1"/>
  <c r="M40" i="16" s="1"/>
  <c r="L41" i="16"/>
  <c r="G41" i="16" s="1"/>
  <c r="M41" i="16" s="1"/>
  <c r="L42" i="16"/>
  <c r="G42" i="16" s="1"/>
  <c r="M42" i="16" s="1"/>
  <c r="L43" i="16"/>
  <c r="G43" i="16" s="1"/>
  <c r="M43" i="16" s="1"/>
  <c r="L44" i="16"/>
  <c r="G44" i="16" s="1"/>
  <c r="M44" i="16" s="1"/>
  <c r="L45" i="16"/>
  <c r="G45" i="16" s="1"/>
  <c r="M45" i="16" s="1"/>
  <c r="L46" i="16"/>
  <c r="G46" i="16" s="1"/>
  <c r="M46" i="16" s="1"/>
  <c r="L47" i="16"/>
  <c r="G47" i="16" s="1"/>
  <c r="M47" i="16" s="1"/>
  <c r="L48" i="16"/>
  <c r="G48" i="16" s="1"/>
  <c r="M48" i="16" s="1"/>
  <c r="L49" i="16"/>
  <c r="G49" i="16" s="1"/>
  <c r="M49" i="16" s="1"/>
  <c r="L50" i="16"/>
  <c r="G50" i="16" s="1"/>
  <c r="M50" i="16" s="1"/>
  <c r="L51" i="16"/>
  <c r="G51" i="16" s="1"/>
  <c r="M51" i="16" s="1"/>
  <c r="L52" i="16"/>
  <c r="G52" i="16" s="1"/>
  <c r="M52" i="16" s="1"/>
  <c r="L53" i="16"/>
  <c r="G53" i="16" s="1"/>
  <c r="M53" i="16" s="1"/>
  <c r="L54" i="16"/>
  <c r="G54" i="16" s="1"/>
  <c r="M54" i="16" s="1"/>
  <c r="L55" i="16"/>
  <c r="G55" i="16" s="1"/>
  <c r="M55" i="16" s="1"/>
  <c r="L56" i="16"/>
  <c r="G56" i="16" s="1"/>
  <c r="M56" i="16" s="1"/>
  <c r="C57" i="16"/>
  <c r="D57" i="16"/>
  <c r="G57" i="16" s="1"/>
  <c r="M57" i="16" s="1"/>
  <c r="E57" i="16"/>
  <c r="H59" i="16"/>
  <c r="L81" i="16"/>
  <c r="L83" i="16"/>
  <c r="L84" i="16"/>
  <c r="L85" i="16"/>
  <c r="L87" i="16"/>
  <c r="L88" i="16"/>
  <c r="M89" i="16"/>
  <c r="L92" i="16"/>
  <c r="L93" i="16"/>
  <c r="G93" i="16" s="1"/>
  <c r="M93" i="16" s="1"/>
  <c r="L94" i="16"/>
  <c r="G94" i="16" s="1"/>
  <c r="M94" i="16" s="1"/>
  <c r="L95" i="16"/>
  <c r="G95" i="16" s="1"/>
  <c r="M95" i="16" s="1"/>
  <c r="L96" i="16"/>
  <c r="G96" i="16" s="1"/>
  <c r="M96" i="16" s="1"/>
  <c r="L97" i="16"/>
  <c r="G97" i="16" s="1"/>
  <c r="M97" i="16" s="1"/>
  <c r="L98" i="16"/>
  <c r="G98" i="16" s="1"/>
  <c r="M98" i="16" s="1"/>
  <c r="L99" i="16"/>
  <c r="G99" i="16" s="1"/>
  <c r="M99" i="16" s="1"/>
  <c r="L100" i="16"/>
  <c r="G100" i="16" s="1"/>
  <c r="M100" i="16" s="1"/>
  <c r="L101" i="16"/>
  <c r="G101" i="16" s="1"/>
  <c r="M101" i="16" s="1"/>
  <c r="L102" i="16"/>
  <c r="G102" i="16" s="1"/>
  <c r="M102" i="16" s="1"/>
  <c r="L103" i="16"/>
  <c r="G103" i="16" s="1"/>
  <c r="M103" i="16" s="1"/>
  <c r="L104" i="16"/>
  <c r="G104" i="16" s="1"/>
  <c r="M104" i="16" s="1"/>
  <c r="L105" i="16"/>
  <c r="G105" i="16" s="1"/>
  <c r="M105" i="16" s="1"/>
  <c r="L106" i="16"/>
  <c r="G106" i="16" s="1"/>
  <c r="M106" i="16" s="1"/>
  <c r="L107" i="16"/>
  <c r="G107" i="16" s="1"/>
  <c r="M107" i="16" s="1"/>
  <c r="L108" i="16"/>
  <c r="G108" i="16" s="1"/>
  <c r="M108" i="16" s="1"/>
  <c r="L109" i="16"/>
  <c r="G109" i="16" s="1"/>
  <c r="M109" i="16" s="1"/>
  <c r="L110" i="16"/>
  <c r="G110" i="16" s="1"/>
  <c r="M110" i="16" s="1"/>
  <c r="L111" i="16"/>
  <c r="G111" i="16" s="1"/>
  <c r="M111" i="16" s="1"/>
  <c r="L112" i="16"/>
  <c r="G112" i="16" s="1"/>
  <c r="M112" i="16" s="1"/>
  <c r="L113" i="16"/>
  <c r="G113" i="16" s="1"/>
  <c r="M113" i="16" s="1"/>
  <c r="L114" i="16"/>
  <c r="G114" i="16" s="1"/>
  <c r="M114" i="16" s="1"/>
  <c r="L115" i="16"/>
  <c r="G115" i="16" s="1"/>
  <c r="M115" i="16" s="1"/>
  <c r="L116" i="16"/>
  <c r="G116" i="16" s="1"/>
  <c r="M116" i="16" s="1"/>
  <c r="L117" i="16"/>
  <c r="G117" i="16" s="1"/>
  <c r="M117" i="16" s="1"/>
  <c r="C118" i="16"/>
  <c r="D118" i="16"/>
  <c r="G118" i="16" s="1"/>
  <c r="M118" i="16" s="1"/>
  <c r="E118" i="16"/>
  <c r="F118" i="16"/>
  <c r="F119" i="16"/>
  <c r="H120" i="16"/>
  <c r="L142" i="16"/>
  <c r="L144" i="16"/>
  <c r="L145" i="16"/>
  <c r="L148" i="16"/>
  <c r="L149" i="16"/>
  <c r="M150" i="16"/>
  <c r="L153" i="16"/>
  <c r="L154" i="16"/>
  <c r="G154" i="16" s="1"/>
  <c r="M154" i="16" s="1"/>
  <c r="L155" i="16"/>
  <c r="G155" i="16" s="1"/>
  <c r="M155" i="16" s="1"/>
  <c r="L156" i="16"/>
  <c r="G156" i="16" s="1"/>
  <c r="M156" i="16" s="1"/>
  <c r="L157" i="16"/>
  <c r="G157" i="16" s="1"/>
  <c r="M157" i="16" s="1"/>
  <c r="L158" i="16"/>
  <c r="G158" i="16" s="1"/>
  <c r="M158" i="16" s="1"/>
  <c r="L159" i="16"/>
  <c r="G159" i="16" s="1"/>
  <c r="M159" i="16" s="1"/>
  <c r="L160" i="16"/>
  <c r="G160" i="16" s="1"/>
  <c r="M160" i="16" s="1"/>
  <c r="L161" i="16"/>
  <c r="G161" i="16" s="1"/>
  <c r="M161" i="16" s="1"/>
  <c r="L162" i="16"/>
  <c r="G162" i="16" s="1"/>
  <c r="M162" i="16" s="1"/>
  <c r="L163" i="16"/>
  <c r="G163" i="16" s="1"/>
  <c r="M163" i="16" s="1"/>
  <c r="L164" i="16"/>
  <c r="G164" i="16" s="1"/>
  <c r="M164" i="16" s="1"/>
  <c r="L165" i="16"/>
  <c r="G165" i="16" s="1"/>
  <c r="M165" i="16" s="1"/>
  <c r="L166" i="16"/>
  <c r="G166" i="16" s="1"/>
  <c r="M166" i="16" s="1"/>
  <c r="L167" i="16"/>
  <c r="G167" i="16" s="1"/>
  <c r="M167" i="16" s="1"/>
  <c r="L168" i="16"/>
  <c r="G168" i="16" s="1"/>
  <c r="M168" i="16" s="1"/>
  <c r="L169" i="16"/>
  <c r="G169" i="16" s="1"/>
  <c r="M169" i="16" s="1"/>
  <c r="L170" i="16"/>
  <c r="G170" i="16" s="1"/>
  <c r="M170" i="16" s="1"/>
  <c r="L171" i="16"/>
  <c r="G171" i="16" s="1"/>
  <c r="M171" i="16" s="1"/>
  <c r="L172" i="16"/>
  <c r="G172" i="16" s="1"/>
  <c r="M172" i="16" s="1"/>
  <c r="L173" i="16"/>
  <c r="G173" i="16" s="1"/>
  <c r="M173" i="16" s="1"/>
  <c r="L174" i="16"/>
  <c r="G174" i="16" s="1"/>
  <c r="M174" i="16" s="1"/>
  <c r="L175" i="16"/>
  <c r="G175" i="16" s="1"/>
  <c r="M175" i="16" s="1"/>
  <c r="L176" i="16"/>
  <c r="G176" i="16" s="1"/>
  <c r="M176" i="16" s="1"/>
  <c r="L177" i="16"/>
  <c r="G177" i="16" s="1"/>
  <c r="M177" i="16" s="1"/>
  <c r="L178" i="16"/>
  <c r="G178" i="16" s="1"/>
  <c r="M178" i="16" s="1"/>
  <c r="C179" i="16"/>
  <c r="D179" i="16"/>
  <c r="G179" i="16" s="1"/>
  <c r="M179" i="16" s="1"/>
  <c r="E179" i="16"/>
  <c r="F179" i="16"/>
  <c r="F180" i="16"/>
  <c r="H181" i="16"/>
  <c r="L16" i="74"/>
  <c r="L17" i="74"/>
  <c r="L26" i="74"/>
  <c r="L27" i="74"/>
  <c r="L28" i="74"/>
  <c r="N45" i="74"/>
  <c r="L46" i="74"/>
  <c r="N46" i="74"/>
  <c r="L85" i="74"/>
  <c r="N85" i="74"/>
  <c r="M87" i="74"/>
  <c r="AM91" i="74"/>
  <c r="AN91" i="74"/>
  <c r="AO91" i="74"/>
  <c r="AS91" i="74"/>
  <c r="G92" i="74"/>
  <c r="AL20" i="14"/>
  <c r="BA25" i="43"/>
  <c r="BA26" i="43"/>
  <c r="BA27" i="43"/>
  <c r="BA28" i="43"/>
  <c r="BA29" i="43"/>
  <c r="BA30" i="43"/>
  <c r="BA31" i="43"/>
  <c r="BA33" i="43"/>
  <c r="BD33" i="43" s="1"/>
  <c r="BA34" i="43"/>
  <c r="BD34" i="43" s="1"/>
  <c r="BA35" i="43"/>
  <c r="BD35" i="43" s="1"/>
  <c r="J26" i="14"/>
  <c r="B31" i="14"/>
  <c r="L40" i="14"/>
  <c r="G40" i="14" s="1"/>
  <c r="C41" i="14"/>
  <c r="D41" i="14"/>
  <c r="E41" i="14"/>
  <c r="I43" i="14"/>
  <c r="J43" i="14"/>
  <c r="I44" i="14"/>
  <c r="J44" i="14"/>
  <c r="I45" i="14"/>
  <c r="J45" i="14"/>
  <c r="I46" i="14"/>
  <c r="J46" i="14"/>
  <c r="I47" i="14"/>
  <c r="J47" i="14"/>
  <c r="I48" i="14"/>
  <c r="J48" i="14"/>
  <c r="I49" i="14"/>
  <c r="J49" i="14"/>
  <c r="I50" i="14"/>
  <c r="J50" i="14"/>
  <c r="N50" i="14"/>
  <c r="N51" i="14"/>
  <c r="O51" i="14"/>
  <c r="P51" i="14"/>
  <c r="AH51" i="14"/>
  <c r="AI51" i="14"/>
  <c r="AJ51" i="14"/>
  <c r="AK51" i="14"/>
  <c r="AL51" i="14"/>
  <c r="L52" i="14"/>
  <c r="AB52" i="14"/>
  <c r="B57" i="14"/>
  <c r="K64" i="14"/>
  <c r="L64" i="14"/>
  <c r="G64" i="14" s="1"/>
  <c r="R67" i="14"/>
  <c r="C65" i="14"/>
  <c r="S69" i="14" s="1"/>
  <c r="AI75" i="14"/>
  <c r="E65" i="14"/>
  <c r="U70" i="14" s="1"/>
  <c r="I67" i="14"/>
  <c r="I68" i="14"/>
  <c r="I69" i="14"/>
  <c r="AA69" i="14"/>
  <c r="AA70" i="14" s="1"/>
  <c r="AB69" i="14"/>
  <c r="AB70" i="14" s="1"/>
  <c r="AC69" i="14"/>
  <c r="AC70" i="14" s="1"/>
  <c r="AE69" i="14"/>
  <c r="AE70" i="14" s="1"/>
  <c r="I70" i="14"/>
  <c r="I71" i="14"/>
  <c r="G71" i="14" s="1"/>
  <c r="H71" i="14" s="1"/>
  <c r="I72" i="14"/>
  <c r="G72" i="14" s="1"/>
  <c r="H72" i="14" s="1"/>
  <c r="I73" i="14"/>
  <c r="G73" i="14" s="1"/>
  <c r="H73" i="14" s="1"/>
  <c r="I74" i="14"/>
  <c r="G74" i="14" s="1"/>
  <c r="H74" i="14" s="1"/>
  <c r="N74" i="14"/>
  <c r="N78" i="14" s="1"/>
  <c r="M74" i="14"/>
  <c r="O74" i="14"/>
  <c r="O78" i="14" s="1"/>
  <c r="P74" i="14"/>
  <c r="P78" i="14" s="1"/>
  <c r="N75" i="14"/>
  <c r="M75" i="14"/>
  <c r="O75" i="14"/>
  <c r="P75" i="14"/>
  <c r="AH75" i="14"/>
  <c r="AJ75" i="14"/>
  <c r="AK75" i="14"/>
  <c r="AL75" i="14"/>
  <c r="BA40" i="43"/>
  <c r="BA41" i="43"/>
  <c r="L76" i="14"/>
  <c r="S77" i="14"/>
  <c r="T77" i="14"/>
  <c r="U77" i="14"/>
  <c r="V77" i="14" s="1"/>
  <c r="J78" i="14"/>
  <c r="B80" i="14"/>
  <c r="L88" i="14"/>
  <c r="G88" i="14" s="1"/>
  <c r="C89" i="14"/>
  <c r="L96" i="14"/>
  <c r="E89" i="14"/>
  <c r="N96" i="14"/>
  <c r="I91" i="14"/>
  <c r="BQ91" i="14"/>
  <c r="I92" i="14"/>
  <c r="I93" i="14"/>
  <c r="J93" i="14"/>
  <c r="I94" i="14"/>
  <c r="J94" i="14"/>
  <c r="I95" i="14"/>
  <c r="J95" i="14"/>
  <c r="I96" i="14"/>
  <c r="J96" i="14"/>
  <c r="M96" i="14"/>
  <c r="O96" i="14"/>
  <c r="L97" i="14"/>
  <c r="M97" i="14"/>
  <c r="BA42" i="43"/>
  <c r="BB42" i="43" s="1"/>
  <c r="AB98" i="14" s="1"/>
  <c r="K98" i="14"/>
  <c r="O98" i="14"/>
  <c r="P98" i="14"/>
  <c r="B103" i="14"/>
  <c r="L120" i="14"/>
  <c r="I115" i="14"/>
  <c r="I118" i="14"/>
  <c r="J118" i="14"/>
  <c r="I119" i="14"/>
  <c r="J119" i="14"/>
  <c r="M120" i="14"/>
  <c r="N120" i="14"/>
  <c r="O121" i="14"/>
  <c r="M121" i="14"/>
  <c r="N121" i="14"/>
  <c r="K122" i="14"/>
  <c r="I120" i="14"/>
  <c r="J120" i="14"/>
  <c r="BA59" i="43"/>
  <c r="BD36" i="43" s="1"/>
  <c r="Q122" i="14"/>
  <c r="B127" i="14"/>
  <c r="I133" i="14"/>
  <c r="J133" i="14"/>
  <c r="I134" i="14"/>
  <c r="J134" i="14"/>
  <c r="I135" i="14"/>
  <c r="J135" i="14"/>
  <c r="I136" i="14"/>
  <c r="J136" i="14"/>
  <c r="I137" i="14"/>
  <c r="J137" i="14"/>
  <c r="S147" i="14"/>
  <c r="K138" i="14"/>
  <c r="L138" i="14" s="1"/>
  <c r="G138" i="14" s="1"/>
  <c r="C139" i="14"/>
  <c r="D139" i="14"/>
  <c r="E139" i="14"/>
  <c r="I141" i="14"/>
  <c r="I142" i="14"/>
  <c r="J142" i="14"/>
  <c r="I143" i="14"/>
  <c r="J143" i="14"/>
  <c r="I144" i="14"/>
  <c r="J144" i="14"/>
  <c r="I145" i="14"/>
  <c r="J145" i="14"/>
  <c r="I146" i="14"/>
  <c r="J146" i="14"/>
  <c r="K147" i="14"/>
  <c r="L147" i="14"/>
  <c r="M147" i="14"/>
  <c r="Q148" i="14" s="1"/>
  <c r="R147" i="14"/>
  <c r="T147" i="14"/>
  <c r="I148" i="14"/>
  <c r="N148" i="14"/>
  <c r="O148" i="14"/>
  <c r="P148" i="14"/>
  <c r="B153" i="14"/>
  <c r="BA36" i="43"/>
  <c r="BA37" i="43"/>
  <c r="O89" i="13"/>
  <c r="P89" i="13"/>
  <c r="D82" i="13"/>
  <c r="R35" i="39" s="1"/>
  <c r="V35" i="39" s="1"/>
  <c r="Q89" i="13"/>
  <c r="E82" i="13"/>
  <c r="R89" i="13"/>
  <c r="S89" i="13"/>
  <c r="G82" i="13"/>
  <c r="L7" i="13"/>
  <c r="L8" i="13"/>
  <c r="L24" i="13"/>
  <c r="L25" i="13"/>
  <c r="L26" i="13"/>
  <c r="L27" i="13"/>
  <c r="L28" i="13"/>
  <c r="L29" i="13"/>
  <c r="L30" i="13"/>
  <c r="L31" i="13"/>
  <c r="L32" i="13"/>
  <c r="L33" i="13"/>
  <c r="L34" i="13"/>
  <c r="L35" i="13"/>
  <c r="L36" i="13"/>
  <c r="L37" i="13"/>
  <c r="U85" i="13"/>
  <c r="H85" i="13" s="1"/>
  <c r="N85" i="13" s="1"/>
  <c r="U86" i="13"/>
  <c r="H86" i="13" s="1"/>
  <c r="N86" i="13" s="1"/>
  <c r="U87" i="13"/>
  <c r="H87" i="13" s="1"/>
  <c r="N87" i="13" s="1"/>
  <c r="U88" i="13"/>
  <c r="H88" i="13" s="1"/>
  <c r="N88" i="13" s="1"/>
  <c r="U89" i="13"/>
  <c r="H89" i="13" s="1"/>
  <c r="N89" i="13" s="1"/>
  <c r="E26" i="78"/>
  <c r="D105" i="13"/>
  <c r="C111" i="13"/>
  <c r="K25" i="31"/>
  <c r="O25" i="31"/>
  <c r="AF104" i="146" s="1"/>
  <c r="R25" i="31"/>
  <c r="G111" i="13"/>
  <c r="E82" i="30" s="1"/>
  <c r="P82" i="30" s="1"/>
  <c r="N1" i="12"/>
  <c r="W28" i="12" s="1"/>
  <c r="A11" i="12"/>
  <c r="B11" i="12" s="1"/>
  <c r="P11" i="12" s="1"/>
  <c r="R11" i="12" s="1"/>
  <c r="M11" i="12"/>
  <c r="Q11" i="12"/>
  <c r="T11" i="12"/>
  <c r="U11" i="12"/>
  <c r="A12" i="12"/>
  <c r="B12" i="12" s="1"/>
  <c r="P12" i="12" s="1"/>
  <c r="R12" i="12" s="1"/>
  <c r="M12" i="12"/>
  <c r="Q12" i="12"/>
  <c r="T12" i="12"/>
  <c r="U12" i="12"/>
  <c r="A13" i="12"/>
  <c r="B13" i="12" s="1"/>
  <c r="O13" i="12" s="1"/>
  <c r="M13" i="12"/>
  <c r="Q13" i="12"/>
  <c r="T13" i="12"/>
  <c r="U13" i="12"/>
  <c r="A14" i="12"/>
  <c r="B14" i="12" s="1"/>
  <c r="P14" i="12" s="1"/>
  <c r="R14" i="12" s="1"/>
  <c r="M14" i="12"/>
  <c r="M15" i="12"/>
  <c r="M16" i="12"/>
  <c r="Q14" i="12"/>
  <c r="T14" i="12"/>
  <c r="U14" i="12"/>
  <c r="A15" i="12"/>
  <c r="B15" i="12" s="1"/>
  <c r="Q15" i="12"/>
  <c r="T15" i="12"/>
  <c r="U15" i="12"/>
  <c r="A16" i="12"/>
  <c r="B16" i="12" s="1"/>
  <c r="O16" i="12" s="1"/>
  <c r="Q16" i="12"/>
  <c r="T16" i="12"/>
  <c r="U16" i="12"/>
  <c r="G18" i="12"/>
  <c r="A21" i="12"/>
  <c r="P21" i="12"/>
  <c r="AE21" i="12"/>
  <c r="L22" i="12"/>
  <c r="D25" i="12"/>
  <c r="AA27" i="12"/>
  <c r="AA26" i="12" s="1"/>
  <c r="AA25" i="12" s="1"/>
  <c r="Y26" i="12"/>
  <c r="Y27" i="12" s="1"/>
  <c r="Y28" i="12" s="1"/>
  <c r="S42" i="12"/>
  <c r="J8" i="11"/>
  <c r="N8" i="11"/>
  <c r="K8" i="11" s="1"/>
  <c r="L8" i="11" s="1"/>
  <c r="J9" i="11"/>
  <c r="N9" i="11"/>
  <c r="K9" i="11" s="1"/>
  <c r="L9" i="11" s="1"/>
  <c r="J10" i="11"/>
  <c r="N10" i="11"/>
  <c r="K10" i="11" s="1"/>
  <c r="L10" i="11" s="1"/>
  <c r="J11" i="11"/>
  <c r="N11" i="11"/>
  <c r="K11" i="11" s="1"/>
  <c r="L11" i="11" s="1"/>
  <c r="J12" i="11"/>
  <c r="N12" i="11"/>
  <c r="K12" i="11" s="1"/>
  <c r="L12" i="11" s="1"/>
  <c r="J13" i="11"/>
  <c r="N13" i="11"/>
  <c r="K13" i="11" s="1"/>
  <c r="L13" i="11" s="1"/>
  <c r="J14" i="11"/>
  <c r="N14" i="11"/>
  <c r="K14" i="11" s="1"/>
  <c r="L14" i="11" s="1"/>
  <c r="H15" i="11"/>
  <c r="O15" i="11" s="1"/>
  <c r="J20" i="11"/>
  <c r="N20" i="11"/>
  <c r="J21" i="11"/>
  <c r="N21" i="11"/>
  <c r="K21" i="11" s="1"/>
  <c r="L21" i="11" s="1"/>
  <c r="J22" i="11"/>
  <c r="N22" i="11"/>
  <c r="K22" i="11" s="1"/>
  <c r="L22" i="11" s="1"/>
  <c r="J23" i="11"/>
  <c r="N23" i="11"/>
  <c r="K23" i="11" s="1"/>
  <c r="L23" i="11" s="1"/>
  <c r="J24" i="11"/>
  <c r="N24" i="11"/>
  <c r="K24" i="11" s="1"/>
  <c r="L24" i="11" s="1"/>
  <c r="J25" i="11"/>
  <c r="N25" i="11"/>
  <c r="K25" i="11" s="1"/>
  <c r="L25" i="11" s="1"/>
  <c r="J26" i="11"/>
  <c r="N26" i="11"/>
  <c r="K26" i="11" s="1"/>
  <c r="L26" i="11" s="1"/>
  <c r="J27" i="11"/>
  <c r="N27" i="11"/>
  <c r="K27" i="11" s="1"/>
  <c r="L27" i="11" s="1"/>
  <c r="J28" i="11"/>
  <c r="N28" i="11"/>
  <c r="K28" i="11" s="1"/>
  <c r="L28" i="11" s="1"/>
  <c r="J29" i="11"/>
  <c r="N29" i="11"/>
  <c r="K29" i="11" s="1"/>
  <c r="L29" i="11" s="1"/>
  <c r="J30" i="11"/>
  <c r="N30" i="11"/>
  <c r="K30" i="11" s="1"/>
  <c r="L30" i="11" s="1"/>
  <c r="J31" i="11"/>
  <c r="N31" i="11"/>
  <c r="K31" i="11" s="1"/>
  <c r="L31" i="11" s="1"/>
  <c r="J32" i="11"/>
  <c r="N32" i="11"/>
  <c r="K32" i="11" s="1"/>
  <c r="L32" i="11" s="1"/>
  <c r="J33" i="11"/>
  <c r="N33" i="11"/>
  <c r="K33" i="11" s="1"/>
  <c r="L33" i="11" s="1"/>
  <c r="J34" i="11"/>
  <c r="N34" i="11"/>
  <c r="K34" i="11" s="1"/>
  <c r="L34" i="11" s="1"/>
  <c r="J35" i="11"/>
  <c r="N35" i="11"/>
  <c r="K35" i="11" s="1"/>
  <c r="L35" i="11" s="1"/>
  <c r="J36" i="11"/>
  <c r="N36" i="11"/>
  <c r="K36" i="11" s="1"/>
  <c r="L36" i="11" s="1"/>
  <c r="J37" i="11"/>
  <c r="N37" i="11"/>
  <c r="K37" i="11" s="1"/>
  <c r="L37" i="11" s="1"/>
  <c r="J38" i="11"/>
  <c r="N38" i="11"/>
  <c r="K38" i="11" s="1"/>
  <c r="L38" i="11" s="1"/>
  <c r="H39" i="11"/>
  <c r="K43" i="11" s="1"/>
  <c r="L43" i="11" s="1"/>
  <c r="F42" i="11"/>
  <c r="H42" i="11"/>
  <c r="J42" i="11"/>
  <c r="R42" i="11"/>
  <c r="N43" i="11"/>
  <c r="R43" i="11"/>
  <c r="C47" i="11"/>
  <c r="AA6" i="10"/>
  <c r="AM6" i="10"/>
  <c r="AN6" i="10"/>
  <c r="AO6" i="10"/>
  <c r="AQ6" i="10"/>
  <c r="AR6" i="10"/>
  <c r="AH6" i="10"/>
  <c r="AI6" i="10"/>
  <c r="AJ6" i="10"/>
  <c r="AK6" i="10"/>
  <c r="L7" i="10"/>
  <c r="V7" i="10" s="1"/>
  <c r="AA7" i="10"/>
  <c r="M7" i="10"/>
  <c r="AM7" i="10"/>
  <c r="AN7" i="10"/>
  <c r="AO7" i="10"/>
  <c r="N7" i="10"/>
  <c r="AQ7" i="10"/>
  <c r="AR7" i="10"/>
  <c r="P7" i="10"/>
  <c r="S7" i="10" s="1"/>
  <c r="AH7" i="10"/>
  <c r="AI7" i="10"/>
  <c r="AJ7" i="10"/>
  <c r="AK7" i="10"/>
  <c r="L8" i="10"/>
  <c r="V8" i="10" s="1"/>
  <c r="M8" i="10"/>
  <c r="N8" i="10"/>
  <c r="P8" i="10"/>
  <c r="S8" i="10" s="1"/>
  <c r="AA8" i="10"/>
  <c r="AE8" i="10"/>
  <c r="AF8" i="10"/>
  <c r="AG8" i="10"/>
  <c r="AH8" i="10"/>
  <c r="AI8" i="10"/>
  <c r="AJ8" i="10"/>
  <c r="AK8" i="10"/>
  <c r="AM8" i="10"/>
  <c r="AN8" i="10"/>
  <c r="AO8" i="10"/>
  <c r="AQ8" i="10"/>
  <c r="AR8" i="10"/>
  <c r="L9" i="10"/>
  <c r="V9" i="10" s="1"/>
  <c r="AA9" i="10"/>
  <c r="M9" i="10"/>
  <c r="N9" i="10"/>
  <c r="AQ9" i="10"/>
  <c r="P9" i="10"/>
  <c r="S9" i="10" s="1"/>
  <c r="AE9" i="10"/>
  <c r="AF9" i="10"/>
  <c r="AG9" i="10"/>
  <c r="AH9" i="10"/>
  <c r="AI9" i="10"/>
  <c r="AJ9" i="10"/>
  <c r="AK9" i="10"/>
  <c r="AM9" i="10"/>
  <c r="AN9" i="10"/>
  <c r="AO9" i="10"/>
  <c r="AR9" i="10"/>
  <c r="L10" i="10"/>
  <c r="V10" i="10" s="1"/>
  <c r="AA10" i="10"/>
  <c r="M10" i="10"/>
  <c r="N10" i="10"/>
  <c r="AQ10" i="10"/>
  <c r="P10" i="10"/>
  <c r="S10" i="10" s="1"/>
  <c r="AE10" i="10"/>
  <c r="AF10" i="10"/>
  <c r="AG10" i="10"/>
  <c r="AH10" i="10"/>
  <c r="AI10" i="10"/>
  <c r="AJ10" i="10"/>
  <c r="AK10" i="10"/>
  <c r="AM10" i="10"/>
  <c r="AN10" i="10"/>
  <c r="AO10" i="10"/>
  <c r="AR10" i="10"/>
  <c r="L11" i="10"/>
  <c r="V11" i="10" s="1"/>
  <c r="AA11" i="10"/>
  <c r="M11" i="10"/>
  <c r="N11" i="10"/>
  <c r="AQ11" i="10"/>
  <c r="P11" i="10"/>
  <c r="S11" i="10" s="1"/>
  <c r="AE11" i="10"/>
  <c r="AF11" i="10"/>
  <c r="AG11" i="10"/>
  <c r="AH11" i="10"/>
  <c r="AI11" i="10"/>
  <c r="AJ11" i="10"/>
  <c r="AK11" i="10"/>
  <c r="AM11" i="10"/>
  <c r="AN11" i="10"/>
  <c r="AO11" i="10"/>
  <c r="AR11" i="10"/>
  <c r="L12" i="10"/>
  <c r="V12" i="10" s="1"/>
  <c r="M12" i="10"/>
  <c r="N12" i="10"/>
  <c r="P12" i="10"/>
  <c r="S12" i="10" s="1"/>
  <c r="AA12" i="10"/>
  <c r="AE12" i="10"/>
  <c r="AF12" i="10"/>
  <c r="AG12" i="10"/>
  <c r="AH12" i="10"/>
  <c r="AI12" i="10"/>
  <c r="AJ12" i="10"/>
  <c r="AK12" i="10"/>
  <c r="AM12" i="10"/>
  <c r="AN12" i="10"/>
  <c r="AO12" i="10"/>
  <c r="AQ12" i="10"/>
  <c r="AR12" i="10"/>
  <c r="L13" i="10"/>
  <c r="V13" i="10" s="1"/>
  <c r="AA13" i="10"/>
  <c r="M13" i="10"/>
  <c r="N13" i="10"/>
  <c r="AQ13" i="10"/>
  <c r="P13" i="10"/>
  <c r="S13" i="10" s="1"/>
  <c r="AE13" i="10"/>
  <c r="AF13" i="10"/>
  <c r="AG13" i="10"/>
  <c r="AH13" i="10"/>
  <c r="AI13" i="10"/>
  <c r="AJ13" i="10"/>
  <c r="AK13" i="10"/>
  <c r="AM13" i="10"/>
  <c r="AN13" i="10"/>
  <c r="AO13" i="10"/>
  <c r="AR13" i="10"/>
  <c r="L14" i="10"/>
  <c r="V14" i="10" s="1"/>
  <c r="M14" i="10"/>
  <c r="N14" i="10"/>
  <c r="P14" i="10"/>
  <c r="S14" i="10" s="1"/>
  <c r="AA14" i="10"/>
  <c r="AE14" i="10"/>
  <c r="AF14" i="10"/>
  <c r="AG14" i="10"/>
  <c r="AH14" i="10"/>
  <c r="AI14" i="10"/>
  <c r="AJ14" i="10"/>
  <c r="AK14" i="10"/>
  <c r="AM14" i="10"/>
  <c r="AN14" i="10"/>
  <c r="AO14" i="10"/>
  <c r="AQ14" i="10"/>
  <c r="AR14" i="10"/>
  <c r="L15" i="10"/>
  <c r="V15" i="10" s="1"/>
  <c r="AA15" i="10"/>
  <c r="M15" i="10"/>
  <c r="N15" i="10"/>
  <c r="P15" i="10"/>
  <c r="S15" i="10" s="1"/>
  <c r="AE15" i="10"/>
  <c r="AF15" i="10"/>
  <c r="AG15" i="10"/>
  <c r="AH15" i="10"/>
  <c r="AI15" i="10"/>
  <c r="AJ15" i="10"/>
  <c r="AK15" i="10"/>
  <c r="AM15" i="10"/>
  <c r="AN15" i="10"/>
  <c r="AO15" i="10"/>
  <c r="AQ15" i="10"/>
  <c r="AR15" i="10"/>
  <c r="L16" i="10"/>
  <c r="V16" i="10" s="1"/>
  <c r="M16" i="10"/>
  <c r="N16" i="10"/>
  <c r="P16" i="10"/>
  <c r="S16" i="10" s="1"/>
  <c r="AA16" i="10"/>
  <c r="AE16" i="10"/>
  <c r="AF16" i="10"/>
  <c r="AG16" i="10"/>
  <c r="AH16" i="10"/>
  <c r="AI16" i="10"/>
  <c r="AJ16" i="10"/>
  <c r="AK16" i="10"/>
  <c r="AM16" i="10"/>
  <c r="AN16" i="10"/>
  <c r="AO16" i="10"/>
  <c r="AQ16" i="10"/>
  <c r="AR16" i="10"/>
  <c r="L17" i="10"/>
  <c r="V17" i="10" s="1"/>
  <c r="AA17" i="10"/>
  <c r="AE17" i="10"/>
  <c r="AF17" i="10"/>
  <c r="AG17" i="10"/>
  <c r="AH17" i="10"/>
  <c r="AI17" i="10"/>
  <c r="AJ17" i="10"/>
  <c r="AK17" i="10"/>
  <c r="AM17" i="10"/>
  <c r="AN17" i="10"/>
  <c r="AO17" i="10"/>
  <c r="AQ17" i="10"/>
  <c r="P17" i="10" s="1"/>
  <c r="S17" i="10" s="1"/>
  <c r="AR17" i="10"/>
  <c r="L33" i="10"/>
  <c r="V33" i="10" s="1"/>
  <c r="M33" i="10"/>
  <c r="N33" i="10"/>
  <c r="P33" i="10"/>
  <c r="S33" i="10" s="1"/>
  <c r="AA33" i="10"/>
  <c r="AE33" i="10"/>
  <c r="AF33" i="10"/>
  <c r="AG33" i="10"/>
  <c r="AH33" i="10"/>
  <c r="AI33" i="10"/>
  <c r="AJ33" i="10"/>
  <c r="AK33" i="10"/>
  <c r="AM33" i="10"/>
  <c r="AN33" i="10"/>
  <c r="AO33" i="10"/>
  <c r="AQ33" i="10"/>
  <c r="AR33" i="10"/>
  <c r="L34" i="10"/>
  <c r="V34" i="10" s="1"/>
  <c r="AA34" i="10"/>
  <c r="M34" i="10"/>
  <c r="N34" i="10"/>
  <c r="P34" i="10"/>
  <c r="S34" i="10" s="1"/>
  <c r="AE34" i="10"/>
  <c r="AF34" i="10"/>
  <c r="AG34" i="10"/>
  <c r="AH34" i="10"/>
  <c r="AI34" i="10"/>
  <c r="AJ34" i="10"/>
  <c r="AK34" i="10"/>
  <c r="AM34" i="10"/>
  <c r="AN34" i="10"/>
  <c r="AO34" i="10"/>
  <c r="AQ34" i="10"/>
  <c r="AR34" i="10"/>
  <c r="L35" i="10"/>
  <c r="V35" i="10" s="1"/>
  <c r="AA35" i="10"/>
  <c r="M35" i="10"/>
  <c r="N35" i="10"/>
  <c r="P35" i="10"/>
  <c r="S35" i="10" s="1"/>
  <c r="AE35" i="10"/>
  <c r="AF35" i="10"/>
  <c r="AG35" i="10"/>
  <c r="AH35" i="10"/>
  <c r="AI35" i="10"/>
  <c r="AJ35" i="10"/>
  <c r="AK35" i="10"/>
  <c r="AM35" i="10"/>
  <c r="AN35" i="10"/>
  <c r="AO35" i="10"/>
  <c r="AQ35" i="10"/>
  <c r="AR35" i="10"/>
  <c r="L36" i="10"/>
  <c r="V36" i="10" s="1"/>
  <c r="M36" i="10"/>
  <c r="N36" i="10"/>
  <c r="P36" i="10"/>
  <c r="S36" i="10" s="1"/>
  <c r="AA36" i="10"/>
  <c r="AE36" i="10"/>
  <c r="AF36" i="10"/>
  <c r="AG36" i="10"/>
  <c r="AH36" i="10"/>
  <c r="AI36" i="10"/>
  <c r="AJ36" i="10"/>
  <c r="AK36" i="10"/>
  <c r="AM36" i="10"/>
  <c r="AN36" i="10"/>
  <c r="AO36" i="10"/>
  <c r="AQ36" i="10"/>
  <c r="AR36" i="10"/>
  <c r="L37" i="10"/>
  <c r="V37" i="10" s="1"/>
  <c r="AA37" i="10"/>
  <c r="M37" i="10"/>
  <c r="N37" i="10"/>
  <c r="P37" i="10"/>
  <c r="S37" i="10" s="1"/>
  <c r="AE37" i="10"/>
  <c r="AF37" i="10"/>
  <c r="AG37" i="10"/>
  <c r="AH37" i="10"/>
  <c r="AI37" i="10"/>
  <c r="AJ37" i="10"/>
  <c r="AK37" i="10"/>
  <c r="AM37" i="10"/>
  <c r="AN37" i="10"/>
  <c r="AO37" i="10"/>
  <c r="AQ37" i="10"/>
  <c r="AR37" i="10"/>
  <c r="L38" i="10"/>
  <c r="V38" i="10" s="1"/>
  <c r="M38" i="10"/>
  <c r="N38" i="10"/>
  <c r="P38" i="10"/>
  <c r="S38" i="10" s="1"/>
  <c r="AA38" i="10"/>
  <c r="AE38" i="10"/>
  <c r="AF38" i="10"/>
  <c r="AG38" i="10"/>
  <c r="AH38" i="10"/>
  <c r="AI38" i="10"/>
  <c r="AJ38" i="10"/>
  <c r="AK38" i="10"/>
  <c r="AM38" i="10"/>
  <c r="AN38" i="10"/>
  <c r="AO38" i="10"/>
  <c r="AQ38" i="10"/>
  <c r="AR38" i="10"/>
  <c r="AI74" i="10"/>
  <c r="AJ74" i="10"/>
  <c r="AF75" i="10"/>
  <c r="AE75" i="10"/>
  <c r="AI75" i="10"/>
  <c r="AJ75" i="10"/>
  <c r="J76" i="10"/>
  <c r="AF76" i="10"/>
  <c r="AE76" i="10"/>
  <c r="AI76" i="10"/>
  <c r="AJ76" i="10"/>
  <c r="J77" i="10"/>
  <c r="AF77" i="10"/>
  <c r="AE77" i="10"/>
  <c r="AI77" i="10"/>
  <c r="AJ77" i="10"/>
  <c r="J118" i="10"/>
  <c r="AE118" i="10"/>
  <c r="AF118" i="10"/>
  <c r="AI118" i="10"/>
  <c r="AJ118" i="10"/>
  <c r="J119" i="10"/>
  <c r="AF119" i="10"/>
  <c r="AE119" i="10"/>
  <c r="AI119" i="10"/>
  <c r="AJ119" i="10"/>
  <c r="J120" i="10"/>
  <c r="AF120" i="10"/>
  <c r="AE120" i="10"/>
  <c r="AI120" i="10"/>
  <c r="AJ120" i="10"/>
  <c r="J121" i="10"/>
  <c r="AF121" i="10"/>
  <c r="AE121" i="10"/>
  <c r="AI121" i="10"/>
  <c r="AJ121" i="10"/>
  <c r="J122" i="10"/>
  <c r="AE122" i="10"/>
  <c r="AF122" i="10"/>
  <c r="AI122" i="10"/>
  <c r="AJ122" i="10"/>
  <c r="J123" i="10"/>
  <c r="AF123" i="10"/>
  <c r="AE123" i="10"/>
  <c r="AI123" i="10"/>
  <c r="AJ123" i="10"/>
  <c r="J124" i="10"/>
  <c r="AF124" i="10"/>
  <c r="AE124" i="10"/>
  <c r="AI124" i="10"/>
  <c r="AJ124" i="10"/>
  <c r="J125" i="10"/>
  <c r="AF125" i="10"/>
  <c r="AE125" i="10"/>
  <c r="AI125" i="10"/>
  <c r="AJ125" i="10"/>
  <c r="J126" i="10"/>
  <c r="AF126" i="10"/>
  <c r="AE126" i="10"/>
  <c r="AI126" i="10"/>
  <c r="AJ126" i="10"/>
  <c r="J127" i="10"/>
  <c r="AF127" i="10"/>
  <c r="AE127" i="10"/>
  <c r="AI127" i="10"/>
  <c r="AJ127" i="10"/>
  <c r="J128" i="10"/>
  <c r="AF128" i="10"/>
  <c r="AE128" i="10"/>
  <c r="AI128" i="10"/>
  <c r="AJ128" i="10"/>
  <c r="J129" i="10"/>
  <c r="AE129" i="10"/>
  <c r="AF129" i="10"/>
  <c r="AI129" i="10"/>
  <c r="AJ129" i="10"/>
  <c r="J130" i="10"/>
  <c r="AF130" i="10"/>
  <c r="AE130" i="10"/>
  <c r="AI130" i="10"/>
  <c r="AJ130" i="10"/>
  <c r="J131" i="10"/>
  <c r="AF131" i="10"/>
  <c r="AE131" i="10"/>
  <c r="AI131" i="10"/>
  <c r="AJ131" i="10"/>
  <c r="J132" i="10"/>
  <c r="AF132" i="10"/>
  <c r="AE132" i="10"/>
  <c r="AI132" i="10"/>
  <c r="AJ132" i="10"/>
  <c r="J133" i="10"/>
  <c r="AF133" i="10"/>
  <c r="AE133" i="10"/>
  <c r="AI133" i="10"/>
  <c r="AJ133" i="10"/>
  <c r="J134" i="10"/>
  <c r="AF134" i="10"/>
  <c r="AE134" i="10"/>
  <c r="AI134" i="10"/>
  <c r="AJ134" i="10"/>
  <c r="J135" i="10"/>
  <c r="AF135" i="10"/>
  <c r="AE135" i="10"/>
  <c r="AI135" i="10"/>
  <c r="AJ135" i="10"/>
  <c r="J136" i="10"/>
  <c r="AF136" i="10"/>
  <c r="AE136" i="10"/>
  <c r="AI136" i="10"/>
  <c r="AJ136" i="10"/>
  <c r="J137" i="10"/>
  <c r="AE137" i="10"/>
  <c r="AF137" i="10"/>
  <c r="AI137" i="10"/>
  <c r="AJ137" i="10"/>
  <c r="J138" i="10"/>
  <c r="AE138" i="10"/>
  <c r="AF138" i="10"/>
  <c r="AI138" i="10"/>
  <c r="AJ138" i="10"/>
  <c r="J139" i="10"/>
  <c r="AE139" i="10"/>
  <c r="AF139" i="10"/>
  <c r="AI139" i="10"/>
  <c r="AJ139" i="10"/>
  <c r="J140" i="10"/>
  <c r="AE140" i="10"/>
  <c r="AF140" i="10"/>
  <c r="AI140" i="10"/>
  <c r="AJ140" i="10"/>
  <c r="J141" i="10"/>
  <c r="AE141" i="10"/>
  <c r="AF141" i="10"/>
  <c r="AI141" i="10"/>
  <c r="AJ141" i="10"/>
  <c r="J142" i="10"/>
  <c r="AE142" i="10"/>
  <c r="AF142" i="10"/>
  <c r="AI142" i="10"/>
  <c r="AJ142" i="10"/>
  <c r="J143" i="10"/>
  <c r="AE143" i="10"/>
  <c r="AF143" i="10"/>
  <c r="AI143" i="10"/>
  <c r="AJ143" i="10"/>
  <c r="J144" i="10"/>
  <c r="AE144" i="10"/>
  <c r="AF144" i="10"/>
  <c r="AI144" i="10"/>
  <c r="AJ144" i="10"/>
  <c r="J145" i="10"/>
  <c r="AE145" i="10"/>
  <c r="AF145" i="10"/>
  <c r="AI145" i="10"/>
  <c r="AJ145" i="10"/>
  <c r="J146" i="10"/>
  <c r="AE146" i="10"/>
  <c r="AF146" i="10"/>
  <c r="AI146" i="10"/>
  <c r="AJ146" i="10"/>
  <c r="J147" i="10"/>
  <c r="AE147" i="10"/>
  <c r="AF147" i="10"/>
  <c r="AI147" i="10"/>
  <c r="AJ147" i="10"/>
  <c r="J148" i="10"/>
  <c r="AE148" i="10"/>
  <c r="AF148" i="10"/>
  <c r="AI148" i="10"/>
  <c r="AJ148" i="10"/>
  <c r="J149" i="10"/>
  <c r="AE149" i="10"/>
  <c r="AF149" i="10"/>
  <c r="AI149" i="10"/>
  <c r="AJ149" i="10"/>
  <c r="J150" i="10"/>
  <c r="AE150" i="10"/>
  <c r="AF150" i="10"/>
  <c r="AI150" i="10"/>
  <c r="AJ150" i="10"/>
  <c r="J171" i="10"/>
  <c r="AE171" i="10"/>
  <c r="AF171" i="10"/>
  <c r="AI171" i="10"/>
  <c r="AJ171" i="10"/>
  <c r="J172" i="10"/>
  <c r="AE172" i="10"/>
  <c r="AF172" i="10"/>
  <c r="AI172" i="10"/>
  <c r="AJ172" i="10"/>
  <c r="J173" i="10"/>
  <c r="AE173" i="10"/>
  <c r="AF173" i="10"/>
  <c r="AI173" i="10"/>
  <c r="AJ173" i="10"/>
  <c r="J174" i="10"/>
  <c r="AE174" i="10"/>
  <c r="AF174" i="10"/>
  <c r="AI174" i="10"/>
  <c r="AJ174" i="10"/>
  <c r="J175" i="10"/>
  <c r="AE175" i="10"/>
  <c r="AF175" i="10"/>
  <c r="AI175" i="10"/>
  <c r="AJ175" i="10"/>
  <c r="J176" i="10"/>
  <c r="AE176" i="10"/>
  <c r="AF176" i="10"/>
  <c r="AI176" i="10"/>
  <c r="AJ176" i="10"/>
  <c r="J177" i="10"/>
  <c r="AE177" i="10"/>
  <c r="AF177" i="10"/>
  <c r="AI177" i="10"/>
  <c r="AJ177" i="10"/>
  <c r="J178" i="10"/>
  <c r="AE178" i="10"/>
  <c r="AF178" i="10"/>
  <c r="AI178" i="10"/>
  <c r="AJ178" i="10"/>
  <c r="J179" i="10"/>
  <c r="AE179" i="10"/>
  <c r="AF179" i="10"/>
  <c r="AI179" i="10"/>
  <c r="AJ179" i="10"/>
  <c r="J180" i="10"/>
  <c r="AE180" i="10"/>
  <c r="AF180" i="10"/>
  <c r="AI180" i="10"/>
  <c r="AJ180" i="10"/>
  <c r="AE181" i="10"/>
  <c r="AF181" i="10"/>
  <c r="AI181" i="10"/>
  <c r="AJ181" i="10"/>
  <c r="J182" i="10"/>
  <c r="AE182" i="10"/>
  <c r="AF182" i="10"/>
  <c r="AI182" i="10"/>
  <c r="AJ182" i="10"/>
  <c r="J183" i="10"/>
  <c r="AE183" i="10"/>
  <c r="AF183" i="10"/>
  <c r="AI183" i="10"/>
  <c r="AJ183" i="10"/>
  <c r="J184" i="10"/>
  <c r="AE184" i="10"/>
  <c r="AF184" i="10"/>
  <c r="AI184" i="10"/>
  <c r="AJ184" i="10"/>
  <c r="J185" i="10"/>
  <c r="AE185" i="10"/>
  <c r="AF185" i="10"/>
  <c r="AI185" i="10"/>
  <c r="AJ185" i="10"/>
  <c r="J186" i="10"/>
  <c r="AE186" i="10"/>
  <c r="AF186" i="10"/>
  <c r="AI186" i="10"/>
  <c r="AJ186" i="10"/>
  <c r="J187" i="10"/>
  <c r="AE187" i="10"/>
  <c r="AF187" i="10"/>
  <c r="AI187" i="10"/>
  <c r="AJ187" i="10"/>
  <c r="J188" i="10"/>
  <c r="AE188" i="10"/>
  <c r="AF188" i="10"/>
  <c r="AI188" i="10"/>
  <c r="AJ188" i="10"/>
  <c r="J189" i="10"/>
  <c r="AE189" i="10"/>
  <c r="AF189" i="10"/>
  <c r="AI189" i="10"/>
  <c r="AJ189" i="10"/>
  <c r="AE190" i="10"/>
  <c r="AF190" i="10"/>
  <c r="AI190" i="10"/>
  <c r="AJ190" i="10"/>
  <c r="J191" i="10"/>
  <c r="AE191" i="10"/>
  <c r="AF191" i="10"/>
  <c r="AI191" i="10"/>
  <c r="AJ191" i="10"/>
  <c r="S223" i="10"/>
  <c r="AF227" i="10"/>
  <c r="AE227" i="10"/>
  <c r="P228" i="10"/>
  <c r="S228" i="10" s="1"/>
  <c r="AF228" i="10"/>
  <c r="AE228" i="10"/>
  <c r="P260" i="10"/>
  <c r="S260" i="10" s="1"/>
  <c r="AF260" i="10"/>
  <c r="AE260" i="10"/>
  <c r="P261" i="10"/>
  <c r="S261" i="10" s="1"/>
  <c r="AF261" i="10"/>
  <c r="AE261" i="10"/>
  <c r="P262" i="10"/>
  <c r="S262" i="10" s="1"/>
  <c r="AF262" i="10"/>
  <c r="AE262" i="10"/>
  <c r="P263" i="10"/>
  <c r="S263" i="10" s="1"/>
  <c r="AF263" i="10"/>
  <c r="AE263" i="10"/>
  <c r="P264" i="10"/>
  <c r="S264" i="10" s="1"/>
  <c r="AF264" i="10"/>
  <c r="AE264" i="10"/>
  <c r="P265" i="10"/>
  <c r="S265" i="10" s="1"/>
  <c r="AF265" i="10"/>
  <c r="AE265" i="10"/>
  <c r="P266" i="10"/>
  <c r="S266" i="10" s="1"/>
  <c r="AF266" i="10"/>
  <c r="AE266" i="10"/>
  <c r="P267" i="10"/>
  <c r="S267" i="10" s="1"/>
  <c r="AF267" i="10"/>
  <c r="AE267" i="10"/>
  <c r="P268" i="10"/>
  <c r="S268" i="10" s="1"/>
  <c r="AE268" i="10"/>
  <c r="AF268" i="10"/>
  <c r="P269" i="10"/>
  <c r="S269" i="10" s="1"/>
  <c r="AE269" i="10"/>
  <c r="AF269" i="10"/>
  <c r="P270" i="10"/>
  <c r="S270" i="10" s="1"/>
  <c r="AE270" i="10"/>
  <c r="AF270" i="10"/>
  <c r="E301" i="10"/>
  <c r="F301" i="10"/>
  <c r="G301" i="10"/>
  <c r="H301" i="10"/>
  <c r="K303" i="10"/>
  <c r="L303" i="10"/>
  <c r="M303" i="10"/>
  <c r="B307" i="10"/>
  <c r="C307" i="10"/>
  <c r="P97" i="9"/>
  <c r="R98" i="9"/>
  <c r="H99" i="9"/>
  <c r="I99" i="9"/>
  <c r="J99" i="9"/>
  <c r="C108" i="9"/>
  <c r="D108" i="9"/>
  <c r="F29" i="8"/>
  <c r="E31" i="8" s="1"/>
  <c r="I35" i="8" s="1"/>
  <c r="G29" i="8"/>
  <c r="C34" i="8"/>
  <c r="C55" i="8"/>
  <c r="K11" i="7"/>
  <c r="K12" i="7"/>
  <c r="K13" i="7"/>
  <c r="X18" i="7"/>
  <c r="Y18" i="7"/>
  <c r="Z18" i="7"/>
  <c r="AA18" i="7"/>
  <c r="AB18" i="7"/>
  <c r="AC18" i="7"/>
  <c r="AD18" i="7"/>
  <c r="T19" i="7"/>
  <c r="X19" i="7"/>
  <c r="Y19" i="7"/>
  <c r="Z19" i="7"/>
  <c r="AA19" i="7"/>
  <c r="AB19" i="7"/>
  <c r="AC19" i="7"/>
  <c r="AD19" i="7"/>
  <c r="T20" i="7"/>
  <c r="X20" i="7"/>
  <c r="Y20" i="7"/>
  <c r="Z20" i="7"/>
  <c r="AA20" i="7"/>
  <c r="AB20" i="7"/>
  <c r="AC20" i="7"/>
  <c r="AD20" i="7"/>
  <c r="T21" i="7"/>
  <c r="X21" i="7"/>
  <c r="Y21" i="7"/>
  <c r="Z21" i="7"/>
  <c r="AA21" i="7"/>
  <c r="AB21" i="7"/>
  <c r="AC21" i="7"/>
  <c r="AD21" i="7"/>
  <c r="T22" i="7"/>
  <c r="X22" i="7"/>
  <c r="Y22" i="7"/>
  <c r="Z22" i="7"/>
  <c r="AA22" i="7"/>
  <c r="AB22" i="7"/>
  <c r="AC22" i="7"/>
  <c r="AD22" i="7"/>
  <c r="T23" i="7"/>
  <c r="X23" i="7"/>
  <c r="Y23" i="7"/>
  <c r="Z23" i="7"/>
  <c r="AA23" i="7"/>
  <c r="AB23" i="7"/>
  <c r="AC23" i="7"/>
  <c r="AD23" i="7"/>
  <c r="T24" i="7"/>
  <c r="X24" i="7"/>
  <c r="Y24" i="7"/>
  <c r="Z24" i="7"/>
  <c r="AA24" i="7"/>
  <c r="AB24" i="7"/>
  <c r="AC24" i="7"/>
  <c r="AD24" i="7"/>
  <c r="T25" i="7"/>
  <c r="X25" i="7"/>
  <c r="Y25" i="7"/>
  <c r="Z25" i="7"/>
  <c r="AA25" i="7"/>
  <c r="AB25" i="7"/>
  <c r="AC25" i="7"/>
  <c r="AD25" i="7"/>
  <c r="T26" i="7"/>
  <c r="X26" i="7"/>
  <c r="Y26" i="7"/>
  <c r="Z26" i="7"/>
  <c r="AA26" i="7"/>
  <c r="AB26" i="7"/>
  <c r="AC26" i="7"/>
  <c r="AD26" i="7"/>
  <c r="T27" i="7"/>
  <c r="X27" i="7"/>
  <c r="Y27" i="7"/>
  <c r="Z27" i="7"/>
  <c r="AA27" i="7"/>
  <c r="AB27" i="7"/>
  <c r="AC27" i="7"/>
  <c r="AD27" i="7"/>
  <c r="T28" i="7"/>
  <c r="X28" i="7"/>
  <c r="Y28" i="7"/>
  <c r="Z28" i="7"/>
  <c r="AA28" i="7"/>
  <c r="AB28" i="7"/>
  <c r="AC28" i="7"/>
  <c r="AD28" i="7"/>
  <c r="T29" i="7"/>
  <c r="X29" i="7"/>
  <c r="Y29" i="7"/>
  <c r="Z29" i="7"/>
  <c r="AA29" i="7"/>
  <c r="AB29" i="7"/>
  <c r="AC29" i="7"/>
  <c r="AD29" i="7"/>
  <c r="T30" i="7"/>
  <c r="X30" i="7"/>
  <c r="Y30" i="7"/>
  <c r="Z30" i="7"/>
  <c r="AA30" i="7"/>
  <c r="AB30" i="7"/>
  <c r="AC30" i="7"/>
  <c r="AD30" i="7"/>
  <c r="T31" i="7"/>
  <c r="X31" i="7"/>
  <c r="Y31" i="7"/>
  <c r="Z31" i="7"/>
  <c r="AA31" i="7"/>
  <c r="AB31" i="7"/>
  <c r="AC31" i="7"/>
  <c r="AD31" i="7"/>
  <c r="T32" i="7"/>
  <c r="X32" i="7"/>
  <c r="Y32" i="7"/>
  <c r="Z32" i="7"/>
  <c r="AA32" i="7"/>
  <c r="AB32" i="7"/>
  <c r="AC32" i="7"/>
  <c r="AD32" i="7"/>
  <c r="T33" i="7"/>
  <c r="X33" i="7"/>
  <c r="Y33" i="7"/>
  <c r="Z33" i="7"/>
  <c r="AA33" i="7"/>
  <c r="AB33" i="7"/>
  <c r="AC33" i="7"/>
  <c r="AD33" i="7"/>
  <c r="E34" i="7"/>
  <c r="J38" i="7"/>
  <c r="D38" i="7" s="1"/>
  <c r="L38" i="7"/>
  <c r="K38" i="7" s="1"/>
  <c r="L41" i="7"/>
  <c r="F43" i="7"/>
  <c r="G43" i="7"/>
  <c r="H43" i="7"/>
  <c r="C56" i="7"/>
  <c r="I3" i="46"/>
  <c r="J3" i="46"/>
  <c r="J4" i="46"/>
  <c r="J5" i="46"/>
  <c r="J10" i="46"/>
  <c r="H10" i="46" s="1"/>
  <c r="I10" i="46" s="1"/>
  <c r="J11" i="46"/>
  <c r="H11" i="46" s="1"/>
  <c r="I11" i="46" s="1"/>
  <c r="J12" i="46"/>
  <c r="H12" i="46" s="1"/>
  <c r="I12" i="46" s="1"/>
  <c r="J13" i="46"/>
  <c r="H13" i="46" s="1"/>
  <c r="I13" i="46" s="1"/>
  <c r="J14" i="46"/>
  <c r="H14" i="46" s="1"/>
  <c r="I14" i="46" s="1"/>
  <c r="J15" i="46"/>
  <c r="H15" i="46" s="1"/>
  <c r="I15" i="46" s="1"/>
  <c r="J16" i="46"/>
  <c r="H16" i="46" s="1"/>
  <c r="I16" i="46" s="1"/>
  <c r="J17" i="46"/>
  <c r="H17" i="46" s="1"/>
  <c r="I17" i="46" s="1"/>
  <c r="J18" i="46"/>
  <c r="H18" i="46" s="1"/>
  <c r="I18" i="46" s="1"/>
  <c r="J19" i="46"/>
  <c r="H19" i="46" s="1"/>
  <c r="I19" i="46" s="1"/>
  <c r="J20" i="46"/>
  <c r="H20" i="46" s="1"/>
  <c r="I20" i="46" s="1"/>
  <c r="G21" i="46"/>
  <c r="F41" i="46" s="1"/>
  <c r="G43" i="46" s="1"/>
  <c r="J23" i="46"/>
  <c r="H23" i="46" s="1"/>
  <c r="I23" i="46" s="1"/>
  <c r="J24" i="46"/>
  <c r="H24" i="46" s="1"/>
  <c r="I24" i="46" s="1"/>
  <c r="J25" i="46"/>
  <c r="H25" i="46" s="1"/>
  <c r="I25" i="46" s="1"/>
  <c r="J26" i="46"/>
  <c r="H26" i="46" s="1"/>
  <c r="I26" i="46" s="1"/>
  <c r="J27" i="46"/>
  <c r="H27" i="46" s="1"/>
  <c r="I27" i="46" s="1"/>
  <c r="J28" i="46"/>
  <c r="H28" i="46" s="1"/>
  <c r="I28" i="46" s="1"/>
  <c r="J29" i="46"/>
  <c r="H29" i="46" s="1"/>
  <c r="I29" i="46" s="1"/>
  <c r="J30" i="46"/>
  <c r="H30" i="46" s="1"/>
  <c r="I30" i="46" s="1"/>
  <c r="J31" i="46"/>
  <c r="H31" i="46" s="1"/>
  <c r="I31" i="46" s="1"/>
  <c r="J32" i="46"/>
  <c r="H32" i="46" s="1"/>
  <c r="I32" i="46" s="1"/>
  <c r="J33" i="46"/>
  <c r="H33" i="46" s="1"/>
  <c r="I33" i="46" s="1"/>
  <c r="J34" i="46"/>
  <c r="H34" i="46" s="1"/>
  <c r="I34" i="46" s="1"/>
  <c r="J35" i="46"/>
  <c r="H35" i="46" s="1"/>
  <c r="I35" i="46" s="1"/>
  <c r="J36" i="46"/>
  <c r="H36" i="46" s="1"/>
  <c r="I36" i="46" s="1"/>
  <c r="J37" i="46"/>
  <c r="H37" i="46" s="1"/>
  <c r="I37" i="46" s="1"/>
  <c r="G38" i="46"/>
  <c r="G45" i="46" s="1"/>
  <c r="AA1" i="43"/>
  <c r="AA184" i="43" s="1"/>
  <c r="Z184" i="43" s="1"/>
  <c r="D3" i="43"/>
  <c r="P3" i="43"/>
  <c r="U4" i="43"/>
  <c r="E4" i="44"/>
  <c r="O6" i="43"/>
  <c r="P7" i="43" s="1"/>
  <c r="O8" i="43"/>
  <c r="D8" i="43" s="1"/>
  <c r="E10" i="43"/>
  <c r="F10" i="43" s="1"/>
  <c r="G10" i="43" s="1"/>
  <c r="H10" i="43" s="1"/>
  <c r="I10" i="43" s="1"/>
  <c r="J10" i="43" s="1"/>
  <c r="K10" i="43" s="1"/>
  <c r="L10" i="43" s="1"/>
  <c r="M10" i="43" s="1"/>
  <c r="N10" i="43" s="1"/>
  <c r="E24" i="43"/>
  <c r="F24" i="43"/>
  <c r="G24" i="43"/>
  <c r="H24" i="43"/>
  <c r="I24" i="43"/>
  <c r="J24" i="43"/>
  <c r="K24" i="43"/>
  <c r="L24" i="43"/>
  <c r="M24" i="43"/>
  <c r="N24" i="43"/>
  <c r="E66" i="43"/>
  <c r="F66" i="43"/>
  <c r="G66" i="43"/>
  <c r="H66" i="43"/>
  <c r="I66" i="43"/>
  <c r="J66" i="43"/>
  <c r="K66" i="43"/>
  <c r="L66" i="43"/>
  <c r="M66" i="43"/>
  <c r="N66" i="43"/>
  <c r="E100" i="43"/>
  <c r="Z100" i="43" s="1"/>
  <c r="F100" i="43"/>
  <c r="G100" i="43"/>
  <c r="H100" i="43"/>
  <c r="I100" i="43"/>
  <c r="J100" i="43"/>
  <c r="K100" i="43"/>
  <c r="L100" i="43"/>
  <c r="M100" i="43"/>
  <c r="N100" i="43"/>
  <c r="E258" i="43"/>
  <c r="F258" i="43"/>
  <c r="G258" i="43"/>
  <c r="H258" i="43"/>
  <c r="I258" i="43"/>
  <c r="J258" i="43"/>
  <c r="K258" i="43"/>
  <c r="L258" i="43"/>
  <c r="M258" i="43"/>
  <c r="N258" i="43"/>
  <c r="E260" i="43"/>
  <c r="E259" i="43" s="1"/>
  <c r="Q259" i="43" s="1"/>
  <c r="F260" i="43"/>
  <c r="G260" i="43"/>
  <c r="H260" i="43"/>
  <c r="I260" i="43"/>
  <c r="J260" i="43"/>
  <c r="J261" i="43" s="1"/>
  <c r="K260" i="43"/>
  <c r="L260" i="43"/>
  <c r="M260" i="43"/>
  <c r="N260" i="43"/>
  <c r="O267" i="43"/>
  <c r="O268" i="43"/>
  <c r="O270" i="43"/>
  <c r="O271" i="43"/>
  <c r="O272" i="43"/>
  <c r="O273" i="43"/>
  <c r="O274" i="43"/>
  <c r="O275" i="43"/>
  <c r="O276" i="43"/>
  <c r="O277" i="43"/>
  <c r="O278" i="43"/>
  <c r="O281" i="43"/>
  <c r="O282" i="43"/>
  <c r="O283" i="43"/>
  <c r="O284" i="43"/>
  <c r="O285" i="43"/>
  <c r="O286" i="43"/>
  <c r="O287" i="43"/>
  <c r="O288" i="43"/>
  <c r="A291" i="43"/>
  <c r="A292" i="43"/>
  <c r="A293" i="43"/>
  <c r="A294" i="43"/>
  <c r="Q294" i="43"/>
  <c r="A295" i="43"/>
  <c r="P297" i="43"/>
  <c r="F4" i="44"/>
  <c r="G4" i="44" s="1"/>
  <c r="E269" i="44" s="1"/>
  <c r="A6" i="44"/>
  <c r="A7" i="44"/>
  <c r="A8" i="44"/>
  <c r="Z250" i="44" s="1"/>
  <c r="A9" i="44"/>
  <c r="Z9" i="44" s="1"/>
  <c r="A10" i="44"/>
  <c r="Z10" i="44" s="1"/>
  <c r="A11" i="44"/>
  <c r="Z11" i="44" s="1"/>
  <c r="A12" i="44"/>
  <c r="A13" i="44"/>
  <c r="A14" i="44"/>
  <c r="Z14" i="44" s="1"/>
  <c r="A15" i="44"/>
  <c r="Z15" i="44" s="1"/>
  <c r="E16" i="44"/>
  <c r="E17" i="44"/>
  <c r="A18" i="44"/>
  <c r="A19" i="44"/>
  <c r="A20" i="44"/>
  <c r="A21" i="44"/>
  <c r="Z21" i="44" s="1"/>
  <c r="A22" i="44"/>
  <c r="A23" i="44"/>
  <c r="A24" i="44"/>
  <c r="A25" i="44"/>
  <c r="Z25" i="44" s="1"/>
  <c r="A26" i="44"/>
  <c r="A27" i="44"/>
  <c r="A28" i="44"/>
  <c r="A29" i="44"/>
  <c r="Z29" i="44" s="1"/>
  <c r="A30" i="44"/>
  <c r="A31" i="44"/>
  <c r="A32" i="44"/>
  <c r="A33" i="44"/>
  <c r="Z33" i="44" s="1"/>
  <c r="A34" i="44"/>
  <c r="A35" i="44"/>
  <c r="A36" i="44"/>
  <c r="A37" i="44"/>
  <c r="Z37" i="44" s="1"/>
  <c r="A38" i="44"/>
  <c r="A39" i="44"/>
  <c r="A40" i="44"/>
  <c r="A41" i="44"/>
  <c r="Z41" i="44" s="1"/>
  <c r="A42" i="44"/>
  <c r="A43" i="44"/>
  <c r="A44" i="44"/>
  <c r="A45" i="44"/>
  <c r="Z45" i="44" s="1"/>
  <c r="A46" i="44"/>
  <c r="A47" i="44"/>
  <c r="A48" i="44"/>
  <c r="A49" i="44"/>
  <c r="Z49" i="44" s="1"/>
  <c r="A50" i="44"/>
  <c r="A51" i="44"/>
  <c r="A52" i="44"/>
  <c r="A53" i="44"/>
  <c r="Z53" i="44" s="1"/>
  <c r="A54" i="44"/>
  <c r="A55" i="44"/>
  <c r="A56" i="44"/>
  <c r="A57" i="44"/>
  <c r="Z57" i="44" s="1"/>
  <c r="A58" i="44"/>
  <c r="A59" i="44"/>
  <c r="A60" i="44"/>
  <c r="A61" i="44"/>
  <c r="Z61" i="44" s="1"/>
  <c r="A62" i="44"/>
  <c r="A63" i="44"/>
  <c r="A64" i="44"/>
  <c r="A65" i="44"/>
  <c r="Z65" i="44" s="1"/>
  <c r="A66" i="44"/>
  <c r="A67" i="44"/>
  <c r="A68" i="44"/>
  <c r="A69" i="44"/>
  <c r="Z69" i="44" s="1"/>
  <c r="A70" i="44"/>
  <c r="A71" i="44"/>
  <c r="A72" i="44"/>
  <c r="A73" i="44"/>
  <c r="Z73" i="44" s="1"/>
  <c r="A74" i="44"/>
  <c r="A75" i="44"/>
  <c r="A76" i="44"/>
  <c r="A77" i="44"/>
  <c r="A78" i="44"/>
  <c r="A79" i="44"/>
  <c r="A80" i="44"/>
  <c r="A81" i="44"/>
  <c r="A82" i="44"/>
  <c r="A83" i="44"/>
  <c r="A84" i="44"/>
  <c r="A85" i="44"/>
  <c r="Z85" i="44" s="1"/>
  <c r="A86" i="44"/>
  <c r="A87" i="44"/>
  <c r="A88" i="44"/>
  <c r="A89" i="44"/>
  <c r="Z89" i="44" s="1"/>
  <c r="A90" i="44"/>
  <c r="A91" i="44"/>
  <c r="Z91" i="44" s="1"/>
  <c r="A92" i="44"/>
  <c r="A93" i="44"/>
  <c r="Z93" i="44" s="1"/>
  <c r="A94" i="44"/>
  <c r="A95" i="44"/>
  <c r="Z95" i="44" s="1"/>
  <c r="A96" i="44"/>
  <c r="A97" i="44"/>
  <c r="Z97" i="44" s="1"/>
  <c r="A98" i="44"/>
  <c r="E99" i="44"/>
  <c r="E100" i="44"/>
  <c r="A101" i="44"/>
  <c r="Z101" i="44" s="1"/>
  <c r="A102" i="44"/>
  <c r="Z102" i="44" s="1"/>
  <c r="A103" i="44"/>
  <c r="Z103" i="44" s="1"/>
  <c r="A104" i="44"/>
  <c r="Z104" i="44" s="1"/>
  <c r="A105" i="44"/>
  <c r="Z105" i="44" s="1"/>
  <c r="A106" i="44"/>
  <c r="Z106" i="44" s="1"/>
  <c r="A107" i="44"/>
  <c r="Z107" i="44" s="1"/>
  <c r="A108" i="44"/>
  <c r="Z108" i="44" s="1"/>
  <c r="A109" i="44"/>
  <c r="Z109" i="44" s="1"/>
  <c r="A110" i="44"/>
  <c r="Z110" i="44" s="1"/>
  <c r="A111" i="44"/>
  <c r="Z111" i="44" s="1"/>
  <c r="A112" i="44"/>
  <c r="Z112" i="44" s="1"/>
  <c r="A113" i="44"/>
  <c r="Z113" i="44" s="1"/>
  <c r="A114" i="44"/>
  <c r="Z114" i="44" s="1"/>
  <c r="A115" i="44"/>
  <c r="A116" i="44"/>
  <c r="Z116" i="44" s="1"/>
  <c r="A117" i="44"/>
  <c r="Z117" i="44" s="1"/>
  <c r="A118" i="44"/>
  <c r="Z118" i="44" s="1"/>
  <c r="A119" i="44"/>
  <c r="Z119" i="44" s="1"/>
  <c r="A120" i="44"/>
  <c r="Z120" i="44" s="1"/>
  <c r="A121" i="44"/>
  <c r="Z121" i="44" s="1"/>
  <c r="A122" i="44"/>
  <c r="Z122" i="44" s="1"/>
  <c r="A123" i="44"/>
  <c r="Z123" i="44" s="1"/>
  <c r="A124" i="44"/>
  <c r="Z124" i="44" s="1"/>
  <c r="A125" i="44"/>
  <c r="Z125" i="44" s="1"/>
  <c r="A126" i="44"/>
  <c r="Z126" i="44" s="1"/>
  <c r="A127" i="44"/>
  <c r="Z127" i="44" s="1"/>
  <c r="A128" i="44"/>
  <c r="Z128" i="44" s="1"/>
  <c r="A129" i="44"/>
  <c r="Z129" i="44" s="1"/>
  <c r="A130" i="44"/>
  <c r="Z130" i="44" s="1"/>
  <c r="E131" i="44"/>
  <c r="A133" i="44"/>
  <c r="Z133" i="44" s="1"/>
  <c r="A134" i="44"/>
  <c r="Z134" i="44" s="1"/>
  <c r="A135" i="44"/>
  <c r="Z135" i="44" s="1"/>
  <c r="A136" i="44"/>
  <c r="Z136" i="44" s="1"/>
  <c r="A137" i="44"/>
  <c r="Z137" i="44" s="1"/>
  <c r="A138" i="44"/>
  <c r="Z138" i="44" s="1"/>
  <c r="A139" i="44"/>
  <c r="Z139" i="44" s="1"/>
  <c r="A140" i="44"/>
  <c r="Z140" i="44" s="1"/>
  <c r="A141" i="44"/>
  <c r="Z141" i="44" s="1"/>
  <c r="A142" i="44"/>
  <c r="Z142" i="44" s="1"/>
  <c r="A143" i="44"/>
  <c r="A144" i="44"/>
  <c r="Z144" i="44" s="1"/>
  <c r="A145" i="44"/>
  <c r="Z145" i="44" s="1"/>
  <c r="A146" i="44"/>
  <c r="Z146" i="44" s="1"/>
  <c r="A147" i="44"/>
  <c r="Z147" i="44" s="1"/>
  <c r="A148" i="44"/>
  <c r="Z148" i="44" s="1"/>
  <c r="A149" i="44"/>
  <c r="Z149" i="44" s="1"/>
  <c r="A150" i="44"/>
  <c r="Z150" i="44" s="1"/>
  <c r="A151" i="44"/>
  <c r="Z151" i="44" s="1"/>
  <c r="A152" i="44"/>
  <c r="Z152" i="44" s="1"/>
  <c r="A153" i="44"/>
  <c r="Z153" i="44" s="1"/>
  <c r="A154" i="44"/>
  <c r="Z154" i="44" s="1"/>
  <c r="A155" i="44"/>
  <c r="Z155" i="44" s="1"/>
  <c r="A156" i="44"/>
  <c r="Z156" i="44" s="1"/>
  <c r="A157" i="44"/>
  <c r="Z157" i="44" s="1"/>
  <c r="A158" i="44"/>
  <c r="Z158" i="44" s="1"/>
  <c r="A159" i="44"/>
  <c r="Z159" i="44" s="1"/>
  <c r="A160" i="44"/>
  <c r="Z160" i="44" s="1"/>
  <c r="A161" i="44"/>
  <c r="A162" i="44"/>
  <c r="Z162" i="44" s="1"/>
  <c r="A163" i="44"/>
  <c r="Z163" i="44" s="1"/>
  <c r="A164" i="44"/>
  <c r="Z164" i="44" s="1"/>
  <c r="A165" i="44"/>
  <c r="Z165" i="44" s="1"/>
  <c r="A166" i="44"/>
  <c r="Z166" i="44" s="1"/>
  <c r="A167" i="44"/>
  <c r="Z167" i="44" s="1"/>
  <c r="A168" i="44"/>
  <c r="Z168" i="44" s="1"/>
  <c r="A169" i="44"/>
  <c r="Z169" i="44" s="1"/>
  <c r="A170" i="44"/>
  <c r="Z170" i="44" s="1"/>
  <c r="A171" i="44"/>
  <c r="Z171" i="44" s="1"/>
  <c r="A172" i="44"/>
  <c r="E173" i="44"/>
  <c r="B175" i="44"/>
  <c r="A176" i="44"/>
  <c r="Z176" i="44" s="1"/>
  <c r="A177" i="44"/>
  <c r="Z177" i="44" s="1"/>
  <c r="A178" i="44"/>
  <c r="Z178" i="44" s="1"/>
  <c r="A179" i="44"/>
  <c r="Z179" i="44" s="1"/>
  <c r="A180" i="44"/>
  <c r="Z180" i="44" s="1"/>
  <c r="A181" i="44"/>
  <c r="Z181" i="44" s="1"/>
  <c r="A182" i="44"/>
  <c r="Z182" i="44" s="1"/>
  <c r="A183" i="44"/>
  <c r="Z183" i="44" s="1"/>
  <c r="A184" i="44"/>
  <c r="Z184" i="44" s="1"/>
  <c r="A185" i="44"/>
  <c r="A186" i="44"/>
  <c r="A187" i="44"/>
  <c r="Z187" i="44" s="1"/>
  <c r="A188" i="44"/>
  <c r="Z188" i="44" s="1"/>
  <c r="A189" i="44"/>
  <c r="Z189" i="44" s="1"/>
  <c r="A190" i="44"/>
  <c r="Z190" i="44" s="1"/>
  <c r="A191" i="44"/>
  <c r="Z191" i="44" s="1"/>
  <c r="A192" i="44"/>
  <c r="Z192" i="44" s="1"/>
  <c r="A193" i="44"/>
  <c r="Z193" i="44" s="1"/>
  <c r="A194" i="44"/>
  <c r="Z194" i="44" s="1"/>
  <c r="A195" i="44"/>
  <c r="Z195" i="44" s="1"/>
  <c r="A196" i="44"/>
  <c r="A197" i="44"/>
  <c r="A198" i="44"/>
  <c r="Z198" i="44" s="1"/>
  <c r="A199" i="44"/>
  <c r="Z199" i="44" s="1"/>
  <c r="A200" i="44"/>
  <c r="Z200" i="44" s="1"/>
  <c r="A201" i="44"/>
  <c r="Z201" i="44" s="1"/>
  <c r="A202" i="44"/>
  <c r="Z202" i="44" s="1"/>
  <c r="A203" i="44"/>
  <c r="Z203" i="44" s="1"/>
  <c r="A204" i="44"/>
  <c r="Z204" i="44" s="1"/>
  <c r="A205" i="44"/>
  <c r="Z205" i="44" s="1"/>
  <c r="A206" i="44"/>
  <c r="Z206" i="44" s="1"/>
  <c r="A207" i="44"/>
  <c r="Z207" i="44" s="1"/>
  <c r="A208" i="44"/>
  <c r="Z208" i="44" s="1"/>
  <c r="A209" i="44"/>
  <c r="Z209" i="44" s="1"/>
  <c r="A210" i="44"/>
  <c r="Z210" i="44" s="1"/>
  <c r="A211" i="44"/>
  <c r="Z211" i="44" s="1"/>
  <c r="A212" i="44"/>
  <c r="Z212" i="44" s="1"/>
  <c r="A213" i="44"/>
  <c r="Z213" i="44" s="1"/>
  <c r="A214" i="44"/>
  <c r="Z214" i="44" s="1"/>
  <c r="A215" i="44"/>
  <c r="Z215" i="44" s="1"/>
  <c r="A216" i="44"/>
  <c r="Z216" i="44" s="1"/>
  <c r="E217" i="44"/>
  <c r="A218" i="44"/>
  <c r="Z218" i="44" s="1"/>
  <c r="A219" i="44"/>
  <c r="Z219" i="44" s="1"/>
  <c r="A220" i="44"/>
  <c r="Z220" i="44" s="1"/>
  <c r="A221" i="44"/>
  <c r="Z221" i="44" s="1"/>
  <c r="A222" i="44"/>
  <c r="Z222" i="44" s="1"/>
  <c r="A223" i="44"/>
  <c r="Z223" i="44" s="1"/>
  <c r="A224" i="44"/>
  <c r="Z224" i="44" s="1"/>
  <c r="A225" i="44"/>
  <c r="Z225" i="44" s="1"/>
  <c r="A226" i="44"/>
  <c r="A227" i="44"/>
  <c r="Z227" i="44" s="1"/>
  <c r="A228" i="44"/>
  <c r="Z228" i="44" s="1"/>
  <c r="A229" i="44"/>
  <c r="Z229" i="44" s="1"/>
  <c r="A230" i="44"/>
  <c r="Z230" i="44" s="1"/>
  <c r="A231" i="44"/>
  <c r="Z231" i="44" s="1"/>
  <c r="A232" i="44"/>
  <c r="Z232" i="44" s="1"/>
  <c r="A233" i="44"/>
  <c r="Z233" i="44" s="1"/>
  <c r="A234" i="44"/>
  <c r="Z234" i="44" s="1"/>
  <c r="A235" i="44"/>
  <c r="Z235" i="44" s="1"/>
  <c r="A236" i="44"/>
  <c r="Z236" i="44" s="1"/>
  <c r="A237" i="44"/>
  <c r="Z237" i="44" s="1"/>
  <c r="A238" i="44"/>
  <c r="Z238" i="44" s="1"/>
  <c r="E239" i="44"/>
  <c r="A242" i="44"/>
  <c r="A243" i="44"/>
  <c r="A244" i="44"/>
  <c r="Z244" i="44" s="1"/>
  <c r="A245" i="44"/>
  <c r="Z245" i="44" s="1"/>
  <c r="A246" i="44"/>
  <c r="Z246" i="44" s="1"/>
  <c r="A247" i="44"/>
  <c r="Z247" i="44" s="1"/>
  <c r="A248" i="44"/>
  <c r="Z248" i="44" s="1"/>
  <c r="A249" i="44"/>
  <c r="Z249" i="44" s="1"/>
  <c r="A252" i="44"/>
  <c r="A253" i="44"/>
  <c r="Z253" i="44" s="1"/>
  <c r="A254" i="44"/>
  <c r="A255" i="44"/>
  <c r="Z255" i="44" s="1"/>
  <c r="A256" i="44"/>
  <c r="Z256" i="44" s="1"/>
  <c r="A257" i="44"/>
  <c r="A259" i="44"/>
  <c r="Z259" i="44" s="1"/>
  <c r="V4" i="3"/>
  <c r="AJ4" i="3"/>
  <c r="L14" i="3"/>
  <c r="AJ66" i="3"/>
  <c r="AK66" i="3"/>
  <c r="AL66" i="3"/>
  <c r="K10" i="39"/>
  <c r="I10" i="39" s="1"/>
  <c r="J10" i="39" s="1"/>
  <c r="G63" i="48"/>
  <c r="L144" i="58"/>
  <c r="L24" i="58"/>
  <c r="P16" i="28"/>
  <c r="E71" i="48"/>
  <c r="E70" i="48"/>
  <c r="I14" i="68"/>
  <c r="J14" i="68" s="1"/>
  <c r="T15" i="69"/>
  <c r="T17" i="69"/>
  <c r="T19" i="69"/>
  <c r="T20" i="69"/>
  <c r="T21" i="69"/>
  <c r="T22" i="69"/>
  <c r="T23" i="69"/>
  <c r="T24" i="69"/>
  <c r="T25" i="69"/>
  <c r="T76" i="69"/>
  <c r="T78" i="69"/>
  <c r="T80" i="69"/>
  <c r="T82" i="69"/>
  <c r="H138" i="60"/>
  <c r="L138" i="60" s="1"/>
  <c r="R69" i="14"/>
  <c r="BB54" i="77"/>
  <c r="AG82" i="69"/>
  <c r="AG80" i="69"/>
  <c r="AG78" i="69"/>
  <c r="AG76" i="69"/>
  <c r="AG24" i="69"/>
  <c r="AG22" i="69"/>
  <c r="AG20" i="69"/>
  <c r="AG15" i="69"/>
  <c r="U10" i="41"/>
  <c r="V10" i="41"/>
  <c r="W10" i="41"/>
  <c r="AG17" i="69"/>
  <c r="H11" i="60"/>
  <c r="L11" i="60" s="1"/>
  <c r="AG16" i="69"/>
  <c r="AG14" i="69"/>
  <c r="AG12" i="69"/>
  <c r="E18" i="80"/>
  <c r="J18" i="80" s="1"/>
  <c r="B14" i="80"/>
  <c r="J14" i="80" s="1"/>
  <c r="D13" i="80"/>
  <c r="J13" i="80" s="1"/>
  <c r="E46" i="80"/>
  <c r="J46" i="80" s="1"/>
  <c r="F11" i="80"/>
  <c r="J11" i="80" s="1"/>
  <c r="E9" i="80"/>
  <c r="J9" i="80" s="1"/>
  <c r="AG83" i="69"/>
  <c r="H72" i="60"/>
  <c r="L72" i="60" s="1"/>
  <c r="R70" i="14"/>
  <c r="P5" i="28"/>
  <c r="V11" i="41"/>
  <c r="U11" i="41"/>
  <c r="W11" i="41"/>
  <c r="R68" i="14"/>
  <c r="P130" i="60"/>
  <c r="B4" i="86"/>
  <c r="AA30" i="28"/>
  <c r="AA14" i="28"/>
  <c r="S46" i="77"/>
  <c r="D19" i="96"/>
  <c r="J19" i="96" s="1"/>
  <c r="AB29" i="95"/>
  <c r="AB33" i="96"/>
  <c r="I20" i="94"/>
  <c r="K20" i="94" s="1"/>
  <c r="H56" i="91"/>
  <c r="L56" i="91" s="1"/>
  <c r="AA16" i="28"/>
  <c r="AA25" i="28"/>
  <c r="AA17" i="28"/>
  <c r="G32" i="94"/>
  <c r="E18" i="99"/>
  <c r="G18" i="99" s="1"/>
  <c r="DA20" i="77"/>
  <c r="DB20" i="77"/>
  <c r="D116" i="58"/>
  <c r="L116" i="58" s="1"/>
  <c r="L120" i="58"/>
  <c r="J99" i="58"/>
  <c r="L99" i="58" s="1"/>
  <c r="J3" i="58"/>
  <c r="L3" i="58" s="1"/>
  <c r="J51" i="58"/>
  <c r="L51" i="58" s="1"/>
  <c r="I80" i="58"/>
  <c r="L80" i="58" s="1"/>
  <c r="I128" i="58"/>
  <c r="L128" i="58" s="1"/>
  <c r="D72" i="101"/>
  <c r="J34" i="100" s="1"/>
  <c r="Q22" i="29"/>
  <c r="J190" i="10"/>
  <c r="J181" i="10"/>
  <c r="H22" i="58"/>
  <c r="L22" i="58" s="1"/>
  <c r="G30" i="58"/>
  <c r="L30" i="58" s="1"/>
  <c r="I34" i="58"/>
  <c r="L34" i="58" s="1"/>
  <c r="H118" i="58"/>
  <c r="L118" i="58" s="1"/>
  <c r="P142" i="10"/>
  <c r="S142" i="10" s="1"/>
  <c r="H70" i="58"/>
  <c r="L70" i="58" s="1"/>
  <c r="G74" i="58"/>
  <c r="L74" i="58" s="1"/>
  <c r="D68" i="58"/>
  <c r="L68" i="58" s="1"/>
  <c r="G72" i="58"/>
  <c r="L72" i="58" s="1"/>
  <c r="I32" i="58"/>
  <c r="L32" i="58" s="1"/>
  <c r="G26" i="58"/>
  <c r="L26" i="58" s="1"/>
  <c r="G122" i="58"/>
  <c r="L122" i="58" s="1"/>
  <c r="AA29" i="28"/>
  <c r="O99" i="43"/>
  <c r="Q99" i="43"/>
  <c r="I240" i="44"/>
  <c r="D240" i="44"/>
  <c r="G240" i="44" s="1"/>
  <c r="J240" i="44"/>
  <c r="E22" i="80"/>
  <c r="J22" i="80" s="1"/>
  <c r="G126" i="58"/>
  <c r="L126" i="58" s="1"/>
  <c r="O67" i="43"/>
  <c r="Q67" i="43"/>
  <c r="A49" i="81"/>
  <c r="AE19" i="77"/>
  <c r="I9" i="105"/>
  <c r="G78" i="58"/>
  <c r="L78" i="58" s="1"/>
  <c r="A36" i="22"/>
  <c r="L36" i="22" s="1"/>
  <c r="AA19" i="28"/>
  <c r="O37" i="105"/>
  <c r="O13" i="105"/>
  <c r="P74" i="13"/>
  <c r="F24" i="96"/>
  <c r="J24" i="96" s="1"/>
  <c r="F23" i="96"/>
  <c r="J23" i="96" s="1"/>
  <c r="J37" i="96"/>
  <c r="G13" i="97"/>
  <c r="E14" i="97"/>
  <c r="G14" i="97" s="1"/>
  <c r="E17" i="97"/>
  <c r="G17" i="97" s="1"/>
  <c r="E18" i="97"/>
  <c r="G18" i="97" s="1"/>
  <c r="E19" i="97"/>
  <c r="G19" i="97" s="1"/>
  <c r="O46" i="77"/>
  <c r="AG81" i="69"/>
  <c r="T81" i="69"/>
  <c r="AG77" i="69"/>
  <c r="T77" i="69"/>
  <c r="AG79" i="69"/>
  <c r="T79" i="69"/>
  <c r="T11" i="69"/>
  <c r="G11" i="90"/>
  <c r="M9" i="90"/>
  <c r="AG18" i="69"/>
  <c r="T18" i="69"/>
  <c r="AG11" i="69"/>
  <c r="F55" i="2"/>
  <c r="F59" i="2"/>
  <c r="Y87" i="69"/>
  <c r="Y24" i="69"/>
  <c r="Y20" i="69"/>
  <c r="Y86" i="69"/>
  <c r="AG86" i="69" s="1"/>
  <c r="R18" i="91"/>
  <c r="P151" i="28"/>
  <c r="I47" i="112"/>
  <c r="H49" i="112"/>
  <c r="I8" i="112" s="1"/>
  <c r="Z12" i="44" l="1"/>
  <c r="Z257" i="44"/>
  <c r="Z197" i="44"/>
  <c r="Z185" i="44"/>
  <c r="Z143" i="44"/>
  <c r="A96" i="83"/>
  <c r="AB96" i="83"/>
  <c r="AE96" i="83" s="1"/>
  <c r="Z196" i="44"/>
  <c r="Z226" i="44"/>
  <c r="Z186" i="44"/>
  <c r="Z254" i="44"/>
  <c r="Z258" i="44"/>
  <c r="Z172" i="44"/>
  <c r="Z161" i="44"/>
  <c r="Z13" i="44"/>
  <c r="Z77" i="44"/>
  <c r="Z81" i="44"/>
  <c r="O259" i="43"/>
  <c r="BA45" i="31"/>
  <c r="N45" i="31" s="1"/>
  <c r="E20" i="93"/>
  <c r="J20" i="93" s="1"/>
  <c r="N44" i="31"/>
  <c r="J41" i="60"/>
  <c r="L41" i="60" s="1"/>
  <c r="F35" i="28"/>
  <c r="I24" i="94"/>
  <c r="K24" i="94" s="1"/>
  <c r="AC140" i="28"/>
  <c r="AC5" i="28"/>
  <c r="AB140" i="28"/>
  <c r="A1" i="169"/>
  <c r="A1" i="174"/>
  <c r="A1" i="173"/>
  <c r="A1" i="176"/>
  <c r="A1" i="171"/>
  <c r="A1" i="170"/>
  <c r="A1" i="172"/>
  <c r="A1" i="148"/>
  <c r="AB142" i="28"/>
  <c r="E14" i="82"/>
  <c r="G14" i="82" s="1"/>
  <c r="CA58" i="77"/>
  <c r="S5" i="1"/>
  <c r="B5" i="1" s="1"/>
  <c r="E92" i="174"/>
  <c r="D54" i="173"/>
  <c r="G91" i="172"/>
  <c r="H91" i="171"/>
  <c r="G91" i="170"/>
  <c r="B29" i="93"/>
  <c r="P9" i="28"/>
  <c r="O11" i="105"/>
  <c r="E64" i="48"/>
  <c r="J43" i="60"/>
  <c r="L43" i="60" s="1"/>
  <c r="AC150" i="28"/>
  <c r="AB148" i="28"/>
  <c r="N108" i="102"/>
  <c r="H108" i="102" s="1"/>
  <c r="N104" i="102"/>
  <c r="H104" i="102" s="1"/>
  <c r="N97" i="102"/>
  <c r="H97" i="102" s="1"/>
  <c r="N80" i="102"/>
  <c r="H80" i="102" s="1"/>
  <c r="N76" i="102"/>
  <c r="H76" i="102" s="1"/>
  <c r="N100" i="102"/>
  <c r="H100" i="102" s="1"/>
  <c r="N93" i="102"/>
  <c r="H93" i="102" s="1"/>
  <c r="N96" i="102"/>
  <c r="H96" i="102" s="1"/>
  <c r="N89" i="102"/>
  <c r="H89" i="102" s="1"/>
  <c r="N113" i="102"/>
  <c r="H113" i="102" s="1"/>
  <c r="N112" i="102"/>
  <c r="H112" i="102" s="1"/>
  <c r="N84" i="102"/>
  <c r="H84" i="102" s="1"/>
  <c r="N88" i="102"/>
  <c r="H88" i="102" s="1"/>
  <c r="N92" i="102"/>
  <c r="H92" i="102" s="1"/>
  <c r="N101" i="102"/>
  <c r="H101" i="102" s="1"/>
  <c r="N105" i="102"/>
  <c r="H105" i="102" s="1"/>
  <c r="N109" i="102"/>
  <c r="H109" i="102" s="1"/>
  <c r="N85" i="102"/>
  <c r="H85" i="102" s="1"/>
  <c r="N81" i="102"/>
  <c r="H81" i="102" s="1"/>
  <c r="N78" i="102"/>
  <c r="H78" i="102" s="1"/>
  <c r="N75" i="102"/>
  <c r="H75" i="102" s="1"/>
  <c r="N90" i="102"/>
  <c r="H90" i="102" s="1"/>
  <c r="N107" i="102"/>
  <c r="H107" i="102" s="1"/>
  <c r="N114" i="102"/>
  <c r="H114" i="102" s="1"/>
  <c r="N111" i="102"/>
  <c r="H111" i="102" s="1"/>
  <c r="N87" i="102"/>
  <c r="H87" i="102" s="1"/>
  <c r="N77" i="102"/>
  <c r="H77" i="102" s="1"/>
  <c r="N115" i="102"/>
  <c r="H115" i="102" s="1"/>
  <c r="N110" i="102"/>
  <c r="H110" i="102" s="1"/>
  <c r="N91" i="102"/>
  <c r="H91" i="102" s="1"/>
  <c r="N106" i="102"/>
  <c r="H106" i="102" s="1"/>
  <c r="N102" i="102"/>
  <c r="H102" i="102" s="1"/>
  <c r="N79" i="102"/>
  <c r="H79" i="102" s="1"/>
  <c r="N98" i="102"/>
  <c r="H98" i="102" s="1"/>
  <c r="N103" i="102"/>
  <c r="H103" i="102" s="1"/>
  <c r="N99" i="102"/>
  <c r="H99" i="102" s="1"/>
  <c r="N83" i="102"/>
  <c r="H83" i="102" s="1"/>
  <c r="N94" i="102"/>
  <c r="H94" i="102" s="1"/>
  <c r="N95" i="102"/>
  <c r="H95" i="102" s="1"/>
  <c r="N86" i="102"/>
  <c r="H86" i="102" s="1"/>
  <c r="N82" i="102"/>
  <c r="H82" i="102" s="1"/>
  <c r="E21" i="93"/>
  <c r="J21" i="93" s="1"/>
  <c r="H261" i="43"/>
  <c r="AC153" i="28"/>
  <c r="H66" i="60"/>
  <c r="L66" i="60" s="1"/>
  <c r="G46" i="46"/>
  <c r="AC27" i="28"/>
  <c r="P144" i="28"/>
  <c r="E10" i="82"/>
  <c r="G65" i="48"/>
  <c r="AB156" i="28"/>
  <c r="FB18" i="77"/>
  <c r="AC35" i="84"/>
  <c r="N57" i="102"/>
  <c r="H57" i="102" s="1"/>
  <c r="N46" i="102"/>
  <c r="H46" i="102" s="1"/>
  <c r="N41" i="102"/>
  <c r="H41" i="102" s="1"/>
  <c r="N50" i="102"/>
  <c r="H50" i="102" s="1"/>
  <c r="N45" i="102"/>
  <c r="H45" i="102" s="1"/>
  <c r="N34" i="102"/>
  <c r="H34" i="102" s="1"/>
  <c r="N30" i="102"/>
  <c r="H30" i="102" s="1"/>
  <c r="N22" i="102"/>
  <c r="H22" i="102" s="1"/>
  <c r="N54" i="102"/>
  <c r="H54" i="102" s="1"/>
  <c r="N49" i="102"/>
  <c r="H49" i="102" s="1"/>
  <c r="N38" i="102"/>
  <c r="H38" i="102" s="1"/>
  <c r="N58" i="102"/>
  <c r="H58" i="102" s="1"/>
  <c r="N53" i="102"/>
  <c r="H53" i="102" s="1"/>
  <c r="N42" i="102"/>
  <c r="H42" i="102" s="1"/>
  <c r="N37" i="102"/>
  <c r="H37" i="102" s="1"/>
  <c r="N26" i="102"/>
  <c r="H26" i="102" s="1"/>
  <c r="N47" i="102"/>
  <c r="H47" i="102" s="1"/>
  <c r="N35" i="102"/>
  <c r="H35" i="102" s="1"/>
  <c r="N59" i="102"/>
  <c r="H59" i="102" s="1"/>
  <c r="N39" i="102"/>
  <c r="H39" i="102" s="1"/>
  <c r="N40" i="102"/>
  <c r="H40" i="102" s="1"/>
  <c r="N32" i="102"/>
  <c r="H32" i="102" s="1"/>
  <c r="N51" i="102"/>
  <c r="H51" i="102" s="1"/>
  <c r="N23" i="102"/>
  <c r="H23" i="102" s="1"/>
  <c r="N24" i="102"/>
  <c r="H24" i="102" s="1"/>
  <c r="N44" i="102"/>
  <c r="H44" i="102" s="1"/>
  <c r="N56" i="102"/>
  <c r="H56" i="102" s="1"/>
  <c r="N36" i="102"/>
  <c r="H36" i="102" s="1"/>
  <c r="N27" i="102"/>
  <c r="H27" i="102" s="1"/>
  <c r="N43" i="102"/>
  <c r="H43" i="102" s="1"/>
  <c r="N29" i="102"/>
  <c r="H29" i="102" s="1"/>
  <c r="N55" i="102"/>
  <c r="H55" i="102" s="1"/>
  <c r="N25" i="102"/>
  <c r="H25" i="102" s="1"/>
  <c r="N52" i="102"/>
  <c r="H52" i="102" s="1"/>
  <c r="N31" i="102"/>
  <c r="H31" i="102" s="1"/>
  <c r="N48" i="102"/>
  <c r="H48" i="102" s="1"/>
  <c r="N33" i="102"/>
  <c r="H33" i="102" s="1"/>
  <c r="N60" i="102"/>
  <c r="H60" i="102" s="1"/>
  <c r="N28" i="102"/>
  <c r="H28" i="102" s="1"/>
  <c r="N32" i="84"/>
  <c r="J32" i="84"/>
  <c r="L32" i="84" s="1"/>
  <c r="V18" i="77"/>
  <c r="Z18" i="77" s="1"/>
  <c r="J15" i="89"/>
  <c r="M15" i="89" s="1"/>
  <c r="O16" i="89"/>
  <c r="O17" i="89" s="1"/>
  <c r="O18" i="89" s="1"/>
  <c r="J100" i="30"/>
  <c r="K98" i="30" s="1"/>
  <c r="G91" i="169"/>
  <c r="H36" i="148"/>
  <c r="A95" i="83"/>
  <c r="AB95" i="83"/>
  <c r="AE95" i="83" s="1"/>
  <c r="R782" i="112"/>
  <c r="R80" i="112"/>
  <c r="R76" i="112"/>
  <c r="R72" i="112"/>
  <c r="R68" i="112"/>
  <c r="R783" i="112"/>
  <c r="R77" i="112"/>
  <c r="R73" i="112"/>
  <c r="R69" i="112"/>
  <c r="R78" i="112"/>
  <c r="R74" i="112"/>
  <c r="R70" i="112"/>
  <c r="R66" i="112"/>
  <c r="R79" i="112"/>
  <c r="R75" i="112"/>
  <c r="R71" i="112"/>
  <c r="R67" i="112"/>
  <c r="A1" i="168"/>
  <c r="A1" i="167"/>
  <c r="A1" i="166"/>
  <c r="A1" i="165"/>
  <c r="C41" i="168"/>
  <c r="F91" i="167"/>
  <c r="F93" i="166"/>
  <c r="F91" i="165"/>
  <c r="Z96" i="44"/>
  <c r="Z92" i="44"/>
  <c r="Z88" i="44"/>
  <c r="Z84" i="44"/>
  <c r="Z80" i="44"/>
  <c r="Z76" i="44"/>
  <c r="Z72" i="44"/>
  <c r="Z68" i="44"/>
  <c r="Z64" i="44"/>
  <c r="Z60" i="44"/>
  <c r="Z56" i="44"/>
  <c r="Z52" i="44"/>
  <c r="Z48" i="44"/>
  <c r="Z44" i="44"/>
  <c r="Z40" i="44"/>
  <c r="Z36" i="44"/>
  <c r="Z32" i="44"/>
  <c r="Z28" i="44"/>
  <c r="Z24" i="44"/>
  <c r="Z20" i="44"/>
  <c r="Z87" i="44"/>
  <c r="Z83" i="44"/>
  <c r="Z79" i="44"/>
  <c r="Z75" i="44"/>
  <c r="Z67" i="44"/>
  <c r="Z63" i="44"/>
  <c r="Z59" i="44"/>
  <c r="Z55" i="44"/>
  <c r="Z51" i="44"/>
  <c r="Z47" i="44"/>
  <c r="Z43" i="44"/>
  <c r="Z39" i="44"/>
  <c r="Z35" i="44"/>
  <c r="Z31" i="44"/>
  <c r="Z27" i="44"/>
  <c r="Z23" i="44"/>
  <c r="Z19" i="44"/>
  <c r="Z71" i="44"/>
  <c r="Z98" i="44"/>
  <c r="Z94" i="44"/>
  <c r="Z90" i="44"/>
  <c r="Z86" i="44"/>
  <c r="Z82" i="44"/>
  <c r="Z78" i="44"/>
  <c r="Z74" i="44"/>
  <c r="Z70" i="44"/>
  <c r="Z66" i="44"/>
  <c r="Z62" i="44"/>
  <c r="Z58" i="44"/>
  <c r="Z54" i="44"/>
  <c r="Z50" i="44"/>
  <c r="Z46" i="44"/>
  <c r="Z42" i="44"/>
  <c r="Z38" i="44"/>
  <c r="Z34" i="44"/>
  <c r="Z30" i="44"/>
  <c r="Z26" i="44"/>
  <c r="Z22" i="44"/>
  <c r="Z18" i="44"/>
  <c r="Z7" i="44"/>
  <c r="C4" i="120"/>
  <c r="U6" i="158"/>
  <c r="T6" i="158" s="1"/>
  <c r="AA107" i="43"/>
  <c r="Z107" i="43" s="1"/>
  <c r="P29" i="28"/>
  <c r="P14" i="107"/>
  <c r="R56" i="77"/>
  <c r="P16" i="110"/>
  <c r="P32" i="40"/>
  <c r="H128" i="60"/>
  <c r="L128" i="60" s="1"/>
  <c r="E18" i="69"/>
  <c r="X51" i="53"/>
  <c r="X52" i="53" s="1"/>
  <c r="E153" i="2" s="1"/>
  <c r="C153" i="2" s="1"/>
  <c r="Q32" i="40"/>
  <c r="R32" i="40" s="1"/>
  <c r="G32" i="40" s="1"/>
  <c r="J32" i="40" s="1"/>
  <c r="P140" i="28"/>
  <c r="L16" i="85"/>
  <c r="R16" i="85" s="1"/>
  <c r="A1" i="164"/>
  <c r="A1" i="163"/>
  <c r="G17" i="41"/>
  <c r="L17" i="41" s="1"/>
  <c r="P12" i="28"/>
  <c r="BA23" i="31"/>
  <c r="N22" i="31" s="1"/>
  <c r="Q19" i="31"/>
  <c r="N19" i="31"/>
  <c r="J19" i="31"/>
  <c r="J18" i="31"/>
  <c r="Z29" i="164"/>
  <c r="Z27" i="164"/>
  <c r="X17" i="31"/>
  <c r="Y28" i="164"/>
  <c r="Q44" i="31"/>
  <c r="X14" i="31"/>
  <c r="W28" i="164"/>
  <c r="B1" i="162"/>
  <c r="A1" i="161"/>
  <c r="AE94" i="83"/>
  <c r="D244" i="16"/>
  <c r="P30" i="60"/>
  <c r="Y30" i="60" s="1"/>
  <c r="Z30" i="60" s="1"/>
  <c r="I30" i="60" s="1"/>
  <c r="P17" i="110"/>
  <c r="H29" i="78"/>
  <c r="K29" i="78" s="1"/>
  <c r="F47" i="40"/>
  <c r="O13" i="84"/>
  <c r="J13" i="84" s="1"/>
  <c r="L13" i="84" s="1"/>
  <c r="E8" i="82"/>
  <c r="G8" i="82" s="1"/>
  <c r="D30" i="101"/>
  <c r="D43" i="101" s="1"/>
  <c r="D47" i="101" s="1"/>
  <c r="D51" i="101" s="1"/>
  <c r="D70" i="101" s="1"/>
  <c r="I21" i="94"/>
  <c r="K21" i="94" s="1"/>
  <c r="I25" i="94"/>
  <c r="K25" i="94" s="1"/>
  <c r="F51" i="40"/>
  <c r="E7" i="82"/>
  <c r="G7" i="82" s="1"/>
  <c r="F11" i="94"/>
  <c r="K11" i="94" s="1"/>
  <c r="I22" i="94"/>
  <c r="K22" i="94" s="1"/>
  <c r="I26" i="94"/>
  <c r="K26" i="94" s="1"/>
  <c r="T23" i="57"/>
  <c r="V23" i="57" s="1"/>
  <c r="I19" i="94"/>
  <c r="K19" i="94" s="1"/>
  <c r="I23" i="94"/>
  <c r="K23" i="94" s="1"/>
  <c r="AG10" i="69"/>
  <c r="A1" i="160"/>
  <c r="A1" i="159"/>
  <c r="B1" i="158"/>
  <c r="B1" i="157"/>
  <c r="A1" i="156"/>
  <c r="B1" i="155"/>
  <c r="B481" i="58"/>
  <c r="B385" i="58"/>
  <c r="B529" i="58"/>
  <c r="B289" i="58"/>
  <c r="B193" i="58"/>
  <c r="B145" i="58"/>
  <c r="B433" i="58"/>
  <c r="B337" i="58"/>
  <c r="B241" i="58"/>
  <c r="C38" i="84"/>
  <c r="B31" i="26"/>
  <c r="B54" i="26"/>
  <c r="P19" i="110"/>
  <c r="S72" i="112"/>
  <c r="P18" i="110"/>
  <c r="AG62" i="29"/>
  <c r="AI8" i="74"/>
  <c r="Y24" i="155"/>
  <c r="W24" i="155"/>
  <c r="AG8" i="74"/>
  <c r="O59" i="42"/>
  <c r="AJ27" i="112"/>
  <c r="AG6" i="74"/>
  <c r="W22" i="155"/>
  <c r="W23" i="155"/>
  <c r="AG7" i="74"/>
  <c r="T9" i="69"/>
  <c r="V10" i="69"/>
  <c r="U10" i="69"/>
  <c r="G93" i="113"/>
  <c r="G19" i="84" s="1"/>
  <c r="AG27" i="74"/>
  <c r="AN26" i="74" s="1"/>
  <c r="G26" i="74" s="1"/>
  <c r="W43" i="155"/>
  <c r="AI27" i="74"/>
  <c r="AP26" i="74" s="1"/>
  <c r="I26" i="74" s="1"/>
  <c r="Y43" i="155"/>
  <c r="X44" i="155"/>
  <c r="AH28" i="74"/>
  <c r="AF42" i="155"/>
  <c r="K42" i="155" s="1"/>
  <c r="AD42" i="155"/>
  <c r="I42" i="155" s="1"/>
  <c r="I22" i="155"/>
  <c r="L151" i="16"/>
  <c r="L90" i="16"/>
  <c r="L29" i="16"/>
  <c r="G7" i="16" s="1"/>
  <c r="X17" i="126"/>
  <c r="AD17" i="126"/>
  <c r="AE17" i="126" s="1"/>
  <c r="Z252" i="44"/>
  <c r="V56" i="77"/>
  <c r="Z56" i="77" s="1"/>
  <c r="Z8" i="44"/>
  <c r="Z243" i="44"/>
  <c r="Z115" i="44"/>
  <c r="Z242" i="44"/>
  <c r="B120" i="58"/>
  <c r="E120" i="58"/>
  <c r="M116" i="58"/>
  <c r="B116" i="58" s="1"/>
  <c r="M80" i="58"/>
  <c r="B80" i="58" s="1"/>
  <c r="M68" i="58"/>
  <c r="B68" i="58" s="1"/>
  <c r="G76" i="58"/>
  <c r="L76" i="58" s="1"/>
  <c r="P10" i="107"/>
  <c r="O37" i="107"/>
  <c r="T85" i="69"/>
  <c r="V9" i="69"/>
  <c r="U9" i="69"/>
  <c r="E24" i="69"/>
  <c r="E22" i="69"/>
  <c r="AB17" i="69"/>
  <c r="AB8" i="69"/>
  <c r="E16" i="69"/>
  <c r="E82" i="69"/>
  <c r="E81" i="69"/>
  <c r="F26" i="96"/>
  <c r="J26" i="96" s="1"/>
  <c r="F25" i="96"/>
  <c r="J25" i="96" s="1"/>
  <c r="T36" i="81"/>
  <c r="L3" i="81" s="1"/>
  <c r="L16" i="81"/>
  <c r="R16" i="81" s="1"/>
  <c r="L17" i="85"/>
  <c r="R17" i="85" s="1"/>
  <c r="T36" i="85"/>
  <c r="L3" i="85" s="1"/>
  <c r="I45" i="58"/>
  <c r="M85" i="58"/>
  <c r="B85" i="58" s="1"/>
  <c r="H45" i="58"/>
  <c r="AY250" i="10"/>
  <c r="AK250" i="10"/>
  <c r="AY249" i="10"/>
  <c r="AK249" i="10"/>
  <c r="AV248" i="10"/>
  <c r="AL248" i="10"/>
  <c r="AZ247" i="10"/>
  <c r="AO247" i="10"/>
  <c r="AJ247" i="10"/>
  <c r="AZ246" i="10"/>
  <c r="AL246" i="10"/>
  <c r="AZ245" i="10"/>
  <c r="AL245" i="10"/>
  <c r="AY244" i="10"/>
  <c r="AO244" i="10"/>
  <c r="AJ244" i="10"/>
  <c r="AB244" i="10"/>
  <c r="AV243" i="10"/>
  <c r="AL243" i="10"/>
  <c r="AB243" i="10"/>
  <c r="AV242" i="10"/>
  <c r="AO242" i="10"/>
  <c r="AJ242" i="10"/>
  <c r="AV241" i="10"/>
  <c r="AO241" i="10"/>
  <c r="AJ241" i="10"/>
  <c r="AB241" i="10"/>
  <c r="AU240" i="10"/>
  <c r="AK240" i="10"/>
  <c r="AY239" i="10"/>
  <c r="AN239" i="10"/>
  <c r="AI239" i="10"/>
  <c r="AC239" i="10"/>
  <c r="AY238" i="10"/>
  <c r="AK238" i="10"/>
  <c r="AY237" i="10"/>
  <c r="AK237" i="10"/>
  <c r="AV236" i="10"/>
  <c r="AN236" i="10"/>
  <c r="AI236" i="10"/>
  <c r="AU235" i="10"/>
  <c r="AK235" i="10"/>
  <c r="AU234" i="10"/>
  <c r="AN234" i="10"/>
  <c r="AI234" i="10"/>
  <c r="AB234" i="10"/>
  <c r="AU233" i="10"/>
  <c r="AN233" i="10"/>
  <c r="AI233" i="10"/>
  <c r="AZ232" i="10"/>
  <c r="AO232" i="10"/>
  <c r="AJ232" i="10"/>
  <c r="AB232" i="10"/>
  <c r="AV231" i="10"/>
  <c r="AL231" i="10"/>
  <c r="AB231" i="10"/>
  <c r="AZ230" i="10"/>
  <c r="AK230" i="10"/>
  <c r="AV250" i="10"/>
  <c r="AO250" i="10"/>
  <c r="AJ250" i="10"/>
  <c r="AV249" i="10"/>
  <c r="AO249" i="10"/>
  <c r="AJ249" i="10"/>
  <c r="AB249" i="10"/>
  <c r="AU248" i="10"/>
  <c r="AK248" i="10"/>
  <c r="AY247" i="10"/>
  <c r="AN247" i="10"/>
  <c r="AI247" i="10"/>
  <c r="AC247" i="10"/>
  <c r="AY246" i="10"/>
  <c r="AK246" i="10"/>
  <c r="AY245" i="10"/>
  <c r="AK245" i="10"/>
  <c r="AV244" i="10"/>
  <c r="AN244" i="10"/>
  <c r="AI244" i="10"/>
  <c r="AU243" i="10"/>
  <c r="AK243" i="10"/>
  <c r="AU242" i="10"/>
  <c r="AT242" i="10" s="1"/>
  <c r="AS242" i="10" s="1"/>
  <c r="AN242" i="10"/>
  <c r="AI242" i="10"/>
  <c r="AB242" i="10"/>
  <c r="AU241" i="10"/>
  <c r="AN241" i="10"/>
  <c r="AI241" i="10"/>
  <c r="AZ240" i="10"/>
  <c r="AO240" i="10"/>
  <c r="AJ240" i="10"/>
  <c r="AB240" i="10"/>
  <c r="AV239" i="10"/>
  <c r="AL239" i="10"/>
  <c r="AB239" i="10"/>
  <c r="AV238" i="10"/>
  <c r="AO238" i="10"/>
  <c r="AJ238" i="10"/>
  <c r="AV237" i="10"/>
  <c r="AO237" i="10"/>
  <c r="AJ237" i="10"/>
  <c r="AB237" i="10"/>
  <c r="AU236" i="10"/>
  <c r="AL236" i="10"/>
  <c r="AZ235" i="10"/>
  <c r="AO235" i="10"/>
  <c r="AJ235" i="10"/>
  <c r="AZ234" i="10"/>
  <c r="AL234" i="10"/>
  <c r="AZ233" i="10"/>
  <c r="AL233" i="10"/>
  <c r="AY232" i="10"/>
  <c r="AN232" i="10"/>
  <c r="AI232" i="10"/>
  <c r="AU231" i="10"/>
  <c r="AT231" i="10" s="1"/>
  <c r="AS231" i="10" s="1"/>
  <c r="AK231" i="10"/>
  <c r="AY230" i="10"/>
  <c r="AO230" i="10"/>
  <c r="AJ230" i="10"/>
  <c r="AB230" i="10"/>
  <c r="AU250" i="10"/>
  <c r="AN250" i="10"/>
  <c r="AI250" i="10"/>
  <c r="AB250" i="10"/>
  <c r="AU249" i="10"/>
  <c r="AN249" i="10"/>
  <c r="AI249" i="10"/>
  <c r="AZ248" i="10"/>
  <c r="AO248" i="10"/>
  <c r="AJ248" i="10"/>
  <c r="AB248" i="10"/>
  <c r="AV247" i="10"/>
  <c r="AL247" i="10"/>
  <c r="AB247" i="10"/>
  <c r="AV246" i="10"/>
  <c r="AO246" i="10"/>
  <c r="AJ246" i="10"/>
  <c r="AV245" i="10"/>
  <c r="AO245" i="10"/>
  <c r="AJ245" i="10"/>
  <c r="AB245" i="10"/>
  <c r="AU244" i="10"/>
  <c r="AL244" i="10"/>
  <c r="AZ243" i="10"/>
  <c r="AO243" i="10"/>
  <c r="AJ243" i="10"/>
  <c r="AZ242" i="10"/>
  <c r="AL242" i="10"/>
  <c r="AZ241" i="10"/>
  <c r="AL241" i="10"/>
  <c r="AY240" i="10"/>
  <c r="AN240" i="10"/>
  <c r="AI240" i="10"/>
  <c r="AU239" i="10"/>
  <c r="AK239" i="10"/>
  <c r="AU238" i="10"/>
  <c r="AT238" i="10" s="1"/>
  <c r="AS238" i="10" s="1"/>
  <c r="AN238" i="10"/>
  <c r="AI238" i="10"/>
  <c r="AB238" i="10"/>
  <c r="AU237" i="10"/>
  <c r="AN237" i="10"/>
  <c r="AI237" i="10"/>
  <c r="AZ236" i="10"/>
  <c r="AK236" i="10"/>
  <c r="AY235" i="10"/>
  <c r="BA235" i="10" s="1"/>
  <c r="AN235" i="10"/>
  <c r="AP235" i="10" s="1"/>
  <c r="AQ235" i="10" s="1"/>
  <c r="AI235" i="10"/>
  <c r="AC235" i="10"/>
  <c r="AY234" i="10"/>
  <c r="AK234" i="10"/>
  <c r="AY233" i="10"/>
  <c r="AK233" i="10"/>
  <c r="AV232" i="10"/>
  <c r="AL232" i="10"/>
  <c r="AZ231" i="10"/>
  <c r="AO231" i="10"/>
  <c r="AJ231" i="10"/>
  <c r="AV230" i="10"/>
  <c r="AN230" i="10"/>
  <c r="AI230" i="10"/>
  <c r="AY248" i="10"/>
  <c r="AU247" i="10"/>
  <c r="AN245" i="10"/>
  <c r="AP245" i="10" s="1"/>
  <c r="AQ245" i="10" s="1"/>
  <c r="AK244" i="10"/>
  <c r="AI243" i="10"/>
  <c r="AC243" i="10"/>
  <c r="AL240" i="10"/>
  <c r="AY236" i="10"/>
  <c r="AJ234" i="10"/>
  <c r="AO233" i="10"/>
  <c r="AB233" i="10"/>
  <c r="AU232" i="10"/>
  <c r="AN231" i="10"/>
  <c r="AZ250" i="10"/>
  <c r="AZ249" i="10"/>
  <c r="AN248" i="10"/>
  <c r="AK247" i="10"/>
  <c r="AU246" i="10"/>
  <c r="AI245" i="10"/>
  <c r="AK242" i="10"/>
  <c r="AK241" i="10"/>
  <c r="AZ239" i="10"/>
  <c r="AZ238" i="10"/>
  <c r="AZ237" i="10"/>
  <c r="AO236" i="10"/>
  <c r="AB236" i="10"/>
  <c r="AV235" i="10"/>
  <c r="AJ233" i="10"/>
  <c r="AK232" i="10"/>
  <c r="AI231" i="10"/>
  <c r="AC231" i="10"/>
  <c r="AU230" i="10"/>
  <c r="AI248" i="10"/>
  <c r="AN246" i="10"/>
  <c r="AZ244" i="10"/>
  <c r="AY243" i="10"/>
  <c r="BA243" i="10" s="1"/>
  <c r="AO239" i="10"/>
  <c r="AJ236" i="10"/>
  <c r="AL235" i="10"/>
  <c r="AB235" i="10"/>
  <c r="AV234" i="10"/>
  <c r="AL230" i="10"/>
  <c r="AL250" i="10"/>
  <c r="AL249" i="10"/>
  <c r="AI246" i="10"/>
  <c r="AB246" i="10"/>
  <c r="AU245" i="10"/>
  <c r="AN243" i="10"/>
  <c r="AY242" i="10"/>
  <c r="AY241" i="10"/>
  <c r="AV240" i="10"/>
  <c r="AJ239" i="10"/>
  <c r="AL238" i="10"/>
  <c r="AL237" i="10"/>
  <c r="AO234" i="10"/>
  <c r="AV233" i="10"/>
  <c r="AY231" i="10"/>
  <c r="AC244" i="10"/>
  <c r="AC233" i="10"/>
  <c r="AC250" i="10"/>
  <c r="AC249" i="10"/>
  <c r="AC245" i="10"/>
  <c r="AC242" i="10"/>
  <c r="AC248" i="10"/>
  <c r="AC236" i="10"/>
  <c r="AC238" i="10"/>
  <c r="AC237" i="10"/>
  <c r="AC234" i="10"/>
  <c r="AC241" i="10"/>
  <c r="AC246" i="10"/>
  <c r="AC240" i="10"/>
  <c r="AC232" i="10"/>
  <c r="AC230" i="10"/>
  <c r="U249" i="10"/>
  <c r="Y249" i="10" s="1"/>
  <c r="Z249" i="10" s="1"/>
  <c r="U243" i="10"/>
  <c r="U242" i="10"/>
  <c r="U240" i="10"/>
  <c r="U237" i="10"/>
  <c r="Y237" i="10" s="1"/>
  <c r="Z237" i="10" s="1"/>
  <c r="U250" i="10"/>
  <c r="U248" i="10"/>
  <c r="U245" i="10"/>
  <c r="Y245" i="10" s="1"/>
  <c r="Z245" i="10" s="1"/>
  <c r="U239" i="10"/>
  <c r="U238" i="10"/>
  <c r="U247" i="10"/>
  <c r="U246" i="10"/>
  <c r="U236" i="10"/>
  <c r="U233" i="10"/>
  <c r="U231" i="10"/>
  <c r="U244" i="10"/>
  <c r="U235" i="10"/>
  <c r="U241" i="10"/>
  <c r="U234" i="10"/>
  <c r="U232" i="10"/>
  <c r="U230" i="10"/>
  <c r="L6" i="74"/>
  <c r="M37" i="74" s="1"/>
  <c r="AD165" i="10"/>
  <c r="AB227" i="10"/>
  <c r="AK117" i="10"/>
  <c r="AK116" i="10"/>
  <c r="W115" i="10"/>
  <c r="AK114" i="10"/>
  <c r="W113" i="10"/>
  <c r="AK109" i="10"/>
  <c r="AK108" i="10"/>
  <c r="W107" i="10"/>
  <c r="AK106" i="10"/>
  <c r="W105" i="10"/>
  <c r="AK101" i="10"/>
  <c r="AK100" i="10"/>
  <c r="W99" i="10"/>
  <c r="AK98" i="10"/>
  <c r="AK95" i="10"/>
  <c r="W94" i="10"/>
  <c r="W92" i="10"/>
  <c r="AK87" i="10"/>
  <c r="W86" i="10"/>
  <c r="L86" i="10" s="1"/>
  <c r="AK83" i="10"/>
  <c r="AK81" i="10"/>
  <c r="W80" i="10"/>
  <c r="L80" i="10" s="1"/>
  <c r="W78" i="10"/>
  <c r="L78" i="10" s="1"/>
  <c r="W117" i="10"/>
  <c r="AK113" i="10"/>
  <c r="W109" i="10"/>
  <c r="AK105" i="10"/>
  <c r="W101" i="10"/>
  <c r="AK91" i="10"/>
  <c r="W90" i="10"/>
  <c r="W83" i="10"/>
  <c r="L83" i="10" s="1"/>
  <c r="W82" i="10"/>
  <c r="L82" i="10" s="1"/>
  <c r="W98" i="10"/>
  <c r="W97" i="10"/>
  <c r="W116" i="10"/>
  <c r="AK111" i="10"/>
  <c r="W110" i="10"/>
  <c r="W108" i="10"/>
  <c r="AK103" i="10"/>
  <c r="W102" i="10"/>
  <c r="W100" i="10"/>
  <c r="AK96" i="10"/>
  <c r="W95" i="10"/>
  <c r="AK94" i="10"/>
  <c r="W93" i="10"/>
  <c r="AK89" i="10"/>
  <c r="AK88" i="10"/>
  <c r="W87" i="10"/>
  <c r="L87" i="10" s="1"/>
  <c r="AK86" i="10"/>
  <c r="W85" i="10"/>
  <c r="L85" i="10" s="1"/>
  <c r="W84" i="10"/>
  <c r="L84" i="10" s="1"/>
  <c r="AK82" i="10"/>
  <c r="W81" i="10"/>
  <c r="L81" i="10" s="1"/>
  <c r="AK78" i="10"/>
  <c r="P82" i="10"/>
  <c r="S82" i="10" s="1"/>
  <c r="AK112" i="10"/>
  <c r="W111" i="10"/>
  <c r="AK110" i="10"/>
  <c r="AK104" i="10"/>
  <c r="W103" i="10"/>
  <c r="AK102" i="10"/>
  <c r="AK97" i="10"/>
  <c r="W96" i="10"/>
  <c r="W88" i="10"/>
  <c r="W79" i="10"/>
  <c r="L79" i="10" s="1"/>
  <c r="AK115" i="10"/>
  <c r="W114" i="10"/>
  <c r="W112" i="10"/>
  <c r="AK107" i="10"/>
  <c r="W106" i="10"/>
  <c r="W104" i="10"/>
  <c r="AK99" i="10"/>
  <c r="AK93" i="10"/>
  <c r="W91" i="10"/>
  <c r="AK90" i="10"/>
  <c r="W89" i="10"/>
  <c r="AK85" i="10"/>
  <c r="AK79" i="10"/>
  <c r="AK92" i="10"/>
  <c r="AK80" i="10"/>
  <c r="AK84" i="10"/>
  <c r="X90" i="10"/>
  <c r="X93" i="10"/>
  <c r="X101" i="10"/>
  <c r="X97" i="10"/>
  <c r="X94" i="10"/>
  <c r="X114" i="10"/>
  <c r="X113" i="10"/>
  <c r="X109" i="10"/>
  <c r="X98" i="10"/>
  <c r="X89" i="10"/>
  <c r="X117" i="10"/>
  <c r="X86" i="10"/>
  <c r="X106" i="10"/>
  <c r="X105" i="10"/>
  <c r="X116" i="10"/>
  <c r="X78" i="10"/>
  <c r="X87" i="10"/>
  <c r="X111" i="10"/>
  <c r="X88" i="10"/>
  <c r="X107" i="10"/>
  <c r="X83" i="10"/>
  <c r="X103" i="10"/>
  <c r="X115" i="10"/>
  <c r="X91" i="10"/>
  <c r="X110" i="10"/>
  <c r="X95" i="10"/>
  <c r="X108" i="10"/>
  <c r="X85" i="10"/>
  <c r="X100" i="10"/>
  <c r="X79" i="10"/>
  <c r="X96" i="10"/>
  <c r="AC82" i="10"/>
  <c r="J82" i="10" s="1"/>
  <c r="X81" i="10"/>
  <c r="X102" i="10"/>
  <c r="X99" i="10"/>
  <c r="X92" i="10"/>
  <c r="X84" i="10"/>
  <c r="X104" i="10"/>
  <c r="X112" i="10"/>
  <c r="X80" i="10"/>
  <c r="U107" i="10"/>
  <c r="Y107" i="10" s="1"/>
  <c r="U91" i="10"/>
  <c r="Y91" i="10" s="1"/>
  <c r="U106" i="10"/>
  <c r="Y106" i="10" s="1"/>
  <c r="U86" i="10"/>
  <c r="Y86" i="10" s="1"/>
  <c r="U115" i="10"/>
  <c r="Y115" i="10" s="1"/>
  <c r="U79" i="10"/>
  <c r="U82" i="10"/>
  <c r="Y82" i="10" s="1"/>
  <c r="U84" i="10"/>
  <c r="U100" i="10"/>
  <c r="Y100" i="10" s="1"/>
  <c r="U116" i="10"/>
  <c r="Y116" i="10" s="1"/>
  <c r="U97" i="10"/>
  <c r="Y97" i="10" s="1"/>
  <c r="U113" i="10"/>
  <c r="Y113" i="10" s="1"/>
  <c r="U85" i="10"/>
  <c r="Y85" i="10" s="1"/>
  <c r="U105" i="10"/>
  <c r="Y105" i="10" s="1"/>
  <c r="U110" i="10"/>
  <c r="Y110" i="10" s="1"/>
  <c r="U88" i="10"/>
  <c r="Y88" i="10" s="1"/>
  <c r="U93" i="10"/>
  <c r="Y93" i="10" s="1"/>
  <c r="U94" i="10"/>
  <c r="Y94" i="10" s="1"/>
  <c r="U111" i="10"/>
  <c r="Y111" i="10" s="1"/>
  <c r="U81" i="10"/>
  <c r="U83" i="10"/>
  <c r="Y83" i="10" s="1"/>
  <c r="Z83" i="10" s="1"/>
  <c r="M83" i="10" s="1"/>
  <c r="U96" i="10"/>
  <c r="Y96" i="10" s="1"/>
  <c r="U112" i="10"/>
  <c r="Y112" i="10" s="1"/>
  <c r="Z112" i="10" s="1"/>
  <c r="U101" i="10"/>
  <c r="Y101" i="10" s="1"/>
  <c r="U117" i="10"/>
  <c r="Y117" i="10" s="1"/>
  <c r="U87" i="10"/>
  <c r="Y87" i="10" s="1"/>
  <c r="U102" i="10"/>
  <c r="Y102" i="10" s="1"/>
  <c r="U99" i="10"/>
  <c r="Y99" i="10" s="1"/>
  <c r="U98" i="10"/>
  <c r="Y98" i="10" s="1"/>
  <c r="Z98" i="10" s="1"/>
  <c r="AA98" i="10" s="1"/>
  <c r="U114" i="10"/>
  <c r="Y114" i="10" s="1"/>
  <c r="U90" i="10"/>
  <c r="Y90" i="10" s="1"/>
  <c r="U103" i="10"/>
  <c r="Y103" i="10" s="1"/>
  <c r="U78" i="10"/>
  <c r="U92" i="10"/>
  <c r="Y92" i="10" s="1"/>
  <c r="U108" i="10"/>
  <c r="Y108" i="10" s="1"/>
  <c r="Z108" i="10" s="1"/>
  <c r="U89" i="10"/>
  <c r="Y89" i="10" s="1"/>
  <c r="U95" i="10"/>
  <c r="Y95" i="10" s="1"/>
  <c r="U80" i="10"/>
  <c r="Y80" i="10" s="1"/>
  <c r="U104" i="10"/>
  <c r="Y104" i="10" s="1"/>
  <c r="U109" i="10"/>
  <c r="Y109" i="10" s="1"/>
  <c r="Z109" i="10" s="1"/>
  <c r="AA109" i="10" s="1"/>
  <c r="AD5" i="28"/>
  <c r="T8" i="10"/>
  <c r="U8" i="10" s="1"/>
  <c r="U168" i="10"/>
  <c r="Y168" i="10" s="1"/>
  <c r="D17" i="108"/>
  <c r="I17" i="108" s="1"/>
  <c r="AK24" i="112"/>
  <c r="K224" i="10"/>
  <c r="P13" i="107"/>
  <c r="D10" i="108"/>
  <c r="I10" i="108" s="1"/>
  <c r="E27" i="93"/>
  <c r="J27" i="93" s="1"/>
  <c r="M261" i="43"/>
  <c r="AC146" i="28"/>
  <c r="AD7" i="10"/>
  <c r="U143" i="10"/>
  <c r="Y143" i="10" s="1"/>
  <c r="U191" i="10"/>
  <c r="Y191" i="10" s="1"/>
  <c r="D16" i="108"/>
  <c r="I16" i="108" s="1"/>
  <c r="X49" i="40"/>
  <c r="Y49" i="40" s="1"/>
  <c r="AE49" i="40" s="1"/>
  <c r="E49" i="40" s="1"/>
  <c r="N261" i="43"/>
  <c r="G32" i="93"/>
  <c r="H32" i="93" s="1"/>
  <c r="E14" i="93"/>
  <c r="J14" i="93" s="1"/>
  <c r="L261" i="43"/>
  <c r="AC36" i="28"/>
  <c r="U157" i="10"/>
  <c r="Y157" i="10" s="1"/>
  <c r="Q18" i="31"/>
  <c r="E21" i="69"/>
  <c r="U152" i="10"/>
  <c r="Y152" i="10" s="1"/>
  <c r="P33" i="28"/>
  <c r="K71" i="10"/>
  <c r="O35" i="105"/>
  <c r="L27" i="95"/>
  <c r="F20" i="95" s="1"/>
  <c r="J20" i="95" s="1"/>
  <c r="I38" i="108"/>
  <c r="E86" i="2" s="1"/>
  <c r="C86" i="2" s="1"/>
  <c r="U137" i="10"/>
  <c r="Y137" i="10" s="1"/>
  <c r="P33" i="84"/>
  <c r="N118" i="10"/>
  <c r="D11" i="108"/>
  <c r="I11" i="108" s="1"/>
  <c r="AA5" i="28"/>
  <c r="AC23" i="28"/>
  <c r="AB27" i="28"/>
  <c r="U75" i="10"/>
  <c r="U147" i="10"/>
  <c r="U163" i="10"/>
  <c r="Y163" i="10" s="1"/>
  <c r="N56" i="14"/>
  <c r="S56" i="14" s="1"/>
  <c r="L50" i="14"/>
  <c r="F15" i="82"/>
  <c r="G15" i="82" s="1"/>
  <c r="AJ15" i="82" s="1"/>
  <c r="F78" i="153"/>
  <c r="G33" i="151"/>
  <c r="D481" i="150"/>
  <c r="G96" i="149"/>
  <c r="M78" i="14"/>
  <c r="S78" i="14" s="1"/>
  <c r="L74" i="14"/>
  <c r="D80" i="14" s="1"/>
  <c r="AC47" i="40"/>
  <c r="O36" i="107"/>
  <c r="G13" i="47"/>
  <c r="J13" i="47" s="1"/>
  <c r="AD118" i="10"/>
  <c r="G70" i="30"/>
  <c r="L70" i="30" s="1"/>
  <c r="BJ31" i="91"/>
  <c r="L44" i="100"/>
  <c r="G82" i="100"/>
  <c r="O6" i="112"/>
  <c r="B1" i="153"/>
  <c r="A1" i="13"/>
  <c r="A1" i="151"/>
  <c r="A1" i="152"/>
  <c r="B1" i="150"/>
  <c r="L19" i="14"/>
  <c r="D31" i="14" s="1"/>
  <c r="J46" i="74"/>
  <c r="K46" i="74" s="1"/>
  <c r="S70" i="14"/>
  <c r="Q70" i="14" s="1"/>
  <c r="G70" i="14" s="1"/>
  <c r="H70" i="14" s="1"/>
  <c r="B1" i="149"/>
  <c r="U26" i="78"/>
  <c r="AC46" i="83"/>
  <c r="AE46" i="83" s="1"/>
  <c r="P29" i="40"/>
  <c r="F31" i="28"/>
  <c r="P139" i="28"/>
  <c r="AC52" i="40"/>
  <c r="G52" i="40" s="1"/>
  <c r="BB37" i="43"/>
  <c r="Z3" i="13" s="1"/>
  <c r="C148" i="14"/>
  <c r="S148" i="14" s="1"/>
  <c r="G137" i="14"/>
  <c r="H137" i="14" s="1"/>
  <c r="G96" i="14"/>
  <c r="H96" i="14" s="1"/>
  <c r="U60" i="77"/>
  <c r="AD160" i="10"/>
  <c r="X52" i="40"/>
  <c r="Y52" i="40" s="1"/>
  <c r="AE52" i="40" s="1"/>
  <c r="E52" i="40" s="1"/>
  <c r="F155" i="28"/>
  <c r="P14" i="59"/>
  <c r="I20" i="41"/>
  <c r="K20" i="41" s="1"/>
  <c r="P19" i="28"/>
  <c r="H18" i="59"/>
  <c r="L18" i="59" s="1"/>
  <c r="H13" i="59"/>
  <c r="L13" i="59" s="1"/>
  <c r="F23" i="28"/>
  <c r="F143" i="28"/>
  <c r="AA16" i="43"/>
  <c r="Z16" i="43" s="1"/>
  <c r="AD255" i="10"/>
  <c r="AC255" i="10" s="1"/>
  <c r="AA221" i="43"/>
  <c r="Z221" i="43" s="1"/>
  <c r="I18" i="41"/>
  <c r="K18" i="41" s="1"/>
  <c r="AA81" i="43"/>
  <c r="Z81" i="43" s="1"/>
  <c r="U67" i="14"/>
  <c r="AA149" i="43"/>
  <c r="Z149" i="43" s="1"/>
  <c r="BB41" i="43"/>
  <c r="AB76" i="14" s="1"/>
  <c r="Q33" i="40"/>
  <c r="AA139" i="43"/>
  <c r="Z139" i="43" s="1"/>
  <c r="AA251" i="43"/>
  <c r="Z251" i="43" s="1"/>
  <c r="C62" i="60"/>
  <c r="AB13" i="69"/>
  <c r="AA205" i="43"/>
  <c r="Z205" i="43" s="1"/>
  <c r="AA60" i="43"/>
  <c r="Z60" i="43" s="1"/>
  <c r="AA29" i="43"/>
  <c r="Z29" i="43" s="1"/>
  <c r="X48" i="40"/>
  <c r="Y48" i="40" s="1"/>
  <c r="Z48" i="40" s="1"/>
  <c r="F27" i="28"/>
  <c r="AA254" i="43"/>
  <c r="Z254" i="43" s="1"/>
  <c r="AA189" i="43"/>
  <c r="Z189" i="43" s="1"/>
  <c r="AA171" i="43"/>
  <c r="Z171" i="43" s="1"/>
  <c r="AA128" i="43"/>
  <c r="Z128" i="43" s="1"/>
  <c r="AA40" i="43"/>
  <c r="Z40" i="43" s="1"/>
  <c r="AA224" i="43"/>
  <c r="Z224" i="43" s="1"/>
  <c r="AA237" i="43"/>
  <c r="Z237" i="43" s="1"/>
  <c r="AA97" i="43"/>
  <c r="Z97" i="43" s="1"/>
  <c r="AA160" i="43"/>
  <c r="Z160" i="43" s="1"/>
  <c r="AA117" i="43"/>
  <c r="Z117" i="43" s="1"/>
  <c r="AA59" i="43"/>
  <c r="Z59" i="43" s="1"/>
  <c r="AA86" i="43"/>
  <c r="Z86" i="43" s="1"/>
  <c r="AA95" i="43"/>
  <c r="Z95" i="43" s="1"/>
  <c r="AA137" i="43"/>
  <c r="Z137" i="43" s="1"/>
  <c r="AA249" i="43"/>
  <c r="Z249" i="43" s="1"/>
  <c r="E123" i="13"/>
  <c r="AD172" i="10"/>
  <c r="AA252" i="43"/>
  <c r="Z252" i="43" s="1"/>
  <c r="AA219" i="43"/>
  <c r="Z219" i="43" s="1"/>
  <c r="AA187" i="43"/>
  <c r="Z187" i="43" s="1"/>
  <c r="G27" i="47"/>
  <c r="J27" i="47" s="1"/>
  <c r="AA159" i="43"/>
  <c r="Z159" i="43" s="1"/>
  <c r="AA105" i="43"/>
  <c r="E16" i="82"/>
  <c r="U68" i="14"/>
  <c r="AA24" i="43"/>
  <c r="AA54" i="43"/>
  <c r="Z54" i="43" s="1"/>
  <c r="AA245" i="43"/>
  <c r="Z245" i="43" s="1"/>
  <c r="AA229" i="43"/>
  <c r="Z229" i="43" s="1"/>
  <c r="AA213" i="43"/>
  <c r="Z213" i="43" s="1"/>
  <c r="AA197" i="43"/>
  <c r="Z197" i="43" s="1"/>
  <c r="AA181" i="43"/>
  <c r="Z181" i="43" s="1"/>
  <c r="AA89" i="43"/>
  <c r="Z89" i="43" s="1"/>
  <c r="AA73" i="43"/>
  <c r="Z73" i="43" s="1"/>
  <c r="AA259" i="43"/>
  <c r="AA165" i="43"/>
  <c r="Z165" i="43" s="1"/>
  <c r="AA155" i="43"/>
  <c r="Z155" i="43" s="1"/>
  <c r="AA144" i="43"/>
  <c r="Z144" i="43" s="1"/>
  <c r="AA133" i="43"/>
  <c r="Z133" i="43" s="1"/>
  <c r="AA123" i="43"/>
  <c r="Z123" i="43" s="1"/>
  <c r="AA112" i="43"/>
  <c r="AA101" i="43"/>
  <c r="AA34" i="43"/>
  <c r="Z34" i="43" s="1"/>
  <c r="AA45" i="43"/>
  <c r="Z45" i="43" s="1"/>
  <c r="AA47" i="43"/>
  <c r="Z47" i="43" s="1"/>
  <c r="AA21" i="43"/>
  <c r="Z21" i="43" s="1"/>
  <c r="AA240" i="43"/>
  <c r="Z240" i="43" s="1"/>
  <c r="AA194" i="43"/>
  <c r="Z194" i="43" s="1"/>
  <c r="C121" i="60"/>
  <c r="AD151" i="60" s="1"/>
  <c r="U27" i="76"/>
  <c r="BK31" i="91"/>
  <c r="I44" i="68"/>
  <c r="J44" i="68" s="1"/>
  <c r="AD69" i="14"/>
  <c r="AD70" i="14" s="1"/>
  <c r="AA235" i="43"/>
  <c r="Z235" i="43" s="1"/>
  <c r="AA203" i="43"/>
  <c r="Z203" i="43" s="1"/>
  <c r="AA79" i="43"/>
  <c r="Z79" i="43" s="1"/>
  <c r="AA56" i="43"/>
  <c r="Z56" i="43" s="1"/>
  <c r="E80" i="69"/>
  <c r="AC147" i="28"/>
  <c r="AA169" i="43"/>
  <c r="Z169" i="43" s="1"/>
  <c r="AA148" i="43"/>
  <c r="Z148" i="43" s="1"/>
  <c r="AA127" i="43"/>
  <c r="Z127" i="43" s="1"/>
  <c r="AA116" i="43"/>
  <c r="Z116" i="43" s="1"/>
  <c r="AA30" i="43"/>
  <c r="Z30" i="43" s="1"/>
  <c r="AA41" i="43"/>
  <c r="Z41" i="43" s="1"/>
  <c r="AA55" i="43"/>
  <c r="Z55" i="43" s="1"/>
  <c r="AA17" i="43"/>
  <c r="Z17" i="43" s="1"/>
  <c r="AA216" i="43"/>
  <c r="Z216" i="43" s="1"/>
  <c r="AA84" i="43"/>
  <c r="Z84" i="43" s="1"/>
  <c r="C100" i="60"/>
  <c r="AC93" i="60"/>
  <c r="AB149" i="28"/>
  <c r="F26" i="28"/>
  <c r="AA50" i="43"/>
  <c r="Z50" i="43" s="1"/>
  <c r="AA243" i="43"/>
  <c r="Z243" i="43" s="1"/>
  <c r="AA227" i="43"/>
  <c r="Z227" i="43" s="1"/>
  <c r="AA211" i="43"/>
  <c r="Z211" i="43" s="1"/>
  <c r="AA195" i="43"/>
  <c r="Z195" i="43" s="1"/>
  <c r="AA179" i="43"/>
  <c r="Z179" i="43" s="1"/>
  <c r="AA87" i="43"/>
  <c r="AA71" i="43"/>
  <c r="Z71" i="43" s="1"/>
  <c r="AA174" i="43"/>
  <c r="Z174" i="43" s="1"/>
  <c r="AA164" i="43"/>
  <c r="Z164" i="43" s="1"/>
  <c r="AA153" i="43"/>
  <c r="Z153" i="43" s="1"/>
  <c r="AA143" i="43"/>
  <c r="Z143" i="43" s="1"/>
  <c r="AA132" i="43"/>
  <c r="Z132" i="43" s="1"/>
  <c r="AA121" i="43"/>
  <c r="Z121" i="43" s="1"/>
  <c r="AA111" i="43"/>
  <c r="Z111" i="43" s="1"/>
  <c r="AA25" i="43"/>
  <c r="Z25" i="43" s="1"/>
  <c r="AA36" i="43"/>
  <c r="Z36" i="43" s="1"/>
  <c r="AA46" i="43"/>
  <c r="Z46" i="43" s="1"/>
  <c r="AA12" i="43"/>
  <c r="AA23" i="43"/>
  <c r="Z23" i="43" s="1"/>
  <c r="AA236" i="43"/>
  <c r="Z236" i="43" s="1"/>
  <c r="P61" i="60"/>
  <c r="AG63" i="29"/>
  <c r="AG61" i="29"/>
  <c r="AC32" i="28"/>
  <c r="AC10" i="28"/>
  <c r="AD149" i="10"/>
  <c r="J43" i="57"/>
  <c r="G11" i="84" s="1"/>
  <c r="O11" i="84" s="1"/>
  <c r="AD169" i="10"/>
  <c r="AD256" i="10"/>
  <c r="AC256" i="10" s="1"/>
  <c r="AD257" i="10"/>
  <c r="AC257" i="10" s="1"/>
  <c r="AC149" i="28"/>
  <c r="AB147" i="28"/>
  <c r="AC165" i="10"/>
  <c r="X165" i="10" s="1"/>
  <c r="L165" i="10"/>
  <c r="L169" i="10"/>
  <c r="U169" i="10"/>
  <c r="Y169" i="10" s="1"/>
  <c r="M185" i="10"/>
  <c r="U185" i="10"/>
  <c r="Y185" i="10" s="1"/>
  <c r="X3" i="42"/>
  <c r="R4" i="126" s="1"/>
  <c r="N19" i="26"/>
  <c r="N20" i="91"/>
  <c r="B20" i="91"/>
  <c r="R20" i="91" s="1"/>
  <c r="H12" i="22"/>
  <c r="L12" i="22" s="1"/>
  <c r="H13" i="22"/>
  <c r="L13" i="22" s="1"/>
  <c r="Y7" i="10"/>
  <c r="W7" i="10"/>
  <c r="M20" i="58"/>
  <c r="B20" i="58" s="1"/>
  <c r="E24" i="58"/>
  <c r="M37" i="58"/>
  <c r="B37" i="58" s="1"/>
  <c r="S21" i="110"/>
  <c r="J18" i="110"/>
  <c r="L18" i="110" s="1"/>
  <c r="J19" i="110"/>
  <c r="L19" i="110" s="1"/>
  <c r="F13" i="110"/>
  <c r="L13" i="110" s="1"/>
  <c r="M154" i="10"/>
  <c r="N154" i="10"/>
  <c r="AK23" i="112"/>
  <c r="P11" i="107"/>
  <c r="AA78" i="43"/>
  <c r="Z78" i="43" s="1"/>
  <c r="AA176" i="43"/>
  <c r="Z176" i="43" s="1"/>
  <c r="AA200" i="43"/>
  <c r="Z200" i="43" s="1"/>
  <c r="AA226" i="43"/>
  <c r="Z226" i="43" s="1"/>
  <c r="AA242" i="43"/>
  <c r="Z242" i="43" s="1"/>
  <c r="AA255" i="43"/>
  <c r="Z255" i="43" s="1"/>
  <c r="AA20" i="43"/>
  <c r="Z20" i="43" s="1"/>
  <c r="AA15" i="43"/>
  <c r="Z15" i="43" s="1"/>
  <c r="AA51" i="43"/>
  <c r="Z51" i="43" s="1"/>
  <c r="AA61" i="43"/>
  <c r="Z61" i="43" s="1"/>
  <c r="AA44" i="43"/>
  <c r="Z44" i="43" s="1"/>
  <c r="AA38" i="43"/>
  <c r="Z38" i="43" s="1"/>
  <c r="AA33" i="43"/>
  <c r="Z33" i="43" s="1"/>
  <c r="AA28" i="43"/>
  <c r="Z28" i="43" s="1"/>
  <c r="AA103" i="43"/>
  <c r="Z103" i="43" s="1"/>
  <c r="AA108" i="43"/>
  <c r="AA113" i="43"/>
  <c r="AA119" i="43"/>
  <c r="Z119" i="43" s="1"/>
  <c r="AA124" i="43"/>
  <c r="Z124" i="43" s="1"/>
  <c r="AA129" i="43"/>
  <c r="Z129" i="43" s="1"/>
  <c r="AA135" i="43"/>
  <c r="Z135" i="43" s="1"/>
  <c r="AA140" i="43"/>
  <c r="Z140" i="43" s="1"/>
  <c r="AA145" i="43"/>
  <c r="Z145" i="43" s="1"/>
  <c r="AA151" i="43"/>
  <c r="Z151" i="43" s="1"/>
  <c r="AA156" i="43"/>
  <c r="Z156" i="43" s="1"/>
  <c r="AA161" i="43"/>
  <c r="Z161" i="43" s="1"/>
  <c r="AA167" i="43"/>
  <c r="Z167" i="43" s="1"/>
  <c r="AA172" i="43"/>
  <c r="Z172" i="43" s="1"/>
  <c r="AA67" i="43"/>
  <c r="AA48" i="43"/>
  <c r="Z48" i="43" s="1"/>
  <c r="AA64" i="43"/>
  <c r="Z64" i="43" s="1"/>
  <c r="AA75" i="43"/>
  <c r="Z75" i="43" s="1"/>
  <c r="AA83" i="43"/>
  <c r="Z83" i="43" s="1"/>
  <c r="AA91" i="43"/>
  <c r="AA175" i="43"/>
  <c r="Z175" i="43" s="1"/>
  <c r="AA183" i="43"/>
  <c r="Z183" i="43" s="1"/>
  <c r="AA191" i="43"/>
  <c r="Z191" i="43" s="1"/>
  <c r="AA199" i="43"/>
  <c r="Z199" i="43" s="1"/>
  <c r="AA207" i="43"/>
  <c r="Z207" i="43" s="1"/>
  <c r="AA215" i="43"/>
  <c r="Z215" i="43" s="1"/>
  <c r="AA223" i="43"/>
  <c r="Z223" i="43" s="1"/>
  <c r="AA231" i="43"/>
  <c r="Z231" i="43" s="1"/>
  <c r="AA239" i="43"/>
  <c r="Z239" i="43" s="1"/>
  <c r="AA248" i="43"/>
  <c r="Z248" i="43" s="1"/>
  <c r="AA256" i="43"/>
  <c r="Z256" i="43" s="1"/>
  <c r="AA58" i="43"/>
  <c r="Z58" i="43" s="1"/>
  <c r="AA76" i="43"/>
  <c r="AA178" i="43"/>
  <c r="Z178" i="43" s="1"/>
  <c r="AA208" i="43"/>
  <c r="Z208" i="43" s="1"/>
  <c r="AA232" i="43"/>
  <c r="Z232" i="43" s="1"/>
  <c r="AA246" i="43"/>
  <c r="Z246" i="43" s="1"/>
  <c r="AA257" i="43"/>
  <c r="Z257" i="43" s="1"/>
  <c r="AA19" i="43"/>
  <c r="Z19" i="43" s="1"/>
  <c r="AA13" i="43"/>
  <c r="Z13" i="43" s="1"/>
  <c r="AA53" i="43"/>
  <c r="Z53" i="43" s="1"/>
  <c r="AA63" i="43"/>
  <c r="Z63" i="43" s="1"/>
  <c r="AA42" i="43"/>
  <c r="Z42" i="43" s="1"/>
  <c r="AA37" i="43"/>
  <c r="Z37" i="43" s="1"/>
  <c r="AA32" i="43"/>
  <c r="Z32" i="43" s="1"/>
  <c r="AA26" i="43"/>
  <c r="Z26" i="43" s="1"/>
  <c r="AA104" i="43"/>
  <c r="Z104" i="43" s="1"/>
  <c r="AA109" i="43"/>
  <c r="Z109" i="43" s="1"/>
  <c r="AA115" i="43"/>
  <c r="Z115" i="43" s="1"/>
  <c r="AA120" i="43"/>
  <c r="Z120" i="43" s="1"/>
  <c r="AA125" i="43"/>
  <c r="Z125" i="43" s="1"/>
  <c r="AA131" i="43"/>
  <c r="Z131" i="43" s="1"/>
  <c r="AA136" i="43"/>
  <c r="Z136" i="43" s="1"/>
  <c r="AA141" i="43"/>
  <c r="Z141" i="43" s="1"/>
  <c r="AA147" i="43"/>
  <c r="Z147" i="43" s="1"/>
  <c r="AA152" i="43"/>
  <c r="Z152" i="43" s="1"/>
  <c r="AA157" i="43"/>
  <c r="Z157" i="43" s="1"/>
  <c r="AA163" i="43"/>
  <c r="Z163" i="43" s="1"/>
  <c r="AA168" i="43"/>
  <c r="Z168" i="43" s="1"/>
  <c r="AA173" i="43"/>
  <c r="Z173" i="43" s="1"/>
  <c r="AA52" i="43"/>
  <c r="Z52" i="43" s="1"/>
  <c r="AA69" i="43"/>
  <c r="Z69" i="43" s="1"/>
  <c r="AA77" i="43"/>
  <c r="Z77" i="43" s="1"/>
  <c r="AA85" i="43"/>
  <c r="Z85" i="43" s="1"/>
  <c r="AA93" i="43"/>
  <c r="Z93" i="43" s="1"/>
  <c r="AA177" i="43"/>
  <c r="Z177" i="43" s="1"/>
  <c r="AA185" i="43"/>
  <c r="Z185" i="43" s="1"/>
  <c r="AA193" i="43"/>
  <c r="Z193" i="43" s="1"/>
  <c r="AA201" i="43"/>
  <c r="Z201" i="43" s="1"/>
  <c r="AA209" i="43"/>
  <c r="Z209" i="43" s="1"/>
  <c r="AA217" i="43"/>
  <c r="Z217" i="43" s="1"/>
  <c r="AA225" i="43"/>
  <c r="Z225" i="43" s="1"/>
  <c r="AA233" i="43"/>
  <c r="Z233" i="43" s="1"/>
  <c r="AA241" i="43"/>
  <c r="Z241" i="43" s="1"/>
  <c r="AA250" i="43"/>
  <c r="Z250" i="43" s="1"/>
  <c r="AA260" i="43"/>
  <c r="AA62" i="43"/>
  <c r="Z62" i="43" s="1"/>
  <c r="AA247" i="43"/>
  <c r="Z247" i="43" s="1"/>
  <c r="P34" i="28"/>
  <c r="F34" i="28"/>
  <c r="P7" i="28"/>
  <c r="F7" i="28"/>
  <c r="J157" i="60"/>
  <c r="L157" i="60" s="1"/>
  <c r="J158" i="60"/>
  <c r="L158" i="60" s="1"/>
  <c r="E122" i="14"/>
  <c r="S121" i="14" s="1"/>
  <c r="P25" i="28"/>
  <c r="X51" i="40"/>
  <c r="Y51" i="40" s="1"/>
  <c r="Z51" i="40" s="1"/>
  <c r="P74" i="60"/>
  <c r="P81" i="60" s="1"/>
  <c r="S81" i="60" s="1"/>
  <c r="F105" i="60" s="1"/>
  <c r="T19" i="57"/>
  <c r="V19" i="57" s="1"/>
  <c r="E72" i="58"/>
  <c r="E13" i="82"/>
  <c r="G13" i="82" s="1"/>
  <c r="D8" i="93"/>
  <c r="J8" i="93" s="1"/>
  <c r="E22" i="93"/>
  <c r="J22" i="93" s="1"/>
  <c r="AD93" i="60"/>
  <c r="G58" i="91"/>
  <c r="L57" i="91" s="1"/>
  <c r="CA42" i="77"/>
  <c r="P42" i="77" s="1"/>
  <c r="O181" i="60"/>
  <c r="C23" i="93"/>
  <c r="J23" i="93" s="1"/>
  <c r="G22" i="47"/>
  <c r="AC49" i="40"/>
  <c r="G49" i="40" s="1"/>
  <c r="O38" i="107"/>
  <c r="P76" i="60"/>
  <c r="B72" i="58"/>
  <c r="C64" i="60"/>
  <c r="N40" i="77"/>
  <c r="AB9" i="69"/>
  <c r="AB25" i="69"/>
  <c r="G105" i="60"/>
  <c r="P31" i="40"/>
  <c r="S149" i="60"/>
  <c r="BA125" i="43"/>
  <c r="O4" i="112" s="1"/>
  <c r="AC143" i="28"/>
  <c r="Q21" i="110"/>
  <c r="AP13" i="10"/>
  <c r="N121" i="10"/>
  <c r="L121" i="10"/>
  <c r="M125" i="10"/>
  <c r="AC125" i="10"/>
  <c r="X125" i="10" s="1"/>
  <c r="J16" i="110"/>
  <c r="L16" i="110" s="1"/>
  <c r="AC181" i="10"/>
  <c r="X181" i="10" s="1"/>
  <c r="P145" i="28"/>
  <c r="P152" i="28"/>
  <c r="H15" i="22"/>
  <c r="L15" i="22" s="1"/>
  <c r="O14" i="105"/>
  <c r="AA143" i="28"/>
  <c r="AC154" i="10"/>
  <c r="X154" i="10" s="1"/>
  <c r="S68" i="14"/>
  <c r="Q68" i="14" s="1"/>
  <c r="AD122" i="10"/>
  <c r="P141" i="28"/>
  <c r="AC185" i="10"/>
  <c r="X185" i="10" s="1"/>
  <c r="P30" i="28"/>
  <c r="P16" i="12"/>
  <c r="R16" i="12" s="1"/>
  <c r="S16" i="12" s="1"/>
  <c r="U181" i="10"/>
  <c r="Y181" i="10" s="1"/>
  <c r="U165" i="10"/>
  <c r="Y165" i="10" s="1"/>
  <c r="N181" i="10"/>
  <c r="N169" i="10"/>
  <c r="AC166" i="10"/>
  <c r="X166" i="10" s="1"/>
  <c r="J17" i="110"/>
  <c r="L17" i="110" s="1"/>
  <c r="AC76" i="14"/>
  <c r="R25" i="110"/>
  <c r="G13" i="26"/>
  <c r="H14" i="26" s="1"/>
  <c r="J14" i="26" s="1"/>
  <c r="AH118" i="83"/>
  <c r="A118" i="83" s="1"/>
  <c r="L39" i="107"/>
  <c r="E43" i="107" s="1"/>
  <c r="I43" i="107" s="1"/>
  <c r="L173" i="10"/>
  <c r="H14" i="22"/>
  <c r="L14" i="22" s="1"/>
  <c r="I4" i="22"/>
  <c r="L4" i="22" s="1"/>
  <c r="H8" i="52"/>
  <c r="F9" i="92"/>
  <c r="N9" i="92" s="1"/>
  <c r="AB9" i="82"/>
  <c r="B28" i="58"/>
  <c r="M16" i="26"/>
  <c r="L181" i="10"/>
  <c r="S67" i="14"/>
  <c r="AB12" i="69"/>
  <c r="P148" i="28"/>
  <c r="AC34" i="28"/>
  <c r="AC12" i="28"/>
  <c r="G115" i="14"/>
  <c r="O21" i="109"/>
  <c r="O10" i="105"/>
  <c r="O38" i="105"/>
  <c r="O9" i="107"/>
  <c r="G7" i="92"/>
  <c r="N7" i="92" s="1"/>
  <c r="F9" i="82"/>
  <c r="G9" i="82" s="1"/>
  <c r="AJ9" i="82" s="1"/>
  <c r="M32" i="58"/>
  <c r="B34" i="58" s="1"/>
  <c r="I6" i="22"/>
  <c r="L6" i="22" s="1"/>
  <c r="F12" i="110"/>
  <c r="L12" i="110" s="1"/>
  <c r="P35" i="107"/>
  <c r="U173" i="10"/>
  <c r="Y173" i="10" s="1"/>
  <c r="U189" i="10"/>
  <c r="Y189" i="10" s="1"/>
  <c r="U154" i="10"/>
  <c r="Y154" i="10" s="1"/>
  <c r="H11" i="22"/>
  <c r="L11" i="22" s="1"/>
  <c r="E41" i="22"/>
  <c r="L40" i="22" s="1"/>
  <c r="O12" i="105"/>
  <c r="O36" i="105"/>
  <c r="W77" i="14"/>
  <c r="L19" i="26"/>
  <c r="M19" i="26" s="1"/>
  <c r="L154" i="10"/>
  <c r="P14" i="60"/>
  <c r="P14" i="28"/>
  <c r="AD125" i="10"/>
  <c r="AD35" i="10"/>
  <c r="AP33" i="10"/>
  <c r="AP16" i="10"/>
  <c r="AP15" i="10"/>
  <c r="M17" i="12"/>
  <c r="J22" i="12" s="1"/>
  <c r="G134" i="14"/>
  <c r="H134" i="14" s="1"/>
  <c r="G92" i="14"/>
  <c r="C76" i="14"/>
  <c r="G43" i="14"/>
  <c r="S17" i="25"/>
  <c r="L17" i="25" s="1"/>
  <c r="M17" i="25" s="1"/>
  <c r="S16" i="25"/>
  <c r="L16" i="25" s="1"/>
  <c r="M16" i="25" s="1"/>
  <c r="S14" i="25"/>
  <c r="L14" i="25" s="1"/>
  <c r="M14" i="25" s="1"/>
  <c r="S11" i="25"/>
  <c r="L11" i="25" s="1"/>
  <c r="M11" i="25" s="1"/>
  <c r="V17" i="27"/>
  <c r="E21" i="27" s="1"/>
  <c r="H24" i="39" s="1"/>
  <c r="Q34" i="40"/>
  <c r="F35" i="40"/>
  <c r="Q30" i="40"/>
  <c r="S91" i="60"/>
  <c r="AB34" i="28"/>
  <c r="AB12" i="28"/>
  <c r="AC154" i="28"/>
  <c r="BE84" i="83"/>
  <c r="K36" i="85"/>
  <c r="R44" i="31" s="1"/>
  <c r="Q43" i="31" s="1"/>
  <c r="S36" i="91"/>
  <c r="E21" i="14"/>
  <c r="P26" i="14" s="1"/>
  <c r="R28" i="59"/>
  <c r="K28" i="59" s="1"/>
  <c r="L28" i="59" s="1"/>
  <c r="X50" i="40"/>
  <c r="Y50" i="40" s="1"/>
  <c r="AE50" i="40" s="1"/>
  <c r="E50" i="40" s="1"/>
  <c r="F157" i="28"/>
  <c r="P33" i="40"/>
  <c r="P30" i="40"/>
  <c r="O14" i="12"/>
  <c r="P8" i="29"/>
  <c r="W39" i="31" s="1"/>
  <c r="L146" i="10"/>
  <c r="T21" i="57"/>
  <c r="V21" i="57" s="1"/>
  <c r="H80" i="60"/>
  <c r="L80" i="60" s="1"/>
  <c r="I74" i="60"/>
  <c r="L74" i="60" s="1"/>
  <c r="P8" i="28"/>
  <c r="H18" i="52"/>
  <c r="BA39" i="31"/>
  <c r="J39" i="31" s="1"/>
  <c r="G14" i="41"/>
  <c r="L14" i="41" s="1"/>
  <c r="I16" i="60"/>
  <c r="L16" i="60" s="1"/>
  <c r="H22" i="60"/>
  <c r="L22" i="60" s="1"/>
  <c r="O33" i="40"/>
  <c r="AC48" i="40"/>
  <c r="G48" i="40" s="1"/>
  <c r="E20" i="69"/>
  <c r="I24" i="41"/>
  <c r="K24" i="41" s="1"/>
  <c r="P15" i="28"/>
  <c r="AD176" i="10"/>
  <c r="AP37" i="10"/>
  <c r="AP10" i="10"/>
  <c r="AP8" i="10"/>
  <c r="G141" i="14"/>
  <c r="H141" i="14" s="1"/>
  <c r="K121" i="14"/>
  <c r="AE13" i="27"/>
  <c r="AJ111" i="146"/>
  <c r="AE9" i="27"/>
  <c r="AJ107" i="146"/>
  <c r="AG107" i="146" s="1"/>
  <c r="Y83" i="146" s="1"/>
  <c r="AE5" i="27"/>
  <c r="AJ103" i="146"/>
  <c r="F250" i="147"/>
  <c r="E152" i="147"/>
  <c r="C45" i="124"/>
  <c r="F46" i="128"/>
  <c r="Q29" i="40"/>
  <c r="S12" i="12"/>
  <c r="U146" i="10"/>
  <c r="Y146" i="10" s="1"/>
  <c r="V33" i="59"/>
  <c r="H69" i="60"/>
  <c r="L69" i="60" s="1"/>
  <c r="T25" i="57"/>
  <c r="V25" i="57" s="1"/>
  <c r="I81" i="60"/>
  <c r="L81" i="60" s="1"/>
  <c r="P4" i="28"/>
  <c r="I56" i="60"/>
  <c r="L52" i="60" s="1"/>
  <c r="H14" i="60"/>
  <c r="L14" i="60" s="1"/>
  <c r="I23" i="60"/>
  <c r="L23" i="60" s="1"/>
  <c r="AC50" i="40"/>
  <c r="G50" i="40" s="1"/>
  <c r="P11" i="28"/>
  <c r="G24" i="41"/>
  <c r="L24" i="41" s="1"/>
  <c r="E15" i="31"/>
  <c r="U15" i="31" s="1"/>
  <c r="AE12" i="27"/>
  <c r="AJ110" i="146"/>
  <c r="AG110" i="146" s="1"/>
  <c r="Y86" i="146" s="1"/>
  <c r="AE8" i="27"/>
  <c r="AJ106" i="146"/>
  <c r="AG106" i="146" s="1"/>
  <c r="Y82" i="146" s="1"/>
  <c r="X30" i="31"/>
  <c r="AF109" i="146"/>
  <c r="X85" i="146" s="1"/>
  <c r="AA85" i="146" s="1"/>
  <c r="A1" i="147"/>
  <c r="A1" i="145"/>
  <c r="AE11" i="27"/>
  <c r="AJ109" i="146"/>
  <c r="AG109" i="146" s="1"/>
  <c r="Y85" i="146" s="1"/>
  <c r="M121" i="10"/>
  <c r="J20" i="91"/>
  <c r="M20" i="91" s="1"/>
  <c r="I36" i="68"/>
  <c r="J36" i="68" s="1"/>
  <c r="AC121" i="10"/>
  <c r="X121" i="10" s="1"/>
  <c r="G20" i="41"/>
  <c r="L20" i="41" s="1"/>
  <c r="AA210" i="43"/>
  <c r="Z210" i="43" s="1"/>
  <c r="AA192" i="43"/>
  <c r="Z192" i="43" s="1"/>
  <c r="AA92" i="43"/>
  <c r="Z92" i="43" s="1"/>
  <c r="AA70" i="43"/>
  <c r="Z70" i="43" s="1"/>
  <c r="T17" i="57"/>
  <c r="V17" i="57" s="1"/>
  <c r="H70" i="60"/>
  <c r="L70" i="60" s="1"/>
  <c r="H14" i="52"/>
  <c r="J40" i="60"/>
  <c r="L40" i="60" s="1"/>
  <c r="P146" i="28"/>
  <c r="K4" i="46"/>
  <c r="AD268" i="10"/>
  <c r="AC268" i="10" s="1"/>
  <c r="G136" i="14"/>
  <c r="H136" i="14" s="1"/>
  <c r="AE10" i="27"/>
  <c r="AJ108" i="146"/>
  <c r="AG108" i="146" s="1"/>
  <c r="Y84" i="146" s="1"/>
  <c r="AC31" i="84"/>
  <c r="J9" i="84"/>
  <c r="L9" i="84" s="1"/>
  <c r="S96" i="29"/>
  <c r="Q151" i="14"/>
  <c r="U69" i="14"/>
  <c r="Q69" i="14" s="1"/>
  <c r="G69" i="14" s="1"/>
  <c r="H69" i="14" s="1"/>
  <c r="G68" i="14"/>
  <c r="AG104" i="146"/>
  <c r="Y80" i="146" s="1"/>
  <c r="AB35" i="31"/>
  <c r="AB36" i="31" s="1"/>
  <c r="AC34" i="31"/>
  <c r="AE7" i="27"/>
  <c r="AJ105" i="146"/>
  <c r="M38" i="146"/>
  <c r="X82" i="146"/>
  <c r="AA82" i="146" s="1"/>
  <c r="X86" i="146"/>
  <c r="AA86" i="146" s="1"/>
  <c r="J35" i="84"/>
  <c r="L35" i="84" s="1"/>
  <c r="R31" i="100"/>
  <c r="K1" i="136"/>
  <c r="K1" i="146"/>
  <c r="A1" i="136"/>
  <c r="A1" i="146"/>
  <c r="T11" i="29"/>
  <c r="T96" i="29" s="1"/>
  <c r="J60" i="29" s="1"/>
  <c r="G12" i="14"/>
  <c r="X25" i="31"/>
  <c r="E68" i="43"/>
  <c r="AA68" i="43" s="1"/>
  <c r="AE32" i="7"/>
  <c r="AG32" i="7" s="1"/>
  <c r="AD260" i="10"/>
  <c r="AC260" i="10" s="1"/>
  <c r="AD177" i="10"/>
  <c r="AD174" i="10"/>
  <c r="AD142" i="10"/>
  <c r="AD139" i="10"/>
  <c r="W12" i="10"/>
  <c r="AP7" i="10"/>
  <c r="U8" i="29"/>
  <c r="U9" i="29" s="1"/>
  <c r="U10" i="29" s="1"/>
  <c r="N68" i="43"/>
  <c r="D148" i="14"/>
  <c r="T148" i="14" s="1"/>
  <c r="AD10" i="10"/>
  <c r="L51" i="14"/>
  <c r="D52" i="14"/>
  <c r="AP14" i="10"/>
  <c r="AD13" i="10"/>
  <c r="J15" i="11"/>
  <c r="S14" i="12"/>
  <c r="H1" i="144"/>
  <c r="A1" i="144"/>
  <c r="E91" i="13"/>
  <c r="R105" i="13" s="1"/>
  <c r="B21" i="14"/>
  <c r="M26" i="14" s="1"/>
  <c r="E148" i="14"/>
  <c r="C122" i="14"/>
  <c r="Q121" i="14" s="1"/>
  <c r="Y12" i="10"/>
  <c r="U133" i="10"/>
  <c r="Y133" i="10" s="1"/>
  <c r="N133" i="10"/>
  <c r="L133" i="10"/>
  <c r="L151" i="10"/>
  <c r="L125" i="10"/>
  <c r="N125" i="10"/>
  <c r="U135" i="10"/>
  <c r="Y135" i="10" s="1"/>
  <c r="U125" i="10"/>
  <c r="Y125" i="10" s="1"/>
  <c r="N178" i="10"/>
  <c r="M123" i="10"/>
  <c r="AC123" i="10"/>
  <c r="X123" i="10" s="1"/>
  <c r="U123" i="10"/>
  <c r="Y123" i="10" s="1"/>
  <c r="M131" i="10"/>
  <c r="AC131" i="10"/>
  <c r="X131" i="10" s="1"/>
  <c r="M139" i="10"/>
  <c r="N139" i="10"/>
  <c r="M171" i="10"/>
  <c r="N171" i="10"/>
  <c r="M149" i="10"/>
  <c r="N149" i="10"/>
  <c r="U121" i="10"/>
  <c r="Y121" i="10" s="1"/>
  <c r="AC133" i="10"/>
  <c r="X133" i="10" s="1"/>
  <c r="U167" i="10"/>
  <c r="Y167" i="10" s="1"/>
  <c r="AC191" i="10"/>
  <c r="X191" i="10" s="1"/>
  <c r="L167" i="10"/>
  <c r="L170" i="10"/>
  <c r="N151" i="10"/>
  <c r="N167" i="10"/>
  <c r="U151" i="10"/>
  <c r="Y151" i="10" s="1"/>
  <c r="AC146" i="10"/>
  <c r="X146" i="10" s="1"/>
  <c r="AC167" i="10"/>
  <c r="X167" i="10" s="1"/>
  <c r="AC151" i="10"/>
  <c r="X151" i="10" s="1"/>
  <c r="M159" i="10"/>
  <c r="AC159" i="10"/>
  <c r="X159" i="10" s="1"/>
  <c r="L159" i="10"/>
  <c r="N159" i="10"/>
  <c r="U159" i="10"/>
  <c r="Y159" i="10" s="1"/>
  <c r="AC183" i="10"/>
  <c r="X183" i="10" s="1"/>
  <c r="L2" i="95"/>
  <c r="AC145" i="10"/>
  <c r="X145" i="10" s="1"/>
  <c r="AD144" i="10"/>
  <c r="AD131" i="10"/>
  <c r="AD121" i="10"/>
  <c r="AD17" i="10"/>
  <c r="W16" i="10"/>
  <c r="AD14" i="10"/>
  <c r="AP12" i="10"/>
  <c r="AD12" i="10"/>
  <c r="AP6" i="10"/>
  <c r="P6" i="10" s="1"/>
  <c r="S6" i="10" s="1"/>
  <c r="C123" i="13"/>
  <c r="G95" i="14"/>
  <c r="H95" i="14" s="1"/>
  <c r="AC142" i="28"/>
  <c r="AC7" i="28"/>
  <c r="AD253" i="10"/>
  <c r="AC253" i="10" s="1"/>
  <c r="BK33" i="91"/>
  <c r="I22" i="91"/>
  <c r="I26" i="91" s="1"/>
  <c r="F40" i="91" s="1"/>
  <c r="F46" i="91" s="1"/>
  <c r="J52" i="91" s="1"/>
  <c r="L52" i="91" s="1"/>
  <c r="Y17" i="26"/>
  <c r="E17" i="26" s="1"/>
  <c r="G72" i="100"/>
  <c r="G46" i="100"/>
  <c r="J1" i="142"/>
  <c r="R24" i="112"/>
  <c r="N191" i="10"/>
  <c r="AC127" i="10"/>
  <c r="X127" i="10" s="1"/>
  <c r="L77" i="10"/>
  <c r="U127" i="10"/>
  <c r="Y127" i="10" s="1"/>
  <c r="U77" i="10"/>
  <c r="Y77" i="10" s="1"/>
  <c r="B55" i="8"/>
  <c r="D55" i="8" s="1"/>
  <c r="T18" i="57"/>
  <c r="V18" i="57" s="1"/>
  <c r="AD263" i="10"/>
  <c r="AC263" i="10" s="1"/>
  <c r="P116" i="60"/>
  <c r="J116" i="60" s="1"/>
  <c r="AC145" i="28"/>
  <c r="AC29" i="28"/>
  <c r="AC25" i="28"/>
  <c r="AC21" i="28"/>
  <c r="AC14" i="28"/>
  <c r="AC6" i="28"/>
  <c r="B1" i="142"/>
  <c r="M127" i="10"/>
  <c r="AC144" i="28"/>
  <c r="N29" i="84"/>
  <c r="AM27" i="112"/>
  <c r="AK27" i="112"/>
  <c r="E52" i="14"/>
  <c r="AE30" i="7"/>
  <c r="AG30" i="7" s="1"/>
  <c r="AE22" i="7"/>
  <c r="AE21" i="7"/>
  <c r="AG21" i="7" s="1"/>
  <c r="J39" i="11"/>
  <c r="H44" i="11" s="1"/>
  <c r="K18" i="12"/>
  <c r="K17" i="12" s="1"/>
  <c r="O17" i="12" s="1"/>
  <c r="G92" i="16"/>
  <c r="M92" i="16" s="1"/>
  <c r="AD74" i="10"/>
  <c r="AB144" i="28"/>
  <c r="AB29" i="28"/>
  <c r="AB25" i="28"/>
  <c r="AB21" i="28"/>
  <c r="AB14" i="28"/>
  <c r="AB7" i="28"/>
  <c r="AC171" i="10"/>
  <c r="X171" i="10" s="1"/>
  <c r="N142" i="10"/>
  <c r="I172" i="60"/>
  <c r="L168" i="60" s="1"/>
  <c r="H16" i="52"/>
  <c r="Q51" i="60"/>
  <c r="J29" i="60" s="1"/>
  <c r="L29" i="60" s="1"/>
  <c r="E241" i="44"/>
  <c r="K68" i="43"/>
  <c r="G68" i="43"/>
  <c r="AD270" i="10"/>
  <c r="AC270" i="10" s="1"/>
  <c r="AD266" i="10"/>
  <c r="AC266" i="10" s="1"/>
  <c r="AD262" i="10"/>
  <c r="AC262" i="10" s="1"/>
  <c r="AD188" i="10"/>
  <c r="AD186" i="10"/>
  <c r="AD183" i="10"/>
  <c r="AD180" i="10"/>
  <c r="AD148" i="10"/>
  <c r="AD136" i="10"/>
  <c r="AP35" i="10"/>
  <c r="AP34" i="10"/>
  <c r="AD34" i="10"/>
  <c r="AD33" i="10"/>
  <c r="Y33" i="10"/>
  <c r="AP17" i="10"/>
  <c r="N26" i="68"/>
  <c r="E27" i="68" s="1"/>
  <c r="J27" i="68" s="1"/>
  <c r="AD155" i="10"/>
  <c r="J45" i="74"/>
  <c r="K45" i="74" s="1"/>
  <c r="D41" i="105"/>
  <c r="G16" i="84" s="1"/>
  <c r="I16" i="84" s="1"/>
  <c r="Q22" i="77"/>
  <c r="AC174" i="10"/>
  <c r="X174" i="10" s="1"/>
  <c r="U171" i="10"/>
  <c r="Y171" i="10" s="1"/>
  <c r="U119" i="10"/>
  <c r="Y119" i="10" s="1"/>
  <c r="AC149" i="10"/>
  <c r="X149" i="10" s="1"/>
  <c r="AC187" i="10"/>
  <c r="X187" i="10" s="1"/>
  <c r="L171" i="10"/>
  <c r="H127" i="60"/>
  <c r="L127" i="60" s="1"/>
  <c r="F20" i="52"/>
  <c r="R149" i="60"/>
  <c r="H130" i="60"/>
  <c r="L130" i="60" s="1"/>
  <c r="P24" i="28"/>
  <c r="F68" i="43"/>
  <c r="L68" i="43"/>
  <c r="L263" i="43" s="1"/>
  <c r="J6" i="46"/>
  <c r="J41" i="7"/>
  <c r="K41" i="7" s="1"/>
  <c r="AE23" i="7"/>
  <c r="AG23" i="7" s="1"/>
  <c r="AD140" i="10"/>
  <c r="AP38" i="10"/>
  <c r="W37" i="10"/>
  <c r="S35" i="39"/>
  <c r="S37" i="39" s="1"/>
  <c r="AD184" i="10"/>
  <c r="AD146" i="10"/>
  <c r="L75" i="14"/>
  <c r="E76" i="14"/>
  <c r="CO34" i="22"/>
  <c r="Q167" i="60"/>
  <c r="J143" i="60" s="1"/>
  <c r="BK35" i="91"/>
  <c r="I42" i="68"/>
  <c r="J42" i="68" s="1"/>
  <c r="M53" i="68"/>
  <c r="J55" i="68" s="1"/>
  <c r="E60" i="2" s="1"/>
  <c r="C60" i="2" s="1"/>
  <c r="I31" i="68"/>
  <c r="J31" i="68" s="1"/>
  <c r="I46" i="68"/>
  <c r="J46" i="68" s="1"/>
  <c r="I47" i="68"/>
  <c r="J47" i="68" s="1"/>
  <c r="AE33" i="7"/>
  <c r="AG33" i="7" s="1"/>
  <c r="AE31" i="7"/>
  <c r="AG31" i="7" s="1"/>
  <c r="AE29" i="7"/>
  <c r="AG29" i="7" s="1"/>
  <c r="AE28" i="7"/>
  <c r="AG28" i="7" s="1"/>
  <c r="AE26" i="7"/>
  <c r="AG26" i="7" s="1"/>
  <c r="AE25" i="7"/>
  <c r="AG25" i="7" s="1"/>
  <c r="AE24" i="7"/>
  <c r="AG24" i="7" s="1"/>
  <c r="AE19" i="7"/>
  <c r="AG19" i="7" s="1"/>
  <c r="AE18" i="7"/>
  <c r="AG18" i="7" s="1"/>
  <c r="H1" i="8"/>
  <c r="G31" i="8"/>
  <c r="F26" i="70" s="1"/>
  <c r="P93" i="30" s="1"/>
  <c r="J35" i="8"/>
  <c r="E11" i="2" s="1"/>
  <c r="F11" i="2" s="1"/>
  <c r="M143" i="10"/>
  <c r="N143" i="10"/>
  <c r="AC143" i="10"/>
  <c r="X143" i="10" s="1"/>
  <c r="M141" i="10"/>
  <c r="U141" i="10"/>
  <c r="Y141" i="10" s="1"/>
  <c r="N141" i="10"/>
  <c r="L141" i="10"/>
  <c r="J101" i="60"/>
  <c r="L101" i="60" s="1"/>
  <c r="J100" i="60"/>
  <c r="L100" i="60" s="1"/>
  <c r="J98" i="60"/>
  <c r="L98" i="60" s="1"/>
  <c r="J99" i="60"/>
  <c r="L99" i="60" s="1"/>
  <c r="M156" i="10"/>
  <c r="N156" i="10"/>
  <c r="U156" i="10"/>
  <c r="Y156" i="10" s="1"/>
  <c r="T22" i="91"/>
  <c r="BD16" i="91"/>
  <c r="B16" i="92"/>
  <c r="T17" i="92"/>
  <c r="T18" i="92" s="1"/>
  <c r="B18" i="92" s="1"/>
  <c r="H260" i="44"/>
  <c r="BD60" i="77" s="1"/>
  <c r="E260" i="44"/>
  <c r="I22" i="68"/>
  <c r="J22" i="68" s="1"/>
  <c r="I26" i="68"/>
  <c r="J26" i="68" s="1"/>
  <c r="I9" i="68"/>
  <c r="J9" i="68" s="1"/>
  <c r="I19" i="68"/>
  <c r="J19" i="68" s="1"/>
  <c r="I23" i="68"/>
  <c r="J23" i="68" s="1"/>
  <c r="I20" i="68"/>
  <c r="J20" i="68" s="1"/>
  <c r="J8" i="95"/>
  <c r="U76" i="10"/>
  <c r="M120" i="10"/>
  <c r="N120" i="10"/>
  <c r="L120" i="10"/>
  <c r="U120" i="10"/>
  <c r="Y120" i="10" s="1"/>
  <c r="AC132" i="10"/>
  <c r="X132" i="10" s="1"/>
  <c r="L132" i="10"/>
  <c r="M140" i="10"/>
  <c r="N140" i="10"/>
  <c r="M144" i="10"/>
  <c r="AC144" i="10"/>
  <c r="X144" i="10" s="1"/>
  <c r="U144" i="10"/>
  <c r="Y144" i="10" s="1"/>
  <c r="M160" i="10"/>
  <c r="N160" i="10"/>
  <c r="L160" i="10"/>
  <c r="M168" i="10"/>
  <c r="N168" i="10"/>
  <c r="L168" i="10"/>
  <c r="M172" i="10"/>
  <c r="L172" i="10"/>
  <c r="U172" i="10"/>
  <c r="Y172" i="10" s="1"/>
  <c r="M180" i="10"/>
  <c r="AC180" i="10"/>
  <c r="X180" i="10" s="1"/>
  <c r="E13" i="99"/>
  <c r="G13" i="99" s="1"/>
  <c r="E17" i="99"/>
  <c r="G17" i="99" s="1"/>
  <c r="K33" i="99"/>
  <c r="E26" i="99" s="1"/>
  <c r="G26" i="99" s="1"/>
  <c r="E19" i="99"/>
  <c r="H19" i="99" s="1"/>
  <c r="G80" i="2" s="1"/>
  <c r="E14" i="99"/>
  <c r="G14" i="99" s="1"/>
  <c r="J10" i="103"/>
  <c r="K10" i="103" s="1"/>
  <c r="M11" i="103"/>
  <c r="J3" i="103" s="1"/>
  <c r="K3" i="103" s="1"/>
  <c r="I77" i="101"/>
  <c r="E76" i="101"/>
  <c r="F76" i="101" s="1"/>
  <c r="E82" i="101"/>
  <c r="F82" i="101" s="1"/>
  <c r="I10" i="105"/>
  <c r="O12" i="107"/>
  <c r="P12" i="107"/>
  <c r="Q10" i="106"/>
  <c r="T39" i="106"/>
  <c r="M190" i="10"/>
  <c r="N190" i="10"/>
  <c r="AC190" i="10"/>
  <c r="X190" i="10" s="1"/>
  <c r="U190" i="10"/>
  <c r="Y190" i="10" s="1"/>
  <c r="C94" i="60"/>
  <c r="C152" i="60"/>
  <c r="AC184" i="10"/>
  <c r="X184" i="10" s="1"/>
  <c r="I48" i="68"/>
  <c r="J48" i="68" s="1"/>
  <c r="L182" i="10"/>
  <c r="A17" i="12"/>
  <c r="I45" i="68"/>
  <c r="J45" i="68" s="1"/>
  <c r="U184" i="10"/>
  <c r="Y184" i="10" s="1"/>
  <c r="U174" i="10"/>
  <c r="Y174" i="10" s="1"/>
  <c r="L143" i="10"/>
  <c r="M145" i="10"/>
  <c r="L145" i="10"/>
  <c r="U145" i="10"/>
  <c r="Y145" i="10" s="1"/>
  <c r="S18" i="25"/>
  <c r="L18" i="25" s="1"/>
  <c r="M18" i="25" s="1"/>
  <c r="S10" i="25"/>
  <c r="L10" i="25" s="1"/>
  <c r="M10" i="25" s="1"/>
  <c r="Z17" i="27"/>
  <c r="E22" i="27" s="1"/>
  <c r="H25" i="39" s="1"/>
  <c r="F147" i="28"/>
  <c r="P147" i="28"/>
  <c r="F36" i="28"/>
  <c r="P36" i="28"/>
  <c r="F22" i="28"/>
  <c r="P22" i="28"/>
  <c r="F18" i="28"/>
  <c r="P18" i="28"/>
  <c r="P10" i="28"/>
  <c r="F10" i="28"/>
  <c r="D25" i="41"/>
  <c r="G25" i="41"/>
  <c r="I25" i="41"/>
  <c r="K25" i="41" s="1"/>
  <c r="G29" i="47"/>
  <c r="J29" i="47" s="1"/>
  <c r="E28" i="47"/>
  <c r="J28" i="47" s="1"/>
  <c r="I37" i="47"/>
  <c r="J37" i="47" s="1"/>
  <c r="E35" i="47"/>
  <c r="J35" i="47" s="1"/>
  <c r="E16" i="47"/>
  <c r="J16" i="47" s="1"/>
  <c r="H8" i="59"/>
  <c r="L8" i="59" s="1"/>
  <c r="H7" i="59"/>
  <c r="L17" i="59" s="1"/>
  <c r="H12" i="59"/>
  <c r="L12" i="59" s="1"/>
  <c r="J19" i="59"/>
  <c r="L19" i="59" s="1"/>
  <c r="I57" i="59"/>
  <c r="L53" i="59" s="1"/>
  <c r="H14" i="59"/>
  <c r="L14" i="59" s="1"/>
  <c r="J20" i="59"/>
  <c r="L20" i="59" s="1"/>
  <c r="K40" i="59"/>
  <c r="L40" i="59" s="1"/>
  <c r="H11" i="59"/>
  <c r="L11" i="59" s="1"/>
  <c r="I16" i="59"/>
  <c r="L16" i="59" s="1"/>
  <c r="K22" i="59"/>
  <c r="L22" i="59" s="1"/>
  <c r="AC163" i="10"/>
  <c r="X163" i="10" s="1"/>
  <c r="L139" i="10"/>
  <c r="I43" i="68"/>
  <c r="J43" i="68" s="1"/>
  <c r="W33" i="10"/>
  <c r="M179" i="10"/>
  <c r="L179" i="10"/>
  <c r="M177" i="10"/>
  <c r="N177" i="10"/>
  <c r="M129" i="10"/>
  <c r="AC129" i="10"/>
  <c r="X129" i="10" s="1"/>
  <c r="U129" i="10"/>
  <c r="Y129" i="10" s="1"/>
  <c r="Y15" i="10"/>
  <c r="W15" i="10"/>
  <c r="O15" i="12"/>
  <c r="P15" i="12"/>
  <c r="R15" i="12" s="1"/>
  <c r="S15" i="12" s="1"/>
  <c r="I36" i="59"/>
  <c r="N37" i="59" s="1"/>
  <c r="H35" i="59"/>
  <c r="H37" i="59" s="1"/>
  <c r="J29" i="59"/>
  <c r="R29" i="59" s="1"/>
  <c r="K29" i="59" s="1"/>
  <c r="L29" i="59" s="1"/>
  <c r="Q33" i="59"/>
  <c r="R19" i="59"/>
  <c r="S48" i="59" s="1"/>
  <c r="Q48" i="59" s="1"/>
  <c r="I42" i="59"/>
  <c r="E15" i="69"/>
  <c r="AB15" i="69"/>
  <c r="E14" i="69"/>
  <c r="AB14" i="69"/>
  <c r="N47" i="31"/>
  <c r="Q47" i="31"/>
  <c r="J47" i="31"/>
  <c r="W46" i="31"/>
  <c r="W43" i="31"/>
  <c r="J38" i="31"/>
  <c r="Q38" i="31"/>
  <c r="AC35" i="31"/>
  <c r="AE35" i="31" s="1"/>
  <c r="E35" i="31" s="1"/>
  <c r="AA35" i="31"/>
  <c r="AA36" i="31" s="1"/>
  <c r="AA154" i="28"/>
  <c r="AB154" i="28"/>
  <c r="AA151" i="28"/>
  <c r="AC151" i="28"/>
  <c r="L40" i="40"/>
  <c r="L39" i="40"/>
  <c r="I36" i="85"/>
  <c r="O44" i="31" s="1"/>
  <c r="N43" i="31" s="1"/>
  <c r="I36" i="81"/>
  <c r="I40" i="81" s="1"/>
  <c r="I44" i="81" s="1"/>
  <c r="I48" i="81" s="1"/>
  <c r="G36" i="81"/>
  <c r="G40" i="81" s="1"/>
  <c r="G44" i="81" s="1"/>
  <c r="U46" i="81" s="1"/>
  <c r="G19" i="47"/>
  <c r="G20" i="47" s="1"/>
  <c r="S33" i="59"/>
  <c r="Q44" i="60"/>
  <c r="AB33" i="28"/>
  <c r="AB18" i="28"/>
  <c r="AB11" i="28"/>
  <c r="BJ33" i="91"/>
  <c r="AD6" i="10"/>
  <c r="AC6" i="10" s="1"/>
  <c r="S33" i="84"/>
  <c r="J33" i="84" s="1"/>
  <c r="L33" i="84" s="1"/>
  <c r="F84" i="100"/>
  <c r="S42" i="77" s="1"/>
  <c r="L42" i="100"/>
  <c r="H42" i="100" s="1"/>
  <c r="I42" i="100" s="1"/>
  <c r="AD190" i="10"/>
  <c r="AP9" i="10"/>
  <c r="I147" i="14"/>
  <c r="S13" i="25"/>
  <c r="L13" i="25" s="1"/>
  <c r="M13" i="25" s="1"/>
  <c r="S12" i="25"/>
  <c r="L12" i="25" s="1"/>
  <c r="M12" i="25" s="1"/>
  <c r="S9" i="25"/>
  <c r="L9" i="25" s="1"/>
  <c r="M9" i="25" s="1"/>
  <c r="AD259" i="10"/>
  <c r="AC259" i="10" s="1"/>
  <c r="U270" i="10"/>
  <c r="U268" i="10"/>
  <c r="U266" i="10"/>
  <c r="U264" i="10"/>
  <c r="U262" i="10"/>
  <c r="U260" i="10"/>
  <c r="U258" i="10"/>
  <c r="U256" i="10"/>
  <c r="U254" i="10"/>
  <c r="U252" i="10"/>
  <c r="U229" i="10"/>
  <c r="U269" i="10"/>
  <c r="U267" i="10"/>
  <c r="U265" i="10"/>
  <c r="U263" i="10"/>
  <c r="U261" i="10"/>
  <c r="U259" i="10"/>
  <c r="U257" i="10"/>
  <c r="U255" i="10"/>
  <c r="U253" i="10"/>
  <c r="U251" i="10"/>
  <c r="U228" i="10"/>
  <c r="U227" i="10"/>
  <c r="AD227" i="10"/>
  <c r="AC227" i="10" s="1"/>
  <c r="R22" i="100"/>
  <c r="H10" i="22"/>
  <c r="L10" i="22" s="1"/>
  <c r="A2" i="22"/>
  <c r="L20" i="14"/>
  <c r="J45" i="31"/>
  <c r="BA14" i="31"/>
  <c r="N14" i="31" s="1"/>
  <c r="BA51" i="31"/>
  <c r="Q51" i="31" s="1"/>
  <c r="M126" i="10"/>
  <c r="L126" i="10"/>
  <c r="N126" i="10"/>
  <c r="M182" i="10"/>
  <c r="N182" i="10"/>
  <c r="D103" i="14"/>
  <c r="A37" i="81"/>
  <c r="B6" i="31"/>
  <c r="A61" i="48"/>
  <c r="B22" i="12"/>
  <c r="C53" i="76"/>
  <c r="B44" i="40"/>
  <c r="B305" i="10"/>
  <c r="C22" i="76"/>
  <c r="B8" i="26"/>
  <c r="B57" i="46"/>
  <c r="M175" i="10"/>
  <c r="N175" i="10"/>
  <c r="I62" i="92"/>
  <c r="J56" i="92" s="1"/>
  <c r="K15" i="92"/>
  <c r="N15" i="92" s="1"/>
  <c r="M118" i="10"/>
  <c r="L118" i="10"/>
  <c r="M134" i="10"/>
  <c r="N134" i="10"/>
  <c r="AA170" i="43"/>
  <c r="Z170" i="43" s="1"/>
  <c r="AA166" i="43"/>
  <c r="Z166" i="43" s="1"/>
  <c r="AA162" i="43"/>
  <c r="Z162" i="43" s="1"/>
  <c r="AA158" i="43"/>
  <c r="Z158" i="43" s="1"/>
  <c r="AA154" i="43"/>
  <c r="Z154" i="43" s="1"/>
  <c r="AA150" i="43"/>
  <c r="Z150" i="43" s="1"/>
  <c r="AA146" i="43"/>
  <c r="Z146" i="43" s="1"/>
  <c r="AA142" i="43"/>
  <c r="Z142" i="43" s="1"/>
  <c r="AA138" i="43"/>
  <c r="Z138" i="43" s="1"/>
  <c r="AA134" i="43"/>
  <c r="Z134" i="43" s="1"/>
  <c r="AA130" i="43"/>
  <c r="Z130" i="43" s="1"/>
  <c r="AA126" i="43"/>
  <c r="Z126" i="43" s="1"/>
  <c r="AA122" i="43"/>
  <c r="Z122" i="43" s="1"/>
  <c r="AA118" i="43"/>
  <c r="Z118" i="43" s="1"/>
  <c r="AA114" i="43"/>
  <c r="Z114" i="43" s="1"/>
  <c r="AA110" i="43"/>
  <c r="Z110" i="43" s="1"/>
  <c r="AA106" i="43"/>
  <c r="Z106" i="43" s="1"/>
  <c r="AA102" i="43"/>
  <c r="Z102" i="43" s="1"/>
  <c r="AA27" i="43"/>
  <c r="Z27" i="43" s="1"/>
  <c r="AA31" i="43"/>
  <c r="Z31" i="43" s="1"/>
  <c r="AA35" i="43"/>
  <c r="Z35" i="43" s="1"/>
  <c r="AA39" i="43"/>
  <c r="Z39" i="43" s="1"/>
  <c r="AA43" i="43"/>
  <c r="Z43" i="43" s="1"/>
  <c r="AA65" i="43"/>
  <c r="Z65" i="43" s="1"/>
  <c r="AA57" i="43"/>
  <c r="Z57" i="43" s="1"/>
  <c r="AA49" i="43"/>
  <c r="Z49" i="43" s="1"/>
  <c r="AA14" i="43"/>
  <c r="Z14" i="43" s="1"/>
  <c r="AA18" i="43"/>
  <c r="Z18" i="43" s="1"/>
  <c r="AA22" i="43"/>
  <c r="Z22" i="43" s="1"/>
  <c r="AA253" i="43"/>
  <c r="Z253" i="43" s="1"/>
  <c r="AA244" i="43"/>
  <c r="Z244" i="43" s="1"/>
  <c r="AA234" i="43"/>
  <c r="AA218" i="43"/>
  <c r="Z218" i="43" s="1"/>
  <c r="AA202" i="43"/>
  <c r="Z202" i="43" s="1"/>
  <c r="AA186" i="43"/>
  <c r="Z186" i="43" s="1"/>
  <c r="AA94" i="43"/>
  <c r="Z94" i="43" s="1"/>
  <c r="B16" i="91"/>
  <c r="B31" i="91" s="1"/>
  <c r="N31" i="91" s="1"/>
  <c r="G31" i="91" s="1"/>
  <c r="L31" i="91" s="1"/>
  <c r="M31" i="91" s="1"/>
  <c r="AC135" i="10"/>
  <c r="X135" i="10" s="1"/>
  <c r="AC175" i="10"/>
  <c r="X175" i="10" s="1"/>
  <c r="P154" i="28"/>
  <c r="M186" i="10"/>
  <c r="N186" i="10"/>
  <c r="AD132" i="10"/>
  <c r="M124" i="10"/>
  <c r="N124" i="10"/>
  <c r="B37" i="77"/>
  <c r="G36" i="85"/>
  <c r="K44" i="31" s="1"/>
  <c r="J43" i="31" s="1"/>
  <c r="K36" i="81"/>
  <c r="K40" i="81" s="1"/>
  <c r="K44" i="81" s="1"/>
  <c r="K48" i="81" s="1"/>
  <c r="J10" i="110"/>
  <c r="L10" i="110" s="1"/>
  <c r="J25" i="110"/>
  <c r="L25" i="110" s="1"/>
  <c r="B33" i="91"/>
  <c r="N33" i="91" s="1"/>
  <c r="G33" i="91" s="1"/>
  <c r="L33" i="91" s="1"/>
  <c r="M33" i="91" s="1"/>
  <c r="AC177" i="10"/>
  <c r="X177" i="10" s="1"/>
  <c r="AC150" i="10"/>
  <c r="X150" i="10" s="1"/>
  <c r="M191" i="10"/>
  <c r="L191" i="10"/>
  <c r="AD143" i="10"/>
  <c r="F6" i="28"/>
  <c r="P6" i="28"/>
  <c r="G10" i="47"/>
  <c r="J10" i="47" s="1"/>
  <c r="G7" i="47"/>
  <c r="J7" i="47" s="1"/>
  <c r="I4" i="47"/>
  <c r="G11" i="47"/>
  <c r="J11" i="47" s="1"/>
  <c r="J41" i="47"/>
  <c r="E45" i="2" s="1"/>
  <c r="BC232" i="43"/>
  <c r="V8" i="30" s="1"/>
  <c r="F8" i="30" s="1"/>
  <c r="K8" i="30" s="1"/>
  <c r="Q42" i="31"/>
  <c r="J42" i="31"/>
  <c r="N13" i="31"/>
  <c r="Q13" i="31"/>
  <c r="N10" i="31"/>
  <c r="J10" i="31"/>
  <c r="BA11" i="31"/>
  <c r="Q11" i="31" s="1"/>
  <c r="T17" i="77"/>
  <c r="R17" i="77"/>
  <c r="M152" i="10"/>
  <c r="L152" i="10"/>
  <c r="N152" i="10"/>
  <c r="B124" i="58"/>
  <c r="G124" i="58"/>
  <c r="L124" i="58" s="1"/>
  <c r="M128" i="58"/>
  <c r="B128" i="58" s="1"/>
  <c r="J29" i="110"/>
  <c r="L29" i="110" s="1"/>
  <c r="AA66" i="43"/>
  <c r="AA99" i="43"/>
  <c r="AA72" i="43"/>
  <c r="Z72" i="43" s="1"/>
  <c r="AA80" i="43"/>
  <c r="Z80" i="43" s="1"/>
  <c r="AA88" i="43"/>
  <c r="Z88" i="43" s="1"/>
  <c r="AA96" i="43"/>
  <c r="Z96" i="43" s="1"/>
  <c r="AA180" i="43"/>
  <c r="Z180" i="43" s="1"/>
  <c r="AA188" i="43"/>
  <c r="Z188" i="43" s="1"/>
  <c r="AA196" i="43"/>
  <c r="Z196" i="43" s="1"/>
  <c r="AA204" i="43"/>
  <c r="Z204" i="43" s="1"/>
  <c r="AA212" i="43"/>
  <c r="Z212" i="43" s="1"/>
  <c r="AA220" i="43"/>
  <c r="Z220" i="43" s="1"/>
  <c r="AA228" i="43"/>
  <c r="Z228" i="43" s="1"/>
  <c r="AA74" i="43"/>
  <c r="Z74" i="43" s="1"/>
  <c r="AA82" i="43"/>
  <c r="Z82" i="43" s="1"/>
  <c r="AA90" i="43"/>
  <c r="Z90" i="43" s="1"/>
  <c r="AA98" i="43"/>
  <c r="Z98" i="43" s="1"/>
  <c r="AA182" i="43"/>
  <c r="Z182" i="43" s="1"/>
  <c r="AA190" i="43"/>
  <c r="Z190" i="43" s="1"/>
  <c r="AA198" i="43"/>
  <c r="Z198" i="43" s="1"/>
  <c r="AA206" i="43"/>
  <c r="Z206" i="43" s="1"/>
  <c r="AA214" i="43"/>
  <c r="Z214" i="43" s="1"/>
  <c r="AA222" i="43"/>
  <c r="Z222" i="43" s="1"/>
  <c r="AA230" i="43"/>
  <c r="Z230" i="43" s="1"/>
  <c r="AA238" i="43"/>
  <c r="Z238" i="43" s="1"/>
  <c r="S19" i="25"/>
  <c r="L19" i="25" s="1"/>
  <c r="M19" i="25" s="1"/>
  <c r="F149" i="28"/>
  <c r="P149" i="28"/>
  <c r="F142" i="28"/>
  <c r="P142" i="28"/>
  <c r="F37" i="28"/>
  <c r="P37" i="28"/>
  <c r="F20" i="28"/>
  <c r="P20" i="28"/>
  <c r="D23" i="41"/>
  <c r="G23" i="41"/>
  <c r="H15" i="52"/>
  <c r="F15" i="52"/>
  <c r="H126" i="60"/>
  <c r="L126" i="60" s="1"/>
  <c r="H136" i="60"/>
  <c r="L136" i="60" s="1"/>
  <c r="H129" i="60"/>
  <c r="L129" i="60" s="1"/>
  <c r="I139" i="60"/>
  <c r="L139" i="60" s="1"/>
  <c r="I132" i="60"/>
  <c r="L132" i="60" s="1"/>
  <c r="I134" i="60"/>
  <c r="J142" i="60" s="1"/>
  <c r="H124" i="60"/>
  <c r="L124" i="60" s="1"/>
  <c r="Q72" i="60"/>
  <c r="P72" i="60"/>
  <c r="H8" i="60"/>
  <c r="L8" i="60" s="1"/>
  <c r="J21" i="60"/>
  <c r="L21" i="60" s="1"/>
  <c r="H12" i="60"/>
  <c r="L12" i="60" s="1"/>
  <c r="I18" i="60"/>
  <c r="J38" i="60" s="1"/>
  <c r="H20" i="60"/>
  <c r="L20" i="60" s="1"/>
  <c r="H13" i="60"/>
  <c r="L13" i="60" s="1"/>
  <c r="I35" i="68"/>
  <c r="J35" i="68" s="1"/>
  <c r="I37" i="68"/>
  <c r="J37" i="68" s="1"/>
  <c r="AB19" i="69"/>
  <c r="E19" i="69"/>
  <c r="B83" i="74"/>
  <c r="M153" i="10"/>
  <c r="L153" i="10"/>
  <c r="M157" i="10"/>
  <c r="AC157" i="10"/>
  <c r="X157" i="10" s="1"/>
  <c r="N157" i="10"/>
  <c r="M169" i="10"/>
  <c r="AC169" i="10"/>
  <c r="X169" i="10" s="1"/>
  <c r="M173" i="10"/>
  <c r="AC173" i="10"/>
  <c r="X173" i="10" s="1"/>
  <c r="F35" i="96"/>
  <c r="J35" i="96" s="1"/>
  <c r="L31" i="96"/>
  <c r="L41" i="96" s="1"/>
  <c r="F43" i="96" s="1"/>
  <c r="J43" i="96" s="1"/>
  <c r="M67" i="74"/>
  <c r="S25" i="14"/>
  <c r="Q25" i="14" s="1"/>
  <c r="C25" i="14" s="1"/>
  <c r="V25" i="14"/>
  <c r="D84" i="100"/>
  <c r="O42" i="77" s="1"/>
  <c r="O48" i="77" s="1"/>
  <c r="O50" i="77" s="1"/>
  <c r="J159" i="60"/>
  <c r="L159" i="60" s="1"/>
  <c r="J79" i="60"/>
  <c r="L79" i="60" s="1"/>
  <c r="I76" i="60"/>
  <c r="L76" i="60" s="1"/>
  <c r="AB79" i="69"/>
  <c r="AB10" i="69"/>
  <c r="AB76" i="69"/>
  <c r="E77" i="69"/>
  <c r="E78" i="69"/>
  <c r="AD189" i="10"/>
  <c r="D122" i="14"/>
  <c r="G46" i="48"/>
  <c r="AC35" i="28"/>
  <c r="AC31" i="28"/>
  <c r="AC9" i="28"/>
  <c r="J156" i="60"/>
  <c r="L156" i="60" s="1"/>
  <c r="H78" i="60"/>
  <c r="L78" i="60" s="1"/>
  <c r="H68" i="60"/>
  <c r="L68" i="60" s="1"/>
  <c r="I114" i="60"/>
  <c r="L110" i="60" s="1"/>
  <c r="S11" i="12"/>
  <c r="R91" i="60"/>
  <c r="AC139" i="28"/>
  <c r="AB9" i="28"/>
  <c r="L45" i="100"/>
  <c r="K60" i="16"/>
  <c r="I60" i="16" s="1"/>
  <c r="AD166" i="10"/>
  <c r="F31" i="96"/>
  <c r="J31" i="96" s="1"/>
  <c r="AG85" i="69"/>
  <c r="J1" i="140"/>
  <c r="L1" i="141"/>
  <c r="B1" i="141"/>
  <c r="A1" i="138"/>
  <c r="A1" i="137"/>
  <c r="A1" i="140"/>
  <c r="A1" i="139"/>
  <c r="G47" i="141"/>
  <c r="C33" i="139"/>
  <c r="E48" i="138"/>
  <c r="D35" i="140"/>
  <c r="D20" i="137"/>
  <c r="E1" i="139"/>
  <c r="J1" i="138"/>
  <c r="H1" i="137"/>
  <c r="AD178" i="10"/>
  <c r="C98" i="14"/>
  <c r="O97" i="14" s="1"/>
  <c r="AB157" i="28"/>
  <c r="AB6" i="28"/>
  <c r="AD157" i="28"/>
  <c r="AD144" i="28"/>
  <c r="U28" i="59"/>
  <c r="AD119" i="10"/>
  <c r="F27" i="110"/>
  <c r="AD182" i="10"/>
  <c r="AB19" i="28"/>
  <c r="R33" i="100"/>
  <c r="L43" i="100"/>
  <c r="E132" i="44"/>
  <c r="E175" i="44" s="1"/>
  <c r="E174" i="44" s="1"/>
  <c r="K182" i="16"/>
  <c r="N131" i="10"/>
  <c r="AD128" i="10"/>
  <c r="N48" i="68"/>
  <c r="E49" i="68" s="1"/>
  <c r="J49" i="68" s="1"/>
  <c r="D41" i="107"/>
  <c r="G17" i="84" s="1"/>
  <c r="I17" i="84" s="1"/>
  <c r="H89" i="58"/>
  <c r="H90" i="58" s="1"/>
  <c r="P90" i="58" s="1"/>
  <c r="G141" i="58"/>
  <c r="T141" i="58"/>
  <c r="I141" i="58" s="1"/>
  <c r="B49" i="58"/>
  <c r="B97" i="58"/>
  <c r="A1" i="135"/>
  <c r="A1" i="134"/>
  <c r="A1" i="133"/>
  <c r="A1" i="132"/>
  <c r="A1" i="130"/>
  <c r="Q260" i="43"/>
  <c r="D259" i="43" s="1"/>
  <c r="P259" i="43" s="1"/>
  <c r="AE20" i="7"/>
  <c r="AG20" i="7" s="1"/>
  <c r="AD145" i="10"/>
  <c r="AD16" i="10"/>
  <c r="Y13" i="10"/>
  <c r="Y9" i="10"/>
  <c r="K121" i="16"/>
  <c r="I121" i="16" s="1"/>
  <c r="G19" i="14"/>
  <c r="H19" i="14" s="1"/>
  <c r="G17" i="14"/>
  <c r="H17" i="14" s="1"/>
  <c r="G13" i="14"/>
  <c r="H13" i="14" s="1"/>
  <c r="R56" i="29"/>
  <c r="L43" i="110"/>
  <c r="E88" i="2" s="1"/>
  <c r="C88" i="2" s="1"/>
  <c r="R37" i="112"/>
  <c r="E31" i="135"/>
  <c r="F39" i="134"/>
  <c r="D49" i="133"/>
  <c r="F87" i="132"/>
  <c r="H39" i="130"/>
  <c r="O52" i="123"/>
  <c r="I49" i="58"/>
  <c r="I97" i="58"/>
  <c r="J1" i="135"/>
  <c r="J1" i="134"/>
  <c r="H1" i="133"/>
  <c r="K1" i="132"/>
  <c r="N1" i="130"/>
  <c r="K17" i="41"/>
  <c r="Q45" i="31"/>
  <c r="L23" i="47"/>
  <c r="M23" i="47" s="1"/>
  <c r="AD191" i="10"/>
  <c r="AD185" i="10"/>
  <c r="S15" i="25"/>
  <c r="L15" i="25" s="1"/>
  <c r="M15" i="25" s="1"/>
  <c r="AB145" i="28"/>
  <c r="AD258" i="10"/>
  <c r="AC258" i="10" s="1"/>
  <c r="R23" i="100"/>
  <c r="G45" i="58"/>
  <c r="B24" i="58"/>
  <c r="G28" i="58"/>
  <c r="L28" i="58" s="1"/>
  <c r="F5" i="91"/>
  <c r="L5" i="91" s="1"/>
  <c r="F7" i="91"/>
  <c r="G42" i="91"/>
  <c r="L42" i="91" s="1"/>
  <c r="AA60" i="29"/>
  <c r="Z62" i="29" s="1"/>
  <c r="Q46" i="76"/>
  <c r="Q20" i="76"/>
  <c r="R20" i="76" s="1"/>
  <c r="Q45" i="76"/>
  <c r="R45" i="76" s="1"/>
  <c r="Q47" i="76"/>
  <c r="R47" i="76" s="1"/>
  <c r="Q18" i="76"/>
  <c r="R18" i="76" s="1"/>
  <c r="Q19" i="76"/>
  <c r="BB35" i="43"/>
  <c r="AB21" i="14" s="1"/>
  <c r="AU227" i="10"/>
  <c r="O12" i="12"/>
  <c r="L183" i="10"/>
  <c r="AC119" i="10"/>
  <c r="X119" i="10" s="1"/>
  <c r="L187" i="10"/>
  <c r="L123" i="10"/>
  <c r="N127" i="10"/>
  <c r="M68" i="43"/>
  <c r="AE27" i="7"/>
  <c r="AG27" i="7" s="1"/>
  <c r="AD269" i="10"/>
  <c r="AC269" i="10" s="1"/>
  <c r="AD265" i="10"/>
  <c r="AC265" i="10" s="1"/>
  <c r="AD138" i="10"/>
  <c r="AD133" i="10"/>
  <c r="AD37" i="10"/>
  <c r="AD9" i="10"/>
  <c r="AC156" i="28"/>
  <c r="AC26" i="28"/>
  <c r="AC22" i="28"/>
  <c r="AC15" i="28"/>
  <c r="AB26" i="28"/>
  <c r="AB22" i="28"/>
  <c r="AB15" i="28"/>
  <c r="AD167" i="10"/>
  <c r="G18" i="14"/>
  <c r="H18" i="14" s="1"/>
  <c r="F27" i="57"/>
  <c r="R27" i="57" s="1"/>
  <c r="G25" i="108"/>
  <c r="T18" i="110"/>
  <c r="I6" i="112"/>
  <c r="S782" i="112"/>
  <c r="S80" i="112"/>
  <c r="S76" i="112"/>
  <c r="S69" i="112"/>
  <c r="P13" i="12"/>
  <c r="R13" i="12" s="1"/>
  <c r="S13" i="12" s="1"/>
  <c r="G39" i="46"/>
  <c r="L119" i="10"/>
  <c r="AD137" i="10"/>
  <c r="AD159" i="10"/>
  <c r="AD168" i="10"/>
  <c r="AD153" i="10"/>
  <c r="G15" i="14"/>
  <c r="H15" i="14" s="1"/>
  <c r="C21" i="14"/>
  <c r="N26" i="14" s="1"/>
  <c r="I16" i="82"/>
  <c r="F2" i="82" s="1"/>
  <c r="G2" i="82" s="1"/>
  <c r="N119" i="10"/>
  <c r="N123" i="10"/>
  <c r="N185" i="10"/>
  <c r="AD264" i="10"/>
  <c r="AC264" i="10" s="1"/>
  <c r="AD228" i="10"/>
  <c r="AC228" i="10" s="1"/>
  <c r="AD134" i="10"/>
  <c r="AD8" i="10"/>
  <c r="Y8" i="10"/>
  <c r="K97" i="14"/>
  <c r="G94" i="14"/>
  <c r="H94" i="14" s="1"/>
  <c r="E98" i="14"/>
  <c r="G50" i="14"/>
  <c r="H50" i="14" s="1"/>
  <c r="G48" i="14"/>
  <c r="H48" i="14" s="1"/>
  <c r="G46" i="14"/>
  <c r="H46" i="14" s="1"/>
  <c r="G44" i="14"/>
  <c r="H44" i="14" s="1"/>
  <c r="K62" i="78"/>
  <c r="S22" i="25"/>
  <c r="L22" i="25" s="1"/>
  <c r="M22" i="25" s="1"/>
  <c r="S21" i="25"/>
  <c r="L21" i="25" s="1"/>
  <c r="M21" i="25" s="1"/>
  <c r="S20" i="25"/>
  <c r="L20" i="25" s="1"/>
  <c r="M20" i="25" s="1"/>
  <c r="AC17" i="27"/>
  <c r="D23" i="27" s="1"/>
  <c r="F26" i="39" s="1"/>
  <c r="X17" i="27"/>
  <c r="C22" i="27" s="1"/>
  <c r="D25" i="39" s="1"/>
  <c r="AD17" i="27"/>
  <c r="F23" i="27" s="1"/>
  <c r="Y17" i="27"/>
  <c r="D22" i="27" s="1"/>
  <c r="F25" i="39" s="1"/>
  <c r="T17" i="27"/>
  <c r="C21" i="27" s="1"/>
  <c r="D24" i="39" s="1"/>
  <c r="H13" i="52"/>
  <c r="H12" i="52"/>
  <c r="H11" i="52"/>
  <c r="H10" i="52"/>
  <c r="H9" i="52"/>
  <c r="H7" i="52"/>
  <c r="H6" i="52"/>
  <c r="H5" i="52"/>
  <c r="Q109" i="60"/>
  <c r="J85" i="60" s="1"/>
  <c r="M13" i="30"/>
  <c r="BD196" i="43"/>
  <c r="V9" i="30" s="1"/>
  <c r="F9" i="30" s="1"/>
  <c r="K9" i="30" s="1"/>
  <c r="M63" i="30"/>
  <c r="AB139" i="28"/>
  <c r="AB35" i="28"/>
  <c r="AB31" i="28"/>
  <c r="K39" i="106"/>
  <c r="J41" i="106" s="1"/>
  <c r="G18" i="84" s="1"/>
  <c r="O18" i="84" s="1"/>
  <c r="N18" i="84" s="1"/>
  <c r="D15" i="108"/>
  <c r="I15" i="108" s="1"/>
  <c r="R39" i="112"/>
  <c r="R35" i="112"/>
  <c r="F31" i="108"/>
  <c r="I31" i="108" s="1"/>
  <c r="U25" i="59"/>
  <c r="O182" i="60"/>
  <c r="O184" i="60" s="1"/>
  <c r="O188" i="60" s="1"/>
  <c r="F46" i="25"/>
  <c r="H17" i="52"/>
  <c r="F17" i="52"/>
  <c r="J20" i="52"/>
  <c r="H36" i="52" s="1"/>
  <c r="F25" i="25"/>
  <c r="E25" i="25"/>
  <c r="M26" i="25" s="1"/>
  <c r="K25" i="25"/>
  <c r="U17" i="27"/>
  <c r="D21" i="27" s="1"/>
  <c r="S22" i="57"/>
  <c r="T22" i="57"/>
  <c r="J25" i="59"/>
  <c r="I33" i="59"/>
  <c r="Q61" i="31"/>
  <c r="J61" i="31"/>
  <c r="N61" i="31"/>
  <c r="BA62" i="31"/>
  <c r="C158" i="60"/>
  <c r="P153" i="28"/>
  <c r="P156" i="28"/>
  <c r="W9" i="10"/>
  <c r="W8" i="10"/>
  <c r="N182" i="60"/>
  <c r="N184" i="60" s="1"/>
  <c r="N188" i="60" s="1"/>
  <c r="T33" i="59"/>
  <c r="M137" i="10"/>
  <c r="L137" i="10"/>
  <c r="N137" i="10"/>
  <c r="AB17" i="27"/>
  <c r="C23" i="27" s="1"/>
  <c r="D26" i="39" s="1"/>
  <c r="J25" i="25"/>
  <c r="P132" i="60"/>
  <c r="P139" i="60" s="1"/>
  <c r="S139" i="60" s="1"/>
  <c r="F163" i="60" s="1"/>
  <c r="CA60" i="77"/>
  <c r="CA73" i="77" s="1"/>
  <c r="T58" i="77"/>
  <c r="K20" i="11"/>
  <c r="L20" i="11" s="1"/>
  <c r="N40" i="11"/>
  <c r="L48" i="11" s="1"/>
  <c r="E14" i="2" s="1"/>
  <c r="F19" i="52"/>
  <c r="H19" i="52"/>
  <c r="P160" i="60"/>
  <c r="Q160" i="60"/>
  <c r="S24" i="57"/>
  <c r="T24" i="57"/>
  <c r="T20" i="57"/>
  <c r="S20" i="57"/>
  <c r="S16" i="57"/>
  <c r="T16" i="57"/>
  <c r="H10" i="57"/>
  <c r="I161" i="28" s="1"/>
  <c r="M163" i="28" s="1"/>
  <c r="M161" i="28"/>
  <c r="I15" i="68"/>
  <c r="J15" i="68" s="1"/>
  <c r="I16" i="68"/>
  <c r="J16" i="68" s="1"/>
  <c r="I13" i="68"/>
  <c r="J13" i="68" s="1"/>
  <c r="E23" i="69"/>
  <c r="AB23" i="69"/>
  <c r="E11" i="69"/>
  <c r="AB11" i="69"/>
  <c r="AC15" i="82"/>
  <c r="AB15" i="82"/>
  <c r="T40" i="77"/>
  <c r="P40" i="77"/>
  <c r="I30" i="47"/>
  <c r="F150" i="28"/>
  <c r="P150" i="28"/>
  <c r="F32" i="28"/>
  <c r="P32" i="28"/>
  <c r="F28" i="28"/>
  <c r="P28" i="28"/>
  <c r="F21" i="28"/>
  <c r="P21" i="28"/>
  <c r="F17" i="28"/>
  <c r="P17" i="28"/>
  <c r="F13" i="28"/>
  <c r="P13" i="28"/>
  <c r="D26" i="41"/>
  <c r="L26" i="41" s="1"/>
  <c r="I26" i="41"/>
  <c r="K26" i="41" s="1"/>
  <c r="D22" i="41"/>
  <c r="L22" i="41" s="1"/>
  <c r="I22" i="41"/>
  <c r="K22" i="41" s="1"/>
  <c r="D12" i="40"/>
  <c r="K2" i="40" s="1"/>
  <c r="L26" i="40"/>
  <c r="G27" i="51"/>
  <c r="G28" i="51"/>
  <c r="S30" i="60"/>
  <c r="S33" i="60" s="1"/>
  <c r="R33" i="60"/>
  <c r="N18" i="31"/>
  <c r="T56" i="77"/>
  <c r="N56" i="77"/>
  <c r="I68" i="43"/>
  <c r="AD181" i="10"/>
  <c r="AD150" i="10"/>
  <c r="AD126" i="10"/>
  <c r="AD124" i="10"/>
  <c r="G93" i="14"/>
  <c r="H93" i="14" s="1"/>
  <c r="G49" i="14"/>
  <c r="H49" i="14" s="1"/>
  <c r="G47" i="14"/>
  <c r="H47" i="14" s="1"/>
  <c r="G45" i="14"/>
  <c r="H45" i="14" s="1"/>
  <c r="Q31" i="40"/>
  <c r="U29" i="59"/>
  <c r="AC8" i="28"/>
  <c r="AB151" i="28"/>
  <c r="AD142" i="28"/>
  <c r="AD29" i="28"/>
  <c r="AD27" i="28"/>
  <c r="AD25" i="28"/>
  <c r="AD23" i="28"/>
  <c r="AD151" i="10"/>
  <c r="AD162" i="10"/>
  <c r="AD156" i="10"/>
  <c r="AD252" i="10"/>
  <c r="AC252" i="10" s="1"/>
  <c r="BJ35" i="91"/>
  <c r="G16" i="14"/>
  <c r="H16" i="14" s="1"/>
  <c r="T19" i="110"/>
  <c r="T17" i="110"/>
  <c r="X35" i="110"/>
  <c r="R21" i="110"/>
  <c r="AH19" i="110"/>
  <c r="AH17" i="110"/>
  <c r="S78" i="112"/>
  <c r="S74" i="112"/>
  <c r="S71" i="112"/>
  <c r="S67" i="112"/>
  <c r="R38" i="112"/>
  <c r="AD187" i="10"/>
  <c r="AD173" i="10"/>
  <c r="AD171" i="10"/>
  <c r="AD141" i="10"/>
  <c r="AD135" i="10"/>
  <c r="AD123" i="10"/>
  <c r="Y35" i="10"/>
  <c r="C52" i="14"/>
  <c r="P23" i="76"/>
  <c r="W23" i="76" s="1"/>
  <c r="AC141" i="28"/>
  <c r="AD152" i="10"/>
  <c r="AD154" i="10"/>
  <c r="AD157" i="10"/>
  <c r="G14" i="14"/>
  <c r="H14" i="14" s="1"/>
  <c r="C30" i="99"/>
  <c r="AA258" i="43"/>
  <c r="Z258" i="43" s="1"/>
  <c r="J68" i="43"/>
  <c r="J263" i="43" s="1"/>
  <c r="AD267" i="10"/>
  <c r="AC267" i="10" s="1"/>
  <c r="AD175" i="10"/>
  <c r="AD129" i="10"/>
  <c r="AD120" i="10"/>
  <c r="U31" i="59"/>
  <c r="U26" i="59"/>
  <c r="G21" i="22"/>
  <c r="P23" i="22" s="1"/>
  <c r="G23" i="22" s="1"/>
  <c r="L23" i="22" s="1"/>
  <c r="AC152" i="28"/>
  <c r="AC148" i="28"/>
  <c r="AC28" i="28"/>
  <c r="AC24" i="28"/>
  <c r="AC20" i="28"/>
  <c r="AC17" i="28"/>
  <c r="AB146" i="28"/>
  <c r="AB143" i="28"/>
  <c r="AB36" i="28"/>
  <c r="AB28" i="28"/>
  <c r="AB24" i="28"/>
  <c r="AB20" i="28"/>
  <c r="AD156" i="28"/>
  <c r="AD143" i="28"/>
  <c r="AD28" i="28"/>
  <c r="AD26" i="28"/>
  <c r="AD24" i="28"/>
  <c r="AD22" i="28"/>
  <c r="AD158" i="10"/>
  <c r="AD163" i="10"/>
  <c r="AD229" i="10"/>
  <c r="AC229" i="10" s="1"/>
  <c r="R40" i="112"/>
  <c r="R36" i="112"/>
  <c r="H51" i="123"/>
  <c r="N9" i="84"/>
  <c r="P55" i="29"/>
  <c r="Z1" i="76" s="1"/>
  <c r="J24" i="76"/>
  <c r="J55" i="76"/>
  <c r="C42" i="127"/>
  <c r="E36" i="129"/>
  <c r="J1" i="128"/>
  <c r="I1" i="129"/>
  <c r="I2" i="87"/>
  <c r="H1" i="127"/>
  <c r="U81" i="69"/>
  <c r="V81" i="69"/>
  <c r="T86" i="69"/>
  <c r="W36" i="12"/>
  <c r="W227" i="10"/>
  <c r="L227" i="10" s="1"/>
  <c r="G47" i="40"/>
  <c r="H240" i="44"/>
  <c r="H242" i="44" s="1"/>
  <c r="O11" i="12"/>
  <c r="J43" i="7"/>
  <c r="J45" i="7" s="1"/>
  <c r="E18" i="78" s="1"/>
  <c r="AD38" i="10"/>
  <c r="AD15" i="10"/>
  <c r="AD11" i="10"/>
  <c r="K261" i="43"/>
  <c r="I261" i="43"/>
  <c r="G261" i="43"/>
  <c r="F261" i="43"/>
  <c r="AD261" i="10"/>
  <c r="AD179" i="10"/>
  <c r="N179" i="10"/>
  <c r="AD147" i="10"/>
  <c r="AD36" i="10"/>
  <c r="AP11" i="10"/>
  <c r="S24" i="25"/>
  <c r="L24" i="25" s="1"/>
  <c r="M24" i="25" s="1"/>
  <c r="S23" i="25"/>
  <c r="L23" i="25" s="1"/>
  <c r="M23" i="25" s="1"/>
  <c r="AD20" i="28"/>
  <c r="AD16" i="28"/>
  <c r="AD15" i="28"/>
  <c r="AD161" i="10"/>
  <c r="AD164" i="10"/>
  <c r="AD170" i="10"/>
  <c r="AD254" i="10"/>
  <c r="AC254" i="10" s="1"/>
  <c r="AD130" i="10"/>
  <c r="AD127" i="10"/>
  <c r="AD77" i="10"/>
  <c r="AC77" i="10" s="1"/>
  <c r="X77" i="10" s="1"/>
  <c r="AD76" i="10"/>
  <c r="AC76" i="10" s="1"/>
  <c r="X76" i="10" s="1"/>
  <c r="AP36" i="10"/>
  <c r="Y16" i="10"/>
  <c r="W13" i="10"/>
  <c r="G146" i="14"/>
  <c r="H146" i="14" s="1"/>
  <c r="G145" i="14"/>
  <c r="H145" i="14" s="1"/>
  <c r="G144" i="14"/>
  <c r="H144" i="14" s="1"/>
  <c r="G143" i="14"/>
  <c r="H143" i="14" s="1"/>
  <c r="G142" i="14"/>
  <c r="H142" i="14" s="1"/>
  <c r="G135" i="14"/>
  <c r="H135" i="14" s="1"/>
  <c r="G133" i="14"/>
  <c r="H133" i="14" s="1"/>
  <c r="G120" i="14"/>
  <c r="H120" i="14" s="1"/>
  <c r="G119" i="14"/>
  <c r="H119" i="14" s="1"/>
  <c r="G118" i="14"/>
  <c r="H118" i="14" s="1"/>
  <c r="G117" i="14"/>
  <c r="U30" i="59"/>
  <c r="U27" i="59"/>
  <c r="P102" i="60"/>
  <c r="D21" i="14"/>
  <c r="O26" i="14" s="1"/>
  <c r="C30" i="97"/>
  <c r="R32" i="100"/>
  <c r="O21" i="111"/>
  <c r="F22" i="111" s="1"/>
  <c r="L22" i="111" s="1"/>
  <c r="F19" i="126"/>
  <c r="F38" i="126"/>
  <c r="F39" i="126" s="1"/>
  <c r="O9" i="105"/>
  <c r="F19" i="108"/>
  <c r="N25" i="108" s="1"/>
  <c r="P11" i="111"/>
  <c r="J34" i="110"/>
  <c r="L34" i="110" s="1"/>
  <c r="W21" i="110"/>
  <c r="X21" i="110" s="1"/>
  <c r="T23" i="110" s="1"/>
  <c r="H23" i="110" s="1"/>
  <c r="T27" i="110" s="1"/>
  <c r="H27" i="110" s="1"/>
  <c r="T31" i="110" s="1"/>
  <c r="H31" i="110" s="1"/>
  <c r="T16" i="110"/>
  <c r="AI19" i="110"/>
  <c r="AG19" i="110"/>
  <c r="AI18" i="110"/>
  <c r="AG18" i="110"/>
  <c r="AI17" i="110"/>
  <c r="AG17" i="110"/>
  <c r="AI16" i="110"/>
  <c r="AH16" i="110"/>
  <c r="AG16" i="110"/>
  <c r="I9" i="112"/>
  <c r="S70" i="112"/>
  <c r="S68" i="112"/>
  <c r="S66" i="112"/>
  <c r="AL27" i="112"/>
  <c r="S77" i="29"/>
  <c r="N30" i="110"/>
  <c r="S783" i="112"/>
  <c r="S79" i="112"/>
  <c r="S77" i="112"/>
  <c r="S75" i="112"/>
  <c r="S73" i="112"/>
  <c r="B24" i="109"/>
  <c r="H46" i="100"/>
  <c r="I46" i="100" s="1"/>
  <c r="R34" i="112"/>
  <c r="N66" i="102"/>
  <c r="N70" i="102"/>
  <c r="H70" i="102" s="1"/>
  <c r="N74" i="102"/>
  <c r="H74" i="102" s="1"/>
  <c r="N68" i="102"/>
  <c r="H68" i="102" s="1"/>
  <c r="N72" i="102"/>
  <c r="H72" i="102" s="1"/>
  <c r="N65" i="102"/>
  <c r="I65" i="102" s="1"/>
  <c r="K65" i="102" s="1"/>
  <c r="N69" i="102"/>
  <c r="H69" i="102" s="1"/>
  <c r="N73" i="102"/>
  <c r="H73" i="102" s="1"/>
  <c r="N67" i="102"/>
  <c r="H67" i="102" s="1"/>
  <c r="N71" i="102"/>
  <c r="H71" i="102" s="1"/>
  <c r="N11" i="102"/>
  <c r="I11" i="102" s="1"/>
  <c r="K11" i="102" s="1"/>
  <c r="N20" i="102"/>
  <c r="H20" i="102" s="1"/>
  <c r="N18" i="102"/>
  <c r="H18" i="102" s="1"/>
  <c r="N16" i="102"/>
  <c r="H16" i="102" s="1"/>
  <c r="N14" i="102"/>
  <c r="H14" i="102" s="1"/>
  <c r="N12" i="102"/>
  <c r="H12" i="102" s="1"/>
  <c r="N21" i="102"/>
  <c r="H21" i="102" s="1"/>
  <c r="N19" i="102"/>
  <c r="H19" i="102" s="1"/>
  <c r="N17" i="102"/>
  <c r="H17" i="102" s="1"/>
  <c r="N15" i="102"/>
  <c r="H15" i="102" s="1"/>
  <c r="N13" i="102"/>
  <c r="H13" i="102" s="1"/>
  <c r="E28" i="92"/>
  <c r="E32" i="87"/>
  <c r="G31" i="89"/>
  <c r="G9" i="89"/>
  <c r="M9" i="89" s="1"/>
  <c r="O16" i="90"/>
  <c r="J15" i="90"/>
  <c r="T15" i="90" s="1"/>
  <c r="N30" i="90"/>
  <c r="I30" i="90"/>
  <c r="M11" i="90"/>
  <c r="P28" i="90"/>
  <c r="U19" i="42"/>
  <c r="Q20" i="126" s="1"/>
  <c r="Y19" i="42"/>
  <c r="S20" i="126" s="1"/>
  <c r="T19" i="42"/>
  <c r="N20" i="126" s="1"/>
  <c r="G1" i="124"/>
  <c r="J29" i="92"/>
  <c r="Y48" i="42"/>
  <c r="S24" i="126" s="1"/>
  <c r="U48" i="42"/>
  <c r="Q24" i="126" s="1"/>
  <c r="T48" i="42"/>
  <c r="N24" i="126" s="1"/>
  <c r="X18" i="42"/>
  <c r="R19" i="126" s="1"/>
  <c r="T14" i="42"/>
  <c r="U14" i="42"/>
  <c r="Y14" i="42"/>
  <c r="J8" i="103"/>
  <c r="K8" i="103" s="1"/>
  <c r="L47" i="70"/>
  <c r="T18" i="42"/>
  <c r="N19" i="126" s="1"/>
  <c r="U18" i="42"/>
  <c r="Q19" i="126" s="1"/>
  <c r="Y18" i="42"/>
  <c r="S19" i="126" s="1"/>
  <c r="X19" i="42"/>
  <c r="R20" i="126" s="1"/>
  <c r="U5" i="42"/>
  <c r="Q6" i="126" s="1"/>
  <c r="Y5" i="42"/>
  <c r="S6" i="126" s="1"/>
  <c r="T5" i="42"/>
  <c r="N6" i="126" s="1"/>
  <c r="W34" i="12"/>
  <c r="R22" i="126"/>
  <c r="X48" i="42"/>
  <c r="R24" i="126" s="1"/>
  <c r="K27" i="92"/>
  <c r="I64" i="92"/>
  <c r="H34" i="100"/>
  <c r="I34" i="100" s="1"/>
  <c r="K16" i="92"/>
  <c r="N16" i="92" s="1"/>
  <c r="C127" i="13"/>
  <c r="D91" i="13"/>
  <c r="Q105" i="13" s="1"/>
  <c r="D123" i="13"/>
  <c r="H111" i="13"/>
  <c r="S22" i="126"/>
  <c r="Q22" i="126"/>
  <c r="N22" i="126"/>
  <c r="Y3" i="42"/>
  <c r="S4" i="126" s="1"/>
  <c r="T3" i="42"/>
  <c r="N4" i="126" s="1"/>
  <c r="U3" i="42"/>
  <c r="Q4" i="126" s="1"/>
  <c r="F127" i="13"/>
  <c r="L69" i="13"/>
  <c r="H84" i="13" s="1"/>
  <c r="N84" i="13" s="1"/>
  <c r="G91" i="13"/>
  <c r="T105" i="13" s="1"/>
  <c r="F82" i="13"/>
  <c r="O81" i="13"/>
  <c r="H81" i="13" s="1"/>
  <c r="N81" i="13" s="1"/>
  <c r="W3" i="42"/>
  <c r="P4" i="126" s="1"/>
  <c r="P33" i="126" s="1"/>
  <c r="V3" i="42"/>
  <c r="H44" i="100"/>
  <c r="I44" i="100" s="1"/>
  <c r="H29" i="100"/>
  <c r="Q100" i="43"/>
  <c r="D99" i="43" s="1"/>
  <c r="P99" i="43" s="1"/>
  <c r="AA100" i="43"/>
  <c r="E261" i="43"/>
  <c r="AA261" i="43" s="1"/>
  <c r="A24" i="43"/>
  <c r="Z24" i="43" s="1"/>
  <c r="H36" i="22"/>
  <c r="G36" i="22" s="1"/>
  <c r="R42" i="22" s="1"/>
  <c r="F7" i="41" s="1"/>
  <c r="K1" i="125"/>
  <c r="AD14" i="28"/>
  <c r="AB153" i="28"/>
  <c r="AB150" i="28"/>
  <c r="AB141" i="28"/>
  <c r="AB13" i="28"/>
  <c r="AB8" i="28"/>
  <c r="AD155" i="28"/>
  <c r="AD154" i="28"/>
  <c r="AD152" i="28"/>
  <c r="AD149" i="28"/>
  <c r="AD148" i="28"/>
  <c r="AD147" i="28"/>
  <c r="AD146" i="28"/>
  <c r="AD141" i="28"/>
  <c r="AD140" i="28"/>
  <c r="AD139" i="28"/>
  <c r="AD36" i="28"/>
  <c r="AD35" i="28"/>
  <c r="AD34" i="28"/>
  <c r="AD32" i="28"/>
  <c r="AD31" i="28"/>
  <c r="AD19" i="28"/>
  <c r="AD18" i="28"/>
  <c r="AD13" i="28"/>
  <c r="AD12" i="28"/>
  <c r="AD11" i="28"/>
  <c r="AD10" i="28"/>
  <c r="AD9" i="28"/>
  <c r="AD6" i="28"/>
  <c r="AC37" i="28"/>
  <c r="AB155" i="28"/>
  <c r="AB152" i="28"/>
  <c r="AB37" i="28"/>
  <c r="AB30" i="28"/>
  <c r="AB17" i="28"/>
  <c r="AD153" i="28"/>
  <c r="AD150" i="28"/>
  <c r="AD145" i="28"/>
  <c r="AD37" i="28"/>
  <c r="AD30" i="28"/>
  <c r="AD17" i="28"/>
  <c r="AD8" i="28"/>
  <c r="AD7" i="28"/>
  <c r="AD75" i="10"/>
  <c r="AC75" i="10" s="1"/>
  <c r="J75" i="10" s="1"/>
  <c r="I301" i="10"/>
  <c r="L6" i="10"/>
  <c r="V6" i="10" s="1"/>
  <c r="BA36" i="76"/>
  <c r="G13" i="103"/>
  <c r="K13" i="103" s="1"/>
  <c r="AC52" i="83"/>
  <c r="AE52" i="83" s="1"/>
  <c r="AA18" i="41"/>
  <c r="R30" i="100"/>
  <c r="T15" i="26"/>
  <c r="Z18" i="41"/>
  <c r="G34" i="100"/>
  <c r="V4" i="43"/>
  <c r="V5" i="43" s="1"/>
  <c r="H24" i="78"/>
  <c r="K24" i="78" s="1"/>
  <c r="W35" i="12"/>
  <c r="H26" i="78"/>
  <c r="W29" i="12"/>
  <c r="AC83" i="83"/>
  <c r="AE83" i="83" s="1"/>
  <c r="W31" i="12"/>
  <c r="W39" i="12"/>
  <c r="BA33" i="76"/>
  <c r="L46" i="70"/>
  <c r="K7" i="51"/>
  <c r="J7" i="51" s="1"/>
  <c r="N27" i="51"/>
  <c r="J4" i="51" s="1"/>
  <c r="P6" i="51" s="1"/>
  <c r="K34" i="51"/>
  <c r="N55" i="51"/>
  <c r="H83" i="123"/>
  <c r="G47" i="125"/>
  <c r="N18" i="91"/>
  <c r="J18" i="91" s="1"/>
  <c r="M18" i="91" s="1"/>
  <c r="J7" i="91"/>
  <c r="M45" i="125"/>
  <c r="M44" i="125"/>
  <c r="M38" i="125"/>
  <c r="M34" i="125"/>
  <c r="J16" i="91"/>
  <c r="L16" i="91" s="1"/>
  <c r="W27" i="12"/>
  <c r="W33" i="12"/>
  <c r="B5" i="43"/>
  <c r="B4" i="122" s="1"/>
  <c r="W40" i="12"/>
  <c r="W25" i="12"/>
  <c r="W26" i="12"/>
  <c r="V13" i="69"/>
  <c r="U13" i="69"/>
  <c r="V8" i="69"/>
  <c r="U8" i="69"/>
  <c r="AC164" i="10"/>
  <c r="X164" i="10" s="1"/>
  <c r="U164" i="10"/>
  <c r="Y164" i="10" s="1"/>
  <c r="AC4" i="28"/>
  <c r="AB4" i="28"/>
  <c r="AD4" i="28"/>
  <c r="N145" i="60"/>
  <c r="AC77" i="83"/>
  <c r="AE77" i="83" s="1"/>
  <c r="AC20" i="83"/>
  <c r="AE20" i="83" s="1"/>
  <c r="L11" i="91"/>
  <c r="I1" i="103"/>
  <c r="O1" i="123"/>
  <c r="BA42" i="76"/>
  <c r="BA41" i="76"/>
  <c r="AB270" i="10"/>
  <c r="AB269" i="10"/>
  <c r="AB268" i="10"/>
  <c r="AB267" i="10"/>
  <c r="AB266" i="10"/>
  <c r="AB265" i="10"/>
  <c r="AB264" i="10"/>
  <c r="AB263" i="10"/>
  <c r="AB262" i="10"/>
  <c r="AB261" i="10"/>
  <c r="AB260" i="10"/>
  <c r="AB259" i="10"/>
  <c r="AB258" i="10"/>
  <c r="AB257" i="10"/>
  <c r="AB256" i="10"/>
  <c r="AB255" i="10"/>
  <c r="AB254" i="10"/>
  <c r="AB253" i="10"/>
  <c r="AB252" i="10"/>
  <c r="AB251" i="10"/>
  <c r="AB229" i="10"/>
  <c r="A49" i="83"/>
  <c r="V31" i="84"/>
  <c r="A57" i="83"/>
  <c r="AC81" i="83"/>
  <c r="AE81" i="83" s="1"/>
  <c r="AB228" i="10"/>
  <c r="A69" i="83"/>
  <c r="A16" i="83"/>
  <c r="AC49" i="83"/>
  <c r="AE49" i="83" s="1"/>
  <c r="A65" i="83"/>
  <c r="AO256" i="10"/>
  <c r="AI252" i="10"/>
  <c r="AC16" i="83"/>
  <c r="AE16" i="83" s="1"/>
  <c r="BF38" i="77"/>
  <c r="A53" i="83"/>
  <c r="A73" i="83"/>
  <c r="AU269" i="10"/>
  <c r="AC73" i="83"/>
  <c r="AE73" i="83" s="1"/>
  <c r="A12" i="83"/>
  <c r="BA32" i="76"/>
  <c r="A61" i="83"/>
  <c r="L41" i="57"/>
  <c r="H10" i="100"/>
  <c r="I10" i="100" s="1"/>
  <c r="P32" i="103"/>
  <c r="Q32" i="103" s="1"/>
  <c r="F44" i="70" s="1"/>
  <c r="W147" i="10"/>
  <c r="G35" i="70"/>
  <c r="F35" i="70" s="1"/>
  <c r="J35" i="70" s="1"/>
  <c r="L35" i="70" s="1"/>
  <c r="S30" i="78"/>
  <c r="AK162" i="10"/>
  <c r="AJ266" i="10"/>
  <c r="T19" i="109"/>
  <c r="T23" i="109" s="1"/>
  <c r="H23" i="109" s="1"/>
  <c r="C25" i="97"/>
  <c r="C27" i="97" s="1"/>
  <c r="E32" i="97"/>
  <c r="G32" i="97" s="1"/>
  <c r="E34" i="97"/>
  <c r="G34" i="97" s="1"/>
  <c r="E26" i="97"/>
  <c r="G26" i="97" s="1"/>
  <c r="E29" i="97"/>
  <c r="G29" i="97" s="1"/>
  <c r="BB59" i="43"/>
  <c r="AB122" i="14" s="1"/>
  <c r="A122" i="14" s="1"/>
  <c r="BE36" i="43"/>
  <c r="N30" i="29" s="1"/>
  <c r="H30" i="29" s="1"/>
  <c r="M30" i="29" s="1"/>
  <c r="H68" i="43"/>
  <c r="A66" i="43"/>
  <c r="R25" i="7"/>
  <c r="I25" i="7" s="1"/>
  <c r="L9" i="91"/>
  <c r="BB13" i="77"/>
  <c r="S25" i="77" s="1"/>
  <c r="Z12" i="43"/>
  <c r="Z99" i="43"/>
  <c r="Z265" i="43"/>
  <c r="Z264" i="43"/>
  <c r="Z16" i="44"/>
  <c r="Z100" i="44"/>
  <c r="Z132" i="44"/>
  <c r="Z174" i="44"/>
  <c r="Z240" i="44"/>
  <c r="Z251" i="44"/>
  <c r="Z260" i="44"/>
  <c r="Z6" i="44"/>
  <c r="Z17" i="44"/>
  <c r="Z99" i="44"/>
  <c r="Z131" i="44"/>
  <c r="Z173" i="44"/>
  <c r="Z217" i="44"/>
  <c r="Z239" i="44"/>
  <c r="Z261" i="44"/>
  <c r="Z263" i="44"/>
  <c r="AC18" i="83"/>
  <c r="AE18" i="83" s="1"/>
  <c r="L22" i="78"/>
  <c r="M4" i="43"/>
  <c r="A67" i="83"/>
  <c r="A59" i="83"/>
  <c r="AI265" i="10"/>
  <c r="AK126" i="10"/>
  <c r="AZ254" i="10"/>
  <c r="AK268" i="10"/>
  <c r="AZ266" i="10"/>
  <c r="AN264" i="10"/>
  <c r="X23" i="92"/>
  <c r="P88" i="60"/>
  <c r="Y88" i="60" s="1"/>
  <c r="Z88" i="60" s="1"/>
  <c r="I88" i="60" s="1"/>
  <c r="A14" i="83"/>
  <c r="AJ261" i="10"/>
  <c r="AZ253" i="10"/>
  <c r="W181" i="10"/>
  <c r="AV261" i="10"/>
  <c r="AK165" i="10"/>
  <c r="AC251" i="10"/>
  <c r="K118" i="60"/>
  <c r="BA38" i="76"/>
  <c r="P89" i="60"/>
  <c r="Y89" i="60" s="1"/>
  <c r="Z89" i="60" s="1"/>
  <c r="I89" i="60" s="1"/>
  <c r="AC75" i="83"/>
  <c r="AE75" i="83" s="1"/>
  <c r="W138" i="10"/>
  <c r="AJ269" i="10"/>
  <c r="AO254" i="10"/>
  <c r="AL255" i="10"/>
  <c r="H1" i="26"/>
  <c r="AI259" i="10"/>
  <c r="AN251" i="10"/>
  <c r="O59" i="51"/>
  <c r="AF86" i="83"/>
  <c r="P9" i="43"/>
  <c r="P295" i="43" s="1"/>
  <c r="D295" i="43" s="1"/>
  <c r="AJ252" i="10"/>
  <c r="AZ265" i="10"/>
  <c r="AZ263" i="10"/>
  <c r="W152" i="10"/>
  <c r="AU228" i="10"/>
  <c r="AK258" i="10"/>
  <c r="AI264" i="10"/>
  <c r="AK186" i="10"/>
  <c r="W121" i="10"/>
  <c r="AK125" i="10"/>
  <c r="AL264" i="10"/>
  <c r="AU254" i="10"/>
  <c r="BA17" i="76"/>
  <c r="A83" i="83"/>
  <c r="A54" i="83"/>
  <c r="A79" i="83"/>
  <c r="E1" i="93"/>
  <c r="AC71" i="83"/>
  <c r="AE71" i="83" s="1"/>
  <c r="AC51" i="83"/>
  <c r="AE51" i="83" s="1"/>
  <c r="A47" i="83"/>
  <c r="AC67" i="83"/>
  <c r="AE67" i="83" s="1"/>
  <c r="AL251" i="10"/>
  <c r="AO259" i="10"/>
  <c r="AK142" i="10"/>
  <c r="AN228" i="10"/>
  <c r="AN255" i="10"/>
  <c r="AK160" i="10"/>
  <c r="W155" i="10"/>
  <c r="W183" i="10"/>
  <c r="AV262" i="10"/>
  <c r="AK118" i="10"/>
  <c r="W173" i="10"/>
  <c r="W127" i="10"/>
  <c r="AO270" i="10"/>
  <c r="AK135" i="10"/>
  <c r="AI261" i="10"/>
  <c r="AZ269" i="10"/>
  <c r="W188" i="10"/>
  <c r="AZ258" i="10"/>
  <c r="W141" i="10"/>
  <c r="AK131" i="10"/>
  <c r="L34" i="59"/>
  <c r="AC55" i="83"/>
  <c r="AE55" i="83" s="1"/>
  <c r="AJ260" i="10"/>
  <c r="AU253" i="10"/>
  <c r="AK140" i="10"/>
  <c r="F1" i="105"/>
  <c r="AN268" i="10"/>
  <c r="AK132" i="10"/>
  <c r="P59" i="51"/>
  <c r="V148" i="60"/>
  <c r="V149" i="60" s="1"/>
  <c r="E1" i="97"/>
  <c r="W168" i="10"/>
  <c r="AK178" i="10"/>
  <c r="AK262" i="10"/>
  <c r="W139" i="10"/>
  <c r="AZ252" i="10"/>
  <c r="AO255" i="10"/>
  <c r="AY264" i="10"/>
  <c r="AZ262" i="10"/>
  <c r="AJ254" i="10"/>
  <c r="AJ257" i="10"/>
  <c r="AU257" i="10"/>
  <c r="W167" i="10"/>
  <c r="AZ227" i="10"/>
  <c r="H7" i="41"/>
  <c r="W7" i="41" s="1"/>
  <c r="BA40" i="76"/>
  <c r="D6" i="43"/>
  <c r="AC74" i="83"/>
  <c r="AE74" i="83" s="1"/>
  <c r="I1" i="91"/>
  <c r="A63" i="83"/>
  <c r="BA30" i="76"/>
  <c r="W126" i="10"/>
  <c r="AK184" i="10"/>
  <c r="AO264" i="10"/>
  <c r="W118" i="10"/>
  <c r="AL258" i="10"/>
  <c r="AN258" i="10"/>
  <c r="AI262" i="10"/>
  <c r="AJ265" i="10"/>
  <c r="W140" i="10"/>
  <c r="AY229" i="10"/>
  <c r="AI263" i="10"/>
  <c r="W170" i="10"/>
  <c r="AK177" i="10"/>
  <c r="AV264" i="10"/>
  <c r="W123" i="10"/>
  <c r="AN254" i="10"/>
  <c r="AL267" i="10"/>
  <c r="AI253" i="10"/>
  <c r="AU262" i="10"/>
  <c r="AO261" i="10"/>
  <c r="I1" i="58"/>
  <c r="AK154" i="10"/>
  <c r="AN257" i="10"/>
  <c r="W184" i="10"/>
  <c r="E1" i="2"/>
  <c r="L21" i="78"/>
  <c r="AK172" i="10"/>
  <c r="AZ260" i="10"/>
  <c r="N46" i="60"/>
  <c r="J48" i="60" s="1"/>
  <c r="L48" i="60" s="1"/>
  <c r="R32" i="7"/>
  <c r="S32" i="7" s="1"/>
  <c r="U32" i="7" s="1"/>
  <c r="J32" i="7" s="1"/>
  <c r="H8" i="41"/>
  <c r="V8" i="41" s="1"/>
  <c r="BA39" i="76"/>
  <c r="AC54" i="83"/>
  <c r="AE54" i="83" s="1"/>
  <c r="AC62" i="83"/>
  <c r="AE62" i="83" s="1"/>
  <c r="A62" i="83"/>
  <c r="A74" i="83"/>
  <c r="AC50" i="83"/>
  <c r="AE50" i="83" s="1"/>
  <c r="R24" i="7"/>
  <c r="S24" i="7" s="1"/>
  <c r="U24" i="7" s="1"/>
  <c r="J24" i="7" s="1"/>
  <c r="R19" i="7"/>
  <c r="I19" i="7" s="1"/>
  <c r="U46" i="31"/>
  <c r="AY13" i="77"/>
  <c r="Q25" i="77" s="1"/>
  <c r="D4" i="104"/>
  <c r="N83" i="30"/>
  <c r="R29" i="7"/>
  <c r="I29" i="7" s="1"/>
  <c r="R21" i="7"/>
  <c r="S21" i="7" s="1"/>
  <c r="U21" i="7" s="1"/>
  <c r="J21" i="7" s="1"/>
  <c r="X22" i="92"/>
  <c r="V90" i="60"/>
  <c r="V91" i="60" s="1"/>
  <c r="V32" i="60"/>
  <c r="V33" i="60" s="1"/>
  <c r="BE14" i="3"/>
  <c r="E146" i="2" s="1"/>
  <c r="X24" i="92"/>
  <c r="X20" i="92"/>
  <c r="X16" i="92"/>
  <c r="AJ229" i="10"/>
  <c r="AL257" i="10"/>
  <c r="AK158" i="10"/>
  <c r="W128" i="10"/>
  <c r="AL259" i="10"/>
  <c r="W154" i="10"/>
  <c r="AV269" i="10"/>
  <c r="AO228" i="10"/>
  <c r="AK150" i="10"/>
  <c r="AK123" i="10"/>
  <c r="AU270" i="10"/>
  <c r="AU266" i="10"/>
  <c r="AI260" i="10"/>
  <c r="AK182" i="10"/>
  <c r="W146" i="10"/>
  <c r="W122" i="10"/>
  <c r="AZ229" i="10"/>
  <c r="AZ255" i="10"/>
  <c r="AK255" i="10"/>
  <c r="AK168" i="10"/>
  <c r="AV266" i="10"/>
  <c r="AK144" i="10"/>
  <c r="AJ256" i="10"/>
  <c r="AV229" i="10"/>
  <c r="W161" i="10"/>
  <c r="AJ267" i="10"/>
  <c r="AN265" i="10"/>
  <c r="W185" i="10"/>
  <c r="W143" i="10"/>
  <c r="AI270" i="10"/>
  <c r="AI266" i="10"/>
  <c r="AL263" i="10"/>
  <c r="AK260" i="10"/>
  <c r="W186" i="10"/>
  <c r="AK146" i="10"/>
  <c r="AK122" i="10"/>
  <c r="AY263" i="10"/>
  <c r="AZ267" i="10"/>
  <c r="AJ258" i="10"/>
  <c r="W179" i="10"/>
  <c r="AV254" i="10"/>
  <c r="AK170" i="10"/>
  <c r="AV267" i="10"/>
  <c r="W145" i="10"/>
  <c r="AI255" i="10"/>
  <c r="AO257" i="10"/>
  <c r="W156" i="10"/>
  <c r="W158" i="10"/>
  <c r="AO266" i="10"/>
  <c r="AN262" i="10"/>
  <c r="AK183" i="10"/>
  <c r="AK139" i="10"/>
  <c r="AZ264" i="10"/>
  <c r="AL269" i="10"/>
  <c r="AL265" i="10"/>
  <c r="AJ262" i="10"/>
  <c r="AO227" i="10"/>
  <c r="W172" i="10"/>
  <c r="W131" i="10"/>
  <c r="AO229" i="10"/>
  <c r="AL252" i="10"/>
  <c r="AY267" i="10"/>
  <c r="W189" i="10"/>
  <c r="AJ251" i="10"/>
  <c r="AK155" i="10"/>
  <c r="AI269" i="10"/>
  <c r="AO260" i="10"/>
  <c r="W132" i="10"/>
  <c r="AK254" i="10"/>
  <c r="AY253" i="10"/>
  <c r="AV255" i="10"/>
  <c r="AJ259" i="10"/>
  <c r="AK159" i="10"/>
  <c r="AK179" i="10"/>
  <c r="AU255" i="10"/>
  <c r="AK161" i="10"/>
  <c r="AL266" i="10"/>
  <c r="W134" i="10"/>
  <c r="BA29" i="76"/>
  <c r="AI256" i="10"/>
  <c r="AK264" i="10"/>
  <c r="AK127" i="10"/>
  <c r="AV257" i="10"/>
  <c r="W153" i="10"/>
  <c r="AK269" i="10"/>
  <c r="AV227" i="10"/>
  <c r="AK148" i="10"/>
  <c r="W120" i="10"/>
  <c r="X11" i="31"/>
  <c r="AO269" i="10"/>
  <c r="AO265" i="10"/>
  <c r="AK228" i="10"/>
  <c r="W178" i="10"/>
  <c r="AK137" i="10"/>
  <c r="AK77" i="10"/>
  <c r="AY260" i="10"/>
  <c r="AK74" i="10"/>
  <c r="P74" i="10" s="1"/>
  <c r="S74" i="10" s="1"/>
  <c r="AY266" i="10"/>
  <c r="X141" i="10"/>
  <c r="O13" i="27"/>
  <c r="O14" i="27" s="1"/>
  <c r="O15" i="27" s="1"/>
  <c r="R27" i="7"/>
  <c r="S27" i="7" s="1"/>
  <c r="U27" i="7" s="1"/>
  <c r="J27" i="7" s="1"/>
  <c r="R23" i="7"/>
  <c r="I23" i="7" s="1"/>
  <c r="R22" i="7"/>
  <c r="S22" i="7" s="1"/>
  <c r="U22" i="7" s="1"/>
  <c r="J22" i="7" s="1"/>
  <c r="R18" i="7"/>
  <c r="S18" i="7" s="1"/>
  <c r="U18" i="7" s="1"/>
  <c r="J18" i="7" s="1"/>
  <c r="L71" i="30"/>
  <c r="D14" i="104"/>
  <c r="AD12" i="31"/>
  <c r="AE12" i="31"/>
  <c r="O4" i="60"/>
  <c r="G57" i="2" s="1"/>
  <c r="W29" i="89"/>
  <c r="I11" i="103"/>
  <c r="G34" i="103" s="1"/>
  <c r="I43" i="70" s="1"/>
  <c r="I61" i="70" s="1"/>
  <c r="H30" i="78"/>
  <c r="K30" i="78" s="1"/>
  <c r="AL256" i="10"/>
  <c r="AK166" i="10"/>
  <c r="W149" i="10"/>
  <c r="AI257" i="10"/>
  <c r="AK229" i="10"/>
  <c r="W160" i="10"/>
  <c r="AL260" i="10"/>
  <c r="AK174" i="10"/>
  <c r="AK134" i="10"/>
  <c r="AZ270" i="10"/>
  <c r="AU267" i="10"/>
  <c r="AN261" i="10"/>
  <c r="W191" i="10"/>
  <c r="W148" i="10"/>
  <c r="W130" i="10"/>
  <c r="AY261" i="10"/>
  <c r="AY228" i="10"/>
  <c r="AL254" i="10"/>
  <c r="AU229" i="10"/>
  <c r="AV268" i="10"/>
  <c r="AK173" i="10"/>
  <c r="AK75" i="10"/>
  <c r="P75" i="10" s="1"/>
  <c r="S75" i="10" s="1"/>
  <c r="AN256" i="10"/>
  <c r="W165" i="10"/>
  <c r="AJ268" i="10"/>
  <c r="AU265" i="10"/>
  <c r="AU260" i="10"/>
  <c r="W171" i="10"/>
  <c r="W124" i="10"/>
  <c r="AI267" i="10"/>
  <c r="AV263" i="10"/>
  <c r="AV260" i="10"/>
  <c r="AK191" i="10"/>
  <c r="W150" i="10"/>
  <c r="AK130" i="10"/>
  <c r="AO253" i="10"/>
  <c r="AU251" i="10"/>
  <c r="AZ268" i="10"/>
  <c r="AN253" i="10"/>
  <c r="AI254" i="10"/>
  <c r="AN269" i="10"/>
  <c r="AK176" i="10"/>
  <c r="W76" i="10"/>
  <c r="L76" i="10" s="1"/>
  <c r="AO258" i="10"/>
  <c r="AI251" i="10"/>
  <c r="W162" i="10"/>
  <c r="AO267" i="10"/>
  <c r="AO262" i="10"/>
  <c r="AK185" i="10"/>
  <c r="AK143" i="10"/>
  <c r="AK119" i="10"/>
  <c r="AK270" i="10"/>
  <c r="AK266" i="10"/>
  <c r="AO263" i="10"/>
  <c r="AI228" i="10"/>
  <c r="W176" i="10"/>
  <c r="W137" i="10"/>
  <c r="AY259" i="10"/>
  <c r="AV252" i="10"/>
  <c r="AZ259" i="10"/>
  <c r="AZ256" i="10"/>
  <c r="AK141" i="10"/>
  <c r="AJ255" i="10"/>
  <c r="AN263" i="10"/>
  <c r="AK133" i="10"/>
  <c r="AZ251" i="10"/>
  <c r="AY269" i="10"/>
  <c r="AY227" i="10"/>
  <c r="AY270" i="10"/>
  <c r="AL253" i="10"/>
  <c r="AK167" i="10"/>
  <c r="AK189" i="10"/>
  <c r="AK252" i="10"/>
  <c r="AK169" i="10"/>
  <c r="AL268" i="10"/>
  <c r="AK149" i="10"/>
  <c r="AV259" i="10"/>
  <c r="AK151" i="10"/>
  <c r="AK145" i="10"/>
  <c r="AV258" i="10"/>
  <c r="W157" i="10"/>
  <c r="W159" i="10"/>
  <c r="AJ228" i="10"/>
  <c r="W174" i="10"/>
  <c r="W129" i="10"/>
  <c r="AN270" i="10"/>
  <c r="AN266" i="10"/>
  <c r="AK261" i="10"/>
  <c r="W182" i="10"/>
  <c r="W144" i="10"/>
  <c r="AK121" i="10"/>
  <c r="AY257" i="10"/>
  <c r="H9" i="41"/>
  <c r="W9" i="41" s="1"/>
  <c r="J97" i="9"/>
  <c r="K102" i="9" s="1"/>
  <c r="N102" i="9" s="1"/>
  <c r="AV251" i="10"/>
  <c r="AK156" i="10"/>
  <c r="AK188" i="10"/>
  <c r="W77" i="10"/>
  <c r="AU256" i="10"/>
  <c r="W164" i="10"/>
  <c r="AC261" i="10"/>
  <c r="AK180" i="10"/>
  <c r="AK138" i="10"/>
  <c r="AY256" i="10"/>
  <c r="AU268" i="10"/>
  <c r="AJ263" i="10"/>
  <c r="AI227" i="10"/>
  <c r="W175" i="10"/>
  <c r="W133" i="10"/>
  <c r="AY254" i="10"/>
  <c r="AK251" i="10"/>
  <c r="AV253" i="10"/>
  <c r="AN229" i="10"/>
  <c r="AK253" i="10"/>
  <c r="AV270" i="10"/>
  <c r="AN227" i="10"/>
  <c r="AK124" i="10"/>
  <c r="AV256" i="10"/>
  <c r="W169" i="10"/>
  <c r="AJ270" i="10"/>
  <c r="AV265" i="10"/>
  <c r="AL261" i="10"/>
  <c r="W177" i="10"/>
  <c r="W135" i="10"/>
  <c r="AI268" i="10"/>
  <c r="AU264" i="10"/>
  <c r="AU261" i="10"/>
  <c r="AK227" i="10"/>
  <c r="AK175" i="10"/>
  <c r="AK136" i="10"/>
  <c r="AY268" i="10"/>
  <c r="AY258" i="10"/>
  <c r="AZ261" i="10"/>
  <c r="AU258" i="10"/>
  <c r="AJ253" i="10"/>
  <c r="AK259" i="10"/>
  <c r="W151" i="10"/>
  <c r="AL228" i="10"/>
  <c r="W125" i="10"/>
  <c r="AI258" i="10"/>
  <c r="AU252" i="10"/>
  <c r="W166" i="10"/>
  <c r="AO268" i="10"/>
  <c r="AK263" i="10"/>
  <c r="AJ227" i="10"/>
  <c r="AK171" i="10"/>
  <c r="AK128" i="10"/>
  <c r="AY262" i="10"/>
  <c r="AK267" i="10"/>
  <c r="AJ264" i="10"/>
  <c r="AN260" i="10"/>
  <c r="AK181" i="10"/>
  <c r="W142" i="10"/>
  <c r="W119" i="10"/>
  <c r="AY255" i="10"/>
  <c r="AY252" i="10"/>
  <c r="AK256" i="10"/>
  <c r="AK163" i="10"/>
  <c r="AK187" i="10"/>
  <c r="AN259" i="10"/>
  <c r="AK152" i="10"/>
  <c r="AK265" i="10"/>
  <c r="W190" i="10"/>
  <c r="W75" i="10"/>
  <c r="L75" i="10" s="1"/>
  <c r="AZ257" i="10"/>
  <c r="AI229" i="10"/>
  <c r="AY265" i="10"/>
  <c r="AL229" i="10"/>
  <c r="AK157" i="10"/>
  <c r="AV228" i="10"/>
  <c r="AZ228" i="10"/>
  <c r="AO252" i="10"/>
  <c r="AL270" i="10"/>
  <c r="AL227" i="10"/>
  <c r="AK120" i="10"/>
  <c r="AK257" i="10"/>
  <c r="AK164" i="10"/>
  <c r="W187" i="10"/>
  <c r="AK76" i="10"/>
  <c r="AU259" i="10"/>
  <c r="AN252" i="10"/>
  <c r="W163" i="10"/>
  <c r="AU263" i="10"/>
  <c r="W180" i="10"/>
  <c r="W136" i="10"/>
  <c r="AN267" i="10"/>
  <c r="AL262" i="10"/>
  <c r="AK190" i="10"/>
  <c r="AK147" i="10"/>
  <c r="AK129" i="10"/>
  <c r="AO251" i="10"/>
  <c r="AY251" i="10"/>
  <c r="AK153" i="10"/>
  <c r="B52" i="123"/>
  <c r="W74" i="10"/>
  <c r="L74" i="10" s="1"/>
  <c r="X21" i="92"/>
  <c r="X17" i="92"/>
  <c r="T29" i="90"/>
  <c r="B5" i="96"/>
  <c r="H45" i="100"/>
  <c r="I45" i="100" s="1"/>
  <c r="X147" i="60"/>
  <c r="Z147" i="60" s="1"/>
  <c r="J12" i="84"/>
  <c r="L12" i="84" s="1"/>
  <c r="AB31" i="31"/>
  <c r="I1" i="47"/>
  <c r="K2" i="60"/>
  <c r="E1" i="101"/>
  <c r="M1" i="106"/>
  <c r="I12" i="84"/>
  <c r="R1" i="31"/>
  <c r="E16" i="31"/>
  <c r="U16" i="31" s="1"/>
  <c r="J1" i="7"/>
  <c r="AA1" i="83"/>
  <c r="I2" i="94"/>
  <c r="H4" i="43"/>
  <c r="H43" i="100"/>
  <c r="I43" i="100" s="1"/>
  <c r="H16" i="41"/>
  <c r="AA16" i="41" s="1"/>
  <c r="BA44" i="76"/>
  <c r="G15" i="103"/>
  <c r="K15" i="103" s="1"/>
  <c r="G36" i="103"/>
  <c r="K36" i="103" s="1"/>
  <c r="A56" i="83"/>
  <c r="I9" i="84"/>
  <c r="E1" i="14"/>
  <c r="L4" i="43"/>
  <c r="R1" i="69"/>
  <c r="G1" i="46"/>
  <c r="I4" i="43"/>
  <c r="E1" i="99"/>
  <c r="H1" i="80"/>
  <c r="H1" i="40"/>
  <c r="I1" i="84"/>
  <c r="AC80" i="83"/>
  <c r="AE80" i="83" s="1"/>
  <c r="J2" i="59"/>
  <c r="AC10" i="83"/>
  <c r="AE10" i="83" s="1"/>
  <c r="AA17" i="31"/>
  <c r="F4" i="43"/>
  <c r="H1" i="41"/>
  <c r="E1" i="52"/>
  <c r="I1" i="30"/>
  <c r="H1" i="102"/>
  <c r="G1" i="100"/>
  <c r="W1" i="53"/>
  <c r="O87" i="60"/>
  <c r="X87" i="60" s="1"/>
  <c r="BA34" i="76"/>
  <c r="N1" i="10"/>
  <c r="K60" i="60"/>
  <c r="R20" i="7"/>
  <c r="AA11" i="31"/>
  <c r="AA24" i="31" s="1"/>
  <c r="V47" i="31"/>
  <c r="T11" i="90"/>
  <c r="M11" i="89"/>
  <c r="G36" i="70"/>
  <c r="F36" i="70" s="1"/>
  <c r="J36" i="70" s="1"/>
  <c r="T11" i="89"/>
  <c r="Y14" i="10"/>
  <c r="W14" i="10"/>
  <c r="W34" i="10"/>
  <c r="Y34" i="10"/>
  <c r="Y11" i="10"/>
  <c r="W11" i="10"/>
  <c r="W10" i="10"/>
  <c r="Y10" i="10"/>
  <c r="Y17" i="10"/>
  <c r="N17" i="10" s="1"/>
  <c r="W17" i="10"/>
  <c r="M17" i="10" s="1"/>
  <c r="M158" i="10"/>
  <c r="N158" i="10"/>
  <c r="L158" i="10"/>
  <c r="U158" i="10"/>
  <c r="Y158" i="10" s="1"/>
  <c r="AC158" i="10"/>
  <c r="X158" i="10" s="1"/>
  <c r="M161" i="10"/>
  <c r="AC161" i="10"/>
  <c r="X161" i="10" s="1"/>
  <c r="N161" i="10"/>
  <c r="L161" i="10"/>
  <c r="U161" i="10"/>
  <c r="Y161" i="10" s="1"/>
  <c r="Y38" i="10"/>
  <c r="W38" i="10"/>
  <c r="Y36" i="10"/>
  <c r="W36" i="10"/>
  <c r="M122" i="10"/>
  <c r="N122" i="10"/>
  <c r="AC122" i="10"/>
  <c r="X122" i="10" s="1"/>
  <c r="L122" i="10"/>
  <c r="U122" i="10"/>
  <c r="Y122" i="10" s="1"/>
  <c r="AC128" i="10"/>
  <c r="X128" i="10" s="1"/>
  <c r="M128" i="10"/>
  <c r="L128" i="10"/>
  <c r="N128" i="10"/>
  <c r="U128" i="10"/>
  <c r="Y128" i="10" s="1"/>
  <c r="N130" i="10"/>
  <c r="M130" i="10"/>
  <c r="AC130" i="10"/>
  <c r="X130" i="10" s="1"/>
  <c r="U130" i="10"/>
  <c r="Y130" i="10" s="1"/>
  <c r="L130" i="10"/>
  <c r="AC136" i="10"/>
  <c r="X136" i="10" s="1"/>
  <c r="N136" i="10"/>
  <c r="M136" i="10"/>
  <c r="L136" i="10"/>
  <c r="U136" i="10"/>
  <c r="Y136" i="10" s="1"/>
  <c r="M138" i="10"/>
  <c r="N138" i="10"/>
  <c r="U138" i="10"/>
  <c r="Y138" i="10" s="1"/>
  <c r="AC138" i="10"/>
  <c r="X138" i="10" s="1"/>
  <c r="L138" i="10"/>
  <c r="N148" i="10"/>
  <c r="M148" i="10"/>
  <c r="AC148" i="10"/>
  <c r="X148" i="10" s="1"/>
  <c r="L148" i="10"/>
  <c r="U148" i="10"/>
  <c r="Y148" i="10" s="1"/>
  <c r="M155" i="10"/>
  <c r="N155" i="10"/>
  <c r="AC155" i="10"/>
  <c r="X155" i="10" s="1"/>
  <c r="L155" i="10"/>
  <c r="U155" i="10"/>
  <c r="Y155" i="10" s="1"/>
  <c r="AC162" i="10"/>
  <c r="X162" i="10" s="1"/>
  <c r="L162" i="10"/>
  <c r="U162" i="10"/>
  <c r="Y162" i="10" s="1"/>
  <c r="AC176" i="10"/>
  <c r="X176" i="10" s="1"/>
  <c r="U176" i="10"/>
  <c r="Y176" i="10" s="1"/>
  <c r="M176" i="10"/>
  <c r="L176" i="10"/>
  <c r="N176" i="10"/>
  <c r="AC188" i="10"/>
  <c r="X188" i="10" s="1"/>
  <c r="L188" i="10"/>
  <c r="U188" i="10"/>
  <c r="Y188" i="10" s="1"/>
  <c r="M188" i="10"/>
  <c r="N188" i="10"/>
  <c r="U175" i="10"/>
  <c r="Y175" i="10" s="1"/>
  <c r="N150" i="10"/>
  <c r="L186" i="10"/>
  <c r="M132" i="10"/>
  <c r="N174" i="10"/>
  <c r="AC182" i="10"/>
  <c r="X182" i="10" s="1"/>
  <c r="Z182" i="10" s="1"/>
  <c r="AA182" i="10" s="1"/>
  <c r="AC118" i="10"/>
  <c r="X118" i="10" s="1"/>
  <c r="Z118" i="10" s="1"/>
  <c r="AA118" i="10" s="1"/>
  <c r="N129" i="10"/>
  <c r="AC134" i="10"/>
  <c r="X134" i="10" s="1"/>
  <c r="AC139" i="10"/>
  <c r="X139" i="10" s="1"/>
  <c r="L149" i="10"/>
  <c r="L177" i="10"/>
  <c r="L180" i="10"/>
  <c r="W35" i="10"/>
  <c r="U170" i="10"/>
  <c r="Y170" i="10" s="1"/>
  <c r="U140" i="10"/>
  <c r="Y140" i="10" s="1"/>
  <c r="U186" i="10"/>
  <c r="Y186" i="10" s="1"/>
  <c r="U183" i="10"/>
  <c r="Y183" i="10" s="1"/>
  <c r="U187" i="10"/>
  <c r="Y187" i="10" s="1"/>
  <c r="U177" i="10"/>
  <c r="Y177" i="10" s="1"/>
  <c r="U132" i="10"/>
  <c r="Y132" i="10" s="1"/>
  <c r="U134" i="10"/>
  <c r="Y134" i="10" s="1"/>
  <c r="U142" i="10"/>
  <c r="Y142" i="10" s="1"/>
  <c r="U166" i="10"/>
  <c r="Y166" i="10" s="1"/>
  <c r="U160" i="10"/>
  <c r="Y160" i="10" s="1"/>
  <c r="U124" i="10"/>
  <c r="Y124" i="10" s="1"/>
  <c r="U131" i="10"/>
  <c r="Y131" i="10" s="1"/>
  <c r="U180" i="10"/>
  <c r="Y180" i="10" s="1"/>
  <c r="U139" i="10"/>
  <c r="Y139" i="10" s="1"/>
  <c r="U179" i="10"/>
  <c r="Y179" i="10" s="1"/>
  <c r="U153" i="10"/>
  <c r="Y153" i="10" s="1"/>
  <c r="U178" i="10"/>
  <c r="Y178" i="10" s="1"/>
  <c r="I97" i="9"/>
  <c r="U149" i="10"/>
  <c r="Y149" i="10" s="1"/>
  <c r="U126" i="10"/>
  <c r="Y126" i="10" s="1"/>
  <c r="U150" i="10"/>
  <c r="Y150" i="10" s="1"/>
  <c r="AC172" i="10"/>
  <c r="X172" i="10" s="1"/>
  <c r="N172" i="10"/>
  <c r="AC189" i="10"/>
  <c r="X189" i="10" s="1"/>
  <c r="L131" i="10"/>
  <c r="L147" i="10"/>
  <c r="AC147" i="10"/>
  <c r="X147" i="10" s="1"/>
  <c r="AC179" i="10"/>
  <c r="X179" i="10" s="1"/>
  <c r="AC156" i="10"/>
  <c r="X156" i="10" s="1"/>
  <c r="L156" i="10"/>
  <c r="N146" i="10"/>
  <c r="L140" i="10"/>
  <c r="AC140" i="10"/>
  <c r="X140" i="10" s="1"/>
  <c r="N184" i="10"/>
  <c r="AC142" i="10"/>
  <c r="X142" i="10" s="1"/>
  <c r="AC124" i="10"/>
  <c r="X124" i="10" s="1"/>
  <c r="AC178" i="10"/>
  <c r="X178" i="10" s="1"/>
  <c r="N183" i="10"/>
  <c r="N153" i="10"/>
  <c r="N187" i="10"/>
  <c r="L163" i="10"/>
  <c r="AC137" i="10"/>
  <c r="X137" i="10" s="1"/>
  <c r="AC152" i="10"/>
  <c r="X152" i="10" s="1"/>
  <c r="AC120" i="10"/>
  <c r="X120" i="10" s="1"/>
  <c r="AC126" i="10"/>
  <c r="X126" i="10" s="1"/>
  <c r="L135" i="10"/>
  <c r="N135" i="10"/>
  <c r="L174" i="10"/>
  <c r="N170" i="10"/>
  <c r="AC170" i="10"/>
  <c r="X170" i="10" s="1"/>
  <c r="AC168" i="10"/>
  <c r="X168" i="10" s="1"/>
  <c r="L166" i="10"/>
  <c r="N166" i="10"/>
  <c r="L164" i="10"/>
  <c r="AC160" i="10"/>
  <c r="X160" i="10" s="1"/>
  <c r="L175" i="10"/>
  <c r="L178" i="10"/>
  <c r="L124" i="10"/>
  <c r="N144" i="10"/>
  <c r="L157" i="10"/>
  <c r="L184" i="10"/>
  <c r="AC186" i="10"/>
  <c r="X186" i="10" s="1"/>
  <c r="AC153" i="10"/>
  <c r="X153" i="10" s="1"/>
  <c r="L150" i="10"/>
  <c r="L190" i="10"/>
  <c r="L144" i="10"/>
  <c r="L142" i="10"/>
  <c r="AZ6" i="30"/>
  <c r="AC45" i="80"/>
  <c r="G62" i="2" s="1"/>
  <c r="D62" i="2" s="1"/>
  <c r="D24" i="80"/>
  <c r="D28" i="80" s="1"/>
  <c r="E20" i="80"/>
  <c r="J20" i="80" s="1"/>
  <c r="X18" i="92"/>
  <c r="X19" i="92"/>
  <c r="N162" i="60"/>
  <c r="J169" i="60" s="1"/>
  <c r="L169" i="60" s="1"/>
  <c r="W32" i="12"/>
  <c r="W37" i="12"/>
  <c r="W38" i="12"/>
  <c r="W30" i="12"/>
  <c r="W41" i="12"/>
  <c r="O10" i="84"/>
  <c r="I10" i="84"/>
  <c r="F27" i="95"/>
  <c r="J27" i="95" s="1"/>
  <c r="B5" i="95"/>
  <c r="G19" i="103"/>
  <c r="K19" i="103" s="1"/>
  <c r="G18" i="103"/>
  <c r="K18" i="103" s="1"/>
  <c r="M24" i="29"/>
  <c r="Q60" i="29"/>
  <c r="B54" i="1"/>
  <c r="F3" i="39"/>
  <c r="E53" i="84"/>
  <c r="G47" i="25"/>
  <c r="E142" i="58"/>
  <c r="U3" i="77"/>
  <c r="G106" i="69"/>
  <c r="C251" i="80"/>
  <c r="E32" i="90"/>
  <c r="D105" i="9"/>
  <c r="E59" i="59"/>
  <c r="E174" i="60"/>
  <c r="D61" i="16"/>
  <c r="D25" i="22"/>
  <c r="C75" i="48"/>
  <c r="C44" i="57"/>
  <c r="F3" i="29"/>
  <c r="D122" i="16"/>
  <c r="E46" i="58"/>
  <c r="B54" i="7"/>
  <c r="B39" i="99"/>
  <c r="E45" i="11"/>
  <c r="C54" i="40"/>
  <c r="K1" i="119"/>
  <c r="H1" i="22"/>
  <c r="E2" i="44"/>
  <c r="G1" i="8"/>
  <c r="I1" i="51"/>
  <c r="L1" i="29"/>
  <c r="E1" i="82"/>
  <c r="E4" i="43"/>
  <c r="J1" i="85"/>
  <c r="L1" i="57"/>
  <c r="G4" i="43"/>
  <c r="W1" i="77"/>
  <c r="L1" i="42"/>
  <c r="I1" i="74"/>
  <c r="J1" i="92"/>
  <c r="J4" i="43"/>
  <c r="J1" i="11"/>
  <c r="I1" i="96"/>
  <c r="G1" i="78"/>
  <c r="H1" i="48"/>
  <c r="P1" i="76"/>
  <c r="P25" i="76" s="1"/>
  <c r="I2" i="89"/>
  <c r="J1" i="9"/>
  <c r="I1" i="16"/>
  <c r="N4" i="43"/>
  <c r="H1" i="39"/>
  <c r="L1" i="13"/>
  <c r="I2" i="68"/>
  <c r="F1" i="107"/>
  <c r="I1" i="95"/>
  <c r="J1" i="81"/>
  <c r="I2" i="70"/>
  <c r="K4" i="43"/>
  <c r="J1" i="28"/>
  <c r="I2" i="90"/>
  <c r="X29" i="100"/>
  <c r="X30" i="100" s="1"/>
  <c r="X31" i="100" s="1"/>
  <c r="X32" i="100" s="1"/>
  <c r="F44" i="2"/>
  <c r="P31" i="60"/>
  <c r="Y31" i="60" s="1"/>
  <c r="Z31" i="60" s="1"/>
  <c r="I31" i="60" s="1"/>
  <c r="V58" i="77"/>
  <c r="Z58" i="77" s="1"/>
  <c r="AC76" i="83"/>
  <c r="AE76" i="83" s="1"/>
  <c r="A15" i="83"/>
  <c r="BA43" i="76"/>
  <c r="Z31" i="31"/>
  <c r="W64" i="78"/>
  <c r="E71" i="78" s="1"/>
  <c r="BF54" i="77" s="1"/>
  <c r="X15" i="92"/>
  <c r="F16" i="41"/>
  <c r="G16" i="41" s="1"/>
  <c r="E9" i="41"/>
  <c r="F9" i="41"/>
  <c r="H23" i="78"/>
  <c r="K23" i="78" s="1"/>
  <c r="L23" i="78"/>
  <c r="O146" i="60"/>
  <c r="P146" i="60" s="1"/>
  <c r="Y146" i="60" s="1"/>
  <c r="M149" i="60"/>
  <c r="O29" i="60"/>
  <c r="P29" i="60" s="1"/>
  <c r="M33" i="60"/>
  <c r="R31" i="76"/>
  <c r="BA31" i="76"/>
  <c r="R16" i="76"/>
  <c r="BA16" i="76"/>
  <c r="AC82" i="83"/>
  <c r="AE82" i="83" s="1"/>
  <c r="A82" i="83"/>
  <c r="AC78" i="83"/>
  <c r="AE78" i="83" s="1"/>
  <c r="AC72" i="83"/>
  <c r="AE72" i="83" s="1"/>
  <c r="A70" i="83"/>
  <c r="AC70" i="83"/>
  <c r="AE70" i="83" s="1"/>
  <c r="AC68" i="83"/>
  <c r="AE68" i="83" s="1"/>
  <c r="A66" i="83"/>
  <c r="AC64" i="83"/>
  <c r="AE64" i="83" s="1"/>
  <c r="A64" i="83"/>
  <c r="A60" i="83"/>
  <c r="AC60" i="83"/>
  <c r="AE60" i="83" s="1"/>
  <c r="AC58" i="83"/>
  <c r="AE58" i="83" s="1"/>
  <c r="A48" i="83"/>
  <c r="AC48" i="83"/>
  <c r="AE48" i="83" s="1"/>
  <c r="A46" i="83"/>
  <c r="AC19" i="83"/>
  <c r="AE19" i="83" s="1"/>
  <c r="A19" i="83"/>
  <c r="A17" i="83"/>
  <c r="A13" i="83"/>
  <c r="AC13" i="83"/>
  <c r="AE13" i="83" s="1"/>
  <c r="AC11" i="83"/>
  <c r="AE11" i="83" s="1"/>
  <c r="F8" i="41"/>
  <c r="E7" i="41"/>
  <c r="E8" i="41"/>
  <c r="AB5" i="28"/>
  <c r="I158" i="28"/>
  <c r="AE6" i="27"/>
  <c r="M17" i="27"/>
  <c r="P24" i="27" s="1"/>
  <c r="BA15" i="76"/>
  <c r="V14" i="31"/>
  <c r="E14" i="31" s="1"/>
  <c r="AB17" i="31"/>
  <c r="AF11" i="31"/>
  <c r="AF12" i="31" s="1"/>
  <c r="AB11" i="31"/>
  <c r="AB24" i="31" s="1"/>
  <c r="V11" i="31"/>
  <c r="Z11" i="31"/>
  <c r="Z24" i="31" s="1"/>
  <c r="D20" i="104"/>
  <c r="X31" i="31"/>
  <c r="X27" i="31"/>
  <c r="AA31" i="31"/>
  <c r="W33" i="59"/>
  <c r="J158" i="28"/>
  <c r="H158" i="28"/>
  <c r="H162" i="28" s="1"/>
  <c r="Z17" i="31"/>
  <c r="Z23" i="31" s="1"/>
  <c r="V17" i="31"/>
  <c r="N29" i="89"/>
  <c r="U46" i="77"/>
  <c r="O26" i="94"/>
  <c r="E27" i="94" s="1"/>
  <c r="K27" i="94" s="1"/>
  <c r="N30" i="94"/>
  <c r="M98" i="113"/>
  <c r="M99" i="113" s="1"/>
  <c r="E91" i="2" s="1"/>
  <c r="C91" i="2" s="1"/>
  <c r="G43" i="119"/>
  <c r="X145" i="60"/>
  <c r="M91" i="60"/>
  <c r="I1" i="112"/>
  <c r="I52" i="112" s="1"/>
  <c r="N104" i="60"/>
  <c r="I2" i="111"/>
  <c r="AH18" i="110"/>
  <c r="N22" i="109"/>
  <c r="F12" i="109" s="1"/>
  <c r="L12" i="109" s="1"/>
  <c r="X27" i="109"/>
  <c r="Y57" i="76"/>
  <c r="X57" i="76" s="1"/>
  <c r="M24" i="100"/>
  <c r="R37" i="39"/>
  <c r="AC155" i="28"/>
  <c r="L25" i="111"/>
  <c r="I22" i="111" s="1"/>
  <c r="F45" i="70" s="1"/>
  <c r="X22" i="31"/>
  <c r="Z7" i="31"/>
  <c r="G84" i="116"/>
  <c r="E27" i="117"/>
  <c r="F68" i="115"/>
  <c r="E67" i="114"/>
  <c r="E99" i="113"/>
  <c r="H1" i="109"/>
  <c r="H2" i="117"/>
  <c r="C23" i="117"/>
  <c r="K1" i="116"/>
  <c r="L2" i="115"/>
  <c r="H2" i="114"/>
  <c r="G1" i="113"/>
  <c r="R33" i="7"/>
  <c r="R31" i="7"/>
  <c r="B1" i="113"/>
  <c r="K93" i="77"/>
  <c r="GL93" i="77" s="1"/>
  <c r="W95" i="77" s="1"/>
  <c r="Y145" i="60"/>
  <c r="L48" i="70"/>
  <c r="E223" i="10"/>
  <c r="C48" i="41"/>
  <c r="F29" i="51"/>
  <c r="E53" i="68"/>
  <c r="D40" i="22"/>
  <c r="E23" i="12"/>
  <c r="C91" i="101"/>
  <c r="H51" i="106"/>
  <c r="E47" i="100"/>
  <c r="D124" i="102"/>
  <c r="F164" i="28"/>
  <c r="D75" i="78"/>
  <c r="E30" i="94"/>
  <c r="C48" i="96"/>
  <c r="B39" i="97"/>
  <c r="E32" i="89"/>
  <c r="D91" i="74"/>
  <c r="E27" i="27"/>
  <c r="C58" i="46"/>
  <c r="G3" i="30"/>
  <c r="E306" i="10"/>
  <c r="F56" i="51"/>
  <c r="C38" i="85"/>
  <c r="C23" i="26"/>
  <c r="D47" i="105"/>
  <c r="AC30" i="28"/>
  <c r="AD151" i="28"/>
  <c r="AD33" i="28"/>
  <c r="AD21" i="28"/>
  <c r="R30" i="7"/>
  <c r="R28" i="7"/>
  <c r="R26" i="7"/>
  <c r="G1" i="108"/>
  <c r="H1" i="110"/>
  <c r="AE47" i="40"/>
  <c r="Z47" i="40"/>
  <c r="F37" i="70"/>
  <c r="J37" i="70" s="1"/>
  <c r="L37" i="70" s="1"/>
  <c r="Y37" i="10"/>
  <c r="AK22" i="112"/>
  <c r="AO22" i="112"/>
  <c r="AC74" i="10"/>
  <c r="U74" i="10"/>
  <c r="P34" i="40"/>
  <c r="Y78" i="10" l="1"/>
  <c r="Y81" i="10"/>
  <c r="Y84" i="10"/>
  <c r="Y79" i="10"/>
  <c r="Y76" i="10"/>
  <c r="Z76" i="10" s="1"/>
  <c r="D174" i="44"/>
  <c r="G174" i="44" s="1"/>
  <c r="J174" i="44"/>
  <c r="I174" i="44"/>
  <c r="H174" i="44" s="1"/>
  <c r="H176" i="44" s="1"/>
  <c r="M263" i="43"/>
  <c r="N14" i="26"/>
  <c r="Y238" i="10"/>
  <c r="Z238" i="10" s="1"/>
  <c r="J17" i="89"/>
  <c r="T17" i="89" s="1"/>
  <c r="O26" i="59"/>
  <c r="O44" i="59" s="1"/>
  <c r="T15" i="89"/>
  <c r="N13" i="84"/>
  <c r="B35" i="91"/>
  <c r="N35" i="91" s="1"/>
  <c r="G35" i="91" s="1"/>
  <c r="L35" i="91" s="1"/>
  <c r="M35" i="91" s="1"/>
  <c r="R43" i="59"/>
  <c r="P43" i="59" s="1"/>
  <c r="J146" i="60"/>
  <c r="L146" i="60" s="1"/>
  <c r="Z79" i="10"/>
  <c r="G15" i="26"/>
  <c r="G16" i="26" s="1"/>
  <c r="J16" i="26" s="1"/>
  <c r="BA244" i="10"/>
  <c r="L26" i="94"/>
  <c r="H28" i="94" s="1"/>
  <c r="F39" i="70" s="1"/>
  <c r="J39" i="70" s="1"/>
  <c r="L39" i="70" s="1"/>
  <c r="M30" i="59"/>
  <c r="AT236" i="10"/>
  <c r="AS236" i="10" s="1"/>
  <c r="R30" i="40"/>
  <c r="G30" i="40" s="1"/>
  <c r="J30" i="40" s="1"/>
  <c r="O25" i="59"/>
  <c r="O43" i="59" s="1"/>
  <c r="Z50" i="40"/>
  <c r="J16" i="89"/>
  <c r="T16" i="89" s="1"/>
  <c r="Z86" i="10"/>
  <c r="M86" i="10" s="1"/>
  <c r="Z100" i="10"/>
  <c r="AA100" i="10" s="1"/>
  <c r="N27" i="59"/>
  <c r="BA24" i="31"/>
  <c r="BA25" i="31" s="1"/>
  <c r="N12" i="26"/>
  <c r="K28" i="94"/>
  <c r="Z185" i="10"/>
  <c r="AA185" i="10" s="1"/>
  <c r="H66" i="102"/>
  <c r="L34" i="100"/>
  <c r="H32" i="100" s="1"/>
  <c r="I32" i="100" s="1"/>
  <c r="V48" i="76"/>
  <c r="R34" i="40"/>
  <c r="G34" i="40" s="1"/>
  <c r="J34" i="40" s="1"/>
  <c r="AE48" i="40"/>
  <c r="E48" i="40" s="1"/>
  <c r="R31" i="40"/>
  <c r="G31" i="40" s="1"/>
  <c r="J31" i="40" s="1"/>
  <c r="R29" i="40"/>
  <c r="G29" i="40" s="1"/>
  <c r="J29" i="40" s="1"/>
  <c r="Q67" i="112"/>
  <c r="K67" i="112" s="1"/>
  <c r="L67" i="112" s="1"/>
  <c r="Q72" i="112"/>
  <c r="K72" i="112" s="1"/>
  <c r="L72" i="112" s="1"/>
  <c r="Q74" i="112"/>
  <c r="Q71" i="112"/>
  <c r="Q78" i="112"/>
  <c r="K78" i="112" s="1"/>
  <c r="L78" i="112" s="1"/>
  <c r="Q69" i="112"/>
  <c r="Q783" i="112"/>
  <c r="Q76" i="112"/>
  <c r="K76" i="112" s="1"/>
  <c r="L76" i="112" s="1"/>
  <c r="Q75" i="112"/>
  <c r="K75" i="112" s="1"/>
  <c r="Q66" i="112"/>
  <c r="Q73" i="112"/>
  <c r="K73" i="112" s="1"/>
  <c r="L73" i="112" s="1"/>
  <c r="Q80" i="112"/>
  <c r="Q79" i="112"/>
  <c r="Q70" i="112"/>
  <c r="K70" i="112" s="1"/>
  <c r="L70" i="112" s="1"/>
  <c r="Q77" i="112"/>
  <c r="Q68" i="112"/>
  <c r="K68" i="112" s="1"/>
  <c r="L68" i="112" s="1"/>
  <c r="Q782" i="112"/>
  <c r="L86" i="112"/>
  <c r="L84" i="112"/>
  <c r="L85" i="112"/>
  <c r="L75" i="112"/>
  <c r="O4" i="126"/>
  <c r="O33" i="126" s="1"/>
  <c r="I147" i="60"/>
  <c r="G163" i="60"/>
  <c r="C120" i="60"/>
  <c r="AC151" i="60"/>
  <c r="AC154" i="60" s="1"/>
  <c r="M49" i="101"/>
  <c r="E49" i="101" s="1"/>
  <c r="F49" i="101" s="1"/>
  <c r="AE51" i="40"/>
  <c r="E51" i="40" s="1"/>
  <c r="N29" i="59"/>
  <c r="Q19" i="59"/>
  <c r="S20" i="59" s="1"/>
  <c r="J41" i="59" s="1"/>
  <c r="N28" i="59"/>
  <c r="C122" i="60"/>
  <c r="O29" i="59"/>
  <c r="O47" i="59" s="1"/>
  <c r="M28" i="59"/>
  <c r="S47" i="59"/>
  <c r="Q47" i="59" s="1"/>
  <c r="F47" i="59" s="1"/>
  <c r="K47" i="59" s="1"/>
  <c r="L47" i="59" s="1"/>
  <c r="AC7" i="10"/>
  <c r="A7" i="10" s="1"/>
  <c r="Z49" i="40"/>
  <c r="P134" i="60"/>
  <c r="P119" i="60"/>
  <c r="P174" i="60"/>
  <c r="J174" i="60" s="1"/>
  <c r="O31" i="59"/>
  <c r="O49" i="59" s="1"/>
  <c r="J27" i="60"/>
  <c r="M25" i="59"/>
  <c r="R49" i="59"/>
  <c r="P49" i="59" s="1"/>
  <c r="N25" i="59"/>
  <c r="B82" i="58"/>
  <c r="N263" i="43"/>
  <c r="F19" i="95"/>
  <c r="J19" i="95" s="1"/>
  <c r="Z52" i="40"/>
  <c r="B2" i="76"/>
  <c r="R2" i="76" s="1"/>
  <c r="Q22" i="31"/>
  <c r="J22" i="31"/>
  <c r="E46" i="152"/>
  <c r="Z28" i="164"/>
  <c r="C46" i="26"/>
  <c r="F174" i="164"/>
  <c r="E193" i="163"/>
  <c r="BA15" i="31"/>
  <c r="BA16" i="31" s="1"/>
  <c r="AB23" i="31"/>
  <c r="R22" i="31" s="1"/>
  <c r="AA23" i="31"/>
  <c r="O22" i="31" s="1"/>
  <c r="K22" i="31"/>
  <c r="BA40" i="31"/>
  <c r="J40" i="31" s="1"/>
  <c r="N39" i="31"/>
  <c r="Q39" i="31"/>
  <c r="F23" i="159"/>
  <c r="G249" i="162"/>
  <c r="G83" i="162"/>
  <c r="G261" i="162"/>
  <c r="G166" i="162"/>
  <c r="F45" i="161"/>
  <c r="E382" i="58"/>
  <c r="G86" i="119"/>
  <c r="E574" i="58"/>
  <c r="G168" i="116"/>
  <c r="D671" i="16"/>
  <c r="E95" i="152"/>
  <c r="I65" i="158"/>
  <c r="Z112" i="43"/>
  <c r="Z113" i="43"/>
  <c r="D305" i="16"/>
  <c r="D427" i="16"/>
  <c r="E238" i="58"/>
  <c r="E190" i="58"/>
  <c r="C93" i="80"/>
  <c r="C48" i="80"/>
  <c r="G129" i="119"/>
  <c r="G436" i="116"/>
  <c r="C112" i="157"/>
  <c r="V2" i="3"/>
  <c r="Z108" i="43"/>
  <c r="D366" i="16"/>
  <c r="D488" i="16"/>
  <c r="D1033" i="16"/>
  <c r="E334" i="58"/>
  <c r="E286" i="58"/>
  <c r="C69" i="26"/>
  <c r="G70" i="151"/>
  <c r="G207" i="119"/>
  <c r="H87" i="155"/>
  <c r="D397" i="156"/>
  <c r="D610" i="16"/>
  <c r="D549" i="16"/>
  <c r="E478" i="58"/>
  <c r="E430" i="58"/>
  <c r="E526" i="58"/>
  <c r="C138" i="80"/>
  <c r="G60" i="151"/>
  <c r="G252" i="116"/>
  <c r="F69" i="160"/>
  <c r="J62" i="29"/>
  <c r="N62" i="29" s="1"/>
  <c r="AK119" i="83"/>
  <c r="Y246" i="10"/>
  <c r="Z246" i="10" s="1"/>
  <c r="AA246" i="10" s="1"/>
  <c r="N246" i="10" s="1"/>
  <c r="BA230" i="10"/>
  <c r="AT230" i="10"/>
  <c r="AS230" i="10" s="1"/>
  <c r="AP240" i="10"/>
  <c r="AQ240" i="10" s="1"/>
  <c r="AT255" i="10"/>
  <c r="AS255" i="10" s="1"/>
  <c r="AT245" i="10"/>
  <c r="AS245" i="10" s="1"/>
  <c r="AR245" i="10" s="1"/>
  <c r="AP230" i="10"/>
  <c r="AQ230" i="10" s="1"/>
  <c r="AR230" i="10" s="1"/>
  <c r="BA233" i="10"/>
  <c r="AP241" i="10"/>
  <c r="AQ241" i="10" s="1"/>
  <c r="AT248" i="10"/>
  <c r="AS248" i="10" s="1"/>
  <c r="J30" i="60"/>
  <c r="L30" i="60" s="1"/>
  <c r="AD154" i="60"/>
  <c r="Y241" i="10"/>
  <c r="Z241" i="10" s="1"/>
  <c r="M241" i="10" s="1"/>
  <c r="Y230" i="10"/>
  <c r="Z230" i="10" s="1"/>
  <c r="AA230" i="10" s="1"/>
  <c r="N230" i="10" s="1"/>
  <c r="AT247" i="10"/>
  <c r="AS247" i="10" s="1"/>
  <c r="AP249" i="10"/>
  <c r="AQ249" i="10" s="1"/>
  <c r="AP244" i="10"/>
  <c r="AQ244" i="10" s="1"/>
  <c r="N91" i="13"/>
  <c r="AP231" i="10"/>
  <c r="AQ231" i="10" s="1"/>
  <c r="AR231" i="10" s="1"/>
  <c r="BA234" i="10"/>
  <c r="AP237" i="10"/>
  <c r="AQ237" i="10" s="1"/>
  <c r="AT250" i="10"/>
  <c r="AS250" i="10" s="1"/>
  <c r="AP232" i="10"/>
  <c r="AQ232" i="10" s="1"/>
  <c r="BA247" i="10"/>
  <c r="Y239" i="10"/>
  <c r="Z239" i="10" s="1"/>
  <c r="AA239" i="10" s="1"/>
  <c r="N239" i="10" s="1"/>
  <c r="AT246" i="10"/>
  <c r="AS246" i="10" s="1"/>
  <c r="BA231" i="10"/>
  <c r="BA242" i="10"/>
  <c r="AT249" i="10"/>
  <c r="AS249" i="10" s="1"/>
  <c r="BA246" i="10"/>
  <c r="Y234" i="10"/>
  <c r="Z234" i="10" s="1"/>
  <c r="AA234" i="10" s="1"/>
  <c r="N234" i="10" s="1"/>
  <c r="AT237" i="10"/>
  <c r="AS237" i="10" s="1"/>
  <c r="AT243" i="10"/>
  <c r="AS243" i="10" s="1"/>
  <c r="P73" i="77"/>
  <c r="CA75" i="77"/>
  <c r="R73" i="77"/>
  <c r="T73" i="77"/>
  <c r="L73" i="77"/>
  <c r="N73" i="77"/>
  <c r="V73" i="77"/>
  <c r="AI6" i="74"/>
  <c r="Y22" i="155"/>
  <c r="I148" i="16"/>
  <c r="M148" i="16" s="1"/>
  <c r="D146" i="16"/>
  <c r="AI7" i="74"/>
  <c r="Y23" i="155"/>
  <c r="Y10" i="69"/>
  <c r="AG9" i="69"/>
  <c r="Y9" i="69"/>
  <c r="Y235" i="10"/>
  <c r="Z235" i="10" s="1"/>
  <c r="M235" i="10" s="1"/>
  <c r="AH26" i="74"/>
  <c r="X42" i="155"/>
  <c r="AG26" i="74"/>
  <c r="W42" i="155"/>
  <c r="AG28" i="74"/>
  <c r="W44" i="155"/>
  <c r="Y42" i="155"/>
  <c r="AI26" i="74"/>
  <c r="AI28" i="74"/>
  <c r="Y44" i="155"/>
  <c r="O684" i="58"/>
  <c r="A682" i="58" s="1"/>
  <c r="K22" i="155"/>
  <c r="G68" i="16"/>
  <c r="M68" i="16" s="1"/>
  <c r="D85" i="16"/>
  <c r="M85" i="16" s="1"/>
  <c r="D81" i="16"/>
  <c r="M81" i="16" s="1"/>
  <c r="G129" i="16"/>
  <c r="M129" i="16" s="1"/>
  <c r="G127" i="16"/>
  <c r="M127" i="16" s="1"/>
  <c r="D24" i="16"/>
  <c r="M24" i="16" s="1"/>
  <c r="D20" i="16"/>
  <c r="M20" i="16" s="1"/>
  <c r="D22" i="16"/>
  <c r="M23" i="16" s="1"/>
  <c r="I26" i="16"/>
  <c r="M26" i="16" s="1"/>
  <c r="M7" i="16"/>
  <c r="I87" i="16"/>
  <c r="M87" i="16" s="1"/>
  <c r="G66" i="16"/>
  <c r="M66" i="16" s="1"/>
  <c r="K1034" i="16"/>
  <c r="G5" i="16"/>
  <c r="M5" i="16" s="1"/>
  <c r="L134" i="60"/>
  <c r="L20" i="91"/>
  <c r="J84" i="60"/>
  <c r="L36" i="59"/>
  <c r="J96" i="60"/>
  <c r="J154" i="60"/>
  <c r="F19" i="26"/>
  <c r="J19" i="26" s="1"/>
  <c r="J22" i="26" s="1"/>
  <c r="V60" i="77"/>
  <c r="S60" i="77" s="1"/>
  <c r="S48" i="77"/>
  <c r="V38" i="77" s="1"/>
  <c r="BD56" i="77" s="1"/>
  <c r="BF56" i="77" s="1"/>
  <c r="E262" i="44"/>
  <c r="E75" i="2"/>
  <c r="C75" i="2" s="1"/>
  <c r="AJ16" i="82"/>
  <c r="G63" i="2" s="1"/>
  <c r="D63" i="2" s="1"/>
  <c r="L680" i="58"/>
  <c r="Q680" i="58" s="1"/>
  <c r="E25" i="2" s="1"/>
  <c r="C25" i="2" s="1"/>
  <c r="Z163" i="10"/>
  <c r="AA163" i="10" s="1"/>
  <c r="N163" i="10" s="1"/>
  <c r="Z105" i="10"/>
  <c r="AA105" i="10" s="1"/>
  <c r="Z81" i="10"/>
  <c r="Z84" i="10"/>
  <c r="Z90" i="10"/>
  <c r="AA90" i="10" s="1"/>
  <c r="Z110" i="10"/>
  <c r="AA110" i="10" s="1"/>
  <c r="Z106" i="10"/>
  <c r="AA106" i="10" s="1"/>
  <c r="Z157" i="10"/>
  <c r="AA157" i="10" s="1"/>
  <c r="Z95" i="10"/>
  <c r="AA95" i="10" s="1"/>
  <c r="Z93" i="10"/>
  <c r="AA93" i="10" s="1"/>
  <c r="Z191" i="10"/>
  <c r="AA191" i="10" s="1"/>
  <c r="Z89" i="10"/>
  <c r="AA89" i="10" s="1"/>
  <c r="Z104" i="10"/>
  <c r="AA104" i="10" s="1"/>
  <c r="Z102" i="10"/>
  <c r="AA102" i="10" s="1"/>
  <c r="Z111" i="10"/>
  <c r="AA111" i="10" s="1"/>
  <c r="Z114" i="10"/>
  <c r="AA114" i="10" s="1"/>
  <c r="F42" i="95"/>
  <c r="J42" i="95" s="1"/>
  <c r="F21" i="95"/>
  <c r="J21" i="95" s="1"/>
  <c r="L37" i="95"/>
  <c r="F29" i="95" s="1"/>
  <c r="J29" i="95" s="1"/>
  <c r="V46" i="81"/>
  <c r="R3" i="81"/>
  <c r="I40" i="85"/>
  <c r="R3" i="85"/>
  <c r="R36" i="85" s="1"/>
  <c r="R40" i="85" s="1"/>
  <c r="E32" i="78"/>
  <c r="U32" i="78" s="1"/>
  <c r="U64" i="78" s="1"/>
  <c r="E67" i="78" s="1"/>
  <c r="G14" i="84" s="1"/>
  <c r="O14" i="84" s="1"/>
  <c r="N14" i="84" s="1"/>
  <c r="Z97" i="10"/>
  <c r="AA97" i="10" s="1"/>
  <c r="BA267" i="10"/>
  <c r="Z78" i="10"/>
  <c r="Z85" i="10"/>
  <c r="M85" i="10" s="1"/>
  <c r="Z107" i="10"/>
  <c r="AA107" i="10" s="1"/>
  <c r="Y147" i="10"/>
  <c r="Z147" i="10" s="1"/>
  <c r="AA147" i="10" s="1"/>
  <c r="N147" i="10" s="1"/>
  <c r="Z96" i="10"/>
  <c r="AA96" i="10" s="1"/>
  <c r="Z116" i="10"/>
  <c r="AA116" i="10" s="1"/>
  <c r="Y231" i="10"/>
  <c r="Z231" i="10" s="1"/>
  <c r="M231" i="10" s="1"/>
  <c r="Y242" i="10"/>
  <c r="Z242" i="10" s="1"/>
  <c r="M242" i="10" s="1"/>
  <c r="AP243" i="10"/>
  <c r="AQ243" i="10" s="1"/>
  <c r="AP248" i="10"/>
  <c r="AQ248" i="10" s="1"/>
  <c r="AT232" i="10"/>
  <c r="AS232" i="10" s="1"/>
  <c r="Z117" i="10"/>
  <c r="AA117" i="10" s="1"/>
  <c r="Z115" i="10"/>
  <c r="AA115" i="10" s="1"/>
  <c r="Y243" i="10"/>
  <c r="Z243" i="10" s="1"/>
  <c r="M243" i="10" s="1"/>
  <c r="AP234" i="10"/>
  <c r="AQ234" i="10" s="1"/>
  <c r="BA245" i="10"/>
  <c r="Z99" i="10"/>
  <c r="AA99" i="10" s="1"/>
  <c r="Z101" i="10"/>
  <c r="AA101" i="10" s="1"/>
  <c r="Z88" i="10"/>
  <c r="AA88" i="10" s="1"/>
  <c r="Z113" i="10"/>
  <c r="AA113" i="10" s="1"/>
  <c r="BA241" i="10"/>
  <c r="AT239" i="10"/>
  <c r="AS239" i="10" s="1"/>
  <c r="AT244" i="10"/>
  <c r="AS244" i="10" s="1"/>
  <c r="AT241" i="10"/>
  <c r="AS241" i="10" s="1"/>
  <c r="AP247" i="10"/>
  <c r="AQ247" i="10" s="1"/>
  <c r="AA245" i="10"/>
  <c r="N245" i="10" s="1"/>
  <c r="M245" i="10"/>
  <c r="AP238" i="10"/>
  <c r="AQ238" i="10" s="1"/>
  <c r="AR238" i="10" s="1"/>
  <c r="BA240" i="10"/>
  <c r="AP250" i="10"/>
  <c r="AQ250" i="10" s="1"/>
  <c r="AP233" i="10"/>
  <c r="AQ233" i="10" s="1"/>
  <c r="BA237" i="10"/>
  <c r="AT240" i="10"/>
  <c r="AS240" i="10" s="1"/>
  <c r="Y247" i="10"/>
  <c r="Z247" i="10" s="1"/>
  <c r="AP246" i="10"/>
  <c r="AQ246" i="10" s="1"/>
  <c r="BA248" i="10"/>
  <c r="Y240" i="10"/>
  <c r="Z240" i="10" s="1"/>
  <c r="AT233" i="10"/>
  <c r="AS233" i="10" s="1"/>
  <c r="AT234" i="10"/>
  <c r="AS234" i="10" s="1"/>
  <c r="AP236" i="10"/>
  <c r="AQ236" i="10" s="1"/>
  <c r="AR236" i="10" s="1"/>
  <c r="AP239" i="10"/>
  <c r="AQ239" i="10" s="1"/>
  <c r="BA249" i="10"/>
  <c r="Y233" i="10"/>
  <c r="Z233" i="10" s="1"/>
  <c r="AA238" i="10"/>
  <c r="N238" i="10" s="1"/>
  <c r="M238" i="10"/>
  <c r="Y250" i="10"/>
  <c r="Z250" i="10" s="1"/>
  <c r="BA236" i="10"/>
  <c r="Y248" i="10"/>
  <c r="Z248" i="10" s="1"/>
  <c r="BA232" i="10"/>
  <c r="BA238" i="10"/>
  <c r="BA239" i="10"/>
  <c r="AP242" i="10"/>
  <c r="AQ242" i="10" s="1"/>
  <c r="AR242" i="10" s="1"/>
  <c r="AA237" i="10"/>
  <c r="N237" i="10" s="1"/>
  <c r="M237" i="10"/>
  <c r="M249" i="10"/>
  <c r="AA249" i="10"/>
  <c r="N249" i="10" s="1"/>
  <c r="Y236" i="10"/>
  <c r="Z236" i="10" s="1"/>
  <c r="Y232" i="10"/>
  <c r="Z232" i="10" s="1"/>
  <c r="AT235" i="10"/>
  <c r="AS235" i="10" s="1"/>
  <c r="AR235" i="10" s="1"/>
  <c r="Y244" i="10"/>
  <c r="Z244" i="10" s="1"/>
  <c r="BA250" i="10"/>
  <c r="L1034" i="16"/>
  <c r="G1035" i="16" s="1"/>
  <c r="G153" i="16"/>
  <c r="M153" i="16" s="1"/>
  <c r="G31" i="16"/>
  <c r="M31" i="16" s="1"/>
  <c r="Z91" i="10"/>
  <c r="AA91" i="10" s="1"/>
  <c r="AA83" i="10"/>
  <c r="N83" i="10" s="1"/>
  <c r="Z152" i="10"/>
  <c r="AA152" i="10" s="1"/>
  <c r="Z143" i="10"/>
  <c r="AA143" i="10" s="1"/>
  <c r="Z80" i="10"/>
  <c r="Z92" i="10"/>
  <c r="AA92" i="10" s="1"/>
  <c r="Z87" i="10"/>
  <c r="Z94" i="10"/>
  <c r="AA94" i="10" s="1"/>
  <c r="AA112" i="10"/>
  <c r="AA108" i="10"/>
  <c r="AA86" i="10"/>
  <c r="N86" i="10" s="1"/>
  <c r="Z103" i="10"/>
  <c r="AA103" i="10" s="1"/>
  <c r="X82" i="10"/>
  <c r="Z137" i="10"/>
  <c r="AA137" i="10" s="1"/>
  <c r="Z173" i="10"/>
  <c r="AA173" i="10" s="1"/>
  <c r="Z168" i="10"/>
  <c r="AA168" i="10" s="1"/>
  <c r="Q67" i="14"/>
  <c r="G67" i="14" s="1"/>
  <c r="H67" i="14" s="1"/>
  <c r="Z189" i="10"/>
  <c r="AA189" i="10" s="1"/>
  <c r="N189" i="10" s="1"/>
  <c r="P17" i="12"/>
  <c r="Z60" i="29"/>
  <c r="AT227" i="10"/>
  <c r="AS227" i="10" s="1"/>
  <c r="Z136" i="10"/>
  <c r="AA136" i="10" s="1"/>
  <c r="I10" i="112"/>
  <c r="AF19" i="110"/>
  <c r="M21" i="12"/>
  <c r="G263" i="43"/>
  <c r="X44" i="31"/>
  <c r="J90" i="60"/>
  <c r="J26" i="60"/>
  <c r="L18" i="60"/>
  <c r="M23" i="60" s="1"/>
  <c r="I92" i="74"/>
  <c r="H68" i="14"/>
  <c r="H18" i="78"/>
  <c r="K18" i="78" s="1"/>
  <c r="H18" i="110"/>
  <c r="AT252" i="10"/>
  <c r="AS252" i="10" s="1"/>
  <c r="J148" i="60"/>
  <c r="K263" i="43"/>
  <c r="K14" i="42"/>
  <c r="X14" i="42" s="1"/>
  <c r="L18" i="91"/>
  <c r="J18" i="84"/>
  <c r="L18" i="84" s="1"/>
  <c r="N11" i="84"/>
  <c r="I11" i="84"/>
  <c r="J11" i="84" s="1"/>
  <c r="L11" i="84" s="1"/>
  <c r="H17" i="110"/>
  <c r="B32" i="58"/>
  <c r="F41" i="40"/>
  <c r="D47" i="104" s="1"/>
  <c r="Z181" i="10"/>
  <c r="AA181" i="10" s="1"/>
  <c r="J31" i="93"/>
  <c r="Z165" i="10"/>
  <c r="AA165" i="10" s="1"/>
  <c r="N165" i="10" s="1"/>
  <c r="K47" i="106"/>
  <c r="Q47" i="106" s="1"/>
  <c r="S20" i="91"/>
  <c r="K49" i="106"/>
  <c r="Q49" i="106" s="1"/>
  <c r="L77" i="14"/>
  <c r="I36" i="108"/>
  <c r="I8" i="60"/>
  <c r="M16" i="89"/>
  <c r="L18" i="78"/>
  <c r="C33" i="52"/>
  <c r="F22" i="27"/>
  <c r="J31" i="60"/>
  <c r="L31" i="60" s="1"/>
  <c r="J16" i="92"/>
  <c r="G21" i="27"/>
  <c r="S16" i="91"/>
  <c r="Z171" i="10"/>
  <c r="AA171" i="10" s="1"/>
  <c r="AT268" i="10"/>
  <c r="AS268" i="10" s="1"/>
  <c r="AP252" i="10"/>
  <c r="AQ252" i="10" s="1"/>
  <c r="AZ24" i="29"/>
  <c r="E48" i="2"/>
  <c r="C48" i="2" s="1"/>
  <c r="H48" i="59"/>
  <c r="F48" i="59"/>
  <c r="K48" i="59" s="1"/>
  <c r="L48" i="59" s="1"/>
  <c r="K40" i="11"/>
  <c r="Z169" i="10"/>
  <c r="AA169" i="10" s="1"/>
  <c r="T42" i="77"/>
  <c r="N42" i="77"/>
  <c r="O17" i="84"/>
  <c r="N17" i="84" s="1"/>
  <c r="Z154" i="10"/>
  <c r="AA154" i="10" s="1"/>
  <c r="L7" i="91"/>
  <c r="L55" i="14"/>
  <c r="H43" i="14" s="1"/>
  <c r="AE17" i="27"/>
  <c r="E24" i="27" s="1"/>
  <c r="G24" i="27" s="1"/>
  <c r="K12" i="104"/>
  <c r="M12" i="104" s="1"/>
  <c r="R42" i="77"/>
  <c r="R44" i="59"/>
  <c r="P44" i="59" s="1"/>
  <c r="R46" i="59"/>
  <c r="P46" i="59" s="1"/>
  <c r="S45" i="59"/>
  <c r="Q45" i="59" s="1"/>
  <c r="R47" i="59"/>
  <c r="P47" i="59" s="1"/>
  <c r="F21" i="27"/>
  <c r="O27" i="59"/>
  <c r="O45" i="59" s="1"/>
  <c r="W46" i="81"/>
  <c r="C37" i="85"/>
  <c r="J24" i="91"/>
  <c r="L24" i="91" s="1"/>
  <c r="C11" i="2"/>
  <c r="AA162" i="28"/>
  <c r="J32" i="60"/>
  <c r="I18" i="84"/>
  <c r="O16" i="84"/>
  <c r="J16" i="84" s="1"/>
  <c r="L16" i="84" s="1"/>
  <c r="Y270" i="10"/>
  <c r="Z270" i="10" s="1"/>
  <c r="AA270" i="10" s="1"/>
  <c r="N270" i="10" s="1"/>
  <c r="N51" i="31"/>
  <c r="H19" i="110"/>
  <c r="E45" i="107"/>
  <c r="I45" i="107" s="1"/>
  <c r="I46" i="107" s="1"/>
  <c r="I47" i="107" s="1"/>
  <c r="E84" i="2" s="1"/>
  <c r="C84" i="2" s="1"/>
  <c r="M27" i="59"/>
  <c r="M29" i="59"/>
  <c r="R45" i="59"/>
  <c r="P45" i="59" s="1"/>
  <c r="G16" i="82"/>
  <c r="N30" i="59"/>
  <c r="N31" i="59"/>
  <c r="R48" i="59"/>
  <c r="P48" i="59" s="1"/>
  <c r="CA44" i="77"/>
  <c r="K48" i="68"/>
  <c r="I49" i="68" s="1"/>
  <c r="J51" i="68"/>
  <c r="S18" i="12"/>
  <c r="J39" i="47"/>
  <c r="K26" i="68"/>
  <c r="I27" i="68" s="1"/>
  <c r="AE34" i="7"/>
  <c r="N12" i="7" s="1"/>
  <c r="R33" i="40"/>
  <c r="G33" i="40" s="1"/>
  <c r="J33" i="40" s="1"/>
  <c r="Z125" i="10"/>
  <c r="AA125" i="10" s="1"/>
  <c r="Y251" i="10"/>
  <c r="Z251" i="10" s="1"/>
  <c r="AA251" i="10" s="1"/>
  <c r="N251" i="10" s="1"/>
  <c r="Y259" i="10"/>
  <c r="Z259" i="10" s="1"/>
  <c r="AA259" i="10" s="1"/>
  <c r="N259" i="10" s="1"/>
  <c r="Z135" i="10"/>
  <c r="AA135" i="10" s="1"/>
  <c r="Z120" i="10"/>
  <c r="AA120" i="10" s="1"/>
  <c r="Z167" i="10"/>
  <c r="AA167" i="10" s="1"/>
  <c r="Z190" i="10"/>
  <c r="AA190" i="10" s="1"/>
  <c r="Y256" i="10"/>
  <c r="Z256" i="10" s="1"/>
  <c r="AA256" i="10" s="1"/>
  <c r="N256" i="10" s="1"/>
  <c r="Z174" i="10"/>
  <c r="AA174" i="10" s="1"/>
  <c r="Z146" i="10"/>
  <c r="AA146" i="10" s="1"/>
  <c r="Z151" i="10"/>
  <c r="AA151" i="10" s="1"/>
  <c r="Z133" i="10"/>
  <c r="AA133" i="10" s="1"/>
  <c r="Z159" i="10"/>
  <c r="AA159" i="10" s="1"/>
  <c r="Z77" i="10"/>
  <c r="Y260" i="10"/>
  <c r="Z260" i="10" s="1"/>
  <c r="AA260" i="10" s="1"/>
  <c r="N260" i="10" s="1"/>
  <c r="Y268" i="10"/>
  <c r="Z268" i="10" s="1"/>
  <c r="AA268" i="10" s="1"/>
  <c r="N268" i="10" s="1"/>
  <c r="S22" i="29"/>
  <c r="Z32" i="31"/>
  <c r="K32" i="31" s="1"/>
  <c r="AB32" i="31"/>
  <c r="R32" i="31" s="1"/>
  <c r="G18" i="82"/>
  <c r="E63" i="2" s="1"/>
  <c r="C63" i="2" s="1"/>
  <c r="AA161" i="28"/>
  <c r="Z156" i="10"/>
  <c r="AA156" i="10" s="1"/>
  <c r="Z66" i="43"/>
  <c r="Y269" i="10"/>
  <c r="Z269" i="10" s="1"/>
  <c r="AA269" i="10" s="1"/>
  <c r="N269" i="10" s="1"/>
  <c r="F23" i="22"/>
  <c r="M60" i="29"/>
  <c r="T19" i="92"/>
  <c r="B19" i="92" s="1"/>
  <c r="A6" i="10"/>
  <c r="AC53" i="40"/>
  <c r="AG22" i="7"/>
  <c r="AG34" i="7" s="1"/>
  <c r="AF34" i="7" s="1"/>
  <c r="R16" i="91"/>
  <c r="G48" i="81"/>
  <c r="B130" i="58"/>
  <c r="G53" i="40"/>
  <c r="D142" i="16"/>
  <c r="M142" i="16" s="1"/>
  <c r="N44" i="81"/>
  <c r="E47" i="31"/>
  <c r="U48" i="31" s="1"/>
  <c r="J26" i="70"/>
  <c r="AB161" i="28"/>
  <c r="I162" i="28"/>
  <c r="F39" i="39" s="1"/>
  <c r="Z129" i="10"/>
  <c r="AA129" i="10" s="1"/>
  <c r="B17" i="92"/>
  <c r="J17" i="92" s="1"/>
  <c r="F263" i="43"/>
  <c r="E37" i="81"/>
  <c r="I144" i="16"/>
  <c r="M144" i="16" s="1"/>
  <c r="D144" i="16"/>
  <c r="M145" i="16" s="1"/>
  <c r="G19" i="99"/>
  <c r="I22" i="16"/>
  <c r="M22" i="16" s="1"/>
  <c r="G75" i="14"/>
  <c r="H75" i="14" s="1"/>
  <c r="AA32" i="31"/>
  <c r="O32" i="31" s="1"/>
  <c r="AG105" i="146"/>
  <c r="BA20" i="77"/>
  <c r="BA22" i="77" s="1"/>
  <c r="AJ113" i="146"/>
  <c r="M36" i="146"/>
  <c r="X80" i="146"/>
  <c r="AA80" i="146" s="1"/>
  <c r="Z123" i="10"/>
  <c r="AA123" i="10" s="1"/>
  <c r="U11" i="29"/>
  <c r="U12" i="29" s="1"/>
  <c r="U13" i="29" s="1"/>
  <c r="U14" i="29" s="1"/>
  <c r="U15" i="29" s="1"/>
  <c r="U16" i="29" s="1"/>
  <c r="U17" i="29" s="1"/>
  <c r="U18" i="29" s="1"/>
  <c r="U19" i="29" s="1"/>
  <c r="U20" i="29" s="1"/>
  <c r="U21" i="29" s="1"/>
  <c r="U22" i="29" s="1"/>
  <c r="U23" i="29" s="1"/>
  <c r="U24" i="29" s="1"/>
  <c r="U59" i="29" s="1"/>
  <c r="I27" i="7"/>
  <c r="E29" i="142"/>
  <c r="H147" i="136"/>
  <c r="H72" i="136"/>
  <c r="H63" i="136"/>
  <c r="E120" i="146"/>
  <c r="W35" i="39"/>
  <c r="D83" i="16"/>
  <c r="M84" i="16" s="1"/>
  <c r="AB104" i="69"/>
  <c r="L104" i="69" s="1"/>
  <c r="H107" i="69" s="1"/>
  <c r="T104" i="69" s="1"/>
  <c r="AP263" i="10"/>
  <c r="AQ263" i="10" s="1"/>
  <c r="D41" i="144"/>
  <c r="U148" i="14"/>
  <c r="W148" i="14" s="1"/>
  <c r="I151" i="14"/>
  <c r="G147" i="14" s="1"/>
  <c r="M165" i="10"/>
  <c r="M163" i="10"/>
  <c r="Z172" i="10"/>
  <c r="AA172" i="10" s="1"/>
  <c r="Z144" i="10"/>
  <c r="AA144" i="10" s="1"/>
  <c r="Z145" i="10"/>
  <c r="AA145" i="10" s="1"/>
  <c r="Z141" i="10"/>
  <c r="AA141" i="10" s="1"/>
  <c r="Z119" i="10"/>
  <c r="AA119" i="10" s="1"/>
  <c r="Z121" i="10"/>
  <c r="AA121" i="10" s="1"/>
  <c r="Z127" i="10"/>
  <c r="AA127" i="10" s="1"/>
  <c r="Z180" i="10"/>
  <c r="AA180" i="10" s="1"/>
  <c r="Z184" i="10"/>
  <c r="AA184" i="10" s="1"/>
  <c r="E43" i="31"/>
  <c r="U43" i="31" s="1"/>
  <c r="H29" i="57"/>
  <c r="N29" i="57" s="1"/>
  <c r="N47" i="57"/>
  <c r="E49" i="2" s="1"/>
  <c r="F49" i="2" s="1"/>
  <c r="F146" i="16"/>
  <c r="M146" i="16" s="1"/>
  <c r="I83" i="16"/>
  <c r="J147" i="60"/>
  <c r="L147" i="60" s="1"/>
  <c r="J145" i="60"/>
  <c r="L145" i="60" s="1"/>
  <c r="I124" i="60"/>
  <c r="G22" i="27"/>
  <c r="M16" i="57"/>
  <c r="N16" i="57" s="1"/>
  <c r="L25" i="41"/>
  <c r="K27" i="41"/>
  <c r="L23" i="41"/>
  <c r="N26" i="59"/>
  <c r="M26" i="59"/>
  <c r="F42" i="59"/>
  <c r="O30" i="59"/>
  <c r="O48" i="59" s="1"/>
  <c r="S43" i="59"/>
  <c r="Q43" i="59" s="1"/>
  <c r="S44" i="59"/>
  <c r="Q44" i="59" s="1"/>
  <c r="O28" i="59"/>
  <c r="O46" i="59" s="1"/>
  <c r="M31" i="59"/>
  <c r="S46" i="59"/>
  <c r="Q46" i="59" s="1"/>
  <c r="S49" i="59"/>
  <c r="Q49" i="59" s="1"/>
  <c r="E45" i="105"/>
  <c r="I45" i="105" s="1"/>
  <c r="E43" i="105"/>
  <c r="I43" i="105" s="1"/>
  <c r="E77" i="101"/>
  <c r="F77" i="101" s="1"/>
  <c r="I78" i="101"/>
  <c r="J5" i="57"/>
  <c r="N5" i="57" s="1"/>
  <c r="E32" i="99"/>
  <c r="G32" i="99" s="1"/>
  <c r="E34" i="99"/>
  <c r="G34" i="99" s="1"/>
  <c r="E29" i="99"/>
  <c r="G29" i="99" s="1"/>
  <c r="E24" i="99"/>
  <c r="G24" i="99" s="1"/>
  <c r="F14" i="2"/>
  <c r="C14" i="2"/>
  <c r="F45" i="2"/>
  <c r="C45" i="2"/>
  <c r="Y227" i="10"/>
  <c r="G38" i="70"/>
  <c r="L38" i="70" s="1"/>
  <c r="BA52" i="31"/>
  <c r="J51" i="31"/>
  <c r="J14" i="31"/>
  <c r="Q14" i="31"/>
  <c r="J28" i="109"/>
  <c r="L28" i="109" s="1"/>
  <c r="Y228" i="10"/>
  <c r="Z228" i="10" s="1"/>
  <c r="M228" i="10" s="1"/>
  <c r="I263" i="43"/>
  <c r="F39" i="96"/>
  <c r="J39" i="96" s="1"/>
  <c r="F33" i="96"/>
  <c r="J33" i="96" s="1"/>
  <c r="J26" i="109"/>
  <c r="L26" i="109" s="1"/>
  <c r="S26" i="14"/>
  <c r="I66" i="60"/>
  <c r="G55" i="48"/>
  <c r="G56" i="48" s="1"/>
  <c r="H5" i="48"/>
  <c r="J5" i="48" s="1"/>
  <c r="F13" i="109"/>
  <c r="L13" i="109" s="1"/>
  <c r="N176" i="60"/>
  <c r="L176" i="60" s="1"/>
  <c r="O186" i="60" s="1"/>
  <c r="E57" i="2" s="1"/>
  <c r="J88" i="60"/>
  <c r="L88" i="60" s="1"/>
  <c r="R121" i="14"/>
  <c r="T121" i="14" s="1"/>
  <c r="K125" i="14"/>
  <c r="H115" i="14" s="1"/>
  <c r="N11" i="31"/>
  <c r="J11" i="31"/>
  <c r="G51" i="14"/>
  <c r="D57" i="14"/>
  <c r="J162" i="60"/>
  <c r="L162" i="60" s="1"/>
  <c r="L143" i="60"/>
  <c r="E23" i="27"/>
  <c r="H26" i="39" s="1"/>
  <c r="O27" i="39"/>
  <c r="J30" i="109"/>
  <c r="L30" i="109" s="1"/>
  <c r="J15" i="109"/>
  <c r="L15" i="109" s="1"/>
  <c r="AF17" i="110"/>
  <c r="T93" i="58"/>
  <c r="C81" i="29"/>
  <c r="Q81" i="29" s="1"/>
  <c r="Q23" i="31"/>
  <c r="C37" i="112"/>
  <c r="I37" i="112"/>
  <c r="V22" i="57"/>
  <c r="K10" i="104"/>
  <c r="M10" i="104" s="1"/>
  <c r="E49" i="30"/>
  <c r="E57" i="30" s="1"/>
  <c r="BA45" i="76"/>
  <c r="M17" i="89"/>
  <c r="Z259" i="43"/>
  <c r="P161" i="28"/>
  <c r="E101" i="69"/>
  <c r="F11" i="70" s="1"/>
  <c r="C39" i="112"/>
  <c r="I39" i="112"/>
  <c r="H33" i="57"/>
  <c r="F31" i="57"/>
  <c r="V16" i="57"/>
  <c r="P97" i="14"/>
  <c r="R97" i="14" s="1"/>
  <c r="K101" i="14"/>
  <c r="H92" i="14" s="1"/>
  <c r="I5" i="46"/>
  <c r="I4" i="46"/>
  <c r="J89" i="60"/>
  <c r="L89" i="60" s="1"/>
  <c r="J87" i="60"/>
  <c r="L87" i="60" s="1"/>
  <c r="J46" i="60"/>
  <c r="L46" i="60" s="1"/>
  <c r="L27" i="60"/>
  <c r="C35" i="112"/>
  <c r="I35" i="112"/>
  <c r="C36" i="112"/>
  <c r="I36" i="112"/>
  <c r="CA61" i="77"/>
  <c r="CA62" i="77" s="1"/>
  <c r="CA63" i="77" s="1"/>
  <c r="CA64" i="77" s="1"/>
  <c r="CA65" i="77" s="1"/>
  <c r="CA66" i="77" s="1"/>
  <c r="T60" i="77"/>
  <c r="R25" i="59"/>
  <c r="K25" i="59" s="1"/>
  <c r="L25" i="59" s="1"/>
  <c r="J33" i="59"/>
  <c r="C40" i="112"/>
  <c r="I40" i="112"/>
  <c r="J18" i="89"/>
  <c r="O19" i="89"/>
  <c r="M46" i="25"/>
  <c r="H46" i="25" s="1"/>
  <c r="O27" i="25"/>
  <c r="L85" i="60"/>
  <c r="J104" i="60"/>
  <c r="L104" i="60" s="1"/>
  <c r="C27" i="52"/>
  <c r="B25" i="52"/>
  <c r="D25" i="52"/>
  <c r="BA252" i="10"/>
  <c r="Y253" i="10"/>
  <c r="Z253" i="10" s="1"/>
  <c r="M253" i="10" s="1"/>
  <c r="Y261" i="10"/>
  <c r="Z261" i="10" s="1"/>
  <c r="M261" i="10" s="1"/>
  <c r="A261" i="43"/>
  <c r="E8" i="40"/>
  <c r="J8" i="40" s="1"/>
  <c r="J54" i="40"/>
  <c r="E42" i="2" s="1"/>
  <c r="C42" i="2" s="1"/>
  <c r="L16" i="40"/>
  <c r="E6" i="40"/>
  <c r="J6" i="40" s="1"/>
  <c r="E4" i="40"/>
  <c r="J4" i="40" s="1"/>
  <c r="E10" i="40"/>
  <c r="J10" i="40" s="1"/>
  <c r="E26" i="40"/>
  <c r="V20" i="57"/>
  <c r="BA47" i="76"/>
  <c r="Y258" i="10"/>
  <c r="Z258" i="10" s="1"/>
  <c r="M258" i="10" s="1"/>
  <c r="R44" i="112"/>
  <c r="I38" i="112"/>
  <c r="C38" i="112"/>
  <c r="V24" i="57"/>
  <c r="BA63" i="31"/>
  <c r="J62" i="31"/>
  <c r="Q62" i="31"/>
  <c r="N62" i="31"/>
  <c r="F24" i="39"/>
  <c r="P27" i="39" s="1"/>
  <c r="D25" i="27"/>
  <c r="C25" i="27"/>
  <c r="H11" i="102"/>
  <c r="I61" i="102" s="1"/>
  <c r="Y255" i="10"/>
  <c r="Z255" i="10" s="1"/>
  <c r="M255" i="10" s="1"/>
  <c r="Y263" i="10"/>
  <c r="Z263" i="10" s="1"/>
  <c r="AA263" i="10" s="1"/>
  <c r="N263" i="10" s="1"/>
  <c r="Y267" i="10"/>
  <c r="Z267" i="10" s="1"/>
  <c r="M267" i="10" s="1"/>
  <c r="AF18" i="110"/>
  <c r="Y262" i="10"/>
  <c r="Z262" i="10" s="1"/>
  <c r="M262" i="10" s="1"/>
  <c r="BA18" i="76"/>
  <c r="AF16" i="110"/>
  <c r="Y264" i="10"/>
  <c r="Z264" i="10" s="1"/>
  <c r="M264" i="10" s="1"/>
  <c r="G31" i="84"/>
  <c r="AP259" i="10"/>
  <c r="AQ259" i="10" s="1"/>
  <c r="AP261" i="10"/>
  <c r="AQ261" i="10" s="1"/>
  <c r="Y266" i="10"/>
  <c r="Z266" i="10" s="1"/>
  <c r="M266" i="10" s="1"/>
  <c r="R46" i="76"/>
  <c r="BA46" i="76"/>
  <c r="V10" i="29"/>
  <c r="Z1" i="101"/>
  <c r="L1" i="101" s="1"/>
  <c r="J91" i="101" s="1"/>
  <c r="Z1" i="100"/>
  <c r="V22" i="76"/>
  <c r="BA23" i="76" s="1"/>
  <c r="BA19" i="76"/>
  <c r="AP269" i="10"/>
  <c r="AQ269" i="10" s="1"/>
  <c r="AT267" i="10"/>
  <c r="AS267" i="10" s="1"/>
  <c r="A1" i="42"/>
  <c r="A1" i="129"/>
  <c r="C2" i="87"/>
  <c r="A1" i="128"/>
  <c r="A1" i="127"/>
  <c r="Y81" i="69"/>
  <c r="H65" i="102"/>
  <c r="I116" i="102" s="1"/>
  <c r="Y252" i="10"/>
  <c r="Z252" i="10" s="1"/>
  <c r="AA252" i="10" s="1"/>
  <c r="N252" i="10" s="1"/>
  <c r="X227" i="10"/>
  <c r="J31" i="51"/>
  <c r="P31" i="51" s="1"/>
  <c r="R55" i="51" s="1"/>
  <c r="Q55" i="51" s="1"/>
  <c r="G47" i="2" s="1"/>
  <c r="T21" i="110"/>
  <c r="U19" i="110"/>
  <c r="G27" i="111"/>
  <c r="L27" i="111" s="1"/>
  <c r="L29" i="111" s="1"/>
  <c r="L30" i="111"/>
  <c r="E87" i="2" s="1"/>
  <c r="C87" i="2" s="1"/>
  <c r="U33" i="59"/>
  <c r="H16" i="110"/>
  <c r="AC8" i="10"/>
  <c r="S25" i="25"/>
  <c r="J36" i="110"/>
  <c r="J38" i="110"/>
  <c r="L25" i="14"/>
  <c r="A21" i="14" s="1"/>
  <c r="M189" i="10"/>
  <c r="Y257" i="10"/>
  <c r="Z257" i="10" s="1"/>
  <c r="M257" i="10" s="1"/>
  <c r="Y229" i="10"/>
  <c r="Z229" i="10" s="1"/>
  <c r="M229" i="10" s="1"/>
  <c r="V7" i="41"/>
  <c r="Z177" i="10"/>
  <c r="AA177" i="10" s="1"/>
  <c r="BA265" i="10"/>
  <c r="Y265" i="10"/>
  <c r="Z265" i="10" s="1"/>
  <c r="M265" i="10" s="1"/>
  <c r="M15" i="90"/>
  <c r="J16" i="90"/>
  <c r="O17" i="90"/>
  <c r="Z8" i="41"/>
  <c r="A1" i="124"/>
  <c r="B29" i="92"/>
  <c r="W24" i="126"/>
  <c r="AC24" i="126"/>
  <c r="AD24" i="126" s="1"/>
  <c r="AE24" i="126" s="1"/>
  <c r="Z24" i="126"/>
  <c r="AA24" i="126" s="1"/>
  <c r="AB24" i="126" s="1"/>
  <c r="T24" i="126"/>
  <c r="N27" i="92"/>
  <c r="K25" i="92"/>
  <c r="J51" i="92"/>
  <c r="K57" i="92" s="1"/>
  <c r="I60" i="92"/>
  <c r="N62" i="92"/>
  <c r="I57" i="92"/>
  <c r="I71" i="92"/>
  <c r="L8" i="42" s="1"/>
  <c r="W8" i="42" s="1"/>
  <c r="W50" i="42" s="1"/>
  <c r="L50" i="42" s="1"/>
  <c r="AA50" i="42" s="1"/>
  <c r="AA55" i="42" s="1"/>
  <c r="L56" i="42" s="1"/>
  <c r="H71" i="92"/>
  <c r="K8" i="42" s="1"/>
  <c r="K17" i="92"/>
  <c r="N17" i="92" s="1"/>
  <c r="A1" i="78"/>
  <c r="BA262" i="10"/>
  <c r="J18" i="92"/>
  <c r="K18" i="92"/>
  <c r="N18" i="92" s="1"/>
  <c r="Z6" i="126"/>
  <c r="AA6" i="126" s="1"/>
  <c r="AB6" i="126" s="1"/>
  <c r="T6" i="126"/>
  <c r="Z4" i="126"/>
  <c r="AA4" i="126" s="1"/>
  <c r="T4" i="126"/>
  <c r="Z19" i="126"/>
  <c r="AA19" i="126" s="1"/>
  <c r="AB19" i="126" s="1"/>
  <c r="T19" i="126"/>
  <c r="Z20" i="126"/>
  <c r="AA20" i="126" s="1"/>
  <c r="AB20" i="126" s="1"/>
  <c r="T20" i="126"/>
  <c r="AC4" i="126"/>
  <c r="AD4" i="126" s="1"/>
  <c r="W4" i="126"/>
  <c r="W22" i="126"/>
  <c r="AC22" i="126"/>
  <c r="AD22" i="126" s="1"/>
  <c r="AE22" i="126" s="1"/>
  <c r="AC19" i="126"/>
  <c r="AD19" i="126" s="1"/>
  <c r="AE19" i="126" s="1"/>
  <c r="W19" i="126"/>
  <c r="AC6" i="126"/>
  <c r="AD6" i="126" s="1"/>
  <c r="AE6" i="126" s="1"/>
  <c r="W6" i="126"/>
  <c r="T22" i="126"/>
  <c r="Z22" i="126"/>
  <c r="AA22" i="126" s="1"/>
  <c r="AB22" i="126" s="1"/>
  <c r="W20" i="126"/>
  <c r="AC20" i="126"/>
  <c r="AD20" i="126" s="1"/>
  <c r="AE20" i="126" s="1"/>
  <c r="AA8" i="41"/>
  <c r="M16" i="91"/>
  <c r="M58" i="91" s="1"/>
  <c r="G73" i="2" s="1"/>
  <c r="D73" i="2" s="1"/>
  <c r="F91" i="13"/>
  <c r="S105" i="13" s="1"/>
  <c r="T35" i="39"/>
  <c r="AB8" i="41"/>
  <c r="U8" i="41"/>
  <c r="P71" i="30"/>
  <c r="Z128" i="10"/>
  <c r="AA128" i="10" s="1"/>
  <c r="F29" i="99"/>
  <c r="X75" i="10"/>
  <c r="E263" i="43"/>
  <c r="Z87" i="43"/>
  <c r="Z91" i="43"/>
  <c r="Z101" i="43"/>
  <c r="P38" i="22"/>
  <c r="G38" i="22" s="1"/>
  <c r="A1" i="14"/>
  <c r="B4" i="43"/>
  <c r="AP264" i="10"/>
  <c r="AQ264" i="10" s="1"/>
  <c r="Y75" i="10"/>
  <c r="Y74" i="10"/>
  <c r="X74" i="10"/>
  <c r="J74" i="10"/>
  <c r="W6" i="10"/>
  <c r="M6" i="10" s="1"/>
  <c r="Y6" i="10"/>
  <c r="N6" i="10" s="1"/>
  <c r="K71" i="30"/>
  <c r="BA258" i="10"/>
  <c r="Z134" i="10"/>
  <c r="AA134" i="10" s="1"/>
  <c r="BA257" i="10"/>
  <c r="AT265" i="10"/>
  <c r="AS265" i="10" s="1"/>
  <c r="AP251" i="10"/>
  <c r="AQ251" i="10" s="1"/>
  <c r="N17" i="26"/>
  <c r="S15" i="26"/>
  <c r="Z183" i="10"/>
  <c r="AA183" i="10" s="1"/>
  <c r="F29" i="97"/>
  <c r="L24" i="42" s="1"/>
  <c r="F26" i="97"/>
  <c r="K24" i="42" s="1"/>
  <c r="U5" i="43"/>
  <c r="T5" i="43" s="1"/>
  <c r="AB162" i="28"/>
  <c r="Z234" i="43"/>
  <c r="M56" i="51"/>
  <c r="J34" i="51"/>
  <c r="K56" i="51"/>
  <c r="Z67" i="43"/>
  <c r="Z155" i="10"/>
  <c r="AA155" i="10" s="1"/>
  <c r="AP228" i="10"/>
  <c r="AQ228" i="10" s="1"/>
  <c r="Y254" i="10"/>
  <c r="Z254" i="10" s="1"/>
  <c r="AA254" i="10" s="1"/>
  <c r="N254" i="10" s="1"/>
  <c r="B1" i="116"/>
  <c r="B1" i="95"/>
  <c r="C2" i="90"/>
  <c r="BA260" i="10"/>
  <c r="BA264" i="10"/>
  <c r="AP254" i="10"/>
  <c r="AQ254" i="10" s="1"/>
  <c r="C165" i="60"/>
  <c r="A1" i="99"/>
  <c r="B1" i="77"/>
  <c r="C2" i="68"/>
  <c r="B1" i="58"/>
  <c r="B1" i="125"/>
  <c r="F26" i="99"/>
  <c r="C2" i="114"/>
  <c r="J53" i="60"/>
  <c r="L53" i="60" s="1"/>
  <c r="J164" i="60"/>
  <c r="L164" i="60" s="1"/>
  <c r="S25" i="7"/>
  <c r="U25" i="7" s="1"/>
  <c r="J25" i="7" s="1"/>
  <c r="B1" i="82"/>
  <c r="B1" i="76"/>
  <c r="B25" i="76" s="1"/>
  <c r="A1" i="48"/>
  <c r="B1" i="74"/>
  <c r="B1" i="92"/>
  <c r="B1" i="51"/>
  <c r="B1" i="27"/>
  <c r="I32" i="103"/>
  <c r="K32" i="103" s="1"/>
  <c r="K37" i="103" s="1"/>
  <c r="K38" i="103" s="1"/>
  <c r="E82" i="2" s="1"/>
  <c r="C82" i="2" s="1"/>
  <c r="I18" i="7"/>
  <c r="W8" i="41"/>
  <c r="I103" i="9"/>
  <c r="Z164" i="10"/>
  <c r="AA164" i="10" s="1"/>
  <c r="N164" i="10" s="1"/>
  <c r="AT270" i="10"/>
  <c r="AS270" i="10" s="1"/>
  <c r="BA269" i="10"/>
  <c r="BA263" i="10"/>
  <c r="Y13" i="69"/>
  <c r="Y8" i="69"/>
  <c r="M164" i="10"/>
  <c r="AP255" i="10"/>
  <c r="AQ255" i="10" s="1"/>
  <c r="BA228" i="10"/>
  <c r="AT269" i="10"/>
  <c r="AS269" i="10" s="1"/>
  <c r="Z9" i="41"/>
  <c r="S29" i="7"/>
  <c r="U29" i="7" s="1"/>
  <c r="J29" i="7" s="1"/>
  <c r="S19" i="7"/>
  <c r="U19" i="7" s="1"/>
  <c r="J19" i="7" s="1"/>
  <c r="U9" i="41"/>
  <c r="L36" i="70"/>
  <c r="V9" i="41"/>
  <c r="AT253" i="10"/>
  <c r="AS253" i="10" s="1"/>
  <c r="AP256" i="10"/>
  <c r="AQ256" i="10" s="1"/>
  <c r="BB158" i="28"/>
  <c r="BC158" i="28"/>
  <c r="BD158" i="28"/>
  <c r="B1" i="83"/>
  <c r="B1" i="123"/>
  <c r="BA266" i="10"/>
  <c r="G36" i="97"/>
  <c r="G39" i="97" s="1"/>
  <c r="C146" i="2"/>
  <c r="AB7" i="41"/>
  <c r="Z126" i="10"/>
  <c r="AA126" i="10" s="1"/>
  <c r="Z132" i="10"/>
  <c r="AA132" i="10" s="1"/>
  <c r="I21" i="7"/>
  <c r="Z7" i="41"/>
  <c r="U7" i="41"/>
  <c r="AT261" i="10"/>
  <c r="AS261" i="10" s="1"/>
  <c r="X4" i="83"/>
  <c r="C39" i="47"/>
  <c r="D47" i="107"/>
  <c r="C44" i="95"/>
  <c r="E63" i="70"/>
  <c r="C41" i="110"/>
  <c r="D33" i="109"/>
  <c r="E59" i="91"/>
  <c r="D38" i="103"/>
  <c r="C32" i="8"/>
  <c r="E70" i="10"/>
  <c r="E58" i="60"/>
  <c r="D104" i="13"/>
  <c r="C50" i="81"/>
  <c r="G59" i="42"/>
  <c r="E25" i="111"/>
  <c r="E51" i="112"/>
  <c r="E116" i="60"/>
  <c r="E67" i="92"/>
  <c r="O3" i="31"/>
  <c r="C34" i="52"/>
  <c r="E88" i="100"/>
  <c r="D183" i="16"/>
  <c r="E94" i="58"/>
  <c r="E790" i="112"/>
  <c r="C36" i="108"/>
  <c r="Z76" i="43"/>
  <c r="Z105" i="43"/>
  <c r="H263" i="43"/>
  <c r="Q68" i="43"/>
  <c r="D67" i="43" s="1"/>
  <c r="P67" i="43" s="1"/>
  <c r="T786" i="112"/>
  <c r="S789" i="112"/>
  <c r="G10" i="120"/>
  <c r="G259" i="120"/>
  <c r="G255" i="120"/>
  <c r="G251" i="120"/>
  <c r="G247" i="120"/>
  <c r="G243" i="120"/>
  <c r="G239" i="120"/>
  <c r="G235" i="120"/>
  <c r="G231" i="120"/>
  <c r="G227" i="120"/>
  <c r="G223" i="120"/>
  <c r="G219" i="120"/>
  <c r="G215" i="120"/>
  <c r="G211" i="120"/>
  <c r="G207" i="120"/>
  <c r="G203" i="120"/>
  <c r="G199" i="120"/>
  <c r="G195" i="120"/>
  <c r="G191" i="120"/>
  <c r="G187" i="120"/>
  <c r="G183" i="120"/>
  <c r="G179" i="120"/>
  <c r="G175" i="120"/>
  <c r="G171" i="120"/>
  <c r="G167" i="120"/>
  <c r="G163" i="120"/>
  <c r="G159" i="120"/>
  <c r="G155" i="120"/>
  <c r="G151" i="120"/>
  <c r="G147" i="120"/>
  <c r="G143" i="120"/>
  <c r="G139" i="120"/>
  <c r="G135" i="120"/>
  <c r="G131" i="120"/>
  <c r="G127" i="120"/>
  <c r="G123" i="120"/>
  <c r="G119" i="120"/>
  <c r="G115" i="120"/>
  <c r="G111" i="120"/>
  <c r="G107" i="120"/>
  <c r="G103" i="120"/>
  <c r="G99" i="120"/>
  <c r="G95" i="120"/>
  <c r="G91" i="120"/>
  <c r="G87" i="120"/>
  <c r="G83" i="120"/>
  <c r="G79" i="120"/>
  <c r="G75" i="120"/>
  <c r="G71" i="120"/>
  <c r="G67" i="120"/>
  <c r="G63" i="120"/>
  <c r="G59" i="120"/>
  <c r="G55" i="120"/>
  <c r="G51" i="120"/>
  <c r="G47" i="120"/>
  <c r="G43" i="120"/>
  <c r="G39" i="120"/>
  <c r="G35" i="120"/>
  <c r="G31" i="120"/>
  <c r="G27" i="120"/>
  <c r="G23" i="120"/>
  <c r="G19" i="120"/>
  <c r="G15" i="120"/>
  <c r="G11" i="120"/>
  <c r="G7" i="120"/>
  <c r="G260" i="120"/>
  <c r="G256" i="120"/>
  <c r="G252" i="120"/>
  <c r="G248" i="120"/>
  <c r="G244" i="120"/>
  <c r="G240" i="120"/>
  <c r="G236" i="120"/>
  <c r="G232" i="120"/>
  <c r="G228" i="120"/>
  <c r="G224" i="120"/>
  <c r="G220" i="120"/>
  <c r="G216" i="120"/>
  <c r="G212" i="120"/>
  <c r="G208" i="120"/>
  <c r="G204" i="120"/>
  <c r="G200" i="120"/>
  <c r="G196" i="120"/>
  <c r="G192" i="120"/>
  <c r="G188" i="120"/>
  <c r="G184" i="120"/>
  <c r="G180" i="120"/>
  <c r="G176" i="120"/>
  <c r="G172" i="120"/>
  <c r="G168" i="120"/>
  <c r="G164" i="120"/>
  <c r="G160" i="120"/>
  <c r="G156" i="120"/>
  <c r="G152" i="120"/>
  <c r="G148" i="120"/>
  <c r="G144" i="120"/>
  <c r="G140" i="120"/>
  <c r="G136" i="120"/>
  <c r="G132" i="120"/>
  <c r="G128" i="120"/>
  <c r="G124" i="120"/>
  <c r="G120" i="120"/>
  <c r="G116" i="120"/>
  <c r="G112" i="120"/>
  <c r="G108" i="120"/>
  <c r="G104" i="120"/>
  <c r="G100" i="120"/>
  <c r="G96" i="120"/>
  <c r="G92" i="120"/>
  <c r="G88" i="120"/>
  <c r="G84" i="120"/>
  <c r="G80" i="120"/>
  <c r="G76" i="120"/>
  <c r="G72" i="120"/>
  <c r="G68" i="120"/>
  <c r="G64" i="120"/>
  <c r="G60" i="120"/>
  <c r="G56" i="120"/>
  <c r="G52" i="120"/>
  <c r="G48" i="120"/>
  <c r="G44" i="120"/>
  <c r="G40" i="120"/>
  <c r="G36" i="120"/>
  <c r="G32" i="120"/>
  <c r="G28" i="120"/>
  <c r="G24" i="120"/>
  <c r="G20" i="120"/>
  <c r="G16" i="120"/>
  <c r="G12" i="120"/>
  <c r="G8" i="120"/>
  <c r="G261" i="120"/>
  <c r="G257" i="120"/>
  <c r="G253" i="120"/>
  <c r="G249" i="120"/>
  <c r="G245" i="120"/>
  <c r="G241" i="120"/>
  <c r="G237" i="120"/>
  <c r="G233" i="120"/>
  <c r="G229" i="120"/>
  <c r="G225" i="120"/>
  <c r="G221" i="120"/>
  <c r="G217" i="120"/>
  <c r="G213" i="120"/>
  <c r="G209" i="120"/>
  <c r="G205" i="120"/>
  <c r="G201" i="120"/>
  <c r="G197" i="120"/>
  <c r="G193" i="120"/>
  <c r="G189" i="120"/>
  <c r="G185" i="120"/>
  <c r="G181" i="120"/>
  <c r="G177" i="120"/>
  <c r="G173" i="120"/>
  <c r="G169" i="120"/>
  <c r="G165" i="120"/>
  <c r="G161" i="120"/>
  <c r="G157" i="120"/>
  <c r="G153" i="120"/>
  <c r="G149" i="120"/>
  <c r="G145" i="120"/>
  <c r="G141" i="120"/>
  <c r="G137" i="120"/>
  <c r="G133" i="120"/>
  <c r="G129" i="120"/>
  <c r="G125" i="120"/>
  <c r="G121" i="120"/>
  <c r="G117" i="120"/>
  <c r="G113" i="120"/>
  <c r="G109" i="120"/>
  <c r="G105" i="120"/>
  <c r="G101" i="120"/>
  <c r="G97" i="120"/>
  <c r="G93" i="120"/>
  <c r="G89" i="120"/>
  <c r="G85" i="120"/>
  <c r="G81" i="120"/>
  <c r="G77" i="120"/>
  <c r="G73" i="120"/>
  <c r="G69" i="120"/>
  <c r="G65" i="120"/>
  <c r="G61" i="120"/>
  <c r="G57" i="120"/>
  <c r="G53" i="120"/>
  <c r="G49" i="120"/>
  <c r="G45" i="120"/>
  <c r="G41" i="120"/>
  <c r="G37" i="120"/>
  <c r="G33" i="120"/>
  <c r="G29" i="120"/>
  <c r="G25" i="120"/>
  <c r="G21" i="120"/>
  <c r="G17" i="120"/>
  <c r="G13" i="120"/>
  <c r="G9" i="120"/>
  <c r="G6" i="120"/>
  <c r="G258" i="120"/>
  <c r="G254" i="120"/>
  <c r="G250" i="120"/>
  <c r="G246" i="120"/>
  <c r="G242" i="120"/>
  <c r="G238" i="120"/>
  <c r="G234" i="120"/>
  <c r="G230" i="120"/>
  <c r="G226" i="120"/>
  <c r="G222" i="120"/>
  <c r="G218" i="120"/>
  <c r="G214" i="120"/>
  <c r="G210" i="120"/>
  <c r="G206" i="120"/>
  <c r="G202" i="120"/>
  <c r="G198" i="120"/>
  <c r="G194" i="120"/>
  <c r="G190" i="120"/>
  <c r="G186" i="120"/>
  <c r="G182" i="120"/>
  <c r="G178" i="120"/>
  <c r="G174" i="120"/>
  <c r="G170" i="120"/>
  <c r="G166" i="120"/>
  <c r="G162" i="120"/>
  <c r="G158" i="120"/>
  <c r="G154" i="120"/>
  <c r="G150" i="120"/>
  <c r="G146" i="120"/>
  <c r="G142" i="120"/>
  <c r="G138" i="120"/>
  <c r="G134" i="120"/>
  <c r="G130" i="120"/>
  <c r="G126" i="120"/>
  <c r="G122" i="120"/>
  <c r="G118" i="120"/>
  <c r="G114" i="120"/>
  <c r="G110" i="120"/>
  <c r="G106" i="120"/>
  <c r="G102" i="120"/>
  <c r="G98" i="120"/>
  <c r="G94" i="120"/>
  <c r="G90" i="120"/>
  <c r="G86" i="120"/>
  <c r="G82" i="120"/>
  <c r="G78" i="120"/>
  <c r="G74" i="120"/>
  <c r="G70" i="120"/>
  <c r="G66" i="120"/>
  <c r="G62" i="120"/>
  <c r="G58" i="120"/>
  <c r="G54" i="120"/>
  <c r="G50" i="120"/>
  <c r="G46" i="120"/>
  <c r="G42" i="120"/>
  <c r="G38" i="120"/>
  <c r="G34" i="120"/>
  <c r="G30" i="120"/>
  <c r="G26" i="120"/>
  <c r="G22" i="120"/>
  <c r="G18" i="120"/>
  <c r="G14" i="120"/>
  <c r="C7" i="120"/>
  <c r="B8" i="120"/>
  <c r="D8" i="120"/>
  <c r="C9" i="120"/>
  <c r="B10" i="120"/>
  <c r="D10" i="120"/>
  <c r="C11" i="120"/>
  <c r="B12" i="120"/>
  <c r="D12" i="120"/>
  <c r="C13" i="120"/>
  <c r="B14" i="120"/>
  <c r="D14" i="120"/>
  <c r="C15" i="120"/>
  <c r="B16" i="120"/>
  <c r="D16" i="120"/>
  <c r="C17" i="120"/>
  <c r="B18" i="120"/>
  <c r="D18" i="120"/>
  <c r="C19" i="120"/>
  <c r="B20" i="120"/>
  <c r="C21" i="120"/>
  <c r="B22" i="120"/>
  <c r="C23" i="120"/>
  <c r="B24" i="120"/>
  <c r="D24" i="120"/>
  <c r="C25" i="120"/>
  <c r="B26" i="120"/>
  <c r="D26" i="120"/>
  <c r="C27" i="120"/>
  <c r="B28" i="120"/>
  <c r="D28" i="120"/>
  <c r="C29" i="120"/>
  <c r="B30" i="120"/>
  <c r="D30" i="120"/>
  <c r="C31" i="120"/>
  <c r="B32" i="120"/>
  <c r="D32" i="120"/>
  <c r="C33" i="120"/>
  <c r="B34" i="120"/>
  <c r="D34" i="120"/>
  <c r="C35" i="120"/>
  <c r="B36" i="120"/>
  <c r="C37" i="120"/>
  <c r="B38" i="120"/>
  <c r="C39" i="120"/>
  <c r="B40" i="120"/>
  <c r="C41" i="120"/>
  <c r="B42" i="120"/>
  <c r="C43" i="120"/>
  <c r="B44" i="120"/>
  <c r="D44" i="120"/>
  <c r="C45" i="120"/>
  <c r="B46" i="120"/>
  <c r="D46" i="120"/>
  <c r="C47" i="120"/>
  <c r="B48" i="120"/>
  <c r="D48" i="120"/>
  <c r="C49" i="120"/>
  <c r="B50" i="120"/>
  <c r="D50" i="120"/>
  <c r="C51" i="120"/>
  <c r="B52" i="120"/>
  <c r="D52" i="120"/>
  <c r="C53" i="120"/>
  <c r="B54" i="120"/>
  <c r="D54" i="120"/>
  <c r="C55" i="120"/>
  <c r="B56" i="120"/>
  <c r="D56" i="120"/>
  <c r="C57" i="120"/>
  <c r="B58" i="120"/>
  <c r="D58" i="120"/>
  <c r="C59" i="120"/>
  <c r="B60" i="120"/>
  <c r="D60" i="120"/>
  <c r="C61" i="120"/>
  <c r="B62" i="120"/>
  <c r="D62" i="120"/>
  <c r="C63" i="120"/>
  <c r="B64" i="120"/>
  <c r="D64" i="120"/>
  <c r="C65" i="120"/>
  <c r="B66" i="120"/>
  <c r="D66" i="120"/>
  <c r="C67" i="120"/>
  <c r="B68" i="120"/>
  <c r="D68" i="120"/>
  <c r="C69" i="120"/>
  <c r="B70" i="120"/>
  <c r="D70" i="120"/>
  <c r="C71" i="120"/>
  <c r="B72" i="120"/>
  <c r="D72" i="120"/>
  <c r="C73" i="120"/>
  <c r="B74" i="120"/>
  <c r="D74" i="120"/>
  <c r="C75" i="120"/>
  <c r="B76" i="120"/>
  <c r="D76" i="120"/>
  <c r="C77" i="120"/>
  <c r="B78" i="120"/>
  <c r="D78" i="120"/>
  <c r="C79" i="120"/>
  <c r="B80" i="120"/>
  <c r="D80" i="120"/>
  <c r="C81" i="120"/>
  <c r="B82" i="120"/>
  <c r="D82" i="120"/>
  <c r="C83" i="120"/>
  <c r="B84" i="120"/>
  <c r="D84" i="120"/>
  <c r="C85" i="120"/>
  <c r="B86" i="120"/>
  <c r="D86" i="120"/>
  <c r="C87" i="120"/>
  <c r="B88" i="120"/>
  <c r="D88" i="120"/>
  <c r="C89" i="120"/>
  <c r="B90" i="120"/>
  <c r="D90" i="120"/>
  <c r="C91" i="120"/>
  <c r="B92" i="120"/>
  <c r="D92" i="120"/>
  <c r="C93" i="120"/>
  <c r="B94" i="120"/>
  <c r="D94" i="120"/>
  <c r="C95" i="120"/>
  <c r="B96" i="120"/>
  <c r="D96" i="120"/>
  <c r="C97" i="120"/>
  <c r="B98" i="120"/>
  <c r="D98" i="120"/>
  <c r="C99" i="120"/>
  <c r="B100" i="120"/>
  <c r="D100" i="120"/>
  <c r="C101" i="120"/>
  <c r="B102" i="120"/>
  <c r="D102" i="120"/>
  <c r="C103" i="120"/>
  <c r="B104" i="120"/>
  <c r="D104" i="120"/>
  <c r="C105" i="120"/>
  <c r="B106" i="120"/>
  <c r="D106" i="120"/>
  <c r="C107" i="120"/>
  <c r="B108" i="120"/>
  <c r="D108" i="120"/>
  <c r="C109" i="120"/>
  <c r="B110" i="120"/>
  <c r="D110" i="120"/>
  <c r="C111" i="120"/>
  <c r="B112" i="120"/>
  <c r="D112" i="120"/>
  <c r="C113" i="120"/>
  <c r="B114" i="120"/>
  <c r="D114" i="120"/>
  <c r="C115" i="120"/>
  <c r="B116" i="120"/>
  <c r="D116" i="120"/>
  <c r="C117" i="120"/>
  <c r="B118" i="120"/>
  <c r="D118" i="120"/>
  <c r="C119" i="120"/>
  <c r="B120" i="120"/>
  <c r="D120" i="120"/>
  <c r="C121" i="120"/>
  <c r="B122" i="120"/>
  <c r="D122" i="120"/>
  <c r="C123" i="120"/>
  <c r="B124" i="120"/>
  <c r="D124" i="120"/>
  <c r="C125" i="120"/>
  <c r="B126" i="120"/>
  <c r="D126" i="120"/>
  <c r="C127" i="120"/>
  <c r="B128" i="120"/>
  <c r="D128" i="120"/>
  <c r="C129" i="120"/>
  <c r="B130" i="120"/>
  <c r="D130" i="120"/>
  <c r="C131" i="120"/>
  <c r="B132" i="120"/>
  <c r="D132" i="120"/>
  <c r="C133" i="120"/>
  <c r="B134" i="120"/>
  <c r="D134" i="120"/>
  <c r="C135" i="120"/>
  <c r="B136" i="120"/>
  <c r="D136" i="120"/>
  <c r="C137" i="120"/>
  <c r="B138" i="120"/>
  <c r="D138" i="120"/>
  <c r="C139" i="120"/>
  <c r="B140" i="120"/>
  <c r="D140" i="120"/>
  <c r="C141" i="120"/>
  <c r="B142" i="120"/>
  <c r="D142" i="120"/>
  <c r="C143" i="120"/>
  <c r="B144" i="120"/>
  <c r="D144" i="120"/>
  <c r="C145" i="120"/>
  <c r="B146" i="120"/>
  <c r="D146" i="120"/>
  <c r="C147" i="120"/>
  <c r="B148" i="120"/>
  <c r="D148" i="120"/>
  <c r="C149" i="120"/>
  <c r="B150" i="120"/>
  <c r="D150" i="120"/>
  <c r="C151" i="120"/>
  <c r="B152" i="120"/>
  <c r="D152" i="120"/>
  <c r="C153" i="120"/>
  <c r="B154" i="120"/>
  <c r="D154" i="120"/>
  <c r="C155" i="120"/>
  <c r="B156" i="120"/>
  <c r="D156" i="120"/>
  <c r="C157" i="120"/>
  <c r="B158" i="120"/>
  <c r="D158" i="120"/>
  <c r="C159" i="120"/>
  <c r="B160" i="120"/>
  <c r="D160" i="120"/>
  <c r="C161" i="120"/>
  <c r="B162" i="120"/>
  <c r="D162" i="120"/>
  <c r="C163" i="120"/>
  <c r="B164" i="120"/>
  <c r="D164" i="120"/>
  <c r="C165" i="120"/>
  <c r="B166" i="120"/>
  <c r="D166" i="120"/>
  <c r="C167" i="120"/>
  <c r="B168" i="120"/>
  <c r="D168" i="120"/>
  <c r="C169" i="120"/>
  <c r="B170" i="120"/>
  <c r="D170" i="120"/>
  <c r="C171" i="120"/>
  <c r="B172" i="120"/>
  <c r="D172" i="120"/>
  <c r="C173" i="120"/>
  <c r="B174" i="120"/>
  <c r="D174" i="120"/>
  <c r="C175" i="120"/>
  <c r="B176" i="120"/>
  <c r="D176" i="120"/>
  <c r="C177" i="120"/>
  <c r="B7" i="120"/>
  <c r="D7" i="120"/>
  <c r="C8" i="120"/>
  <c r="B9" i="120"/>
  <c r="D9" i="120"/>
  <c r="C10" i="120"/>
  <c r="B11" i="120"/>
  <c r="D11" i="120"/>
  <c r="C12" i="120"/>
  <c r="B13" i="120"/>
  <c r="D13" i="120"/>
  <c r="C14" i="120"/>
  <c r="B15" i="120"/>
  <c r="D15" i="120"/>
  <c r="C16" i="120"/>
  <c r="B17" i="120"/>
  <c r="D17" i="120"/>
  <c r="C18" i="120"/>
  <c r="B19" i="120"/>
  <c r="D19" i="120"/>
  <c r="C20" i="120"/>
  <c r="B21" i="120"/>
  <c r="C22" i="120"/>
  <c r="B23" i="120"/>
  <c r="C24" i="120"/>
  <c r="B25" i="120"/>
  <c r="D25" i="120"/>
  <c r="C26" i="120"/>
  <c r="B27" i="120"/>
  <c r="D27" i="120"/>
  <c r="C28" i="120"/>
  <c r="B29" i="120"/>
  <c r="D29" i="120"/>
  <c r="C30" i="120"/>
  <c r="B31" i="120"/>
  <c r="D31" i="120"/>
  <c r="C32" i="120"/>
  <c r="B33" i="120"/>
  <c r="D33" i="120"/>
  <c r="C34" i="120"/>
  <c r="B35" i="120"/>
  <c r="C36" i="120"/>
  <c r="B37" i="120"/>
  <c r="C38" i="120"/>
  <c r="B39" i="120"/>
  <c r="C40" i="120"/>
  <c r="B41" i="120"/>
  <c r="C42" i="120"/>
  <c r="B43" i="120"/>
  <c r="D43" i="120"/>
  <c r="C44" i="120"/>
  <c r="B45" i="120"/>
  <c r="D45" i="120"/>
  <c r="C46" i="120"/>
  <c r="B47" i="120"/>
  <c r="D47" i="120"/>
  <c r="C48" i="120"/>
  <c r="B49" i="120"/>
  <c r="D49" i="120"/>
  <c r="C50" i="120"/>
  <c r="B51" i="120"/>
  <c r="D51" i="120"/>
  <c r="C52" i="120"/>
  <c r="B53" i="120"/>
  <c r="D53" i="120"/>
  <c r="C54" i="120"/>
  <c r="B55" i="120"/>
  <c r="D55" i="120"/>
  <c r="C56" i="120"/>
  <c r="B57" i="120"/>
  <c r="D57" i="120"/>
  <c r="C58" i="120"/>
  <c r="B59" i="120"/>
  <c r="D59" i="120"/>
  <c r="C60" i="120"/>
  <c r="B61" i="120"/>
  <c r="D61" i="120"/>
  <c r="C62" i="120"/>
  <c r="B63" i="120"/>
  <c r="D63" i="120"/>
  <c r="C64" i="120"/>
  <c r="B65" i="120"/>
  <c r="D65" i="120"/>
  <c r="C66" i="120"/>
  <c r="B67" i="120"/>
  <c r="D67" i="120"/>
  <c r="C68" i="120"/>
  <c r="B69" i="120"/>
  <c r="D69" i="120"/>
  <c r="C70" i="120"/>
  <c r="B71" i="120"/>
  <c r="D71" i="120"/>
  <c r="C72" i="120"/>
  <c r="B73" i="120"/>
  <c r="D73" i="120"/>
  <c r="C74" i="120"/>
  <c r="B75" i="120"/>
  <c r="D75" i="120"/>
  <c r="C76" i="120"/>
  <c r="B77" i="120"/>
  <c r="D77" i="120"/>
  <c r="C78" i="120"/>
  <c r="B79" i="120"/>
  <c r="D79" i="120"/>
  <c r="C80" i="120"/>
  <c r="B81" i="120"/>
  <c r="D81" i="120"/>
  <c r="C82" i="120"/>
  <c r="B83" i="120"/>
  <c r="D83" i="120"/>
  <c r="C84" i="120"/>
  <c r="B85" i="120"/>
  <c r="D85" i="120"/>
  <c r="C86" i="120"/>
  <c r="B87" i="120"/>
  <c r="D87" i="120"/>
  <c r="C88" i="120"/>
  <c r="B89" i="120"/>
  <c r="D89" i="120"/>
  <c r="C90" i="120"/>
  <c r="B91" i="120"/>
  <c r="D91" i="120"/>
  <c r="C92" i="120"/>
  <c r="B93" i="120"/>
  <c r="D93" i="120"/>
  <c r="C94" i="120"/>
  <c r="B95" i="120"/>
  <c r="D95" i="120"/>
  <c r="C96" i="120"/>
  <c r="B97" i="120"/>
  <c r="D97" i="120"/>
  <c r="C98" i="120"/>
  <c r="B99" i="120"/>
  <c r="D99" i="120"/>
  <c r="C100" i="120"/>
  <c r="B101" i="120"/>
  <c r="D101" i="120"/>
  <c r="C102" i="120"/>
  <c r="B103" i="120"/>
  <c r="D103" i="120"/>
  <c r="C104" i="120"/>
  <c r="B105" i="120"/>
  <c r="D105" i="120"/>
  <c r="C106" i="120"/>
  <c r="B107" i="120"/>
  <c r="D107" i="120"/>
  <c r="C108" i="120"/>
  <c r="B109" i="120"/>
  <c r="D109" i="120"/>
  <c r="C110" i="120"/>
  <c r="B111" i="120"/>
  <c r="D111" i="120"/>
  <c r="C112" i="120"/>
  <c r="B113" i="120"/>
  <c r="D113" i="120"/>
  <c r="C114" i="120"/>
  <c r="B115" i="120"/>
  <c r="D115" i="120"/>
  <c r="C116" i="120"/>
  <c r="B117" i="120"/>
  <c r="D117" i="120"/>
  <c r="C118" i="120"/>
  <c r="B119" i="120"/>
  <c r="D119" i="120"/>
  <c r="C120" i="120"/>
  <c r="B121" i="120"/>
  <c r="D121" i="120"/>
  <c r="C122" i="120"/>
  <c r="B123" i="120"/>
  <c r="D123" i="120"/>
  <c r="C124" i="120"/>
  <c r="B125" i="120"/>
  <c r="D125" i="120"/>
  <c r="C126" i="120"/>
  <c r="B127" i="120"/>
  <c r="D127" i="120"/>
  <c r="C128" i="120"/>
  <c r="B129" i="120"/>
  <c r="D129" i="120"/>
  <c r="C130" i="120"/>
  <c r="B131" i="120"/>
  <c r="D131" i="120"/>
  <c r="C132" i="120"/>
  <c r="B133" i="120"/>
  <c r="D133" i="120"/>
  <c r="C134" i="120"/>
  <c r="B135" i="120"/>
  <c r="D135" i="120"/>
  <c r="C136" i="120"/>
  <c r="B137" i="120"/>
  <c r="D137" i="120"/>
  <c r="C138" i="120"/>
  <c r="B139" i="120"/>
  <c r="D139" i="120"/>
  <c r="C140" i="120"/>
  <c r="B141" i="120"/>
  <c r="D141" i="120"/>
  <c r="C142" i="120"/>
  <c r="B143" i="120"/>
  <c r="D143" i="120"/>
  <c r="C144" i="120"/>
  <c r="B145" i="120"/>
  <c r="D145" i="120"/>
  <c r="C146" i="120"/>
  <c r="B147" i="120"/>
  <c r="D147" i="120"/>
  <c r="C148" i="120"/>
  <c r="B149" i="120"/>
  <c r="D149" i="120"/>
  <c r="C150" i="120"/>
  <c r="B151" i="120"/>
  <c r="D151" i="120"/>
  <c r="C152" i="120"/>
  <c r="B153" i="120"/>
  <c r="D153" i="120"/>
  <c r="C154" i="120"/>
  <c r="B155" i="120"/>
  <c r="D155" i="120"/>
  <c r="C156" i="120"/>
  <c r="B157" i="120"/>
  <c r="D157" i="120"/>
  <c r="C158" i="120"/>
  <c r="B159" i="120"/>
  <c r="D159" i="120"/>
  <c r="C160" i="120"/>
  <c r="B161" i="120"/>
  <c r="D161" i="120"/>
  <c r="C162" i="120"/>
  <c r="B163" i="120"/>
  <c r="D163" i="120"/>
  <c r="C164" i="120"/>
  <c r="B165" i="120"/>
  <c r="D165" i="120"/>
  <c r="C166" i="120"/>
  <c r="B167" i="120"/>
  <c r="D167" i="120"/>
  <c r="C168" i="120"/>
  <c r="B169" i="120"/>
  <c r="D169" i="120"/>
  <c r="C170" i="120"/>
  <c r="B171" i="120"/>
  <c r="D171" i="120"/>
  <c r="C172" i="120"/>
  <c r="B173" i="120"/>
  <c r="D173" i="120"/>
  <c r="C174" i="120"/>
  <c r="B175" i="120"/>
  <c r="D175" i="120"/>
  <c r="C176" i="120"/>
  <c r="B177" i="120"/>
  <c r="B178" i="120"/>
  <c r="D178" i="120"/>
  <c r="C179" i="120"/>
  <c r="B180" i="120"/>
  <c r="D180" i="120"/>
  <c r="C181" i="120"/>
  <c r="B182" i="120"/>
  <c r="D182" i="120"/>
  <c r="C183" i="120"/>
  <c r="B184" i="120"/>
  <c r="D184" i="120"/>
  <c r="C185" i="120"/>
  <c r="B186" i="120"/>
  <c r="D186" i="120"/>
  <c r="C187" i="120"/>
  <c r="B188" i="120"/>
  <c r="D188" i="120"/>
  <c r="C189" i="120"/>
  <c r="B190" i="120"/>
  <c r="D190" i="120"/>
  <c r="C191" i="120"/>
  <c r="B192" i="120"/>
  <c r="D192" i="120"/>
  <c r="C193" i="120"/>
  <c r="B194" i="120"/>
  <c r="D194" i="120"/>
  <c r="C195" i="120"/>
  <c r="B196" i="120"/>
  <c r="D196" i="120"/>
  <c r="C197" i="120"/>
  <c r="B198" i="120"/>
  <c r="D198" i="120"/>
  <c r="C199" i="120"/>
  <c r="B200" i="120"/>
  <c r="D200" i="120"/>
  <c r="C201" i="120"/>
  <c r="B202" i="120"/>
  <c r="D202" i="120"/>
  <c r="C203" i="120"/>
  <c r="B204" i="120"/>
  <c r="D204" i="120"/>
  <c r="C205" i="120"/>
  <c r="B206" i="120"/>
  <c r="D206" i="120"/>
  <c r="C207" i="120"/>
  <c r="B208" i="120"/>
  <c r="D208" i="120"/>
  <c r="C209" i="120"/>
  <c r="B210" i="120"/>
  <c r="D210" i="120"/>
  <c r="C211" i="120"/>
  <c r="B212" i="120"/>
  <c r="D212" i="120"/>
  <c r="C213" i="120"/>
  <c r="B214" i="120"/>
  <c r="D214" i="120"/>
  <c r="C215" i="120"/>
  <c r="B216" i="120"/>
  <c r="D216" i="120"/>
  <c r="C217" i="120"/>
  <c r="B218" i="120"/>
  <c r="D218" i="120"/>
  <c r="C219" i="120"/>
  <c r="B220" i="120"/>
  <c r="D220" i="120"/>
  <c r="C221" i="120"/>
  <c r="B222" i="120"/>
  <c r="D222" i="120"/>
  <c r="C223" i="120"/>
  <c r="B224" i="120"/>
  <c r="D224" i="120"/>
  <c r="C225" i="120"/>
  <c r="B226" i="120"/>
  <c r="D226" i="120"/>
  <c r="C227" i="120"/>
  <c r="B228" i="120"/>
  <c r="D228" i="120"/>
  <c r="C229" i="120"/>
  <c r="B230" i="120"/>
  <c r="D230" i="120"/>
  <c r="C231" i="120"/>
  <c r="B232" i="120"/>
  <c r="D232" i="120"/>
  <c r="C233" i="120"/>
  <c r="B234" i="120"/>
  <c r="D234" i="120"/>
  <c r="C235" i="120"/>
  <c r="B236" i="120"/>
  <c r="D236" i="120"/>
  <c r="C237" i="120"/>
  <c r="B238" i="120"/>
  <c r="D238" i="120"/>
  <c r="C239" i="120"/>
  <c r="B240" i="120"/>
  <c r="D240" i="120"/>
  <c r="C241" i="120"/>
  <c r="B242" i="120"/>
  <c r="D242" i="120"/>
  <c r="C243" i="120"/>
  <c r="B244" i="120"/>
  <c r="D244" i="120"/>
  <c r="C245" i="120"/>
  <c r="B246" i="120"/>
  <c r="D246" i="120"/>
  <c r="C247" i="120"/>
  <c r="B248" i="120"/>
  <c r="D248" i="120"/>
  <c r="C249" i="120"/>
  <c r="B250" i="120"/>
  <c r="D250" i="120"/>
  <c r="C251" i="120"/>
  <c r="B252" i="120"/>
  <c r="D252" i="120"/>
  <c r="C253" i="120"/>
  <c r="B254" i="120"/>
  <c r="D254" i="120"/>
  <c r="C255" i="120"/>
  <c r="B256" i="120"/>
  <c r="D256" i="120"/>
  <c r="C257" i="120"/>
  <c r="B258" i="120"/>
  <c r="D258" i="120"/>
  <c r="C259" i="120"/>
  <c r="B260" i="120"/>
  <c r="D260" i="120"/>
  <c r="C261" i="120"/>
  <c r="D6" i="120"/>
  <c r="B6" i="120"/>
  <c r="D177" i="120"/>
  <c r="C178" i="120"/>
  <c r="B179" i="120"/>
  <c r="D179" i="120"/>
  <c r="C180" i="120"/>
  <c r="B181" i="120"/>
  <c r="D181" i="120"/>
  <c r="C182" i="120"/>
  <c r="B183" i="120"/>
  <c r="D183" i="120"/>
  <c r="C184" i="120"/>
  <c r="B185" i="120"/>
  <c r="D185" i="120"/>
  <c r="C186" i="120"/>
  <c r="B187" i="120"/>
  <c r="D187" i="120"/>
  <c r="C188" i="120"/>
  <c r="B189" i="120"/>
  <c r="D189" i="120"/>
  <c r="C190" i="120"/>
  <c r="B191" i="120"/>
  <c r="D191" i="120"/>
  <c r="C192" i="120"/>
  <c r="B193" i="120"/>
  <c r="D193" i="120"/>
  <c r="C194" i="120"/>
  <c r="B195" i="120"/>
  <c r="D195" i="120"/>
  <c r="C196" i="120"/>
  <c r="B197" i="120"/>
  <c r="D197" i="120"/>
  <c r="C198" i="120"/>
  <c r="B199" i="120"/>
  <c r="D199" i="120"/>
  <c r="C200" i="120"/>
  <c r="B201" i="120"/>
  <c r="D201" i="120"/>
  <c r="C202" i="120"/>
  <c r="B203" i="120"/>
  <c r="D203" i="120"/>
  <c r="C204" i="120"/>
  <c r="B205" i="120"/>
  <c r="D205" i="120"/>
  <c r="C206" i="120"/>
  <c r="B207" i="120"/>
  <c r="D207" i="120"/>
  <c r="C208" i="120"/>
  <c r="B209" i="120"/>
  <c r="D209" i="120"/>
  <c r="C210" i="120"/>
  <c r="B211" i="120"/>
  <c r="D211" i="120"/>
  <c r="C212" i="120"/>
  <c r="B213" i="120"/>
  <c r="D213" i="120"/>
  <c r="C214" i="120"/>
  <c r="B215" i="120"/>
  <c r="D215" i="120"/>
  <c r="C216" i="120"/>
  <c r="B217" i="120"/>
  <c r="D217" i="120"/>
  <c r="C218" i="120"/>
  <c r="B219" i="120"/>
  <c r="D219" i="120"/>
  <c r="C220" i="120"/>
  <c r="B221" i="120"/>
  <c r="D221" i="120"/>
  <c r="C222" i="120"/>
  <c r="B223" i="120"/>
  <c r="D223" i="120"/>
  <c r="C224" i="120"/>
  <c r="B225" i="120"/>
  <c r="D225" i="120"/>
  <c r="C226" i="120"/>
  <c r="B227" i="120"/>
  <c r="D227" i="120"/>
  <c r="C228" i="120"/>
  <c r="B229" i="120"/>
  <c r="D229" i="120"/>
  <c r="C230" i="120"/>
  <c r="B231" i="120"/>
  <c r="D231" i="120"/>
  <c r="C232" i="120"/>
  <c r="B233" i="120"/>
  <c r="D233" i="120"/>
  <c r="C234" i="120"/>
  <c r="B235" i="120"/>
  <c r="D235" i="120"/>
  <c r="C236" i="120"/>
  <c r="B237" i="120"/>
  <c r="D237" i="120"/>
  <c r="C238" i="120"/>
  <c r="B239" i="120"/>
  <c r="D239" i="120"/>
  <c r="C240" i="120"/>
  <c r="B241" i="120"/>
  <c r="D241" i="120"/>
  <c r="C242" i="120"/>
  <c r="B243" i="120"/>
  <c r="D243" i="120"/>
  <c r="C244" i="120"/>
  <c r="B245" i="120"/>
  <c r="D245" i="120"/>
  <c r="C246" i="120"/>
  <c r="B247" i="120"/>
  <c r="D247" i="120"/>
  <c r="C248" i="120"/>
  <c r="B249" i="120"/>
  <c r="D249" i="120"/>
  <c r="C250" i="120"/>
  <c r="B251" i="120"/>
  <c r="D251" i="120"/>
  <c r="C252" i="120"/>
  <c r="B253" i="120"/>
  <c r="D253" i="120"/>
  <c r="C254" i="120"/>
  <c r="B255" i="120"/>
  <c r="D255" i="120"/>
  <c r="C256" i="120"/>
  <c r="B257" i="120"/>
  <c r="D257" i="120"/>
  <c r="C258" i="120"/>
  <c r="B259" i="120"/>
  <c r="D259" i="120"/>
  <c r="C260" i="120"/>
  <c r="B261" i="120"/>
  <c r="D261" i="120"/>
  <c r="C6" i="120"/>
  <c r="Z160" i="10"/>
  <c r="AA160" i="10" s="1"/>
  <c r="AT262" i="10"/>
  <c r="AS262" i="10" s="1"/>
  <c r="AT228" i="10"/>
  <c r="AS228" i="10" s="1"/>
  <c r="N164" i="60"/>
  <c r="F164" i="60" s="1"/>
  <c r="BA270" i="10"/>
  <c r="P70" i="30"/>
  <c r="Z68" i="3"/>
  <c r="Y70" i="3" s="1"/>
  <c r="BA259" i="10"/>
  <c r="AP258" i="10"/>
  <c r="AQ258" i="10" s="1"/>
  <c r="F6" i="3"/>
  <c r="AB16" i="41"/>
  <c r="AT263" i="10"/>
  <c r="AS263" i="10" s="1"/>
  <c r="AT264" i="10"/>
  <c r="AS264" i="10" s="1"/>
  <c r="BA254" i="10"/>
  <c r="AP270" i="10"/>
  <c r="AQ270" i="10" s="1"/>
  <c r="Z150" i="10"/>
  <c r="AA150" i="10" s="1"/>
  <c r="AT257" i="10"/>
  <c r="AS257" i="10" s="1"/>
  <c r="BA253" i="10"/>
  <c r="AT229" i="10"/>
  <c r="AS229" i="10" s="1"/>
  <c r="BA229" i="10"/>
  <c r="BA227" i="10"/>
  <c r="Z122" i="10"/>
  <c r="AA122" i="10" s="1"/>
  <c r="AT254" i="10"/>
  <c r="AS254" i="10" s="1"/>
  <c r="AT266" i="10"/>
  <c r="AS266" i="10" s="1"/>
  <c r="AP268" i="10"/>
  <c r="AQ268" i="10" s="1"/>
  <c r="BA268" i="10"/>
  <c r="AP257" i="10"/>
  <c r="AQ257" i="10" s="1"/>
  <c r="Z166" i="10"/>
  <c r="AA166" i="10" s="1"/>
  <c r="BA256" i="10"/>
  <c r="X146" i="60"/>
  <c r="Z146" i="60" s="1"/>
  <c r="I146" i="60" s="1"/>
  <c r="C49" i="60"/>
  <c r="N48" i="60"/>
  <c r="F48" i="60" s="1"/>
  <c r="Z131" i="10"/>
  <c r="AA131" i="10" s="1"/>
  <c r="AT258" i="10"/>
  <c r="AS258" i="10" s="1"/>
  <c r="AT256" i="10"/>
  <c r="AS256" i="10" s="1"/>
  <c r="AP227" i="10"/>
  <c r="AQ227" i="10" s="1"/>
  <c r="I32" i="7"/>
  <c r="AP265" i="10"/>
  <c r="AQ265" i="10" s="1"/>
  <c r="I24" i="7"/>
  <c r="Z175" i="10"/>
  <c r="AA175" i="10" s="1"/>
  <c r="AT260" i="10"/>
  <c r="AS260" i="10" s="1"/>
  <c r="AP260" i="10"/>
  <c r="AQ260" i="10" s="1"/>
  <c r="AP262" i="10"/>
  <c r="AQ262" i="10" s="1"/>
  <c r="C2" i="117"/>
  <c r="C2" i="115"/>
  <c r="A1" i="109"/>
  <c r="D13" i="104"/>
  <c r="G15" i="104" s="1"/>
  <c r="AB9" i="41"/>
  <c r="A1" i="119"/>
  <c r="S23" i="7"/>
  <c r="U23" i="7" s="1"/>
  <c r="J23" i="7" s="1"/>
  <c r="AA9" i="41"/>
  <c r="C2" i="94"/>
  <c r="B1" i="46"/>
  <c r="A1" i="52"/>
  <c r="B1" i="31"/>
  <c r="B1" i="25"/>
  <c r="B1" i="96"/>
  <c r="B1" i="107"/>
  <c r="A1" i="53"/>
  <c r="B1" i="10"/>
  <c r="B1" i="101"/>
  <c r="A1" i="85"/>
  <c r="B1" i="30"/>
  <c r="B1" i="93"/>
  <c r="BA261" i="10"/>
  <c r="AP229" i="10"/>
  <c r="AQ229" i="10" s="1"/>
  <c r="Z178" i="10"/>
  <c r="AA178" i="10" s="1"/>
  <c r="Z139" i="10"/>
  <c r="AA139" i="10" s="1"/>
  <c r="Z162" i="10"/>
  <c r="Z161" i="10"/>
  <c r="AA161" i="10" s="1"/>
  <c r="AT259" i="10"/>
  <c r="AS259" i="10" s="1"/>
  <c r="BA251" i="10"/>
  <c r="AT251" i="10"/>
  <c r="AS251" i="10" s="1"/>
  <c r="AP266" i="10"/>
  <c r="AQ266" i="10" s="1"/>
  <c r="BA255" i="10"/>
  <c r="O23" i="31"/>
  <c r="AO15" i="31" s="1"/>
  <c r="I22" i="7"/>
  <c r="Z16" i="41"/>
  <c r="AP267" i="10"/>
  <c r="AQ267" i="10" s="1"/>
  <c r="AP253" i="10"/>
  <c r="AQ253" i="10" s="1"/>
  <c r="A1" i="22"/>
  <c r="A1" i="26"/>
  <c r="B1" i="69"/>
  <c r="B1" i="106"/>
  <c r="B1" i="8"/>
  <c r="A1" i="29"/>
  <c r="B1" i="12"/>
  <c r="B1" i="16"/>
  <c r="B1" i="105"/>
  <c r="A1" i="110"/>
  <c r="A1" i="47"/>
  <c r="B1" i="2"/>
  <c r="A1" i="39"/>
  <c r="A51" i="39" s="1"/>
  <c r="A1" i="80"/>
  <c r="C60" i="60"/>
  <c r="B1" i="100"/>
  <c r="B1" i="103"/>
  <c r="C2" i="60"/>
  <c r="B1" i="91"/>
  <c r="A1" i="40"/>
  <c r="B1" i="11"/>
  <c r="C2" i="70"/>
  <c r="A1" i="112"/>
  <c r="A52" i="112" s="1"/>
  <c r="C2" i="89"/>
  <c r="B1" i="57"/>
  <c r="A1" i="7"/>
  <c r="B1" i="41"/>
  <c r="C1" i="84"/>
  <c r="B1" i="28"/>
  <c r="C2" i="59"/>
  <c r="A1" i="97"/>
  <c r="C118" i="60"/>
  <c r="A1" i="81"/>
  <c r="B1" i="108"/>
  <c r="B1" i="102"/>
  <c r="B2" i="44"/>
  <c r="C2" i="111"/>
  <c r="P87" i="60"/>
  <c r="Y87" i="60" s="1"/>
  <c r="Z87" i="60" s="1"/>
  <c r="I87" i="60" s="1"/>
  <c r="I90" i="60" s="1"/>
  <c r="O106" i="60" s="1"/>
  <c r="K70" i="30"/>
  <c r="V16" i="41"/>
  <c r="R19" i="76"/>
  <c r="O90" i="60"/>
  <c r="G90" i="60" s="1"/>
  <c r="P91" i="60" s="1"/>
  <c r="Z149" i="10"/>
  <c r="AA149" i="10" s="1"/>
  <c r="Z179" i="10"/>
  <c r="AA179" i="10" s="1"/>
  <c r="Z187" i="10"/>
  <c r="AA187" i="10" s="1"/>
  <c r="Z148" i="10"/>
  <c r="AA148" i="10" s="1"/>
  <c r="Z158" i="10"/>
  <c r="AA158" i="10" s="1"/>
  <c r="AA22" i="31"/>
  <c r="AE119" i="83"/>
  <c r="S20" i="7"/>
  <c r="U20" i="7" s="1"/>
  <c r="J20" i="7" s="1"/>
  <c r="I20" i="7"/>
  <c r="U16" i="41"/>
  <c r="W16" i="41"/>
  <c r="D34" i="80"/>
  <c r="D38" i="80" s="1"/>
  <c r="E42" i="80" s="1"/>
  <c r="J42" i="80" s="1"/>
  <c r="E26" i="80"/>
  <c r="J26" i="80" s="1"/>
  <c r="G8" i="41"/>
  <c r="Z188" i="10"/>
  <c r="AA188" i="10" s="1"/>
  <c r="Z124" i="10"/>
  <c r="AA124" i="10" s="1"/>
  <c r="Z142" i="10"/>
  <c r="AA142" i="10" s="1"/>
  <c r="Z176" i="10"/>
  <c r="AA176" i="10" s="1"/>
  <c r="I101" i="9"/>
  <c r="K100" i="9"/>
  <c r="N100" i="9" s="1"/>
  <c r="R108" i="9" s="1"/>
  <c r="G12" i="2" s="1"/>
  <c r="D12" i="2" s="1"/>
  <c r="Z153" i="10"/>
  <c r="AA153" i="10" s="1"/>
  <c r="Z140" i="10"/>
  <c r="AA140" i="10" s="1"/>
  <c r="Z138" i="10"/>
  <c r="AA138" i="10" s="1"/>
  <c r="Z186" i="10"/>
  <c r="AA186" i="10" s="1"/>
  <c r="Z170" i="10"/>
  <c r="AA170" i="10" s="1"/>
  <c r="Z130" i="10"/>
  <c r="AA130" i="10" s="1"/>
  <c r="O148" i="60"/>
  <c r="G148" i="60" s="1"/>
  <c r="P149" i="60" s="1"/>
  <c r="N30" i="89"/>
  <c r="J29" i="89" s="1"/>
  <c r="I30" i="89"/>
  <c r="AD159" i="28"/>
  <c r="D39" i="39"/>
  <c r="AD158" i="28"/>
  <c r="K23" i="31"/>
  <c r="R23" i="31"/>
  <c r="AB158" i="28"/>
  <c r="AB159" i="28"/>
  <c r="Q55" i="77"/>
  <c r="V54" i="77"/>
  <c r="Z54" i="77" s="1"/>
  <c r="J10" i="84"/>
  <c r="L10" i="84" s="1"/>
  <c r="N10" i="84"/>
  <c r="AC158" i="28"/>
  <c r="AC159" i="28"/>
  <c r="J162" i="28"/>
  <c r="H39" i="39" s="1"/>
  <c r="P72" i="30"/>
  <c r="L72" i="30"/>
  <c r="M72" i="30" s="1"/>
  <c r="K72" i="30"/>
  <c r="G7" i="41"/>
  <c r="AA7" i="41" s="1"/>
  <c r="E29" i="41"/>
  <c r="X29" i="60"/>
  <c r="O32" i="60"/>
  <c r="W13" i="92"/>
  <c r="J15" i="92"/>
  <c r="AC17" i="31"/>
  <c r="AB22" i="31"/>
  <c r="G9" i="41"/>
  <c r="Z22" i="31"/>
  <c r="I19" i="84"/>
  <c r="O19" i="84"/>
  <c r="K32" i="94"/>
  <c r="E76" i="2" s="1"/>
  <c r="C76" i="2" s="1"/>
  <c r="Z145" i="60"/>
  <c r="I145" i="60" s="1"/>
  <c r="AC162" i="28"/>
  <c r="P148" i="60"/>
  <c r="H148" i="60" s="1"/>
  <c r="Y29" i="60"/>
  <c r="P32" i="60"/>
  <c r="J106" i="60"/>
  <c r="L106" i="60" s="1"/>
  <c r="C107" i="60"/>
  <c r="N106" i="60"/>
  <c r="F106" i="60" s="1"/>
  <c r="J111" i="60"/>
  <c r="L111" i="60" s="1"/>
  <c r="F18" i="109"/>
  <c r="L18" i="109" s="1"/>
  <c r="J21" i="109"/>
  <c r="L21" i="109" s="1"/>
  <c r="J19" i="109"/>
  <c r="L19" i="109" s="1"/>
  <c r="S33" i="7"/>
  <c r="U33" i="7" s="1"/>
  <c r="J33" i="7" s="1"/>
  <c r="I33" i="7"/>
  <c r="S31" i="7"/>
  <c r="U31" i="7" s="1"/>
  <c r="J31" i="7" s="1"/>
  <c r="I31" i="7"/>
  <c r="BR85" i="83"/>
  <c r="S28" i="7"/>
  <c r="U28" i="7" s="1"/>
  <c r="J28" i="7" s="1"/>
  <c r="I28" i="7"/>
  <c r="AD162" i="28"/>
  <c r="S26" i="7"/>
  <c r="U26" i="7" s="1"/>
  <c r="J26" i="7" s="1"/>
  <c r="I26" i="7"/>
  <c r="S30" i="7"/>
  <c r="U30" i="7" s="1"/>
  <c r="J30" i="7" s="1"/>
  <c r="I30" i="7"/>
  <c r="E47" i="40"/>
  <c r="Z261" i="43" l="1"/>
  <c r="Z268" i="43"/>
  <c r="G268" i="44"/>
  <c r="E268" i="44" s="1"/>
  <c r="E261" i="44"/>
  <c r="D261" i="44" s="1"/>
  <c r="G261" i="44" s="1"/>
  <c r="G266" i="44" s="1"/>
  <c r="AA87" i="10"/>
  <c r="N87" i="10" s="1"/>
  <c r="M87" i="10"/>
  <c r="AA84" i="10"/>
  <c r="N84" i="10" s="1"/>
  <c r="M84" i="10"/>
  <c r="AA77" i="10"/>
  <c r="N77" i="10" s="1"/>
  <c r="M77" i="10"/>
  <c r="AA76" i="10"/>
  <c r="N76" i="10" s="1"/>
  <c r="M76" i="10"/>
  <c r="AA80" i="10"/>
  <c r="N80" i="10" s="1"/>
  <c r="M80" i="10"/>
  <c r="AA79" i="10"/>
  <c r="N79" i="10" s="1"/>
  <c r="M79" i="10"/>
  <c r="AA78" i="10"/>
  <c r="N78" i="10" s="1"/>
  <c r="M78" i="10"/>
  <c r="AA81" i="10"/>
  <c r="N81" i="10" s="1"/>
  <c r="M81" i="10"/>
  <c r="H33" i="100"/>
  <c r="I33" i="100" s="1"/>
  <c r="H31" i="100"/>
  <c r="I31" i="100" s="1"/>
  <c r="H30" i="100"/>
  <c r="I30" i="100" s="1"/>
  <c r="AA263" i="43"/>
  <c r="E262" i="43"/>
  <c r="J23" i="31"/>
  <c r="E53" i="40"/>
  <c r="L4" i="42" s="1"/>
  <c r="H47" i="59"/>
  <c r="N47" i="59"/>
  <c r="M47" i="59" s="1"/>
  <c r="N23" i="31"/>
  <c r="W27" i="41"/>
  <c r="H9" i="39" s="1"/>
  <c r="AE53" i="40"/>
  <c r="J15" i="31"/>
  <c r="I51" i="68"/>
  <c r="F31" i="70" s="1"/>
  <c r="J31" i="70" s="1"/>
  <c r="L31" i="70" s="1"/>
  <c r="M246" i="10"/>
  <c r="AA264" i="10"/>
  <c r="N264" i="10" s="1"/>
  <c r="Q31" i="84"/>
  <c r="S31" i="84" s="1"/>
  <c r="H32" i="60"/>
  <c r="K77" i="112"/>
  <c r="L77" i="112" s="1"/>
  <c r="K80" i="112"/>
  <c r="L80" i="112" s="1"/>
  <c r="K782" i="112"/>
  <c r="L782" i="112" s="1"/>
  <c r="K783" i="112"/>
  <c r="L783" i="112" s="1"/>
  <c r="K79" i="112"/>
  <c r="L79" i="112" s="1"/>
  <c r="K74" i="112"/>
  <c r="L74" i="112" s="1"/>
  <c r="K71" i="112"/>
  <c r="L71" i="112" s="1"/>
  <c r="K66" i="112"/>
  <c r="L66" i="112" s="1"/>
  <c r="K69" i="112"/>
  <c r="L69" i="112" s="1"/>
  <c r="M90" i="164"/>
  <c r="P90" i="164" s="1"/>
  <c r="P172" i="164" s="1"/>
  <c r="P174" i="164" s="1"/>
  <c r="E134" i="2" s="1"/>
  <c r="C134" i="2" s="1"/>
  <c r="N15" i="31"/>
  <c r="Q15" i="31"/>
  <c r="F34" i="7"/>
  <c r="K34" i="7" s="1"/>
  <c r="AR240" i="10"/>
  <c r="AR227" i="10"/>
  <c r="P227" i="10" s="1"/>
  <c r="S227" i="10" s="1"/>
  <c r="M239" i="10"/>
  <c r="AA241" i="10"/>
  <c r="N241" i="10" s="1"/>
  <c r="N40" i="31"/>
  <c r="Q40" i="31"/>
  <c r="T46" i="81"/>
  <c r="L46" i="81" s="1"/>
  <c r="R46" i="81" s="1"/>
  <c r="AR243" i="10"/>
  <c r="AR255" i="10"/>
  <c r="AR241" i="10"/>
  <c r="AR244" i="10"/>
  <c r="M62" i="29"/>
  <c r="M97" i="29" s="1"/>
  <c r="T97" i="29" s="1"/>
  <c r="E147" i="2" s="1"/>
  <c r="C147" i="2" s="1"/>
  <c r="AA242" i="10"/>
  <c r="N242" i="10" s="1"/>
  <c r="AR248" i="10"/>
  <c r="AR249" i="10"/>
  <c r="AR232" i="10"/>
  <c r="M234" i="10"/>
  <c r="AR247" i="10"/>
  <c r="M230" i="10"/>
  <c r="AR246" i="10"/>
  <c r="AR250" i="10"/>
  <c r="AR237" i="10"/>
  <c r="AA235" i="10"/>
  <c r="N235" i="10" s="1"/>
  <c r="F42" i="40"/>
  <c r="G43" i="40" s="1"/>
  <c r="J43" i="40" s="1"/>
  <c r="P75" i="77"/>
  <c r="CA77" i="77"/>
  <c r="R75" i="77"/>
  <c r="V75" i="77"/>
  <c r="L75" i="77"/>
  <c r="T75" i="77"/>
  <c r="N75" i="77"/>
  <c r="O31" i="84"/>
  <c r="N31" i="84" s="1"/>
  <c r="B86" i="83"/>
  <c r="G152" i="2" s="1"/>
  <c r="D152" i="2" s="1"/>
  <c r="S50" i="77"/>
  <c r="BC79" i="77" s="1"/>
  <c r="X73" i="77" s="1"/>
  <c r="Z73" i="77" s="1"/>
  <c r="V50" i="77"/>
  <c r="M30" i="109"/>
  <c r="Z38" i="77"/>
  <c r="AR252" i="10"/>
  <c r="H93" i="58"/>
  <c r="F93" i="58"/>
  <c r="I106" i="60"/>
  <c r="J109" i="60" s="1"/>
  <c r="L109" i="60" s="1"/>
  <c r="K22" i="26"/>
  <c r="N22" i="26" s="1"/>
  <c r="D37" i="2" s="1"/>
  <c r="O113" i="26"/>
  <c r="J115" i="26" s="1"/>
  <c r="E37" i="2" s="1"/>
  <c r="E263" i="44"/>
  <c r="M28" i="109"/>
  <c r="J17" i="84"/>
  <c r="L17" i="84" s="1"/>
  <c r="M58" i="16"/>
  <c r="M180" i="16"/>
  <c r="AA85" i="10"/>
  <c r="N85" i="10" s="1"/>
  <c r="F35" i="95"/>
  <c r="J35" i="95" s="1"/>
  <c r="F39" i="95"/>
  <c r="J39" i="95" s="1"/>
  <c r="E27" i="2"/>
  <c r="C27" i="2" s="1"/>
  <c r="H32" i="78"/>
  <c r="K32" i="78" s="1"/>
  <c r="K64" i="78" s="1"/>
  <c r="L32" i="78"/>
  <c r="M62" i="78" s="1"/>
  <c r="S32" i="78"/>
  <c r="AR234" i="10"/>
  <c r="AA253" i="10"/>
  <c r="N253" i="10" s="1"/>
  <c r="AA243" i="10"/>
  <c r="N243" i="10" s="1"/>
  <c r="AA231" i="10"/>
  <c r="N231" i="10" s="1"/>
  <c r="AR263" i="10"/>
  <c r="AR239" i="10"/>
  <c r="M236" i="10"/>
  <c r="AA236" i="10"/>
  <c r="N236" i="10" s="1"/>
  <c r="M232" i="10"/>
  <c r="AA232" i="10"/>
  <c r="N232" i="10" s="1"/>
  <c r="M248" i="10"/>
  <c r="AA248" i="10"/>
  <c r="N248" i="10" s="1"/>
  <c r="AA250" i="10"/>
  <c r="N250" i="10" s="1"/>
  <c r="M250" i="10"/>
  <c r="M233" i="10"/>
  <c r="AA233" i="10"/>
  <c r="N233" i="10" s="1"/>
  <c r="M240" i="10"/>
  <c r="AA240" i="10"/>
  <c r="N240" i="10" s="1"/>
  <c r="M244" i="10"/>
  <c r="AA244" i="10"/>
  <c r="N244" i="10" s="1"/>
  <c r="M247" i="10"/>
  <c r="AA247" i="10"/>
  <c r="N247" i="10" s="1"/>
  <c r="AR233" i="10"/>
  <c r="Z82" i="10"/>
  <c r="M82" i="10" s="1"/>
  <c r="O21" i="12"/>
  <c r="O18" i="12" s="1"/>
  <c r="P23" i="12" s="1"/>
  <c r="E15" i="2" s="1"/>
  <c r="C15" i="2" s="1"/>
  <c r="P25" i="12"/>
  <c r="G15" i="2" s="1"/>
  <c r="D15" i="2" s="1"/>
  <c r="W47" i="40"/>
  <c r="AA47" i="40" s="1"/>
  <c r="AA48" i="40" s="1"/>
  <c r="AA49" i="40" s="1"/>
  <c r="AA50" i="40" s="1"/>
  <c r="AA51" i="40" s="1"/>
  <c r="AA52" i="40" s="1"/>
  <c r="K4" i="42"/>
  <c r="X4" i="42" s="1"/>
  <c r="R5" i="126" s="1"/>
  <c r="M147" i="10"/>
  <c r="H76" i="14"/>
  <c r="E25" i="27"/>
  <c r="G25" i="27" s="1"/>
  <c r="G121" i="14"/>
  <c r="M256" i="10"/>
  <c r="M270" i="10"/>
  <c r="Q50" i="106"/>
  <c r="Q51" i="106" s="1"/>
  <c r="E85" i="2" s="1"/>
  <c r="C85" i="2" s="1"/>
  <c r="M251" i="10"/>
  <c r="H21" i="110"/>
  <c r="N33" i="59"/>
  <c r="M269" i="10"/>
  <c r="AR268" i="10"/>
  <c r="I47" i="59"/>
  <c r="J47" i="59" s="1"/>
  <c r="L58" i="91"/>
  <c r="L59" i="91" s="1"/>
  <c r="E73" i="2" s="1"/>
  <c r="C73" i="2" s="1"/>
  <c r="N11" i="7"/>
  <c r="H27" i="39"/>
  <c r="Q27" i="39" s="1"/>
  <c r="AR261" i="10"/>
  <c r="AR254" i="10"/>
  <c r="I31" i="84"/>
  <c r="W54" i="84"/>
  <c r="N13" i="7"/>
  <c r="AA261" i="10"/>
  <c r="N261" i="10" s="1"/>
  <c r="N16" i="84"/>
  <c r="N48" i="59"/>
  <c r="N10" i="7"/>
  <c r="O54" i="84"/>
  <c r="AC33" i="84"/>
  <c r="AR253" i="10"/>
  <c r="AR267" i="10"/>
  <c r="AA228" i="10"/>
  <c r="N228" i="10" s="1"/>
  <c r="R44" i="77"/>
  <c r="T44" i="77"/>
  <c r="P44" i="77"/>
  <c r="N44" i="77"/>
  <c r="CA46" i="77"/>
  <c r="F45" i="59"/>
  <c r="H45" i="59"/>
  <c r="T20" i="92"/>
  <c r="B20" i="92" s="1"/>
  <c r="L40" i="11"/>
  <c r="L45" i="11" s="1"/>
  <c r="L49" i="11"/>
  <c r="D14" i="2" s="1"/>
  <c r="N44" i="57"/>
  <c r="G23" i="27"/>
  <c r="AA262" i="10"/>
  <c r="N262" i="10" s="1"/>
  <c r="M260" i="10"/>
  <c r="M259" i="10"/>
  <c r="M268" i="10"/>
  <c r="AA267" i="10"/>
  <c r="N267" i="10" s="1"/>
  <c r="N60" i="29"/>
  <c r="N65" i="29" s="1"/>
  <c r="G147" i="2" s="1"/>
  <c r="D147" i="2" s="1"/>
  <c r="BA5" i="100"/>
  <c r="G56" i="46"/>
  <c r="F22" i="70" s="1"/>
  <c r="P84" i="30" s="1"/>
  <c r="I80" i="14"/>
  <c r="G19" i="2" s="1"/>
  <c r="D19" i="2" s="1"/>
  <c r="AG103" i="146"/>
  <c r="Y79" i="146" s="1"/>
  <c r="AP15" i="31"/>
  <c r="AO16" i="31"/>
  <c r="AO17" i="31"/>
  <c r="AO18" i="31"/>
  <c r="H24" i="31"/>
  <c r="AN15" i="31"/>
  <c r="Y81" i="146"/>
  <c r="AF103" i="146"/>
  <c r="A37" i="85"/>
  <c r="P36" i="85" s="1"/>
  <c r="G27" i="2" s="1"/>
  <c r="D27" i="2" s="1"/>
  <c r="C49" i="2"/>
  <c r="AA229" i="10"/>
  <c r="N229" i="10" s="1"/>
  <c r="Z27" i="41"/>
  <c r="D14" i="39" s="1"/>
  <c r="D5" i="126" s="1"/>
  <c r="AR251" i="10"/>
  <c r="AR264" i="10"/>
  <c r="M33" i="59"/>
  <c r="H147" i="14"/>
  <c r="H148" i="14" s="1"/>
  <c r="E22" i="2" s="1"/>
  <c r="C22" i="2" s="1"/>
  <c r="I154" i="14"/>
  <c r="G22" i="2" s="1"/>
  <c r="D22" i="2" s="1"/>
  <c r="H12" i="14"/>
  <c r="G97" i="14"/>
  <c r="H97" i="14" s="1"/>
  <c r="AA162" i="10"/>
  <c r="N162" i="10" s="1"/>
  <c r="M162" i="10"/>
  <c r="M83" i="16"/>
  <c r="M119" i="16" s="1"/>
  <c r="K9" i="104"/>
  <c r="M9" i="104" s="1"/>
  <c r="H25" i="52"/>
  <c r="H34" i="52" s="1"/>
  <c r="I14" i="84"/>
  <c r="J14" i="84" s="1"/>
  <c r="L14" i="84" s="1"/>
  <c r="G36" i="99"/>
  <c r="G39" i="99" s="1"/>
  <c r="E80" i="2" s="1"/>
  <c r="C80" i="2" s="1"/>
  <c r="E78" i="101"/>
  <c r="F78" i="101" s="1"/>
  <c r="I79" i="101"/>
  <c r="H49" i="59"/>
  <c r="F49" i="59"/>
  <c r="H44" i="59"/>
  <c r="F44" i="59"/>
  <c r="Z262" i="43"/>
  <c r="H46" i="59"/>
  <c r="F46" i="59"/>
  <c r="F43" i="59"/>
  <c r="H43" i="59"/>
  <c r="I46" i="105"/>
  <c r="I47" i="105" s="1"/>
  <c r="E83" i="2" s="1"/>
  <c r="C83" i="2" s="1"/>
  <c r="J48" i="96"/>
  <c r="J50" i="96" s="1"/>
  <c r="E78" i="2" s="1"/>
  <c r="C78" i="2" s="1"/>
  <c r="F57" i="2"/>
  <c r="C57" i="2"/>
  <c r="Z227" i="10"/>
  <c r="AA227" i="10" s="1"/>
  <c r="N227" i="10" s="1"/>
  <c r="M254" i="10"/>
  <c r="M263" i="10"/>
  <c r="G20" i="14"/>
  <c r="H20" i="14" s="1"/>
  <c r="V27" i="41"/>
  <c r="F9" i="39" s="1"/>
  <c r="F11" i="39" s="1"/>
  <c r="P11" i="39" s="1"/>
  <c r="I27" i="39"/>
  <c r="N52" i="31"/>
  <c r="Q52" i="31"/>
  <c r="J52" i="31"/>
  <c r="BA53" i="31"/>
  <c r="J57" i="14"/>
  <c r="G18" i="2" s="1"/>
  <c r="D18" i="2" s="1"/>
  <c r="H51" i="14"/>
  <c r="H52" i="14" s="1"/>
  <c r="I57" i="14" s="1"/>
  <c r="E18" i="2" s="1"/>
  <c r="C18" i="2" s="1"/>
  <c r="Z74" i="10"/>
  <c r="AA74" i="10" s="1"/>
  <c r="N74" i="10" s="1"/>
  <c r="G57" i="48"/>
  <c r="G58" i="48" s="1"/>
  <c r="H59" i="48" s="1"/>
  <c r="J59" i="48" s="1"/>
  <c r="M1" i="112"/>
  <c r="O7" i="112" s="1"/>
  <c r="L35" i="112"/>
  <c r="L37" i="112"/>
  <c r="J25" i="31"/>
  <c r="Q25" i="31"/>
  <c r="BA26" i="31"/>
  <c r="N25" i="31"/>
  <c r="E20" i="100"/>
  <c r="O42" i="126" s="1"/>
  <c r="X8" i="42"/>
  <c r="V8" i="42"/>
  <c r="P49" i="30"/>
  <c r="L4" i="101"/>
  <c r="D26" i="101" s="1"/>
  <c r="F26" i="101" s="1"/>
  <c r="AR259" i="10"/>
  <c r="AR228" i="10"/>
  <c r="AR256" i="10"/>
  <c r="G91" i="14"/>
  <c r="A98" i="14"/>
  <c r="H37" i="57"/>
  <c r="J33" i="57"/>
  <c r="J39" i="57" s="1"/>
  <c r="F10" i="70" s="1"/>
  <c r="Q263" i="43"/>
  <c r="W101" i="69"/>
  <c r="M103" i="69" s="1"/>
  <c r="T103" i="69" s="1"/>
  <c r="I54" i="46"/>
  <c r="I60" i="46" s="1"/>
  <c r="E9" i="2" s="1"/>
  <c r="L39" i="112"/>
  <c r="AA255" i="10"/>
  <c r="N255" i="10" s="1"/>
  <c r="AA258" i="10"/>
  <c r="N258" i="10" s="1"/>
  <c r="L38" i="112"/>
  <c r="L40" i="112"/>
  <c r="J26" i="40"/>
  <c r="I27" i="40"/>
  <c r="J27" i="40"/>
  <c r="O20" i="89"/>
  <c r="J19" i="89"/>
  <c r="L36" i="112"/>
  <c r="F42" i="2"/>
  <c r="T18" i="89"/>
  <c r="M18" i="89"/>
  <c r="BA17" i="31"/>
  <c r="J16" i="31"/>
  <c r="N16" i="31"/>
  <c r="Q16" i="31"/>
  <c r="E53" i="101"/>
  <c r="F53" i="101" s="1"/>
  <c r="AA266" i="10"/>
  <c r="N266" i="10" s="1"/>
  <c r="D59" i="101"/>
  <c r="F59" i="101" s="1"/>
  <c r="AA265" i="10"/>
  <c r="N265" i="10" s="1"/>
  <c r="AR269" i="10"/>
  <c r="AA257" i="10"/>
  <c r="N257" i="10" s="1"/>
  <c r="F86" i="100"/>
  <c r="I86" i="100" s="1"/>
  <c r="D11" i="100"/>
  <c r="H11" i="100"/>
  <c r="H12" i="100"/>
  <c r="I12" i="100" s="1"/>
  <c r="L66" i="101"/>
  <c r="K66" i="101" s="1"/>
  <c r="H45" i="101"/>
  <c r="E66" i="101"/>
  <c r="F66" i="101" s="1"/>
  <c r="H53" i="101"/>
  <c r="M53" i="101"/>
  <c r="M45" i="101"/>
  <c r="M252" i="10"/>
  <c r="P34" i="126"/>
  <c r="P35" i="126" s="1"/>
  <c r="I118" i="102"/>
  <c r="F42" i="70" s="1"/>
  <c r="J58" i="92"/>
  <c r="N57" i="92"/>
  <c r="M36" i="110"/>
  <c r="L36" i="110"/>
  <c r="S26" i="25"/>
  <c r="L5" i="25"/>
  <c r="M5" i="25" s="1"/>
  <c r="AC9" i="10"/>
  <c r="A8" i="10"/>
  <c r="L38" i="110"/>
  <c r="M38" i="110"/>
  <c r="M16" i="90"/>
  <c r="T16" i="90"/>
  <c r="J17" i="90"/>
  <c r="O18" i="90"/>
  <c r="X24" i="126"/>
  <c r="Y24" i="126"/>
  <c r="T4" i="42"/>
  <c r="N5" i="126" s="1"/>
  <c r="U4" i="42"/>
  <c r="Q5" i="126" s="1"/>
  <c r="Y4" i="42"/>
  <c r="S5" i="126" s="1"/>
  <c r="T24" i="42"/>
  <c r="N21" i="126" s="1"/>
  <c r="U24" i="42"/>
  <c r="Q21" i="126" s="1"/>
  <c r="Y24" i="42"/>
  <c r="S21" i="126" s="1"/>
  <c r="X24" i="42"/>
  <c r="R21" i="126" s="1"/>
  <c r="T8" i="42"/>
  <c r="U8" i="42"/>
  <c r="Y8" i="42"/>
  <c r="U24" i="126"/>
  <c r="V24" i="126"/>
  <c r="J19" i="92"/>
  <c r="K19" i="92"/>
  <c r="N19" i="92" s="1"/>
  <c r="Y20" i="126"/>
  <c r="X20" i="126"/>
  <c r="Y22" i="126"/>
  <c r="X22" i="126"/>
  <c r="U4" i="126"/>
  <c r="V4" i="126"/>
  <c r="X6" i="126"/>
  <c r="Y6" i="126"/>
  <c r="V20" i="126"/>
  <c r="U20" i="126"/>
  <c r="V22" i="126"/>
  <c r="U22" i="126"/>
  <c r="AE4" i="126"/>
  <c r="V19" i="126"/>
  <c r="U19" i="126"/>
  <c r="U6" i="126"/>
  <c r="V6" i="126"/>
  <c r="Y19" i="126"/>
  <c r="X19" i="126"/>
  <c r="X4" i="126"/>
  <c r="Y4" i="126"/>
  <c r="AB4" i="126"/>
  <c r="H11" i="39"/>
  <c r="U10" i="77" s="1"/>
  <c r="F4" i="126"/>
  <c r="T37" i="39"/>
  <c r="Q37" i="39" s="1"/>
  <c r="X35" i="39"/>
  <c r="Y35" i="39" s="1"/>
  <c r="Q35" i="39"/>
  <c r="T8" i="69"/>
  <c r="Z75" i="10"/>
  <c r="M75" i="10" s="1"/>
  <c r="H38" i="22"/>
  <c r="L38" i="22" s="1"/>
  <c r="L42" i="22" s="1"/>
  <c r="AR265" i="10"/>
  <c r="H18" i="31"/>
  <c r="U22" i="31" s="1"/>
  <c r="AR257" i="10"/>
  <c r="AR270" i="10"/>
  <c r="U27" i="41"/>
  <c r="AA27" i="41"/>
  <c r="F14" i="39" s="1"/>
  <c r="E5" i="126" s="1"/>
  <c r="AB27" i="41"/>
  <c r="H14" i="39" s="1"/>
  <c r="F5" i="126" s="1"/>
  <c r="K58" i="51"/>
  <c r="E47" i="2" s="1"/>
  <c r="C47" i="2" s="1"/>
  <c r="AR266" i="10"/>
  <c r="T13" i="69"/>
  <c r="AG13" i="69"/>
  <c r="BC159" i="28"/>
  <c r="BD159" i="28" s="1"/>
  <c r="AR258" i="10"/>
  <c r="AR262" i="10"/>
  <c r="AR229" i="10"/>
  <c r="AR260" i="10"/>
  <c r="O91" i="60"/>
  <c r="P90" i="60"/>
  <c r="H90" i="60" s="1"/>
  <c r="H92" i="60" s="1"/>
  <c r="I93" i="60" s="1"/>
  <c r="L93" i="60" s="1"/>
  <c r="AF119" i="83"/>
  <c r="E152" i="2" s="1"/>
  <c r="C152" i="2" s="1"/>
  <c r="O149" i="60"/>
  <c r="AC22" i="31"/>
  <c r="AC24" i="31" s="1"/>
  <c r="E36" i="80"/>
  <c r="J36" i="80" s="1"/>
  <c r="J48" i="80" s="1"/>
  <c r="O252" i="80" s="1"/>
  <c r="J252" i="80" s="1"/>
  <c r="Z29" i="60"/>
  <c r="I29" i="60" s="1"/>
  <c r="I32" i="60" s="1"/>
  <c r="O48" i="60" s="1"/>
  <c r="I48" i="60" s="1"/>
  <c r="J51" i="60" s="1"/>
  <c r="L51" i="60" s="1"/>
  <c r="I148" i="60"/>
  <c r="O164" i="60" s="1"/>
  <c r="I164" i="60" s="1"/>
  <c r="J167" i="60" s="1"/>
  <c r="L167" i="60" s="1"/>
  <c r="T29" i="89"/>
  <c r="M29" i="89"/>
  <c r="G29" i="41"/>
  <c r="M29" i="41" s="1"/>
  <c r="N89" i="74"/>
  <c r="G32" i="60"/>
  <c r="P33" i="60" s="1"/>
  <c r="O33" i="60"/>
  <c r="J19" i="84"/>
  <c r="L19" i="84" s="1"/>
  <c r="N19" i="84"/>
  <c r="L32" i="109"/>
  <c r="M33" i="109" s="1"/>
  <c r="AB163" i="28"/>
  <c r="K163" i="28" s="1"/>
  <c r="H150" i="60"/>
  <c r="H152" i="60" s="1"/>
  <c r="W105" i="77"/>
  <c r="K105" i="77" s="1"/>
  <c r="Z105" i="77" s="1"/>
  <c r="X103" i="77"/>
  <c r="Z103" i="77" s="1"/>
  <c r="J34" i="7"/>
  <c r="N45" i="7" s="1"/>
  <c r="F23" i="70" s="1"/>
  <c r="G11" i="104" l="1"/>
  <c r="I261" i="44"/>
  <c r="J261" i="44"/>
  <c r="D41" i="120"/>
  <c r="D42" i="120"/>
  <c r="D39" i="120"/>
  <c r="D40" i="120"/>
  <c r="D37" i="120"/>
  <c r="D38" i="120"/>
  <c r="D35" i="120"/>
  <c r="D36" i="120"/>
  <c r="Q262" i="43"/>
  <c r="E7" i="30" s="1"/>
  <c r="E6" i="30" s="1"/>
  <c r="O262" i="43"/>
  <c r="D262" i="43" s="1"/>
  <c r="P262" i="43" s="1"/>
  <c r="D7" i="104"/>
  <c r="AA262" i="43"/>
  <c r="P31" i="84"/>
  <c r="V50" i="42"/>
  <c r="K50" i="42" s="1"/>
  <c r="M31" i="109"/>
  <c r="T21" i="92"/>
  <c r="N109" i="60"/>
  <c r="I110" i="60" s="1"/>
  <c r="I112" i="60" s="1"/>
  <c r="L112" i="60"/>
  <c r="X75" i="77"/>
  <c r="Z75" i="77" s="1"/>
  <c r="N14" i="7"/>
  <c r="F10" i="7" s="1"/>
  <c r="K10" i="7" s="1"/>
  <c r="K54" i="7" s="1"/>
  <c r="K55" i="7" s="1"/>
  <c r="E10" i="2" s="1"/>
  <c r="C10" i="2" s="1"/>
  <c r="G788" i="112"/>
  <c r="L788" i="112" s="1"/>
  <c r="I19" i="112"/>
  <c r="L19" i="112" s="1"/>
  <c r="I31" i="112"/>
  <c r="L31" i="112" s="1"/>
  <c r="H56" i="112"/>
  <c r="L56" i="112" s="1"/>
  <c r="G47" i="112"/>
  <c r="L47" i="112" s="1"/>
  <c r="CA83" i="77"/>
  <c r="V77" i="77"/>
  <c r="R77" i="77"/>
  <c r="L77" i="77"/>
  <c r="T77" i="77"/>
  <c r="N77" i="77"/>
  <c r="P77" i="77"/>
  <c r="V43" i="155"/>
  <c r="AF27" i="74"/>
  <c r="AM26" i="74" s="1"/>
  <c r="F26" i="74" s="1"/>
  <c r="F70" i="74" s="1"/>
  <c r="X43" i="155"/>
  <c r="AH27" i="74"/>
  <c r="AO26" i="74" s="1"/>
  <c r="H26" i="74" s="1"/>
  <c r="H70" i="74" s="1"/>
  <c r="H21" i="14"/>
  <c r="I27" i="14" s="1"/>
  <c r="F37" i="2"/>
  <c r="C37" i="2"/>
  <c r="D21" i="120"/>
  <c r="D20" i="120"/>
  <c r="K3" i="104"/>
  <c r="M3" i="104" s="1"/>
  <c r="D22" i="120"/>
  <c r="D23" i="120"/>
  <c r="M1034" i="16"/>
  <c r="K1036" i="16" s="1"/>
  <c r="E24" i="2" s="1"/>
  <c r="C24" i="2" s="1"/>
  <c r="J44" i="95"/>
  <c r="J46" i="95" s="1"/>
  <c r="E77" i="2" s="1"/>
  <c r="C77" i="2" s="1"/>
  <c r="AA82" i="10"/>
  <c r="N82" i="10" s="1"/>
  <c r="P25" i="27"/>
  <c r="P27" i="27" s="1"/>
  <c r="H19" i="27" s="1"/>
  <c r="I79" i="14"/>
  <c r="E19" i="2" s="1"/>
  <c r="C19" i="2" s="1"/>
  <c r="H121" i="14"/>
  <c r="H122" i="14" s="1"/>
  <c r="I128" i="14"/>
  <c r="G21" i="2" s="1"/>
  <c r="D21" i="2" s="1"/>
  <c r="G22" i="70"/>
  <c r="J22" i="70"/>
  <c r="C9" i="2"/>
  <c r="F9" i="2"/>
  <c r="Y52" i="146"/>
  <c r="Z52" i="146" s="1"/>
  <c r="F10" i="2"/>
  <c r="T10" i="136"/>
  <c r="U10" i="136" s="1"/>
  <c r="F15" i="2"/>
  <c r="E4" i="126"/>
  <c r="Z50" i="81"/>
  <c r="D28" i="2" s="1"/>
  <c r="I48" i="59"/>
  <c r="M48" i="59"/>
  <c r="A96" i="29"/>
  <c r="Q96" i="29" s="1"/>
  <c r="Q109" i="29" s="1"/>
  <c r="W28" i="41"/>
  <c r="K45" i="59"/>
  <c r="L45" i="59" s="1"/>
  <c r="N45" i="59"/>
  <c r="R46" i="77"/>
  <c r="P46" i="77"/>
  <c r="CA47" i="77"/>
  <c r="CA48" i="77" s="1"/>
  <c r="CA49" i="77" s="1"/>
  <c r="CA50" i="77"/>
  <c r="N46" i="77"/>
  <c r="N48" i="77" s="1"/>
  <c r="T46" i="77"/>
  <c r="J23" i="70"/>
  <c r="N7" i="70" s="1"/>
  <c r="G68" i="2" s="1"/>
  <c r="D68" i="2" s="1"/>
  <c r="X79" i="146"/>
  <c r="AA79" i="146" s="1"/>
  <c r="AP16" i="31"/>
  <c r="AP18" i="31"/>
  <c r="AP17" i="31"/>
  <c r="AN18" i="31"/>
  <c r="AN16" i="31"/>
  <c r="AN17" i="31"/>
  <c r="I35" i="39"/>
  <c r="J35" i="39" s="1"/>
  <c r="M74" i="10"/>
  <c r="I104" i="14"/>
  <c r="G20" i="2" s="1"/>
  <c r="D20" i="2" s="1"/>
  <c r="M227" i="10"/>
  <c r="H51" i="59"/>
  <c r="K49" i="59"/>
  <c r="L49" i="59" s="1"/>
  <c r="N49" i="59"/>
  <c r="N43" i="59"/>
  <c r="K43" i="59"/>
  <c r="L43" i="59" s="1"/>
  <c r="F51" i="59"/>
  <c r="N44" i="59"/>
  <c r="K44" i="59"/>
  <c r="L44" i="59" s="1"/>
  <c r="I80" i="101"/>
  <c r="E79" i="101"/>
  <c r="F79" i="101" s="1"/>
  <c r="N46" i="59"/>
  <c r="K46" i="59"/>
  <c r="L46" i="59" s="1"/>
  <c r="J30" i="14"/>
  <c r="G20" i="100"/>
  <c r="J20" i="100"/>
  <c r="R42" i="126"/>
  <c r="R49" i="126" s="1"/>
  <c r="D39" i="126" s="1"/>
  <c r="Q42" i="126"/>
  <c r="Q49" i="126" s="1"/>
  <c r="D34" i="126" s="1"/>
  <c r="U20" i="100"/>
  <c r="R20" i="100" s="1"/>
  <c r="D24" i="126"/>
  <c r="G24" i="126" s="1"/>
  <c r="N53" i="31"/>
  <c r="J53" i="31"/>
  <c r="Q53" i="31"/>
  <c r="N26" i="31"/>
  <c r="J26" i="31"/>
  <c r="Q26" i="31"/>
  <c r="E15" i="101"/>
  <c r="F15" i="101" s="1"/>
  <c r="R293" i="43"/>
  <c r="E13" i="101"/>
  <c r="F13" i="101" s="1"/>
  <c r="AA1" i="100"/>
  <c r="H5" i="100" s="1"/>
  <c r="I5" i="100" s="1"/>
  <c r="J23" i="112"/>
  <c r="L23" i="112" s="1"/>
  <c r="C34" i="112"/>
  <c r="L34" i="112" s="1"/>
  <c r="J22" i="112"/>
  <c r="L22" i="112" s="1"/>
  <c r="J24" i="112"/>
  <c r="L24" i="112" s="1"/>
  <c r="D48" i="104"/>
  <c r="K5" i="42"/>
  <c r="X5" i="42" s="1"/>
  <c r="R6" i="126" s="1"/>
  <c r="H60" i="48"/>
  <c r="J60" i="48" s="1"/>
  <c r="J75" i="48" s="1"/>
  <c r="Q20" i="100"/>
  <c r="E24" i="100"/>
  <c r="E84" i="100" s="1"/>
  <c r="Q42" i="77" s="1"/>
  <c r="U42" i="77" s="1"/>
  <c r="P20" i="100"/>
  <c r="Q21" i="100"/>
  <c r="P21" i="100"/>
  <c r="G21" i="100"/>
  <c r="U21" i="100"/>
  <c r="R21" i="100" s="1"/>
  <c r="J21" i="100"/>
  <c r="BA27" i="31"/>
  <c r="D19" i="101"/>
  <c r="F19" i="101" s="1"/>
  <c r="L90" i="101"/>
  <c r="D90" i="101" s="1"/>
  <c r="F90" i="101" s="1"/>
  <c r="E7" i="101"/>
  <c r="F7" i="101" s="1"/>
  <c r="E266" i="43"/>
  <c r="E269" i="43" s="1"/>
  <c r="A269" i="43" s="1"/>
  <c r="Q293" i="43"/>
  <c r="H91" i="14"/>
  <c r="H98" i="14" s="1"/>
  <c r="I103" i="14" s="1"/>
  <c r="E20" i="2" s="1"/>
  <c r="C20" i="2" s="1"/>
  <c r="K8" i="104"/>
  <c r="M8" i="104" s="1"/>
  <c r="J20" i="89"/>
  <c r="O21" i="89"/>
  <c r="Q17" i="31"/>
  <c r="J17" i="31"/>
  <c r="N17" i="31"/>
  <c r="T19" i="89"/>
  <c r="M19" i="89"/>
  <c r="I11" i="100"/>
  <c r="M39" i="110"/>
  <c r="S10" i="77"/>
  <c r="J120" i="102"/>
  <c r="K120" i="102" s="1"/>
  <c r="J122" i="102"/>
  <c r="K122" i="102" s="1"/>
  <c r="L40" i="110"/>
  <c r="A9" i="10"/>
  <c r="AC10" i="10"/>
  <c r="M50" i="25"/>
  <c r="E36" i="2" s="1"/>
  <c r="C36" i="2" s="1"/>
  <c r="M49" i="25"/>
  <c r="E35" i="2" s="1"/>
  <c r="C35" i="2" s="1"/>
  <c r="J18" i="90"/>
  <c r="O19" i="90"/>
  <c r="M17" i="90"/>
  <c r="T17" i="90"/>
  <c r="Q11" i="39"/>
  <c r="S33" i="126"/>
  <c r="J20" i="92"/>
  <c r="K20" i="92"/>
  <c r="N20" i="92" s="1"/>
  <c r="B21" i="92"/>
  <c r="T22" i="92"/>
  <c r="Z5" i="126"/>
  <c r="AA5" i="126" s="1"/>
  <c r="T5" i="126"/>
  <c r="AC21" i="126"/>
  <c r="AD21" i="126" s="1"/>
  <c r="AE21" i="126" s="1"/>
  <c r="W21" i="126"/>
  <c r="F7" i="126"/>
  <c r="AC5" i="126"/>
  <c r="AD5" i="126" s="1"/>
  <c r="W5" i="126"/>
  <c r="Z21" i="126"/>
  <c r="AA21" i="126" s="1"/>
  <c r="AB21" i="126" s="1"/>
  <c r="T21" i="126"/>
  <c r="F16" i="39"/>
  <c r="H16" i="39"/>
  <c r="U12" i="77" s="1"/>
  <c r="U13" i="77" s="1"/>
  <c r="U17" i="77" s="1"/>
  <c r="D16" i="39"/>
  <c r="T105" i="69"/>
  <c r="T107" i="69" s="1"/>
  <c r="E61" i="2" s="1"/>
  <c r="C61" i="2" s="1"/>
  <c r="AG8" i="69"/>
  <c r="AG101" i="69" s="1"/>
  <c r="AG104" i="69" s="1"/>
  <c r="G61" i="2" s="1"/>
  <c r="D61" i="2" s="1"/>
  <c r="AA75" i="10"/>
  <c r="N75" i="10" s="1"/>
  <c r="N42" i="22"/>
  <c r="E31" i="2" s="1"/>
  <c r="C31" i="2" s="1"/>
  <c r="O42" i="22"/>
  <c r="E32" i="2" s="1"/>
  <c r="C32" i="2" s="1"/>
  <c r="D9" i="39"/>
  <c r="D4" i="126" s="1"/>
  <c r="D265" i="43"/>
  <c r="AB28" i="41"/>
  <c r="P29" i="27"/>
  <c r="E38" i="2" s="1"/>
  <c r="C38" i="2" s="1"/>
  <c r="F73" i="2"/>
  <c r="D162" i="28"/>
  <c r="E39" i="2"/>
  <c r="C39" i="2" s="1"/>
  <c r="N51" i="60"/>
  <c r="I52" i="60" s="1"/>
  <c r="I54" i="60" s="1"/>
  <c r="N167" i="60"/>
  <c r="I168" i="60" s="1"/>
  <c r="I170" i="60" s="1"/>
  <c r="E62" i="2"/>
  <c r="C62" i="2" s="1"/>
  <c r="I151" i="60"/>
  <c r="L151" i="60" s="1"/>
  <c r="L171" i="60" s="1"/>
  <c r="H34" i="60"/>
  <c r="X99" i="77"/>
  <c r="Z99" i="77" s="1"/>
  <c r="B29" i="41"/>
  <c r="X101" i="77"/>
  <c r="Z101" i="77" s="1"/>
  <c r="J31" i="84"/>
  <c r="L31" i="84" s="1"/>
  <c r="H94" i="60"/>
  <c r="M79" i="77"/>
  <c r="BC81" i="77"/>
  <c r="E17" i="104" l="1"/>
  <c r="E58" i="30"/>
  <c r="F6" i="30"/>
  <c r="K6" i="30" s="1"/>
  <c r="D8" i="104"/>
  <c r="G9" i="104" s="1"/>
  <c r="P6" i="30"/>
  <c r="Z269" i="43"/>
  <c r="Z281" i="43"/>
  <c r="H261" i="44"/>
  <c r="H263" i="44" s="1"/>
  <c r="AR16" i="31"/>
  <c r="AS22" i="31" s="1"/>
  <c r="AN22" i="31" s="1"/>
  <c r="D19" i="39"/>
  <c r="Q12" i="77" s="1"/>
  <c r="O34" i="126"/>
  <c r="O35" i="126" s="1"/>
  <c r="P265" i="43"/>
  <c r="CA85" i="77"/>
  <c r="N83" i="77"/>
  <c r="P83" i="77"/>
  <c r="R83" i="77"/>
  <c r="L83" i="77"/>
  <c r="T83" i="77"/>
  <c r="H73" i="74"/>
  <c r="H84" i="74" s="1"/>
  <c r="H86" i="74" s="1"/>
  <c r="H88" i="74" s="1"/>
  <c r="H89" i="74" s="1"/>
  <c r="O35" i="31" s="1"/>
  <c r="AF111" i="146" s="1"/>
  <c r="AF112" i="146" s="1"/>
  <c r="R70" i="74"/>
  <c r="R83" i="74" s="1"/>
  <c r="F84" i="74"/>
  <c r="E27" i="78" s="1"/>
  <c r="AB81" i="30"/>
  <c r="H42" i="155"/>
  <c r="H43" i="155"/>
  <c r="D267" i="44"/>
  <c r="G270" i="44"/>
  <c r="G272" i="44" s="1"/>
  <c r="E7" i="2" s="1"/>
  <c r="C7" i="2" s="1"/>
  <c r="U95" i="77"/>
  <c r="Z97" i="77" s="1"/>
  <c r="M301" i="10"/>
  <c r="E307" i="10" s="1"/>
  <c r="E17" i="2"/>
  <c r="G1" i="2" s="1"/>
  <c r="AR17" i="31"/>
  <c r="AS23" i="31" s="1"/>
  <c r="I127" i="14"/>
  <c r="E21" i="2" s="1"/>
  <c r="C21" i="2" s="1"/>
  <c r="L22" i="70"/>
  <c r="L63" i="70" s="1"/>
  <c r="J48" i="59"/>
  <c r="T50" i="77"/>
  <c r="N50" i="77"/>
  <c r="R50" i="77"/>
  <c r="P50" i="77"/>
  <c r="I45" i="59"/>
  <c r="M45" i="59"/>
  <c r="P293" i="43"/>
  <c r="D293" i="43" s="1"/>
  <c r="I43" i="59"/>
  <c r="M43" i="59"/>
  <c r="I46" i="59"/>
  <c r="M46" i="59"/>
  <c r="M44" i="59"/>
  <c r="I44" i="59"/>
  <c r="M49" i="59"/>
  <c r="I49" i="59"/>
  <c r="E80" i="101"/>
  <c r="F80" i="101" s="1"/>
  <c r="I81" i="101"/>
  <c r="E81" i="101" s="1"/>
  <c r="F81" i="101" s="1"/>
  <c r="G24" i="100"/>
  <c r="G84" i="100" s="1"/>
  <c r="D11" i="39"/>
  <c r="M11" i="39" s="1"/>
  <c r="L787" i="112"/>
  <c r="L789" i="112" s="1"/>
  <c r="G70" i="2"/>
  <c r="D70" i="2" s="1"/>
  <c r="BA28" i="31"/>
  <c r="N27" i="31"/>
  <c r="J27" i="31"/>
  <c r="Q27" i="31"/>
  <c r="J21" i="89"/>
  <c r="O22" i="89"/>
  <c r="T20" i="89"/>
  <c r="M20" i="89"/>
  <c r="K123" i="102"/>
  <c r="K124" i="102" s="1"/>
  <c r="F36" i="2"/>
  <c r="F35" i="2"/>
  <c r="A10" i="10"/>
  <c r="AC11" i="10"/>
  <c r="M18" i="90"/>
  <c r="T18" i="90"/>
  <c r="O20" i="90"/>
  <c r="J19" i="90"/>
  <c r="H22" i="39"/>
  <c r="S21" i="39" s="1"/>
  <c r="J21" i="92"/>
  <c r="K21" i="92"/>
  <c r="N21" i="92" s="1"/>
  <c r="T23" i="92"/>
  <c r="B22" i="92"/>
  <c r="F10" i="126"/>
  <c r="F33" i="126"/>
  <c r="F34" i="126" s="1"/>
  <c r="G34" i="126" s="1"/>
  <c r="AE5" i="126"/>
  <c r="AE30" i="126" s="1"/>
  <c r="E18" i="126" s="1"/>
  <c r="AD30" i="126"/>
  <c r="E15" i="126" s="1"/>
  <c r="E16" i="126" s="1"/>
  <c r="AB5" i="126"/>
  <c r="AB30" i="126" s="1"/>
  <c r="D18" i="126" s="1"/>
  <c r="AA30" i="126"/>
  <c r="D15" i="126" s="1"/>
  <c r="D16" i="126" s="1"/>
  <c r="Y5" i="126"/>
  <c r="X5" i="126"/>
  <c r="U5" i="126"/>
  <c r="V5" i="126"/>
  <c r="V21" i="126"/>
  <c r="U21" i="126"/>
  <c r="Y21" i="126"/>
  <c r="X21" i="126"/>
  <c r="F31" i="2"/>
  <c r="F32" i="2"/>
  <c r="E279" i="43"/>
  <c r="A279" i="43" s="1"/>
  <c r="O269" i="43"/>
  <c r="Z278" i="43" s="1"/>
  <c r="D37" i="104"/>
  <c r="D42" i="104" s="1"/>
  <c r="D43" i="104" s="1"/>
  <c r="D45" i="104" s="1"/>
  <c r="D58" i="104" s="1"/>
  <c r="G59" i="104" s="1"/>
  <c r="D7" i="39"/>
  <c r="Z62" i="31"/>
  <c r="L170" i="60"/>
  <c r="AF17" i="77"/>
  <c r="U20" i="77"/>
  <c r="I35" i="60"/>
  <c r="L35" i="60" s="1"/>
  <c r="L54" i="60" s="1"/>
  <c r="H36" i="60"/>
  <c r="F62" i="2"/>
  <c r="F28" i="41"/>
  <c r="H28" i="41"/>
  <c r="E81" i="2" l="1"/>
  <c r="C81" i="2" s="1"/>
  <c r="K21" i="39"/>
  <c r="D22" i="39" s="1"/>
  <c r="O26" i="39" s="1"/>
  <c r="O29" i="39" s="1"/>
  <c r="L791" i="112"/>
  <c r="E90" i="2" s="1"/>
  <c r="C90" i="2" s="1"/>
  <c r="AN23" i="31"/>
  <c r="AT23" i="31" s="1"/>
  <c r="P85" i="77"/>
  <c r="CA87" i="77"/>
  <c r="R85" i="77"/>
  <c r="L85" i="77"/>
  <c r="T85" i="77"/>
  <c r="N85" i="77"/>
  <c r="R82" i="74"/>
  <c r="AF116" i="146"/>
  <c r="H90" i="74"/>
  <c r="X87" i="146"/>
  <c r="AA87" i="146" s="1"/>
  <c r="AC70" i="74"/>
  <c r="AC84" i="74" s="1"/>
  <c r="O37" i="31"/>
  <c r="AO32" i="31" s="1"/>
  <c r="AO34" i="31" s="1"/>
  <c r="AN85" i="74"/>
  <c r="AV85" i="74" s="1"/>
  <c r="AN90" i="74"/>
  <c r="AQ91" i="74" s="1"/>
  <c r="AJ37" i="31"/>
  <c r="AA40" i="31" s="1"/>
  <c r="AA41" i="31" s="1"/>
  <c r="R84" i="74"/>
  <c r="H80" i="155"/>
  <c r="V27" i="78"/>
  <c r="V64" i="78" s="1"/>
  <c r="E69" i="78" s="1"/>
  <c r="E64" i="78"/>
  <c r="S27" i="78"/>
  <c r="H27" i="78"/>
  <c r="AS17" i="31"/>
  <c r="C17" i="2"/>
  <c r="J45" i="59"/>
  <c r="N304" i="10"/>
  <c r="S304" i="10" s="1"/>
  <c r="S305" i="10" s="1"/>
  <c r="S307" i="10" s="1"/>
  <c r="E13" i="2" s="1"/>
  <c r="C13" i="2" s="1"/>
  <c r="D3" i="104"/>
  <c r="G5" i="104" s="1"/>
  <c r="L305" i="10"/>
  <c r="AT22" i="31"/>
  <c r="J46" i="59"/>
  <c r="J49" i="59"/>
  <c r="J44" i="59"/>
  <c r="J43" i="59"/>
  <c r="I51" i="59"/>
  <c r="Q10" i="77"/>
  <c r="Q13" i="77" s="1"/>
  <c r="Q17" i="77" s="1"/>
  <c r="AD17" i="77" s="1"/>
  <c r="AD17" i="100"/>
  <c r="AE17" i="100" s="1"/>
  <c r="DW21" i="77"/>
  <c r="BC21" i="77" s="1"/>
  <c r="BA29" i="31"/>
  <c r="Q28" i="31"/>
  <c r="J28" i="31"/>
  <c r="E290" i="43"/>
  <c r="M21" i="89"/>
  <c r="T21" i="89"/>
  <c r="J22" i="89"/>
  <c r="O23" i="89"/>
  <c r="O279" i="43"/>
  <c r="A11" i="10"/>
  <c r="AC12" i="10"/>
  <c r="Q26" i="39"/>
  <c r="M19" i="90"/>
  <c r="T19" i="90"/>
  <c r="J20" i="90"/>
  <c r="O21" i="90"/>
  <c r="J22" i="92"/>
  <c r="K22" i="92"/>
  <c r="N22" i="92" s="1"/>
  <c r="B23" i="92"/>
  <c r="T24" i="92"/>
  <c r="B24" i="92" s="1"/>
  <c r="E38" i="126"/>
  <c r="D38" i="126"/>
  <c r="Y30" i="126"/>
  <c r="E9" i="126" s="1"/>
  <c r="E29" i="126" s="1"/>
  <c r="X30" i="126"/>
  <c r="E6" i="126" s="1"/>
  <c r="E7" i="126" s="1"/>
  <c r="E19" i="126"/>
  <c r="U30" i="126"/>
  <c r="D6" i="126" s="1"/>
  <c r="D7" i="126" s="1"/>
  <c r="V30" i="126"/>
  <c r="D9" i="126" s="1"/>
  <c r="D29" i="126" s="1"/>
  <c r="D19" i="126"/>
  <c r="D12" i="39"/>
  <c r="M10" i="39"/>
  <c r="A11" i="39" s="1"/>
  <c r="J11" i="39" s="1"/>
  <c r="O11" i="39"/>
  <c r="N11" i="39" s="1"/>
  <c r="I11" i="39" s="1"/>
  <c r="Z279" i="43"/>
  <c r="M176" i="60"/>
  <c r="K28" i="41"/>
  <c r="L29" i="41" s="1"/>
  <c r="L32" i="41" s="1"/>
  <c r="E41" i="2" s="1"/>
  <c r="A290" i="43" l="1"/>
  <c r="E289" i="43"/>
  <c r="AR85" i="74"/>
  <c r="O28" i="39"/>
  <c r="D29" i="39" s="1"/>
  <c r="T28" i="39" s="1"/>
  <c r="Q21" i="39"/>
  <c r="AO23" i="31"/>
  <c r="AU23" i="31" s="1"/>
  <c r="AN27" i="31"/>
  <c r="P87" i="77"/>
  <c r="N87" i="77"/>
  <c r="CA89" i="77"/>
  <c r="L87" i="77"/>
  <c r="R87" i="77"/>
  <c r="T87" i="77"/>
  <c r="AR86" i="74"/>
  <c r="AR87" i="74"/>
  <c r="AC83" i="74"/>
  <c r="AC82" i="74"/>
  <c r="AO33" i="31"/>
  <c r="AO35" i="31"/>
  <c r="AJ38" i="31"/>
  <c r="Z81" i="30"/>
  <c r="Y81" i="30" s="1"/>
  <c r="E81" i="30" s="1"/>
  <c r="P81" i="30" s="1"/>
  <c r="L64" i="78"/>
  <c r="E26" i="2" s="1"/>
  <c r="Z80" i="30"/>
  <c r="F77" i="78"/>
  <c r="K11" i="104" s="1"/>
  <c r="M11" i="104" s="1"/>
  <c r="AC14" i="84"/>
  <c r="Z14" i="84" s="1"/>
  <c r="C14" i="84" s="1"/>
  <c r="E73" i="78"/>
  <c r="S309" i="10"/>
  <c r="G13" i="2" s="1"/>
  <c r="D13" i="2" s="1"/>
  <c r="K6" i="104"/>
  <c r="M6" i="104" s="1"/>
  <c r="AO22" i="31"/>
  <c r="AP23" i="31"/>
  <c r="J51" i="59"/>
  <c r="J53" i="59" s="1"/>
  <c r="J55" i="59" s="1"/>
  <c r="Q20" i="77"/>
  <c r="F41" i="2"/>
  <c r="C41" i="2"/>
  <c r="Q29" i="31"/>
  <c r="BA30" i="31"/>
  <c r="J29" i="31"/>
  <c r="O24" i="89"/>
  <c r="J23" i="89"/>
  <c r="M22" i="89"/>
  <c r="T22" i="89"/>
  <c r="AC13" i="10"/>
  <c r="A12" i="10"/>
  <c r="Q29" i="39"/>
  <c r="Q28" i="39"/>
  <c r="H29" i="39" s="1"/>
  <c r="H37" i="39" s="1"/>
  <c r="T20" i="90"/>
  <c r="M20" i="90"/>
  <c r="J21" i="90"/>
  <c r="O22" i="90"/>
  <c r="J23" i="92"/>
  <c r="K23" i="92"/>
  <c r="N23" i="92" s="1"/>
  <c r="J24" i="92"/>
  <c r="K24" i="92"/>
  <c r="N24" i="92" s="1"/>
  <c r="D33" i="126"/>
  <c r="G38" i="126"/>
  <c r="E33" i="126"/>
  <c r="G29" i="126"/>
  <c r="G19" i="126"/>
  <c r="E10" i="126"/>
  <c r="D10" i="126"/>
  <c r="J12" i="39"/>
  <c r="R294" i="43" l="1"/>
  <c r="P294" i="43" s="1"/>
  <c r="D294" i="43" s="1"/>
  <c r="D289" i="43"/>
  <c r="O289" i="43"/>
  <c r="A289" i="43"/>
  <c r="Z289" i="43" s="1"/>
  <c r="D37" i="39"/>
  <c r="D42" i="39" s="1"/>
  <c r="AO27" i="31"/>
  <c r="S24" i="31" s="1"/>
  <c r="U24" i="31" s="1"/>
  <c r="F73" i="78"/>
  <c r="L73" i="78" s="1"/>
  <c r="G26" i="2" s="1"/>
  <c r="D26" i="2" s="1"/>
  <c r="R89" i="77"/>
  <c r="L89" i="77"/>
  <c r="P89" i="77"/>
  <c r="N89" i="77"/>
  <c r="T89" i="77"/>
  <c r="CA91" i="77"/>
  <c r="F26" i="2"/>
  <c r="C26" i="2"/>
  <c r="AU22" i="31"/>
  <c r="AV23" i="31"/>
  <c r="K52" i="59"/>
  <c r="L52" i="59" s="1"/>
  <c r="K54" i="59"/>
  <c r="L54" i="59" s="1"/>
  <c r="Q30" i="31"/>
  <c r="N30" i="31"/>
  <c r="J30" i="31"/>
  <c r="BA31" i="31"/>
  <c r="T23" i="89"/>
  <c r="M23" i="89"/>
  <c r="O25" i="89"/>
  <c r="J24" i="89"/>
  <c r="A13" i="10"/>
  <c r="AC14" i="10"/>
  <c r="V28" i="39"/>
  <c r="T21" i="90"/>
  <c r="M21" i="90"/>
  <c r="J22" i="90"/>
  <c r="O23" i="90"/>
  <c r="J25" i="92"/>
  <c r="F38" i="70" s="1"/>
  <c r="G33" i="126"/>
  <c r="G35" i="126" s="1"/>
  <c r="N63" i="92"/>
  <c r="N67" i="92" s="1"/>
  <c r="E74" i="2" s="1"/>
  <c r="C74" i="2" s="1"/>
  <c r="K4" i="104" l="1"/>
  <c r="M4" i="104" s="1"/>
  <c r="P289" i="43"/>
  <c r="P292" i="43" s="1"/>
  <c r="F78" i="122"/>
  <c r="E229" i="122"/>
  <c r="H29" i="122"/>
  <c r="H53" i="122"/>
  <c r="H77" i="122"/>
  <c r="H109" i="122"/>
  <c r="H133" i="122"/>
  <c r="G37" i="122"/>
  <c r="G61" i="122"/>
  <c r="G101" i="122"/>
  <c r="G125" i="122"/>
  <c r="H157" i="122"/>
  <c r="H181" i="122"/>
  <c r="H205" i="122"/>
  <c r="F98" i="122"/>
  <c r="E98" i="122"/>
  <c r="F194" i="122"/>
  <c r="E169" i="122"/>
  <c r="H33" i="122"/>
  <c r="G65" i="122"/>
  <c r="H161" i="122"/>
  <c r="H261" i="122"/>
  <c r="G172" i="122"/>
  <c r="F24" i="122"/>
  <c r="F72" i="122"/>
  <c r="E24" i="122"/>
  <c r="E88" i="122"/>
  <c r="F168" i="122"/>
  <c r="F232" i="122"/>
  <c r="F280" i="122"/>
  <c r="E191" i="122"/>
  <c r="H39" i="122"/>
  <c r="H87" i="122"/>
  <c r="G23" i="122"/>
  <c r="G103" i="122"/>
  <c r="H151" i="122"/>
  <c r="H215" i="122"/>
  <c r="G142" i="122"/>
  <c r="E288" i="122"/>
  <c r="F27" i="122"/>
  <c r="F107" i="122"/>
  <c r="E43" i="122"/>
  <c r="E123" i="122"/>
  <c r="F187" i="122"/>
  <c r="F235" i="122"/>
  <c r="E146" i="122"/>
  <c r="E226" i="122"/>
  <c r="H58" i="122"/>
  <c r="H122" i="122"/>
  <c r="G58" i="122"/>
  <c r="G122" i="122"/>
  <c r="H186" i="122"/>
  <c r="H250" i="122"/>
  <c r="G161" i="122"/>
  <c r="E274" i="122"/>
  <c r="F57" i="122"/>
  <c r="F121" i="122"/>
  <c r="E41" i="122"/>
  <c r="F90" i="122"/>
  <c r="E90" i="122"/>
  <c r="F250" i="122"/>
  <c r="E193" i="122"/>
  <c r="H121" i="122"/>
  <c r="G121" i="122"/>
  <c r="H241" i="122"/>
  <c r="G168" i="122"/>
  <c r="E247" i="122"/>
  <c r="F68" i="122"/>
  <c r="F132" i="122"/>
  <c r="E84" i="122"/>
  <c r="F148" i="122"/>
  <c r="F228" i="122"/>
  <c r="E139" i="122"/>
  <c r="E187" i="122"/>
  <c r="H19" i="122"/>
  <c r="H99" i="122"/>
  <c r="G19" i="122"/>
  <c r="G83" i="122"/>
  <c r="H147" i="122"/>
  <c r="H211" i="122"/>
  <c r="H275" i="122"/>
  <c r="G170" i="122"/>
  <c r="F23" i="122"/>
  <c r="F87" i="122"/>
  <c r="F135" i="122"/>
  <c r="E87" i="122"/>
  <c r="F151" i="122"/>
  <c r="F199" i="122"/>
  <c r="F279" i="122"/>
  <c r="E190" i="122"/>
  <c r="E238" i="122"/>
  <c r="H70" i="122"/>
  <c r="G22" i="122"/>
  <c r="G70" i="122"/>
  <c r="G134" i="122"/>
  <c r="H214" i="122"/>
  <c r="H262" i="122"/>
  <c r="G173" i="122"/>
  <c r="E262" i="122"/>
  <c r="F69" i="122"/>
  <c r="F117" i="122"/>
  <c r="E37" i="122"/>
  <c r="E85" i="122"/>
  <c r="E50" i="122"/>
  <c r="F146" i="122"/>
  <c r="F274" i="122"/>
  <c r="H17" i="122"/>
  <c r="G17" i="122"/>
  <c r="G113" i="122"/>
  <c r="H237" i="122"/>
  <c r="H285" i="122"/>
  <c r="E283" i="122"/>
  <c r="F32" i="122"/>
  <c r="F96" i="122"/>
  <c r="E16" i="122"/>
  <c r="E80" i="122"/>
  <c r="E128" i="122"/>
  <c r="F208" i="122"/>
  <c r="F272" i="122"/>
  <c r="E199" i="122"/>
  <c r="H15" i="122"/>
  <c r="H47" i="122"/>
  <c r="H127" i="122"/>
  <c r="G63" i="122"/>
  <c r="H143" i="122"/>
  <c r="H207" i="122"/>
  <c r="H255" i="122"/>
  <c r="G188" i="122"/>
  <c r="F19" i="122"/>
  <c r="F99" i="122"/>
  <c r="E35" i="122"/>
  <c r="E99" i="122"/>
  <c r="F163" i="122"/>
  <c r="F227" i="122"/>
  <c r="E154" i="122"/>
  <c r="E218" i="122"/>
  <c r="H50" i="122"/>
  <c r="G50" i="122"/>
  <c r="G130" i="122"/>
  <c r="H178" i="122"/>
  <c r="H242" i="122"/>
  <c r="E8" i="122"/>
  <c r="E266" i="122"/>
  <c r="F33" i="122"/>
  <c r="F97" i="122"/>
  <c r="E33" i="122"/>
  <c r="E81" i="122"/>
  <c r="F145" i="122"/>
  <c r="F193" i="122"/>
  <c r="F138" i="122"/>
  <c r="E255" i="122"/>
  <c r="F252" i="122"/>
  <c r="H251" i="122"/>
  <c r="E127" i="122"/>
  <c r="G126" i="122"/>
  <c r="G41" i="122"/>
  <c r="E12" i="122"/>
  <c r="H139" i="122"/>
  <c r="F143" i="122"/>
  <c r="H268" i="122"/>
  <c r="H140" i="122"/>
  <c r="G92" i="122"/>
  <c r="G12" i="122"/>
  <c r="H76" i="122"/>
  <c r="E228" i="122"/>
  <c r="E180" i="122"/>
  <c r="F269" i="122"/>
  <c r="F185" i="122"/>
  <c r="E101" i="122"/>
  <c r="E270" i="122"/>
  <c r="G110" i="122"/>
  <c r="H46" i="122"/>
  <c r="F175" i="122"/>
  <c r="F111" i="122"/>
  <c r="H171" i="122"/>
  <c r="H43" i="122"/>
  <c r="F236" i="122"/>
  <c r="F44" i="122"/>
  <c r="G105" i="122"/>
  <c r="F234" i="122"/>
  <c r="H264" i="122"/>
  <c r="H184" i="122"/>
  <c r="G120" i="122"/>
  <c r="G72" i="122"/>
  <c r="H120" i="122"/>
  <c r="H56" i="122"/>
  <c r="E240" i="122"/>
  <c r="E160" i="122"/>
  <c r="F245" i="122"/>
  <c r="F157" i="122"/>
  <c r="F93" i="122"/>
  <c r="E286" i="122"/>
  <c r="G94" i="122"/>
  <c r="E198" i="122"/>
  <c r="E31" i="122"/>
  <c r="E284" i="122"/>
  <c r="G91" i="122"/>
  <c r="F284" i="122"/>
  <c r="E28" i="122"/>
  <c r="E287" i="122"/>
  <c r="E177" i="122"/>
  <c r="E281" i="122"/>
  <c r="G75" i="122"/>
  <c r="H16" i="122"/>
  <c r="H272" i="122"/>
  <c r="D215" i="122"/>
  <c r="D65" i="122"/>
  <c r="D195" i="122"/>
  <c r="K29" i="122"/>
  <c r="K109" i="122"/>
  <c r="B30" i="122"/>
  <c r="B94" i="122"/>
  <c r="C174" i="122"/>
  <c r="C238" i="122"/>
  <c r="B148" i="122"/>
  <c r="B212" i="122"/>
  <c r="C44" i="122"/>
  <c r="B277" i="122"/>
  <c r="D60" i="122"/>
  <c r="D108" i="122"/>
  <c r="K156" i="122"/>
  <c r="H254" i="122"/>
  <c r="H48" i="122"/>
  <c r="H176" i="122"/>
  <c r="G210" i="122"/>
  <c r="D231" i="122"/>
  <c r="C81" i="122"/>
  <c r="K145" i="122"/>
  <c r="D175" i="122"/>
  <c r="C266" i="122"/>
  <c r="K33" i="122"/>
  <c r="K81" i="122"/>
  <c r="D282" i="122"/>
  <c r="B34" i="122"/>
  <c r="B82" i="122"/>
  <c r="C130" i="122"/>
  <c r="C162" i="122"/>
  <c r="C210" i="122"/>
  <c r="C258" i="122"/>
  <c r="B136" i="122"/>
  <c r="B184" i="122"/>
  <c r="K280" i="122"/>
  <c r="C48" i="122"/>
  <c r="C96" i="122"/>
  <c r="B281" i="122"/>
  <c r="D48" i="122"/>
  <c r="D96" i="122"/>
  <c r="E79" i="122"/>
  <c r="E184" i="122"/>
  <c r="G80" i="122"/>
  <c r="G271" i="122"/>
  <c r="B235" i="122"/>
  <c r="C97" i="122"/>
  <c r="D97" i="122"/>
  <c r="K225" i="122"/>
  <c r="D183" i="122"/>
  <c r="D203" i="122"/>
  <c r="C286" i="122"/>
  <c r="K53" i="122"/>
  <c r="K85" i="122"/>
  <c r="D286" i="122"/>
  <c r="B38" i="122"/>
  <c r="B86" i="122"/>
  <c r="C118" i="122"/>
  <c r="C166" i="122"/>
  <c r="C214" i="122"/>
  <c r="C262" i="122"/>
  <c r="B140" i="122"/>
  <c r="B188" i="122"/>
  <c r="K284" i="122"/>
  <c r="C36" i="122"/>
  <c r="C84" i="122"/>
  <c r="B285" i="122"/>
  <c r="D36" i="122"/>
  <c r="D84" i="122"/>
  <c r="K132" i="122"/>
  <c r="D163" i="122"/>
  <c r="D115" i="122"/>
  <c r="K237" i="122"/>
  <c r="K189" i="122"/>
  <c r="K141" i="122"/>
  <c r="D93" i="122"/>
  <c r="D61" i="122"/>
  <c r="D13" i="122"/>
  <c r="C109" i="122"/>
  <c r="C61" i="122"/>
  <c r="C13" i="122"/>
  <c r="D243" i="122"/>
  <c r="B263" i="122"/>
  <c r="B215" i="122"/>
  <c r="G219" i="122"/>
  <c r="G262" i="122"/>
  <c r="G214" i="122"/>
  <c r="G283" i="122"/>
  <c r="G183" i="122"/>
  <c r="H288" i="122"/>
  <c r="H228" i="122"/>
  <c r="G132" i="122"/>
  <c r="G68" i="122"/>
  <c r="H100" i="122"/>
  <c r="E236" i="122"/>
  <c r="E172" i="122"/>
  <c r="F217" i="122"/>
  <c r="E133" i="122"/>
  <c r="F77" i="122"/>
  <c r="G62" i="122"/>
  <c r="E63" i="122"/>
  <c r="E163" i="122"/>
  <c r="D143" i="122"/>
  <c r="D111" i="122"/>
  <c r="K217" i="122"/>
  <c r="K185" i="122"/>
  <c r="K137" i="122"/>
  <c r="D89" i="122"/>
  <c r="D57" i="122"/>
  <c r="D25" i="122"/>
  <c r="C105" i="122"/>
  <c r="C73" i="122"/>
  <c r="C25" i="122"/>
  <c r="K271" i="122"/>
  <c r="D223" i="122"/>
  <c r="B243" i="122"/>
  <c r="G207" i="122"/>
  <c r="G223" i="122"/>
  <c r="G258" i="122"/>
  <c r="G218" i="122"/>
  <c r="G279" i="122"/>
  <c r="G179" i="122"/>
  <c r="H284" i="122"/>
  <c r="H192" i="122"/>
  <c r="G128" i="122"/>
  <c r="G32" i="122"/>
  <c r="H96" i="122"/>
  <c r="E232" i="122"/>
  <c r="G10" i="122"/>
  <c r="F169" i="122"/>
  <c r="E61" i="122"/>
  <c r="H190" i="122"/>
  <c r="F207" i="122"/>
  <c r="H75" i="122"/>
  <c r="E241" i="122"/>
  <c r="D171" i="122"/>
  <c r="D123" i="122"/>
  <c r="K229" i="122"/>
  <c r="K197" i="122"/>
  <c r="K149" i="122"/>
  <c r="D101" i="122"/>
  <c r="D69" i="122"/>
  <c r="D21" i="122"/>
  <c r="C101" i="122"/>
  <c r="C69" i="122"/>
  <c r="C21" i="122"/>
  <c r="K267" i="122"/>
  <c r="D219" i="122"/>
  <c r="B255" i="122"/>
  <c r="B239" i="122"/>
  <c r="B223" i="122"/>
  <c r="G195" i="122"/>
  <c r="G211" i="122"/>
  <c r="G227" i="122"/>
  <c r="G286" i="122"/>
  <c r="G270" i="122"/>
  <c r="G254" i="122"/>
  <c r="G189" i="122"/>
  <c r="G206" i="122"/>
  <c r="G222" i="122"/>
  <c r="F6" i="122"/>
  <c r="G275" i="122"/>
  <c r="G259" i="122"/>
  <c r="G243" i="122"/>
  <c r="G175" i="122"/>
  <c r="G159" i="122"/>
  <c r="G143" i="122"/>
  <c r="H276" i="122"/>
  <c r="H244" i="122"/>
  <c r="H212" i="122"/>
  <c r="H180" i="122"/>
  <c r="H148" i="122"/>
  <c r="G116" i="122"/>
  <c r="G84" i="122"/>
  <c r="G52" i="122"/>
  <c r="G20" i="122"/>
  <c r="H116" i="122"/>
  <c r="H84" i="122"/>
  <c r="H52" i="122"/>
  <c r="H20" i="122"/>
  <c r="E220" i="122"/>
  <c r="E188" i="122"/>
  <c r="E156" i="122"/>
  <c r="F277" i="122"/>
  <c r="F237" i="122"/>
  <c r="F197" i="122"/>
  <c r="F153" i="122"/>
  <c r="E109" i="122"/>
  <c r="E13" i="122"/>
  <c r="F13" i="122"/>
  <c r="H270" i="122"/>
  <c r="H142" i="122"/>
  <c r="H62" i="122"/>
  <c r="F191" i="122"/>
  <c r="F63" i="122"/>
  <c r="H187" i="122"/>
  <c r="H59" i="122"/>
  <c r="F188" i="122"/>
  <c r="F60" i="122"/>
  <c r="E138" i="122"/>
  <c r="H240" i="122"/>
  <c r="G215" i="122"/>
  <c r="B266" i="122"/>
  <c r="K241" i="122"/>
  <c r="C274" i="122"/>
  <c r="K57" i="122"/>
  <c r="D274" i="122"/>
  <c r="B58" i="122"/>
  <c r="C122" i="122"/>
  <c r="C186" i="122"/>
  <c r="C250" i="122"/>
  <c r="B160" i="122"/>
  <c r="K272" i="122"/>
  <c r="C56" i="122"/>
  <c r="B273" i="122"/>
  <c r="D56" i="122"/>
  <c r="K120" i="122"/>
  <c r="K152" i="122"/>
  <c r="K172" i="122"/>
  <c r="K188" i="122"/>
  <c r="K204" i="122"/>
  <c r="K220" i="122"/>
  <c r="K236" i="122"/>
  <c r="K252" i="122"/>
  <c r="D114" i="122"/>
  <c r="D130" i="122"/>
  <c r="D146" i="122"/>
  <c r="D162" i="122"/>
  <c r="D178" i="122"/>
  <c r="D194" i="122"/>
  <c r="D210" i="122"/>
  <c r="C277" i="122"/>
  <c r="K12" i="122"/>
  <c r="K28" i="122"/>
  <c r="K44" i="122"/>
  <c r="K60" i="122"/>
  <c r="K76" i="122"/>
  <c r="K92" i="122"/>
  <c r="K108" i="122"/>
  <c r="D277" i="122"/>
  <c r="B13" i="122"/>
  <c r="B29" i="122"/>
  <c r="B45" i="122"/>
  <c r="G185" i="122"/>
  <c r="G253" i="122"/>
  <c r="G269" i="122"/>
  <c r="G285" i="122"/>
  <c r="G228" i="122"/>
  <c r="G212" i="122"/>
  <c r="G196" i="122"/>
  <c r="G248" i="122"/>
  <c r="G264" i="122"/>
  <c r="G280" i="122"/>
  <c r="G233" i="122"/>
  <c r="G217" i="122"/>
  <c r="G201" i="122"/>
  <c r="B221" i="122"/>
  <c r="B237" i="122"/>
  <c r="B253" i="122"/>
  <c r="D217" i="122"/>
  <c r="D233" i="122"/>
  <c r="D249" i="122"/>
  <c r="K265" i="122"/>
  <c r="K281" i="122"/>
  <c r="C19" i="122"/>
  <c r="C35" i="122"/>
  <c r="C51" i="122"/>
  <c r="C67" i="122"/>
  <c r="C83" i="122"/>
  <c r="C99" i="122"/>
  <c r="B268" i="122"/>
  <c r="B284" i="122"/>
  <c r="E179" i="122"/>
  <c r="E269" i="122"/>
  <c r="E253" i="122"/>
  <c r="F26" i="122"/>
  <c r="B211" i="122"/>
  <c r="F38" i="122"/>
  <c r="F46" i="122"/>
  <c r="F54" i="122"/>
  <c r="F62" i="122"/>
  <c r="F50" i="122"/>
  <c r="F70" i="122"/>
  <c r="F94" i="122"/>
  <c r="F110" i="122"/>
  <c r="F118" i="122"/>
  <c r="F134" i="122"/>
  <c r="E14" i="122"/>
  <c r="E30" i="122"/>
  <c r="E46" i="122"/>
  <c r="E62" i="122"/>
  <c r="E78" i="122"/>
  <c r="E86" i="122"/>
  <c r="E102" i="122"/>
  <c r="E118" i="122"/>
  <c r="E134" i="122"/>
  <c r="F142" i="122"/>
  <c r="F158" i="122"/>
  <c r="F174" i="122"/>
  <c r="F190" i="122"/>
  <c r="F206" i="122"/>
  <c r="F214" i="122"/>
  <c r="F230" i="122"/>
  <c r="F246" i="122"/>
  <c r="F262" i="122"/>
  <c r="F278" i="122"/>
  <c r="E141" i="122"/>
  <c r="E149" i="122"/>
  <c r="E165" i="122"/>
  <c r="E181" i="122"/>
  <c r="E197" i="122"/>
  <c r="E205" i="122"/>
  <c r="E221" i="122"/>
  <c r="E237" i="122"/>
  <c r="H13" i="122"/>
  <c r="H37" i="122"/>
  <c r="H61" i="122"/>
  <c r="H85" i="122"/>
  <c r="H101" i="122"/>
  <c r="H125" i="122"/>
  <c r="G13" i="122"/>
  <c r="G29" i="122"/>
  <c r="G53" i="122"/>
  <c r="G77" i="122"/>
  <c r="G85" i="122"/>
  <c r="G109" i="122"/>
  <c r="G133" i="122"/>
  <c r="H149" i="122"/>
  <c r="H173" i="122"/>
  <c r="H197" i="122"/>
  <c r="H213" i="122"/>
  <c r="H229" i="122"/>
  <c r="F130" i="122"/>
  <c r="E66" i="122"/>
  <c r="F162" i="122"/>
  <c r="F226" i="122"/>
  <c r="G8" i="122"/>
  <c r="E233" i="122"/>
  <c r="H97" i="122"/>
  <c r="H129" i="122"/>
  <c r="G97" i="122"/>
  <c r="H193" i="122"/>
  <c r="H245" i="122"/>
  <c r="H277" i="122"/>
  <c r="G156" i="122"/>
  <c r="E275" i="122"/>
  <c r="E243" i="122"/>
  <c r="F56" i="122"/>
  <c r="F88" i="122"/>
  <c r="F120" i="122"/>
  <c r="E40" i="122"/>
  <c r="E72" i="122"/>
  <c r="E104" i="122"/>
  <c r="E136" i="122"/>
  <c r="F184" i="122"/>
  <c r="F216" i="122"/>
  <c r="F264" i="122"/>
  <c r="E143" i="122"/>
  <c r="E175" i="122"/>
  <c r="E223" i="122"/>
  <c r="H23" i="122"/>
  <c r="H55" i="122"/>
  <c r="H103" i="122"/>
  <c r="H135" i="122"/>
  <c r="G55" i="122"/>
  <c r="G71" i="122"/>
  <c r="G119" i="122"/>
  <c r="H167" i="122"/>
  <c r="H199" i="122"/>
  <c r="H247" i="122"/>
  <c r="H263" i="122"/>
  <c r="G158" i="122"/>
  <c r="E272" i="122"/>
  <c r="F11" i="122"/>
  <c r="F43" i="122"/>
  <c r="F75" i="122"/>
  <c r="F123" i="122"/>
  <c r="E27" i="122"/>
  <c r="E59" i="122"/>
  <c r="E91" i="122"/>
  <c r="F139" i="122"/>
  <c r="F171" i="122"/>
  <c r="F203" i="122"/>
  <c r="F251" i="122"/>
  <c r="F283" i="122"/>
  <c r="E178" i="122"/>
  <c r="E194" i="122"/>
  <c r="D8" i="122"/>
  <c r="H42" i="122"/>
  <c r="H90" i="122"/>
  <c r="H138" i="122"/>
  <c r="G26" i="122"/>
  <c r="G74" i="122"/>
  <c r="G106" i="122"/>
  <c r="H154" i="122"/>
  <c r="H202" i="122"/>
  <c r="H218" i="122"/>
  <c r="H266" i="122"/>
  <c r="G145" i="122"/>
  <c r="H8" i="122"/>
  <c r="E242" i="122"/>
  <c r="F25" i="122"/>
  <c r="F73" i="122"/>
  <c r="F105" i="122"/>
  <c r="E25" i="122"/>
  <c r="E73" i="122"/>
  <c r="E89" i="122"/>
  <c r="F122" i="122"/>
  <c r="E58" i="122"/>
  <c r="F154" i="122"/>
  <c r="F218" i="122"/>
  <c r="F282" i="122"/>
  <c r="E225" i="122"/>
  <c r="H57" i="122"/>
  <c r="G25" i="122"/>
  <c r="G89" i="122"/>
  <c r="H153" i="122"/>
  <c r="H217" i="122"/>
  <c r="H273" i="122"/>
  <c r="G152" i="122"/>
  <c r="G184" i="122"/>
  <c r="E263" i="122"/>
  <c r="F36" i="122"/>
  <c r="F84" i="122"/>
  <c r="F116" i="122"/>
  <c r="E20" i="122"/>
  <c r="E52" i="122"/>
  <c r="E100" i="122"/>
  <c r="E132" i="122"/>
  <c r="F164" i="122"/>
  <c r="F196" i="122"/>
  <c r="F244" i="122"/>
  <c r="F276" i="122"/>
  <c r="E171" i="122"/>
  <c r="E203" i="122"/>
  <c r="E235" i="122"/>
  <c r="H51" i="122"/>
  <c r="H83" i="122"/>
  <c r="H131" i="122"/>
  <c r="G35" i="122"/>
  <c r="G67" i="122"/>
  <c r="G115" i="122"/>
  <c r="H163" i="122"/>
  <c r="H179" i="122"/>
  <c r="H227" i="122"/>
  <c r="H259" i="122"/>
  <c r="G154" i="122"/>
  <c r="E276" i="122"/>
  <c r="E260" i="122"/>
  <c r="F39" i="122"/>
  <c r="F71" i="122"/>
  <c r="F119" i="122"/>
  <c r="E39" i="122"/>
  <c r="E55" i="122"/>
  <c r="E103" i="122"/>
  <c r="E135" i="122"/>
  <c r="F183" i="122"/>
  <c r="F231" i="122"/>
  <c r="F247" i="122"/>
  <c r="E142" i="122"/>
  <c r="E174" i="122"/>
  <c r="E222" i="122"/>
  <c r="H22" i="122"/>
  <c r="H54" i="122"/>
  <c r="H102" i="122"/>
  <c r="H134" i="122"/>
  <c r="G38" i="122"/>
  <c r="G86" i="122"/>
  <c r="G118" i="122"/>
  <c r="H166" i="122"/>
  <c r="H198" i="122"/>
  <c r="H230" i="122"/>
  <c r="H278" i="122"/>
  <c r="G157" i="122"/>
  <c r="E278" i="122"/>
  <c r="F21" i="122"/>
  <c r="F37" i="122"/>
  <c r="F85" i="122"/>
  <c r="F133" i="122"/>
  <c r="E21" i="122"/>
  <c r="E53" i="122"/>
  <c r="F82" i="122"/>
  <c r="E18" i="122"/>
  <c r="E114" i="122"/>
  <c r="F178" i="122"/>
  <c r="F242" i="122"/>
  <c r="E185" i="122"/>
  <c r="H49" i="122"/>
  <c r="H81" i="122"/>
  <c r="G49" i="122"/>
  <c r="H145" i="122"/>
  <c r="H209" i="122"/>
  <c r="H269" i="122"/>
  <c r="G164" i="122"/>
  <c r="G180" i="122"/>
  <c r="E251" i="122"/>
  <c r="F48" i="122"/>
  <c r="F80" i="122"/>
  <c r="F128" i="122"/>
  <c r="E32" i="122"/>
  <c r="E64" i="122"/>
  <c r="E112" i="122"/>
  <c r="F160" i="122"/>
  <c r="F192" i="122"/>
  <c r="F224" i="122"/>
  <c r="F256" i="122"/>
  <c r="E151" i="122"/>
  <c r="E183" i="122"/>
  <c r="E215" i="122"/>
  <c r="H79" i="122"/>
  <c r="H111" i="122"/>
  <c r="G15" i="122"/>
  <c r="G47" i="122"/>
  <c r="G95" i="122"/>
  <c r="G127" i="122"/>
  <c r="H159" i="122"/>
  <c r="H191" i="122"/>
  <c r="H239" i="122"/>
  <c r="H271" i="122"/>
  <c r="G150" i="122"/>
  <c r="E280" i="122"/>
  <c r="E248" i="122"/>
  <c r="F51" i="122"/>
  <c r="F67" i="122"/>
  <c r="F115" i="122"/>
  <c r="E19" i="122"/>
  <c r="E51" i="122"/>
  <c r="E83" i="122"/>
  <c r="E131" i="122"/>
  <c r="F179" i="122"/>
  <c r="F211" i="122"/>
  <c r="F243" i="122"/>
  <c r="F275" i="122"/>
  <c r="E170" i="122"/>
  <c r="E202" i="122"/>
  <c r="E234" i="122"/>
  <c r="H34" i="122"/>
  <c r="H82" i="122"/>
  <c r="H114" i="122"/>
  <c r="H130" i="122"/>
  <c r="G34" i="122"/>
  <c r="G82" i="122"/>
  <c r="G114" i="122"/>
  <c r="H146" i="122"/>
  <c r="H194" i="122"/>
  <c r="H226" i="122"/>
  <c r="H274" i="122"/>
  <c r="G153" i="122"/>
  <c r="G186" i="122"/>
  <c r="E250" i="122"/>
  <c r="F49" i="122"/>
  <c r="F81" i="122"/>
  <c r="F113" i="122"/>
  <c r="E17" i="122"/>
  <c r="E65" i="122"/>
  <c r="E97" i="122"/>
  <c r="E129" i="122"/>
  <c r="F177" i="122"/>
  <c r="F209" i="122"/>
  <c r="F241" i="122"/>
  <c r="F266" i="122"/>
  <c r="H249" i="122"/>
  <c r="E124" i="122"/>
  <c r="E227" i="122"/>
  <c r="G123" i="122"/>
  <c r="F127" i="122"/>
  <c r="E230" i="122"/>
  <c r="H126" i="122"/>
  <c r="E145" i="122"/>
  <c r="F12" i="122"/>
  <c r="F140" i="122"/>
  <c r="H11" i="122"/>
  <c r="H267" i="122"/>
  <c r="E15" i="122"/>
  <c r="F271" i="122"/>
  <c r="G14" i="122"/>
  <c r="H236" i="122"/>
  <c r="H204" i="122"/>
  <c r="H188" i="122"/>
  <c r="H156" i="122"/>
  <c r="G108" i="122"/>
  <c r="G60" i="122"/>
  <c r="G44" i="122"/>
  <c r="H124" i="122"/>
  <c r="H92" i="122"/>
  <c r="H44" i="122"/>
  <c r="H28" i="122"/>
  <c r="E212" i="122"/>
  <c r="E164" i="122"/>
  <c r="F285" i="122"/>
  <c r="F249" i="122"/>
  <c r="F205" i="122"/>
  <c r="F141" i="122"/>
  <c r="E45" i="122"/>
  <c r="F45" i="122"/>
  <c r="G149" i="122"/>
  <c r="H174" i="122"/>
  <c r="H110" i="122"/>
  <c r="E214" i="122"/>
  <c r="F239" i="122"/>
  <c r="E47" i="122"/>
  <c r="E268" i="122"/>
  <c r="G146" i="122"/>
  <c r="G107" i="122"/>
  <c r="H107" i="122"/>
  <c r="E147" i="122"/>
  <c r="F172" i="122"/>
  <c r="E44" i="122"/>
  <c r="E271" i="122"/>
  <c r="H233" i="122"/>
  <c r="E209" i="122"/>
  <c r="E106" i="122"/>
  <c r="H280" i="122"/>
  <c r="H232" i="122"/>
  <c r="H216" i="122"/>
  <c r="H168" i="122"/>
  <c r="G136" i="122"/>
  <c r="G88" i="122"/>
  <c r="G40" i="122"/>
  <c r="G24" i="122"/>
  <c r="H104" i="122"/>
  <c r="H72" i="122"/>
  <c r="H24" i="122"/>
  <c r="E224" i="122"/>
  <c r="E192" i="122"/>
  <c r="E144" i="122"/>
  <c r="F265" i="122"/>
  <c r="F221" i="122"/>
  <c r="F181" i="122"/>
  <c r="E117" i="122"/>
  <c r="E29" i="122"/>
  <c r="F29" i="122"/>
  <c r="H286" i="122"/>
  <c r="H222" i="122"/>
  <c r="G30" i="122"/>
  <c r="H30" i="122"/>
  <c r="F223" i="122"/>
  <c r="F159" i="122"/>
  <c r="F95" i="122"/>
  <c r="H283" i="122"/>
  <c r="H155" i="122"/>
  <c r="H91" i="122"/>
  <c r="H27" i="122"/>
  <c r="F220" i="122"/>
  <c r="E92" i="122"/>
  <c r="F28" i="122"/>
  <c r="H281" i="122"/>
  <c r="G73" i="122"/>
  <c r="F202" i="122"/>
  <c r="F74" i="122"/>
  <c r="H169" i="122"/>
  <c r="H41" i="122"/>
  <c r="G78" i="122"/>
  <c r="F273" i="122"/>
  <c r="H144" i="122"/>
  <c r="G226" i="122"/>
  <c r="G266" i="122"/>
  <c r="K279" i="122"/>
  <c r="B282" i="122"/>
  <c r="K193" i="122"/>
  <c r="K257" i="122"/>
  <c r="D211" i="122"/>
  <c r="K13" i="122"/>
  <c r="K61" i="122"/>
  <c r="K93" i="122"/>
  <c r="D278" i="122"/>
  <c r="B46" i="122"/>
  <c r="B78" i="122"/>
  <c r="B110" i="122"/>
  <c r="C142" i="122"/>
  <c r="C190" i="122"/>
  <c r="C222" i="122"/>
  <c r="B116" i="122"/>
  <c r="B132" i="122"/>
  <c r="B180" i="122"/>
  <c r="K276" i="122"/>
  <c r="C28" i="122"/>
  <c r="C76" i="122"/>
  <c r="C92" i="122"/>
  <c r="D12" i="122"/>
  <c r="D44" i="122"/>
  <c r="D92" i="122"/>
  <c r="K124" i="122"/>
  <c r="K140" i="122"/>
  <c r="G160" i="122"/>
  <c r="G182" i="122"/>
  <c r="F149" i="122"/>
  <c r="E152" i="122"/>
  <c r="G48" i="122"/>
  <c r="G139" i="122"/>
  <c r="G255" i="122"/>
  <c r="G282" i="122"/>
  <c r="B219" i="122"/>
  <c r="C17" i="122"/>
  <c r="D17" i="122"/>
  <c r="D81" i="122"/>
  <c r="K209" i="122"/>
  <c r="D119" i="122"/>
  <c r="D199" i="122"/>
  <c r="C282" i="122"/>
  <c r="K17" i="122"/>
  <c r="K49" i="122"/>
  <c r="K65" i="122"/>
  <c r="K97" i="122"/>
  <c r="D266" i="122"/>
  <c r="B18" i="122"/>
  <c r="B50" i="122"/>
  <c r="B66" i="122"/>
  <c r="B98" i="122"/>
  <c r="C114" i="122"/>
  <c r="C146" i="122"/>
  <c r="C178" i="122"/>
  <c r="C194" i="122"/>
  <c r="C226" i="122"/>
  <c r="C242" i="122"/>
  <c r="B120" i="122"/>
  <c r="B152" i="122"/>
  <c r="B168" i="122"/>
  <c r="B200" i="122"/>
  <c r="K264" i="122"/>
  <c r="C16" i="122"/>
  <c r="C32" i="122"/>
  <c r="C64" i="122"/>
  <c r="C80" i="122"/>
  <c r="B265" i="122"/>
  <c r="D16" i="122"/>
  <c r="D32" i="122"/>
  <c r="D64" i="122"/>
  <c r="D80" i="122"/>
  <c r="K112" i="122"/>
  <c r="E76" i="122"/>
  <c r="E254" i="122"/>
  <c r="F189" i="122"/>
  <c r="H80" i="122"/>
  <c r="H208" i="122"/>
  <c r="G155" i="122"/>
  <c r="G194" i="122"/>
  <c r="G231" i="122"/>
  <c r="D247" i="122"/>
  <c r="C33" i="122"/>
  <c r="D33" i="122"/>
  <c r="K161" i="122"/>
  <c r="D135" i="122"/>
  <c r="C270" i="122"/>
  <c r="K21" i="122"/>
  <c r="K37" i="122"/>
  <c r="K69" i="122"/>
  <c r="K101" i="122"/>
  <c r="D270" i="122"/>
  <c r="B22" i="122"/>
  <c r="B54" i="122"/>
  <c r="B70" i="122"/>
  <c r="B102" i="122"/>
  <c r="C134" i="122"/>
  <c r="C150" i="122"/>
  <c r="C182" i="122"/>
  <c r="C198" i="122"/>
  <c r="C230" i="122"/>
  <c r="C246" i="122"/>
  <c r="B124" i="122"/>
  <c r="B156" i="122"/>
  <c r="B172" i="122"/>
  <c r="B204" i="122"/>
  <c r="K268" i="122"/>
  <c r="C20" i="122"/>
  <c r="C52" i="122"/>
  <c r="C68" i="122"/>
  <c r="C100" i="122"/>
  <c r="B269" i="122"/>
  <c r="D20" i="122"/>
  <c r="D52" i="122"/>
  <c r="D68" i="122"/>
  <c r="D100" i="122"/>
  <c r="K116" i="122"/>
  <c r="K148" i="122"/>
  <c r="D179" i="122"/>
  <c r="D147" i="122"/>
  <c r="D131" i="122"/>
  <c r="K253" i="122"/>
  <c r="K221" i="122"/>
  <c r="K205" i="122"/>
  <c r="K173" i="122"/>
  <c r="K157" i="122"/>
  <c r="K125" i="122"/>
  <c r="D109" i="122"/>
  <c r="D77" i="122"/>
  <c r="D45" i="122"/>
  <c r="D29" i="122"/>
  <c r="B278" i="122"/>
  <c r="C93" i="122"/>
  <c r="C77" i="122"/>
  <c r="C45" i="122"/>
  <c r="C29" i="122"/>
  <c r="K275" i="122"/>
  <c r="D259" i="122"/>
  <c r="D227" i="122"/>
  <c r="B247" i="122"/>
  <c r="B231" i="122"/>
  <c r="G203" i="122"/>
  <c r="G235" i="122"/>
  <c r="G278" i="122"/>
  <c r="G246" i="122"/>
  <c r="G198" i="122"/>
  <c r="G230" i="122"/>
  <c r="G267" i="122"/>
  <c r="G251" i="122"/>
  <c r="G167" i="122"/>
  <c r="G151" i="122"/>
  <c r="H260" i="122"/>
  <c r="H196" i="122"/>
  <c r="H164" i="122"/>
  <c r="G100" i="122"/>
  <c r="G36" i="122"/>
  <c r="H132" i="122"/>
  <c r="H68" i="122"/>
  <c r="H36" i="122"/>
  <c r="E204" i="122"/>
  <c r="E140" i="122"/>
  <c r="F261" i="122"/>
  <c r="F173" i="122"/>
  <c r="E77" i="122"/>
  <c r="G178" i="122"/>
  <c r="H206" i="122"/>
  <c r="E166" i="122"/>
  <c r="G162" i="122"/>
  <c r="G59" i="122"/>
  <c r="E60" i="122"/>
  <c r="G137" i="122"/>
  <c r="D159" i="122"/>
  <c r="D127" i="122"/>
  <c r="K249" i="122"/>
  <c r="K233" i="122"/>
  <c r="K201" i="122"/>
  <c r="K169" i="122"/>
  <c r="K153" i="122"/>
  <c r="K121" i="122"/>
  <c r="D105" i="122"/>
  <c r="D73" i="122"/>
  <c r="D41" i="122"/>
  <c r="K8" i="122"/>
  <c r="B274" i="122"/>
  <c r="C89" i="122"/>
  <c r="C57" i="122"/>
  <c r="C41" i="122"/>
  <c r="K287" i="122"/>
  <c r="D255" i="122"/>
  <c r="D239" i="122"/>
  <c r="B259" i="122"/>
  <c r="B227" i="122"/>
  <c r="G191" i="122"/>
  <c r="F8" i="122"/>
  <c r="G274" i="122"/>
  <c r="G242" i="122"/>
  <c r="G202" i="122"/>
  <c r="G234" i="122"/>
  <c r="G263" i="122"/>
  <c r="G247" i="122"/>
  <c r="G163" i="122"/>
  <c r="G147" i="122"/>
  <c r="H256" i="122"/>
  <c r="H224" i="122"/>
  <c r="H160" i="122"/>
  <c r="G96" i="122"/>
  <c r="G64" i="122"/>
  <c r="H128" i="122"/>
  <c r="H64" i="122"/>
  <c r="H32" i="122"/>
  <c r="E200" i="122"/>
  <c r="E168" i="122"/>
  <c r="F253" i="122"/>
  <c r="F213" i="122"/>
  <c r="E125" i="122"/>
  <c r="F61" i="122"/>
  <c r="G165" i="122"/>
  <c r="H78" i="122"/>
  <c r="F79" i="122"/>
  <c r="H203" i="122"/>
  <c r="F204" i="122"/>
  <c r="F76" i="122"/>
  <c r="D187" i="122"/>
  <c r="D155" i="122"/>
  <c r="D139" i="122"/>
  <c r="K261" i="122"/>
  <c r="K245" i="122"/>
  <c r="K213" i="122"/>
  <c r="K181" i="122"/>
  <c r="K165" i="122"/>
  <c r="K133" i="122"/>
  <c r="K117" i="122"/>
  <c r="D85" i="122"/>
  <c r="D53" i="122"/>
  <c r="D37" i="122"/>
  <c r="B286" i="122"/>
  <c r="B270" i="122"/>
  <c r="C85" i="122"/>
  <c r="C53" i="122"/>
  <c r="C37" i="122"/>
  <c r="K283" i="122"/>
  <c r="D251" i="122"/>
  <c r="D235" i="122"/>
  <c r="E216" i="122"/>
  <c r="G171" i="122"/>
  <c r="B251" i="122"/>
  <c r="D49" i="122"/>
  <c r="D151" i="122"/>
  <c r="K9" i="122"/>
  <c r="K73" i="122"/>
  <c r="B10" i="122"/>
  <c r="B74" i="122"/>
  <c r="C138" i="122"/>
  <c r="C202" i="122"/>
  <c r="B112" i="122"/>
  <c r="B176" i="122"/>
  <c r="K288" i="122"/>
  <c r="C72" i="122"/>
  <c r="K7" i="122"/>
  <c r="D72" i="122"/>
  <c r="K128" i="122"/>
  <c r="K160" i="122"/>
  <c r="K176" i="122"/>
  <c r="K192" i="122"/>
  <c r="K208" i="122"/>
  <c r="K224" i="122"/>
  <c r="K240" i="122"/>
  <c r="K256" i="122"/>
  <c r="D118" i="122"/>
  <c r="D134" i="122"/>
  <c r="D150" i="122"/>
  <c r="D166" i="122"/>
  <c r="D182" i="122"/>
  <c r="D198" i="122"/>
  <c r="C265" i="122"/>
  <c r="C281" i="122"/>
  <c r="K16" i="122"/>
  <c r="K32" i="122"/>
  <c r="K48" i="122"/>
  <c r="K64" i="122"/>
  <c r="K80" i="122"/>
  <c r="K96" i="122"/>
  <c r="D265" i="122"/>
  <c r="D281" i="122"/>
  <c r="B17" i="122"/>
  <c r="B33" i="122"/>
  <c r="B49" i="122"/>
  <c r="G241" i="122"/>
  <c r="G257" i="122"/>
  <c r="G273" i="122"/>
  <c r="F10" i="122"/>
  <c r="G224" i="122"/>
  <c r="G208" i="122"/>
  <c r="G192" i="122"/>
  <c r="G252" i="122"/>
  <c r="G268" i="122"/>
  <c r="G284" i="122"/>
  <c r="G229" i="122"/>
  <c r="G213" i="122"/>
  <c r="G197" i="122"/>
  <c r="B225" i="122"/>
  <c r="B241" i="122"/>
  <c r="B257" i="122"/>
  <c r="D221" i="122"/>
  <c r="D237" i="122"/>
  <c r="D253" i="122"/>
  <c r="K269" i="122"/>
  <c r="K285" i="122"/>
  <c r="C23" i="122"/>
  <c r="C39" i="122"/>
  <c r="C55" i="122"/>
  <c r="C71" i="122"/>
  <c r="C87" i="122"/>
  <c r="C103" i="122"/>
  <c r="E182" i="122"/>
  <c r="H112" i="122"/>
  <c r="G287" i="122"/>
  <c r="D263" i="122"/>
  <c r="K113" i="122"/>
  <c r="D191" i="122"/>
  <c r="K25" i="122"/>
  <c r="K89" i="122"/>
  <c r="B26" i="122"/>
  <c r="B90" i="122"/>
  <c r="C154" i="122"/>
  <c r="C218" i="122"/>
  <c r="B128" i="122"/>
  <c r="B192" i="122"/>
  <c r="C24" i="122"/>
  <c r="C88" i="122"/>
  <c r="D24" i="122"/>
  <c r="D88" i="122"/>
  <c r="K136" i="122"/>
  <c r="K164" i="122"/>
  <c r="K180" i="122"/>
  <c r="K196" i="122"/>
  <c r="K212" i="122"/>
  <c r="K228" i="122"/>
  <c r="K244" i="122"/>
  <c r="K260" i="122"/>
  <c r="D122" i="122"/>
  <c r="D138" i="122"/>
  <c r="D154" i="122"/>
  <c r="D170" i="122"/>
  <c r="D186" i="122"/>
  <c r="D202" i="122"/>
  <c r="C269" i="122"/>
  <c r="C285" i="122"/>
  <c r="K20" i="122"/>
  <c r="K36" i="122"/>
  <c r="K52" i="122"/>
  <c r="K68" i="122"/>
  <c r="K84" i="122"/>
  <c r="K100" i="122"/>
  <c r="D269" i="122"/>
  <c r="D285" i="122"/>
  <c r="B21" i="122"/>
  <c r="B37" i="122"/>
  <c r="B53" i="122"/>
  <c r="G245" i="122"/>
  <c r="G261" i="122"/>
  <c r="G277" i="122"/>
  <c r="G236" i="122"/>
  <c r="G220" i="122"/>
  <c r="G204" i="122"/>
  <c r="G239" i="122"/>
  <c r="G256" i="122"/>
  <c r="G272" i="122"/>
  <c r="G288" i="122"/>
  <c r="G225" i="122"/>
  <c r="G209" i="122"/>
  <c r="G193" i="122"/>
  <c r="B229" i="122"/>
  <c r="B245" i="122"/>
  <c r="B261" i="122"/>
  <c r="D225" i="122"/>
  <c r="D241" i="122"/>
  <c r="D257" i="122"/>
  <c r="K273" i="122"/>
  <c r="C11" i="122"/>
  <c r="C27" i="122"/>
  <c r="C43" i="122"/>
  <c r="C59" i="122"/>
  <c r="C75" i="122"/>
  <c r="C91" i="122"/>
  <c r="C107" i="122"/>
  <c r="B276" i="122"/>
  <c r="C49" i="122"/>
  <c r="F125" i="122"/>
  <c r="G112" i="122"/>
  <c r="D104" i="122"/>
  <c r="B8" i="122"/>
  <c r="G216" i="122"/>
  <c r="C15" i="122"/>
  <c r="D35" i="122"/>
  <c r="D99" i="122"/>
  <c r="K163" i="122"/>
  <c r="K227" i="122"/>
  <c r="D137" i="122"/>
  <c r="D201" i="122"/>
  <c r="K35" i="122"/>
  <c r="K99" i="122"/>
  <c r="B36" i="122"/>
  <c r="B100" i="122"/>
  <c r="C164" i="122"/>
  <c r="C228" i="122"/>
  <c r="B138" i="122"/>
  <c r="B202" i="122"/>
  <c r="C34" i="122"/>
  <c r="C98" i="122"/>
  <c r="D26" i="122"/>
  <c r="D58" i="122"/>
  <c r="D74" i="122"/>
  <c r="D90" i="122"/>
  <c r="D106" i="122"/>
  <c r="K122" i="122"/>
  <c r="K138" i="122"/>
  <c r="K154" i="122"/>
  <c r="K170" i="122"/>
  <c r="K186" i="122"/>
  <c r="K202" i="122"/>
  <c r="K218" i="122"/>
  <c r="K234" i="122"/>
  <c r="K250" i="122"/>
  <c r="D112" i="122"/>
  <c r="D128" i="122"/>
  <c r="D144" i="122"/>
  <c r="D160" i="122"/>
  <c r="D176" i="122"/>
  <c r="D192" i="122"/>
  <c r="D208" i="122"/>
  <c r="C275" i="122"/>
  <c r="K10" i="122"/>
  <c r="K26" i="122"/>
  <c r="K42" i="122"/>
  <c r="K58" i="122"/>
  <c r="K74" i="122"/>
  <c r="K90" i="122"/>
  <c r="K106" i="122"/>
  <c r="D275" i="122"/>
  <c r="B11" i="122"/>
  <c r="B27" i="122"/>
  <c r="B43" i="122"/>
  <c r="B61" i="122"/>
  <c r="B77" i="122"/>
  <c r="B93" i="122"/>
  <c r="B109" i="122"/>
  <c r="C125" i="122"/>
  <c r="C141" i="122"/>
  <c r="C157" i="122"/>
  <c r="C173" i="122"/>
  <c r="C189" i="122"/>
  <c r="C205" i="122"/>
  <c r="C221" i="122"/>
  <c r="C237" i="122"/>
  <c r="C253" i="122"/>
  <c r="B115" i="122"/>
  <c r="B131" i="122"/>
  <c r="D207" i="122"/>
  <c r="K200" i="122"/>
  <c r="K72" i="122"/>
  <c r="G276" i="122"/>
  <c r="C79" i="122"/>
  <c r="D51" i="122"/>
  <c r="K115" i="122"/>
  <c r="K179" i="122"/>
  <c r="K243" i="122"/>
  <c r="D153" i="122"/>
  <c r="C268" i="122"/>
  <c r="K51" i="122"/>
  <c r="D268" i="122"/>
  <c r="B52" i="122"/>
  <c r="C116" i="122"/>
  <c r="C180" i="122"/>
  <c r="C244" i="122"/>
  <c r="B154" i="122"/>
  <c r="K266" i="122"/>
  <c r="C50" i="122"/>
  <c r="B267" i="122"/>
  <c r="D34" i="122"/>
  <c r="D62" i="122"/>
  <c r="D78" i="122"/>
  <c r="D94" i="122"/>
  <c r="D110" i="122"/>
  <c r="K126" i="122"/>
  <c r="K142" i="122"/>
  <c r="K158" i="122"/>
  <c r="K174" i="122"/>
  <c r="K190" i="122"/>
  <c r="K206" i="122"/>
  <c r="K222" i="122"/>
  <c r="K238" i="122"/>
  <c r="K254" i="122"/>
  <c r="D116" i="122"/>
  <c r="D132" i="122"/>
  <c r="D148" i="122"/>
  <c r="D164" i="122"/>
  <c r="D180" i="122"/>
  <c r="D196" i="122"/>
  <c r="D212" i="122"/>
  <c r="C279" i="122"/>
  <c r="K14" i="122"/>
  <c r="K30" i="122"/>
  <c r="K46" i="122"/>
  <c r="K62" i="122"/>
  <c r="K78" i="122"/>
  <c r="K94" i="122"/>
  <c r="K110" i="122"/>
  <c r="D279" i="122"/>
  <c r="B15" i="122"/>
  <c r="B31" i="122"/>
  <c r="B47" i="122"/>
  <c r="B65" i="122"/>
  <c r="B81" i="122"/>
  <c r="B97" i="122"/>
  <c r="C113" i="122"/>
  <c r="C129" i="122"/>
  <c r="C145" i="122"/>
  <c r="C161" i="122"/>
  <c r="C177" i="122"/>
  <c r="C193" i="122"/>
  <c r="C209" i="122"/>
  <c r="C225" i="122"/>
  <c r="C241" i="122"/>
  <c r="B106" i="122"/>
  <c r="B6" i="122"/>
  <c r="C8" i="122"/>
  <c r="B217" i="122"/>
  <c r="B280" i="122"/>
  <c r="D67" i="122"/>
  <c r="K131" i="122"/>
  <c r="K195" i="122"/>
  <c r="K259" i="122"/>
  <c r="D169" i="122"/>
  <c r="C284" i="122"/>
  <c r="E265" i="122"/>
  <c r="H10" i="122"/>
  <c r="E273" i="122"/>
  <c r="E249" i="122"/>
  <c r="E285" i="122"/>
  <c r="E257" i="122"/>
  <c r="E277" i="122"/>
  <c r="G240" i="122"/>
  <c r="E261" i="122"/>
  <c r="F18" i="122"/>
  <c r="E245" i="122"/>
  <c r="F14" i="122"/>
  <c r="F30" i="122"/>
  <c r="F34" i="122"/>
  <c r="F42" i="122"/>
  <c r="F58" i="122"/>
  <c r="F86" i="122"/>
  <c r="F102" i="122"/>
  <c r="F126" i="122"/>
  <c r="E22" i="122"/>
  <c r="E38" i="122"/>
  <c r="E54" i="122"/>
  <c r="E70" i="122"/>
  <c r="E94" i="122"/>
  <c r="E110" i="122"/>
  <c r="E126" i="122"/>
  <c r="F150" i="122"/>
  <c r="F166" i="122"/>
  <c r="F182" i="122"/>
  <c r="F198" i="122"/>
  <c r="F222" i="122"/>
  <c r="F238" i="122"/>
  <c r="F254" i="122"/>
  <c r="F270" i="122"/>
  <c r="F286" i="122"/>
  <c r="E157" i="122"/>
  <c r="E173" i="122"/>
  <c r="E189" i="122"/>
  <c r="E213" i="122"/>
  <c r="H21" i="122"/>
  <c r="H45" i="122"/>
  <c r="H69" i="122"/>
  <c r="H93" i="122"/>
  <c r="H117" i="122"/>
  <c r="G21" i="122"/>
  <c r="G45" i="122"/>
  <c r="G69" i="122"/>
  <c r="G93" i="122"/>
  <c r="G117" i="122"/>
  <c r="H141" i="122"/>
  <c r="H165" i="122"/>
  <c r="H189" i="122"/>
  <c r="H221" i="122"/>
  <c r="F66" i="122"/>
  <c r="E34" i="122"/>
  <c r="E130" i="122"/>
  <c r="F258" i="122"/>
  <c r="E201" i="122"/>
  <c r="H65" i="122"/>
  <c r="G33" i="122"/>
  <c r="G129" i="122"/>
  <c r="H225" i="122"/>
  <c r="G140" i="122"/>
  <c r="H6" i="122"/>
  <c r="E259" i="122"/>
  <c r="F40" i="122"/>
  <c r="F104" i="122"/>
  <c r="F136" i="122"/>
  <c r="E56" i="122"/>
  <c r="E120" i="122"/>
  <c r="F152" i="122"/>
  <c r="F200" i="122"/>
  <c r="F248" i="122"/>
  <c r="E159" i="122"/>
  <c r="E207" i="122"/>
  <c r="E239" i="122"/>
  <c r="H71" i="122"/>
  <c r="H119" i="122"/>
  <c r="G39" i="122"/>
  <c r="G87" i="122"/>
  <c r="G135" i="122"/>
  <c r="H183" i="122"/>
  <c r="H231" i="122"/>
  <c r="H279" i="122"/>
  <c r="G174" i="122"/>
  <c r="E256" i="122"/>
  <c r="F59" i="122"/>
  <c r="F91" i="122"/>
  <c r="E11" i="122"/>
  <c r="E75" i="122"/>
  <c r="E107" i="122"/>
  <c r="F155" i="122"/>
  <c r="F219" i="122"/>
  <c r="F267" i="122"/>
  <c r="E162" i="122"/>
  <c r="E210" i="122"/>
  <c r="H26" i="122"/>
  <c r="H74" i="122"/>
  <c r="H106" i="122"/>
  <c r="G42" i="122"/>
  <c r="G90" i="122"/>
  <c r="G138" i="122"/>
  <c r="H170" i="122"/>
  <c r="H234" i="122"/>
  <c r="H282" i="122"/>
  <c r="G177" i="122"/>
  <c r="E258" i="122"/>
  <c r="F41" i="122"/>
  <c r="F89" i="122"/>
  <c r="F137" i="122"/>
  <c r="E57" i="122"/>
  <c r="F22" i="122"/>
  <c r="E26" i="122"/>
  <c r="E122" i="122"/>
  <c r="F186" i="122"/>
  <c r="E161" i="122"/>
  <c r="H25" i="122"/>
  <c r="H89" i="122"/>
  <c r="G57" i="122"/>
  <c r="H185" i="122"/>
  <c r="H257" i="122"/>
  <c r="E10" i="122"/>
  <c r="E279" i="122"/>
  <c r="F20" i="122"/>
  <c r="F52" i="122"/>
  <c r="F100" i="122"/>
  <c r="E36" i="122"/>
  <c r="E68" i="122"/>
  <c r="E116" i="122"/>
  <c r="F180" i="122"/>
  <c r="F212" i="122"/>
  <c r="F260" i="122"/>
  <c r="E155" i="122"/>
  <c r="E219" i="122"/>
  <c r="H35" i="122"/>
  <c r="H67" i="122"/>
  <c r="H115" i="122"/>
  <c r="G51" i="122"/>
  <c r="G99" i="122"/>
  <c r="G131" i="122"/>
  <c r="H195" i="122"/>
  <c r="H243" i="122"/>
  <c r="E6" i="122"/>
  <c r="G238" i="122"/>
  <c r="E244" i="122"/>
  <c r="F55" i="122"/>
  <c r="F103" i="122"/>
  <c r="E23" i="122"/>
  <c r="E71" i="122"/>
  <c r="E119" i="122"/>
  <c r="F167" i="122"/>
  <c r="F215" i="122"/>
  <c r="F263" i="122"/>
  <c r="E158" i="122"/>
  <c r="E206" i="122"/>
  <c r="H38" i="122"/>
  <c r="H86" i="122"/>
  <c r="H118" i="122"/>
  <c r="G54" i="122"/>
  <c r="G102" i="122"/>
  <c r="H150" i="122"/>
  <c r="H182" i="122"/>
  <c r="H246" i="122"/>
  <c r="G141" i="122"/>
  <c r="G190" i="122"/>
  <c r="E246" i="122"/>
  <c r="F53" i="122"/>
  <c r="F101" i="122"/>
  <c r="E69" i="122"/>
  <c r="F114" i="122"/>
  <c r="E82" i="122"/>
  <c r="F210" i="122"/>
  <c r="E153" i="122"/>
  <c r="E217" i="122"/>
  <c r="H113" i="122"/>
  <c r="G81" i="122"/>
  <c r="H177" i="122"/>
  <c r="H253" i="122"/>
  <c r="G148" i="122"/>
  <c r="E267" i="122"/>
  <c r="F16" i="122"/>
  <c r="F64" i="122"/>
  <c r="F112" i="122"/>
  <c r="E48" i="122"/>
  <c r="E96" i="122"/>
  <c r="F144" i="122"/>
  <c r="F176" i="122"/>
  <c r="F240" i="122"/>
  <c r="F288" i="122"/>
  <c r="E167" i="122"/>
  <c r="E231" i="122"/>
  <c r="H31" i="122"/>
  <c r="H63" i="122"/>
  <c r="H95" i="122"/>
  <c r="G31" i="122"/>
  <c r="G79" i="122"/>
  <c r="G111" i="122"/>
  <c r="H175" i="122"/>
  <c r="H223" i="122"/>
  <c r="H287" i="122"/>
  <c r="G166" i="122"/>
  <c r="E264" i="122"/>
  <c r="F35" i="122"/>
  <c r="F83" i="122"/>
  <c r="F131" i="122"/>
  <c r="E67" i="122"/>
  <c r="E115" i="122"/>
  <c r="F147" i="122"/>
  <c r="F195" i="122"/>
  <c r="F259" i="122"/>
  <c r="G6" i="122"/>
  <c r="E186" i="122"/>
  <c r="H18" i="122"/>
  <c r="H66" i="122"/>
  <c r="H98" i="122"/>
  <c r="G18" i="122"/>
  <c r="G66" i="122"/>
  <c r="G98" i="122"/>
  <c r="H162" i="122"/>
  <c r="H210" i="122"/>
  <c r="H258" i="122"/>
  <c r="G169" i="122"/>
  <c r="E282" i="122"/>
  <c r="F17" i="122"/>
  <c r="F65" i="122"/>
  <c r="F129" i="122"/>
  <c r="E49" i="122"/>
  <c r="E113" i="122"/>
  <c r="F161" i="122"/>
  <c r="F225" i="122"/>
  <c r="F257" i="122"/>
  <c r="H137" i="122"/>
  <c r="F124" i="122"/>
  <c r="H123" i="122"/>
  <c r="E252" i="122"/>
  <c r="F255" i="122"/>
  <c r="E42" i="122"/>
  <c r="H265" i="122"/>
  <c r="F268" i="122"/>
  <c r="G11" i="122"/>
  <c r="F15" i="122"/>
  <c r="H14" i="122"/>
  <c r="H252" i="122"/>
  <c r="H220" i="122"/>
  <c r="H172" i="122"/>
  <c r="G124" i="122"/>
  <c r="G76" i="122"/>
  <c r="G28" i="122"/>
  <c r="H108" i="122"/>
  <c r="H60" i="122"/>
  <c r="H12" i="122"/>
  <c r="E196" i="122"/>
  <c r="E148" i="122"/>
  <c r="F229" i="122"/>
  <c r="F165" i="122"/>
  <c r="E121" i="122"/>
  <c r="F109" i="122"/>
  <c r="H238" i="122"/>
  <c r="G46" i="122"/>
  <c r="E150" i="122"/>
  <c r="E111" i="122"/>
  <c r="F47" i="122"/>
  <c r="H235" i="122"/>
  <c r="G43" i="122"/>
  <c r="E211" i="122"/>
  <c r="E108" i="122"/>
  <c r="F108" i="122"/>
  <c r="G144" i="122"/>
  <c r="H105" i="122"/>
  <c r="F106" i="122"/>
  <c r="H248" i="122"/>
  <c r="H200" i="122"/>
  <c r="H152" i="122"/>
  <c r="G104" i="122"/>
  <c r="G56" i="122"/>
  <c r="H136" i="122"/>
  <c r="H88" i="122"/>
  <c r="H40" i="122"/>
  <c r="E208" i="122"/>
  <c r="E176" i="122"/>
  <c r="F281" i="122"/>
  <c r="F201" i="122"/>
  <c r="E137" i="122"/>
  <c r="E93" i="122"/>
  <c r="H158" i="122"/>
  <c r="H94" i="122"/>
  <c r="F287" i="122"/>
  <c r="E95" i="122"/>
  <c r="F31" i="122"/>
  <c r="H219" i="122"/>
  <c r="G27" i="122"/>
  <c r="E195" i="122"/>
  <c r="F156" i="122"/>
  <c r="F92" i="122"/>
  <c r="H201" i="122"/>
  <c r="H73" i="122"/>
  <c r="E74" i="122"/>
  <c r="F170" i="122"/>
  <c r="G176" i="122"/>
  <c r="E105" i="122"/>
  <c r="G16" i="122"/>
  <c r="G187" i="122"/>
  <c r="G199" i="122"/>
  <c r="C65" i="122"/>
  <c r="K129" i="122"/>
  <c r="D167" i="122"/>
  <c r="C278" i="122"/>
  <c r="K45" i="122"/>
  <c r="K77" i="122"/>
  <c r="B14" i="122"/>
  <c r="B62" i="122"/>
  <c r="C126" i="122"/>
  <c r="C158" i="122"/>
  <c r="C206" i="122"/>
  <c r="C254" i="122"/>
  <c r="B164" i="122"/>
  <c r="B196" i="122"/>
  <c r="C12" i="122"/>
  <c r="C60" i="122"/>
  <c r="C108" i="122"/>
  <c r="D28" i="122"/>
  <c r="D76" i="122"/>
  <c r="K67" i="122"/>
  <c r="D284" i="122"/>
  <c r="B68" i="122"/>
  <c r="C132" i="122"/>
  <c r="C196" i="122"/>
  <c r="C260" i="122"/>
  <c r="B170" i="122"/>
  <c r="K282" i="122"/>
  <c r="C66" i="122"/>
  <c r="B283" i="122"/>
  <c r="D42" i="122"/>
  <c r="D66" i="122"/>
  <c r="D82" i="122"/>
  <c r="D98" i="122"/>
  <c r="K114" i="122"/>
  <c r="K130" i="122"/>
  <c r="K146" i="122"/>
  <c r="K162" i="122"/>
  <c r="K178" i="122"/>
  <c r="K194" i="122"/>
  <c r="K210" i="122"/>
  <c r="K226" i="122"/>
  <c r="K242" i="122"/>
  <c r="K258" i="122"/>
  <c r="D120" i="122"/>
  <c r="D136" i="122"/>
  <c r="D152" i="122"/>
  <c r="D168" i="122"/>
  <c r="D184" i="122"/>
  <c r="D200" i="122"/>
  <c r="C267" i="122"/>
  <c r="C283" i="122"/>
  <c r="K18" i="122"/>
  <c r="K34" i="122"/>
  <c r="K50" i="122"/>
  <c r="K66" i="122"/>
  <c r="K82" i="122"/>
  <c r="K98" i="122"/>
  <c r="D267" i="122"/>
  <c r="D283" i="122"/>
  <c r="B19" i="122"/>
  <c r="B35" i="122"/>
  <c r="B51" i="122"/>
  <c r="B69" i="122"/>
  <c r="B85" i="122"/>
  <c r="B101" i="122"/>
  <c r="C117" i="122"/>
  <c r="C133" i="122"/>
  <c r="C149" i="122"/>
  <c r="C165" i="122"/>
  <c r="C181" i="122"/>
  <c r="C197" i="122"/>
  <c r="C213" i="122"/>
  <c r="C229" i="122"/>
  <c r="C245" i="122"/>
  <c r="C261" i="122"/>
  <c r="B123" i="122"/>
  <c r="D46" i="122"/>
  <c r="D30" i="122"/>
  <c r="D14" i="122"/>
  <c r="B279" i="122"/>
  <c r="C110" i="122"/>
  <c r="C94" i="122"/>
  <c r="C78" i="122"/>
  <c r="C62" i="122"/>
  <c r="C46" i="122"/>
  <c r="C30" i="122"/>
  <c r="C14" i="122"/>
  <c r="K278" i="122"/>
  <c r="C6" i="122"/>
  <c r="B198" i="122"/>
  <c r="B182" i="122"/>
  <c r="B166" i="122"/>
  <c r="B150" i="122"/>
  <c r="B134" i="122"/>
  <c r="B118" i="122"/>
  <c r="C256" i="122"/>
  <c r="C240" i="122"/>
  <c r="C224" i="122"/>
  <c r="C208" i="122"/>
  <c r="C192" i="122"/>
  <c r="C176" i="122"/>
  <c r="C160" i="122"/>
  <c r="C144" i="122"/>
  <c r="C128" i="122"/>
  <c r="C112" i="122"/>
  <c r="B96" i="122"/>
  <c r="B80" i="122"/>
  <c r="B64" i="122"/>
  <c r="B48" i="122"/>
  <c r="B32" i="122"/>
  <c r="B16" i="122"/>
  <c r="D280" i="122"/>
  <c r="D264" i="122"/>
  <c r="K95" i="122"/>
  <c r="K79" i="122"/>
  <c r="K63" i="122"/>
  <c r="K47" i="122"/>
  <c r="K31" i="122"/>
  <c r="K15" i="122"/>
  <c r="C280" i="122"/>
  <c r="C264" i="122"/>
  <c r="D197" i="122"/>
  <c r="D181" i="122"/>
  <c r="D165" i="122"/>
  <c r="D149" i="122"/>
  <c r="D133" i="122"/>
  <c r="D117" i="122"/>
  <c r="K255" i="122"/>
  <c r="K239" i="122"/>
  <c r="K223" i="122"/>
  <c r="K207" i="122"/>
  <c r="K191" i="122"/>
  <c r="K175" i="122"/>
  <c r="K159" i="122"/>
  <c r="K143" i="122"/>
  <c r="K127" i="122"/>
  <c r="K111" i="122"/>
  <c r="D95" i="122"/>
  <c r="D79" i="122"/>
  <c r="D63" i="122"/>
  <c r="D47" i="122"/>
  <c r="D31" i="122"/>
  <c r="D15" i="122"/>
  <c r="B272" i="122"/>
  <c r="C63" i="122"/>
  <c r="K277" i="122"/>
  <c r="D213" i="122"/>
  <c r="G205" i="122"/>
  <c r="G260" i="122"/>
  <c r="G232" i="122"/>
  <c r="G181" i="122"/>
  <c r="D273" i="122"/>
  <c r="K56" i="122"/>
  <c r="C273" i="122"/>
  <c r="D158" i="122"/>
  <c r="K248" i="122"/>
  <c r="K184" i="122"/>
  <c r="D40" i="122"/>
  <c r="B144" i="122"/>
  <c r="B42" i="122"/>
  <c r="K177" i="122"/>
  <c r="D10" i="122"/>
  <c r="B275" i="122"/>
  <c r="C106" i="122"/>
  <c r="C90" i="122"/>
  <c r="C74" i="122"/>
  <c r="C58" i="122"/>
  <c r="C42" i="122"/>
  <c r="C26" i="122"/>
  <c r="C10" i="122"/>
  <c r="K274" i="122"/>
  <c r="B210" i="122"/>
  <c r="B194" i="122"/>
  <c r="B178" i="122"/>
  <c r="B162" i="122"/>
  <c r="B146" i="122"/>
  <c r="B130" i="122"/>
  <c r="B114" i="122"/>
  <c r="C252" i="122"/>
  <c r="C236" i="122"/>
  <c r="C220" i="122"/>
  <c r="C204" i="122"/>
  <c r="C188" i="122"/>
  <c r="C172" i="122"/>
  <c r="C156" i="122"/>
  <c r="C140" i="122"/>
  <c r="C124" i="122"/>
  <c r="B108" i="122"/>
  <c r="B92" i="122"/>
  <c r="B76" i="122"/>
  <c r="B60" i="122"/>
  <c r="B44" i="122"/>
  <c r="B28" i="122"/>
  <c r="B12" i="122"/>
  <c r="D276" i="122"/>
  <c r="K107" i="122"/>
  <c r="K91" i="122"/>
  <c r="K75" i="122"/>
  <c r="K59" i="122"/>
  <c r="K43" i="122"/>
  <c r="K27" i="122"/>
  <c r="K11" i="122"/>
  <c r="C276" i="122"/>
  <c r="D209" i="122"/>
  <c r="D193" i="122"/>
  <c r="D177" i="122"/>
  <c r="D161" i="122"/>
  <c r="D145" i="122"/>
  <c r="D129" i="122"/>
  <c r="D113" i="122"/>
  <c r="K251" i="122"/>
  <c r="K235" i="122"/>
  <c r="K219" i="122"/>
  <c r="K203" i="122"/>
  <c r="K187" i="122"/>
  <c r="K171" i="122"/>
  <c r="K155" i="122"/>
  <c r="K139" i="122"/>
  <c r="K123" i="122"/>
  <c r="D107" i="122"/>
  <c r="D91" i="122"/>
  <c r="D75" i="122"/>
  <c r="D59" i="122"/>
  <c r="D43" i="122"/>
  <c r="D27" i="122"/>
  <c r="D11" i="122"/>
  <c r="B264" i="122"/>
  <c r="C47" i="122"/>
  <c r="D261" i="122"/>
  <c r="B249" i="122"/>
  <c r="G221" i="122"/>
  <c r="G244" i="122"/>
  <c r="G281" i="122"/>
  <c r="B41" i="122"/>
  <c r="K104" i="122"/>
  <c r="K40" i="122"/>
  <c r="D206" i="122"/>
  <c r="D142" i="122"/>
  <c r="K232" i="122"/>
  <c r="K168" i="122"/>
  <c r="C104" i="122"/>
  <c r="C234" i="122"/>
  <c r="K105" i="122"/>
  <c r="G250" i="122"/>
  <c r="D54" i="122"/>
  <c r="D38" i="122"/>
  <c r="D22" i="122"/>
  <c r="B287" i="122"/>
  <c r="B271" i="122"/>
  <c r="C102" i="122"/>
  <c r="C86" i="122"/>
  <c r="C70" i="122"/>
  <c r="C54" i="122"/>
  <c r="C38" i="122"/>
  <c r="C22" i="122"/>
  <c r="K286" i="122"/>
  <c r="K270" i="122"/>
  <c r="B206" i="122"/>
  <c r="B190" i="122"/>
  <c r="B174" i="122"/>
  <c r="B158" i="122"/>
  <c r="B142" i="122"/>
  <c r="B126" i="122"/>
  <c r="D6" i="122"/>
  <c r="C248" i="122"/>
  <c r="C232" i="122"/>
  <c r="C216" i="122"/>
  <c r="C200" i="122"/>
  <c r="C184" i="122"/>
  <c r="C168" i="122"/>
  <c r="C152" i="122"/>
  <c r="C136" i="122"/>
  <c r="C120" i="122"/>
  <c r="B104" i="122"/>
  <c r="B88" i="122"/>
  <c r="B72" i="122"/>
  <c r="B56" i="122"/>
  <c r="B40" i="122"/>
  <c r="B24" i="122"/>
  <c r="D288" i="122"/>
  <c r="D272" i="122"/>
  <c r="K103" i="122"/>
  <c r="K87" i="122"/>
  <c r="K71" i="122"/>
  <c r="K55" i="122"/>
  <c r="K39" i="122"/>
  <c r="K23" i="122"/>
  <c r="C288" i="122"/>
  <c r="C272" i="122"/>
  <c r="D205" i="122"/>
  <c r="D189" i="122"/>
  <c r="D173" i="122"/>
  <c r="D157" i="122"/>
  <c r="D141" i="122"/>
  <c r="D125" i="122"/>
  <c r="K263" i="122"/>
  <c r="K247" i="122"/>
  <c r="K231" i="122"/>
  <c r="K215" i="122"/>
  <c r="K199" i="122"/>
  <c r="K183" i="122"/>
  <c r="K167" i="122"/>
  <c r="K151" i="122"/>
  <c r="K135" i="122"/>
  <c r="K119" i="122"/>
  <c r="D103" i="122"/>
  <c r="D87" i="122"/>
  <c r="D71" i="122"/>
  <c r="D55" i="122"/>
  <c r="D39" i="122"/>
  <c r="D23" i="122"/>
  <c r="B288" i="122"/>
  <c r="C95" i="122"/>
  <c r="C31" i="122"/>
  <c r="D245" i="122"/>
  <c r="B233" i="122"/>
  <c r="G237" i="122"/>
  <c r="G200" i="122"/>
  <c r="G265" i="122"/>
  <c r="B25" i="122"/>
  <c r="K88" i="122"/>
  <c r="K24" i="122"/>
  <c r="D190" i="122"/>
  <c r="D126" i="122"/>
  <c r="K216" i="122"/>
  <c r="K144" i="122"/>
  <c r="C40" i="122"/>
  <c r="C170" i="122"/>
  <c r="K41" i="122"/>
  <c r="F233" i="122"/>
  <c r="B208" i="122"/>
  <c r="D174" i="122"/>
  <c r="K147" i="122"/>
  <c r="G249" i="122"/>
  <c r="D19" i="122"/>
  <c r="D185" i="122"/>
  <c r="D83" i="122"/>
  <c r="K211" i="122"/>
  <c r="B20" i="122"/>
  <c r="D121" i="122"/>
  <c r="K19" i="122"/>
  <c r="C212" i="122"/>
  <c r="K83" i="122"/>
  <c r="B84" i="122"/>
  <c r="C18" i="122"/>
  <c r="D70" i="122"/>
  <c r="K134" i="122"/>
  <c r="K198" i="122"/>
  <c r="K262" i="122"/>
  <c r="D172" i="122"/>
  <c r="C287" i="122"/>
  <c r="K70" i="122"/>
  <c r="D287" i="122"/>
  <c r="B73" i="122"/>
  <c r="C137" i="122"/>
  <c r="C201" i="122"/>
  <c r="C257" i="122"/>
  <c r="B135" i="122"/>
  <c r="B151" i="122"/>
  <c r="B167" i="122"/>
  <c r="B183" i="122"/>
  <c r="B199" i="122"/>
  <c r="B218" i="122"/>
  <c r="B234" i="122"/>
  <c r="B250" i="122"/>
  <c r="D214" i="122"/>
  <c r="C148" i="122"/>
  <c r="C82" i="122"/>
  <c r="D86" i="122"/>
  <c r="K150" i="122"/>
  <c r="K214" i="122"/>
  <c r="D124" i="122"/>
  <c r="D188" i="122"/>
  <c r="K22" i="122"/>
  <c r="K86" i="122"/>
  <c r="B23" i="122"/>
  <c r="B89" i="122"/>
  <c r="C153" i="122"/>
  <c r="C217" i="122"/>
  <c r="B111" i="122"/>
  <c r="B139" i="122"/>
  <c r="B155" i="122"/>
  <c r="B171" i="122"/>
  <c r="B187" i="122"/>
  <c r="B203" i="122"/>
  <c r="B122" i="122"/>
  <c r="D18" i="122"/>
  <c r="D102" i="122"/>
  <c r="K166" i="122"/>
  <c r="K230" i="122"/>
  <c r="D140" i="122"/>
  <c r="D204" i="122"/>
  <c r="K38" i="122"/>
  <c r="K102" i="122"/>
  <c r="B39" i="122"/>
  <c r="B105" i="122"/>
  <c r="C169" i="122"/>
  <c r="C233" i="122"/>
  <c r="B119" i="122"/>
  <c r="B143" i="122"/>
  <c r="B159" i="122"/>
  <c r="B175" i="122"/>
  <c r="B191" i="122"/>
  <c r="B207" i="122"/>
  <c r="B226" i="122"/>
  <c r="B242" i="122"/>
  <c r="B258" i="122"/>
  <c r="K182" i="122"/>
  <c r="K54" i="122"/>
  <c r="C185" i="122"/>
  <c r="B186" i="122"/>
  <c r="K246" i="122"/>
  <c r="D50" i="122"/>
  <c r="D156" i="122"/>
  <c r="B57" i="122"/>
  <c r="C121" i="122"/>
  <c r="K118" i="122"/>
  <c r="C271" i="122"/>
  <c r="B147" i="122"/>
  <c r="B214" i="122"/>
  <c r="B246" i="122"/>
  <c r="D222" i="122"/>
  <c r="D271" i="122"/>
  <c r="C249" i="122"/>
  <c r="B179" i="122"/>
  <c r="B230" i="122"/>
  <c r="B262" i="122"/>
  <c r="B222" i="122"/>
  <c r="D226" i="122"/>
  <c r="D242" i="122"/>
  <c r="D258" i="122"/>
  <c r="B63" i="122"/>
  <c r="B79" i="122"/>
  <c r="B95" i="122"/>
  <c r="C111" i="122"/>
  <c r="C127" i="122"/>
  <c r="C143" i="122"/>
  <c r="C159" i="122"/>
  <c r="C175" i="122"/>
  <c r="C191" i="122"/>
  <c r="C207" i="122"/>
  <c r="C223" i="122"/>
  <c r="C239" i="122"/>
  <c r="C255" i="122"/>
  <c r="B117" i="122"/>
  <c r="B133" i="122"/>
  <c r="B149" i="122"/>
  <c r="B165" i="122"/>
  <c r="B181" i="122"/>
  <c r="B197" i="122"/>
  <c r="B216" i="122"/>
  <c r="B232" i="122"/>
  <c r="B248" i="122"/>
  <c r="K6" i="122"/>
  <c r="D228" i="122"/>
  <c r="D244" i="122"/>
  <c r="D260" i="122"/>
  <c r="D236" i="122"/>
  <c r="B195" i="122"/>
  <c r="B127" i="122"/>
  <c r="B238" i="122"/>
  <c r="D230" i="122"/>
  <c r="D246" i="122"/>
  <c r="D262" i="122"/>
  <c r="B67" i="122"/>
  <c r="B83" i="122"/>
  <c r="B99" i="122"/>
  <c r="C115" i="122"/>
  <c r="C131" i="122"/>
  <c r="C147" i="122"/>
  <c r="C163" i="122"/>
  <c r="C179" i="122"/>
  <c r="C195" i="122"/>
  <c r="C211" i="122"/>
  <c r="C227" i="122"/>
  <c r="C243" i="122"/>
  <c r="C259" i="122"/>
  <c r="B121" i="122"/>
  <c r="B137" i="122"/>
  <c r="B153" i="122"/>
  <c r="B169" i="122"/>
  <c r="B185" i="122"/>
  <c r="B201" i="122"/>
  <c r="B220" i="122"/>
  <c r="B236" i="122"/>
  <c r="B252" i="122"/>
  <c r="D216" i="122"/>
  <c r="D232" i="122"/>
  <c r="D248" i="122"/>
  <c r="B213" i="122"/>
  <c r="D220" i="122"/>
  <c r="D218" i="122"/>
  <c r="B163" i="122"/>
  <c r="B254" i="122"/>
  <c r="D234" i="122"/>
  <c r="D250" i="122"/>
  <c r="B55" i="122"/>
  <c r="B71" i="122"/>
  <c r="B87" i="122"/>
  <c r="B103" i="122"/>
  <c r="C119" i="122"/>
  <c r="C135" i="122"/>
  <c r="C151" i="122"/>
  <c r="C167" i="122"/>
  <c r="C183" i="122"/>
  <c r="C199" i="122"/>
  <c r="C215" i="122"/>
  <c r="C231" i="122"/>
  <c r="C247" i="122"/>
  <c r="C263" i="122"/>
  <c r="B125" i="122"/>
  <c r="B141" i="122"/>
  <c r="B157" i="122"/>
  <c r="B173" i="122"/>
  <c r="B189" i="122"/>
  <c r="B205" i="122"/>
  <c r="B224" i="122"/>
  <c r="B240" i="122"/>
  <c r="B256" i="122"/>
  <c r="D252" i="122"/>
  <c r="D254" i="122"/>
  <c r="B91" i="122"/>
  <c r="C155" i="122"/>
  <c r="C219" i="122"/>
  <c r="B129" i="122"/>
  <c r="B193" i="122"/>
  <c r="B260" i="122"/>
  <c r="D224" i="122"/>
  <c r="D238" i="122"/>
  <c r="B107" i="122"/>
  <c r="C171" i="122"/>
  <c r="C235" i="122"/>
  <c r="B145" i="122"/>
  <c r="B209" i="122"/>
  <c r="B59" i="122"/>
  <c r="C123" i="122"/>
  <c r="C187" i="122"/>
  <c r="C251" i="122"/>
  <c r="B161" i="122"/>
  <c r="B228" i="122"/>
  <c r="D240" i="122"/>
  <c r="B113" i="122"/>
  <c r="B75" i="122"/>
  <c r="B177" i="122"/>
  <c r="C139" i="122"/>
  <c r="C203" i="122"/>
  <c r="B244" i="122"/>
  <c r="D256" i="122"/>
  <c r="D229" i="122"/>
  <c r="N91" i="77"/>
  <c r="P91" i="77"/>
  <c r="CA93" i="77"/>
  <c r="L91" i="77"/>
  <c r="H42" i="39"/>
  <c r="L56" i="59"/>
  <c r="AP22" i="31"/>
  <c r="AP27" i="31" s="1"/>
  <c r="N31" i="31"/>
  <c r="BA32" i="31"/>
  <c r="Q31" i="31"/>
  <c r="J31" i="31"/>
  <c r="F61" i="70"/>
  <c r="E80" i="30" s="1"/>
  <c r="E94" i="30" s="1"/>
  <c r="T24" i="89"/>
  <c r="M24" i="89"/>
  <c r="O26" i="89"/>
  <c r="J25" i="89"/>
  <c r="A14" i="10"/>
  <c r="AC15" i="10"/>
  <c r="J23" i="90"/>
  <c r="O24" i="90"/>
  <c r="M22" i="90"/>
  <c r="T22" i="90"/>
  <c r="T28" i="90"/>
  <c r="M28" i="90"/>
  <c r="P1" i="122" l="1"/>
  <c r="M1" i="122"/>
  <c r="L1" i="122"/>
  <c r="N1" i="122"/>
  <c r="O1" i="122"/>
  <c r="P296" i="43"/>
  <c r="P298" i="43" s="1"/>
  <c r="E8" i="2" s="1"/>
  <c r="C8" i="2" s="1"/>
  <c r="D292" i="43"/>
  <c r="CA95" i="77"/>
  <c r="L93" i="77"/>
  <c r="N93" i="77"/>
  <c r="P93" i="77"/>
  <c r="V93" i="77"/>
  <c r="J93" i="77"/>
  <c r="R93" i="77"/>
  <c r="T93" i="77"/>
  <c r="AV22" i="31"/>
  <c r="Q32" i="31"/>
  <c r="N32" i="31"/>
  <c r="J32" i="31"/>
  <c r="BA33" i="31"/>
  <c r="L65" i="70"/>
  <c r="E68" i="2" s="1"/>
  <c r="C68" i="2" s="1"/>
  <c r="P80" i="30"/>
  <c r="P95" i="30" s="1"/>
  <c r="W11" i="31" s="1"/>
  <c r="F17" i="104"/>
  <c r="D17" i="104" s="1"/>
  <c r="G18" i="104" s="1"/>
  <c r="E95" i="30"/>
  <c r="B103" i="30" s="1"/>
  <c r="E3" i="31" s="1"/>
  <c r="F65" i="70"/>
  <c r="T25" i="89"/>
  <c r="M25" i="89"/>
  <c r="O27" i="89"/>
  <c r="J26" i="89"/>
  <c r="AC16" i="10"/>
  <c r="A15" i="10"/>
  <c r="T23" i="90"/>
  <c r="M23" i="90"/>
  <c r="O25" i="90"/>
  <c r="J24" i="90"/>
  <c r="V95" i="77" l="1"/>
  <c r="CA99" i="77"/>
  <c r="Q33" i="31"/>
  <c r="N33" i="31"/>
  <c r="BA34" i="31"/>
  <c r="J33" i="31"/>
  <c r="G20" i="104"/>
  <c r="J99" i="30"/>
  <c r="K99" i="30" s="1"/>
  <c r="E11" i="31"/>
  <c r="U11" i="31" s="1"/>
  <c r="E17" i="31"/>
  <c r="U17" i="31" s="1"/>
  <c r="K100" i="30"/>
  <c r="O28" i="89"/>
  <c r="J28" i="89" s="1"/>
  <c r="J27" i="89"/>
  <c r="T26" i="89"/>
  <c r="M26" i="89"/>
  <c r="A16" i="10"/>
  <c r="AC17" i="10"/>
  <c r="AC18" i="10" s="1"/>
  <c r="O26" i="90"/>
  <c r="J25" i="90"/>
  <c r="M24" i="90"/>
  <c r="T24" i="90"/>
  <c r="CA101" i="77" l="1"/>
  <c r="V99" i="77"/>
  <c r="AC19" i="10"/>
  <c r="A18" i="10"/>
  <c r="N34" i="31"/>
  <c r="Q34" i="31"/>
  <c r="J34" i="31"/>
  <c r="K102" i="30"/>
  <c r="L100" i="30" s="1"/>
  <c r="E148" i="2" s="1"/>
  <c r="T27" i="89"/>
  <c r="M27" i="89"/>
  <c r="M28" i="89"/>
  <c r="T28" i="89"/>
  <c r="A17" i="10"/>
  <c r="O27" i="90"/>
  <c r="J26" i="90"/>
  <c r="M25" i="90"/>
  <c r="T25" i="90"/>
  <c r="AC20" i="10" l="1"/>
  <c r="A19" i="10"/>
  <c r="V101" i="77"/>
  <c r="CA103" i="77"/>
  <c r="AE48" i="81"/>
  <c r="C148" i="2"/>
  <c r="T31" i="89"/>
  <c r="G66" i="2" s="1"/>
  <c r="M31" i="89"/>
  <c r="M33" i="89" s="1"/>
  <c r="E66" i="2" s="1"/>
  <c r="C66" i="2" s="1"/>
  <c r="J27" i="90"/>
  <c r="O28" i="90"/>
  <c r="M26" i="90"/>
  <c r="T26" i="90"/>
  <c r="G64" i="2"/>
  <c r="E64" i="2"/>
  <c r="C64" i="2" s="1"/>
  <c r="D51" i="104"/>
  <c r="Y50" i="42"/>
  <c r="L51" i="42" s="1"/>
  <c r="AB50" i="42" s="1"/>
  <c r="AB55" i="42" s="1"/>
  <c r="CA105" i="77" l="1"/>
  <c r="V103" i="77"/>
  <c r="AC21" i="10"/>
  <c r="A20" i="10"/>
  <c r="N37" i="76"/>
  <c r="L57" i="42"/>
  <c r="F61" i="42" s="1"/>
  <c r="O60" i="126"/>
  <c r="W54" i="76"/>
  <c r="W55" i="76" s="1"/>
  <c r="AA1" i="76"/>
  <c r="T35" i="76"/>
  <c r="P35" i="76"/>
  <c r="S35" i="76"/>
  <c r="M27" i="90"/>
  <c r="M31" i="90" s="1"/>
  <c r="M33" i="90" s="1"/>
  <c r="E65" i="2" s="1"/>
  <c r="C65" i="2" s="1"/>
  <c r="T27" i="90"/>
  <c r="T31" i="90" s="1"/>
  <c r="G65" i="2" s="1"/>
  <c r="S34" i="126"/>
  <c r="S35" i="126" s="1"/>
  <c r="X50" i="42"/>
  <c r="K51" i="42" s="1"/>
  <c r="R34" i="126" s="1"/>
  <c r="R14" i="126"/>
  <c r="R33" i="126" s="1"/>
  <c r="L52" i="42"/>
  <c r="E26" i="126" l="1"/>
  <c r="G26" i="126" s="1"/>
  <c r="G27" i="126" s="1"/>
  <c r="G30" i="126" s="1"/>
  <c r="N54" i="76"/>
  <c r="Q44" i="77" s="1"/>
  <c r="U44" i="77" s="1"/>
  <c r="V53" i="76" s="1"/>
  <c r="AC22" i="10"/>
  <c r="A21" i="10"/>
  <c r="V105" i="77"/>
  <c r="CA107" i="77"/>
  <c r="Q35" i="76"/>
  <c r="R35" i="76" s="1"/>
  <c r="S60" i="126"/>
  <c r="T72" i="126" s="1"/>
  <c r="S73" i="126" s="1"/>
  <c r="R60" i="126"/>
  <c r="R74" i="126" s="1"/>
  <c r="E39" i="126" s="1"/>
  <c r="G39" i="126" s="1"/>
  <c r="G40" i="126" s="1"/>
  <c r="P37" i="76"/>
  <c r="P54" i="76" s="1"/>
  <c r="K52" i="42"/>
  <c r="O61" i="42" s="1"/>
  <c r="E43" i="2" s="1"/>
  <c r="F19" i="39"/>
  <c r="G19" i="39" s="1"/>
  <c r="K19" i="39" s="1"/>
  <c r="R35" i="126"/>
  <c r="O36" i="126" s="1"/>
  <c r="N36" i="126" s="1"/>
  <c r="T37" i="76"/>
  <c r="S37" i="76"/>
  <c r="P57" i="76"/>
  <c r="O15" i="84"/>
  <c r="L107" i="77" l="1"/>
  <c r="V107" i="77"/>
  <c r="R107" i="77"/>
  <c r="P107" i="77"/>
  <c r="T107" i="77"/>
  <c r="N107" i="77"/>
  <c r="J107" i="77"/>
  <c r="AC23" i="10"/>
  <c r="A22" i="10"/>
  <c r="F43" i="2"/>
  <c r="C43" i="2"/>
  <c r="BA35" i="76"/>
  <c r="G150" i="2"/>
  <c r="D150" i="2" s="1"/>
  <c r="Q37" i="76"/>
  <c r="R37" i="76" s="1"/>
  <c r="T27" i="76"/>
  <c r="Q27" i="76" s="1"/>
  <c r="R27" i="76" s="1"/>
  <c r="L21" i="39"/>
  <c r="F22" i="39" s="1"/>
  <c r="R21" i="39" s="1"/>
  <c r="P21" i="39" s="1"/>
  <c r="I21" i="39" s="1"/>
  <c r="J21" i="39" s="1"/>
  <c r="S12" i="77"/>
  <c r="N15" i="84"/>
  <c r="AC24" i="10" l="1"/>
  <c r="A23" i="10"/>
  <c r="F153" i="2"/>
  <c r="D1" i="1" s="1"/>
  <c r="S13" i="77"/>
  <c r="W12" i="77"/>
  <c r="AA12" i="77" s="1"/>
  <c r="BA37" i="76"/>
  <c r="BA54" i="76" s="1"/>
  <c r="G72" i="2" s="1"/>
  <c r="D72" i="2" s="1"/>
  <c r="P26" i="39"/>
  <c r="P29" i="39" s="1"/>
  <c r="N29" i="39" s="1"/>
  <c r="N30" i="39" s="1"/>
  <c r="H25" i="27" s="1"/>
  <c r="G38" i="2" s="1"/>
  <c r="D38" i="2" s="1"/>
  <c r="Q6" i="76"/>
  <c r="K57" i="104"/>
  <c r="M57" i="104" s="1"/>
  <c r="L15" i="84"/>
  <c r="AC25" i="10" l="1"/>
  <c r="A24" i="10"/>
  <c r="D4" i="30"/>
  <c r="Q2" i="53"/>
  <c r="K5" i="31"/>
  <c r="F2" i="29"/>
  <c r="Q8" i="3"/>
  <c r="O2" i="83"/>
  <c r="Q2" i="77"/>
  <c r="T16" i="77"/>
  <c r="Z16" i="77" s="1"/>
  <c r="S17" i="77"/>
  <c r="AD16" i="77" s="1"/>
  <c r="AD15" i="77" s="1"/>
  <c r="P28" i="39"/>
  <c r="F29" i="39" s="1"/>
  <c r="U28" i="39" l="1"/>
  <c r="S28" i="39" s="1"/>
  <c r="I28" i="39" s="1"/>
  <c r="J28" i="39" s="1"/>
  <c r="F37" i="39"/>
  <c r="AC26" i="10"/>
  <c r="A25" i="10"/>
  <c r="AC17" i="77"/>
  <c r="S20" i="77"/>
  <c r="N45" i="101" s="1"/>
  <c r="E45" i="101" s="1"/>
  <c r="F45" i="101" s="1"/>
  <c r="AE17" i="77"/>
  <c r="AG17" i="77" s="1"/>
  <c r="AC27" i="10" l="1"/>
  <c r="A26" i="10"/>
  <c r="F42" i="39"/>
  <c r="DU21" i="77"/>
  <c r="BB21" i="77" s="1"/>
  <c r="BB22" i="77" s="1"/>
  <c r="S24" i="77" s="1"/>
  <c r="AC20" i="77"/>
  <c r="R72" i="136" l="1"/>
  <c r="F45" i="39"/>
  <c r="A50" i="39" s="1"/>
  <c r="J50" i="39" s="1"/>
  <c r="K50" i="39" s="1"/>
  <c r="E150" i="2" s="1"/>
  <c r="C150" i="2" s="1"/>
  <c r="AC28" i="10"/>
  <c r="A27" i="10"/>
  <c r="P69" i="136"/>
  <c r="S19" i="136"/>
  <c r="BC22" i="77"/>
  <c r="U24" i="77" s="1"/>
  <c r="X54" i="146"/>
  <c r="S26" i="77"/>
  <c r="S33" i="77" s="1"/>
  <c r="Y54" i="146" l="1"/>
  <c r="Z54" i="146" s="1"/>
  <c r="W53" i="76"/>
  <c r="O48" i="76" s="1"/>
  <c r="R48" i="76" s="1"/>
  <c r="AA5" i="77"/>
  <c r="V5" i="77" s="1"/>
  <c r="Z5" i="77" s="1"/>
  <c r="Z107" i="77" s="1"/>
  <c r="AA110" i="77" s="1"/>
  <c r="E151" i="2" s="1"/>
  <c r="C151" i="2" s="1"/>
  <c r="AC29" i="10"/>
  <c r="A28" i="10"/>
  <c r="U26" i="77"/>
  <c r="W26" i="77" s="1"/>
  <c r="AA26" i="77" s="1"/>
  <c r="Q69" i="136"/>
  <c r="Q70" i="136" s="1"/>
  <c r="Q24" i="77"/>
  <c r="T19" i="136"/>
  <c r="U19" i="136" s="1"/>
  <c r="S72" i="136"/>
  <c r="R71" i="136" s="1"/>
  <c r="V44" i="77"/>
  <c r="AA44" i="77" s="1"/>
  <c r="R22" i="77" l="1"/>
  <c r="Q33" i="77"/>
  <c r="U33" i="77"/>
  <c r="V46" i="77" s="1"/>
  <c r="AA46" i="77" s="1"/>
  <c r="AC30" i="10"/>
  <c r="A29" i="10"/>
  <c r="V42" i="77"/>
  <c r="AA42" i="77" s="1"/>
  <c r="O26" i="77"/>
  <c r="V70" i="136"/>
  <c r="V49" i="76" l="1"/>
  <c r="O49" i="76" s="1"/>
  <c r="R49" i="76" s="1"/>
  <c r="R55" i="76" s="1"/>
  <c r="R57" i="76" s="1"/>
  <c r="E72" i="2" s="1"/>
  <c r="C72" i="2" s="1"/>
  <c r="AC31" i="10"/>
  <c r="A30" i="10"/>
  <c r="J84" i="100"/>
  <c r="H84" i="100" s="1"/>
  <c r="I84" i="100" s="1"/>
  <c r="J24" i="100"/>
  <c r="X19" i="100" s="1"/>
  <c r="H20" i="100" s="1"/>
  <c r="I20" i="100" s="1"/>
  <c r="J70" i="101"/>
  <c r="E70" i="101" s="1"/>
  <c r="F70" i="101" s="1"/>
  <c r="F91" i="101" s="1"/>
  <c r="F92" i="101" s="1"/>
  <c r="E71" i="2" s="1"/>
  <c r="C71" i="2" s="1"/>
  <c r="Q46" i="136"/>
  <c r="AC32" i="10" l="1"/>
  <c r="A31" i="10"/>
  <c r="K56" i="104"/>
  <c r="M56" i="104" s="1"/>
  <c r="X20" i="100"/>
  <c r="X21" i="100" s="1"/>
  <c r="X22" i="100" s="1"/>
  <c r="H23" i="100" s="1"/>
  <c r="I23" i="100" s="1"/>
  <c r="A32" i="10" l="1"/>
  <c r="AC33" i="10"/>
  <c r="H21" i="100"/>
  <c r="I21" i="100" s="1"/>
  <c r="H22" i="100"/>
  <c r="I22" i="100" s="1"/>
  <c r="P97" i="146"/>
  <c r="O97" i="146" s="1"/>
  <c r="AC34" i="10" l="1"/>
  <c r="A33" i="10"/>
  <c r="I87" i="100"/>
  <c r="I89" i="100" s="1"/>
  <c r="E70" i="2" s="1"/>
  <c r="C70" i="2" s="1"/>
  <c r="K55" i="104"/>
  <c r="M55" i="104" s="1"/>
  <c r="L97" i="146"/>
  <c r="M97" i="146" s="1"/>
  <c r="A34" i="10" l="1"/>
  <c r="AC35" i="10"/>
  <c r="AC36" i="10" l="1"/>
  <c r="A35" i="10"/>
  <c r="AC37" i="10" l="1"/>
  <c r="A36" i="10"/>
  <c r="A37" i="10" l="1"/>
  <c r="AC38" i="10"/>
  <c r="A38" i="10" l="1"/>
  <c r="AH73" i="10"/>
  <c r="AH74" i="10" s="1"/>
  <c r="A74" i="10" l="1"/>
  <c r="AH75" i="10"/>
  <c r="A75" i="10" l="1"/>
  <c r="AH76" i="10"/>
  <c r="A76" i="10" l="1"/>
  <c r="AH77" i="10"/>
  <c r="AH78" i="10" l="1"/>
  <c r="A77" i="10"/>
  <c r="A78" i="10" l="1"/>
  <c r="AH79" i="10"/>
  <c r="AH80" i="10" l="1"/>
  <c r="A79" i="10"/>
  <c r="AH81" i="10" l="1"/>
  <c r="A80" i="10"/>
  <c r="A81" i="10" l="1"/>
  <c r="AH82" i="10"/>
  <c r="A82" i="10" l="1"/>
  <c r="AH83" i="10"/>
  <c r="A83" i="10" l="1"/>
  <c r="AH84" i="10"/>
  <c r="A84" i="10" l="1"/>
  <c r="AH85" i="10"/>
  <c r="AH86" i="10" l="1"/>
  <c r="A85" i="10"/>
  <c r="AH87" i="10" l="1"/>
  <c r="A86" i="10"/>
  <c r="A87" i="10" l="1"/>
  <c r="AH88" i="10"/>
  <c r="AH89" i="10" l="1"/>
  <c r="A88" i="10"/>
  <c r="AH90" i="10" l="1"/>
  <c r="A89" i="10"/>
  <c r="AH91" i="10" l="1"/>
  <c r="A90" i="10"/>
  <c r="AH92" i="10" l="1"/>
  <c r="A91" i="10"/>
  <c r="AH93" i="10" l="1"/>
  <c r="A92" i="10"/>
  <c r="AH94" i="10" l="1"/>
  <c r="A93" i="10"/>
  <c r="AH95" i="10" l="1"/>
  <c r="A94" i="10"/>
  <c r="AH96" i="10" l="1"/>
  <c r="A95" i="10"/>
  <c r="AH97" i="10" l="1"/>
  <c r="A96" i="10"/>
  <c r="AH98" i="10" l="1"/>
  <c r="A97" i="10"/>
  <c r="AH99" i="10" l="1"/>
  <c r="A98" i="10"/>
  <c r="AH100" i="10" l="1"/>
  <c r="A99" i="10"/>
  <c r="AH101" i="10" l="1"/>
  <c r="A100" i="10"/>
  <c r="AH102" i="10" l="1"/>
  <c r="A101" i="10"/>
  <c r="A102" i="10" l="1"/>
  <c r="AH103" i="10"/>
  <c r="AH104" i="10" l="1"/>
  <c r="A103" i="10"/>
  <c r="A104" i="10" l="1"/>
  <c r="AH105" i="10"/>
  <c r="A105" i="10" l="1"/>
  <c r="AH106" i="10"/>
  <c r="AH107" i="10" l="1"/>
  <c r="A106" i="10"/>
  <c r="AH108" i="10" l="1"/>
  <c r="A107" i="10"/>
  <c r="A108" i="10" l="1"/>
  <c r="AH109" i="10"/>
  <c r="A109" i="10" l="1"/>
  <c r="AH110" i="10"/>
  <c r="AH111" i="10" l="1"/>
  <c r="A110" i="10"/>
  <c r="A111" i="10" l="1"/>
  <c r="AH112" i="10"/>
  <c r="A112" i="10" l="1"/>
  <c r="AH113" i="10"/>
  <c r="A113" i="10" l="1"/>
  <c r="AH114" i="10"/>
  <c r="AH115" i="10" l="1"/>
  <c r="A114" i="10"/>
  <c r="A115" i="10" l="1"/>
  <c r="AH116" i="10"/>
  <c r="A116" i="10" l="1"/>
  <c r="AH117" i="10"/>
  <c r="A117" i="10" l="1"/>
  <c r="AH118" i="10"/>
  <c r="AH119" i="10" l="1"/>
  <c r="A118" i="10"/>
  <c r="AH120" i="10" l="1"/>
  <c r="A119" i="10"/>
  <c r="A120" i="10" l="1"/>
  <c r="AH121" i="10"/>
  <c r="A121" i="10" l="1"/>
  <c r="AH122" i="10"/>
  <c r="AH123" i="10" l="1"/>
  <c r="A122" i="10"/>
  <c r="AH124" i="10" l="1"/>
  <c r="A123" i="10"/>
  <c r="A124" i="10" l="1"/>
  <c r="AH125" i="10"/>
  <c r="A125" i="10" l="1"/>
  <c r="AH126" i="10"/>
  <c r="A126" i="10" l="1"/>
  <c r="AH127" i="10"/>
  <c r="AH128" i="10" l="1"/>
  <c r="A127" i="10"/>
  <c r="A128" i="10" l="1"/>
  <c r="AH129" i="10"/>
  <c r="A129" i="10" l="1"/>
  <c r="AH130" i="10"/>
  <c r="AH131" i="10" l="1"/>
  <c r="A130" i="10"/>
  <c r="A131" i="10" l="1"/>
  <c r="AH132" i="10"/>
  <c r="A132" i="10" l="1"/>
  <c r="AH133" i="10"/>
  <c r="A133" i="10" l="1"/>
  <c r="AH134" i="10"/>
  <c r="AH135" i="10" l="1"/>
  <c r="A134" i="10"/>
  <c r="AH136" i="10" l="1"/>
  <c r="A135" i="10"/>
  <c r="A136" i="10" l="1"/>
  <c r="AH137" i="10"/>
  <c r="AH138" i="10" l="1"/>
  <c r="A137" i="10"/>
  <c r="AH139" i="10" l="1"/>
  <c r="A138" i="10"/>
  <c r="P47" i="116"/>
  <c r="H48" i="116" s="1"/>
  <c r="P23" i="116"/>
  <c r="P67" i="116"/>
  <c r="P66" i="116"/>
  <c r="P19" i="116"/>
  <c r="P43" i="116"/>
  <c r="P76" i="116"/>
  <c r="P79" i="116"/>
  <c r="P21" i="116"/>
  <c r="P50" i="116"/>
  <c r="H51" i="116" s="1"/>
  <c r="P71" i="116"/>
  <c r="H72" i="116" s="1"/>
  <c r="I74" i="116" s="1"/>
  <c r="P74" i="116" s="1"/>
  <c r="P52" i="116"/>
  <c r="H53" i="116" s="1"/>
  <c r="P27" i="116"/>
  <c r="P37" i="116"/>
  <c r="P40" i="116"/>
  <c r="P36" i="116"/>
  <c r="AH140" i="10" l="1"/>
  <c r="A139" i="10"/>
  <c r="P14" i="116"/>
  <c r="A140" i="10" l="1"/>
  <c r="AH141" i="10"/>
  <c r="I61" i="116"/>
  <c r="P61" i="116" s="1"/>
  <c r="H64" i="116" s="1"/>
  <c r="H57" i="116"/>
  <c r="P57" i="116" s="1"/>
  <c r="H59" i="116"/>
  <c r="P59" i="116" s="1"/>
  <c r="A141" i="10" l="1"/>
  <c r="AH142" i="10"/>
  <c r="P84" i="116"/>
  <c r="N42" i="119"/>
  <c r="K25" i="119" l="1"/>
  <c r="M25" i="119" s="1"/>
  <c r="K21" i="119"/>
  <c r="K22" i="119"/>
  <c r="M22" i="119" s="1"/>
  <c r="K26" i="119"/>
  <c r="M26" i="119" s="1"/>
  <c r="K20" i="119"/>
  <c r="M20" i="119" s="1"/>
  <c r="K28" i="119"/>
  <c r="M28" i="119" s="1"/>
  <c r="K23" i="119"/>
  <c r="M23" i="119" s="1"/>
  <c r="K27" i="119"/>
  <c r="M27" i="119" s="1"/>
  <c r="K24" i="119"/>
  <c r="M24" i="119" s="1"/>
  <c r="M21" i="119"/>
  <c r="M106" i="119"/>
  <c r="M128" i="119" s="1"/>
  <c r="K19" i="119"/>
  <c r="M19" i="119" s="1"/>
  <c r="AH143" i="10"/>
  <c r="A142" i="10"/>
  <c r="Q200" i="119"/>
  <c r="J205" i="119" s="1"/>
  <c r="M205" i="119" s="1"/>
  <c r="H10" i="119"/>
  <c r="M10" i="119" s="1"/>
  <c r="H11" i="119"/>
  <c r="M11" i="119" s="1"/>
  <c r="K35" i="119"/>
  <c r="M35" i="119" s="1"/>
  <c r="H13" i="119"/>
  <c r="M13" i="119" s="1"/>
  <c r="H14" i="119"/>
  <c r="M14" i="119" s="1"/>
  <c r="H16" i="119"/>
  <c r="M16" i="119" s="1"/>
  <c r="H12" i="119"/>
  <c r="M12" i="119" s="1"/>
  <c r="J37" i="119"/>
  <c r="M37" i="119" s="1"/>
  <c r="AH144" i="10" l="1"/>
  <c r="A143" i="10"/>
  <c r="M42" i="119"/>
  <c r="Q201" i="119" s="1"/>
  <c r="M209" i="119" s="1"/>
  <c r="AH145" i="10" l="1"/>
  <c r="A144" i="10"/>
  <c r="E96" i="2"/>
  <c r="C96" i="2" s="1"/>
  <c r="A145" i="10" l="1"/>
  <c r="AH146" i="10"/>
  <c r="M46" i="125"/>
  <c r="AH147" i="10" l="1"/>
  <c r="A146" i="10"/>
  <c r="M47" i="125"/>
  <c r="E99" i="2" s="1"/>
  <c r="C99" i="2" s="1"/>
  <c r="AH148" i="10" l="1"/>
  <c r="A147" i="10"/>
  <c r="C82" i="13"/>
  <c r="C91" i="13" s="1"/>
  <c r="P105" i="13" s="1"/>
  <c r="O105" i="13" s="1"/>
  <c r="H90" i="13" s="1"/>
  <c r="K7" i="104" s="1"/>
  <c r="M7" i="104" s="1"/>
  <c r="E16" i="2"/>
  <c r="C16" i="2" s="1"/>
  <c r="C3" i="13"/>
  <c r="AH149" i="10" l="1"/>
  <c r="A148" i="10"/>
  <c r="R3" i="13"/>
  <c r="G16" i="2" s="1"/>
  <c r="D16" i="2" s="1"/>
  <c r="AH150" i="10" l="1"/>
  <c r="A149" i="10"/>
  <c r="A150" i="10" l="1"/>
  <c r="AH151" i="10"/>
  <c r="AH152" i="10" l="1"/>
  <c r="A151" i="10"/>
  <c r="AH153" i="10" l="1"/>
  <c r="A152" i="10"/>
  <c r="A153" i="10" l="1"/>
  <c r="AH154" i="10"/>
  <c r="A154" i="10" l="1"/>
  <c r="AH155" i="10"/>
  <c r="G13" i="127"/>
  <c r="L13" i="127" s="1"/>
  <c r="G16" i="127"/>
  <c r="L16" i="127" s="1"/>
  <c r="G11" i="127"/>
  <c r="L11" i="127" s="1"/>
  <c r="G15" i="127"/>
  <c r="L15" i="127" s="1"/>
  <c r="S17" i="127"/>
  <c r="A155" i="10" l="1"/>
  <c r="AH156" i="10"/>
  <c r="L17" i="127"/>
  <c r="AH157" i="10" l="1"/>
  <c r="A156" i="10"/>
  <c r="L37" i="127"/>
  <c r="L39" i="127"/>
  <c r="A157" i="10" l="1"/>
  <c r="AH158" i="10"/>
  <c r="L41" i="127"/>
  <c r="L44" i="127" s="1"/>
  <c r="E101" i="2" s="1"/>
  <c r="C101" i="2" s="1"/>
  <c r="L22" i="129"/>
  <c r="G21" i="129"/>
  <c r="O23" i="129"/>
  <c r="A158" i="10" l="1"/>
  <c r="AH159" i="10"/>
  <c r="G23" i="129"/>
  <c r="O25" i="129"/>
  <c r="G25" i="129" s="1"/>
  <c r="H24" i="129"/>
  <c r="A159" i="10" l="1"/>
  <c r="AH160" i="10"/>
  <c r="K27" i="129"/>
  <c r="L24" i="129"/>
  <c r="K24" i="129"/>
  <c r="J32" i="132"/>
  <c r="L32" i="132" s="1"/>
  <c r="A160" i="10" l="1"/>
  <c r="AH161" i="10"/>
  <c r="J6" i="132"/>
  <c r="L6" i="132" s="1"/>
  <c r="J8" i="132"/>
  <c r="L8" i="132" s="1"/>
  <c r="G13" i="132"/>
  <c r="L13" i="132" s="1"/>
  <c r="L45" i="132"/>
  <c r="G16" i="132"/>
  <c r="L16" i="132" s="1"/>
  <c r="G15" i="132"/>
  <c r="L15" i="132" s="1"/>
  <c r="L66" i="132"/>
  <c r="K10" i="132"/>
  <c r="L10" i="132" s="1"/>
  <c r="J29" i="132"/>
  <c r="L29" i="132" s="1"/>
  <c r="J27" i="132"/>
  <c r="L27" i="132" s="1"/>
  <c r="K57" i="132"/>
  <c r="L57" i="132" s="1"/>
  <c r="G12" i="132"/>
  <c r="L12" i="132" s="1"/>
  <c r="I85" i="132"/>
  <c r="L85" i="132" s="1"/>
  <c r="G14" i="132"/>
  <c r="L14" i="132" s="1"/>
  <c r="AH162" i="10" l="1"/>
  <c r="A161" i="10"/>
  <c r="K61" i="132"/>
  <c r="L61" i="132" s="1"/>
  <c r="L89" i="132" s="1"/>
  <c r="AH163" i="10" l="1"/>
  <c r="A162" i="10"/>
  <c r="J24" i="136"/>
  <c r="AH164" i="10" l="1"/>
  <c r="A163" i="10"/>
  <c r="Q50" i="136"/>
  <c r="K24" i="136"/>
  <c r="S51" i="136" s="1"/>
  <c r="AH165" i="10" l="1"/>
  <c r="A164" i="10"/>
  <c r="N42" i="136"/>
  <c r="N6" i="136"/>
  <c r="A165" i="10" l="1"/>
  <c r="AH166" i="10"/>
  <c r="M29" i="146"/>
  <c r="M28" i="146"/>
  <c r="AH167" i="10" l="1"/>
  <c r="A166" i="10"/>
  <c r="N28" i="136"/>
  <c r="Q61" i="136"/>
  <c r="AH168" i="10" l="1"/>
  <c r="A167" i="10"/>
  <c r="K54" i="136"/>
  <c r="K53" i="136" s="1"/>
  <c r="A168" i="10" l="1"/>
  <c r="AH169" i="10"/>
  <c r="O53" i="136"/>
  <c r="T113" i="146"/>
  <c r="P57" i="136"/>
  <c r="AH170" i="10" l="1"/>
  <c r="A169" i="10"/>
  <c r="Q55" i="136"/>
  <c r="R61" i="136"/>
  <c r="R50" i="136"/>
  <c r="Q51" i="136" s="1"/>
  <c r="K55" i="136" s="1"/>
  <c r="A170" i="10" l="1"/>
  <c r="AH171" i="10"/>
  <c r="J55" i="136"/>
  <c r="AS102" i="146"/>
  <c r="R55" i="136"/>
  <c r="S55" i="136" s="1"/>
  <c r="T114" i="146"/>
  <c r="T116" i="146" s="1"/>
  <c r="N61" i="136"/>
  <c r="R59" i="136"/>
  <c r="R66" i="136" s="1"/>
  <c r="AH172" i="10" l="1"/>
  <c r="A171" i="10"/>
  <c r="R116" i="146"/>
  <c r="E99" i="146" s="1"/>
  <c r="K71" i="146"/>
  <c r="C117" i="146" s="1"/>
  <c r="AH173" i="10" l="1"/>
  <c r="A172" i="10"/>
  <c r="O77" i="146"/>
  <c r="N77" i="146"/>
  <c r="L71" i="146"/>
  <c r="AH174" i="10" l="1"/>
  <c r="A173" i="10"/>
  <c r="P77" i="146"/>
  <c r="V103" i="146"/>
  <c r="X103" i="146"/>
  <c r="F116" i="146"/>
  <c r="V104" i="146"/>
  <c r="X104" i="146"/>
  <c r="V105" i="146"/>
  <c r="X105" i="146"/>
  <c r="D116" i="146"/>
  <c r="W104" i="146"/>
  <c r="U104" i="146"/>
  <c r="AS103" i="146"/>
  <c r="AS104" i="146" s="1"/>
  <c r="W105" i="146"/>
  <c r="E116" i="146"/>
  <c r="W103" i="146"/>
  <c r="U103" i="146"/>
  <c r="C116" i="146"/>
  <c r="AH175" i="10" l="1"/>
  <c r="A174" i="10"/>
  <c r="L116" i="146"/>
  <c r="V113" i="146"/>
  <c r="U113" i="146"/>
  <c r="K66" i="136"/>
  <c r="J66" i="136"/>
  <c r="J116" i="146"/>
  <c r="K60" i="136" s="1"/>
  <c r="X113" i="146"/>
  <c r="W113" i="146"/>
  <c r="I116" i="146"/>
  <c r="J60" i="136" s="1"/>
  <c r="U116" i="146"/>
  <c r="K74" i="146"/>
  <c r="AS105" i="146"/>
  <c r="AT105" i="146" s="1"/>
  <c r="J74" i="146"/>
  <c r="K72" i="146"/>
  <c r="AT104" i="146"/>
  <c r="U142" i="136"/>
  <c r="O99" i="136" s="1"/>
  <c r="AT103" i="146"/>
  <c r="C122" i="146"/>
  <c r="A175" i="10" l="1"/>
  <c r="AH176" i="10"/>
  <c r="I69" i="136"/>
  <c r="Y113" i="146"/>
  <c r="L107" i="146" s="1"/>
  <c r="CB56" i="31"/>
  <c r="X116" i="146"/>
  <c r="X121" i="146" s="1"/>
  <c r="L112" i="146" s="1"/>
  <c r="D122" i="146"/>
  <c r="C123" i="146"/>
  <c r="K57" i="136"/>
  <c r="P99" i="136"/>
  <c r="L142" i="136"/>
  <c r="N142" i="136" s="1"/>
  <c r="P100" i="136"/>
  <c r="P101" i="136" s="1"/>
  <c r="P102" i="136" s="1"/>
  <c r="P103" i="136" s="1"/>
  <c r="P104" i="136" s="1"/>
  <c r="L104" i="136" s="1"/>
  <c r="K145" i="136"/>
  <c r="L74" i="146"/>
  <c r="AS106" i="146"/>
  <c r="L101" i="136" l="1"/>
  <c r="N101" i="136" s="1"/>
  <c r="L102" i="136"/>
  <c r="N102" i="136" s="1"/>
  <c r="L103" i="136"/>
  <c r="N103" i="136" s="1"/>
  <c r="A176" i="10"/>
  <c r="AH177" i="10"/>
  <c r="L108" i="146"/>
  <c r="L104" i="146"/>
  <c r="L109" i="146"/>
  <c r="L105" i="146"/>
  <c r="L111" i="146"/>
  <c r="L106" i="146"/>
  <c r="L103" i="146"/>
  <c r="L110" i="146"/>
  <c r="I61" i="136"/>
  <c r="V1" i="146" s="1"/>
  <c r="O116" i="146"/>
  <c r="I71" i="136"/>
  <c r="G23" i="84" s="1"/>
  <c r="P105" i="136"/>
  <c r="L105" i="136" s="1"/>
  <c r="N104" i="136"/>
  <c r="L57" i="136"/>
  <c r="N59" i="136" s="1"/>
  <c r="S61" i="136"/>
  <c r="T61" i="136" s="1"/>
  <c r="AS107" i="146"/>
  <c r="AT107" i="146" s="1"/>
  <c r="U66" i="136"/>
  <c r="CA56" i="31"/>
  <c r="AT106" i="146"/>
  <c r="G51" i="84" l="1"/>
  <c r="AC51" i="84"/>
  <c r="O9" i="77" s="1"/>
  <c r="O33" i="77" s="1"/>
  <c r="A177" i="10"/>
  <c r="AH178" i="10"/>
  <c r="L10" i="146"/>
  <c r="R70" i="136"/>
  <c r="T70" i="136" s="1"/>
  <c r="P61" i="136"/>
  <c r="L100" i="136"/>
  <c r="N100" i="136" s="1"/>
  <c r="J145" i="136"/>
  <c r="N145" i="136" s="1"/>
  <c r="N12" i="136"/>
  <c r="N4" i="136"/>
  <c r="L22" i="136"/>
  <c r="N22" i="136" s="1"/>
  <c r="P65" i="136"/>
  <c r="G36" i="136"/>
  <c r="N36" i="136" s="1"/>
  <c r="L26" i="136"/>
  <c r="N26" i="136" s="1"/>
  <c r="L17" i="146"/>
  <c r="M17" i="146" s="1"/>
  <c r="L16" i="146"/>
  <c r="M16" i="146" s="1"/>
  <c r="L14" i="146"/>
  <c r="M14" i="146" s="1"/>
  <c r="L18" i="146"/>
  <c r="M18" i="146" s="1"/>
  <c r="L15" i="146"/>
  <c r="M15" i="146" s="1"/>
  <c r="L21" i="146"/>
  <c r="M21" i="146" s="1"/>
  <c r="L9" i="146"/>
  <c r="L23" i="146"/>
  <c r="M23" i="146" s="1"/>
  <c r="E119" i="146"/>
  <c r="P106" i="136"/>
  <c r="L106" i="136" s="1"/>
  <c r="N105" i="136"/>
  <c r="AS108" i="146"/>
  <c r="I23" i="84"/>
  <c r="N35" i="84" s="1"/>
  <c r="O23" i="84"/>
  <c r="N8" i="136" l="1"/>
  <c r="L24" i="136"/>
  <c r="N24" i="136" s="1"/>
  <c r="A178" i="10"/>
  <c r="AH179" i="10"/>
  <c r="O71" i="136"/>
  <c r="S70" i="136"/>
  <c r="P107" i="136"/>
  <c r="L107" i="136" s="1"/>
  <c r="N106" i="136"/>
  <c r="AS109" i="146"/>
  <c r="AT109" i="146" s="1"/>
  <c r="I51" i="84"/>
  <c r="J51" i="84" s="1"/>
  <c r="AT108" i="146"/>
  <c r="F54" i="84"/>
  <c r="Q40" i="77"/>
  <c r="FA18" i="77"/>
  <c r="N23" i="84"/>
  <c r="J23" i="84"/>
  <c r="P71" i="136" l="1"/>
  <c r="L70" i="136"/>
  <c r="N70" i="136" s="1"/>
  <c r="AH180" i="10"/>
  <c r="A179" i="10"/>
  <c r="Q71" i="136"/>
  <c r="J71" i="136"/>
  <c r="P108" i="136"/>
  <c r="L108" i="136" s="1"/>
  <c r="N107" i="136"/>
  <c r="N36" i="84"/>
  <c r="M35" i="84"/>
  <c r="U40" i="77"/>
  <c r="V40" i="77" s="1"/>
  <c r="AA40" i="77" s="1"/>
  <c r="AA50" i="77" s="1"/>
  <c r="AA60" i="77" s="1"/>
  <c r="G151" i="2" s="1"/>
  <c r="Q48" i="77"/>
  <c r="M51" i="84"/>
  <c r="K54" i="104"/>
  <c r="M54" i="104" s="1"/>
  <c r="L23" i="84"/>
  <c r="L51" i="84" s="1"/>
  <c r="L54" i="84" s="1"/>
  <c r="E69" i="2" s="1"/>
  <c r="A180" i="10" l="1"/>
  <c r="AH181" i="10"/>
  <c r="P109" i="136"/>
  <c r="L109" i="136" s="1"/>
  <c r="N108" i="136"/>
  <c r="U48" i="77"/>
  <c r="Q50" i="77"/>
  <c r="U50" i="77" s="1"/>
  <c r="C69" i="2"/>
  <c r="D151" i="2"/>
  <c r="M36" i="84"/>
  <c r="N37" i="84"/>
  <c r="M37" i="84" s="1"/>
  <c r="A181" i="10" l="1"/>
  <c r="AH182" i="10"/>
  <c r="P110" i="136"/>
  <c r="L110" i="136" s="1"/>
  <c r="N109" i="136"/>
  <c r="M116" i="146"/>
  <c r="A182" i="10" l="1"/>
  <c r="AH183" i="10"/>
  <c r="P111" i="136"/>
  <c r="L111" i="136" s="1"/>
  <c r="N110" i="136"/>
  <c r="M117" i="146"/>
  <c r="A183" i="10" l="1"/>
  <c r="AH184" i="10"/>
  <c r="P112" i="136"/>
  <c r="L112" i="136" s="1"/>
  <c r="N111" i="136"/>
  <c r="X1" i="136"/>
  <c r="A184" i="10" l="1"/>
  <c r="AH185" i="10"/>
  <c r="P113" i="136"/>
  <c r="L113" i="136" s="1"/>
  <c r="N112" i="136"/>
  <c r="J123" i="146"/>
  <c r="P116" i="146"/>
  <c r="AH186" i="10" l="1"/>
  <c r="A185" i="10"/>
  <c r="P114" i="136"/>
  <c r="L114" i="136" s="1"/>
  <c r="N113" i="136"/>
  <c r="N66" i="136"/>
  <c r="A186" i="10" l="1"/>
  <c r="AH187" i="10"/>
  <c r="N3" i="136"/>
  <c r="P115" i="136"/>
  <c r="L115" i="136" s="1"/>
  <c r="N114" i="136"/>
  <c r="AH188" i="10" l="1"/>
  <c r="A187" i="10"/>
  <c r="P116" i="136"/>
  <c r="L116" i="136" s="1"/>
  <c r="N115" i="136"/>
  <c r="A188" i="10" l="1"/>
  <c r="AH189" i="10"/>
  <c r="P117" i="136"/>
  <c r="L117" i="136" s="1"/>
  <c r="N116" i="136"/>
  <c r="AH190" i="10" l="1"/>
  <c r="A189" i="10"/>
  <c r="P118" i="136"/>
  <c r="L118" i="136" s="1"/>
  <c r="N117" i="136"/>
  <c r="A190" i="10" l="1"/>
  <c r="AH191" i="10"/>
  <c r="P119" i="136"/>
  <c r="L119" i="136" s="1"/>
  <c r="N118" i="136"/>
  <c r="A191" i="10" l="1"/>
  <c r="AX226" i="10"/>
  <c r="AX227" i="10" s="1"/>
  <c r="P120" i="136"/>
  <c r="L120" i="136" s="1"/>
  <c r="N119" i="136"/>
  <c r="A227" i="10" l="1"/>
  <c r="AX228" i="10"/>
  <c r="P121" i="136"/>
  <c r="L121" i="136" s="1"/>
  <c r="N120" i="136"/>
  <c r="AX229" i="10" l="1"/>
  <c r="A228" i="10"/>
  <c r="P122" i="136"/>
  <c r="L122" i="136" s="1"/>
  <c r="N121" i="136"/>
  <c r="AX230" i="10" l="1"/>
  <c r="A229" i="10"/>
  <c r="P123" i="136"/>
  <c r="L123" i="136" s="1"/>
  <c r="N122" i="136"/>
  <c r="AX231" i="10" l="1"/>
  <c r="A230" i="10"/>
  <c r="P124" i="136"/>
  <c r="L124" i="136" s="1"/>
  <c r="N123" i="136"/>
  <c r="A231" i="10" l="1"/>
  <c r="AX232" i="10"/>
  <c r="P125" i="136"/>
  <c r="L125" i="136" s="1"/>
  <c r="N124" i="136"/>
  <c r="A232" i="10" l="1"/>
  <c r="AX233" i="10"/>
  <c r="P126" i="136"/>
  <c r="L126" i="136" s="1"/>
  <c r="N125" i="136"/>
  <c r="A233" i="10" l="1"/>
  <c r="AX234" i="10"/>
  <c r="P127" i="136"/>
  <c r="L127" i="136" s="1"/>
  <c r="N126" i="136"/>
  <c r="A234" i="10" l="1"/>
  <c r="AX235" i="10"/>
  <c r="P128" i="136"/>
  <c r="L128" i="136" s="1"/>
  <c r="N127" i="136"/>
  <c r="A235" i="10" l="1"/>
  <c r="AX236" i="10"/>
  <c r="P129" i="136"/>
  <c r="L129" i="136" s="1"/>
  <c r="N128" i="136"/>
  <c r="A236" i="10" l="1"/>
  <c r="AX237" i="10"/>
  <c r="P130" i="136"/>
  <c r="L130" i="136" s="1"/>
  <c r="N129" i="136"/>
  <c r="A237" i="10" l="1"/>
  <c r="AX238" i="10"/>
  <c r="P131" i="136"/>
  <c r="L131" i="136" s="1"/>
  <c r="N130" i="136"/>
  <c r="AX239" i="10" l="1"/>
  <c r="A238" i="10"/>
  <c r="P132" i="136"/>
  <c r="L132" i="136" s="1"/>
  <c r="N131" i="136"/>
  <c r="A239" i="10" l="1"/>
  <c r="AX240" i="10"/>
  <c r="P133" i="136"/>
  <c r="P134" i="136" s="1"/>
  <c r="P135" i="136" s="1"/>
  <c r="P136" i="136" s="1"/>
  <c r="P137" i="136" s="1"/>
  <c r="P138" i="136" s="1"/>
  <c r="P139" i="136" s="1"/>
  <c r="P140" i="136" s="1"/>
  <c r="P141" i="136" s="1"/>
  <c r="N132" i="136"/>
  <c r="A240" i="10" l="1"/>
  <c r="AX241" i="10"/>
  <c r="AX242" i="10" l="1"/>
  <c r="A241" i="10"/>
  <c r="A242" i="10" l="1"/>
  <c r="AX243" i="10"/>
  <c r="S75" i="149"/>
  <c r="S74" i="149"/>
  <c r="S49" i="149"/>
  <c r="S72" i="149"/>
  <c r="S82" i="149"/>
  <c r="M20" i="149"/>
  <c r="S20" i="149" s="1"/>
  <c r="S69" i="149"/>
  <c r="S50" i="149"/>
  <c r="S71" i="149"/>
  <c r="S93" i="149"/>
  <c r="S67" i="149"/>
  <c r="S89" i="149"/>
  <c r="S88" i="149"/>
  <c r="S90" i="149"/>
  <c r="S70" i="149"/>
  <c r="S45" i="149"/>
  <c r="S44" i="149"/>
  <c r="S43" i="149"/>
  <c r="S81" i="149"/>
  <c r="S86" i="149"/>
  <c r="S46" i="149"/>
  <c r="S56" i="149"/>
  <c r="S87" i="149"/>
  <c r="S15" i="149"/>
  <c r="S84" i="149"/>
  <c r="H66" i="149"/>
  <c r="S68" i="149"/>
  <c r="S85" i="149"/>
  <c r="S73" i="149"/>
  <c r="S83" i="149"/>
  <c r="S47" i="149"/>
  <c r="S48" i="149"/>
  <c r="A243" i="10" l="1"/>
  <c r="AX244" i="10"/>
  <c r="U24" i="149"/>
  <c r="A244" i="10" l="1"/>
  <c r="AX245" i="10"/>
  <c r="L35" i="149"/>
  <c r="S35" i="149" s="1"/>
  <c r="M37" i="149"/>
  <c r="S37" i="149" s="1"/>
  <c r="M29" i="149"/>
  <c r="S29" i="149" s="1"/>
  <c r="M30" i="149"/>
  <c r="S30" i="149" s="1"/>
  <c r="E26" i="149"/>
  <c r="M27" i="149"/>
  <c r="S27" i="149" s="1"/>
  <c r="M28" i="149"/>
  <c r="S28" i="149" s="1"/>
  <c r="A245" i="10" l="1"/>
  <c r="AX246" i="10"/>
  <c r="S4" i="149"/>
  <c r="A246" i="10" l="1"/>
  <c r="AX247" i="10"/>
  <c r="R96" i="149"/>
  <c r="E120" i="2" s="1"/>
  <c r="C120" i="2" s="1"/>
  <c r="O5" i="150"/>
  <c r="AX248" i="10" l="1"/>
  <c r="A247" i="10"/>
  <c r="L55" i="152"/>
  <c r="L82" i="152"/>
  <c r="G51" i="152"/>
  <c r="L51" i="152" s="1"/>
  <c r="L73" i="152"/>
  <c r="G75" i="152" s="1"/>
  <c r="G79" i="152" s="1"/>
  <c r="L53" i="152"/>
  <c r="L77" i="152"/>
  <c r="A248" i="10" l="1"/>
  <c r="AX249" i="10"/>
  <c r="L85" i="152"/>
  <c r="P90" i="152" s="1"/>
  <c r="L95" i="152" s="1"/>
  <c r="AX250" i="10" l="1"/>
  <c r="A249" i="10"/>
  <c r="L48" i="152"/>
  <c r="L185" i="152"/>
  <c r="E124" i="2" s="1"/>
  <c r="AX251" i="10" l="1"/>
  <c r="A250" i="10"/>
  <c r="C124" i="2"/>
  <c r="J435" i="116"/>
  <c r="M435" i="116" s="1"/>
  <c r="Q431" i="116" s="1"/>
  <c r="P436" i="116" s="1"/>
  <c r="E94" i="2" s="1"/>
  <c r="C94" i="2" s="1"/>
  <c r="O4" i="150"/>
  <c r="O480" i="150" s="1"/>
  <c r="E121" i="2" s="1"/>
  <c r="AX252" i="10" l="1"/>
  <c r="A251" i="10"/>
  <c r="C121" i="2"/>
  <c r="A252" i="10" l="1"/>
  <c r="AX253" i="10"/>
  <c r="I80" i="155"/>
  <c r="G67" i="74" s="1"/>
  <c r="X80" i="155" l="1"/>
  <c r="I83" i="155"/>
  <c r="AX254" i="10"/>
  <c r="A253" i="10"/>
  <c r="X34" i="155"/>
  <c r="K80" i="155"/>
  <c r="K83" i="155" l="1"/>
  <c r="I67" i="74"/>
  <c r="G70" i="74"/>
  <c r="Q70" i="74" s="1"/>
  <c r="Q83" i="74" s="1"/>
  <c r="Z80" i="155"/>
  <c r="X82" i="155"/>
  <c r="X91" i="155" s="1"/>
  <c r="X81" i="155"/>
  <c r="X90" i="155" s="1"/>
  <c r="A254" i="10"/>
  <c r="AX255" i="10"/>
  <c r="X35" i="155"/>
  <c r="Q67" i="74" l="1"/>
  <c r="K92" i="74" s="1"/>
  <c r="N67" i="74"/>
  <c r="G73" i="74"/>
  <c r="G84" i="74" s="1"/>
  <c r="G86" i="74" s="1"/>
  <c r="X85" i="155"/>
  <c r="Z82" i="155"/>
  <c r="AA82" i="155" s="1"/>
  <c r="Z81" i="155"/>
  <c r="Z90" i="155" s="1"/>
  <c r="AA80" i="155"/>
  <c r="X84" i="155"/>
  <c r="X86" i="155" s="1"/>
  <c r="A255" i="10"/>
  <c r="AX256" i="10"/>
  <c r="I70" i="74"/>
  <c r="Q84" i="74"/>
  <c r="Q82" i="74"/>
  <c r="X36" i="155"/>
  <c r="Z91" i="155" l="1"/>
  <c r="AA81" i="155"/>
  <c r="Z84" i="155"/>
  <c r="Z86" i="155" s="1"/>
  <c r="Z85" i="155"/>
  <c r="AA85" i="155" s="1"/>
  <c r="X88" i="155"/>
  <c r="X87" i="155"/>
  <c r="A256" i="10"/>
  <c r="AX257" i="10"/>
  <c r="AM85" i="74"/>
  <c r="AM90" i="74"/>
  <c r="AP91" i="74" s="1"/>
  <c r="AB70" i="74"/>
  <c r="G88" i="74"/>
  <c r="I73" i="74"/>
  <c r="I84" i="74" s="1"/>
  <c r="S70" i="74"/>
  <c r="V70" i="74"/>
  <c r="M85" i="74"/>
  <c r="X37" i="155"/>
  <c r="Z87" i="155" l="1"/>
  <c r="AA87" i="155" s="1"/>
  <c r="Z88" i="155"/>
  <c r="AA88" i="155" s="1"/>
  <c r="AA86" i="155"/>
  <c r="AX258" i="10"/>
  <c r="A257" i="10"/>
  <c r="S84" i="74"/>
  <c r="S82" i="74"/>
  <c r="U82" i="74" s="1"/>
  <c r="P70" i="74"/>
  <c r="G89" i="74"/>
  <c r="G90" i="74" s="1"/>
  <c r="I86" i="74"/>
  <c r="M84" i="74"/>
  <c r="J85" i="74" s="1"/>
  <c r="K85" i="74" s="1"/>
  <c r="AB84" i="74"/>
  <c r="AB83" i="74"/>
  <c r="AB82" i="74"/>
  <c r="S83" i="74"/>
  <c r="U83" i="74" s="1"/>
  <c r="V86" i="74" s="1"/>
  <c r="AU85" i="74"/>
  <c r="AQ86" i="74"/>
  <c r="AQ85" i="74"/>
  <c r="AQ87" i="74"/>
  <c r="X38" i="155"/>
  <c r="X39" i="155" s="1"/>
  <c r="X40" i="155" s="1"/>
  <c r="O82" i="155" l="1"/>
  <c r="O4" i="155" s="1"/>
  <c r="O88" i="155" s="1"/>
  <c r="E125" i="2" s="1"/>
  <c r="C125" i="2" s="1"/>
  <c r="AX259" i="10"/>
  <c r="A258" i="10"/>
  <c r="Q86" i="74"/>
  <c r="W86" i="74" s="1"/>
  <c r="K35" i="31"/>
  <c r="V85" i="74"/>
  <c r="V83" i="74"/>
  <c r="AO90" i="74"/>
  <c r="AR91" i="74" s="1"/>
  <c r="AU91" i="74" s="1"/>
  <c r="AD70" i="74"/>
  <c r="I88" i="74"/>
  <c r="AO85" i="74"/>
  <c r="AL86" i="74"/>
  <c r="A259" i="10" l="1"/>
  <c r="AX260" i="10"/>
  <c r="R86" i="74"/>
  <c r="X86" i="74" s="1"/>
  <c r="AS87" i="74"/>
  <c r="AP87" i="74" s="1"/>
  <c r="AS86" i="74"/>
  <c r="AP86" i="74" s="1"/>
  <c r="AS85" i="74"/>
  <c r="AP85" i="74" s="1"/>
  <c r="AW85" i="74"/>
  <c r="AT85" i="74" s="1"/>
  <c r="AL85" i="74"/>
  <c r="I89" i="74"/>
  <c r="I90" i="74" s="1"/>
  <c r="M90" i="74" s="1"/>
  <c r="AL87" i="74"/>
  <c r="AD83" i="74"/>
  <c r="AF83" i="74" s="1"/>
  <c r="AG86" i="74" s="1"/>
  <c r="AD82" i="74"/>
  <c r="AF82" i="74" s="1"/>
  <c r="AD84" i="74"/>
  <c r="AI37" i="31"/>
  <c r="K37" i="31"/>
  <c r="AN32" i="31" s="1"/>
  <c r="Q85" i="74"/>
  <c r="Q89" i="74" s="1"/>
  <c r="AM88" i="74" l="1"/>
  <c r="S86" i="74"/>
  <c r="Y86" i="74" s="1"/>
  <c r="A260" i="10"/>
  <c r="AX261" i="10"/>
  <c r="W85" i="74"/>
  <c r="R85" i="74" s="1"/>
  <c r="R89" i="74" s="1"/>
  <c r="AI38" i="31"/>
  <c r="Z40" i="31"/>
  <c r="Z41" i="31" s="1"/>
  <c r="AM87" i="74"/>
  <c r="AO88" i="74"/>
  <c r="AN88" i="74"/>
  <c r="AO87" i="74"/>
  <c r="AN87" i="74"/>
  <c r="AN35" i="31"/>
  <c r="AN34" i="31"/>
  <c r="AN33" i="31"/>
  <c r="AG85" i="74"/>
  <c r="AG83" i="74"/>
  <c r="R35" i="31"/>
  <c r="D31" i="104"/>
  <c r="D35" i="104" s="1"/>
  <c r="G37" i="104" s="1"/>
  <c r="M89" i="74"/>
  <c r="J87" i="74" s="1"/>
  <c r="AP88" i="74"/>
  <c r="AB86" i="74"/>
  <c r="AH86" i="74" s="1"/>
  <c r="A261" i="10" l="1"/>
  <c r="AX262" i="10"/>
  <c r="AC86" i="74"/>
  <c r="AI86" i="74" s="1"/>
  <c r="X85" i="74"/>
  <c r="S85" i="74" s="1"/>
  <c r="S89" i="74" s="1"/>
  <c r="AG111" i="146"/>
  <c r="AK37" i="31"/>
  <c r="R37" i="31"/>
  <c r="AP32" i="31" s="1"/>
  <c r="K87" i="74"/>
  <c r="K90" i="74" s="1"/>
  <c r="E23" i="2" s="1"/>
  <c r="J36" i="31"/>
  <c r="U36" i="31" s="1"/>
  <c r="AB85" i="74"/>
  <c r="AB89" i="74" s="1"/>
  <c r="AD86" i="74" l="1"/>
  <c r="AJ86" i="74" s="1"/>
  <c r="A262" i="10"/>
  <c r="AX263" i="10"/>
  <c r="AH85" i="74"/>
  <c r="AC85" i="74" s="1"/>
  <c r="Y85" i="74"/>
  <c r="T85" i="74" s="1"/>
  <c r="C23" i="2"/>
  <c r="AB40" i="31"/>
  <c r="AB41" i="31" s="1"/>
  <c r="AD41" i="31" s="1"/>
  <c r="AK38" i="31"/>
  <c r="AL38" i="31" s="1"/>
  <c r="Y87" i="146"/>
  <c r="AG112" i="146"/>
  <c r="AG116" i="146"/>
  <c r="AF117" i="146" s="1"/>
  <c r="AP35" i="31"/>
  <c r="AP34" i="31"/>
  <c r="AR34" i="31" s="1"/>
  <c r="AS37" i="31" s="1"/>
  <c r="AP33" i="31"/>
  <c r="AR33" i="31" s="1"/>
  <c r="AP37" i="31"/>
  <c r="AX264" i="10" l="1"/>
  <c r="A263" i="10"/>
  <c r="AC89" i="74"/>
  <c r="AI85" i="74"/>
  <c r="AD85" i="74" s="1"/>
  <c r="AD89" i="74" s="1"/>
  <c r="AF41" i="31"/>
  <c r="AE41" i="31"/>
  <c r="AS36" i="31"/>
  <c r="AS34" i="31"/>
  <c r="AN37" i="31"/>
  <c r="AT37" i="31" s="1"/>
  <c r="AO37" i="31" s="1"/>
  <c r="AU37" i="31" s="1"/>
  <c r="AV37" i="31" s="1"/>
  <c r="A264" i="10" l="1"/>
  <c r="AX265" i="10"/>
  <c r="AG41" i="31"/>
  <c r="AJ85" i="74"/>
  <c r="AN36" i="31"/>
  <c r="AN41" i="31" s="1"/>
  <c r="K41" i="31" s="1"/>
  <c r="K42" i="31" s="1"/>
  <c r="K45" i="31" s="1"/>
  <c r="AX266" i="10" l="1"/>
  <c r="A265" i="10"/>
  <c r="AT36" i="31"/>
  <c r="AO36" i="31" s="1"/>
  <c r="AO41" i="31" s="1"/>
  <c r="O41" i="31" s="1"/>
  <c r="O42" i="31" s="1"/>
  <c r="AA45" i="31"/>
  <c r="K51" i="31"/>
  <c r="AA46" i="81"/>
  <c r="AA48" i="81" s="1"/>
  <c r="AA47" i="31"/>
  <c r="AX267" i="10" l="1"/>
  <c r="A266" i="10"/>
  <c r="AU36" i="31"/>
  <c r="AP36" i="31" s="1"/>
  <c r="AP41" i="31" s="1"/>
  <c r="R41" i="31" s="1"/>
  <c r="R42" i="31" s="1"/>
  <c r="K50" i="31"/>
  <c r="K53" i="31"/>
  <c r="X43" i="31"/>
  <c r="O45" i="31"/>
  <c r="Z44" i="31"/>
  <c r="AN45" i="31" l="1"/>
  <c r="AN46" i="31" s="1"/>
  <c r="X164" i="164"/>
  <c r="A267" i="10"/>
  <c r="AX268" i="10"/>
  <c r="AV36" i="31"/>
  <c r="W44" i="31"/>
  <c r="AB45" i="31"/>
  <c r="O51" i="31"/>
  <c r="AB47" i="31"/>
  <c r="AB46" i="81"/>
  <c r="X45" i="31"/>
  <c r="R45" i="31"/>
  <c r="AA44" i="31"/>
  <c r="X54" i="31" l="1"/>
  <c r="W45" i="31"/>
  <c r="AN47" i="31"/>
  <c r="AN48" i="31"/>
  <c r="AX269" i="10"/>
  <c r="A268" i="10"/>
  <c r="AC47" i="31"/>
  <c r="AC45" i="31"/>
  <c r="R51" i="31"/>
  <c r="F50" i="31" s="1"/>
  <c r="E50" i="31" s="1"/>
  <c r="J48" i="31" s="1"/>
  <c r="AE50" i="31"/>
  <c r="AC46" i="81"/>
  <c r="AC48" i="81" s="1"/>
  <c r="O50" i="31"/>
  <c r="O53" i="31"/>
  <c r="T42" i="81"/>
  <c r="K42" i="81" s="1"/>
  <c r="R42" i="81" s="1"/>
  <c r="R50" i="81" s="1"/>
  <c r="R52" i="81" s="1"/>
  <c r="E28" i="2" s="1"/>
  <c r="AB48" i="81"/>
  <c r="Y164" i="164" l="1"/>
  <c r="A269" i="10"/>
  <c r="AX270" i="10"/>
  <c r="A270" i="10" s="1"/>
  <c r="AB53" i="31"/>
  <c r="AB54" i="31" s="1"/>
  <c r="AO45" i="31"/>
  <c r="R50" i="31"/>
  <c r="C50" i="31" s="1"/>
  <c r="C48" i="31" s="1"/>
  <c r="G149" i="2" s="1"/>
  <c r="R53" i="31"/>
  <c r="C28" i="2"/>
  <c r="AD48" i="81"/>
  <c r="Z48" i="81" s="1"/>
  <c r="Z164" i="164" l="1"/>
  <c r="A8" i="9"/>
  <c r="A32" i="9"/>
  <c r="A61" i="9"/>
  <c r="A10" i="9"/>
  <c r="A12" i="9"/>
  <c r="A21" i="9"/>
  <c r="A23" i="9"/>
  <c r="A63" i="9"/>
  <c r="A64" i="9"/>
  <c r="A43" i="9"/>
  <c r="A55" i="9"/>
  <c r="A35" i="9"/>
  <c r="A17" i="9"/>
  <c r="A24" i="9"/>
  <c r="A47" i="9"/>
  <c r="A11" i="9"/>
  <c r="A44" i="9"/>
  <c r="A28" i="9"/>
  <c r="A54" i="9"/>
  <c r="A38" i="9"/>
  <c r="A46" i="9"/>
  <c r="A14" i="9"/>
  <c r="A15" i="9"/>
  <c r="A19" i="9"/>
  <c r="A40" i="9"/>
  <c r="A9" i="9"/>
  <c r="A41" i="9"/>
  <c r="A65" i="9"/>
  <c r="A30" i="9"/>
  <c r="A57" i="9"/>
  <c r="A37" i="9"/>
  <c r="A27" i="9"/>
  <c r="A33" i="9"/>
  <c r="A25" i="9"/>
  <c r="A29" i="9"/>
  <c r="A6" i="9"/>
  <c r="A18" i="9"/>
  <c r="A52" i="9"/>
  <c r="A59" i="9"/>
  <c r="A53" i="9"/>
  <c r="A60" i="9"/>
  <c r="A45" i="9"/>
  <c r="A42" i="9"/>
  <c r="A50" i="9"/>
  <c r="A51" i="9"/>
  <c r="A13" i="9"/>
  <c r="A7" i="9"/>
  <c r="A62" i="9"/>
  <c r="A48" i="9"/>
  <c r="A49" i="9"/>
  <c r="A58" i="9"/>
  <c r="A56" i="9"/>
  <c r="A66" i="9"/>
  <c r="A26" i="9"/>
  <c r="A34" i="9"/>
  <c r="A16" i="9"/>
  <c r="A20" i="9"/>
  <c r="A36" i="9"/>
  <c r="A39" i="9"/>
  <c r="A31" i="9"/>
  <c r="A22" i="9"/>
  <c r="D149" i="2"/>
  <c r="G155" i="2"/>
  <c r="AP45" i="31"/>
  <c r="AC53" i="31"/>
  <c r="AC54" i="31" s="1"/>
  <c r="AD54" i="31" s="1"/>
  <c r="AO48" i="31"/>
  <c r="AO47" i="31"/>
  <c r="AO46" i="31"/>
  <c r="G31" i="9" l="1"/>
  <c r="Q31" i="9" s="1"/>
  <c r="E31" i="9"/>
  <c r="C31" i="9"/>
  <c r="K31" i="9" s="1"/>
  <c r="F31" i="9"/>
  <c r="R31" i="9" s="1"/>
  <c r="C56" i="9"/>
  <c r="K56" i="9" s="1"/>
  <c r="G56" i="9"/>
  <c r="F56" i="9"/>
  <c r="R56" i="9" s="1"/>
  <c r="Q56" i="9"/>
  <c r="E56" i="9"/>
  <c r="F50" i="9"/>
  <c r="R50" i="9" s="1"/>
  <c r="Q50" i="9"/>
  <c r="E50" i="9"/>
  <c r="C50" i="9"/>
  <c r="K50" i="9" s="1"/>
  <c r="G50" i="9"/>
  <c r="F6" i="9"/>
  <c r="R6" i="9" s="1"/>
  <c r="Q6" i="9"/>
  <c r="E6" i="9"/>
  <c r="G6" i="9"/>
  <c r="C6" i="9"/>
  <c r="K6" i="9" s="1"/>
  <c r="G65" i="9"/>
  <c r="F65" i="9"/>
  <c r="R65" i="9" s="1"/>
  <c r="Q65" i="9"/>
  <c r="C65" i="9"/>
  <c r="K65" i="9" s="1"/>
  <c r="E65" i="9"/>
  <c r="C38" i="9"/>
  <c r="K38" i="9" s="1"/>
  <c r="E38" i="9"/>
  <c r="F38" i="9"/>
  <c r="R38" i="9" s="1"/>
  <c r="G38" i="9"/>
  <c r="Q38" i="9" s="1"/>
  <c r="E35" i="9"/>
  <c r="F35" i="9"/>
  <c r="R35" i="9" s="1"/>
  <c r="C35" i="9"/>
  <c r="K35" i="9" s="1"/>
  <c r="G35" i="9"/>
  <c r="Q35" i="9"/>
  <c r="G10" i="9"/>
  <c r="Q10" i="9" s="1"/>
  <c r="E10" i="9"/>
  <c r="F10" i="9"/>
  <c r="R10" i="9" s="1"/>
  <c r="C10" i="9"/>
  <c r="K10" i="9" s="1"/>
  <c r="F39" i="9"/>
  <c r="R39" i="9" s="1"/>
  <c r="C39" i="9"/>
  <c r="K39" i="9" s="1"/>
  <c r="G39" i="9"/>
  <c r="Q39" i="9" s="1"/>
  <c r="E39" i="9"/>
  <c r="G58" i="9"/>
  <c r="C58" i="9"/>
  <c r="K58" i="9" s="1"/>
  <c r="F58" i="9"/>
  <c r="R58" i="9" s="1"/>
  <c r="Q58" i="9"/>
  <c r="E58" i="9"/>
  <c r="Q42" i="9"/>
  <c r="E42" i="9"/>
  <c r="G42" i="9"/>
  <c r="C42" i="9"/>
  <c r="K42" i="9" s="1"/>
  <c r="F42" i="9"/>
  <c r="R42" i="9" s="1"/>
  <c r="E29" i="9"/>
  <c r="F29" i="9"/>
  <c r="R29" i="9" s="1"/>
  <c r="C29" i="9"/>
  <c r="K29" i="9" s="1"/>
  <c r="G29" i="9"/>
  <c r="Q29" i="9" s="1"/>
  <c r="C41" i="9"/>
  <c r="K41" i="9" s="1"/>
  <c r="E41" i="9"/>
  <c r="F41" i="9"/>
  <c r="R41" i="9" s="1"/>
  <c r="Q41" i="9"/>
  <c r="G41" i="9"/>
  <c r="Q54" i="9"/>
  <c r="E54" i="9"/>
  <c r="F54" i="9"/>
  <c r="R54" i="9" s="1"/>
  <c r="G54" i="9"/>
  <c r="C54" i="9"/>
  <c r="K54" i="9" s="1"/>
  <c r="Q55" i="9"/>
  <c r="G55" i="9"/>
  <c r="F55" i="9"/>
  <c r="R55" i="9" s="1"/>
  <c r="E55" i="9"/>
  <c r="C55" i="9"/>
  <c r="K55" i="9" s="1"/>
  <c r="F61" i="9"/>
  <c r="R61" i="9" s="1"/>
  <c r="Q61" i="9"/>
  <c r="E61" i="9"/>
  <c r="C61" i="9"/>
  <c r="K61" i="9" s="1"/>
  <c r="G61" i="9"/>
  <c r="G36" i="9"/>
  <c r="Q36" i="9" s="1"/>
  <c r="E36" i="9"/>
  <c r="F36" i="9"/>
  <c r="R36" i="9" s="1"/>
  <c r="C36" i="9"/>
  <c r="K36" i="9" s="1"/>
  <c r="C26" i="9"/>
  <c r="K26" i="9" s="1"/>
  <c r="F26" i="9"/>
  <c r="R26" i="9" s="1"/>
  <c r="E26" i="9"/>
  <c r="G26" i="9"/>
  <c r="Q26" i="9" s="1"/>
  <c r="Q49" i="9"/>
  <c r="E49" i="9"/>
  <c r="G49" i="9"/>
  <c r="F49" i="9"/>
  <c r="R49" i="9" s="1"/>
  <c r="C49" i="9"/>
  <c r="K49" i="9" s="1"/>
  <c r="C13" i="9"/>
  <c r="K13" i="9" s="1"/>
  <c r="F13" i="9"/>
  <c r="R13" i="9" s="1"/>
  <c r="E13" i="9"/>
  <c r="G13" i="9"/>
  <c r="Q13" i="9" s="1"/>
  <c r="C45" i="9"/>
  <c r="K45" i="9" s="1"/>
  <c r="F45" i="9"/>
  <c r="R45" i="9" s="1"/>
  <c r="E45" i="9"/>
  <c r="G45" i="9"/>
  <c r="Q45" i="9"/>
  <c r="E52" i="9"/>
  <c r="C52" i="9"/>
  <c r="K52" i="9" s="1"/>
  <c r="Q52" i="9"/>
  <c r="F52" i="9"/>
  <c r="R52" i="9" s="1"/>
  <c r="G52" i="9"/>
  <c r="Q25" i="9"/>
  <c r="E25" i="9"/>
  <c r="C25" i="9"/>
  <c r="K25" i="9" s="1"/>
  <c r="F25" i="9"/>
  <c r="R25" i="9" s="1"/>
  <c r="G25" i="9"/>
  <c r="C57" i="9"/>
  <c r="K57" i="9" s="1"/>
  <c r="E57" i="9"/>
  <c r="F57" i="9"/>
  <c r="R57" i="9" s="1"/>
  <c r="G57" i="9"/>
  <c r="Q57" i="9"/>
  <c r="E9" i="9"/>
  <c r="C9" i="9"/>
  <c r="K9" i="9" s="1"/>
  <c r="G9" i="9"/>
  <c r="Q9" i="9"/>
  <c r="F9" i="9"/>
  <c r="R9" i="9" s="1"/>
  <c r="G14" i="9"/>
  <c r="Q14" i="9" s="1"/>
  <c r="F14" i="9"/>
  <c r="R14" i="9" s="1"/>
  <c r="C14" i="9"/>
  <c r="K14" i="9" s="1"/>
  <c r="E14" i="9"/>
  <c r="E28" i="9"/>
  <c r="G28" i="9"/>
  <c r="Q28" i="9" s="1"/>
  <c r="C28" i="9"/>
  <c r="K28" i="9" s="1"/>
  <c r="F28" i="9"/>
  <c r="R28" i="9" s="1"/>
  <c r="F24" i="9"/>
  <c r="R24" i="9" s="1"/>
  <c r="C24" i="9"/>
  <c r="K24" i="9" s="1"/>
  <c r="G24" i="9"/>
  <c r="Q24" i="9" s="1"/>
  <c r="E24" i="9"/>
  <c r="C43" i="9"/>
  <c r="K43" i="9" s="1"/>
  <c r="E43" i="9"/>
  <c r="G43" i="9"/>
  <c r="F43" i="9"/>
  <c r="R43" i="9" s="1"/>
  <c r="Q43" i="9"/>
  <c r="E21" i="9"/>
  <c r="Q21" i="9"/>
  <c r="G21" i="9"/>
  <c r="C21" i="9"/>
  <c r="K21" i="9" s="1"/>
  <c r="F21" i="9"/>
  <c r="R21" i="9" s="1"/>
  <c r="E32" i="9"/>
  <c r="C32" i="9"/>
  <c r="K32" i="9" s="1"/>
  <c r="G32" i="9"/>
  <c r="Q32" i="9" s="1"/>
  <c r="F32" i="9"/>
  <c r="R32" i="9" s="1"/>
  <c r="C16" i="9"/>
  <c r="K16" i="9" s="1"/>
  <c r="E16" i="9"/>
  <c r="G16" i="9"/>
  <c r="Q16" i="9" s="1"/>
  <c r="F16" i="9"/>
  <c r="R16" i="9" s="1"/>
  <c r="G62" i="9"/>
  <c r="E62" i="9"/>
  <c r="C62" i="9"/>
  <c r="K62" i="9" s="1"/>
  <c r="Q62" i="9"/>
  <c r="F62" i="9"/>
  <c r="R62" i="9" s="1"/>
  <c r="C53" i="9"/>
  <c r="K53" i="9" s="1"/>
  <c r="F53" i="9"/>
  <c r="R53" i="9" s="1"/>
  <c r="E53" i="9"/>
  <c r="G53" i="9"/>
  <c r="Q53" i="9"/>
  <c r="F27" i="9"/>
  <c r="R27" i="9" s="1"/>
  <c r="C27" i="9"/>
  <c r="K27" i="9" s="1"/>
  <c r="G27" i="9"/>
  <c r="Q27" i="9" s="1"/>
  <c r="E27" i="9"/>
  <c r="C19" i="9"/>
  <c r="K19" i="9" s="1"/>
  <c r="E19" i="9"/>
  <c r="G19" i="9"/>
  <c r="Q19" i="9" s="1"/>
  <c r="F19" i="9"/>
  <c r="R19" i="9" s="1"/>
  <c r="E11" i="9"/>
  <c r="G11" i="9"/>
  <c r="Q11" i="9" s="1"/>
  <c r="F11" i="9"/>
  <c r="R11" i="9" s="1"/>
  <c r="C11" i="9"/>
  <c r="K11" i="9" s="1"/>
  <c r="F63" i="9"/>
  <c r="R63" i="9" s="1"/>
  <c r="Q63" i="9"/>
  <c r="E63" i="9"/>
  <c r="G63" i="9"/>
  <c r="C63" i="9"/>
  <c r="K63" i="9" s="1"/>
  <c r="F34" i="9"/>
  <c r="R34" i="9" s="1"/>
  <c r="C34" i="9"/>
  <c r="K34" i="9" s="1"/>
  <c r="G34" i="9"/>
  <c r="Q34" i="9" s="1"/>
  <c r="E34" i="9"/>
  <c r="F7" i="9"/>
  <c r="R7" i="9" s="1"/>
  <c r="G7" i="9"/>
  <c r="C7" i="9"/>
  <c r="K7" i="9" s="1"/>
  <c r="Q7" i="9"/>
  <c r="E7" i="9"/>
  <c r="Q59" i="9"/>
  <c r="F59" i="9"/>
  <c r="R59" i="9" s="1"/>
  <c r="G59" i="9"/>
  <c r="E59" i="9"/>
  <c r="C59" i="9"/>
  <c r="K59" i="9" s="1"/>
  <c r="F37" i="9"/>
  <c r="R37" i="9" s="1"/>
  <c r="E37" i="9"/>
  <c r="G37" i="9"/>
  <c r="Q37" i="9" s="1"/>
  <c r="C37" i="9"/>
  <c r="K37" i="9" s="1"/>
  <c r="G15" i="9"/>
  <c r="Q15" i="9" s="1"/>
  <c r="C15" i="9"/>
  <c r="K15" i="9" s="1"/>
  <c r="F15" i="9"/>
  <c r="R15" i="9" s="1"/>
  <c r="E15" i="9"/>
  <c r="Q47" i="9"/>
  <c r="F47" i="9"/>
  <c r="R47" i="9" s="1"/>
  <c r="C47" i="9"/>
  <c r="K47" i="9" s="1"/>
  <c r="E47" i="9"/>
  <c r="G47" i="9"/>
  <c r="C23" i="9"/>
  <c r="K23" i="9" s="1"/>
  <c r="F23" i="9"/>
  <c r="R23" i="9" s="1"/>
  <c r="E23" i="9"/>
  <c r="G23" i="9"/>
  <c r="Q23" i="9" s="1"/>
  <c r="G22" i="9"/>
  <c r="Q22" i="9" s="1"/>
  <c r="C22" i="9"/>
  <c r="K22" i="9" s="1"/>
  <c r="F22" i="9"/>
  <c r="R22" i="9" s="1"/>
  <c r="E22" i="9"/>
  <c r="F20" i="9"/>
  <c r="R20" i="9" s="1"/>
  <c r="G20" i="9"/>
  <c r="Q20" i="9" s="1"/>
  <c r="E20" i="9"/>
  <c r="C20" i="9"/>
  <c r="K20" i="9" s="1"/>
  <c r="E66" i="9"/>
  <c r="C66" i="9"/>
  <c r="K66" i="9" s="1"/>
  <c r="G66" i="9"/>
  <c r="Q66" i="9"/>
  <c r="F66" i="9"/>
  <c r="R66" i="9" s="1"/>
  <c r="C48" i="9"/>
  <c r="K48" i="9" s="1"/>
  <c r="G48" i="9"/>
  <c r="Q48" i="9"/>
  <c r="F48" i="9"/>
  <c r="R48" i="9" s="1"/>
  <c r="E48" i="9"/>
  <c r="G51" i="9"/>
  <c r="Q51" i="9"/>
  <c r="C51" i="9"/>
  <c r="K51" i="9" s="1"/>
  <c r="F51" i="9"/>
  <c r="R51" i="9" s="1"/>
  <c r="E51" i="9"/>
  <c r="C60" i="9"/>
  <c r="K60" i="9" s="1"/>
  <c r="G60" i="9"/>
  <c r="Q60" i="9"/>
  <c r="F60" i="9"/>
  <c r="R60" i="9" s="1"/>
  <c r="E60" i="9"/>
  <c r="C18" i="9"/>
  <c r="K18" i="9" s="1"/>
  <c r="G18" i="9"/>
  <c r="Q18" i="9" s="1"/>
  <c r="E18" i="9"/>
  <c r="F18" i="9"/>
  <c r="R18" i="9" s="1"/>
  <c r="F33" i="9"/>
  <c r="R33" i="9" s="1"/>
  <c r="G33" i="9"/>
  <c r="Q33" i="9" s="1"/>
  <c r="C33" i="9"/>
  <c r="K33" i="9" s="1"/>
  <c r="E33" i="9"/>
  <c r="C30" i="9"/>
  <c r="K30" i="9" s="1"/>
  <c r="G30" i="9"/>
  <c r="Q30" i="9" s="1"/>
  <c r="E30" i="9"/>
  <c r="F30" i="9"/>
  <c r="R30" i="9" s="1"/>
  <c r="C40" i="9"/>
  <c r="K40" i="9" s="1"/>
  <c r="G40" i="9"/>
  <c r="Q40" i="9" s="1"/>
  <c r="F40" i="9"/>
  <c r="R40" i="9" s="1"/>
  <c r="E40" i="9"/>
  <c r="C46" i="9"/>
  <c r="K46" i="9" s="1"/>
  <c r="Q46" i="9"/>
  <c r="E46" i="9"/>
  <c r="F46" i="9"/>
  <c r="R46" i="9" s="1"/>
  <c r="G46" i="9"/>
  <c r="C44" i="9"/>
  <c r="K44" i="9" s="1"/>
  <c r="F44" i="9"/>
  <c r="R44" i="9" s="1"/>
  <c r="Q44" i="9"/>
  <c r="G44" i="9"/>
  <c r="E44" i="9"/>
  <c r="C17" i="9"/>
  <c r="K17" i="9" s="1"/>
  <c r="Q17" i="9"/>
  <c r="E17" i="9"/>
  <c r="G17" i="9"/>
  <c r="F17" i="9"/>
  <c r="R17" i="9" s="1"/>
  <c r="F64" i="9"/>
  <c r="R64" i="9" s="1"/>
  <c r="G64" i="9"/>
  <c r="Q64" i="9"/>
  <c r="C64" i="9"/>
  <c r="K64" i="9" s="1"/>
  <c r="E64" i="9"/>
  <c r="E12" i="9"/>
  <c r="G12" i="9"/>
  <c r="Q12" i="9" s="1"/>
  <c r="C12" i="9"/>
  <c r="K12" i="9" s="1"/>
  <c r="F12" i="9"/>
  <c r="R12" i="9" s="1"/>
  <c r="C8" i="9"/>
  <c r="K8" i="9" s="1"/>
  <c r="E8" i="9"/>
  <c r="G8" i="9"/>
  <c r="Q8" i="9"/>
  <c r="F8" i="9"/>
  <c r="R8" i="9" s="1"/>
  <c r="AE54" i="31"/>
  <c r="AF54" i="31"/>
  <c r="AP47" i="31"/>
  <c r="AR47" i="31" s="1"/>
  <c r="AS50" i="31" s="1"/>
  <c r="AP46" i="31"/>
  <c r="AR46" i="31" s="1"/>
  <c r="AP48" i="31"/>
  <c r="S42" i="9" l="1"/>
  <c r="S55" i="9"/>
  <c r="S10" i="9"/>
  <c r="U10" i="9" s="1"/>
  <c r="AN50" i="31"/>
  <c r="AT50" i="31" s="1"/>
  <c r="AO50" i="31" s="1"/>
  <c r="AU50" i="31" s="1"/>
  <c r="S22" i="9"/>
  <c r="U22" i="9" s="1"/>
  <c r="S51" i="9"/>
  <c r="T51" i="9" s="1"/>
  <c r="S17" i="9"/>
  <c r="T17" i="9" s="1"/>
  <c r="S23" i="9"/>
  <c r="U23" i="9" s="1"/>
  <c r="S8" i="9"/>
  <c r="U8" i="9" s="1"/>
  <c r="S48" i="9"/>
  <c r="U48" i="9" s="1"/>
  <c r="S66" i="9"/>
  <c r="T66" i="9" s="1"/>
  <c r="S44" i="9"/>
  <c r="T44" i="9" s="1"/>
  <c r="S11" i="9"/>
  <c r="U11" i="9" s="1"/>
  <c r="S58" i="9"/>
  <c r="S31" i="9"/>
  <c r="T31" i="9" s="1"/>
  <c r="S15" i="9"/>
  <c r="U15" i="9" s="1"/>
  <c r="S54" i="9"/>
  <c r="U54" i="9" s="1"/>
  <c r="S47" i="9"/>
  <c r="U47" i="9" s="1"/>
  <c r="S53" i="9"/>
  <c r="U53" i="9" s="1"/>
  <c r="S40" i="9"/>
  <c r="U40" i="9" s="1"/>
  <c r="S60" i="9"/>
  <c r="T60" i="9" s="1"/>
  <c r="S62" i="9"/>
  <c r="U62" i="9" s="1"/>
  <c r="S45" i="9"/>
  <c r="T45" i="9" s="1"/>
  <c r="S35" i="9"/>
  <c r="T35" i="9" s="1"/>
  <c r="S7" i="9"/>
  <c r="T7" i="9" s="1"/>
  <c r="S34" i="9"/>
  <c r="T34" i="9" s="1"/>
  <c r="S16" i="9"/>
  <c r="U16" i="9" s="1"/>
  <c r="S32" i="9"/>
  <c r="T32" i="9" s="1"/>
  <c r="S14" i="9"/>
  <c r="U14" i="9" s="1"/>
  <c r="S21" i="9"/>
  <c r="S61" i="9"/>
  <c r="S38" i="9"/>
  <c r="S6" i="9"/>
  <c r="R97" i="9"/>
  <c r="S20" i="9"/>
  <c r="S63" i="9"/>
  <c r="S27" i="9"/>
  <c r="S24" i="9"/>
  <c r="S57" i="9"/>
  <c r="S25" i="9"/>
  <c r="S13" i="9"/>
  <c r="S36" i="9"/>
  <c r="S41" i="9"/>
  <c r="S39" i="9"/>
  <c r="O97" i="9"/>
  <c r="D97" i="9" s="1"/>
  <c r="N97" i="9" s="1"/>
  <c r="N103" i="9" s="1"/>
  <c r="N106" i="9" s="1"/>
  <c r="E12" i="2" s="1"/>
  <c r="C12" i="2" s="1"/>
  <c r="S50" i="9"/>
  <c r="S49" i="9"/>
  <c r="K5" i="104"/>
  <c r="M5" i="104" s="1"/>
  <c r="S56" i="9"/>
  <c r="S33" i="9"/>
  <c r="S12" i="9"/>
  <c r="S64" i="9"/>
  <c r="S46" i="9"/>
  <c r="S30" i="9"/>
  <c r="S18" i="9"/>
  <c r="S37" i="9"/>
  <c r="S59" i="9"/>
  <c r="S19" i="9"/>
  <c r="S43" i="9"/>
  <c r="S28" i="9"/>
  <c r="S9" i="9"/>
  <c r="S52" i="9"/>
  <c r="S26" i="9"/>
  <c r="S29" i="9"/>
  <c r="S65" i="9"/>
  <c r="AG54" i="31"/>
  <c r="AS49" i="31"/>
  <c r="AS47" i="31"/>
  <c r="U58" i="9" l="1"/>
  <c r="T58" i="9"/>
  <c r="T42" i="9"/>
  <c r="U42" i="9"/>
  <c r="U55" i="9"/>
  <c r="T55" i="9"/>
  <c r="T48" i="9"/>
  <c r="T47" i="9"/>
  <c r="U51" i="9"/>
  <c r="T10" i="9"/>
  <c r="T22" i="9"/>
  <c r="AP50" i="31"/>
  <c r="AV50" i="31" s="1"/>
  <c r="U17" i="9"/>
  <c r="U45" i="9"/>
  <c r="T53" i="9"/>
  <c r="U44" i="9"/>
  <c r="U32" i="9"/>
  <c r="U35" i="9"/>
  <c r="T14" i="9"/>
  <c r="T54" i="9"/>
  <c r="U7" i="9"/>
  <c r="T23" i="9"/>
  <c r="T11" i="9"/>
  <c r="T15" i="9"/>
  <c r="T40" i="9"/>
  <c r="T8" i="9"/>
  <c r="U31" i="9"/>
  <c r="U60" i="9"/>
  <c r="U66" i="9"/>
  <c r="T62" i="9"/>
  <c r="U34" i="9"/>
  <c r="T16" i="9"/>
  <c r="U65" i="9"/>
  <c r="T65" i="9"/>
  <c r="U59" i="9"/>
  <c r="T59" i="9"/>
  <c r="T41" i="9"/>
  <c r="U41" i="9"/>
  <c r="T29" i="9"/>
  <c r="U29" i="9"/>
  <c r="T28" i="9"/>
  <c r="U28" i="9"/>
  <c r="T37" i="9"/>
  <c r="U37" i="9"/>
  <c r="T64" i="9"/>
  <c r="U64" i="9"/>
  <c r="T33" i="9"/>
  <c r="U33" i="9"/>
  <c r="U36" i="9"/>
  <c r="T36" i="9"/>
  <c r="U25" i="9"/>
  <c r="T25" i="9"/>
  <c r="U38" i="9"/>
  <c r="T38" i="9"/>
  <c r="T6" i="9"/>
  <c r="U6" i="9"/>
  <c r="U26" i="9"/>
  <c r="T26" i="9"/>
  <c r="T43" i="9"/>
  <c r="U43" i="9"/>
  <c r="U18" i="9"/>
  <c r="T18" i="9"/>
  <c r="U12" i="9"/>
  <c r="T12" i="9"/>
  <c r="T56" i="9"/>
  <c r="U56" i="9"/>
  <c r="T13" i="9"/>
  <c r="U13" i="9"/>
  <c r="T57" i="9"/>
  <c r="U57" i="9"/>
  <c r="T27" i="9"/>
  <c r="U27" i="9"/>
  <c r="U20" i="9"/>
  <c r="T20" i="9"/>
  <c r="U61" i="9"/>
  <c r="T61" i="9"/>
  <c r="T9" i="9"/>
  <c r="U9" i="9"/>
  <c r="U46" i="9"/>
  <c r="T46" i="9"/>
  <c r="T49" i="9"/>
  <c r="U49" i="9"/>
  <c r="T52" i="9"/>
  <c r="U52" i="9"/>
  <c r="T19" i="9"/>
  <c r="U19" i="9"/>
  <c r="T30" i="9"/>
  <c r="U30" i="9"/>
  <c r="T50" i="9"/>
  <c r="U50" i="9"/>
  <c r="U39" i="9"/>
  <c r="T39" i="9"/>
  <c r="T24" i="9"/>
  <c r="U24" i="9"/>
  <c r="T63" i="9"/>
  <c r="U63" i="9"/>
  <c r="T21" i="9"/>
  <c r="U21" i="9"/>
  <c r="AN49" i="31"/>
  <c r="AN54" i="31" s="1"/>
  <c r="K54" i="31" s="1"/>
  <c r="AA61" i="31" s="1"/>
  <c r="X165" i="164" l="1"/>
  <c r="X167" i="164" s="1"/>
  <c r="X169" i="164" s="1"/>
  <c r="X171" i="164" s="1"/>
  <c r="K63" i="31"/>
  <c r="AT49" i="31"/>
  <c r="X172" i="164" l="1"/>
  <c r="X174" i="164"/>
  <c r="AO49" i="31"/>
  <c r="AO54" i="31" s="1"/>
  <c r="O54" i="31" s="1"/>
  <c r="Y165" i="164" l="1"/>
  <c r="Y167" i="164" s="1"/>
  <c r="AB62" i="31"/>
  <c r="AU49" i="31"/>
  <c r="AP49" i="31" s="1"/>
  <c r="AP54" i="31" s="1"/>
  <c r="R54" i="31" s="1"/>
  <c r="O56" i="31"/>
  <c r="AB61" i="31" s="1"/>
  <c r="Y168" i="164" l="1"/>
  <c r="Y169" i="164" s="1"/>
  <c r="Y171" i="164" s="1"/>
  <c r="Y174" i="164" s="1"/>
  <c r="AB58" i="31"/>
  <c r="O57" i="31" s="1"/>
  <c r="O63" i="31"/>
  <c r="Z165" i="164"/>
  <c r="Z167" i="164" s="1"/>
  <c r="AV49" i="31"/>
  <c r="X51" i="146"/>
  <c r="S6" i="136"/>
  <c r="R56" i="31"/>
  <c r="AC61" i="31" s="1"/>
  <c r="AC62" i="31"/>
  <c r="AC58" i="31" l="1"/>
  <c r="R57" i="31" s="1"/>
  <c r="Z168" i="164"/>
  <c r="Z169" i="164" s="1"/>
  <c r="Z171" i="164" s="1"/>
  <c r="Z174" i="164" s="1"/>
  <c r="M168" i="164" s="1"/>
  <c r="R63" i="31"/>
  <c r="AF114" i="146"/>
  <c r="AV108" i="146" s="1"/>
  <c r="S59" i="136"/>
  <c r="Y51" i="146"/>
  <c r="Y57" i="146" s="1"/>
  <c r="Y7" i="146" s="1"/>
  <c r="K8" i="146" s="1"/>
  <c r="T6" i="136"/>
  <c r="T20" i="136" s="1"/>
  <c r="S56" i="31"/>
  <c r="U56" i="31" s="1"/>
  <c r="S20" i="136"/>
  <c r="L20" i="136" s="1"/>
  <c r="X57" i="146"/>
  <c r="Y18" i="136" l="1"/>
  <c r="N20" i="136"/>
  <c r="L7" i="146"/>
  <c r="M7" i="146" s="1"/>
  <c r="AV106" i="146"/>
  <c r="Z61" i="31"/>
  <c r="AW111" i="146"/>
  <c r="V116" i="146"/>
  <c r="Q109" i="146" s="1"/>
  <c r="AV110" i="146"/>
  <c r="AW108" i="146"/>
  <c r="AV103" i="146"/>
  <c r="AV107" i="146"/>
  <c r="AW107" i="146"/>
  <c r="AV111" i="146"/>
  <c r="AW105" i="146"/>
  <c r="AW104" i="146"/>
  <c r="AW109" i="146"/>
  <c r="AV105" i="146"/>
  <c r="AW106" i="146"/>
  <c r="AF113" i="146"/>
  <c r="AV109" i="146"/>
  <c r="AV104" i="146"/>
  <c r="AW103" i="146"/>
  <c r="AW110" i="146"/>
  <c r="AG114" i="146"/>
  <c r="B63" i="31"/>
  <c r="U62" i="31" s="1"/>
  <c r="U63" i="31" s="1"/>
  <c r="E149" i="2" s="1"/>
  <c r="C149" i="2" s="1"/>
  <c r="Z51" i="146"/>
  <c r="Z57" i="146" s="1"/>
  <c r="Z7" i="146" s="1"/>
  <c r="U6" i="136"/>
  <c r="U20" i="136" s="1"/>
  <c r="R65" i="146"/>
  <c r="J21" i="136"/>
  <c r="R20" i="136"/>
  <c r="X7" i="146"/>
  <c r="J8" i="146" s="1"/>
  <c r="J94" i="146" s="1"/>
  <c r="M94" i="146" s="1"/>
  <c r="N95" i="146"/>
  <c r="O94" i="146"/>
  <c r="N93" i="146"/>
  <c r="X94" i="146"/>
  <c r="L57" i="146"/>
  <c r="M57" i="146" s="1"/>
  <c r="K21" i="136"/>
  <c r="S65" i="146"/>
  <c r="K65" i="146" l="1"/>
  <c r="AT51" i="136" s="1"/>
  <c r="O104" i="146"/>
  <c r="O103" i="146"/>
  <c r="Q105" i="146"/>
  <c r="Q106" i="146"/>
  <c r="O107" i="146"/>
  <c r="Q108" i="146"/>
  <c r="O111" i="146"/>
  <c r="Q103" i="146"/>
  <c r="O110" i="146"/>
  <c r="O109" i="146"/>
  <c r="Q107" i="146"/>
  <c r="Q104" i="146"/>
  <c r="O105" i="146"/>
  <c r="Q110" i="146"/>
  <c r="O108" i="146"/>
  <c r="O106" i="146"/>
  <c r="Q111" i="146"/>
  <c r="AY105" i="146"/>
  <c r="AY110" i="146"/>
  <c r="AY108" i="146"/>
  <c r="AY111" i="146"/>
  <c r="AX107" i="146"/>
  <c r="AY109" i="146"/>
  <c r="AX111" i="146"/>
  <c r="AX103" i="146"/>
  <c r="AX108" i="146"/>
  <c r="AX106" i="146"/>
  <c r="AG113" i="146"/>
  <c r="W116" i="146"/>
  <c r="AY103" i="146"/>
  <c r="AY106" i="146"/>
  <c r="AX105" i="146"/>
  <c r="AX110" i="146"/>
  <c r="AX104" i="146"/>
  <c r="AY104" i="146"/>
  <c r="AY107" i="146"/>
  <c r="AX109" i="146"/>
  <c r="Q65" i="146"/>
  <c r="O96" i="146"/>
  <c r="N97" i="146" s="1"/>
  <c r="N94" i="146"/>
  <c r="L65" i="146" l="1"/>
  <c r="O65" i="146"/>
  <c r="Z103" i="146"/>
  <c r="AE103" i="146" s="1"/>
  <c r="R106" i="146"/>
  <c r="P108" i="146"/>
  <c r="R111" i="146"/>
  <c r="P110" i="146"/>
  <c r="P107" i="146"/>
  <c r="R107" i="146"/>
  <c r="P106" i="146"/>
  <c r="R108" i="146"/>
  <c r="R109" i="146"/>
  <c r="R103" i="146"/>
  <c r="P103" i="146"/>
  <c r="R110" i="146"/>
  <c r="P105" i="146"/>
  <c r="R105" i="146"/>
  <c r="P104" i="146"/>
  <c r="P109" i="146"/>
  <c r="R104" i="146"/>
  <c r="P111" i="146"/>
  <c r="H111" i="146" s="1"/>
  <c r="H103" i="146" l="1"/>
  <c r="M103" i="146" s="1"/>
  <c r="H108" i="146"/>
  <c r="M108" i="146" s="1"/>
  <c r="H109" i="146"/>
  <c r="M109" i="146" s="1"/>
  <c r="H104" i="146"/>
  <c r="M104" i="146" s="1"/>
  <c r="H106" i="146"/>
  <c r="M106" i="146" s="1"/>
  <c r="H105" i="146"/>
  <c r="M105" i="146" s="1"/>
  <c r="H107" i="146"/>
  <c r="M107" i="146" s="1"/>
  <c r="H110" i="146"/>
  <c r="M110" i="146" s="1"/>
  <c r="Z104" i="146"/>
  <c r="Z105" i="146" s="1"/>
  <c r="M111" i="146"/>
  <c r="L91" i="132"/>
  <c r="E104" i="2" s="1"/>
  <c r="C104" i="2" s="1"/>
  <c r="AE104" i="146" l="1"/>
  <c r="AE105" i="146"/>
  <c r="Z106" i="146"/>
  <c r="M118" i="146"/>
  <c r="M121" i="146" s="1"/>
  <c r="E109" i="2" s="1"/>
  <c r="C109" i="2" s="1"/>
  <c r="K15" i="163"/>
  <c r="K13" i="163"/>
  <c r="Z107" i="146" l="1"/>
  <c r="AE106" i="146"/>
  <c r="L3" i="146"/>
  <c r="Y1" i="136"/>
  <c r="K194" i="163"/>
  <c r="L19" i="136" l="1"/>
  <c r="N19" i="136" s="1"/>
  <c r="N149" i="136" s="1"/>
  <c r="O150" i="136" s="1"/>
  <c r="E108" i="2" s="1"/>
  <c r="C108" i="2" s="1"/>
  <c r="AE107" i="146"/>
  <c r="Z108" i="146"/>
  <c r="K196" i="163"/>
  <c r="E133" i="2" s="1"/>
  <c r="Z109" i="146" l="1"/>
  <c r="AE108" i="146"/>
  <c r="N160" i="136"/>
  <c r="O161" i="136" s="1"/>
  <c r="C133" i="2"/>
  <c r="K2" i="104"/>
  <c r="M2" i="104" s="1"/>
  <c r="E155" i="2"/>
  <c r="B6" i="86" s="1"/>
  <c r="AE109" i="146" l="1"/>
  <c r="Z110" i="146"/>
  <c r="AE110" i="146" l="1"/>
  <c r="Z111" i="146"/>
  <c r="AE111" i="1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6" authorId="0" shapeId="0" xr:uid="{00000000-0006-0000-0700-000001000000}">
      <text>
        <r>
          <rPr>
            <b/>
            <sz val="8"/>
            <color indexed="81"/>
            <rFont val="Tahoma"/>
            <family val="2"/>
          </rPr>
          <t>Insert n/a for not applicable.</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B9" authorId="0" shapeId="0" xr:uid="{00000000-0006-0000-0900-000001000000}">
      <text>
        <r>
          <rPr>
            <b/>
            <sz val="9"/>
            <color indexed="81"/>
            <rFont val="Tahoma"/>
            <family val="2"/>
          </rPr>
          <t>No inflation of the capital expenditure is applicable in respect of assets purchased as from 1 January 2019</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IV1" authorId="0" shapeId="0" xr:uid="{00000000-0006-0000-0C00-000001000000}">
      <text>
        <r>
          <rPr>
            <b/>
            <sz val="8"/>
            <color indexed="81"/>
            <rFont val="Tahoma"/>
            <family val="2"/>
          </rPr>
          <t xml:space="preserve">Choose BPA if benefits under that Act have been claimed and no balancing statement is required.
</t>
        </r>
        <r>
          <rPr>
            <sz val="8"/>
            <color indexed="81"/>
            <rFont val="Tahoma"/>
            <family val="2"/>
          </rPr>
          <t xml:space="preserve">
</t>
        </r>
      </text>
    </comment>
    <comment ref="H3" authorId="1" shapeId="0" xr:uid="{00000000-0006-0000-0C00-000002000000}">
      <text>
        <r>
          <rPr>
            <b/>
            <sz val="8"/>
            <color indexed="81"/>
            <rFont val="Tahoma"/>
            <family val="2"/>
          </rPr>
          <t xml:space="preserve">Proceeds must be reported.  Balancing charges are automatically restricted to the amount of capital allowances claimed.
For motor vehicles see note below. </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Kevin Ellul</author>
  </authors>
  <commentList>
    <comment ref="B3" authorId="0" shapeId="0" xr:uid="{00000000-0006-0000-0D00-000001000000}">
      <text>
        <r>
          <rPr>
            <b/>
            <sz val="8"/>
            <color indexed="81"/>
            <rFont val="Tahoma"/>
            <family val="2"/>
          </rPr>
          <t>Capital allowances are calculated on the written down value of the asset.</t>
        </r>
      </text>
    </comment>
    <comment ref="D3" authorId="0" shapeId="0" xr:uid="{00000000-0006-0000-0D00-000002000000}">
      <text>
        <r>
          <rPr>
            <b/>
            <sz val="8"/>
            <color indexed="81"/>
            <rFont val="Tahoma"/>
            <family val="2"/>
          </rPr>
          <t xml:space="preserve">Year of acquisition and first use.  Y/A when capital allowances first claimed. This year is required only when assets are disposed of.
 </t>
        </r>
        <r>
          <rPr>
            <sz val="8"/>
            <color indexed="81"/>
            <rFont val="Tahoma"/>
            <family val="2"/>
          </rPr>
          <t xml:space="preserve">
</t>
        </r>
      </text>
    </comment>
    <comment ref="E3" authorId="0" shapeId="0" xr:uid="{00000000-0006-0000-0D00-000003000000}">
      <text>
        <r>
          <rPr>
            <b/>
            <sz val="8"/>
            <color indexed="81"/>
            <rFont val="Tahoma"/>
            <family val="2"/>
          </rPr>
          <t>Original cost required if asset disposals are reported.</t>
        </r>
        <r>
          <rPr>
            <sz val="8"/>
            <color indexed="81"/>
            <rFont val="Tahoma"/>
            <family val="2"/>
          </rPr>
          <t xml:space="preserve">
</t>
        </r>
      </text>
    </comment>
    <comment ref="F3" authorId="1" shapeId="0" xr:uid="{00000000-0006-0000-0D00-000004000000}">
      <text>
        <r>
          <rPr>
            <b/>
            <sz val="8"/>
            <color indexed="81"/>
            <rFont val="Tahoma"/>
            <family val="2"/>
          </rPr>
          <t xml:space="preserve">Required.
</t>
        </r>
        <r>
          <rPr>
            <sz val="8"/>
            <color indexed="81"/>
            <rFont val="Tahoma"/>
            <family val="2"/>
          </rPr>
          <t xml:space="preserve">
</t>
        </r>
      </text>
    </comment>
    <comment ref="G3" authorId="1" shapeId="0" xr:uid="{00000000-0006-0000-0D00-000005000000}">
      <text>
        <r>
          <rPr>
            <b/>
            <sz val="8"/>
            <color indexed="81"/>
            <rFont val="Tahoma"/>
            <family val="2"/>
          </rPr>
          <t>Required.</t>
        </r>
        <r>
          <rPr>
            <sz val="8"/>
            <color indexed="81"/>
            <rFont val="Tahoma"/>
            <family val="2"/>
          </rPr>
          <t xml:space="preserve">
</t>
        </r>
      </text>
    </comment>
    <comment ref="H3" authorId="1" shapeId="0" xr:uid="{00000000-0006-0000-0D00-000006000000}">
      <text>
        <r>
          <rPr>
            <b/>
            <sz val="8"/>
            <color indexed="81"/>
            <rFont val="Tahoma"/>
            <family val="2"/>
          </rPr>
          <t>Required!</t>
        </r>
        <r>
          <rPr>
            <sz val="8"/>
            <color indexed="81"/>
            <rFont val="Tahoma"/>
            <family val="2"/>
          </rPr>
          <t xml:space="preserve">
</t>
        </r>
      </text>
    </comment>
    <comment ref="I3" authorId="0" shapeId="0" xr:uid="{00000000-0006-0000-0D00-000007000000}">
      <text>
        <r>
          <rPr>
            <b/>
            <sz val="8"/>
            <color indexed="81"/>
            <rFont val="Tahoma"/>
            <family val="2"/>
          </rPr>
          <t>Required for balancing statement.
KIV statutory restriction for motor vehicles</t>
        </r>
      </text>
    </comment>
    <comment ref="J3" authorId="0" shapeId="0" xr:uid="{00000000-0006-0000-0D00-000008000000}">
      <text>
        <r>
          <rPr>
            <b/>
            <sz val="8"/>
            <color indexed="81"/>
            <rFont val="Tahoma"/>
            <family val="2"/>
          </rPr>
          <t>Required for balancing statement.</t>
        </r>
      </text>
    </comment>
    <comment ref="K3" authorId="0" shapeId="0" xr:uid="{00000000-0006-0000-0D00-000009000000}">
      <text>
        <r>
          <rPr>
            <b/>
            <sz val="8"/>
            <color indexed="81"/>
            <rFont val="Tahoma"/>
            <family val="2"/>
          </rPr>
          <t xml:space="preserve">Input only if the estimated useful life of the asset is more than the minimum set by the wear &amp; tear rules OR the asset description is not listed in the W &amp; T Rules!  Insert a 0 where no capital allowances are claimed for the year.
</t>
        </r>
      </text>
    </comment>
    <comment ref="B71" authorId="0" shapeId="0" xr:uid="{00000000-0006-0000-0D00-00000A000000}">
      <text>
        <r>
          <rPr>
            <b/>
            <sz val="8"/>
            <color indexed="81"/>
            <rFont val="Tahoma"/>
            <family val="2"/>
          </rPr>
          <t>Capital allowances are calculated on the straight line basis [I.e. on cost].</t>
        </r>
        <r>
          <rPr>
            <sz val="8"/>
            <color indexed="81"/>
            <rFont val="Tahoma"/>
            <family val="2"/>
          </rPr>
          <t xml:space="preserve">
</t>
        </r>
      </text>
    </comment>
    <comment ref="D71" authorId="0" shapeId="0" xr:uid="{00000000-0006-0000-0D00-00000B000000}">
      <text>
        <r>
          <rPr>
            <b/>
            <sz val="8"/>
            <color indexed="81"/>
            <rFont val="Tahoma"/>
            <family val="2"/>
          </rPr>
          <t xml:space="preserve">Year of acquisition and first use.  Y/A when capital allowances first claimed.
 </t>
        </r>
        <r>
          <rPr>
            <sz val="8"/>
            <color indexed="81"/>
            <rFont val="Tahoma"/>
            <family val="2"/>
          </rPr>
          <t xml:space="preserve">
</t>
        </r>
      </text>
    </comment>
    <comment ref="E71" authorId="0" shapeId="0" xr:uid="{00000000-0006-0000-0D00-00000C000000}">
      <text>
        <r>
          <rPr>
            <b/>
            <sz val="8"/>
            <color indexed="81"/>
            <rFont val="Tahoma"/>
            <family val="2"/>
          </rPr>
          <t xml:space="preserve">Required
</t>
        </r>
        <r>
          <rPr>
            <sz val="8"/>
            <color indexed="81"/>
            <rFont val="Tahoma"/>
            <family val="2"/>
          </rPr>
          <t xml:space="preserve">
</t>
        </r>
      </text>
    </comment>
    <comment ref="F71" authorId="1" shapeId="0" xr:uid="{00000000-0006-0000-0D00-00000D000000}">
      <text>
        <r>
          <rPr>
            <b/>
            <sz val="8"/>
            <color indexed="81"/>
            <rFont val="Tahoma"/>
            <family val="2"/>
          </rPr>
          <t>Required!</t>
        </r>
      </text>
    </comment>
    <comment ref="G71" authorId="0" shapeId="0" xr:uid="{00000000-0006-0000-0D00-00000E000000}">
      <text>
        <r>
          <rPr>
            <b/>
            <sz val="8"/>
            <color indexed="81"/>
            <rFont val="Tahoma"/>
            <family val="2"/>
          </rPr>
          <t xml:space="preserve">No need to specify whether new or used in the case of Plant and machinery </t>
        </r>
        <r>
          <rPr>
            <b/>
            <u/>
            <sz val="8"/>
            <color indexed="81"/>
            <rFont val="Tahoma"/>
            <family val="2"/>
          </rPr>
          <t>only</t>
        </r>
        <r>
          <rPr>
            <b/>
            <sz val="8"/>
            <color indexed="81"/>
            <rFont val="Tahoma"/>
            <family val="2"/>
          </rPr>
          <t>.</t>
        </r>
        <r>
          <rPr>
            <sz val="8"/>
            <color indexed="81"/>
            <rFont val="Tahoma"/>
            <family val="2"/>
          </rPr>
          <t xml:space="preserve">
</t>
        </r>
      </text>
    </comment>
    <comment ref="I71" authorId="0" shapeId="0" xr:uid="{00000000-0006-0000-0D00-00000F000000}">
      <text>
        <r>
          <rPr>
            <b/>
            <sz val="8"/>
            <color indexed="81"/>
            <rFont val="Tahoma"/>
            <family val="2"/>
          </rPr>
          <t>Required for balancing statement.
KIV statutory restriction for motor vehicles</t>
        </r>
      </text>
    </comment>
    <comment ref="K71" authorId="0" shapeId="0" xr:uid="{00000000-0006-0000-0D00-000010000000}">
      <text>
        <r>
          <rPr>
            <b/>
            <sz val="8"/>
            <color indexed="81"/>
            <rFont val="Tahoma"/>
            <family val="2"/>
          </rPr>
          <t xml:space="preserve">Mandatory in the case of an Investment Services Company!  Otherwise input only if the estimated useful life of the asset is more than the minimum set by the wear &amp; tear rules OR the asset description is not listed in the W &amp; T Rules! Insert 0 where no capital allowances are claimed for the year.
</t>
        </r>
      </text>
    </comment>
    <comment ref="B224" authorId="2" shapeId="0" xr:uid="{00000000-0006-0000-0D00-000011000000}">
      <text>
        <r>
          <rPr>
            <b/>
            <sz val="9"/>
            <color indexed="81"/>
            <rFont val="Tahoma"/>
            <family val="2"/>
          </rPr>
          <t>Indicate building description and location.
[e.g. factory at Bulebel]
The term 'Offices' is defined and tied to specified conditions for entitlement.   See LN 349 of 2016.</t>
        </r>
        <r>
          <rPr>
            <sz val="9"/>
            <color indexed="81"/>
            <rFont val="Tahoma"/>
            <family val="2"/>
          </rPr>
          <t xml:space="preserve">
</t>
        </r>
      </text>
    </comment>
    <comment ref="D224" authorId="2" shapeId="0" xr:uid="{00000000-0006-0000-0D00-000012000000}">
      <text>
        <r>
          <rPr>
            <b/>
            <sz val="9"/>
            <color indexed="81"/>
            <rFont val="Tahoma"/>
            <family val="2"/>
          </rPr>
          <t>Year of acquisition and first use.  Y/A when capital allowances first claimed.</t>
        </r>
        <r>
          <rPr>
            <sz val="9"/>
            <color indexed="81"/>
            <rFont val="Tahoma"/>
            <family val="2"/>
          </rPr>
          <t xml:space="preserve">
</t>
        </r>
      </text>
    </comment>
    <comment ref="E224" authorId="2" shapeId="0" xr:uid="{00000000-0006-0000-0D00-000013000000}">
      <text>
        <r>
          <rPr>
            <b/>
            <sz val="9"/>
            <color indexed="81"/>
            <rFont val="Tahoma"/>
            <family val="2"/>
          </rPr>
          <t>Required</t>
        </r>
        <r>
          <rPr>
            <sz val="9"/>
            <color indexed="81"/>
            <rFont val="Tahoma"/>
            <family val="2"/>
          </rPr>
          <t xml:space="preserve">
</t>
        </r>
      </text>
    </comment>
    <comment ref="G224" authorId="2" shapeId="0" xr:uid="{00000000-0006-0000-0D00-000014000000}">
      <text>
        <r>
          <rPr>
            <b/>
            <sz val="9"/>
            <color indexed="81"/>
            <rFont val="Tahoma"/>
            <family val="2"/>
          </rPr>
          <t>Indicate as NEW to claim Initial Allowance under the ITA.  If Investment Allowance is claimed under BPA include under USED.</t>
        </r>
      </text>
    </comment>
    <comment ref="K224" authorId="2" shapeId="0" xr:uid="{00000000-0006-0000-0D00-000015000000}">
      <text>
        <r>
          <rPr>
            <b/>
            <sz val="9"/>
            <color indexed="81"/>
            <rFont val="Tahoma"/>
            <family val="2"/>
          </rPr>
          <t>Mandatory in the case of an Investment Services Company.  Otherwise input only if the estimated useful life of the asset is more than that prescribed. Insert 0 where no capital allowances are claimed for the 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7" authorId="0" shapeId="0" xr:uid="{00000000-0006-0000-0E00-000001000000}">
      <text>
        <r>
          <rPr>
            <b/>
            <sz val="8"/>
            <color indexed="81"/>
            <rFont val="Tahoma"/>
            <family val="2"/>
          </rPr>
          <t xml:space="preserve">Indicate building description and location.
[e.g. factory at Bulebel]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B10" authorId="0" shapeId="0" xr:uid="{00000000-0006-0000-0F00-000001000000}">
      <text>
        <r>
          <rPr>
            <b/>
            <sz val="8"/>
            <color indexed="81"/>
            <rFont val="Tahoma"/>
            <family val="2"/>
          </rPr>
          <t>Asset description is</t>
        </r>
        <r>
          <rPr>
            <sz val="8"/>
            <color indexed="81"/>
            <rFont val="Tahoma"/>
            <family val="2"/>
          </rPr>
          <t xml:space="preserve"> </t>
        </r>
        <r>
          <rPr>
            <b/>
            <sz val="8"/>
            <color indexed="81"/>
            <rFont val="Tahoma"/>
            <family val="2"/>
          </rPr>
          <t xml:space="preserve">mandatory 
Description and locality required
</t>
        </r>
      </text>
    </comment>
    <comment ref="E10" authorId="0" shapeId="0" xr:uid="{00000000-0006-0000-0F00-000002000000}">
      <text>
        <r>
          <rPr>
            <b/>
            <sz val="8"/>
            <color indexed="81"/>
            <rFont val="Tahoma"/>
            <family val="2"/>
          </rPr>
          <t xml:space="preserve">Basis year
</t>
        </r>
      </text>
    </comment>
    <comment ref="G10" authorId="1" shapeId="0" xr:uid="{00000000-0006-0000-0F00-000003000000}">
      <text>
        <r>
          <rPr>
            <b/>
            <sz val="8"/>
            <color indexed="81"/>
            <rFont val="Tahoma"/>
            <family val="2"/>
          </rPr>
          <t>Required</t>
        </r>
        <r>
          <rPr>
            <sz val="8"/>
            <color indexed="81"/>
            <rFont val="Tahoma"/>
            <family val="2"/>
          </rPr>
          <t xml:space="preserve">
</t>
        </r>
      </text>
    </comment>
    <comment ref="H10" authorId="0" shapeId="0" xr:uid="{00000000-0006-0000-0F00-000004000000}">
      <text>
        <r>
          <rPr>
            <b/>
            <sz val="8"/>
            <color indexed="81"/>
            <rFont val="Tahoma"/>
            <family val="2"/>
          </rPr>
          <t>Required!</t>
        </r>
        <r>
          <rPr>
            <sz val="8"/>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borgm023</author>
    <author>Mario R Borg</author>
  </authors>
  <commentList>
    <comment ref="A70" authorId="0" shapeId="0" xr:uid="{00000000-0006-0000-1000-000001000000}">
      <text>
        <r>
          <rPr>
            <b/>
            <sz val="9"/>
            <color indexed="81"/>
            <rFont val="Tahoma"/>
            <family val="2"/>
          </rPr>
          <t>borgm023: Use this part ONLY when the dividend is from the IPA or MTA of another company.</t>
        </r>
        <r>
          <rPr>
            <sz val="9"/>
            <color indexed="81"/>
            <rFont val="Tahoma"/>
            <family val="2"/>
          </rPr>
          <t xml:space="preserve">
</t>
        </r>
      </text>
    </comment>
    <comment ref="C77" authorId="0" shapeId="0" xr:uid="{00000000-0006-0000-1000-000002000000}">
      <text>
        <r>
          <rPr>
            <b/>
            <sz val="10"/>
            <color indexed="81"/>
            <rFont val="Tahoma"/>
            <family val="2"/>
          </rPr>
          <t>Dividends that are allocated to the FTA have to be reported net of tax.</t>
        </r>
        <r>
          <rPr>
            <sz val="10"/>
            <color indexed="81"/>
            <rFont val="Tahoma"/>
            <family val="2"/>
          </rPr>
          <t xml:space="preserve">
</t>
        </r>
      </text>
    </comment>
    <comment ref="G77" authorId="1" shapeId="0" xr:uid="{00000000-0006-0000-1000-000003000000}">
      <text>
        <r>
          <rPr>
            <b/>
            <sz val="8"/>
            <color indexed="81"/>
            <rFont val="Tahoma"/>
            <family val="2"/>
          </rPr>
          <t>Untaxed dividends included in field 31a on page 3 of the tax return.</t>
        </r>
        <r>
          <rPr>
            <sz val="8"/>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Mario R Borg</author>
    <author>IRD</author>
  </authors>
  <commentList>
    <comment ref="A6" authorId="0" shapeId="0" xr:uid="{00000000-0006-0000-1100-000001000000}">
      <text>
        <r>
          <rPr>
            <b/>
            <sz val="8"/>
            <color indexed="81"/>
            <rFont val="Tahoma"/>
            <family val="2"/>
          </rPr>
          <t>Include here any Investment income as referred to in sub-paragraphs (v), (vi), and (vii) of article 41(a) of the Income Tax Act.</t>
        </r>
      </text>
    </comment>
    <comment ref="B61" authorId="1" shapeId="0" xr:uid="{00000000-0006-0000-1100-000002000000}">
      <text>
        <r>
          <rPr>
            <b/>
            <sz val="8"/>
            <color indexed="81"/>
            <rFont val="Tahoma"/>
            <family val="2"/>
          </rPr>
          <t>Articles 31A to 31C - (property income  subject to FWT). Use TRAs 75 and/or 76.</t>
        </r>
        <r>
          <rPr>
            <sz val="8"/>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D28" authorId="0" shapeId="0" xr:uid="{00000000-0006-0000-1E00-000001000000}">
      <text>
        <r>
          <rPr>
            <b/>
            <sz val="8"/>
            <color indexed="81"/>
            <rFont val="Tahoma"/>
            <family val="2"/>
          </rPr>
          <t>From activities referred to in Regulation 14(6)</t>
        </r>
        <r>
          <rPr>
            <sz val="8"/>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Mario R Borg</author>
    <author>Mario Borg</author>
    <author>Ellul Kevin at CfR</author>
  </authors>
  <commentList>
    <comment ref="M2" authorId="0" shapeId="0" xr:uid="{00000000-0006-0000-1F00-000001000000}">
      <text>
        <r>
          <rPr>
            <b/>
            <sz val="8"/>
            <color indexed="81"/>
            <rFont val="Tahoma"/>
            <family val="2"/>
          </rPr>
          <t>Default Maltese Taxed Account</t>
        </r>
        <r>
          <rPr>
            <sz val="8"/>
            <color indexed="81"/>
            <rFont val="Tahoma"/>
            <family val="2"/>
          </rPr>
          <t xml:space="preserve">
</t>
        </r>
      </text>
    </comment>
    <comment ref="M23" authorId="1" shapeId="0" xr:uid="{00000000-0006-0000-1F00-000002000000}">
      <text>
        <r>
          <rPr>
            <sz val="9"/>
            <color indexed="81"/>
            <rFont val="Tahoma"/>
            <family val="2"/>
          </rPr>
          <t>For tax computation and calculation purposes only.  Ultimately allocated to the Final Tax Account.</t>
        </r>
      </text>
    </comment>
    <comment ref="M41" authorId="2" shapeId="0" xr:uid="{AB523422-F1BC-4283-98F0-622D34B0811B}">
      <text>
        <r>
          <rPr>
            <sz val="9"/>
            <color indexed="81"/>
            <rFont val="Tahoma"/>
            <family val="2"/>
          </rPr>
          <t xml:space="preserve">For tax computation and calculation purposes only.  Ultimately allocated to the Final Tax Account.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26" authorId="0" shapeId="0" xr:uid="{00000000-0006-0000-2200-000001000000}">
      <text>
        <r>
          <rPr>
            <b/>
            <sz val="8"/>
            <color indexed="81"/>
            <rFont val="Tahoma"/>
            <family val="2"/>
          </rPr>
          <t>Cell F 27 is to be used ONLY where all the 19 spaces provided for debtors are used up and is not the total bad debts disclosed in the Income statement.</t>
        </r>
        <r>
          <rPr>
            <sz val="8"/>
            <color indexed="81"/>
            <rFont val="Tahoma"/>
            <family val="2"/>
          </rPr>
          <t xml:space="preserve">
</t>
        </r>
      </text>
    </comment>
    <comment ref="B53" authorId="0" shapeId="0" xr:uid="{00000000-0006-0000-2200-000002000000}">
      <text>
        <r>
          <rPr>
            <b/>
            <sz val="8"/>
            <color indexed="81"/>
            <rFont val="Tahoma"/>
            <family val="2"/>
          </rPr>
          <t xml:space="preserve">Use only where all the 19 spaces provided for debtors are used up. </t>
        </r>
        <r>
          <rPr>
            <sz val="8"/>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5" authorId="0" shapeId="0" xr:uid="{00000000-0006-0000-2400-000001000000}">
      <text>
        <r>
          <rPr>
            <b/>
            <sz val="8"/>
            <color indexed="81"/>
            <rFont val="Tahoma"/>
            <family val="2"/>
          </rPr>
          <t>Are you going to report the actual income and claim back the 3% withholding tax deducted?</t>
        </r>
        <r>
          <rPr>
            <sz val="8"/>
            <color indexed="81"/>
            <rFont val="Tahoma"/>
            <family val="2"/>
          </rPr>
          <t xml:space="preserve">
</t>
        </r>
      </text>
    </comment>
    <comment ref="L27" authorId="0" shapeId="0" xr:uid="{00000000-0006-0000-2400-000002000000}">
      <text>
        <r>
          <rPr>
            <b/>
            <sz val="8"/>
            <color indexed="81"/>
            <rFont val="Tahoma"/>
            <family val="2"/>
          </rPr>
          <t>Rounded to the nearest €1.</t>
        </r>
        <r>
          <rPr>
            <sz val="8"/>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Mario R Borg</author>
    <author>IRD</author>
  </authors>
  <commentList>
    <comment ref="E6" authorId="0" shapeId="0" xr:uid="{00000000-0006-0000-2800-000001000000}">
      <text>
        <r>
          <rPr>
            <sz val="8"/>
            <color indexed="81"/>
            <rFont val="Tahoma"/>
            <family val="2"/>
          </rPr>
          <t xml:space="preserve">Please note that the profit determination may not always be in agreement with the profit derived in the income statement [for example where the property sold has been previously revalued].  In such instances further adjustments may be required on page 3 of the tax return. 
</t>
        </r>
      </text>
    </comment>
    <comment ref="L7" authorId="1" shapeId="0" xr:uid="{00000000-0006-0000-2800-000002000000}">
      <text>
        <r>
          <rPr>
            <sz val="8"/>
            <color indexed="81"/>
            <rFont val="Tahoma"/>
            <family val="2"/>
          </rPr>
          <t xml:space="preserve">Always required or insert 0!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Mario R Borg</author>
    <author>elluk003</author>
  </authors>
  <commentList>
    <comment ref="B22" authorId="0" shapeId="0" xr:uid="{00000000-0006-0000-2900-000001000000}">
      <text>
        <r>
          <rPr>
            <sz val="8"/>
            <color indexed="81"/>
            <rFont val="Tahoma"/>
            <family val="2"/>
          </rPr>
          <t xml:space="preserve">Reg 4(2) and Reg 6 (3)
</t>
        </r>
      </text>
    </comment>
    <comment ref="B32" authorId="1" shapeId="0" xr:uid="{00000000-0006-0000-2900-000002000000}">
      <text>
        <r>
          <rPr>
            <sz val="9"/>
            <color indexed="81"/>
            <rFont val="Tahoma"/>
            <family val="2"/>
          </rPr>
          <t>Tax credit approved in the current year - 
Version 2 of the Incentive Guidelines applicable from 1/1/2012 to 30/6/2014</t>
        </r>
      </text>
    </comment>
    <comment ref="F32" authorId="1" shapeId="0" xr:uid="{00000000-0006-0000-2900-000003000000}">
      <text>
        <r>
          <rPr>
            <sz val="9"/>
            <color indexed="81"/>
            <rFont val="Tahoma"/>
            <family val="2"/>
          </rPr>
          <t xml:space="preserve">Incentive Entitlement Certificate [IEC] -  Reference of project issued under version 2 of the Incentive Guidelines </t>
        </r>
      </text>
    </comment>
    <comment ref="B67" authorId="0" shapeId="0" xr:uid="{00000000-0006-0000-2900-000004000000}">
      <text>
        <r>
          <rPr>
            <sz val="8"/>
            <color indexed="81"/>
            <rFont val="Tahoma"/>
            <family val="2"/>
          </rPr>
          <t xml:space="preserve">Reg 4(2) and Reg 6 (3)
</t>
        </r>
      </text>
    </comment>
    <comment ref="B77" authorId="1" shapeId="0" xr:uid="{00000000-0006-0000-2900-000005000000}">
      <text>
        <r>
          <rPr>
            <sz val="9"/>
            <color indexed="81"/>
            <rFont val="Tahoma"/>
            <family val="2"/>
          </rPr>
          <t>Tax credit approved in the current year - 
Version 2 of the Incentive Guidelines applicable from 1/1/2012 to 30/6/2014</t>
        </r>
      </text>
    </comment>
    <comment ref="F77" authorId="1" shapeId="0" xr:uid="{00000000-0006-0000-2900-000006000000}">
      <text>
        <r>
          <rPr>
            <sz val="9"/>
            <color indexed="81"/>
            <rFont val="Tahoma"/>
            <family val="2"/>
          </rPr>
          <t xml:space="preserve">Incentive Entitlement Certificate [IEC] -  Reference of project issued under version 2 of the Incentive Guidelines </t>
        </r>
      </text>
    </comment>
    <comment ref="B112" authorId="0" shapeId="0" xr:uid="{00000000-0006-0000-2900-000007000000}">
      <text>
        <r>
          <rPr>
            <sz val="8"/>
            <color indexed="81"/>
            <rFont val="Tahoma"/>
            <family val="2"/>
          </rPr>
          <t xml:space="preserve">Reg 4(2) and Reg 6 (3)
</t>
        </r>
      </text>
    </comment>
    <comment ref="B122" authorId="1" shapeId="0" xr:uid="{00000000-0006-0000-2900-000008000000}">
      <text>
        <r>
          <rPr>
            <sz val="9"/>
            <color indexed="81"/>
            <rFont val="Tahoma"/>
            <family val="2"/>
          </rPr>
          <t>Tax credit approved in the current year - 
Version 2 of the Incentive Guidelines applicable from 1/1/2012 to 30/6/2014</t>
        </r>
      </text>
    </comment>
    <comment ref="F122" authorId="1" shapeId="0" xr:uid="{00000000-0006-0000-2900-000009000000}">
      <text>
        <r>
          <rPr>
            <sz val="9"/>
            <color indexed="81"/>
            <rFont val="Tahoma"/>
            <family val="2"/>
          </rPr>
          <t xml:space="preserve">Incentive Entitlement Certificate [IEC] -  Reference of project issued under version 2 of the Incentive Guidelines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H7" authorId="0" shapeId="0" xr:uid="{00000000-0006-0000-2E00-000001000000}">
      <text>
        <r>
          <rPr>
            <sz val="8"/>
            <color indexed="81"/>
            <rFont val="Tahoma"/>
            <family val="2"/>
          </rPr>
          <t xml:space="preserve">If expenditure is reported under different TIFD codes include the code where the highest value is reported. 
</t>
        </r>
      </text>
    </comment>
    <comment ref="C22" authorId="0" shapeId="0" xr:uid="{00000000-0006-0000-2E00-000002000000}">
      <text>
        <r>
          <rPr>
            <sz val="8"/>
            <color indexed="81"/>
            <rFont val="Tahoma"/>
            <family val="2"/>
          </rPr>
          <t xml:space="preserve">Any expenditure in respect of scientific research expensed in the profit and loss account must be added back.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borgm023</author>
    <author>Mario</author>
  </authors>
  <commentList>
    <comment ref="P37" authorId="0" shapeId="0" xr:uid="{00000000-0006-0000-3200-000001000000}">
      <text>
        <r>
          <rPr>
            <sz val="9"/>
            <color indexed="81"/>
            <rFont val="Tahoma"/>
            <family val="2"/>
          </rPr>
          <t xml:space="preserve">Takes account of any taxed income relieved by TCs relocated to the IPA in cell N41.
</t>
        </r>
      </text>
    </comment>
    <comment ref="H48" authorId="1" shapeId="0" xr:uid="{00000000-0006-0000-3200-000002000000}">
      <text>
        <r>
          <rPr>
            <sz val="9"/>
            <color indexed="81"/>
            <rFont val="Tahoma"/>
            <family val="2"/>
          </rPr>
          <t xml:space="preserve">Deduct any income the tax on which was relieved by tax credits that was automatically transposed to this account (cell N30) and now stands to be relocated to the IPA (second allocation).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D14" authorId="0" shapeId="0" xr:uid="{00000000-0006-0000-3300-000001000000}">
      <text>
        <r>
          <rPr>
            <b/>
            <sz val="8"/>
            <color indexed="81"/>
            <rFont val="Tahoma"/>
            <family val="2"/>
          </rPr>
          <t>Net eligible costs computed in accordance with Guidelines</t>
        </r>
        <r>
          <rPr>
            <sz val="8"/>
            <color indexed="81"/>
            <rFont val="Tahoma"/>
            <family val="2"/>
          </rPr>
          <t xml:space="preserve">
</t>
        </r>
      </text>
    </comment>
    <comment ref="E14" authorId="0" shapeId="0" xr:uid="{00000000-0006-0000-33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E38" authorId="0" shapeId="0" xr:uid="{00000000-0006-0000-3400-000001000000}">
      <text>
        <r>
          <rPr>
            <b/>
            <sz val="8"/>
            <color indexed="81"/>
            <rFont val="Tahoma"/>
            <family val="2"/>
          </rPr>
          <t>Expenditure for: 
a)  the acquisition of equipment (including a motor vehicle); and 
b)  additional labour costs, 
as approved by the Standing
Advisory Committee, for the purposes of the home delivery scheme as part of the Pharmacy
of Your Choice scheme.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7" authorId="0" shapeId="0" xr:uid="{00000000-0006-0000-3700-000001000000}">
      <text>
        <r>
          <rPr>
            <b/>
            <sz val="9"/>
            <color indexed="81"/>
            <rFont val="Tahoma"/>
            <family val="2"/>
          </rPr>
          <t xml:space="preserve">In the case of a fiscal unit, please provide aggregate amounts </t>
        </r>
        <r>
          <rPr>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12" authorId="0" shapeId="0" xr:uid="{00000000-0006-0000-3900-000001000000}">
      <text>
        <r>
          <rPr>
            <sz val="10"/>
            <color indexed="81"/>
            <rFont val="Tahoma"/>
            <family val="2"/>
          </rPr>
          <t xml:space="preserve">Do not include in this part tax credits approved and reported in previous years.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G10" authorId="0" shapeId="0" xr:uid="{00000000-0006-0000-3B00-000001000000}">
      <text>
        <r>
          <rPr>
            <sz val="9"/>
            <color indexed="81"/>
            <rFont val="Tahoma"/>
            <family val="2"/>
          </rPr>
          <t>New sub Rule (4).   Insert 0 if not applicable.</t>
        </r>
      </text>
    </comment>
    <comment ref="G64" authorId="0" shapeId="0" xr:uid="{00000000-0006-0000-3B00-000002000000}">
      <text>
        <r>
          <rPr>
            <sz val="9"/>
            <color indexed="81"/>
            <rFont val="Tahoma"/>
            <family val="2"/>
          </rPr>
          <t>New sub Rule (4).   Insert 0 if not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H6" authorId="0" shapeId="0" xr:uid="{00000000-0006-0000-3C00-000001000000}">
      <text>
        <r>
          <rPr>
            <b/>
            <sz val="8"/>
            <color indexed="81"/>
            <rFont val="Arial"/>
            <family val="2"/>
          </rPr>
          <t>State whether the amount is reflected in Net Income or Loss before tax (TIFD code 7050)</t>
        </r>
        <r>
          <rPr>
            <sz val="10"/>
            <color indexed="81"/>
            <rFont val="Tahoma"/>
            <family val="2"/>
          </rPr>
          <t xml:space="preserve">
</t>
        </r>
      </text>
    </comment>
    <comment ref="I6" authorId="0" shapeId="0" xr:uid="{00000000-0006-0000-3C00-000002000000}">
      <text>
        <r>
          <rPr>
            <b/>
            <sz val="8"/>
            <color indexed="81"/>
            <rFont val="Arial"/>
            <family val="2"/>
          </rPr>
          <t>To add back in TRA 60 and subsequently reflected on Page 3 of tax return.</t>
        </r>
        <r>
          <rPr>
            <sz val="10"/>
            <color indexed="81"/>
            <rFont val="Arial"/>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C59" authorId="0" shapeId="0" xr:uid="{00000000-0006-0000-4500-000001000000}">
      <text>
        <r>
          <rPr>
            <sz val="8"/>
            <color indexed="81"/>
            <rFont val="Tahoma"/>
            <family val="2"/>
          </rPr>
          <t xml:space="preserve">Required if TIN is not available.
</t>
        </r>
      </text>
    </comment>
    <comment ref="J59" authorId="1" shapeId="0" xr:uid="{00000000-0006-0000-4500-000002000000}">
      <text>
        <r>
          <rPr>
            <b/>
            <sz val="10"/>
            <color indexed="81"/>
            <rFont val="Tahoma"/>
            <family val="2"/>
          </rPr>
          <t>If not applicable please insert 0!</t>
        </r>
        <r>
          <rPr>
            <sz val="10"/>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Mario R Borg</author>
    <author>Mario</author>
  </authors>
  <commentList>
    <comment ref="M53" authorId="0" shapeId="0" xr:uid="{00000000-0006-0000-4C00-000001000000}">
      <text>
        <r>
          <rPr>
            <sz val="8"/>
            <color indexed="81"/>
            <rFont val="Tahoma"/>
            <family val="2"/>
          </rPr>
          <t xml:space="preserve">Please note that the profit determination may not always be in agreement with the profit derived in the income statement [for example where the property sold has been previously revalued].  In such instances further adjustments may be required on page 3 of the tax return. 
</t>
        </r>
      </text>
    </comment>
    <comment ref="G57" authorId="1" shapeId="0" xr:uid="{00000000-0006-0000-4C00-000002000000}">
      <text>
        <r>
          <rPr>
            <sz val="9"/>
            <color indexed="81"/>
            <rFont val="Tahoma"/>
            <family val="2"/>
          </rPr>
          <t xml:space="preserve">Do not include depreciation here.  It will be added back in total on page 3.
</t>
        </r>
      </text>
    </comment>
    <comment ref="G59" authorId="1" shapeId="0" xr:uid="{00000000-0006-0000-4C00-000003000000}">
      <text>
        <r>
          <rPr>
            <sz val="9"/>
            <color indexed="81"/>
            <rFont val="Tahoma"/>
            <family val="2"/>
          </rPr>
          <t xml:space="preserve">Insert 0 for y/a 2016
</t>
        </r>
      </text>
    </comment>
    <comment ref="G60" authorId="1" shapeId="0" xr:uid="{00000000-0006-0000-4C00-000004000000}">
      <text>
        <r>
          <rPr>
            <sz val="9"/>
            <color indexed="81"/>
            <rFont val="Tahoma"/>
            <family val="2"/>
          </rPr>
          <t xml:space="preserve">Capital allowances charged here must be allocated to cell J 136 in TRA 5.
</t>
        </r>
      </text>
    </comment>
    <comment ref="G63" authorId="1" shapeId="0" xr:uid="{00000000-0006-0000-4C00-000005000000}">
      <text>
        <r>
          <rPr>
            <sz val="9"/>
            <color indexed="81"/>
            <rFont val="Tahoma"/>
            <family val="2"/>
          </rPr>
          <t xml:space="preserve">Insert 0 for y/a 2016
</t>
        </r>
      </text>
    </comment>
    <comment ref="G73" authorId="1" shapeId="0" xr:uid="{00000000-0006-0000-4C00-000006000000}">
      <text>
        <r>
          <rPr>
            <sz val="9"/>
            <color indexed="81"/>
            <rFont val="Tahoma"/>
            <family val="2"/>
          </rPr>
          <t xml:space="preserve">Insert 0 for y/a 2016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C23" authorId="0" shapeId="0" xr:uid="{00000000-0006-0000-4D00-000001000000}">
      <text>
        <r>
          <rPr>
            <b/>
            <sz val="9"/>
            <color indexed="81"/>
            <rFont val="Tahoma"/>
            <family val="2"/>
          </rPr>
          <t xml:space="preserve">Costs incurred prior to the submission of the application form to the Corporation
</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F15" authorId="0" shapeId="0" xr:uid="{00000000-0006-0000-4E00-000001000000}">
      <text>
        <r>
          <rPr>
            <b/>
            <sz val="8"/>
            <color indexed="81"/>
            <rFont val="Tahoma"/>
            <family val="2"/>
          </rPr>
          <t>Net eligible costs computed in accordance with Guidelines</t>
        </r>
        <r>
          <rPr>
            <sz val="8"/>
            <color indexed="81"/>
            <rFont val="Tahoma"/>
            <family val="2"/>
          </rPr>
          <t xml:space="preserve">
</t>
        </r>
      </text>
    </comment>
    <comment ref="G15" authorId="0" shapeId="0" xr:uid="{00000000-0006-0000-4E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B18" authorId="0" shapeId="0" xr:uid="{00000000-0006-0000-4F00-000001000000}">
      <text>
        <r>
          <rPr>
            <b/>
            <sz val="9"/>
            <color indexed="81"/>
            <rFont val="Tahoma"/>
            <family val="2"/>
          </rPr>
          <t>Eligible costs approved and reported in previous years should not be included in this part.</t>
        </r>
        <r>
          <rPr>
            <sz val="9"/>
            <color indexed="81"/>
            <rFont val="Tahoma"/>
            <family val="2"/>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9" authorId="0" shapeId="0" xr:uid="{00000000-0006-0000-5000-000001000000}">
      <text>
        <r>
          <rPr>
            <sz val="10"/>
            <color indexed="81"/>
            <rFont val="Tahoma"/>
            <family val="2"/>
          </rPr>
          <t xml:space="preserve">Do not include in this part tax credits approved and reported in previous years.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10" authorId="0" shapeId="0" xr:uid="{00000000-0006-0000-5100-000001000000}">
      <text>
        <r>
          <rPr>
            <sz val="10"/>
            <color indexed="81"/>
            <rFont val="Tahoma"/>
            <family val="2"/>
          </rPr>
          <t xml:space="preserve">Do not include in this part tax credits approved and reported in previous years.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Ellul Kevin at CfR</author>
    <author>Mario Borg</author>
    <author>Mario R Borg</author>
  </authors>
  <commentList>
    <comment ref="F10" authorId="0" shapeId="0" xr:uid="{7D4F83F5-2A21-4C7C-B982-BA35D873E5D2}">
      <text>
        <r>
          <rPr>
            <b/>
            <sz val="9"/>
            <color indexed="81"/>
            <rFont val="Tahoma"/>
            <family val="2"/>
          </rPr>
          <t>Refer to point (ii) in the NID guidelines</t>
        </r>
      </text>
    </comment>
    <comment ref="I57" authorId="1" shapeId="0" xr:uid="{00000000-0006-0000-5700-000001000000}">
      <text>
        <r>
          <rPr>
            <b/>
            <sz val="9"/>
            <color indexed="81"/>
            <rFont val="Tahoma"/>
            <family val="2"/>
          </rPr>
          <t xml:space="preserve">The NID deduction claimed for the year is the summation of the NID attaching to </t>
        </r>
        <r>
          <rPr>
            <b/>
            <u/>
            <sz val="9"/>
            <color indexed="81"/>
            <rFont val="Tahoma"/>
            <family val="2"/>
          </rPr>
          <t>each specific source of income</t>
        </r>
        <r>
          <rPr>
            <b/>
            <sz val="9"/>
            <color indexed="81"/>
            <rFont val="Tahoma"/>
            <family val="2"/>
          </rPr>
          <t xml:space="preserve"> to which it refers, after taking into consideration the 90% restriction, where this applies!
</t>
        </r>
      </text>
    </comment>
    <comment ref="D97" authorId="1" shapeId="0" xr:uid="{00000000-0006-0000-5700-000002000000}">
      <text>
        <r>
          <rPr>
            <sz val="9"/>
            <color indexed="81"/>
            <rFont val="Tahoma"/>
            <family val="2"/>
          </rPr>
          <t>If the TIN is not available use the appropriate description in the dropdown.</t>
        </r>
      </text>
    </comment>
    <comment ref="F97" authorId="2" shapeId="0" xr:uid="{00000000-0006-0000-5700-000003000000}">
      <text>
        <r>
          <rPr>
            <sz val="9"/>
            <color indexed="81"/>
            <rFont val="Arial"/>
            <family val="2"/>
          </rPr>
          <t>Required if TIN is not available.</t>
        </r>
        <r>
          <rPr>
            <sz val="8"/>
            <color indexed="81"/>
            <rFont val="Tahoma"/>
            <family val="2"/>
          </rPr>
          <t xml:space="preserve">
</t>
        </r>
      </text>
    </comment>
    <comment ref="I97" authorId="1" shapeId="0" xr:uid="{00000000-0006-0000-5700-000004000000}">
      <text>
        <r>
          <rPr>
            <sz val="9"/>
            <color indexed="81"/>
            <rFont val="Tahoma"/>
            <family val="2"/>
          </rPr>
          <t xml:space="preserve">If the person is a Body of Persons including a Company please insert BODY.
</t>
        </r>
      </text>
    </comment>
    <comment ref="G98" authorId="1" shapeId="0" xr:uid="{00000000-0006-0000-5700-000005000000}">
      <text>
        <r>
          <rPr>
            <sz val="9"/>
            <color indexed="81"/>
            <rFont val="Tahoma"/>
            <family val="2"/>
          </rPr>
          <t xml:space="preserve">In the case of a COMPANY or BODY of PERSONS please insert Not Applicable.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B18" authorId="0" shapeId="0" xr:uid="{00000000-0006-0000-5A00-000001000000}">
      <text>
        <r>
          <rPr>
            <b/>
            <sz val="9"/>
            <color indexed="81"/>
            <rFont val="Tahoma"/>
            <family val="2"/>
          </rPr>
          <t>Eligible costs approved and reported in previous years should not be included in this part.</t>
        </r>
        <r>
          <rPr>
            <sz val="9"/>
            <color indexed="81"/>
            <rFont val="Tahoma"/>
            <family val="2"/>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6" authorId="0" shapeId="0" xr:uid="{00000000-0006-0000-5B00-000001000000}">
      <text>
        <r>
          <rPr>
            <sz val="10"/>
            <color indexed="81"/>
            <rFont val="Tahoma"/>
            <family val="2"/>
          </rPr>
          <t xml:space="preserve">Do not include in this part tax credits approved and reported in previous years.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F15" authorId="0" shapeId="0" xr:uid="{00000000-0006-0000-5C00-000001000000}">
      <text>
        <r>
          <rPr>
            <b/>
            <sz val="8"/>
            <color indexed="81"/>
            <rFont val="Tahoma"/>
            <family val="2"/>
          </rPr>
          <t>Net eligible costs computed in accordance with Guidelines</t>
        </r>
        <r>
          <rPr>
            <sz val="8"/>
            <color indexed="81"/>
            <rFont val="Tahoma"/>
            <family val="2"/>
          </rPr>
          <t xml:space="preserve">
</t>
        </r>
      </text>
    </comment>
    <comment ref="G15" authorId="0" shapeId="0" xr:uid="{00000000-0006-0000-5C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Mario Borg</author>
  </authors>
  <commentList>
    <comment ref="L30" authorId="0" shapeId="0" xr:uid="{D6660541-B096-4D1B-8869-B255099BD00F}">
      <text>
        <r>
          <rPr>
            <sz val="9"/>
            <color indexed="81"/>
            <rFont val="Tahoma"/>
            <family val="2"/>
          </rPr>
          <t xml:space="preserve">If the expenditure creates a loss this has to be restricted in the Net Income figure repored in TRA 13.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J78" authorId="0" shapeId="0" xr:uid="{00000000-0006-0000-6200-000001000000}">
      <text>
        <r>
          <rPr>
            <b/>
            <sz val="9"/>
            <color indexed="81"/>
            <rFont val="Tahoma"/>
            <family val="2"/>
          </rPr>
          <t>Capital gains should not be included</t>
        </r>
        <r>
          <rPr>
            <sz val="9"/>
            <color indexed="81"/>
            <rFont val="Tahoma"/>
            <family val="2"/>
          </rPr>
          <t xml:space="preserve">
</t>
        </r>
      </text>
    </comment>
    <comment ref="L78" authorId="0" shapeId="0" xr:uid="{00000000-0006-0000-6200-000002000000}">
      <text>
        <r>
          <rPr>
            <b/>
            <sz val="9"/>
            <color indexed="81"/>
            <rFont val="Tahoma"/>
            <family val="2"/>
          </rPr>
          <t>SPF - Significant People Function</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Kevin Ellul</author>
    <author>Ellul Kevin at CfR</author>
  </authors>
  <commentList>
    <comment ref="J11" authorId="0" shapeId="0" xr:uid="{00000000-0006-0000-6300-000001000000}">
      <text>
        <r>
          <rPr>
            <b/>
            <sz val="9"/>
            <color indexed="81"/>
            <rFont val="Tahoma"/>
            <family val="2"/>
          </rPr>
          <t xml:space="preserve">Exceeding borrowing costs shall exclude EBC incurred on loans referred to in Regulation 4(4)
</t>
        </r>
      </text>
    </comment>
    <comment ref="M11" authorId="0" shapeId="0" xr:uid="{00000000-0006-0000-6300-000002000000}">
      <text>
        <r>
          <rPr>
            <b/>
            <sz val="9"/>
            <color indexed="81"/>
            <rFont val="Tahoma"/>
            <family val="2"/>
          </rPr>
          <t xml:space="preserve"> If TRA111 is not filled in, unused interest capacity carried forward from this Y/A may only be claimed in subsequent years if a further return in terms of Article 13(3) of the ITMA is filed in respect of this year of assessment</t>
        </r>
        <r>
          <rPr>
            <sz val="9"/>
            <color indexed="81"/>
            <rFont val="Tahoma"/>
            <family val="2"/>
          </rPr>
          <t xml:space="preserve">
</t>
        </r>
      </text>
    </comment>
    <comment ref="D27" authorId="0" shapeId="0" xr:uid="{00000000-0006-0000-6300-000003000000}">
      <text>
        <r>
          <rPr>
            <b/>
            <sz val="9"/>
            <color indexed="81"/>
            <rFont val="Tahoma"/>
            <family val="2"/>
          </rPr>
          <t xml:space="preserve">This shall exclude income arising from a long-term public infrastructure project falling within scope of regulation 4(4)(b)
</t>
        </r>
        <r>
          <rPr>
            <sz val="9"/>
            <color indexed="81"/>
            <rFont val="Tahoma"/>
            <family val="2"/>
          </rPr>
          <t xml:space="preserve">
</t>
        </r>
      </text>
    </comment>
    <comment ref="G40" authorId="1" shapeId="0" xr:uid="{03B6F3A7-8C76-47ED-A931-4FCD02406BAC}">
      <text>
        <r>
          <rPr>
            <b/>
            <sz val="9"/>
            <color indexed="81"/>
            <rFont val="Tahoma"/>
            <family val="2"/>
          </rPr>
          <t>Exceeding borrowing costs shall exclude EBC incurred on loans referred to in Regulation 4(4)</t>
        </r>
        <r>
          <rPr>
            <sz val="9"/>
            <color indexed="81"/>
            <rFont val="Tahoma"/>
            <family val="2"/>
          </rPr>
          <t xml:space="preserve">
</t>
        </r>
      </text>
    </comment>
    <comment ref="I42" authorId="0" shapeId="0" xr:uid="{00000000-0006-0000-6300-000004000000}">
      <text>
        <r>
          <rPr>
            <b/>
            <sz val="9"/>
            <color indexed="81"/>
            <rFont val="Tahoma"/>
            <family val="2"/>
          </rPr>
          <t>This amount cannot exceed the amount of borrowing costs allowable as a deduction against each respective source of income in terms of Article 14 of the ITA</t>
        </r>
        <r>
          <rPr>
            <sz val="9"/>
            <color indexed="81"/>
            <rFont val="Tahoma"/>
            <family val="2"/>
          </rPr>
          <t xml:space="preserve">
</t>
        </r>
      </text>
    </comment>
    <comment ref="L42" authorId="0" shapeId="0" xr:uid="{00000000-0006-0000-6300-000005000000}">
      <text>
        <r>
          <rPr>
            <b/>
            <sz val="9"/>
            <color indexed="81"/>
            <rFont val="Tahoma"/>
            <family val="2"/>
          </rPr>
          <t>Each amount cannot exceed EBC on a source by source basis and the total of such amounts cannot exceed the amount in cell L46</t>
        </r>
        <r>
          <rPr>
            <sz val="9"/>
            <color indexed="81"/>
            <rFont val="Tahoma"/>
            <family val="2"/>
          </rPr>
          <t xml:space="preserve">
</t>
        </r>
      </text>
    </comment>
    <comment ref="N42" authorId="0" shapeId="0" xr:uid="{00000000-0006-0000-6300-000006000000}">
      <text>
        <r>
          <rPr>
            <b/>
            <sz val="9"/>
            <color indexed="81"/>
            <rFont val="Tahoma"/>
            <family val="2"/>
          </rPr>
          <t>Each amount must be a positive amount that cannot exceed the EBC less the actual deductible EBC 
on a source by source basis and the total of such amounts cannot exceed the amount in cell N46</t>
        </r>
        <r>
          <rPr>
            <sz val="9"/>
            <color indexed="81"/>
            <rFont val="Tahoma"/>
            <family val="2"/>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Jean Paul Apap</author>
    <author>Kevin Ellul</author>
  </authors>
  <commentList>
    <comment ref="G12" authorId="0" shapeId="0" xr:uid="{00000000-0006-0000-6400-000001000000}">
      <text>
        <r>
          <rPr>
            <b/>
            <sz val="9"/>
            <color indexed="81"/>
            <rFont val="Tahoma"/>
            <family val="2"/>
          </rPr>
          <t>Corporate tax charge divided by the accounting profits
(based on the best information available at time of submission)</t>
        </r>
      </text>
    </comment>
    <comment ref="H12" authorId="1" shapeId="0" xr:uid="{00000000-0006-0000-6400-000002000000}">
      <text>
        <r>
          <rPr>
            <b/>
            <sz val="9"/>
            <color indexed="81"/>
            <rFont val="Tahoma"/>
            <family val="2"/>
          </rPr>
          <t>NGA refers to non-genuine arrangements put in place for the essential purpose of obtaining a tax advantage</t>
        </r>
      </text>
    </comment>
    <comment ref="J12" authorId="1" shapeId="0" xr:uid="{00000000-0006-0000-6400-000003000000}">
      <text>
        <r>
          <rPr>
            <b/>
            <sz val="9"/>
            <color indexed="81"/>
            <rFont val="Tahoma"/>
            <family val="2"/>
          </rPr>
          <t>Refer to guideline 13.3</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I14" authorId="0" shapeId="0" xr:uid="{00000000-0006-0000-6600-000001000000}">
      <text>
        <r>
          <rPr>
            <sz val="9"/>
            <color rgb="FF000000"/>
            <rFont val="Tahoma"/>
            <family val="2"/>
          </rPr>
          <t>The tax credit may be claimed against tax payable on the chargeable income derived from profits generated from the supported video game.</t>
        </r>
        <r>
          <rPr>
            <sz val="9"/>
            <color rgb="FF000000"/>
            <rFont val="Tahoma"/>
            <family val="2"/>
          </rPr>
          <t xml:space="preserve">
</t>
        </r>
      </text>
    </comment>
    <comment ref="I41" authorId="0" shapeId="0" xr:uid="{00000000-0006-0000-6600-000002000000}">
      <text>
        <r>
          <rPr>
            <sz val="9"/>
            <color rgb="FF000000"/>
            <rFont val="Tahoma"/>
            <family val="2"/>
          </rPr>
          <t>The tax credit may be claimed against tax payable on the chargeable income derived from profits generated from the supported video game.</t>
        </r>
        <r>
          <rPr>
            <sz val="9"/>
            <color rgb="FF000000"/>
            <rFont val="Tahoma"/>
            <family val="2"/>
          </rPr>
          <t xml:space="preserv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Jean Paul Apap</author>
  </authors>
  <commentList>
    <comment ref="D275" authorId="0" shapeId="0" xr:uid="{00000000-0006-0000-6900-000001000000}">
      <text>
        <r>
          <rPr>
            <b/>
            <sz val="9"/>
            <color indexed="81"/>
            <rFont val="Tahoma"/>
            <family val="2"/>
          </rPr>
          <t>Giving rise to a hybrid mismatch</t>
        </r>
        <r>
          <rPr>
            <sz val="9"/>
            <color indexed="81"/>
            <rFont val="Tahoma"/>
            <family val="2"/>
          </rPr>
          <t xml:space="preserv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3" authorId="0" shapeId="0" xr:uid="{00000000-0006-0000-6C00-000001000000}">
      <text>
        <r>
          <rPr>
            <sz val="9"/>
            <color indexed="81"/>
            <rFont val="Tahoma"/>
            <family val="2"/>
          </rPr>
          <t>Income derived from 01/01/2020 onwards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G10" authorId="0" shapeId="0" xr:uid="{00000000-0006-0000-6D00-000001000000}">
      <text>
        <r>
          <rPr>
            <b/>
            <sz val="9"/>
            <color indexed="81"/>
            <rFont val="Tahoma"/>
            <family val="2"/>
          </rPr>
          <t>Amount should exclude advisory costs covered by vouchers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3" authorId="0" shapeId="0" xr:uid="{00000000-0006-0000-7000-000001000000}">
      <text>
        <r>
          <rPr>
            <b/>
            <sz val="9"/>
            <color indexed="81"/>
            <rFont val="Tahoma"/>
            <family val="2"/>
          </rPr>
          <t>For the avoidance of doubt, this question should be answered as 'Yes' where any member of the fiscal unit derived income arising outside Malta on which, on a standalone basis, it would be liable to tax in Malta on a remittance basis.</t>
        </r>
        <r>
          <rPr>
            <sz val="9"/>
            <color indexed="81"/>
            <rFont val="Tahoma"/>
            <family val="2"/>
          </rPr>
          <t xml:space="preserve">
</t>
        </r>
      </text>
    </comment>
    <comment ref="E15" authorId="0" shapeId="0" xr:uid="{00000000-0006-0000-7000-000002000000}">
      <text>
        <r>
          <rPr>
            <b/>
            <sz val="9"/>
            <color indexed="81"/>
            <rFont val="Tahoma"/>
            <family val="2"/>
          </rPr>
          <t>For the avoidance of doubt, this question should be answered as 'Yes' where any member of the fiscal unit to which sub-paragraph (ii) of the proviso to article 4(1) of the ITA applies derived capital gains arising outside Malta.</t>
        </r>
      </text>
    </comment>
    <comment ref="D18" authorId="0" shapeId="0" xr:uid="{00000000-0006-0000-7000-000003000000}">
      <text>
        <r>
          <rPr>
            <b/>
            <sz val="9"/>
            <color indexed="81"/>
            <rFont val="Tahoma"/>
            <family val="2"/>
          </rPr>
          <t>In case of a fiscal unit this refers to the TIFD code as per standolane TIFD in the supplementary document.</t>
        </r>
        <r>
          <rPr>
            <sz val="9"/>
            <color indexed="81"/>
            <rFont val="Tahoma"/>
            <family val="2"/>
          </rPr>
          <t xml:space="preserve">
</t>
        </r>
      </text>
    </comment>
    <comment ref="D103" authorId="0" shapeId="0" xr:uid="{00000000-0006-0000-7000-000004000000}">
      <text>
        <r>
          <rPr>
            <b/>
            <sz val="9"/>
            <color indexed="81"/>
            <rFont val="Tahoma"/>
            <family val="2"/>
          </rPr>
          <t>In case of a fiscal unit this refers to the TIFD code as per standolane TIFD in the supplementary document.</t>
        </r>
        <r>
          <rPr>
            <sz val="9"/>
            <color indexed="81"/>
            <rFont val="Tahoma"/>
            <family val="2"/>
          </rPr>
          <t xml:space="preserv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B23" authorId="0" shapeId="0" xr:uid="{00000000-0006-0000-7100-000001000000}">
      <text>
        <r>
          <rPr>
            <sz val="9"/>
            <color indexed="81"/>
            <rFont val="Tahoma"/>
            <family val="2"/>
          </rPr>
          <t>Figures should agree with Boxes 42a, 42b and 42c on page 4</t>
        </r>
      </text>
    </comment>
    <comment ref="B25" authorId="0" shapeId="0" xr:uid="{00000000-0006-0000-7100-000002000000}">
      <text>
        <r>
          <rPr>
            <sz val="9"/>
            <color indexed="81"/>
            <rFont val="Tahoma"/>
            <family val="2"/>
          </rPr>
          <t xml:space="preserve">The figure should include the capital allowances b/fwd for YA2021 less any amounts absorbed in YA2021 and YA2022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Camilleri Emmanuel 1 at CfR</author>
    <author>Ellul Kevin at CfR</author>
  </authors>
  <commentList>
    <comment ref="B7" authorId="0" shapeId="0" xr:uid="{E95CEE78-8446-4762-AD16-3A6D05A05D38}">
      <text>
        <r>
          <rPr>
            <sz val="9"/>
            <color indexed="81"/>
            <rFont val="Tahoma"/>
            <family val="2"/>
          </rPr>
          <t xml:space="preserve">An arrangement must be between "associated enterprises" at the "relevant time". The terms "associated enterprises" and "relevant time" are both terms defined in Rule 2 of SL 123.207. </t>
        </r>
      </text>
    </comment>
    <comment ref="B11" authorId="0" shapeId="0" xr:uid="{C6FCAD60-B8AD-4A1F-99FD-ECBFEB03517C}">
      <text>
        <r>
          <rPr>
            <sz val="9"/>
            <color indexed="81"/>
            <rFont val="Tahoma"/>
            <family val="2"/>
          </rPr>
          <t xml:space="preserve">The amounts listed in Rule 9b of SL 123.207 must be the arm's length values forming part of the cross-border arrangements. Hence any arrangement between local associated enterprises should not be included in the calculation of the thresholds mentioned in such sub-rule. </t>
        </r>
      </text>
    </comment>
    <comment ref="G22" authorId="1" shapeId="0" xr:uid="{00A53EFC-3254-46D1-B334-A3EE8EF3B6DB}">
      <text>
        <r>
          <rPr>
            <sz val="9"/>
            <color indexed="81"/>
            <rFont val="Tahoma"/>
            <family val="2"/>
          </rPr>
          <t xml:space="preserve">In the case of Balance Sheet items, one has to consider the effect on the Income / Loss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Ellul Kevin at CfR</author>
  </authors>
  <commentList>
    <comment ref="D34" authorId="0" shapeId="0" xr:uid="{C1E11925-1B56-4A95-A515-DEF7775DED9F}">
      <text>
        <r>
          <rPr>
            <b/>
            <sz val="9"/>
            <color indexed="81"/>
            <rFont val="Tahoma"/>
            <family val="2"/>
          </rPr>
          <t>Kindly insert zeros where the de minimis exclusion or TUT Safe Harbour applies.</t>
        </r>
      </text>
    </comment>
    <comment ref="B35" authorId="0" shapeId="0" xr:uid="{06773C44-CD10-47FC-8D3B-4AA40AFCA043}">
      <text>
        <r>
          <rPr>
            <b/>
            <sz val="9"/>
            <color indexed="81"/>
            <rFont val="Tahoma"/>
            <family val="2"/>
          </rPr>
          <t>Amount should not include any top-up tax arising under these regulations.</t>
        </r>
        <r>
          <rPr>
            <sz val="9"/>
            <color indexed="81"/>
            <rFont val="Tahoma"/>
            <family val="2"/>
          </rPr>
          <t xml:space="preserve">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Kevin Ellul</author>
    <author>Ellul Kevin at CfR</author>
  </authors>
  <commentList>
    <comment ref="E41" authorId="0" shapeId="0" xr:uid="{00000000-0006-0000-7200-000001000000}">
      <text>
        <r>
          <rPr>
            <b/>
            <sz val="9"/>
            <color indexed="81"/>
            <rFont val="Tahoma"/>
            <family val="2"/>
          </rPr>
          <t xml:space="preserve">For the avoidance of doubt, this question should be answered as 'Y' where any member of the fiscal unit is a company to which any of sub-paragraphs (i) or (ii) of the proviso to article 4(1) of the Income Tax Act applies.
</t>
        </r>
        <r>
          <rPr>
            <sz val="9"/>
            <color indexed="81"/>
            <rFont val="Tahoma"/>
            <family val="2"/>
          </rPr>
          <t xml:space="preserve">
</t>
        </r>
      </text>
    </comment>
    <comment ref="E43" authorId="1" shapeId="0" xr:uid="{37FABA10-F4D1-4B41-81A9-5415E0862CAC}">
      <text>
        <r>
          <rPr>
            <b/>
            <sz val="9"/>
            <color indexed="81"/>
            <rFont val="Tahoma"/>
            <family val="2"/>
          </rPr>
          <t xml:space="preserve">For the election to be valid, all constituent entities located in Malta must have elected for this option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Kevin Ellul</author>
    <author>Mario R Borg</author>
  </authors>
  <commentList>
    <comment ref="B3" authorId="0" shapeId="0" xr:uid="{00000000-0006-0000-7300-000001000000}">
      <text>
        <r>
          <rPr>
            <b/>
            <sz val="9"/>
            <color indexed="81"/>
            <rFont val="Tahoma"/>
            <family val="2"/>
          </rPr>
          <t xml:space="preserve">Adjustments to the accounting profit figure to derive income, gross of capital allowances, chargeable under Article 4(1)(a)of the ITA. </t>
        </r>
        <r>
          <rPr>
            <sz val="9"/>
            <color indexed="81"/>
            <rFont val="Tahoma"/>
            <family val="2"/>
          </rPr>
          <t xml:space="preserve">
</t>
        </r>
      </text>
    </comment>
    <comment ref="B8" authorId="1" shapeId="0" xr:uid="{00000000-0006-0000-7300-000002000000}">
      <text>
        <r>
          <rPr>
            <sz val="8"/>
            <color indexed="81"/>
            <rFont val="Tahoma"/>
            <family val="2"/>
          </rPr>
          <t>In the case of fully depreciated assets, with no depreciation charge for the year, indicate by a zero in field 2a.</t>
        </r>
      </text>
    </comment>
    <comment ref="B69" authorId="1" shapeId="0" xr:uid="{00000000-0006-0000-7300-000003000000}">
      <text>
        <r>
          <rPr>
            <b/>
            <sz val="8"/>
            <color indexed="81"/>
            <rFont val="Tahoma"/>
            <family val="2"/>
          </rPr>
          <t xml:space="preserve">Report in field 29a all INVESTMENT INCOME  subjected to 15% final withholding tax.
</t>
        </r>
        <r>
          <rPr>
            <sz val="8"/>
            <color indexed="81"/>
            <rFont val="Tahoma"/>
            <family val="2"/>
          </rPr>
          <t xml:space="preserve">
</t>
        </r>
        <r>
          <rPr>
            <b/>
            <sz val="8"/>
            <color indexed="81"/>
            <rFont val="Tahoma"/>
            <family val="2"/>
          </rPr>
          <t>In case of CFC income insert 0</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G11" authorId="0" shapeId="0" xr:uid="{00000000-0006-0000-7400-000001000000}">
      <text>
        <r>
          <rPr>
            <sz val="8"/>
            <color indexed="81"/>
            <rFont val="Tahoma"/>
            <family val="2"/>
          </rPr>
          <t xml:space="preserve">Any gain or loss on asset disposal has to be indicated on Page 3.
</t>
        </r>
      </text>
    </comment>
    <comment ref="H18" authorId="0" shapeId="0" xr:uid="{00000000-0006-0000-7400-000002000000}">
      <text>
        <r>
          <rPr>
            <b/>
            <sz val="8"/>
            <color indexed="81"/>
            <rFont val="Tahoma"/>
            <family val="2"/>
          </rPr>
          <t xml:space="preserve">Error message denotes that the three fields are required !  Enter a 0 for a null !
</t>
        </r>
        <r>
          <rPr>
            <sz val="8"/>
            <color indexed="81"/>
            <rFont val="Tahoma"/>
            <family val="2"/>
          </rPr>
          <t xml:space="preserv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Mario R Borg</author>
    <author>Kevin Ellul</author>
  </authors>
  <commentList>
    <comment ref="M19" authorId="0" shapeId="0" xr:uid="{00000000-0006-0000-7600-000001000000}">
      <text>
        <r>
          <rPr>
            <b/>
            <sz val="8"/>
            <color indexed="81"/>
            <rFont val="Tahoma"/>
            <family val="2"/>
          </rPr>
          <t>Only required if there are sources in the tax computaton that stand to be reflected under the IPA but have been included under the other taxed account(s).</t>
        </r>
        <r>
          <rPr>
            <sz val="8"/>
            <color indexed="81"/>
            <rFont val="Tahoma"/>
            <family val="2"/>
          </rPr>
          <t xml:space="preserve">
</t>
        </r>
      </text>
    </comment>
    <comment ref="B73" authorId="1" shapeId="0" xr:uid="{00000000-0006-0000-7600-000002000000}">
      <text>
        <r>
          <rPr>
            <b/>
            <sz val="9"/>
            <color indexed="81"/>
            <rFont val="Tahoma"/>
            <family val="2"/>
          </rPr>
          <t>In case of fiscal unit, these cells should include the gross distributions made by the principal taxpayer excluding those made to non controlling interest</t>
        </r>
      </text>
    </comment>
    <comment ref="B75" authorId="1" shapeId="0" xr:uid="{00000000-0006-0000-7600-000003000000}">
      <text>
        <r>
          <rPr>
            <b/>
            <sz val="9"/>
            <color indexed="81"/>
            <rFont val="Tahoma"/>
            <family val="2"/>
          </rPr>
          <t>NCI - Non controlling interest</t>
        </r>
        <r>
          <rPr>
            <sz val="9"/>
            <color indexed="81"/>
            <rFont val="Tahoma"/>
            <family val="2"/>
          </rPr>
          <t xml:space="preserv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R91" authorId="0" shapeId="0" xr:uid="{00000000-0006-0000-7800-000002000000}">
      <text>
        <r>
          <rPr>
            <b/>
            <sz val="10"/>
            <color indexed="81"/>
            <rFont val="Tahoma"/>
            <family val="2"/>
          </rPr>
          <t>Indicate by a NO all persons who are no longer directors [default Yes]</t>
        </r>
        <r>
          <rPr>
            <sz val="10"/>
            <color indexed="81"/>
            <rFont val="Tahoma"/>
            <family val="2"/>
          </rPr>
          <t xml:space="preserve">
</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A36" authorId="0" shapeId="0" xr:uid="{00000000-0006-0000-7900-000001000000}">
      <text>
        <r>
          <rPr>
            <b/>
            <sz val="8"/>
            <color indexed="81"/>
            <rFont val="Tahoma"/>
            <family val="2"/>
          </rPr>
          <t xml:space="preserve">Required
</t>
        </r>
        <r>
          <rPr>
            <sz val="8"/>
            <color indexed="81"/>
            <rFont val="Tahoma"/>
            <family val="2"/>
          </rPr>
          <t xml:space="preserve">
</t>
        </r>
      </text>
    </comment>
    <comment ref="J36" authorId="0" shapeId="0" xr:uid="{00000000-0006-0000-7900-000002000000}">
      <text>
        <r>
          <rPr>
            <b/>
            <sz val="8"/>
            <color indexed="81"/>
            <rFont val="Tahoma"/>
            <family val="2"/>
          </rPr>
          <t>Required</t>
        </r>
        <r>
          <rPr>
            <sz val="8"/>
            <color indexed="81"/>
            <rFont val="Tahoma"/>
            <family val="2"/>
          </rPr>
          <t xml:space="preserve">
</t>
        </r>
      </text>
    </comment>
    <comment ref="U36" authorId="0" shapeId="0" xr:uid="{00000000-0006-0000-7900-000003000000}">
      <text>
        <r>
          <rPr>
            <b/>
            <sz val="8"/>
            <color indexed="81"/>
            <rFont val="Tahoma"/>
            <family val="2"/>
          </rPr>
          <t>Required</t>
        </r>
        <r>
          <rPr>
            <sz val="8"/>
            <color indexed="81"/>
            <rFont val="Tahoma"/>
            <family val="2"/>
          </rPr>
          <t xml:space="preserve">
</t>
        </r>
      </text>
    </comment>
    <comment ref="A42" authorId="0" shapeId="0" xr:uid="{00000000-0006-0000-7900-000004000000}">
      <text>
        <r>
          <rPr>
            <b/>
            <sz val="8"/>
            <color indexed="81"/>
            <rFont val="Tahoma"/>
            <family val="2"/>
          </rPr>
          <t>Required</t>
        </r>
        <r>
          <rPr>
            <sz val="8"/>
            <color indexed="81"/>
            <rFont val="Tahoma"/>
            <family val="2"/>
          </rPr>
          <t xml:space="preserve">
</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Mario</author>
  </authors>
  <commentList>
    <comment ref="F34" authorId="0" shapeId="0" xr:uid="{00000000-0006-0000-7B00-000001000000}">
      <text>
        <r>
          <rPr>
            <b/>
            <sz val="9"/>
            <color indexed="81"/>
            <rFont val="Tahoma"/>
            <family val="2"/>
          </rPr>
          <t>Mario: no tax rates for the FIA available.  Used figure from page 5!</t>
        </r>
        <r>
          <rPr>
            <sz val="9"/>
            <color indexed="81"/>
            <rFont val="Tahoma"/>
            <family val="2"/>
          </rPr>
          <t xml:space="preserve">
</t>
        </r>
      </text>
    </comment>
    <comment ref="F39" authorId="0" shapeId="0" xr:uid="{00000000-0006-0000-7B00-000002000000}">
      <text>
        <r>
          <rPr>
            <b/>
            <sz val="9"/>
            <color indexed="81"/>
            <rFont val="Tahoma"/>
            <family val="2"/>
          </rPr>
          <t>Mario: no tax rates for the FIA available.  Used figure from page 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<sst xmlns="http://schemas.openxmlformats.org/spreadsheetml/2006/main" count="26706" uniqueCount="10808">
  <si>
    <t>S15</t>
  </si>
  <si>
    <t>A0211</t>
  </si>
  <si>
    <t>D24</t>
  </si>
  <si>
    <t>H24</t>
  </si>
  <si>
    <t>Other automated validations are activated upon data entry.  This category of validations operate ONLY when data is entered sequentially assuming a top-down flow.  Values are only checked at time of entry in the validated field.  Any subsequent amendments will not re-activate validations on data previously entered!</t>
  </si>
  <si>
    <t>Capital expenditure [in respect of which no deductions are allowed under par. (f) and (j) of the I.T.Act]</t>
  </si>
  <si>
    <t>Long-term loans due to Maltese related parties</t>
  </si>
  <si>
    <t>Withholding tax</t>
  </si>
  <si>
    <t>Total group loss available that may be claimed for the current year</t>
  </si>
  <si>
    <t>Insurance recoveries</t>
  </si>
  <si>
    <t>A37</t>
  </si>
  <si>
    <t>Due from individual director(s) - current portion</t>
  </si>
  <si>
    <t>A0137</t>
  </si>
  <si>
    <t>A0138</t>
  </si>
  <si>
    <t>A0139</t>
  </si>
  <si>
    <t>A0140</t>
  </si>
  <si>
    <t>A0141</t>
  </si>
  <si>
    <t>Income from Accomodation (as defined in VAT ACT) [Reg 5 (3) (b) (ii)]</t>
  </si>
  <si>
    <t>Deduction for Donations [Rule 3]</t>
  </si>
  <si>
    <t xml:space="preserve">ITA - Article 14(1)(h) - Scientific Research </t>
  </si>
  <si>
    <t>COST OF SALES</t>
  </si>
  <si>
    <t>empty fields!</t>
  </si>
  <si>
    <t>Disposals!</t>
  </si>
  <si>
    <t>TRA47</t>
  </si>
  <si>
    <t>TRA48</t>
  </si>
  <si>
    <t>TRA49</t>
  </si>
  <si>
    <t>TRA51</t>
  </si>
  <si>
    <t>TRA52</t>
  </si>
  <si>
    <t>TRA53</t>
  </si>
  <si>
    <t>A3153</t>
  </si>
  <si>
    <t>C58</t>
  </si>
  <si>
    <t>Depreciation of industrial buildings  and structures</t>
  </si>
  <si>
    <t>Depreciation of non-industrial buildings</t>
  </si>
  <si>
    <t>ITA</t>
  </si>
  <si>
    <t>79a</t>
  </si>
  <si>
    <t>Please indicate the entity(ies) to which donation(s) have been made during the current year of assessment</t>
  </si>
  <si>
    <t>A2724</t>
  </si>
  <si>
    <t>A2725</t>
  </si>
  <si>
    <t>A2726</t>
  </si>
  <si>
    <t>A2727</t>
  </si>
  <si>
    <t>A2728</t>
  </si>
  <si>
    <t>A2729</t>
  </si>
  <si>
    <t>A2730</t>
  </si>
  <si>
    <t>A2731</t>
  </si>
  <si>
    <t>A2732</t>
  </si>
  <si>
    <t>A2901</t>
  </si>
  <si>
    <t>ITA - Capital gain/(loss) - Summary</t>
  </si>
  <si>
    <t>TRA 16</t>
  </si>
  <si>
    <t>Total Chargeable Income derived from accomodation and other activities as applicable</t>
  </si>
  <si>
    <t>Total Sales derived from accomodation and other related activities as applicable</t>
  </si>
  <si>
    <t>ITA - LN 334 of 2005  -  Reinvestment Tax Credit [New Scheme]</t>
  </si>
  <si>
    <t>Company's year of assessment when course was completed</t>
  </si>
  <si>
    <t>Tax Credit entitlement after successful completion of course</t>
  </si>
  <si>
    <t>Government of Malta debt</t>
  </si>
  <si>
    <t>Other Maltese investments</t>
  </si>
  <si>
    <t>Other Foreign investments</t>
  </si>
  <si>
    <t>Basis Year</t>
  </si>
  <si>
    <t>December</t>
  </si>
  <si>
    <t>Closing stock of raw materials and / or semi-finished goods</t>
  </si>
  <si>
    <t>Y48</t>
  </si>
  <si>
    <t>AA48</t>
  </si>
  <si>
    <t>SHA40</t>
  </si>
  <si>
    <t>S49</t>
  </si>
  <si>
    <t>W49</t>
  </si>
  <si>
    <t>Y49</t>
  </si>
  <si>
    <t>AA49</t>
  </si>
  <si>
    <t>SHA41</t>
  </si>
  <si>
    <t>L50</t>
  </si>
  <si>
    <t>S50</t>
  </si>
  <si>
    <t>W50</t>
  </si>
  <si>
    <t>Y50</t>
  </si>
  <si>
    <t>AA50</t>
  </si>
  <si>
    <t>SHA42</t>
  </si>
  <si>
    <t>S51</t>
  </si>
  <si>
    <t>W51</t>
  </si>
  <si>
    <t>Y51</t>
  </si>
  <si>
    <t>AA51</t>
  </si>
  <si>
    <t>SHA43</t>
  </si>
  <si>
    <t>L52</t>
  </si>
  <si>
    <t>S52</t>
  </si>
  <si>
    <t>W52</t>
  </si>
  <si>
    <t>Y52</t>
  </si>
  <si>
    <t>AA52</t>
  </si>
  <si>
    <t>SHA44</t>
  </si>
  <si>
    <t>L53</t>
  </si>
  <si>
    <t>S53</t>
  </si>
  <si>
    <t>U53</t>
  </si>
  <si>
    <t>Chargeable Income subject to normal rate of tax [ @ 35c]</t>
  </si>
  <si>
    <t>Immov. Property A/c</t>
  </si>
  <si>
    <t>SUP01</t>
  </si>
  <si>
    <t>A0309</t>
  </si>
  <si>
    <t>J59</t>
  </si>
  <si>
    <t>J60</t>
  </si>
  <si>
    <t>K60</t>
  </si>
  <si>
    <t>J61</t>
  </si>
  <si>
    <t>K61</t>
  </si>
  <si>
    <t>A0587</t>
  </si>
  <si>
    <t>A0588</t>
  </si>
  <si>
    <t>A0589</t>
  </si>
  <si>
    <t>Depreciation of Immovable property</t>
  </si>
  <si>
    <t>Bonds and debentures</t>
  </si>
  <si>
    <t>Deferred income - long-term</t>
  </si>
  <si>
    <t xml:space="preserve">ITA - LN 335 of 2005  -  Deductions and Tax Credit [Wages and Tuition Expenses] </t>
  </si>
  <si>
    <t>ITA - LN 335 of 2005  -  Tax Credit [Social Security Contributions]</t>
  </si>
  <si>
    <t>Movement in reserves - FINAL TAX ACCOUNT                                                          (to page 6 of the tax return)</t>
  </si>
  <si>
    <t>Motor Vehicles Running Costs</t>
  </si>
  <si>
    <t>Grants</t>
  </si>
  <si>
    <t>Act and Article for reduced rates of tax</t>
  </si>
  <si>
    <t>Attributable Chargeable Income</t>
  </si>
  <si>
    <t>Reduction               [Reg. 7]</t>
  </si>
  <si>
    <t>Effective Tax Rate</t>
  </si>
  <si>
    <t>Tax Thereon</t>
  </si>
  <si>
    <t xml:space="preserve">Average Tax &gt;   </t>
  </si>
  <si>
    <t>rate</t>
  </si>
  <si>
    <r>
      <t>Plant and Machinery  - Assets acquired and first used after Y/A 2001</t>
    </r>
    <r>
      <rPr>
        <sz val="11"/>
        <rFont val="Arial"/>
        <family val="2"/>
      </rPr>
      <t xml:space="preserve"> </t>
    </r>
    <r>
      <rPr>
        <sz val="9"/>
        <rFont val="Arial"/>
        <family val="2"/>
      </rPr>
      <t xml:space="preserve">[Include fully depreciated assets that are disposed of during the year] </t>
    </r>
  </si>
  <si>
    <t xml:space="preserve">Investment allowance deductible against </t>
  </si>
  <si>
    <t xml:space="preserve">source of income included as   </t>
  </si>
  <si>
    <t>Total Cost/Maximum Investment Allowance for the year</t>
  </si>
  <si>
    <t>Investment Allowances for the year allocated to the Final Tax Account</t>
  </si>
  <si>
    <t xml:space="preserve"> Excessive!</t>
  </si>
  <si>
    <t>Transfers from MTA and / or FIA to the IPA</t>
  </si>
  <si>
    <t>Income from managemment services, allocated to the IPA</t>
  </si>
  <si>
    <t xml:space="preserve">Regulation 22 - General exemption of grants </t>
  </si>
  <si>
    <t>TRA66</t>
  </si>
  <si>
    <t>Deduction for Cash Donations towards participation in Sports activities [Rule 3]</t>
  </si>
  <si>
    <t>Warning count</t>
  </si>
  <si>
    <t>Purpose of donation</t>
  </si>
  <si>
    <t>Total donation(s) being claimed as a deduction for the current year of assessment</t>
  </si>
  <si>
    <t>(Cannot exceed €60,000)</t>
  </si>
  <si>
    <t>(Cannot exceed €60,000 or equivalent amount in currency reported)</t>
  </si>
  <si>
    <t>ITA - LN 139 of 2008 Donations (Sports and Culture) Rules, 2008</t>
  </si>
  <si>
    <t>Cash donations must be approved by the Malta Sports Council for entitlement</t>
  </si>
  <si>
    <r>
      <t>Certificate reference</t>
    </r>
    <r>
      <rPr>
        <sz val="8"/>
        <rFont val="Arial"/>
        <family val="2"/>
      </rPr>
      <t xml:space="preserve"> (issued by the Malta Sports Council)</t>
    </r>
  </si>
  <si>
    <t xml:space="preserve">Did the company satisfy all the entitlement conditions under these Rules? </t>
  </si>
  <si>
    <t>Name of Recipient                                                                            (Athlete or Sports Regulatory Body)</t>
  </si>
  <si>
    <t>Accumulated depreciation of shipping equipment</t>
  </si>
  <si>
    <t>Accumulated depreciation of aircraft</t>
  </si>
  <si>
    <t xml:space="preserve">Applicable to assets first used during the year. </t>
  </si>
  <si>
    <t>A0221</t>
  </si>
  <si>
    <t>G38</t>
  </si>
  <si>
    <t>H38</t>
  </si>
  <si>
    <t>A3507</t>
  </si>
  <si>
    <t>Allocated Current year</t>
  </si>
  <si>
    <t>Allocation to the Immovable Property Account</t>
  </si>
  <si>
    <t xml:space="preserve">Transfer to the Incentives and Benefits Reserve [Art 36 BPA]      </t>
  </si>
  <si>
    <t>Deemed tranfers under Articles 5(9A), 5(13)(b)(ii)</t>
  </si>
  <si>
    <t>Net income/(loss)</t>
  </si>
  <si>
    <t>VAT refundable</t>
  </si>
  <si>
    <t xml:space="preserve">Prepaid expenses, advances, tender deposits, etc.. </t>
  </si>
  <si>
    <t>G138</t>
  </si>
  <si>
    <t>G139</t>
  </si>
  <si>
    <t>F145</t>
  </si>
  <si>
    <t>G145</t>
  </si>
  <si>
    <t>H145</t>
  </si>
  <si>
    <t>I145</t>
  </si>
  <si>
    <t>F146</t>
  </si>
  <si>
    <t>G146</t>
  </si>
  <si>
    <t>H146</t>
  </si>
  <si>
    <t>I146</t>
  </si>
  <si>
    <t>F147</t>
  </si>
  <si>
    <t>G147</t>
  </si>
  <si>
    <t>H147</t>
  </si>
  <si>
    <t xml:space="preserve">Income Tax Act - Wear &amp; Tear </t>
  </si>
  <si>
    <t>Balancing allowance(s)</t>
  </si>
  <si>
    <t>Capital allowances absorbed</t>
  </si>
  <si>
    <t>Unabsorbed capital allowances c/f</t>
  </si>
  <si>
    <t>Income from trade, business, etc. net of capital allowances / (Loss)</t>
  </si>
  <si>
    <t>4(1)(c)</t>
  </si>
  <si>
    <t>Dividend(s)</t>
  </si>
  <si>
    <t>A1407</t>
  </si>
  <si>
    <t>A141</t>
  </si>
  <si>
    <t>C141</t>
  </si>
  <si>
    <t>A1408</t>
  </si>
  <si>
    <t>A142</t>
  </si>
  <si>
    <t>C142</t>
  </si>
  <si>
    <t>A1409</t>
  </si>
  <si>
    <t>A143</t>
  </si>
  <si>
    <t>C143</t>
  </si>
  <si>
    <t>A1410</t>
  </si>
  <si>
    <t>A144</t>
  </si>
  <si>
    <t>C144</t>
  </si>
  <si>
    <t>A1411</t>
  </si>
  <si>
    <t>A145</t>
  </si>
  <si>
    <t>C145</t>
  </si>
  <si>
    <t>A1412</t>
  </si>
  <si>
    <t>A146</t>
  </si>
  <si>
    <t>C146</t>
  </si>
  <si>
    <t>A1413</t>
  </si>
  <si>
    <t>C147</t>
  </si>
  <si>
    <t>A1501</t>
  </si>
  <si>
    <t>A1502</t>
  </si>
  <si>
    <t>A1503</t>
  </si>
  <si>
    <t xml:space="preserve">Overall Total = </t>
  </si>
  <si>
    <t>In pursuance of the provisions of the Income Tax Acts you are hereby required to furnish me on this form with a true and correct declaration of the income of the company, body corporate established by statute, trading or commercial undertaking or a Trust, for the basis year indicated in this return including a self-assessment computation.</t>
  </si>
  <si>
    <t>R42</t>
  </si>
  <si>
    <t>O44</t>
  </si>
  <si>
    <t>R44</t>
  </si>
  <si>
    <t>Profit adjustment [net] in page 3 of return</t>
  </si>
  <si>
    <t>Withholding tax on qualifying sales considered as final</t>
  </si>
  <si>
    <t>Tax on deemed Income taken as first part of total income</t>
  </si>
  <si>
    <t>TRA 41</t>
  </si>
  <si>
    <t>A3927</t>
  </si>
  <si>
    <t>A3928</t>
  </si>
  <si>
    <t>A3929</t>
  </si>
  <si>
    <t>A3930</t>
  </si>
  <si>
    <t>A3931</t>
  </si>
  <si>
    <t>A4966</t>
  </si>
  <si>
    <t>A4967</t>
  </si>
  <si>
    <t>A4968</t>
  </si>
  <si>
    <t>A4969</t>
  </si>
  <si>
    <t>TRA 56</t>
  </si>
  <si>
    <t>TRA27</t>
  </si>
  <si>
    <t>TRA29</t>
  </si>
  <si>
    <t>TRA30</t>
  </si>
  <si>
    <t>TRA31</t>
  </si>
  <si>
    <t>TRA33</t>
  </si>
  <si>
    <t>E53</t>
  </si>
  <si>
    <t>M53</t>
  </si>
  <si>
    <t>Accumulated depreciation of petroleum and natural gas properties</t>
  </si>
  <si>
    <t xml:space="preserve"> [Warning(s) present in this page]</t>
  </si>
  <si>
    <t>B47</t>
  </si>
  <si>
    <t>Overhead expenses allocated to cost of sales</t>
  </si>
  <si>
    <t>Closing stock</t>
  </si>
  <si>
    <t>A74</t>
  </si>
  <si>
    <t>O52</t>
  </si>
  <si>
    <t>Tax computation                              [page 4 of tax return]</t>
  </si>
  <si>
    <t>Dividends Paid</t>
  </si>
  <si>
    <t>Income tax payable in the absence of the incentive</t>
  </si>
  <si>
    <t>A3136</t>
  </si>
  <si>
    <t>A3137</t>
  </si>
  <si>
    <t>QUE34</t>
  </si>
  <si>
    <t>N31</t>
  </si>
  <si>
    <t>P31</t>
  </si>
  <si>
    <t>N32</t>
  </si>
  <si>
    <t>P32</t>
  </si>
  <si>
    <t>M33</t>
  </si>
  <si>
    <t>N33</t>
  </si>
  <si>
    <t>P33</t>
  </si>
  <si>
    <t>M34</t>
  </si>
  <si>
    <t>N34</t>
  </si>
  <si>
    <t>P34</t>
  </si>
  <si>
    <t>M35</t>
  </si>
  <si>
    <t>N35</t>
  </si>
  <si>
    <t>P35</t>
  </si>
  <si>
    <t>M36</t>
  </si>
  <si>
    <t>N36</t>
  </si>
  <si>
    <t>Sale of Agricultural Produce Rules [Income subject to F.W.T]</t>
  </si>
  <si>
    <t>A4935</t>
  </si>
  <si>
    <t>A4936</t>
  </si>
  <si>
    <t>A4937</t>
  </si>
  <si>
    <t>A4938</t>
  </si>
  <si>
    <t>A4939</t>
  </si>
  <si>
    <t>A4940</t>
  </si>
  <si>
    <t>A4941</t>
  </si>
  <si>
    <t>A4942</t>
  </si>
  <si>
    <t>A4943</t>
  </si>
  <si>
    <t>A4944</t>
  </si>
  <si>
    <t>A4945</t>
  </si>
  <si>
    <t>A4946</t>
  </si>
  <si>
    <t>A4947</t>
  </si>
  <si>
    <t>A4948</t>
  </si>
  <si>
    <t>A4949</t>
  </si>
  <si>
    <t>A4950</t>
  </si>
  <si>
    <t>A4951</t>
  </si>
  <si>
    <t>A4952</t>
  </si>
  <si>
    <t>A4953</t>
  </si>
  <si>
    <t>A4954</t>
  </si>
  <si>
    <t>A4955</t>
  </si>
  <si>
    <t>A4956</t>
  </si>
  <si>
    <t>SHA22</t>
  </si>
  <si>
    <t>E30</t>
  </si>
  <si>
    <t>L30</t>
  </si>
  <si>
    <t>M30</t>
  </si>
  <si>
    <t>Q30</t>
  </si>
  <si>
    <t>S30</t>
  </si>
  <si>
    <t>U30</t>
  </si>
  <si>
    <t>SHA23</t>
  </si>
  <si>
    <t>E31</t>
  </si>
  <si>
    <t>L31</t>
  </si>
  <si>
    <t>Details of Company Set-up</t>
  </si>
  <si>
    <t>TR</t>
  </si>
  <si>
    <t>A5131</t>
  </si>
  <si>
    <t xml:space="preserve">Purpose of donation   </t>
  </si>
  <si>
    <t>Restoration</t>
  </si>
  <si>
    <t>A0220</t>
  </si>
  <si>
    <t>A4010</t>
  </si>
  <si>
    <t>A4011</t>
  </si>
  <si>
    <t>A4012</t>
  </si>
  <si>
    <t>A4013</t>
  </si>
  <si>
    <t>A4014</t>
  </si>
  <si>
    <t>A4015</t>
  </si>
  <si>
    <t>A4016</t>
  </si>
  <si>
    <t>A4017</t>
  </si>
  <si>
    <t>A4018</t>
  </si>
  <si>
    <t>A4019</t>
  </si>
  <si>
    <t>name</t>
  </si>
  <si>
    <t xml:space="preserve">from </t>
  </si>
  <si>
    <t>to</t>
  </si>
  <si>
    <t>B_Sheet</t>
  </si>
  <si>
    <t>TRA1</t>
  </si>
  <si>
    <t>TRA2</t>
  </si>
  <si>
    <t>TRA3</t>
  </si>
  <si>
    <t>TRA4</t>
  </si>
  <si>
    <t>TRA5</t>
  </si>
  <si>
    <t>TRA6</t>
  </si>
  <si>
    <t>TRA7</t>
  </si>
  <si>
    <t>TRA8</t>
  </si>
  <si>
    <t>TRA9_14</t>
  </si>
  <si>
    <t>TRA10</t>
  </si>
  <si>
    <t>TRA13</t>
  </si>
  <si>
    <t>TRA15</t>
  </si>
  <si>
    <t>TRA16</t>
  </si>
  <si>
    <t>TRA17</t>
  </si>
  <si>
    <t>TRA18</t>
  </si>
  <si>
    <t>TRA19</t>
  </si>
  <si>
    <t>TRA20</t>
  </si>
  <si>
    <t>TRA23</t>
  </si>
  <si>
    <t>TRA23_24</t>
  </si>
  <si>
    <t>Final Withholding Tax on Investment Income</t>
  </si>
  <si>
    <t xml:space="preserve">Please indicate the Article and Act under which the Company was previously entitled to benefits     </t>
  </si>
  <si>
    <t>TRA 66</t>
  </si>
  <si>
    <t>Total tax credit available for the year</t>
  </si>
  <si>
    <t>Tax Credit utilised during the current year of assessment</t>
  </si>
  <si>
    <t>Unutilised Tax Credit</t>
  </si>
  <si>
    <t>15a</t>
  </si>
  <si>
    <t>16a</t>
  </si>
  <si>
    <t>17a</t>
  </si>
  <si>
    <t>18a</t>
  </si>
  <si>
    <t>19a</t>
  </si>
  <si>
    <t>20a</t>
  </si>
  <si>
    <t>SUP07</t>
  </si>
  <si>
    <t>A13</t>
  </si>
  <si>
    <t>D115</t>
  </si>
  <si>
    <t>E115</t>
  </si>
  <si>
    <t>F115</t>
  </si>
  <si>
    <t>A1673</t>
  </si>
  <si>
    <t>D116</t>
  </si>
  <si>
    <t>E116</t>
  </si>
  <si>
    <t>F116</t>
  </si>
  <si>
    <t>A1674</t>
  </si>
  <si>
    <t>CLAIM FOR TAX CREDIT</t>
  </si>
  <si>
    <t>A0420</t>
  </si>
  <si>
    <t>A0421</t>
  </si>
  <si>
    <t>A0422</t>
  </si>
  <si>
    <t>A0423</t>
  </si>
  <si>
    <t>A0424</t>
  </si>
  <si>
    <t>A0425</t>
  </si>
  <si>
    <t>A0426</t>
  </si>
  <si>
    <t>A0427</t>
  </si>
  <si>
    <t>A0428</t>
  </si>
  <si>
    <t>A0429</t>
  </si>
  <si>
    <t>H34</t>
  </si>
  <si>
    <t>A0430</t>
  </si>
  <si>
    <t>H35</t>
  </si>
  <si>
    <t>PART 3 - SELF ASSESSMENT</t>
  </si>
  <si>
    <t>Section 1 - COMPUTATION OF CHARGEABLE INCOME</t>
  </si>
  <si>
    <t>Commissions</t>
  </si>
  <si>
    <t>Tax at source on dividends</t>
  </si>
  <si>
    <t>TAX BALANCE DUE IN TERMS OF SECTION 42 OF THE ITMA</t>
  </si>
  <si>
    <t>TAX REFUNDABLE IN TERMS OF SECTION 48 OF THE ITMA</t>
  </si>
  <si>
    <t xml:space="preserve">  Proceeds!</t>
  </si>
  <si>
    <t>ITA - BALANCING STATEMENT</t>
  </si>
  <si>
    <t>Allce / Charge</t>
  </si>
  <si>
    <t>MTA</t>
  </si>
  <si>
    <t>Allowance</t>
  </si>
  <si>
    <t>Back to Index</t>
  </si>
  <si>
    <t xml:space="preserve">Are there any other wages, salaries or any other form of remuneration disclosed in the </t>
  </si>
  <si>
    <t>ITA - LN 139 of 2008 Donations (Sports and Culture) Rules, 2008  [Arts Fund]</t>
  </si>
  <si>
    <t>Please indicate the number of donations made during the year</t>
  </si>
  <si>
    <t>(Cannot exceed €50,000)</t>
  </si>
  <si>
    <t>(Cannot exceed €50,000 or equivalent amount in currency reported)</t>
  </si>
  <si>
    <t xml:space="preserve">BPA - Article 19 (Training Grant) </t>
  </si>
  <si>
    <t xml:space="preserve">BPA - Article 20 (Management Services Grant) </t>
  </si>
  <si>
    <t xml:space="preserve">BPA - Article 23 (3) and (4) (Accom. &amp; Training grants to industry in Gozo) </t>
  </si>
  <si>
    <t>Incentives and Benefits Reserve</t>
  </si>
  <si>
    <t xml:space="preserve">Regulation 9 - (Loan Interest Subsidy) </t>
  </si>
  <si>
    <t xml:space="preserve">Regulation 11 - (Grants for experts ) </t>
  </si>
  <si>
    <t xml:space="preserve">Regulation 13 (9) - (Grant(s) in lieu of deductions for job creation) </t>
  </si>
  <si>
    <t xml:space="preserve">Regulation 14 - (Training Grant) </t>
  </si>
  <si>
    <t>Allocated to Taxed Account</t>
  </si>
  <si>
    <t>37a</t>
  </si>
  <si>
    <t>37b</t>
  </si>
  <si>
    <t>QUE39</t>
  </si>
  <si>
    <t>QUE40</t>
  </si>
  <si>
    <t>G3</t>
  </si>
  <si>
    <t>A0127</t>
  </si>
  <si>
    <t>A0128</t>
  </si>
  <si>
    <t>A0129</t>
  </si>
  <si>
    <t>A0130</t>
  </si>
  <si>
    <t>A0131</t>
  </si>
  <si>
    <t>A0132</t>
  </si>
  <si>
    <t>Allocated to MTA</t>
  </si>
  <si>
    <t>SECTION 2 - SELF ASSESSMENT COMPUTATION</t>
  </si>
  <si>
    <t>Deemed Income on qualifying sales taxed at  5% (allocated to the Final Tax Account)</t>
  </si>
  <si>
    <t>Total amounts allocated</t>
  </si>
  <si>
    <t>C33</t>
  </si>
  <si>
    <t>K33</t>
  </si>
  <si>
    <t>A0525</t>
  </si>
  <si>
    <t>New Zealand Dollar</t>
  </si>
  <si>
    <t>Norwegian Krona</t>
  </si>
  <si>
    <t>Depreciation of production machinery and equipment</t>
  </si>
  <si>
    <t xml:space="preserve">Depreciation of Factory Plant </t>
  </si>
  <si>
    <t>Amount of annual market rent for the year</t>
  </si>
  <si>
    <t>Tax Credit compared to threshold and reduction</t>
  </si>
  <si>
    <t>total tax credits</t>
  </si>
  <si>
    <t>R&amp;D</t>
  </si>
  <si>
    <t>G54</t>
  </si>
  <si>
    <t>Income Apportioned</t>
  </si>
  <si>
    <t>Country of residence</t>
  </si>
  <si>
    <t>% Holding</t>
  </si>
  <si>
    <t>was engaged in more than one trading activity during the year</t>
  </si>
  <si>
    <t>is in liquidation</t>
  </si>
  <si>
    <t>C</t>
  </si>
  <si>
    <t>E</t>
  </si>
  <si>
    <t>F</t>
  </si>
  <si>
    <t>G</t>
  </si>
  <si>
    <t>H94</t>
  </si>
  <si>
    <t>I94</t>
  </si>
  <si>
    <t>J94</t>
  </si>
  <si>
    <t>K94</t>
  </si>
  <si>
    <t>A1505</t>
  </si>
  <si>
    <t>A1506</t>
  </si>
  <si>
    <t>A1507</t>
  </si>
  <si>
    <t>A1601</t>
  </si>
  <si>
    <t>Approved Training Programme?</t>
  </si>
  <si>
    <t>A3302</t>
  </si>
  <si>
    <t>A3303</t>
  </si>
  <si>
    <t>Development expenses</t>
  </si>
  <si>
    <t>trust indiator</t>
  </si>
  <si>
    <t>A4113</t>
  </si>
  <si>
    <t>A4114</t>
  </si>
  <si>
    <t>A4115</t>
  </si>
  <si>
    <t>Is the excess approved?</t>
  </si>
  <si>
    <t>ITA - Group loss CLAIMED - current year</t>
  </si>
  <si>
    <t xml:space="preserve">  BPA - Regulation 4 (Reduced Rates of Income Tax)</t>
  </si>
  <si>
    <t>Unavailed tax credit carried forward</t>
  </si>
  <si>
    <t>BACK TO INDEX</t>
  </si>
  <si>
    <t>Provision for doubtful accounts</t>
  </si>
  <si>
    <t>Trade debtors</t>
  </si>
  <si>
    <t>Subscriptions due from members [NPOs]</t>
  </si>
  <si>
    <t>Tax set off</t>
  </si>
  <si>
    <t>Assets at Cost b/fwd</t>
  </si>
  <si>
    <t>WDV b/fwd</t>
  </si>
  <si>
    <t>Company Details continued</t>
  </si>
  <si>
    <t>Page 3</t>
  </si>
  <si>
    <t>Adjustment of profits for tax purposes</t>
  </si>
  <si>
    <t>Page 4</t>
  </si>
  <si>
    <t>Computation of Chargeable income</t>
  </si>
  <si>
    <t>Income from royalties etc after deducting direct expenses</t>
  </si>
  <si>
    <t>I90</t>
  </si>
  <si>
    <t>J90</t>
  </si>
  <si>
    <t>K90</t>
  </si>
  <si>
    <t>A0574</t>
  </si>
  <si>
    <t>ITA - Income from trade, business…</t>
  </si>
  <si>
    <t>Total revenue - total expenses = net income before tax?</t>
  </si>
  <si>
    <t>Total Annual Wear and Tear</t>
  </si>
  <si>
    <t>Number of years dep'n - Mandatory</t>
  </si>
  <si>
    <t>Waiver of amounts payable</t>
  </si>
  <si>
    <t>Bad debt recoveries</t>
  </si>
  <si>
    <t>Total revenue from other sources</t>
  </si>
  <si>
    <t>TOTAL REVENUE</t>
  </si>
  <si>
    <t>Opening stock</t>
  </si>
  <si>
    <t>Opening stock of raw materials and / or semi-finished goods</t>
  </si>
  <si>
    <t>ITMA - Option exercised under Article 48(4A)(b)(i)(1) - Taxable profits after tax</t>
  </si>
  <si>
    <t>Investment Allowance</t>
  </si>
  <si>
    <t>F45</t>
  </si>
  <si>
    <t>31</t>
  </si>
  <si>
    <t>Short-term loans and / or advances due to corporate shareholder(s)</t>
  </si>
  <si>
    <t>Long-term loans due to individual shareholder(s)</t>
  </si>
  <si>
    <t xml:space="preserve">Have the annual accounts been prepared in accordance with the provisions and </t>
  </si>
  <si>
    <t xml:space="preserve"> requirements of the Companies Act [CAP 386]?</t>
  </si>
  <si>
    <t>DIR02</t>
  </si>
  <si>
    <t>B44</t>
  </si>
  <si>
    <t>E44</t>
  </si>
  <si>
    <t>Net Income after Tax (To Page 6 Return)</t>
  </si>
  <si>
    <t>Total Relieved income&gt;</t>
  </si>
  <si>
    <t>Capital loss brought forward</t>
  </si>
  <si>
    <t>is claiming the participation exemption under article 12(1)(u) of the Income Tax Act</t>
  </si>
  <si>
    <t>is benefitting under the provisions of articles 5(9), 5(14), or 5A(4)(f) of the Income Tax Act</t>
  </si>
  <si>
    <t>Austria</t>
  </si>
  <si>
    <t>Belgium</t>
  </si>
  <si>
    <t>Bulgaria</t>
  </si>
  <si>
    <t>Cyprus</t>
  </si>
  <si>
    <t>Czech Republic</t>
  </si>
  <si>
    <t>Denmark</t>
  </si>
  <si>
    <t>Estonia</t>
  </si>
  <si>
    <t>Finland</t>
  </si>
  <si>
    <t>France</t>
  </si>
  <si>
    <t>Germany</t>
  </si>
  <si>
    <t>Greece</t>
  </si>
  <si>
    <t>Hungary</t>
  </si>
  <si>
    <t>Ireland</t>
  </si>
  <si>
    <t>Italy</t>
  </si>
  <si>
    <t>Latvia</t>
  </si>
  <si>
    <t>Lithuania</t>
  </si>
  <si>
    <t>Luxembourg</t>
  </si>
  <si>
    <t>Netherlands</t>
  </si>
  <si>
    <t>Poland</t>
  </si>
  <si>
    <t>Portugal</t>
  </si>
  <si>
    <t>Romania</t>
  </si>
  <si>
    <t>Slovakia</t>
  </si>
  <si>
    <t>Slovenia</t>
  </si>
  <si>
    <t>Spain</t>
  </si>
  <si>
    <t>Sweden</t>
  </si>
  <si>
    <t>United Kingdom</t>
  </si>
  <si>
    <t>A0531</t>
  </si>
  <si>
    <t>B40</t>
  </si>
  <si>
    <t>C40</t>
  </si>
  <si>
    <t>D40</t>
  </si>
  <si>
    <t>E40</t>
  </si>
  <si>
    <t>H40</t>
  </si>
  <si>
    <t>I40</t>
  </si>
  <si>
    <t>J40</t>
  </si>
  <si>
    <t>K40</t>
  </si>
  <si>
    <t>Other Add Backs</t>
  </si>
  <si>
    <t>Is the artiste ordinarily resident in Malta?</t>
  </si>
  <si>
    <t>Date of donation or start of scholarship</t>
  </si>
  <si>
    <t>TIFD 7600 = TIFD 3905 [Balance Sheet]?</t>
  </si>
  <si>
    <t>Balance Sheet</t>
  </si>
  <si>
    <t>Income Statement</t>
  </si>
  <si>
    <t>J54</t>
  </si>
  <si>
    <t>K54</t>
  </si>
  <si>
    <t>A0546</t>
  </si>
  <si>
    <t>C55</t>
  </si>
  <si>
    <t>C65</t>
  </si>
  <si>
    <t>D65</t>
  </si>
  <si>
    <t xml:space="preserve">Allocation of Income to the Taxed Accounts after the tax computation and calculation </t>
  </si>
  <si>
    <t>m</t>
  </si>
  <si>
    <t>Computer software</t>
  </si>
  <si>
    <t xml:space="preserve">  ITA - Article 56(8) (Dividends from ITC's)</t>
  </si>
  <si>
    <t>4a</t>
  </si>
  <si>
    <t>5a</t>
  </si>
  <si>
    <t>6a</t>
  </si>
  <si>
    <t>A0311</t>
  </si>
  <si>
    <t>A0312</t>
  </si>
  <si>
    <t>A0313</t>
  </si>
  <si>
    <t>A0314</t>
  </si>
  <si>
    <t>I47</t>
  </si>
  <si>
    <t>J47</t>
  </si>
  <si>
    <t>K47</t>
  </si>
  <si>
    <t>A0539</t>
  </si>
  <si>
    <t>C48</t>
  </si>
  <si>
    <t>G48</t>
  </si>
  <si>
    <t>H48</t>
  </si>
  <si>
    <t>I48</t>
  </si>
  <si>
    <t>J48</t>
  </si>
  <si>
    <t>K48</t>
  </si>
  <si>
    <t>Sub total</t>
  </si>
  <si>
    <t>WDV START         Y/A 2002        OR              START              Y/A 2010 (Aircraft)</t>
  </si>
  <si>
    <t>Disposals at W.D.V.               [to-date]</t>
  </si>
  <si>
    <t>Petroleum and natural gas properties</t>
  </si>
  <si>
    <t>S11</t>
  </si>
  <si>
    <t>SHA04</t>
  </si>
  <si>
    <t>E12</t>
  </si>
  <si>
    <t>L12</t>
  </si>
  <si>
    <t>M12</t>
  </si>
  <si>
    <t>O12</t>
  </si>
  <si>
    <t>Q12</t>
  </si>
  <si>
    <t>S12</t>
  </si>
  <si>
    <t>U12</t>
  </si>
  <si>
    <t>SHA05</t>
  </si>
  <si>
    <t>E13</t>
  </si>
  <si>
    <t>L13</t>
  </si>
  <si>
    <t>M13</t>
  </si>
  <si>
    <t>A3503</t>
  </si>
  <si>
    <t>A3504</t>
  </si>
  <si>
    <t>A3605</t>
  </si>
  <si>
    <t>A3601</t>
  </si>
  <si>
    <t>A3602</t>
  </si>
  <si>
    <t>A3603</t>
  </si>
  <si>
    <t>(apportion the resulting additional deduction above, according to rate(s) of tax applicable)</t>
  </si>
  <si>
    <t>multiplied by</t>
  </si>
  <si>
    <t>[rate of tax]</t>
  </si>
  <si>
    <t>January</t>
  </si>
  <si>
    <t>A1626</t>
  </si>
  <si>
    <t>A1627</t>
  </si>
  <si>
    <t>A1628</t>
  </si>
  <si>
    <t>A1629</t>
  </si>
  <si>
    <t>A1630</t>
  </si>
  <si>
    <t>A1631</t>
  </si>
  <si>
    <t>A1632</t>
  </si>
  <si>
    <t>A1633</t>
  </si>
  <si>
    <t>A1634</t>
  </si>
  <si>
    <t>A1635</t>
  </si>
  <si>
    <t>A1636</t>
  </si>
  <si>
    <t>A1637</t>
  </si>
  <si>
    <t>A1638</t>
  </si>
  <si>
    <t>A1639</t>
  </si>
  <si>
    <t>Part of profit chargeable under other articles of the Income Tax Act</t>
  </si>
  <si>
    <t>Extraordinary income</t>
  </si>
  <si>
    <t>DIVIDENDS PAID DURING THE YEAR</t>
  </si>
  <si>
    <t>Untaxed Account</t>
  </si>
  <si>
    <t>Participating Holding</t>
  </si>
  <si>
    <t>J95</t>
  </si>
  <si>
    <t>K95</t>
  </si>
  <si>
    <t>A0579</t>
  </si>
  <si>
    <t>D96</t>
  </si>
  <si>
    <t>E96</t>
  </si>
  <si>
    <r>
      <t xml:space="preserve">INVESTMENT ALLOWANCE </t>
    </r>
    <r>
      <rPr>
        <sz val="10"/>
        <rFont val="Arial"/>
        <family val="2"/>
      </rPr>
      <t xml:space="preserve"> [ARTICLE 7 OF The Business Promotion Act]</t>
    </r>
  </si>
  <si>
    <r>
      <t xml:space="preserve">TAXED ACCOUNTS                                             </t>
    </r>
    <r>
      <rPr>
        <sz val="9"/>
        <rFont val="Arial"/>
        <family val="2"/>
      </rPr>
      <t xml:space="preserve">   [Allocation to Accounts for tax computation purposes only]</t>
    </r>
  </si>
  <si>
    <t>Total current assets</t>
  </si>
  <si>
    <t>TOTAL ASSETS</t>
  </si>
  <si>
    <t>Bank overdraft</t>
  </si>
  <si>
    <t>Short-term debt</t>
  </si>
  <si>
    <t xml:space="preserve">BPA Regulation 13 - [Incentives for Job Creation]   </t>
  </si>
  <si>
    <t>Documentation required</t>
  </si>
  <si>
    <t>A3941</t>
  </si>
  <si>
    <t>A3942</t>
  </si>
  <si>
    <t>S24</t>
  </si>
  <si>
    <t>U24</t>
  </si>
  <si>
    <t>SHA17</t>
  </si>
  <si>
    <r>
      <t xml:space="preserve">Realised profits on disposal of fixed assets </t>
    </r>
    <r>
      <rPr>
        <sz val="9"/>
        <rFont val="Arial"/>
        <family val="2"/>
      </rPr>
      <t>[Please specify below]</t>
    </r>
  </si>
  <si>
    <r>
      <t xml:space="preserve">Other deductions including unrealised gains </t>
    </r>
    <r>
      <rPr>
        <sz val="9"/>
        <rFont val="Arial"/>
        <family val="2"/>
      </rPr>
      <t>[Please specify below]</t>
    </r>
  </si>
  <si>
    <r>
      <t xml:space="preserve">Description                                                                </t>
    </r>
    <r>
      <rPr>
        <sz val="8"/>
        <color indexed="16"/>
        <rFont val="Arial"/>
        <family val="2"/>
      </rPr>
      <t xml:space="preserve">    [Allocation to Tax Accounts for tax computation purposes ONLY]</t>
    </r>
  </si>
  <si>
    <r>
      <t xml:space="preserve">Distributable profits </t>
    </r>
    <r>
      <rPr>
        <sz val="8"/>
        <color indexed="16"/>
        <rFont val="Arial"/>
        <family val="2"/>
      </rPr>
      <t>[before PROPOSED DIVIDENDS]</t>
    </r>
  </si>
  <si>
    <t>Accumulated depreciation of equipment for the production of water or electricity</t>
  </si>
  <si>
    <t>Amounts received by non-profit making organisations [NPOs]</t>
  </si>
  <si>
    <t>Membership fees received</t>
  </si>
  <si>
    <t>Ret. pg. 3</t>
  </si>
  <si>
    <t>Approved Training Tax Credit for the year [above]</t>
  </si>
  <si>
    <t>warrant holder under the Accountancy Profession Act</t>
  </si>
  <si>
    <t>member of the Malta Institute of Taxation</t>
  </si>
  <si>
    <t>partnership qualified to act as tax professional</t>
  </si>
  <si>
    <t>TRA 17_1</t>
  </si>
  <si>
    <t>TRA 17_2</t>
  </si>
  <si>
    <t>TRA 17_3</t>
  </si>
  <si>
    <t>ACT !!</t>
  </si>
  <si>
    <t>A1691</t>
  </si>
  <si>
    <t>D134</t>
  </si>
  <si>
    <t>E134</t>
  </si>
  <si>
    <t>F134</t>
  </si>
  <si>
    <t>A1692</t>
  </si>
  <si>
    <t>D135</t>
  </si>
  <si>
    <t>E135</t>
  </si>
  <si>
    <t>F135</t>
  </si>
  <si>
    <t>A1693</t>
  </si>
  <si>
    <t>D136</t>
  </si>
  <si>
    <t>E136</t>
  </si>
  <si>
    <t>F136</t>
  </si>
  <si>
    <t>A1701</t>
  </si>
  <si>
    <t>E5</t>
  </si>
  <si>
    <t>A1702</t>
  </si>
  <si>
    <t>A1703</t>
  </si>
  <si>
    <t>A1704</t>
  </si>
  <si>
    <t>A1705</t>
  </si>
  <si>
    <t>A1706</t>
  </si>
  <si>
    <t>A1707</t>
  </si>
  <si>
    <t>A1708</t>
  </si>
  <si>
    <t>Dividends proposed during the year</t>
  </si>
  <si>
    <t>O31</t>
  </si>
  <si>
    <t>O32</t>
  </si>
  <si>
    <t>R32</t>
  </si>
  <si>
    <t>O33</t>
  </si>
  <si>
    <t>O34</t>
  </si>
  <si>
    <t>R34</t>
  </si>
  <si>
    <t>O36</t>
  </si>
  <si>
    <t>Japanese Yen</t>
  </si>
  <si>
    <t>Name</t>
  </si>
  <si>
    <t>Libyan Dinar</t>
  </si>
  <si>
    <t xml:space="preserve">Asset Description </t>
  </si>
  <si>
    <t>Title</t>
  </si>
  <si>
    <t>B34</t>
  </si>
  <si>
    <t>C34</t>
  </si>
  <si>
    <t>D34</t>
  </si>
  <si>
    <t>E34</t>
  </si>
  <si>
    <t>F34</t>
  </si>
  <si>
    <t>G34</t>
  </si>
  <si>
    <t>I34</t>
  </si>
  <si>
    <t>J34</t>
  </si>
  <si>
    <t>K34</t>
  </si>
  <si>
    <t>A0526</t>
  </si>
  <si>
    <t>B35</t>
  </si>
  <si>
    <t>C35</t>
  </si>
  <si>
    <t>D35</t>
  </si>
  <si>
    <t>E35</t>
  </si>
  <si>
    <t>I35</t>
  </si>
  <si>
    <t>K35</t>
  </si>
  <si>
    <t>A0527</t>
  </si>
  <si>
    <t>C36</t>
  </si>
  <si>
    <t>D36</t>
  </si>
  <si>
    <t>E36</t>
  </si>
  <si>
    <t>H36</t>
  </si>
  <si>
    <t>I36</t>
  </si>
  <si>
    <t>J36</t>
  </si>
  <si>
    <t>K36</t>
  </si>
  <si>
    <t>A0528</t>
  </si>
  <si>
    <t>C37</t>
  </si>
  <si>
    <t>D37</t>
  </si>
  <si>
    <t>E37</t>
  </si>
  <si>
    <t>H37</t>
  </si>
  <si>
    <t>A1664</t>
  </si>
  <si>
    <t>E102</t>
  </si>
  <si>
    <t>H102</t>
  </si>
  <si>
    <t>A1665</t>
  </si>
  <si>
    <t>E104</t>
  </si>
  <si>
    <t>General Provisions</t>
  </si>
  <si>
    <t>Total Current liabilities</t>
  </si>
  <si>
    <t>Long term debt</t>
  </si>
  <si>
    <t>DEC02</t>
  </si>
  <si>
    <t>A43</t>
  </si>
  <si>
    <t>J43</t>
  </si>
  <si>
    <t>A0101</t>
  </si>
  <si>
    <t>B4</t>
  </si>
  <si>
    <t>G4</t>
  </si>
  <si>
    <t>A0102</t>
  </si>
  <si>
    <t>B5</t>
  </si>
  <si>
    <t>G5</t>
  </si>
  <si>
    <t>A0103</t>
  </si>
  <si>
    <t>B6</t>
  </si>
  <si>
    <t>G6</t>
  </si>
  <si>
    <t>A0104</t>
  </si>
  <si>
    <t>B7</t>
  </si>
  <si>
    <t>Income at reduced rates</t>
  </si>
  <si>
    <t>ipa</t>
  </si>
  <si>
    <t>W'holding tax [agriculture produce] claimed back</t>
  </si>
  <si>
    <t>D49</t>
  </si>
  <si>
    <t>H49</t>
  </si>
  <si>
    <t>I49</t>
  </si>
  <si>
    <t>J49</t>
  </si>
  <si>
    <t>K49</t>
  </si>
  <si>
    <t>H55</t>
  </si>
  <si>
    <t>I55</t>
  </si>
  <si>
    <t>Accumulated depreciation of furniture, fixtures, fittings and soft furnishings</t>
  </si>
  <si>
    <t>Missing details!</t>
  </si>
  <si>
    <t xml:space="preserve"> No deduction!</t>
  </si>
  <si>
    <t>Donations (Sports and Culture) Rules, 2008</t>
  </si>
  <si>
    <t>Approval by the Malta Eneterprise (Current year of assessment)</t>
  </si>
  <si>
    <t>ME Act - LN 107 of 2010 - Tax Credit for Micro Enterprises</t>
  </si>
  <si>
    <t>Claim for deduction [Rule 3]</t>
  </si>
  <si>
    <t xml:space="preserve">Please indicate the number donation(s) made                 </t>
  </si>
  <si>
    <t xml:space="preserve">Type of Donation    </t>
  </si>
  <si>
    <t>Brief description of Asset(s) donated</t>
  </si>
  <si>
    <t>Premiums and other income from property</t>
  </si>
  <si>
    <t>Discounts or premiums                                      [Article 4 (1)(c) ITA]</t>
  </si>
  <si>
    <t>STA36</t>
  </si>
  <si>
    <t>STA37</t>
  </si>
  <si>
    <t>STA38</t>
  </si>
  <si>
    <t>STA39</t>
  </si>
  <si>
    <t>STA40</t>
  </si>
  <si>
    <t>STA41</t>
  </si>
  <si>
    <t>STA42</t>
  </si>
  <si>
    <t>STA43</t>
  </si>
  <si>
    <t>STA44</t>
  </si>
  <si>
    <t>A0116</t>
  </si>
  <si>
    <t>A0117</t>
  </si>
  <si>
    <t>ITA - LN 13 of 2011 - Deductions (Electric Vehicles) Rules 2011</t>
  </si>
  <si>
    <t>ITA  -  LN 324 of 2011</t>
  </si>
  <si>
    <t>Securitisation Transactions (Deductions) Rules, 2011</t>
  </si>
  <si>
    <t>Additional deductions in accordance with Rule 4 (1)</t>
  </si>
  <si>
    <t>Reported in Income Statement?</t>
  </si>
  <si>
    <t>Profit Adjustment for the year</t>
  </si>
  <si>
    <t>Sums payable by the securitisation vehicle to the originator or assignor (Rule 4(1)(a))</t>
  </si>
  <si>
    <t>Premiums, interest or discounts in relation to financial instrument or funds borrowed (Rule 4(1)(b))</t>
  </si>
  <si>
    <t>Other expenditure incurred in respect of the day to day administration of the securitisation vehicle itself (Rule 4(1)(c))</t>
  </si>
  <si>
    <t>Has the originator or assignor given his irrevocable consent for the exercise of such option?</t>
  </si>
  <si>
    <t>Details of originator / assignor</t>
  </si>
  <si>
    <t>Place where management and control of the originator / assignor is exercised</t>
  </si>
  <si>
    <t>Have all the conditions set by the Rules been satisfied?</t>
  </si>
  <si>
    <t>ITA  -  LN 23 of 2013 - Donations (Creativity Trust) Rules, 2013</t>
  </si>
  <si>
    <t>TRA 80</t>
  </si>
  <si>
    <t>TRA 81</t>
  </si>
  <si>
    <t>ME Act - LN 456 of 2012 (Rule 14)   Tax Credit for restoration works on protected buildings ...</t>
  </si>
  <si>
    <t>No passive income (page 2)!</t>
  </si>
  <si>
    <t>warn&gt;</t>
  </si>
  <si>
    <t>A3628</t>
  </si>
  <si>
    <t>A3629</t>
  </si>
  <si>
    <t>A3630</t>
  </si>
  <si>
    <t>A4730</t>
  </si>
  <si>
    <t>A4731</t>
  </si>
  <si>
    <t>A4732</t>
  </si>
  <si>
    <t>A4801</t>
  </si>
  <si>
    <t>A4802</t>
  </si>
  <si>
    <t>A4803</t>
  </si>
  <si>
    <t>A4804</t>
  </si>
  <si>
    <t>A4805</t>
  </si>
  <si>
    <t>A4806</t>
  </si>
  <si>
    <t>A4807</t>
  </si>
  <si>
    <t>A4808</t>
  </si>
  <si>
    <t>A4809</t>
  </si>
  <si>
    <t>A4810</t>
  </si>
  <si>
    <t>A4811</t>
  </si>
  <si>
    <t>Not all capital losses absorbed!</t>
  </si>
  <si>
    <t>Unavailed expenditure carried forward</t>
  </si>
  <si>
    <t>Thresholds</t>
  </si>
  <si>
    <t>Tax Credit</t>
  </si>
  <si>
    <t>Threshold reduced by value of other benefits</t>
  </si>
  <si>
    <t>A3631</t>
  </si>
  <si>
    <t>A3701</t>
  </si>
  <si>
    <t>A3702</t>
  </si>
  <si>
    <t>Due to shareholder(s) and / or director(s) and / or related parties</t>
  </si>
  <si>
    <t>Short-term loans and / or advances due to individual shareholder(s)</t>
  </si>
  <si>
    <t>Notes to the financial statements</t>
  </si>
  <si>
    <t>Unabsorbed Group Loss carried forward</t>
  </si>
  <si>
    <t>Long-term amounts due to shareholder(s) /director(s) and / or related parties</t>
  </si>
  <si>
    <t>Accumulated depreciation of plant and machinery</t>
  </si>
  <si>
    <t>Motor vehicles</t>
  </si>
  <si>
    <t>Accumulated depreciation of motor vehicles</t>
  </si>
  <si>
    <t xml:space="preserve">Validations are present in all sheets. </t>
  </si>
  <si>
    <t>DISCLAIMER</t>
  </si>
  <si>
    <t>D44</t>
  </si>
  <si>
    <t>G44</t>
  </si>
  <si>
    <t>H44</t>
  </si>
  <si>
    <t>I44</t>
  </si>
  <si>
    <t>J44</t>
  </si>
  <si>
    <t>K44</t>
  </si>
  <si>
    <t>A0536</t>
  </si>
  <si>
    <t>C45</t>
  </si>
  <si>
    <t>D45</t>
  </si>
  <si>
    <t>G45</t>
  </si>
  <si>
    <t>H45</t>
  </si>
  <si>
    <t>I45</t>
  </si>
  <si>
    <t>K45</t>
  </si>
  <si>
    <t>A0537</t>
  </si>
  <si>
    <t>C46</t>
  </si>
  <si>
    <t>D46</t>
  </si>
  <si>
    <t>G46</t>
  </si>
  <si>
    <t>H46</t>
  </si>
  <si>
    <t>I46</t>
  </si>
  <si>
    <t>J46</t>
  </si>
  <si>
    <t>K46</t>
  </si>
  <si>
    <t>A0538</t>
  </si>
  <si>
    <t>C47</t>
  </si>
  <si>
    <t>D47</t>
  </si>
  <si>
    <t>F47</t>
  </si>
  <si>
    <t>G47</t>
  </si>
  <si>
    <t>H47</t>
  </si>
  <si>
    <t>A5326</t>
  </si>
  <si>
    <t>A5327</t>
  </si>
  <si>
    <t>Due from shareholder(s) and / or director(s) and related parties - current portion</t>
  </si>
  <si>
    <t>Has the scientific research been carried out in Malta?</t>
  </si>
  <si>
    <t>STA67</t>
  </si>
  <si>
    <t>STA68</t>
  </si>
  <si>
    <t>STA69</t>
  </si>
  <si>
    <t>STA70</t>
  </si>
  <si>
    <t>STA71</t>
  </si>
  <si>
    <t>A75</t>
  </si>
  <si>
    <t>STA72</t>
  </si>
  <si>
    <t>A76</t>
  </si>
  <si>
    <t>STA73</t>
  </si>
  <si>
    <t>A77</t>
  </si>
  <si>
    <t>STA74</t>
  </si>
  <si>
    <t>A78</t>
  </si>
  <si>
    <t>STA75</t>
  </si>
  <si>
    <t>A79</t>
  </si>
  <si>
    <t>STA76</t>
  </si>
  <si>
    <t>A80</t>
  </si>
  <si>
    <t>STA77</t>
  </si>
  <si>
    <t>A81</t>
  </si>
  <si>
    <t>STA78</t>
  </si>
  <si>
    <t>A82</t>
  </si>
  <si>
    <t>TOTAL SHAREHOLDER EQUITY</t>
  </si>
  <si>
    <t>COM10</t>
  </si>
  <si>
    <t>G66</t>
  </si>
  <si>
    <t>M66</t>
  </si>
  <si>
    <t>S66</t>
  </si>
  <si>
    <t>Y66</t>
  </si>
  <si>
    <t>COM11</t>
  </si>
  <si>
    <t>Z70</t>
  </si>
  <si>
    <t>COM12</t>
  </si>
  <si>
    <t>V2</t>
  </si>
  <si>
    <t>QUE01</t>
  </si>
  <si>
    <t>G7</t>
  </si>
  <si>
    <t>QUE02</t>
  </si>
  <si>
    <t>G8</t>
  </si>
  <si>
    <t>QUE03</t>
  </si>
  <si>
    <t>G9</t>
  </si>
  <si>
    <t>QUE04</t>
  </si>
  <si>
    <t>G10</t>
  </si>
  <si>
    <t>QUE05</t>
  </si>
  <si>
    <t>G11</t>
  </si>
  <si>
    <t>QUE06</t>
  </si>
  <si>
    <t>G12</t>
  </si>
  <si>
    <t>QUE07</t>
  </si>
  <si>
    <t>Licences, permits and membership</t>
  </si>
  <si>
    <t>Membership and subscription fees</t>
  </si>
  <si>
    <t>Franchise fees</t>
  </si>
  <si>
    <t>U79</t>
  </si>
  <si>
    <t>U80</t>
  </si>
  <si>
    <t>U82</t>
  </si>
  <si>
    <t>U83</t>
  </si>
  <si>
    <t>A7301</t>
  </si>
  <si>
    <t>A7302</t>
  </si>
  <si>
    <t>A7303</t>
  </si>
  <si>
    <t>A7304</t>
  </si>
  <si>
    <t>A7305</t>
  </si>
  <si>
    <t>A7306</t>
  </si>
  <si>
    <t>A7307</t>
  </si>
  <si>
    <t>A7308</t>
  </si>
  <si>
    <t>A7309</t>
  </si>
  <si>
    <t>A7310</t>
  </si>
  <si>
    <t>A7311</t>
  </si>
  <si>
    <t>A7312</t>
  </si>
  <si>
    <t>A7313</t>
  </si>
  <si>
    <t>A7314</t>
  </si>
  <si>
    <t>A7315</t>
  </si>
  <si>
    <t>A7401</t>
  </si>
  <si>
    <t>A7402</t>
  </si>
  <si>
    <t>A7403</t>
  </si>
  <si>
    <t>A7404</t>
  </si>
  <si>
    <t>A7405</t>
  </si>
  <si>
    <t>A7406</t>
  </si>
  <si>
    <t>A7407</t>
  </si>
  <si>
    <t>A7408</t>
  </si>
  <si>
    <t>A7409</t>
  </si>
  <si>
    <t>A7410</t>
  </si>
  <si>
    <t>A7411</t>
  </si>
  <si>
    <t>A7412</t>
  </si>
  <si>
    <t>A7413</t>
  </si>
  <si>
    <t>A7414</t>
  </si>
  <si>
    <t>A7415</t>
  </si>
  <si>
    <t>A7416</t>
  </si>
  <si>
    <t>A7417</t>
  </si>
  <si>
    <t>A7418</t>
  </si>
  <si>
    <t>A7419</t>
  </si>
  <si>
    <t>A6209</t>
  </si>
  <si>
    <t>A6210</t>
  </si>
  <si>
    <t>A6211</t>
  </si>
  <si>
    <t>A6212</t>
  </si>
  <si>
    <t>A6213</t>
  </si>
  <si>
    <t>A6214</t>
  </si>
  <si>
    <t>A6215</t>
  </si>
  <si>
    <t>A6216</t>
  </si>
  <si>
    <t>A62A01</t>
  </si>
  <si>
    <t>A62A02</t>
  </si>
  <si>
    <t>A62A03</t>
  </si>
  <si>
    <t>A62A04</t>
  </si>
  <si>
    <t>A62A05</t>
  </si>
  <si>
    <t>A62A06</t>
  </si>
  <si>
    <t>A62A07</t>
  </si>
  <si>
    <t>A62A08</t>
  </si>
  <si>
    <t>A62A09</t>
  </si>
  <si>
    <t>A62A10</t>
  </si>
  <si>
    <t>A62A11</t>
  </si>
  <si>
    <t>A62A12</t>
  </si>
  <si>
    <t>A6103</t>
  </si>
  <si>
    <t>A6104</t>
  </si>
  <si>
    <t>F98</t>
  </si>
  <si>
    <t>A4214</t>
  </si>
  <si>
    <r>
      <t>2</t>
    </r>
    <r>
      <rPr>
        <sz val="10"/>
        <color indexed="16"/>
        <rFont val="Arial"/>
        <family val="2"/>
      </rPr>
      <t xml:space="preserve"> When the receipt details and amounts listed above do not agree with your payment records:</t>
    </r>
  </si>
  <si>
    <t>Annual           W &amp; T</t>
  </si>
  <si>
    <t>WDV           [to-date] c/fwd</t>
  </si>
  <si>
    <t>Bal Stat</t>
  </si>
  <si>
    <t>TRA 05_1</t>
  </si>
  <si>
    <t>Number of years dep'n</t>
  </si>
  <si>
    <t>Total Tangible Assets</t>
  </si>
  <si>
    <t>I27</t>
  </si>
  <si>
    <t>J27</t>
  </si>
  <si>
    <t>A0215</t>
  </si>
  <si>
    <t>Swedish Krona</t>
  </si>
  <si>
    <t>Swiss Franc</t>
  </si>
  <si>
    <t>Turkish Lira</t>
  </si>
  <si>
    <t>TRA 35</t>
  </si>
  <si>
    <t>ALL THE DETAILS SECTION MUST BE FILLED IN BEFORE PROCEEDING FURTHER!!</t>
  </si>
  <si>
    <t>A4705</t>
  </si>
  <si>
    <t>A4706</t>
  </si>
  <si>
    <t>A4707</t>
  </si>
  <si>
    <t>A4708</t>
  </si>
  <si>
    <t>A4709</t>
  </si>
  <si>
    <t>A4710</t>
  </si>
  <si>
    <t>F106</t>
  </si>
  <si>
    <t>Transfer Value</t>
  </si>
  <si>
    <t>ITA - Capital gain/(loss) - Immovable Property</t>
  </si>
  <si>
    <t>NTOM licence</t>
  </si>
  <si>
    <t>Loss transferred between Tax Accounts</t>
  </si>
  <si>
    <t>Distinguish between ITA and BPA.         [Default ITA ]</t>
  </si>
  <si>
    <t>Please indicate the number of athletes and/or sports Regulatory Bodies to whom donation(s) were made</t>
  </si>
  <si>
    <t>Consideration paid for the use of the immovable property</t>
  </si>
  <si>
    <t>16 to 22</t>
  </si>
  <si>
    <t>GROUP LOSS RELIEF</t>
  </si>
  <si>
    <t>Loss SURRENDERED to group company/companies</t>
  </si>
  <si>
    <t>Page 5</t>
  </si>
  <si>
    <t>Self-Assessment Computation</t>
  </si>
  <si>
    <t>Page 6</t>
  </si>
  <si>
    <t>Short-term loans and / or advances due to members [NPOs]</t>
  </si>
  <si>
    <t>Short-term loans and / or advances due to joint venture(s)/partnership(s)</t>
  </si>
  <si>
    <t xml:space="preserve">Capital Allowances for the Year attaching to source of income included as  </t>
  </si>
  <si>
    <t xml:space="preserve">Balancing amounts attaching to source of income included as  </t>
  </si>
  <si>
    <t>A0625</t>
  </si>
  <si>
    <t>A0626</t>
  </si>
  <si>
    <t>A0627</t>
  </si>
  <si>
    <t>A0701</t>
  </si>
  <si>
    <t>H83</t>
  </si>
  <si>
    <t>I83</t>
  </si>
  <si>
    <t>J83</t>
  </si>
  <si>
    <t>K83</t>
  </si>
  <si>
    <t>A0571</t>
  </si>
  <si>
    <t>D53</t>
  </si>
  <si>
    <t>H53</t>
  </si>
  <si>
    <t>Depreciation of ships and vessels</t>
  </si>
  <si>
    <t>Depreciation of shipping equipment</t>
  </si>
  <si>
    <t>Depreciation of aircraft</t>
  </si>
  <si>
    <t>Depreciation of commercial vehicles</t>
  </si>
  <si>
    <t>B103</t>
  </si>
  <si>
    <t>B104</t>
  </si>
  <si>
    <t>Accumulated depreciation of other machinery</t>
  </si>
  <si>
    <t>Other tangible assets</t>
  </si>
  <si>
    <t>Accumulated depreciation of other tangible assets</t>
  </si>
  <si>
    <t xml:space="preserve">Income from overseas permanent establishment </t>
  </si>
  <si>
    <t>I167</t>
  </si>
  <si>
    <t>I168</t>
  </si>
  <si>
    <t>I169</t>
  </si>
  <si>
    <t>I170</t>
  </si>
  <si>
    <t>D114</t>
  </si>
  <si>
    <t>E114</t>
  </si>
  <si>
    <t>Capital Allowances Schedule - INCOME TAX ACT CAP 123</t>
  </si>
  <si>
    <t>Code</t>
  </si>
  <si>
    <t>Dr ( + ) or Cr ( - )</t>
  </si>
  <si>
    <t>Intangible assets</t>
  </si>
  <si>
    <t>Rate of increase as prescribed in the guidelines [expressed as a percentage]</t>
  </si>
  <si>
    <t xml:space="preserve">Have all the conditions, set out in the Regulations been satisfied?    </t>
  </si>
  <si>
    <t>not = 100%  &gt;</t>
  </si>
  <si>
    <t>J22</t>
  </si>
  <si>
    <t>A0210</t>
  </si>
  <si>
    <t>Total deductions claimed under these rules</t>
  </si>
  <si>
    <t>(a) the Superintendent of Cultural Heritage</t>
  </si>
  <si>
    <t>(b) Heritage Malta</t>
  </si>
  <si>
    <t>(c) Fondazzjoni Patrimonju Malti</t>
  </si>
  <si>
    <t>Balancing charge</t>
  </si>
  <si>
    <t>TRA04</t>
  </si>
  <si>
    <t>Capital Allowances</t>
  </si>
  <si>
    <t/>
  </si>
  <si>
    <t>Brought forward</t>
  </si>
  <si>
    <t>A0319</t>
  </si>
  <si>
    <t>B62</t>
  </si>
  <si>
    <t>E62</t>
  </si>
  <si>
    <t>TRA 17</t>
  </si>
  <si>
    <t>TRA 18</t>
  </si>
  <si>
    <t>Name of Recipient                                                                            (Arts Fund or Cultural Organisation)</t>
  </si>
  <si>
    <t>Tax Computation                                    [page 4 of tax return]</t>
  </si>
  <si>
    <t>TRA 23</t>
  </si>
  <si>
    <t>G124</t>
  </si>
  <si>
    <t>G126</t>
  </si>
  <si>
    <t>Preparation and Audit</t>
  </si>
  <si>
    <t>A2713</t>
  </si>
  <si>
    <t>A2714</t>
  </si>
  <si>
    <t>A2715</t>
  </si>
  <si>
    <t>d)   Where applicable, the written approval by ETC for claims of cash grant(s) in lieu of additional deductions.</t>
  </si>
  <si>
    <t>TRA 63</t>
  </si>
  <si>
    <t xml:space="preserve"> 5.00</t>
  </si>
  <si>
    <t>No Foreign Income Account selected on page 2 of the return!!</t>
  </si>
  <si>
    <t>No dividends paid reported on page 2 of the return!!</t>
  </si>
  <si>
    <t xml:space="preserve">  for the basis year </t>
  </si>
  <si>
    <t>Article 4 of the B.P.A.</t>
  </si>
  <si>
    <t>tax holiday</t>
  </si>
  <si>
    <t>Communication and Broadcasting Equipment</t>
  </si>
  <si>
    <t>Medical Equipment</t>
  </si>
  <si>
    <t xml:space="preserve">Lifts and Escalators </t>
  </si>
  <si>
    <t>Income having suffered tax @</t>
  </si>
  <si>
    <t xml:space="preserve">  %</t>
  </si>
  <si>
    <t>TRA 27</t>
  </si>
  <si>
    <t>TRA 29</t>
  </si>
  <si>
    <t>TRA28</t>
  </si>
  <si>
    <t>TRA36</t>
  </si>
  <si>
    <t>TRA37</t>
  </si>
  <si>
    <t>TRA39</t>
  </si>
  <si>
    <t>TRA40</t>
  </si>
  <si>
    <t>Record of Retained Profits and Distributions</t>
  </si>
  <si>
    <t>Page 7</t>
  </si>
  <si>
    <t>O80</t>
  </si>
  <si>
    <t>SHA01</t>
  </si>
  <si>
    <t>B9</t>
  </si>
  <si>
    <t>E9</t>
  </si>
  <si>
    <t>L9</t>
  </si>
  <si>
    <t>M9</t>
  </si>
  <si>
    <t>Chargeable income and tax thereon from activities referred to in regulation 14(6) [Brief description of activity required]</t>
  </si>
  <si>
    <t>Act and article</t>
  </si>
  <si>
    <t>J29</t>
  </si>
  <si>
    <t>A0217</t>
  </si>
  <si>
    <t>A30</t>
  </si>
  <si>
    <t>D30</t>
  </si>
  <si>
    <t>H30</t>
  </si>
  <si>
    <t>I30</t>
  </si>
  <si>
    <t>J30</t>
  </si>
  <si>
    <t>A0218</t>
  </si>
  <si>
    <t>A31</t>
  </si>
  <si>
    <t>D31</t>
  </si>
  <si>
    <t>G31</t>
  </si>
  <si>
    <t>D122</t>
  </si>
  <si>
    <t>E122</t>
  </si>
  <si>
    <t>A2020</t>
  </si>
  <si>
    <t>Description !</t>
  </si>
  <si>
    <t>b</t>
  </si>
  <si>
    <t>Amount !</t>
  </si>
  <si>
    <t xml:space="preserve"> Check allocation for the year</t>
  </si>
  <si>
    <t xml:space="preserve"> (TRA 61)</t>
  </si>
  <si>
    <t xml:space="preserve"> (TRA 62)</t>
  </si>
  <si>
    <t xml:space="preserve"> (TRA 63)</t>
  </si>
  <si>
    <t>Proposed dividends</t>
  </si>
  <si>
    <t>Non dist res</t>
  </si>
  <si>
    <t>Dist reserves</t>
  </si>
  <si>
    <t>Cost of instruments and equipment</t>
  </si>
  <si>
    <t>5(2)(b)</t>
  </si>
  <si>
    <t>Date of application filed with Malta Enterprise (ME)</t>
  </si>
  <si>
    <t>Cost of land and premises</t>
  </si>
  <si>
    <t>5(2)(c)</t>
  </si>
  <si>
    <t>end</t>
  </si>
  <si>
    <t>A4212</t>
  </si>
  <si>
    <t>A4213</t>
  </si>
  <si>
    <t>Description &amp; Rate!</t>
  </si>
  <si>
    <t xml:space="preserve">-   either because the payments have been effected for a year or years of assessment other than the year indicated at the top of the sheet; or </t>
  </si>
  <si>
    <t>A1802</t>
  </si>
  <si>
    <t>A1803</t>
  </si>
  <si>
    <t>A1804</t>
  </si>
  <si>
    <t>A1805</t>
  </si>
  <si>
    <t>A1806</t>
  </si>
  <si>
    <t>D91</t>
  </si>
  <si>
    <t>E91</t>
  </si>
  <si>
    <t>F91</t>
  </si>
  <si>
    <t>G91</t>
  </si>
  <si>
    <t>I91</t>
  </si>
  <si>
    <t>A16</t>
  </si>
  <si>
    <t>SUP11</t>
  </si>
  <si>
    <t>A17</t>
  </si>
  <si>
    <t>SUP12</t>
  </si>
  <si>
    <t>A18</t>
  </si>
  <si>
    <t>SUP13</t>
  </si>
  <si>
    <t>A19</t>
  </si>
  <si>
    <t>SUP14</t>
  </si>
  <si>
    <t>A20</t>
  </si>
  <si>
    <t>SUP15</t>
  </si>
  <si>
    <t>A21</t>
  </si>
  <si>
    <t>SUP16</t>
  </si>
  <si>
    <t>A22</t>
  </si>
  <si>
    <t>SUP17</t>
  </si>
  <si>
    <t>A23</t>
  </si>
  <si>
    <t>SUP18</t>
  </si>
  <si>
    <t>A24</t>
  </si>
  <si>
    <t>SUP19</t>
  </si>
  <si>
    <t>A25</t>
  </si>
  <si>
    <t>SUP20</t>
  </si>
  <si>
    <t>A26</t>
  </si>
  <si>
    <t>SUP21</t>
  </si>
  <si>
    <t>A27</t>
  </si>
  <si>
    <t>DEC01</t>
  </si>
  <si>
    <t>Maximum increased deduction that can be claimed [limited to 5% of turnover]</t>
  </si>
  <si>
    <t>Total increased deduction that stands to be claimed for the current Y/A</t>
  </si>
  <si>
    <t>Deferred exploration and development charges</t>
  </si>
  <si>
    <t>Accumulated depreciation of deferred exploration and devevelopment charges</t>
  </si>
  <si>
    <t>Quarries</t>
  </si>
  <si>
    <t>Accumulated depreciation of quarries</t>
  </si>
  <si>
    <t>Plant and machinery</t>
  </si>
  <si>
    <t>Other long-term assets</t>
  </si>
  <si>
    <t>a6814</t>
  </si>
  <si>
    <t>a6901</t>
  </si>
  <si>
    <t>a6902</t>
  </si>
  <si>
    <t>a6903</t>
  </si>
  <si>
    <t>a6904</t>
  </si>
  <si>
    <t>a6905</t>
  </si>
  <si>
    <t>a6906</t>
  </si>
  <si>
    <t>a6907</t>
  </si>
  <si>
    <t>a6908</t>
  </si>
  <si>
    <t>a6909</t>
  </si>
  <si>
    <t>a6910</t>
  </si>
  <si>
    <t>a6911</t>
  </si>
  <si>
    <t>a6912</t>
  </si>
  <si>
    <t>a7001</t>
  </si>
  <si>
    <t>a7002</t>
  </si>
  <si>
    <t>a7003</t>
  </si>
  <si>
    <t>a7004</t>
  </si>
  <si>
    <t>a7005</t>
  </si>
  <si>
    <t>a7006</t>
  </si>
  <si>
    <t>a7007</t>
  </si>
  <si>
    <t>a7008</t>
  </si>
  <si>
    <t>a7009</t>
  </si>
  <si>
    <t>a7010</t>
  </si>
  <si>
    <t>a7011</t>
  </si>
  <si>
    <t>a7012</t>
  </si>
  <si>
    <t>a7013</t>
  </si>
  <si>
    <t>a7014</t>
  </si>
  <si>
    <t>a7015</t>
  </si>
  <si>
    <t>a7101</t>
  </si>
  <si>
    <t>a7102</t>
  </si>
  <si>
    <t>a7103</t>
  </si>
  <si>
    <t>a7104</t>
  </si>
  <si>
    <t>a7105</t>
  </si>
  <si>
    <t>a7106</t>
  </si>
  <si>
    <t>a7107</t>
  </si>
  <si>
    <t>a7108</t>
  </si>
  <si>
    <t>a7109</t>
  </si>
  <si>
    <t>a7110</t>
  </si>
  <si>
    <t>a7111</t>
  </si>
  <si>
    <t>a7112</t>
  </si>
  <si>
    <t>a7113</t>
  </si>
  <si>
    <t>State whether the Company</t>
  </si>
  <si>
    <t>y</t>
  </si>
  <si>
    <t>EMPTY FIELD !</t>
  </si>
  <si>
    <t>Social Security Contributions - Directors</t>
  </si>
  <si>
    <t>Staff Training &amp; Education</t>
  </si>
  <si>
    <t>Staff Safety</t>
  </si>
  <si>
    <t>Staff Welfare</t>
  </si>
  <si>
    <t>A4220</t>
  </si>
  <si>
    <t>A4221</t>
  </si>
  <si>
    <t>A4222</t>
  </si>
  <si>
    <t>A4223</t>
  </si>
  <si>
    <t>A4224</t>
  </si>
  <si>
    <t>A4225</t>
  </si>
  <si>
    <t>A4226</t>
  </si>
  <si>
    <t>A4227</t>
  </si>
  <si>
    <t>A4228</t>
  </si>
  <si>
    <t>A4229</t>
  </si>
  <si>
    <t>A4230</t>
  </si>
  <si>
    <t>A4231</t>
  </si>
  <si>
    <t>A4232</t>
  </si>
  <si>
    <t>A4233</t>
  </si>
  <si>
    <t>A4234</t>
  </si>
  <si>
    <t>A4235</t>
  </si>
  <si>
    <t>A4236</t>
  </si>
  <si>
    <t>0</t>
  </si>
  <si>
    <t>A6024</t>
  </si>
  <si>
    <t>A6025</t>
  </si>
  <si>
    <t>a7114</t>
  </si>
  <si>
    <t>a7115</t>
  </si>
  <si>
    <t>IND35</t>
  </si>
  <si>
    <t>IND36</t>
  </si>
  <si>
    <t>A7801</t>
  </si>
  <si>
    <t>A7802</t>
  </si>
  <si>
    <t>A7803</t>
  </si>
  <si>
    <t>A7804</t>
  </si>
  <si>
    <t>A7805</t>
  </si>
  <si>
    <t>A7806</t>
  </si>
  <si>
    <t>A7807</t>
  </si>
  <si>
    <t>A7901</t>
  </si>
  <si>
    <t>A7902</t>
  </si>
  <si>
    <t>A7903</t>
  </si>
  <si>
    <t>A7904</t>
  </si>
  <si>
    <t>A7905</t>
  </si>
  <si>
    <t>A7906</t>
  </si>
  <si>
    <t>A7907</t>
  </si>
  <si>
    <t>A7908</t>
  </si>
  <si>
    <t>A7909</t>
  </si>
  <si>
    <t>A7910</t>
  </si>
  <si>
    <t>A7911</t>
  </si>
  <si>
    <t>A8001</t>
  </si>
  <si>
    <t>A8002</t>
  </si>
  <si>
    <t>A8003</t>
  </si>
  <si>
    <t>A8004</t>
  </si>
  <si>
    <t>A8005</t>
  </si>
  <si>
    <t>A8006</t>
  </si>
  <si>
    <t>A8007</t>
  </si>
  <si>
    <t>A8008</t>
  </si>
  <si>
    <t>A8009</t>
  </si>
  <si>
    <t>A8010</t>
  </si>
  <si>
    <t>A8011</t>
  </si>
  <si>
    <t>A8012</t>
  </si>
  <si>
    <t>A8013</t>
  </si>
  <si>
    <t>A8014</t>
  </si>
  <si>
    <t>A8015</t>
  </si>
  <si>
    <t>A8101</t>
  </si>
  <si>
    <t>A8102</t>
  </si>
  <si>
    <t>A8103</t>
  </si>
  <si>
    <t>A8104</t>
  </si>
  <si>
    <t>A8105</t>
  </si>
  <si>
    <t>A8106</t>
  </si>
  <si>
    <t>A8107</t>
  </si>
  <si>
    <t>A8108</t>
  </si>
  <si>
    <t>A8109</t>
  </si>
  <si>
    <t>A8110</t>
  </si>
  <si>
    <t>A8201</t>
  </si>
  <si>
    <t>A8202</t>
  </si>
  <si>
    <t>A8203</t>
  </si>
  <si>
    <t>A8204</t>
  </si>
  <si>
    <t>A8205</t>
  </si>
  <si>
    <t>A8206</t>
  </si>
  <si>
    <t>A8207</t>
  </si>
  <si>
    <t>A8208</t>
  </si>
  <si>
    <t>A8209</t>
  </si>
  <si>
    <t>A8210</t>
  </si>
  <si>
    <t>A8211</t>
  </si>
  <si>
    <t>A8212</t>
  </si>
  <si>
    <t>A8213</t>
  </si>
  <si>
    <t>A8214</t>
  </si>
  <si>
    <t>A8215</t>
  </si>
  <si>
    <t>A8216</t>
  </si>
  <si>
    <t>A8217</t>
  </si>
  <si>
    <t>A8218</t>
  </si>
  <si>
    <t>A8219</t>
  </si>
  <si>
    <t>A8220</t>
  </si>
  <si>
    <t>A8221</t>
  </si>
  <si>
    <t>A8222</t>
  </si>
  <si>
    <t>A8223</t>
  </si>
  <si>
    <t>A8224</t>
  </si>
  <si>
    <t>A8225</t>
  </si>
  <si>
    <t>A8226</t>
  </si>
  <si>
    <t>A8227</t>
  </si>
  <si>
    <t>A8228</t>
  </si>
  <si>
    <t>A8229</t>
  </si>
  <si>
    <t>A8230</t>
  </si>
  <si>
    <t>A70</t>
  </si>
  <si>
    <t>A8231</t>
  </si>
  <si>
    <t>A8232</t>
  </si>
  <si>
    <t>A8233</t>
  </si>
  <si>
    <t>A8234</t>
  </si>
  <si>
    <t>A8235</t>
  </si>
  <si>
    <t>A8236</t>
  </si>
  <si>
    <t>A8237</t>
  </si>
  <si>
    <t>A8238</t>
  </si>
  <si>
    <t>A8239</t>
  </si>
  <si>
    <t>A8240</t>
  </si>
  <si>
    <t>A8241</t>
  </si>
  <si>
    <t>A8242</t>
  </si>
  <si>
    <t>A8243</t>
  </si>
  <si>
    <t>A8244</t>
  </si>
  <si>
    <t>A8245</t>
  </si>
  <si>
    <t>A85</t>
  </si>
  <si>
    <t>A8246</t>
  </si>
  <si>
    <t>A8247</t>
  </si>
  <si>
    <t>A8248</t>
  </si>
  <si>
    <t>QUE47</t>
  </si>
  <si>
    <t>TRA78</t>
  </si>
  <si>
    <t>TRA79</t>
  </si>
  <si>
    <t>TRA80</t>
  </si>
  <si>
    <t>TRA81</t>
  </si>
  <si>
    <t>TRA82</t>
  </si>
  <si>
    <t>A7808</t>
  </si>
  <si>
    <t>NEU</t>
  </si>
  <si>
    <t>L59</t>
  </si>
  <si>
    <t>L62</t>
  </si>
  <si>
    <t>L64</t>
  </si>
  <si>
    <t>L65</t>
  </si>
  <si>
    <t>L66</t>
  </si>
  <si>
    <t>L69</t>
  </si>
  <si>
    <t>L72</t>
  </si>
  <si>
    <t>L80</t>
  </si>
  <si>
    <t>L81</t>
  </si>
  <si>
    <t>L83</t>
  </si>
  <si>
    <t>A7513</t>
  </si>
  <si>
    <t>A7613</t>
  </si>
  <si>
    <t>Please indicate the average number of employees, including office holders of the company during the accounting period</t>
  </si>
  <si>
    <t>Remuneration paid and Employer's share of SSC</t>
  </si>
  <si>
    <t>Wages and Salaries Reported under the Final Settlement System</t>
  </si>
  <si>
    <t>directors' remuneration reported</t>
  </si>
  <si>
    <t>Remuneration paid that is NOT Reported under the Final Settlement System</t>
  </si>
  <si>
    <t>Persons liable to tax in Malta and Directors' remuneration</t>
  </si>
  <si>
    <t>Persons not liable to tax in Malta</t>
  </si>
  <si>
    <t>Are there any wages or salaries or Directors' remuneration reported under the Final Settlement System?</t>
  </si>
  <si>
    <t>Please indicate in the space provided the PE number(s) under which wages, salaries, emoluments etc. paid by the company, have been reported.  Include other PE numbers used, in the space provided below.</t>
  </si>
  <si>
    <t>PE (Employer) Number</t>
  </si>
  <si>
    <t>Number of Employees</t>
  </si>
  <si>
    <t>Number of Directors</t>
  </si>
  <si>
    <t>Counts</t>
  </si>
  <si>
    <t>Unallocated Amount</t>
  </si>
  <si>
    <t>A5143</t>
  </si>
  <si>
    <t>A5201</t>
  </si>
  <si>
    <t>A5202</t>
  </si>
  <si>
    <t>A5203</t>
  </si>
  <si>
    <t>A5204</t>
  </si>
  <si>
    <t>A5205</t>
  </si>
  <si>
    <t>A5206</t>
  </si>
  <si>
    <t>A5207</t>
  </si>
  <si>
    <t>A5208</t>
  </si>
  <si>
    <t>A5209</t>
  </si>
  <si>
    <t>A5210</t>
  </si>
  <si>
    <t>A5211</t>
  </si>
  <si>
    <t>A5212</t>
  </si>
  <si>
    <t>A5213</t>
  </si>
  <si>
    <t>A5214</t>
  </si>
  <si>
    <t>A5215</t>
  </si>
  <si>
    <t>A5216</t>
  </si>
  <si>
    <t>A5217</t>
  </si>
  <si>
    <t>A5218</t>
  </si>
  <si>
    <t>A5219</t>
  </si>
  <si>
    <t>A5220</t>
  </si>
  <si>
    <t>A5221</t>
  </si>
  <si>
    <t>A5222</t>
  </si>
  <si>
    <t>A5223</t>
  </si>
  <si>
    <t>A5224</t>
  </si>
  <si>
    <t>FOREIGN INCOME ACCOUNT</t>
  </si>
  <si>
    <t>A4957</t>
  </si>
  <si>
    <t>A4958</t>
  </si>
  <si>
    <t>A4959</t>
  </si>
  <si>
    <t>A4960</t>
  </si>
  <si>
    <t>A4961</t>
  </si>
  <si>
    <t>A4962</t>
  </si>
  <si>
    <t>A4963</t>
  </si>
  <si>
    <t>A4964</t>
  </si>
  <si>
    <t>A4965</t>
  </si>
  <si>
    <t>A6015</t>
  </si>
  <si>
    <t>Value of other benefits (Rule 20(4))</t>
  </si>
  <si>
    <t>A1102</t>
  </si>
  <si>
    <t>A1103</t>
  </si>
  <si>
    <t>A1104</t>
  </si>
  <si>
    <t>A1105</t>
  </si>
  <si>
    <t>A1106</t>
  </si>
  <si>
    <t>A1107</t>
  </si>
  <si>
    <t>A71</t>
  </si>
  <si>
    <t>A1108</t>
  </si>
  <si>
    <t>A72</t>
  </si>
  <si>
    <t>A1109</t>
  </si>
  <si>
    <t>A73</t>
  </si>
  <si>
    <t>A1110</t>
  </si>
  <si>
    <t>Accumulated depreciation of computers and electronic equipment</t>
  </si>
  <si>
    <t>J129</t>
  </si>
  <si>
    <t>K129</t>
  </si>
  <si>
    <t>A05117</t>
  </si>
  <si>
    <t>H130</t>
  </si>
  <si>
    <t>I130</t>
  </si>
  <si>
    <t>J130</t>
  </si>
  <si>
    <t>K130</t>
  </si>
  <si>
    <t>A05118</t>
  </si>
  <si>
    <t>G131</t>
  </si>
  <si>
    <t>H131</t>
  </si>
  <si>
    <t>I131</t>
  </si>
  <si>
    <t>J131</t>
  </si>
  <si>
    <t>K131</t>
  </si>
  <si>
    <t>A05119</t>
  </si>
  <si>
    <t>G132</t>
  </si>
  <si>
    <t>I132</t>
  </si>
  <si>
    <t>J132</t>
  </si>
  <si>
    <t>K132</t>
  </si>
  <si>
    <t>A05120</t>
  </si>
  <si>
    <t>J136</t>
  </si>
  <si>
    <t>K136</t>
  </si>
  <si>
    <t>L136</t>
  </si>
  <si>
    <t>M136</t>
  </si>
  <si>
    <t>A1824</t>
  </si>
  <si>
    <t>A1825</t>
  </si>
  <si>
    <t>A1826</t>
  </si>
  <si>
    <t>M3</t>
  </si>
  <si>
    <t>M4</t>
  </si>
  <si>
    <t>O78</t>
  </si>
  <si>
    <t>A4839</t>
  </si>
  <si>
    <t>A4840</t>
  </si>
  <si>
    <t>A4841</t>
  </si>
  <si>
    <t>A4901</t>
  </si>
  <si>
    <t>A4902</t>
  </si>
  <si>
    <t>A4903</t>
  </si>
  <si>
    <t>A4904</t>
  </si>
  <si>
    <t>A4905</t>
  </si>
  <si>
    <t>A4906</t>
  </si>
  <si>
    <t>A4907</t>
  </si>
  <si>
    <t>A4908</t>
  </si>
  <si>
    <t>A4909</t>
  </si>
  <si>
    <t>A4910</t>
  </si>
  <si>
    <t>A4911</t>
  </si>
  <si>
    <t>A4912</t>
  </si>
  <si>
    <t>A4913</t>
  </si>
  <si>
    <t>A4914</t>
  </si>
  <si>
    <t>A4915</t>
  </si>
  <si>
    <t>A4916</t>
  </si>
  <si>
    <t>A4917</t>
  </si>
  <si>
    <t>A4918</t>
  </si>
  <si>
    <t>A4919</t>
  </si>
  <si>
    <t>A4920</t>
  </si>
  <si>
    <t>A4921</t>
  </si>
  <si>
    <t>A4922</t>
  </si>
  <si>
    <t>A4923</t>
  </si>
  <si>
    <t>A4924</t>
  </si>
  <si>
    <t>A4925</t>
  </si>
  <si>
    <t>A4926</t>
  </si>
  <si>
    <t>A4927</t>
  </si>
  <si>
    <t>A4928</t>
  </si>
  <si>
    <t>A4929</t>
  </si>
  <si>
    <t>A4930</t>
  </si>
  <si>
    <t>A4931</t>
  </si>
  <si>
    <t>A4932</t>
  </si>
  <si>
    <t>A4933</t>
  </si>
  <si>
    <t>G75</t>
  </si>
  <si>
    <t>H75</t>
  </si>
  <si>
    <t>I75</t>
  </si>
  <si>
    <t>J75</t>
  </si>
  <si>
    <t>K75</t>
  </si>
  <si>
    <t>A0563</t>
  </si>
  <si>
    <t>G76</t>
  </si>
  <si>
    <t>H76</t>
  </si>
  <si>
    <t>I76</t>
  </si>
  <si>
    <t>J76</t>
  </si>
  <si>
    <t>K76</t>
  </si>
  <si>
    <t>A0564</t>
  </si>
  <si>
    <t>G77</t>
  </si>
  <si>
    <t>H77</t>
  </si>
  <si>
    <t>I77</t>
  </si>
  <si>
    <t>J77</t>
  </si>
  <si>
    <t>K77</t>
  </si>
  <si>
    <t>A0565</t>
  </si>
  <si>
    <t>G78</t>
  </si>
  <si>
    <t>Selling Price Apportioned</t>
  </si>
  <si>
    <t>Total Gain</t>
  </si>
  <si>
    <t>Capital Gain</t>
  </si>
  <si>
    <t>Less Selling Expenses</t>
  </si>
  <si>
    <t>TRA 16_1</t>
  </si>
  <si>
    <t>TRA 16_2</t>
  </si>
  <si>
    <t xml:space="preserve">The workbook will not work properly with data being dragged from other cells or with the use of the cut and paste functions.   </t>
  </si>
  <si>
    <t xml:space="preserve">Calculations [protected fields coloured in pink] are always updated.  </t>
  </si>
  <si>
    <t>Tax computation                                                            [page 4 of tax return]</t>
  </si>
  <si>
    <t>Negative!</t>
  </si>
  <si>
    <t>Further adjustment to relocate amounts to the IPA (First allocation - TRA62)</t>
  </si>
  <si>
    <t>Chargeable Income after tax for the year allocated</t>
  </si>
  <si>
    <t>P25</t>
  </si>
  <si>
    <t>N26</t>
  </si>
  <si>
    <t>P26</t>
  </si>
  <si>
    <t>N27</t>
  </si>
  <si>
    <t>P27</t>
  </si>
  <si>
    <t>N28</t>
  </si>
  <si>
    <t>P28</t>
  </si>
  <si>
    <t>N29</t>
  </si>
  <si>
    <t>Foreign Income A/c</t>
  </si>
  <si>
    <t>Untaxed A/c</t>
  </si>
  <si>
    <t>Malta tax paid</t>
  </si>
  <si>
    <t>DTR</t>
  </si>
  <si>
    <t>FRFTC</t>
  </si>
  <si>
    <t>W'hlding tax</t>
  </si>
  <si>
    <t>TRA 08</t>
  </si>
  <si>
    <t>ITA - Dividend(s)</t>
  </si>
  <si>
    <t>TRA 09</t>
  </si>
  <si>
    <t>ITA - Interest(s)</t>
  </si>
  <si>
    <t>TRA 10</t>
  </si>
  <si>
    <t>ITA - Discounts or premiums</t>
  </si>
  <si>
    <t>TRA 11</t>
  </si>
  <si>
    <t>ITA - Income from Rent(s)</t>
  </si>
  <si>
    <t>TRA 12</t>
  </si>
  <si>
    <t>ALL EXPENDITURE INCURRED ON OR AFTER 1 JANUARY 2005 MUST BE REFLECTED IN TRA 42</t>
  </si>
  <si>
    <t>INFLATION METHOD</t>
  </si>
  <si>
    <t>A0608</t>
  </si>
  <si>
    <t>A0609</t>
  </si>
  <si>
    <t>A0610</t>
  </si>
  <si>
    <t>Bad debts  written off</t>
  </si>
  <si>
    <t xml:space="preserve">The training provided is classified under Reg. 14(1) </t>
  </si>
  <si>
    <t>trainers' fees and, or costs</t>
  </si>
  <si>
    <t>trainers' and the employee's travel expenses</t>
  </si>
  <si>
    <t>Insurance premiums related to the insurance of such property [Reg 5 (3) (e) (ii)]</t>
  </si>
  <si>
    <t>WDV b/fwd       [to-date]</t>
  </si>
  <si>
    <t>Disposals at Original Cost</t>
  </si>
  <si>
    <t xml:space="preserve">Allocated to &gt;   </t>
  </si>
  <si>
    <t>A54</t>
  </si>
  <si>
    <t>STA51</t>
  </si>
  <si>
    <t>A55</t>
  </si>
  <si>
    <t>STA52</t>
  </si>
  <si>
    <t>A56</t>
  </si>
  <si>
    <t>STA53</t>
  </si>
  <si>
    <t>A57</t>
  </si>
  <si>
    <t>STA54</t>
  </si>
  <si>
    <t>A0903</t>
  </si>
  <si>
    <t>A0904</t>
  </si>
  <si>
    <t>A0905</t>
  </si>
  <si>
    <t>A0906</t>
  </si>
  <si>
    <t>A0907</t>
  </si>
  <si>
    <t>A0908</t>
  </si>
  <si>
    <t>A0909</t>
  </si>
  <si>
    <t>E92</t>
  </si>
  <si>
    <t>F92</t>
  </si>
  <si>
    <t>G92</t>
  </si>
  <si>
    <t>H92</t>
  </si>
  <si>
    <t>I92</t>
  </si>
  <si>
    <t>J92</t>
  </si>
  <si>
    <t>K92</t>
  </si>
  <si>
    <t>A0576</t>
  </si>
  <si>
    <t>D93</t>
  </si>
  <si>
    <t>Value of donation or scholarship</t>
  </si>
  <si>
    <t>(Cannot exceed €18,600)</t>
  </si>
  <si>
    <t>(Cannot exceed €18,600 or equivalent amount in currency reported)</t>
  </si>
  <si>
    <t>Please indicate the number of donations/scholarships provided during the year</t>
  </si>
  <si>
    <t>A9</t>
  </si>
  <si>
    <t>SUP04</t>
  </si>
  <si>
    <t>A10</t>
  </si>
  <si>
    <t>Transfer to the Incentives and Benefits Reserve [BPA]</t>
  </si>
  <si>
    <t>J56</t>
  </si>
  <si>
    <t>K56</t>
  </si>
  <si>
    <t>A0548</t>
  </si>
  <si>
    <t>Accumulated depreciation of parking areas</t>
  </si>
  <si>
    <t>Buildings under construction</t>
  </si>
  <si>
    <t>Wasting assets</t>
  </si>
  <si>
    <t>Water and Electricity</t>
  </si>
  <si>
    <t>Equipment rental</t>
  </si>
  <si>
    <t>Motor vehicle rentals</t>
  </si>
  <si>
    <t>All mandatory fields present and correct?</t>
  </si>
  <si>
    <t>All descriptions present?</t>
  </si>
  <si>
    <t>Liability for securities sold under repurchase agreements</t>
  </si>
  <si>
    <t xml:space="preserve">Tax credit(s) claimed in previous year(s) </t>
  </si>
  <si>
    <t>Unutilised tax credit b/fwd from previous year(s)</t>
  </si>
  <si>
    <t xml:space="preserve">Certificate No:  </t>
  </si>
  <si>
    <t xml:space="preserve">Date Issued:  </t>
  </si>
  <si>
    <t>Employer number</t>
  </si>
  <si>
    <t>A0118</t>
  </si>
  <si>
    <t>A0119</t>
  </si>
  <si>
    <t>A0120</t>
  </si>
  <si>
    <t>G23</t>
  </si>
  <si>
    <t>TRA34</t>
  </si>
  <si>
    <t>Check Totals entered!</t>
  </si>
  <si>
    <t>To use count for validation of complete inputs</t>
  </si>
  <si>
    <t>ME Act - Assistance for R&amp;D and Innovation Regulations, 2009</t>
  </si>
  <si>
    <t>ITA  -  LN 159 of 2008</t>
  </si>
  <si>
    <t>Income Tax registration number of Recipient</t>
  </si>
  <si>
    <t>Income Tax Act</t>
  </si>
  <si>
    <t>ITA - LN 332 of 2005 - Tax Credit [Owners and Operators of Warehouses]</t>
  </si>
  <si>
    <t>(applicable to Maltese companies having shareholders resident in a Treaty country, and that such companies do not sell by retail.)</t>
  </si>
  <si>
    <t>I79</t>
  </si>
  <si>
    <t>H85</t>
  </si>
  <si>
    <t>G87</t>
  </si>
  <si>
    <t>H91</t>
  </si>
  <si>
    <t>A1801</t>
  </si>
  <si>
    <t>A0545</t>
  </si>
  <si>
    <t>C54</t>
  </si>
  <si>
    <t>Total qualifying expenditure</t>
  </si>
  <si>
    <t>Liability for securities sold short</t>
  </si>
  <si>
    <t xml:space="preserve">Tax credits on Research &amp; Development Expenditure </t>
  </si>
  <si>
    <t>Approved Value</t>
  </si>
  <si>
    <t>Tax Credit Rate</t>
  </si>
  <si>
    <t>Special Eligible Costs for SMEs</t>
  </si>
  <si>
    <t>I86</t>
  </si>
  <si>
    <t>K86</t>
  </si>
  <si>
    <t>K87</t>
  </si>
  <si>
    <t>K88</t>
  </si>
  <si>
    <t>K89</t>
  </si>
  <si>
    <t>A0591</t>
  </si>
  <si>
    <t>A0592</t>
  </si>
  <si>
    <t>A0593</t>
  </si>
  <si>
    <t>A0594</t>
  </si>
  <si>
    <t>D103</t>
  </si>
  <si>
    <t>E103</t>
  </si>
  <si>
    <t>F103</t>
  </si>
  <si>
    <t>G103</t>
  </si>
  <si>
    <t>H103</t>
  </si>
  <si>
    <t>I103</t>
  </si>
  <si>
    <t>J103</t>
  </si>
  <si>
    <t>K103</t>
  </si>
  <si>
    <t>A0595</t>
  </si>
  <si>
    <t>D104</t>
  </si>
  <si>
    <t>F104</t>
  </si>
  <si>
    <t>G104</t>
  </si>
  <si>
    <t>H104</t>
  </si>
  <si>
    <t>I104</t>
  </si>
  <si>
    <t>J104</t>
  </si>
  <si>
    <t>K104</t>
  </si>
  <si>
    <t>A0596</t>
  </si>
  <si>
    <t>B105</t>
  </si>
  <si>
    <t>D105</t>
  </si>
  <si>
    <t>E105</t>
  </si>
  <si>
    <t>F105</t>
  </si>
  <si>
    <t>G105</t>
  </si>
  <si>
    <t>H105</t>
  </si>
  <si>
    <t>I105</t>
  </si>
  <si>
    <t>J105</t>
  </si>
  <si>
    <t>K105</t>
  </si>
  <si>
    <t>A0597</t>
  </si>
  <si>
    <t>B110</t>
  </si>
  <si>
    <t>F110</t>
  </si>
  <si>
    <t>G110</t>
  </si>
  <si>
    <t>H110</t>
  </si>
  <si>
    <t>J110</t>
  </si>
  <si>
    <t>K110</t>
  </si>
  <si>
    <t>A0598</t>
  </si>
  <si>
    <t>G111</t>
  </si>
  <si>
    <t>H111</t>
  </si>
  <si>
    <t>J111</t>
  </si>
  <si>
    <t>K111</t>
  </si>
  <si>
    <t>A0599</t>
  </si>
  <si>
    <t>G112</t>
  </si>
  <si>
    <t>H112</t>
  </si>
  <si>
    <t>J112</t>
  </si>
  <si>
    <t>K112</t>
  </si>
  <si>
    <t>A05100</t>
  </si>
  <si>
    <t>G113</t>
  </si>
  <si>
    <t>H113</t>
  </si>
  <si>
    <t>I113</t>
  </si>
  <si>
    <t>J113</t>
  </si>
  <si>
    <t>K113</t>
  </si>
  <si>
    <t>A05101</t>
  </si>
  <si>
    <t>G114</t>
  </si>
  <si>
    <t>I114</t>
  </si>
  <si>
    <t>J114</t>
  </si>
  <si>
    <t>K114</t>
  </si>
  <si>
    <t>A05102</t>
  </si>
  <si>
    <t>G115</t>
  </si>
  <si>
    <t>H115</t>
  </si>
  <si>
    <t>I115</t>
  </si>
  <si>
    <t>The total deduction claimed under these Rules in respect of each pharmacy outlet cannot exceed € 12,000 or equivalent.</t>
  </si>
  <si>
    <t>K53</t>
  </si>
  <si>
    <t>Total Expenditure incurred       [to-date]</t>
  </si>
  <si>
    <t>A5132</t>
  </si>
  <si>
    <t>A5133</t>
  </si>
  <si>
    <t>A5134</t>
  </si>
  <si>
    <t>A5135</t>
  </si>
  <si>
    <t>A5136</t>
  </si>
  <si>
    <t>A5137</t>
  </si>
  <si>
    <t>A5138</t>
  </si>
  <si>
    <t>A5139</t>
  </si>
  <si>
    <t>A5140</t>
  </si>
  <si>
    <t>A5141</t>
  </si>
  <si>
    <t>A5142</t>
  </si>
  <si>
    <t>TRA 72</t>
  </si>
  <si>
    <t>LN 488 of 2010 - Tax Credit to undertakings carrying out a creative activity</t>
  </si>
  <si>
    <t>ME Act - LN 488 of 2010 - Tax Credit for carrying out a creative activity</t>
  </si>
  <si>
    <t>The Malta Freeports Act</t>
  </si>
  <si>
    <t>Regulation 32 - Investment credits</t>
  </si>
  <si>
    <t xml:space="preserve">Date </t>
  </si>
  <si>
    <t>Regulation 33 - Research and Development credits</t>
  </si>
  <si>
    <t>Regulation 34 - Training credits</t>
  </si>
  <si>
    <t>Regulation 35 - Environmental investment credits</t>
  </si>
  <si>
    <t>Regulations 32 to 35 tax credits before deductions</t>
  </si>
  <si>
    <t>TRA 20</t>
  </si>
  <si>
    <t>TRA 24</t>
  </si>
  <si>
    <t>TRA 25</t>
  </si>
  <si>
    <t>BPA - Regulation 4 (Reduced Rates of Income Tax)</t>
  </si>
  <si>
    <t>TRA 26</t>
  </si>
  <si>
    <t>TRA 32</t>
  </si>
  <si>
    <t>BPA - Regulation 6 (Value Added Incentive Scheme)</t>
  </si>
  <si>
    <t>A5322</t>
  </si>
  <si>
    <t>A5323</t>
  </si>
  <si>
    <t>A5324</t>
  </si>
  <si>
    <t>A5325</t>
  </si>
  <si>
    <t>B A C K   T O  I N D E X</t>
  </si>
  <si>
    <t>Net distribution</t>
  </si>
  <si>
    <t>O39</t>
  </si>
  <si>
    <t>R39</t>
  </si>
  <si>
    <t>O41</t>
  </si>
  <si>
    <t>R41</t>
  </si>
  <si>
    <t>O42</t>
  </si>
  <si>
    <t>97d</t>
  </si>
  <si>
    <t>97e</t>
  </si>
  <si>
    <t>97f</t>
  </si>
  <si>
    <t>Dividends paid &amp; distributable profits c/fwd are negative!</t>
  </si>
  <si>
    <t xml:space="preserve">Adjustments to relocate current year profits </t>
  </si>
  <si>
    <t>Due from corporate shareholder(s) - current portion</t>
  </si>
  <si>
    <t>A3001</t>
  </si>
  <si>
    <t>H5</t>
  </si>
  <si>
    <t>J5</t>
  </si>
  <si>
    <t>M5</t>
  </si>
  <si>
    <t>A3002</t>
  </si>
  <si>
    <t>M6</t>
  </si>
  <si>
    <t>A3003</t>
  </si>
  <si>
    <t>M7</t>
  </si>
  <si>
    <t>A3004</t>
  </si>
  <si>
    <t>M8</t>
  </si>
  <si>
    <t>A3005</t>
  </si>
  <si>
    <t>D97</t>
  </si>
  <si>
    <t>E97</t>
  </si>
  <si>
    <t>A0214</t>
  </si>
  <si>
    <t>D27</t>
  </si>
  <si>
    <t>H27</t>
  </si>
  <si>
    <t>P22</t>
  </si>
  <si>
    <t>N23</t>
  </si>
  <si>
    <t>P23</t>
  </si>
  <si>
    <t>N24</t>
  </si>
  <si>
    <t>P24</t>
  </si>
  <si>
    <t>N25</t>
  </si>
  <si>
    <t>B' Sheet</t>
  </si>
  <si>
    <t>No</t>
  </si>
  <si>
    <t>COMPLETE</t>
  </si>
  <si>
    <t>value!</t>
  </si>
  <si>
    <t>Capital Gains on disposal of a participating holding</t>
  </si>
  <si>
    <t>a)  Rate of tax prescribed by article 56(6) of the I.T.A.</t>
  </si>
  <si>
    <t>I24</t>
  </si>
  <si>
    <t>J24</t>
  </si>
  <si>
    <t>A0212</t>
  </si>
  <si>
    <t>D25</t>
  </si>
  <si>
    <t>H25</t>
  </si>
  <si>
    <t>I25</t>
  </si>
  <si>
    <t>J25</t>
  </si>
  <si>
    <t>A0213</t>
  </si>
  <si>
    <t>D26</t>
  </si>
  <si>
    <t>H26</t>
  </si>
  <si>
    <t>I26</t>
  </si>
  <si>
    <t>J26</t>
  </si>
  <si>
    <t>has paid out dividends during the year</t>
  </si>
  <si>
    <t xml:space="preserve">Tax professional acting in the capacity of a  </t>
  </si>
  <si>
    <t>Depreciation of Tangible Assets</t>
  </si>
  <si>
    <t>Depreciation of motor vehicles</t>
  </si>
  <si>
    <t>Depreciation of construction and excavating equipment</t>
  </si>
  <si>
    <t>Depreciation of tools and dies</t>
  </si>
  <si>
    <t xml:space="preserve">Date of approval </t>
  </si>
  <si>
    <t>Additional overheads</t>
  </si>
  <si>
    <t>5(3)</t>
  </si>
  <si>
    <t xml:space="preserve">Project number </t>
  </si>
  <si>
    <t>Other operating expenditure</t>
  </si>
  <si>
    <t>5(2)(e)</t>
  </si>
  <si>
    <t>Short-term loans and / or advances due to director(s)</t>
  </si>
  <si>
    <t>Short-term loans and / or advances due to related parties</t>
  </si>
  <si>
    <t>Final Tax Account</t>
  </si>
  <si>
    <t>G98</t>
  </si>
  <si>
    <t>H98</t>
  </si>
  <si>
    <t>I98</t>
  </si>
  <si>
    <t>J98</t>
  </si>
  <si>
    <t>K98</t>
  </si>
  <si>
    <t>A0582</t>
  </si>
  <si>
    <t>B99</t>
  </si>
  <si>
    <t>C99</t>
  </si>
  <si>
    <t>D99</t>
  </si>
  <si>
    <t xml:space="preserve">A company carrying on banking business under the Banking Act or a company carrying on the business of insurance under the Insurance Business Act or a company which is owned and controlled, directly or indirectly, by such companies shall deliver to the Commissioner a paper copy of the audited financial statements within forty-eight hours of filing an electronic tax return.  </t>
  </si>
  <si>
    <t>TRA 37</t>
  </si>
  <si>
    <t>BPA - Regulations 38 - Conversion Scheme [SMEs]</t>
  </si>
  <si>
    <t>TRA 38</t>
  </si>
  <si>
    <t>D32</t>
  </si>
  <si>
    <t>F32</t>
  </si>
  <si>
    <t>G32</t>
  </si>
  <si>
    <t>H32</t>
  </si>
  <si>
    <t>Choose one</t>
  </si>
  <si>
    <t>A3138</t>
  </si>
  <si>
    <t>A3139</t>
  </si>
  <si>
    <t>A3140</t>
  </si>
  <si>
    <t>A3141</t>
  </si>
  <si>
    <t>A3142</t>
  </si>
  <si>
    <t>D59</t>
  </si>
  <si>
    <t>G59</t>
  </si>
  <si>
    <t>H59</t>
  </si>
  <si>
    <t>D60</t>
  </si>
  <si>
    <t>G60</t>
  </si>
  <si>
    <t>H60</t>
  </si>
  <si>
    <t>D61</t>
  </si>
  <si>
    <t>F61</t>
  </si>
  <si>
    <t>G61</t>
  </si>
  <si>
    <t>H61</t>
  </si>
  <si>
    <t>I61</t>
  </si>
  <si>
    <t>Gross ground rents</t>
  </si>
  <si>
    <t>Net Income from Ground Rents after deducting direct expenses</t>
  </si>
  <si>
    <t xml:space="preserve">Total Receipts </t>
  </si>
  <si>
    <t>Name of Broker</t>
  </si>
  <si>
    <t>QUE29</t>
  </si>
  <si>
    <t>G49</t>
  </si>
  <si>
    <t>QUE30</t>
  </si>
  <si>
    <t>G50</t>
  </si>
  <si>
    <t>QUE31</t>
  </si>
  <si>
    <t>G51</t>
  </si>
  <si>
    <t>QUE32</t>
  </si>
  <si>
    <t>G52</t>
  </si>
  <si>
    <t>QUE33</t>
  </si>
  <si>
    <t>G53</t>
  </si>
  <si>
    <t xml:space="preserve">B A C K   T O   I N D E X   </t>
  </si>
  <si>
    <t>Date of approval</t>
  </si>
  <si>
    <t>Depreciation of deferred exploration and development charges</t>
  </si>
  <si>
    <t>Depreciation of quarries</t>
  </si>
  <si>
    <t>TAX CREDITS UTILISED DURING THE YEAR - Summary Statement</t>
  </si>
  <si>
    <t>Income Tax Return</t>
  </si>
  <si>
    <t>Australian Dollar</t>
  </si>
  <si>
    <t>and Self Assessment</t>
  </si>
  <si>
    <t>Canadian Dollar</t>
  </si>
  <si>
    <t xml:space="preserve">  TA2</t>
  </si>
  <si>
    <t>Other Income [Article 4(1)(g) ITA]</t>
  </si>
  <si>
    <t>Gross income</t>
  </si>
  <si>
    <t xml:space="preserve">  Dividends not subject to further tax</t>
  </si>
  <si>
    <t>emphyteusis</t>
  </si>
  <si>
    <t>O74</t>
  </si>
  <si>
    <t>A86</t>
  </si>
  <si>
    <t>STA83</t>
  </si>
  <si>
    <t>A87</t>
  </si>
  <si>
    <t>STA84</t>
  </si>
  <si>
    <t>A88</t>
  </si>
  <si>
    <t>STA85</t>
  </si>
  <si>
    <t>A89</t>
  </si>
  <si>
    <t>STA86</t>
  </si>
  <si>
    <t>J115</t>
  </si>
  <si>
    <t>K115</t>
  </si>
  <si>
    <t>A05103</t>
  </si>
  <si>
    <t>G116</t>
  </si>
  <si>
    <t>H116</t>
  </si>
  <si>
    <t>I116</t>
  </si>
  <si>
    <t>J116</t>
  </si>
  <si>
    <t>K116</t>
  </si>
  <si>
    <t>A05104</t>
  </si>
  <si>
    <t>G117</t>
  </si>
  <si>
    <t>H117</t>
  </si>
  <si>
    <t>I117</t>
  </si>
  <si>
    <t>J117</t>
  </si>
  <si>
    <t>K117</t>
  </si>
  <si>
    <t>A05105</t>
  </si>
  <si>
    <t>G118</t>
  </si>
  <si>
    <t>H118</t>
  </si>
  <si>
    <t>I118</t>
  </si>
  <si>
    <t>BPA - Regulations 31 to 37 [Conversion Scheme - Large Companies]</t>
  </si>
  <si>
    <t>STA45</t>
  </si>
  <si>
    <t>STA46</t>
  </si>
  <si>
    <t>STA47</t>
  </si>
  <si>
    <t>A51</t>
  </si>
  <si>
    <t>A3619</t>
  </si>
  <si>
    <t>A3620</t>
  </si>
  <si>
    <t>A3621</t>
  </si>
  <si>
    <t>A3622</t>
  </si>
  <si>
    <t>A3623</t>
  </si>
  <si>
    <t>A3624</t>
  </si>
  <si>
    <t>A3625</t>
  </si>
  <si>
    <t>A3626</t>
  </si>
  <si>
    <t>Management services from any activity related to the provision of accomodation services [Reg 5 (3) (d)]</t>
  </si>
  <si>
    <t>G79</t>
  </si>
  <si>
    <t>H79</t>
  </si>
  <si>
    <t>J79</t>
  </si>
  <si>
    <t>K79</t>
  </si>
  <si>
    <t>A0567</t>
  </si>
  <si>
    <t>G80</t>
  </si>
  <si>
    <t>H80</t>
  </si>
  <si>
    <t>I80</t>
  </si>
  <si>
    <t>J80</t>
  </si>
  <si>
    <t>K80</t>
  </si>
  <si>
    <t>Grossed up element for Flat rate foreign tax credit</t>
  </si>
  <si>
    <t>I53</t>
  </si>
  <si>
    <t>J53</t>
  </si>
  <si>
    <t>No section of this return is to be left blank.  Where there is nothing to report, the word 'NONE' should be entered.</t>
  </si>
  <si>
    <t>Other expenditure on scientific research</t>
  </si>
  <si>
    <t>K97</t>
  </si>
  <si>
    <t>A0581</t>
  </si>
  <si>
    <t>A136</t>
  </si>
  <si>
    <t>B136</t>
  </si>
  <si>
    <t>C136</t>
  </si>
  <si>
    <t>A1405</t>
  </si>
  <si>
    <t>A137</t>
  </si>
  <si>
    <t>C137</t>
  </si>
  <si>
    <t>A1406</t>
  </si>
  <si>
    <t>TRA 39</t>
  </si>
  <si>
    <t>Tax guideline on bad debts</t>
  </si>
  <si>
    <t>?? All details!</t>
  </si>
  <si>
    <t>Furniture, Fixtures, Fittings and Soft Furnishings</t>
  </si>
  <si>
    <t>Other plant</t>
  </si>
  <si>
    <t>Other machinery</t>
  </si>
  <si>
    <t>A2019</t>
  </si>
  <si>
    <t>STA05</t>
  </si>
  <si>
    <t>STA06</t>
  </si>
  <si>
    <t>from TRA 18</t>
  </si>
  <si>
    <t>to page 4 return</t>
  </si>
  <si>
    <t>Commission Income</t>
  </si>
  <si>
    <t>Commission income on real estate transactions</t>
  </si>
  <si>
    <t>Rental income</t>
  </si>
  <si>
    <t>Real estate rental Income</t>
  </si>
  <si>
    <t>Income from ground rents and / or laudemium</t>
  </si>
  <si>
    <t>Film rental</t>
  </si>
  <si>
    <t>Vehicle leasing</t>
  </si>
  <si>
    <t>Donations and gifts received</t>
  </si>
  <si>
    <t>Income from the rendering of services -  overseas</t>
  </si>
  <si>
    <t>Income from the rendering of services to related parties</t>
  </si>
  <si>
    <t>Due from individual shareholder(s) - current portion</t>
  </si>
  <si>
    <t>A0543</t>
  </si>
  <si>
    <t>C52</t>
  </si>
  <si>
    <t>H52</t>
  </si>
  <si>
    <t>I52</t>
  </si>
  <si>
    <t>J52</t>
  </si>
  <si>
    <t>W32</t>
  </si>
  <si>
    <t>Y32</t>
  </si>
  <si>
    <t>AA32</t>
  </si>
  <si>
    <t>Accumulated depreciation of production machinery and equipment</t>
  </si>
  <si>
    <t>Tools and dies</t>
  </si>
  <si>
    <t>Regulation 38 - previously claimed under the Malta Freeports Act</t>
  </si>
  <si>
    <t xml:space="preserve">-   because payment(s) effected are not credited in favour of the company  </t>
  </si>
  <si>
    <t>Transfer to Other Reserve(s)</t>
  </si>
  <si>
    <t>A3402</t>
  </si>
  <si>
    <t>H151</t>
  </si>
  <si>
    <t>H152</t>
  </si>
  <si>
    <t>I156</t>
  </si>
  <si>
    <t>Particulars of Employer</t>
  </si>
  <si>
    <t>Stock of securities</t>
  </si>
  <si>
    <t>J45</t>
  </si>
  <si>
    <t>D3</t>
  </si>
  <si>
    <t>Maximum Tax credit entitlement is €25,000</t>
  </si>
  <si>
    <t>Year of Purchase!</t>
  </si>
  <si>
    <t>A3716</t>
  </si>
  <si>
    <t>A3717</t>
  </si>
  <si>
    <t>A3718</t>
  </si>
  <si>
    <t xml:space="preserve">Depreciation of other plant </t>
  </si>
  <si>
    <t>Depreciation of capital leases - buildings</t>
  </si>
  <si>
    <t>Depreciation of capital leases - machinery &amp; equipment</t>
  </si>
  <si>
    <t>Gross Dividend</t>
  </si>
  <si>
    <t>Tax Deducted</t>
  </si>
  <si>
    <t>Net Dividend</t>
  </si>
  <si>
    <t>Maltese Taxed A/c</t>
  </si>
  <si>
    <t>W.D.V. released on disposal</t>
  </si>
  <si>
    <t>is claiming other fiscal benefits [legislation other than the BPA]</t>
  </si>
  <si>
    <t xml:space="preserve">Reduction &gt; </t>
  </si>
  <si>
    <t>ITA - LN 93 OF 2007 - Deductions (Euro related expenditure) Rules, 2007</t>
  </si>
  <si>
    <t>IV28</t>
  </si>
  <si>
    <t>IV29</t>
  </si>
  <si>
    <t>IV30</t>
  </si>
  <si>
    <t>IV31</t>
  </si>
  <si>
    <t>IV32</t>
  </si>
  <si>
    <t>IV33</t>
  </si>
  <si>
    <t>IV34</t>
  </si>
  <si>
    <t>IV35</t>
  </si>
  <si>
    <t xml:space="preserve">TRA </t>
  </si>
  <si>
    <t>U51</t>
  </si>
  <si>
    <t>Q70</t>
  </si>
  <si>
    <t>Q72</t>
  </si>
  <si>
    <t>Q74</t>
  </si>
  <si>
    <t>b] rate(s) of tax at which enterprise was otherwise taxable (lowest rates first)</t>
  </si>
  <si>
    <t>A0532</t>
  </si>
  <si>
    <t>B41</t>
  </si>
  <si>
    <t>C41</t>
  </si>
  <si>
    <t>D41</t>
  </si>
  <si>
    <t>E41</t>
  </si>
  <si>
    <t>J41</t>
  </si>
  <si>
    <t>K41</t>
  </si>
  <si>
    <t>A0533</t>
  </si>
  <si>
    <t>B42</t>
  </si>
  <si>
    <t xml:space="preserve">Other non distributable reserves </t>
  </si>
  <si>
    <t>Total expenditure on Scientific Research incurred during the year</t>
  </si>
  <si>
    <t>One sixth of the capital expenditure that can be claimed for the year</t>
  </si>
  <si>
    <t xml:space="preserve">One sixth of the capital expenditure, incurred in prior years, claimed for the year </t>
  </si>
  <si>
    <t>Portion of capital expenditure on Scientific Research that can be claimed for the year</t>
  </si>
  <si>
    <t>Donations (University Research, Innovation and Development Trust) Rules 2010</t>
  </si>
  <si>
    <t>A62A13</t>
  </si>
  <si>
    <t>A62A14</t>
  </si>
  <si>
    <t>A62A15</t>
  </si>
  <si>
    <t>A62A16</t>
  </si>
  <si>
    <t>A62A17</t>
  </si>
  <si>
    <t>A62A18</t>
  </si>
  <si>
    <t>A62A19</t>
  </si>
  <si>
    <t>A62A20</t>
  </si>
  <si>
    <t>A62A21</t>
  </si>
  <si>
    <t>A62A22</t>
  </si>
  <si>
    <t>A62A23</t>
  </si>
  <si>
    <t>A62A24</t>
  </si>
  <si>
    <t>A62A25</t>
  </si>
  <si>
    <t>A62A26</t>
  </si>
  <si>
    <t>A62A27</t>
  </si>
  <si>
    <t>A62A28</t>
  </si>
  <si>
    <t>A62A29</t>
  </si>
  <si>
    <t>A62A30</t>
  </si>
  <si>
    <t>A62A31</t>
  </si>
  <si>
    <t>A62A32</t>
  </si>
  <si>
    <t>TRA62A_IPA</t>
  </si>
  <si>
    <t>TRA73</t>
  </si>
  <si>
    <t>TRA74</t>
  </si>
  <si>
    <t>Stock of raw materials</t>
  </si>
  <si>
    <t>Have all the conditions set by the Regulations and Certificate been satisfied?</t>
  </si>
  <si>
    <t>Customers' liability under acceptances</t>
  </si>
  <si>
    <t>Applicable to assets acquired up to Y/A 2002 and that are not fully depreciated</t>
  </si>
  <si>
    <t>Industrial  Buildings</t>
  </si>
  <si>
    <t>ITA - Article 56(20)</t>
  </si>
  <si>
    <t>BPA - Article 15</t>
  </si>
  <si>
    <t xml:space="preserve">  BPA - Article 15 (Double Taxation Treaties)</t>
  </si>
  <si>
    <t>Maltese owned</t>
  </si>
  <si>
    <t>J96</t>
  </si>
  <si>
    <t>K96</t>
  </si>
  <si>
    <t>A0580</t>
  </si>
  <si>
    <t>Q13</t>
  </si>
  <si>
    <t>S13</t>
  </si>
  <si>
    <t>SHA06</t>
  </si>
  <si>
    <t>B14</t>
  </si>
  <si>
    <t>E14</t>
  </si>
  <si>
    <t>L14</t>
  </si>
  <si>
    <t>M14</t>
  </si>
  <si>
    <t>Q14</t>
  </si>
  <si>
    <t>S14</t>
  </si>
  <si>
    <t>U14</t>
  </si>
  <si>
    <t>SHA07</t>
  </si>
  <si>
    <t>E15</t>
  </si>
  <si>
    <t>Less direct expenses [Details required]</t>
  </si>
  <si>
    <r>
      <t>Royalties, advances and similar income derived from patents [ITA Article 12(1)(v) and LN 429 of 2010]</t>
    </r>
    <r>
      <rPr>
        <sz val="10"/>
        <rFont val="Arial"/>
        <family val="2"/>
      </rPr>
      <t/>
    </r>
  </si>
  <si>
    <t>Advances</t>
  </si>
  <si>
    <t xml:space="preserve">Tax Account (for tax computation purposes only)      </t>
  </si>
  <si>
    <t xml:space="preserve">Taxed Account (for tax computation purposes only)      </t>
  </si>
  <si>
    <t>A2318</t>
  </si>
  <si>
    <t>M76</t>
  </si>
  <si>
    <t>M78</t>
  </si>
  <si>
    <t>M82</t>
  </si>
  <si>
    <t>S82</t>
  </si>
  <si>
    <t>A6022</t>
  </si>
  <si>
    <t>A6023</t>
  </si>
  <si>
    <t>A6115</t>
  </si>
  <si>
    <t>A6116</t>
  </si>
  <si>
    <t>A6117</t>
  </si>
  <si>
    <t>A7501</t>
  </si>
  <si>
    <t>A7502</t>
  </si>
  <si>
    <t>A7503</t>
  </si>
  <si>
    <t>A7504</t>
  </si>
  <si>
    <t>A7505</t>
  </si>
  <si>
    <t>A7506</t>
  </si>
  <si>
    <t>A7507</t>
  </si>
  <si>
    <t>A7508</t>
  </si>
  <si>
    <t>A7509</t>
  </si>
  <si>
    <t>A7510</t>
  </si>
  <si>
    <t>A7511</t>
  </si>
  <si>
    <t>A7601</t>
  </si>
  <si>
    <t>A7602</t>
  </si>
  <si>
    <t>A7603</t>
  </si>
  <si>
    <t>A7604</t>
  </si>
  <si>
    <t>A7605</t>
  </si>
  <si>
    <t>A7606</t>
  </si>
  <si>
    <t>A7607</t>
  </si>
  <si>
    <t>A7608</t>
  </si>
  <si>
    <t>A7609</t>
  </si>
  <si>
    <t>A7610</t>
  </si>
  <si>
    <t>A7611</t>
  </si>
  <si>
    <t>A7512</t>
  </si>
  <si>
    <t>A7612</t>
  </si>
  <si>
    <t>A7701</t>
  </si>
  <si>
    <t>A7702</t>
  </si>
  <si>
    <t>A7703</t>
  </si>
  <si>
    <t>A7704</t>
  </si>
  <si>
    <t>A7705</t>
  </si>
  <si>
    <t>A7706</t>
  </si>
  <si>
    <t>A7707</t>
  </si>
  <si>
    <t>A7708</t>
  </si>
  <si>
    <t>A7709</t>
  </si>
  <si>
    <t>A7710</t>
  </si>
  <si>
    <t>A7711</t>
  </si>
  <si>
    <t>A7712</t>
  </si>
  <si>
    <t>TRA75</t>
  </si>
  <si>
    <t>TRA76</t>
  </si>
  <si>
    <t>TRA77</t>
  </si>
  <si>
    <t>a6710</t>
  </si>
  <si>
    <t>Grade 1 and 2</t>
  </si>
  <si>
    <t>Wages, Salaries and Employee benefits</t>
  </si>
  <si>
    <t>Wages - Regular</t>
  </si>
  <si>
    <t>J55</t>
  </si>
  <si>
    <t>K55</t>
  </si>
  <si>
    <t>A0547</t>
  </si>
  <si>
    <t>C56</t>
  </si>
  <si>
    <t>D56</t>
  </si>
  <si>
    <t>H56</t>
  </si>
  <si>
    <t>I56</t>
  </si>
  <si>
    <t>Income subject to reduced rates of tax - Summary</t>
  </si>
  <si>
    <t>Transaction number when debt was written off</t>
  </si>
  <si>
    <t>Details of Immovable Property/Securities/Other assets transferred</t>
  </si>
  <si>
    <t>Q76</t>
  </si>
  <si>
    <t>Training Tax Credit b/Fwd</t>
  </si>
  <si>
    <t>Taxed Account</t>
  </si>
  <si>
    <t>Year of Purchase [Y/A]</t>
  </si>
  <si>
    <t xml:space="preserve">  COST</t>
  </si>
  <si>
    <t xml:space="preserve"> WDV on disposal</t>
  </si>
  <si>
    <t>Proceeds on disposal</t>
  </si>
  <si>
    <t>Maltese Taxed Account</t>
  </si>
  <si>
    <t>Foreign Income Account</t>
  </si>
  <si>
    <t>Totals [to page 6 of the tax return]</t>
  </si>
  <si>
    <t>I157</t>
  </si>
  <si>
    <t>I158</t>
  </si>
  <si>
    <t>I159</t>
  </si>
  <si>
    <t>I160</t>
  </si>
  <si>
    <t>F164</t>
  </si>
  <si>
    <t>G164</t>
  </si>
  <si>
    <t>H164</t>
  </si>
  <si>
    <t>I164</t>
  </si>
  <si>
    <t>Due from related parties - current portion</t>
  </si>
  <si>
    <t>Loans, advances and demand notes from related parties - current portion</t>
  </si>
  <si>
    <t>Interest receivable from related parties</t>
  </si>
  <si>
    <t>has any investments in joint venture(s) or partnership(s)</t>
  </si>
  <si>
    <t>Other Information</t>
  </si>
  <si>
    <t>Capital assets under construction</t>
  </si>
  <si>
    <t>Due from members</t>
  </si>
  <si>
    <t>Total claim for scientific research for the year</t>
  </si>
  <si>
    <t>K81</t>
  </si>
  <si>
    <t>A0569</t>
  </si>
  <si>
    <t>G82</t>
  </si>
  <si>
    <t>H82</t>
  </si>
  <si>
    <t>I82</t>
  </si>
  <si>
    <t>J82</t>
  </si>
  <si>
    <t>K82</t>
  </si>
  <si>
    <t>A0570</t>
  </si>
  <si>
    <t>G83</t>
  </si>
  <si>
    <t>O1</t>
  </si>
  <si>
    <t>Purchases</t>
  </si>
  <si>
    <t>a6614</t>
  </si>
  <si>
    <t>a6613</t>
  </si>
  <si>
    <t>a6612</t>
  </si>
  <si>
    <t>a6611</t>
  </si>
  <si>
    <t>a6610</t>
  </si>
  <si>
    <t>a6609</t>
  </si>
  <si>
    <t>a6608</t>
  </si>
  <si>
    <t>a6607</t>
  </si>
  <si>
    <t>a6606</t>
  </si>
  <si>
    <t>a6605</t>
  </si>
  <si>
    <t>a6604</t>
  </si>
  <si>
    <t>a6603</t>
  </si>
  <si>
    <t>a6602</t>
  </si>
  <si>
    <t>a6601</t>
  </si>
  <si>
    <t>Full details, attachments and documentation should be given relating to all matters required to be disclosed in this return.</t>
  </si>
  <si>
    <t>S18</t>
  </si>
  <si>
    <t>U18</t>
  </si>
  <si>
    <t>SHA11</t>
  </si>
  <si>
    <t>B19</t>
  </si>
  <si>
    <t>E19</t>
  </si>
  <si>
    <t>L19</t>
  </si>
  <si>
    <t>M19</t>
  </si>
  <si>
    <t>Q19</t>
  </si>
  <si>
    <t>S19</t>
  </si>
  <si>
    <t>U19</t>
  </si>
  <si>
    <t>SHA12</t>
  </si>
  <si>
    <t>E20</t>
  </si>
  <si>
    <t>L20</t>
  </si>
  <si>
    <t>M20</t>
  </si>
  <si>
    <t>Q20</t>
  </si>
  <si>
    <t>S20</t>
  </si>
  <si>
    <t>U20</t>
  </si>
  <si>
    <t>SHA13</t>
  </si>
  <si>
    <t>E21</t>
  </si>
  <si>
    <t>L21</t>
  </si>
  <si>
    <t>M21</t>
  </si>
  <si>
    <t>Q21</t>
  </si>
  <si>
    <t>S21</t>
  </si>
  <si>
    <t>SHA14</t>
  </si>
  <si>
    <t>E22</t>
  </si>
  <si>
    <t>L22</t>
  </si>
  <si>
    <t>M22</t>
  </si>
  <si>
    <t>Q22</t>
  </si>
  <si>
    <t>S22</t>
  </si>
  <si>
    <t>U22</t>
  </si>
  <si>
    <t>SHA15</t>
  </si>
  <si>
    <t>E23</t>
  </si>
  <si>
    <t>L23</t>
  </si>
  <si>
    <t>M23</t>
  </si>
  <si>
    <t>Q23</t>
  </si>
  <si>
    <t>S23</t>
  </si>
  <si>
    <t>SHA16</t>
  </si>
  <si>
    <t>B24</t>
  </si>
  <si>
    <t>E24</t>
  </si>
  <si>
    <t>L24</t>
  </si>
  <si>
    <t>M24</t>
  </si>
  <si>
    <t>Q24</t>
  </si>
  <si>
    <t>Total accumulated amortisation of intangible assets</t>
  </si>
  <si>
    <t>E38</t>
  </si>
  <si>
    <t>K38</t>
  </si>
  <si>
    <t>A0530</t>
  </si>
  <si>
    <t>B39</t>
  </si>
  <si>
    <t>A2002</t>
  </si>
  <si>
    <t>Capital Gain / (Loss) Allocated</t>
  </si>
  <si>
    <t>STA07</t>
  </si>
  <si>
    <t>STA08</t>
  </si>
  <si>
    <t>I do hereby exercise the option contemplated by Rule 15 and have my tax liability for this year of assessment determined on the basis of actual sales of qualifying produce less all direct expenditure incurred during the year.   I am also directing that the three percent (3%) tax withheld during the year, as indicated below, will be credited to my account.  I am fully aware that this notice is irrevocable and declare that proper books of account have been kept and will be provided to the Commissioner upon request.</t>
  </si>
  <si>
    <t>Long-term loans due to joint venture(s) or partnership(s)</t>
  </si>
  <si>
    <t>Direct Costs</t>
  </si>
  <si>
    <t>Direct productive wages</t>
  </si>
  <si>
    <t>Subcontracting</t>
  </si>
  <si>
    <t xml:space="preserve">Has the company complied with all conditions under these Rules? </t>
  </si>
  <si>
    <t>&lt; Check date!</t>
  </si>
  <si>
    <t>Rate for additional deduction</t>
  </si>
  <si>
    <t xml:space="preserve">ITA - DIVIDENDS </t>
  </si>
  <si>
    <t>Details of Dividends received</t>
  </si>
  <si>
    <t>IT No. / R.O.C. No.</t>
  </si>
  <si>
    <t>Business Promotion</t>
  </si>
  <si>
    <t>What rate was applied for Y/A 2001 on PLANT AND MACHINERY acquired before basis year 2000:</t>
  </si>
  <si>
    <t>Danish Krona</t>
  </si>
  <si>
    <t>RETAINED EARNINGS CARRIED FORWARD</t>
  </si>
  <si>
    <t>R29</t>
  </si>
  <si>
    <t>Due from corporate shareholder(s)</t>
  </si>
  <si>
    <t>L45</t>
  </si>
  <si>
    <t>L57</t>
  </si>
  <si>
    <t>Tax Liability for the year</t>
  </si>
  <si>
    <t>Tax on Income taxed at normal rates</t>
  </si>
  <si>
    <t>Total Tax Liability on chargeable income for the year</t>
  </si>
  <si>
    <t>Capital leases - buildings</t>
  </si>
  <si>
    <t>A0133</t>
  </si>
  <si>
    <t xml:space="preserve">Maximum percentage of eligible costs that may be approved </t>
  </si>
  <si>
    <t>Utilisation of Training Tax Credit</t>
  </si>
  <si>
    <t>J39</t>
  </si>
  <si>
    <t>U41</t>
  </si>
  <si>
    <t>37</t>
  </si>
  <si>
    <t>F58</t>
  </si>
  <si>
    <t>I58</t>
  </si>
  <si>
    <t>38</t>
  </si>
  <si>
    <t>I59</t>
  </si>
  <si>
    <t>39</t>
  </si>
  <si>
    <t>F60</t>
  </si>
  <si>
    <t>I60</t>
  </si>
  <si>
    <t>O10</t>
  </si>
  <si>
    <t>R10</t>
  </si>
  <si>
    <t>O11</t>
  </si>
  <si>
    <t>Social Security Contributions - Self</t>
  </si>
  <si>
    <t>Social Security Contributions - Partners</t>
  </si>
  <si>
    <t xml:space="preserve">Income Tax / ROC number </t>
  </si>
  <si>
    <t>Computer-related expenses</t>
  </si>
  <si>
    <t>Utilities</t>
  </si>
  <si>
    <t>Wages &amp; employer's share of SSC</t>
  </si>
  <si>
    <t>Fees paid to University or Institution</t>
  </si>
  <si>
    <t>Cost of course materials</t>
  </si>
  <si>
    <t>D123</t>
  </si>
  <si>
    <t>E123</t>
  </si>
  <si>
    <t>F123</t>
  </si>
  <si>
    <t>A1681</t>
  </si>
  <si>
    <t>Investment Tax Credit b/Fwd</t>
  </si>
  <si>
    <t>Contractual Research costs, etc exceed 25% of total project costs!</t>
  </si>
  <si>
    <t>EE</t>
  </si>
  <si>
    <t>F122</t>
  </si>
  <si>
    <t>A1680</t>
  </si>
  <si>
    <t>B123</t>
  </si>
  <si>
    <t>C123</t>
  </si>
  <si>
    <t>Net Income from Rents after deducting direct expenses</t>
  </si>
  <si>
    <t>Ground rents [Article 4(1)(e) ITA]</t>
  </si>
  <si>
    <t>Ground rents  received / receivable</t>
  </si>
  <si>
    <t>Restrict to cost</t>
  </si>
  <si>
    <t>Balancing</t>
  </si>
  <si>
    <t xml:space="preserve">Record of Income taxed at double taxation treaty rates </t>
  </si>
  <si>
    <t>Tax thereon</t>
  </si>
  <si>
    <t xml:space="preserve">Chargeable Income after tax </t>
  </si>
  <si>
    <t xml:space="preserve">PE (Employer) number </t>
  </si>
  <si>
    <t>Name of employee</t>
  </si>
  <si>
    <t>Tax Credit after threshold and reduction</t>
  </si>
  <si>
    <t>Employee's ID Number</t>
  </si>
  <si>
    <t>Type of relevant academic qualification</t>
  </si>
  <si>
    <t>None</t>
  </si>
  <si>
    <t>Bonuses and similar incentive compensation</t>
  </si>
  <si>
    <t>TRA54</t>
  </si>
  <si>
    <t>SHA20</t>
  </si>
  <si>
    <t>B28</t>
  </si>
  <si>
    <t>E28</t>
  </si>
  <si>
    <t>L28</t>
  </si>
  <si>
    <t>M28</t>
  </si>
  <si>
    <t>Q28</t>
  </si>
  <si>
    <t>S28</t>
  </si>
  <si>
    <t>U28</t>
  </si>
  <si>
    <t>SHA21</t>
  </si>
  <si>
    <t>E29</t>
  </si>
  <si>
    <t>L29</t>
  </si>
  <si>
    <t>M29</t>
  </si>
  <si>
    <t>Q29</t>
  </si>
  <si>
    <t>S29</t>
  </si>
  <si>
    <t>Accumulated amortisation of royalties, trademarks, patents</t>
  </si>
  <si>
    <t>Page 8</t>
  </si>
  <si>
    <t>Loose tools</t>
  </si>
  <si>
    <t>Shop expense</t>
  </si>
  <si>
    <t>A1504</t>
  </si>
  <si>
    <t>Financial Statements</t>
  </si>
  <si>
    <t>Please indicate the tax account allocation for tax computation purposes only</t>
  </si>
  <si>
    <t>Unabsorbed Group Loss brought forward from previous year</t>
  </si>
  <si>
    <t xml:space="preserve">Gross Interest subject to 15% Final Withholding tax </t>
  </si>
  <si>
    <t xml:space="preserve">Gross Interest NOT subject to 15% Final Withholding tax </t>
  </si>
  <si>
    <t>Final               Tax Account</t>
  </si>
  <si>
    <t>B64</t>
  </si>
  <si>
    <t>E64</t>
  </si>
  <si>
    <t>DIR23</t>
  </si>
  <si>
    <t>B65</t>
  </si>
  <si>
    <t>E65</t>
  </si>
  <si>
    <t>INCOMPLETE !!</t>
  </si>
  <si>
    <t xml:space="preserve">PART 2 - ADJUSTMENT OF PROFIT PER FINANCIAL STATEMENTS FOR TAX PURPOSES </t>
  </si>
  <si>
    <t>Item Description</t>
  </si>
  <si>
    <t>14(1)(g)</t>
  </si>
  <si>
    <t>BPA - Regulation 5 (Investment Tax Credit)</t>
  </si>
  <si>
    <t>TRA 30</t>
  </si>
  <si>
    <t>Relief of double taxation</t>
  </si>
  <si>
    <t>TRA 31</t>
  </si>
  <si>
    <t>Tax paid</t>
  </si>
  <si>
    <t>Page 1</t>
  </si>
  <si>
    <t xml:space="preserve">Company Details </t>
  </si>
  <si>
    <t>Page 2</t>
  </si>
  <si>
    <t>PART 5 - DETAILS OF COMPANY SET-UP</t>
  </si>
  <si>
    <t>I20</t>
  </si>
  <si>
    <t>J20</t>
  </si>
  <si>
    <t>A0208</t>
  </si>
  <si>
    <t>D21</t>
  </si>
  <si>
    <t>H21</t>
  </si>
  <si>
    <t>I21</t>
  </si>
  <si>
    <t>J21</t>
  </si>
  <si>
    <t>A0209</t>
  </si>
  <si>
    <t>D22</t>
  </si>
  <si>
    <t>H22</t>
  </si>
  <si>
    <t>I22</t>
  </si>
  <si>
    <t>SUP05</t>
  </si>
  <si>
    <t>A11</t>
  </si>
  <si>
    <t>Rents subject to 5% FWT (Housing Authority)</t>
  </si>
  <si>
    <t xml:space="preserve">- Article </t>
  </si>
  <si>
    <t xml:space="preserve"> - [Reduced rates of tax]</t>
  </si>
  <si>
    <t>Project No.</t>
  </si>
  <si>
    <t>Start Date</t>
  </si>
  <si>
    <t>D76</t>
  </si>
  <si>
    <t>E76</t>
  </si>
  <si>
    <t>F76</t>
  </si>
  <si>
    <t>A1650</t>
  </si>
  <si>
    <t>B77</t>
  </si>
  <si>
    <t>C77</t>
  </si>
  <si>
    <t>D77</t>
  </si>
  <si>
    <t>E77</t>
  </si>
  <si>
    <t>F77</t>
  </si>
  <si>
    <t>A1651</t>
  </si>
  <si>
    <t>B78</t>
  </si>
  <si>
    <t>C78</t>
  </si>
  <si>
    <t>D78</t>
  </si>
  <si>
    <t>E78</t>
  </si>
  <si>
    <t>F78</t>
  </si>
  <si>
    <t>A1652</t>
  </si>
  <si>
    <t>B79</t>
  </si>
  <si>
    <t>C79</t>
  </si>
  <si>
    <t>D79</t>
  </si>
  <si>
    <t>E79</t>
  </si>
  <si>
    <t>F79</t>
  </si>
  <si>
    <t>A1653</t>
  </si>
  <si>
    <t>B80</t>
  </si>
  <si>
    <t>C80</t>
  </si>
  <si>
    <t>D80</t>
  </si>
  <si>
    <t>E80</t>
  </si>
  <si>
    <t>F80</t>
  </si>
  <si>
    <t>A1654</t>
  </si>
  <si>
    <t>Carried Forward</t>
  </si>
  <si>
    <t>A1807</t>
  </si>
  <si>
    <t>A1808</t>
  </si>
  <si>
    <t>A1809</t>
  </si>
  <si>
    <t>Provision for doubtful trade accounts receivable from related parties</t>
  </si>
  <si>
    <t xml:space="preserve">  ITA - Article 56(20) (Double Taxation Treaties)</t>
  </si>
  <si>
    <t xml:space="preserve">  Stock Exchange Act - Article 31</t>
  </si>
  <si>
    <t>Charge</t>
  </si>
  <si>
    <t>FIA</t>
  </si>
  <si>
    <t>Capital Redemption Reserve Fund</t>
  </si>
  <si>
    <t>DIR10</t>
  </si>
  <si>
    <t>B52</t>
  </si>
  <si>
    <t>E52</t>
  </si>
  <si>
    <t>M52</t>
  </si>
  <si>
    <t>Q52</t>
  </si>
  <si>
    <t>DIR11</t>
  </si>
  <si>
    <t>B53</t>
  </si>
  <si>
    <t>Loan interest  -  from foreign sources</t>
  </si>
  <si>
    <t>J78</t>
  </si>
  <si>
    <t>K78</t>
  </si>
  <si>
    <t>I39</t>
  </si>
  <si>
    <t>K39</t>
  </si>
  <si>
    <t>WDV start Y/A 2002        OR          START       Y/A 2010         c/fwd</t>
  </si>
  <si>
    <t>Disposals at WDV START          Y/A 2002               OR             START         Y/A 2010 (Aircraft)</t>
  </si>
  <si>
    <t>Opening Stock of Work-in-Progress</t>
  </si>
  <si>
    <t>Net income from non-qualifying sales</t>
  </si>
  <si>
    <t>hire contract</t>
  </si>
  <si>
    <t>Profits that have been relieved from tax allocated to the Final Tax Account [Exempt]</t>
  </si>
  <si>
    <t>Approval by  ME</t>
  </si>
  <si>
    <t>G65</t>
  </si>
  <si>
    <t>H65</t>
  </si>
  <si>
    <t>I65</t>
  </si>
  <si>
    <t>J65</t>
  </si>
  <si>
    <t>K65</t>
  </si>
  <si>
    <t>A0553</t>
  </si>
  <si>
    <t>C66</t>
  </si>
  <si>
    <t>D66</t>
  </si>
  <si>
    <t>F66</t>
  </si>
  <si>
    <t>H66</t>
  </si>
  <si>
    <t>I66</t>
  </si>
  <si>
    <t>J66</t>
  </si>
  <si>
    <t>K66</t>
  </si>
  <si>
    <t>A0554</t>
  </si>
  <si>
    <t>B67</t>
  </si>
  <si>
    <t>C67</t>
  </si>
  <si>
    <t>D67</t>
  </si>
  <si>
    <t>E67</t>
  </si>
  <si>
    <t>G67</t>
  </si>
  <si>
    <t>H67</t>
  </si>
  <si>
    <t>I67</t>
  </si>
  <si>
    <t>J67</t>
  </si>
  <si>
    <t>K67</t>
  </si>
  <si>
    <t>A0555</t>
  </si>
  <si>
    <t>B68</t>
  </si>
  <si>
    <t>DIR24</t>
  </si>
  <si>
    <t>B66</t>
  </si>
  <si>
    <t>E66</t>
  </si>
  <si>
    <t>ITA - LN 330 of 2005 as amended by LN 159 of 2006</t>
  </si>
  <si>
    <t>A4003</t>
  </si>
  <si>
    <t>A4004</t>
  </si>
  <si>
    <t>A4005</t>
  </si>
  <si>
    <t>A4006</t>
  </si>
  <si>
    <t>A4007</t>
  </si>
  <si>
    <t>A4008</t>
  </si>
  <si>
    <t>TRA 22</t>
  </si>
  <si>
    <t xml:space="preserve">BPA - Article 5 </t>
  </si>
  <si>
    <t>BPA - Article 5A</t>
  </si>
  <si>
    <t>G29</t>
  </si>
  <si>
    <t>H29</t>
  </si>
  <si>
    <t>I29</t>
  </si>
  <si>
    <t>Amounts payable to members of NPOs</t>
  </si>
  <si>
    <t>Taxes, licences and fees payable</t>
  </si>
  <si>
    <t>CIR - Corporation Tax payable</t>
  </si>
  <si>
    <t>Double Taxation Relief</t>
  </si>
  <si>
    <t>C'wealth Relief</t>
  </si>
  <si>
    <t>Unilateral Relief</t>
  </si>
  <si>
    <t>Flat-Rate Foreign Tax Credit</t>
  </si>
  <si>
    <t>Securities interest - from foreign sources</t>
  </si>
  <si>
    <t>Interest from other foreign sources</t>
  </si>
  <si>
    <t>Dividends from Maltese sources</t>
  </si>
  <si>
    <t xml:space="preserve">Threshold </t>
  </si>
  <si>
    <t>J73</t>
  </si>
  <si>
    <t>K73</t>
  </si>
  <si>
    <t>A0561</t>
  </si>
  <si>
    <t>B74</t>
  </si>
  <si>
    <t>C74</t>
  </si>
  <si>
    <t>D74</t>
  </si>
  <si>
    <t>E74</t>
  </si>
  <si>
    <t>G74</t>
  </si>
  <si>
    <t>H74</t>
  </si>
  <si>
    <t>I74</t>
  </si>
  <si>
    <t>J74</t>
  </si>
  <si>
    <t>K74</t>
  </si>
  <si>
    <t>A0562</t>
  </si>
  <si>
    <t>Bank Charges</t>
  </si>
  <si>
    <t>Realised Loss or Gain on Exchange</t>
  </si>
  <si>
    <t>Finance Charges</t>
  </si>
  <si>
    <t>Credit card charges</t>
  </si>
  <si>
    <t>Provisions</t>
  </si>
  <si>
    <t>Unrealised Loss or Gain on Exchange</t>
  </si>
  <si>
    <t>A0911</t>
  </si>
  <si>
    <t>A1001</t>
  </si>
  <si>
    <t>Passive interest or royalties</t>
  </si>
  <si>
    <t>Passive Interest or royalties @</t>
  </si>
  <si>
    <t>STA19</t>
  </si>
  <si>
    <t>STA20</t>
  </si>
  <si>
    <t>STA21</t>
  </si>
  <si>
    <t>STA22</t>
  </si>
  <si>
    <t>STA23</t>
  </si>
  <si>
    <t>STA24</t>
  </si>
  <si>
    <t>STA25</t>
  </si>
  <si>
    <t>STA26</t>
  </si>
  <si>
    <t>STA27</t>
  </si>
  <si>
    <t>STA28</t>
  </si>
  <si>
    <t>STA29</t>
  </si>
  <si>
    <t>STA30</t>
  </si>
  <si>
    <t>STA31</t>
  </si>
  <si>
    <t>A35</t>
  </si>
  <si>
    <t>STA32</t>
  </si>
  <si>
    <t>A36</t>
  </si>
  <si>
    <t>STA33</t>
  </si>
  <si>
    <t>STA34</t>
  </si>
  <si>
    <t>Depreciation of Air-conditioners</t>
  </si>
  <si>
    <t>A3143</t>
  </si>
  <si>
    <t>A3144</t>
  </si>
  <si>
    <t>A3145</t>
  </si>
  <si>
    <t>A3146</t>
  </si>
  <si>
    <t>A3147</t>
  </si>
  <si>
    <t>A28</t>
  </si>
  <si>
    <t>D28</t>
  </si>
  <si>
    <t>H28</t>
  </si>
  <si>
    <t>I28</t>
  </si>
  <si>
    <t>J28</t>
  </si>
  <si>
    <t>TRA 52</t>
  </si>
  <si>
    <t>TRA 53</t>
  </si>
  <si>
    <t>BPA Regs. 31 to 37 - CONVERSION SCHEME FOR LARGE COMPANIES</t>
  </si>
  <si>
    <t>Rent, ground rent or similar burden</t>
  </si>
  <si>
    <t>20% further deduction</t>
  </si>
  <si>
    <t xml:space="preserve">Taxation Data </t>
  </si>
  <si>
    <t>Corporate loans</t>
  </si>
  <si>
    <t>G127</t>
  </si>
  <si>
    <t>G128</t>
  </si>
  <si>
    <t>G129</t>
  </si>
  <si>
    <t>G130</t>
  </si>
  <si>
    <t>A0315</t>
  </si>
  <si>
    <t>A0316</t>
  </si>
  <si>
    <t>A0317</t>
  </si>
  <si>
    <t>A0318</t>
  </si>
  <si>
    <t>General and administrative expenses</t>
  </si>
  <si>
    <t>Transport Expenses</t>
  </si>
  <si>
    <t>Formation Expenses written-off</t>
  </si>
  <si>
    <t xml:space="preserve">but before capital allowances </t>
  </si>
  <si>
    <t>Unavailed deduction(s) brought forward from previous years</t>
  </si>
  <si>
    <t>A1813</t>
  </si>
  <si>
    <t>A1814</t>
  </si>
  <si>
    <t>A1815</t>
  </si>
  <si>
    <t>A1816</t>
  </si>
  <si>
    <t>A1817</t>
  </si>
  <si>
    <t>A1901</t>
  </si>
  <si>
    <t>A6</t>
  </si>
  <si>
    <t>A1902</t>
  </si>
  <si>
    <t>A1903</t>
  </si>
  <si>
    <t>A1904</t>
  </si>
  <si>
    <t>A1905</t>
  </si>
  <si>
    <t>A1906</t>
  </si>
  <si>
    <t>A1907</t>
  </si>
  <si>
    <t>A1908</t>
  </si>
  <si>
    <t>A1909</t>
  </si>
  <si>
    <t>A1910</t>
  </si>
  <si>
    <t>Sub-total &gt; deduct result in field 35a from the result in field 22a</t>
  </si>
  <si>
    <t>36a</t>
  </si>
  <si>
    <t>Check!</t>
  </si>
  <si>
    <t>TRA 34</t>
  </si>
  <si>
    <t>Make sure that the correct data is inputted under the proper item description.  A value for each mandatory field is always required [see TIFD guidelines page 17].  However, two mandatory fields in the Balance Sheet are automatically disactivated in the case of Trusts.</t>
  </si>
  <si>
    <t>D6</t>
  </si>
  <si>
    <r>
      <t>Year of</t>
    </r>
    <r>
      <rPr>
        <sz val="6"/>
        <rFont val="Arial"/>
        <family val="2"/>
      </rPr>
      <t xml:space="preserve"> </t>
    </r>
    <r>
      <rPr>
        <sz val="7"/>
        <rFont val="Arial"/>
        <family val="2"/>
      </rPr>
      <t>Purchase</t>
    </r>
    <r>
      <rPr>
        <sz val="6"/>
        <rFont val="Arial"/>
        <family val="2"/>
      </rPr>
      <t xml:space="preserve"> </t>
    </r>
    <r>
      <rPr>
        <sz val="9"/>
        <rFont val="Arial"/>
        <family val="2"/>
      </rPr>
      <t>[Y/A]</t>
    </r>
  </si>
  <si>
    <r>
      <t xml:space="preserve">Names and address/es              </t>
    </r>
    <r>
      <rPr>
        <sz val="7"/>
        <rFont val="Arial"/>
        <family val="2"/>
      </rPr>
      <t>of establishments from which business activities are carried on</t>
    </r>
  </si>
  <si>
    <r>
      <t xml:space="preserve">Amount set to determine Upper limit </t>
    </r>
    <r>
      <rPr>
        <vertAlign val="superscript"/>
        <sz val="8"/>
        <rFont val="Arial"/>
        <family val="2"/>
      </rPr>
      <t>1</t>
    </r>
  </si>
  <si>
    <t>a] Additional deduction [as computed above]</t>
  </si>
  <si>
    <t>COM08</t>
  </si>
  <si>
    <t>N60</t>
  </si>
  <si>
    <t>A3938</t>
  </si>
  <si>
    <t>A3939</t>
  </si>
  <si>
    <t>A3940</t>
  </si>
  <si>
    <t>A4001</t>
  </si>
  <si>
    <t>A5</t>
  </si>
  <si>
    <t>A4002</t>
  </si>
  <si>
    <t>A4109</t>
  </si>
  <si>
    <t>A4110</t>
  </si>
  <si>
    <t>A4111</t>
  </si>
  <si>
    <t>A4112</t>
  </si>
  <si>
    <t>AA38</t>
  </si>
  <si>
    <t>SHA30</t>
  </si>
  <si>
    <t>Q39</t>
  </si>
  <si>
    <t>Total amount of donations/scholarships being claimed as a deduction for the current year of assessment</t>
  </si>
  <si>
    <t>Article 15 of the BPA</t>
  </si>
  <si>
    <t>Please indicate the activity number for printing</t>
  </si>
  <si>
    <t>Balance Sheet date present?</t>
  </si>
  <si>
    <t>D38</t>
  </si>
  <si>
    <t>Amortisation of research and development</t>
  </si>
  <si>
    <t>U13</t>
  </si>
  <si>
    <t>U15</t>
  </si>
  <si>
    <t>U17</t>
  </si>
  <si>
    <t>U21</t>
  </si>
  <si>
    <t>U23</t>
  </si>
  <si>
    <t>U25</t>
  </si>
  <si>
    <t>U27</t>
  </si>
  <si>
    <t>U29</t>
  </si>
  <si>
    <t>U31</t>
  </si>
  <si>
    <t>U33</t>
  </si>
  <si>
    <t>J35</t>
  </si>
  <si>
    <t>J37</t>
  </si>
  <si>
    <t>U37</t>
  </si>
  <si>
    <t>A3406</t>
  </si>
  <si>
    <t>A3407</t>
  </si>
  <si>
    <t>A3408</t>
  </si>
  <si>
    <t>A3409</t>
  </si>
  <si>
    <t>A3410</t>
  </si>
  <si>
    <t>A3411</t>
  </si>
  <si>
    <t>A3412</t>
  </si>
  <si>
    <t>A3413</t>
  </si>
  <si>
    <t>A3414</t>
  </si>
  <si>
    <t>A3415</t>
  </si>
  <si>
    <t>A3416</t>
  </si>
  <si>
    <t>A3417</t>
  </si>
  <si>
    <t>A3501</t>
  </si>
  <si>
    <t>K3</t>
  </si>
  <si>
    <t>A3502</t>
  </si>
  <si>
    <t>K4</t>
  </si>
  <si>
    <t>Totals [to page 6 of the return]</t>
  </si>
  <si>
    <t xml:space="preserve">Total Exempt Income (less transfers to other taxed accounts or Reserve - </t>
  </si>
  <si>
    <t>Accumulated depreciation of Medical Equipment</t>
  </si>
  <si>
    <t>Tax computation                                                      [page 4 of tax return]</t>
  </si>
  <si>
    <t xml:space="preserve">Accelerated depreciation deductible against source of income included as  </t>
  </si>
  <si>
    <t>A1684</t>
  </si>
  <si>
    <t>B127</t>
  </si>
  <si>
    <t>C127</t>
  </si>
  <si>
    <t>D127</t>
  </si>
  <si>
    <t>E127</t>
  </si>
  <si>
    <t>F127</t>
  </si>
  <si>
    <t>A1685</t>
  </si>
  <si>
    <t>B128</t>
  </si>
  <si>
    <t>C128</t>
  </si>
  <si>
    <t>D128</t>
  </si>
  <si>
    <t>E128</t>
  </si>
  <si>
    <t>F128</t>
  </si>
  <si>
    <t>A1686</t>
  </si>
  <si>
    <t>B129</t>
  </si>
  <si>
    <t>E6</t>
  </si>
  <si>
    <t>I6</t>
  </si>
  <si>
    <t>J6</t>
  </si>
  <si>
    <t>K6</t>
  </si>
  <si>
    <t>A0502</t>
  </si>
  <si>
    <t xml:space="preserve">   Removal of architectural and physical barriers</t>
  </si>
  <si>
    <t xml:space="preserve">   Acquisition etc. of equipment and devices for persons with disability</t>
  </si>
  <si>
    <t xml:space="preserve">   Installation etc. of physical structures, and/or equipment designed to increase accessibility</t>
  </si>
  <si>
    <t xml:space="preserve">   Employee Training</t>
  </si>
  <si>
    <t>TRA 70</t>
  </si>
  <si>
    <t>STA93</t>
  </si>
  <si>
    <t>A97</t>
  </si>
  <si>
    <t>G55</t>
  </si>
  <si>
    <t>QUE36</t>
  </si>
  <si>
    <t>G56</t>
  </si>
  <si>
    <t>Local bank loan(s) - [Current portion]</t>
  </si>
  <si>
    <t>C68</t>
  </si>
  <si>
    <t>D68</t>
  </si>
  <si>
    <t>E68</t>
  </si>
  <si>
    <t>F68</t>
  </si>
  <si>
    <t>G68</t>
  </si>
  <si>
    <t>H68</t>
  </si>
  <si>
    <t>I68</t>
  </si>
  <si>
    <t>J68</t>
  </si>
  <si>
    <t>K68</t>
  </si>
  <si>
    <t>A0556</t>
  </si>
  <si>
    <t>B69</t>
  </si>
  <si>
    <t>C69</t>
  </si>
  <si>
    <t>D69</t>
  </si>
  <si>
    <t>E69</t>
  </si>
  <si>
    <t>G69</t>
  </si>
  <si>
    <r>
      <t>2</t>
    </r>
    <r>
      <rPr>
        <sz val="9"/>
        <rFont val="Arial"/>
        <family val="2"/>
      </rPr>
      <t>The aggregate tax credit entitlement should be equal to the amount approved by ME</t>
    </r>
  </si>
  <si>
    <r>
      <t>Payor Details</t>
    </r>
    <r>
      <rPr>
        <sz val="10"/>
        <rFont val="Arial"/>
        <family val="2"/>
      </rPr>
      <t xml:space="preserve"> </t>
    </r>
    <r>
      <rPr>
        <sz val="8"/>
        <rFont val="Arial"/>
        <family val="2"/>
      </rPr>
      <t>[must be supported by AS3(s)]</t>
    </r>
  </si>
  <si>
    <t>N73</t>
  </si>
  <si>
    <t>Q78</t>
  </si>
  <si>
    <t>Q82</t>
  </si>
  <si>
    <t>Q83</t>
  </si>
  <si>
    <t>J87</t>
  </si>
  <si>
    <t>J88</t>
  </si>
  <si>
    <t>J89</t>
  </si>
  <si>
    <t>Version</t>
  </si>
  <si>
    <t>Parking areas</t>
  </si>
  <si>
    <t>Staff Uniforms</t>
  </si>
  <si>
    <t>A38</t>
  </si>
  <si>
    <t>STA35</t>
  </si>
  <si>
    <t>BPA - Regulation 5 - [Investment Tax Credit]</t>
  </si>
  <si>
    <t>Bank Loan Interest</t>
  </si>
  <si>
    <t>Depreciation of Equipment for the production of water or electricity</t>
  </si>
  <si>
    <t>C20</t>
  </si>
  <si>
    <t>K20</t>
  </si>
  <si>
    <t>A0516</t>
  </si>
  <si>
    <t>C21</t>
  </si>
  <si>
    <t>K21</t>
  </si>
  <si>
    <t>TRA 62</t>
  </si>
  <si>
    <t>A33</t>
  </si>
  <si>
    <t>B33</t>
  </si>
  <si>
    <t>D33</t>
  </si>
  <si>
    <t>E33</t>
  </si>
  <si>
    <t>G33</t>
  </si>
  <si>
    <t>H33</t>
  </si>
  <si>
    <t>I33</t>
  </si>
  <si>
    <t>J33</t>
  </si>
  <si>
    <t>Prior Period Adjustments</t>
  </si>
  <si>
    <t>Unrealised gain or loss on revaluation of assets</t>
  </si>
  <si>
    <t>Extraordinary profit or loss</t>
  </si>
  <si>
    <t>A0566</t>
  </si>
  <si>
    <t>IT No.                    (or R.O.C. No.)</t>
  </si>
  <si>
    <t>Increased deduction for the year [50% of Total expenditure on scientific research]</t>
  </si>
  <si>
    <t>P36</t>
  </si>
  <si>
    <t>M37</t>
  </si>
  <si>
    <t>N37</t>
  </si>
  <si>
    <t>P37</t>
  </si>
  <si>
    <t>M38</t>
  </si>
  <si>
    <t>N38</t>
  </si>
  <si>
    <t>P38</t>
  </si>
  <si>
    <t>M39</t>
  </si>
  <si>
    <t>N39</t>
  </si>
  <si>
    <t>P39</t>
  </si>
  <si>
    <t>M40</t>
  </si>
  <si>
    <t>N40</t>
  </si>
  <si>
    <t>O40</t>
  </si>
  <si>
    <t>P40</t>
  </si>
  <si>
    <t>P47</t>
  </si>
  <si>
    <t xml:space="preserve"> TRA 60</t>
  </si>
  <si>
    <t xml:space="preserve">Income suffering tax at </t>
  </si>
  <si>
    <t>TRA67</t>
  </si>
  <si>
    <t>TRA68</t>
  </si>
  <si>
    <t>TRA69</t>
  </si>
  <si>
    <t>TRA70</t>
  </si>
  <si>
    <t>TRA71</t>
  </si>
  <si>
    <t>AT</t>
  </si>
  <si>
    <t>BE</t>
  </si>
  <si>
    <t>BG</t>
  </si>
  <si>
    <t>CY</t>
  </si>
  <si>
    <t>Amount FROM a Related company allocated to the IPA</t>
  </si>
  <si>
    <t xml:space="preserve">Amount TO be allocated to the IPA of a Related company </t>
  </si>
  <si>
    <t>TRA 62A</t>
  </si>
  <si>
    <r>
      <rPr>
        <sz val="14"/>
        <rFont val="Arial"/>
        <family val="2"/>
      </rPr>
      <t xml:space="preserve">Part 2 - Profits allocated to the Immovable Property Account                      </t>
    </r>
    <r>
      <rPr>
        <sz val="11"/>
        <rFont val="Arial"/>
        <family val="2"/>
      </rPr>
      <t xml:space="preserve">                                                                                     </t>
    </r>
    <r>
      <rPr>
        <sz val="11"/>
        <color indexed="16"/>
        <rFont val="Arial"/>
        <family val="2"/>
      </rPr>
      <t xml:space="preserve"> </t>
    </r>
    <r>
      <rPr>
        <sz val="10"/>
        <color indexed="16"/>
        <rFont val="Arial"/>
        <family val="2"/>
      </rPr>
      <t xml:space="preserve"> [Second allocation in terms of Sub - Regulations 5(4) to 5(8) where applicable]</t>
    </r>
  </si>
  <si>
    <t>Amount attributable to company allocated in the CURRENT YEAR of ASSESSMENT</t>
  </si>
  <si>
    <t>FROM TRA 62A</t>
  </si>
  <si>
    <t>p6 q22</t>
  </si>
  <si>
    <t>Vatable sales</t>
  </si>
  <si>
    <t>C7</t>
  </si>
  <si>
    <t>E7</t>
  </si>
  <si>
    <t>F7</t>
  </si>
  <si>
    <t>I7</t>
  </si>
  <si>
    <t>J7</t>
  </si>
  <si>
    <t>K7</t>
  </si>
  <si>
    <t>A0503</t>
  </si>
  <si>
    <t>C8</t>
  </si>
  <si>
    <t>D8</t>
  </si>
  <si>
    <t>E8</t>
  </si>
  <si>
    <t>I8</t>
  </si>
  <si>
    <t>J8</t>
  </si>
  <si>
    <t xml:space="preserve">Name </t>
  </si>
  <si>
    <t xml:space="preserve">Gross Dividends </t>
  </si>
  <si>
    <t>A6105</t>
  </si>
  <si>
    <t>Security and exchange commission fees</t>
  </si>
  <si>
    <t>A2721</t>
  </si>
  <si>
    <t>A2722</t>
  </si>
  <si>
    <t>A2723</t>
  </si>
  <si>
    <t>ACTIVITY NUMBER</t>
  </si>
  <si>
    <t>Sale of goods and rendering of services</t>
  </si>
  <si>
    <t>Transaction Number</t>
  </si>
  <si>
    <t>Date when debt was written off</t>
  </si>
  <si>
    <t>Deductions and Tax Credits (General and Specific Qualifications) Rules, 2005</t>
  </si>
  <si>
    <t>Table B - G</t>
  </si>
  <si>
    <t>General qualification</t>
  </si>
  <si>
    <t>To be filled in respect of each employee</t>
  </si>
  <si>
    <t>Specific qualification</t>
  </si>
  <si>
    <t>9a</t>
  </si>
  <si>
    <t>10a</t>
  </si>
  <si>
    <t>11a</t>
  </si>
  <si>
    <t>12a</t>
  </si>
  <si>
    <t>13a</t>
  </si>
  <si>
    <t>14a</t>
  </si>
  <si>
    <t>Accumulated depreciation of industrial buildings  and structures</t>
  </si>
  <si>
    <t>Non-industrial buildings</t>
  </si>
  <si>
    <t>A3403</t>
  </si>
  <si>
    <t>A3404</t>
  </si>
  <si>
    <t>A3405</t>
  </si>
  <si>
    <t>Net income/(Loss) after Capital Gains</t>
  </si>
  <si>
    <t>Inc. Stat</t>
  </si>
  <si>
    <t>37c</t>
  </si>
  <si>
    <t>39c</t>
  </si>
  <si>
    <t>Final Tax at 5% deducted by the Housing Authority</t>
  </si>
  <si>
    <t xml:space="preserve">  TRA 61</t>
  </si>
  <si>
    <t xml:space="preserve">Have all conditions been satisfied?   </t>
  </si>
  <si>
    <t xml:space="preserve">Is the attachment complete?   </t>
  </si>
  <si>
    <t>TRA 75</t>
  </si>
  <si>
    <t>TRA 76</t>
  </si>
  <si>
    <t>TRA 77</t>
  </si>
  <si>
    <t>TRA 78</t>
  </si>
  <si>
    <t>ITA - Art 31A - Taxation of rental income from Housing Authority</t>
  </si>
  <si>
    <t>ITA - Article 31B</t>
  </si>
  <si>
    <t>Taxation of Rental income on Housing Authority subsidised rent</t>
  </si>
  <si>
    <t>Final Tax at 10% deducted by the Housing Authority</t>
  </si>
  <si>
    <t>ITA - Art 31B - Taxation of rental income on Housing Authority subsidised rent</t>
  </si>
  <si>
    <t>Sunset</t>
  </si>
  <si>
    <r>
      <t>tax benefits shall be claimed before 31</t>
    </r>
    <r>
      <rPr>
        <sz val="8"/>
        <color indexed="8"/>
        <rFont val="Arial"/>
        <family val="2"/>
      </rPr>
      <t xml:space="preserve">st </t>
    </r>
    <r>
      <rPr>
        <sz val="12"/>
        <color indexed="8"/>
        <rFont val="Arial"/>
        <family val="2"/>
      </rPr>
      <t>December 2015.</t>
    </r>
  </si>
  <si>
    <t>Y/A 2016</t>
  </si>
  <si>
    <t>ITA - Article 31C</t>
  </si>
  <si>
    <t>A1508</t>
  </si>
  <si>
    <t>A1818</t>
  </si>
  <si>
    <t>A1819</t>
  </si>
  <si>
    <t>A1820</t>
  </si>
  <si>
    <t>A1821</t>
  </si>
  <si>
    <t>A1822</t>
  </si>
  <si>
    <t>A1823</t>
  </si>
  <si>
    <t>Q34</t>
  </si>
  <si>
    <t>S34</t>
  </si>
  <si>
    <t>U34</t>
  </si>
  <si>
    <t>Q36</t>
  </si>
  <si>
    <t>S36</t>
  </si>
  <si>
    <t>U36</t>
  </si>
  <si>
    <t>Q38</t>
  </si>
  <si>
    <t>S38</t>
  </si>
  <si>
    <t>U38</t>
  </si>
  <si>
    <t>Q42</t>
  </si>
  <si>
    <t>S42</t>
  </si>
  <si>
    <t>U42</t>
  </si>
  <si>
    <t>S46</t>
  </si>
  <si>
    <t>U46</t>
  </si>
  <si>
    <t>S48</t>
  </si>
  <si>
    <t>U48</t>
  </si>
  <si>
    <t>U50</t>
  </si>
  <si>
    <t>U52</t>
  </si>
  <si>
    <t>Q71</t>
  </si>
  <si>
    <t>U71</t>
  </si>
  <si>
    <t>Q73</t>
  </si>
  <si>
    <t>U73</t>
  </si>
  <si>
    <t>M75</t>
  </si>
  <si>
    <t>Q75</t>
  </si>
  <si>
    <t>S75</t>
  </si>
  <si>
    <t>U75</t>
  </si>
  <si>
    <t>O77</t>
  </si>
  <si>
    <t>Q77</t>
  </si>
  <si>
    <t>U77</t>
  </si>
  <si>
    <t>Q79</t>
  </si>
  <si>
    <t>Q81</t>
  </si>
  <si>
    <t>U81</t>
  </si>
  <si>
    <t>124</t>
  </si>
  <si>
    <t>125</t>
  </si>
  <si>
    <t>Was there any revaluation of assets during the year?</t>
  </si>
  <si>
    <t>Were there any contingent liabilities at year end?</t>
  </si>
  <si>
    <t>Was there any change in the authorised share capital during the year?</t>
  </si>
  <si>
    <t>dd/mm/yyyy</t>
  </si>
  <si>
    <t>Y14</t>
  </si>
  <si>
    <t>ITA/ITMA - LN 49 of 2005 - Sale of Agricultural Produce Rules</t>
  </si>
  <si>
    <t xml:space="preserve">Income/(loss) from trade, business, etc. after tax adjustments </t>
  </si>
  <si>
    <t>Q48</t>
  </si>
  <si>
    <t>DIR07</t>
  </si>
  <si>
    <t>B49</t>
  </si>
  <si>
    <t>E49</t>
  </si>
  <si>
    <t>Depreciation of leasehold improvements</t>
  </si>
  <si>
    <t>Depreciation of other machinery</t>
  </si>
  <si>
    <t>Other expenses</t>
  </si>
  <si>
    <t>Movement in Reserves (to page 6)</t>
  </si>
  <si>
    <t>J86</t>
  </si>
  <si>
    <t>A5225</t>
  </si>
  <si>
    <t>A5226</t>
  </si>
  <si>
    <t>A5227</t>
  </si>
  <si>
    <t>A5228</t>
  </si>
  <si>
    <t>A5229</t>
  </si>
  <si>
    <t>A5230</t>
  </si>
  <si>
    <t>A5231</t>
  </si>
  <si>
    <t>A3117</t>
  </si>
  <si>
    <t>A3118</t>
  </si>
  <si>
    <t>A3119</t>
  </si>
  <si>
    <t>A3120</t>
  </si>
  <si>
    <t>A3121</t>
  </si>
  <si>
    <t>A3122</t>
  </si>
  <si>
    <t>A3123</t>
  </si>
  <si>
    <t>A3124</t>
  </si>
  <si>
    <t>A3125</t>
  </si>
  <si>
    <t>A3126</t>
  </si>
  <si>
    <t>A3127</t>
  </si>
  <si>
    <t>A3128</t>
  </si>
  <si>
    <t>A3129</t>
  </si>
  <si>
    <t>A3130</t>
  </si>
  <si>
    <t>A3131</t>
  </si>
  <si>
    <t>Other PE numbers under which wages and salaries have been reported</t>
  </si>
  <si>
    <t>Other remuneration paid that is NOT Reported under the Final Settlement System</t>
  </si>
  <si>
    <t>Are there other wages and salaries paid to individuals liable to tax in Malta?</t>
  </si>
  <si>
    <t>Tax (ID) Number</t>
  </si>
  <si>
    <t>Country of Residence</t>
  </si>
  <si>
    <t>ITA - Art 31A - Housing Authority [Rental Income subject to 5% FWT]</t>
  </si>
  <si>
    <t>AA14</t>
  </si>
  <si>
    <t>W15</t>
  </si>
  <si>
    <t>Y15</t>
  </si>
  <si>
    <t>AA15</t>
  </si>
  <si>
    <t>W16</t>
  </si>
  <si>
    <t>Y16</t>
  </si>
  <si>
    <t>AA16</t>
  </si>
  <si>
    <t>W17</t>
  </si>
  <si>
    <t>Y17</t>
  </si>
  <si>
    <t>AA17</t>
  </si>
  <si>
    <t>W18</t>
  </si>
  <si>
    <t>Y18</t>
  </si>
  <si>
    <t>AA18</t>
  </si>
  <si>
    <t>W19</t>
  </si>
  <si>
    <t>Y19</t>
  </si>
  <si>
    <t>AA19</t>
  </si>
  <si>
    <t>W20</t>
  </si>
  <si>
    <t>Y20</t>
  </si>
  <si>
    <t>AA20</t>
  </si>
  <si>
    <t>W21</t>
  </si>
  <si>
    <t>Y21</t>
  </si>
  <si>
    <t>AA21</t>
  </si>
  <si>
    <t>W22</t>
  </si>
  <si>
    <t>Y22</t>
  </si>
  <si>
    <t>AA22</t>
  </si>
  <si>
    <t>W23</t>
  </si>
  <si>
    <t>Y23</t>
  </si>
  <si>
    <t>AA23</t>
  </si>
  <si>
    <t>W24</t>
  </si>
  <si>
    <t>Y24</t>
  </si>
  <si>
    <t>AA24</t>
  </si>
  <si>
    <t>W25</t>
  </si>
  <si>
    <t>Y25</t>
  </si>
  <si>
    <t>AA25</t>
  </si>
  <si>
    <t>W26</t>
  </si>
  <si>
    <t>Y26</t>
  </si>
  <si>
    <t>AA26</t>
  </si>
  <si>
    <t>W27</t>
  </si>
  <si>
    <t>Y27</t>
  </si>
  <si>
    <t>AA27</t>
  </si>
  <si>
    <t>W28</t>
  </si>
  <si>
    <t>Y28</t>
  </si>
  <si>
    <t>AA28</t>
  </si>
  <si>
    <t>W29</t>
  </si>
  <si>
    <t>Y29</t>
  </si>
  <si>
    <t>AA29</t>
  </si>
  <si>
    <t>W30</t>
  </si>
  <si>
    <t>Y30</t>
  </si>
  <si>
    <t>AA30</t>
  </si>
  <si>
    <t>W31</t>
  </si>
  <si>
    <t>Y31</t>
  </si>
  <si>
    <t>AA31</t>
  </si>
  <si>
    <t>G18</t>
  </si>
  <si>
    <t>QUE13</t>
  </si>
  <si>
    <t>G19</t>
  </si>
  <si>
    <t>QUE14</t>
  </si>
  <si>
    <t>G20</t>
  </si>
  <si>
    <t>QUE15</t>
  </si>
  <si>
    <t>G21</t>
  </si>
  <si>
    <t>QUE16</t>
  </si>
  <si>
    <t>G22</t>
  </si>
  <si>
    <t>QUE17</t>
  </si>
  <si>
    <t>F24</t>
  </si>
  <si>
    <t>QUE18</t>
  </si>
  <si>
    <t>F25</t>
  </si>
  <si>
    <t>QUE19</t>
  </si>
  <si>
    <t>I38</t>
  </si>
  <si>
    <t>J38</t>
  </si>
  <si>
    <t>A0222</t>
  </si>
  <si>
    <t>G41</t>
  </si>
  <si>
    <t>H41</t>
  </si>
  <si>
    <t>I41</t>
  </si>
  <si>
    <t>A0223</t>
  </si>
  <si>
    <t>Project</t>
  </si>
  <si>
    <t>Start</t>
  </si>
  <si>
    <t>other current expenses, such as materials and supplies</t>
  </si>
  <si>
    <t>A3006</t>
  </si>
  <si>
    <t>A3007</t>
  </si>
  <si>
    <t>A3008</t>
  </si>
  <si>
    <t>A3009</t>
  </si>
  <si>
    <t>A3010</t>
  </si>
  <si>
    <t>A3011</t>
  </si>
  <si>
    <t>Q15</t>
  </si>
  <si>
    <t>Q31</t>
  </si>
  <si>
    <t>S31</t>
  </si>
  <si>
    <t>SHA24</t>
  </si>
  <si>
    <t>B32</t>
  </si>
  <si>
    <t>E32</t>
  </si>
  <si>
    <t>L32</t>
  </si>
  <si>
    <t>M32</t>
  </si>
  <si>
    <t>Q32</t>
  </si>
  <si>
    <t>S32</t>
  </si>
  <si>
    <t>U32</t>
  </si>
  <si>
    <t>DIR01</t>
  </si>
  <si>
    <t>B43</t>
  </si>
  <si>
    <t>E43</t>
  </si>
  <si>
    <t>M43</t>
  </si>
  <si>
    <t>Q43</t>
  </si>
  <si>
    <t>Tax credit on previous expenditure incurred</t>
  </si>
  <si>
    <t>previous</t>
  </si>
  <si>
    <t>Current</t>
  </si>
  <si>
    <t>Unavailed tax credit b/fwd</t>
  </si>
  <si>
    <t>Available tax credit</t>
  </si>
  <si>
    <t>Tax credit availed of (current year)</t>
  </si>
  <si>
    <t>H172</t>
  </si>
  <si>
    <t>F81</t>
  </si>
  <si>
    <t>Category</t>
  </si>
  <si>
    <t>Years</t>
  </si>
  <si>
    <r>
      <t>Tax Rate [%]</t>
    </r>
    <r>
      <rPr>
        <sz val="8"/>
        <rFont val="Arial"/>
        <family val="2"/>
      </rPr>
      <t xml:space="preserve"> </t>
    </r>
  </si>
  <si>
    <t>J118</t>
  </si>
  <si>
    <t>A1709</t>
  </si>
  <si>
    <t>A1710</t>
  </si>
  <si>
    <t>A1711</t>
  </si>
  <si>
    <t>A1712</t>
  </si>
  <si>
    <t>A1713</t>
  </si>
  <si>
    <t>A1714</t>
  </si>
  <si>
    <t>A1715</t>
  </si>
  <si>
    <t>A1716</t>
  </si>
  <si>
    <t>A1717</t>
  </si>
  <si>
    <t>A1718</t>
  </si>
  <si>
    <t>A1719</t>
  </si>
  <si>
    <t>A1720</t>
  </si>
  <si>
    <t>A1721</t>
  </si>
  <si>
    <t>A1722</t>
  </si>
  <si>
    <t>H58</t>
  </si>
  <si>
    <t>A1723</t>
  </si>
  <si>
    <t>Foreign Owned</t>
  </si>
  <si>
    <t>Realised gains or losses on disposal of immovable property</t>
  </si>
  <si>
    <t>[computed according to the applicable provisions of the Income Tax Act and Rules]</t>
  </si>
  <si>
    <t>TRA 42</t>
  </si>
  <si>
    <t>TRA 43</t>
  </si>
  <si>
    <t>TRA 44</t>
  </si>
  <si>
    <t>TRA 45</t>
  </si>
  <si>
    <t>TRA 46</t>
  </si>
  <si>
    <t>TRA 47</t>
  </si>
  <si>
    <t>TRA 48</t>
  </si>
  <si>
    <t>TRA 49</t>
  </si>
  <si>
    <t>TRA 50</t>
  </si>
  <si>
    <t>TRA 51</t>
  </si>
  <si>
    <t>MAKE SURE THAT THE CORRECT DETAILS ARE ENTERED.  DATA WILL BE COPIED TO ALL OTHER PAGES IN THE RETURN.</t>
  </si>
  <si>
    <t>Item of Expenditure</t>
  </si>
  <si>
    <t>Rule</t>
  </si>
  <si>
    <t>Application</t>
  </si>
  <si>
    <t>Coy</t>
  </si>
  <si>
    <t>PART TWO - RESEARCH AND DEVELOPMENT PROJECTS</t>
  </si>
  <si>
    <t>Personnel costs</t>
  </si>
  <si>
    <t>5(2)(a)</t>
  </si>
  <si>
    <t>Unrelieved foreign tax</t>
  </si>
  <si>
    <t>Malta tax charged, analysed as:</t>
  </si>
  <si>
    <t>G13</t>
  </si>
  <si>
    <t>QUE08</t>
  </si>
  <si>
    <t>G14</t>
  </si>
  <si>
    <t>A1911</t>
  </si>
  <si>
    <t>A1912</t>
  </si>
  <si>
    <t>A1913</t>
  </si>
  <si>
    <t>A1914</t>
  </si>
  <si>
    <t>A1915</t>
  </si>
  <si>
    <t>A1916</t>
  </si>
  <si>
    <t>A1917</t>
  </si>
  <si>
    <t>A1918</t>
  </si>
  <si>
    <t>A1919</t>
  </si>
  <si>
    <t>A1920</t>
  </si>
  <si>
    <t>A2001</t>
  </si>
  <si>
    <t>STA48</t>
  </si>
  <si>
    <t>A52</t>
  </si>
  <si>
    <t>STA49</t>
  </si>
  <si>
    <t>A53</t>
  </si>
  <si>
    <t>STA50</t>
  </si>
  <si>
    <t>Securities purchased under resale agreements</t>
  </si>
  <si>
    <t>A6513</t>
  </si>
  <si>
    <t>A6514</t>
  </si>
  <si>
    <t>A6515</t>
  </si>
  <si>
    <t>A6516</t>
  </si>
  <si>
    <t>A6517</t>
  </si>
  <si>
    <t>A6518</t>
  </si>
  <si>
    <t>A6519</t>
  </si>
  <si>
    <t>A6520</t>
  </si>
  <si>
    <t>A6521</t>
  </si>
  <si>
    <t>A6522</t>
  </si>
  <si>
    <t>IND31</t>
  </si>
  <si>
    <t>IND32</t>
  </si>
  <si>
    <t>IND33</t>
  </si>
  <si>
    <t>IND34</t>
  </si>
  <si>
    <t>Deemed Income on qualifying sales taxed at  5% allocated to MTA</t>
  </si>
  <si>
    <t>A0810</t>
  </si>
  <si>
    <t>A0811</t>
  </si>
  <si>
    <t>A0812</t>
  </si>
  <si>
    <t>A0813</t>
  </si>
  <si>
    <t>A0814</t>
  </si>
  <si>
    <t>A0815</t>
  </si>
  <si>
    <t>A0816</t>
  </si>
  <si>
    <t>A0817</t>
  </si>
  <si>
    <t>A0818</t>
  </si>
  <si>
    <t>C24</t>
  </si>
  <si>
    <t>A0819</t>
  </si>
  <si>
    <t>C25</t>
  </si>
  <si>
    <t>A0820</t>
  </si>
  <si>
    <t>C26</t>
  </si>
  <si>
    <t>A0821</t>
  </si>
  <si>
    <t>C27</t>
  </si>
  <si>
    <t>A0831</t>
  </si>
  <si>
    <t>A0822</t>
  </si>
  <si>
    <t>A0823</t>
  </si>
  <si>
    <t>A0824</t>
  </si>
  <si>
    <t>A0825</t>
  </si>
  <si>
    <t>A39</t>
  </si>
  <si>
    <t>Depreciation of Electrical and Plumbing Installations and Sanitary fittings</t>
  </si>
  <si>
    <t>PART 6 - SUPPLEMENTARY INFORMATION</t>
  </si>
  <si>
    <t>Opening Stock of Finished Goods</t>
  </si>
  <si>
    <t>Property held for Development &amp; Resale at beginning of period</t>
  </si>
  <si>
    <t>dat</t>
  </si>
  <si>
    <t>ALL DATA IS REQUIRED!</t>
  </si>
  <si>
    <t>more36</t>
  </si>
  <si>
    <t>?? 36 months!</t>
  </si>
  <si>
    <t>blanks</t>
  </si>
  <si>
    <t>Relevant data required!</t>
  </si>
  <si>
    <t>reo</t>
  </si>
  <si>
    <t>Required or insert 0!</t>
  </si>
  <si>
    <t>reo1</t>
  </si>
  <si>
    <t>tl</t>
  </si>
  <si>
    <t>Exceeds tax liability!</t>
  </si>
  <si>
    <t>q</t>
  </si>
  <si>
    <t>ITA - LN 330 of 2005</t>
  </si>
  <si>
    <t>Table A - Rule 11(2)(a)</t>
  </si>
  <si>
    <t>Nature of the Artisitic Activity</t>
  </si>
  <si>
    <t>Name of Artiste</t>
  </si>
  <si>
    <t>Income Tax registration number of Artiste</t>
  </si>
  <si>
    <t>F96</t>
  </si>
  <si>
    <t>G96</t>
  </si>
  <si>
    <t>H96</t>
  </si>
  <si>
    <t>I96</t>
  </si>
  <si>
    <t>Total Accelerated depreciation</t>
  </si>
  <si>
    <t>TRA 13</t>
  </si>
  <si>
    <t>E25</t>
  </si>
  <si>
    <t>Date when received</t>
  </si>
  <si>
    <t>Receipt number</t>
  </si>
  <si>
    <t>TRA 39 _ 2</t>
  </si>
  <si>
    <t>Initial</t>
  </si>
  <si>
    <t>N</t>
  </si>
  <si>
    <t>TRA 05_3</t>
  </si>
  <si>
    <t>E10</t>
  </si>
  <si>
    <t>L10</t>
  </si>
  <si>
    <t>M10</t>
  </si>
  <si>
    <t>Q10</t>
  </si>
  <si>
    <t>S10</t>
  </si>
  <si>
    <t>U10</t>
  </si>
  <si>
    <t>SHA03</t>
  </si>
  <si>
    <t>E11</t>
  </si>
  <si>
    <t>L11</t>
  </si>
  <si>
    <t>M11</t>
  </si>
  <si>
    <t>Q11</t>
  </si>
  <si>
    <t>Increase  or decrease in Provision for Bad and / or Doubtful Debts</t>
  </si>
  <si>
    <t>Provision for Slow Moving or Obsolete Stock</t>
  </si>
  <si>
    <t>Provision for Dimunition in value of Investments</t>
  </si>
  <si>
    <t>Deposits in Maltese banks and institutions - Maltese currency</t>
  </si>
  <si>
    <t>Deposits in Maltese banks and institutions - foreign currency</t>
  </si>
  <si>
    <t>Deposits in foreign banks</t>
  </si>
  <si>
    <t>Cash like instruments</t>
  </si>
  <si>
    <t>Cash</t>
  </si>
  <si>
    <t>Other current assets</t>
  </si>
  <si>
    <t>Accrued investment income</t>
  </si>
  <si>
    <t>In all cases documentary evidence has to be provided and attached to the tax return.</t>
  </si>
  <si>
    <t>PE NUMBER CHECK DIGIT</t>
  </si>
  <si>
    <t>LIST OF CURRENCIES</t>
  </si>
  <si>
    <t>Please specify Act and relative Article</t>
  </si>
  <si>
    <t>A0301</t>
  </si>
  <si>
    <t>Total Expenditure</t>
  </si>
  <si>
    <t>Statutory inflation</t>
  </si>
  <si>
    <t xml:space="preserve">[specify percentage]  </t>
  </si>
  <si>
    <t>Date of application filed with Malta Enterprise Corporation (ME)</t>
  </si>
  <si>
    <t>Table C - H</t>
  </si>
  <si>
    <t>TRA 60</t>
  </si>
  <si>
    <t>A0410</t>
  </si>
  <si>
    <t>H15</t>
  </si>
  <si>
    <t>A0411</t>
  </si>
  <si>
    <t>A3419</t>
  </si>
  <si>
    <t>A3420</t>
  </si>
  <si>
    <t>Deduct</t>
  </si>
  <si>
    <t>Has the company submitted the certificate mentioned in Rule 6?</t>
  </si>
  <si>
    <t>Value of other benefits (Rule 8(4))</t>
  </si>
  <si>
    <t>PART THREE - R &amp; D RELEVANT QUALIFICATIONS</t>
  </si>
  <si>
    <t>Has the company submitted the certificate mentioned in Rule 18?</t>
  </si>
  <si>
    <t>Company Name</t>
  </si>
  <si>
    <t>Total Group Loss Surrendered</t>
  </si>
  <si>
    <t>February</t>
  </si>
  <si>
    <t>March</t>
  </si>
  <si>
    <t>April</t>
  </si>
  <si>
    <t>May</t>
  </si>
  <si>
    <t>June</t>
  </si>
  <si>
    <t xml:space="preserve">   Part 1 - Company Details</t>
  </si>
  <si>
    <t>Partnership Number</t>
  </si>
  <si>
    <t xml:space="preserve">   VAT Number  </t>
  </si>
  <si>
    <t>Main Trading Activity</t>
  </si>
  <si>
    <t>Address</t>
  </si>
  <si>
    <t>TRA 16_3</t>
  </si>
  <si>
    <t>O54</t>
  </si>
  <si>
    <t>A4817</t>
  </si>
  <si>
    <t>A4818</t>
  </si>
  <si>
    <t>O57</t>
  </si>
  <si>
    <t>A4819</t>
  </si>
  <si>
    <t>A4820</t>
  </si>
  <si>
    <t>A4821</t>
  </si>
  <si>
    <t>O64</t>
  </si>
  <si>
    <t>A4822</t>
  </si>
  <si>
    <t>O65</t>
  </si>
  <si>
    <t>A4704</t>
  </si>
  <si>
    <t>L7</t>
  </si>
  <si>
    <t>A0802</t>
  </si>
  <si>
    <t>L8</t>
  </si>
  <si>
    <t>A0803</t>
  </si>
  <si>
    <t>A0804</t>
  </si>
  <si>
    <t>C38</t>
  </si>
  <si>
    <t>Give details of total wages, salaries, etc. paid under the respective PE number(s).</t>
  </si>
  <si>
    <t>Deductions and Tax Credits (Research and Development) Rules, 2005</t>
  </si>
  <si>
    <t>Income before capital allowances</t>
  </si>
  <si>
    <t>Loss before capital allowances</t>
  </si>
  <si>
    <t>Chinese Yuan</t>
  </si>
  <si>
    <t>Amount (1)</t>
  </si>
  <si>
    <t>Check Totals</t>
  </si>
  <si>
    <t>Foreign Income Account [total]</t>
  </si>
  <si>
    <t>4(1)(a)</t>
  </si>
  <si>
    <t>No Asset Disposals!</t>
  </si>
  <si>
    <t>Approved Training Tax Credit</t>
  </si>
  <si>
    <t>Tax credits utilised during the year - Summary Statement</t>
  </si>
  <si>
    <t>Total accumulated depreciation of tangible assets</t>
  </si>
  <si>
    <t>Office utilities</t>
  </si>
  <si>
    <t>Data processing</t>
  </si>
  <si>
    <t>Professional fees</t>
  </si>
  <si>
    <t>Attachment</t>
  </si>
  <si>
    <t>Business Promotion Act</t>
  </si>
  <si>
    <t>Total Exempt Income</t>
  </si>
  <si>
    <t>TRA 19</t>
  </si>
  <si>
    <t>ITA - Loss SURRENDERED to group company/companies</t>
  </si>
  <si>
    <t>Depreciation of Industrial Building or Structure</t>
  </si>
  <si>
    <t>ITA - Article 56(20) (Double Taxation Treaties)</t>
  </si>
  <si>
    <t>BPA Article 15 (Double Taxation Treaties)</t>
  </si>
  <si>
    <t>Ensure that the total eligible costs do not exceed €20,000 or equivalent AND that the tax deduction is utilised against profit derived from the relevant trade or business activity only!</t>
  </si>
  <si>
    <t xml:space="preserve">Advancement </t>
  </si>
  <si>
    <t>ITA  -  LN 23 of 2013</t>
  </si>
  <si>
    <t xml:space="preserve">Education </t>
  </si>
  <si>
    <t>Donations (Creativity Trust) Rules, 2013</t>
  </si>
  <si>
    <t xml:space="preserve">Persons practitioners </t>
  </si>
  <si>
    <t>Please indicate the number of donation(s) made</t>
  </si>
  <si>
    <t xml:space="preserve">Purpose of donation  in culture, arts, national heritage and the creative industries                                                 [Rule 3(1)(b)] </t>
  </si>
  <si>
    <t>Value of donation according to certificate</t>
  </si>
  <si>
    <t>Amount expensed in Income Statement (if any)</t>
  </si>
  <si>
    <t>Allowable deduction for donation</t>
  </si>
  <si>
    <t>No. of donations</t>
  </si>
  <si>
    <t>TRA 79</t>
  </si>
  <si>
    <t>ITA  -  LN 23 of 2012 - Donations (Creativity Trust) Rules, 2013</t>
  </si>
  <si>
    <t>Training tax credit utilised during the current year</t>
  </si>
  <si>
    <t>Net Eligible Costs [Current Year]</t>
  </si>
  <si>
    <t>Net Eligible Costs [Previous Years]</t>
  </si>
  <si>
    <t>Total qualifying expenditure incurred to date including current year</t>
  </si>
  <si>
    <t xml:space="preserve">Date of deed  </t>
  </si>
  <si>
    <t>Personal details of tax professional</t>
  </si>
  <si>
    <t>Other 1</t>
  </si>
  <si>
    <t>Other 2</t>
  </si>
  <si>
    <t>Other 3</t>
  </si>
  <si>
    <t>Malta Enterprise Act</t>
  </si>
  <si>
    <t>LN 68 of 2008 - Investment Aid Regulations</t>
  </si>
  <si>
    <t>(13)(10)</t>
  </si>
  <si>
    <t>Property held for Development &amp; Resale at end of period</t>
  </si>
  <si>
    <t>Industrial Buildings and Structures</t>
  </si>
  <si>
    <t>MFCA - LN 66 of 2006  -  Tax Credit (Audiovisual Infrastructure)</t>
  </si>
  <si>
    <t>A4812</t>
  </si>
  <si>
    <t>A4813</t>
  </si>
  <si>
    <t>A4721</t>
  </si>
  <si>
    <t>A4722</t>
  </si>
  <si>
    <t>A4723</t>
  </si>
  <si>
    <t>A4724</t>
  </si>
  <si>
    <t>A4725</t>
  </si>
  <si>
    <t>A4726</t>
  </si>
  <si>
    <t>BPA - Regulation 14 - [Training Tax Credit]</t>
  </si>
  <si>
    <t>(a) (i)</t>
  </si>
  <si>
    <t>(a) (ii)</t>
  </si>
  <si>
    <t>(b) (i)</t>
  </si>
  <si>
    <t>(b) (ii)</t>
  </si>
  <si>
    <t>Provisions for guarantees, warranties, or indemnities</t>
  </si>
  <si>
    <t>TRA 39 _ 1</t>
  </si>
  <si>
    <t>Cumulative Preference Share Capital</t>
  </si>
  <si>
    <t>Non-Cumulative Preference Share Capital</t>
  </si>
  <si>
    <t>Other Share Capital</t>
  </si>
  <si>
    <t>COMPLETE, ACCURATE AND CORRECT INFORMATION IS REQUIRED!</t>
  </si>
  <si>
    <t>FTA</t>
  </si>
  <si>
    <t>NOTE THAT INCOME SUBJECT TO FINAL WITHHOLDING TAX IS ALLOCATED TO THE FINAL TAX ACCOUNT</t>
  </si>
  <si>
    <t>WDV!!</t>
  </si>
  <si>
    <t>D42</t>
  </si>
  <si>
    <t>E42</t>
  </si>
  <si>
    <t>G42</t>
  </si>
  <si>
    <t>H42</t>
  </si>
  <si>
    <t>I42</t>
  </si>
  <si>
    <t>J42</t>
  </si>
  <si>
    <t>K42</t>
  </si>
  <si>
    <t>A0534</t>
  </si>
  <si>
    <t>F43</t>
  </si>
  <si>
    <t>G43</t>
  </si>
  <si>
    <t>H43</t>
  </si>
  <si>
    <t>I43</t>
  </si>
  <si>
    <t>K43</t>
  </si>
  <si>
    <t>A0535</t>
  </si>
  <si>
    <t>member of the legal profession specialising in taxation</t>
  </si>
  <si>
    <t>Profit Determination</t>
  </si>
  <si>
    <t>Immovable property used by the company but owned by a related person for no consideration or for a consideration which is less than the market rental value of that property [Reg 6 (2) (b)]</t>
  </si>
  <si>
    <t>Taxed A/c</t>
  </si>
  <si>
    <t>Original Cost</t>
  </si>
  <si>
    <t>Income from accomodation allocated to the IPA</t>
  </si>
  <si>
    <t>A3933</t>
  </si>
  <si>
    <t>A3934</t>
  </si>
  <si>
    <t>A3935</t>
  </si>
  <si>
    <t>A3936</t>
  </si>
  <si>
    <t>A3937</t>
  </si>
  <si>
    <t>Accumulated depreciation of leasehold improvements</t>
  </si>
  <si>
    <t>Overheads exceed 10% of total project costs!</t>
  </si>
  <si>
    <t xml:space="preserve">Size of Company </t>
  </si>
  <si>
    <t>Small</t>
  </si>
  <si>
    <t>Approved value exceeded!</t>
  </si>
  <si>
    <t xml:space="preserve">Industrial Research </t>
  </si>
  <si>
    <t>Experimental Development</t>
  </si>
  <si>
    <t xml:space="preserve">Project 1  </t>
  </si>
  <si>
    <t>Collaborative Industrial Research</t>
  </si>
  <si>
    <t xml:space="preserve">Project 2  </t>
  </si>
  <si>
    <t>Medium</t>
  </si>
  <si>
    <t>Large</t>
  </si>
  <si>
    <t xml:space="preserve">Project 3  </t>
  </si>
  <si>
    <t>Garbage removal [including waste disposal]</t>
  </si>
  <si>
    <t>ITA - Income from Royalties, etc.</t>
  </si>
  <si>
    <t>TRA 14</t>
  </si>
  <si>
    <t>ITA - Other income</t>
  </si>
  <si>
    <t>TRA 15</t>
  </si>
  <si>
    <t>Total expenditure on Scientific Research that can be claimed for the year</t>
  </si>
  <si>
    <t>A1609</t>
  </si>
  <si>
    <t>A1610</t>
  </si>
  <si>
    <t>A1611</t>
  </si>
  <si>
    <t>A1612</t>
  </si>
  <si>
    <t>A1613</t>
  </si>
  <si>
    <t>A1614</t>
  </si>
  <si>
    <t>A1615</t>
  </si>
  <si>
    <t>A1616</t>
  </si>
  <si>
    <t>A1617</t>
  </si>
  <si>
    <t>A1618</t>
  </si>
  <si>
    <t>Rent of factory premises</t>
  </si>
  <si>
    <t>F26</t>
  </si>
  <si>
    <t>QUE20</t>
  </si>
  <si>
    <t>F27</t>
  </si>
  <si>
    <t>BPA</t>
  </si>
  <si>
    <t>Other</t>
  </si>
  <si>
    <t>Gross Dividends Received</t>
  </si>
  <si>
    <t>Income for the year allocated to the different tax accounts</t>
  </si>
  <si>
    <t>Transfer to the Incentives &amp; Benefits Reserve</t>
  </si>
  <si>
    <t>A4701</t>
  </si>
  <si>
    <t>A4702</t>
  </si>
  <si>
    <t>A4703</t>
  </si>
  <si>
    <t xml:space="preserve">Tax credits utilised during the year </t>
  </si>
  <si>
    <t>Unutilised tax credits</t>
  </si>
  <si>
    <t>Income tax due in any Y/A between Ys/A 1995 and 2003</t>
  </si>
  <si>
    <t>Please indicate the Y/A chosen</t>
  </si>
  <si>
    <t>Income tax paybale in the absence of the incentive</t>
  </si>
  <si>
    <t>Proportion of reduction in tax due on chargeable income from trade and business</t>
  </si>
  <si>
    <t xml:space="preserve">Approval reference  </t>
  </si>
  <si>
    <t xml:space="preserve">Date of approval  </t>
  </si>
  <si>
    <t xml:space="preserve">Percentage approved  </t>
  </si>
  <si>
    <t>TRA 36</t>
  </si>
  <si>
    <t>BPA - Regulations 31 to 37 - Conversion Scheme [Large Companies]</t>
  </si>
  <si>
    <t>L4</t>
  </si>
  <si>
    <t>Realised gains or losses on disposal of tangible assets</t>
  </si>
  <si>
    <t>Royalties, premiums and other income arising from property  [Article 4 (1)(e) ITA]</t>
  </si>
  <si>
    <t>Freight, Insurance and Duty on Imported Goods</t>
  </si>
  <si>
    <t>Local Purchases of Finished Goods</t>
  </si>
  <si>
    <t>A3132</t>
  </si>
  <si>
    <t>A3133</t>
  </si>
  <si>
    <t>Set-off of capital losses against capital gains</t>
  </si>
  <si>
    <t>Description</t>
  </si>
  <si>
    <t xml:space="preserve">Allocated to   </t>
  </si>
  <si>
    <t>Selling expenses</t>
  </si>
  <si>
    <t>UK Sterling</t>
  </si>
  <si>
    <t xml:space="preserve">PLEASE ENSURE THAT YOU USE THE APPROPRIATE ATTACHMENTS PROVIDED TO REPORT INCOME AND TO CLAIM DEDUCTIONS, TAX  CREDITS, RELIEFS, INCENTIVES, ETC.  THE RETURN WILL BE CONSIDERED AS INCOMPLETE IF THE REQUIRED INFORMATION IS NOT REPORTED IN THE APPROPRIATE SPACE PROVIDED IN THE TAX RETURN AND ATTACHMENTS. </t>
  </si>
  <si>
    <t>Have there been any changes in accounting policies from the last return?</t>
  </si>
  <si>
    <t>Are any values presented other than cost?</t>
  </si>
  <si>
    <t>PE Number required!</t>
  </si>
  <si>
    <t>max</t>
  </si>
  <si>
    <t>&lt; Missing details!</t>
  </si>
  <si>
    <t>&lt; Tax Account!</t>
  </si>
  <si>
    <t>Repairs and maintenance - buildings</t>
  </si>
  <si>
    <t>Shares in foreign related Companies</t>
  </si>
  <si>
    <t>TRA 55</t>
  </si>
  <si>
    <t>Expenditure that cannot be claimed under the provisions of Article 14 of the Income Tax Act (Rule 5)</t>
  </si>
  <si>
    <t xml:space="preserve">IS ATTACHMENT COMPLETE [Y or N] ?         </t>
  </si>
  <si>
    <t>is a securitisation vehicle and is claiming deductions under LN 324 of 2011</t>
  </si>
  <si>
    <t>Malta</t>
  </si>
  <si>
    <t>MT</t>
  </si>
  <si>
    <t>Tax Reference Number</t>
  </si>
  <si>
    <t>ITA  -  LN 324 of 2011 - Securitisation Transactions (Deductions) Rules, 2011</t>
  </si>
  <si>
    <t>ME Act - LN 456 of 2012 (Rule 15)  - Tax Credit for digital applications development</t>
  </si>
  <si>
    <t>Wages Reconciliation</t>
  </si>
  <si>
    <t>TRA 82</t>
  </si>
  <si>
    <t>Non-Eu</t>
  </si>
  <si>
    <t>EEA</t>
  </si>
  <si>
    <t>Croatia</t>
  </si>
  <si>
    <t>HR</t>
  </si>
  <si>
    <t>B51</t>
  </si>
  <si>
    <t>E51</t>
  </si>
  <si>
    <t>M51</t>
  </si>
  <si>
    <t>Q51</t>
  </si>
  <si>
    <t xml:space="preserve">Unavailed deduction(s) </t>
  </si>
  <si>
    <t>c/fwd</t>
  </si>
  <si>
    <t>Interest and bank charges</t>
  </si>
  <si>
    <t>Hire Purchase Interest</t>
  </si>
  <si>
    <t>Overdraft Interest</t>
  </si>
  <si>
    <t>Validations</t>
  </si>
  <si>
    <t>A4215</t>
  </si>
  <si>
    <t>A4216</t>
  </si>
  <si>
    <t>A4217</t>
  </si>
  <si>
    <t>A4218</t>
  </si>
  <si>
    <t>A4219</t>
  </si>
  <si>
    <t>Stock of parts and supplies</t>
  </si>
  <si>
    <t>Stock of properties</t>
  </si>
  <si>
    <t>AA40</t>
  </si>
  <si>
    <t>SHA32</t>
  </si>
  <si>
    <t>M41</t>
  </si>
  <si>
    <t>W41</t>
  </si>
  <si>
    <t>Y41</t>
  </si>
  <si>
    <t>AA41</t>
  </si>
  <si>
    <t>SHA33</t>
  </si>
  <si>
    <t>L42</t>
  </si>
  <si>
    <t>M42</t>
  </si>
  <si>
    <t>W42</t>
  </si>
  <si>
    <t>Y42</t>
  </si>
  <si>
    <t>AA42</t>
  </si>
  <si>
    <t>SHA34</t>
  </si>
  <si>
    <t>If the answer to question 5 is yes please indicate below the reason(s) for qualification or emphasis</t>
  </si>
  <si>
    <t xml:space="preserve"> [Warning(s) present in TRA]</t>
  </si>
  <si>
    <t xml:space="preserve">Balancing Allowances </t>
  </si>
  <si>
    <t xml:space="preserve">Balancing Charges </t>
  </si>
  <si>
    <t>Exempt Income [TRA18]</t>
  </si>
  <si>
    <t>D39</t>
  </si>
  <si>
    <t>E39</t>
  </si>
  <si>
    <t>F39</t>
  </si>
  <si>
    <t>G39</t>
  </si>
  <si>
    <t>H39</t>
  </si>
  <si>
    <t>A0549</t>
  </si>
  <si>
    <t>C62</t>
  </si>
  <si>
    <t>D62</t>
  </si>
  <si>
    <t>F62</t>
  </si>
  <si>
    <t>G62</t>
  </si>
  <si>
    <t>H62</t>
  </si>
  <si>
    <t>I62</t>
  </si>
  <si>
    <t>J62</t>
  </si>
  <si>
    <t>K62</t>
  </si>
  <si>
    <t>A0550</t>
  </si>
  <si>
    <t>A0578</t>
  </si>
  <si>
    <t>D95</t>
  </si>
  <si>
    <t>E95</t>
  </si>
  <si>
    <t>F95</t>
  </si>
  <si>
    <t>G95</t>
  </si>
  <si>
    <t>H95</t>
  </si>
  <si>
    <t>-   because they are erroneously credited in favour of the company when it did not effect such payments; or</t>
  </si>
  <si>
    <t>ITA - Income from Ground Rent(s)</t>
  </si>
  <si>
    <t>Number of debts written off and lumped together</t>
  </si>
  <si>
    <t>A1201</t>
  </si>
  <si>
    <t>B87</t>
  </si>
  <si>
    <t>C87</t>
  </si>
  <si>
    <t>A1202</t>
  </si>
  <si>
    <t>SHA08</t>
  </si>
  <si>
    <t>E16</t>
  </si>
  <si>
    <t>L16</t>
  </si>
  <si>
    <t>Completion Date</t>
  </si>
  <si>
    <t>Certificate No.</t>
  </si>
  <si>
    <t>Realised gains or losses on sale of investments</t>
  </si>
  <si>
    <t>Other Income</t>
  </si>
  <si>
    <t>A0134</t>
  </si>
  <si>
    <t>A0135</t>
  </si>
  <si>
    <t>F87</t>
  </si>
  <si>
    <t>A1661</t>
  </si>
  <si>
    <t>B88</t>
  </si>
  <si>
    <t>D88</t>
  </si>
  <si>
    <t>E88</t>
  </si>
  <si>
    <t>F88</t>
  </si>
  <si>
    <t>A1662</t>
  </si>
  <si>
    <t>STA87</t>
  </si>
  <si>
    <t>A91</t>
  </si>
  <si>
    <t>STA88</t>
  </si>
  <si>
    <t>STA89</t>
  </si>
  <si>
    <t>Article 62</t>
  </si>
  <si>
    <t>Article 67</t>
  </si>
  <si>
    <t>Article 67A</t>
  </si>
  <si>
    <t xml:space="preserve">Tax credits can be approved up to </t>
  </si>
  <si>
    <t>y/a 2013</t>
  </si>
  <si>
    <t>de minimis</t>
  </si>
  <si>
    <t>maximum aid</t>
  </si>
  <si>
    <t>Carry forwards up to</t>
  </si>
  <si>
    <t>y/a 2014</t>
  </si>
  <si>
    <t xml:space="preserve">maximum tax credit </t>
  </si>
  <si>
    <t>ME Act - Enterprise Support Incentives Regulations, 2008</t>
  </si>
  <si>
    <t xml:space="preserve">     Year of assessment when tax credit can first be utilised:     </t>
  </si>
  <si>
    <t>ITA - Article 14(1)(h) - Scientific Research</t>
  </si>
  <si>
    <t>Amount of annual market rent of immovable property owned and used by the company for the purpose of its activities [Reg 5 (3) (h)] including emphyteusis [Reg 6 (2) (a)]</t>
  </si>
  <si>
    <t>A5116</t>
  </si>
  <si>
    <t>Accumulated depreciation of catering equipment</t>
  </si>
  <si>
    <t>C53</t>
  </si>
  <si>
    <t>Tax on extraordinary profit or loss</t>
  </si>
  <si>
    <t>Relocation from the FTA  (e.g. COLLECTIVE INVESTMENT SCHEME)</t>
  </si>
  <si>
    <t>A3712</t>
  </si>
  <si>
    <t>A3713</t>
  </si>
  <si>
    <t>A3714</t>
  </si>
  <si>
    <t>A3715</t>
  </si>
  <si>
    <t>A0541</t>
  </si>
  <si>
    <t>C50</t>
  </si>
  <si>
    <t>H50</t>
  </si>
  <si>
    <t>I50</t>
  </si>
  <si>
    <t>J50</t>
  </si>
  <si>
    <t>K50</t>
  </si>
  <si>
    <t>A0542</t>
  </si>
  <si>
    <t>D51</t>
  </si>
  <si>
    <t>H51</t>
  </si>
  <si>
    <t>I51</t>
  </si>
  <si>
    <t>Restricted!</t>
  </si>
  <si>
    <t>nob</t>
  </si>
  <si>
    <t>Allocation to the Maltese Taxed Account AND Foreign Income Account</t>
  </si>
  <si>
    <t>Does the company qualify as an SME?</t>
  </si>
  <si>
    <t>Investment tax credit utilised during the current year</t>
  </si>
  <si>
    <t>Unutilised Investment Tax Credit</t>
  </si>
  <si>
    <t>re</t>
  </si>
  <si>
    <t>pere</t>
  </si>
  <si>
    <t>Reduction in tax rate [Regulation 7(2) of the BPA Regulations]</t>
  </si>
  <si>
    <t>you should make immediate arrangements with the Collection Section to rectify and effect the necessary receipt adjustments.  Where receipt details are indicated as incorrect (confirmation = No) the relative amounts are not added and will not be reflected in page 5 of the tax return.</t>
  </si>
  <si>
    <t xml:space="preserve">  BPA - Regulation 6 (Value Added Incentive Scheme)</t>
  </si>
  <si>
    <t xml:space="preserve">  BPA - Regulation 6 (Minimum Tax)</t>
  </si>
  <si>
    <t xml:space="preserve">  MFSC Act - Article 30</t>
  </si>
  <si>
    <t>O37</t>
  </si>
  <si>
    <t>O38</t>
  </si>
  <si>
    <t>R38</t>
  </si>
  <si>
    <t>A1724</t>
  </si>
  <si>
    <t>QUE21</t>
  </si>
  <si>
    <t>G35</t>
  </si>
  <si>
    <t>QUE22</t>
  </si>
  <si>
    <t>G36</t>
  </si>
  <si>
    <t>QUE23</t>
  </si>
  <si>
    <t>G37</t>
  </si>
  <si>
    <t>QUE24</t>
  </si>
  <si>
    <t>C39</t>
  </si>
  <si>
    <t>QUE25</t>
  </si>
  <si>
    <t>G40</t>
  </si>
  <si>
    <t>QUE26</t>
  </si>
  <si>
    <t>C42</t>
  </si>
  <si>
    <t>QUE27</t>
  </si>
  <si>
    <r>
      <t xml:space="preserve">Income of a Co-operative society [Income Tax Act Article 12 (1) (q)] </t>
    </r>
    <r>
      <rPr>
        <vertAlign val="superscript"/>
        <sz val="8"/>
        <rFont val="Arial"/>
        <family val="2"/>
      </rPr>
      <t>1</t>
    </r>
  </si>
  <si>
    <r>
      <t xml:space="preserve">Are Receipt Details correct? </t>
    </r>
    <r>
      <rPr>
        <vertAlign val="superscript"/>
        <sz val="6.5"/>
        <rFont val="Arial"/>
        <family val="2"/>
      </rPr>
      <t>2</t>
    </r>
  </si>
  <si>
    <t>wage cost  for the 24 months before commencement of this employment of qualifying individuals defined under subreg. 13 (c)</t>
  </si>
  <si>
    <t>39a</t>
  </si>
  <si>
    <t>39b</t>
  </si>
  <si>
    <t>Check</t>
  </si>
  <si>
    <t>Accounting expenditure added back to be replaced by statutory expenditure</t>
  </si>
  <si>
    <t>B A C K  T O  I N D E X</t>
  </si>
  <si>
    <t xml:space="preserve">  Page 3 {field 18a}</t>
  </si>
  <si>
    <t xml:space="preserve">  Page 3 {field 29a}</t>
  </si>
  <si>
    <t>A3627</t>
  </si>
  <si>
    <t>A3904</t>
  </si>
  <si>
    <t>A3905</t>
  </si>
  <si>
    <t>A3906</t>
  </si>
  <si>
    <t>A3907</t>
  </si>
  <si>
    <t>A3908</t>
  </si>
  <si>
    <t>A3909</t>
  </si>
  <si>
    <t>A3910</t>
  </si>
  <si>
    <t>A3911</t>
  </si>
  <si>
    <t>A3912</t>
  </si>
  <si>
    <t>A3913</t>
  </si>
  <si>
    <t>A3914</t>
  </si>
  <si>
    <t>A3915</t>
  </si>
  <si>
    <t>A3916</t>
  </si>
  <si>
    <t>A3917</t>
  </si>
  <si>
    <t>L25</t>
  </si>
  <si>
    <t>M25</t>
  </si>
  <si>
    <t>Q25</t>
  </si>
  <si>
    <t>S25</t>
  </si>
  <si>
    <t>SHA18</t>
  </si>
  <si>
    <t>E26</t>
  </si>
  <si>
    <t>L26</t>
  </si>
  <si>
    <t>M26</t>
  </si>
  <si>
    <t>Q26</t>
  </si>
  <si>
    <t>Investment Income subject to 15% Final Withholding Tax</t>
  </si>
  <si>
    <t>Paying Company</t>
  </si>
  <si>
    <t>Rate !</t>
  </si>
  <si>
    <t>BPA - Cap 325 - Article 24B [Reduced Rate of Tax - Hotels]</t>
  </si>
  <si>
    <t>A0112</t>
  </si>
  <si>
    <t>A0113</t>
  </si>
  <si>
    <t>A0114</t>
  </si>
  <si>
    <t>A0115</t>
  </si>
  <si>
    <t>Net Income / (loss) before capital allowances [Article 4(1) (a) of the ITA]</t>
  </si>
  <si>
    <t>Error Message(s)</t>
  </si>
  <si>
    <t>receipt value</t>
  </si>
  <si>
    <t>allocation</t>
  </si>
  <si>
    <t>mta</t>
  </si>
  <si>
    <t>fia</t>
  </si>
  <si>
    <t>A3506</t>
  </si>
  <si>
    <t>ITA - LN 330 of 2005  -  Deductions and Tax Credits (R &amp; D Expenditure)</t>
  </si>
  <si>
    <t>Number of activities</t>
  </si>
  <si>
    <t>Asset Description</t>
  </si>
  <si>
    <t xml:space="preserve">Some validations are tied to the extended questionnaire on page 2 and depend entirely on the accuracy, completeness and correctness of the answers given.   For example if it is stated that the company does not benefit under the BPA all fields in the tax computation and the tax calculation referring to BPA incentives are dimmed.  Any data entry in these fields will be displayed in red.   The same applies for the foreign income account and the payment of dividends. </t>
  </si>
  <si>
    <t>Loan losses</t>
  </si>
  <si>
    <t>Cash over/short</t>
  </si>
  <si>
    <t>Warranty expenses</t>
  </si>
  <si>
    <t>Total tax credits and taxed income relieved</t>
  </si>
  <si>
    <t>78b</t>
  </si>
  <si>
    <t>Tax Credit unutilised</t>
  </si>
  <si>
    <t xml:space="preserve">Applicable Reference Rate  </t>
  </si>
  <si>
    <t>Amount inflated</t>
  </si>
  <si>
    <t>Tax credit carried forward</t>
  </si>
  <si>
    <t>TRA 65</t>
  </si>
  <si>
    <t>ME Act - LN 68 of 2008 - Investment Aid Regulations</t>
  </si>
  <si>
    <t>ME Act - LN 168 of 2009 - Assistance for R&amp;D and Innovation Regulations, 2009</t>
  </si>
  <si>
    <t>Has the company satisfied all conditions?</t>
  </si>
  <si>
    <t>A0320</t>
  </si>
  <si>
    <t>A0321</t>
  </si>
  <si>
    <t>A0322</t>
  </si>
  <si>
    <t>A0323</t>
  </si>
  <si>
    <t>A0324</t>
  </si>
  <si>
    <t>Total other scientific research expenditure</t>
  </si>
  <si>
    <t>Project Details</t>
  </si>
  <si>
    <t>Current Year</t>
  </si>
  <si>
    <t xml:space="preserve">BPA </t>
  </si>
  <si>
    <t>Apportionment of Accommodation Income [LN 79 of 2008]</t>
  </si>
  <si>
    <t>Maximum tax Credit that may be claimed</t>
  </si>
  <si>
    <t xml:space="preserve"> Required or insert 0!</t>
  </si>
  <si>
    <t>STA09</t>
  </si>
  <si>
    <t>STA10</t>
  </si>
  <si>
    <t>STA11</t>
  </si>
  <si>
    <t>STA12</t>
  </si>
  <si>
    <t>STA13</t>
  </si>
  <si>
    <t>STA14</t>
  </si>
  <si>
    <t>STA15</t>
  </si>
  <si>
    <t>STA16</t>
  </si>
  <si>
    <t>STA17</t>
  </si>
  <si>
    <t>STA18</t>
  </si>
  <si>
    <t>I112</t>
  </si>
  <si>
    <t>H114</t>
  </si>
  <si>
    <t>Accumulated depreciation of tools and dies</t>
  </si>
  <si>
    <t>Total Capital Gains / (Loss) for the year</t>
  </si>
  <si>
    <t>B130</t>
  </si>
  <si>
    <t>C130</t>
  </si>
  <si>
    <t>D130</t>
  </si>
  <si>
    <t>E130</t>
  </si>
  <si>
    <t>F130</t>
  </si>
  <si>
    <t>A1688</t>
  </si>
  <si>
    <t>B131</t>
  </si>
  <si>
    <t>C131</t>
  </si>
  <si>
    <t>D131</t>
  </si>
  <si>
    <t>E131</t>
  </si>
  <si>
    <t>F131</t>
  </si>
  <si>
    <t>A1689</t>
  </si>
  <si>
    <t>B132</t>
  </si>
  <si>
    <t>C132</t>
  </si>
  <si>
    <t>D132</t>
  </si>
  <si>
    <t>E132</t>
  </si>
  <si>
    <t>F132</t>
  </si>
  <si>
    <t>A1690</t>
  </si>
  <si>
    <t>D133</t>
  </si>
  <si>
    <t>E133</t>
  </si>
  <si>
    <t>F133</t>
  </si>
  <si>
    <t>Are you exercising the option to inflate the expenditure by 50%?</t>
  </si>
  <si>
    <t>Loans and / or advances to Maltese related companies</t>
  </si>
  <si>
    <t>Due from and / or investment in Maltese related parties</t>
  </si>
  <si>
    <t>External consulting</t>
  </si>
  <si>
    <t>5(2)(d)</t>
  </si>
  <si>
    <t>Directors' salaries and remuneration</t>
  </si>
  <si>
    <t>Management salaries</t>
  </si>
  <si>
    <t>7a</t>
  </si>
  <si>
    <t>8a</t>
  </si>
  <si>
    <t>ITA - LN 335 of 2005 - Tax Credit [Wages and Tuition Expenses]</t>
  </si>
  <si>
    <t>Total sales of goods and services</t>
  </si>
  <si>
    <t>Income from Investments</t>
  </si>
  <si>
    <t>Interest from Maltese banks</t>
  </si>
  <si>
    <t>Percentage reduction in tax due  [workings below] (1)</t>
  </si>
  <si>
    <t>After 24 November 2003</t>
  </si>
  <si>
    <t>Accumulated depreciation of construction and excavating equipment</t>
  </si>
  <si>
    <t>Production machinery and equipment</t>
  </si>
  <si>
    <t>Tra60</t>
  </si>
  <si>
    <t>A2011</t>
  </si>
  <si>
    <t>A2012</t>
  </si>
  <si>
    <t>A2013</t>
  </si>
  <si>
    <t>A2014</t>
  </si>
  <si>
    <t>A2015</t>
  </si>
  <si>
    <t>A2016</t>
  </si>
  <si>
    <t>A2017</t>
  </si>
  <si>
    <t>A2018</t>
  </si>
  <si>
    <t>E83</t>
  </si>
  <si>
    <t>F83</t>
  </si>
  <si>
    <t>A1657</t>
  </si>
  <si>
    <t>B84</t>
  </si>
  <si>
    <t>C84</t>
  </si>
  <si>
    <t>D84</t>
  </si>
  <si>
    <t>E84</t>
  </si>
  <si>
    <t>F84</t>
  </si>
  <si>
    <t>A1658</t>
  </si>
  <si>
    <t>MALTESE TAXED ACCOUNT</t>
  </si>
  <si>
    <t>Tax rate %</t>
  </si>
  <si>
    <t>A6308</t>
  </si>
  <si>
    <t>A6309</t>
  </si>
  <si>
    <t>A6310</t>
  </si>
  <si>
    <t>A6311</t>
  </si>
  <si>
    <t>A6312</t>
  </si>
  <si>
    <t>A6313</t>
  </si>
  <si>
    <t>A6314</t>
  </si>
  <si>
    <t>A6315</t>
  </si>
  <si>
    <t>Other transfer of assets subject to Capital Gains [Goodwill, Trade marks, etc,]</t>
  </si>
  <si>
    <t>Cost of Acquisition</t>
  </si>
  <si>
    <t>Any error?</t>
  </si>
  <si>
    <t>ITA Article</t>
  </si>
  <si>
    <t>Attachment required</t>
  </si>
  <si>
    <t>Maltese Taxed Account [total]</t>
  </si>
  <si>
    <t>K93</t>
  </si>
  <si>
    <t>A0577</t>
  </si>
  <si>
    <t>D94</t>
  </si>
  <si>
    <t>E94</t>
  </si>
  <si>
    <t>F94</t>
  </si>
  <si>
    <t>G94</t>
  </si>
  <si>
    <t>Depreciation of furniture, fixtures, fittings and soft furnishings</t>
  </si>
  <si>
    <t>A0431</t>
  </si>
  <si>
    <t>I37</t>
  </si>
  <si>
    <t>K37</t>
  </si>
  <si>
    <t>L37</t>
  </si>
  <si>
    <t>A0501</t>
  </si>
  <si>
    <t>C6</t>
  </si>
  <si>
    <t>Total Group Loss for the year that may be claimed</t>
  </si>
  <si>
    <t>A2003</t>
  </si>
  <si>
    <t>A2004</t>
  </si>
  <si>
    <t>A2005</t>
  </si>
  <si>
    <t>A2006</t>
  </si>
  <si>
    <t>A2007</t>
  </si>
  <si>
    <t>A2008</t>
  </si>
  <si>
    <t>A2009</t>
  </si>
  <si>
    <t>A2010</t>
  </si>
  <si>
    <t>A1655</t>
  </si>
  <si>
    <t>B82</t>
  </si>
  <si>
    <t>C82</t>
  </si>
  <si>
    <t>a</t>
  </si>
  <si>
    <t>S26</t>
  </si>
  <si>
    <t xml:space="preserve">  Maximum amount exceeded!</t>
  </si>
  <si>
    <t>A4711</t>
  </si>
  <si>
    <t>A4712</t>
  </si>
  <si>
    <t>A4713</t>
  </si>
  <si>
    <t>A4714</t>
  </si>
  <si>
    <t>A4715</t>
  </si>
  <si>
    <t>A4716</t>
  </si>
  <si>
    <t>A4717</t>
  </si>
  <si>
    <t>A4718</t>
  </si>
  <si>
    <t>A4719</t>
  </si>
  <si>
    <t>A4720</t>
  </si>
  <si>
    <t>Legislation</t>
  </si>
  <si>
    <t>Income</t>
  </si>
  <si>
    <t>IPA &amp; MTA</t>
  </si>
  <si>
    <t>Untaxed</t>
  </si>
  <si>
    <t>Art 15 &amp; 56? DTR????</t>
  </si>
  <si>
    <t>Immovable Property Account</t>
  </si>
  <si>
    <t xml:space="preserve">ITA / ITMA LN 49 of 2005 - Sale of Agricultural Produce Rules, 2005  </t>
  </si>
  <si>
    <t>A3719</t>
  </si>
  <si>
    <t>A3720</t>
  </si>
  <si>
    <t>Accumulated depreciation of non-industrial buildings</t>
  </si>
  <si>
    <t>Taxed A/c or Non-Distributable Reserve</t>
  </si>
  <si>
    <t>Sub-contracting and Out-sourcing</t>
  </si>
  <si>
    <t>Travel Expenses</t>
  </si>
  <si>
    <t>Allocation to the taxed accounts and other non-distributable reserves</t>
  </si>
  <si>
    <t>A4970</t>
  </si>
  <si>
    <t>A4971</t>
  </si>
  <si>
    <t>A4972</t>
  </si>
  <si>
    <t>A4973</t>
  </si>
  <si>
    <t>A4974</t>
  </si>
  <si>
    <t>A4975</t>
  </si>
  <si>
    <t>A4976</t>
  </si>
  <si>
    <t>A4977</t>
  </si>
  <si>
    <t>A4978</t>
  </si>
  <si>
    <t>A4979</t>
  </si>
  <si>
    <t>A4980</t>
  </si>
  <si>
    <t>A4981</t>
  </si>
  <si>
    <t>A4982</t>
  </si>
  <si>
    <t>A4983</t>
  </si>
  <si>
    <t>A4984</t>
  </si>
  <si>
    <t>A4985</t>
  </si>
  <si>
    <t>A4986</t>
  </si>
  <si>
    <t>A4987</t>
  </si>
  <si>
    <t>A4988</t>
  </si>
  <si>
    <t>A4989</t>
  </si>
  <si>
    <t>A4990</t>
  </si>
  <si>
    <t>A4991</t>
  </si>
  <si>
    <t>A4992</t>
  </si>
  <si>
    <t>A4993</t>
  </si>
  <si>
    <t>A4994</t>
  </si>
  <si>
    <t>A5601</t>
  </si>
  <si>
    <t>A5602</t>
  </si>
  <si>
    <t>A5603</t>
  </si>
  <si>
    <t>A5604</t>
  </si>
  <si>
    <t>A5605</t>
  </si>
  <si>
    <t>A5606</t>
  </si>
  <si>
    <t>A5607</t>
  </si>
  <si>
    <t>A5608</t>
  </si>
  <si>
    <t>A5609</t>
  </si>
  <si>
    <t>A5610</t>
  </si>
  <si>
    <t>A5611</t>
  </si>
  <si>
    <r>
      <t xml:space="preserve">Company </t>
    </r>
    <r>
      <rPr>
        <sz val="9"/>
        <rFont val="Arial"/>
        <family val="2"/>
      </rPr>
      <t>has / had waived its right, or lost its right due to a change in legislation, to</t>
    </r>
    <r>
      <rPr>
        <sz val="10"/>
        <rFont val="Arial"/>
        <family val="2"/>
      </rPr>
      <t xml:space="preserve"> entitlement of benefits provided by  </t>
    </r>
  </si>
  <si>
    <r>
      <t>Gross amount</t>
    </r>
    <r>
      <rPr>
        <vertAlign val="superscript"/>
        <sz val="10"/>
        <rFont val="Arial"/>
        <family val="2"/>
      </rPr>
      <t>1</t>
    </r>
  </si>
  <si>
    <r>
      <t>1</t>
    </r>
    <r>
      <rPr>
        <sz val="8"/>
        <rFont val="Arial"/>
        <family val="2"/>
      </rPr>
      <t>The amount should represent the gross tax credit before regulation 36 deductions</t>
    </r>
  </si>
  <si>
    <t>Deferred unrealised exchange losses</t>
  </si>
  <si>
    <t>The two sheets are ONLY intended to complement the signed set of audited financial statements that will accompany tax returns filed manually.  It does in no way replace the audited accounts.   The TIFD-coded Balance Sheet, the Income Statement and the Statement of Retained Earnings must be signed by the director(s).  The income statement caters for up to 10 multiple lines of business and includes a summary statement.</t>
  </si>
  <si>
    <t>Incentives and Benefits Reserve [BPA]</t>
  </si>
  <si>
    <t>Retained Earnings</t>
  </si>
  <si>
    <t>Credit amounts must be distinguished by the minus [ - ] sign.</t>
  </si>
  <si>
    <t>GUID</t>
  </si>
  <si>
    <t>TP</t>
  </si>
  <si>
    <t>Year</t>
  </si>
  <si>
    <t>CompanyTaxReturn09</t>
  </si>
  <si>
    <t>9.2</t>
  </si>
  <si>
    <t>89182126-b648-485f-b910-560b60b5c4da</t>
  </si>
  <si>
    <t>Complete</t>
  </si>
  <si>
    <t>R18</t>
  </si>
  <si>
    <t>O76</t>
  </si>
  <si>
    <t>A4835</t>
  </si>
  <si>
    <t>A4836</t>
  </si>
  <si>
    <t>A4837</t>
  </si>
  <si>
    <t>A4838</t>
  </si>
  <si>
    <t>I32</t>
  </si>
  <si>
    <t>J32</t>
  </si>
  <si>
    <t>Donation Details                           Rule 4</t>
  </si>
  <si>
    <t>Certificate reference [Rule 4(1)]</t>
  </si>
  <si>
    <t>Total value of bad debts recovered and lumped together</t>
  </si>
  <si>
    <t xml:space="preserve">Number of debts recovered and lumped together  </t>
  </si>
  <si>
    <t>A4210</t>
  </si>
  <si>
    <t>A4211</t>
  </si>
  <si>
    <t>Net Income / (Loss) after loss transfer between tax accounts</t>
  </si>
  <si>
    <t>Securities interest - from local sources</t>
  </si>
  <si>
    <t>Interest from other Maltese sources</t>
  </si>
  <si>
    <t>QUESTIONS 1 TO 10 MUST ALL BE ANSWERED!</t>
  </si>
  <si>
    <t>ALL QUESTIONS IN THE PAGE MUST BE ANSWERED</t>
  </si>
  <si>
    <t>A6316</t>
  </si>
  <si>
    <t>A6317</t>
  </si>
  <si>
    <t>A6318</t>
  </si>
  <si>
    <t>A6319</t>
  </si>
  <si>
    <t>A6320</t>
  </si>
  <si>
    <t>A6321</t>
  </si>
  <si>
    <t>A6322</t>
  </si>
  <si>
    <t>A6323</t>
  </si>
  <si>
    <t>A6324</t>
  </si>
  <si>
    <t>A6325</t>
  </si>
  <si>
    <t>A6326</t>
  </si>
  <si>
    <t>N9</t>
  </si>
  <si>
    <t>P9</t>
  </si>
  <si>
    <t>N10</t>
  </si>
  <si>
    <t>P10</t>
  </si>
  <si>
    <t>N11</t>
  </si>
  <si>
    <t>P11</t>
  </si>
  <si>
    <t>N12</t>
  </si>
  <si>
    <t>P12</t>
  </si>
  <si>
    <t>N13</t>
  </si>
  <si>
    <t>P13</t>
  </si>
  <si>
    <t>P17</t>
  </si>
  <si>
    <t>N22</t>
  </si>
  <si>
    <t>Repairs and maintenance - motor vehicles</t>
  </si>
  <si>
    <t>Repairs and maintenance - boats</t>
  </si>
  <si>
    <t>A0105</t>
  </si>
  <si>
    <t>B8</t>
  </si>
  <si>
    <t>A0106</t>
  </si>
  <si>
    <t>C122</t>
  </si>
  <si>
    <t>A0107</t>
  </si>
  <si>
    <t>A0108</t>
  </si>
  <si>
    <t>A0109</t>
  </si>
  <si>
    <t>A0110</t>
  </si>
  <si>
    <t>A0111</t>
  </si>
  <si>
    <t>General reserve</t>
  </si>
  <si>
    <t>ITA  -  LN 187 of 2010</t>
  </si>
  <si>
    <t>Monetary</t>
  </si>
  <si>
    <t>Gross income from royalties, premiums, etc</t>
  </si>
  <si>
    <t>Supplementary Information and Declaration</t>
  </si>
  <si>
    <t>Long-term loans due to foreign related parties</t>
  </si>
  <si>
    <t>Total qualifying expenditure (incurred current Y/A)</t>
  </si>
  <si>
    <t>Use the TAB key to switch from one field to another.  Make sure that values are allocated to the proper tax account.</t>
  </si>
  <si>
    <t xml:space="preserve">VALIDATIONS AND CALCULATIONS </t>
  </si>
  <si>
    <t>Other 7</t>
  </si>
  <si>
    <t>Life insurance on executives</t>
  </si>
  <si>
    <t>B124</t>
  </si>
  <si>
    <t>C124</t>
  </si>
  <si>
    <t>D124</t>
  </si>
  <si>
    <t>E124</t>
  </si>
  <si>
    <t>F124</t>
  </si>
  <si>
    <t>A1682</t>
  </si>
  <si>
    <t>B125</t>
  </si>
  <si>
    <t>C125</t>
  </si>
  <si>
    <t>D125</t>
  </si>
  <si>
    <t>E125</t>
  </si>
  <si>
    <t>F125</t>
  </si>
  <si>
    <t>A1683</t>
  </si>
  <si>
    <t>B126</t>
  </si>
  <si>
    <t>C126</t>
  </si>
  <si>
    <t>D126</t>
  </si>
  <si>
    <t>E126</t>
  </si>
  <si>
    <t>F126</t>
  </si>
  <si>
    <t>A3148</t>
  </si>
  <si>
    <t>A3149</t>
  </si>
  <si>
    <t>A3150</t>
  </si>
  <si>
    <t>A3151</t>
  </si>
  <si>
    <t>A3152</t>
  </si>
  <si>
    <t>A0517</t>
  </si>
  <si>
    <t>C22</t>
  </si>
  <si>
    <t>K22</t>
  </si>
  <si>
    <t>A0518</t>
  </si>
  <si>
    <t>C23</t>
  </si>
  <si>
    <t>K23</t>
  </si>
  <si>
    <t>A0519</t>
  </si>
  <si>
    <t>C28</t>
  </si>
  <si>
    <t>K28</t>
  </si>
  <si>
    <t>A0520</t>
  </si>
  <si>
    <t>C29</t>
  </si>
  <si>
    <t>K29</t>
  </si>
  <si>
    <t>A0521</t>
  </si>
  <si>
    <t>C30</t>
  </si>
  <si>
    <t>K30</t>
  </si>
  <si>
    <t>A0522</t>
  </si>
  <si>
    <t>C31</t>
  </si>
  <si>
    <t>K31</t>
  </si>
  <si>
    <t>A0523</t>
  </si>
  <si>
    <t>C32</t>
  </si>
  <si>
    <t>K32</t>
  </si>
  <si>
    <t>A0524</t>
  </si>
  <si>
    <t>A6208</t>
  </si>
  <si>
    <t>a6701</t>
  </si>
  <si>
    <t>B3</t>
  </si>
  <si>
    <t>a6702</t>
  </si>
  <si>
    <t>a6703</t>
  </si>
  <si>
    <t>a6704</t>
  </si>
  <si>
    <t>a6705</t>
  </si>
  <si>
    <t>a6706</t>
  </si>
  <si>
    <t>a6707</t>
  </si>
  <si>
    <t>a6708</t>
  </si>
  <si>
    <t>a6709</t>
  </si>
  <si>
    <t>a6801</t>
  </si>
  <si>
    <t>a6802</t>
  </si>
  <si>
    <t>a6803</t>
  </si>
  <si>
    <t>a6804</t>
  </si>
  <si>
    <t>a6805</t>
  </si>
  <si>
    <t>a6806</t>
  </si>
  <si>
    <t>a6807</t>
  </si>
  <si>
    <t>a6808</t>
  </si>
  <si>
    <t>a6809</t>
  </si>
  <si>
    <t>a6810</t>
  </si>
  <si>
    <t>a6811</t>
  </si>
  <si>
    <t>a6812</t>
  </si>
  <si>
    <t>a6813</t>
  </si>
  <si>
    <t>Surrendering Company Name</t>
  </si>
  <si>
    <t>Taxed A/c of Surrendering company</t>
  </si>
  <si>
    <t>Account transfers, if any, between IPA and MTA</t>
  </si>
  <si>
    <t>Total group loss as adjusted that may be claimed for the current year</t>
  </si>
  <si>
    <t xml:space="preserve">Apportionment of Income from the provision of Accomodation, and / or Management Services </t>
  </si>
  <si>
    <t xml:space="preserve">ITA - Exemption on Royalties derived from Patents </t>
  </si>
  <si>
    <t>Article 12(1)(v) of the ITA and LN 429 of 2010</t>
  </si>
  <si>
    <t>Determination issued by the Malta Enterprise Corporation</t>
  </si>
  <si>
    <t>Date of determination</t>
  </si>
  <si>
    <t>Determination reference</t>
  </si>
  <si>
    <t>Description of the invention</t>
  </si>
  <si>
    <t>Income from qualifying patents</t>
  </si>
  <si>
    <t>Royalties</t>
  </si>
  <si>
    <t>Exempt Income from qualifying patents</t>
  </si>
  <si>
    <t>Have all the conditions for entitlement been satisfied?</t>
  </si>
  <si>
    <t>TRA 67</t>
  </si>
  <si>
    <t>GROSS DIVIDEND TOTAL [MTA, FIA AND UNTAXED] IS NOT EQUAL TO THAT DISCLOSED IN FIELDS 113a to 113f ON PAGE 6!</t>
  </si>
  <si>
    <t>FTA NET DIVIDEND TOTAL IS NOT EQUAL TO FIELD 119a ON PAGE 6!</t>
  </si>
  <si>
    <t>Accumulated depreciation of Electrical and Plumbing Installations and sanitary fittings</t>
  </si>
  <si>
    <t>Exploration equipment</t>
  </si>
  <si>
    <t>Accumulated depreciation of exploration equipment</t>
  </si>
  <si>
    <t>A0432</t>
  </si>
  <si>
    <t>A0433</t>
  </si>
  <si>
    <t>A0434</t>
  </si>
  <si>
    <t>A0435</t>
  </si>
  <si>
    <t>A0628</t>
  </si>
  <si>
    <t>A0629</t>
  </si>
  <si>
    <t>A0708</t>
  </si>
  <si>
    <t>A0832</t>
  </si>
  <si>
    <t>A0912</t>
  </si>
  <si>
    <t>D110</t>
  </si>
  <si>
    <t>E110</t>
  </si>
  <si>
    <t>D137</t>
  </si>
  <si>
    <t>E137</t>
  </si>
  <si>
    <t>E138</t>
  </si>
  <si>
    <t>D141</t>
  </si>
  <si>
    <t>E141</t>
  </si>
  <si>
    <t>D142</t>
  </si>
  <si>
    <t>E142</t>
  </si>
  <si>
    <t>D143</t>
  </si>
  <si>
    <t>E143</t>
  </si>
  <si>
    <t>D144</t>
  </si>
  <si>
    <t>E144</t>
  </si>
  <si>
    <t>D145</t>
  </si>
  <si>
    <t>Amortisation of formation expenses</t>
  </si>
  <si>
    <t xml:space="preserve"> Ensure that page 5 is complete before proceeding!</t>
  </si>
  <si>
    <t>g</t>
  </si>
  <si>
    <t>h</t>
  </si>
  <si>
    <t>Total Capital</t>
  </si>
  <si>
    <t>Reserves</t>
  </si>
  <si>
    <t>Revaluation Reserve</t>
  </si>
  <si>
    <t xml:space="preserve">Were notes to the financial statements prepared in accordance with the </t>
  </si>
  <si>
    <r>
      <t xml:space="preserve">Tax Rate </t>
    </r>
    <r>
      <rPr>
        <vertAlign val="superscript"/>
        <sz val="8"/>
        <rFont val="Arial"/>
        <family val="2"/>
      </rPr>
      <t xml:space="preserve">2 </t>
    </r>
    <r>
      <rPr>
        <sz val="8"/>
        <rFont val="Arial"/>
        <family val="2"/>
      </rPr>
      <t>%</t>
    </r>
  </si>
  <si>
    <r>
      <t xml:space="preserve">New </t>
    </r>
    <r>
      <rPr>
        <sz val="7"/>
        <rFont val="Arial"/>
        <family val="2"/>
      </rPr>
      <t>s'hlder(s)?</t>
    </r>
    <r>
      <rPr>
        <sz val="8"/>
        <rFont val="Arial"/>
        <family val="2"/>
      </rPr>
      <t xml:space="preserve"> </t>
    </r>
    <r>
      <rPr>
        <vertAlign val="superscript"/>
        <sz val="8"/>
        <rFont val="Arial"/>
        <family val="2"/>
      </rPr>
      <t>1</t>
    </r>
  </si>
  <si>
    <r>
      <t>1</t>
    </r>
    <r>
      <rPr>
        <sz val="8"/>
        <rFont val="Arial"/>
        <family val="2"/>
      </rPr>
      <t xml:space="preserve"> Please indicate whether the shareholder is new [Yes] or otherwise [No].</t>
    </r>
  </si>
  <si>
    <r>
      <t>2</t>
    </r>
    <r>
      <rPr>
        <sz val="8"/>
        <rFont val="Arial"/>
        <family val="2"/>
      </rPr>
      <t xml:space="preserve"> Rate of tax on dividends as per double taxation treaty.</t>
    </r>
  </si>
  <si>
    <t>Unutilised Investment Tax Credit inflated by the Reference Rate c/fwd</t>
  </si>
  <si>
    <t>Total Expenditure RESTRICTED (Tax Credit purposes)</t>
  </si>
  <si>
    <t>REDUCTION value of other benefits</t>
  </si>
  <si>
    <t>W40</t>
  </si>
  <si>
    <t>Y40</t>
  </si>
  <si>
    <t>H69</t>
  </si>
  <si>
    <t>I69</t>
  </si>
  <si>
    <t>Approval of project by ME</t>
  </si>
  <si>
    <t>Are the annual accounts approved and signed?</t>
  </si>
  <si>
    <t>Legal fees</t>
  </si>
  <si>
    <t>Accountancy fees</t>
  </si>
  <si>
    <t>Audit fees</t>
  </si>
  <si>
    <t>Architect fees</t>
  </si>
  <si>
    <t>Appraisal fees</t>
  </si>
  <si>
    <t>Brokerage fees</t>
  </si>
  <si>
    <t>Restructuring costs</t>
  </si>
  <si>
    <t>Receipt No</t>
  </si>
  <si>
    <t>Basis year</t>
  </si>
  <si>
    <t>Acquired   1999</t>
  </si>
  <si>
    <t>wdv</t>
  </si>
  <si>
    <r>
      <t xml:space="preserve">Election in terms of Rule 9 not to allocate distributable profits to the Maltese Taxed Account and Foreign Income Account                                                                       </t>
    </r>
    <r>
      <rPr>
        <sz val="8"/>
        <color indexed="10"/>
        <rFont val="Arial"/>
        <family val="2"/>
      </rPr>
      <t xml:space="preserve">   </t>
    </r>
    <r>
      <rPr>
        <sz val="8"/>
        <color indexed="16"/>
        <rFont val="Arial"/>
        <family val="2"/>
      </rPr>
      <t xml:space="preserve">  </t>
    </r>
    <r>
      <rPr>
        <sz val="7"/>
        <color indexed="16"/>
        <rFont val="Arial"/>
        <family val="2"/>
      </rPr>
      <t>[An election in terms of rule 9 is only made once.  It may not be renounced unless, upon being requested, the Commissioner gives his written permission.]</t>
    </r>
  </si>
  <si>
    <r>
      <t xml:space="preserve">Allocation to the immovable property account for the consideration derived from the granting of loans, or any form of credit, or from the provision of services to a related company     [Regulation 5 (8) ] - formula    </t>
    </r>
    <r>
      <rPr>
        <sz val="9"/>
        <color indexed="10"/>
        <rFont val="Arial"/>
        <family val="2"/>
      </rPr>
      <t xml:space="preserve"> </t>
    </r>
    <r>
      <rPr>
        <sz val="10"/>
        <color indexed="16"/>
        <rFont val="Arial"/>
        <family val="2"/>
      </rPr>
      <t>Y = A - (B + C)</t>
    </r>
  </si>
  <si>
    <t>Total deductions available for the current year</t>
  </si>
  <si>
    <r>
      <t xml:space="preserve">Adjustment of Profit/(Loss) per Financial Statements                                                           </t>
    </r>
    <r>
      <rPr>
        <sz val="9"/>
        <rFont val="Arial"/>
        <family val="2"/>
      </rPr>
      <t>Income subject to a Final Withholding Tax, Statutory deductions and corresponding add backs [where applicable]</t>
    </r>
  </si>
  <si>
    <t>D101</t>
  </si>
  <si>
    <t>E101</t>
  </si>
  <si>
    <r>
      <t xml:space="preserve">Apportionment of Income from the Provision of Accomodation and / or Management Services related thereto                                                                                                                                                                         </t>
    </r>
    <r>
      <rPr>
        <sz val="10"/>
        <color indexed="60"/>
        <rFont val="Arial"/>
        <family val="2"/>
      </rPr>
      <t>[as contemplated by LN 79 of 2008 - Sub-Regulations 5 (b) (ii) and 5 (d) as amended by LN 247 of 2011]</t>
    </r>
  </si>
  <si>
    <r>
      <t xml:space="preserve">Income derived from managemment services </t>
    </r>
    <r>
      <rPr>
        <sz val="8"/>
        <rFont val="Arial"/>
        <family val="2"/>
      </rPr>
      <t>related to the provision of accomodation and other activities as applicable</t>
    </r>
  </si>
  <si>
    <r>
      <t xml:space="preserve">Other Profits that stand to be allocated to the Final Tax Account </t>
    </r>
    <r>
      <rPr>
        <sz val="8"/>
        <color indexed="16"/>
        <rFont val="Arial"/>
        <family val="2"/>
      </rPr>
      <t>(Pleae specify Legislation)</t>
    </r>
  </si>
  <si>
    <t>ME Act - LN 456 of 2012 (Rule 14)   Tax Credit for restoration works on protected buildings used for commercial activity</t>
  </si>
  <si>
    <t>y/a 2016</t>
  </si>
  <si>
    <t xml:space="preserve">carry forward up to </t>
  </si>
  <si>
    <t>Y/A 2019</t>
  </si>
  <si>
    <t>y/a 2017</t>
  </si>
  <si>
    <t>CYoA</t>
  </si>
  <si>
    <t>LN 456 of 2012</t>
  </si>
  <si>
    <t>Rule 14 - Tax Credit for restoration works on protected buildings used for commercial activity</t>
  </si>
  <si>
    <t>Buildings falling within an UCA</t>
  </si>
  <si>
    <t>Type of buildings used or to be used for commercial activity</t>
  </si>
  <si>
    <t>Grade 1 or Grade 2 scheduled buildings</t>
  </si>
  <si>
    <t>Certificate No:</t>
  </si>
  <si>
    <t>Date Issued:</t>
  </si>
  <si>
    <t>Qualifying costs for Y/A 2014</t>
  </si>
  <si>
    <t>Qualifying costs for Y/A 2015</t>
  </si>
  <si>
    <t>Qualifying costs for Y/A 2016</t>
  </si>
  <si>
    <t>Costs for Y/A 2014</t>
  </si>
  <si>
    <t>Costs for Y/A 2015</t>
  </si>
  <si>
    <t>Costs for Y/A 2016</t>
  </si>
  <si>
    <t>Material</t>
  </si>
  <si>
    <t>Labour</t>
  </si>
  <si>
    <t>Hire of equipment</t>
  </si>
  <si>
    <t>based on %age</t>
  </si>
  <si>
    <t>Maximum</t>
  </si>
  <si>
    <t xml:space="preserve">Tax credit </t>
  </si>
  <si>
    <t>Total qualifying costs</t>
  </si>
  <si>
    <t>Total maximum aid</t>
  </si>
  <si>
    <t>Total tax credit utilised in previous year/s</t>
  </si>
  <si>
    <t>Available tax credit for current year</t>
  </si>
  <si>
    <t xml:space="preserve">Tax credit utilised in current year </t>
  </si>
  <si>
    <t>Unutilised tax credit c/fwd to next year</t>
  </si>
  <si>
    <t>Sum of fields 37a to 37f must be equal to the amount in field 36a!</t>
  </si>
  <si>
    <t>Immovable Property Account [Total]</t>
  </si>
  <si>
    <t>d</t>
  </si>
  <si>
    <t>e</t>
  </si>
  <si>
    <t>f</t>
  </si>
  <si>
    <t>K8</t>
  </si>
  <si>
    <t>A0504</t>
  </si>
  <si>
    <t>C9</t>
  </si>
  <si>
    <t>D9</t>
  </si>
  <si>
    <t>I9</t>
  </si>
  <si>
    <t>J9</t>
  </si>
  <si>
    <t>K9</t>
  </si>
  <si>
    <t>A0505</t>
  </si>
  <si>
    <t>C10</t>
  </si>
  <si>
    <t>D10</t>
  </si>
  <si>
    <t>F10</t>
  </si>
  <si>
    <t>I10</t>
  </si>
  <si>
    <t>J10</t>
  </si>
  <si>
    <t>K10</t>
  </si>
  <si>
    <t>A0506</t>
  </si>
  <si>
    <t>C11</t>
  </si>
  <si>
    <t>D11</t>
  </si>
  <si>
    <t>I11</t>
  </si>
  <si>
    <t>J11</t>
  </si>
  <si>
    <t>K11</t>
  </si>
  <si>
    <t>H16</t>
  </si>
  <si>
    <t>A0412</t>
  </si>
  <si>
    <t>H17</t>
  </si>
  <si>
    <t>A0413</t>
  </si>
  <si>
    <t>A0414</t>
  </si>
  <si>
    <t>A0415</t>
  </si>
  <si>
    <t>A0416</t>
  </si>
  <si>
    <t>A0417</t>
  </si>
  <si>
    <t>A0418</t>
  </si>
  <si>
    <t>A0419</t>
  </si>
  <si>
    <t>F118</t>
  </si>
  <si>
    <t>A1676</t>
  </si>
  <si>
    <t>D119</t>
  </si>
  <si>
    <t>E119</t>
  </si>
  <si>
    <t>F119</t>
  </si>
  <si>
    <t>A1677</t>
  </si>
  <si>
    <t>D120</t>
  </si>
  <si>
    <t>E120</t>
  </si>
  <si>
    <t>F120</t>
  </si>
  <si>
    <t>A1678</t>
  </si>
  <si>
    <t>B121</t>
  </si>
  <si>
    <t>C121</t>
  </si>
  <si>
    <t>D121</t>
  </si>
  <si>
    <t>E121</t>
  </si>
  <si>
    <t>F121</t>
  </si>
  <si>
    <t>A1679</t>
  </si>
  <si>
    <t>B122</t>
  </si>
  <si>
    <t>Deferred Investment Tax Credit c/fwd</t>
  </si>
  <si>
    <t>Details of Transaction</t>
  </si>
  <si>
    <t>Details of Debtor</t>
  </si>
  <si>
    <t>Accumulated depreciation of commercial vehicles</t>
  </si>
  <si>
    <t>ITA - Capital gain/(loss) - Securities</t>
  </si>
  <si>
    <t>A0121</t>
  </si>
  <si>
    <t>G24</t>
  </si>
  <si>
    <t>A0122</t>
  </si>
  <si>
    <t>G25</t>
  </si>
  <si>
    <t>A0123</t>
  </si>
  <si>
    <t>G26</t>
  </si>
  <si>
    <t>A0124</t>
  </si>
  <si>
    <t>G27</t>
  </si>
  <si>
    <t>A0125</t>
  </si>
  <si>
    <t>G28</t>
  </si>
  <si>
    <t>A0126</t>
  </si>
  <si>
    <t>G30</t>
  </si>
  <si>
    <t>A0201</t>
  </si>
  <si>
    <t>A0202</t>
  </si>
  <si>
    <t>A0203</t>
  </si>
  <si>
    <t>A0204</t>
  </si>
  <si>
    <t>A0205</t>
  </si>
  <si>
    <t>D18</t>
  </si>
  <si>
    <t>H18</t>
  </si>
  <si>
    <t>I18</t>
  </si>
  <si>
    <t>J18</t>
  </si>
  <si>
    <t>A0206</t>
  </si>
  <si>
    <t>D19</t>
  </si>
  <si>
    <t>H19</t>
  </si>
  <si>
    <t>I19</t>
  </si>
  <si>
    <t>J19</t>
  </si>
  <si>
    <t>A0207</t>
  </si>
  <si>
    <t>D20</t>
  </si>
  <si>
    <t>H20</t>
  </si>
  <si>
    <t>COM09</t>
  </si>
  <si>
    <t>N61</t>
  </si>
  <si>
    <t>U61</t>
  </si>
  <si>
    <t>A2701</t>
  </si>
  <si>
    <t>K5</t>
  </si>
  <si>
    <t>A2702</t>
  </si>
  <si>
    <t>A2703</t>
  </si>
  <si>
    <t xml:space="preserve"> Please ensure that TRA 62 is complete with proper allocations for the year.</t>
  </si>
  <si>
    <t xml:space="preserve"> Allocations in Part 2 of TRA 62 cannot exceed the aggregate values in fields 97b and 97c (above).</t>
  </si>
  <si>
    <t>July</t>
  </si>
  <si>
    <t>August</t>
  </si>
  <si>
    <t>September</t>
  </si>
  <si>
    <t>October</t>
  </si>
  <si>
    <t>November</t>
  </si>
  <si>
    <t>Additions at Cost</t>
  </si>
  <si>
    <t>Transitional aggregation of Operating Expenses [Total T001 to T010]</t>
  </si>
  <si>
    <t>ID number / Tax Reg. No.</t>
  </si>
  <si>
    <t>Date of Employment</t>
  </si>
  <si>
    <t>Wage Cost</t>
  </si>
  <si>
    <t>Qualifies under Reg 13 … subreg.</t>
  </si>
  <si>
    <t>Transfer to Capital Reserves</t>
  </si>
  <si>
    <t>Total Allowable Expenditure incurred</t>
  </si>
  <si>
    <t>current</t>
  </si>
  <si>
    <t>conditional format</t>
  </si>
  <si>
    <t>Actual</t>
  </si>
  <si>
    <t>ITA - LN 331 of 2005 - Tax Credit [Back Office Operations]</t>
  </si>
  <si>
    <t>ITA - LN 332 of 2005  -  Tax Credit [Owners and Operators of Warehouses]</t>
  </si>
  <si>
    <t>Income / (loss) before capital allowances</t>
  </si>
  <si>
    <t>Grossed up amount for flat rate foreign tax credit</t>
  </si>
  <si>
    <t>38a</t>
  </si>
  <si>
    <t>Deferred income tax</t>
  </si>
  <si>
    <t>Income Tax refundable</t>
  </si>
  <si>
    <t>Foreign tax paid where Article 12(1)(u) applies</t>
  </si>
  <si>
    <t>Dividend Income allocated to the Final Tax Account</t>
  </si>
  <si>
    <t>Wages - Casual</t>
  </si>
  <si>
    <t>Transfer to Revenue Reserve</t>
  </si>
  <si>
    <r>
      <rPr>
        <sz val="11"/>
        <rFont val="Arial"/>
        <family val="2"/>
      </rPr>
      <t>Part 1 - Profits allocated to the Immovable Property Account</t>
    </r>
    <r>
      <rPr>
        <sz val="12"/>
        <rFont val="Arial"/>
        <family val="2"/>
      </rPr>
      <t xml:space="preserve">     </t>
    </r>
    <r>
      <rPr>
        <sz val="10"/>
        <rFont val="Arial"/>
        <family val="2"/>
      </rPr>
      <t xml:space="preserve">                                                                                                     </t>
    </r>
    <r>
      <rPr>
        <sz val="8"/>
        <color indexed="16"/>
        <rFont val="Arial"/>
        <family val="2"/>
      </rPr>
      <t xml:space="preserve">  [First allocation of Chargeable Income AFTER TAX in terms of Rule 5]</t>
    </r>
  </si>
  <si>
    <r>
      <t xml:space="preserve">Part 2 - Profits allocated to the Immovable Property Account  </t>
    </r>
    <r>
      <rPr>
        <sz val="14"/>
        <rFont val="Arial"/>
        <family val="2"/>
      </rPr>
      <t xml:space="preserve">                    </t>
    </r>
    <r>
      <rPr>
        <sz val="11"/>
        <rFont val="Arial"/>
        <family val="2"/>
      </rPr>
      <t xml:space="preserve">                                                                             </t>
    </r>
    <r>
      <rPr>
        <sz val="8"/>
        <rFont val="Arial"/>
        <family val="2"/>
      </rPr>
      <t xml:space="preserve">        </t>
    </r>
    <r>
      <rPr>
        <sz val="8"/>
        <color indexed="16"/>
        <rFont val="Arial"/>
        <family val="2"/>
      </rPr>
      <t xml:space="preserve">  [Second allocation in terms of Rule 5]</t>
    </r>
  </si>
  <si>
    <t>A7420</t>
  </si>
  <si>
    <t>Arab Emirates Dirham</t>
  </si>
  <si>
    <t>Egyptian Pound</t>
  </si>
  <si>
    <t>Hungarian Forint</t>
  </si>
  <si>
    <t>Peruvian Nuevo Sol</t>
  </si>
  <si>
    <t>Polish Zloty</t>
  </si>
  <si>
    <t xml:space="preserve"> Not equal to amount on Page 6 field 97a! (</t>
  </si>
  <si>
    <t xml:space="preserve"> Not equal to amount on Page 6 field 102b! (</t>
  </si>
  <si>
    <t>Additional Deduction(s) claimed in previous years</t>
  </si>
  <si>
    <t>Unclaimed additional deduction(s) b/fwd</t>
  </si>
  <si>
    <t xml:space="preserve">Additional Deduction claimed for the current year </t>
  </si>
  <si>
    <t>Unclaimed additional deduction(s) c/fwd</t>
  </si>
  <si>
    <t>101d</t>
  </si>
  <si>
    <t>101e</t>
  </si>
  <si>
    <t xml:space="preserve">ITA - Article 31A </t>
  </si>
  <si>
    <t>Taxation of rental income received from the Housing Authority</t>
  </si>
  <si>
    <t>Property address</t>
  </si>
  <si>
    <t>Gross Annual Rental Income</t>
  </si>
  <si>
    <t>ME Act - LN 456 of 2012 (Rule 14)  - Tax Credit for digital applications development</t>
  </si>
  <si>
    <t>Rule 15 - Tax Credit for digital applications development</t>
  </si>
  <si>
    <t>Tax credit to be utilised against tax incurred on income derived from a trade or business activity</t>
  </si>
  <si>
    <t>Qualifying costs for the year</t>
  </si>
  <si>
    <t>Total tax credit b/fwd from previous years</t>
  </si>
  <si>
    <t>Unutilised credit c/fwd to next year</t>
  </si>
  <si>
    <t>Wages Reconciliation (EU Directive 2011/16)</t>
  </si>
  <si>
    <t>average from page 2</t>
  </si>
  <si>
    <t>Summary</t>
  </si>
  <si>
    <t>K12</t>
  </si>
  <si>
    <t>A0508</t>
  </si>
  <si>
    <t>C13</t>
  </si>
  <si>
    <t>D13</t>
  </si>
  <si>
    <t>Work in progress</t>
  </si>
  <si>
    <t>Accounts receivable</t>
  </si>
  <si>
    <t xml:space="preserve">SAP No.  </t>
  </si>
  <si>
    <t>Total Sales</t>
  </si>
  <si>
    <t>Non-qualifying Sales</t>
  </si>
  <si>
    <t>Article 4(1)(c) - Dividends, Interests, Discounts or Premiums</t>
  </si>
  <si>
    <t>26a</t>
  </si>
  <si>
    <t>Article 4(1)(e) - Rents, Royalties and Premiums etc.</t>
  </si>
  <si>
    <t>27a</t>
  </si>
  <si>
    <t>Article 4(1)(g) - Other Income</t>
  </si>
  <si>
    <t>28a</t>
  </si>
  <si>
    <t>29a</t>
  </si>
  <si>
    <t>30a</t>
  </si>
  <si>
    <t>31a</t>
  </si>
  <si>
    <t>32a</t>
  </si>
  <si>
    <t>33a</t>
  </si>
  <si>
    <t>Act &gt;</t>
  </si>
  <si>
    <t>34a</t>
  </si>
  <si>
    <t>Depreciation of capital leases - vehicles</t>
  </si>
  <si>
    <t>Closing Stock of Finished Goods</t>
  </si>
  <si>
    <t>&lt; All data required!</t>
  </si>
  <si>
    <t xml:space="preserve">Aggregate tax credits available for the year </t>
  </si>
  <si>
    <t>Research and development (capitalised)</t>
  </si>
  <si>
    <t>Accumulated amortisation of research and development</t>
  </si>
  <si>
    <t>Total Intangible assets</t>
  </si>
  <si>
    <t>Incorrect TIFD code!</t>
  </si>
  <si>
    <t xml:space="preserve">Name  </t>
  </si>
  <si>
    <t>Inflation Method</t>
  </si>
  <si>
    <t>Version Control</t>
  </si>
  <si>
    <t>H31</t>
  </si>
  <si>
    <t>I31</t>
  </si>
  <si>
    <t>J31</t>
  </si>
  <si>
    <t>A0219</t>
  </si>
  <si>
    <t>A32</t>
  </si>
  <si>
    <t>Net Income or loss for the period</t>
  </si>
  <si>
    <t xml:space="preserve">Income tax due after reduction   </t>
  </si>
  <si>
    <r>
      <t xml:space="preserve">Incentives &amp; Benefits Reserve </t>
    </r>
    <r>
      <rPr>
        <sz val="8"/>
        <rFont val="Arial"/>
        <family val="2"/>
      </rPr>
      <t>[TIFD code 3904]</t>
    </r>
  </si>
  <si>
    <t>H78</t>
  </si>
  <si>
    <t>Total Tax that can be relieved for the year</t>
  </si>
  <si>
    <t xml:space="preserve">Accumulated depreciation of Cable Infrastructure </t>
  </si>
  <si>
    <t>Accumulated depreciation of Pipeline Infrastructure</t>
  </si>
  <si>
    <t>The total tax benefit shall not exceed the maximum of 50% of the total amount of eligible expenditure invested in restoration, provided that the maximum value of tax benefit received in respect of a Grade 1 and 2 scheduled building shall not exceed €30,000 per beneficiary and provided further that the maximum value of tax benefit received in respect of a building within a UCA shall not exceed €20,000 per beneficiary.</t>
  </si>
  <si>
    <t>Residential</t>
  </si>
  <si>
    <t>ITA - Art 31C - Rental income from restored property</t>
  </si>
  <si>
    <t>Accumulated depreciation of computer software</t>
  </si>
  <si>
    <t>Provision(s) for loss in value of investments</t>
  </si>
  <si>
    <t>Shares in Local Companies - Quoted</t>
  </si>
  <si>
    <t>Shares in local Companies</t>
  </si>
  <si>
    <t>Shares in foreign Companies</t>
  </si>
  <si>
    <t>Investment in joint venture(s) and / or partnership(s)</t>
  </si>
  <si>
    <t>The company qualifies for reduced rates of tax under Article</t>
  </si>
  <si>
    <t xml:space="preserve">Balance Sheet as at </t>
  </si>
  <si>
    <t>Mandatory</t>
  </si>
  <si>
    <t>Dividends proposed and paid during the year</t>
  </si>
  <si>
    <t>A1111</t>
  </si>
  <si>
    <t>B75</t>
  </si>
  <si>
    <t>C75</t>
  </si>
  <si>
    <t>A1666</t>
  </si>
  <si>
    <t>E106</t>
  </si>
  <si>
    <t>A1667</t>
  </si>
  <si>
    <t>E108</t>
  </si>
  <si>
    <t>A1668</t>
  </si>
  <si>
    <t>B111</t>
  </si>
  <si>
    <t>D111</t>
  </si>
  <si>
    <t>E111</t>
  </si>
  <si>
    <t>F111</t>
  </si>
  <si>
    <t>A1669</t>
  </si>
  <si>
    <t>Foreign owned</t>
  </si>
  <si>
    <t>Allocated</t>
  </si>
  <si>
    <t>Year of Acquisition</t>
  </si>
  <si>
    <t>Method of Calculation</t>
  </si>
  <si>
    <t>Acquisition(s) at cost</t>
  </si>
  <si>
    <t>Deferred items and / or charges</t>
  </si>
  <si>
    <t>Have all the conditions for claiming the benefit been satisfied?</t>
  </si>
  <si>
    <t>Aggregate tax credit entitlement for the year, in terms of Regulations 32 to 35</t>
  </si>
  <si>
    <t>TRA61</t>
  </si>
  <si>
    <t>TRA62</t>
  </si>
  <si>
    <t>TRA63</t>
  </si>
  <si>
    <t>Capital Account(s) [Partnerships and self-employed]</t>
  </si>
  <si>
    <t>Accumulated Fund [NPOs]</t>
  </si>
  <si>
    <t>Y56</t>
  </si>
  <si>
    <t>AA56</t>
  </si>
  <si>
    <t>SHA48</t>
  </si>
  <si>
    <t>S57</t>
  </si>
  <si>
    <t>U57</t>
  </si>
  <si>
    <t>W57</t>
  </si>
  <si>
    <t>Y57</t>
  </si>
  <si>
    <t>AA57</t>
  </si>
  <si>
    <t>SHA49</t>
  </si>
  <si>
    <t>O58</t>
  </si>
  <si>
    <t>S58</t>
  </si>
  <si>
    <t>W58</t>
  </si>
  <si>
    <t>Y58</t>
  </si>
  <si>
    <t>AA58</t>
  </si>
  <si>
    <t>N69</t>
  </si>
  <si>
    <t>Q69</t>
  </si>
  <si>
    <t>N71</t>
  </si>
  <si>
    <t>ITA - LN 266 of 2006 - Donations and Restoration [National Heritage]</t>
  </si>
  <si>
    <t>SUP06</t>
  </si>
  <si>
    <t>A12</t>
  </si>
  <si>
    <t>Other current liabilities</t>
  </si>
  <si>
    <t>Deposits received</t>
  </si>
  <si>
    <t>Dividends payable</t>
  </si>
  <si>
    <t xml:space="preserve">Deferred income tax </t>
  </si>
  <si>
    <t>A2716</t>
  </si>
  <si>
    <t>A2717</t>
  </si>
  <si>
    <t>A2718</t>
  </si>
  <si>
    <t>A2719</t>
  </si>
  <si>
    <t>A2720</t>
  </si>
  <si>
    <t>Income for the year</t>
  </si>
  <si>
    <t xml:space="preserve">Shareholder(s)' </t>
  </si>
  <si>
    <t>an amount set by the E.T.C. for qualifying individuals defined under subregulation 13 (a)</t>
  </si>
  <si>
    <t xml:space="preserve">b. </t>
  </si>
  <si>
    <t>A5313</t>
  </si>
  <si>
    <t>A5314</t>
  </si>
  <si>
    <t>A5315</t>
  </si>
  <si>
    <t>A5316</t>
  </si>
  <si>
    <t>A5317</t>
  </si>
  <si>
    <t>A5318</t>
  </si>
  <si>
    <t>A5319</t>
  </si>
  <si>
    <t>A5320</t>
  </si>
  <si>
    <t>A5321</t>
  </si>
  <si>
    <t>STA55</t>
  </si>
  <si>
    <t>A59</t>
  </si>
  <si>
    <t>C59</t>
  </si>
  <si>
    <t>STA56</t>
  </si>
  <si>
    <t>A60</t>
  </si>
  <si>
    <t>C60</t>
  </si>
  <si>
    <t>STA57</t>
  </si>
  <si>
    <t>A61</t>
  </si>
  <si>
    <t>C61</t>
  </si>
  <si>
    <t>STA58</t>
  </si>
  <si>
    <t>A62</t>
  </si>
  <si>
    <t>STA59</t>
  </si>
  <si>
    <t>A63</t>
  </si>
  <si>
    <t>STA60</t>
  </si>
  <si>
    <t>A64</t>
  </si>
  <si>
    <t>STA61</t>
  </si>
  <si>
    <t>A65</t>
  </si>
  <si>
    <t>STA62</t>
  </si>
  <si>
    <t>A66</t>
  </si>
  <si>
    <t>STA63</t>
  </si>
  <si>
    <t>A67</t>
  </si>
  <si>
    <t>STA64</t>
  </si>
  <si>
    <t>A68</t>
  </si>
  <si>
    <t>STA65</t>
  </si>
  <si>
    <t>A69</t>
  </si>
  <si>
    <t>STA66</t>
  </si>
  <si>
    <t>B98</t>
  </si>
  <si>
    <t>C98</t>
  </si>
  <si>
    <t>D98</t>
  </si>
  <si>
    <t>E98</t>
  </si>
  <si>
    <t>O43</t>
  </si>
  <si>
    <t>S43</t>
  </si>
  <si>
    <t>U43</t>
  </si>
  <si>
    <t>W43</t>
  </si>
  <si>
    <t>Y43</t>
  </si>
  <si>
    <t>AA43</t>
  </si>
  <si>
    <t>SHA35</t>
  </si>
  <si>
    <t>L44</t>
  </si>
  <si>
    <t>S44</t>
  </si>
  <si>
    <t>U44</t>
  </si>
  <si>
    <t>W44</t>
  </si>
  <si>
    <t>Y44</t>
  </si>
  <si>
    <t>AA44</t>
  </si>
  <si>
    <t>SHA36</t>
  </si>
  <si>
    <t>W45</t>
  </si>
  <si>
    <t>Y45</t>
  </si>
  <si>
    <t>AA45</t>
  </si>
  <si>
    <t>SHA37</t>
  </si>
  <si>
    <t>L46</t>
  </si>
  <si>
    <t>W46</t>
  </si>
  <si>
    <t>Y46</t>
  </si>
  <si>
    <t>AA46</t>
  </si>
  <si>
    <t>SHA38</t>
  </si>
  <si>
    <t>W47</t>
  </si>
  <si>
    <t>Y47</t>
  </si>
  <si>
    <t>AA47</t>
  </si>
  <si>
    <t>SHA39</t>
  </si>
  <si>
    <t>L48</t>
  </si>
  <si>
    <t>Leasehold improvements</t>
  </si>
  <si>
    <t>No tax credit</t>
  </si>
  <si>
    <t>Table C - Rule 11(2)(b)</t>
  </si>
  <si>
    <t xml:space="preserve"> Tax Rate (a - b)   </t>
  </si>
  <si>
    <t xml:space="preserve">b)  Prescribed reduction in the rate of tax </t>
  </si>
  <si>
    <t xml:space="preserve">   Tax Thereon</t>
  </si>
  <si>
    <t xml:space="preserve">Transfer to the Incentives and Benefits Reserve [Art 36 BPA]   </t>
  </si>
  <si>
    <t>is owned in whole or in part by non-resident shareholders</t>
  </si>
  <si>
    <t>Extraordinary charges</t>
  </si>
  <si>
    <t xml:space="preserve">Exceptional and Unusual items  </t>
  </si>
  <si>
    <t>A5117</t>
  </si>
  <si>
    <t>A5118</t>
  </si>
  <si>
    <t>A5119</t>
  </si>
  <si>
    <t>A5120</t>
  </si>
  <si>
    <t>A5121</t>
  </si>
  <si>
    <t>A5122</t>
  </si>
  <si>
    <t>A6113</t>
  </si>
  <si>
    <t>A6114</t>
  </si>
  <si>
    <t>IND01</t>
  </si>
  <si>
    <t>IND02</t>
  </si>
  <si>
    <t>IND03</t>
  </si>
  <si>
    <t>IND04</t>
  </si>
  <si>
    <t>IND05</t>
  </si>
  <si>
    <t>IND06</t>
  </si>
  <si>
    <t>IND07</t>
  </si>
  <si>
    <t>IND08</t>
  </si>
  <si>
    <t>IND09</t>
  </si>
  <si>
    <t>IND10</t>
  </si>
  <si>
    <t>IND11</t>
  </si>
  <si>
    <t>IND12</t>
  </si>
  <si>
    <t>IND13</t>
  </si>
  <si>
    <t>IND14</t>
  </si>
  <si>
    <t>IND15</t>
  </si>
  <si>
    <t>IND16</t>
  </si>
  <si>
    <t>IND17</t>
  </si>
  <si>
    <t>IND18</t>
  </si>
  <si>
    <t>IND19</t>
  </si>
  <si>
    <t>IND20</t>
  </si>
  <si>
    <t>IND21</t>
  </si>
  <si>
    <t>IND22</t>
  </si>
  <si>
    <t>IND23</t>
  </si>
  <si>
    <t>IND24</t>
  </si>
  <si>
    <t>IND25</t>
  </si>
  <si>
    <t>IND26</t>
  </si>
  <si>
    <t>IND27</t>
  </si>
  <si>
    <t>IND28</t>
  </si>
  <si>
    <t>G86</t>
  </si>
  <si>
    <t>H86</t>
  </si>
  <si>
    <t>IND29</t>
  </si>
  <si>
    <t>IND30</t>
  </si>
  <si>
    <t>A5401</t>
  </si>
  <si>
    <t>A5402</t>
  </si>
  <si>
    <t>A5403</t>
  </si>
  <si>
    <t>A5404</t>
  </si>
  <si>
    <t>A5405</t>
  </si>
  <si>
    <t>A5406</t>
  </si>
  <si>
    <t>A5407</t>
  </si>
  <si>
    <t>A5408</t>
  </si>
  <si>
    <t>A5409</t>
  </si>
  <si>
    <t>A5410</t>
  </si>
  <si>
    <t>A5411</t>
  </si>
  <si>
    <t>A5412</t>
  </si>
  <si>
    <t>A5413</t>
  </si>
  <si>
    <t>A5414</t>
  </si>
  <si>
    <t>A5415</t>
  </si>
  <si>
    <t>A5416</t>
  </si>
  <si>
    <t>A5417</t>
  </si>
  <si>
    <t>A5418</t>
  </si>
  <si>
    <t>A5501</t>
  </si>
  <si>
    <t>A5502</t>
  </si>
  <si>
    <t>A5503</t>
  </si>
  <si>
    <t>A5504</t>
  </si>
  <si>
    <t>A5505</t>
  </si>
  <si>
    <t>A5506</t>
  </si>
  <si>
    <t>A5507</t>
  </si>
  <si>
    <t>A5508</t>
  </si>
  <si>
    <t>A5509</t>
  </si>
  <si>
    <t>W10</t>
  </si>
  <si>
    <t>Y10</t>
  </si>
  <si>
    <t>AA10</t>
  </si>
  <si>
    <t>W11</t>
  </si>
  <si>
    <t>Y11</t>
  </si>
  <si>
    <t>AA11</t>
  </si>
  <si>
    <t>W12</t>
  </si>
  <si>
    <t>Y12</t>
  </si>
  <si>
    <t>AA12</t>
  </si>
  <si>
    <t>W13</t>
  </si>
  <si>
    <t>Y13</t>
  </si>
  <si>
    <t>AA13</t>
  </si>
  <si>
    <t>W14</t>
  </si>
  <si>
    <t>ME Act - Enterprise Support Incentives Regulations, 2008 - QUALITY + (Deductions)</t>
  </si>
  <si>
    <t>Maximum inflated deduction (300%) that can be claimed (current year)</t>
  </si>
  <si>
    <t>FULL COOPERATION AND IMMEDIATE ACTION WILL ENSURE THAT THE STATEMENT OF ACCOUNT IS ISSUED CORRECTLY AND AVOIDS THE NEED OF AN ADJUSTMENT LATER ON.</t>
  </si>
  <si>
    <t>Depreciation of Wasting assets</t>
  </si>
  <si>
    <t>Surname</t>
  </si>
  <si>
    <t>TIFD Code</t>
  </si>
  <si>
    <t>Interest receivable</t>
  </si>
  <si>
    <t>Holdbacks receivable</t>
  </si>
  <si>
    <t>Leases receivable</t>
  </si>
  <si>
    <t>A0136</t>
  </si>
  <si>
    <t>Prepared</t>
  </si>
  <si>
    <t>IS ATTACHMENT COMPLETE [Y or N] ?</t>
  </si>
  <si>
    <t>Yes</t>
  </si>
  <si>
    <t xml:space="preserve">  between 1 January 1995 to 31 December 2002</t>
  </si>
  <si>
    <t>waived its right</t>
  </si>
  <si>
    <t>Deduct (Withholding Tax)</t>
  </si>
  <si>
    <t>(c)</t>
  </si>
  <si>
    <t>Bank loan(s)</t>
  </si>
  <si>
    <t>Soft Loans - MDC</t>
  </si>
  <si>
    <t>Supply company loan</t>
  </si>
  <si>
    <t>Chargeable Income relieved from tax by an investment tax credit</t>
  </si>
  <si>
    <t>Income Relieved</t>
  </si>
  <si>
    <t>Equipment mainly designed or used for the production of water or electricity</t>
  </si>
  <si>
    <t>Description (Securities or interest in partnership)</t>
  </si>
  <si>
    <t xml:space="preserve">   TRA 62</t>
  </si>
  <si>
    <t>Name of Related Company</t>
  </si>
  <si>
    <t>Tax / ROC No.</t>
  </si>
  <si>
    <t>Deductions (Electric Vehicles) Rules 2011</t>
  </si>
  <si>
    <t>Vehicle Registration Number</t>
  </si>
  <si>
    <t>Model</t>
  </si>
  <si>
    <t>Name of Supplier</t>
  </si>
  <si>
    <t>Date of Acquisition</t>
  </si>
  <si>
    <t>Amount of Qualifying Expenditure</t>
  </si>
  <si>
    <t>Inflated value restricted!</t>
  </si>
  <si>
    <t>Due from director(s)</t>
  </si>
  <si>
    <t>24B</t>
  </si>
  <si>
    <t>Gross Royalties</t>
  </si>
  <si>
    <t>Amounts payable and accrued liabilities</t>
  </si>
  <si>
    <t>Trade creditors</t>
  </si>
  <si>
    <t>Trade accounts payable to related parties</t>
  </si>
  <si>
    <t>Holdbacks payable</t>
  </si>
  <si>
    <t>Wages and salaries payable</t>
  </si>
  <si>
    <t>Management fees payable</t>
  </si>
  <si>
    <t>Withholding taxes payable</t>
  </si>
  <si>
    <t>Interest payable</t>
  </si>
  <si>
    <t>A3703</t>
  </si>
  <si>
    <t>A3704</t>
  </si>
  <si>
    <t>A3705</t>
  </si>
  <si>
    <t>Group Loss Absorbed this year</t>
  </si>
  <si>
    <t>PE</t>
  </si>
  <si>
    <t>I78</t>
  </si>
  <si>
    <t>G84</t>
  </si>
  <si>
    <t>Profit adjustment [supplementing page 3 of the tax return]</t>
  </si>
  <si>
    <t>P.E. No. &gt;</t>
  </si>
  <si>
    <t>E145</t>
  </si>
  <si>
    <t>D146</t>
  </si>
  <si>
    <t>E146</t>
  </si>
  <si>
    <t>D147</t>
  </si>
  <si>
    <t>E147</t>
  </si>
  <si>
    <t>A2733</t>
  </si>
  <si>
    <t>J4</t>
  </si>
  <si>
    <t>L3</t>
  </si>
  <si>
    <t>L5</t>
  </si>
  <si>
    <t>A3632</t>
  </si>
  <si>
    <t>A4832</t>
  </si>
  <si>
    <t>A4833</t>
  </si>
  <si>
    <t>A4834</t>
  </si>
  <si>
    <t>O8</t>
  </si>
  <si>
    <t>L51</t>
  </si>
  <si>
    <t>A6012</t>
  </si>
  <si>
    <t>A6013</t>
  </si>
  <si>
    <t>A6014</t>
  </si>
  <si>
    <t>TRA61_FTA</t>
  </si>
  <si>
    <t>TRA62_IPA</t>
  </si>
  <si>
    <t>TRA63_MTA_FIA</t>
  </si>
  <si>
    <t>A6101</t>
  </si>
  <si>
    <t>A6102</t>
  </si>
  <si>
    <t>28</t>
  </si>
  <si>
    <t>F42</t>
  </si>
  <si>
    <t>29</t>
  </si>
  <si>
    <t>F44</t>
  </si>
  <si>
    <t>30</t>
  </si>
  <si>
    <t>B45</t>
  </si>
  <si>
    <t>Tax credit</t>
  </si>
  <si>
    <t>A6001</t>
  </si>
  <si>
    <t>A6002</t>
  </si>
  <si>
    <t>is a Collective Investment Scheme</t>
  </si>
  <si>
    <t>Please confirm! &gt;</t>
  </si>
  <si>
    <t>Receipt Adjustment!</t>
  </si>
  <si>
    <t>Has the audit report been prepared and signed ?</t>
  </si>
  <si>
    <t>Is the audit report qualified or was there any emphasis of matter?</t>
  </si>
  <si>
    <t>personnel costs…</t>
  </si>
  <si>
    <t>Total eligible costs</t>
  </si>
  <si>
    <t>depreciation of tools and equipment…</t>
  </si>
  <si>
    <t>Eligible Costs [Regulation 14 (2)]</t>
  </si>
  <si>
    <t>a)</t>
  </si>
  <si>
    <t>c)</t>
  </si>
  <si>
    <t>d)</t>
  </si>
  <si>
    <t>e)</t>
  </si>
  <si>
    <t>f)</t>
  </si>
  <si>
    <t>b)</t>
  </si>
  <si>
    <t>cost of consultancy services</t>
  </si>
  <si>
    <t>ADAPT TO E-RETURN</t>
  </si>
  <si>
    <t>Details of expenditure on scientific research</t>
  </si>
  <si>
    <t>D58</t>
  </si>
  <si>
    <t>74b</t>
  </si>
  <si>
    <t>75b</t>
  </si>
  <si>
    <t>76b</t>
  </si>
  <si>
    <t>77b</t>
  </si>
  <si>
    <t>78a</t>
  </si>
  <si>
    <t>79b</t>
  </si>
  <si>
    <t>80b</t>
  </si>
  <si>
    <t>81b</t>
  </si>
  <si>
    <t>82b</t>
  </si>
  <si>
    <t>84b</t>
  </si>
  <si>
    <t>85b</t>
  </si>
  <si>
    <t>86b</t>
  </si>
  <si>
    <t>87b</t>
  </si>
  <si>
    <t>88b</t>
  </si>
  <si>
    <t>71c</t>
  </si>
  <si>
    <t>72c</t>
  </si>
  <si>
    <t>73c</t>
  </si>
  <si>
    <t>74c</t>
  </si>
  <si>
    <t>75c</t>
  </si>
  <si>
    <t>76c</t>
  </si>
  <si>
    <t>77c</t>
  </si>
  <si>
    <t>79c</t>
  </si>
  <si>
    <t>80c</t>
  </si>
  <si>
    <t>81c</t>
  </si>
  <si>
    <t>82c</t>
  </si>
  <si>
    <t>83a</t>
  </si>
  <si>
    <t>84c</t>
  </si>
  <si>
    <t>85c</t>
  </si>
  <si>
    <t>86c</t>
  </si>
  <si>
    <t>87c</t>
  </si>
  <si>
    <t>88c</t>
  </si>
  <si>
    <t>Article 5 of the B.P.A.</t>
  </si>
  <si>
    <t>J58</t>
  </si>
  <si>
    <t>Motor Vehicle(s) Licence(s)</t>
  </si>
  <si>
    <t>Rental</t>
  </si>
  <si>
    <t>Property rental</t>
  </si>
  <si>
    <t>Occupancy costs</t>
  </si>
  <si>
    <t>Condominium fees</t>
  </si>
  <si>
    <t>Motor Vehicle(s) Insurance(s)</t>
  </si>
  <si>
    <t>Office Expenses</t>
  </si>
  <si>
    <t>Office stationery and supplies</t>
  </si>
  <si>
    <t>Euro Currency</t>
  </si>
  <si>
    <t>Hong Kong Dollar</t>
  </si>
  <si>
    <t xml:space="preserve">Ref. No. </t>
  </si>
  <si>
    <t>Indian Rupee</t>
  </si>
  <si>
    <t>A1602</t>
  </si>
  <si>
    <t>A1603</t>
  </si>
  <si>
    <t>A1604</t>
  </si>
  <si>
    <t>A1605</t>
  </si>
  <si>
    <t>A1606</t>
  </si>
  <si>
    <t>A1607</t>
  </si>
  <si>
    <t>Long-term loans due to members [NPO's]</t>
  </si>
  <si>
    <t>Carriage Inwards</t>
  </si>
  <si>
    <t>Chargeable Income for the year per tax computation</t>
  </si>
  <si>
    <t>FINAL WITHHOLDING TAX ON TRANSFER OF IMMOVABLE PROPERTY</t>
  </si>
  <si>
    <t>&lt; Check FWT!</t>
  </si>
  <si>
    <t>Property description</t>
  </si>
  <si>
    <t>Date of deed</t>
  </si>
  <si>
    <t>H</t>
  </si>
  <si>
    <t>I</t>
  </si>
  <si>
    <t>J</t>
  </si>
  <si>
    <t>K</t>
  </si>
  <si>
    <t>L</t>
  </si>
  <si>
    <t>M</t>
  </si>
  <si>
    <t>O</t>
  </si>
  <si>
    <t>P</t>
  </si>
  <si>
    <t>Q</t>
  </si>
  <si>
    <t>R</t>
  </si>
  <si>
    <t>S</t>
  </si>
  <si>
    <t>T</t>
  </si>
  <si>
    <t>COM01</t>
  </si>
  <si>
    <t>N48</t>
  </si>
  <si>
    <t>COM02</t>
  </si>
  <si>
    <t>W48</t>
  </si>
  <si>
    <t>COM03</t>
  </si>
  <si>
    <t>N50</t>
  </si>
  <si>
    <t>COM04</t>
  </si>
  <si>
    <t>N52</t>
  </si>
  <si>
    <t>COM05</t>
  </si>
  <si>
    <t>R55</t>
  </si>
  <si>
    <t>AA55</t>
  </si>
  <si>
    <t>COM06</t>
  </si>
  <si>
    <t>N58</t>
  </si>
  <si>
    <t>U58</t>
  </si>
  <si>
    <t>COM07</t>
  </si>
  <si>
    <t>N59</t>
  </si>
  <si>
    <t>U59</t>
  </si>
  <si>
    <t>BPA [Article 8] - Accelerated Depreciation</t>
  </si>
  <si>
    <t>Similar Income (please describe below)</t>
  </si>
  <si>
    <t>denomination of the company's share capital</t>
  </si>
  <si>
    <t>A3711</t>
  </si>
  <si>
    <t xml:space="preserve">State the Currency used in this return and the financial statements in accordance with the </t>
  </si>
  <si>
    <t>Range</t>
  </si>
  <si>
    <t>A0910</t>
  </si>
  <si>
    <t>Overall Total</t>
  </si>
  <si>
    <t>Overall Total =</t>
  </si>
  <si>
    <t>F101</t>
  </si>
  <si>
    <t>G101</t>
  </si>
  <si>
    <t>H101</t>
  </si>
  <si>
    <t>I101</t>
  </si>
  <si>
    <t>J101</t>
  </si>
  <si>
    <t>K101</t>
  </si>
  <si>
    <t>A0585</t>
  </si>
  <si>
    <t>B102</t>
  </si>
  <si>
    <t>C102</t>
  </si>
  <si>
    <t>D102</t>
  </si>
  <si>
    <t>F102</t>
  </si>
  <si>
    <t>G102</t>
  </si>
  <si>
    <t>I102</t>
  </si>
  <si>
    <t>J102</t>
  </si>
  <si>
    <t>K102</t>
  </si>
  <si>
    <t>A0913</t>
  </si>
  <si>
    <t>A1112</t>
  </si>
  <si>
    <t>A2021</t>
  </si>
  <si>
    <t>A2022</t>
  </si>
  <si>
    <t>Total liabilities and shareholder equity</t>
  </si>
  <si>
    <t>VALIDATION</t>
  </si>
  <si>
    <t>Balance Sheet equation satisfied?</t>
  </si>
  <si>
    <t>NAME OF THE OPERATING ESTABLISHMENT</t>
  </si>
  <si>
    <t>OPERATION DESCRIPTION</t>
  </si>
  <si>
    <t>Name of company, body corporate established by statute, trading or commercial undertaking or trust in respect of which this return is made.</t>
  </si>
  <si>
    <t>Gross distribution</t>
  </si>
  <si>
    <t>a)   Certificate issued by the Employment and Training Corporation [Regulation 13 (1)]</t>
  </si>
  <si>
    <t>Note 1 -  Where the exemption does not extend to the ultimate beneficiaries, income stands to be allocated to the untaxed account.</t>
  </si>
  <si>
    <t xml:space="preserve"> Page 3 return</t>
  </si>
  <si>
    <t>Foreign Purchases</t>
  </si>
  <si>
    <t>Accumulated amortisation of goodwill</t>
  </si>
  <si>
    <t>Is the company applying the reduction in tax rate contemplated by Regulation 7(2) of the BPA Regulations ?</t>
  </si>
  <si>
    <t>A3932</t>
  </si>
  <si>
    <t>Loans and / or advances to foreign related companies</t>
  </si>
  <si>
    <t>Income from participating holdings</t>
  </si>
  <si>
    <t>H132</t>
  </si>
  <si>
    <t>H134</t>
  </si>
  <si>
    <t>G136</t>
  </si>
  <si>
    <t>G137</t>
  </si>
  <si>
    <t>B134</t>
  </si>
  <si>
    <t>C134</t>
  </si>
  <si>
    <t>A1403</t>
  </si>
  <si>
    <t>A135</t>
  </si>
  <si>
    <t>B135</t>
  </si>
  <si>
    <t>C135</t>
  </si>
  <si>
    <t>A1404</t>
  </si>
  <si>
    <t>Expenditure [details]</t>
  </si>
  <si>
    <t>Amount</t>
  </si>
  <si>
    <t>B</t>
  </si>
  <si>
    <t>D5</t>
  </si>
  <si>
    <t>A0702</t>
  </si>
  <si>
    <t>A0703</t>
  </si>
  <si>
    <t>A0704</t>
  </si>
  <si>
    <t>A0705</t>
  </si>
  <si>
    <t>[Amounts derived in this attachment are reflected on Page 3 of the tax return]</t>
  </si>
  <si>
    <t>Profits subject to a FWT and / or statutory deductions</t>
  </si>
  <si>
    <t>Royalty costs</t>
  </si>
  <si>
    <t>Stock write down</t>
  </si>
  <si>
    <t>F12</t>
  </si>
  <si>
    <t>B13</t>
  </si>
  <si>
    <t>F13</t>
  </si>
  <si>
    <t>B15</t>
  </si>
  <si>
    <t>F15</t>
  </si>
  <si>
    <t>B16</t>
  </si>
  <si>
    <t>F16</t>
  </si>
  <si>
    <t>B17</t>
  </si>
  <si>
    <t>F17</t>
  </si>
  <si>
    <t>B18</t>
  </si>
  <si>
    <t>F18</t>
  </si>
  <si>
    <t>B20</t>
  </si>
  <si>
    <t>F20</t>
  </si>
  <si>
    <t>B21</t>
  </si>
  <si>
    <t>Statutory Inflation 150%</t>
  </si>
  <si>
    <t>Additional 150% deduction of total eligible costs claimed in the current year of assessment</t>
  </si>
  <si>
    <t>Account Balances with Company</t>
  </si>
  <si>
    <t>Indicate by a NO all persons who are no longer shareholders [default Yes]</t>
  </si>
  <si>
    <t>A1002</t>
  </si>
  <si>
    <t>A1003</t>
  </si>
  <si>
    <t>A1004</t>
  </si>
  <si>
    <t>A44</t>
  </si>
  <si>
    <t>A1005</t>
  </si>
  <si>
    <t>A45</t>
  </si>
  <si>
    <t>A1006</t>
  </si>
  <si>
    <t>A46</t>
  </si>
  <si>
    <t>A1007</t>
  </si>
  <si>
    <t>A47</t>
  </si>
  <si>
    <t>A1008</t>
  </si>
  <si>
    <t>A48</t>
  </si>
  <si>
    <t>A1009</t>
  </si>
  <si>
    <t>NOTE THAT TAXED INCOME RELIEVED FROM TAX IS ALLOCATED TO THE FINAL TAX ACCOUNT</t>
  </si>
  <si>
    <t>Certificate reference [Rule 3(1)(i)]</t>
  </si>
  <si>
    <t>Purpose of donation        [Rule 3(1)(ii)]</t>
  </si>
  <si>
    <t>Value of donation</t>
  </si>
  <si>
    <t>F4</t>
  </si>
  <si>
    <t>I4</t>
  </si>
  <si>
    <t>H4</t>
  </si>
  <si>
    <t>F5</t>
  </si>
  <si>
    <t>I5</t>
  </si>
  <si>
    <t>A3304</t>
  </si>
  <si>
    <t>A3305</t>
  </si>
  <si>
    <t>A3306</t>
  </si>
  <si>
    <t>A3307</t>
  </si>
  <si>
    <t>A3308</t>
  </si>
  <si>
    <t>A3309</t>
  </si>
  <si>
    <t>A3310</t>
  </si>
  <si>
    <t>A3311</t>
  </si>
  <si>
    <t>A3312</t>
  </si>
  <si>
    <t>A3313</t>
  </si>
  <si>
    <t>A3314</t>
  </si>
  <si>
    <t>A3315</t>
  </si>
  <si>
    <t>A3316</t>
  </si>
  <si>
    <t>A3317</t>
  </si>
  <si>
    <t>A3318</t>
  </si>
  <si>
    <t>Source of Income</t>
  </si>
  <si>
    <t>Attachment / Return reference</t>
  </si>
  <si>
    <t>ITA - LN 159 of 2008 Donations (Sports and Culture) Rules, 2008 [Sports]</t>
  </si>
  <si>
    <t>ITA - LN 159 of 2008 Donations (Sports and Culture) Rules, 2008 [Culture]</t>
  </si>
  <si>
    <t>ITA - LN 159 of 2008 Donations (Sports and Culture) Rules, 2008 [Artiste]</t>
  </si>
  <si>
    <t>has relied on the written advice of a tax professional in terms of the Schedule to the Income Tax Act</t>
  </si>
  <si>
    <t>Reliance on the written advice of a tax professional in terms of the Schedule to the Income Tax Act</t>
  </si>
  <si>
    <t>a6615</t>
  </si>
  <si>
    <t>on behalf of a Company, a Body Corporate established by Statute, a Foundation or a Trust that made an election in terms of Article 27D(1) or a Trading or Commercial Undertaking operated by an Entity (Article 30) whether resident in Malta or not</t>
  </si>
  <si>
    <t xml:space="preserve">Regulation 36 (1) (b) </t>
  </si>
  <si>
    <t xml:space="preserve">Regulation 36 (1) (c) </t>
  </si>
  <si>
    <t xml:space="preserve">Regulation 36 (1) (d) </t>
  </si>
  <si>
    <t xml:space="preserve">Regulation 36 (1) (e) </t>
  </si>
  <si>
    <t>Total deductions from tax credits</t>
  </si>
  <si>
    <t>A7</t>
  </si>
  <si>
    <t>SUP02</t>
  </si>
  <si>
    <t>A8</t>
  </si>
  <si>
    <t>SUP03</t>
  </si>
  <si>
    <t xml:space="preserve">Earliest date of commencement of project </t>
  </si>
  <si>
    <t>External consulting and services (EU)</t>
  </si>
  <si>
    <t>5(2)(f)</t>
  </si>
  <si>
    <t>Expected date of completion of project</t>
  </si>
  <si>
    <t>Year of assessment when project commenced</t>
  </si>
  <si>
    <t>Table B - Rule 11(3)(a)</t>
  </si>
  <si>
    <t>Fundamental Research</t>
  </si>
  <si>
    <t xml:space="preserve"> Research</t>
  </si>
  <si>
    <t>Tax due after relief of double taxation</t>
  </si>
  <si>
    <r>
      <t>Amount</t>
    </r>
    <r>
      <rPr>
        <vertAlign val="superscript"/>
        <sz val="10"/>
        <rFont val="Arial"/>
        <family val="2"/>
      </rPr>
      <t xml:space="preserve"> (1)</t>
    </r>
  </si>
  <si>
    <t>Check amount!</t>
  </si>
  <si>
    <t>33</t>
  </si>
  <si>
    <t>F49</t>
  </si>
  <si>
    <t>34</t>
  </si>
  <si>
    <t>C51</t>
  </si>
  <si>
    <t>F51</t>
  </si>
  <si>
    <t xml:space="preserve">     More than 4 approved entities</t>
  </si>
  <si>
    <t>Research</t>
  </si>
  <si>
    <t>Conservation</t>
  </si>
  <si>
    <t>TRA</t>
  </si>
  <si>
    <t>Transfer to the Final Tax Account</t>
  </si>
  <si>
    <t xml:space="preserve"> TRA 61</t>
  </si>
  <si>
    <t>K52</t>
  </si>
  <si>
    <t>A0544</t>
  </si>
  <si>
    <t>LN 107 of 2010 - Tax Credit for Micro Enterprises</t>
  </si>
  <si>
    <t xml:space="preserve">IS ATTACHMENT COMPLETE [Y or N] ?        </t>
  </si>
  <si>
    <t>A0302</t>
  </si>
  <si>
    <t>A0303</t>
  </si>
  <si>
    <t>A0304</t>
  </si>
  <si>
    <t>A0305</t>
  </si>
  <si>
    <t>A0306</t>
  </si>
  <si>
    <t>A0307</t>
  </si>
  <si>
    <t>A0308</t>
  </si>
  <si>
    <t>Tax computation                                       [page 4 of tax return]</t>
  </si>
  <si>
    <t>No Benefit!</t>
  </si>
  <si>
    <t>BROUGHT</t>
  </si>
  <si>
    <t>CURRENT YEAR</t>
  </si>
  <si>
    <t xml:space="preserve">CARRIED </t>
  </si>
  <si>
    <t>FORWARD</t>
  </si>
  <si>
    <t>A2023</t>
  </si>
  <si>
    <t>Capital gains charged for the year</t>
  </si>
  <si>
    <t>Unabsorbed capital loss c/f</t>
  </si>
  <si>
    <t>F55</t>
  </si>
  <si>
    <t>F56</t>
  </si>
  <si>
    <t>F57</t>
  </si>
  <si>
    <t>F63</t>
  </si>
  <si>
    <t>F65</t>
  </si>
  <si>
    <t>F67</t>
  </si>
  <si>
    <t>F69</t>
  </si>
  <si>
    <t>F72</t>
  </si>
  <si>
    <t>F74</t>
  </si>
  <si>
    <t>O9</t>
  </si>
  <si>
    <t>R9</t>
  </si>
  <si>
    <t>U11</t>
  </si>
  <si>
    <t>U60</t>
  </si>
  <si>
    <t>A58</t>
  </si>
  <si>
    <t>Subsidies</t>
  </si>
  <si>
    <t>STATEMENT OF RETAINED EARNINGS</t>
  </si>
  <si>
    <t>Discounts or premiums</t>
  </si>
  <si>
    <t>K58</t>
  </si>
  <si>
    <t>F59</t>
  </si>
  <si>
    <t>STA79</t>
  </si>
  <si>
    <t>Brought Forward</t>
  </si>
  <si>
    <r>
      <t xml:space="preserve">Those parts of the workbook that are incomplete or contain errors are indicated in the relative sheets and on the Index page.   </t>
    </r>
    <r>
      <rPr>
        <sz val="14"/>
        <color indexed="58"/>
        <rFont val="Arial"/>
        <family val="2"/>
      </rPr>
      <t>Warnings</t>
    </r>
    <r>
      <rPr>
        <sz val="14"/>
        <rFont val="Arial"/>
        <family val="2"/>
      </rPr>
      <t xml:space="preserve"> are also present on many sheets and the Index page.   The presence of warnings does not necessarily mean that the data entered is incorrect and does not preclude export.  Warnings serve as an added feature to ensure that all the data in the return is complete, correct and accurate before filing.  </t>
    </r>
  </si>
  <si>
    <t>This spreadsheet version is intended solely for the electronic filing of company returns.  It includes the full set of tax return attachments and the TIFD component.</t>
  </si>
  <si>
    <t>NOTE:  In the case of Motor Vehicles, you have to apportion the proceeds pro-rata if the original cost was statutorily restricted.</t>
  </si>
  <si>
    <r>
      <t xml:space="preserve">Plant and Machinery   </t>
    </r>
    <r>
      <rPr>
        <sz val="10"/>
        <rFont val="Arial"/>
        <family val="2"/>
      </rPr>
      <t xml:space="preserve">                                                    Use this part where the Annual Wear and Tear is calculated on the WRITTEN DOWN VALUE [Assets acquired before Y/A 2002 OR AIRCRAFT in use before the Y/A 2010 - LN 291 of 2010]</t>
    </r>
  </si>
  <si>
    <r>
      <t xml:space="preserve">Accelerated Depreciation </t>
    </r>
    <r>
      <rPr>
        <sz val="10"/>
        <rFont val="Arial"/>
        <family val="2"/>
      </rPr>
      <t>[Article 8 of the Business Promotion Act]</t>
    </r>
  </si>
  <si>
    <t xml:space="preserve">Regulation 38 -  previously claimed under BPA - Article 4 (Tax Holiday) </t>
  </si>
  <si>
    <t>Regulation 38 - previously claimed under BPA - Article 5 (Export Incentive Scheme)</t>
  </si>
  <si>
    <t>Income from production and / or processing - local</t>
  </si>
  <si>
    <t>Income from production and / or processing - foreign</t>
  </si>
  <si>
    <t>A0586</t>
  </si>
  <si>
    <t>N17</t>
  </si>
  <si>
    <t>STA01</t>
  </si>
  <si>
    <t>A2</t>
  </si>
  <si>
    <t>C2</t>
  </si>
  <si>
    <t>STA02</t>
  </si>
  <si>
    <t>A3</t>
  </si>
  <si>
    <t>C3</t>
  </si>
  <si>
    <t>STA03</t>
  </si>
  <si>
    <t>A4</t>
  </si>
  <si>
    <t>STA04</t>
  </si>
  <si>
    <t>A6106</t>
  </si>
  <si>
    <t>A6107</t>
  </si>
  <si>
    <t>A6108</t>
  </si>
  <si>
    <t>A6109</t>
  </si>
  <si>
    <t>A6110</t>
  </si>
  <si>
    <t>A6111</t>
  </si>
  <si>
    <t>A6112</t>
  </si>
  <si>
    <t>A6201</t>
  </si>
  <si>
    <t>A6202</t>
  </si>
  <si>
    <t>A6203</t>
  </si>
  <si>
    <t>A6204</t>
  </si>
  <si>
    <t>A6205</t>
  </si>
  <si>
    <t>A6217</t>
  </si>
  <si>
    <t>A6218</t>
  </si>
  <si>
    <t>A6219</t>
  </si>
  <si>
    <t>A6220</t>
  </si>
  <si>
    <t>A6221</t>
  </si>
  <si>
    <t>A6222</t>
  </si>
  <si>
    <t>A6223</t>
  </si>
  <si>
    <t>A6224</t>
  </si>
  <si>
    <t>A6225</t>
  </si>
  <si>
    <t>A6226</t>
  </si>
  <si>
    <t>L54</t>
  </si>
  <si>
    <t>L55</t>
  </si>
  <si>
    <t>A6227</t>
  </si>
  <si>
    <t>A6228</t>
  </si>
  <si>
    <t>A6229</t>
  </si>
  <si>
    <t>A6230</t>
  </si>
  <si>
    <t>A6231</t>
  </si>
  <si>
    <t>A6232</t>
  </si>
  <si>
    <t>A6233</t>
  </si>
  <si>
    <t>A6234</t>
  </si>
  <si>
    <t>A6235</t>
  </si>
  <si>
    <t>A6236</t>
  </si>
  <si>
    <t>A6237</t>
  </si>
  <si>
    <t>L56</t>
  </si>
  <si>
    <t>L58</t>
  </si>
  <si>
    <t>A6238</t>
  </si>
  <si>
    <t>A6239</t>
  </si>
  <si>
    <t>A6240</t>
  </si>
  <si>
    <t>A6241</t>
  </si>
  <si>
    <t>A6242</t>
  </si>
  <si>
    <t>A6301</t>
  </si>
  <si>
    <t>A6302</t>
  </si>
  <si>
    <t>A6303</t>
  </si>
  <si>
    <t>A6304</t>
  </si>
  <si>
    <t>A6305</t>
  </si>
  <si>
    <t>A6306</t>
  </si>
  <si>
    <t>A6307</t>
  </si>
  <si>
    <t>Deductions claimed for the current year</t>
  </si>
  <si>
    <t>Education</t>
  </si>
  <si>
    <t>Exhibition</t>
  </si>
  <si>
    <t>Gross discounts or premiums</t>
  </si>
  <si>
    <t>Net Discounts or Premiums</t>
  </si>
  <si>
    <t>Rents [Article 4(1)(e) ITA]</t>
  </si>
  <si>
    <t>Gross Rents received / receivable</t>
  </si>
  <si>
    <t>Gross Rents</t>
  </si>
  <si>
    <t>W53</t>
  </si>
  <si>
    <t>Y53</t>
  </si>
  <si>
    <t>AA53</t>
  </si>
  <si>
    <t>SHA45</t>
  </si>
  <si>
    <t>S54</t>
  </si>
  <si>
    <t>U54</t>
  </si>
  <si>
    <t>W54</t>
  </si>
  <si>
    <t>Y54</t>
  </si>
  <si>
    <t>AA54</t>
  </si>
  <si>
    <t>SHA46</t>
  </si>
  <si>
    <t>O55</t>
  </si>
  <si>
    <t>S55</t>
  </si>
  <si>
    <t>U55</t>
  </si>
  <si>
    <t>W55</t>
  </si>
  <si>
    <t>Y55</t>
  </si>
  <si>
    <t>SHA47</t>
  </si>
  <si>
    <t>O56</t>
  </si>
  <si>
    <t>S56</t>
  </si>
  <si>
    <t>U56</t>
  </si>
  <si>
    <t>W56</t>
  </si>
  <si>
    <t>S39</t>
  </si>
  <si>
    <t>U39</t>
  </si>
  <si>
    <t>W39</t>
  </si>
  <si>
    <t>Y39</t>
  </si>
  <si>
    <t>AA39</t>
  </si>
  <si>
    <t>SHA31</t>
  </si>
  <si>
    <t>L40</t>
  </si>
  <si>
    <t>Q40</t>
  </si>
  <si>
    <t>S40</t>
  </si>
  <si>
    <t>U40</t>
  </si>
  <si>
    <t>Totals!</t>
  </si>
  <si>
    <t>Check Value(s)!</t>
  </si>
  <si>
    <r>
      <t xml:space="preserve">Group loss absorbed for the current year </t>
    </r>
    <r>
      <rPr>
        <sz val="9"/>
        <color indexed="16"/>
        <rFont val="Arial"/>
        <family val="2"/>
      </rPr>
      <t>[to page 4 of tax return]</t>
    </r>
  </si>
  <si>
    <t>Unabsorbed Trading Losses b/fwd from previous year</t>
  </si>
  <si>
    <t>Were there any post-balance sheet events mentioned in the notes?</t>
  </si>
  <si>
    <t>TAX DUE ON DIFFERENT ACCOUNTS AFTER TAX PAYMENTS</t>
  </si>
  <si>
    <t>wage cost  for the 12 months before commencement of this employment of qualifying individuals defined under subreg. 13 (b)</t>
  </si>
  <si>
    <t xml:space="preserve">c. </t>
  </si>
  <si>
    <t>Date of commencement of course</t>
  </si>
  <si>
    <t>Latest date of completion of course</t>
  </si>
  <si>
    <t>Company's year of assessment when course commenced</t>
  </si>
  <si>
    <t>Current portion of long term liability</t>
  </si>
  <si>
    <t>Bankers' Acceptances</t>
  </si>
  <si>
    <r>
      <rPr>
        <sz val="10"/>
        <color indexed="16"/>
        <rFont val="Arial"/>
        <family val="2"/>
      </rPr>
      <t>A</t>
    </r>
    <r>
      <rPr>
        <sz val="10"/>
        <rFont val="Arial"/>
        <family val="2"/>
      </rPr>
      <t xml:space="preserve"> </t>
    </r>
    <r>
      <rPr>
        <sz val="9"/>
        <rFont val="Arial"/>
        <family val="2"/>
      </rPr>
      <t>- Amount of profit after tax that would have been allocated to the IPA of the related company etc. [Reg 8 (a) (ii)]</t>
    </r>
  </si>
  <si>
    <r>
      <rPr>
        <sz val="10"/>
        <color indexed="16"/>
        <rFont val="Arial"/>
        <family val="2"/>
      </rPr>
      <t>B</t>
    </r>
    <r>
      <rPr>
        <sz val="10"/>
        <rFont val="Arial"/>
        <family val="2"/>
      </rPr>
      <t xml:space="preserve"> - </t>
    </r>
    <r>
      <rPr>
        <sz val="9"/>
        <rFont val="Arial"/>
        <family val="2"/>
      </rPr>
      <t xml:space="preserve">Amount of profit after tax actually allocated to the IPA of the related company etc. [Reg 8 (a) (iii)] </t>
    </r>
  </si>
  <si>
    <t>Additional Deduction</t>
  </si>
  <si>
    <t>Workings</t>
  </si>
  <si>
    <t>Rate</t>
  </si>
  <si>
    <t>Due from joint venture(s) and / or partnership(s)</t>
  </si>
  <si>
    <t>E47</t>
  </si>
  <si>
    <t>M47</t>
  </si>
  <si>
    <t>N47</t>
  </si>
  <si>
    <t>Q47</t>
  </si>
  <si>
    <t>DIR06</t>
  </si>
  <si>
    <t>B48</t>
  </si>
  <si>
    <t>E48</t>
  </si>
  <si>
    <t>M48</t>
  </si>
  <si>
    <t>Accumulated depreciation of wasting assets</t>
  </si>
  <si>
    <t>Donation Details                           Rule 3</t>
  </si>
  <si>
    <t xml:space="preserve">ITA - LN 330 of 2005  -  Deductions and Tax Credit [R &amp; D Relevant Qualifications] </t>
  </si>
  <si>
    <t>ITA - LN 330 of 2005  -  Tax Credit [R &amp; D Social Security Contributions]</t>
  </si>
  <si>
    <t>ITA - LN 331 of 2005  -  Tax Credit [Back Office Operations]</t>
  </si>
  <si>
    <t xml:space="preserve">Please indicate below the name of the holder of the auditing practicing certificate. </t>
  </si>
  <si>
    <t>full ownership</t>
  </si>
  <si>
    <t>B112</t>
  </si>
  <si>
    <t>C112</t>
  </si>
  <si>
    <t>D112</t>
  </si>
  <si>
    <t>E112</t>
  </si>
  <si>
    <t>O30</t>
  </si>
  <si>
    <t>Depreciation of capital leases - others</t>
  </si>
  <si>
    <t>Unutilised tax credits brought forward from previous year</t>
  </si>
  <si>
    <t>Experimnetal Development Project</t>
  </si>
  <si>
    <t>Collaborative Experimental Development Project</t>
  </si>
  <si>
    <t>Total Tax Credit</t>
  </si>
  <si>
    <t xml:space="preserve">State Aid claimed on same expenses under other Incentives </t>
  </si>
  <si>
    <t>Total Tax Credits available for the current Year of Assessment</t>
  </si>
  <si>
    <t xml:space="preserve">Contractual Research, Technical Knowledge and Patents </t>
  </si>
  <si>
    <t xml:space="preserve">Additional Overheads </t>
  </si>
  <si>
    <t xml:space="preserve">% of both costs to total eligible costs </t>
  </si>
  <si>
    <t>UTILISATION OF TAX CREDIT</t>
  </si>
  <si>
    <t>Aggregated costs are more than 25% of total project costs!</t>
  </si>
  <si>
    <t>Machinery and equipment under construction</t>
  </si>
  <si>
    <t>Commercial vehicles</t>
  </si>
  <si>
    <t>All Details!</t>
  </si>
  <si>
    <t>For each project - value claimed so far and reflected in net eligible costs for:</t>
  </si>
  <si>
    <t>Prescribed percentage exceeded!</t>
  </si>
  <si>
    <t>RELIEF</t>
  </si>
  <si>
    <t>ALLOCATED</t>
  </si>
  <si>
    <t>Commonwealth Relief</t>
  </si>
  <si>
    <t xml:space="preserve">TOTALS </t>
  </si>
  <si>
    <t>Deduction for Cash Donation or provision of a scholarship to a bone fide artiste  [Rule 5]</t>
  </si>
  <si>
    <t>A0706</t>
  </si>
  <si>
    <t>A0707</t>
  </si>
  <si>
    <t>K24</t>
  </si>
  <si>
    <t>K25</t>
  </si>
  <si>
    <t>K26</t>
  </si>
  <si>
    <t>K27</t>
  </si>
  <si>
    <t>G71</t>
  </si>
  <si>
    <t>H71</t>
  </si>
  <si>
    <t>I71</t>
  </si>
  <si>
    <t>J71</t>
  </si>
  <si>
    <t>K71</t>
  </si>
  <si>
    <t>A0559</t>
  </si>
  <si>
    <t>B72</t>
  </si>
  <si>
    <t>C72</t>
  </si>
  <si>
    <t>D72</t>
  </si>
  <si>
    <t>E72</t>
  </si>
  <si>
    <t>G72</t>
  </si>
  <si>
    <t>H72</t>
  </si>
  <si>
    <t>I72</t>
  </si>
  <si>
    <t>J72</t>
  </si>
  <si>
    <t>K72</t>
  </si>
  <si>
    <t>A0560</t>
  </si>
  <si>
    <t>B73</t>
  </si>
  <si>
    <t>C73</t>
  </si>
  <si>
    <t>D73</t>
  </si>
  <si>
    <t>E73</t>
  </si>
  <si>
    <t>F73</t>
  </si>
  <si>
    <t>G73</t>
  </si>
  <si>
    <t>H73</t>
  </si>
  <si>
    <t>I73</t>
  </si>
  <si>
    <t>Was the allowable R &amp; D expenditure incurred in the applicant's main place of business?</t>
  </si>
  <si>
    <t>A3918</t>
  </si>
  <si>
    <t>A3919</t>
  </si>
  <si>
    <t>A3920</t>
  </si>
  <si>
    <t>A3921</t>
  </si>
  <si>
    <t>A3922</t>
  </si>
  <si>
    <t>A3923</t>
  </si>
  <si>
    <t>A3924</t>
  </si>
  <si>
    <t>A3925</t>
  </si>
  <si>
    <t>A3926</t>
  </si>
  <si>
    <t>TRA56</t>
  </si>
  <si>
    <t>TRA57</t>
  </si>
  <si>
    <t>TRA58</t>
  </si>
  <si>
    <t>TRA65</t>
  </si>
  <si>
    <t xml:space="preserve">Number of pharmacy outlets     </t>
  </si>
  <si>
    <t xml:space="preserve">Currency      </t>
  </si>
  <si>
    <t xml:space="preserve">Tax credit approved (Current year):     </t>
  </si>
  <si>
    <t>Pre-competitive Research</t>
  </si>
  <si>
    <t xml:space="preserve">PE number </t>
  </si>
  <si>
    <t>A4829</t>
  </si>
  <si>
    <t>A4830</t>
  </si>
  <si>
    <t>O75</t>
  </si>
  <si>
    <t>A4831</t>
  </si>
  <si>
    <t>L15</t>
  </si>
  <si>
    <t>M15</t>
  </si>
  <si>
    <t>Required!</t>
  </si>
  <si>
    <t xml:space="preserve">BPA Reg. 38 - CONVERSION SCHEME FOR SMALL AND MEDIUM-SIZED COMPANIES </t>
  </si>
  <si>
    <t>Full date!</t>
  </si>
  <si>
    <t xml:space="preserve">  BPA - Article 24B (Red. Rates of Tax - Hotels)</t>
  </si>
  <si>
    <t>Land and Buildings</t>
  </si>
  <si>
    <t>Accumulated depreciation of land and buildings</t>
  </si>
  <si>
    <t>89a</t>
  </si>
  <si>
    <t>90a</t>
  </si>
  <si>
    <t>71a</t>
  </si>
  <si>
    <t>72a</t>
  </si>
  <si>
    <t>73a</t>
  </si>
  <si>
    <t>74a</t>
  </si>
  <si>
    <t>75a</t>
  </si>
  <si>
    <t>76a</t>
  </si>
  <si>
    <t>77a</t>
  </si>
  <si>
    <t>Regulation 36 - Deductions from tax credits</t>
  </si>
  <si>
    <t>Benefits calculated in terms of:</t>
  </si>
  <si>
    <t xml:space="preserve">Regulation 36 (1) (a) </t>
  </si>
  <si>
    <t>O45</t>
  </si>
  <si>
    <t xml:space="preserve"> requirements of the Companies Act?</t>
  </si>
  <si>
    <t>Investment Income Provisions [Income subject to 15% F.W.T]</t>
  </si>
  <si>
    <t>I23</t>
  </si>
  <si>
    <t>J23</t>
  </si>
  <si>
    <t>Allocation and adjustments</t>
  </si>
  <si>
    <t>ITA - LN 430 of 2010 - Deduction (Childcare Facilities at the Workplace) Rules, 2010</t>
  </si>
  <si>
    <t xml:space="preserve">    Date Issued:       </t>
  </si>
  <si>
    <t xml:space="preserve">    Certificate No:       </t>
  </si>
  <si>
    <t>Meetings and conventions</t>
  </si>
  <si>
    <t>Insurance</t>
  </si>
  <si>
    <t>Other 4</t>
  </si>
  <si>
    <t>Other 5</t>
  </si>
  <si>
    <t>Other 6</t>
  </si>
  <si>
    <t>G63</t>
  </si>
  <si>
    <t>H63</t>
  </si>
  <si>
    <t>I63</t>
  </si>
  <si>
    <t>J63</t>
  </si>
  <si>
    <t>K63</t>
  </si>
  <si>
    <t>A0551</t>
  </si>
  <si>
    <t>C64</t>
  </si>
  <si>
    <t>D64</t>
  </si>
  <si>
    <t>F64</t>
  </si>
  <si>
    <t>G64</t>
  </si>
  <si>
    <t>H64</t>
  </si>
  <si>
    <t>I64</t>
  </si>
  <si>
    <t>J64</t>
  </si>
  <si>
    <t>K64</t>
  </si>
  <si>
    <t>A0552</t>
  </si>
  <si>
    <t>A0529</t>
  </si>
  <si>
    <t>133b</t>
  </si>
  <si>
    <t>133c</t>
  </si>
  <si>
    <t>133d</t>
  </si>
  <si>
    <t>TRA 05_2</t>
  </si>
  <si>
    <t>Allocated to</t>
  </si>
  <si>
    <t>Sale of Agricultural Produce Rules, 2005</t>
  </si>
  <si>
    <t>Actual Expenditure availed of (current year)</t>
  </si>
  <si>
    <t>Merchant shipping</t>
  </si>
  <si>
    <t>b/fwds???</t>
  </si>
  <si>
    <t>Problems</t>
  </si>
  <si>
    <t>Treatment of VAIS (in my opinion MTA)</t>
  </si>
  <si>
    <t>I147</t>
  </si>
  <si>
    <t>F148</t>
  </si>
  <si>
    <t>G148</t>
  </si>
  <si>
    <t>H148</t>
  </si>
  <si>
    <t>I148</t>
  </si>
  <si>
    <t>H149</t>
  </si>
  <si>
    <t>H150</t>
  </si>
  <si>
    <t>Group insurance benefits</t>
  </si>
  <si>
    <t>Imports of Raw Materials and / or Semi-Finished Goods</t>
  </si>
  <si>
    <t>F112</t>
  </si>
  <si>
    <t>A1670</t>
  </si>
  <si>
    <t>B113</t>
  </si>
  <si>
    <t>C113</t>
  </si>
  <si>
    <t>D113</t>
  </si>
  <si>
    <t>E113</t>
  </si>
  <si>
    <t>F113</t>
  </si>
  <si>
    <t>A1671</t>
  </si>
  <si>
    <t>TRA60</t>
  </si>
  <si>
    <t>B76</t>
  </si>
  <si>
    <t>C76</t>
  </si>
  <si>
    <r>
      <rPr>
        <sz val="10"/>
        <color indexed="16"/>
        <rFont val="Arial"/>
        <family val="2"/>
      </rPr>
      <t>C</t>
    </r>
    <r>
      <rPr>
        <sz val="10"/>
        <rFont val="Arial"/>
        <family val="2"/>
      </rPr>
      <t xml:space="preserve"> - Amount of profit after tax derived from the said consideration allocated to the IPA of the company etc. [Reg 5 (8) (a) (iv)]</t>
    </r>
  </si>
  <si>
    <r>
      <rPr>
        <sz val="10"/>
        <color indexed="16"/>
        <rFont val="Arial"/>
        <family val="2"/>
      </rPr>
      <t>Y</t>
    </r>
    <r>
      <rPr>
        <sz val="9"/>
        <rFont val="Arial"/>
        <family val="2"/>
      </rPr>
      <t xml:space="preserve"> - Amount determined according to formula</t>
    </r>
  </si>
  <si>
    <r>
      <t xml:space="preserve">Malta Enterprise Act - LN 168 of 2009 and guidelines     </t>
    </r>
    <r>
      <rPr>
        <sz val="10"/>
        <rFont val="Arial"/>
        <family val="2"/>
      </rPr>
      <t xml:space="preserve">                                                                                                          Assistance for Research and Development and Innovation Regulations, 2009</t>
    </r>
  </si>
  <si>
    <t xml:space="preserve">Less </t>
  </si>
  <si>
    <r>
      <t xml:space="preserve">  </t>
    </r>
    <r>
      <rPr>
        <sz val="8"/>
        <color indexed="63"/>
        <rFont val="Arial"/>
        <family val="2"/>
      </rPr>
      <t>TRA 18</t>
    </r>
  </si>
  <si>
    <t>[and to FTA [Rule 7(2)] TRA 61]</t>
  </si>
  <si>
    <t>has elected NOT to allocate distributable profits to the MTA and FIA [Rule 9 of LN 79 of 2008 as amended by LN 247 of 2011]</t>
  </si>
  <si>
    <r>
      <t xml:space="preserve">Group Loss </t>
    </r>
    <r>
      <rPr>
        <sz val="10"/>
        <rFont val="Arial"/>
        <family val="2"/>
      </rPr>
      <t xml:space="preserve">CLAIMED </t>
    </r>
  </si>
  <si>
    <t>NET DIVIDEND Final Tax Account</t>
  </si>
  <si>
    <t>Additional allowable expenditure of the securitisation vehicle [Rule 4(1)]</t>
  </si>
  <si>
    <t>Deduction(s) claimed in previous years</t>
  </si>
  <si>
    <t>Unclaimed deduction(s) b/fwd</t>
  </si>
  <si>
    <t>Unclaimed deduction(s) c/fwd</t>
  </si>
  <si>
    <r>
      <t xml:space="preserve">Totals </t>
    </r>
    <r>
      <rPr>
        <sz val="9"/>
        <color indexed="16"/>
        <rFont val="Arial"/>
        <family val="2"/>
      </rPr>
      <t>[to page 6 of the tax return]</t>
    </r>
  </si>
  <si>
    <r>
      <t>(mark</t>
    </r>
    <r>
      <rPr>
        <sz val="9"/>
        <color indexed="12"/>
        <rFont val="Arial"/>
        <family val="2"/>
      </rPr>
      <t xml:space="preserve"> (Y)</t>
    </r>
    <r>
      <rPr>
        <sz val="9"/>
        <rFont val="Arial"/>
        <family val="2"/>
      </rPr>
      <t xml:space="preserve">es or </t>
    </r>
    <r>
      <rPr>
        <sz val="9"/>
        <color indexed="12"/>
        <rFont val="Arial"/>
        <family val="2"/>
      </rPr>
      <t>(N)</t>
    </r>
    <r>
      <rPr>
        <sz val="9"/>
        <rFont val="Arial"/>
        <family val="2"/>
      </rPr>
      <t xml:space="preserve">o as appropriate)      </t>
    </r>
  </si>
  <si>
    <r>
      <t>(mark</t>
    </r>
    <r>
      <rPr>
        <sz val="9"/>
        <color indexed="12"/>
        <rFont val="Arial"/>
        <family val="2"/>
      </rPr>
      <t xml:space="preserve"> (Y)</t>
    </r>
    <r>
      <rPr>
        <sz val="9"/>
        <rFont val="Arial"/>
        <family val="2"/>
      </rPr>
      <t xml:space="preserve">es or </t>
    </r>
    <r>
      <rPr>
        <sz val="9"/>
        <color indexed="12"/>
        <rFont val="Arial"/>
        <family val="2"/>
      </rPr>
      <t>(N)</t>
    </r>
    <r>
      <rPr>
        <sz val="9"/>
        <rFont val="Arial"/>
        <family val="2"/>
      </rPr>
      <t>o as appropriate)</t>
    </r>
  </si>
  <si>
    <r>
      <t xml:space="preserve">Realised losses on disposal of fixed assets </t>
    </r>
    <r>
      <rPr>
        <sz val="9"/>
        <rFont val="Arial"/>
        <family val="2"/>
      </rPr>
      <t>[Please specify below]</t>
    </r>
  </si>
  <si>
    <r>
      <t xml:space="preserve">Unrealised losses </t>
    </r>
    <r>
      <rPr>
        <sz val="9"/>
        <rFont val="Arial"/>
        <family val="2"/>
      </rPr>
      <t>[Please specify below]</t>
    </r>
  </si>
  <si>
    <r>
      <t>Expenditure disallowed for tax purposes</t>
    </r>
    <r>
      <rPr>
        <sz val="9"/>
        <rFont val="Arial"/>
        <family val="2"/>
      </rPr>
      <t xml:space="preserve"> [Please specify below]</t>
    </r>
  </si>
  <si>
    <t>Total value of bad debts written off and lumped together</t>
  </si>
  <si>
    <t>You are required to maintain and provide on request the individual records for claims lumped together in the same level of detail as above.</t>
  </si>
  <si>
    <t>Multiple recoveries lumped together</t>
  </si>
  <si>
    <t>Year of Assessment</t>
  </si>
  <si>
    <t>acc dep</t>
  </si>
  <si>
    <t>y/a 2002</t>
  </si>
  <si>
    <t>y/a 2003</t>
  </si>
  <si>
    <t>ONLY</t>
  </si>
  <si>
    <t>LIST OF BAD DEBTS WRITTEN OFF</t>
  </si>
  <si>
    <t>Are you exercising the option in terms of Rule 15 ?</t>
  </si>
  <si>
    <t>Double Taxation Treaties</t>
  </si>
  <si>
    <t>A0805</t>
  </si>
  <si>
    <t>A0806</t>
  </si>
  <si>
    <t>SUP08</t>
  </si>
  <si>
    <t>A14</t>
  </si>
  <si>
    <t>SUP09</t>
  </si>
  <si>
    <t>A15</t>
  </si>
  <si>
    <t>SUP10</t>
  </si>
  <si>
    <t>Interest received or receivable from related parties</t>
  </si>
  <si>
    <t>Loan interest  -  from local sources</t>
  </si>
  <si>
    <t>A4020</t>
  </si>
  <si>
    <t>A4021</t>
  </si>
  <si>
    <t>A4823</t>
  </si>
  <si>
    <t>A4824</t>
  </si>
  <si>
    <t>A4825</t>
  </si>
  <si>
    <t>A4826</t>
  </si>
  <si>
    <t>A4827</t>
  </si>
  <si>
    <t xml:space="preserve">  Income suffering tax at </t>
  </si>
  <si>
    <t xml:space="preserve">Irrevocable Notice in terms of Rule 15 </t>
  </si>
  <si>
    <t>A0603</t>
  </si>
  <si>
    <t>A0604</t>
  </si>
  <si>
    <t>A0605</t>
  </si>
  <si>
    <t>A0606</t>
  </si>
  <si>
    <t>HEAVY PENALTIES ARE PROVIDED UNDER THE INCOME TAX ACTS FOR FAILING TO SUBMIT A RETURN, FOR FILING A LATE RETURN OR FOR RENDERING AN INCOMPLETE OR INCORRECT RETURN.</t>
  </si>
  <si>
    <t>Time Apportionment</t>
  </si>
  <si>
    <t>CAPITAL GAINS ON SALE OF IMMOVABLE PROPERTY</t>
  </si>
  <si>
    <t>Advice given in brief</t>
  </si>
  <si>
    <r>
      <t>1</t>
    </r>
    <r>
      <rPr>
        <sz val="10"/>
        <color indexed="60"/>
        <rFont val="Arial"/>
        <family val="2"/>
      </rPr>
      <t xml:space="preserve"> Provisional tax payments may include ADDITIONAL PT paid.  Deduct any additional PT paid.  </t>
    </r>
  </si>
  <si>
    <t>This return is to be completed by the attorney, factor, receiver, administrator, manager or principal officer of the company, body corporate, trading or commercial undertaking or trust.</t>
  </si>
  <si>
    <t>Chargeable Income relieved from tax by a Training tax credit</t>
  </si>
  <si>
    <t>Fringe benefits</t>
  </si>
  <si>
    <t>TRA 62_2</t>
  </si>
  <si>
    <t>A1640</t>
  </si>
  <si>
    <t>A1641</t>
  </si>
  <si>
    <t>A1642</t>
  </si>
  <si>
    <t>Approval</t>
  </si>
  <si>
    <t>ME</t>
  </si>
  <si>
    <t>The term 'Income Tax Acts' used in this return has the meaning assigned to it in Article 2 of the Income Tax Act (Cap. 123) and, unless otherwise stated, the Articles quoted in this return refer to the Income Tax Act (Cap. 123).</t>
  </si>
  <si>
    <t>has filed the final scheme of distribution with this return, if the answer to 12 is yes</t>
  </si>
  <si>
    <t>Y/A</t>
  </si>
  <si>
    <t>of registered office / place of control, management and administration</t>
  </si>
  <si>
    <t xml:space="preserve">Tel. Number  </t>
  </si>
  <si>
    <t xml:space="preserve">Fax Number  </t>
  </si>
  <si>
    <t>Accounting Date</t>
  </si>
  <si>
    <t>Except as provided in Article 68 of the Income Tax Act (Cap. 123), all income of a non-resident company, body corporate or trading or commercial undertaking, accruing in or derived from Malta, whether received in Malta or not, during the accounting period stated in Part 1 below, must be included.</t>
  </si>
  <si>
    <t>Ground rents paid / payable</t>
  </si>
  <si>
    <t>36</t>
  </si>
  <si>
    <t>F53</t>
  </si>
  <si>
    <t>H84</t>
  </si>
  <si>
    <t>I84</t>
  </si>
  <si>
    <t>J84</t>
  </si>
  <si>
    <t>K84</t>
  </si>
  <si>
    <t>A0572</t>
  </si>
  <si>
    <t>G85</t>
  </si>
  <si>
    <t>I85</t>
  </si>
  <si>
    <t>J85</t>
  </si>
  <si>
    <t>K85</t>
  </si>
  <si>
    <t>A0573</t>
  </si>
  <si>
    <t>B90</t>
  </si>
  <si>
    <t>D90</t>
  </si>
  <si>
    <t>E90</t>
  </si>
  <si>
    <t>F90</t>
  </si>
  <si>
    <t>G90</t>
  </si>
  <si>
    <t>H90</t>
  </si>
  <si>
    <t>Sub-total &gt; add up values in fields 1a and 21a</t>
  </si>
  <si>
    <t>22a</t>
  </si>
  <si>
    <t>DIR18</t>
  </si>
  <si>
    <t>B60</t>
  </si>
  <si>
    <t>E60</t>
  </si>
  <si>
    <t>DIR19</t>
  </si>
  <si>
    <t>B61</t>
  </si>
  <si>
    <t>E61</t>
  </si>
  <si>
    <t>DIR20</t>
  </si>
  <si>
    <t>Provision for doubtful trade debtors</t>
  </si>
  <si>
    <t>DIR22</t>
  </si>
  <si>
    <t>K59</t>
  </si>
  <si>
    <t>A2301</t>
  </si>
  <si>
    <t>E4</t>
  </si>
  <si>
    <t>A2302</t>
  </si>
  <si>
    <t>A2303</t>
  </si>
  <si>
    <t>A2304</t>
  </si>
  <si>
    <t>A2305</t>
  </si>
  <si>
    <t>Qual</t>
  </si>
  <si>
    <t>to TRA 35 &gt;</t>
  </si>
  <si>
    <r>
      <t>ITA - LN 335 of 2005</t>
    </r>
    <r>
      <rPr>
        <sz val="10"/>
        <rFont val="Arial"/>
        <family val="2"/>
      </rPr>
      <t/>
    </r>
  </si>
  <si>
    <t>PART TWO - DEDUCTION AND TAX CREDIT FOR WAGES AND TUITION EXPENSES</t>
  </si>
  <si>
    <t>71</t>
  </si>
  <si>
    <t>72</t>
  </si>
  <si>
    <t>73</t>
  </si>
  <si>
    <t>74</t>
  </si>
  <si>
    <t>A4116</t>
  </si>
  <si>
    <t>A4117</t>
  </si>
  <si>
    <t>A4118</t>
  </si>
  <si>
    <t>A4119</t>
  </si>
  <si>
    <t>A4120</t>
  </si>
  <si>
    <t>A0601</t>
  </si>
  <si>
    <t>A0602</t>
  </si>
  <si>
    <t>Net dividends paid</t>
  </si>
  <si>
    <t xml:space="preserve">Commission Approval Reference </t>
  </si>
  <si>
    <t>ITA - LN 428 of 2010 - Deduction (Workplace Accessibity) Rules, 2010</t>
  </si>
  <si>
    <t>TRA 40</t>
  </si>
  <si>
    <t>B10</t>
  </si>
  <si>
    <t xml:space="preserve">Sub-total &gt; add up values reported in fields 23a to 34a </t>
  </si>
  <si>
    <t>35a</t>
  </si>
  <si>
    <t>K118</t>
  </si>
  <si>
    <t>A05106</t>
  </si>
  <si>
    <t>G119</t>
  </si>
  <si>
    <t>H119</t>
  </si>
  <si>
    <t>I119</t>
  </si>
  <si>
    <t>J119</t>
  </si>
  <si>
    <t>K119</t>
  </si>
  <si>
    <t>A05107</t>
  </si>
  <si>
    <t>G120</t>
  </si>
  <si>
    <t>H120</t>
  </si>
  <si>
    <t>I120</t>
  </si>
  <si>
    <t>J120</t>
  </si>
  <si>
    <t>K120</t>
  </si>
  <si>
    <t>A05108</t>
  </si>
  <si>
    <t>G121</t>
  </si>
  <si>
    <t>H121</t>
  </si>
  <si>
    <t>I121</t>
  </si>
  <si>
    <t>J121</t>
  </si>
  <si>
    <t>K121</t>
  </si>
  <si>
    <t>A05109</t>
  </si>
  <si>
    <t>G122</t>
  </si>
  <si>
    <t>H122</t>
  </si>
  <si>
    <t>I122</t>
  </si>
  <si>
    <t>J122</t>
  </si>
  <si>
    <t>K122</t>
  </si>
  <si>
    <t>A05110</t>
  </si>
  <si>
    <t>G123</t>
  </si>
  <si>
    <t>H123</t>
  </si>
  <si>
    <t>I123</t>
  </si>
  <si>
    <t>J123</t>
  </si>
  <si>
    <t>K123</t>
  </si>
  <si>
    <t>A05111</t>
  </si>
  <si>
    <t>H124</t>
  </si>
  <si>
    <t>I124</t>
  </si>
  <si>
    <t>J124</t>
  </si>
  <si>
    <t>K124</t>
  </si>
  <si>
    <t>A05112</t>
  </si>
  <si>
    <t>G125</t>
  </si>
  <si>
    <t>H125</t>
  </si>
  <si>
    <t>I125</t>
  </si>
  <si>
    <t>J125</t>
  </si>
  <si>
    <t>K125</t>
  </si>
  <si>
    <t>A05113</t>
  </si>
  <si>
    <t>H126</t>
  </si>
  <si>
    <t>I126</t>
  </si>
  <si>
    <t>J126</t>
  </si>
  <si>
    <t>K126</t>
  </si>
  <si>
    <t>A05114</t>
  </si>
  <si>
    <t>H127</t>
  </si>
  <si>
    <t>I127</t>
  </si>
  <si>
    <t>J127</t>
  </si>
  <si>
    <t>K127</t>
  </si>
  <si>
    <t>A05115</t>
  </si>
  <si>
    <t>H128</t>
  </si>
  <si>
    <t>I128</t>
  </si>
  <si>
    <t>J128</t>
  </si>
  <si>
    <t>K128</t>
  </si>
  <si>
    <t>A05116</t>
  </si>
  <si>
    <t>H129</t>
  </si>
  <si>
    <t>I129</t>
  </si>
  <si>
    <t>Article 5A of the B.P.A.</t>
  </si>
  <si>
    <t>investment incentive scheme</t>
  </si>
  <si>
    <t>A1401</t>
  </si>
  <si>
    <t>A133</t>
  </si>
  <si>
    <t>B133</t>
  </si>
  <si>
    <t>C133</t>
  </si>
  <si>
    <t>A1402</t>
  </si>
  <si>
    <t>A134</t>
  </si>
  <si>
    <t>F114</t>
  </si>
  <si>
    <t>A1672</t>
  </si>
  <si>
    <t>Accumulated depreciation of capital leases - machinery and equipment</t>
  </si>
  <si>
    <t>Capital leases - vehicles</t>
  </si>
  <si>
    <t>TRA41</t>
  </si>
  <si>
    <t>Investment Tax Credit</t>
  </si>
  <si>
    <t>Deferred</t>
  </si>
  <si>
    <t>TOTAL OPERATING EXPENSES</t>
  </si>
  <si>
    <t>Total expenses</t>
  </si>
  <si>
    <t>NET INCOME OR LOSS ON ORDINARY ACTIVITIES BEFORE TAX</t>
  </si>
  <si>
    <t>Current tax provision</t>
  </si>
  <si>
    <t>Deferred tax provision</t>
  </si>
  <si>
    <t>NET INCOME OR LOSS ON ORDINARY ACTIVITIES AFTER TAX</t>
  </si>
  <si>
    <t xml:space="preserve">Extraordinary, Exceptional and Unusual items  </t>
  </si>
  <si>
    <t>Has the employee successfully completed the course of studies?</t>
  </si>
  <si>
    <t>A4934</t>
  </si>
  <si>
    <t>a7201</t>
  </si>
  <si>
    <t>a7202</t>
  </si>
  <si>
    <t>a7203</t>
  </si>
  <si>
    <t>a7204</t>
  </si>
  <si>
    <t>a7205</t>
  </si>
  <si>
    <t>a7206</t>
  </si>
  <si>
    <t>a7207</t>
  </si>
  <si>
    <t>a7208</t>
  </si>
  <si>
    <t>a7209</t>
  </si>
  <si>
    <t>a7210</t>
  </si>
  <si>
    <t>a7211</t>
  </si>
  <si>
    <t>a7212</t>
  </si>
  <si>
    <t>a7213</t>
  </si>
  <si>
    <t>TRA72</t>
  </si>
  <si>
    <t>Immovable Property Account  [LN 79 of 2008 as amended by LN 247 of 2011]</t>
  </si>
  <si>
    <t xml:space="preserve">FROM Page 6 (field 99a)  </t>
  </si>
  <si>
    <t>Sub Totals</t>
  </si>
  <si>
    <t>(USE ONLY WHEN VALUES HAVE BEEN ENTERED IN FIELD 97e OF PAGE 6)</t>
  </si>
  <si>
    <t>TRA 62_1</t>
  </si>
  <si>
    <t>Election under Regulation 9</t>
  </si>
  <si>
    <t>Amounts previously allocated to the Maltese Taxed Account Transferred to the Immovable Property Account</t>
  </si>
  <si>
    <t>Amounts previously allocated to the Foreign Income Account Transferred to the Immovable Property Account</t>
  </si>
  <si>
    <t xml:space="preserve">IS ATTACHMENT COMPLETE [Y or N] ?  </t>
  </si>
  <si>
    <t>Page 6 (field 97e)</t>
  </si>
  <si>
    <t>Aggregate amount not allocated in previous years BROUGHT FORWARD</t>
  </si>
  <si>
    <t xml:space="preserve">Amount(s) provided for the CURRENT YEAR </t>
  </si>
  <si>
    <t>new 2006</t>
  </si>
  <si>
    <t>LIST OF DIRECTORS, TRUSTEES [TRUST] AND REMUNERATION RECEIVED</t>
  </si>
  <si>
    <t>Statutory inflation of expenditure</t>
  </si>
  <si>
    <t xml:space="preserve">Allowable deductions </t>
  </si>
  <si>
    <t>TRA 54</t>
  </si>
  <si>
    <t>A0310</t>
  </si>
  <si>
    <t>Chargeable income from trade or business</t>
  </si>
  <si>
    <t>Tax rate</t>
  </si>
  <si>
    <t xml:space="preserve">Reduction in tax due </t>
  </si>
  <si>
    <t>CIR - FSS and NI payable</t>
  </si>
  <si>
    <t>VAT payable</t>
  </si>
  <si>
    <t>Registrar of Companies - Registration fee</t>
  </si>
  <si>
    <t>Dividends from foreign sources</t>
  </si>
  <si>
    <t>Gross sales and Income from organizational activities</t>
  </si>
  <si>
    <t>Realised Gains or losses on disposal of fixed assets</t>
  </si>
  <si>
    <t>Realised gains or losses on disposal of intangible assets</t>
  </si>
  <si>
    <t xml:space="preserve">Accumulated depreciation of Lifts and Escalators </t>
  </si>
  <si>
    <t>Accumulated depreciation of Air-conditioners</t>
  </si>
  <si>
    <t xml:space="preserve">This attachment is required to ascertain the apportioned amounts (to be reflected on page 4 of the tax return) from the provision of accomodation (or management services in relation thereto) where such gains or profits include the provision of other services or goods in addition to the provision of such accommodation.  Such gains or profits are calculated by dividing the total chargeable income of the said company derived from that trade, business or other activity by the value of its total sales of that trade, business or other activity and multiplying the result by the value of its Vatable Sales of that same trade, business or other activity. </t>
  </si>
  <si>
    <t xml:space="preserve">Date of election    </t>
  </si>
  <si>
    <t>Is the Company electing NOT to allocate distributable profits to the Maltese Taxed Account and Foreign Income Account?</t>
  </si>
  <si>
    <t xml:space="preserve">Has the election been approved by the board of directors?           </t>
  </si>
  <si>
    <t xml:space="preserve">Effective date of election    </t>
  </si>
  <si>
    <t xml:space="preserve">Has there been an apportionment of income from the provision of accomodation or management services related thereto? </t>
  </si>
  <si>
    <t>Capital Gains / (Loss) Summary Statement</t>
  </si>
  <si>
    <t>Taxable Capital Gain / (Loss) Allocated</t>
  </si>
  <si>
    <t>Description (Immovables)</t>
  </si>
  <si>
    <t>Attach.</t>
  </si>
  <si>
    <t>ITA - LN 333 of 2005 - Tax Credit [Electronic Commerce]</t>
  </si>
  <si>
    <t>Accumulated depreciation of Communication and Broadcasting Equipment</t>
  </si>
  <si>
    <t>Hire of Machinery &amp; Equipment</t>
  </si>
  <si>
    <t>Wholesale Sales</t>
  </si>
  <si>
    <t>Retail Sales</t>
  </si>
  <si>
    <t>Sale of goods to related parties</t>
  </si>
  <si>
    <t>M16</t>
  </si>
  <si>
    <t>Q16</t>
  </si>
  <si>
    <t>S16</t>
  </si>
  <si>
    <t>U16</t>
  </si>
  <si>
    <t>SHA09</t>
  </si>
  <si>
    <t>E17</t>
  </si>
  <si>
    <t>L17</t>
  </si>
  <si>
    <t>M17</t>
  </si>
  <si>
    <t>Q17</t>
  </si>
  <si>
    <t>S17</t>
  </si>
  <si>
    <t>SHA10</t>
  </si>
  <si>
    <t>E18</t>
  </si>
  <si>
    <t>L18</t>
  </si>
  <si>
    <t>M18</t>
  </si>
  <si>
    <t>O18</t>
  </si>
  <si>
    <t>Q18</t>
  </si>
  <si>
    <t>A2311</t>
  </si>
  <si>
    <t>A2312</t>
  </si>
  <si>
    <t>A2313</t>
  </si>
  <si>
    <t>A2314</t>
  </si>
  <si>
    <t>A2315</t>
  </si>
  <si>
    <t>A2316</t>
  </si>
  <si>
    <t>A34</t>
  </si>
  <si>
    <t>A2317</t>
  </si>
  <si>
    <t>Construction and excavating equipment</t>
  </si>
  <si>
    <t>(a)</t>
  </si>
  <si>
    <t>Less</t>
  </si>
  <si>
    <t>(b)</t>
  </si>
  <si>
    <t>Tax Rate</t>
  </si>
  <si>
    <t>A113</t>
  </si>
  <si>
    <t>A4101</t>
  </si>
  <si>
    <t>A4102</t>
  </si>
  <si>
    <t>A4103</t>
  </si>
  <si>
    <t>A4104</t>
  </si>
  <si>
    <t>A4105</t>
  </si>
  <si>
    <t>A4106</t>
  </si>
  <si>
    <t>A4107</t>
  </si>
  <si>
    <t>A4108</t>
  </si>
  <si>
    <t>H6</t>
  </si>
  <si>
    <t xml:space="preserve">  ITA - Article 56(7) (Collective Investment Scheme)</t>
  </si>
  <si>
    <t>Depreciation of catering equipment</t>
  </si>
  <si>
    <t xml:space="preserve">Depreciation of Cable Infrastructure </t>
  </si>
  <si>
    <t>Depreciation of Pipeline Infrastructure</t>
  </si>
  <si>
    <t>Depreciation of Communication and Broadcasting Equipment</t>
  </si>
  <si>
    <t>Depreciation of Medical Equipment</t>
  </si>
  <si>
    <t>LIST OF SHAREHOLDERS, BENEFICIARIES [TRUSTS], DIVIDENDS RECEIVED AND ACCOUNT BALANCES</t>
  </si>
  <si>
    <t>is a shipping organisation that derives income exclusively from shipping activities in terms of the Tonnage Tax Regulations</t>
  </si>
  <si>
    <t>Passive income (see page 2)!</t>
  </si>
  <si>
    <t>Depreciation of parking areas</t>
  </si>
  <si>
    <t>ITA - LN 330 of 2005 - R &amp; D - Tax Credit for Social Security Contributions</t>
  </si>
  <si>
    <t>O53</t>
  </si>
  <si>
    <t>R53</t>
  </si>
  <si>
    <t>D7</t>
  </si>
  <si>
    <t>D12</t>
  </si>
  <si>
    <t>D14</t>
  </si>
  <si>
    <t>F14</t>
  </si>
  <si>
    <t>D16</t>
  </si>
  <si>
    <t>F19</t>
  </si>
  <si>
    <t>F28</t>
  </si>
  <si>
    <t>F33</t>
  </si>
  <si>
    <t>F35</t>
  </si>
  <si>
    <t>D43</t>
  </si>
  <si>
    <t>D48</t>
  </si>
  <si>
    <t>D50</t>
  </si>
  <si>
    <t>F50</t>
  </si>
  <si>
    <t>D52</t>
  </si>
  <si>
    <t>Export Sales</t>
  </si>
  <si>
    <t>Directors' fees</t>
  </si>
  <si>
    <t>Amortisation of intangible assets</t>
  </si>
  <si>
    <t>TRA 69</t>
  </si>
  <si>
    <t>M49</t>
  </si>
  <si>
    <t>Formation expenses</t>
  </si>
  <si>
    <t>Accumulated amortisation of formation expenses</t>
  </si>
  <si>
    <t>Royalties, trademarks, patents, rights, etc.</t>
  </si>
  <si>
    <t>Capital Gain / (Loss) on transfer of securities allocated</t>
  </si>
  <si>
    <t>Adjust the screen size and layout to your preference.</t>
  </si>
  <si>
    <t>A3604</t>
  </si>
  <si>
    <t>A3606</t>
  </si>
  <si>
    <t>A3607</t>
  </si>
  <si>
    <t>A3608</t>
  </si>
  <si>
    <t>A3609</t>
  </si>
  <si>
    <t>A3610</t>
  </si>
  <si>
    <t>A3611</t>
  </si>
  <si>
    <t>A3612</t>
  </si>
  <si>
    <t>A3613</t>
  </si>
  <si>
    <t>A3614</t>
  </si>
  <si>
    <t>A3615</t>
  </si>
  <si>
    <t>A3616</t>
  </si>
  <si>
    <t>A3617</t>
  </si>
  <si>
    <t>A3618</t>
  </si>
  <si>
    <t>Employer's share of Social Security Contributions</t>
  </si>
  <si>
    <t>Accumulated depreciation of capital leases - others</t>
  </si>
  <si>
    <t>Rental income from restored property</t>
  </si>
  <si>
    <t>Property Schedule or Area</t>
  </si>
  <si>
    <t>MEPA                                    Final Approval Certificate Reference</t>
  </si>
  <si>
    <t>Date of Certificate by MEPA</t>
  </si>
  <si>
    <t>Approved Eligible Costs Incurred</t>
  </si>
  <si>
    <t>Rental for Residential or Commercial Purpose?</t>
  </si>
  <si>
    <t>Final tax rate</t>
  </si>
  <si>
    <t>Final Tax paid</t>
  </si>
  <si>
    <t>Receipt Number</t>
  </si>
  <si>
    <t>UCA</t>
  </si>
  <si>
    <t>Commercial</t>
  </si>
  <si>
    <t>Net income after tax</t>
  </si>
  <si>
    <t>Please indicate the number of entities to which donation(s) have been made</t>
  </si>
  <si>
    <t>3a</t>
  </si>
  <si>
    <t>Interest received or receivable from shareholders and / or  directors</t>
  </si>
  <si>
    <t>ITA - Reinvestment Tax Credit</t>
  </si>
  <si>
    <t>Wages and salaries including fringe benefits but excluding directors' fees</t>
  </si>
  <si>
    <t>I95</t>
  </si>
  <si>
    <t>Depreciation charge for the year</t>
  </si>
  <si>
    <t>2a</t>
  </si>
  <si>
    <t>Closing Stock of Work-in-Progress</t>
  </si>
  <si>
    <t>A83</t>
  </si>
  <si>
    <t>STA80</t>
  </si>
  <si>
    <t>A84</t>
  </si>
  <si>
    <t>STA81</t>
  </si>
  <si>
    <t>STA82</t>
  </si>
  <si>
    <t>Realised Profit or loss on exchange</t>
  </si>
  <si>
    <t>Unrealised Profit or loss on exchange</t>
  </si>
  <si>
    <t>Profit or loss from joint ventures and partnerships</t>
  </si>
  <si>
    <t>Realisation of deferred Income</t>
  </si>
  <si>
    <t>Income from royalties, patents, rights, etc.</t>
  </si>
  <si>
    <t>Management and administration fees</t>
  </si>
  <si>
    <t>Consultancy fees</t>
  </si>
  <si>
    <t>Subsidies and grants</t>
  </si>
  <si>
    <t>A3706</t>
  </si>
  <si>
    <t>A3707</t>
  </si>
  <si>
    <t>A3708</t>
  </si>
  <si>
    <t>A3709</t>
  </si>
  <si>
    <t>is exercising the option referred to in Articles 48(4A)(b)(i)(1) or 48(4A)(b)(i)(2) of the ITMA</t>
  </si>
  <si>
    <t>I111</t>
  </si>
  <si>
    <t>&lt; All data required or amount 0!</t>
  </si>
  <si>
    <t>&lt; Broker details!</t>
  </si>
  <si>
    <t>Directors Remuneration paid that is not reported under the FSS Rules</t>
  </si>
  <si>
    <t xml:space="preserve">Have all the relevant directors' details been reported on page 7 of the return?  </t>
  </si>
  <si>
    <t>TRA 82 - 1</t>
  </si>
  <si>
    <t>Wages and Salaries paid to persons not liable to tax in Malta</t>
  </si>
  <si>
    <t>Personal details of employees and emoluments paid</t>
  </si>
  <si>
    <t>Not Available</t>
  </si>
  <si>
    <t>TRA 82 - 2</t>
  </si>
  <si>
    <t>ITA - Art 31B - Housing Authority [FWT 0f 10% deducted from subsidy]</t>
  </si>
  <si>
    <t>ITA - Art 31C - Rental income from restored property [rental income subject to FWT]</t>
  </si>
  <si>
    <t>Quality + (Tax Deductions)</t>
  </si>
  <si>
    <t>Details of the Incentive Entitlement Certificate issued by the ME</t>
  </si>
  <si>
    <t xml:space="preserve">Cerificate Number  </t>
  </si>
  <si>
    <t xml:space="preserve">Date  </t>
  </si>
  <si>
    <t>Eligible Costs (incurred during the current year of assessment)</t>
  </si>
  <si>
    <t>Actual       Cost</t>
  </si>
  <si>
    <t xml:space="preserve">  Consultancy services</t>
  </si>
  <si>
    <t xml:space="preserve">  Training and training materials</t>
  </si>
  <si>
    <t xml:space="preserve">  Audit, Due Diligence or Verfication costs</t>
  </si>
  <si>
    <t>Total eligible costs (incurred current Y/A)</t>
  </si>
  <si>
    <t>No c/fwd to Y/A 2015</t>
  </si>
  <si>
    <t xml:space="preserve">Unclaimed additional deduction(s) c/fwd </t>
  </si>
  <si>
    <t>Other Income after deducting direct expenses</t>
  </si>
  <si>
    <t>F82</t>
  </si>
  <si>
    <t>A1656</t>
  </si>
  <si>
    <t>B83</t>
  </si>
  <si>
    <t>C83</t>
  </si>
  <si>
    <t>D83</t>
  </si>
  <si>
    <t>All details required!</t>
  </si>
  <si>
    <t>Less proposed dividends as per balance sheet</t>
  </si>
  <si>
    <t>TOTAL RESERVES</t>
  </si>
  <si>
    <t>Date of Certificate</t>
  </si>
  <si>
    <t>Approved set aside profits</t>
  </si>
  <si>
    <t>Total Chargeable Income</t>
  </si>
  <si>
    <t>Withholding tax claimed back</t>
  </si>
  <si>
    <t>Sale of Agricultural Produce</t>
  </si>
  <si>
    <t>Income/Transfers subject to F.W.T.</t>
  </si>
  <si>
    <t>c</t>
  </si>
  <si>
    <t>Totals</t>
  </si>
  <si>
    <t>To be filled in ONLY where cash grants have been claimed in lieu of additional deductions</t>
  </si>
  <si>
    <t>(deduction)</t>
  </si>
  <si>
    <t>TOTALS</t>
  </si>
  <si>
    <t>SHA02</t>
  </si>
  <si>
    <t>Amortisation of goodwill</t>
  </si>
  <si>
    <t>G106</t>
  </si>
  <si>
    <t>I106</t>
  </si>
  <si>
    <t>I109</t>
  </si>
  <si>
    <t>I110</t>
  </si>
  <si>
    <t>Depreciation of computers and electronic equipment</t>
  </si>
  <si>
    <t>Depreciation of computer software</t>
  </si>
  <si>
    <t>Transfer value</t>
  </si>
  <si>
    <t>Tax Relieved</t>
  </si>
  <si>
    <t>Tax relieved by ITCr</t>
  </si>
  <si>
    <t>Non-distributable reserves</t>
  </si>
  <si>
    <t>Total Reserves</t>
  </si>
  <si>
    <t xml:space="preserve">The two worksheets containing the TIFD component are protected.  They include macros that will restrict the print area to value fields only.  If multiple lines of business are present in the income statement you have to indicate the activity number to be printed in cell C 296.  Once data input is complete: </t>
  </si>
  <si>
    <t>DIR08</t>
  </si>
  <si>
    <t>B50</t>
  </si>
  <si>
    <t>E50</t>
  </si>
  <si>
    <t>M50</t>
  </si>
  <si>
    <t>Q50</t>
  </si>
  <si>
    <t>DIR09</t>
  </si>
  <si>
    <t>loss ??</t>
  </si>
  <si>
    <t>TRA 01</t>
  </si>
  <si>
    <t>TRA 02</t>
  </si>
  <si>
    <t>BPA - Regulation 13 - Incentive for job creation</t>
  </si>
  <si>
    <t>TRA 03</t>
  </si>
  <si>
    <t>Other statutory inflation of expenditure</t>
  </si>
  <si>
    <t>TRA 04</t>
  </si>
  <si>
    <t>ITA - Balancing statement</t>
  </si>
  <si>
    <t>TRA 05</t>
  </si>
  <si>
    <t xml:space="preserve">ITA - Capital allowances </t>
  </si>
  <si>
    <t>TRA 06</t>
  </si>
  <si>
    <t>BPA [Article 7] - Investment Allowance</t>
  </si>
  <si>
    <t>TRA 07</t>
  </si>
  <si>
    <t>Accumulated depreciation of deferred charges</t>
  </si>
  <si>
    <t>Total long-term assets</t>
  </si>
  <si>
    <t>Total Fixed Assets</t>
  </si>
  <si>
    <t>Stocks</t>
  </si>
  <si>
    <t>Stock of goods finished goods</t>
  </si>
  <si>
    <t>Stock of goods held for resale</t>
  </si>
  <si>
    <t>TRA 71</t>
  </si>
  <si>
    <t>is claiming benefits under the Business Promotion Act (Cap. 325) and Regulations</t>
  </si>
  <si>
    <t>Long-term investments</t>
  </si>
  <si>
    <t>O48</t>
  </si>
  <si>
    <t>R48</t>
  </si>
  <si>
    <t>O49</t>
  </si>
  <si>
    <t>R49</t>
  </si>
  <si>
    <t>O50</t>
  </si>
  <si>
    <t>A0826</t>
  </si>
  <si>
    <t>A40</t>
  </si>
  <si>
    <t>A0827</t>
  </si>
  <si>
    <t>A41</t>
  </si>
  <si>
    <t>A0828</t>
  </si>
  <si>
    <t>A42</t>
  </si>
  <si>
    <t>A0829</t>
  </si>
  <si>
    <t>A0830</t>
  </si>
  <si>
    <t>A0901</t>
  </si>
  <si>
    <t>A0902</t>
  </si>
  <si>
    <t>finance lease</t>
  </si>
  <si>
    <t>Motor Vehicles</t>
  </si>
  <si>
    <t>Aggregate tax credit entitlement for the year, in terms of Regulations 32 to 36</t>
  </si>
  <si>
    <t xml:space="preserve">Certificate reference </t>
  </si>
  <si>
    <t xml:space="preserve">Purpose of donation </t>
  </si>
  <si>
    <t>Research, innovation and development</t>
  </si>
  <si>
    <t xml:space="preserve">TRA 60  </t>
  </si>
  <si>
    <t>TRA 68</t>
  </si>
  <si>
    <t>ITA - LN  171 of 2010 - Deduction (Pharmacy of your choice) Rules, 2010 [POYC]</t>
  </si>
  <si>
    <t>ITA - LN 187 of 2010 - Donations (University research, Innovation &amp; Development) Rules, 2010</t>
  </si>
  <si>
    <t xml:space="preserve"> Insert N/A and 0 if not reflected in income statement!</t>
  </si>
  <si>
    <t>Particulars of Qualifying Individual(s) in respect of whom benefit(s) are being claimed</t>
  </si>
  <si>
    <t>Details about Pharmacy outlets</t>
  </si>
  <si>
    <t xml:space="preserve">Exchange rate to the Euro ( € 1 =    </t>
  </si>
  <si>
    <t>Taxed Income Relieved</t>
  </si>
  <si>
    <t>Retained earnings brought forward</t>
  </si>
  <si>
    <t>B85</t>
  </si>
  <si>
    <t>C85</t>
  </si>
  <si>
    <t>D85</t>
  </si>
  <si>
    <t>E85</t>
  </si>
  <si>
    <t>F85</t>
  </si>
  <si>
    <t>A1659</t>
  </si>
  <si>
    <t>B86</t>
  </si>
  <si>
    <t>C86</t>
  </si>
  <si>
    <t>D86</t>
  </si>
  <si>
    <t>E86</t>
  </si>
  <si>
    <t>F86</t>
  </si>
  <si>
    <t>A1660</t>
  </si>
  <si>
    <t>D87</t>
  </si>
  <si>
    <t>E87</t>
  </si>
  <si>
    <t>Total expenditure incurred to date</t>
  </si>
  <si>
    <t xml:space="preserve">Total deductions for the year     </t>
  </si>
  <si>
    <t>Have all the conditions for entitlement under the Rules been satisfied?</t>
  </si>
  <si>
    <t>Accumulated depreciation of capital leases - vehicles</t>
  </si>
  <si>
    <t>Capital leases - others</t>
  </si>
  <si>
    <t>GENERAL</t>
  </si>
  <si>
    <t>TRA 21</t>
  </si>
  <si>
    <t>QUE37</t>
  </si>
  <si>
    <t>G57</t>
  </si>
  <si>
    <t>QUE38</t>
  </si>
  <si>
    <t>G58</t>
  </si>
  <si>
    <t>F6</t>
  </si>
  <si>
    <t>F8</t>
  </si>
  <si>
    <t>F9</t>
  </si>
  <si>
    <t>B11</t>
  </si>
  <si>
    <t>F11</t>
  </si>
  <si>
    <t>B12</t>
  </si>
  <si>
    <t>Acquisition Value</t>
  </si>
  <si>
    <t>Interest from foreign banks</t>
  </si>
  <si>
    <t>Q80</t>
  </si>
  <si>
    <t xml:space="preserve">     Approved Eligible costs:     </t>
  </si>
  <si>
    <t xml:space="preserve">     Tax credit approved:     </t>
  </si>
  <si>
    <t>Tax Credit Utilisation</t>
  </si>
  <si>
    <t xml:space="preserve">Excess Tax credit brought forward:     </t>
  </si>
  <si>
    <t xml:space="preserve">Tax credits available for the current year of assessment:     </t>
  </si>
  <si>
    <t xml:space="preserve">Tax credit utilised for the current year of assessment:     </t>
  </si>
  <si>
    <t xml:space="preserve">Excess Tax credit carried forward:     </t>
  </si>
  <si>
    <t xml:space="preserve">Income the tax on which is deemed relieved by the tax credit:     </t>
  </si>
  <si>
    <t>Max for year</t>
  </si>
  <si>
    <t>Inflated total expenditure</t>
  </si>
  <si>
    <t>Previous</t>
  </si>
  <si>
    <t>Outlet 1</t>
  </si>
  <si>
    <t>Approved and Claimed for the first time Current year</t>
  </si>
  <si>
    <t>Expenditure already approved and claimed in previous years</t>
  </si>
  <si>
    <t>Name of Pharmacy</t>
  </si>
  <si>
    <t>Locality</t>
  </si>
  <si>
    <t>Approval reference number</t>
  </si>
  <si>
    <t>Actual Capital expenditure incurred</t>
  </si>
  <si>
    <t>Due from and / or investment in related parties</t>
  </si>
  <si>
    <t xml:space="preserve">Shares in local related Companies </t>
  </si>
  <si>
    <t>Q46</t>
  </si>
  <si>
    <t>DIR05</t>
  </si>
  <si>
    <t>Tax credits [expenditure incurred in previous years]</t>
  </si>
  <si>
    <t>Repairs and maintenance - aircraft</t>
  </si>
  <si>
    <t>Repairs and maintenance - machinery and equipment</t>
  </si>
  <si>
    <t>Supplies</t>
  </si>
  <si>
    <t>B46</t>
  </si>
  <si>
    <t>F46</t>
  </si>
  <si>
    <t>32</t>
  </si>
  <si>
    <t>F48</t>
  </si>
  <si>
    <t>Year when amount was charged to tax</t>
  </si>
  <si>
    <t>Relevant Invoice number</t>
  </si>
  <si>
    <t>Amount of bad debt written off</t>
  </si>
  <si>
    <t>IT reference / ID number</t>
  </si>
  <si>
    <t>C88</t>
  </si>
  <si>
    <t>A1203</t>
  </si>
  <si>
    <t>B91</t>
  </si>
  <si>
    <t>C91</t>
  </si>
  <si>
    <t>A1204</t>
  </si>
  <si>
    <t>A92</t>
  </si>
  <si>
    <t>B92</t>
  </si>
  <si>
    <t>US Dollars</t>
  </si>
  <si>
    <t xml:space="preserve">Company description for the purposes of Regulation 2      </t>
  </si>
  <si>
    <t>Small undertaking</t>
  </si>
  <si>
    <t>Medium undertaking</t>
  </si>
  <si>
    <t>Amount of qualifying expenditure [Regulation 4 (1) (a)]</t>
  </si>
  <si>
    <t>Percentage as per Reg. 4(1)</t>
  </si>
  <si>
    <t>Large enterprise</t>
  </si>
  <si>
    <t>Amount of wage costs [Regulation 4 (1) (b)]</t>
  </si>
  <si>
    <t>Maximum Tax Credit for the year</t>
  </si>
  <si>
    <t>ITA - LN 428 of 2010 - Deduction (Workplace Accessibility) Rules, 2010</t>
  </si>
  <si>
    <t>Accumulated amortisation of intangible assets</t>
  </si>
  <si>
    <t>Goodwill</t>
  </si>
  <si>
    <t xml:space="preserve">If ME approved a different percentage please disclose the following details: </t>
  </si>
  <si>
    <t>A4816</t>
  </si>
  <si>
    <t>A4814</t>
  </si>
  <si>
    <t>A4815</t>
  </si>
  <si>
    <t>Sum of fields 37a to 37c must be equal to the amount in field 36a!</t>
  </si>
  <si>
    <t>Check FWT in relation to gross interest!</t>
  </si>
  <si>
    <t xml:space="preserve">Delete! No interest subject to FWT reported! </t>
  </si>
  <si>
    <t>Unavailed expenditure b/fwd from previous year(s)</t>
  </si>
  <si>
    <t>Table E - Rule 11(4)</t>
  </si>
  <si>
    <t>Available Expenditure</t>
  </si>
  <si>
    <t>Interests subject to 15% FWT</t>
  </si>
  <si>
    <t>Available Investment Tax Credit for the year</t>
  </si>
  <si>
    <t>Available</t>
  </si>
  <si>
    <t>Inflated Investment Tax Credit b/fwd deferred to other years</t>
  </si>
  <si>
    <t xml:space="preserve">   Have all the conditions for claiming the benefit been satisfied?</t>
  </si>
  <si>
    <t>21a</t>
  </si>
  <si>
    <t>Pipeline Infrastructure</t>
  </si>
  <si>
    <t>F97</t>
  </si>
  <si>
    <t>G97</t>
  </si>
  <si>
    <t>H97</t>
  </si>
  <si>
    <t>I97</t>
  </si>
  <si>
    <t>J97</t>
  </si>
  <si>
    <t>Deduction for Restoration Works [Rule 4]</t>
  </si>
  <si>
    <t>C57</t>
  </si>
  <si>
    <t>D57</t>
  </si>
  <si>
    <t>H57</t>
  </si>
  <si>
    <t>I57</t>
  </si>
  <si>
    <t>J57</t>
  </si>
  <si>
    <t>K57</t>
  </si>
  <si>
    <t>CZ</t>
  </si>
  <si>
    <t>DK</t>
  </si>
  <si>
    <t>ES</t>
  </si>
  <si>
    <t>FI</t>
  </si>
  <si>
    <t>DE</t>
  </si>
  <si>
    <t>EL</t>
  </si>
  <si>
    <t>HU</t>
  </si>
  <si>
    <t>IE</t>
  </si>
  <si>
    <t>IT</t>
  </si>
  <si>
    <t>LV</t>
  </si>
  <si>
    <t>LI</t>
  </si>
  <si>
    <t>NL</t>
  </si>
  <si>
    <t>PL</t>
  </si>
  <si>
    <t>PT</t>
  </si>
  <si>
    <t>RO</t>
  </si>
  <si>
    <t>SK</t>
  </si>
  <si>
    <t>SI</t>
  </si>
  <si>
    <t>SE</t>
  </si>
  <si>
    <t>LU</t>
  </si>
  <si>
    <t>TAX A/c!</t>
  </si>
  <si>
    <t>Cost!!</t>
  </si>
  <si>
    <t>O66</t>
  </si>
  <si>
    <t>Other expenditure on scientific research that can be claimed for the year</t>
  </si>
  <si>
    <t>IPA</t>
  </si>
  <si>
    <t>&lt;Maximum Exceeded</t>
  </si>
  <si>
    <t>res</t>
  </si>
  <si>
    <t>M44</t>
  </si>
  <si>
    <t>Q44</t>
  </si>
  <si>
    <t>Equipment used for construction of buildings and excavation</t>
  </si>
  <si>
    <t>Eq't used for the production of water or electricity</t>
  </si>
  <si>
    <t xml:space="preserve"> Negative?</t>
  </si>
  <si>
    <t>Unutilised Training Tax Credit</t>
  </si>
  <si>
    <t>A0216</t>
  </si>
  <si>
    <t>A29</t>
  </si>
  <si>
    <t>D29</t>
  </si>
  <si>
    <t>Tax credit converted to other form of assistance under these Regulations</t>
  </si>
  <si>
    <t>Tax credit for the year</t>
  </si>
  <si>
    <t>Aid Intensity claimed under other incentives</t>
  </si>
  <si>
    <t>Incentive for the year</t>
  </si>
  <si>
    <t>Add</t>
  </si>
  <si>
    <t>Unutilised Tax Credit brought forward</t>
  </si>
  <si>
    <t>STA90</t>
  </si>
  <si>
    <t>STA91</t>
  </si>
  <si>
    <t>STA92</t>
  </si>
  <si>
    <t>Company not entitled to SME Special Rates!</t>
  </si>
  <si>
    <t>Excessive tax credit rate(s)?</t>
  </si>
  <si>
    <t>Total Expenditure on agricultural activities</t>
  </si>
  <si>
    <t>Net Income from agricultural activities</t>
  </si>
  <si>
    <t xml:space="preserve">Expenditure apportioned </t>
  </si>
  <si>
    <t>Deemed Income</t>
  </si>
  <si>
    <t>A5612</t>
  </si>
  <si>
    <t>A5613</t>
  </si>
  <si>
    <t>A5614</t>
  </si>
  <si>
    <t>A5615</t>
  </si>
  <si>
    <t>A5616</t>
  </si>
  <si>
    <t>A5617</t>
  </si>
  <si>
    <t>A5618</t>
  </si>
  <si>
    <t>A5701</t>
  </si>
  <si>
    <t>A5702</t>
  </si>
  <si>
    <t>A5703</t>
  </si>
  <si>
    <t>A5704</t>
  </si>
  <si>
    <t>A5705</t>
  </si>
  <si>
    <t>A5706</t>
  </si>
  <si>
    <t>A5707</t>
  </si>
  <si>
    <t>A5708</t>
  </si>
  <si>
    <t>A5709</t>
  </si>
  <si>
    <t>A5710</t>
  </si>
  <si>
    <t>A5711</t>
  </si>
  <si>
    <t>A5712</t>
  </si>
  <si>
    <t>A5713</t>
  </si>
  <si>
    <t>A5714</t>
  </si>
  <si>
    <t>A5715</t>
  </si>
  <si>
    <t>A5716</t>
  </si>
  <si>
    <t>A5717</t>
  </si>
  <si>
    <t>A5801</t>
  </si>
  <si>
    <t>A5802</t>
  </si>
  <si>
    <t>A5803</t>
  </si>
  <si>
    <t>A5804</t>
  </si>
  <si>
    <t>A5805</t>
  </si>
  <si>
    <t>A5806</t>
  </si>
  <si>
    <t>A5807</t>
  </si>
  <si>
    <t>A5808</t>
  </si>
  <si>
    <t>A5809</t>
  </si>
  <si>
    <t>A5810</t>
  </si>
  <si>
    <t>A5811</t>
  </si>
  <si>
    <t>A5812</t>
  </si>
  <si>
    <t>A5813</t>
  </si>
  <si>
    <t>A5814</t>
  </si>
  <si>
    <t>A5815</t>
  </si>
  <si>
    <t>A5816</t>
  </si>
  <si>
    <t>A5817</t>
  </si>
  <si>
    <t>A5818</t>
  </si>
  <si>
    <t>A6501</t>
  </si>
  <si>
    <t>A6502</t>
  </si>
  <si>
    <t>A6503</t>
  </si>
  <si>
    <t>A6504</t>
  </si>
  <si>
    <t>A6505</t>
  </si>
  <si>
    <t>A6506</t>
  </si>
  <si>
    <t>A6507</t>
  </si>
  <si>
    <t>A6508</t>
  </si>
  <si>
    <t>A6509</t>
  </si>
  <si>
    <t>A6510</t>
  </si>
  <si>
    <t>A6511</t>
  </si>
  <si>
    <t>A6512</t>
  </si>
  <si>
    <t>SUMMARY STATEMENT</t>
  </si>
  <si>
    <t>TRA 28</t>
  </si>
  <si>
    <t>Tax Credits</t>
  </si>
  <si>
    <t>A3401</t>
  </si>
  <si>
    <t>C129</t>
  </si>
  <si>
    <t>D129</t>
  </si>
  <si>
    <t>E129</t>
  </si>
  <si>
    <t>F129</t>
  </si>
  <si>
    <t>A1687</t>
  </si>
  <si>
    <t>C63</t>
  </si>
  <si>
    <t>D63</t>
  </si>
  <si>
    <t>-    the worksheets will list only the value fields that need to be printed.</t>
  </si>
  <si>
    <t>-    click on the Print set-up button at the bottom of the sheet;</t>
  </si>
  <si>
    <t>A0611</t>
  </si>
  <si>
    <t>A0612</t>
  </si>
  <si>
    <t>A0613</t>
  </si>
  <si>
    <t>A0614</t>
  </si>
  <si>
    <t>A0615</t>
  </si>
  <si>
    <t>A0616</t>
  </si>
  <si>
    <t>A0617</t>
  </si>
  <si>
    <t>A0618</t>
  </si>
  <si>
    <t>A0619</t>
  </si>
  <si>
    <t>A0620</t>
  </si>
  <si>
    <t>A0621</t>
  </si>
  <si>
    <t>A0622</t>
  </si>
  <si>
    <t>A0623</t>
  </si>
  <si>
    <t>A0624</t>
  </si>
  <si>
    <t>Receipt Date</t>
  </si>
  <si>
    <t>P29</t>
  </si>
  <si>
    <t>N30</t>
  </si>
  <si>
    <t>P30</t>
  </si>
  <si>
    <t>75</t>
  </si>
  <si>
    <t>76</t>
  </si>
  <si>
    <t>77</t>
  </si>
  <si>
    <t>78</t>
  </si>
  <si>
    <t>79</t>
  </si>
  <si>
    <t>80</t>
  </si>
  <si>
    <t>81</t>
  </si>
  <si>
    <t>82</t>
  </si>
  <si>
    <t>83</t>
  </si>
  <si>
    <t>84</t>
  </si>
  <si>
    <t>85</t>
  </si>
  <si>
    <t>86</t>
  </si>
  <si>
    <t>87</t>
  </si>
  <si>
    <t>88</t>
  </si>
  <si>
    <t>89</t>
  </si>
  <si>
    <t>90</t>
  </si>
  <si>
    <t>91</t>
  </si>
  <si>
    <t>92</t>
  </si>
  <si>
    <t>93</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</si>
  <si>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</si>
  <si>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</si>
  <si>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</si>
  <si>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</si>
  <si>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</si>
  <si>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</si>
  <si>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</si>
  <si>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</si>
  <si>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</si>
  <si>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</si>
  <si>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</si>
  <si>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</si>
  <si>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</si>
  <si>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</si>
  <si>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</si>
  <si>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</si>
  <si>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</si>
  <si>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</si>
  <si>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</si>
  <si>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</si>
  <si>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</si>
  <si>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</si>
  <si>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</si>
  <si>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</si>
  <si>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</si>
  <si>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</si>
  <si>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</si>
  <si>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</si>
  <si>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</si>
  <si>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Q33</t>
  </si>
  <si>
    <t>S33</t>
  </si>
  <si>
    <t>O35</t>
  </si>
  <si>
    <t>Q35</t>
  </si>
  <si>
    <t>S35</t>
  </si>
  <si>
    <t>U35</t>
  </si>
  <si>
    <t>Q37</t>
  </si>
  <si>
    <t>S37</t>
  </si>
  <si>
    <t>Q41</t>
  </si>
  <si>
    <t>S41</t>
  </si>
  <si>
    <t>S45</t>
  </si>
  <si>
    <t>S47</t>
  </si>
  <si>
    <t>ITA - Collective Investment Scheme - Relocation</t>
  </si>
  <si>
    <t>Relocation from the FTA - CIS &amp; other</t>
  </si>
  <si>
    <t>Berthing and moorage (boats)</t>
  </si>
  <si>
    <t>Storage</t>
  </si>
  <si>
    <t>Quota rental</t>
  </si>
  <si>
    <t>Repairs and maintenance</t>
  </si>
  <si>
    <t>A3012</t>
  </si>
  <si>
    <t>A3101</t>
  </si>
  <si>
    <t>D4</t>
  </si>
  <si>
    <t>A3102</t>
  </si>
  <si>
    <t>C5</t>
  </si>
  <si>
    <t>A3103</t>
  </si>
  <si>
    <t>A3104</t>
  </si>
  <si>
    <t>A3105</t>
  </si>
  <si>
    <t>A3106</t>
  </si>
  <si>
    <t>A3107</t>
  </si>
  <si>
    <t>A3108</t>
  </si>
  <si>
    <t>A3109</t>
  </si>
  <si>
    <t>A3110</t>
  </si>
  <si>
    <t>Accumulated depreciation of capital leases - buildings</t>
  </si>
  <si>
    <t>Capital leases - machinery and equipment</t>
  </si>
  <si>
    <t>You are required to maintain and provide on request the individual records for recoveries lumped together in the same level of detail as above.</t>
  </si>
  <si>
    <t>Profits subject to a FWT and other Statutory deductions</t>
  </si>
  <si>
    <t>Tax Account</t>
  </si>
  <si>
    <t>A4828</t>
  </si>
  <si>
    <t>O83</t>
  </si>
  <si>
    <t>A5101</t>
  </si>
  <si>
    <t>A5102</t>
  </si>
  <si>
    <t>A5103</t>
  </si>
  <si>
    <t>A5104</t>
  </si>
  <si>
    <t>A5105</t>
  </si>
  <si>
    <t>A5106</t>
  </si>
  <si>
    <t>A5107</t>
  </si>
  <si>
    <t>A5108</t>
  </si>
  <si>
    <t>A5109</t>
  </si>
  <si>
    <t>A5110</t>
  </si>
  <si>
    <t>A5111</t>
  </si>
  <si>
    <t>A5112</t>
  </si>
  <si>
    <t>A5113</t>
  </si>
  <si>
    <t>A5114</t>
  </si>
  <si>
    <t>A5115</t>
  </si>
  <si>
    <t>Under which description does the R &amp; D activity fall?</t>
  </si>
  <si>
    <t>Industrial Research</t>
  </si>
  <si>
    <t>Long-term loans due to corporate shareholder(s)</t>
  </si>
  <si>
    <t>Long-term loans due to director(s)</t>
  </si>
  <si>
    <t>A5123</t>
  </si>
  <si>
    <t>A5124</t>
  </si>
  <si>
    <t>A5125</t>
  </si>
  <si>
    <t>A5126</t>
  </si>
  <si>
    <t>A5127</t>
  </si>
  <si>
    <t>A5128</t>
  </si>
  <si>
    <t>A5129</t>
  </si>
  <si>
    <t>A5130</t>
  </si>
  <si>
    <t>L33</t>
  </si>
  <si>
    <t>L39</t>
  </si>
  <si>
    <t>A6003</t>
  </si>
  <si>
    <t>A6004</t>
  </si>
  <si>
    <t>A6005</t>
  </si>
  <si>
    <t>A6006</t>
  </si>
  <si>
    <t>A6007</t>
  </si>
  <si>
    <t>A6008</t>
  </si>
  <si>
    <t>A6009</t>
  </si>
  <si>
    <t>A6010</t>
  </si>
  <si>
    <t>A6011</t>
  </si>
  <si>
    <t>TRA42</t>
  </si>
  <si>
    <t>A0142</t>
  </si>
  <si>
    <t>A0143</t>
  </si>
  <si>
    <t>A0144</t>
  </si>
  <si>
    <t>H106</t>
  </si>
  <si>
    <t>I declare that this form contains a full and correct return of the required particulars for the year.</t>
  </si>
  <si>
    <t>Group Loss Claimed</t>
  </si>
  <si>
    <t>M31</t>
  </si>
  <si>
    <t>J51</t>
  </si>
  <si>
    <t>K51</t>
  </si>
  <si>
    <t>H87</t>
  </si>
  <si>
    <t>I87</t>
  </si>
  <si>
    <t>G88</t>
  </si>
  <si>
    <t>H88</t>
  </si>
  <si>
    <t>I88</t>
  </si>
  <si>
    <t>G89</t>
  </si>
  <si>
    <t>H89</t>
  </si>
  <si>
    <t>I89</t>
  </si>
  <si>
    <t>Accumulated depreciation of land improvements</t>
  </si>
  <si>
    <t xml:space="preserve">Interest, fees and any other consideration directly or indirectly related to the granting of loans or from any form of credit to finance acquisition, development, refurbishment, renovation of immovable property or rights, etc [Reg 5 (3) (e) (i)] </t>
  </si>
  <si>
    <t>Aggregate surface area of all floors of such premises [square metres]</t>
  </si>
  <si>
    <t xml:space="preserve">RATE [€ 250 (or equivalent) per square metre] </t>
  </si>
  <si>
    <t>Amount of annual market rent for the year less consideration paid</t>
  </si>
  <si>
    <t>Total amount that may be allocated for the year</t>
  </si>
  <si>
    <t>Amount allocated for the CURRENT YEAR of ASSESSMENT</t>
  </si>
  <si>
    <t xml:space="preserve">Income Statement that are not reported under the Final Settlement System?       </t>
  </si>
  <si>
    <t>PART 4 - RECORD OF RESERVES AND DISTRIBUTIONS</t>
  </si>
  <si>
    <t>Final tax Account</t>
  </si>
  <si>
    <t>Immovable property Account</t>
  </si>
  <si>
    <t>Maltese Taxed account</t>
  </si>
  <si>
    <t>ITA - LN 139 of 2008 Donations (Sports and Culture) Rules, 2008  [Sports]</t>
  </si>
  <si>
    <t>You can now proceed with the print job - the print area has been pre-set.  Each worksheet has another button to remove the print set-up.</t>
  </si>
  <si>
    <t>Proportion of Income tax due from which tax credits shall be deducted</t>
  </si>
  <si>
    <t>Due from and / or investment in foreign related parties</t>
  </si>
  <si>
    <t>Soft loans</t>
  </si>
  <si>
    <t>Interest income after deducting direct expenses</t>
  </si>
  <si>
    <t>Participating holdings</t>
  </si>
  <si>
    <t>page 6 layout</t>
  </si>
  <si>
    <t>Option under Article 48(A)(b)(i)(1) of the ITMA</t>
  </si>
  <si>
    <t>Deferred income [current portion]</t>
  </si>
  <si>
    <t>A4727</t>
  </si>
  <si>
    <t>A4728</t>
  </si>
  <si>
    <t>A4729</t>
  </si>
  <si>
    <t>Income Tax Reference Number</t>
  </si>
  <si>
    <t>Amount Paid</t>
  </si>
  <si>
    <t>Brokerage Fees</t>
  </si>
  <si>
    <t>A3710</t>
  </si>
  <si>
    <t>QUE41</t>
  </si>
  <si>
    <t>QUE42</t>
  </si>
  <si>
    <t>QUE43</t>
  </si>
  <si>
    <t>QUE44</t>
  </si>
  <si>
    <t>QUE45</t>
  </si>
  <si>
    <t>QUE46</t>
  </si>
  <si>
    <t>A120</t>
  </si>
  <si>
    <t>A1310</t>
  </si>
  <si>
    <t>A1827</t>
  </si>
  <si>
    <t>A5328</t>
  </si>
  <si>
    <t>A5329</t>
  </si>
  <si>
    <t>A5330</t>
  </si>
  <si>
    <t>A6016</t>
  </si>
  <si>
    <t>A6017</t>
  </si>
  <si>
    <t>A6018</t>
  </si>
  <si>
    <t>A6206</t>
  </si>
  <si>
    <t>A6207</t>
  </si>
  <si>
    <t>A4237</t>
  </si>
  <si>
    <t>Ordinary Share Capital</t>
  </si>
  <si>
    <t>A0801</t>
  </si>
  <si>
    <t>IV6</t>
  </si>
  <si>
    <t>IV7</t>
  </si>
  <si>
    <t>IV8</t>
  </si>
  <si>
    <t>IV9</t>
  </si>
  <si>
    <t>IV10</t>
  </si>
  <si>
    <t>IV11</t>
  </si>
  <si>
    <t>IV12</t>
  </si>
  <si>
    <t>IV13</t>
  </si>
  <si>
    <t>IV14</t>
  </si>
  <si>
    <t>IV15</t>
  </si>
  <si>
    <t>IV16</t>
  </si>
  <si>
    <t>IV17</t>
  </si>
  <si>
    <t>IV18</t>
  </si>
  <si>
    <t>IV19</t>
  </si>
  <si>
    <t>IV20</t>
  </si>
  <si>
    <t>IV21</t>
  </si>
  <si>
    <t>IV22</t>
  </si>
  <si>
    <t>IV23</t>
  </si>
  <si>
    <t>IV24</t>
  </si>
  <si>
    <t>IV25</t>
  </si>
  <si>
    <t>IV26</t>
  </si>
  <si>
    <t>IV27</t>
  </si>
  <si>
    <t>TRA 61</t>
  </si>
  <si>
    <t xml:space="preserve">Inflated </t>
  </si>
  <si>
    <t>ITA - LN 333 of 2005  -  Tax Credit [Electronic Commerce]</t>
  </si>
  <si>
    <t>A2306</t>
  </si>
  <si>
    <t>A2307</t>
  </si>
  <si>
    <t>A2308</t>
  </si>
  <si>
    <t>A2309</t>
  </si>
  <si>
    <t>A2310</t>
  </si>
  <si>
    <t>Net Income/(Loss) after loss surrender to group companies</t>
  </si>
  <si>
    <t>4(1)(e)</t>
  </si>
  <si>
    <t>Net Income from Rent(s)</t>
  </si>
  <si>
    <t>Net Income from Ground Rent(s)</t>
  </si>
  <si>
    <t>Current year losses from other group companies</t>
  </si>
  <si>
    <t>Totals  &gt;</t>
  </si>
  <si>
    <t>ITA - Dividends</t>
  </si>
  <si>
    <t>A0325</t>
  </si>
  <si>
    <t>A0326</t>
  </si>
  <si>
    <t>A0327</t>
  </si>
  <si>
    <t>A0401</t>
  </si>
  <si>
    <t>Directors' Remuneration</t>
  </si>
  <si>
    <t>Gross discounts or premiums received / receivable</t>
  </si>
  <si>
    <t>QUE35</t>
  </si>
  <si>
    <t>Rate used for the current year</t>
  </si>
  <si>
    <t>W.D.V. at start of year</t>
  </si>
  <si>
    <t>Other Long-term liabilities</t>
  </si>
  <si>
    <t>Long term obligations and / or commitments and / or capital leases</t>
  </si>
  <si>
    <t>Provision for guarantees, warranties, or indemnities</t>
  </si>
  <si>
    <t>Deferred revenue from incomplete contracts</t>
  </si>
  <si>
    <t>Deferred tax</t>
  </si>
  <si>
    <t>Total long term liabilities</t>
  </si>
  <si>
    <t>TOTAL LIABILITIES</t>
  </si>
  <si>
    <t>Capital</t>
  </si>
  <si>
    <t>I&amp;B res</t>
  </si>
  <si>
    <t>No dividends reported as paid on page 2!</t>
  </si>
  <si>
    <t>Dividends reported as paid on page 2!</t>
  </si>
  <si>
    <t>Second Allocation to the Immovable Property Account</t>
  </si>
  <si>
    <t>is claiming as a deduction any interest, discount or premium paid or payable to a person not resident in Malta [Art 26(h) of the ITA]</t>
  </si>
  <si>
    <t>TOTAL Immovable Property Account unallocated amount CARRIED FORWARD</t>
  </si>
  <si>
    <t>TOTAL amounts ALLOCATED for the Year</t>
  </si>
  <si>
    <t>Transfer and / or deemed transfer of a full or partial interest in a partnership (ITA Art 5(1)(a) (v))</t>
  </si>
  <si>
    <t>TRA 57</t>
  </si>
  <si>
    <t>TRA 58</t>
  </si>
  <si>
    <t>TRA 59</t>
  </si>
  <si>
    <t>Disposals at Cost</t>
  </si>
  <si>
    <t>Disposals at W.D.V.</t>
  </si>
  <si>
    <t>Assets at cost    c/fwd</t>
  </si>
  <si>
    <t>WDV c/fwd</t>
  </si>
  <si>
    <t>New</t>
  </si>
  <si>
    <t>Used</t>
  </si>
  <si>
    <t>D54</t>
  </si>
  <si>
    <t>F54</t>
  </si>
  <si>
    <t>H54</t>
  </si>
  <si>
    <t>I54</t>
  </si>
  <si>
    <t>Accelerated Depreciation</t>
  </si>
  <si>
    <t>Other types of foreign income</t>
  </si>
  <si>
    <t>Provision for loan losses</t>
  </si>
  <si>
    <t>U26</t>
  </si>
  <si>
    <t>SHA19</t>
  </si>
  <si>
    <t>E27</t>
  </si>
  <si>
    <t>L27</t>
  </si>
  <si>
    <t>M27</t>
  </si>
  <si>
    <t>Q27</t>
  </si>
  <si>
    <t>S27</t>
  </si>
  <si>
    <t>Increased deduction not allowed in previous years due to 5% of turnover limitation b/fwd</t>
  </si>
  <si>
    <t>Act</t>
  </si>
  <si>
    <t>J69</t>
  </si>
  <si>
    <t>Min</t>
  </si>
  <si>
    <t>Net income from Royalties, etc.</t>
  </si>
  <si>
    <t>4(1)(g)</t>
  </si>
  <si>
    <t>Other income</t>
  </si>
  <si>
    <t>Unabsorbed Trading Losses c/fwd</t>
  </si>
  <si>
    <t>Deposit liabilities</t>
  </si>
  <si>
    <t>export incentive scheme</t>
  </si>
  <si>
    <t>D82</t>
  </si>
  <si>
    <t>E82</t>
  </si>
  <si>
    <t xml:space="preserve">  Page 6</t>
  </si>
  <si>
    <t>Employer's Share of Social Security Contributions</t>
  </si>
  <si>
    <t>cost c/f</t>
  </si>
  <si>
    <t>W&amp;t</t>
  </si>
  <si>
    <t xml:space="preserve">Certificate issued by MDC  -  Ref:   </t>
  </si>
  <si>
    <t xml:space="preserve">Does the company qualify as an SME ?  </t>
  </si>
  <si>
    <t>Depreciation of petroleum and natural gas properties</t>
  </si>
  <si>
    <t>Number of Shares held</t>
  </si>
  <si>
    <t>Class of Shares</t>
  </si>
  <si>
    <t xml:space="preserve">TRA 35 </t>
  </si>
  <si>
    <t>Further Return</t>
  </si>
  <si>
    <t>Adjustment Form</t>
  </si>
  <si>
    <t>FR</t>
  </si>
  <si>
    <t>AF2</t>
  </si>
  <si>
    <t>c)   Where applicable, the written approval by E.T.C., for training programmes provided by employers to qualifying individuals</t>
  </si>
  <si>
    <t>Tax Credit Available - current year</t>
  </si>
  <si>
    <t>Tax credit brought forward</t>
  </si>
  <si>
    <t>Tax Credit  Utilised  - current year</t>
  </si>
  <si>
    <t xml:space="preserve">Income subject to the FWT Tax under the Investment Income provisions </t>
  </si>
  <si>
    <t>has carried out trading activities during the year</t>
  </si>
  <si>
    <t>Have there been any claims for wear and tear deductions in respect of any of the above electric vehicles?</t>
  </si>
  <si>
    <t xml:space="preserve">IS ATTACHMENT COMPLETE [Y or N] ?     </t>
  </si>
  <si>
    <t>TRA 73</t>
  </si>
  <si>
    <t>ITA  -  LN 13 of 2011Deductions (Electric Vehicles) Rules 2011</t>
  </si>
  <si>
    <t>ITA  -  LN 13 of 2011 - Deductions (Electric Vehicles) Rules, 2011</t>
  </si>
  <si>
    <t>DEDUCTION 125% of Cost incurred</t>
  </si>
  <si>
    <t>TRA 74</t>
  </si>
  <si>
    <t>E93</t>
  </si>
  <si>
    <t>F93</t>
  </si>
  <si>
    <t>G93</t>
  </si>
  <si>
    <t>H93</t>
  </si>
  <si>
    <t>I93</t>
  </si>
  <si>
    <t>J93</t>
  </si>
  <si>
    <t>FIELDS 89a and 90a SHOULD NEVER BE BLANK OR EMPTY! INDICATE NIL VALUES BY A '0'</t>
  </si>
  <si>
    <t>STA94</t>
  </si>
  <si>
    <t>A98</t>
  </si>
  <si>
    <t>STA95</t>
  </si>
  <si>
    <t>A99</t>
  </si>
  <si>
    <t>STA96</t>
  </si>
  <si>
    <t>A100</t>
  </si>
  <si>
    <t>STA97</t>
  </si>
  <si>
    <t>A101</t>
  </si>
  <si>
    <t>STA98</t>
  </si>
  <si>
    <t>A102</t>
  </si>
  <si>
    <t>STA99</t>
  </si>
  <si>
    <t>A103</t>
  </si>
  <si>
    <t>C103</t>
  </si>
  <si>
    <t>A104</t>
  </si>
  <si>
    <t>C104</t>
  </si>
  <si>
    <t>A106</t>
  </si>
  <si>
    <t>C106</t>
  </si>
  <si>
    <t>A107</t>
  </si>
  <si>
    <t>C107</t>
  </si>
  <si>
    <t>A108</t>
  </si>
  <si>
    <t>C108</t>
  </si>
  <si>
    <t>A109</t>
  </si>
  <si>
    <t>C109</t>
  </si>
  <si>
    <t>A111</t>
  </si>
  <si>
    <t>A112</t>
  </si>
  <si>
    <t>L41</t>
  </si>
  <si>
    <t>L43</t>
  </si>
  <si>
    <t>L47</t>
  </si>
  <si>
    <t>L49</t>
  </si>
  <si>
    <t>A3418</t>
  </si>
  <si>
    <t>A0558</t>
  </si>
  <si>
    <t>B71</t>
  </si>
  <si>
    <t>C71</t>
  </si>
  <si>
    <t>D71</t>
  </si>
  <si>
    <t>E71</t>
  </si>
  <si>
    <t>F71</t>
  </si>
  <si>
    <t>Date of transfer</t>
  </si>
  <si>
    <t>Is the allowable R &amp; D expenditure financed by the EU under a framework programme?</t>
  </si>
  <si>
    <t>Qualifying R &amp; D Expenditure</t>
  </si>
  <si>
    <t>Loss surrendered to group companies</t>
  </si>
  <si>
    <t>Accumulated depreciation of ships and vessels</t>
  </si>
  <si>
    <t>Shipping equipment</t>
  </si>
  <si>
    <t>Provision for doubtful amounts in leases receivable</t>
  </si>
  <si>
    <t xml:space="preserve">Depreciation of Lifts and Escalators </t>
  </si>
  <si>
    <t>A49</t>
  </si>
  <si>
    <t>A1010</t>
  </si>
  <si>
    <t>A50</t>
  </si>
  <si>
    <t>A1011</t>
  </si>
  <si>
    <t>A1101</t>
  </si>
  <si>
    <t>Total scientific research expenditure of a capital nature</t>
  </si>
  <si>
    <t>B A C K   T O   I N D E X</t>
  </si>
  <si>
    <t>Rate!</t>
  </si>
  <si>
    <t>Amount!</t>
  </si>
  <si>
    <t>Act!</t>
  </si>
  <si>
    <t>Maximum tax credit that can be availed of</t>
  </si>
  <si>
    <t>Article 56(20) - ITA (Double Taxation Treaties)</t>
  </si>
  <si>
    <t>Trade accounts receivable from related parties</t>
  </si>
  <si>
    <t>Please indicate the turnover for the year</t>
  </si>
  <si>
    <t>Addit. DED</t>
  </si>
  <si>
    <t>Upper limit</t>
  </si>
  <si>
    <t>(13)(a) / (b)</t>
  </si>
  <si>
    <t>a &amp; b</t>
  </si>
  <si>
    <t>A</t>
  </si>
  <si>
    <t>D</t>
  </si>
  <si>
    <t>disabled</t>
  </si>
  <si>
    <t>is engaged in the business of exploration and the production of petroleum as regulated by Article 23 of the Income Tax Act</t>
  </si>
  <si>
    <t>Further deduction of an amount equal to the remaining total income of the securatisation vehicle [Rule 4(2)]</t>
  </si>
  <si>
    <t>Is the company or trust exercising the option under rule 4(2) of the Rules?</t>
  </si>
  <si>
    <t>ITA  -  LN 324 of 2011 - Securitisation Transactions (Deductions) Rules, 2011 [Rule 4(2)]</t>
  </si>
  <si>
    <t>ITA  -  LN 324 of 2011 - Securitisation Transactions (Deductions) Rules, 2011 [Rule 4(1)]</t>
  </si>
  <si>
    <t>LN 324 of 2011 - Securitisation vehicle - Rule 7(2)</t>
  </si>
  <si>
    <t>Country of Residence for Tax Purposes</t>
  </si>
  <si>
    <t>Deemed Income of relevant Originator or Assignor [LN324 of 2011 - Rule 6]</t>
  </si>
  <si>
    <t>Return / AF2 indicator / Viewing</t>
  </si>
  <si>
    <t>View</t>
  </si>
  <si>
    <t>RETURN /</t>
  </si>
  <si>
    <t>FURTHER RETURN</t>
  </si>
  <si>
    <t>Approval by the Malta Enterprise (Current year of assessment)</t>
  </si>
  <si>
    <t>Tax Identification Number (TIN) of country of residence</t>
  </si>
  <si>
    <t>Date of birth</t>
  </si>
  <si>
    <t>Details of Directors</t>
  </si>
  <si>
    <t>Shareholder Registration Number  
[where a Refund Registration has been made]</t>
  </si>
  <si>
    <t>City of birth</t>
  </si>
  <si>
    <t>Country of birth</t>
  </si>
  <si>
    <t xml:space="preserve">Date and Place of birth </t>
  </si>
  <si>
    <t>Details of Related Compan(y)/ies under 3 above (column A)</t>
  </si>
  <si>
    <t>Amounts TO or FROM related companies under 1 or 2 above (column A)</t>
  </si>
  <si>
    <t>Amount that stands to be allocated to IPA (Second Allocation -TRA 62A)</t>
  </si>
  <si>
    <t>Bsheet</t>
  </si>
  <si>
    <t>Return Page</t>
  </si>
  <si>
    <t>TRA05</t>
  </si>
  <si>
    <t>TRA62A</t>
  </si>
  <si>
    <t>B'sheet equation</t>
  </si>
  <si>
    <t>TRA08</t>
  </si>
  <si>
    <t>TRA09_14</t>
  </si>
  <si>
    <t>TRA21</t>
  </si>
  <si>
    <t>TRA22</t>
  </si>
  <si>
    <t>TRA25</t>
  </si>
  <si>
    <t>TRA26</t>
  </si>
  <si>
    <t>TRA32</t>
  </si>
  <si>
    <t>TRA38</t>
  </si>
  <si>
    <t>TRA43</t>
  </si>
  <si>
    <t>TRA44</t>
  </si>
  <si>
    <t>TRA45</t>
  </si>
  <si>
    <t>TRA46</t>
  </si>
  <si>
    <t>TRA50</t>
  </si>
  <si>
    <t>TRA59</t>
  </si>
  <si>
    <t>TRA64</t>
  </si>
  <si>
    <t>W&amp;T absorbed</t>
  </si>
  <si>
    <t>Balancing statement</t>
  </si>
  <si>
    <t>Dividends</t>
  </si>
  <si>
    <t>e262</t>
  </si>
  <si>
    <t>cell</t>
  </si>
  <si>
    <t>Losses b/fwd</t>
  </si>
  <si>
    <t>Net income (Loss)</t>
  </si>
  <si>
    <t>Tax (Reduced rates)</t>
  </si>
  <si>
    <t>Normal rates</t>
  </si>
  <si>
    <t>Income @ reduced rates</t>
  </si>
  <si>
    <t>Income at normal rates</t>
  </si>
  <si>
    <t>Tax for the year</t>
  </si>
  <si>
    <t>tax credits</t>
  </si>
  <si>
    <t>Tax due after tax credits</t>
  </si>
  <si>
    <t>A1725</t>
  </si>
  <si>
    <t>A1726</t>
  </si>
  <si>
    <t>A1727</t>
  </si>
  <si>
    <t>A6019</t>
  </si>
  <si>
    <t>A6020</t>
  </si>
  <si>
    <t>A6021</t>
  </si>
  <si>
    <t>U69</t>
  </si>
  <si>
    <t>U70</t>
  </si>
  <si>
    <t>U72</t>
  </si>
  <si>
    <t>U74</t>
  </si>
  <si>
    <t>U76</t>
  </si>
  <si>
    <t>Written advice of tax professional</t>
  </si>
  <si>
    <t>TRA 40!</t>
  </si>
  <si>
    <t>U78</t>
  </si>
  <si>
    <t>Name of person making declaration (BLOCKS)</t>
  </si>
  <si>
    <t>Designation</t>
  </si>
  <si>
    <t>CLAIM FOR DEDUCTION</t>
  </si>
  <si>
    <t>Qualifying Wages and Tuition Fees</t>
  </si>
  <si>
    <t>Maximum Amount approved by ME</t>
  </si>
  <si>
    <t>Q53</t>
  </si>
  <si>
    <t>DIR12</t>
  </si>
  <si>
    <t>B54</t>
  </si>
  <si>
    <t>E54</t>
  </si>
  <si>
    <t>M54</t>
  </si>
  <si>
    <t>Q54</t>
  </si>
  <si>
    <t>DIR13</t>
  </si>
  <si>
    <t>B55</t>
  </si>
  <si>
    <t>E55</t>
  </si>
  <si>
    <t>M55</t>
  </si>
  <si>
    <t>Q55</t>
  </si>
  <si>
    <t>DIR14</t>
  </si>
  <si>
    <t>B56</t>
  </si>
  <si>
    <t>E56</t>
  </si>
  <si>
    <t>M56</t>
  </si>
  <si>
    <t>Q56</t>
  </si>
  <si>
    <t>DIR15</t>
  </si>
  <si>
    <t>B57</t>
  </si>
  <si>
    <t>E57</t>
  </si>
  <si>
    <t>M57</t>
  </si>
  <si>
    <t>Q57</t>
  </si>
  <si>
    <t>DIR16</t>
  </si>
  <si>
    <t>B58</t>
  </si>
  <si>
    <t>E58</t>
  </si>
  <si>
    <t>M58</t>
  </si>
  <si>
    <t>Q58</t>
  </si>
  <si>
    <t>DIR17</t>
  </si>
  <si>
    <t>B59</t>
  </si>
  <si>
    <t>E59</t>
  </si>
  <si>
    <t>Dividend income after deducting direct expenses</t>
  </si>
  <si>
    <t xml:space="preserve">Interests [Article 4 (1)(c) ITA] </t>
  </si>
  <si>
    <t>Gross Interest Received</t>
  </si>
  <si>
    <t>A1643</t>
  </si>
  <si>
    <t>A1644</t>
  </si>
  <si>
    <t>A1645</t>
  </si>
  <si>
    <t>A1646</t>
  </si>
  <si>
    <t>A1647</t>
  </si>
  <si>
    <t>A1648</t>
  </si>
  <si>
    <t>D75</t>
  </si>
  <si>
    <t>E75</t>
  </si>
  <si>
    <t>F75</t>
  </si>
  <si>
    <t>A1649</t>
  </si>
  <si>
    <t xml:space="preserve">page 3 </t>
  </si>
  <si>
    <t>Table A - Rule 20(2)</t>
  </si>
  <si>
    <t>Air-conditioners</t>
  </si>
  <si>
    <t>F21</t>
  </si>
  <si>
    <t>B22</t>
  </si>
  <si>
    <t>F22</t>
  </si>
  <si>
    <t>B23</t>
  </si>
  <si>
    <t>F23</t>
  </si>
  <si>
    <t>B25</t>
  </si>
  <si>
    <t>B26</t>
  </si>
  <si>
    <t>B27</t>
  </si>
  <si>
    <t>B29</t>
  </si>
  <si>
    <t>F29</t>
  </si>
  <si>
    <t>B30</t>
  </si>
  <si>
    <t>F30</t>
  </si>
  <si>
    <t>B31</t>
  </si>
  <si>
    <t>F31</t>
  </si>
  <si>
    <t>23</t>
  </si>
  <si>
    <t>B36</t>
  </si>
  <si>
    <t>F36</t>
  </si>
  <si>
    <t>24</t>
  </si>
  <si>
    <t>B37</t>
  </si>
  <si>
    <t>F37</t>
  </si>
  <si>
    <t>25</t>
  </si>
  <si>
    <t>B38</t>
  </si>
  <si>
    <t>F38</t>
  </si>
  <si>
    <t>26</t>
  </si>
  <si>
    <t>F40</t>
  </si>
  <si>
    <t>27</t>
  </si>
  <si>
    <t>F41</t>
  </si>
  <si>
    <t xml:space="preserve">   Construction of a childcare facility at workplace</t>
  </si>
  <si>
    <t xml:space="preserve">   Conversion of existing structure into a childcare facility</t>
  </si>
  <si>
    <t xml:space="preserve">   Acquisition of childcare equipment</t>
  </si>
  <si>
    <t>Deduction claimed for the current year of assessment</t>
  </si>
  <si>
    <t>Have all the conditions under the Rules been satisfied?</t>
  </si>
  <si>
    <t>Qualifying Expenditure (incurred during the current year of assessment)</t>
  </si>
  <si>
    <t>QUE09</t>
  </si>
  <si>
    <t>G15</t>
  </si>
  <si>
    <t>QUE10</t>
  </si>
  <si>
    <t>G16</t>
  </si>
  <si>
    <t>QUE11</t>
  </si>
  <si>
    <t>G17</t>
  </si>
  <si>
    <t>QUE12</t>
  </si>
  <si>
    <t>TRA55</t>
  </si>
  <si>
    <t>Index</t>
  </si>
  <si>
    <t>index_warnings</t>
  </si>
  <si>
    <t>DIR03</t>
  </si>
  <si>
    <t>E45</t>
  </si>
  <si>
    <t>M45</t>
  </si>
  <si>
    <t>Q45</t>
  </si>
  <si>
    <t>DIR04</t>
  </si>
  <si>
    <t>E46</t>
  </si>
  <si>
    <t>M46</t>
  </si>
  <si>
    <t>Long Term Investments in Local Institutions</t>
  </si>
  <si>
    <t>Tax Payments</t>
  </si>
  <si>
    <t>Chargeable Income for the year [from page 4]</t>
  </si>
  <si>
    <t>D117</t>
  </si>
  <si>
    <t>E117</t>
  </si>
  <si>
    <t>F117</t>
  </si>
  <si>
    <t>A1675</t>
  </si>
  <si>
    <t>D118</t>
  </si>
  <si>
    <t>E118</t>
  </si>
  <si>
    <t>Regulation 37 - Utilisation of tax credits</t>
  </si>
  <si>
    <t>Tax due after all benefits under the Act and Regulations</t>
  </si>
  <si>
    <t>B89</t>
  </si>
  <si>
    <t>C89</t>
  </si>
  <si>
    <t>D89</t>
  </si>
  <si>
    <t>E89</t>
  </si>
  <si>
    <t>F89</t>
  </si>
  <si>
    <t>A1663</t>
  </si>
  <si>
    <t>E100</t>
  </si>
  <si>
    <t>A0807</t>
  </si>
  <si>
    <t>A0808</t>
  </si>
  <si>
    <t>A0809</t>
  </si>
  <si>
    <t>Fuel costs</t>
  </si>
  <si>
    <t>Telephone and telecommunications</t>
  </si>
  <si>
    <t>Garbage removal</t>
  </si>
  <si>
    <t>BROUGHT FORWARD</t>
  </si>
  <si>
    <t>CARRIED FORWARD</t>
  </si>
  <si>
    <t>35</t>
  </si>
  <si>
    <t>F52</t>
  </si>
  <si>
    <t>Transfer to General Reserve</t>
  </si>
  <si>
    <t>A3901</t>
  </si>
  <si>
    <t>A3902</t>
  </si>
  <si>
    <t>A3903</t>
  </si>
  <si>
    <t>Gross wages and salaries including fringe benefits</t>
  </si>
  <si>
    <r>
      <t xml:space="preserve">A number of validations are present on the signs [positive (+) or negative </t>
    </r>
    <r>
      <rPr>
        <sz val="14"/>
        <color indexed="10"/>
        <rFont val="Arial"/>
        <family val="2"/>
      </rPr>
      <t>(-)</t>
    </r>
    <r>
      <rPr>
        <sz val="14"/>
        <rFont val="Arial"/>
        <family val="2"/>
      </rPr>
      <t xml:space="preserve">] preceding the values entered.  Other validations restrict data entry.  Error messages are always displayed.  Error messages preceded by a '#' emanate from dragging cell values or using the cut and paste functions that you are discouraged to use.  Other errors emante from the use of formulae in the input fields.   The main issues with the use of formulae arise out of the lack of rounding, the most common being in formulae applied to derive the 20% further deduction against rental income.  The workbook expects whole numbers as input values.  </t>
    </r>
  </si>
  <si>
    <t>Gross Income [please specify source below]</t>
  </si>
  <si>
    <t>DIR21</t>
  </si>
  <si>
    <t>B63</t>
  </si>
  <si>
    <t>E63</t>
  </si>
  <si>
    <t xml:space="preserve">Legislation </t>
  </si>
  <si>
    <t>Increased deduction disallowed due to the 5% of turnover limitation, c/fwd</t>
  </si>
  <si>
    <t>Total increased deduction claimed for the year</t>
  </si>
  <si>
    <t>Withholding tax is considered as final</t>
  </si>
  <si>
    <t>LIST OF PREVIOUSLY WRITTEN OFF BAD DEBTS SUBSEQUENTLY RECOVERED</t>
  </si>
  <si>
    <t>Certificate Number</t>
  </si>
  <si>
    <t>A3421</t>
  </si>
  <si>
    <t xml:space="preserve">LATER THAN STATUTORY DATE! </t>
  </si>
  <si>
    <t>Signature</t>
  </si>
  <si>
    <t>Date</t>
  </si>
  <si>
    <t>Legal representation of the company is vested in:</t>
  </si>
  <si>
    <t>Name (BLOCKS)</t>
  </si>
  <si>
    <t>TRA27_28</t>
  </si>
  <si>
    <t>TRA24</t>
  </si>
  <si>
    <t>A3505</t>
  </si>
  <si>
    <t>Net Profit / (Loss) before tax as per financial statements</t>
  </si>
  <si>
    <t>1a</t>
  </si>
  <si>
    <t>Add back</t>
  </si>
  <si>
    <t>Electrical &amp; Plumbing Installations and Sanitary Fittings</t>
  </si>
  <si>
    <t>Ships and vessels</t>
  </si>
  <si>
    <t>Aircraft</t>
  </si>
  <si>
    <t>Computers and Electronic Equipment</t>
  </si>
  <si>
    <t>C111</t>
  </si>
  <si>
    <t>A1303</t>
  </si>
  <si>
    <t>B114</t>
  </si>
  <si>
    <t>C114</t>
  </si>
  <si>
    <t>A1304</t>
  </si>
  <si>
    <t>A115</t>
  </si>
  <si>
    <t>B115</t>
  </si>
  <si>
    <t>C115</t>
  </si>
  <si>
    <t>A1305</t>
  </si>
  <si>
    <t>A116</t>
  </si>
  <si>
    <t>B116</t>
  </si>
  <si>
    <t>C116</t>
  </si>
  <si>
    <t>A1306</t>
  </si>
  <si>
    <t>A117</t>
  </si>
  <si>
    <t>B117</t>
  </si>
  <si>
    <t>C117</t>
  </si>
  <si>
    <t>A1307</t>
  </si>
  <si>
    <t>A118</t>
  </si>
  <si>
    <t>B118</t>
  </si>
  <si>
    <t>C118</t>
  </si>
  <si>
    <t>A1308</t>
  </si>
  <si>
    <t>A119</t>
  </si>
  <si>
    <t>B119</t>
  </si>
  <si>
    <t>C119</t>
  </si>
  <si>
    <t>A1309</t>
  </si>
  <si>
    <t>B120</t>
  </si>
  <si>
    <t>C120</t>
  </si>
  <si>
    <t>U45</t>
  </si>
  <si>
    <t>U47</t>
  </si>
  <si>
    <t>U49</t>
  </si>
  <si>
    <t>Gross Profit  or loss</t>
  </si>
  <si>
    <t>Advertising and promotion</t>
  </si>
  <si>
    <t>Advertising</t>
  </si>
  <si>
    <t>Promotion</t>
  </si>
  <si>
    <t>Meals and entertainment</t>
  </si>
  <si>
    <t>Donations</t>
  </si>
  <si>
    <t>Maximum Tax Credit Restricted [2nd Proviso to Reg 4(1)]</t>
  </si>
  <si>
    <t>N1</t>
  </si>
  <si>
    <t xml:space="preserve">   Certificate number </t>
  </si>
  <si>
    <t xml:space="preserve">   Date of certificate  </t>
  </si>
  <si>
    <t>Income from production and / or processing - related parties</t>
  </si>
  <si>
    <t>Income from the rendering of services -  local</t>
  </si>
  <si>
    <t>Interest payable to shareholder(s) and / or director(s)</t>
  </si>
  <si>
    <t>Interest payable to related parties</t>
  </si>
  <si>
    <t>K69</t>
  </si>
  <si>
    <t>A0557</t>
  </si>
  <si>
    <t>B70</t>
  </si>
  <si>
    <t>C70</t>
  </si>
  <si>
    <t>D70</t>
  </si>
  <si>
    <t>E70</t>
  </si>
  <si>
    <t>F70</t>
  </si>
  <si>
    <t>G70</t>
  </si>
  <si>
    <t>H70</t>
  </si>
  <si>
    <t>I70</t>
  </si>
  <si>
    <t>J70</t>
  </si>
  <si>
    <t>K70</t>
  </si>
  <si>
    <t>R50</t>
  </si>
  <si>
    <t>O51</t>
  </si>
  <si>
    <t>R51</t>
  </si>
  <si>
    <t xml:space="preserve">  BPA - Article 6 (Reduced Rate of Tax)</t>
  </si>
  <si>
    <t>Share Premium Account</t>
  </si>
  <si>
    <t>Disposals (Cost or WDV)!</t>
  </si>
  <si>
    <t>23a</t>
  </si>
  <si>
    <t>24a</t>
  </si>
  <si>
    <t>25a</t>
  </si>
  <si>
    <t>J91</t>
  </si>
  <si>
    <t>K91</t>
  </si>
  <si>
    <t>A0575</t>
  </si>
  <si>
    <t>D92</t>
  </si>
  <si>
    <t>D23</t>
  </si>
  <si>
    <t>H23</t>
  </si>
  <si>
    <t>Accumulated depreciation of other plant</t>
  </si>
  <si>
    <t>A0402</t>
  </si>
  <si>
    <t>H7</t>
  </si>
  <si>
    <t>A0403</t>
  </si>
  <si>
    <t>H8</t>
  </si>
  <si>
    <t>A0404</t>
  </si>
  <si>
    <t>H9</t>
  </si>
  <si>
    <t>A0405</t>
  </si>
  <si>
    <t>H10</t>
  </si>
  <si>
    <t>A0406</t>
  </si>
  <si>
    <t>H11</t>
  </si>
  <si>
    <t>A0407</t>
  </si>
  <si>
    <t>H12</t>
  </si>
  <si>
    <t>A0408</t>
  </si>
  <si>
    <t>H13</t>
  </si>
  <si>
    <t>A0409</t>
  </si>
  <si>
    <t>H14</t>
  </si>
  <si>
    <t>IS / ARE ATTACHMENT(S) COMPLETE [Y or N] ?</t>
  </si>
  <si>
    <t>Regulation 38 - previously claimed under BPA - Article 5A (Investment Incentive Scheme)</t>
  </si>
  <si>
    <t>O46</t>
  </si>
  <si>
    <t>O47</t>
  </si>
  <si>
    <t>Company registration fee</t>
  </si>
  <si>
    <t>Total Income /(Loss)</t>
  </si>
  <si>
    <t>Chargeable income for the year</t>
  </si>
  <si>
    <t>D55</t>
  </si>
  <si>
    <t>Interdivisional sales</t>
  </si>
  <si>
    <t>NOTE THAT TAXED INCOME RELIEVED BY TAX CREDITS IS ALLOCATED TO THE FINAL TAX ACCOUNT</t>
  </si>
  <si>
    <t>Industrial Buildings and structures</t>
  </si>
  <si>
    <t>Catering Equipment</t>
  </si>
  <si>
    <t xml:space="preserve">Cable Infrastructure </t>
  </si>
  <si>
    <t>A3134</t>
  </si>
  <si>
    <t>A3135</t>
  </si>
  <si>
    <t>Due from shareholder(s) and / or director(s)</t>
  </si>
  <si>
    <t>Due from individual shareholder(s)</t>
  </si>
  <si>
    <t>(Note 1) Calculation of percentage reduction</t>
  </si>
  <si>
    <t>Percentage reduction in tax due  [workings below] (Note 1)</t>
  </si>
  <si>
    <t>(1) Calculation of percentage reduction</t>
  </si>
  <si>
    <t>Net Capital Gains / (Losses) FOR THE YEAR</t>
  </si>
  <si>
    <t>BPA  Regulations - Benefits and Grants</t>
  </si>
  <si>
    <t>C4</t>
  </si>
  <si>
    <t>A2902</t>
  </si>
  <si>
    <t>A2903</t>
  </si>
  <si>
    <t>A2904</t>
  </si>
  <si>
    <t>A2905</t>
  </si>
  <si>
    <t>A2906</t>
  </si>
  <si>
    <t>A2907</t>
  </si>
  <si>
    <t>A2908</t>
  </si>
  <si>
    <t>Other Non Distributable profits and Reserves</t>
  </si>
  <si>
    <t>Land improvements</t>
  </si>
  <si>
    <t>Other Asset</t>
  </si>
  <si>
    <t>Was there any change in the issued share capital during the year?</t>
  </si>
  <si>
    <t>Was there any change in shareholding during the year?</t>
  </si>
  <si>
    <t>Were there any changes among directors during the year?</t>
  </si>
  <si>
    <t>Have all the wages, salaries and directors' remuneration been reported under the Final Settlement System?</t>
  </si>
  <si>
    <t>Amortisation of royalties, trademarks, patents</t>
  </si>
  <si>
    <t>I13</t>
  </si>
  <si>
    <t>J13</t>
  </si>
  <si>
    <t>A0568</t>
  </si>
  <si>
    <t>G81</t>
  </si>
  <si>
    <t>H81</t>
  </si>
  <si>
    <t>I81</t>
  </si>
  <si>
    <t>J81</t>
  </si>
  <si>
    <t>Qualifying Sales</t>
  </si>
  <si>
    <t>K13</t>
  </si>
  <si>
    <t>A0509</t>
  </si>
  <si>
    <t>C14</t>
  </si>
  <si>
    <t>I14</t>
  </si>
  <si>
    <t>J14</t>
  </si>
  <si>
    <t>K14</t>
  </si>
  <si>
    <t>A0510</t>
  </si>
  <si>
    <t>C15</t>
  </si>
  <si>
    <t>D15</t>
  </si>
  <si>
    <t>I15</t>
  </si>
  <si>
    <t>J15</t>
  </si>
  <si>
    <t>K15</t>
  </si>
  <si>
    <t>A0511</t>
  </si>
  <si>
    <t>C16</t>
  </si>
  <si>
    <t>I16</t>
  </si>
  <si>
    <t>J16</t>
  </si>
  <si>
    <t>K16</t>
  </si>
  <si>
    <t>A0512</t>
  </si>
  <si>
    <t>C17</t>
  </si>
  <si>
    <t>D17</t>
  </si>
  <si>
    <t>I17</t>
  </si>
  <si>
    <t>J17</t>
  </si>
  <si>
    <t>K17</t>
  </si>
  <si>
    <t>A0513</t>
  </si>
  <si>
    <t>C18</t>
  </si>
  <si>
    <t>K18</t>
  </si>
  <si>
    <t>A0514</t>
  </si>
  <si>
    <t>C19</t>
  </si>
  <si>
    <t>K19</t>
  </si>
  <si>
    <t>A0515</t>
  </si>
  <si>
    <t>B81</t>
  </si>
  <si>
    <t>C81</t>
  </si>
  <si>
    <t>D81</t>
  </si>
  <si>
    <t>E81</t>
  </si>
  <si>
    <t>Motor Vehicles [KIV - statutory restriction where applicable)</t>
  </si>
  <si>
    <t>Tax credits [expenditure current]</t>
  </si>
  <si>
    <t>input validations</t>
  </si>
  <si>
    <t>Table D - Rule 11(3)(b)</t>
  </si>
  <si>
    <t>(in connection with applications for EU funding)</t>
  </si>
  <si>
    <t xml:space="preserve"> TRA 55 required!</t>
  </si>
  <si>
    <t>Royalty expenses - resident</t>
  </si>
  <si>
    <t>Royalty expenses - non-resident</t>
  </si>
  <si>
    <t>Research and development</t>
  </si>
  <si>
    <t>Licences payable</t>
  </si>
  <si>
    <t>Fees payable</t>
  </si>
  <si>
    <t>Depreciation of exploration equipment</t>
  </si>
  <si>
    <t>80a</t>
  </si>
  <si>
    <t>81a</t>
  </si>
  <si>
    <t>82a</t>
  </si>
  <si>
    <t>84a</t>
  </si>
  <si>
    <t>85a</t>
  </si>
  <si>
    <t>86a</t>
  </si>
  <si>
    <t>87a</t>
  </si>
  <si>
    <t>88a</t>
  </si>
  <si>
    <t>71b</t>
  </si>
  <si>
    <t>72b</t>
  </si>
  <si>
    <t>73b</t>
  </si>
  <si>
    <t>A0590</t>
  </si>
  <si>
    <t>wages TIFD codes 5601, 6020 - 6028,  6031-6036</t>
  </si>
  <si>
    <t>Max</t>
  </si>
  <si>
    <t>Input validation of average number of employees</t>
  </si>
  <si>
    <t>A3508</t>
  </si>
  <si>
    <t>A3509</t>
  </si>
  <si>
    <t>A3510</t>
  </si>
  <si>
    <t>A3511</t>
  </si>
  <si>
    <t>A3512</t>
  </si>
  <si>
    <t>A3513</t>
  </si>
  <si>
    <t>A3514</t>
  </si>
  <si>
    <t>A4201</t>
  </si>
  <si>
    <t>A4202</t>
  </si>
  <si>
    <t>A4203</t>
  </si>
  <si>
    <t>A4204</t>
  </si>
  <si>
    <t>A4205</t>
  </si>
  <si>
    <t>A4206</t>
  </si>
  <si>
    <t>A4207</t>
  </si>
  <si>
    <t>A4208</t>
  </si>
  <si>
    <t>A4209</t>
  </si>
  <si>
    <t>Result of multiplying values in row (a) by the corresponding rate in row (b)</t>
  </si>
  <si>
    <t>C92</t>
  </si>
  <si>
    <t>A1205</t>
  </si>
  <si>
    <t>A93</t>
  </si>
  <si>
    <t>B93</t>
  </si>
  <si>
    <t>C93</t>
  </si>
  <si>
    <t>A1206</t>
  </si>
  <si>
    <t>A94</t>
  </si>
  <si>
    <t>B94</t>
  </si>
  <si>
    <t>C94</t>
  </si>
  <si>
    <t>A1207</t>
  </si>
  <si>
    <t>A95</t>
  </si>
  <si>
    <t>B95</t>
  </si>
  <si>
    <t>C95</t>
  </si>
  <si>
    <t>A1208</t>
  </si>
  <si>
    <t>A96</t>
  </si>
  <si>
    <t>B96</t>
  </si>
  <si>
    <t>C96</t>
  </si>
  <si>
    <t>A1209</t>
  </si>
  <si>
    <t>B97</t>
  </si>
  <si>
    <t>C97</t>
  </si>
  <si>
    <t>A1301</t>
  </si>
  <si>
    <t>C110</t>
  </si>
  <si>
    <t>A1302</t>
  </si>
  <si>
    <t>W33</t>
  </si>
  <si>
    <t>Y33</t>
  </si>
  <si>
    <t>AA33</t>
  </si>
  <si>
    <t>SHA25</t>
  </si>
  <si>
    <t>L34</t>
  </si>
  <si>
    <t>W34</t>
  </si>
  <si>
    <t>Y34</t>
  </si>
  <si>
    <t>AA34</t>
  </si>
  <si>
    <t>SHA26</t>
  </si>
  <si>
    <t>L35</t>
  </si>
  <si>
    <t>W35</t>
  </si>
  <si>
    <t>Y35</t>
  </si>
  <si>
    <t>AA35</t>
  </si>
  <si>
    <t>SHA27</t>
  </si>
  <si>
    <t>L36</t>
  </si>
  <si>
    <t>W36</t>
  </si>
  <si>
    <t>Y36</t>
  </si>
  <si>
    <t>AA36</t>
  </si>
  <si>
    <t>SHA28</t>
  </si>
  <si>
    <t>W37</t>
  </si>
  <si>
    <t>Y37</t>
  </si>
  <si>
    <t>AA37</t>
  </si>
  <si>
    <t>SHA29</t>
  </si>
  <si>
    <t>L38</t>
  </si>
  <si>
    <t>W38</t>
  </si>
  <si>
    <t>Y38</t>
  </si>
  <si>
    <t>Return_2014d_67_final_3</t>
  </si>
  <si>
    <t>A2704</t>
  </si>
  <si>
    <t>A2705</t>
  </si>
  <si>
    <t>A2706</t>
  </si>
  <si>
    <t>A2707</t>
  </si>
  <si>
    <t>A2708</t>
  </si>
  <si>
    <t>A2709</t>
  </si>
  <si>
    <t>A2710</t>
  </si>
  <si>
    <t>A2711</t>
  </si>
  <si>
    <t>A2712</t>
  </si>
  <si>
    <t>A5301</t>
  </si>
  <si>
    <t>A5302</t>
  </si>
  <si>
    <t>A5303</t>
  </si>
  <si>
    <t>A5304</t>
  </si>
  <si>
    <t>A5305</t>
  </si>
  <si>
    <t>A5306</t>
  </si>
  <si>
    <t>A5307</t>
  </si>
  <si>
    <t>A5308</t>
  </si>
  <si>
    <t>A5309</t>
  </si>
  <si>
    <t>A5310</t>
  </si>
  <si>
    <t>A5311</t>
  </si>
  <si>
    <t>A5312</t>
  </si>
  <si>
    <t>Total Net Distribution</t>
  </si>
  <si>
    <r>
      <t>Total Exempt Income</t>
    </r>
    <r>
      <rPr>
        <sz val="11"/>
        <color indexed="16"/>
        <rFont val="Arial"/>
        <family val="2"/>
      </rPr>
      <t xml:space="preserve"> (for tax computation purposes)</t>
    </r>
  </si>
  <si>
    <t>TRA35</t>
  </si>
  <si>
    <t>p1</t>
  </si>
  <si>
    <t>p2</t>
  </si>
  <si>
    <t>p3</t>
  </si>
  <si>
    <t>p4</t>
  </si>
  <si>
    <t>p5</t>
  </si>
  <si>
    <t>p6</t>
  </si>
  <si>
    <t>p7</t>
  </si>
  <si>
    <t>p8</t>
  </si>
  <si>
    <t>n</t>
  </si>
  <si>
    <t>Please give any other details and information you consider necessary.</t>
  </si>
  <si>
    <t>PART 7 - DECLARATION</t>
  </si>
  <si>
    <t>A1810</t>
  </si>
  <si>
    <t>A1811</t>
  </si>
  <si>
    <t>A1812</t>
  </si>
  <si>
    <t>Was the employee still employed with the company on completion of course?</t>
  </si>
  <si>
    <t>Date of successful completion of course</t>
  </si>
  <si>
    <t xml:space="preserve">  Description !</t>
  </si>
  <si>
    <t>&lt;  Rate !</t>
  </si>
  <si>
    <t>Description &amp; Amount!</t>
  </si>
  <si>
    <t>BACK  T O   INDEX</t>
  </si>
  <si>
    <t>warn indicator</t>
  </si>
  <si>
    <t>Local Purchases of Raw Materials and / or Semi-Finished Goods</t>
  </si>
  <si>
    <t>Imports of Finished Goods</t>
  </si>
  <si>
    <t>Amount &amp; Rate!</t>
  </si>
  <si>
    <t>A0607</t>
  </si>
  <si>
    <t>Q49</t>
  </si>
  <si>
    <t>Tax Rate %</t>
  </si>
  <si>
    <t>A4009</t>
  </si>
  <si>
    <t>E99</t>
  </si>
  <si>
    <t>F99</t>
  </si>
  <si>
    <t>G99</t>
  </si>
  <si>
    <t>H99</t>
  </si>
  <si>
    <t>I99</t>
  </si>
  <si>
    <t>J99</t>
  </si>
  <si>
    <t>K99</t>
  </si>
  <si>
    <t>A0583</t>
  </si>
  <si>
    <t>B100</t>
  </si>
  <si>
    <t>C100</t>
  </si>
  <si>
    <t>D100</t>
  </si>
  <si>
    <t>F100</t>
  </si>
  <si>
    <t>G100</t>
  </si>
  <si>
    <t>H100</t>
  </si>
  <si>
    <t>I100</t>
  </si>
  <si>
    <t>J100</t>
  </si>
  <si>
    <t>K100</t>
  </si>
  <si>
    <t>A0584</t>
  </si>
  <si>
    <t>B101</t>
  </si>
  <si>
    <t>C101</t>
  </si>
  <si>
    <t>Income allocated to the Final Tax Account</t>
  </si>
  <si>
    <t xml:space="preserve">Deduct </t>
  </si>
  <si>
    <t>Sub-total</t>
  </si>
  <si>
    <t>A1608</t>
  </si>
  <si>
    <t>Dividends received out of foreign income accounts</t>
  </si>
  <si>
    <t>Rule 8(2)</t>
  </si>
  <si>
    <t>Allowable Tuition and wages expenditure</t>
  </si>
  <si>
    <t>(d) Non-Government Cultural Heritage Organizations</t>
  </si>
  <si>
    <t>Cash at bank and in hand</t>
  </si>
  <si>
    <t>R11</t>
  </si>
  <si>
    <t>O13</t>
  </si>
  <si>
    <t>R13</t>
  </si>
  <si>
    <t>O14</t>
  </si>
  <si>
    <t>R14</t>
  </si>
  <si>
    <t>O15</t>
  </si>
  <si>
    <t>R15</t>
  </si>
  <si>
    <t>O16</t>
  </si>
  <si>
    <t>R16</t>
  </si>
  <si>
    <t>O17</t>
  </si>
  <si>
    <t>R17</t>
  </si>
  <si>
    <t>O19</t>
  </si>
  <si>
    <t>R19</t>
  </si>
  <si>
    <t>O20</t>
  </si>
  <si>
    <t>R20</t>
  </si>
  <si>
    <t>O21</t>
  </si>
  <si>
    <t>O22</t>
  </si>
  <si>
    <t>R22</t>
  </si>
  <si>
    <t>O23</t>
  </si>
  <si>
    <t>R23</t>
  </si>
  <si>
    <t>O24</t>
  </si>
  <si>
    <t>R24</t>
  </si>
  <si>
    <t>O25</t>
  </si>
  <si>
    <t>R25</t>
  </si>
  <si>
    <t>O26</t>
  </si>
  <si>
    <t>R26</t>
  </si>
  <si>
    <t>O27</t>
  </si>
  <si>
    <t>R27</t>
  </si>
  <si>
    <t>O28</t>
  </si>
  <si>
    <t>R28</t>
  </si>
  <si>
    <t>O29</t>
  </si>
  <si>
    <t>Profits allocated to the Final Tax Account</t>
  </si>
  <si>
    <t>A0540</t>
  </si>
  <si>
    <t>C49</t>
  </si>
  <si>
    <t>CASH GRANT [representing 70 % thereof] &gt;</t>
  </si>
  <si>
    <t>pg3</t>
  </si>
  <si>
    <t>Note 1</t>
  </si>
  <si>
    <t>This amount is referred to in Regulation 13 (7) and represents:</t>
  </si>
  <si>
    <t xml:space="preserve">a. </t>
  </si>
  <si>
    <t>A1619</t>
  </si>
  <si>
    <t>A1620</t>
  </si>
  <si>
    <t>A1621</t>
  </si>
  <si>
    <t>A1622</t>
  </si>
  <si>
    <t>A1623</t>
  </si>
  <si>
    <t>A1624</t>
  </si>
  <si>
    <t>A1625</t>
  </si>
  <si>
    <t>Deductions</t>
  </si>
  <si>
    <t>Maximum Expenditure approved by ME</t>
  </si>
  <si>
    <t>Allowable Expenditure incurred [previous year(s)]</t>
  </si>
  <si>
    <t>Allowable Expenditure incurred [current year]</t>
  </si>
  <si>
    <t>Allocation to the Final Tax Account</t>
  </si>
  <si>
    <t>ITA - LN 266 of 2006  -  Donations (National Heritage) Rules, 2006</t>
  </si>
  <si>
    <t xml:space="preserve">Donations (National Heritage) Rules,2006 </t>
  </si>
  <si>
    <t>ITA  -  LN 266 of 2006</t>
  </si>
  <si>
    <t>Date of donation</t>
  </si>
  <si>
    <t>FROM</t>
  </si>
  <si>
    <t>TO</t>
  </si>
  <si>
    <t>Permit Number</t>
  </si>
  <si>
    <t>Date Issued</t>
  </si>
  <si>
    <t>Currency</t>
  </si>
  <si>
    <t>Chargeable Income</t>
  </si>
  <si>
    <t>Total</t>
  </si>
  <si>
    <t>Y</t>
  </si>
  <si>
    <t xml:space="preserve"> of the Business Promotion Act</t>
  </si>
  <si>
    <t>Applicable Tax Rate</t>
  </si>
  <si>
    <t>TIFD</t>
  </si>
  <si>
    <t>All debit amounts must be indicated as positive; and</t>
  </si>
  <si>
    <t>Profits that are subject to tax [Should be reflected in the tax return]</t>
  </si>
  <si>
    <t>Base Year [Basis] &gt;</t>
  </si>
  <si>
    <t>C43</t>
  </si>
  <si>
    <t>QUE28</t>
  </si>
  <si>
    <t>C44</t>
  </si>
  <si>
    <t>TRA 33</t>
  </si>
  <si>
    <t>Tax due after deducting tax credits</t>
  </si>
  <si>
    <t>A3111</t>
  </si>
  <si>
    <t>A3112</t>
  </si>
  <si>
    <t>A3113</t>
  </si>
  <si>
    <t>A3114</t>
  </si>
  <si>
    <t>A3115</t>
  </si>
  <si>
    <t>A3116</t>
  </si>
  <si>
    <t>Cost</t>
  </si>
  <si>
    <t>Plant and Machinery</t>
  </si>
  <si>
    <t>b)   Documentation referred to in Note 1 below</t>
  </si>
  <si>
    <t xml:space="preserve">is claiming any scientific research or research and development expenditure </t>
  </si>
  <si>
    <t>Allocation to the Foreign Income Account and the Maltese Taxed Account</t>
  </si>
  <si>
    <t>Uniforms</t>
  </si>
  <si>
    <t>Laundry</t>
  </si>
  <si>
    <t>Amount of debt recovered</t>
  </si>
  <si>
    <t>24b</t>
  </si>
  <si>
    <t xml:space="preserve">BPA - Article 24B </t>
  </si>
  <si>
    <t>BPA - Article 6</t>
  </si>
  <si>
    <t>OPERATION AND NAVIGATION</t>
  </si>
  <si>
    <t>A0507</t>
  </si>
  <si>
    <t>C12</t>
  </si>
  <si>
    <t>I12</t>
  </si>
  <si>
    <t>J12</t>
  </si>
  <si>
    <t>ITA - Article 31D</t>
  </si>
  <si>
    <t>Warnings</t>
  </si>
  <si>
    <t>Cell count</t>
  </si>
  <si>
    <t>Street</t>
  </si>
  <si>
    <t>Council</t>
  </si>
  <si>
    <t>Count details</t>
  </si>
  <si>
    <t>No. of properties</t>
  </si>
  <si>
    <t>Cumulative</t>
  </si>
  <si>
    <t>F6 vs data input</t>
  </si>
  <si>
    <t>Excess input check</t>
  </si>
  <si>
    <t>Gross Rental Income subject to tax at 15%</t>
  </si>
  <si>
    <t xml:space="preserve">Total tax - 15% of Gross Rental Income </t>
  </si>
  <si>
    <t xml:space="preserve">IS THE ATTACHMENT COMPLETE ?   </t>
  </si>
  <si>
    <t>TRA 83</t>
  </si>
  <si>
    <t>Apprenticeship</t>
  </si>
  <si>
    <t xml:space="preserve">ITA  -  LN 179 of 2014 </t>
  </si>
  <si>
    <t>Work placement</t>
  </si>
  <si>
    <t>Deduction (Apprentices and Work Placements) Rules, 2014</t>
  </si>
  <si>
    <t>Type</t>
  </si>
  <si>
    <t>ETC approval reference</t>
  </si>
  <si>
    <t>Date of Apprenticeship / Work Placement</t>
  </si>
  <si>
    <t>Number of employees</t>
  </si>
  <si>
    <t xml:space="preserve">Allowable deduction </t>
  </si>
  <si>
    <t>Allowable deduction</t>
  </si>
  <si>
    <t xml:space="preserve">Allowable deductions for the year </t>
  </si>
  <si>
    <t>Total available deduction(s) for the year</t>
  </si>
  <si>
    <t>Deduction(s) claimed for the current year of assessment</t>
  </si>
  <si>
    <t>TRA 84</t>
  </si>
  <si>
    <t>YA</t>
  </si>
  <si>
    <t>Basis</t>
  </si>
  <si>
    <t xml:space="preserve">ITA  -  LN 180 of 2014 </t>
  </si>
  <si>
    <t>Year - Engagement started</t>
  </si>
  <si>
    <t>Deduction (Mature Workers) Rules, 2014</t>
  </si>
  <si>
    <t>Maximum allowance of €5,800 per annum per qualifying employee</t>
  </si>
  <si>
    <t>ID of qualifying employee</t>
  </si>
  <si>
    <t>Reference of approval by ETC</t>
  </si>
  <si>
    <t>Date of engagement</t>
  </si>
  <si>
    <t>Training approval reference by ETC</t>
  </si>
  <si>
    <t>Training costs incurred</t>
  </si>
  <si>
    <t>Allowable Training Costs</t>
  </si>
  <si>
    <t>Employment deduction</t>
  </si>
  <si>
    <t xml:space="preserve">Total allowable deduction </t>
  </si>
  <si>
    <t>Count cells</t>
  </si>
  <si>
    <t>TRA 85</t>
  </si>
  <si>
    <t>Year certifcate</t>
  </si>
  <si>
    <t>Start date</t>
  </si>
  <si>
    <t>Current year</t>
  </si>
  <si>
    <t>End date</t>
  </si>
  <si>
    <t>End year</t>
  </si>
  <si>
    <t>Manufacturing</t>
  </si>
  <si>
    <t>Qualifying tangible and intangible assets</t>
  </si>
  <si>
    <t>ME Act</t>
  </si>
  <si>
    <t>Information Technology</t>
  </si>
  <si>
    <t>Value of wages costs for jobs created</t>
  </si>
  <si>
    <t>Investment Aid Regulations 2014 - 2020</t>
  </si>
  <si>
    <t>Check errors</t>
  </si>
  <si>
    <t>Call Centre Activities</t>
  </si>
  <si>
    <t>Research and Development and Innovation</t>
  </si>
  <si>
    <t>Incentive Entitlement Certificate reference</t>
  </si>
  <si>
    <t>Eco-innovation, waste treatment and environmental solutions</t>
  </si>
  <si>
    <t>Selection of basis</t>
  </si>
  <si>
    <t>Biotechnology</t>
  </si>
  <si>
    <t>Pharmaceuticals</t>
  </si>
  <si>
    <t>Setting up a new establishment</t>
  </si>
  <si>
    <t>Facilities for Filming and Audiovisual productions</t>
  </si>
  <si>
    <t>Extension of the capacity of an existing establishment</t>
  </si>
  <si>
    <t>NACE for the current year</t>
  </si>
  <si>
    <t>Provision of Tertiary Education</t>
  </si>
  <si>
    <t>Diversification of outputs</t>
  </si>
  <si>
    <t>Provision of private health care services</t>
  </si>
  <si>
    <t xml:space="preserve">Fundamental change in the overall production process </t>
  </si>
  <si>
    <t>Nature of activity</t>
  </si>
  <si>
    <t>Freeport and Logistics Operation</t>
  </si>
  <si>
    <t>Hotels, resort hotels, suite/apartment hotels or guest houses</t>
  </si>
  <si>
    <t>Knowledge intensive business services</t>
  </si>
  <si>
    <t>Cultural Resoration</t>
  </si>
  <si>
    <t xml:space="preserve">Type of eligble investment </t>
  </si>
  <si>
    <t>Large Scale cultural, creative and trade facilities</t>
  </si>
  <si>
    <t>Industrial Packaging</t>
  </si>
  <si>
    <t>Basis of calculating the qualifying expenditure</t>
  </si>
  <si>
    <t>Hotel?</t>
  </si>
  <si>
    <t>Eligible Qualifying expenditure</t>
  </si>
  <si>
    <t>Computation</t>
  </si>
  <si>
    <t>Qualifying total cost of tangible assets</t>
  </si>
  <si>
    <t>Land, industrial buildings and structures</t>
  </si>
  <si>
    <t>Qualifying total value of intangible assets</t>
  </si>
  <si>
    <t>Wages cost of jobs directly created</t>
  </si>
  <si>
    <t>Total eligible qualifying expenditure</t>
  </si>
  <si>
    <t>Relevant Intensity level for the year</t>
  </si>
  <si>
    <t>Hotel</t>
  </si>
  <si>
    <t>Unutilised Tax Credit b/fwd from previous year</t>
  </si>
  <si>
    <t>Applicable maximum level for the year</t>
  </si>
  <si>
    <t>Total available Investment Tax Credit</t>
  </si>
  <si>
    <t>Granted by ME</t>
  </si>
  <si>
    <t>Investment Tax Credit utilised during the year</t>
  </si>
  <si>
    <t>Cost for the year</t>
  </si>
  <si>
    <t>TC for the year</t>
  </si>
  <si>
    <t>Applicable inflation rate</t>
  </si>
  <si>
    <t>Tax relieved</t>
  </si>
  <si>
    <t>Unutilised Tax Credit c/fwd</t>
  </si>
  <si>
    <t>Intensity levels</t>
  </si>
  <si>
    <t>Inflation rate</t>
  </si>
  <si>
    <t>All other activities</t>
  </si>
  <si>
    <t>Up to</t>
  </si>
  <si>
    <t xml:space="preserve">After </t>
  </si>
  <si>
    <t>Hotels</t>
  </si>
  <si>
    <t>Deduction for Cash Donations to the Malta Community Chest Fund</t>
  </si>
  <si>
    <t>Cash donations must be approved by the Malta Community Chest Fund</t>
  </si>
  <si>
    <r>
      <t>Certificate reference</t>
    </r>
    <r>
      <rPr>
        <sz val="8"/>
        <rFont val="Arial"/>
        <family val="2"/>
      </rPr>
      <t xml:space="preserve"> </t>
    </r>
  </si>
  <si>
    <t>count - details</t>
  </si>
  <si>
    <t>Total donations</t>
  </si>
  <si>
    <t>maximum</t>
  </si>
  <si>
    <t>TRA 87</t>
  </si>
  <si>
    <t>ITA  -  LN 179 of 2014 - Deduction (Apprentices and Work Placements) Rules, 2014</t>
  </si>
  <si>
    <t>ITA  -  LN 180 of 2014 - Deduction (Mature Workers) Rules, 2014</t>
  </si>
  <si>
    <t>ITA - LN 412 of 2014 - Donations (Community Chest Fund) Rules 2014</t>
  </si>
  <si>
    <t>Adjustment  in respect of previus years</t>
  </si>
  <si>
    <t xml:space="preserve">Adjustment to unutilised balances b/fwd </t>
  </si>
  <si>
    <t>Adjusted unutilised Tax Credit b/fwd from previous year</t>
  </si>
  <si>
    <t>Adjusted tax credit b/fwd</t>
  </si>
  <si>
    <t xml:space="preserve">Land </t>
  </si>
  <si>
    <t>Plant</t>
  </si>
  <si>
    <t>Intangible</t>
  </si>
  <si>
    <t>Wages cost</t>
  </si>
  <si>
    <t>less already claimed</t>
  </si>
  <si>
    <t>Eligible</t>
  </si>
  <si>
    <t>Date of certificate</t>
  </si>
  <si>
    <t xml:space="preserve">Certificate number </t>
  </si>
  <si>
    <t>TRA 88</t>
  </si>
  <si>
    <t>J.62.01</t>
  </si>
  <si>
    <t>J.63.11</t>
  </si>
  <si>
    <t>N.82.2</t>
  </si>
  <si>
    <t>M.71</t>
  </si>
  <si>
    <t>M.72</t>
  </si>
  <si>
    <t>M.74</t>
  </si>
  <si>
    <t>E.36</t>
  </si>
  <si>
    <t>E.38</t>
  </si>
  <si>
    <t>E.39</t>
  </si>
  <si>
    <t>M.72.11</t>
  </si>
  <si>
    <t>C.20</t>
  </si>
  <si>
    <t>C.21</t>
  </si>
  <si>
    <t>C.32.5</t>
  </si>
  <si>
    <t>C.32.99</t>
  </si>
  <si>
    <t>J.59</t>
  </si>
  <si>
    <t>Motion picture, video &amp; televiosion video production, sound recording and music publishing activities.</t>
  </si>
  <si>
    <t>Q.86</t>
  </si>
  <si>
    <t>H.52</t>
  </si>
  <si>
    <t>I.55</t>
  </si>
  <si>
    <t>M.73.2</t>
  </si>
  <si>
    <t>N.78</t>
  </si>
  <si>
    <t>R.90.03</t>
  </si>
  <si>
    <t>N.82.3</t>
  </si>
  <si>
    <t>C.25.92</t>
  </si>
  <si>
    <t>Is the company a start up business?</t>
  </si>
  <si>
    <t>Does the company operate from Gozo?</t>
  </si>
  <si>
    <t>No. of certificates</t>
  </si>
  <si>
    <t>Start up company</t>
  </si>
  <si>
    <t>Operation from Gozo?</t>
  </si>
  <si>
    <t xml:space="preserve">Number of certificates:     </t>
  </si>
  <si>
    <t xml:space="preserve">Have all the conditions set by the Regulations and Certificate been satisfied?        </t>
  </si>
  <si>
    <t>`</t>
  </si>
  <si>
    <t>Investment Tax Credit for the current year</t>
  </si>
  <si>
    <t>Aid claimed</t>
  </si>
  <si>
    <t>Investment Tax Credit Entitlement for the current year</t>
  </si>
  <si>
    <t>Incentive Entitlement Certificate - Determination</t>
  </si>
  <si>
    <t>Total value of intangible assets</t>
  </si>
  <si>
    <t>Limit intangible</t>
  </si>
  <si>
    <t>Incentive Entitlement Certificate - Project</t>
  </si>
  <si>
    <t>TOTAL INCENTIVE</t>
  </si>
  <si>
    <t>Value of the Investment Tax Credit for the current year</t>
  </si>
  <si>
    <t xml:space="preserve">Date of Incentive Entitlement Certificate </t>
  </si>
  <si>
    <t>&lt;=2017</t>
  </si>
  <si>
    <t>&gt;2017</t>
  </si>
  <si>
    <t>Selection based on YEAR</t>
  </si>
  <si>
    <t>Other activities</t>
  </si>
  <si>
    <t>Incentive - project  based</t>
  </si>
  <si>
    <t>Unutilised Tax Credit b/fwd as per previous return</t>
  </si>
  <si>
    <t xml:space="preserve">Distinction should be made between Incentive Entitlement cerificates which are Project based and those which are Determination based.  </t>
  </si>
  <si>
    <r>
      <t xml:space="preserve">Does the company have an Incentive Entitlement Certificate - </t>
    </r>
    <r>
      <rPr>
        <b/>
        <sz val="10"/>
        <rFont val="Arial"/>
        <family val="2"/>
      </rPr>
      <t>Project based</t>
    </r>
    <r>
      <rPr>
        <sz val="10"/>
        <rFont val="Arial"/>
        <family val="2"/>
      </rPr>
      <t>?</t>
    </r>
  </si>
  <si>
    <t>Certificate No</t>
  </si>
  <si>
    <t>Date issued</t>
  </si>
  <si>
    <t>Approved Tax Credit</t>
  </si>
  <si>
    <t>Tax credit utilised for the current year of assessment</t>
  </si>
  <si>
    <t>Excess tax credit carried forward</t>
  </si>
  <si>
    <t>Utilised tax credit in previous years of assessment</t>
  </si>
  <si>
    <t>Check error</t>
  </si>
  <si>
    <t>Input</t>
  </si>
  <si>
    <t>Utilisation of credit till</t>
  </si>
  <si>
    <t>Available  credift b/fwd</t>
  </si>
  <si>
    <t>Available utilised</t>
  </si>
  <si>
    <t>Available  credift c/fwd</t>
  </si>
  <si>
    <t>Maximum credit</t>
  </si>
  <si>
    <t>Year certificate</t>
  </si>
  <si>
    <t>Available credit</t>
  </si>
  <si>
    <t>Available (date check)</t>
  </si>
  <si>
    <t>Order check</t>
  </si>
  <si>
    <t>TRA 86</t>
  </si>
  <si>
    <t>ME Act - Investment Aid Regulations 2014 - 2020</t>
  </si>
  <si>
    <t>maximum count</t>
  </si>
  <si>
    <t xml:space="preserve">Excess Tax Credit brought forward / Available tax credit </t>
  </si>
  <si>
    <t>Available credit - cumulative</t>
  </si>
  <si>
    <t>b/fwd balance</t>
  </si>
  <si>
    <t>Difference</t>
  </si>
  <si>
    <t>Expenditure already assisted under other schemes</t>
  </si>
  <si>
    <t>Assistance awarded under other schemes</t>
  </si>
  <si>
    <t>Maximum Tax Credit that may be claimed for the current year</t>
  </si>
  <si>
    <t>Tax Credit for the current year</t>
  </si>
  <si>
    <t>Utilisation of tax credits for the year</t>
  </si>
  <si>
    <t xml:space="preserve">Investment Entitlement Certificate Ref [Company determination]    </t>
  </si>
  <si>
    <t>IEC - Project Reference</t>
  </si>
  <si>
    <t>Project based tax credits approved for the year</t>
  </si>
  <si>
    <t>ITA  -  LN 179 of 2014  - Deduction (Apprentices and Work Placements) Rules, 2014</t>
  </si>
  <si>
    <t>ITA  -  LN 180 of 2014  - Deduction (Mature Workers) Rules, 2014</t>
  </si>
  <si>
    <t>Aggregate donations cannot be less than €2,000 or equivalent</t>
  </si>
  <si>
    <t>A8301</t>
  </si>
  <si>
    <t>A8302</t>
  </si>
  <si>
    <t>A8303</t>
  </si>
  <si>
    <t>A8304</t>
  </si>
  <si>
    <t>A8305</t>
  </si>
  <si>
    <t>A8306</t>
  </si>
  <si>
    <t>A8307</t>
  </si>
  <si>
    <t>A8308</t>
  </si>
  <si>
    <t>A8309</t>
  </si>
  <si>
    <t>A8310</t>
  </si>
  <si>
    <t>A8311</t>
  </si>
  <si>
    <t>A8312</t>
  </si>
  <si>
    <t>A8313</t>
  </si>
  <si>
    <t>A8314</t>
  </si>
  <si>
    <t>A8315</t>
  </si>
  <si>
    <t>A8316</t>
  </si>
  <si>
    <t>A8317</t>
  </si>
  <si>
    <t>A8401</t>
  </si>
  <si>
    <t>A8402</t>
  </si>
  <si>
    <t>A8403</t>
  </si>
  <si>
    <t>A8404</t>
  </si>
  <si>
    <t>A8405</t>
  </si>
  <si>
    <t>A8406</t>
  </si>
  <si>
    <t>A8407</t>
  </si>
  <si>
    <t>A8408</t>
  </si>
  <si>
    <t>A8409</t>
  </si>
  <si>
    <t>A8410</t>
  </si>
  <si>
    <t>A8411</t>
  </si>
  <si>
    <t>A8412</t>
  </si>
  <si>
    <t>A8413</t>
  </si>
  <si>
    <t>A8414</t>
  </si>
  <si>
    <t>A8501</t>
  </si>
  <si>
    <t>A8502</t>
  </si>
  <si>
    <t>A8503</t>
  </si>
  <si>
    <t>A8504</t>
  </si>
  <si>
    <t>A8505</t>
  </si>
  <si>
    <t>A8506</t>
  </si>
  <si>
    <t>A8507</t>
  </si>
  <si>
    <t>A8508</t>
  </si>
  <si>
    <t>A8509</t>
  </si>
  <si>
    <t>A8510</t>
  </si>
  <si>
    <t>A8511</t>
  </si>
  <si>
    <t>A8512</t>
  </si>
  <si>
    <t>A8513</t>
  </si>
  <si>
    <t>A8514</t>
  </si>
  <si>
    <t>A8515</t>
  </si>
  <si>
    <t>A8601</t>
  </si>
  <si>
    <t>A8602</t>
  </si>
  <si>
    <t>A8603</t>
  </si>
  <si>
    <t>A8604</t>
  </si>
  <si>
    <t>A8605</t>
  </si>
  <si>
    <t>A8606</t>
  </si>
  <si>
    <t>A8607</t>
  </si>
  <si>
    <t>A8608</t>
  </si>
  <si>
    <t>A8609</t>
  </si>
  <si>
    <t>A8610</t>
  </si>
  <si>
    <t>A8611</t>
  </si>
  <si>
    <t>A8612</t>
  </si>
  <si>
    <t>A8613</t>
  </si>
  <si>
    <t>A8614</t>
  </si>
  <si>
    <t>A8615</t>
  </si>
  <si>
    <t>A8616</t>
  </si>
  <si>
    <t>A8617</t>
  </si>
  <si>
    <t>A8618</t>
  </si>
  <si>
    <t>A8619</t>
  </si>
  <si>
    <t>A8620</t>
  </si>
  <si>
    <t>A8621</t>
  </si>
  <si>
    <t>A8622</t>
  </si>
  <si>
    <t>A8623</t>
  </si>
  <si>
    <t>A8624</t>
  </si>
  <si>
    <t>A8625</t>
  </si>
  <si>
    <t>A8626</t>
  </si>
  <si>
    <t>A8627</t>
  </si>
  <si>
    <t>A8628</t>
  </si>
  <si>
    <t>A8629</t>
  </si>
  <si>
    <t>A8630</t>
  </si>
  <si>
    <t>A8631</t>
  </si>
  <si>
    <t>A8632</t>
  </si>
  <si>
    <t>A8633</t>
  </si>
  <si>
    <t>A8634</t>
  </si>
  <si>
    <t>A8635</t>
  </si>
  <si>
    <t>A8636</t>
  </si>
  <si>
    <t>A8637</t>
  </si>
  <si>
    <t>A8701</t>
  </si>
  <si>
    <t>A8702</t>
  </si>
  <si>
    <t>A8703</t>
  </si>
  <si>
    <t>A8704</t>
  </si>
  <si>
    <t>A8705</t>
  </si>
  <si>
    <t>A8706</t>
  </si>
  <si>
    <t>A8707</t>
  </si>
  <si>
    <t>A8708</t>
  </si>
  <si>
    <t>A8801</t>
  </si>
  <si>
    <t>A8802</t>
  </si>
  <si>
    <t>A8803</t>
  </si>
  <si>
    <t>A8804</t>
  </si>
  <si>
    <t>A8805</t>
  </si>
  <si>
    <t>A8806</t>
  </si>
  <si>
    <t>A8807</t>
  </si>
  <si>
    <t>A8808</t>
  </si>
  <si>
    <t>A8809</t>
  </si>
  <si>
    <t>A8810</t>
  </si>
  <si>
    <t>A8811</t>
  </si>
  <si>
    <t>A8812</t>
  </si>
  <si>
    <t>A8813</t>
  </si>
  <si>
    <t>A8814</t>
  </si>
  <si>
    <t>Computer programming activities</t>
  </si>
  <si>
    <t>Data processing and hosting and related activities</t>
  </si>
  <si>
    <t>Activities of Call Centre</t>
  </si>
  <si>
    <t>Architectural and engineering activities; technical testing and analysis</t>
  </si>
  <si>
    <t>Scientific research and development</t>
  </si>
  <si>
    <t>Other professional, scientific and technical activities</t>
  </si>
  <si>
    <t>Water collection, treatment and supply</t>
  </si>
  <si>
    <t>Waste collection, treatment and disposal activities; material recovery</t>
  </si>
  <si>
    <t>Remediation activities and other waste management services</t>
  </si>
  <si>
    <t>Research and experimental development on biotechnology</t>
  </si>
  <si>
    <t>Manufacture of chemicals and chemical products</t>
  </si>
  <si>
    <t>Manufacture of basic pharmaceutical products and pharmaceutical preparations</t>
  </si>
  <si>
    <t>Manufacture of medical and dental instruments and supplies</t>
  </si>
  <si>
    <t>Other manufacturing n.e.c</t>
  </si>
  <si>
    <t>Human health activities</t>
  </si>
  <si>
    <t>Warehousing and support activities for transportation</t>
  </si>
  <si>
    <t>Accomodation</t>
  </si>
  <si>
    <t>Market research and public opinion polling</t>
  </si>
  <si>
    <t>Employment activities</t>
  </si>
  <si>
    <t>Artistic creation</t>
  </si>
  <si>
    <t>Organisation of conventions and trade shows</t>
  </si>
  <si>
    <t>Manufacture of light metal packaging</t>
  </si>
  <si>
    <t>A8516</t>
  </si>
  <si>
    <t>IND37</t>
  </si>
  <si>
    <t>IND38</t>
  </si>
  <si>
    <t>IND39</t>
  </si>
  <si>
    <t>IND40</t>
  </si>
  <si>
    <t>IND41</t>
  </si>
  <si>
    <t>IND42</t>
  </si>
  <si>
    <t>A5419</t>
  </si>
  <si>
    <t>A6026</t>
  </si>
  <si>
    <t>A6027</t>
  </si>
  <si>
    <t>A6118</t>
  </si>
  <si>
    <t>Cable Infrastructure</t>
  </si>
  <si>
    <t>Lifts and Escalators</t>
  </si>
  <si>
    <t xml:space="preserve">TRA 35   </t>
  </si>
  <si>
    <t xml:space="preserve">TRA 60   </t>
  </si>
  <si>
    <t>this is a Minimum</t>
  </si>
  <si>
    <t>Excess tax credit brought forward / Available tax credit</t>
  </si>
  <si>
    <t>Value</t>
  </si>
  <si>
    <t>Collaborative Experimental Development</t>
  </si>
  <si>
    <t>Czech Koruna</t>
  </si>
  <si>
    <t>Income the tax on which is relieved by tax credits (TRA 35)</t>
  </si>
  <si>
    <t xml:space="preserve">Taxed Account  </t>
  </si>
  <si>
    <t>Tax thereon (net of tax credits)</t>
  </si>
  <si>
    <t>Income the tax on which is relieved by the tax credits utilised during the year</t>
  </si>
  <si>
    <t>ITA - Article 27G</t>
  </si>
  <si>
    <t>TRANSFERS OF PROPERTY BY A LISTED COMPANY THAT HAS ISSUED DEBT SECURITIES TO THE PUBLIC</t>
  </si>
  <si>
    <t>&lt;?????</t>
  </si>
  <si>
    <t>Has the company issued debt securities to the public and such securities are listed on a recognised stock exchange?</t>
  </si>
  <si>
    <t>Has the company made an election to exclude the transfer of property forming part of the project from the scope of Article 5A?</t>
  </si>
  <si>
    <t>Please indicate the number of projects eligible under these arrangements:</t>
  </si>
  <si>
    <t xml:space="preserve">Project number  </t>
  </si>
  <si>
    <t>Project Description</t>
  </si>
  <si>
    <t>Date of acquisition of property</t>
  </si>
  <si>
    <t>Applicable PT Rate</t>
  </si>
  <si>
    <t>Project Number to which property transferred refers</t>
  </si>
  <si>
    <t>Provisional tax receipt number</t>
  </si>
  <si>
    <t>Date of receipt</t>
  </si>
  <si>
    <t>Provisional tax paid</t>
  </si>
  <si>
    <t xml:space="preserve">Separate computation of Income for each project (ITA Article 27G) </t>
  </si>
  <si>
    <t>Proceeds from the transfer of Immovable property</t>
  </si>
  <si>
    <t>b/fwd</t>
  </si>
  <si>
    <t>Allowable deductions for the year attributable to project</t>
  </si>
  <si>
    <t>for the yr</t>
  </si>
  <si>
    <t xml:space="preserve">Income / (Loss) for the year before Capital Allowances </t>
  </si>
  <si>
    <t>Unabsorbed capital allowances attributable to project b/fwd</t>
  </si>
  <si>
    <t>Capital allowances for the year attributable to project</t>
  </si>
  <si>
    <t>Absorbed</t>
  </si>
  <si>
    <t>Unabsorbed capital allowances c/fwd</t>
  </si>
  <si>
    <t>Losses as regulated by Article 27G attributable to project b/fwd</t>
  </si>
  <si>
    <t>Losses attributable to project c/fwd</t>
  </si>
  <si>
    <t>CI</t>
  </si>
  <si>
    <t>Tax charge on chargeable income</t>
  </si>
  <si>
    <t>Unutilised provisional tax = (0.625 x A) - B</t>
  </si>
  <si>
    <t>Provisional tax paid during the year</t>
  </si>
  <si>
    <t>Balance of provisional tax</t>
  </si>
  <si>
    <t>Tax charge (35% of profits)</t>
  </si>
  <si>
    <t>A=PT paid</t>
  </si>
  <si>
    <t>B=tax charge</t>
  </si>
  <si>
    <t>Unutilised provisional tax b/fwd</t>
  </si>
  <si>
    <t>(Additional tax due) / Balance of provisional tax</t>
  </si>
  <si>
    <t xml:space="preserve">Unutilised pt b/fwd </t>
  </si>
  <si>
    <t>Total unutilised provisional tax</t>
  </si>
  <si>
    <t>unutilised pt for the year</t>
  </si>
  <si>
    <t>Tax payment</t>
  </si>
  <si>
    <t>Total available unutilised provisional tax</t>
  </si>
  <si>
    <t>Unutilised provisional tax c/fwd</t>
  </si>
  <si>
    <t>Available for setoff / Absorbed</t>
  </si>
  <si>
    <t>NET INCOME FROM PROPERTY TRANSFERS ALLOCATED TO THE FINAL TAX ACCOUNT</t>
  </si>
  <si>
    <t>Unutilised c/fwd</t>
  </si>
  <si>
    <t xml:space="preserve">   TRA31</t>
  </si>
  <si>
    <t>TRA 89</t>
  </si>
  <si>
    <t>Unitilised provisional tax absorbed against balance of PT</t>
  </si>
  <si>
    <t>Provisional tax available for set-off or refund</t>
  </si>
  <si>
    <r>
      <t>Unutilised provisional tax for the year (</t>
    </r>
    <r>
      <rPr>
        <i/>
        <sz val="9"/>
        <rFont val="Arial"/>
        <family val="2"/>
      </rPr>
      <t>subarticle 4 formula)</t>
    </r>
  </si>
  <si>
    <t>Transfers of property by a listed company that has issued debt securities to the public</t>
  </si>
  <si>
    <t>ITA - Art 27G - Transfers of property by a company that has issued debt securities to the public</t>
  </si>
  <si>
    <t>93a</t>
  </si>
  <si>
    <t>93b</t>
  </si>
  <si>
    <t>93c</t>
  </si>
  <si>
    <t>94a</t>
  </si>
  <si>
    <t>94b</t>
  </si>
  <si>
    <t>94c</t>
  </si>
  <si>
    <t>95a</t>
  </si>
  <si>
    <t>Income taxed under Article 27G of the ITA (to FTA)</t>
  </si>
  <si>
    <t xml:space="preserve">Income from these activities is considered under the IPA for tax computation and calculation purposes </t>
  </si>
  <si>
    <r>
      <rPr>
        <b/>
        <vertAlign val="superscript"/>
        <sz val="10"/>
        <color indexed="16"/>
        <rFont val="Arial"/>
        <family val="2"/>
      </rPr>
      <t>3</t>
    </r>
    <r>
      <rPr>
        <b/>
        <sz val="10"/>
        <color indexed="16"/>
        <rFont val="Arial"/>
        <family val="2"/>
      </rPr>
      <t xml:space="preserve"> Provisional tax payments relating to Immovable Property transfers as regulated by Article 27G of the ITA should be allocated to IPA for tax calculation purposes</t>
    </r>
  </si>
  <si>
    <t>ME Act - Enterprise Support Incentives Regulations, 2008 - LN 187 of 2014 - Micro Invest 2014</t>
  </si>
  <si>
    <t>ITA - Article 27G - Transfers of property by a company that has issued debt securities to the public</t>
  </si>
  <si>
    <t>&lt; Check %age</t>
  </si>
  <si>
    <t>Absorbed capital allowances</t>
  </si>
  <si>
    <t>Losses for the year (if applicable)</t>
  </si>
  <si>
    <t>Absorbed losses</t>
  </si>
  <si>
    <t>ITA - Art 5A -Transfer of Immovable Property subject to FWT</t>
  </si>
  <si>
    <t>Rule 17 - Tax Credit for Qualifying Certifications</t>
  </si>
  <si>
    <t>Purpose of Tax credit</t>
  </si>
  <si>
    <t xml:space="preserve">Tax credits approved in YA </t>
  </si>
  <si>
    <t>Carry forwards up to YA</t>
  </si>
  <si>
    <t>Achieve growth in international markets</t>
  </si>
  <si>
    <t>Improve the processes, products or services of the undertaking</t>
  </si>
  <si>
    <t xml:space="preserve">Incentive Entitlement Certificate No:  </t>
  </si>
  <si>
    <t xml:space="preserve">Consultancy Costs  </t>
  </si>
  <si>
    <t xml:space="preserve">Certification Costs  </t>
  </si>
  <si>
    <t>Type of Approved Certification</t>
  </si>
  <si>
    <t>Eligible Costs</t>
  </si>
  <si>
    <t>CE Marking</t>
  </si>
  <si>
    <t>Halal Certification (food and drinks)</t>
  </si>
  <si>
    <t>ISO 9001: Quality Management Systems</t>
  </si>
  <si>
    <t>ISO 14001: Environmental Management System</t>
  </si>
  <si>
    <t>ISO 50001: Energy Management</t>
  </si>
  <si>
    <t>ISO 22000: Food Safety Management</t>
  </si>
  <si>
    <t>ISO/TS 16949: Quality Management Systems</t>
  </si>
  <si>
    <t>HACCP</t>
  </si>
  <si>
    <t>ANSI/UL 61010-1</t>
  </si>
  <si>
    <t>EN ISO/IEC 17020</t>
  </si>
  <si>
    <t>EN ISO/IEC 17021</t>
  </si>
  <si>
    <t>EN ISO/IEC 17025</t>
  </si>
  <si>
    <t>EN ISO/IEC 17065</t>
  </si>
  <si>
    <t>ISO15189</t>
  </si>
  <si>
    <t>Capping</t>
  </si>
  <si>
    <t xml:space="preserve">Total Eligible costs  </t>
  </si>
  <si>
    <t xml:space="preserve">Tax credit approved:  </t>
  </si>
  <si>
    <t>Approval by the Malta Enterprise (Year of assessment in which first utilised)</t>
  </si>
  <si>
    <t>Maximum Tax credit entitlement is €25,000 (or equivalent)</t>
  </si>
  <si>
    <t>Errors</t>
  </si>
  <si>
    <t>TRA 90</t>
  </si>
  <si>
    <t>ME Act - LN 118 of 2015 (Rule 17) - Tax Credit for Qualifying Certifications</t>
  </si>
  <si>
    <t xml:space="preserve">Sunset clause </t>
  </si>
  <si>
    <t>NO BENEFITS UNDER THESE RULES MA BE AVAILED OF AFTER 30 JUNE 2021</t>
  </si>
  <si>
    <t xml:space="preserve">Income allocated to FTA and Exempt Income [TRA18] </t>
  </si>
  <si>
    <t>Count</t>
  </si>
  <si>
    <t>Entitlement Certificate Number</t>
  </si>
  <si>
    <t>Entitlement Certificate Date</t>
  </si>
  <si>
    <t>From</t>
  </si>
  <si>
    <t>To</t>
  </si>
  <si>
    <t>Details!</t>
  </si>
  <si>
    <t>No balances b/fwd for the year!</t>
  </si>
  <si>
    <t xml:space="preserve">No further eligible costs (up to YA </t>
  </si>
  <si>
    <t>From YA</t>
  </si>
  <si>
    <t>TRA 91</t>
  </si>
  <si>
    <t>Income the tax on which is deemed relieved by the tax credit [Current]</t>
  </si>
  <si>
    <t>Tax credits available for current year of assessment</t>
  </si>
  <si>
    <t>Specify type of project assigned to project number!</t>
  </si>
  <si>
    <t>TAX CREDIT UP TO 31/12/2020</t>
  </si>
  <si>
    <r>
      <t xml:space="preserve">Malta Enterprise Act - LN 38 of 2015                                                                                                                              </t>
    </r>
    <r>
      <rPr>
        <sz val="10"/>
        <rFont val="Arial"/>
        <family val="2"/>
      </rPr>
      <t>Assistance for Research and Development and Innovation (Amendment) Regulations, 2015</t>
    </r>
  </si>
  <si>
    <t>ME Act - LN 38 of 2015 - Assistance for Research and Development and Innovation (Amendments) Rules, 2015</t>
  </si>
  <si>
    <t>no</t>
  </si>
  <si>
    <t xml:space="preserve">Year of assessment when tax credit was first utilised: </t>
  </si>
  <si>
    <t>ME Act - LN 38 of 2015 - Assistance for Research and Development and Innovation (Amendment) Regulations, 2015</t>
  </si>
  <si>
    <t>Incentive expired!</t>
  </si>
  <si>
    <t>Cash donations must be approved by the Arts Council Malta for entitlement</t>
  </si>
  <si>
    <t>Deduction for Cash Donations to the Arts Council Malta or to a Non-Profit making Cultural Organisation approved by the Arts Council Malta [Rule 4]</t>
  </si>
  <si>
    <r>
      <t>Approval reference</t>
    </r>
    <r>
      <rPr>
        <sz val="8"/>
        <rFont val="Arial"/>
        <family val="2"/>
      </rPr>
      <t xml:space="preserve"> (issued by the Arts Council Malta)</t>
    </r>
  </si>
  <si>
    <t xml:space="preserve">    Double taxation relief</t>
  </si>
  <si>
    <t xml:space="preserve">    Commonwealth relief</t>
  </si>
  <si>
    <t xml:space="preserve">    Unilateral relief</t>
  </si>
  <si>
    <t xml:space="preserve">    Flat-rate foreign tax credit</t>
  </si>
  <si>
    <t>Add Tax Credits</t>
  </si>
  <si>
    <t xml:space="preserve">    Malta tax before tax credits but after relief of DT</t>
  </si>
  <si>
    <t>Recovery</t>
  </si>
  <si>
    <t>BD write off</t>
  </si>
  <si>
    <t>NET INCOME FROM PROPERTY TRANSFERS SUBJECT TO F.W.T. ALLOCATED TO THE FINAL TAX ACCOUNT</t>
  </si>
  <si>
    <t>ITA - Art 27G - Transfers of property by a listed company issuing debt securities to the public</t>
  </si>
  <si>
    <t>ITA - Art 31D - Rental income from letting of tenements [rental income subject to FWT]</t>
  </si>
  <si>
    <t>27G</t>
  </si>
  <si>
    <t>Chargeable income for the year from Projects</t>
  </si>
  <si>
    <t>68d</t>
  </si>
  <si>
    <t>Chargeable income for the year attributable to project</t>
  </si>
  <si>
    <t>Unutilised provisional tax for the year - Article 27G(4) (note 3)</t>
  </si>
  <si>
    <t>Previous unutilised provisional tax utilised this year - Article 27G (note 3)</t>
  </si>
  <si>
    <t xml:space="preserve">   TRA 89</t>
  </si>
  <si>
    <t>Previous unutilised provisional tax b/fwd utilised this year - Article 27G (note 3)</t>
  </si>
  <si>
    <t>Income the tax on which was relieved by tax credits (up to Y/A 2014)</t>
  </si>
  <si>
    <t>Income the tax on which is relieved by tax credits (relocation from TRA 63)</t>
  </si>
  <si>
    <t>yes</t>
  </si>
  <si>
    <t>Did the entity benefit from the scheme in previous years?</t>
  </si>
  <si>
    <t xml:space="preserve">Excess Tax credit brought forward:      </t>
  </si>
  <si>
    <t>R54</t>
  </si>
  <si>
    <t>P8</t>
  </si>
  <si>
    <t>P14</t>
  </si>
  <si>
    <t>P15</t>
  </si>
  <si>
    <t>P16</t>
  </si>
  <si>
    <t>P18</t>
  </si>
  <si>
    <t>P19</t>
  </si>
  <si>
    <t>P20</t>
  </si>
  <si>
    <t>P21</t>
  </si>
  <si>
    <t>A6119</t>
  </si>
  <si>
    <t>A6327</t>
  </si>
  <si>
    <t>N41</t>
  </si>
  <si>
    <t>A8901</t>
  </si>
  <si>
    <t>M59</t>
  </si>
  <si>
    <t>O59</t>
  </si>
  <si>
    <t>L60</t>
  </si>
  <si>
    <t>M60</t>
  </si>
  <si>
    <t>O60</t>
  </si>
  <si>
    <t>L61</t>
  </si>
  <si>
    <t>M61</t>
  </si>
  <si>
    <t>O61</t>
  </si>
  <si>
    <t>M62</t>
  </si>
  <si>
    <t>O62</t>
  </si>
  <si>
    <t>L63</t>
  </si>
  <si>
    <t>M63</t>
  </si>
  <si>
    <t>O63</t>
  </si>
  <si>
    <t>M64</t>
  </si>
  <si>
    <t>M65</t>
  </si>
  <si>
    <t>L68</t>
  </si>
  <si>
    <t>M68</t>
  </si>
  <si>
    <t>O68</t>
  </si>
  <si>
    <t>M69</t>
  </si>
  <si>
    <t>O69</t>
  </si>
  <si>
    <t>L70</t>
  </si>
  <si>
    <t>M70</t>
  </si>
  <si>
    <t>O70</t>
  </si>
  <si>
    <t>L71</t>
  </si>
  <si>
    <t>M71</t>
  </si>
  <si>
    <t>O71</t>
  </si>
  <si>
    <t>L73</t>
  </si>
  <si>
    <t>M73</t>
  </si>
  <si>
    <t>O73</t>
  </si>
  <si>
    <t>L74</t>
  </si>
  <si>
    <t>M74</t>
  </si>
  <si>
    <t>L75</t>
  </si>
  <si>
    <t>L76</t>
  </si>
  <si>
    <t>L77</t>
  </si>
  <si>
    <t>M77</t>
  </si>
  <si>
    <t>L78</t>
  </si>
  <si>
    <t>A8902</t>
  </si>
  <si>
    <t>A8903</t>
  </si>
  <si>
    <t>A8904</t>
  </si>
  <si>
    <t>A8905</t>
  </si>
  <si>
    <t>A8906</t>
  </si>
  <si>
    <t>A8907</t>
  </si>
  <si>
    <t>A8908</t>
  </si>
  <si>
    <t>A8909</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</si>
  <si>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</si>
  <si>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</si>
  <si>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</si>
  <si>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</si>
  <si>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</si>
  <si>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</si>
  <si>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</si>
  <si>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</si>
  <si>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</si>
  <si>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</si>
  <si>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</si>
  <si>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</si>
  <si>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</si>
  <si>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</si>
  <si>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</si>
  <si>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</si>
  <si>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</si>
  <si>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</si>
  <si>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</si>
  <si>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</si>
  <si>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</si>
  <si>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</si>
  <si>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</si>
  <si>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A8933</t>
  </si>
  <si>
    <t>A8934</t>
  </si>
  <si>
    <t>A8935</t>
  </si>
  <si>
    <t>A8936</t>
  </si>
  <si>
    <t>A8937</t>
  </si>
  <si>
    <t>A8938</t>
  </si>
  <si>
    <t>A8939</t>
  </si>
  <si>
    <t>A8940</t>
  </si>
  <si>
    <t>A8941</t>
  </si>
  <si>
    <t>A8942</t>
  </si>
  <si>
    <t>A8943</t>
  </si>
  <si>
    <t>A8944</t>
  </si>
  <si>
    <t>A8945</t>
  </si>
  <si>
    <t>A8946</t>
  </si>
  <si>
    <t>A8947</t>
  </si>
  <si>
    <t>A8948</t>
  </si>
  <si>
    <t>A8949</t>
  </si>
  <si>
    <t>A8950</t>
  </si>
  <si>
    <t>A8951</t>
  </si>
  <si>
    <t>A8952</t>
  </si>
  <si>
    <t>A8953</t>
  </si>
  <si>
    <t>A8954</t>
  </si>
  <si>
    <t>A8955</t>
  </si>
  <si>
    <t>A8956</t>
  </si>
  <si>
    <t>A8957</t>
  </si>
  <si>
    <t>A9001</t>
  </si>
  <si>
    <t>A9002</t>
  </si>
  <si>
    <t>A9003</t>
  </si>
  <si>
    <t>A9004</t>
  </si>
  <si>
    <t>A9005</t>
  </si>
  <si>
    <t>A9006</t>
  </si>
  <si>
    <t>A9007</t>
  </si>
  <si>
    <t>A9008</t>
  </si>
  <si>
    <t>A9009</t>
  </si>
  <si>
    <t>A9010</t>
  </si>
  <si>
    <t>A9011</t>
  </si>
  <si>
    <t>A9012</t>
  </si>
  <si>
    <t>A9013</t>
  </si>
  <si>
    <t>A9014</t>
  </si>
  <si>
    <t>A9015</t>
  </si>
  <si>
    <t>A9016</t>
  </si>
  <si>
    <t>A9017</t>
  </si>
  <si>
    <t>A9018</t>
  </si>
  <si>
    <t>A9101</t>
  </si>
  <si>
    <t>A9102</t>
  </si>
  <si>
    <t>A9103</t>
  </si>
  <si>
    <t>A9104</t>
  </si>
  <si>
    <t>A9105</t>
  </si>
  <si>
    <t>A9106</t>
  </si>
  <si>
    <t>A9107</t>
  </si>
  <si>
    <t>A9108</t>
  </si>
  <si>
    <t>A9109</t>
  </si>
  <si>
    <t>A9110</t>
  </si>
  <si>
    <t>A9111</t>
  </si>
  <si>
    <t>A9112</t>
  </si>
  <si>
    <t>A9113</t>
  </si>
  <si>
    <t>A9114</t>
  </si>
  <si>
    <t>A9115</t>
  </si>
  <si>
    <t>A9116</t>
  </si>
  <si>
    <t>A9117</t>
  </si>
  <si>
    <t>A9118</t>
  </si>
  <si>
    <t>94</t>
  </si>
  <si>
    <t>Was 14</t>
  </si>
  <si>
    <r>
      <t xml:space="preserve">operates a foreign income account (FIA) </t>
    </r>
    <r>
      <rPr>
        <b/>
        <sz val="8"/>
        <color theme="5" tint="-0.499984740745262"/>
        <rFont val="Arial"/>
        <family val="2"/>
      </rPr>
      <t>OR is using the FIA in this return to claim FRFTC</t>
    </r>
  </si>
  <si>
    <t>Note that all payments relating to this year of assessment have to be included in this sheet.    TRA31 is an integral part of the tax return and any payments not disclosed in this attachment will not be credited and any adjustments would have to be made through an AF2.</t>
  </si>
  <si>
    <t>(13)(c)</t>
  </si>
  <si>
    <t>Final Withholding Tax Paid</t>
  </si>
  <si>
    <t>gross</t>
  </si>
  <si>
    <t>TC</t>
  </si>
  <si>
    <t>tc</t>
  </si>
  <si>
    <t xml:space="preserve">Dividends the tax on which is relieved by Tax Credits   </t>
  </si>
  <si>
    <t>ALL DIVIDENDS RECEIVED EITHER FROM THE FINAL TAX ACCOUNT OF ANOTHER COMPANY OR FROM A PROPERTY TRANSFER RESERVE ARE TO BE ALLOCATED TO THE FINAL TAX ACCOUNT.  Dividends from the FTA of another company have to be reported net of tax.</t>
  </si>
  <si>
    <t xml:space="preserve">Y/A  </t>
  </si>
  <si>
    <t>Income subject to normal rates of tax</t>
  </si>
  <si>
    <t>Income subject to reduced rates of tax</t>
  </si>
  <si>
    <t>Tax thereon at reduced rates of tax</t>
  </si>
  <si>
    <t>tax credit</t>
  </si>
  <si>
    <t>income</t>
  </si>
  <si>
    <t>Tax credits on income taxed at Reduced rates</t>
  </si>
  <si>
    <t>Tax credits on income taxed at Normal rates</t>
  </si>
  <si>
    <t>Totals &gt;</t>
  </si>
  <si>
    <t>Tax credits</t>
  </si>
  <si>
    <t>Net Income</t>
  </si>
  <si>
    <t>Reduced rates indicator (1=yes, 0=no)</t>
  </si>
  <si>
    <t>Validation for presence of reduced rates</t>
  </si>
  <si>
    <t>Tax thereon at normal rates of tax</t>
  </si>
  <si>
    <t>Validation for presence of normal rates</t>
  </si>
  <si>
    <t>Normal rates indicator (1=yes, 0=no)</t>
  </si>
  <si>
    <t>Income the tax on which is relieved by tax credits</t>
  </si>
  <si>
    <t>per TRA 35</t>
  </si>
  <si>
    <t>specific cell E20</t>
  </si>
  <si>
    <t>specific cell E30</t>
  </si>
  <si>
    <t>specific cells N30 and N41</t>
  </si>
  <si>
    <t>Tax account allocation validation (1=Error, 0=OK)</t>
  </si>
  <si>
    <t>Reduced Rates workings</t>
  </si>
  <si>
    <t>TRA 62_IPA</t>
  </si>
  <si>
    <t>tax rate</t>
  </si>
  <si>
    <t>Allocation current year</t>
  </si>
  <si>
    <t>first allocation excluding Income the tax on which is relieved by tax credits</t>
  </si>
  <si>
    <t>second allocation excluding Income the tax on which is relieved by tax credits</t>
  </si>
  <si>
    <t>Other allocations (CIS, etc)</t>
  </si>
  <si>
    <t>Reduced</t>
  </si>
  <si>
    <t>Normal</t>
  </si>
  <si>
    <t>TRA63_  MTA_FIA</t>
  </si>
  <si>
    <t>Not included for this exercise as this income was originally in FTA</t>
  </si>
  <si>
    <t>Unrelieved Income subject to reduced rates</t>
  </si>
  <si>
    <t>Unrelieved Income subject to normal rates</t>
  </si>
  <si>
    <t>Income reported at reduced rates TRAs 62 and 63 (MTA)</t>
  </si>
  <si>
    <t>Income reported at normal rates TRAs 62 and 63 (MTA)</t>
  </si>
  <si>
    <t>Tax Account Allocation validations (on Totals)</t>
  </si>
  <si>
    <t>Tax Credit(s) Workings</t>
  </si>
  <si>
    <t>Total donation(s) for the current year of assessment</t>
  </si>
  <si>
    <t>Total donation(s) at 150% being claimed as a deduction for the current year of assessment</t>
  </si>
  <si>
    <t>Claim for 300% deduction based on approved Qualifying Expenditure</t>
  </si>
  <si>
    <t>Claim for 100% Tax Credit based on approved Capital and Labour Expenditure</t>
  </si>
  <si>
    <t>Incurred, approved and Claimed for the first time Current year</t>
  </si>
  <si>
    <t>Actual Capital and Labour expenditure incurred</t>
  </si>
  <si>
    <t>new</t>
  </si>
  <si>
    <t>Maximum tax credit (100%) that can be claimed (current year)</t>
  </si>
  <si>
    <t>fixed</t>
  </si>
  <si>
    <t>POYC  -  Tax Credits for the Home Delivery Scheme</t>
  </si>
  <si>
    <t>Expenditure already approved in previous years</t>
  </si>
  <si>
    <t>new row</t>
  </si>
  <si>
    <t>ITA - LN 171 of 2010 as amended by LN113 of 2012 and LN 283 of 2016                                                                                                   Deductions and Tax Credits (Pharmacy Of Your Choice) Rules</t>
  </si>
  <si>
    <t>Do not input any data if no deductions are being claimed for the Year of Assessment 2017.</t>
  </si>
  <si>
    <t>Do not input any data in this part if no deductions are being claimed for the Year of Assessment 2017.</t>
  </si>
  <si>
    <t>Was ALL the qualifying expenditure claimed as a deduction incurred before 1 January 2016?</t>
  </si>
  <si>
    <t>POYC  -  Inflated Deductions for Qualifying Expenditure (Expenditure incurred up to 31 December 2015)</t>
  </si>
  <si>
    <t xml:space="preserve">Total Tax credits available for the year     </t>
  </si>
  <si>
    <t xml:space="preserve">Tax Credits available for the year  </t>
  </si>
  <si>
    <t xml:space="preserve">Unutilised Tax Credits c/fwd  </t>
  </si>
  <si>
    <t xml:space="preserve">Total Tax Credits Available  </t>
  </si>
  <si>
    <t>The total tax credits that can be claimed under these Rules in respect of each pharmacy outlet cannot exceed € 14,000 or equivalent.</t>
  </si>
  <si>
    <t xml:space="preserve">Unutilised Tax Credits b/fwd  </t>
  </si>
  <si>
    <t>tra 35</t>
  </si>
  <si>
    <t>TRA 66_1</t>
  </si>
  <si>
    <r>
      <t>ITA - Dividends the tax on which is relieved by Tax Credits (</t>
    </r>
    <r>
      <rPr>
        <b/>
        <sz val="9"/>
        <rFont val="Arial"/>
        <family val="2"/>
      </rPr>
      <t>ONLY</t>
    </r>
    <r>
      <rPr>
        <sz val="9"/>
        <rFont val="Arial"/>
        <family val="2"/>
      </rPr>
      <t xml:space="preserve"> from the </t>
    </r>
    <r>
      <rPr>
        <b/>
        <sz val="9"/>
        <rFont val="Arial"/>
        <family val="2"/>
      </rPr>
      <t>IPA</t>
    </r>
    <r>
      <rPr>
        <sz val="9"/>
        <rFont val="Arial"/>
        <family val="2"/>
      </rPr>
      <t xml:space="preserve"> of another company)</t>
    </r>
  </si>
  <si>
    <r>
      <t>ITA - Dividends the tax on which is relieved by Tax Credits (</t>
    </r>
    <r>
      <rPr>
        <b/>
        <sz val="9"/>
        <rFont val="Arial"/>
        <family val="2"/>
      </rPr>
      <t>ONLY</t>
    </r>
    <r>
      <rPr>
        <sz val="9"/>
        <rFont val="Arial"/>
        <family val="2"/>
      </rPr>
      <t xml:space="preserve"> from the</t>
    </r>
    <r>
      <rPr>
        <b/>
        <sz val="9"/>
        <rFont val="Arial"/>
        <family val="2"/>
      </rPr>
      <t xml:space="preserve"> MTA</t>
    </r>
    <r>
      <rPr>
        <sz val="9"/>
        <rFont val="Arial"/>
        <family val="2"/>
      </rPr>
      <t xml:space="preserve"> of another company)</t>
    </r>
  </si>
  <si>
    <t>ITA - LN 283 of 2016 - Deductions and Tax Credits (POYC) Rules</t>
  </si>
  <si>
    <t xml:space="preserve">ITA  -  LN 159 of 2008 as amended by LN 63 of 2015 and LN 147 of 2016.
</t>
  </si>
  <si>
    <t>ITA  -  LN 159 of 2008 as amended by LN 301 of 2009</t>
  </si>
  <si>
    <t>Property type</t>
  </si>
  <si>
    <t>Number and Name of property</t>
  </si>
  <si>
    <t xml:space="preserve">Please indicate the number of residential tenements and commercial properties </t>
  </si>
  <si>
    <t>ITA - LN 171 of 2010 - Deductions and Tax Credits (Pharmacy of your choice) Rules, 2010</t>
  </si>
  <si>
    <r>
      <t xml:space="preserve">Electric Vehicles </t>
    </r>
    <r>
      <rPr>
        <b/>
        <sz val="10"/>
        <color theme="5" tint="-0.499984740745262"/>
        <rFont val="Arial"/>
        <family val="2"/>
      </rPr>
      <t>(The total deduction claimed cannot exceed €40,000 or equivalent)</t>
    </r>
  </si>
  <si>
    <r>
      <rPr>
        <sz val="11"/>
        <rFont val="Arial"/>
        <family val="2"/>
      </rPr>
      <t>Claim for an inflated deduction [Rule 3]</t>
    </r>
    <r>
      <rPr>
        <sz val="10"/>
        <rFont val="Arial"/>
        <family val="2"/>
      </rPr>
      <t xml:space="preserve">    </t>
    </r>
  </si>
  <si>
    <t>DEDUCTION 150% of Cost incurred</t>
  </si>
  <si>
    <t>Deduct Government grants or benefits</t>
  </si>
  <si>
    <t>Net Qualifying expenditure</t>
  </si>
  <si>
    <t>Total Inflated Qualifying Expenditure on Electric vehicles</t>
  </si>
  <si>
    <t>Aggregate Inflated Qualifying Expenditure on Electric and Hybrid vehicles</t>
  </si>
  <si>
    <t>Total Inflated Qualifying Expenditure on Hybrid vehicles</t>
  </si>
  <si>
    <t xml:space="preserve">  TRA 60</t>
  </si>
  <si>
    <r>
      <t xml:space="preserve">Hybrid Vehicles </t>
    </r>
    <r>
      <rPr>
        <b/>
        <sz val="10"/>
        <color theme="5" tint="-0.499984740745262"/>
        <rFont val="Arial"/>
        <family val="2"/>
      </rPr>
      <t>(The total deduction claimed cannot exceed €30,000 or equivalent)</t>
    </r>
  </si>
  <si>
    <t>ITA  -  LN 13 of 2011 as amended by LN  231 of 2016</t>
  </si>
  <si>
    <t>Rental income subject to Final Witholding Tax</t>
  </si>
  <si>
    <t>ITA - Article 31D - Rental income subject to Final Withholding Tax</t>
  </si>
  <si>
    <t xml:space="preserve">Tax Credits utilised for the current year:     </t>
  </si>
  <si>
    <t>5A(5)(a) - 12%</t>
  </si>
  <si>
    <t>5A(5)(a) Proviso - 8%</t>
  </si>
  <si>
    <t>5A(5)(d) - 10%</t>
  </si>
  <si>
    <t>5A(5)(d) Proviso - 7%</t>
  </si>
  <si>
    <t>5A(5)(e)</t>
  </si>
  <si>
    <t>5A(5)(f) - 10%</t>
  </si>
  <si>
    <t>5A(5)(f) - 12%</t>
  </si>
  <si>
    <t>5A(5)(h)</t>
  </si>
  <si>
    <t>ITA  -  Various provisions under Article 5A</t>
  </si>
  <si>
    <t>FWT         Rate</t>
  </si>
  <si>
    <t>5A(12A)(e) - 8%</t>
  </si>
  <si>
    <t>5A(12A)(e) - 10%</t>
  </si>
  <si>
    <t>Deemed tranfers under 5A(12A) - (De-grouping):</t>
  </si>
  <si>
    <t>5A(12A)</t>
  </si>
  <si>
    <t>Credits granted under Incentive Entitlement Certificates which are project based are included in rows 52 to 59.</t>
  </si>
  <si>
    <t xml:space="preserve">The first part of the TRA deals with Incentive Entitlement Certificates which are determination based [Row 14 to 50].  </t>
  </si>
  <si>
    <t xml:space="preserve">Date of Certificate </t>
  </si>
  <si>
    <t xml:space="preserve">Size of undertaking </t>
  </si>
  <si>
    <r>
      <rPr>
        <sz val="9"/>
        <rFont val="Arial"/>
        <family val="2"/>
      </rPr>
      <t xml:space="preserve">First Year of Assessment </t>
    </r>
    <r>
      <rPr>
        <sz val="8"/>
        <rFont val="Arial"/>
        <family val="2"/>
      </rPr>
      <t>when assistance is available (per certificate)</t>
    </r>
  </si>
  <si>
    <t>Investment Aid for High-Efficiency Cogeneration Regulations, 2016</t>
  </si>
  <si>
    <t>Malta Enterprise Act - LN 179 of 2016</t>
  </si>
  <si>
    <t>y/a 2020</t>
  </si>
  <si>
    <t>ME Act - LN 179 of 2016 Investment Aid for High Efficiency Cogeneration Regulations, 2016</t>
  </si>
  <si>
    <t>Err</t>
  </si>
  <si>
    <t>Type of Undertaking</t>
  </si>
  <si>
    <t>New Equipment</t>
  </si>
  <si>
    <t xml:space="preserve">Upgrades </t>
  </si>
  <si>
    <t xml:space="preserve">Investment is related to </t>
  </si>
  <si>
    <t>Incentive Entitlement Certificate (IEC) No:</t>
  </si>
  <si>
    <t>Date of IEC:</t>
  </si>
  <si>
    <t>Estimated total investment</t>
  </si>
  <si>
    <t>Eligible costs</t>
  </si>
  <si>
    <t>Minimum investment</t>
  </si>
  <si>
    <t>Capping of the eligible costs</t>
  </si>
  <si>
    <t>TRA 93</t>
  </si>
  <si>
    <t>Malta Enterprise Act - LN 178 of 2016</t>
  </si>
  <si>
    <t>Assistance for Knowledge Transfer Regulations, 2016</t>
  </si>
  <si>
    <t>TRA 94</t>
  </si>
  <si>
    <t>Activity of the undertaking</t>
  </si>
  <si>
    <t xml:space="preserve">Manufacturing </t>
  </si>
  <si>
    <t>Warehousing and storage</t>
  </si>
  <si>
    <t>Technical testing and analysis</t>
  </si>
  <si>
    <t>Other research and experimental development on natural sciences and engineering</t>
  </si>
  <si>
    <t>Specialised design activities</t>
  </si>
  <si>
    <t>Activitiesof call centres</t>
  </si>
  <si>
    <t>Training needs analysis and development of training programmes</t>
  </si>
  <si>
    <t>In house training</t>
  </si>
  <si>
    <t>Training delivered from related companies</t>
  </si>
  <si>
    <t>Trainee basic wage costs</t>
  </si>
  <si>
    <t>Training delivered by qualified external trainers</t>
  </si>
  <si>
    <t>No. of employees</t>
  </si>
  <si>
    <t>Total Eligible costs</t>
  </si>
  <si>
    <t>Type of undertaking</t>
  </si>
  <si>
    <t>Credit available on eligible costs incurred in the current year of assessment</t>
  </si>
  <si>
    <t>ELIGIBLE COSTS (Current Year of Assessment)</t>
  </si>
  <si>
    <t>TOTAL ASSISTANCE IS CAPPED AT €1,000,000</t>
  </si>
  <si>
    <t>Tax credits utilised in previous years of assessment</t>
  </si>
  <si>
    <t>Tax credit available - current year</t>
  </si>
  <si>
    <t>Rule 20 - Assistance for expansion of business operations or for consolidation of current operations</t>
  </si>
  <si>
    <t>Maximum Tax credit entitlement is €200,000</t>
  </si>
  <si>
    <t>ERRORS</t>
  </si>
  <si>
    <t xml:space="preserve">     Reimbursement of eligible costs:     </t>
  </si>
  <si>
    <t>The tax credit claimed in a financial year cannot exceed the wage costs</t>
  </si>
  <si>
    <t xml:space="preserve">Assistance in relation to paid up share capital:     </t>
  </si>
  <si>
    <t>ME Act - LN178 of 2016 - Assistance for Knowledge Transfer Regulations, 2016</t>
  </si>
  <si>
    <t>ME Act - LN179 of 2016 - Investment Aid for High Efficiency Cogeneration Regulations, 2016</t>
  </si>
  <si>
    <t>ME Act - Enterprise Support Incentives (Amendment) (No.2) Regulations, 2016</t>
  </si>
  <si>
    <t>LN 194 of 2016</t>
  </si>
  <si>
    <t>ME Act - LN 194 of 2016 - Enterprise Support Incentives (Amendment) (No.2) Regulations, 2016 - Rule 20</t>
  </si>
  <si>
    <t>TRA 92</t>
  </si>
  <si>
    <t>Is the company a a female-owned undertaking?</t>
  </si>
  <si>
    <t>Female-owned</t>
  </si>
  <si>
    <t xml:space="preserve">Have all the conditions set by the Regulations and Certificate been satisfied?    </t>
  </si>
  <si>
    <t xml:space="preserve">IS ATTACHMENT COMPLETE [Y or N]?     </t>
  </si>
  <si>
    <t xml:space="preserve">IS ATTACHMENT COMPLETE [Y or N] ?             </t>
  </si>
  <si>
    <t>ITA - Article 5A - Profits on transfer of Immovable Property subject to Final Withholding Tax</t>
  </si>
  <si>
    <t>Income from Participating Holdings subject to relief of Double Taxation</t>
  </si>
  <si>
    <t>Other types of foreign income not subject to relief of Double Taxation</t>
  </si>
  <si>
    <t>Other types of foreign income subject to Treaty/Unilateral Relief</t>
  </si>
  <si>
    <t>Other types of foreign income subject to FRFTC</t>
  </si>
  <si>
    <t>Dividends from local sources received out of foreign income accounts subject to relief of Double Taxation</t>
  </si>
  <si>
    <t>Passive Interest or royalties subject to Treaty/Unilateral Relief</t>
  </si>
  <si>
    <t>Passive interest or royalties  subject to FRFTC</t>
  </si>
  <si>
    <t>TRA 63_1</t>
  </si>
  <si>
    <t>TRA 63_2</t>
  </si>
  <si>
    <r>
      <t xml:space="preserve">Income from Participating Holdings </t>
    </r>
    <r>
      <rPr>
        <b/>
        <sz val="10"/>
        <rFont val="Arial"/>
        <family val="2"/>
      </rPr>
      <t>NOT</t>
    </r>
    <r>
      <rPr>
        <sz val="10"/>
        <rFont val="Arial"/>
        <family val="2"/>
      </rPr>
      <t xml:space="preserve"> subject to relief of Double Taxation</t>
    </r>
  </si>
  <si>
    <r>
      <t xml:space="preserve">Passive interest or royalties </t>
    </r>
    <r>
      <rPr>
        <b/>
        <sz val="10"/>
        <color theme="1"/>
        <rFont val="Arial"/>
        <family val="2"/>
      </rPr>
      <t xml:space="preserve">not </t>
    </r>
    <r>
      <rPr>
        <sz val="10"/>
        <color theme="1"/>
        <rFont val="Arial"/>
        <family val="2"/>
      </rPr>
      <t>subject to relief of Double Taxation</t>
    </r>
  </si>
  <si>
    <t>Taxed Income relieved by Tax Credits relocated to the IPA</t>
  </si>
  <si>
    <t>Taxed Income relieved by Tax Credits</t>
  </si>
  <si>
    <t xml:space="preserve">TRA 35  </t>
  </si>
  <si>
    <t>Note: The Bank Account Number (Current or Savings) should belong to the company and not to directors or shareholders.</t>
  </si>
  <si>
    <t xml:space="preserve">Please indicate whether company wishes to receive any eventual overpayment of tax to its bank account as a SEPA transfer   </t>
  </si>
  <si>
    <t xml:space="preserve">Bank </t>
  </si>
  <si>
    <t xml:space="preserve">BIC </t>
  </si>
  <si>
    <t xml:space="preserve">IBAN </t>
  </si>
  <si>
    <t>warning</t>
  </si>
  <si>
    <r>
      <t xml:space="preserve">Income from overseas permanent establishment </t>
    </r>
    <r>
      <rPr>
        <b/>
        <sz val="9"/>
        <color theme="1"/>
        <rFont val="Arial"/>
        <family val="2"/>
      </rPr>
      <t xml:space="preserve"> not </t>
    </r>
    <r>
      <rPr>
        <sz val="10"/>
        <color theme="1"/>
        <rFont val="Arial"/>
        <family val="2"/>
      </rPr>
      <t>subject to relief of double taxation</t>
    </r>
  </si>
  <si>
    <r>
      <t xml:space="preserve">Income from overseas permanent establishment </t>
    </r>
    <r>
      <rPr>
        <b/>
        <sz val="10"/>
        <color theme="1"/>
        <rFont val="Arial"/>
        <family val="2"/>
      </rPr>
      <t xml:space="preserve"> </t>
    </r>
    <r>
      <rPr>
        <sz val="10"/>
        <color theme="1"/>
        <rFont val="Arial"/>
        <family val="2"/>
      </rPr>
      <t>subject to relief of double taxation</t>
    </r>
  </si>
  <si>
    <r>
      <t xml:space="preserve">Dividends from local sources received out of foreign income accounts </t>
    </r>
    <r>
      <rPr>
        <b/>
        <sz val="10.5"/>
        <rFont val="Arial Narrow"/>
        <family val="2"/>
      </rPr>
      <t>NOT</t>
    </r>
    <r>
      <rPr>
        <b/>
        <sz val="10.5"/>
        <color theme="1"/>
        <rFont val="Arial Narrow"/>
        <family val="2"/>
      </rPr>
      <t xml:space="preserve"> </t>
    </r>
    <r>
      <rPr>
        <sz val="10.5"/>
        <color theme="1"/>
        <rFont val="Arial Narrow"/>
        <family val="2"/>
      </rPr>
      <t>subject to relief of Double Taxation</t>
    </r>
  </si>
  <si>
    <t xml:space="preserve"> &lt; All details required!</t>
  </si>
  <si>
    <t xml:space="preserve">  Check tax credit!</t>
  </si>
  <si>
    <t>Warn</t>
  </si>
  <si>
    <t>Profit on transfer of Immovable Property subject to a Final Withholding Tax</t>
  </si>
  <si>
    <t>ITA - Art 31D - Rental income from letting of residential / commercial tenements subject to FWT</t>
  </si>
  <si>
    <t xml:space="preserve">Project Number&gt; </t>
  </si>
  <si>
    <t>TRA 89_1</t>
  </si>
  <si>
    <t>TRA 89_2</t>
  </si>
  <si>
    <t>reposition this formula in L8</t>
  </si>
  <si>
    <r>
      <rPr>
        <b/>
        <sz val="10"/>
        <rFont val="Arial"/>
        <family val="2"/>
      </rPr>
      <t>Industrial Buildings or structures</t>
    </r>
    <r>
      <rPr>
        <sz val="10"/>
        <rFont val="Arial"/>
        <family val="2"/>
      </rPr>
      <t xml:space="preserve"> and / or </t>
    </r>
    <r>
      <rPr>
        <b/>
        <sz val="10"/>
        <rFont val="Arial"/>
        <family val="2"/>
      </rPr>
      <t>Hotels</t>
    </r>
    <r>
      <rPr>
        <sz val="10"/>
        <rFont val="Arial"/>
        <family val="2"/>
      </rPr>
      <t xml:space="preserve"> and / or </t>
    </r>
    <r>
      <rPr>
        <b/>
        <sz val="10"/>
        <rFont val="Arial"/>
        <family val="2"/>
      </rPr>
      <t>Car parks</t>
    </r>
    <r>
      <rPr>
        <sz val="10"/>
        <rFont val="Arial"/>
        <family val="2"/>
      </rPr>
      <t xml:space="preserve"> and / or </t>
    </r>
    <r>
      <rPr>
        <b/>
        <sz val="10"/>
        <rFont val="Arial"/>
        <family val="2"/>
      </rPr>
      <t>Offices</t>
    </r>
    <r>
      <rPr>
        <sz val="10"/>
        <rFont val="Arial"/>
        <family val="2"/>
      </rPr>
      <t xml:space="preserve"> being </t>
    </r>
    <r>
      <rPr>
        <b/>
        <u/>
        <sz val="10"/>
        <rFont val="Arial"/>
        <family val="2"/>
      </rPr>
      <t xml:space="preserve">an office business centre </t>
    </r>
    <r>
      <rPr>
        <sz val="10"/>
        <rFont val="Arial"/>
        <family val="2"/>
      </rPr>
      <t>as defined and regulated by LN 349 of 2016.                          [Brief description]</t>
    </r>
  </si>
  <si>
    <t>Mobile Number</t>
  </si>
  <si>
    <t>Email Address</t>
  </si>
  <si>
    <t>L6</t>
  </si>
  <si>
    <t>A3515</t>
  </si>
  <si>
    <t>A3516</t>
  </si>
  <si>
    <t>A3517</t>
  </si>
  <si>
    <t>A3518</t>
  </si>
  <si>
    <t>A3519</t>
  </si>
  <si>
    <t>A3520</t>
  </si>
  <si>
    <t>N8</t>
  </si>
  <si>
    <t>N14</t>
  </si>
  <si>
    <t>N15</t>
  </si>
  <si>
    <t>N16</t>
  </si>
  <si>
    <t>N18</t>
  </si>
  <si>
    <t>N19</t>
  </si>
  <si>
    <t>N20</t>
  </si>
  <si>
    <t>N21</t>
  </si>
  <si>
    <t>A5331</t>
  </si>
  <si>
    <t>P51</t>
  </si>
  <si>
    <t>A5332</t>
  </si>
  <si>
    <t>P41</t>
  </si>
  <si>
    <t>N42</t>
  </si>
  <si>
    <t>P42</t>
  </si>
  <si>
    <t>A6328</t>
  </si>
  <si>
    <t>N43</t>
  </si>
  <si>
    <t>P43</t>
  </si>
  <si>
    <t>A6329</t>
  </si>
  <si>
    <t>N44</t>
  </si>
  <si>
    <t>P44</t>
  </si>
  <si>
    <t>A6330</t>
  </si>
  <si>
    <t>N45</t>
  </si>
  <si>
    <t>P45</t>
  </si>
  <si>
    <t>A6331</t>
  </si>
  <si>
    <t>N46</t>
  </si>
  <si>
    <t>P46</t>
  </si>
  <si>
    <t>A6332</t>
  </si>
  <si>
    <t>A6333</t>
  </si>
  <si>
    <t>A6334</t>
  </si>
  <si>
    <t>N54</t>
  </si>
  <si>
    <t>P54</t>
  </si>
  <si>
    <t>a6616</t>
  </si>
  <si>
    <t>a6617</t>
  </si>
  <si>
    <t>a6618</t>
  </si>
  <si>
    <t>a6619</t>
  </si>
  <si>
    <t>a6620</t>
  </si>
  <si>
    <t>a6621</t>
  </si>
  <si>
    <t>a6622</t>
  </si>
  <si>
    <t>a6623</t>
  </si>
  <si>
    <t>a6624</t>
  </si>
  <si>
    <t>a6625</t>
  </si>
  <si>
    <t>a6626</t>
  </si>
  <si>
    <t>a6627</t>
  </si>
  <si>
    <t>a6628</t>
  </si>
  <si>
    <t>a6629</t>
  </si>
  <si>
    <t>a6630</t>
  </si>
  <si>
    <t>a6631</t>
  </si>
  <si>
    <t>A7316</t>
  </si>
  <si>
    <t>A7317</t>
  </si>
  <si>
    <t>A7318</t>
  </si>
  <si>
    <t>A7319</t>
  </si>
  <si>
    <t>A7320</t>
  </si>
  <si>
    <t>A7321</t>
  </si>
  <si>
    <t>A7322</t>
  </si>
  <si>
    <t>A7323</t>
  </si>
  <si>
    <t>A7324</t>
  </si>
  <si>
    <t>A7325</t>
  </si>
  <si>
    <t>A7326</t>
  </si>
  <si>
    <t>A7327</t>
  </si>
  <si>
    <t>A8318</t>
  </si>
  <si>
    <t>A8319</t>
  </si>
  <si>
    <t>A8320</t>
  </si>
  <si>
    <t>A8321</t>
  </si>
  <si>
    <t>A8322</t>
  </si>
  <si>
    <t>A8323</t>
  </si>
  <si>
    <t>A8324</t>
  </si>
  <si>
    <t>A8325</t>
  </si>
  <si>
    <t>A8326</t>
  </si>
  <si>
    <t>A8327</t>
  </si>
  <si>
    <t>A8328</t>
  </si>
  <si>
    <t>A8329</t>
  </si>
  <si>
    <t>A8330</t>
  </si>
  <si>
    <t>A8331</t>
  </si>
  <si>
    <t>A8332</t>
  </si>
  <si>
    <t>A8333</t>
  </si>
  <si>
    <t>A8334</t>
  </si>
  <si>
    <t>A8335</t>
  </si>
  <si>
    <t>A8336</t>
  </si>
  <si>
    <t>A8337</t>
  </si>
  <si>
    <t>A8338</t>
  </si>
  <si>
    <t>A8339</t>
  </si>
  <si>
    <t>A8340</t>
  </si>
  <si>
    <t>A8341</t>
  </si>
  <si>
    <t>A8815</t>
  </si>
  <si>
    <t>A9201</t>
  </si>
  <si>
    <t>A9202</t>
  </si>
  <si>
    <t>A9203</t>
  </si>
  <si>
    <t>A9204</t>
  </si>
  <si>
    <t>A9205</t>
  </si>
  <si>
    <t>A9206</t>
  </si>
  <si>
    <t>A9207</t>
  </si>
  <si>
    <t>A9208</t>
  </si>
  <si>
    <t>A9209</t>
  </si>
  <si>
    <t>A9210</t>
  </si>
  <si>
    <t>A9211</t>
  </si>
  <si>
    <t>A9212</t>
  </si>
  <si>
    <t>A9213</t>
  </si>
  <si>
    <t>A9214</t>
  </si>
  <si>
    <t>A9215</t>
  </si>
  <si>
    <t>A9216</t>
  </si>
  <si>
    <t>A9217</t>
  </si>
  <si>
    <t>A9218</t>
  </si>
  <si>
    <t>A9219</t>
  </si>
  <si>
    <t>A9301</t>
  </si>
  <si>
    <t>A9302</t>
  </si>
  <si>
    <t>A9303</t>
  </si>
  <si>
    <t>A9304</t>
  </si>
  <si>
    <t>A9305</t>
  </si>
  <si>
    <t>A9306</t>
  </si>
  <si>
    <t>A9307</t>
  </si>
  <si>
    <t>A9308</t>
  </si>
  <si>
    <t>A9309</t>
  </si>
  <si>
    <t>A9310</t>
  </si>
  <si>
    <t>A9311</t>
  </si>
  <si>
    <t>A9312</t>
  </si>
  <si>
    <t>A9313</t>
  </si>
  <si>
    <t>A9314</t>
  </si>
  <si>
    <t>A9315</t>
  </si>
  <si>
    <t>A9401</t>
  </si>
  <si>
    <t>A9402</t>
  </si>
  <si>
    <t>A9403</t>
  </si>
  <si>
    <t>A9404</t>
  </si>
  <si>
    <t>A9405</t>
  </si>
  <si>
    <t>A9406</t>
  </si>
  <si>
    <t>A9407</t>
  </si>
  <si>
    <t>A9408</t>
  </si>
  <si>
    <t>A9409</t>
  </si>
  <si>
    <t>A9410</t>
  </si>
  <si>
    <t>A9411</t>
  </si>
  <si>
    <t>A9412</t>
  </si>
  <si>
    <t>A9413</t>
  </si>
  <si>
    <t>A9414</t>
  </si>
  <si>
    <t>A9415</t>
  </si>
  <si>
    <t>has received any passive interest or royalties that are allocated either to the Foreign Income Account or the Maltese Taxed Account</t>
  </si>
  <si>
    <r>
      <t xml:space="preserve">Multiple claims lumped together </t>
    </r>
    <r>
      <rPr>
        <b/>
        <sz val="9"/>
        <color theme="9" tint="-0.499984740745262"/>
        <rFont val="Arial"/>
        <family val="2"/>
      </rPr>
      <t>(see comment)</t>
    </r>
  </si>
  <si>
    <t>Unutilised Training Tax Credit inflated or deflated by the Applicable Rate c/fwd</t>
  </si>
  <si>
    <t>Unutilised Investment Tax Credit inflated or deflated by the Reference Rate c/fwd</t>
  </si>
  <si>
    <t>Unutilised Tax Credit inflated or deflated by the Reference Rate c/fwd</t>
  </si>
  <si>
    <t>Unutilised tax credit</t>
  </si>
  <si>
    <t>Development, Administrative and other costs</t>
  </si>
  <si>
    <t>Portion of costs referred to in Rule 20(3)(e)</t>
  </si>
  <si>
    <r>
      <t xml:space="preserve">ITA - Article 5A </t>
    </r>
    <r>
      <rPr>
        <b/>
        <sz val="8"/>
        <color theme="5"/>
        <rFont val="Arial"/>
        <family val="2"/>
      </rPr>
      <t>(see comment)</t>
    </r>
  </si>
  <si>
    <t>TRA 95</t>
  </si>
  <si>
    <t>TRA 96</t>
  </si>
  <si>
    <t>TRA 97</t>
  </si>
  <si>
    <t>TRA 98</t>
  </si>
  <si>
    <t>TRA 99</t>
  </si>
  <si>
    <t>TRA 100</t>
  </si>
  <si>
    <t>TRA 101</t>
  </si>
  <si>
    <t>TRA 102</t>
  </si>
  <si>
    <t>EUROPEAN CENTRAL BANK EXCHANGE RATES - AVERAGE RATES AGAINST THE EURO</t>
  </si>
  <si>
    <t>Average</t>
  </si>
  <si>
    <t>CBM</t>
  </si>
  <si>
    <t>ECB</t>
  </si>
  <si>
    <t>Exch. Rates</t>
  </si>
  <si>
    <t>US dollar</t>
  </si>
  <si>
    <t>USD</t>
  </si>
  <si>
    <t>Japanese yen</t>
  </si>
  <si>
    <t>JPY</t>
  </si>
  <si>
    <t>AED</t>
  </si>
  <si>
    <t>Canadian dollar</t>
  </si>
  <si>
    <t>CAD</t>
  </si>
  <si>
    <t>Swiss franc</t>
  </si>
  <si>
    <t>CHF</t>
  </si>
  <si>
    <t>Australian dollar</t>
  </si>
  <si>
    <t>AUD</t>
  </si>
  <si>
    <t>Chinese yuan renminbi</t>
  </si>
  <si>
    <t>New Turkish Lira</t>
  </si>
  <si>
    <t>TRY</t>
  </si>
  <si>
    <t>CNY</t>
  </si>
  <si>
    <t>Danish krone</t>
  </si>
  <si>
    <t>Hong Kong dollar</t>
  </si>
  <si>
    <t>HKD</t>
  </si>
  <si>
    <t>EGP</t>
  </si>
  <si>
    <t>Pound sterling</t>
  </si>
  <si>
    <t>GBP</t>
  </si>
  <si>
    <t>Euro</t>
  </si>
  <si>
    <t>DKK</t>
  </si>
  <si>
    <t>Swedish krona</t>
  </si>
  <si>
    <t>SEK</t>
  </si>
  <si>
    <t>Cyprus pound</t>
  </si>
  <si>
    <t>CYP</t>
  </si>
  <si>
    <t>-</t>
  </si>
  <si>
    <t>INR</t>
  </si>
  <si>
    <t>Latvian lats</t>
  </si>
  <si>
    <t>LVL</t>
  </si>
  <si>
    <t>Slovenian tolar</t>
  </si>
  <si>
    <t>SIT</t>
  </si>
  <si>
    <t>LYD</t>
  </si>
  <si>
    <t>Slovak koruna</t>
  </si>
  <si>
    <t>SKK</t>
  </si>
  <si>
    <t>NZD</t>
  </si>
  <si>
    <t>Hungarian forint</t>
  </si>
  <si>
    <t>HUF</t>
  </si>
  <si>
    <t>NOK</t>
  </si>
  <si>
    <t>Polish zloty</t>
  </si>
  <si>
    <t>PLN</t>
  </si>
  <si>
    <t>PEN</t>
  </si>
  <si>
    <t>Czech koruna</t>
  </si>
  <si>
    <t>CZK</t>
  </si>
  <si>
    <t>Estonian kroon</t>
  </si>
  <si>
    <t>EEK</t>
  </si>
  <si>
    <t>Lithuanian litas</t>
  </si>
  <si>
    <t>LTL</t>
  </si>
  <si>
    <t>New Romanian Leu</t>
  </si>
  <si>
    <t>RON</t>
  </si>
  <si>
    <t>Bulgarian lev</t>
  </si>
  <si>
    <t>BGN</t>
  </si>
  <si>
    <t>Croatian Kuna</t>
  </si>
  <si>
    <t>HRK</t>
  </si>
  <si>
    <t>Costs incurred for transportation of employees to and from the place of work using means of transport capable of carrying more than 8 persons</t>
  </si>
  <si>
    <t>Transportation costs incurred for the transport of employees</t>
  </si>
  <si>
    <t>Number of employees carried by the transport provided</t>
  </si>
  <si>
    <t>Calculation of deduction [Rule 3 (2)]</t>
  </si>
  <si>
    <t>The lower of:</t>
  </si>
  <si>
    <t>OR</t>
  </si>
  <si>
    <r>
      <t xml:space="preserve">(ii)    </t>
    </r>
    <r>
      <rPr>
        <sz val="11"/>
        <color theme="1"/>
        <rFont val="Calibri"/>
        <family val="2"/>
      </rPr>
      <t>€300 (or equivalent) per employee</t>
    </r>
  </si>
  <si>
    <t>Allowable Deduction</t>
  </si>
  <si>
    <t>The lower of (i) and (ii) above</t>
  </si>
  <si>
    <t xml:space="preserve">Declaration </t>
  </si>
  <si>
    <t>Have the transportation costs, indicated above, been correctly computed and confirmed by a Certified Public Accountant?</t>
  </si>
  <si>
    <t>Were proper records of the employee transportation costs, maintained?</t>
  </si>
  <si>
    <t>Have all the conditions under the Rules, been satisfied?</t>
  </si>
  <si>
    <t>INDEX&gt;</t>
  </si>
  <si>
    <t>to link</t>
  </si>
  <si>
    <t>from P1&gt;</t>
  </si>
  <si>
    <t>Long term contract of Insurance</t>
  </si>
  <si>
    <t>Have all the conditions under these Rules, been satisfied?</t>
  </si>
  <si>
    <t>Rule 5 - Calculation of the tax credit for the year</t>
  </si>
  <si>
    <t>Total tax credits available</t>
  </si>
  <si>
    <t>Income the tax on which is deemed relieved by the tax credit</t>
  </si>
  <si>
    <t>Note that TAXED INCOME RELIEVED BY TAX CREDITS UNDER THIS SCHEME IS ALLOCATED TO THE FINAL TAX ACCOUNT</t>
  </si>
  <si>
    <t>Rule 9 - Calculation of the tax deduction for the year</t>
  </si>
  <si>
    <t xml:space="preserve">Number of employees in respect of whom the qualifying contribution </t>
  </si>
  <si>
    <r>
      <t xml:space="preserve"> was less than or equal to </t>
    </r>
    <r>
      <rPr>
        <b/>
        <sz val="10"/>
        <color theme="1"/>
        <rFont val="Calibri"/>
        <family val="2"/>
      </rPr>
      <t>€2,000 (or equivalent)</t>
    </r>
  </si>
  <si>
    <r>
      <t xml:space="preserve"> was more than </t>
    </r>
    <r>
      <rPr>
        <b/>
        <sz val="10"/>
        <color theme="1"/>
        <rFont val="Calibri"/>
        <family val="2"/>
      </rPr>
      <t>€2,000 (or equivalent)</t>
    </r>
  </si>
  <si>
    <t xml:space="preserve">Aggregate amount of qualifying contribution paid to these employees </t>
  </si>
  <si>
    <t>Total deductions that can be claimed in terms of the provisions of article 14(1)(e) of the Act</t>
  </si>
  <si>
    <t>INDEX &gt;</t>
  </si>
  <si>
    <t>Rule 8 subrules 2, 3 and 4 not clear about payment referred to!</t>
  </si>
  <si>
    <t xml:space="preserve">ITA - LN 228 of 2017 - Voluntary Occupational Pension Scheme Rules, 2017 </t>
  </si>
  <si>
    <t>UP to YA 2020</t>
  </si>
  <si>
    <t>Occupational or Personal Retirement scheme</t>
  </si>
  <si>
    <t>to carry on long term business under the Insurance Business Act?</t>
  </si>
  <si>
    <t>to administer retirement schemes under the Retirement Pensions Act?</t>
  </si>
  <si>
    <t>Qualifying Employer PE Number(s)</t>
  </si>
  <si>
    <t xml:space="preserve">  TRA 60  </t>
  </si>
  <si>
    <t>Taxed Income relieved by tax credits that stands to be allocated to the Final Tax Account</t>
  </si>
  <si>
    <t>96a</t>
  </si>
  <si>
    <t>96b</t>
  </si>
  <si>
    <t>Taxed Income relieved by tax credits (allocated to FTA)</t>
  </si>
  <si>
    <t xml:space="preserve">      Maltese Taxed A/c</t>
  </si>
  <si>
    <t xml:space="preserve">   Immovable Prop. A/c</t>
  </si>
  <si>
    <t>ITA - Article 31E</t>
  </si>
  <si>
    <t>Rental of property to another person for at least seven years (Housing Authority Scheme)</t>
  </si>
  <si>
    <t>Final Tax Paid at 5%</t>
  </si>
  <si>
    <t>Date of Payment</t>
  </si>
  <si>
    <t>Receipt             Number</t>
  </si>
  <si>
    <t xml:space="preserve">   TRA 61</t>
  </si>
  <si>
    <t xml:space="preserve">Are you registered with the Housing Authority?   </t>
  </si>
  <si>
    <t xml:space="preserve">Have all the conditions been satisfied?   </t>
  </si>
  <si>
    <t>ITA - Article 31E- Rental of property to another person for at least seven years (Housing Authority Scheme)</t>
  </si>
  <si>
    <r>
      <t xml:space="preserve">ITA - Article 31E- Rental of property to another person for at least seven years </t>
    </r>
    <r>
      <rPr>
        <sz val="8"/>
        <rFont val="Arial"/>
        <family val="2"/>
      </rPr>
      <t>(Housing Authority Scheme)</t>
    </r>
  </si>
  <si>
    <t>Required or 0!</t>
  </si>
  <si>
    <t>Attard Local Council (Attard)</t>
  </si>
  <si>
    <t>ITA  -  LN 274 of 2017</t>
  </si>
  <si>
    <t>Balzan Local Council (Balzan)</t>
  </si>
  <si>
    <t xml:space="preserve">DEDUCTION (EMBELLISHMENT PROJECT) RULES </t>
  </si>
  <si>
    <t>Birkirkara Local Council (Birkirkara)</t>
  </si>
  <si>
    <t>Birżebbuġa Local Council (Birzebbuga)</t>
  </si>
  <si>
    <t>Brief Description of the Qualifying Embellishment Project</t>
  </si>
  <si>
    <t>Cospicua Local Council (Cospicua)</t>
  </si>
  <si>
    <t>Dingli Local Council (Dingli)</t>
  </si>
  <si>
    <t>Fgura Local Council (Fgura)</t>
  </si>
  <si>
    <t>Floriana Local Council (Floriana)</t>
  </si>
  <si>
    <t>Fontana Local Council (Fontana)</t>
  </si>
  <si>
    <t>Għajnsielem Local Council (Ghajnsielem)</t>
  </si>
  <si>
    <r>
      <t xml:space="preserve">Location of the qualifying Project </t>
    </r>
    <r>
      <rPr>
        <i/>
        <sz val="11"/>
        <color theme="1"/>
        <rFont val="Calibri"/>
        <family val="2"/>
        <scheme val="minor"/>
      </rPr>
      <t>(Choose the Local Council or Councils   where the project is situated over an area which falls under the remit of more than one Local Council)</t>
    </r>
  </si>
  <si>
    <t>Għarb Local Council (Gharb)</t>
  </si>
  <si>
    <t>Għargħur Local Council (Gharghur)</t>
  </si>
  <si>
    <t>Għasri Local Council (Ghasri)</t>
  </si>
  <si>
    <t>Għaxaq Local Council (Ghaxaq)</t>
  </si>
  <si>
    <t>Date of Completion of Project</t>
  </si>
  <si>
    <t>Gudja Local Council (Gudja)</t>
  </si>
  <si>
    <t>Gżira Local Council (Gzira)</t>
  </si>
  <si>
    <t>Date of approval by:</t>
  </si>
  <si>
    <t>Local Council</t>
  </si>
  <si>
    <t>Directorate</t>
  </si>
  <si>
    <t>Ħamrun Local Council (Hamrun)</t>
  </si>
  <si>
    <t>Iklin Local Council (Iklin)</t>
  </si>
  <si>
    <t>Kalkara Local Council (Kalkara)</t>
  </si>
  <si>
    <t>Kercem Local Council (Kercem)</t>
  </si>
  <si>
    <r>
      <t xml:space="preserve">The deduction claimed under these Rules cannot exceed </t>
    </r>
    <r>
      <rPr>
        <b/>
        <sz val="12"/>
        <color theme="5" tint="-0.499984740745262"/>
        <rFont val="Calibri"/>
        <family val="2"/>
      </rPr>
      <t>€90,000 (or equivalent) in any year.</t>
    </r>
  </si>
  <si>
    <t>Kirkop Local Council (Kirkop)</t>
  </si>
  <si>
    <t>Approved Expenditure incurred</t>
  </si>
  <si>
    <t>Lija Local Council (Lija)</t>
  </si>
  <si>
    <t>Luqa Local Council (Luqa)</t>
  </si>
  <si>
    <t>Assistance from Government or other Entity on same project</t>
  </si>
  <si>
    <t>Marsa Local Council (Marsa)</t>
  </si>
  <si>
    <t>Marsaskala Local Council (Marsaskala)</t>
  </si>
  <si>
    <t xml:space="preserve"> TRA 60   </t>
  </si>
  <si>
    <t>Marsaxlokk Local Council (Marsaxlokk)</t>
  </si>
  <si>
    <t>Mdina Local Council (Mdina)</t>
  </si>
  <si>
    <t>Mellieha Local Council (Mellieha)</t>
  </si>
  <si>
    <t>Mgarr Local Council (Mgarr)</t>
  </si>
  <si>
    <t>Mosta Local Council (Mosta)</t>
  </si>
  <si>
    <t>Mqabba Local Council (Mqabba)</t>
  </si>
  <si>
    <t>Msida Local Council (Msida)</t>
  </si>
  <si>
    <t>Mtarfa Local Council (Imtarfa)</t>
  </si>
  <si>
    <t>Munxar Local Council (Munxar)</t>
  </si>
  <si>
    <t>Nadur Local Council (Nadur)</t>
  </si>
  <si>
    <t>Naxxar Local Council (Naxxar)</t>
  </si>
  <si>
    <t>Paola Local Council (Paola)</t>
  </si>
  <si>
    <t>Pembroke Local Council (Pembroke)</t>
  </si>
  <si>
    <t>Pietà Local Council (Pietà)</t>
  </si>
  <si>
    <t>Qala Local Council (Qala)</t>
  </si>
  <si>
    <t>Qormi Local Council (Qormi)</t>
  </si>
  <si>
    <t>Qrendi Local Council (Qrendi)</t>
  </si>
  <si>
    <t>Rabat Local Council (Rabat)</t>
  </si>
  <si>
    <t>Safi Local Council (Safi)</t>
  </si>
  <si>
    <t>St. Julian’s Local Council (St. Julian's)</t>
  </si>
  <si>
    <t>San Gwann Local Council (San gwann)</t>
  </si>
  <si>
    <t>San Lawrenz Local Council (San Lawrenz)</t>
  </si>
  <si>
    <t>Senglea Local Council (Senglea)</t>
  </si>
  <si>
    <t>St. Paul’s Bay Local Council (St. Paul's Bay)</t>
  </si>
  <si>
    <t>Sannat Local Council (Sannat)</t>
  </si>
  <si>
    <t>Santa Lucija Local Council (Santa Lucija)</t>
  </si>
  <si>
    <t>Santa Venera Local Council (Santa Venera)</t>
  </si>
  <si>
    <t>Siggiewi Local Council (Siggiewi)</t>
  </si>
  <si>
    <t>Sliema Local Council (Sliema)</t>
  </si>
  <si>
    <t>Swieqi Local Council (Swieqi)</t>
  </si>
  <si>
    <t>Tarxien Local Council (Tarxien)</t>
  </si>
  <si>
    <t>Ta' Xbiex Local Council (Ta' Xbiex)</t>
  </si>
  <si>
    <t>Valletta Local Council (Valletta)</t>
  </si>
  <si>
    <t>Victoria Local Council (Victoria-Gozo)</t>
  </si>
  <si>
    <t>Vittoriosa Local Council (Birgu)</t>
  </si>
  <si>
    <t>Xaghra Local Council (Xaghra)</t>
  </si>
  <si>
    <t>Xewkija Local Council (Xewkija)</t>
  </si>
  <si>
    <t>Xghajra Local Council (Xaghjra)</t>
  </si>
  <si>
    <t>Zabbar Local Council (Zabbar)</t>
  </si>
  <si>
    <t>Żebbuġ Local Council (Zebbug)</t>
  </si>
  <si>
    <t>Zebbug Local Council (Zebbug-Gozo)</t>
  </si>
  <si>
    <t>Zejtun Local Council (Zejtun)</t>
  </si>
  <si>
    <t>Zurrieq Local Council (Zurrieq)</t>
  </si>
  <si>
    <r>
      <t xml:space="preserve">Inflated Expenditure allowed as a deduction </t>
    </r>
    <r>
      <rPr>
        <b/>
        <sz val="9"/>
        <color theme="1"/>
        <rFont val="Calibri"/>
        <family val="2"/>
        <scheme val="minor"/>
      </rPr>
      <t>(120%)</t>
    </r>
  </si>
  <si>
    <t>Note that where a deduction is claimed under these Rules, no other deduction may be claimed in respect of the same expenditure. Rule 3 (2)</t>
  </si>
  <si>
    <t>Expenditure eligible for inflated deduction</t>
  </si>
  <si>
    <t>Totals to Page 3 of the tax return</t>
  </si>
  <si>
    <t xml:space="preserve">ITA  -  LN 274 of 2017  -  Deduction (Embellishment project) Rules </t>
  </si>
  <si>
    <t>Norwegian Krone</t>
  </si>
  <si>
    <t>Inflated by 2%</t>
  </si>
  <si>
    <t>SOURCE</t>
  </si>
  <si>
    <t>Audit report waiver</t>
  </si>
  <si>
    <t xml:space="preserve">company refers to a company as defined in the Income tax Act whose annual turnover does not exceed eighty thousand euro (€80,000) or a pro rata amount if the relevant accounting period is other than twelve months; </t>
  </si>
  <si>
    <t>ITMA - Article 19(4)(a) and LN 306 of 2017</t>
  </si>
  <si>
    <t>120% of audit fees deduction</t>
  </si>
  <si>
    <t>educational qualifications refers to the successful completion of a course of study at MQF level 3, or higher, as recognized by the Malta Qualifications Recognition Information Centre.</t>
  </si>
  <si>
    <t>AUDIT REPORT WAIVER AND DEDUCTION RULES</t>
  </si>
  <si>
    <t>Provided further that the auditor’s report mentioned in this paragraph shall not be required for the first two accounting periods of a newly registered company whose sole shareholders are graduates of a PostSecondary Institution who have set up the new company within three years of graduating and subject to such conditions, including the amount of turnover, as may be prescribed.'</t>
  </si>
  <si>
    <t>Year when company was first set up</t>
  </si>
  <si>
    <t xml:space="preserve">The company is opting for the </t>
  </si>
  <si>
    <t>TIFD 6173</t>
  </si>
  <si>
    <r>
      <t xml:space="preserve">Are </t>
    </r>
    <r>
      <rPr>
        <b/>
        <u/>
        <sz val="11"/>
        <rFont val="Calibri"/>
        <family val="2"/>
        <scheme val="minor"/>
      </rPr>
      <t>ALL</t>
    </r>
    <r>
      <rPr>
        <b/>
        <sz val="11"/>
        <rFont val="Calibri"/>
        <family val="2"/>
        <scheme val="minor"/>
      </rPr>
      <t xml:space="preserve"> the conditions in the said Article and Rules satisfied?</t>
    </r>
  </si>
  <si>
    <t>is claiming the Audit report waiver or additional audit fee deduction under Art 19(4)(a) of the ITMA or LN 306 of 2017</t>
  </si>
  <si>
    <t>ITMA - Article 19(4)(a) and LN 306 of 2017 - Audit report waiver and Deduction Rules</t>
  </si>
  <si>
    <t>Number of months covered in this accounting period</t>
  </si>
  <si>
    <t>For how many previous years has the benefit been claimed?</t>
  </si>
  <si>
    <t>Index&gt;</t>
  </si>
  <si>
    <t>Page 2&gt;</t>
  </si>
  <si>
    <r>
      <t xml:space="preserve">Is the additional deduction restricted to </t>
    </r>
    <r>
      <rPr>
        <b/>
        <sz val="10"/>
        <rFont val="Calibri"/>
        <family val="2"/>
      </rPr>
      <t>€700 or the whole inflated deduction?</t>
    </r>
  </si>
  <si>
    <t xml:space="preserve">TRA 60 </t>
  </si>
  <si>
    <t xml:space="preserve">Taxable portion allocated to &gt;   </t>
  </si>
  <si>
    <t>Is the company an Original Shareholder</t>
  </si>
  <si>
    <t>What is the level of Public participation?</t>
  </si>
  <si>
    <t>Less than 10%</t>
  </si>
  <si>
    <t>At least 10% but less than 15%</t>
  </si>
  <si>
    <t>At least 15% but less than 20%</t>
  </si>
  <si>
    <t>At least 20% but less than 25%</t>
  </si>
  <si>
    <t>25% or more</t>
  </si>
  <si>
    <t xml:space="preserve">At least 10% </t>
  </si>
  <si>
    <t>Non Taxable portion</t>
  </si>
  <si>
    <t>Allocated below</t>
  </si>
  <si>
    <r>
      <t xml:space="preserve">Transfer of shares that have been admitted for trading on an alternative trading platform </t>
    </r>
    <r>
      <rPr>
        <sz val="8"/>
        <rFont val="Arial"/>
        <family val="2"/>
      </rPr>
      <t>(Rule 4A of the CG Rules)</t>
    </r>
  </si>
  <si>
    <t>Annual Turnover for the period</t>
  </si>
  <si>
    <t xml:space="preserve">20% Additional deduction </t>
  </si>
  <si>
    <t>120% of audit fees</t>
  </si>
  <si>
    <r>
      <rPr>
        <sz val="10"/>
        <rFont val="Calibri"/>
        <family val="2"/>
      </rPr>
      <t>€</t>
    </r>
    <r>
      <rPr>
        <sz val="10"/>
        <rFont val="Arial"/>
        <family val="2"/>
      </rPr>
      <t>700 equivalent&gt;</t>
    </r>
  </si>
  <si>
    <t>Share Capital</t>
  </si>
  <si>
    <t>Share Premium</t>
  </si>
  <si>
    <t>Positive retained earnings</t>
  </si>
  <si>
    <t>Interest free loans or other debts</t>
  </si>
  <si>
    <t>Other reserves</t>
  </si>
  <si>
    <t>Other positive balances shown as equity</t>
  </si>
  <si>
    <t xml:space="preserve">Interest on risk capital for the year that may be claimed </t>
  </si>
  <si>
    <t xml:space="preserve">Is attachment complete?   </t>
  </si>
  <si>
    <t>100% Direct allocation</t>
  </si>
  <si>
    <t xml:space="preserve">A </t>
  </si>
  <si>
    <t xml:space="preserve">B </t>
  </si>
  <si>
    <t>Chargeable Income for the year before NID that stands to be allocated to the FIA or the MTA (as per Rules)</t>
  </si>
  <si>
    <t>Amortisation of Intellectual Property (Art 14(1)(m) of the ITA)</t>
  </si>
  <si>
    <t>Remaining Notional Interest claimed as a deduction for the year</t>
  </si>
  <si>
    <t>Taxed Income relieved by tax credits that stands to be allocated to the Immovable Property Account</t>
  </si>
  <si>
    <t>Taxed Income relieved by tax credits that stands to be allocated to the Maltese Tax Account</t>
  </si>
  <si>
    <t>Totals - Allocation to the Immovable Property Account (for tax computation and calculation purposes only)</t>
  </si>
  <si>
    <t>Totals - Allocation to the Maltese Tax Account (for tax computation and calculation purposes only)</t>
  </si>
  <si>
    <t>ALLOCATION TO THE TAXED ACCOUNTS</t>
  </si>
  <si>
    <t>y/a 2021</t>
  </si>
  <si>
    <t>ME Act - Tax Credit for Research and Development and Innovation Regulations, 2017</t>
  </si>
  <si>
    <t>LN 153 of 2017</t>
  </si>
  <si>
    <t>Year of certificate</t>
  </si>
  <si>
    <t xml:space="preserve">IEC No:  </t>
  </si>
  <si>
    <t xml:space="preserve">Tax Credit Certificate No:  </t>
  </si>
  <si>
    <t>ME Act - Research and Development Activities Regulations, 2017</t>
  </si>
  <si>
    <t>LN 166 of 2017 Rule 4:  Aid for Research and Development Projects (Tax Credit)</t>
  </si>
  <si>
    <t>Data</t>
  </si>
  <si>
    <t>Tax Credit Certificate No:</t>
  </si>
  <si>
    <t xml:space="preserve">Date of Tax Credit Certificate: </t>
  </si>
  <si>
    <t>Qualifying employee costs</t>
  </si>
  <si>
    <t>Contracted research and development expenditure</t>
  </si>
  <si>
    <t>Materials and utilities</t>
  </si>
  <si>
    <t>Software as a Service (SAAS)</t>
  </si>
  <si>
    <t>Capping of the eligible costs (prescribed percentage)</t>
  </si>
  <si>
    <t>Credit available on eligible costs in current year</t>
  </si>
  <si>
    <t>Unutilised tax credit in previous year/s of assessment</t>
  </si>
  <si>
    <t>YA+2</t>
  </si>
  <si>
    <t>Credit available (CY)</t>
  </si>
  <si>
    <t>Unutilised b/fwd</t>
  </si>
  <si>
    <t>Available TC</t>
  </si>
  <si>
    <t>Year of Assessment 2018</t>
  </si>
  <si>
    <t>Year of Assessment 2019</t>
  </si>
  <si>
    <t>Year of Assessment 2020</t>
  </si>
  <si>
    <t>Year of Assessment 2021</t>
  </si>
  <si>
    <t>LN 166 of 2017 Rule 6:  Innovation Aid for SMEs</t>
  </si>
  <si>
    <t>Current year data</t>
  </si>
  <si>
    <t>date certificate - start</t>
  </si>
  <si>
    <t>date certificate - end</t>
  </si>
  <si>
    <t xml:space="preserve">    Certificate No_1:     </t>
  </si>
  <si>
    <t xml:space="preserve">    Date Issued:     </t>
  </si>
  <si>
    <t xml:space="preserve">    Certificate No_ 2:     </t>
  </si>
  <si>
    <t xml:space="preserve">     Year of assessment when tax credit can first be utilised:    </t>
  </si>
  <si>
    <t xml:space="preserve">     Approved Eligible costs:    </t>
  </si>
  <si>
    <t xml:space="preserve">     Approved percentage of eligible costs:    </t>
  </si>
  <si>
    <t xml:space="preserve">     Tax credit approved:    </t>
  </si>
  <si>
    <t xml:space="preserve">Excess tax credit carried forward:     </t>
  </si>
  <si>
    <t>TRA  102</t>
  </si>
  <si>
    <t>TRA  103</t>
  </si>
  <si>
    <t>TRA 103</t>
  </si>
  <si>
    <t>ME Act - Catering Capacity Building Regulations, 2017</t>
  </si>
  <si>
    <t>LN 167 of 2017</t>
  </si>
  <si>
    <t xml:space="preserve">Number  of engagements:  </t>
  </si>
  <si>
    <t>Engagement 1</t>
  </si>
  <si>
    <t>Engagement 2</t>
  </si>
  <si>
    <t>Engage 1</t>
  </si>
  <si>
    <t>Engage 2</t>
  </si>
  <si>
    <t>TRA 104</t>
  </si>
  <si>
    <t>ME Act - LN 166 of 2017 - Research and Development Activities Regulations, 2017 - Rule 4</t>
  </si>
  <si>
    <t>ME Act - LN 166 of 2017 - Research and Development Activities Regulations, 2017 - Rule 6</t>
  </si>
  <si>
    <t>Industrial Research and Experimental Development Projects</t>
  </si>
  <si>
    <t>Collobarative Industrial Research and Experimental Development Projects</t>
  </si>
  <si>
    <t xml:space="preserve">Entitlement Certificate Date                                         </t>
  </si>
  <si>
    <t>TRA 105</t>
  </si>
  <si>
    <t>ME Act - LN 167 of 2017 - Catering Capacity Building Regulations, 2017</t>
  </si>
  <si>
    <t>ME Act - LN 166 of 2017 - Research and Development Activities Regulations, 2017 - R&amp;D 2014 - 2020</t>
  </si>
  <si>
    <t>ME Act - LN 153 of 2017 - Tax Credit for Research and Development and Innovation Regulations, 2017</t>
  </si>
  <si>
    <r>
      <t xml:space="preserve">Malta Enterprise Act - LN166 of 2017                                                                                                                                                                                            </t>
    </r>
    <r>
      <rPr>
        <sz val="10"/>
        <rFont val="Arial"/>
        <family val="2"/>
      </rPr>
      <t>Research and Development Activities Regulations, 2017 - Research and Development 2014 - 2020</t>
    </r>
  </si>
  <si>
    <t>Is the company a family business?</t>
  </si>
  <si>
    <t>Family business</t>
  </si>
  <si>
    <t xml:space="preserve">LN 118 of 2015 </t>
  </si>
  <si>
    <t>Claiming NID</t>
  </si>
  <si>
    <t>Reporting deemed Notional Interest Received</t>
  </si>
  <si>
    <t>Ch Income before NID</t>
  </si>
  <si>
    <t>page 5</t>
  </si>
  <si>
    <t>Income relieved by TC attributable to FTA</t>
  </si>
  <si>
    <t>2nd allocation IPA</t>
  </si>
  <si>
    <t>page 6</t>
  </si>
  <si>
    <t>Net Risk Capital attributable to MTA and FIA income</t>
  </si>
  <si>
    <t>to P 4</t>
  </si>
  <si>
    <t xml:space="preserve">  TRA 61  </t>
  </si>
  <si>
    <t xml:space="preserve">Page 6  </t>
  </si>
  <si>
    <t>=invested risk capital + IPA</t>
  </si>
  <si>
    <t>=Risk capital attributable to MTA and FIA</t>
  </si>
  <si>
    <t>ITA - LN 37 of 2018 - Notional Interest Deduction Rules, 2018</t>
  </si>
  <si>
    <t>ITA - LN 37 of 2018</t>
  </si>
  <si>
    <t>14(1)(o)</t>
  </si>
  <si>
    <t>Notional Interest Deduction</t>
  </si>
  <si>
    <t>68e</t>
  </si>
  <si>
    <t>68f</t>
  </si>
  <si>
    <t>Additional Reallocation to the FTA (NID Rules)</t>
  </si>
  <si>
    <t>101f</t>
  </si>
  <si>
    <t>101g</t>
  </si>
  <si>
    <t>101h</t>
  </si>
  <si>
    <t>Different from values reported in TRA 100!</t>
  </si>
  <si>
    <t>ITA - LN 37 of 2018 - Notional Interest Deduction Rules</t>
  </si>
  <si>
    <t>Highest Reference Rate percentage for NID (TRA 100)</t>
  </si>
  <si>
    <t xml:space="preserve">              TRA 100_1  </t>
  </si>
  <si>
    <t xml:space="preserve">              TRA 100_2</t>
  </si>
  <si>
    <t>Additional Reallocation 10% from the MTA and/or FIA</t>
  </si>
  <si>
    <t>MXN</t>
  </si>
  <si>
    <t>ZAR</t>
  </si>
  <si>
    <t>South African Rand</t>
  </si>
  <si>
    <t>Notional Interest Deduction Rules, 2018</t>
  </si>
  <si>
    <t>Excess unabsorbed Notional Interest from previous year(s) that may be b/fwd</t>
  </si>
  <si>
    <t>Deduction set-off against deemed interest received (Rule 4(2)(a) proviso)</t>
  </si>
  <si>
    <t>Personal details of shareholders and Notional Interest deemed Received</t>
  </si>
  <si>
    <t>Date and Place of Birth / Inception</t>
  </si>
  <si>
    <t>Date of birth / inception</t>
  </si>
  <si>
    <t>Country of birth / inception</t>
  </si>
  <si>
    <t>Under how many Employer (PE) numbers have the qualifying contributions been reported?</t>
  </si>
  <si>
    <t>Unutilised tax credits b/fwd</t>
  </si>
  <si>
    <t>Has the company made contributions to a qualifying scheme under these Rules?</t>
  </si>
  <si>
    <t>Total Number of qualifying employees</t>
  </si>
  <si>
    <t xml:space="preserve">Total Qualifying Contributions for the year paid by the qualifying employer </t>
  </si>
  <si>
    <t>Tax Credit entitlement for the year in respect of these employees (lower value between 1 and 2)</t>
  </si>
  <si>
    <t>Total Tax Credit entitlement for the year (as computed above)</t>
  </si>
  <si>
    <r>
      <t>Deductions that can be claimed in respect of these employees</t>
    </r>
    <r>
      <rPr>
        <b/>
        <sz val="8"/>
        <color theme="1"/>
        <rFont val="Calibri"/>
        <family val="2"/>
        <scheme val="minor"/>
      </rPr>
      <t xml:space="preserve"> (max </t>
    </r>
    <r>
      <rPr>
        <b/>
        <sz val="8"/>
        <color theme="1"/>
        <rFont val="Calibri"/>
        <family val="2"/>
      </rPr>
      <t>€2,000 per employee or equivalent)</t>
    </r>
  </si>
  <si>
    <r>
      <t xml:space="preserve">Aggregate amount of qualifying contribution paid for these employees </t>
    </r>
    <r>
      <rPr>
        <b/>
        <sz val="9"/>
        <color theme="1"/>
        <rFont val="Calibri"/>
        <family val="2"/>
        <scheme val="minor"/>
      </rPr>
      <t xml:space="preserve">(up to </t>
    </r>
    <r>
      <rPr>
        <b/>
        <sz val="9"/>
        <color theme="1"/>
        <rFont val="Calibri"/>
        <family val="2"/>
      </rPr>
      <t>€2,000 each)</t>
    </r>
  </si>
  <si>
    <t xml:space="preserve">  Cannot claim NID!</t>
  </si>
  <si>
    <t>Deduction for Transportation Cost of Employees Rules, 2018</t>
  </si>
  <si>
    <t xml:space="preserve">Audit fees incurred for the period </t>
  </si>
  <si>
    <t>(Must agree with TIFD code 6173)</t>
  </si>
  <si>
    <t>Notional Interest deemed Received</t>
  </si>
  <si>
    <r>
      <t xml:space="preserve">(i)   Transportation costs incurred </t>
    </r>
    <r>
      <rPr>
        <sz val="8"/>
        <color theme="1"/>
        <rFont val="Calibri"/>
        <family val="2"/>
        <scheme val="minor"/>
      </rPr>
      <t xml:space="preserve">(Cannot be more than </t>
    </r>
    <r>
      <rPr>
        <sz val="8"/>
        <color theme="1"/>
        <rFont val="Calibri"/>
        <family val="2"/>
      </rPr>
      <t>€25,000 or equivalent)</t>
    </r>
  </si>
  <si>
    <t xml:space="preserve">Total Allowable deduction </t>
  </si>
  <si>
    <t>ITA - LN 67 of 2018</t>
  </si>
  <si>
    <t>ITA - LN 67 of 2018 - Deduction for Transportation Cost of Employees Rules, 2017</t>
  </si>
  <si>
    <t>Have all the conditions under these Rules been satisfied?</t>
  </si>
  <si>
    <t>Pieta Local Council (Pieta)</t>
  </si>
  <si>
    <t>St. Julian's Local Council (St. Julian's)</t>
  </si>
  <si>
    <t>St. Paul's Bay Local Council (St. Paul's Bay)</t>
  </si>
  <si>
    <t>M67</t>
  </si>
  <si>
    <t>O67</t>
  </si>
  <si>
    <t>Q67</t>
  </si>
  <si>
    <t>S67</t>
  </si>
  <si>
    <t>U67</t>
  </si>
  <si>
    <t>W67</t>
  </si>
  <si>
    <t>S73</t>
  </si>
  <si>
    <t>S77</t>
  </si>
  <si>
    <t>M79</t>
  </si>
  <si>
    <t>O79</t>
  </si>
  <si>
    <t>S79</t>
  </si>
  <si>
    <t>M81</t>
  </si>
  <si>
    <t>O81</t>
  </si>
  <si>
    <t>M83</t>
  </si>
  <si>
    <t>S83</t>
  </si>
  <si>
    <t>W83</t>
  </si>
  <si>
    <t>W85</t>
  </si>
  <si>
    <t>W89</t>
  </si>
  <si>
    <t>W91</t>
  </si>
  <si>
    <t>W93</t>
  </si>
  <si>
    <t>W95</t>
  </si>
  <si>
    <t>M97</t>
  </si>
  <si>
    <t>O97</t>
  </si>
  <si>
    <t>Q97</t>
  </si>
  <si>
    <t>S97</t>
  </si>
  <si>
    <t>W97</t>
  </si>
  <si>
    <t>A1728</t>
  </si>
  <si>
    <t>A1729</t>
  </si>
  <si>
    <t>A1730</t>
  </si>
  <si>
    <t>A1731</t>
  </si>
  <si>
    <t>A1732</t>
  </si>
  <si>
    <t>A1733</t>
  </si>
  <si>
    <t>A1828</t>
  </si>
  <si>
    <t>A1829</t>
  </si>
  <si>
    <t>A3521</t>
  </si>
  <si>
    <t>A3522</t>
  </si>
  <si>
    <t>A3523</t>
  </si>
  <si>
    <t>A3524</t>
  </si>
  <si>
    <t>A3525</t>
  </si>
  <si>
    <t>companywebamount</t>
  </si>
  <si>
    <t>A3526</t>
  </si>
  <si>
    <t>A3527</t>
  </si>
  <si>
    <t>A6028</t>
  </si>
  <si>
    <t>A6029</t>
  </si>
  <si>
    <t>A6030</t>
  </si>
  <si>
    <t>A6031</t>
  </si>
  <si>
    <t>A6032</t>
  </si>
  <si>
    <t>A6120</t>
  </si>
  <si>
    <t>A6121</t>
  </si>
  <si>
    <t>A6122</t>
  </si>
  <si>
    <t>A8816</t>
  </si>
  <si>
    <t>A9501</t>
  </si>
  <si>
    <t>A9502</t>
  </si>
  <si>
    <t>A9503</t>
  </si>
  <si>
    <t>A9504</t>
  </si>
  <si>
    <t>A9505</t>
  </si>
  <si>
    <t>A9506</t>
  </si>
  <si>
    <t>A9507</t>
  </si>
  <si>
    <t>A9508</t>
  </si>
  <si>
    <t>A9509</t>
  </si>
  <si>
    <t>A9510</t>
  </si>
  <si>
    <t>A9601</t>
  </si>
  <si>
    <t>A9602</t>
  </si>
  <si>
    <t>A9603</t>
  </si>
  <si>
    <t>A9604</t>
  </si>
  <si>
    <t>A9605</t>
  </si>
  <si>
    <t>A9606</t>
  </si>
  <si>
    <t>A9607</t>
  </si>
  <si>
    <t>A9608</t>
  </si>
  <si>
    <t>A9609</t>
  </si>
  <si>
    <t>A9610</t>
  </si>
  <si>
    <t>A9611</t>
  </si>
  <si>
    <t>A9612</t>
  </si>
  <si>
    <t>A9613</t>
  </si>
  <si>
    <t>A9614</t>
  </si>
  <si>
    <t>A9615</t>
  </si>
  <si>
    <t>A9616</t>
  </si>
  <si>
    <t>A9617</t>
  </si>
  <si>
    <t>A9618</t>
  </si>
  <si>
    <t>A9619</t>
  </si>
  <si>
    <t>A9620</t>
  </si>
  <si>
    <t>A9621</t>
  </si>
  <si>
    <t>A9622</t>
  </si>
  <si>
    <t>A9623</t>
  </si>
  <si>
    <t>A9624</t>
  </si>
  <si>
    <t>A9625</t>
  </si>
  <si>
    <t>A9626</t>
  </si>
  <si>
    <t>A9627</t>
  </si>
  <si>
    <t>A9628</t>
  </si>
  <si>
    <t>A9629</t>
  </si>
  <si>
    <t>A9630</t>
  </si>
  <si>
    <t>A9631</t>
  </si>
  <si>
    <t>A9701</t>
  </si>
  <si>
    <t>A9702</t>
  </si>
  <si>
    <t>A9703</t>
  </si>
  <si>
    <t>A9704</t>
  </si>
  <si>
    <t>A9705</t>
  </si>
  <si>
    <t>A9706</t>
  </si>
  <si>
    <t>A9707</t>
  </si>
  <si>
    <t>A9708</t>
  </si>
  <si>
    <t>A9709</t>
  </si>
  <si>
    <t>A9710</t>
  </si>
  <si>
    <t>A9711</t>
  </si>
  <si>
    <t>A9712</t>
  </si>
  <si>
    <t>A9713</t>
  </si>
  <si>
    <t>A9714</t>
  </si>
  <si>
    <t>A9715</t>
  </si>
  <si>
    <t>A9801</t>
  </si>
  <si>
    <t>A9802</t>
  </si>
  <si>
    <t>A9803</t>
  </si>
  <si>
    <t>A9804</t>
  </si>
  <si>
    <t>A9805</t>
  </si>
  <si>
    <t>A9806</t>
  </si>
  <si>
    <t>A9807</t>
  </si>
  <si>
    <t>A9808</t>
  </si>
  <si>
    <t>A9809</t>
  </si>
  <si>
    <t>A9810</t>
  </si>
  <si>
    <t>A9811</t>
  </si>
  <si>
    <t>A9812</t>
  </si>
  <si>
    <t>A9813</t>
  </si>
  <si>
    <t>A9814</t>
  </si>
  <si>
    <t>A9901</t>
  </si>
  <si>
    <t>A9902</t>
  </si>
  <si>
    <t>A9903</t>
  </si>
  <si>
    <t>A9904</t>
  </si>
  <si>
    <t>A9905</t>
  </si>
  <si>
    <t>A9906</t>
  </si>
  <si>
    <t>A9907</t>
  </si>
  <si>
    <t>A9908</t>
  </si>
  <si>
    <t>A9909</t>
  </si>
  <si>
    <t>A9910</t>
  </si>
  <si>
    <t>A10001</t>
  </si>
  <si>
    <t>A10002</t>
  </si>
  <si>
    <t>A10003</t>
  </si>
  <si>
    <t>A10004</t>
  </si>
  <si>
    <t>A10005</t>
  </si>
  <si>
    <t>A10006</t>
  </si>
  <si>
    <t>A10007</t>
  </si>
  <si>
    <t>A10008</t>
  </si>
  <si>
    <t>A10009</t>
  </si>
  <si>
    <t>A10010</t>
  </si>
  <si>
    <t>A10011</t>
  </si>
  <si>
    <t>A10012</t>
  </si>
  <si>
    <t>A10013</t>
  </si>
  <si>
    <t>A10014</t>
  </si>
  <si>
    <t>A10015</t>
  </si>
  <si>
    <t>A10016</t>
  </si>
  <si>
    <t>A10017</t>
  </si>
  <si>
    <t>A10018</t>
  </si>
  <si>
    <t>A10019</t>
  </si>
  <si>
    <t>A10020</t>
  </si>
  <si>
    <t>A10021</t>
  </si>
  <si>
    <t>A10022</t>
  </si>
  <si>
    <t>A10023</t>
  </si>
  <si>
    <t>A10024</t>
  </si>
  <si>
    <t>A10025</t>
  </si>
  <si>
    <t>A10026</t>
  </si>
  <si>
    <t>A10027</t>
  </si>
  <si>
    <t>A10028</t>
  </si>
  <si>
    <t>A10029</t>
  </si>
  <si>
    <t>A10030</t>
  </si>
  <si>
    <t>A10031</t>
  </si>
  <si>
    <t>A10032</t>
  </si>
  <si>
    <t>A10033</t>
  </si>
  <si>
    <t>A10034</t>
  </si>
  <si>
    <t>A10035</t>
  </si>
  <si>
    <t>A10036</t>
  </si>
  <si>
    <t>A10037</t>
  </si>
  <si>
    <t>A10038</t>
  </si>
  <si>
    <t>A10039</t>
  </si>
  <si>
    <t>A10040</t>
  </si>
  <si>
    <t>A10041</t>
  </si>
  <si>
    <t>A10042</t>
  </si>
  <si>
    <t>A10043</t>
  </si>
  <si>
    <t>D106</t>
  </si>
  <si>
    <t>J106</t>
  </si>
  <si>
    <t>K106</t>
  </si>
  <si>
    <t>A10044</t>
  </si>
  <si>
    <t>D107</t>
  </si>
  <si>
    <t>E107</t>
  </si>
  <si>
    <t>F107</t>
  </si>
  <si>
    <t>G107</t>
  </si>
  <si>
    <t>H107</t>
  </si>
  <si>
    <t>I107</t>
  </si>
  <si>
    <t>J107</t>
  </si>
  <si>
    <t>K107</t>
  </si>
  <si>
    <t>A10045</t>
  </si>
  <si>
    <t>D108</t>
  </si>
  <si>
    <t>F108</t>
  </si>
  <si>
    <t>G108</t>
  </si>
  <si>
    <t>H108</t>
  </si>
  <si>
    <t>I108</t>
  </si>
  <si>
    <t>J108</t>
  </si>
  <si>
    <t>K108</t>
  </si>
  <si>
    <t>A10046</t>
  </si>
  <si>
    <t>D109</t>
  </si>
  <si>
    <t>E109</t>
  </si>
  <si>
    <t>F109</t>
  </si>
  <si>
    <t>G109</t>
  </si>
  <si>
    <t>H109</t>
  </si>
  <si>
    <t>J109</t>
  </si>
  <si>
    <t>K109</t>
  </si>
  <si>
    <t>A10047</t>
  </si>
  <si>
    <t>A10048</t>
  </si>
  <si>
    <t>A10049</t>
  </si>
  <si>
    <t>A10050</t>
  </si>
  <si>
    <t>A10051</t>
  </si>
  <si>
    <t>A10052</t>
  </si>
  <si>
    <t>A10053</t>
  </si>
  <si>
    <t>A10054</t>
  </si>
  <si>
    <t>A10055</t>
  </si>
  <si>
    <t>A10056</t>
  </si>
  <si>
    <t>A10057</t>
  </si>
  <si>
    <t>A10058</t>
  </si>
  <si>
    <t>A10059</t>
  </si>
  <si>
    <t>A10060</t>
  </si>
  <si>
    <t>A10061</t>
  </si>
  <si>
    <t>K142</t>
  </si>
  <si>
    <t>A10101</t>
  </si>
  <si>
    <t>A10102</t>
  </si>
  <si>
    <t>A10103</t>
  </si>
  <si>
    <t>A10104</t>
  </si>
  <si>
    <t>A10105</t>
  </si>
  <si>
    <t>A10106</t>
  </si>
  <si>
    <t>A10201</t>
  </si>
  <si>
    <t>A10202</t>
  </si>
  <si>
    <t>A10203</t>
  </si>
  <si>
    <t>A10204</t>
  </si>
  <si>
    <t>A10205</t>
  </si>
  <si>
    <t>A10206</t>
  </si>
  <si>
    <t>A10207</t>
  </si>
  <si>
    <t>A10208</t>
  </si>
  <si>
    <t>A10209</t>
  </si>
  <si>
    <t>A10210</t>
  </si>
  <si>
    <t>A10211</t>
  </si>
  <si>
    <t>A10212</t>
  </si>
  <si>
    <t>A10213</t>
  </si>
  <si>
    <t>A10214</t>
  </si>
  <si>
    <t>A10215</t>
  </si>
  <si>
    <t>A10216</t>
  </si>
  <si>
    <t>A10217</t>
  </si>
  <si>
    <t>A10218</t>
  </si>
  <si>
    <t>A10219</t>
  </si>
  <si>
    <t>A10220</t>
  </si>
  <si>
    <t>A10301</t>
  </si>
  <si>
    <t>A10302</t>
  </si>
  <si>
    <t>A10303</t>
  </si>
  <si>
    <t>A10304</t>
  </si>
  <si>
    <t>A10305</t>
  </si>
  <si>
    <t>A10306</t>
  </si>
  <si>
    <t>A10307</t>
  </si>
  <si>
    <t>A10308</t>
  </si>
  <si>
    <t>A10309</t>
  </si>
  <si>
    <t>A10310</t>
  </si>
  <si>
    <t>A10311</t>
  </si>
  <si>
    <t>A10312</t>
  </si>
  <si>
    <t>A10313</t>
  </si>
  <si>
    <t>A10314</t>
  </si>
  <si>
    <t>A10315</t>
  </si>
  <si>
    <t>A10316</t>
  </si>
  <si>
    <t>A10317</t>
  </si>
  <si>
    <t>A10401</t>
  </si>
  <si>
    <t>A10402</t>
  </si>
  <si>
    <t>A10403</t>
  </si>
  <si>
    <t>A10404</t>
  </si>
  <si>
    <t>A10405</t>
  </si>
  <si>
    <t>A10406</t>
  </si>
  <si>
    <t>A10407</t>
  </si>
  <si>
    <t>A10408</t>
  </si>
  <si>
    <t>A10409</t>
  </si>
  <si>
    <t>A10410</t>
  </si>
  <si>
    <t>A10411</t>
  </si>
  <si>
    <t>A10412</t>
  </si>
  <si>
    <t>A10413</t>
  </si>
  <si>
    <t>A10414</t>
  </si>
  <si>
    <t>A10415</t>
  </si>
  <si>
    <t>A10416</t>
  </si>
  <si>
    <t>A10417</t>
  </si>
  <si>
    <t>A10418</t>
  </si>
  <si>
    <t>A10501</t>
  </si>
  <si>
    <t>A10502</t>
  </si>
  <si>
    <t>A10503</t>
  </si>
  <si>
    <t>A10504</t>
  </si>
  <si>
    <t>A10505</t>
  </si>
  <si>
    <t>A10506</t>
  </si>
  <si>
    <t>A10507</t>
  </si>
  <si>
    <t>A10508</t>
  </si>
  <si>
    <t>A10509</t>
  </si>
  <si>
    <t>A10510</t>
  </si>
  <si>
    <t>A10511</t>
  </si>
  <si>
    <t>A10512</t>
  </si>
  <si>
    <t>Details of permit issued by the Environment and Resources Authority</t>
  </si>
  <si>
    <t xml:space="preserve">Permit Reference </t>
  </si>
  <si>
    <t>Warning</t>
  </si>
  <si>
    <t>Date of Issue</t>
  </si>
  <si>
    <t>Maximum tax credit that may be claimed (25% of gross fees)</t>
  </si>
  <si>
    <t>Tax credit claimed for the year</t>
  </si>
  <si>
    <t>Income the tax on which has been relieved by the tax credit</t>
  </si>
  <si>
    <t>Tax chargeable on the income derived from the provision of those services</t>
  </si>
  <si>
    <t>TRA 106</t>
  </si>
  <si>
    <t>Tax Credit (Construction Waste Recycling) Rules, 2018</t>
  </si>
  <si>
    <t>ITA  -  LN   of 2018  -  Tax Credit (Construction Waste Recycling) Rules, 2018</t>
  </si>
  <si>
    <t>ITA  -  LN 209 of 2018  -  Tax Credit (Construction Waste Recycling) Rules, 2018</t>
  </si>
  <si>
    <t>ITA  -  LN 209 of 2018</t>
  </si>
  <si>
    <t>Maximum Tax credit entitlement is €50,000 (or equivalent) and €70,000 (or equivalent) for start ups in Gozo</t>
  </si>
  <si>
    <t>Interest expense</t>
  </si>
  <si>
    <t>ITA - Article 14(1)(m)</t>
  </si>
  <si>
    <t>Capital Expenditure on Intellectual Properrty or Intellectual Property Rights</t>
  </si>
  <si>
    <t>Disposals during the year at cost</t>
  </si>
  <si>
    <t>Net value of asset</t>
  </si>
  <si>
    <t>Number of years amortisation</t>
  </si>
  <si>
    <t>Year up to which IP can be claimed</t>
  </si>
  <si>
    <t>Full text</t>
  </si>
  <si>
    <t>Intellectual property</t>
  </si>
  <si>
    <t>IP</t>
  </si>
  <si>
    <t>Intellectual property rights</t>
  </si>
  <si>
    <t>IP rights</t>
  </si>
  <si>
    <t>ME Act - Tax Credits Supporting the Refurbishment of Hotels and Restuarants</t>
  </si>
  <si>
    <t>LN 120 of 2018</t>
  </si>
  <si>
    <t>Provision of tourist accomodation</t>
  </si>
  <si>
    <t>Provision of food services</t>
  </si>
  <si>
    <t>Type of Activity</t>
  </si>
  <si>
    <t>Did the company incur eligible costs in the current year?</t>
  </si>
  <si>
    <t>Eligible Costs (costs incurred after the project is approved by the Corporation)</t>
  </si>
  <si>
    <t>Restaurants</t>
  </si>
  <si>
    <t>Design Cost</t>
  </si>
  <si>
    <t>Replacement of finishes, furniture, fittings and equipment</t>
  </si>
  <si>
    <t>Redecoration</t>
  </si>
  <si>
    <t>Total eligible costs for the year</t>
  </si>
  <si>
    <t>Approved tax credit</t>
  </si>
  <si>
    <t>Condtion - cost</t>
  </si>
  <si>
    <t>Maximum available tax credit</t>
  </si>
  <si>
    <t>Tax credit claimed in previous years</t>
  </si>
  <si>
    <t>Available tax credit for the year</t>
  </si>
  <si>
    <t>Tax credits can be approved up to ya</t>
  </si>
  <si>
    <t>Malta Enterprise Act - LN 122 of 2018</t>
  </si>
  <si>
    <t>Investment Aid for Energy Efficiency Regulations, 2018</t>
  </si>
  <si>
    <t>Core activity</t>
  </si>
  <si>
    <t>Repair, overhaul and maintenance</t>
  </si>
  <si>
    <t>Information hosting and processing</t>
  </si>
  <si>
    <t>latest approval</t>
  </si>
  <si>
    <t>Waste treatment</t>
  </si>
  <si>
    <t xml:space="preserve">Work must start by </t>
  </si>
  <si>
    <t>Health service</t>
  </si>
  <si>
    <t xml:space="preserve">Must must be complete by </t>
  </si>
  <si>
    <t>Hospitality</t>
  </si>
  <si>
    <t>Must must be complete by YA</t>
  </si>
  <si>
    <t>Industrial packaging</t>
  </si>
  <si>
    <t>Telecommunication</t>
  </si>
  <si>
    <t>Wholesale and retail trade</t>
  </si>
  <si>
    <t>Laundry and dry cleaning</t>
  </si>
  <si>
    <t>TA2_e-CO_2018_Ver 1.3</t>
  </si>
  <si>
    <t>ME Act -  LN 120 of 2018  -  Tax Credits Supporting the Refurbishment of Hotels and Restaurants</t>
  </si>
  <si>
    <t>ME Act -  LN 122 of 2018  -  Investment Aid for Energy Efficiency Regulations, 2018</t>
  </si>
  <si>
    <t>TRA 107</t>
  </si>
  <si>
    <t>TRA 108</t>
  </si>
  <si>
    <t>TRA 109</t>
  </si>
  <si>
    <t>ME Act - LN 120 of 2018  -  Tax Credits Supporting the Refusrbishment of Hotels and Restaurants</t>
  </si>
  <si>
    <t>ME Act - LN 122 of 2018  -  Investment Aid for Energy Efficiency Regulations, 2018</t>
  </si>
  <si>
    <t>ITA  -  Article 14(1)(m)  -  Capital expenditure on Intellectual Property or Intellectual Property Rights</t>
  </si>
  <si>
    <t>Amounts reported in the Income Statement [TIFD]</t>
  </si>
  <si>
    <t>Cannot be more than income reported from source!</t>
  </si>
  <si>
    <t>Cannot exceed Maximum NID that may be claimed!</t>
  </si>
  <si>
    <r>
      <rPr>
        <b/>
        <u/>
        <sz val="10"/>
        <color theme="1"/>
        <rFont val="Calibri"/>
        <family val="2"/>
        <scheme val="minor"/>
      </rPr>
      <t>LESS</t>
    </r>
  </si>
  <si>
    <t xml:space="preserve">Invested Risk Capital as defined in Rule 4   </t>
  </si>
  <si>
    <t xml:space="preserve">Other risk capital NOT attributable to MTA / FIA Income   </t>
  </si>
  <si>
    <t xml:space="preserve">Net Risk Capital attributable to MTA / FIA Income   </t>
  </si>
  <si>
    <r>
      <t xml:space="preserve">Income for the year </t>
    </r>
    <r>
      <rPr>
        <b/>
        <sz val="9"/>
        <color theme="1"/>
        <rFont val="Calibri"/>
        <family val="2"/>
        <scheme val="minor"/>
      </rPr>
      <t>(from Page 4)</t>
    </r>
  </si>
  <si>
    <t>Capital Gains</t>
  </si>
  <si>
    <t xml:space="preserve">  To Page 4 of Return</t>
  </si>
  <si>
    <t>Amount required to be allocated to the Final Tax Account (Tax Account Rules)</t>
  </si>
  <si>
    <t>NET Risk Capital attributable to MTA and/or FIA income (workings in TRA 100A)</t>
  </si>
  <si>
    <t>ITA - Capital Gains</t>
  </si>
  <si>
    <t>Max for the year</t>
  </si>
  <si>
    <t>Deemed Interest Income as per NID Rules</t>
  </si>
  <si>
    <r>
      <t xml:space="preserve">   Excluding any FRFTC BUT after deducting the </t>
    </r>
    <r>
      <rPr>
        <b/>
        <u/>
        <sz val="11"/>
        <color theme="1"/>
        <rFont val="Calibri"/>
        <family val="2"/>
        <scheme val="minor"/>
      </rPr>
      <t>grossed up amount</t>
    </r>
    <r>
      <rPr>
        <b/>
        <sz val="11"/>
        <color theme="1"/>
        <rFont val="Calibri"/>
        <family val="2"/>
        <scheme val="minor"/>
      </rPr>
      <t xml:space="preserve"> of any transfers to the IPA (2nd allocation)</t>
    </r>
  </si>
  <si>
    <r>
      <t xml:space="preserve">Notional Interest </t>
    </r>
    <r>
      <rPr>
        <b/>
        <u/>
        <sz val="11"/>
        <color theme="1"/>
        <rFont val="Calibri"/>
        <family val="2"/>
        <scheme val="minor"/>
      </rPr>
      <t xml:space="preserve">DEEMED RECEIVED  </t>
    </r>
    <r>
      <rPr>
        <b/>
        <sz val="11"/>
        <color theme="1"/>
        <rFont val="Calibri"/>
        <family val="2"/>
        <scheme val="minor"/>
      </rPr>
      <t>from another undertaking before NID</t>
    </r>
  </si>
  <si>
    <r>
      <t xml:space="preserve">Chargeable Income </t>
    </r>
    <r>
      <rPr>
        <b/>
        <u/>
        <sz val="11"/>
        <color theme="1"/>
        <rFont val="Calibri"/>
        <family val="2"/>
        <scheme val="minor"/>
      </rPr>
      <t>NET</t>
    </r>
    <r>
      <rPr>
        <b/>
        <sz val="11"/>
        <color theme="1"/>
        <rFont val="Calibri"/>
        <family val="2"/>
        <scheme val="minor"/>
      </rPr>
      <t xml:space="preserve"> of Notional Interest deemed received </t>
    </r>
    <r>
      <rPr>
        <b/>
        <u/>
        <sz val="11"/>
        <color theme="1"/>
        <rFont val="Calibri"/>
        <family val="2"/>
        <scheme val="minor"/>
      </rPr>
      <t>BUT</t>
    </r>
    <r>
      <rPr>
        <b/>
        <sz val="11"/>
        <color theme="1"/>
        <rFont val="Calibri"/>
        <family val="2"/>
        <scheme val="minor"/>
      </rPr>
      <t xml:space="preserve"> before NID</t>
    </r>
  </si>
  <si>
    <t xml:space="preserve">  Check Chargeable Income!</t>
  </si>
  <si>
    <r>
      <t xml:space="preserve">Notional Interest RECEIVED </t>
    </r>
    <r>
      <rPr>
        <b/>
        <u/>
        <sz val="11"/>
        <color theme="1"/>
        <rFont val="Calibri"/>
        <family val="2"/>
        <scheme val="minor"/>
      </rPr>
      <t>NET</t>
    </r>
    <r>
      <rPr>
        <b/>
        <sz val="11"/>
        <color theme="1"/>
        <rFont val="Calibri"/>
        <family val="2"/>
        <scheme val="minor"/>
      </rPr>
      <t xml:space="preserve"> of notional interest deduction</t>
    </r>
  </si>
  <si>
    <t>Remaining Maximum deduction that may be claimed (90% Limitation)</t>
  </si>
  <si>
    <t xml:space="preserve">Total Notional Interest on risk capital for the year available </t>
  </si>
  <si>
    <t>Total NID claimed for the year to page 4</t>
  </si>
  <si>
    <t>MTL</t>
  </si>
  <si>
    <t>ISK</t>
  </si>
  <si>
    <r>
      <t>RON</t>
    </r>
    <r>
      <rPr>
        <b/>
        <sz val="10"/>
        <rFont val="Times New Roman"/>
        <family val="1"/>
      </rPr>
      <t>‡</t>
    </r>
  </si>
  <si>
    <t>KRW</t>
  </si>
  <si>
    <t>SGD</t>
  </si>
  <si>
    <t>BRL</t>
  </si>
  <si>
    <t>ILS</t>
  </si>
  <si>
    <t>Income from Trade &amp; Business, etc.</t>
  </si>
  <si>
    <t>Interest(s)</t>
  </si>
  <si>
    <t>Income from Rent(s)</t>
  </si>
  <si>
    <t>Paragraph (vi)(b) - Indirect attribution (Pro-Rata)</t>
  </si>
  <si>
    <t>Paragraph (vi)(a) - Direct attribution of Risk Capital</t>
  </si>
  <si>
    <t>Sources of Income</t>
  </si>
  <si>
    <t>Notional Interest on Risk Capital (before Limitations)</t>
  </si>
  <si>
    <r>
      <t xml:space="preserve">Notional Interest </t>
    </r>
    <r>
      <rPr>
        <b/>
        <u/>
        <sz val="11"/>
        <rFont val="Calibri"/>
        <family val="2"/>
        <scheme val="minor"/>
      </rPr>
      <t xml:space="preserve">DEEMED RECEIVED  </t>
    </r>
    <r>
      <rPr>
        <b/>
        <sz val="11"/>
        <rFont val="Calibri"/>
        <family val="2"/>
        <scheme val="minor"/>
      </rPr>
      <t>from another undertaking before NID</t>
    </r>
  </si>
  <si>
    <r>
      <t xml:space="preserve">Notional Interest RECEIVED </t>
    </r>
    <r>
      <rPr>
        <b/>
        <u/>
        <sz val="11"/>
        <rFont val="Calibri"/>
        <family val="2"/>
        <scheme val="minor"/>
      </rPr>
      <t>NET</t>
    </r>
    <r>
      <rPr>
        <b/>
        <sz val="11"/>
        <rFont val="Calibri"/>
        <family val="2"/>
        <scheme val="minor"/>
      </rPr>
      <t xml:space="preserve"> of notional interest deduction</t>
    </r>
  </si>
  <si>
    <t>Attribution of Risk Capital to MTA and FIA and Calculation of Notional Interest</t>
  </si>
  <si>
    <t>TA2_e-CO_2019_Ver 1.1</t>
  </si>
  <si>
    <t xml:space="preserve">              TRA 100A_1</t>
  </si>
  <si>
    <t xml:space="preserve">              TRA 100A_2</t>
  </si>
  <si>
    <t>Total Notional Interest deduction available</t>
  </si>
  <si>
    <t>Change chronology on TRA 100 to deal with NIR before entering value for chargeable income?</t>
  </si>
  <si>
    <t>Excess NID b/fwd attributable to interests first set off against NIR and the net amount of NIR included on page 4 with the remaining if any NID for the year charged later!!!</t>
  </si>
  <si>
    <t>Is NIReceived first set-off against trading losses or NID set-off before?</t>
  </si>
  <si>
    <t>Notional Interest DEEMED RECEIVED from another undertaking before NID</t>
  </si>
  <si>
    <t>Net Notional Interest DEEMED RECEIVED after excess b/fwd set-off</t>
  </si>
  <si>
    <t>Reference Rate percentage (as per Rules)</t>
  </si>
  <si>
    <t>Notional Interest DEEMED RECEIVED from another undertaking and SET-OFFS</t>
  </si>
  <si>
    <t>Chargeable Income before the Notional Interest Deduction</t>
  </si>
  <si>
    <t>page 4</t>
  </si>
  <si>
    <r>
      <t xml:space="preserve">   Excluding any FRFTC BUT after deducting the </t>
    </r>
    <r>
      <rPr>
        <b/>
        <u/>
        <sz val="10"/>
        <color theme="1"/>
        <rFont val="Calibri"/>
        <family val="2"/>
        <scheme val="minor"/>
      </rPr>
      <t>grossed up amount</t>
    </r>
    <r>
      <rPr>
        <b/>
        <sz val="10"/>
        <color theme="1"/>
        <rFont val="Calibri"/>
        <family val="2"/>
        <scheme val="minor"/>
      </rPr>
      <t xml:space="preserve"> of any transfers to the IPA (2nd allocation)</t>
    </r>
  </si>
  <si>
    <t>Excess unabsorbed Notional Interest from previous year(s) attributable to ALL SOURCES b/fwd</t>
  </si>
  <si>
    <t>Check b/fwds!</t>
  </si>
  <si>
    <t>Remaining Maximum deduction that may be claimed before 90% Limitation</t>
  </si>
  <si>
    <r>
      <t xml:space="preserve">Chargeable Income </t>
    </r>
    <r>
      <rPr>
        <b/>
        <u/>
        <sz val="11"/>
        <rFont val="Calibri"/>
        <family val="2"/>
        <scheme val="minor"/>
      </rPr>
      <t>NET</t>
    </r>
    <r>
      <rPr>
        <b/>
        <sz val="11"/>
        <rFont val="Calibri"/>
        <family val="2"/>
        <scheme val="minor"/>
      </rPr>
      <t xml:space="preserve"> of set-off against Notional Interest deemed received </t>
    </r>
    <r>
      <rPr>
        <b/>
        <u/>
        <sz val="11"/>
        <rFont val="Calibri"/>
        <family val="2"/>
        <scheme val="minor"/>
      </rPr>
      <t>BUT</t>
    </r>
    <r>
      <rPr>
        <b/>
        <sz val="11"/>
        <rFont val="Calibri"/>
        <family val="2"/>
        <scheme val="minor"/>
      </rPr>
      <t xml:space="preserve"> before NID</t>
    </r>
  </si>
  <si>
    <t>Final Tax Account allocation??</t>
  </si>
  <si>
    <t>Company ends in a loss but excess b/fwd utilised.  Does the excess b/fwd be allocated to FTA? What is allocated to the FTA 110% (FIA available!!!)?</t>
  </si>
  <si>
    <t>Can company utilise NID from FIA?</t>
  </si>
  <si>
    <r>
      <t xml:space="preserve">Notional Interest Deduction Rules, 2018  - WORKINGS - </t>
    </r>
    <r>
      <rPr>
        <b/>
        <sz val="12"/>
        <color theme="9" tint="-0.499984740745262"/>
        <rFont val="Calibri"/>
        <family val="2"/>
        <scheme val="minor"/>
      </rPr>
      <t>(This attachment is an integral part of TRA 100)</t>
    </r>
  </si>
  <si>
    <t xml:space="preserve">Reference Rate percentage (Rules)  </t>
  </si>
  <si>
    <t>Deduct FRFTC from each source?</t>
  </si>
  <si>
    <t>Excess Notional Interest attributable to INTEREST Income b/fwd to be set-off this year</t>
  </si>
  <si>
    <t>FIA net of FRFTC</t>
  </si>
  <si>
    <r>
      <t xml:space="preserve">CALCULATION OF THE NOTIONAL INTEREST DEDUCTION FOR THE YEAR (Rule 4)    </t>
    </r>
    <r>
      <rPr>
        <b/>
        <sz val="10"/>
        <color theme="5" tint="-0.499984740745262"/>
        <rFont val="Calibri"/>
        <family val="2"/>
        <scheme val="minor"/>
      </rPr>
      <t>(Please complete TRA 100A - ALL WORKINGS - before proceeding)</t>
    </r>
  </si>
  <si>
    <t>Notional Interest Deduction that may be claimed against each Source of Income</t>
  </si>
  <si>
    <t>INDRECT Attribution                                   of Risk Capital</t>
  </si>
  <si>
    <t>DIRECT Attribution                                   of Risk Capital</t>
  </si>
  <si>
    <r>
      <t xml:space="preserve">Workings as per guidelines paragraph (vi)                                                                                                                                                                               </t>
    </r>
    <r>
      <rPr>
        <b/>
        <sz val="10"/>
        <color theme="1"/>
        <rFont val="Calibri"/>
        <family val="2"/>
        <scheme val="minor"/>
      </rPr>
      <t>Income that stands to be allocated to the taxed accounts</t>
    </r>
  </si>
  <si>
    <t>SET-OFF - Excess unabsorbed Notional Interest Directly attributable to INTEREST Income b/fwd</t>
  </si>
  <si>
    <t>Indirect</t>
  </si>
  <si>
    <t>Excess Unabsorbed Notional Interest c/fwd</t>
  </si>
  <si>
    <t>Claim for the year</t>
  </si>
  <si>
    <t>Direct MTA</t>
  </si>
  <si>
    <t>Indirect MTA</t>
  </si>
  <si>
    <t>Direct FIA</t>
  </si>
  <si>
    <t>Indirect FIA</t>
  </si>
  <si>
    <t>C/fwds  (to include rate)</t>
  </si>
  <si>
    <t>90% Limitation</t>
  </si>
  <si>
    <t>NID that may be claimed</t>
  </si>
  <si>
    <r>
      <rPr>
        <b/>
        <u/>
        <sz val="11"/>
        <color theme="1"/>
        <rFont val="Calibri"/>
        <family val="2"/>
        <scheme val="minor"/>
      </rPr>
      <t>Set-off</t>
    </r>
    <r>
      <rPr>
        <b/>
        <sz val="11"/>
        <color theme="1"/>
        <rFont val="Calibri"/>
        <family val="2"/>
        <scheme val="minor"/>
      </rPr>
      <t xml:space="preserve"> </t>
    </r>
  </si>
  <si>
    <t>Excess Notional Interest b/fwd against deemed interest received (Rule 4(2)(a) proviso)</t>
  </si>
  <si>
    <t>Notional Interest for the year attributable to Interest Income</t>
  </si>
  <si>
    <t>SET-OFF - Notional Interest for the year attributable to Interest Income</t>
  </si>
  <si>
    <t>Interest(s) - Including Deemed Notional Interest Received</t>
  </si>
  <si>
    <t>49d</t>
  </si>
  <si>
    <t>49e</t>
  </si>
  <si>
    <t>49f</t>
  </si>
  <si>
    <t>Total Notional Interest on risk capital for the year available</t>
  </si>
  <si>
    <t>Remaining Notional Interest Deduction that may be claimed before Limitations</t>
  </si>
  <si>
    <t>Tax account transfers!!</t>
  </si>
  <si>
    <t xml:space="preserve">Direct Attribution </t>
  </si>
  <si>
    <t xml:space="preserve">Indirect Attribution </t>
  </si>
  <si>
    <t>Excess Notional Interest b/fwd from previous year(s)</t>
  </si>
  <si>
    <t xml:space="preserve">Remaining Maximum Notional Interest deduction that may be claimed </t>
  </si>
  <si>
    <t>direct</t>
  </si>
  <si>
    <t>indirect</t>
  </si>
  <si>
    <t>NID set-off against NI Received</t>
  </si>
  <si>
    <r>
      <t xml:space="preserve">(See </t>
    </r>
    <r>
      <rPr>
        <b/>
        <sz val="10"/>
        <color theme="9" tint="-0.499984740745262"/>
        <rFont val="Arial"/>
        <family val="2"/>
      </rPr>
      <t>DISCLAIMER</t>
    </r>
    <r>
      <rPr>
        <sz val="10"/>
        <rFont val="Arial"/>
        <family val="2"/>
      </rPr>
      <t xml:space="preserve"> in NOTES page)</t>
    </r>
  </si>
  <si>
    <r>
      <t xml:space="preserve">(See </t>
    </r>
    <r>
      <rPr>
        <b/>
        <sz val="9"/>
        <color theme="9" tint="-0.499984740745262"/>
        <rFont val="Calibri"/>
        <family val="2"/>
        <scheme val="minor"/>
      </rPr>
      <t>DISCLAIMER</t>
    </r>
    <r>
      <rPr>
        <sz val="9"/>
        <rFont val="Calibri"/>
        <family val="2"/>
        <scheme val="minor"/>
      </rPr>
      <t xml:space="preserve"> in NOTES page)</t>
    </r>
  </si>
  <si>
    <t xml:space="preserve">(INDIRECT ATTRIBUTION) </t>
  </si>
  <si>
    <t xml:space="preserve">(DIRECT ATTRIBUTION) </t>
  </si>
  <si>
    <r>
      <t xml:space="preserve">Remaining Notional Interest claimed as a deduction for the year </t>
    </r>
    <r>
      <rPr>
        <b/>
        <sz val="10"/>
        <color theme="1"/>
        <rFont val="Calibri"/>
        <family val="2"/>
        <scheme val="minor"/>
      </rPr>
      <t>(after taking account of 90% limitation)</t>
    </r>
  </si>
  <si>
    <t>NID claimed for the year attributable to income that stands to be allocated to the MTA / FIA</t>
  </si>
  <si>
    <t>Not Used</t>
  </si>
  <si>
    <t>Changed</t>
  </si>
  <si>
    <t xml:space="preserve">NID claimed for the year against the income from each source </t>
  </si>
  <si>
    <r>
      <t xml:space="preserve">Excess unabsorbed Notional Interest from previous year(s) that may be b/fwd </t>
    </r>
    <r>
      <rPr>
        <b/>
        <sz val="10"/>
        <color theme="1"/>
        <rFont val="Calibri"/>
        <family val="2"/>
        <scheme val="minor"/>
      </rPr>
      <t>(Attributable to MTA / FIA)</t>
    </r>
  </si>
  <si>
    <t>Excess notional interest carry forward (increased by such rate as may be prescribed)</t>
  </si>
  <si>
    <r>
      <t xml:space="preserve">Total Notional Interest available for the year                                      </t>
    </r>
    <r>
      <rPr>
        <b/>
        <sz val="9"/>
        <rFont val="Calibri"/>
        <family val="2"/>
        <scheme val="minor"/>
      </rPr>
      <t xml:space="preserve"> </t>
    </r>
    <r>
      <rPr>
        <b/>
        <sz val="10"/>
        <rFont val="Calibri"/>
        <family val="2"/>
        <scheme val="minor"/>
      </rPr>
      <t>Direct Attribution</t>
    </r>
  </si>
  <si>
    <r>
      <t xml:space="preserve">Total Notional Interest available for the year                                       </t>
    </r>
    <r>
      <rPr>
        <b/>
        <sz val="10"/>
        <color theme="1"/>
        <rFont val="Calibri"/>
        <family val="2"/>
        <scheme val="minor"/>
      </rPr>
      <t>Indirect Attribution</t>
    </r>
  </si>
  <si>
    <r>
      <t xml:space="preserve">Excess Notional Interest b/Fwd                                        </t>
    </r>
    <r>
      <rPr>
        <b/>
        <sz val="10"/>
        <color theme="1"/>
        <rFont val="Calibri"/>
        <family val="2"/>
        <scheme val="minor"/>
      </rPr>
      <t>Direct Attribution</t>
    </r>
  </si>
  <si>
    <r>
      <t xml:space="preserve">Excess Notional Interest b/Fwd                                       </t>
    </r>
    <r>
      <rPr>
        <b/>
        <sz val="10"/>
        <color theme="1"/>
        <rFont val="Calibri"/>
        <family val="2"/>
        <scheme val="minor"/>
      </rPr>
      <t xml:space="preserve"> Indirect Attribution</t>
    </r>
  </si>
  <si>
    <t>Direct Attribution</t>
  </si>
  <si>
    <t>Indirect Attribution</t>
  </si>
  <si>
    <t>Indirect    Attribution</t>
  </si>
  <si>
    <t>Nexus with any of the jurisdictions listed in the EU List of Non-Cooperative Tax Jurisdictions</t>
  </si>
  <si>
    <t>Jurisdiction</t>
  </si>
  <si>
    <t>Nature of Nexus</t>
  </si>
  <si>
    <t>Transactions Related to Nexus</t>
  </si>
  <si>
    <t>Additional Information</t>
  </si>
  <si>
    <t xml:space="preserve">Name of person or arrangement </t>
  </si>
  <si>
    <t>TIN</t>
  </si>
  <si>
    <t>Relevant Transactions</t>
  </si>
  <si>
    <t>Nature of Link</t>
  </si>
  <si>
    <t>Details of link</t>
  </si>
  <si>
    <t>did the company have any Nexus with any of the jurisdictions listed in the EU List of Non-Cooperative Tax Jurisdictions?</t>
  </si>
  <si>
    <t>TRA 110_1</t>
  </si>
  <si>
    <t>Number of transactions related to Nexus</t>
  </si>
  <si>
    <t>Number of relevant transactions</t>
  </si>
  <si>
    <t>Number of Links</t>
  </si>
  <si>
    <t>TRA 110_2</t>
  </si>
  <si>
    <t xml:space="preserve">Is the attachment complete? </t>
  </si>
  <si>
    <t>Please use the following space to provide further details and additional information. (Please indicate the question number to which the information relates).</t>
  </si>
  <si>
    <t>Transactions</t>
  </si>
  <si>
    <t>errors</t>
  </si>
  <si>
    <t>TRA 110</t>
  </si>
  <si>
    <t>B A C K   TO   I N D E X</t>
  </si>
  <si>
    <t>Unutilised tax credit b/fwd from previous years</t>
  </si>
  <si>
    <t>MB</t>
  </si>
  <si>
    <t>Did the company have any nexus (including through incorporation, residence or fixed place of business, or through any transparent entity or arrangement) with any of the jurisdictions listed in the EU List of Non-Cooperative Tax Jurisdictions?</t>
  </si>
  <si>
    <t>Did the company carry out any transactions (including through any transparent entity or arrangement) with any arrangement or person incorporated, resident or carrying out any activity (including through a fixed place of business or transparent entity or arrangment) in any of the jurisdictions listed in the EU List of Non-Cooperative Tax Jurisdictions?</t>
  </si>
  <si>
    <t xml:space="preserve">Did the company have any links through ownership or governance (including through any transparent entity or arrangment) with any of the jurisdictions listed in the EU List of Non-Cooperative Tax Jurisdictions? </t>
  </si>
  <si>
    <t>QUE48</t>
  </si>
  <si>
    <t>P4</t>
  </si>
  <si>
    <t>P401</t>
  </si>
  <si>
    <t>P402</t>
  </si>
  <si>
    <t>P403</t>
  </si>
  <si>
    <t>P404</t>
  </si>
  <si>
    <t>P405</t>
  </si>
  <si>
    <t>P406</t>
  </si>
  <si>
    <t>P407</t>
  </si>
  <si>
    <t>P408</t>
  </si>
  <si>
    <t>P409</t>
  </si>
  <si>
    <t>P410</t>
  </si>
  <si>
    <t>P411</t>
  </si>
  <si>
    <t>R21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</si>
  <si>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</si>
  <si>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</si>
  <si>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</si>
  <si>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</si>
  <si>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</si>
  <si>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</si>
  <si>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</si>
  <si>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</si>
  <si>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</si>
  <si>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</si>
  <si>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</si>
  <si>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</si>
  <si>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</si>
  <si>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</si>
  <si>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</si>
  <si>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</si>
  <si>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</si>
  <si>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</si>
  <si>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</si>
  <si>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</si>
  <si>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</si>
  <si>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P5</t>
  </si>
  <si>
    <t>A0915</t>
  </si>
  <si>
    <t xml:space="preserve">Note DG - these highlighted items do not mean anything (were already there in YA2018) </t>
  </si>
  <si>
    <t>A3528</t>
  </si>
  <si>
    <t>A3529</t>
  </si>
  <si>
    <t>A3530</t>
  </si>
  <si>
    <t>TRA100</t>
  </si>
  <si>
    <t>TRA100A</t>
  </si>
  <si>
    <t>A100A01</t>
  </si>
  <si>
    <t>A100A02</t>
  </si>
  <si>
    <t>A100A03</t>
  </si>
  <si>
    <t>A100A04</t>
  </si>
  <si>
    <t>A100A05</t>
  </si>
  <si>
    <t>A100A06</t>
  </si>
  <si>
    <t>A100A07</t>
  </si>
  <si>
    <t>A100A08</t>
  </si>
  <si>
    <t>A100A09</t>
  </si>
  <si>
    <t>A100A10</t>
  </si>
  <si>
    <t>A100A11</t>
  </si>
  <si>
    <t>A100A12</t>
  </si>
  <si>
    <t>A100A13</t>
  </si>
  <si>
    <t>A100A14</t>
  </si>
  <si>
    <t>A100A15</t>
  </si>
  <si>
    <t>A100A16</t>
  </si>
  <si>
    <t>A100A17</t>
  </si>
  <si>
    <t>A100A18</t>
  </si>
  <si>
    <t>A100A19</t>
  </si>
  <si>
    <t>A100A20</t>
  </si>
  <si>
    <t>A100A21</t>
  </si>
  <si>
    <t>A100A22</t>
  </si>
  <si>
    <t>A100A23</t>
  </si>
  <si>
    <t>A100A24</t>
  </si>
  <si>
    <t>A100A25</t>
  </si>
  <si>
    <t>A100A26</t>
  </si>
  <si>
    <t>A100A27</t>
  </si>
  <si>
    <t>A100A28</t>
  </si>
  <si>
    <t>A100A29</t>
  </si>
  <si>
    <t>A100A30</t>
  </si>
  <si>
    <t>A100A31</t>
  </si>
  <si>
    <t>A100A32</t>
  </si>
  <si>
    <t>A100A33</t>
  </si>
  <si>
    <t>A100A34</t>
  </si>
  <si>
    <t>A100A35</t>
  </si>
  <si>
    <t>A100A36</t>
  </si>
  <si>
    <t>A100A37</t>
  </si>
  <si>
    <t>A100A38</t>
  </si>
  <si>
    <t>A100A39</t>
  </si>
  <si>
    <t>A100A40</t>
  </si>
  <si>
    <t>A100A41</t>
  </si>
  <si>
    <t>A100A42</t>
  </si>
  <si>
    <t>A100A43</t>
  </si>
  <si>
    <t>A100A44</t>
  </si>
  <si>
    <t>A100A45</t>
  </si>
  <si>
    <t>C105</t>
  </si>
  <si>
    <t>A100A46</t>
  </si>
  <si>
    <t>A100A47</t>
  </si>
  <si>
    <t>A100A48</t>
  </si>
  <si>
    <t>A100A49</t>
  </si>
  <si>
    <t>A100A50</t>
  </si>
  <si>
    <t>A100A51</t>
  </si>
  <si>
    <t>A100A52</t>
  </si>
  <si>
    <t>A100A53</t>
  </si>
  <si>
    <t>A100A54</t>
  </si>
  <si>
    <t>TRA101</t>
  </si>
  <si>
    <t>TRA106</t>
  </si>
  <si>
    <t>A10601</t>
  </si>
  <si>
    <t>A10602</t>
  </si>
  <si>
    <t>A10603</t>
  </si>
  <si>
    <t>A10604</t>
  </si>
  <si>
    <t>A10605</t>
  </si>
  <si>
    <t>A10606</t>
  </si>
  <si>
    <t>A10607</t>
  </si>
  <si>
    <t>A10608</t>
  </si>
  <si>
    <t>A10609</t>
  </si>
  <si>
    <t>TRA107</t>
  </si>
  <si>
    <t>A10701</t>
  </si>
  <si>
    <t>A10702</t>
  </si>
  <si>
    <t>A10703</t>
  </si>
  <si>
    <t>A10704</t>
  </si>
  <si>
    <t>A10705</t>
  </si>
  <si>
    <t>A10706</t>
  </si>
  <si>
    <t>A10707</t>
  </si>
  <si>
    <t>TRA108</t>
  </si>
  <si>
    <t>A10801</t>
  </si>
  <si>
    <t>A10802</t>
  </si>
  <si>
    <t>A10803</t>
  </si>
  <si>
    <t>A10804</t>
  </si>
  <si>
    <t>A10805</t>
  </si>
  <si>
    <t>A10806</t>
  </si>
  <si>
    <t>A10807</t>
  </si>
  <si>
    <t>A10808</t>
  </si>
  <si>
    <t>A10809</t>
  </si>
  <si>
    <t>A10810</t>
  </si>
  <si>
    <t>A10811</t>
  </si>
  <si>
    <t>A10812</t>
  </si>
  <si>
    <t>A10813</t>
  </si>
  <si>
    <t>A10814</t>
  </si>
  <si>
    <t>A10815</t>
  </si>
  <si>
    <t>A10816</t>
  </si>
  <si>
    <t>A10817</t>
  </si>
  <si>
    <t>TRA109</t>
  </si>
  <si>
    <t>A10901</t>
  </si>
  <si>
    <t>A10902</t>
  </si>
  <si>
    <t>A10903</t>
  </si>
  <si>
    <t>A10904</t>
  </si>
  <si>
    <t>A10905</t>
  </si>
  <si>
    <t>A10906</t>
  </si>
  <si>
    <t>A10907</t>
  </si>
  <si>
    <t>A10908</t>
  </si>
  <si>
    <t>A10909</t>
  </si>
  <si>
    <t>A10910</t>
  </si>
  <si>
    <t>A10911</t>
  </si>
  <si>
    <t>A10912</t>
  </si>
  <si>
    <t>A10913</t>
  </si>
  <si>
    <t>A10914</t>
  </si>
  <si>
    <t>A10915</t>
  </si>
  <si>
    <t>A10916</t>
  </si>
  <si>
    <t>TRA110</t>
  </si>
  <si>
    <t>A11001</t>
  </si>
  <si>
    <t>A11002</t>
  </si>
  <si>
    <t>A11003</t>
  </si>
  <si>
    <t>A11004</t>
  </si>
  <si>
    <t>A11005</t>
  </si>
  <si>
    <t>A11006</t>
  </si>
  <si>
    <t>A11007</t>
  </si>
  <si>
    <t>A11008</t>
  </si>
  <si>
    <t>A11009</t>
  </si>
  <si>
    <t>A11010</t>
  </si>
  <si>
    <t>A11011</t>
  </si>
  <si>
    <t>A11012</t>
  </si>
  <si>
    <t>A11013</t>
  </si>
  <si>
    <t>A11014</t>
  </si>
  <si>
    <t>A11015</t>
  </si>
  <si>
    <t>A11016</t>
  </si>
  <si>
    <t>A11017</t>
  </si>
  <si>
    <t>A11018</t>
  </si>
  <si>
    <t>A11019</t>
  </si>
  <si>
    <t>A11020</t>
  </si>
  <si>
    <t>A11021</t>
  </si>
  <si>
    <t>A11022</t>
  </si>
  <si>
    <t>A11023</t>
  </si>
  <si>
    <t>A11024</t>
  </si>
  <si>
    <t>A11025</t>
  </si>
  <si>
    <t>A11026</t>
  </si>
  <si>
    <t>A11027</t>
  </si>
  <si>
    <t>A11028</t>
  </si>
  <si>
    <t>A11029</t>
  </si>
  <si>
    <t>A11030</t>
  </si>
  <si>
    <t>A11031</t>
  </si>
  <si>
    <t>A11032</t>
  </si>
  <si>
    <t>A11033</t>
  </si>
  <si>
    <t>A11034</t>
  </si>
  <si>
    <t>A11035</t>
  </si>
  <si>
    <t>A11036</t>
  </si>
  <si>
    <t>A11037</t>
  </si>
  <si>
    <t>A11038</t>
  </si>
  <si>
    <t>A11039</t>
  </si>
  <si>
    <t>A11040</t>
  </si>
  <si>
    <t>A11041</t>
  </si>
  <si>
    <t>A11042</t>
  </si>
  <si>
    <t>A11043</t>
  </si>
  <si>
    <t>A11044</t>
  </si>
  <si>
    <t>A11045</t>
  </si>
  <si>
    <t>A11046</t>
  </si>
  <si>
    <t>A11047</t>
  </si>
  <si>
    <t>A11048</t>
  </si>
  <si>
    <t>A11049</t>
  </si>
  <si>
    <t>A11050</t>
  </si>
  <si>
    <t>A11051</t>
  </si>
  <si>
    <t>A11052</t>
  </si>
  <si>
    <t>A11053</t>
  </si>
  <si>
    <t>A11054</t>
  </si>
  <si>
    <t>A11055</t>
  </si>
  <si>
    <t>A11056</t>
  </si>
  <si>
    <t>A11057</t>
  </si>
  <si>
    <t>A11058</t>
  </si>
  <si>
    <t>A11059</t>
  </si>
  <si>
    <t>A11060</t>
  </si>
  <si>
    <t>A11061</t>
  </si>
  <si>
    <t>A11062</t>
  </si>
  <si>
    <t>A11063</t>
  </si>
  <si>
    <t>A11064</t>
  </si>
  <si>
    <t>A11065</t>
  </si>
  <si>
    <t xml:space="preserve">  Please complete TRA 100A!</t>
  </si>
  <si>
    <t xml:space="preserve">  TRA 100A incomplete or contains errors!</t>
  </si>
  <si>
    <t>end of current year</t>
  </si>
  <si>
    <t>Check total credit</t>
  </si>
  <si>
    <t>final concluded today</t>
  </si>
  <si>
    <t>(see List)</t>
  </si>
  <si>
    <t>TRA 100A</t>
  </si>
  <si>
    <t>ITA - LN 37 of 2018 - Notional Interest Deduction Rules (Workings)</t>
  </si>
  <si>
    <t xml:space="preserve">TOTAL AMORTISATION OF ASSET/S  </t>
  </si>
  <si>
    <t xml:space="preserve">Deduction claimed against Trading, etc. Income - Art 4(1)(a)   </t>
  </si>
  <si>
    <t xml:space="preserve">Deduction claimed against Passive Income - Art 4(1)(e)   </t>
  </si>
  <si>
    <t xml:space="preserve"> TRA 13</t>
  </si>
  <si>
    <t xml:space="preserve">      TRA 107</t>
  </si>
  <si>
    <t>Year of Assessment when tax credit was first available</t>
  </si>
  <si>
    <t>Total Approved tax credit(s)</t>
  </si>
  <si>
    <t xml:space="preserve">Have all the conditions set by the Regulations, Guidelines and Certificate(s) been satisfied?           </t>
  </si>
  <si>
    <t>Gains or Profits to Non-Qualifying Shareholder/s (Fourth proviso to article 12(1)(u)(1))</t>
  </si>
  <si>
    <r>
      <t xml:space="preserve">Provisions, Impairment differences and Other add-backs </t>
    </r>
    <r>
      <rPr>
        <sz val="9"/>
        <rFont val="Arial"/>
        <family val="2"/>
      </rPr>
      <t>[Please specify below]</t>
    </r>
  </si>
  <si>
    <t>Specific add-backs</t>
  </si>
  <si>
    <t>Shareholders' Details</t>
  </si>
  <si>
    <t>Dividend Income allocated to the Untaxed Account</t>
  </si>
  <si>
    <t>Dividends from the FTA of another company</t>
  </si>
  <si>
    <t>Exempt dividends or dividends from the UTA of another company  </t>
  </si>
  <si>
    <t>Exempt dividends or Dividends from the Untaxed account of another company</t>
  </si>
  <si>
    <t>UTA</t>
  </si>
  <si>
    <t>Exempt Income (and other income not subject to tax)</t>
  </si>
  <si>
    <t>ERDF Grants</t>
  </si>
  <si>
    <t>Other exempt grants</t>
  </si>
  <si>
    <t>Exempt incentives, benefits and grants</t>
  </si>
  <si>
    <r>
      <t xml:space="preserve">Other exempt income and income not subject to tax </t>
    </r>
    <r>
      <rPr>
        <vertAlign val="superscript"/>
        <sz val="10"/>
        <rFont val="Arial"/>
        <family val="2"/>
      </rPr>
      <t>1</t>
    </r>
  </si>
  <si>
    <t xml:space="preserve">Income from shipping activities of a licensed shipping organisation [SL 234.43] </t>
  </si>
  <si>
    <t>Gains arising on the transfer of securities exempt from tax in terms of article 5(6) of ITA</t>
  </si>
  <si>
    <t>Exempt income of a retirement fund or scheme [ITA 12(1)(d)]</t>
  </si>
  <si>
    <t>Agricultural subsidies [ITA 12(1)(r) and LN 52 of 2006]</t>
  </si>
  <si>
    <t>Exempt income of a collective investment scheme [ITA 12(1)(s)]</t>
  </si>
  <si>
    <t xml:space="preserve">Profits from a partnership or EEIG (not being a property partnership and not electing to be treated as a company in terms of Article 27(6) of the ITMA) where Article 12(1)(u)(1) applies  </t>
  </si>
  <si>
    <t>Income or gains from a permanent establishment situated outside Malta [ITA 12(1)(u)(2)]</t>
  </si>
  <si>
    <t>Gains arising on the transfer of assets qualifying for rollover relief under Article 5(8) of the ITA</t>
  </si>
  <si>
    <t>Gains arising on an intra-group transfer of assets qualifying for tax relief under Article 5(9) of the ITA</t>
  </si>
  <si>
    <t>Gains from a proportionate reduction in shareholding not subject to tax in terms of the proviso to Article 5(13)(b)(i) of the ITA</t>
  </si>
  <si>
    <t>Gains arising on transfers involving the exchange of shares on restructuring of holdings qualifying for tax relief under Article 5(14) of the ITA</t>
  </si>
  <si>
    <t xml:space="preserve">Gains arising on transfers of assets upon the incorporation of a business or a partnership en nom collectif as a going concern into a limited liability company and satisfying the conditions of Article 5(15) of the ITA </t>
  </si>
  <si>
    <t xml:space="preserve">Gains on intra-group transfers of property exempt from tax under Article 5A(4)(f) </t>
  </si>
  <si>
    <t xml:space="preserve">Gains from the transfer of property by a company to its individual shareholder (or related individual) exempt from tax under Article 5A(4)(j) </t>
  </si>
  <si>
    <t>Gains on the settlement of property on trust, distribution or reversion of property settled on trust or the transfer of property of a trust involving only a change in trustee not subject to tax in terms of the provisions of Articles 5(18) to (25) of the ITA</t>
  </si>
  <si>
    <t>Tax refunds claimed under Articles 48(4) and 48(4A) of the ITMA</t>
  </si>
  <si>
    <t xml:space="preserve">Page 2 </t>
  </si>
  <si>
    <t>Delete!</t>
  </si>
  <si>
    <t xml:space="preserve">SL 123.187 - European Union Anti-Tax Avoidance Directives Implementation Regulations, 2018 </t>
  </si>
  <si>
    <t>Section 1: Computation of the Gearing ratio</t>
  </si>
  <si>
    <t>Are all assets and liabilities of the company and the group valued on the same basis?</t>
  </si>
  <si>
    <t>Taxpayer</t>
  </si>
  <si>
    <t>Group</t>
  </si>
  <si>
    <t xml:space="preserve"> Equity</t>
  </si>
  <si>
    <t>Total Assets</t>
  </si>
  <si>
    <t>Error in section A</t>
  </si>
  <si>
    <t xml:space="preserve">Gearing </t>
  </si>
  <si>
    <t>Section 2: Calculation of EBIDTA</t>
  </si>
  <si>
    <t>Section 2 and 3 check input</t>
  </si>
  <si>
    <t xml:space="preserve">Income subject to tax </t>
  </si>
  <si>
    <t>Add tax-adjusted exceeding borrowing costs</t>
  </si>
  <si>
    <t>Add tax-adjusted depreciation</t>
  </si>
  <si>
    <t>Add tax-adjusted amortisation</t>
  </si>
  <si>
    <t xml:space="preserve">EBITDA </t>
  </si>
  <si>
    <t>Section 3: Maximum dedubtible EBC</t>
  </si>
  <si>
    <t>EBITDA - Fixed ratio rule (30%)</t>
  </si>
  <si>
    <t>Add Unused Interest Capacity to be utilised in the current year of assessment</t>
  </si>
  <si>
    <t>Maximum Deductible Exceeding Borrowing Costs</t>
  </si>
  <si>
    <t>EBC b/fwd</t>
  </si>
  <si>
    <t>Deductible BC for the year</t>
  </si>
  <si>
    <t>Taxable interest revenues and other economically equivalent taxable revenues for the year</t>
  </si>
  <si>
    <t xml:space="preserve">Exceeding Borrowing Costs </t>
  </si>
  <si>
    <t>Allocation of Maximum Deductible Exceeding Borrowing Costs</t>
  </si>
  <si>
    <t>Actual Deductible EBC</t>
  </si>
  <si>
    <t>EBC  c/fwd</t>
  </si>
  <si>
    <t xml:space="preserve">Income from Trade &amp; Business, etc. </t>
  </si>
  <si>
    <t>TOTAL</t>
  </si>
  <si>
    <t>Section 5a:  Unused Interest  Capacity</t>
  </si>
  <si>
    <t>Unused Interest Capacity for the relevant Y/A</t>
  </si>
  <si>
    <t>Unused Interest Capacity utilised in previous Y/As for the relevant Y/A</t>
  </si>
  <si>
    <t>Unused Interest Capacity Claimed from group members for the relevant Y/A</t>
  </si>
  <si>
    <t>Available Unused Interest Capacity for the relevant Y/A</t>
  </si>
  <si>
    <t>Unused Interest Capacity to be utilised for the current Y/A</t>
  </si>
  <si>
    <t>Unused Interest Capacity Surrendered to group members for the relevant Y/A</t>
  </si>
  <si>
    <t>Remaining Unused Interest Capacity for the year</t>
  </si>
  <si>
    <t>Check year</t>
  </si>
  <si>
    <t>Check year and claim and surrender of losses</t>
  </si>
  <si>
    <t>TIN Number</t>
  </si>
  <si>
    <t>Interest Capacity Surrendered</t>
  </si>
  <si>
    <t>Interest Capacity Claimed</t>
  </si>
  <si>
    <t>Surrendered</t>
  </si>
  <si>
    <t>Claimed</t>
  </si>
  <si>
    <t>TRA 111</t>
  </si>
  <si>
    <t>Rule 7 - Controlled Foreign Company Rule</t>
  </si>
  <si>
    <t xml:space="preserve">Place of Incorporation </t>
  </si>
  <si>
    <t>TIN                                (Place of incorporation)</t>
  </si>
  <si>
    <t>Place of Management &amp; Control</t>
  </si>
  <si>
    <t>TIN                          (Place of Mgmt and Control)</t>
  </si>
  <si>
    <t>Does Reg 7(2) apply?</t>
  </si>
  <si>
    <t>Yes/No</t>
  </si>
  <si>
    <t>Specify the aggregate non-distributed income which falls to be included in the taxbase of the taxpayer in terms of Reg. 7(2)</t>
  </si>
  <si>
    <t>Allocation to Tax Accounts for Tax Computation Purposes ONLY                                                                                                          (Net of Expenditure)</t>
  </si>
  <si>
    <t>page 3</t>
  </si>
  <si>
    <t xml:space="preserve">Total </t>
  </si>
  <si>
    <t>by itself or together with its associated enterprises has a holding/s in another non-resident entity or a p.e. outside Malta</t>
  </si>
  <si>
    <t>TRA 112</t>
  </si>
  <si>
    <t xml:space="preserve">ME Act - Tax Credits Supporting the Development of Video Games with a Cultural Dimension </t>
  </si>
  <si>
    <t>LN 69 of 2019</t>
  </si>
  <si>
    <t>Year check</t>
  </si>
  <si>
    <t>Issued</t>
  </si>
  <si>
    <t>Up till year</t>
  </si>
  <si>
    <t>Maximum Tax credit entitlement is €200,000 (or equivalent) per single undertaking</t>
  </si>
  <si>
    <t>Current y/end</t>
  </si>
  <si>
    <t>Minimum</t>
  </si>
  <si>
    <t>Tax Credit Certificate No</t>
  </si>
  <si>
    <t>First year utilised</t>
  </si>
  <si>
    <t xml:space="preserve">Approved tax credit </t>
  </si>
  <si>
    <t xml:space="preserve">Eligible costs capped at </t>
  </si>
  <si>
    <t>Quaifying Training</t>
  </si>
  <si>
    <t>Maximum eligible costs</t>
  </si>
  <si>
    <t>Approved</t>
  </si>
  <si>
    <t xml:space="preserve">Industrial services </t>
  </si>
  <si>
    <t>I.T. - Computer Programming</t>
  </si>
  <si>
    <t>I.T. - Data processing and hosting facilities</t>
  </si>
  <si>
    <t>I.T. - Data Processing services</t>
  </si>
  <si>
    <t>I.T. - Electronic and mobile platforms</t>
  </si>
  <si>
    <t>R &amp;  D, design, and/or innovation</t>
  </si>
  <si>
    <t>Logistics</t>
  </si>
  <si>
    <t>Filming and audiovisual productions</t>
  </si>
  <si>
    <t>Game development</t>
  </si>
  <si>
    <t>Health care service</t>
  </si>
  <si>
    <t>Cultural restoration</t>
  </si>
  <si>
    <t>Retail</t>
  </si>
  <si>
    <t>TRA 113</t>
  </si>
  <si>
    <t>Transportation</t>
  </si>
  <si>
    <t>Agriculture</t>
  </si>
  <si>
    <t>Fishing and Aquaculture</t>
  </si>
  <si>
    <t>TRA 114</t>
  </si>
  <si>
    <t>TRA 115</t>
  </si>
  <si>
    <t xml:space="preserve">ME Act - LN 69 of 2019  - Tax Credits Supporting the Development of Video Games with a Cultural Dimension </t>
  </si>
  <si>
    <t>Year of Assessment when tax credit was first due</t>
  </si>
  <si>
    <t>ME Act - LN 15 of 2019 - Skills Development Regulations</t>
  </si>
  <si>
    <t>Mexican Pesos</t>
  </si>
  <si>
    <t>Total interest income</t>
  </si>
  <si>
    <t>Total discounts or premiums</t>
  </si>
  <si>
    <t>Total rents</t>
  </si>
  <si>
    <t>Total ground rents</t>
  </si>
  <si>
    <t>Total royalties, premiums and other income arising from property</t>
  </si>
  <si>
    <t>Total dividends</t>
  </si>
  <si>
    <t>Net non-distributed income in terms of Regulation 7(2) of SL123.187</t>
  </si>
  <si>
    <t>Dividends [Article 4(1)(c) - ITA]</t>
  </si>
  <si>
    <t>Interests [Article 4(1)(c) - ITA]</t>
  </si>
  <si>
    <t>Discounts or Premiums [Article 4(1)(c) - ITA]</t>
  </si>
  <si>
    <t>Rents [Article 4(1)(e) - ITA]</t>
  </si>
  <si>
    <t>Ground Rents [Article 4(1)(e) - ITA]</t>
  </si>
  <si>
    <t>Royalties, Premiums &amp; Other Income arising from Property [Article 4(1)(e) - ITA]</t>
  </si>
  <si>
    <t>Other Income [Article 4(1)(g) - ITA]</t>
  </si>
  <si>
    <t>Capital Gains [Article 5]</t>
  </si>
  <si>
    <t>from page 2</t>
  </si>
  <si>
    <t xml:space="preserve"> Required!</t>
  </si>
  <si>
    <t>Article 5 - Capital gains</t>
  </si>
  <si>
    <t xml:space="preserve">ITA - Article 14(1)(p) and LN 208 of 2019 - Patent Box Regime (Deduction) Rules, 2019 </t>
  </si>
  <si>
    <t>Article 4(1)(e) - Royalties</t>
  </si>
  <si>
    <t>Total inputs</t>
  </si>
  <si>
    <t xml:space="preserve">Article 4(1)(a) - Trading </t>
  </si>
  <si>
    <t>Did the beneficiary derive income from qualifying intellectual property during the year?</t>
  </si>
  <si>
    <t>Has the Intellectual Property been confirmed by the Malta Enterprise (Rule 7(1)(a))?</t>
  </si>
  <si>
    <t xml:space="preserve">Confirmation Reference     </t>
  </si>
  <si>
    <t>Date of confirmation issued by ME</t>
  </si>
  <si>
    <t xml:space="preserve">Is documentary evidence available to support the calculation of the deduction,                                                                                          </t>
  </si>
  <si>
    <t xml:space="preserve">  qualifying IP and Total IP expenditure, and have these been confirmed by ME?</t>
  </si>
  <si>
    <t>Have all the conditions attaching to the benefit been satisfied?</t>
  </si>
  <si>
    <t>Under which definition of Qualifying IP is the deduction being claimed? (Rule 2)</t>
  </si>
  <si>
    <t>Does the beneficiary fall within the definition of a 'small entity'? (Rule 2)</t>
  </si>
  <si>
    <t>Type - IP1</t>
  </si>
  <si>
    <t>Type - IP2</t>
  </si>
  <si>
    <t>Type - IP3</t>
  </si>
  <si>
    <t>Provision under which IP income or gain is subject to tax</t>
  </si>
  <si>
    <t>Amount of Qualifying IP expenditure as confirmed by ME (including the 30% uplift)</t>
  </si>
  <si>
    <t>The Total IP expenditure confirmed by ME (Rule 4(3))</t>
  </si>
  <si>
    <t>Qualifying IP</t>
  </si>
  <si>
    <t xml:space="preserve"> </t>
  </si>
  <si>
    <t>Benefit(s) previously utilised under Rule 6 (1)(b) to be set off against the deduction for the year</t>
  </si>
  <si>
    <t>b(ii) - utility models</t>
  </si>
  <si>
    <t xml:space="preserve">Income (Loss) for the year derived from qualifying IP </t>
  </si>
  <si>
    <t>c - other intellectual property… (small entity only)</t>
  </si>
  <si>
    <t>after deducting benefits previously utilised under Rule 6(1)(b)</t>
  </si>
  <si>
    <t xml:space="preserve">Has the income or gains, above,  been derived on the basis of the </t>
  </si>
  <si>
    <t>Royalty</t>
  </si>
  <si>
    <t>OECD Transfer Pricing Guidelines for Multinationals and Tax Administrations?</t>
  </si>
  <si>
    <t>Check loss</t>
  </si>
  <si>
    <t>IP Expenditure calculation (Rule 5)</t>
  </si>
  <si>
    <t xml:space="preserve">IP1 </t>
  </si>
  <si>
    <t>IP2</t>
  </si>
  <si>
    <t>IP3</t>
  </si>
  <si>
    <t>a) - Expenditure directly incurred by the beneficiary in the creation, etc. of the qualifying IP</t>
  </si>
  <si>
    <t xml:space="preserve">b) - Subcontracted expenditure to UNRELATED PARTIES </t>
  </si>
  <si>
    <t>c) - the lower of other expenditure not falling within (a) and (b) above:</t>
  </si>
  <si>
    <t>Trading and CG</t>
  </si>
  <si>
    <t xml:space="preserve">(i)  </t>
  </si>
  <si>
    <t>costs incurred in the acquisition, etc. not included in (a) and (b)</t>
  </si>
  <si>
    <t xml:space="preserve">(ii)  </t>
  </si>
  <si>
    <t>30% of total amounts in (a) and (b)</t>
  </si>
  <si>
    <t>Lower Expenditure</t>
  </si>
  <si>
    <t xml:space="preserve">Qualifying IP Expenditure    </t>
  </si>
  <si>
    <t>Calculation of the Nexus Ratio (per OECD Transfer Pricing Guidelines)</t>
  </si>
  <si>
    <t>Formula</t>
  </si>
  <si>
    <t>a+b (+30% uplift)</t>
  </si>
  <si>
    <t>where:</t>
  </si>
  <si>
    <t>a - R&amp;D expenditure incurred directly by taxpayer</t>
  </si>
  <si>
    <t>a+b+c+d</t>
  </si>
  <si>
    <t>b - expenditures for unrelated party outsourcing</t>
  </si>
  <si>
    <t xml:space="preserve">      30% Uplift</t>
  </si>
  <si>
    <t>Sum of a+b (+30% uplift)</t>
  </si>
  <si>
    <t>c - acquisition costs</t>
  </si>
  <si>
    <t>d - expenditures for related party outsourcing</t>
  </si>
  <si>
    <t>Sum of a+b+c+d</t>
  </si>
  <si>
    <t>Nexus Ratio</t>
  </si>
  <si>
    <t>Calculation of the Patent Box Regime deduction (Rule 4(1))</t>
  </si>
  <si>
    <t xml:space="preserve">95%  X  </t>
  </si>
  <si>
    <t>Qualifying IP Expenditure</t>
  </si>
  <si>
    <t xml:space="preserve">  X   Income or gains derived from Qualifying IP</t>
  </si>
  <si>
    <t>Total IP Expenditure</t>
  </si>
  <si>
    <t>Patent box deduction for the year</t>
  </si>
  <si>
    <t>Irrevocable Election to benefit from a loss (Rule 6)</t>
  </si>
  <si>
    <t xml:space="preserve"> Delete!</t>
  </si>
  <si>
    <t xml:space="preserve">Choose Option   </t>
  </si>
  <si>
    <t>(a) - 5% of the loss</t>
  </si>
  <si>
    <t>Irrevocable Election to benefit from a loss chosen in previous year(s)</t>
  </si>
  <si>
    <t xml:space="preserve">(b) - full loss </t>
  </si>
  <si>
    <t>5% Check</t>
  </si>
  <si>
    <t>No previous election</t>
  </si>
  <si>
    <t xml:space="preserve">Is the company aware of all the conditions attaching to the irrevocable election?   </t>
  </si>
  <si>
    <t>The company is fully aware that it shall not be entitled to the tax treatement in paragraph 6 (1) a in subsequent years.</t>
  </si>
  <si>
    <t>Loss for the year</t>
  </si>
  <si>
    <t xml:space="preserve">Is the company satisfying all the conditions attaching to the irrevocable election?   </t>
  </si>
  <si>
    <t>Is the company aware of the conditions attaching to the irrevocable election for subsequent years?</t>
  </si>
  <si>
    <t>5% loss</t>
  </si>
  <si>
    <t>Amount to be added back in the tax computation</t>
  </si>
  <si>
    <t>Amount to be deducted in future years in terms of Rule 6(1)(b)(ii)</t>
  </si>
  <si>
    <t>Capital gains</t>
  </si>
  <si>
    <t>Allocation to tax account (only in case of royalties or capital gain/loss)</t>
  </si>
  <si>
    <t>Gains</t>
  </si>
  <si>
    <t xml:space="preserve">Losses </t>
  </si>
  <si>
    <t>Net gain / (loss)</t>
  </si>
  <si>
    <t>IP1</t>
  </si>
  <si>
    <t>Trading</t>
  </si>
  <si>
    <t xml:space="preserve">Trading </t>
  </si>
  <si>
    <t>Profits</t>
  </si>
  <si>
    <t>Loss</t>
  </si>
  <si>
    <t xml:space="preserve">Patent Box Regime (Deduction) Rules, 2019 </t>
  </si>
  <si>
    <t>Re TRA 113</t>
  </si>
  <si>
    <t>Rule 6(1)</t>
  </si>
  <si>
    <t>Capital gains (deduction only)</t>
  </si>
  <si>
    <t>ITA - Interests</t>
  </si>
  <si>
    <t>Total capital gains / (Loss) for the year</t>
  </si>
  <si>
    <t>Income / Gains or loss for the year derived from qualifying IP (after deducting NID)</t>
  </si>
  <si>
    <t>P6</t>
  </si>
  <si>
    <t>A0833</t>
  </si>
  <si>
    <t>A0834</t>
  </si>
  <si>
    <t>A0835</t>
  </si>
  <si>
    <t>A0914</t>
  </si>
  <si>
    <t>A0916</t>
  </si>
  <si>
    <t>A1012</t>
  </si>
  <si>
    <t>A1013</t>
  </si>
  <si>
    <t>A1113</t>
  </si>
  <si>
    <t>A1210</t>
  </si>
  <si>
    <t>A1211</t>
  </si>
  <si>
    <t>A1311</t>
  </si>
  <si>
    <t>A1312</t>
  </si>
  <si>
    <t>A1414</t>
  </si>
  <si>
    <t>C149</t>
  </si>
  <si>
    <t>D149</t>
  </si>
  <si>
    <t>E149</t>
  </si>
  <si>
    <t>A1415</t>
  </si>
  <si>
    <t>C150</t>
  </si>
  <si>
    <t>D150</t>
  </si>
  <si>
    <t>E150</t>
  </si>
  <si>
    <t>A1509</t>
  </si>
  <si>
    <t>A1510</t>
  </si>
  <si>
    <t>A1511</t>
  </si>
  <si>
    <t>A1512</t>
  </si>
  <si>
    <t>A1513</t>
  </si>
  <si>
    <t>A1514</t>
  </si>
  <si>
    <t>A1515</t>
  </si>
  <si>
    <t>removed</t>
  </si>
  <si>
    <t>A1830</t>
  </si>
  <si>
    <t>A1831</t>
  </si>
  <si>
    <t>A1832</t>
  </si>
  <si>
    <t>A1833</t>
  </si>
  <si>
    <t>A1834</t>
  </si>
  <si>
    <t>A1835</t>
  </si>
  <si>
    <t>A1836</t>
  </si>
  <si>
    <t>A1837</t>
  </si>
  <si>
    <t>A1838</t>
  </si>
  <si>
    <t>A1839</t>
  </si>
  <si>
    <t>A1840</t>
  </si>
  <si>
    <t>A1841</t>
  </si>
  <si>
    <t>A1842</t>
  </si>
  <si>
    <t>A1843</t>
  </si>
  <si>
    <t>A3531</t>
  </si>
  <si>
    <t>A3532</t>
  </si>
  <si>
    <t>SHA50</t>
  </si>
  <si>
    <t>Q59</t>
  </si>
  <si>
    <t>S59</t>
  </si>
  <si>
    <t>W59</t>
  </si>
  <si>
    <t>Y59</t>
  </si>
  <si>
    <t>AA59</t>
  </si>
  <si>
    <t>SHA51</t>
  </si>
  <si>
    <t>Q60</t>
  </si>
  <si>
    <t>S60</t>
  </si>
  <si>
    <t>W60</t>
  </si>
  <si>
    <t>Y60</t>
  </si>
  <si>
    <t>AA60</t>
  </si>
  <si>
    <t>SHA52</t>
  </si>
  <si>
    <t>Q61</t>
  </si>
  <si>
    <t>S61</t>
  </si>
  <si>
    <t>W61</t>
  </si>
  <si>
    <t>Y61</t>
  </si>
  <si>
    <t>AA61</t>
  </si>
  <si>
    <t>SHA53</t>
  </si>
  <si>
    <t>Q62</t>
  </si>
  <si>
    <t>S62</t>
  </si>
  <si>
    <t>U62</t>
  </si>
  <si>
    <t>W62</t>
  </si>
  <si>
    <t>Y62</t>
  </si>
  <si>
    <t>AA62</t>
  </si>
  <si>
    <t>SHA54</t>
  </si>
  <si>
    <t>Q63</t>
  </si>
  <si>
    <t>S63</t>
  </si>
  <si>
    <t>U63</t>
  </si>
  <si>
    <t>W63</t>
  </si>
  <si>
    <t>Y63</t>
  </si>
  <si>
    <t>AA63</t>
  </si>
  <si>
    <t>SHA55</t>
  </si>
  <si>
    <t>Q64</t>
  </si>
  <si>
    <t>S64</t>
  </si>
  <si>
    <t>U64</t>
  </si>
  <si>
    <t>W64</t>
  </si>
  <si>
    <t>Y64</t>
  </si>
  <si>
    <t>AA64</t>
  </si>
  <si>
    <t>SHA56</t>
  </si>
  <si>
    <t>Q65</t>
  </si>
  <si>
    <t>S65</t>
  </si>
  <si>
    <t>U65</t>
  </si>
  <si>
    <t>W65</t>
  </si>
  <si>
    <t>Y65</t>
  </si>
  <si>
    <t>AA65</t>
  </si>
  <si>
    <t>SHA57</t>
  </si>
  <si>
    <t>Q66</t>
  </si>
  <si>
    <t>U66</t>
  </si>
  <si>
    <t>W66</t>
  </si>
  <si>
    <t>AA66</t>
  </si>
  <si>
    <t>SHA58</t>
  </si>
  <si>
    <t>L67</t>
  </si>
  <si>
    <t>Y67</t>
  </si>
  <si>
    <t>AA67</t>
  </si>
  <si>
    <t>SHA59</t>
  </si>
  <si>
    <t>Q68</t>
  </si>
  <si>
    <t>S68</t>
  </si>
  <si>
    <t>U68</t>
  </si>
  <si>
    <t>W68</t>
  </si>
  <si>
    <t>Y68</t>
  </si>
  <si>
    <t>AA68</t>
  </si>
  <si>
    <t>SHA60</t>
  </si>
  <si>
    <t>S69</t>
  </si>
  <si>
    <t>W69</t>
  </si>
  <si>
    <t>Y69</t>
  </si>
  <si>
    <t>AA69</t>
  </si>
  <si>
    <t>SHA61</t>
  </si>
  <si>
    <t>S70</t>
  </si>
  <si>
    <t>W70</t>
  </si>
  <si>
    <t>Y70</t>
  </si>
  <si>
    <t>AA70</t>
  </si>
  <si>
    <t>SHA62</t>
  </si>
  <si>
    <t>S71</t>
  </si>
  <si>
    <t>W71</t>
  </si>
  <si>
    <t>Y71</t>
  </si>
  <si>
    <t>AA71</t>
  </si>
  <si>
    <t>SHA63</t>
  </si>
  <si>
    <t>M72</t>
  </si>
  <si>
    <t>O72</t>
  </si>
  <si>
    <t>S72</t>
  </si>
  <si>
    <t>W72</t>
  </si>
  <si>
    <t>Y72</t>
  </si>
  <si>
    <t>AA72</t>
  </si>
  <si>
    <t>SHA64</t>
  </si>
  <si>
    <t>W73</t>
  </si>
  <si>
    <t>Y73</t>
  </si>
  <si>
    <t>AA73</t>
  </si>
  <si>
    <t>SHA65</t>
  </si>
  <si>
    <t>S74</t>
  </si>
  <si>
    <t>W74</t>
  </si>
  <si>
    <t>Y74</t>
  </si>
  <si>
    <t>AA74</t>
  </si>
  <si>
    <t>SHA66</t>
  </si>
  <si>
    <t>W75</t>
  </si>
  <si>
    <t>Y75</t>
  </si>
  <si>
    <t>AA75</t>
  </si>
  <si>
    <t>SHA67</t>
  </si>
  <si>
    <t>S76</t>
  </si>
  <si>
    <t>W76</t>
  </si>
  <si>
    <t>Y76</t>
  </si>
  <si>
    <t>AA76</t>
  </si>
  <si>
    <t>SHA68</t>
  </si>
  <si>
    <t>W77</t>
  </si>
  <si>
    <t>Y77</t>
  </si>
  <si>
    <t>AA77</t>
  </si>
  <si>
    <t>SHA69</t>
  </si>
  <si>
    <t>S78</t>
  </si>
  <si>
    <t>W78</t>
  </si>
  <si>
    <t>Y78</t>
  </si>
  <si>
    <t>AA78</t>
  </si>
  <si>
    <t>SHA70</t>
  </si>
  <si>
    <t>L79</t>
  </si>
  <si>
    <t>W79</t>
  </si>
  <si>
    <t>Y79</t>
  </si>
  <si>
    <t>AA79</t>
  </si>
  <si>
    <t>SHA71</t>
  </si>
  <si>
    <t>M80</t>
  </si>
  <si>
    <t>S80</t>
  </si>
  <si>
    <t>W80</t>
  </si>
  <si>
    <t>Y80</t>
  </si>
  <si>
    <t>AA80</t>
  </si>
  <si>
    <t>SHA72</t>
  </si>
  <si>
    <t>S81</t>
  </si>
  <si>
    <t>W81</t>
  </si>
  <si>
    <t>Y81</t>
  </si>
  <si>
    <t>AA81</t>
  </si>
  <si>
    <t>SHA73</t>
  </si>
  <si>
    <t>L82</t>
  </si>
  <si>
    <t>O82</t>
  </si>
  <si>
    <t>W82</t>
  </si>
  <si>
    <t>Y82</t>
  </si>
  <si>
    <t>AA82</t>
  </si>
  <si>
    <t>SHA74</t>
  </si>
  <si>
    <t>Y83</t>
  </si>
  <si>
    <t>AA83</t>
  </si>
  <si>
    <t>N94</t>
  </si>
  <si>
    <t>Q94</t>
  </si>
  <si>
    <t>R94</t>
  </si>
  <si>
    <t>U94</t>
  </si>
  <si>
    <t>X94</t>
  </si>
  <si>
    <t>N95</t>
  </si>
  <si>
    <t>Q95</t>
  </si>
  <si>
    <t>R95</t>
  </si>
  <si>
    <t>U95</t>
  </si>
  <si>
    <t>X95</t>
  </si>
  <si>
    <t>N96</t>
  </si>
  <si>
    <t>Q96</t>
  </si>
  <si>
    <t>R96</t>
  </si>
  <si>
    <t>U96</t>
  </si>
  <si>
    <t>X96</t>
  </si>
  <si>
    <t>N97</t>
  </si>
  <si>
    <t>R97</t>
  </si>
  <si>
    <t>U97</t>
  </si>
  <si>
    <t>X97</t>
  </si>
  <si>
    <t>N98</t>
  </si>
  <si>
    <t>Q98</t>
  </si>
  <si>
    <t>R98</t>
  </si>
  <si>
    <t>U98</t>
  </si>
  <si>
    <t>X98</t>
  </si>
  <si>
    <t>N99</t>
  </si>
  <si>
    <t>Q99</t>
  </si>
  <si>
    <t>R99</t>
  </si>
  <si>
    <t>U99</t>
  </si>
  <si>
    <t>X99</t>
  </si>
  <si>
    <t>N100</t>
  </si>
  <si>
    <t>Q100</t>
  </si>
  <si>
    <t>R100</t>
  </si>
  <si>
    <t>U100</t>
  </si>
  <si>
    <t>X100</t>
  </si>
  <si>
    <t>N101</t>
  </si>
  <si>
    <t>Q101</t>
  </si>
  <si>
    <t>R101</t>
  </si>
  <si>
    <t>U101</t>
  </si>
  <si>
    <t>X101</t>
  </si>
  <si>
    <t>N102</t>
  </si>
  <si>
    <t>Q102</t>
  </si>
  <si>
    <t>R102</t>
  </si>
  <si>
    <t>U102</t>
  </si>
  <si>
    <t>X102</t>
  </si>
  <si>
    <t>N103</t>
  </si>
  <si>
    <t>Q103</t>
  </si>
  <si>
    <t>R103</t>
  </si>
  <si>
    <t>U103</t>
  </si>
  <si>
    <t>X103</t>
  </si>
  <si>
    <t>N104</t>
  </si>
  <si>
    <t>Q104</t>
  </si>
  <si>
    <t>R104</t>
  </si>
  <si>
    <t>U104</t>
  </si>
  <si>
    <t>X104</t>
  </si>
  <si>
    <t>N105</t>
  </si>
  <si>
    <t>Q105</t>
  </si>
  <si>
    <t>R105</t>
  </si>
  <si>
    <t>U105</t>
  </si>
  <si>
    <t>X105</t>
  </si>
  <si>
    <t>B106</t>
  </si>
  <si>
    <t>N106</t>
  </si>
  <si>
    <t>Q106</t>
  </si>
  <si>
    <t>R106</t>
  </si>
  <si>
    <t>U106</t>
  </si>
  <si>
    <t>X106</t>
  </si>
  <si>
    <t>B107</t>
  </si>
  <si>
    <t>N107</t>
  </si>
  <si>
    <t>Q107</t>
  </si>
  <si>
    <t>R107</t>
  </si>
  <si>
    <t>U107</t>
  </si>
  <si>
    <t>X107</t>
  </si>
  <si>
    <t>B108</t>
  </si>
  <si>
    <t>N108</t>
  </si>
  <si>
    <t>Q108</t>
  </si>
  <si>
    <t>R108</t>
  </si>
  <si>
    <t>U108</t>
  </si>
  <si>
    <t>X108</t>
  </si>
  <si>
    <t>B109</t>
  </si>
  <si>
    <t>N109</t>
  </si>
  <si>
    <t>Q109</t>
  </si>
  <si>
    <t>R109</t>
  </si>
  <si>
    <t>U109</t>
  </si>
  <si>
    <t>X109</t>
  </si>
  <si>
    <t>N110</t>
  </si>
  <si>
    <t>Q110</t>
  </si>
  <si>
    <t>R110</t>
  </si>
  <si>
    <t>U110</t>
  </si>
  <si>
    <t>X110</t>
  </si>
  <si>
    <t>N111</t>
  </si>
  <si>
    <t>Q111</t>
  </si>
  <si>
    <t>R111</t>
  </si>
  <si>
    <t>U111</t>
  </si>
  <si>
    <t>X111</t>
  </si>
  <si>
    <t>N112</t>
  </si>
  <si>
    <t>Q112</t>
  </si>
  <si>
    <t>R112</t>
  </si>
  <si>
    <t>U112</t>
  </si>
  <si>
    <t>X112</t>
  </si>
  <si>
    <t>N113</t>
  </si>
  <si>
    <t>Q113</t>
  </si>
  <si>
    <t>R113</t>
  </si>
  <si>
    <t>U113</t>
  </si>
  <si>
    <t>X113</t>
  </si>
  <si>
    <t>N114</t>
  </si>
  <si>
    <t>Q114</t>
  </si>
  <si>
    <t>R114</t>
  </si>
  <si>
    <t>U114</t>
  </si>
  <si>
    <t>X114</t>
  </si>
  <si>
    <t>N115</t>
  </si>
  <si>
    <t>Q115</t>
  </si>
  <si>
    <t>R115</t>
  </si>
  <si>
    <t>U115</t>
  </si>
  <si>
    <t>X115</t>
  </si>
  <si>
    <t>N116</t>
  </si>
  <si>
    <t>Q116</t>
  </si>
  <si>
    <t>R116</t>
  </si>
  <si>
    <t>U116</t>
  </si>
  <si>
    <t>X116</t>
  </si>
  <si>
    <t>N117</t>
  </si>
  <si>
    <t>Q117</t>
  </si>
  <si>
    <t>R117</t>
  </si>
  <si>
    <t>U117</t>
  </si>
  <si>
    <t>X117</t>
  </si>
  <si>
    <t>A10708</t>
  </si>
  <si>
    <t>A10709</t>
  </si>
  <si>
    <t>A10710</t>
  </si>
  <si>
    <t>A10711</t>
  </si>
  <si>
    <t>A10712</t>
  </si>
  <si>
    <t>A10713</t>
  </si>
  <si>
    <t>A10714</t>
  </si>
  <si>
    <t>A10715</t>
  </si>
  <si>
    <t>A10716</t>
  </si>
  <si>
    <t>A10717</t>
  </si>
  <si>
    <t>A10718</t>
  </si>
  <si>
    <t>A10719</t>
  </si>
  <si>
    <t>A10720</t>
  </si>
  <si>
    <t>A10721</t>
  </si>
  <si>
    <t>A10722</t>
  </si>
  <si>
    <t>A10723</t>
  </si>
  <si>
    <t>A10724</t>
  </si>
  <si>
    <t>A10725</t>
  </si>
  <si>
    <t>TRA111</t>
  </si>
  <si>
    <t>A11101</t>
  </si>
  <si>
    <t>N6</t>
  </si>
  <si>
    <t>A11102</t>
  </si>
  <si>
    <t>N7</t>
  </si>
  <si>
    <t>A11103</t>
  </si>
  <si>
    <t>A11104</t>
  </si>
  <si>
    <t>A11105</t>
  </si>
  <si>
    <t>A11106</t>
  </si>
  <si>
    <t>A11107</t>
  </si>
  <si>
    <t>A11108</t>
  </si>
  <si>
    <t>A11109</t>
  </si>
  <si>
    <t>A11110</t>
  </si>
  <si>
    <t>A11111</t>
  </si>
  <si>
    <t>A11112</t>
  </si>
  <si>
    <t>A11113</t>
  </si>
  <si>
    <t>A11114</t>
  </si>
  <si>
    <t>A11115</t>
  </si>
  <si>
    <t>A11116</t>
  </si>
  <si>
    <t>A11117</t>
  </si>
  <si>
    <t>A11118</t>
  </si>
  <si>
    <t>A11119</t>
  </si>
  <si>
    <t>A11120</t>
  </si>
  <si>
    <t>A11121</t>
  </si>
  <si>
    <t>A11122</t>
  </si>
  <si>
    <t>A11123</t>
  </si>
  <si>
    <t>A11124</t>
  </si>
  <si>
    <t>A11125</t>
  </si>
  <si>
    <t>A11126</t>
  </si>
  <si>
    <t>A11127</t>
  </si>
  <si>
    <t>A11128</t>
  </si>
  <si>
    <t>A11129</t>
  </si>
  <si>
    <t>A11130</t>
  </si>
  <si>
    <t>A11131</t>
  </si>
  <si>
    <t>A11132</t>
  </si>
  <si>
    <t>A11133</t>
  </si>
  <si>
    <t>A11134</t>
  </si>
  <si>
    <t>A11135</t>
  </si>
  <si>
    <t>A11136</t>
  </si>
  <si>
    <t>A11137</t>
  </si>
  <si>
    <t>A11138</t>
  </si>
  <si>
    <t>A11139</t>
  </si>
  <si>
    <t>A11140</t>
  </si>
  <si>
    <t>A11141</t>
  </si>
  <si>
    <t>A11142</t>
  </si>
  <si>
    <t>A11143</t>
  </si>
  <si>
    <t>A11144</t>
  </si>
  <si>
    <t>A11145</t>
  </si>
  <si>
    <t>A11146</t>
  </si>
  <si>
    <t>A11147</t>
  </si>
  <si>
    <t>A11148</t>
  </si>
  <si>
    <t>A11149</t>
  </si>
  <si>
    <t>A11150</t>
  </si>
  <si>
    <t>A11151</t>
  </si>
  <si>
    <t>A11152</t>
  </si>
  <si>
    <t>A11153</t>
  </si>
  <si>
    <t>A11154</t>
  </si>
  <si>
    <t>A11155</t>
  </si>
  <si>
    <t>A11156</t>
  </si>
  <si>
    <t>TRA112</t>
  </si>
  <si>
    <t>A11201</t>
  </si>
  <si>
    <t>A11202</t>
  </si>
  <si>
    <t>A11203</t>
  </si>
  <si>
    <t>A11204</t>
  </si>
  <si>
    <t>A11205</t>
  </si>
  <si>
    <t>A11206</t>
  </si>
  <si>
    <t>A11207</t>
  </si>
  <si>
    <t>A11208</t>
  </si>
  <si>
    <t>A11209</t>
  </si>
  <si>
    <t>A11210</t>
  </si>
  <si>
    <t>A11211</t>
  </si>
  <si>
    <t>A11212</t>
  </si>
  <si>
    <t>A11213</t>
  </si>
  <si>
    <t>A11214</t>
  </si>
  <si>
    <t>A11215</t>
  </si>
  <si>
    <t>A11216</t>
  </si>
  <si>
    <t>A11217</t>
  </si>
  <si>
    <t>A11218</t>
  </si>
  <si>
    <t>A11219</t>
  </si>
  <si>
    <t>A11220</t>
  </si>
  <si>
    <t>A11221</t>
  </si>
  <si>
    <t>A11222</t>
  </si>
  <si>
    <t>TRA113</t>
  </si>
  <si>
    <t>A11301</t>
  </si>
  <si>
    <t>A11302</t>
  </si>
  <si>
    <t>A11303</t>
  </si>
  <si>
    <t>A11304</t>
  </si>
  <si>
    <t>A11305</t>
  </si>
  <si>
    <t>A11306</t>
  </si>
  <si>
    <t>A11307</t>
  </si>
  <si>
    <t>A11308</t>
  </si>
  <si>
    <t>A11309</t>
  </si>
  <si>
    <t>A11310</t>
  </si>
  <si>
    <t>A11311</t>
  </si>
  <si>
    <t>A11312</t>
  </si>
  <si>
    <t>A11313</t>
  </si>
  <si>
    <t>A11314</t>
  </si>
  <si>
    <t>A11315</t>
  </si>
  <si>
    <t>A11316</t>
  </si>
  <si>
    <t>A11317</t>
  </si>
  <si>
    <t>A11318</t>
  </si>
  <si>
    <t>A11319</t>
  </si>
  <si>
    <t>A11320</t>
  </si>
  <si>
    <t>A11321</t>
  </si>
  <si>
    <t>A11322</t>
  </si>
  <si>
    <t>A11323</t>
  </si>
  <si>
    <t>A11324</t>
  </si>
  <si>
    <t>A11325</t>
  </si>
  <si>
    <t>A11326</t>
  </si>
  <si>
    <t>A11327</t>
  </si>
  <si>
    <t>A11328</t>
  </si>
  <si>
    <t>A11329</t>
  </si>
  <si>
    <t>A11330</t>
  </si>
  <si>
    <t>N53</t>
  </si>
  <si>
    <t>A11331</t>
  </si>
  <si>
    <t>N57</t>
  </si>
  <si>
    <t>A11332</t>
  </si>
  <si>
    <t>N63</t>
  </si>
  <si>
    <t>A11333</t>
  </si>
  <si>
    <t>N65</t>
  </si>
  <si>
    <t>A11334</t>
  </si>
  <si>
    <t>N67</t>
  </si>
  <si>
    <t>A11335</t>
  </si>
  <si>
    <t>A11336</t>
  </si>
  <si>
    <t>A11337</t>
  </si>
  <si>
    <t>A11338</t>
  </si>
  <si>
    <t>TRA114</t>
  </si>
  <si>
    <t>A11401</t>
  </si>
  <si>
    <t>A11402</t>
  </si>
  <si>
    <t>A11403</t>
  </si>
  <si>
    <t>A11404</t>
  </si>
  <si>
    <t>A11405</t>
  </si>
  <si>
    <t>A11406</t>
  </si>
  <si>
    <t>A11407</t>
  </si>
  <si>
    <t>A11408</t>
  </si>
  <si>
    <t>A11409</t>
  </si>
  <si>
    <t>A11410</t>
  </si>
  <si>
    <t>A11411</t>
  </si>
  <si>
    <t>A11412</t>
  </si>
  <si>
    <t>A11413</t>
  </si>
  <si>
    <t>TRA115</t>
  </si>
  <si>
    <t>A11501</t>
  </si>
  <si>
    <t>A11502</t>
  </si>
  <si>
    <t>A11503</t>
  </si>
  <si>
    <t>A11504</t>
  </si>
  <si>
    <t>A11505</t>
  </si>
  <si>
    <t>A11506</t>
  </si>
  <si>
    <t>A11507</t>
  </si>
  <si>
    <t>A11508</t>
  </si>
  <si>
    <t>A11509</t>
  </si>
  <si>
    <t>A11510</t>
  </si>
  <si>
    <t>A11511</t>
  </si>
  <si>
    <t>A11512</t>
  </si>
  <si>
    <t>A11513</t>
  </si>
  <si>
    <t>A11514</t>
  </si>
  <si>
    <t>A11515</t>
  </si>
  <si>
    <t>A11516</t>
  </si>
  <si>
    <t>Birżebbuga Local Council (Birżebbuga)</t>
  </si>
  <si>
    <t>Għajnsielem Local Council (Għajnsielem)</t>
  </si>
  <si>
    <t>Għarb Local Council (Għarb)</t>
  </si>
  <si>
    <t>Gharghur Local Council (Gharghur)</t>
  </si>
  <si>
    <t>Għasri Local Council (Għasri)</t>
  </si>
  <si>
    <t>Għaxaq Local Council (Għaxaq)</t>
  </si>
  <si>
    <t>Gżira Local Council (Gżira)</t>
  </si>
  <si>
    <t>Ħamrun Local Council (Ħamrun)</t>
  </si>
  <si>
    <t>Mellieħa Local Council (Mellieħa)</t>
  </si>
  <si>
    <t>Mġarr Local Council (Mġarr)</t>
  </si>
  <si>
    <t>San Ġwann Local Council (San Ġwann)</t>
  </si>
  <si>
    <t>Siġġiewi Local Council (Siġġiewi)</t>
  </si>
  <si>
    <t>Xagħra Local Council (Xagħra)</t>
  </si>
  <si>
    <t>Xgħajra Local Council (Xgħajra)</t>
  </si>
  <si>
    <t>Żabbar Local Council (Żabbar)</t>
  </si>
  <si>
    <t>Żebbug Local Council (Żebbug)</t>
  </si>
  <si>
    <t>Żebbug Local Council (Żebbug-Gozo)</t>
  </si>
  <si>
    <t>Żejtun Local Council (Żejtun)</t>
  </si>
  <si>
    <t>Żurrieq Local Council (Żurrieq)</t>
  </si>
  <si>
    <t>Santa Luċija Local Council (Santa Luċija)</t>
  </si>
  <si>
    <t xml:space="preserve"> Dividends from FTA    [TRA 18]</t>
  </si>
  <si>
    <t>Exempt Dividends or Dividends from Untaxed A/c                              [page 3 of the tax return]</t>
  </si>
  <si>
    <t>Conditional formatting - L32</t>
  </si>
  <si>
    <t>a - patent(s) issued, or applied for, or pending...</t>
  </si>
  <si>
    <t>c - other intellectual property...(small entity only)</t>
  </si>
  <si>
    <t>b(iii) - software protected by copyright...</t>
  </si>
  <si>
    <t>b(i) - assets in respect of which protection rights are granted...</t>
  </si>
  <si>
    <t>TRA 16_4</t>
  </si>
  <si>
    <t>TRA 16_5</t>
  </si>
  <si>
    <t>TRA 16_6</t>
  </si>
  <si>
    <t>TRA 16_7</t>
  </si>
  <si>
    <t>TRA 16_8</t>
  </si>
  <si>
    <t>TRA 16_9</t>
  </si>
  <si>
    <t>TRA 16_10</t>
  </si>
  <si>
    <t>TRA 16_11</t>
  </si>
  <si>
    <t>TRA 16_12</t>
  </si>
  <si>
    <t>TRA 17_4</t>
  </si>
  <si>
    <t>TRA 17_5</t>
  </si>
  <si>
    <t>TRA 17_6</t>
  </si>
  <si>
    <t>TRA 17_7</t>
  </si>
  <si>
    <t>TRA 17_8</t>
  </si>
  <si>
    <t>TRA 17_9</t>
  </si>
  <si>
    <t>TRA 17_10</t>
  </si>
  <si>
    <t>TRA 17_11</t>
  </si>
  <si>
    <t>TRA 17_12</t>
  </si>
  <si>
    <t>forms part of a group as defined in Articles 16 to 22 of the Income Tax Act</t>
  </si>
  <si>
    <t>benefits from the provisions of Article 15 of the Income Tax Act</t>
  </si>
  <si>
    <t>is engaged in the business of Insurance or is a non-resident or acting on behalf of a non-resident and receives dividends as its sole income</t>
  </si>
  <si>
    <t>page 2 question 30</t>
  </si>
  <si>
    <t>No input on page 2</t>
  </si>
  <si>
    <t>INCOME SUBJECT TO OTHER RATES OF TAX</t>
  </si>
  <si>
    <t xml:space="preserve">  Other income at other rates of tax:</t>
  </si>
  <si>
    <t>SL 123.189</t>
  </si>
  <si>
    <t>Chargeable Income subject to other rates of tax</t>
  </si>
  <si>
    <t>Tax on Income taxed at other rates</t>
  </si>
  <si>
    <t>Tax credit entitlement (25% of the Qualifying contributions paid) in respect of these employees</t>
  </si>
  <si>
    <t>1  -  25% of the Qualifying contributions</t>
  </si>
  <si>
    <t xml:space="preserve">Risk Capital calculation and Attribution to the different tax accounts </t>
  </si>
  <si>
    <t>All income of a resident company, body corporate, trading or commercial undertaking or a Trust, accruing in or derived from Malta or elsewhere, and whether received in Malta or not, during the accounting period stated in Part 1 below, must be stated.  The word "company", wherever used in this return shall where applicable be construed as a reference to a fiscal unit.</t>
  </si>
  <si>
    <r>
      <t xml:space="preserve">   Part 1 - Company Details </t>
    </r>
    <r>
      <rPr>
        <sz val="10"/>
        <rFont val="Arial"/>
        <family val="2"/>
      </rPr>
      <t>(Principal Taxpayer's details required in the case of a fiscal unit)</t>
    </r>
  </si>
  <si>
    <t>Pg 2 Q30</t>
  </si>
  <si>
    <t>FU_PRINC</t>
  </si>
  <si>
    <t>FU_MEM_1</t>
  </si>
  <si>
    <t>FU_MEM_2</t>
  </si>
  <si>
    <t>FU_MEM_3</t>
  </si>
  <si>
    <t>FU_MEM_4</t>
  </si>
  <si>
    <t>FU_MEM_5</t>
  </si>
  <si>
    <t>FU_MEM_6</t>
  </si>
  <si>
    <t>FU_MEM_7</t>
  </si>
  <si>
    <t>FU_MEM_8</t>
  </si>
  <si>
    <t>FU_MEM_9</t>
  </si>
  <si>
    <t>FU_MEM_10</t>
  </si>
  <si>
    <t>FU_MEM_11</t>
  </si>
  <si>
    <t>FU_MEM_12</t>
  </si>
  <si>
    <t>FU_MEM_13</t>
  </si>
  <si>
    <t>FU_MEM_14</t>
  </si>
  <si>
    <t>FU_MEM_15</t>
  </si>
  <si>
    <t>FU_MEM_16</t>
  </si>
  <si>
    <t>FU_MEM_17</t>
  </si>
  <si>
    <t>FU_MEM_18</t>
  </si>
  <si>
    <t>FU_MEM_19</t>
  </si>
  <si>
    <t>FU_MEM_20</t>
  </si>
  <si>
    <t>FU_MEM_21</t>
  </si>
  <si>
    <t>FU_MEM_22</t>
  </si>
  <si>
    <t>FU_MEM_23</t>
  </si>
  <si>
    <t>FU_MEM_24</t>
  </si>
  <si>
    <t>FU_MEM_25</t>
  </si>
  <si>
    <t>FU_MEM_26</t>
  </si>
  <si>
    <t>FU_MEM_27</t>
  </si>
  <si>
    <t>FU_MEM_28</t>
  </si>
  <si>
    <t>FU_MEM_29</t>
  </si>
  <si>
    <t>FU_MEM_30</t>
  </si>
  <si>
    <t>FU_MEM_31</t>
  </si>
  <si>
    <t>FU_MEM_32</t>
  </si>
  <si>
    <t>FU_MEM_33</t>
  </si>
  <si>
    <t>FU_MEM_34</t>
  </si>
  <si>
    <t>FU_MEM_35</t>
  </si>
  <si>
    <t>FU_MEM_36</t>
  </si>
  <si>
    <t>FU_MEM_37</t>
  </si>
  <si>
    <t>FU_MEM_38</t>
  </si>
  <si>
    <t>FU_MEM_39</t>
  </si>
  <si>
    <t>FU_MEM_40</t>
  </si>
  <si>
    <t>FU_MEM_41</t>
  </si>
  <si>
    <t>FU_MEM_42</t>
  </si>
  <si>
    <t>FU_MEM_43</t>
  </si>
  <si>
    <t>FU_MEM_44</t>
  </si>
  <si>
    <t>FU_MEM_45</t>
  </si>
  <si>
    <t>FU_MEM_46</t>
  </si>
  <si>
    <t>FU_MEM_47</t>
  </si>
  <si>
    <t>FU_MEM_48</t>
  </si>
  <si>
    <t>FU_MEM_49</t>
  </si>
  <si>
    <t>FU_MEM_50</t>
  </si>
  <si>
    <t>Aircraft (spread over 12 years)</t>
  </si>
  <si>
    <t>Aircraft airframe or engines (acquired up to Y/A 2018)</t>
  </si>
  <si>
    <t>Aircraft engine or airframe overhaul (acquired up to Y/A 2018)</t>
  </si>
  <si>
    <t>Aircraft interiors and other parts (acquired up to Y/A 2018)</t>
  </si>
  <si>
    <t>Aircraft airframe, engines and other parts etc (acquired from Y/A 2019)</t>
  </si>
  <si>
    <t>RUB</t>
  </si>
  <si>
    <t>MYR</t>
  </si>
  <si>
    <t>PHP</t>
  </si>
  <si>
    <t>THB</t>
  </si>
  <si>
    <t>Pg 2 q30</t>
  </si>
  <si>
    <r>
      <rPr>
        <sz val="11"/>
        <rFont val="Arial"/>
        <family val="2"/>
      </rPr>
      <t>IT reference of Transferor</t>
    </r>
    <r>
      <rPr>
        <sz val="10"/>
        <rFont val="Arial"/>
        <family val="2"/>
      </rPr>
      <t xml:space="preserve"> (in case of fiscal unit)</t>
    </r>
  </si>
  <si>
    <t>pg2 q 30</t>
  </si>
  <si>
    <r>
      <t xml:space="preserve">IT Reference of Transferor </t>
    </r>
    <r>
      <rPr>
        <sz val="8"/>
        <rFont val="Arial"/>
        <family val="2"/>
      </rPr>
      <t>(in case of fiscal unit)</t>
    </r>
  </si>
  <si>
    <t>Pg2 Q30</t>
  </si>
  <si>
    <r>
      <t xml:space="preserve">IT reference    </t>
    </r>
    <r>
      <rPr>
        <sz val="10"/>
        <rFont val="Arial"/>
        <family val="2"/>
      </rPr>
      <t>(in case of fiscal unit)</t>
    </r>
  </si>
  <si>
    <t>Pg 2 Q 30</t>
  </si>
  <si>
    <r>
      <t xml:space="preserve">IT Reference </t>
    </r>
    <r>
      <rPr>
        <b/>
        <i/>
        <sz val="8"/>
        <color indexed="8"/>
        <rFont val="Arial"/>
        <family val="2"/>
      </rPr>
      <t>(in case of fiscal unit)</t>
    </r>
  </si>
  <si>
    <r>
      <t xml:space="preserve">IT reference </t>
    </r>
    <r>
      <rPr>
        <b/>
        <i/>
        <sz val="8"/>
        <color indexed="8"/>
        <rFont val="Arial"/>
        <family val="2"/>
      </rPr>
      <t>(in case of fiscal unit)</t>
    </r>
  </si>
  <si>
    <t>=IF(AND(L9=0,B9&lt;&gt;"",$AE$1="n"),"Check details!",IF(T9=0,"",IF(AND($AE$1="y",T9&lt;&gt;10)," All details required!",IF(AND($AE$1="n",T9&lt;&gt;9)," All details required!",""))))</t>
  </si>
  <si>
    <r>
      <t xml:space="preserve">IT Reference </t>
    </r>
    <r>
      <rPr>
        <b/>
        <i/>
        <sz val="9"/>
        <color indexed="8"/>
        <rFont val="Arial"/>
        <family val="2"/>
      </rPr>
      <t>(in case of fiscal unit)</t>
    </r>
  </si>
  <si>
    <t>Less Net income or loss for the period attributable to non controlling interest</t>
  </si>
  <si>
    <t>Share capital attributable to non controlling interest</t>
  </si>
  <si>
    <t>Reserves attributable to non controlling interest</t>
  </si>
  <si>
    <t>Gross distribution - NCI</t>
  </si>
  <si>
    <t>Total gross distribution</t>
  </si>
  <si>
    <t>pg 2 Q 30</t>
  </si>
  <si>
    <t>120D</t>
  </si>
  <si>
    <t>120E</t>
  </si>
  <si>
    <t>120F</t>
  </si>
  <si>
    <r>
      <t>IT reference (</t>
    </r>
    <r>
      <rPr>
        <sz val="8"/>
        <color rgb="FF000000"/>
        <rFont val="Arial"/>
        <family val="2"/>
      </rPr>
      <t>in case of fiscal unit</t>
    </r>
    <r>
      <rPr>
        <sz val="10"/>
        <color rgb="FF000000"/>
        <rFont val="Arial"/>
        <family val="2"/>
      </rPr>
      <t>)</t>
    </r>
  </si>
  <si>
    <t>Number of certificates (applicable for current year of assessment)</t>
  </si>
  <si>
    <t>TRA 115_1</t>
  </si>
  <si>
    <t>TRA 115_3</t>
  </si>
  <si>
    <t xml:space="preserve">       SUMMARY STATEMENT - LN15 of 2019 - Skills Development Regulations</t>
  </si>
  <si>
    <t>Credit utilised - current year</t>
  </si>
  <si>
    <r>
      <t>IT reference (</t>
    </r>
    <r>
      <rPr>
        <sz val="8"/>
        <rFont val="Arial"/>
        <family val="2"/>
      </rPr>
      <t>in case of fiscal unit</t>
    </r>
    <r>
      <rPr>
        <sz val="10"/>
        <rFont val="Arial"/>
        <family val="2"/>
      </rPr>
      <t>)</t>
    </r>
  </si>
  <si>
    <t>Total count</t>
  </si>
  <si>
    <t>Total errors</t>
  </si>
  <si>
    <t>TRA 29_1</t>
  </si>
  <si>
    <t>TRA 29_2</t>
  </si>
  <si>
    <t>TRA 29_3</t>
  </si>
  <si>
    <t xml:space="preserve">       SUMMARY STATEMENT - BPA - Regulation 5 - [Investment Tax Credit]</t>
  </si>
  <si>
    <t xml:space="preserve">       SUMMARY STATEMENT - Investment Aid Regulations</t>
  </si>
  <si>
    <t>TRA 54_1</t>
  </si>
  <si>
    <t>TRA 54_2</t>
  </si>
  <si>
    <t>TRA 54_3</t>
  </si>
  <si>
    <t>TRA 54_4</t>
  </si>
  <si>
    <t>Investment Aid</t>
  </si>
  <si>
    <t xml:space="preserve">Investment Aid </t>
  </si>
  <si>
    <t>Tax Credit Supporting the Development of Video Games with a Cultural Dimension</t>
  </si>
  <si>
    <t>Number of certificates:</t>
  </si>
  <si>
    <t>TRA 114_2</t>
  </si>
  <si>
    <t>TRA 114_1</t>
  </si>
  <si>
    <t xml:space="preserve">         SUMMARY STATEMENT - LN 69 of 2019 - Tax Credit Supporting the Development of Video Games with a Cultural Dimension</t>
  </si>
  <si>
    <t>TRA 114_3</t>
  </si>
  <si>
    <t>Enterprise Support Incentive - Micro Invest 2014</t>
  </si>
  <si>
    <t xml:space="preserve">         SUMMARY STATEMENT - Enterprise Support Incentive - Micro Invest 2014</t>
  </si>
  <si>
    <t>TRA 88_1</t>
  </si>
  <si>
    <t>TRA 88_2</t>
  </si>
  <si>
    <t>TRA 88_4</t>
  </si>
  <si>
    <t>Investment Aid 2014 - 2020</t>
  </si>
  <si>
    <t>Credits granted under Incentive Entitlement Certificates which are project based are included in rows 220 to 227.</t>
  </si>
  <si>
    <t xml:space="preserve">The first part of the TRA deals with Incentive Entitlement Certificates which are determination based [Row 182 to 218].  </t>
  </si>
  <si>
    <t>Credits granted under Incentive Entitlement Certificates which are project based are included in rows 136 to 143.</t>
  </si>
  <si>
    <t xml:space="preserve">The first part of the TRA deals with Incentive Entitlement Certificates which are determination based [Row 98 to 134].  </t>
  </si>
  <si>
    <t xml:space="preserve">         SUMMARY STATEMENT - Investment Aid - 2014 - 2020</t>
  </si>
  <si>
    <t>TRA86_2</t>
  </si>
  <si>
    <t>TRA86_3</t>
  </si>
  <si>
    <t>TRA86_4</t>
  </si>
  <si>
    <t>Number of applicable employer numbers</t>
  </si>
  <si>
    <t>TRA86_1</t>
  </si>
  <si>
    <t>TRA 88_3</t>
  </si>
  <si>
    <t>Chargeable Income for the year before NID that stands to be allocated to the FIA or the MTA (as per Rules) Excluding any FRFTC</t>
  </si>
  <si>
    <t>Deduction Limitation</t>
  </si>
  <si>
    <t>pg2 Q30</t>
  </si>
  <si>
    <r>
      <t xml:space="preserve">BUT after deducting the </t>
    </r>
    <r>
      <rPr>
        <b/>
        <u/>
        <sz val="10"/>
        <color theme="1"/>
        <rFont val="Calibri"/>
        <family val="2"/>
        <scheme val="minor"/>
      </rPr>
      <t>grossed up amount</t>
    </r>
    <r>
      <rPr>
        <b/>
        <sz val="10"/>
        <color theme="1"/>
        <rFont val="Calibri"/>
        <family val="2"/>
        <scheme val="minor"/>
      </rPr>
      <t xml:space="preserve"> of any transfers to the IPA (2nd allocation).  NID is to be calculated before Interest</t>
    </r>
  </si>
  <si>
    <t>Amount of EBC</t>
  </si>
  <si>
    <t>Does the company have exceeding borrowing costs not exceeding €3,000,000 (or equivalent) and is opting not to fill in the rest of this  attachment?</t>
  </si>
  <si>
    <t>Number of Foreign Holdings satisfying the 'Controlling Threshold' above and / or Foreign PEs</t>
  </si>
  <si>
    <t>Please list the Foreign Holdings / PEs identified above:</t>
  </si>
  <si>
    <t>Does the Reg7(3) exclusion apply?</t>
  </si>
  <si>
    <t>Applicability of Reg 7(2)</t>
  </si>
  <si>
    <t>Does the entity/PE have any non-distributed income?</t>
  </si>
  <si>
    <t xml:space="preserve">Does the taxpayer have foreign holdings satisfying the 'Controlling Threshold' under Reg. 7(1)(a) of the Regulations and/or foreign PEs?  </t>
  </si>
  <si>
    <t>Significant People Functions in Malta [SPF]</t>
  </si>
  <si>
    <t>Check column J</t>
  </si>
  <si>
    <t xml:space="preserve">Is it a deemed transfer subject to exit taxation                  </t>
  </si>
  <si>
    <t>(Reg 5 - S.L.123.187)?</t>
  </si>
  <si>
    <t>Pg 2 q32</t>
  </si>
  <si>
    <t>Pg2 Q32</t>
  </si>
  <si>
    <t>Pg2 New question</t>
  </si>
  <si>
    <t>Reg. 5(1)(a)</t>
  </si>
  <si>
    <t>EU</t>
  </si>
  <si>
    <t>ITA - SL 123.187</t>
  </si>
  <si>
    <t>Reg. 5(1)(b)</t>
  </si>
  <si>
    <t>Non-EU party to EEA</t>
  </si>
  <si>
    <t>European Union Anti-Tax Avoidance Directives Implementation Regulations, 2018 Regulation 5 - Exit Taxation</t>
  </si>
  <si>
    <t>Reg. 5(1)(c)</t>
  </si>
  <si>
    <t>Non-EEA</t>
  </si>
  <si>
    <t>Reg. 5(1)(d)</t>
  </si>
  <si>
    <t>Under which regulation are the exit tax rules being applied?</t>
  </si>
  <si>
    <t>Options</t>
  </si>
  <si>
    <t xml:space="preserve">Tax jurisdiction to which jurisdiction is the transfer being made? </t>
  </si>
  <si>
    <t xml:space="preserve">Please specify country  </t>
  </si>
  <si>
    <t>Deferrment</t>
  </si>
  <si>
    <t xml:space="preserve">Is the payment of exit tax being deferred under Reg. 5(2)? </t>
  </si>
  <si>
    <t>Approval / permit</t>
  </si>
  <si>
    <t xml:space="preserve">Permit no  </t>
  </si>
  <si>
    <r>
      <t xml:space="preserve">Gain on transfer of shares that have been admitted for trading on an alternative trading platform </t>
    </r>
    <r>
      <rPr>
        <sz val="8"/>
        <rFont val="Arial"/>
        <family val="2"/>
      </rPr>
      <t>(Rule 4A of the CG Rules)</t>
    </r>
  </si>
  <si>
    <t>Market Value</t>
  </si>
  <si>
    <t>TRA 116</t>
  </si>
  <si>
    <t>Deemed transfers in terms of Regulation 5 of SL123.187</t>
  </si>
  <si>
    <t>TRA116</t>
  </si>
  <si>
    <t xml:space="preserve">Pg 2 - hybrid </t>
  </si>
  <si>
    <t>Pg 2 - fisal unit</t>
  </si>
  <si>
    <t>Paragraph (a)</t>
  </si>
  <si>
    <t>Paragraph (b)</t>
  </si>
  <si>
    <t>Error</t>
  </si>
  <si>
    <t>input</t>
  </si>
  <si>
    <t>Paragraph (c)</t>
  </si>
  <si>
    <t>Paragraph (d)</t>
  </si>
  <si>
    <t xml:space="preserve"> Number of hybrid mismatches  </t>
  </si>
  <si>
    <t>Paragraph (e)</t>
  </si>
  <si>
    <t>Type of hybrid mismatch (Regulation 3)</t>
  </si>
  <si>
    <t>IT reference                                     (in case of fiscal unit)</t>
  </si>
  <si>
    <t>Name of Payer</t>
  </si>
  <si>
    <t xml:space="preserve">Mismatch Amount </t>
  </si>
  <si>
    <t>Was the deduction denied in the payer jurisdiction?</t>
  </si>
  <si>
    <t>Amount to be included as part of chargeable income</t>
  </si>
  <si>
    <t>Description of transaction</t>
  </si>
  <si>
    <t>FU</t>
  </si>
  <si>
    <t>Paragraph (f)</t>
  </si>
  <si>
    <t>Deduction non-inclusion (Malta is the payer jurisdiction)</t>
  </si>
  <si>
    <t xml:space="preserve">Number of hybrid mismatches </t>
  </si>
  <si>
    <t>IT reference                                        (in case of fiscal unit)</t>
  </si>
  <si>
    <t>Name of Payee</t>
  </si>
  <si>
    <t>Mismatch Amount (Amount to be denied as deduction)</t>
  </si>
  <si>
    <t>Double Deduction (Malta is the payer jurisdiction)</t>
  </si>
  <si>
    <t>IT reference                       (in case of fiscal unit)</t>
  </si>
  <si>
    <t>Name of investor</t>
  </si>
  <si>
    <t>Was the deduction denied in the investor jurisdiction?</t>
  </si>
  <si>
    <t>Amount to be denied as a deduction</t>
  </si>
  <si>
    <t>Mismatch Amount (amount to be denied as a deduction)</t>
  </si>
  <si>
    <t>TRA 117</t>
  </si>
  <si>
    <t>Total mismatch</t>
  </si>
  <si>
    <t>20b</t>
  </si>
  <si>
    <t>Hybrid mismatches [SL123.187 - Regulation 9]</t>
  </si>
  <si>
    <t xml:space="preserve">Sub-total &gt; add up values reported under fields 2a to 20b </t>
  </si>
  <si>
    <t>Pg 2 - RCBA</t>
  </si>
  <si>
    <t>SL 123.127 - Cooperation with Other Jurisdictions on Tax Matters Regulations</t>
  </si>
  <si>
    <t>Regulation 13(7) - Automatic exchange of information on reportable cross-border arrangements</t>
  </si>
  <si>
    <t xml:space="preserve"> Number of reportable cross-border arrangements</t>
  </si>
  <si>
    <t>Arrangement Reference Number</t>
  </si>
  <si>
    <t>TRA 118</t>
  </si>
  <si>
    <t>has made use of a reportable cross-border arrangement in terms of SL 123.127</t>
  </si>
  <si>
    <t>&lt; Brokerage fees paid!</t>
  </si>
  <si>
    <t xml:space="preserve">ITA - Article 5A </t>
  </si>
  <si>
    <t>Threshold</t>
  </si>
  <si>
    <t>Date of assignment</t>
  </si>
  <si>
    <t>Consideration for the assignment of right</t>
  </si>
  <si>
    <t xml:space="preserve">Acquisition value of the right (in case of a re-assignment of right) </t>
  </si>
  <si>
    <t>Expenses allocated agianst the final tax portion</t>
  </si>
  <si>
    <t>Expenses allocated agaisnt the excess portion</t>
  </si>
  <si>
    <t>Portion subject to Final Tax after allowable deductions</t>
  </si>
  <si>
    <t>Final Withholding tax payable</t>
  </si>
  <si>
    <t>Brokers details</t>
  </si>
  <si>
    <t xml:space="preserve">Net Income from Assignments of rights subject to F.W.T. allocated to the Final Tax Account </t>
  </si>
  <si>
    <t>TRA 119</t>
  </si>
  <si>
    <t>ITA - S.L. 123.197</t>
  </si>
  <si>
    <t xml:space="preserve">From </t>
  </si>
  <si>
    <t>Allocation to tax account</t>
  </si>
  <si>
    <t>TRA 120</t>
  </si>
  <si>
    <t>Fiscal unit?</t>
  </si>
  <si>
    <t>SL 463.25 - Business Advisory Services Regulations</t>
  </si>
  <si>
    <t>Number of Incentive Entitlement certificates</t>
  </si>
  <si>
    <r>
      <t xml:space="preserve">IT reference                  </t>
    </r>
    <r>
      <rPr>
        <sz val="8"/>
        <color rgb="FF000000"/>
        <rFont val="Arial"/>
        <family val="2"/>
      </rPr>
      <t>(in case of fiscal unit)</t>
    </r>
  </si>
  <si>
    <t>Incentive Entitlement Certificate No.</t>
  </si>
  <si>
    <t>Brief descrption of advisory services</t>
  </si>
  <si>
    <t xml:space="preserve">Additional advisory costs </t>
  </si>
  <si>
    <t>TRA 121</t>
  </si>
  <si>
    <t>SL 123.187 - European Union Anti-Tax Avoidance Directives Implementation Regulations, 2018  - Reg 9</t>
  </si>
  <si>
    <t>SL 123.187 - European Union Anti-Tax Avoidance Directives Implementation Regulations, 2018 -  Reg 5</t>
  </si>
  <si>
    <t>SL 123.187 - European Union Anti-Tax Avoidance Directives Implementation Regulations, 2018 - Reg 4</t>
  </si>
  <si>
    <t>SL 123.187 - European Union Anti-Tax Avoidance Directives Implementation Regulations, 2018 - Reg 7</t>
  </si>
  <si>
    <t>SL 123.127 - Cooperation with Other Jurisdictions on Tax Matters Regulations - Reg 13(7)</t>
  </si>
  <si>
    <t>ME Act - SL 463.25 - Business Advisory Services Regulations</t>
  </si>
  <si>
    <t>SL 123.197</t>
  </si>
  <si>
    <t>ITA - Art 5A - Assignments of rights acquired under a Promis of Sale Agreement Rules, 2020</t>
  </si>
  <si>
    <t>ITA - Article 5A - Assignment of Rights acquired under a Promise of Sale Agreement Rules. 2020</t>
  </si>
  <si>
    <t xml:space="preserve">Check year </t>
  </si>
  <si>
    <r>
      <rPr>
        <b/>
        <i/>
        <sz val="9"/>
        <color indexed="8"/>
        <rFont val="Arial"/>
        <family val="2"/>
      </rPr>
      <t xml:space="preserve">Less </t>
    </r>
    <r>
      <rPr>
        <b/>
        <sz val="9"/>
        <color indexed="8"/>
        <rFont val="Arial"/>
        <family val="2"/>
      </rPr>
      <t>Tax rebate</t>
    </r>
  </si>
  <si>
    <t xml:space="preserve"> P 3 {field 32a} </t>
  </si>
  <si>
    <t>Year of assessment in which the cost was incurred or first used</t>
  </si>
  <si>
    <r>
      <t xml:space="preserve">Brief description of asset                   </t>
    </r>
    <r>
      <rPr>
        <sz val="8"/>
        <rFont val="Calibri"/>
        <family val="2"/>
        <scheme val="minor"/>
      </rPr>
      <t>(only include assets which will be amortised during the year)</t>
    </r>
  </si>
  <si>
    <t>Current year (year of assessment)</t>
  </si>
  <si>
    <t>Gross fees for qualifying services up to 31 December 2019</t>
  </si>
  <si>
    <t>Applicable up to 31 December 2019 - Use TRA120 for services after the referred date</t>
  </si>
  <si>
    <t xml:space="preserve">Income derived from qualifying services </t>
  </si>
  <si>
    <t>SL 123.162</t>
  </si>
  <si>
    <t>Donations (Community Chest Fund) Rules</t>
  </si>
  <si>
    <t>SL 123.162  - Donations (Community Chest Fund) Rules</t>
  </si>
  <si>
    <t>SL 123.175</t>
  </si>
  <si>
    <t>Voluntary Occupational Pension Scheme Rules</t>
  </si>
  <si>
    <t>SL 123.175 - Voluntary Occupational Pension Scheme Rules</t>
  </si>
  <si>
    <t>is a fiscal unit in terms of SL 123.189</t>
  </si>
  <si>
    <t>if answer to 30 is "yes", kindly confirm whether this is the first year of assessment of the fiscal unit</t>
  </si>
  <si>
    <t>is subject to exit tax in terms of S.L.123.187</t>
  </si>
  <si>
    <t>is a standalone entity in terms of Regulation 4(3)(b) or a financial undertaking in terms of S.L. 123.187</t>
  </si>
  <si>
    <t>Regulation 4 - Interest Limitation Rule</t>
  </si>
  <si>
    <t xml:space="preserve">Is the taxpayer a member of a consolidated group for financial accounting purposes [regulation 4(5)]? </t>
  </si>
  <si>
    <t>Is the company an entity in a group, the members of which have all opted to be treated as a taxpayer in terms of regulation 4(1)(b) of the Regulations?</t>
  </si>
  <si>
    <t xml:space="preserve">Is the taxpayer opting to apply regulation 4(5)? </t>
  </si>
  <si>
    <r>
      <rPr>
        <b/>
        <i/>
        <u/>
        <sz val="10"/>
        <color rgb="FF000000"/>
        <rFont val="Calibri"/>
        <family val="2"/>
        <scheme val="minor"/>
      </rPr>
      <t>Gearing ratio</t>
    </r>
    <r>
      <rPr>
        <b/>
        <i/>
        <sz val="10"/>
        <color rgb="FF000000"/>
        <rFont val="Calibri"/>
        <family val="2"/>
        <scheme val="minor"/>
      </rPr>
      <t xml:space="preserve"> (applicable only in the case the company is a member of a consolidated group for financial accounting purposes and opts to fully deduct the Exceeding Borrowing Costs [EBC] (regulation 4(5))</t>
    </r>
  </si>
  <si>
    <t>EBC as pre regulation 4(3)(a)</t>
  </si>
  <si>
    <t>Section 5c: List of group companies availing of the exceeding borrowing costs for the current year  (regulation 4(3)(a))</t>
  </si>
  <si>
    <t>Section 5b: Details of group companies availing of unused Interest Capacity Surrendered/Claimed in the current year (regulation 4(1)(b))</t>
  </si>
  <si>
    <t xml:space="preserve">Allocated EBC within the group in terms of regulation 4(3)(a) </t>
  </si>
  <si>
    <t>Double Deduction  (Malta is the investor jurisdiction)</t>
  </si>
  <si>
    <t xml:space="preserve">Deduction non-inclusion (Malta is the payee jurisdiction) </t>
  </si>
  <si>
    <t>Check column H</t>
  </si>
  <si>
    <t>Check column I</t>
  </si>
  <si>
    <t xml:space="preserve">No SPF in Malta </t>
  </si>
  <si>
    <t>SPF in Malta giving rise to a NGA (see comment)</t>
  </si>
  <si>
    <t>Does the company have loans referred to in Regulation 4(4)?</t>
  </si>
  <si>
    <t>I M P O R T A N T to note that this spreadsheet is designed to work on MS Excel 2013 and later versions.  Earlier versions of MS Office are no longer supported.</t>
  </si>
  <si>
    <t>SL123.199 (Eur400K-5%)</t>
  </si>
  <si>
    <t xml:space="preserve">Imported Mismatches </t>
  </si>
  <si>
    <t xml:space="preserve">Number of imported mismatches </t>
  </si>
  <si>
    <t>Imported Mismatch Payment (Amount to be denied as deduction)</t>
  </si>
  <si>
    <t>Paragraph (g)</t>
  </si>
  <si>
    <t>Number of Tax Residency Mismatches</t>
  </si>
  <si>
    <t>Mismatch Amount</t>
  </si>
  <si>
    <t>Is the taxpayer resident in Malta according to the Double Tax Treaty?</t>
  </si>
  <si>
    <t>Tax Identification Number  (Foreign jurisdiction)</t>
  </si>
  <si>
    <t>Tax Identification Number                                 (Payer jurisdiaction)</t>
  </si>
  <si>
    <t>Tax Identification Number                         (Payee jurisdiction)</t>
  </si>
  <si>
    <t>Tax Identification Number (Investor jurisdiction)</t>
  </si>
  <si>
    <t>Tax Identification Number                (Payer jurisdiction)</t>
  </si>
  <si>
    <t>Test re column F</t>
  </si>
  <si>
    <t xml:space="preserve">Regulation 9 and 11 - Hybrid Mismatches </t>
  </si>
  <si>
    <t>has any transaction/s that give rise to an in scope hybrid mismatch in terms of S.L. 123.187</t>
  </si>
  <si>
    <t>Tax Residency Mismatches</t>
  </si>
  <si>
    <t>Is the jurisdiction an EU Member State?</t>
  </si>
  <si>
    <t>Tax Identification Number               (Payer jurisdiction)</t>
  </si>
  <si>
    <t>ISO27001:2013</t>
  </si>
  <si>
    <t>BS EN 1634-1:2014</t>
  </si>
  <si>
    <t>ISO 29990</t>
  </si>
  <si>
    <t>UL Quality Mark</t>
  </si>
  <si>
    <t>UL 508: Standard for Industrial Control Equipment</t>
  </si>
  <si>
    <t xml:space="preserve">HLO Initial Training </t>
  </si>
  <si>
    <t xml:space="preserve">ISO 13485:2016 </t>
  </si>
  <si>
    <t>Part 1445 Certification</t>
  </si>
  <si>
    <t>Good Laboratory Practice (GLP)</t>
  </si>
  <si>
    <t>Losses</t>
  </si>
  <si>
    <t>Check net allocation</t>
  </si>
  <si>
    <t>Loss / Gain after set-off</t>
  </si>
  <si>
    <t>Losses after set-off</t>
  </si>
  <si>
    <t>Gains after set-off</t>
  </si>
  <si>
    <t>Check over-allocation</t>
  </si>
  <si>
    <t>Loss or 0 / Gain indicator after set-off</t>
  </si>
  <si>
    <t>Loss or 0 / Gain indicator</t>
  </si>
  <si>
    <t>Allocation - maximum</t>
  </si>
  <si>
    <t>Allocation - minimum</t>
  </si>
  <si>
    <t>Israeli New Shekel</t>
  </si>
  <si>
    <t>Israeli Shekel</t>
  </si>
  <si>
    <t>INL</t>
  </si>
  <si>
    <t>QAR</t>
  </si>
  <si>
    <t>Qatari Riyal</t>
  </si>
  <si>
    <t>Lebanese pound</t>
  </si>
  <si>
    <t>LBP</t>
  </si>
  <si>
    <t>Lebanese Pound</t>
  </si>
  <si>
    <t>Thai Baht</t>
  </si>
  <si>
    <t>Capital Expenditure on Intellectual Property or Intellectual Property Rights</t>
  </si>
  <si>
    <t>Cost of Intellectual property or Intellectual property right</t>
  </si>
  <si>
    <t>Trust indicator</t>
  </si>
  <si>
    <t>Fiscal unit</t>
  </si>
  <si>
    <r>
      <t xml:space="preserve">MOVEMENT OF RESERVES                                                                        </t>
    </r>
    <r>
      <rPr>
        <sz val="8"/>
        <color indexed="16"/>
        <rFont val="Arial"/>
        <family val="2"/>
      </rPr>
      <t>[Reconciliation with Financial Statements - Total Reserves must reconcile with TIFD code 3950 in Balance Sheet]</t>
    </r>
  </si>
  <si>
    <t xml:space="preserve">Do all surrendering companies and the principal taxpayer (taking into account Rule 6(1)(h) of SL 123.189) satisfy the conditions set out in articles 16 to 22 of the Income Tax Act? </t>
  </si>
  <si>
    <t xml:space="preserve">Do all claimant companies and the principal taxpayer (taking into account Rule 6(1)(h) of SL 123.189) satisfy the conditions set out in articles 16 to 22 of the Income Tax Act? </t>
  </si>
  <si>
    <r>
      <t xml:space="preserve">2  -  </t>
    </r>
    <r>
      <rPr>
        <b/>
        <sz val="10"/>
        <color theme="1"/>
        <rFont val="Calibri"/>
        <family val="2"/>
      </rPr>
      <t>€750 (or equivalent) per employee</t>
    </r>
  </si>
  <si>
    <t>SL123.203 (Eur750K-0%)</t>
  </si>
  <si>
    <t>Applicable TIFD Code</t>
  </si>
  <si>
    <t>Check TIFD</t>
  </si>
  <si>
    <t>Validation column J</t>
  </si>
  <si>
    <t>Income derived prior to 16/04/2021</t>
  </si>
  <si>
    <t xml:space="preserve">Jurisdiction listed for less than 3 months </t>
  </si>
  <si>
    <t>Maintained SPF in the listed jurisdiction</t>
  </si>
  <si>
    <t>Validation column K</t>
  </si>
  <si>
    <t>Pg 2 Q20</t>
  </si>
  <si>
    <t xml:space="preserve">Income derived from a PH </t>
  </si>
  <si>
    <t>Exemption under article 12(1)(u) of the ITA has been claimed</t>
  </si>
  <si>
    <t>Validation column L</t>
  </si>
  <si>
    <t>Re TRA 116</t>
  </si>
  <si>
    <t>SL 463.38 - Business Development 2021</t>
  </si>
  <si>
    <t>Eligible Activity</t>
  </si>
  <si>
    <t>Eligible Total
Costs</t>
  </si>
  <si>
    <t>Management of waste and environmental solutions</t>
  </si>
  <si>
    <t>Research and development activities</t>
  </si>
  <si>
    <t>Provision of industrial services and solutions to manufacturing operations</t>
  </si>
  <si>
    <t>Digitisation of Processes</t>
  </si>
  <si>
    <t>Development of digital service and systems intended for international markets</t>
  </si>
  <si>
    <t>Maintenance, repair and overhaul of aircraft &amp; other electro-mechanically equipment</t>
  </si>
  <si>
    <t>Artisanal Works</t>
  </si>
  <si>
    <t>Services that by their nature are not limited to geographic scope and are scalable internationally</t>
  </si>
  <si>
    <t>Other activities as specified in 3.1.4, 3.1.5 of the guidelines</t>
  </si>
  <si>
    <t>TRA 122</t>
  </si>
  <si>
    <t>ME Act - SL 463.38 - Business Development 2021</t>
  </si>
  <si>
    <t xml:space="preserve">SL 463.09 - Micro Invest 2014 </t>
  </si>
  <si>
    <t>ME Act - SL463.09 - Micro Invest 2014</t>
  </si>
  <si>
    <t>Maintenance, Repair and Overhaul</t>
  </si>
  <si>
    <t>Water supply, sewerage, waste management and remediation</t>
  </si>
  <si>
    <t>Industrial Services</t>
  </si>
  <si>
    <t>Removal Services</t>
  </si>
  <si>
    <t>H49.42</t>
  </si>
  <si>
    <t>Computer Programming</t>
  </si>
  <si>
    <t>Investment Aid 2021</t>
  </si>
  <si>
    <t>Data Processing and Hosting Facilities</t>
  </si>
  <si>
    <t>Postal and courier activities</t>
  </si>
  <si>
    <t>Call Centre</t>
  </si>
  <si>
    <t>Accommodation and food service activities</t>
  </si>
  <si>
    <t>Research, Development and Design</t>
  </si>
  <si>
    <t>Information and Communication</t>
  </si>
  <si>
    <t>Treatment of Waste</t>
  </si>
  <si>
    <t>Financial and Insurance Activities</t>
  </si>
  <si>
    <t>Environmental Solutions</t>
  </si>
  <si>
    <t>Professional, Scientific and Technical Activities</t>
  </si>
  <si>
    <t>Life Sciences</t>
  </si>
  <si>
    <t>Administrative and support service activities</t>
  </si>
  <si>
    <t>Pharmaceutical Activities</t>
  </si>
  <si>
    <t>Audio-visual productions</t>
  </si>
  <si>
    <t>Human Health and Social Work Activities</t>
  </si>
  <si>
    <t>Audio recording</t>
  </si>
  <si>
    <t>Creative, Arts and Entertainment Activities</t>
  </si>
  <si>
    <t>R90</t>
  </si>
  <si>
    <t>Digital video games</t>
  </si>
  <si>
    <t>Libraries, Archives, Museums, and Other Cultural Activities</t>
  </si>
  <si>
    <t>R91</t>
  </si>
  <si>
    <t>Education and Tuition</t>
  </si>
  <si>
    <t>Sports Activities and Amusement and Recreation Activities</t>
  </si>
  <si>
    <t>R93</t>
  </si>
  <si>
    <t>Incentive Entitlement Certificate</t>
  </si>
  <si>
    <t>Human inpatient and/or day care services</t>
  </si>
  <si>
    <t>Other Services</t>
  </si>
  <si>
    <t>Freeport Operations</t>
  </si>
  <si>
    <t>Hotels and Guest Houses</t>
  </si>
  <si>
    <t>Knowledge Intensive Services</t>
  </si>
  <si>
    <t>Cultural events, trade shows, concerts, festivals exhibitions or sporting activities and film projection</t>
  </si>
  <si>
    <t xml:space="preserve">Others </t>
  </si>
  <si>
    <t>Size</t>
  </si>
  <si>
    <t>TRA123_1</t>
  </si>
  <si>
    <t>TRA123_2</t>
  </si>
  <si>
    <t>TRA123_3</t>
  </si>
  <si>
    <t xml:space="preserve">         SUMMARY STATEMENT - Investment Aid - 2021</t>
  </si>
  <si>
    <t>TRA123_4</t>
  </si>
  <si>
    <t>TRA 123</t>
  </si>
  <si>
    <t>ME Act - SL 463.40 - Investment Aid Regulations 2021</t>
  </si>
  <si>
    <t>SL 463.40 - Investment Aid Regulations 2021</t>
  </si>
  <si>
    <t>Choose one of the criteria that is satisfied and that renders inapplicable the last proviso to Article 12(1)(u)(1)</t>
  </si>
  <si>
    <t xml:space="preserve">Jurisdiction of Incorporation </t>
  </si>
  <si>
    <t>Gross Income arising outside Malta (excluding capital gains)</t>
  </si>
  <si>
    <t>Gross amount not received in Malta</t>
  </si>
  <si>
    <t xml:space="preserve"> Capital gains arising outside Malta</t>
  </si>
  <si>
    <t>IS ATTACHMENT COMPLETE?</t>
  </si>
  <si>
    <t>TIFD Code - Income</t>
  </si>
  <si>
    <t>TIFD Code - Capital gains</t>
  </si>
  <si>
    <t>TRA 124</t>
  </si>
  <si>
    <t>page 2 question 8</t>
  </si>
  <si>
    <t xml:space="preserve">Input </t>
  </si>
  <si>
    <t>Surrendering</t>
  </si>
  <si>
    <t>Do all surrendering companies, claimant companies and the principal taxpayer (taking into account Rule 6(1)(h) of</t>
  </si>
  <si>
    <t>Claimant</t>
  </si>
  <si>
    <t>Is the company a claimant company or a surrendering company?</t>
  </si>
  <si>
    <t xml:space="preserve">Surrendering of allowable deductions </t>
  </si>
  <si>
    <t>capital allowances b/fwd in page 4</t>
  </si>
  <si>
    <t xml:space="preserve">Total capital allowances b/fwd:  </t>
  </si>
  <si>
    <t>Box 42a</t>
  </si>
  <si>
    <t>Box 42b</t>
  </si>
  <si>
    <t>Box 42c</t>
  </si>
  <si>
    <t xml:space="preserve">     Y/A 2020 and previous years</t>
  </si>
  <si>
    <t>Capital allowance for the year</t>
  </si>
  <si>
    <t>Balancing allowances for the year</t>
  </si>
  <si>
    <t>Total capital allowances for the year</t>
  </si>
  <si>
    <t xml:space="preserve">Box 43a </t>
  </si>
  <si>
    <t>Box 46a</t>
  </si>
  <si>
    <t>Capital allowances for the year:</t>
  </si>
  <si>
    <t>Box 43b</t>
  </si>
  <si>
    <t>Box 46b</t>
  </si>
  <si>
    <t>Total available capital allowances</t>
  </si>
  <si>
    <t>Box 43c</t>
  </si>
  <si>
    <t>Box 46c</t>
  </si>
  <si>
    <t>Box 47a</t>
  </si>
  <si>
    <t>Box 47b</t>
  </si>
  <si>
    <t>Box 47c</t>
  </si>
  <si>
    <t>Allowable deductions surrendered to group companies</t>
  </si>
  <si>
    <t xml:space="preserve">IT number of claimant company               </t>
  </si>
  <si>
    <t>Total allowable deductions surrendered</t>
  </si>
  <si>
    <t>Claiming of allowable deductions</t>
  </si>
  <si>
    <t>Allowable deductions claimed from group companies</t>
  </si>
  <si>
    <t xml:space="preserve">IT number of surrendering company               </t>
  </si>
  <si>
    <t>Surrendering company name</t>
  </si>
  <si>
    <t>Total allowable deductions for the year that may be claimed</t>
  </si>
  <si>
    <t>TRA125</t>
  </si>
  <si>
    <t>TRA 125</t>
  </si>
  <si>
    <t>68g</t>
  </si>
  <si>
    <t>68h</t>
  </si>
  <si>
    <t>68i</t>
  </si>
  <si>
    <t>68j</t>
  </si>
  <si>
    <t>68k</t>
  </si>
  <si>
    <t>Net Income /(Loss) after Group Relief</t>
  </si>
  <si>
    <t>Net Income /(Loss) after Notional Interest Deduction</t>
  </si>
  <si>
    <t>Check Projects - box 68d</t>
  </si>
  <si>
    <t>Excessive</t>
  </si>
  <si>
    <t>NID</t>
  </si>
  <si>
    <t>Total Income /(Loss) after NID</t>
  </si>
  <si>
    <t>Jurisdiction of source</t>
  </si>
  <si>
    <t>Pg2 Q35</t>
  </si>
  <si>
    <t>Did the company derive any income arising outside Malta?</t>
  </si>
  <si>
    <t xml:space="preserve">Did the company derive any capital gains arising outside Malta? </t>
  </si>
  <si>
    <t>ITA - Income or capital gains arising outside Malta falling under sub-para (i) or (ii) of the proviso to article 4(1)</t>
  </si>
  <si>
    <t>Income or capital gains arising outside Malta falling under sub-paragraphs (i) or (ii) of the proviso to article 4(1) of the Income Tax Act</t>
  </si>
  <si>
    <t>is a company to which any of sub-paragraphs (i) or (ii) of the proviso to article 4(1) of the Income Tax Act applies</t>
  </si>
  <si>
    <t>Reference rate</t>
  </si>
  <si>
    <t xml:space="preserve">Unutilised tax credit </t>
  </si>
  <si>
    <t>Afghanistan</t>
  </si>
  <si>
    <t>Albania</t>
  </si>
  <si>
    <t>Argentina</t>
  </si>
  <si>
    <t>Australia</t>
  </si>
  <si>
    <t>Azerbaijan</t>
  </si>
  <si>
    <t>Bahamas</t>
  </si>
  <si>
    <t>Bahrain</t>
  </si>
  <si>
    <t>Belarus</t>
  </si>
  <si>
    <t>Bermuda</t>
  </si>
  <si>
    <t>Bosnia &amp; Herzegovina</t>
  </si>
  <si>
    <t>Brazil</t>
  </si>
  <si>
    <t>British Virgin Islands</t>
  </si>
  <si>
    <t>Canada</t>
  </si>
  <si>
    <t>Cayman Islands</t>
  </si>
  <si>
    <t>Chile</t>
  </si>
  <si>
    <t>China</t>
  </si>
  <si>
    <t>Colombia</t>
  </si>
  <si>
    <t>Costa Rica</t>
  </si>
  <si>
    <t>Cote d'Ivoire</t>
  </si>
  <si>
    <t>Cuba</t>
  </si>
  <si>
    <t>Ecuador</t>
  </si>
  <si>
    <t>Egypt</t>
  </si>
  <si>
    <t>Georgia</t>
  </si>
  <si>
    <t>Gibraltar</t>
  </si>
  <si>
    <t>Greenland</t>
  </si>
  <si>
    <t>Hong Kong</t>
  </si>
  <si>
    <t>Iceland</t>
  </si>
  <si>
    <t>India</t>
  </si>
  <si>
    <t>Indonesia</t>
  </si>
  <si>
    <t>Iran</t>
  </si>
  <si>
    <t>Iraq</t>
  </si>
  <si>
    <t>Isle of Man</t>
  </si>
  <si>
    <t>Israel</t>
  </si>
  <si>
    <t>Jamaica</t>
  </si>
  <si>
    <t>Japan</t>
  </si>
  <si>
    <t>Jersey</t>
  </si>
  <si>
    <t xml:space="preserve">Jordan </t>
  </si>
  <si>
    <t>Kazakhstan</t>
  </si>
  <si>
    <t>Kenya</t>
  </si>
  <si>
    <t>Korea, North</t>
  </si>
  <si>
    <t>Korea, South</t>
  </si>
  <si>
    <t>Lebanon</t>
  </si>
  <si>
    <t>Libya</t>
  </si>
  <si>
    <t>Liechtenstein</t>
  </si>
  <si>
    <t>Macedonia</t>
  </si>
  <si>
    <t>Madagascar</t>
  </si>
  <si>
    <t>Malawi</t>
  </si>
  <si>
    <t>Malaysia</t>
  </si>
  <si>
    <t>Maldives</t>
  </si>
  <si>
    <t>Mali</t>
  </si>
  <si>
    <t>Mexico</t>
  </si>
  <si>
    <t>Moldova</t>
  </si>
  <si>
    <t>Monaco</t>
  </si>
  <si>
    <t>Mongolia</t>
  </si>
  <si>
    <t>Morocco</t>
  </si>
  <si>
    <t>New Zealand</t>
  </si>
  <si>
    <t>Norway</t>
  </si>
  <si>
    <t>Panama</t>
  </si>
  <si>
    <t>Paraguay</t>
  </si>
  <si>
    <t>Puerto Rico</t>
  </si>
  <si>
    <t>Russia</t>
  </si>
  <si>
    <t>Saint Kitts &amp; Nevis</t>
  </si>
  <si>
    <t>San Marino</t>
  </si>
  <si>
    <t>Serbia</t>
  </si>
  <si>
    <t>Singapore</t>
  </si>
  <si>
    <t xml:space="preserve">Slovenia </t>
  </si>
  <si>
    <t>South Africa</t>
  </si>
  <si>
    <t>Switzerland</t>
  </si>
  <si>
    <t>Syria</t>
  </si>
  <si>
    <t>Thailand</t>
  </si>
  <si>
    <t>Trinidad &amp; Tobago</t>
  </si>
  <si>
    <t>Tunisia</t>
  </si>
  <si>
    <t>Turkey</t>
  </si>
  <si>
    <t>Ukraine</t>
  </si>
  <si>
    <t>United Arab Emirates</t>
  </si>
  <si>
    <t>United States</t>
  </si>
  <si>
    <t>Uruguay</t>
  </si>
  <si>
    <t>Venezuela</t>
  </si>
  <si>
    <t>Vietnam</t>
  </si>
  <si>
    <t xml:space="preserve">Have all conditions been satisfied, the TA24 form submitted and the 15% Tax paid?      </t>
  </si>
  <si>
    <t>Kindly send an email to ictuforms.mfin@gov.mt if the current available rows are not sufficient and you require further rows to be made available.</t>
  </si>
  <si>
    <t>ITA - Group Deductions (Income Tax) Rules, 2022</t>
  </si>
  <si>
    <t xml:space="preserve">S.L.123.189) satisfy the conditions set out in the Group Deductions (Income Tax) Rules? </t>
  </si>
  <si>
    <t xml:space="preserve">Claimant company name </t>
  </si>
  <si>
    <t xml:space="preserve">Notes: </t>
  </si>
  <si>
    <t xml:space="preserve">Allowable deductions surrendered to group companies.                                                                                                                                                  </t>
  </si>
  <si>
    <t xml:space="preserve">Allowable deductions claimed from group companies                                                                                                                                                                   </t>
  </si>
  <si>
    <t>Tax Credits which expired in YA2021 may only be utilised if approval for an extension has been granted by Malta Enterprise in terms of the Micro Invest extension of certificate validity scheme.</t>
  </si>
  <si>
    <t>Capital Gains on Transfer of Securities in companies not listed on a stock exchange recognised by the Commissioner</t>
  </si>
  <si>
    <t>Accumulated depreciation of deferred exploration and development charges</t>
  </si>
  <si>
    <t>Specify number of days of the accounting period</t>
  </si>
  <si>
    <t xml:space="preserve">fiscal unit </t>
  </si>
  <si>
    <t xml:space="preserve">Yes </t>
  </si>
  <si>
    <t>SL 463.45 - Smart and Sustainable Investment Grant Regulations</t>
  </si>
  <si>
    <t>Min YA</t>
  </si>
  <si>
    <t>Max YA</t>
  </si>
  <si>
    <t>Number of certificates</t>
  </si>
  <si>
    <t xml:space="preserve">Unutilised Tax Credit brought forward / Available tax credit </t>
  </si>
  <si>
    <t>Unutilised tax credit c/fwd</t>
  </si>
  <si>
    <t>1 year grace</t>
  </si>
  <si>
    <t xml:space="preserve">Income the tax on which is deemed relieved by the tax credit [Current Year]          </t>
  </si>
  <si>
    <t>TRA 126</t>
  </si>
  <si>
    <t>ME Act - SL 463.45 - Smart and Sustainable Investment Grant Regulations</t>
  </si>
  <si>
    <t xml:space="preserve">SL 463.46 - Invest Regulations </t>
  </si>
  <si>
    <t>Income the tax on which is deemed relieved by the tax credit [Current Year]</t>
  </si>
  <si>
    <t>TRA 127</t>
  </si>
  <si>
    <t xml:space="preserve">ME Act - SL 463.46 - Invest Regulations </t>
  </si>
  <si>
    <t>SL 463.35 - Research and Development Regulations</t>
  </si>
  <si>
    <t>ME Act - SL 463.35 - Research and Development Regulations</t>
  </si>
  <si>
    <t>TRA 128</t>
  </si>
  <si>
    <t>ITA - SL 123.206</t>
  </si>
  <si>
    <t>Tax Credit (Malta International Airport plc) (COVID-19 Damage Compensation) Rules</t>
  </si>
  <si>
    <t>Inputs</t>
  </si>
  <si>
    <t>Eligible  costs  for  damage  compensation</t>
  </si>
  <si>
    <t>Amounts recovered [Rule 3(a)(i)]</t>
  </si>
  <si>
    <t>Damages [Rule 3(a)(ii)]</t>
  </si>
  <si>
    <t>Grants, compensations, reliefs or other forms of aid [Rule 3(a)(iii)]</t>
  </si>
  <si>
    <t>Net eligible costs for damage compensation</t>
  </si>
  <si>
    <t>Eligible Tax Credit (capped at €12,000,000)</t>
  </si>
  <si>
    <t>TAXED INCOME RELIEVED BY TAX CREDITS UNDER THIS SCHEME IS ALLOCATED TO THE FINAL TAX ACCOUNT</t>
  </si>
  <si>
    <t>ITA - SL 123.206 - Tax Credit (Malta International Airport plc) (COVID-19 Damage Compensation) Rules</t>
  </si>
  <si>
    <t>TRA 129</t>
  </si>
  <si>
    <t xml:space="preserve">     Y/A 2021 and Y/A 2022</t>
  </si>
  <si>
    <t>Capital allowances absorbed for the year from the capital allowances for Y/A 2021 and Y/A 2022</t>
  </si>
  <si>
    <t>Allowable deductions available to surrender in Y/A 2023</t>
  </si>
  <si>
    <t>ITA - SL 123.206 - Tax Credit (MIA plc) (COVID-19 Damage Compensation) Rules</t>
  </si>
  <si>
    <r>
      <t xml:space="preserve">[It is advisable to complete the rest of the </t>
    </r>
    <r>
      <rPr>
        <b/>
        <u/>
        <sz val="10"/>
        <color theme="5" tint="-0.499984740745262"/>
        <rFont val="Calibri"/>
        <family val="2"/>
        <scheme val="minor"/>
      </rPr>
      <t>RETURN</t>
    </r>
    <r>
      <rPr>
        <b/>
        <sz val="10"/>
        <color theme="5" tint="-0.499984740745262"/>
        <rFont val="Calibri"/>
        <family val="2"/>
        <scheme val="minor"/>
      </rPr>
      <t xml:space="preserve"> and the five questions, below, and proceed with </t>
    </r>
    <r>
      <rPr>
        <b/>
        <u/>
        <sz val="10"/>
        <color theme="5" tint="-0.499984740745262"/>
        <rFont val="Calibri"/>
        <family val="2"/>
        <scheme val="minor"/>
      </rPr>
      <t>TRA 100A</t>
    </r>
    <r>
      <rPr>
        <b/>
        <sz val="10"/>
        <color theme="5" tint="-0.499984740745262"/>
        <rFont val="Calibri"/>
        <family val="2"/>
        <scheme val="minor"/>
      </rPr>
      <t xml:space="preserve"> before inputting any further data in this attachment.]</t>
    </r>
  </si>
  <si>
    <t>Section 4: Calculation of Exceeding Borrowing Costs by source for the year under review</t>
  </si>
  <si>
    <t>Seychelles</t>
  </si>
  <si>
    <t>EU Countries</t>
  </si>
  <si>
    <t xml:space="preserve">EU </t>
  </si>
  <si>
    <t>Address of country of residence</t>
  </si>
  <si>
    <t>Address of                                                                  country of residence</t>
  </si>
  <si>
    <t>Not available</t>
  </si>
  <si>
    <r>
      <rPr>
        <b/>
        <sz val="8"/>
        <color theme="4" tint="-0.249977111117893"/>
        <rFont val="Arial"/>
        <family val="2"/>
      </rPr>
      <t>Account Balances with Company</t>
    </r>
    <r>
      <rPr>
        <sz val="8"/>
        <color theme="4" tint="-0.249977111117893"/>
        <rFont val="Arial"/>
        <family val="2"/>
      </rPr>
      <t xml:space="preserve"> -                      Debit balances should be reported as positive amounts and Credit balances should be reported as negative amounts</t>
    </r>
  </si>
  <si>
    <t>ITA - Article 5A(5)(i),                  (where applicable)</t>
  </si>
  <si>
    <r>
      <t>5A(5)(</t>
    </r>
    <r>
      <rPr>
        <i/>
        <sz val="10"/>
        <rFont val="Arial"/>
        <family val="2"/>
      </rPr>
      <t>i</t>
    </r>
    <r>
      <rPr>
        <sz val="10"/>
        <rFont val="Arial"/>
        <family val="2"/>
      </rPr>
      <t xml:space="preserve">)(ii) </t>
    </r>
  </si>
  <si>
    <t>5A(5)(i)(iii)</t>
  </si>
  <si>
    <r>
      <t>5A(5)(</t>
    </r>
    <r>
      <rPr>
        <i/>
        <sz val="10"/>
        <rFont val="Arial"/>
        <family val="2"/>
      </rPr>
      <t>i</t>
    </r>
    <r>
      <rPr>
        <sz val="10"/>
        <rFont val="Arial"/>
        <family val="2"/>
      </rPr>
      <t>)(i)</t>
    </r>
  </si>
  <si>
    <r>
      <t xml:space="preserve">Date and Place of birth                                                                                                                       </t>
    </r>
    <r>
      <rPr>
        <sz val="9"/>
        <color theme="4" tint="-0.249977111117893"/>
        <rFont val="Arial"/>
        <family val="2"/>
      </rPr>
      <t>Not required if the correct Tax Identification Number is indicated</t>
    </r>
  </si>
  <si>
    <t>Allowable deductions that may be surrendered for YA2022 and YA2023 shall not exceed €1,000,000 (in total) per group of companies.                                                                                                                                                                                                                                                    Allowable deductions that may be surrendered to each claimant company during YA2023 shall not exceed the claimant company’s total income for the same year of assessment.                                                                                                                                                                                                                                         Surrendering of allowable deductions shall only be allowed if either the surrendering company or the claimant company has been granted a benefit under the COVID-19 Fiscal Assistance - Postponement of Payment of Certain Taxes Tax Deferral Scheme.</t>
  </si>
  <si>
    <t>Allowable deductions that may be claimed for YA2022 and YA2023 shall not exceed €1,000,000 (in total) per group of companies. 
Allowable deductions that may be claimed in YA2023 shall not exceed the claimant company’s total income for the same year of assessment.                                                                                                 Claiming of allowable deductions shall only be allowed if either the claimant company or the surrendering company has been granted a benefit under the COVID-19 Fiscal Assistance - Postponement of Payment of Certain Taxes Tax Deferral Scheme.</t>
  </si>
  <si>
    <t xml:space="preserve">Inflated unutilised tax credit c/fwd </t>
  </si>
  <si>
    <t>Utilised tax credit b/fwd</t>
  </si>
  <si>
    <t>Inflated unutilised tax credit c/fwd</t>
  </si>
  <si>
    <t>Unutilised tax credit b/fwd</t>
  </si>
  <si>
    <t>A copy of the financial statements audited by a Certified Public Accountant and Auditor MUST be attached to this return.</t>
  </si>
  <si>
    <t>TRA124</t>
  </si>
  <si>
    <t>SL 463.47 - Support for Reducing the Environmental Impact of Construction Activities Regulations</t>
  </si>
  <si>
    <t>ME Act - SL 463.47 - Support for Reducing the Environmental Impact of Construction Activities Regulations</t>
  </si>
  <si>
    <t>TRA 130</t>
  </si>
  <si>
    <t>Tax Exemption (Construction Waste Recycling) (2020-2024) Rules</t>
  </si>
  <si>
    <t>ITA - S.L. 123.197 - Tax Exemption (Construction Waste Recycling) (2020-2024) Rules</t>
  </si>
  <si>
    <t>Assignments of rights acquired under a Promise of Sale Agreement Rules, 2023</t>
  </si>
  <si>
    <t>ITA - Article 5A - Assignments of rights acquired under a Promise of Sale Agreement Rules, 2023</t>
  </si>
  <si>
    <t>Computation Date to</t>
  </si>
  <si>
    <t>Closure</t>
  </si>
  <si>
    <t>Cannot deduct NID from chargeable income!</t>
  </si>
  <si>
    <t>is calculating/claiming the NID and/or reporting Deemed Notional Interest received and/or has excess NID b/fwd (S.L.123.176)</t>
  </si>
  <si>
    <t>1. Is the Undertaking calculating/claiming the Notional Interest Deduction?</t>
  </si>
  <si>
    <t xml:space="preserve">2. Is there any income that stands to be allocated to the Foreign Income Account or the Maltese Taxed Account? </t>
  </si>
  <si>
    <t>3. Have all the shareholders or partners given their approval?</t>
  </si>
  <si>
    <t>4. Is the company deemed to have received any notional interest from another undertaking?</t>
  </si>
  <si>
    <t>5. Is the accounting period longer or shorter than 12 months?</t>
  </si>
  <si>
    <t>6. Does the undertaking have excess NID b/fwd?</t>
  </si>
  <si>
    <t>Brazilian Real</t>
  </si>
  <si>
    <t>FTA / UA</t>
  </si>
  <si>
    <t>Election as per second proviso to Article 14(1)(m)</t>
  </si>
  <si>
    <t>Election</t>
  </si>
  <si>
    <t>Available accelerated amortisation</t>
  </si>
  <si>
    <t>Minimum annual amortisation deductible</t>
  </si>
  <si>
    <t>Utilised accelerated amortisation</t>
  </si>
  <si>
    <t xml:space="preserve">Total amortisation utilised during the year </t>
  </si>
  <si>
    <t>No election computation</t>
  </si>
  <si>
    <t>YES election computation</t>
  </si>
  <si>
    <t>Unutilised amortisation b/fwd</t>
  </si>
  <si>
    <t>No. of years amortisation</t>
  </si>
  <si>
    <t>Error - fully amortised</t>
  </si>
  <si>
    <t>Error - input in b/fwd and utilised accelerated amortisation when no election)</t>
  </si>
  <si>
    <t>Error - no. of years amortisation</t>
  </si>
  <si>
    <t>Minimum Annual amortisation</t>
  </si>
  <si>
    <t>No. of year of utilised</t>
  </si>
  <si>
    <t xml:space="preserve">Maximum available to amortise </t>
  </si>
  <si>
    <t>Maximum Accelerated available</t>
  </si>
  <si>
    <t>Ultilised accelerated amoritisation in current year</t>
  </si>
  <si>
    <t>Check no. of years amortisation - GLOBAL</t>
  </si>
  <si>
    <r>
      <rPr>
        <b/>
        <sz val="9"/>
        <color theme="5" tint="-0.499984740745262"/>
        <rFont val="Calibri"/>
        <family val="2"/>
        <scheme val="minor"/>
      </rPr>
      <t>IMPORTANT</t>
    </r>
    <r>
      <rPr>
        <sz val="9"/>
        <color theme="5" tint="-0.499984740745262"/>
        <rFont val="Calibri"/>
        <family val="2"/>
        <scheme val="minor"/>
      </rPr>
      <t xml:space="preserve"> -  Any such expenditure deductible against Passive Income cannot create a loss and has to be restricted, as necessary.  Moreover, in such cases all available accelerated amortisation has to be utilised in full and cannot be carried forward to future years. In the case of a transfer in terms of article 5(9) of the Income Tax Act, the cost shall be deemed to be the lower of transfer value or market value less the value that was already taken as a deduction by the other company.</t>
    </r>
  </si>
  <si>
    <t>Taxed Income relieved by Tax Credits relocated to the FTA (NID rules)</t>
  </si>
  <si>
    <r>
      <t xml:space="preserve"> was less than or equal to </t>
    </r>
    <r>
      <rPr>
        <b/>
        <sz val="10"/>
        <color theme="1"/>
        <rFont val="Calibri"/>
        <family val="2"/>
      </rPr>
      <t>€3,000 (or equivalent)</t>
    </r>
  </si>
  <si>
    <r>
      <t xml:space="preserve">Aggregate amount of qualifying contributions paid for these employees </t>
    </r>
    <r>
      <rPr>
        <b/>
        <sz val="9"/>
        <color theme="1"/>
        <rFont val="Calibri"/>
        <family val="2"/>
        <scheme val="minor"/>
      </rPr>
      <t xml:space="preserve">(up to </t>
    </r>
    <r>
      <rPr>
        <b/>
        <sz val="9"/>
        <color theme="1"/>
        <rFont val="Calibri"/>
        <family val="2"/>
      </rPr>
      <t>€3,000 each)</t>
    </r>
  </si>
  <si>
    <r>
      <t xml:space="preserve"> was more than </t>
    </r>
    <r>
      <rPr>
        <b/>
        <sz val="10"/>
        <color theme="1"/>
        <rFont val="Calibri"/>
        <family val="2"/>
      </rPr>
      <t>€3,000 (or equivalent)</t>
    </r>
  </si>
  <si>
    <r>
      <t xml:space="preserve">Amount of qualifying contributions paid in respect of these employees </t>
    </r>
    <r>
      <rPr>
        <b/>
        <sz val="8"/>
        <color theme="1"/>
        <rFont val="Calibri"/>
        <family val="2"/>
        <scheme val="minor"/>
      </rPr>
      <t xml:space="preserve">(more than </t>
    </r>
    <r>
      <rPr>
        <b/>
        <sz val="8"/>
        <color theme="1"/>
        <rFont val="Calibri"/>
        <family val="2"/>
      </rPr>
      <t>€3,000 each)</t>
    </r>
  </si>
  <si>
    <t xml:space="preserve">Malta Tax &amp; Customs Administration - Malta   </t>
  </si>
  <si>
    <t>I hereby authorise the Malta Tax &amp; Customs Administration to transfer the aforementioned refund to the following bank account:</t>
  </si>
  <si>
    <t>This return is to be completed and forwarded so as to reach the MTCA by not later than the last day of the ninth month following that to which the accounts for the relative financial period are made or the thirty-first March of the relative year of assessment, whichever is the later.</t>
  </si>
  <si>
    <t>I understand that if the account number provided above is incorrect  or given with the intention to defraud the MTCA, I shall be liable to charges in terms of the provision of the Criminal Code (Chapter 9 of the Laws of Malta);
I hereby agree that if there were to be any changes to the account number provided above, I shall immediately inform the Malta Tax &amp; Customs Administration;
I hereby authorise the Malta Tax &amp; Customs Administration to verify with the above mentioned Bank that the above mentioned company is the beneficial owner of the bank account indicated on this application.</t>
  </si>
  <si>
    <t>If the basis year in respect of which this return is being made is a period other than the 1st January to 31st December, state the period covered, date and number (if available) of the permit issued by the MTCA</t>
  </si>
  <si>
    <t>Loans to thMTCA parties</t>
  </si>
  <si>
    <t>Due from thMTCA parties - current portion</t>
  </si>
  <si>
    <t>Short-term loans to thMTCA parties</t>
  </si>
  <si>
    <t>ThMTCA party loans</t>
  </si>
  <si>
    <t>Loan interest to thMTCA parties</t>
  </si>
  <si>
    <t>MTCA - Malta</t>
  </si>
  <si>
    <t>(for the acceptance in the person's quarry of construction and demolition material from thMTCA parties)</t>
  </si>
  <si>
    <t xml:space="preserve">MTCA Malta </t>
  </si>
  <si>
    <t xml:space="preserve">This spreadsheet is intended to facilitate the filling of the company income tax return.  While every effort has been made to ensure the proper functioning of this spreadsheet, the Administration does not accept any liability for erroneous results or non-compliance with legal provisions. Responsibility for the correctness of the self-assessment determination and tax calculation, in accordance with the applicable legal provisions, rests with the person signing the return. Please use the space provided on page 8 of the return to indicate and explain any 'forced' inputs or adjustments to derive a result that diverges from that derived by any automated calculation in the e-return.  </t>
  </si>
  <si>
    <t xml:space="preserve">The exported file must be submitted through the MTCA Website http://www.cfr.gov.mt  </t>
  </si>
  <si>
    <t xml:space="preserve">The Malta Tax &amp; Customs Administration uses the information provided, to process the tax return in accordance with the Income Tax Acts and subsidiary legislation. We may check information provided by you, or information about you provided by a third party or with other information held by us.   We will not disclose information about the company to anyone outside the Malta Tax &amp; Customs Administration unless permitted by law.  The Malta Tax &amp; Customs Administration treats your personal information in accordance with the Data Protection Act 2001 (Cap 440) to protect your privacy.  Any queries may be addressed to The Data Controller, Malta Tax &amp; Customs Administration, Floriana CMR 03. </t>
  </si>
  <si>
    <t>Unutilised accelerated amortisation c/fwd</t>
  </si>
  <si>
    <t>Unutilised accelerated amortisation b/fwd</t>
  </si>
  <si>
    <t>SL 463.28, SL 463.48 &amp; 463.54 - Skills Development Regulations</t>
  </si>
  <si>
    <t>FU_MEM_51</t>
  </si>
  <si>
    <t>FU_MEM_52</t>
  </si>
  <si>
    <t>FU_MEM_53</t>
  </si>
  <si>
    <t>FU_MEM_54</t>
  </si>
  <si>
    <t>FU_MEM_55</t>
  </si>
  <si>
    <t>FU_MEM_56</t>
  </si>
  <si>
    <t>FU_MEM_57</t>
  </si>
  <si>
    <t>FU_MEM_58</t>
  </si>
  <si>
    <t>FU_MEM_59</t>
  </si>
  <si>
    <t>FU_MEM_60</t>
  </si>
  <si>
    <t>FU_MEM_61</t>
  </si>
  <si>
    <t>FU_MEM_62</t>
  </si>
  <si>
    <t>FU_MEM_63</t>
  </si>
  <si>
    <t>FU_MEM_64</t>
  </si>
  <si>
    <t>FU_MEM_65</t>
  </si>
  <si>
    <t>FU_MEM_66</t>
  </si>
  <si>
    <t>FU_MEM_67</t>
  </si>
  <si>
    <t>FU_MEM_68</t>
  </si>
  <si>
    <t>FU_MEM_69</t>
  </si>
  <si>
    <t>FU_MEM_70</t>
  </si>
  <si>
    <t>FU_MEM_71</t>
  </si>
  <si>
    <t>FU_MEM_72</t>
  </si>
  <si>
    <t>FU_MEM_73</t>
  </si>
  <si>
    <t>FU_MEM_74</t>
  </si>
  <si>
    <t>FU_MEM_75</t>
  </si>
  <si>
    <t>FU_MEM_76</t>
  </si>
  <si>
    <t>FU_MEM_77</t>
  </si>
  <si>
    <t>FU_MEM_78</t>
  </si>
  <si>
    <t>FU_MEM_79</t>
  </si>
  <si>
    <t>Loan interest to third parties</t>
  </si>
  <si>
    <t>Loans to third parties</t>
  </si>
  <si>
    <t>Due from third parties - current portion</t>
  </si>
  <si>
    <t>Short-term loans to third parties</t>
  </si>
  <si>
    <t>Third party loans</t>
  </si>
  <si>
    <t>(for the acceptance in the person's quarry of construction and demolition material from third parties)</t>
  </si>
  <si>
    <t>Note that any REDEMPTION of GROUND RENTS subject to a final withholding tax can be inserted in rows 81 or 82.</t>
  </si>
  <si>
    <t xml:space="preserve">           Malta Tax &amp; Customs Administration</t>
  </si>
  <si>
    <t>date from</t>
  </si>
  <si>
    <t>date to</t>
  </si>
  <si>
    <t>date to - month</t>
  </si>
  <si>
    <t>date to - day</t>
  </si>
  <si>
    <t>date from - day</t>
  </si>
  <si>
    <t>date from - month</t>
  </si>
  <si>
    <t>Balance sheet</t>
  </si>
  <si>
    <t>Check input page 1</t>
  </si>
  <si>
    <t>Input BS date</t>
  </si>
  <si>
    <t>calendar year not december</t>
  </si>
  <si>
    <t>date from - year</t>
  </si>
  <si>
    <t>date to - year</t>
  </si>
  <si>
    <t>Malta Tax &amp; Customs Administration</t>
  </si>
  <si>
    <t>SL 463.33 - Rent Subsidy Regulations</t>
  </si>
  <si>
    <t>Utilisation of credit</t>
  </si>
  <si>
    <t>Tax credit utilised for the current YOA - single entity</t>
  </si>
  <si>
    <t>Members of FU</t>
  </si>
  <si>
    <t>Credits</t>
  </si>
  <si>
    <t>Check €50000 limit</t>
  </si>
  <si>
    <t>Utilised</t>
  </si>
  <si>
    <t>Limitation - utilised per certificate</t>
  </si>
  <si>
    <t>VALIDATION FISCAL UNIT  -  €50,000</t>
  </si>
  <si>
    <t>CHECK - EXCESS CREDIT PER COMPANY BY CERTIFICATE (FU)</t>
  </si>
  <si>
    <t>TRA 131</t>
  </si>
  <si>
    <t>Investment in charging infrastructure</t>
  </si>
  <si>
    <t>Lease of commercial vehicles</t>
  </si>
  <si>
    <t>SL 463.56 - Green Mobility Regulations</t>
  </si>
  <si>
    <t>Nature of eligible costs</t>
  </si>
  <si>
    <t>TRA 132</t>
  </si>
  <si>
    <t>SL 463.57 - Business Development (2024) Regulations</t>
  </si>
  <si>
    <t>Check €300000 limit</t>
  </si>
  <si>
    <t>TRA 133</t>
  </si>
  <si>
    <t>Linked to Index</t>
  </si>
  <si>
    <t>Current year start</t>
  </si>
  <si>
    <t>SL 123.214</t>
  </si>
  <si>
    <t>Current year end</t>
  </si>
  <si>
    <t>Donations to Voluntary Organisations Rules</t>
  </si>
  <si>
    <t>Credit for Cash Donations towards voluntary organisations operating in the field of social, environmental or animal welfare [Rule 3]</t>
  </si>
  <si>
    <t>Please indicate the number of cash donations made</t>
  </si>
  <si>
    <r>
      <t>Certificate reference</t>
    </r>
    <r>
      <rPr>
        <sz val="8"/>
        <rFont val="Arial"/>
        <family val="2"/>
      </rPr>
      <t xml:space="preserve"> (issued by the Commissioner for VOs)</t>
    </r>
  </si>
  <si>
    <t>Name of Voluntary Organisation</t>
  </si>
  <si>
    <t>VO number</t>
  </si>
  <si>
    <t>Donations for each company in Fiscal Unit</t>
  </si>
  <si>
    <t>Check €500 limit</t>
  </si>
  <si>
    <t>Tax credit available for the current year of assessment</t>
  </si>
  <si>
    <t>TRA 134</t>
  </si>
  <si>
    <t>SL 123.214 - Donations to Voluntary Organisations Rules</t>
  </si>
  <si>
    <t>ME Act - SL 463.33 - Rent Subsidy Regulations</t>
  </si>
  <si>
    <t>ME Act - SL 463.56 - Green Mobility Regulations</t>
  </si>
  <si>
    <t>ME Act - SL 463.57 - Business Development (2024) Regulations</t>
  </si>
  <si>
    <t>pg 2 Q38</t>
  </si>
  <si>
    <t>List of business activities:</t>
  </si>
  <si>
    <t>TIFD codes</t>
  </si>
  <si>
    <t>Method used</t>
  </si>
  <si>
    <t>SL 123.207</t>
  </si>
  <si>
    <t>Comparable uncontrolled price (CUP) method</t>
  </si>
  <si>
    <t>Transfer Pricing Rules</t>
  </si>
  <si>
    <t>Ownership or management of intellectual property</t>
  </si>
  <si>
    <t>Resale price method</t>
  </si>
  <si>
    <t>Purchasing or procurement</t>
  </si>
  <si>
    <t>Cost plus method</t>
  </si>
  <si>
    <t>Processing or production</t>
  </si>
  <si>
    <t>Transactional net margin method (TNMM)</t>
  </si>
  <si>
    <t xml:space="preserve">1. Did the company enter into an arrangement as defined in the Transfer Pricing Rules, after 1 January 2024? </t>
  </si>
  <si>
    <t>Sales, marketing or distribution</t>
  </si>
  <si>
    <t>Transactional profit split method</t>
  </si>
  <si>
    <t>Administration, management or support services</t>
  </si>
  <si>
    <t>Providing services for unrelated third parties</t>
  </si>
  <si>
    <t>Intra-group financing</t>
  </si>
  <si>
    <t>Check question 3</t>
  </si>
  <si>
    <t>Regulated financial services</t>
  </si>
  <si>
    <t>Ownership of shares or other securities of a participatory nature</t>
  </si>
  <si>
    <t>Inactivity</t>
  </si>
  <si>
    <t xml:space="preserve">6. Has the Company opted to adopt the simplified approach of low value adding intra-group services in terms of Chapter VII of the OECD Transfer Pricing Guidelines. </t>
  </si>
  <si>
    <t>Name of Associated Enterprise</t>
  </si>
  <si>
    <t>Business Activity of Associated Enterprise</t>
  </si>
  <si>
    <t>Jurisdiction of Associated Enterprise</t>
  </si>
  <si>
    <t>Description of arrangement</t>
  </si>
  <si>
    <t>Arrangement Amount as per accounts</t>
  </si>
  <si>
    <t>Arm's Length Amount</t>
  </si>
  <si>
    <t>Methods Used</t>
  </si>
  <si>
    <t>Additional information</t>
  </si>
  <si>
    <t>Classification of TIFD code - PL or BS</t>
  </si>
  <si>
    <t>Type - Income vs expense</t>
  </si>
  <si>
    <t>Amount as per accounts</t>
  </si>
  <si>
    <t>Adjustment Page 3</t>
  </si>
  <si>
    <t>Adjustment to the Arm's Length amount to be included as an add back in Page 3, as per Rule 3 of SL 123.207</t>
  </si>
  <si>
    <t>Adjustment to the Arm's Length amount to be included as a deduction in Page 3, as per Rule 3 of SL 123.207</t>
  </si>
  <si>
    <t>Increase in income</t>
  </si>
  <si>
    <t>Decrease in income</t>
  </si>
  <si>
    <t>TRA 135</t>
  </si>
  <si>
    <t>SL 123.207 - Transfer Pricing Rules</t>
  </si>
  <si>
    <t>Rule 3 of SL123.207 - Transfer Pricing Rules</t>
  </si>
  <si>
    <t>34b</t>
  </si>
  <si>
    <t>ITA - SL123.214 - Donations to Voluntary Organisations</t>
  </si>
  <si>
    <t xml:space="preserve">2. 	Does the company have an arrangement that was entered into before 1 January 2024 materially altered? </t>
  </si>
  <si>
    <t>3. Is Rule 9 of SL 123.207 applicable to the current Year of Assessment?</t>
  </si>
  <si>
    <t xml:space="preserve">4. Is the Company involved in any Business Restructuring arrangement in which the functions, rights, interests, assets and/or risk were transferred to the associated enterprise in the current Year of Assessment?    </t>
  </si>
  <si>
    <t>5. Is the Company involved in any Business Restructuring arrangement in which the functions, rights, interests, assets and/or risk were transferred from the associated enterprise in the current Year of Assessment?</t>
  </si>
  <si>
    <t xml:space="preserve">Please list the associated enterprises with whom the company entered into an arrangement or materially altered an arrangement identified above (if applicable):                                                                                          </t>
  </si>
  <si>
    <t>P2 Q30</t>
  </si>
  <si>
    <t>Check calculation!</t>
  </si>
  <si>
    <t>SL XXX</t>
  </si>
  <si>
    <t>Is the company the appointed filing entity for the MNE group or domestic group under these regulations?</t>
  </si>
  <si>
    <r>
      <t>Section 1: Calculation of total top-up tax due</t>
    </r>
    <r>
      <rPr>
        <b/>
        <sz val="10"/>
        <color rgb="FF000000"/>
        <rFont val="Arial"/>
        <family val="2"/>
      </rPr>
      <t xml:space="preserve"> </t>
    </r>
    <r>
      <rPr>
        <b/>
        <i/>
        <sz val="8"/>
        <color rgb="FF000000"/>
        <rFont val="Arial"/>
        <family val="2"/>
      </rPr>
      <t>(to be completed only by appointed filing entity)</t>
    </r>
  </si>
  <si>
    <t>Total adjusted covered taxes of the constituent entities (CEs) located in Malta</t>
  </si>
  <si>
    <t>Total net qualifying income of the constituent entities (CEs) located in Malta</t>
  </si>
  <si>
    <t>Effective tax rate (ETR)</t>
  </si>
  <si>
    <t>[Total adjusted covered taxes of the CEs ÷ Total net qualifying income of the CEs]</t>
  </si>
  <si>
    <t>Top-up tax percentage</t>
  </si>
  <si>
    <t>[Minimum tax rate (15%) - ETR]</t>
  </si>
  <si>
    <t>Excess profit</t>
  </si>
  <si>
    <t>[Total net qualifying income of the CEs - SBIE]</t>
  </si>
  <si>
    <r>
      <t xml:space="preserve">Additional top-up tax </t>
    </r>
    <r>
      <rPr>
        <sz val="8"/>
        <color rgb="FF000000"/>
        <rFont val="Arial"/>
        <family val="2"/>
      </rPr>
      <t>(where applicable)</t>
    </r>
  </si>
  <si>
    <t>Total top-up tax due</t>
  </si>
  <si>
    <t>[(Top-up tax percentage x Excess profit) + Additional top-up tax]</t>
  </si>
  <si>
    <r>
      <t>Section 2: List of constituent entities</t>
    </r>
    <r>
      <rPr>
        <b/>
        <sz val="10"/>
        <color rgb="FF000000"/>
        <rFont val="Arial"/>
        <family val="2"/>
      </rPr>
      <t xml:space="preserve"> </t>
    </r>
    <r>
      <rPr>
        <b/>
        <i/>
        <sz val="8"/>
        <color rgb="FF000000"/>
        <rFont val="Arial"/>
        <family val="2"/>
      </rPr>
      <t>(to be completed only by appointed filing entity)</t>
    </r>
  </si>
  <si>
    <t>Please list all constituent entities (CEs) located in Malta and forming part of the MNE group or domestic group</t>
  </si>
  <si>
    <t>IT Number</t>
  </si>
  <si>
    <t>Name of constituent entity</t>
  </si>
  <si>
    <r>
      <t>Section 3: Details of appointed filing entity</t>
    </r>
    <r>
      <rPr>
        <b/>
        <i/>
        <sz val="8"/>
        <color rgb="FF000000"/>
        <rFont val="Arial"/>
        <family val="2"/>
      </rPr>
      <t xml:space="preserve"> (to be completed only by constituent entities which are not the appointed filing entity)</t>
    </r>
  </si>
  <si>
    <t>Complete details of appointed filing entity in the table below:</t>
  </si>
  <si>
    <t>Name of appointed filing entity</t>
  </si>
  <si>
    <r>
      <t>Section 4: Amount of disqualified refundable imputation tax</t>
    </r>
    <r>
      <rPr>
        <b/>
        <sz val="8"/>
        <color rgb="FF000000"/>
        <rFont val="Arial"/>
        <family val="2"/>
      </rPr>
      <t xml:space="preserve"> (</t>
    </r>
    <r>
      <rPr>
        <b/>
        <i/>
        <sz val="8"/>
        <color rgb="FF000000"/>
        <rFont val="Arial"/>
        <family val="2"/>
      </rPr>
      <t>to be completed only if entity does not form part of a fiscal unit</t>
    </r>
    <r>
      <rPr>
        <b/>
        <sz val="8"/>
        <color rgb="FF000000"/>
        <rFont val="Arial"/>
        <family val="2"/>
      </rPr>
      <t>)</t>
    </r>
  </si>
  <si>
    <t>TA2_e-CO_2025_Ver 1.0</t>
  </si>
  <si>
    <t>TRA 136</t>
  </si>
  <si>
    <t>P2 Q37</t>
  </si>
  <si>
    <t>forms part of an MNE group or a domestic group that is electing to be subject to the Top-up Tax Regulations SL XXX?</t>
  </si>
  <si>
    <t>SL XXX.XXX - Top-Up Tax Regulations</t>
  </si>
  <si>
    <t>Top-up Tax Regulations</t>
  </si>
  <si>
    <t>Has the MNE group or domestic group elected to take the substance-based income exclusion under these regulations?</t>
  </si>
  <si>
    <t>Substance-based income exclusion (SBIE)</t>
  </si>
  <si>
    <t>Box 84b</t>
  </si>
  <si>
    <t>Box 84c</t>
  </si>
  <si>
    <t>Is the company, in its capacity as the appointed filing entity of the group, hereby electing, in terms of Regulation XXX of the Top-up Tax Regulations, on its own behalf and on behalf of all the constituent entities located in Malta of such group, to be subject to the provisions of the Top-up Tax Regulations?</t>
  </si>
  <si>
    <t>Indicate the applicability of the de minimis exclusion or TUT Safe Harbour with respect to the constituent entities located in Malta</t>
  </si>
  <si>
    <t>Not applicable</t>
  </si>
  <si>
    <t>Transitional CbCR SH</t>
  </si>
  <si>
    <t>Simplfied Calculation - NMCEs</t>
  </si>
  <si>
    <t>De Minimis exclusion</t>
  </si>
  <si>
    <t>Amount of disqualified refundable imputation tax relating to current year's profits</t>
  </si>
  <si>
    <t>Disqualified refundable imputation tax</t>
  </si>
  <si>
    <t>84d</t>
  </si>
  <si>
    <t>84e</t>
  </si>
  <si>
    <t>Tax due after tax set offs</t>
  </si>
  <si>
    <t>Reallocation to the FTA (Top-up Tax Regulations)</t>
  </si>
  <si>
    <t>101i</t>
  </si>
  <si>
    <t>101j</t>
  </si>
  <si>
    <t>101k</t>
  </si>
  <si>
    <t>101l</t>
  </si>
  <si>
    <t xml:space="preserve">LN XXXXXXX - Top-up Tax Regulations </t>
  </si>
  <si>
    <t>Nigerian Naira</t>
  </si>
  <si>
    <t>NGN</t>
  </si>
  <si>
    <t>the company had cross border arrangements falling within the scope of the Transfer Pricing Rules SL 123.207</t>
  </si>
  <si>
    <t>if answer to 37 is 'Yes' kindly insert the unique acknowledgement/ reference number issued by Transport Malta</t>
  </si>
  <si>
    <t/>
  </si>
  <si>
    <t/>
  </si>
  <si>
    <t/>
  </si>
  <si>
    <t/>
  </si>
  <si>
    <t/>
  </si>
  <si>
    <t/>
  </si>
  <si>
    <t/>
  </si>
  <si>
    <t/>
  </si>
  <si>
    <t/>
  </si>
  <si>
    <t/>
  </si>
  <si>
    <t/>
  </si>
  <si>
    <t/>
  </si>
  <si>
    <t/>
  </si>
  <si>
    <t/>
  </si>
  <si>
    <t/>
  </si>
  <si>
    <t/>
  </si>
  <si>
    <t/>
  </si>
  <si>
    <t/>
  </si>
  <si>
    <t/>
  </si>
  <si>
    <t/>
  </si>
  <si>
    <t/>
  </si>
  <si>
    <t/>
  </si>
  <si>
    <t/>
  </si>
  <si>
    <t>malta</t>
  </si>
  <si>
    <t/>
  </si>
  <si>
    <t/>
  </si>
  <si>
    <t/>
  </si>
  <si>
    <t/>
  </si>
  <si>
    <t/>
  </si>
  <si>
    <t>DIRECTOR</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</si>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</sst>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4" formatCode="_-&quot;€&quot;* #,##0.00_-;\-&quot;€&quot;* #,##0.00_-;_-&quot;€&quot;* &quot;-&quot;??_-;_-@_-"/>
    <numFmt numFmtId="43" formatCode="_-* #,##0.00_-;\-* #,##0.00_-;_-* &quot;-&quot;??_-;_-@_-"/>
    <numFmt numFmtId="164" formatCode="_(* #,##0_);_(* \(#,##0\);_(* &quot;-&quot;_);_(@_)"/>
    <numFmt numFmtId="165" formatCode="#,##0;\(#,##0\)"/>
    <numFmt numFmtId="166" formatCode="#,##0;[Red]\(#,##0\)"/>
    <numFmt numFmtId="167" formatCode="0.0000"/>
    <numFmt numFmtId="168" formatCode="0000"/>
    <numFmt numFmtId="169" formatCode="0.0000000000000%"/>
    <numFmt numFmtId="170" formatCode="00"/>
    <numFmt numFmtId="171" formatCode="dd\ mmmm\ yyyy"/>
    <numFmt numFmtId="172" formatCode="yyyy"/>
    <numFmt numFmtId="173" formatCode="#,##0.00000"/>
    <numFmt numFmtId="174" formatCode="0.0%"/>
    <numFmt numFmtId="175" formatCode="dd/mm/yy;@"/>
    <numFmt numFmtId="176" formatCode="dd/mm/yyyy;@"/>
    <numFmt numFmtId="177" formatCode="_-* #,##0_-;\-* #,##0_-;_-* &quot;-&quot;??_-;_-@_-"/>
    <numFmt numFmtId="178" formatCode="0.0000%"/>
    <numFmt numFmtId="179" formatCode="#,##0.000"/>
    <numFmt numFmtId="180" formatCode="0.000"/>
    <numFmt numFmtId="181" formatCode="#,##0.0000"/>
    <numFmt numFmtId="182" formatCode="0.0"/>
    <numFmt numFmtId="183" formatCode="0.00000"/>
    <numFmt numFmtId="184" formatCode="0;[Red]0"/>
    <numFmt numFmtId="185" formatCode="#,##0_ ;\-#,##0\ "/>
    <numFmt numFmtId="186" formatCode="#,##0;[Red]&quot;(&quot;#,##0&quot;)&quot;"/>
    <numFmt numFmtId="187" formatCode="&quot; &quot;#,##0&quot; &quot;;&quot;-&quot;#,##0&quot; &quot;;&quot; -&quot;00&quot; &quot;;&quot; &quot;@&quot; &quot;"/>
  </numFmts>
  <fonts count="4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scheme val="minor"/>
    </font>
    <font>
      <sz val="9"/>
      <color theme="1"/>
      <name val="Arial"/>
      <family val="2"/>
    </font>
    <font>
      <sz val="9"/>
      <color theme="1"/>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indexed="20"/>
      <name val="Arial"/>
      <family val="2"/>
    </font>
    <font>
      <sz val="14"/>
      <name val="Arial"/>
      <family val="2"/>
    </font>
    <font>
      <sz val="14"/>
      <color indexed="10"/>
      <name val="Arial"/>
      <family val="2"/>
    </font>
    <font>
      <sz val="9"/>
      <name val="Arial"/>
      <family val="2"/>
    </font>
    <font>
      <sz val="14"/>
      <color indexed="62"/>
      <name val="Wingdings"/>
      <charset val="2"/>
    </font>
    <font>
      <sz val="10"/>
      <name val="Arial"/>
      <family val="2"/>
    </font>
    <font>
      <sz val="10"/>
      <color indexed="9"/>
      <name val="Arial"/>
      <family val="2"/>
    </font>
    <font>
      <sz val="36"/>
      <name val="Arial"/>
      <family val="2"/>
    </font>
    <font>
      <sz val="8"/>
      <name val="Arial"/>
      <family val="2"/>
    </font>
    <font>
      <sz val="7.5"/>
      <name val="Arial"/>
      <family val="2"/>
    </font>
    <font>
      <sz val="7"/>
      <name val="Arial"/>
      <family val="2"/>
    </font>
    <font>
      <sz val="10"/>
      <color indexed="10"/>
      <name val="Arial"/>
      <family val="2"/>
    </font>
    <font>
      <sz val="12"/>
      <color indexed="12"/>
      <name val="Arial"/>
      <family val="2"/>
    </font>
    <font>
      <sz val="10"/>
      <color indexed="61"/>
      <name val="Arial"/>
      <family val="2"/>
    </font>
    <font>
      <sz val="12"/>
      <name val="Arial"/>
      <family val="2"/>
    </font>
    <font>
      <sz val="10"/>
      <color indexed="12"/>
      <name val="Arial"/>
      <family val="2"/>
    </font>
    <font>
      <sz val="8"/>
      <color indexed="43"/>
      <name val="Arial"/>
      <family val="2"/>
    </font>
    <font>
      <sz val="8"/>
      <color indexed="20"/>
      <name val="Arial"/>
      <family val="2"/>
    </font>
    <font>
      <sz val="11"/>
      <color indexed="20"/>
      <name val="Arial"/>
      <family val="2"/>
    </font>
    <font>
      <b/>
      <sz val="8"/>
      <color indexed="81"/>
      <name val="Tahoma"/>
      <family val="2"/>
    </font>
    <font>
      <sz val="8"/>
      <color indexed="81"/>
      <name val="Tahoma"/>
      <family val="2"/>
    </font>
    <font>
      <b/>
      <u/>
      <sz val="8"/>
      <color indexed="81"/>
      <name val="Tahoma"/>
      <family val="2"/>
    </font>
    <font>
      <sz val="9"/>
      <color indexed="18"/>
      <name val="Arial"/>
      <family val="2"/>
    </font>
    <font>
      <sz val="10"/>
      <color indexed="48"/>
      <name val="Arial"/>
      <family val="2"/>
    </font>
    <font>
      <sz val="10"/>
      <color indexed="22"/>
      <name val="Arial"/>
      <family val="2"/>
    </font>
    <font>
      <sz val="9"/>
      <color indexed="9"/>
      <name val="Arial"/>
      <family val="2"/>
    </font>
    <font>
      <b/>
      <sz val="10"/>
      <color indexed="60"/>
      <name val="Arial"/>
      <family val="2"/>
    </font>
    <font>
      <sz val="12"/>
      <color indexed="10"/>
      <name val="Arial"/>
      <family val="2"/>
    </font>
    <font>
      <sz val="10"/>
      <color indexed="62"/>
      <name val="Arial"/>
      <family val="2"/>
    </font>
    <font>
      <sz val="8"/>
      <color indexed="62"/>
      <name val="Arial"/>
      <family val="2"/>
    </font>
    <font>
      <sz val="10"/>
      <color indexed="43"/>
      <name val="Arial"/>
      <family val="2"/>
    </font>
    <font>
      <sz val="9"/>
      <color indexed="20"/>
      <name val="Arial"/>
      <family val="2"/>
    </font>
    <font>
      <sz val="11"/>
      <name val="Arial"/>
      <family val="2"/>
    </font>
    <font>
      <sz val="10"/>
      <name val="Webdings"/>
      <family val="1"/>
      <charset val="2"/>
    </font>
    <font>
      <sz val="10"/>
      <color indexed="45"/>
      <name val="Arial"/>
      <family val="2"/>
    </font>
    <font>
      <sz val="8"/>
      <color indexed="23"/>
      <name val="Arial"/>
      <family val="2"/>
    </font>
    <font>
      <sz val="8"/>
      <color indexed="60"/>
      <name val="Arial"/>
      <family val="2"/>
    </font>
    <font>
      <sz val="10"/>
      <color indexed="60"/>
      <name val="Arial"/>
      <family val="2"/>
    </font>
    <font>
      <sz val="10"/>
      <color indexed="53"/>
      <name val="Arial"/>
      <family val="2"/>
    </font>
    <font>
      <sz val="10"/>
      <color indexed="17"/>
      <name val="Arial"/>
      <family val="2"/>
    </font>
    <font>
      <sz val="10"/>
      <color indexed="18"/>
      <name val="Arial"/>
      <family val="2"/>
    </font>
    <font>
      <sz val="10"/>
      <color indexed="16"/>
      <name val="Arial"/>
      <family val="2"/>
    </font>
    <font>
      <sz val="8"/>
      <color indexed="53"/>
      <name val="Arial"/>
      <family val="2"/>
    </font>
    <font>
      <sz val="10"/>
      <color indexed="52"/>
      <name val="Arial"/>
      <family val="2"/>
    </font>
    <font>
      <sz val="9"/>
      <color indexed="22"/>
      <name val="Arial"/>
      <family val="2"/>
    </font>
    <font>
      <sz val="8"/>
      <color indexed="16"/>
      <name val="Arial"/>
      <family val="2"/>
    </font>
    <font>
      <sz val="8"/>
      <color indexed="9"/>
      <name val="Arial"/>
      <family val="2"/>
    </font>
    <font>
      <sz val="8"/>
      <color indexed="10"/>
      <name val="Arial"/>
      <family val="2"/>
    </font>
    <font>
      <sz val="10"/>
      <color indexed="23"/>
      <name val="Arial"/>
      <family val="2"/>
    </font>
    <font>
      <sz val="10"/>
      <color indexed="11"/>
      <name val="Arial"/>
      <family val="2"/>
    </font>
    <font>
      <sz val="10"/>
      <name val="Arial"/>
      <family val="2"/>
    </font>
    <font>
      <sz val="20"/>
      <color indexed="61"/>
      <name val="Arial"/>
      <family val="2"/>
    </font>
    <font>
      <sz val="18"/>
      <color indexed="60"/>
      <name val="Arial"/>
      <family val="2"/>
    </font>
    <font>
      <sz val="20"/>
      <color indexed="60"/>
      <name val="Arial"/>
      <family val="2"/>
    </font>
    <font>
      <sz val="8"/>
      <color indexed="12"/>
      <name val="Arial"/>
      <family val="2"/>
    </font>
    <font>
      <sz val="9"/>
      <color indexed="62"/>
      <name val="Arial"/>
      <family val="2"/>
    </font>
    <font>
      <sz val="22"/>
      <name val="Arial"/>
      <family val="2"/>
    </font>
    <font>
      <sz val="18"/>
      <color indexed="62"/>
      <name val="Arial"/>
      <family val="2"/>
    </font>
    <font>
      <sz val="6"/>
      <name val="Arial"/>
      <family val="2"/>
    </font>
    <font>
      <sz val="8"/>
      <color indexed="18"/>
      <name val="Arial"/>
      <family val="2"/>
    </font>
    <font>
      <sz val="9"/>
      <color indexed="48"/>
      <name val="Arial"/>
      <family val="2"/>
    </font>
    <font>
      <sz val="8"/>
      <color indexed="48"/>
      <name val="Arial"/>
      <family val="2"/>
    </font>
    <font>
      <sz val="8"/>
      <color indexed="54"/>
      <name val="Arial"/>
      <family val="2"/>
    </font>
    <font>
      <sz val="9"/>
      <color indexed="54"/>
      <name val="Arial"/>
      <family val="2"/>
    </font>
    <font>
      <sz val="9"/>
      <color indexed="10"/>
      <name val="Arial"/>
      <family val="2"/>
    </font>
    <font>
      <sz val="9"/>
      <color indexed="23"/>
      <name val="Arial"/>
      <family val="2"/>
    </font>
    <font>
      <sz val="8"/>
      <color indexed="55"/>
      <name val="Arial"/>
      <family val="2"/>
    </font>
    <font>
      <sz val="10"/>
      <color indexed="57"/>
      <name val="Arial"/>
      <family val="2"/>
    </font>
    <font>
      <sz val="12"/>
      <color indexed="62"/>
      <name val="Arial"/>
      <family val="2"/>
    </font>
    <font>
      <sz val="8"/>
      <color indexed="61"/>
      <name val="Arial"/>
      <family val="2"/>
    </font>
    <font>
      <vertAlign val="superscript"/>
      <sz val="8"/>
      <name val="Arial"/>
      <family val="2"/>
    </font>
    <font>
      <sz val="1"/>
      <color indexed="41"/>
      <name val="Arial"/>
      <family val="2"/>
    </font>
    <font>
      <sz val="9"/>
      <color indexed="16"/>
      <name val="Arial"/>
      <family val="2"/>
    </font>
    <font>
      <sz val="9"/>
      <color indexed="12"/>
      <name val="Arial"/>
      <family val="2"/>
    </font>
    <font>
      <sz val="8"/>
      <color indexed="41"/>
      <name val="Arial"/>
      <family val="2"/>
    </font>
    <font>
      <sz val="8"/>
      <color indexed="63"/>
      <name val="Arial"/>
      <family val="2"/>
    </font>
    <font>
      <sz val="8"/>
      <color indexed="56"/>
      <name val="Arial"/>
      <family val="2"/>
    </font>
    <font>
      <sz val="10"/>
      <color indexed="56"/>
      <name val="Arial"/>
      <family val="2"/>
    </font>
    <font>
      <vertAlign val="superscript"/>
      <sz val="9"/>
      <name val="Arial"/>
      <family val="2"/>
    </font>
    <font>
      <sz val="11"/>
      <color indexed="16"/>
      <name val="Arial"/>
      <family val="2"/>
    </font>
    <font>
      <vertAlign val="superscript"/>
      <sz val="10"/>
      <name val="Arial"/>
      <family val="2"/>
    </font>
    <font>
      <sz val="12"/>
      <color indexed="20"/>
      <name val="Arial"/>
      <family val="2"/>
    </font>
    <font>
      <sz val="12"/>
      <color indexed="16"/>
      <name val="Arial"/>
      <family val="2"/>
    </font>
    <font>
      <sz val="7"/>
      <color indexed="10"/>
      <name val="Arial"/>
      <family val="2"/>
    </font>
    <font>
      <vertAlign val="superscript"/>
      <sz val="12"/>
      <name val="Arial"/>
      <family val="2"/>
    </font>
    <font>
      <sz val="11"/>
      <color indexed="10"/>
      <name val="Arial"/>
      <family val="2"/>
    </font>
    <font>
      <sz val="12"/>
      <color indexed="18"/>
      <name val="Arial"/>
      <family val="2"/>
    </font>
    <font>
      <sz val="11"/>
      <color indexed="18"/>
      <name val="Arial"/>
      <family val="2"/>
    </font>
    <font>
      <sz val="11"/>
      <color indexed="62"/>
      <name val="Arial"/>
      <family val="2"/>
    </font>
    <font>
      <sz val="9"/>
      <color indexed="56"/>
      <name val="Arial"/>
      <family val="2"/>
    </font>
    <font>
      <sz val="18"/>
      <name val="Arial"/>
      <family val="2"/>
    </font>
    <font>
      <sz val="9"/>
      <color indexed="60"/>
      <name val="Arial"/>
      <family val="2"/>
    </font>
    <font>
      <sz val="13"/>
      <name val="Arial"/>
      <family val="2"/>
    </font>
    <font>
      <sz val="10"/>
      <color indexed="21"/>
      <name val="Arial"/>
      <family val="2"/>
    </font>
    <font>
      <sz val="14"/>
      <color indexed="23"/>
      <name val="Arial"/>
      <family val="2"/>
    </font>
    <font>
      <sz val="5"/>
      <name val="Arial"/>
      <family val="2"/>
    </font>
    <font>
      <sz val="8"/>
      <name val="Arial"/>
      <family val="2"/>
    </font>
    <font>
      <sz val="6"/>
      <color indexed="18"/>
      <name val="Arial"/>
      <family val="2"/>
    </font>
    <font>
      <strike/>
      <sz val="9"/>
      <color indexed="22"/>
      <name val="Arial"/>
      <family val="2"/>
    </font>
    <font>
      <strike/>
      <sz val="10"/>
      <color indexed="22"/>
      <name val="Arial"/>
      <family val="2"/>
    </font>
    <font>
      <sz val="6.5"/>
      <name val="Arial"/>
      <family val="2"/>
    </font>
    <font>
      <vertAlign val="superscript"/>
      <sz val="6.5"/>
      <name val="Arial"/>
      <family val="2"/>
    </font>
    <font>
      <vertAlign val="superscript"/>
      <sz val="10"/>
      <color indexed="61"/>
      <name val="Arial"/>
      <family val="2"/>
    </font>
    <font>
      <vertAlign val="superscript"/>
      <sz val="10"/>
      <color indexed="60"/>
      <name val="Arial"/>
      <family val="2"/>
    </font>
    <font>
      <vertAlign val="superscript"/>
      <sz val="10"/>
      <color indexed="16"/>
      <name val="Arial"/>
      <family val="2"/>
    </font>
    <font>
      <sz val="8"/>
      <name val="Arial"/>
      <family val="2"/>
    </font>
    <font>
      <sz val="8"/>
      <name val="Arial"/>
      <family val="2"/>
    </font>
    <font>
      <sz val="12"/>
      <name val="Times New Roman"/>
      <family val="1"/>
    </font>
    <font>
      <sz val="10"/>
      <color indexed="81"/>
      <name val="Tahoma"/>
      <family val="2"/>
    </font>
    <font>
      <strike/>
      <sz val="9"/>
      <color indexed="23"/>
      <name val="Arial"/>
      <family val="2"/>
    </font>
    <font>
      <strike/>
      <sz val="8"/>
      <color indexed="23"/>
      <name val="Arial"/>
      <family val="2"/>
    </font>
    <font>
      <strike/>
      <sz val="10"/>
      <color indexed="23"/>
      <name val="Arial"/>
      <family val="2"/>
    </font>
    <font>
      <sz val="8"/>
      <name val="Arial"/>
      <family val="2"/>
    </font>
    <font>
      <b/>
      <sz val="10"/>
      <color indexed="81"/>
      <name val="Tahoma"/>
      <family val="2"/>
    </font>
    <font>
      <sz val="14"/>
      <color indexed="58"/>
      <name val="Arial"/>
      <family val="2"/>
    </font>
    <font>
      <sz val="14"/>
      <color indexed="12"/>
      <name val="Arial"/>
      <family val="2"/>
    </font>
    <font>
      <sz val="7"/>
      <color indexed="62"/>
      <name val="Arial"/>
      <family val="2"/>
    </font>
    <font>
      <sz val="9"/>
      <color indexed="63"/>
      <name val="Arial"/>
      <family val="2"/>
    </font>
    <font>
      <sz val="7"/>
      <color indexed="16"/>
      <name val="Arial"/>
      <family val="2"/>
    </font>
    <font>
      <sz val="8"/>
      <color indexed="58"/>
      <name val="Arial"/>
      <family val="2"/>
    </font>
    <font>
      <sz val="7"/>
      <color indexed="18"/>
      <name val="Arial"/>
      <family val="2"/>
    </font>
    <font>
      <sz val="10"/>
      <color indexed="10"/>
      <name val="Arial"/>
      <family val="2"/>
    </font>
    <font>
      <sz val="9"/>
      <color indexed="10"/>
      <name val="Arial"/>
      <family val="2"/>
    </font>
    <font>
      <sz val="10"/>
      <color indexed="10"/>
      <name val="Arial"/>
      <family val="2"/>
    </font>
    <font>
      <sz val="9"/>
      <color indexed="23"/>
      <name val="Arial"/>
      <family val="2"/>
    </font>
    <font>
      <sz val="8"/>
      <color indexed="10"/>
      <name val="Arial"/>
      <family val="2"/>
    </font>
    <font>
      <sz val="8"/>
      <color indexed="23"/>
      <name val="Arial"/>
      <family val="2"/>
    </font>
    <font>
      <sz val="10"/>
      <color indexed="56"/>
      <name val="Arial"/>
      <family val="2"/>
    </font>
    <font>
      <sz val="8"/>
      <color indexed="59"/>
      <name val="Arial"/>
      <family val="2"/>
    </font>
    <font>
      <sz val="8"/>
      <name val="Arial"/>
      <family val="2"/>
    </font>
    <font>
      <b/>
      <sz val="8"/>
      <color indexed="81"/>
      <name val="Arial"/>
      <family val="2"/>
    </font>
    <font>
      <sz val="10"/>
      <color indexed="81"/>
      <name val="Arial"/>
      <family val="2"/>
    </font>
    <font>
      <sz val="11"/>
      <name val="Calibri"/>
      <family val="2"/>
    </font>
    <font>
      <sz val="8"/>
      <color indexed="8"/>
      <name val="Arial"/>
      <family val="2"/>
    </font>
    <font>
      <sz val="12"/>
      <color indexed="8"/>
      <name val="Arial"/>
      <family val="2"/>
    </font>
    <font>
      <u/>
      <sz val="12"/>
      <color indexed="12"/>
      <name val="Arial"/>
      <family val="2"/>
    </font>
    <font>
      <b/>
      <sz val="9"/>
      <name val="Arial"/>
      <family val="2"/>
    </font>
    <font>
      <sz val="8"/>
      <color indexed="57"/>
      <name val="Arial"/>
      <family val="2"/>
    </font>
    <font>
      <sz val="8"/>
      <color indexed="10"/>
      <name val="Arial"/>
      <family val="2"/>
    </font>
    <font>
      <sz val="11"/>
      <color indexed="8"/>
      <name val="Arial"/>
      <family val="2"/>
    </font>
    <font>
      <sz val="18"/>
      <color indexed="8"/>
      <name val="Arial"/>
      <family val="2"/>
    </font>
    <font>
      <sz val="14"/>
      <color indexed="8"/>
      <name val="Arial"/>
      <family val="2"/>
    </font>
    <font>
      <b/>
      <sz val="9"/>
      <color indexed="8"/>
      <name val="Arial"/>
      <family val="2"/>
    </font>
    <font>
      <sz val="9"/>
      <color indexed="8"/>
      <name val="Arial"/>
      <family val="2"/>
    </font>
    <font>
      <b/>
      <sz val="11"/>
      <color indexed="8"/>
      <name val="Arial"/>
      <family val="2"/>
    </font>
    <font>
      <sz val="9"/>
      <color indexed="10"/>
      <name val="Arial"/>
      <family val="2"/>
    </font>
    <font>
      <sz val="11"/>
      <color indexed="10"/>
      <name val="Arial"/>
      <family val="2"/>
    </font>
    <font>
      <sz val="10"/>
      <color indexed="8"/>
      <name val="Arial"/>
      <family val="2"/>
    </font>
    <font>
      <sz val="12"/>
      <color indexed="8"/>
      <name val="Arial"/>
      <family val="2"/>
    </font>
    <font>
      <sz val="11"/>
      <color indexed="60"/>
      <name val="Arial"/>
      <family val="2"/>
    </font>
    <font>
      <sz val="8"/>
      <name val="Arial"/>
      <family val="2"/>
    </font>
    <font>
      <sz val="8"/>
      <color indexed="23"/>
      <name val="Arial"/>
      <family val="2"/>
    </font>
    <font>
      <sz val="10"/>
      <color indexed="10"/>
      <name val="Arial"/>
      <family val="2"/>
    </font>
    <font>
      <sz val="10"/>
      <color indexed="10"/>
      <name val="Arial"/>
      <family val="2"/>
    </font>
    <font>
      <i/>
      <strike/>
      <sz val="10"/>
      <color indexed="62"/>
      <name val="Arial"/>
      <family val="2"/>
    </font>
    <font>
      <i/>
      <strike/>
      <sz val="9"/>
      <color indexed="62"/>
      <name val="Arial"/>
      <family val="2"/>
    </font>
    <font>
      <sz val="8"/>
      <name val="Arial"/>
      <family val="2"/>
    </font>
    <font>
      <b/>
      <sz val="10"/>
      <color indexed="18"/>
      <name val="Arial"/>
      <family val="2"/>
    </font>
    <font>
      <strike/>
      <sz val="10"/>
      <name val="Arial"/>
      <family val="2"/>
    </font>
    <font>
      <sz val="10"/>
      <color indexed="60"/>
      <name val="Arial"/>
      <family val="2"/>
    </font>
    <font>
      <sz val="10"/>
      <color indexed="10"/>
      <name val="Arial"/>
      <family val="2"/>
    </font>
    <font>
      <sz val="9"/>
      <name val="Arial"/>
      <family val="2"/>
    </font>
    <font>
      <sz val="11"/>
      <name val="Arial"/>
      <family val="2"/>
    </font>
    <font>
      <sz val="10"/>
      <color indexed="18"/>
      <name val="Arial"/>
      <family val="2"/>
    </font>
    <font>
      <sz val="9"/>
      <color indexed="18"/>
      <name val="Arial"/>
      <family val="2"/>
    </font>
    <font>
      <b/>
      <sz val="14"/>
      <name val="Arial"/>
      <family val="2"/>
    </font>
    <font>
      <sz val="10"/>
      <name val="Arial"/>
      <family val="2"/>
    </font>
    <font>
      <u/>
      <sz val="10"/>
      <color theme="10"/>
      <name val="Arial"/>
      <family val="2"/>
    </font>
    <font>
      <sz val="9"/>
      <color rgb="FFFF0000"/>
      <name val="Arial"/>
      <family val="2"/>
    </font>
    <font>
      <sz val="10"/>
      <color rgb="FFFF0000"/>
      <name val="Arial"/>
      <family val="2"/>
    </font>
    <font>
      <sz val="10"/>
      <color theme="9" tint="-0.499984740745262"/>
      <name val="Arial"/>
      <family val="2"/>
    </font>
    <font>
      <u/>
      <sz val="9"/>
      <name val="Arial"/>
      <family val="2"/>
    </font>
    <font>
      <b/>
      <sz val="10"/>
      <color rgb="FFFF0000"/>
      <name val="Arial"/>
      <family val="2"/>
    </font>
    <font>
      <sz val="9"/>
      <color theme="1"/>
      <name val="Arial"/>
      <family val="2"/>
    </font>
    <font>
      <sz val="9"/>
      <color rgb="FF000000"/>
      <name val="Arial"/>
      <family val="2"/>
    </font>
    <font>
      <sz val="8"/>
      <color theme="0" tint="-0.14999847407452621"/>
      <name val="Arial"/>
      <family val="2"/>
    </font>
    <font>
      <sz val="8"/>
      <color theme="0" tint="-0.499984740745262"/>
      <name val="Arial"/>
      <family val="2"/>
    </font>
    <font>
      <b/>
      <sz val="9"/>
      <color theme="9"/>
      <name val="Arial"/>
      <family val="2"/>
    </font>
    <font>
      <i/>
      <sz val="9"/>
      <color theme="9" tint="-0.499984740745262"/>
      <name val="Arial"/>
      <family val="2"/>
    </font>
    <font>
      <b/>
      <sz val="10"/>
      <color theme="9" tint="-0.499984740745262"/>
      <name val="Arial"/>
      <family val="2"/>
    </font>
    <font>
      <b/>
      <sz val="10"/>
      <name val="Arial"/>
      <family val="2"/>
    </font>
    <font>
      <b/>
      <i/>
      <sz val="9"/>
      <name val="Arial"/>
      <family val="2"/>
    </font>
    <font>
      <sz val="9"/>
      <color indexed="81"/>
      <name val="Tahoma"/>
      <family val="2"/>
    </font>
    <font>
      <sz val="10"/>
      <color theme="3" tint="-0.249977111117893"/>
      <name val="Arial"/>
      <family val="2"/>
    </font>
    <font>
      <u/>
      <sz val="10"/>
      <name val="Arial"/>
      <family val="2"/>
    </font>
    <font>
      <u/>
      <sz val="10"/>
      <color rgb="FFFF0000"/>
      <name val="Arial"/>
      <family val="2"/>
    </font>
    <font>
      <b/>
      <sz val="9"/>
      <color theme="1" tint="0.499984740745262"/>
      <name val="Arial"/>
      <family val="2"/>
    </font>
    <font>
      <b/>
      <sz val="8"/>
      <color theme="1" tint="0.34998626667073579"/>
      <name val="Arial"/>
      <family val="2"/>
    </font>
    <font>
      <b/>
      <sz val="9"/>
      <color indexed="23"/>
      <name val="Arial"/>
      <family val="2"/>
    </font>
    <font>
      <b/>
      <sz val="11"/>
      <color theme="1"/>
      <name val="Calibri"/>
      <family val="2"/>
      <scheme val="minor"/>
    </font>
    <font>
      <b/>
      <sz val="8"/>
      <color theme="0" tint="-0.499984740745262"/>
      <name val="Arial"/>
      <family val="2"/>
    </font>
    <font>
      <b/>
      <sz val="14"/>
      <color theme="9" tint="-0.499984740745262"/>
      <name val="Arial"/>
      <family val="2"/>
    </font>
    <font>
      <b/>
      <sz val="8"/>
      <name val="Arial"/>
      <family val="2"/>
    </font>
    <font>
      <sz val="8"/>
      <color rgb="FFFF0000"/>
      <name val="Arial"/>
      <family val="2"/>
    </font>
    <font>
      <b/>
      <sz val="9"/>
      <color indexed="81"/>
      <name val="Tahoma"/>
      <family val="2"/>
    </font>
    <font>
      <u/>
      <sz val="8"/>
      <color theme="0" tint="-0.499984740745262"/>
      <name val="Arial"/>
      <family val="2"/>
    </font>
    <font>
      <i/>
      <sz val="8"/>
      <color rgb="FFFF0000"/>
      <name val="Arial"/>
      <family val="2"/>
    </font>
    <font>
      <b/>
      <sz val="9"/>
      <color theme="3"/>
      <name val="Arial"/>
      <family val="2"/>
    </font>
    <font>
      <b/>
      <sz val="12"/>
      <name val="Arial"/>
      <family val="2"/>
    </font>
    <font>
      <b/>
      <sz val="9"/>
      <color rgb="FFFF0000"/>
      <name val="Arial"/>
      <family val="2"/>
    </font>
    <font>
      <b/>
      <sz val="11"/>
      <name val="Calibri"/>
      <family val="2"/>
    </font>
    <font>
      <i/>
      <sz val="9"/>
      <name val="Arial"/>
      <family val="2"/>
    </font>
    <font>
      <b/>
      <sz val="9"/>
      <color theme="0" tint="-0.499984740745262"/>
      <name val="Arial"/>
      <family val="2"/>
    </font>
    <font>
      <b/>
      <sz val="8"/>
      <color indexed="23"/>
      <name val="Arial"/>
      <family val="2"/>
    </font>
    <font>
      <b/>
      <sz val="9"/>
      <color theme="5" tint="-0.499984740745262"/>
      <name val="Arial"/>
      <family val="2"/>
    </font>
    <font>
      <sz val="10"/>
      <color theme="0" tint="-0.14999847407452621"/>
      <name val="Arial"/>
      <family val="2"/>
    </font>
    <font>
      <b/>
      <sz val="10"/>
      <color indexed="16"/>
      <name val="Arial"/>
      <family val="2"/>
    </font>
    <font>
      <b/>
      <vertAlign val="superscript"/>
      <sz val="10"/>
      <color indexed="16"/>
      <name val="Arial"/>
      <family val="2"/>
    </font>
    <font>
      <sz val="10"/>
      <color rgb="FF000000"/>
      <name val="Arial"/>
      <family val="2"/>
    </font>
    <font>
      <i/>
      <sz val="8"/>
      <color indexed="10"/>
      <name val="Arial"/>
      <family val="2"/>
    </font>
    <font>
      <strike/>
      <sz val="9"/>
      <color indexed="62"/>
      <name val="Arial"/>
      <family val="2"/>
    </font>
    <font>
      <strike/>
      <sz val="9"/>
      <color indexed="62"/>
      <name val="Cambria"/>
      <family val="1"/>
    </font>
    <font>
      <i/>
      <sz val="10"/>
      <color indexed="10"/>
      <name val="Arial"/>
      <family val="2"/>
    </font>
    <font>
      <sz val="8"/>
      <color theme="5"/>
      <name val="Arial"/>
      <family val="2"/>
    </font>
    <font>
      <b/>
      <sz val="10"/>
      <color theme="5"/>
      <name val="Arial"/>
      <family val="2"/>
    </font>
    <font>
      <sz val="10"/>
      <color theme="5"/>
      <name val="Arial"/>
      <family val="2"/>
    </font>
    <font>
      <b/>
      <sz val="8"/>
      <color theme="3"/>
      <name val="Arial"/>
      <family val="2"/>
    </font>
    <font>
      <b/>
      <sz val="10"/>
      <color theme="4"/>
      <name val="Arial"/>
      <family val="2"/>
    </font>
    <font>
      <sz val="10"/>
      <name val="Arial"/>
      <family val="2"/>
    </font>
    <font>
      <b/>
      <sz val="8"/>
      <color rgb="FF0070C0"/>
      <name val="Arial"/>
      <family val="2"/>
    </font>
    <font>
      <b/>
      <sz val="8"/>
      <color theme="5" tint="-0.499984740745262"/>
      <name val="Arial"/>
      <family val="2"/>
    </font>
    <font>
      <b/>
      <sz val="12"/>
      <color theme="5" tint="-0.499984740745262"/>
      <name val="Arial"/>
      <family val="2"/>
    </font>
    <font>
      <b/>
      <sz val="10"/>
      <color rgb="FF0070C0"/>
      <name val="Arial"/>
      <family val="2"/>
    </font>
    <font>
      <b/>
      <u/>
      <sz val="8"/>
      <color theme="1" tint="0.249977111117893"/>
      <name val="Arial"/>
      <family val="2"/>
    </font>
    <font>
      <b/>
      <sz val="11"/>
      <color theme="2" tint="-0.89999084444715716"/>
      <name val="Arial"/>
      <family val="2"/>
    </font>
    <font>
      <sz val="10"/>
      <color rgb="FFC00000"/>
      <name val="Arial"/>
      <family val="2"/>
    </font>
    <font>
      <b/>
      <sz val="10"/>
      <color rgb="FFC00000"/>
      <name val="Arial"/>
      <family val="2"/>
    </font>
    <font>
      <b/>
      <sz val="10"/>
      <color theme="3" tint="-0.499984740745262"/>
      <name val="Arial"/>
      <family val="2"/>
    </font>
    <font>
      <i/>
      <sz val="10"/>
      <color theme="1" tint="0.249977111117893"/>
      <name val="Arial"/>
      <family val="2"/>
    </font>
    <font>
      <b/>
      <sz val="10"/>
      <color theme="6" tint="-0.499984740745262"/>
      <name val="Arial"/>
      <family val="2"/>
    </font>
    <font>
      <b/>
      <sz val="16"/>
      <color rgb="FFFF0000"/>
      <name val="Arial"/>
      <family val="2"/>
    </font>
    <font>
      <b/>
      <sz val="12"/>
      <color theme="9" tint="-0.499984740745262"/>
      <name val="Arial"/>
      <family val="2"/>
    </font>
    <font>
      <sz val="9"/>
      <color theme="9" tint="-0.499984740745262"/>
      <name val="Arial"/>
      <family val="2"/>
    </font>
    <font>
      <b/>
      <sz val="11"/>
      <name val="Arial"/>
      <family val="2"/>
    </font>
    <font>
      <sz val="16"/>
      <color rgb="FFFF0000"/>
      <name val="Arial"/>
      <family val="2"/>
    </font>
    <font>
      <b/>
      <sz val="11"/>
      <color theme="6" tint="-0.499984740745262"/>
      <name val="Arial"/>
      <family val="2"/>
    </font>
    <font>
      <sz val="8"/>
      <color theme="1" tint="0.34998626667073579"/>
      <name val="Arial"/>
      <family val="2"/>
    </font>
    <font>
      <b/>
      <sz val="10"/>
      <color theme="5" tint="-0.499984740745262"/>
      <name val="Arial"/>
      <family val="2"/>
    </font>
    <font>
      <b/>
      <sz val="10"/>
      <color indexed="56"/>
      <name val="Arial"/>
      <family val="2"/>
    </font>
    <font>
      <b/>
      <sz val="11"/>
      <color theme="6"/>
      <name val="Calibri"/>
      <family val="2"/>
      <scheme val="minor"/>
    </font>
    <font>
      <b/>
      <sz val="9"/>
      <color theme="9" tint="-0.499984740745262"/>
      <name val="Arial"/>
      <family val="2"/>
    </font>
    <font>
      <sz val="9"/>
      <color theme="0" tint="-0.499984740745262"/>
      <name val="Arial"/>
      <family val="2"/>
    </font>
    <font>
      <b/>
      <sz val="9"/>
      <color indexed="10"/>
      <name val="Arial"/>
      <family val="2"/>
    </font>
    <font>
      <b/>
      <sz val="10"/>
      <color theme="1"/>
      <name val="Arial"/>
      <family val="2"/>
    </font>
    <font>
      <sz val="10"/>
      <color theme="1"/>
      <name val="Arial"/>
      <family val="2"/>
    </font>
    <font>
      <b/>
      <sz val="8"/>
      <color theme="6" tint="-0.499984740745262"/>
      <name val="Arial"/>
      <family val="2"/>
    </font>
    <font>
      <b/>
      <sz val="11"/>
      <color theme="9" tint="-0.499984740745262"/>
      <name val="Arial"/>
      <family val="2"/>
    </font>
    <font>
      <b/>
      <sz val="9"/>
      <color theme="1"/>
      <name val="Arial"/>
      <family val="2"/>
    </font>
    <font>
      <sz val="10.5"/>
      <name val="Arial Narrow"/>
      <family val="2"/>
    </font>
    <font>
      <b/>
      <sz val="10.5"/>
      <name val="Arial Narrow"/>
      <family val="2"/>
    </font>
    <font>
      <b/>
      <sz val="10.5"/>
      <color theme="1"/>
      <name val="Arial Narrow"/>
      <family val="2"/>
    </font>
    <font>
      <sz val="10.5"/>
      <color theme="1"/>
      <name val="Arial Narrow"/>
      <family val="2"/>
    </font>
    <font>
      <b/>
      <u/>
      <sz val="10"/>
      <name val="Arial"/>
      <family val="2"/>
    </font>
    <font>
      <sz val="10"/>
      <color rgb="FF0070C0"/>
      <name val="Arial"/>
      <family val="2"/>
    </font>
    <font>
      <strike/>
      <sz val="10"/>
      <color rgb="FFFF0000"/>
      <name val="Arial"/>
      <family val="2"/>
    </font>
    <font>
      <i/>
      <strike/>
      <sz val="9"/>
      <color rgb="FFFF0000"/>
      <name val="Arial"/>
      <family val="2"/>
    </font>
    <font>
      <i/>
      <strike/>
      <sz val="8"/>
      <color rgb="FFFF0000"/>
      <name val="Arial"/>
      <family val="2"/>
    </font>
    <font>
      <b/>
      <sz val="8"/>
      <color theme="5"/>
      <name val="Arial"/>
      <family val="2"/>
    </font>
    <font>
      <b/>
      <sz val="8"/>
      <color rgb="FFFF0000"/>
      <name val="Arial"/>
      <family val="2"/>
    </font>
    <font>
      <i/>
      <strike/>
      <sz val="10"/>
      <color rgb="FFFF0000"/>
      <name val="Arial"/>
      <family val="2"/>
    </font>
    <font>
      <i/>
      <strike/>
      <sz val="9"/>
      <color indexed="62"/>
      <name val="Cambria"/>
      <family val="1"/>
    </font>
    <font>
      <i/>
      <strike/>
      <sz val="9"/>
      <color indexed="9"/>
      <name val="Cambria"/>
      <family val="1"/>
    </font>
    <font>
      <sz val="11"/>
      <color rgb="FFFF0000"/>
      <name val="Calibri"/>
      <family val="2"/>
      <scheme val="minor"/>
    </font>
    <font>
      <b/>
      <sz val="10"/>
      <name val="Verdana"/>
      <family val="2"/>
    </font>
    <font>
      <sz val="10"/>
      <name val="Verdana"/>
      <family val="2"/>
    </font>
    <font>
      <b/>
      <sz val="14"/>
      <color theme="1"/>
      <name val="Calibri"/>
      <family val="2"/>
      <scheme val="minor"/>
    </font>
    <font>
      <b/>
      <sz val="10.5"/>
      <color theme="5" tint="-0.499984740745262"/>
      <name val="Calibri"/>
      <family val="2"/>
      <scheme val="minor"/>
    </font>
    <font>
      <b/>
      <sz val="9"/>
      <color theme="0" tint="-0.499984740745262"/>
      <name val="Calibri"/>
      <family val="2"/>
      <scheme val="minor"/>
    </font>
    <font>
      <sz val="10"/>
      <color theme="1"/>
      <name val="Calibri"/>
      <family val="2"/>
      <scheme val="minor"/>
    </font>
    <font>
      <sz val="8"/>
      <color theme="1"/>
      <name val="Calibri"/>
      <family val="2"/>
      <scheme val="minor"/>
    </font>
    <font>
      <sz val="8"/>
      <color theme="1"/>
      <name val="Calibri"/>
      <family val="2"/>
    </font>
    <font>
      <b/>
      <sz val="11"/>
      <color theme="8" tint="-0.499984740745262"/>
      <name val="Calibri"/>
      <family val="2"/>
      <scheme val="minor"/>
    </font>
    <font>
      <b/>
      <sz val="9"/>
      <color theme="5" tint="-0.499984740745262"/>
      <name val="Calibri"/>
      <family val="2"/>
      <scheme val="minor"/>
    </font>
    <font>
      <b/>
      <sz val="9"/>
      <color theme="1"/>
      <name val="Calibri"/>
      <family val="2"/>
      <scheme val="minor"/>
    </font>
    <font>
      <b/>
      <sz val="10"/>
      <color theme="5" tint="-0.249977111117893"/>
      <name val="Calibri"/>
      <family val="2"/>
      <scheme val="minor"/>
    </font>
    <font>
      <sz val="10"/>
      <color theme="10"/>
      <name val="Arial"/>
      <family val="2"/>
    </font>
    <font>
      <b/>
      <sz val="10"/>
      <color theme="1"/>
      <name val="Calibri"/>
      <family val="2"/>
      <scheme val="minor"/>
    </font>
    <font>
      <b/>
      <sz val="10"/>
      <color rgb="FFFF0000"/>
      <name val="Calibri"/>
      <family val="2"/>
      <scheme val="minor"/>
    </font>
    <font>
      <b/>
      <sz val="12"/>
      <color theme="1"/>
      <name val="Calibri"/>
      <family val="2"/>
      <scheme val="minor"/>
    </font>
    <font>
      <b/>
      <sz val="10"/>
      <color theme="1"/>
      <name val="Calibri"/>
      <family val="2"/>
    </font>
    <font>
      <b/>
      <sz val="8"/>
      <color theme="0" tint="-0.499984740745262"/>
      <name val="Calibri"/>
      <family val="2"/>
      <scheme val="minor"/>
    </font>
    <font>
      <b/>
      <sz val="9"/>
      <color rgb="FF9E0000"/>
      <name val="Calibri"/>
      <family val="2"/>
      <scheme val="minor"/>
    </font>
    <font>
      <b/>
      <sz val="9"/>
      <color theme="1"/>
      <name val="Calibri"/>
      <family val="2"/>
    </font>
    <font>
      <b/>
      <sz val="8"/>
      <color theme="1"/>
      <name val="Calibri"/>
      <family val="2"/>
      <scheme val="minor"/>
    </font>
    <font>
      <b/>
      <sz val="8"/>
      <color theme="1"/>
      <name val="Calibri"/>
      <family val="2"/>
    </font>
    <font>
      <sz val="10"/>
      <color rgb="FFFF0000"/>
      <name val="Calibri"/>
      <family val="2"/>
      <scheme val="minor"/>
    </font>
    <font>
      <sz val="9"/>
      <color theme="1"/>
      <name val="Calibri"/>
      <family val="2"/>
      <scheme val="minor"/>
    </font>
    <font>
      <b/>
      <sz val="10"/>
      <color theme="4" tint="-0.249977111117893"/>
      <name val="Calibri"/>
      <family val="2"/>
      <scheme val="minor"/>
    </font>
    <font>
      <b/>
      <sz val="10"/>
      <color theme="0" tint="-0.499984740745262"/>
      <name val="Calibri"/>
      <family val="2"/>
      <scheme val="minor"/>
    </font>
    <font>
      <b/>
      <sz val="10"/>
      <color theme="9" tint="-0.249977111117893"/>
      <name val="Calibri"/>
      <family val="2"/>
      <scheme val="minor"/>
    </font>
    <font>
      <sz val="10"/>
      <color theme="5" tint="-0.249977111117893"/>
      <name val="Arial"/>
      <family val="2"/>
    </font>
    <font>
      <sz val="8"/>
      <color theme="3" tint="-0.249977111117893"/>
      <name val="Arial"/>
      <family val="2"/>
    </font>
    <font>
      <b/>
      <sz val="10"/>
      <color theme="5" tint="-0.249977111117893"/>
      <name val="Arial"/>
      <family val="2"/>
    </font>
    <font>
      <i/>
      <sz val="11"/>
      <color theme="1"/>
      <name val="Calibri"/>
      <family val="2"/>
      <scheme val="minor"/>
    </font>
    <font>
      <b/>
      <sz val="12"/>
      <color theme="5" tint="-0.499984740745262"/>
      <name val="Calibri"/>
      <family val="2"/>
      <scheme val="minor"/>
    </font>
    <font>
      <b/>
      <sz val="12"/>
      <color theme="5" tint="-0.499984740745262"/>
      <name val="Calibri"/>
      <family val="2"/>
    </font>
    <font>
      <b/>
      <sz val="11"/>
      <color theme="5" tint="-0.249977111117893"/>
      <name val="Calibri"/>
      <family val="2"/>
      <scheme val="minor"/>
    </font>
    <font>
      <b/>
      <sz val="11"/>
      <color theme="4" tint="-0.499984740745262"/>
      <name val="Calibri"/>
      <family val="2"/>
      <scheme val="minor"/>
    </font>
    <font>
      <b/>
      <sz val="9"/>
      <color rgb="FFFF0000"/>
      <name val="Calibri"/>
      <family val="2"/>
      <scheme val="minor"/>
    </font>
    <font>
      <sz val="10"/>
      <name val="Calibri"/>
      <family val="2"/>
      <scheme val="minor"/>
    </font>
    <font>
      <sz val="11"/>
      <color theme="3" tint="-0.249977111117893"/>
      <name val="Calibri"/>
      <family val="2"/>
      <scheme val="minor"/>
    </font>
    <font>
      <b/>
      <sz val="18"/>
      <name val="Arial"/>
      <family val="2"/>
    </font>
    <font>
      <b/>
      <sz val="11"/>
      <name val="Calibri"/>
      <family val="2"/>
      <scheme val="minor"/>
    </font>
    <font>
      <b/>
      <sz val="10"/>
      <name val="Calibri"/>
      <family val="2"/>
    </font>
    <font>
      <b/>
      <sz val="10"/>
      <name val="Calibri"/>
      <family val="2"/>
      <scheme val="minor"/>
    </font>
    <font>
      <b/>
      <u/>
      <sz val="11"/>
      <name val="Calibri"/>
      <family val="2"/>
      <scheme val="minor"/>
    </font>
    <font>
      <sz val="10"/>
      <color theme="0"/>
      <name val="Arial"/>
      <family val="2"/>
    </font>
    <font>
      <b/>
      <sz val="16"/>
      <color theme="4" tint="-0.249977111117893"/>
      <name val="Calibri"/>
      <family val="2"/>
      <scheme val="minor"/>
    </font>
    <font>
      <sz val="11"/>
      <name val="Calibri"/>
      <family val="2"/>
      <scheme val="minor"/>
    </font>
    <font>
      <sz val="8"/>
      <color theme="0"/>
      <name val="Arial"/>
      <family val="2"/>
    </font>
    <font>
      <sz val="10"/>
      <name val="Calibri"/>
      <family val="2"/>
    </font>
    <font>
      <b/>
      <sz val="8"/>
      <color theme="4" tint="-0.249977111117893"/>
      <name val="Calibri"/>
      <family val="2"/>
      <scheme val="minor"/>
    </font>
    <font>
      <sz val="12"/>
      <color theme="1"/>
      <name val="Calibri"/>
      <family val="2"/>
      <scheme val="minor"/>
    </font>
    <font>
      <b/>
      <sz val="12"/>
      <name val="Calibri"/>
      <family val="2"/>
      <scheme val="minor"/>
    </font>
    <font>
      <b/>
      <u/>
      <sz val="10"/>
      <color theme="1"/>
      <name val="Calibri"/>
      <family val="2"/>
      <scheme val="minor"/>
    </font>
    <font>
      <sz val="9"/>
      <color theme="0"/>
      <name val="Arial"/>
      <family val="2"/>
    </font>
    <font>
      <sz val="11"/>
      <color theme="1"/>
      <name val="Arial"/>
      <family val="2"/>
    </font>
    <font>
      <b/>
      <sz val="10"/>
      <color theme="0"/>
      <name val="Arial"/>
      <family val="2"/>
    </font>
    <font>
      <sz val="9"/>
      <color rgb="FFFF0000"/>
      <name val="Calibri"/>
      <family val="2"/>
      <scheme val="minor"/>
    </font>
    <font>
      <b/>
      <sz val="9"/>
      <color theme="4" tint="-0.249977111117893"/>
      <name val="Calibri"/>
      <family val="2"/>
      <scheme val="minor"/>
    </font>
    <font>
      <b/>
      <sz val="11"/>
      <color theme="0" tint="-0.499984740745262"/>
      <name val="Calibri"/>
      <family val="2"/>
      <scheme val="minor"/>
    </font>
    <font>
      <b/>
      <u/>
      <sz val="9"/>
      <color indexed="81"/>
      <name val="Tahoma"/>
      <family val="2"/>
    </font>
    <font>
      <b/>
      <sz val="12"/>
      <name val="Calibri"/>
      <family val="2"/>
    </font>
    <font>
      <sz val="12"/>
      <color theme="1"/>
      <name val="Calibri"/>
      <family val="2"/>
    </font>
    <font>
      <sz val="10"/>
      <color theme="9" tint="-0.249977111117893"/>
      <name val="Arial"/>
      <family val="2"/>
    </font>
    <font>
      <b/>
      <sz val="12"/>
      <color theme="9" tint="-0.499984740745262"/>
      <name val="Calibri"/>
      <family val="2"/>
      <scheme val="minor"/>
    </font>
    <font>
      <b/>
      <sz val="9"/>
      <color theme="0" tint="-0.34998626667073579"/>
      <name val="Calibri"/>
      <family val="2"/>
      <scheme val="minor"/>
    </font>
    <font>
      <b/>
      <sz val="10"/>
      <color theme="4" tint="-0.499984740745262"/>
      <name val="Calibri"/>
      <family val="2"/>
      <scheme val="minor"/>
    </font>
    <font>
      <b/>
      <u/>
      <sz val="11"/>
      <color theme="1"/>
      <name val="Calibri"/>
      <family val="2"/>
      <scheme val="minor"/>
    </font>
    <font>
      <b/>
      <sz val="9"/>
      <name val="Calibri"/>
      <family val="2"/>
      <scheme val="minor"/>
    </font>
    <font>
      <sz val="10"/>
      <name val="Arial"/>
      <family val="2"/>
    </font>
    <font>
      <b/>
      <sz val="10"/>
      <name val="Times New Roman"/>
      <family val="1"/>
    </font>
    <font>
      <b/>
      <i/>
      <sz val="8"/>
      <color theme="0" tint="-0.499984740745262"/>
      <name val="Calibri"/>
      <family val="2"/>
      <scheme val="minor"/>
    </font>
    <font>
      <sz val="9"/>
      <name val="Calibri"/>
      <family val="2"/>
      <scheme val="minor"/>
    </font>
    <font>
      <b/>
      <sz val="9"/>
      <color theme="3" tint="-0.249977111117893"/>
      <name val="Calibri"/>
      <family val="2"/>
      <scheme val="minor"/>
    </font>
    <font>
      <b/>
      <sz val="10"/>
      <color theme="5" tint="-0.499984740745262"/>
      <name val="Calibri"/>
      <family val="2"/>
      <scheme val="minor"/>
    </font>
    <font>
      <b/>
      <u/>
      <sz val="10"/>
      <color theme="5" tint="-0.499984740745262"/>
      <name val="Calibri"/>
      <family val="2"/>
      <scheme val="minor"/>
    </font>
    <font>
      <sz val="12"/>
      <color rgb="FFFF0000"/>
      <name val="Calibri"/>
      <family val="2"/>
      <scheme val="minor"/>
    </font>
    <font>
      <sz val="8"/>
      <color theme="0" tint="-0.499984740745262"/>
      <name val="Calibri"/>
      <family val="2"/>
      <scheme val="minor"/>
    </font>
    <font>
      <b/>
      <sz val="9"/>
      <color theme="9" tint="-0.499984740745262"/>
      <name val="Calibri"/>
      <family val="2"/>
      <scheme val="minor"/>
    </font>
    <font>
      <b/>
      <sz val="7"/>
      <color theme="9" tint="-0.499984740745262"/>
      <name val="Calibri"/>
      <family val="2"/>
      <scheme val="minor"/>
    </font>
    <font>
      <sz val="8"/>
      <color rgb="FFFF0000"/>
      <name val="Calibri"/>
      <family val="2"/>
      <scheme val="minor"/>
    </font>
    <font>
      <b/>
      <sz val="10"/>
      <color theme="9" tint="-0.499984740745262"/>
      <name val="Calibri"/>
      <family val="2"/>
      <scheme val="minor"/>
    </font>
    <font>
      <b/>
      <sz val="8"/>
      <color rgb="FFFF0000"/>
      <name val="Calibri"/>
      <family val="2"/>
      <scheme val="minor"/>
    </font>
    <font>
      <sz val="9"/>
      <color theme="3" tint="-0.499984740745262"/>
      <name val="Arial"/>
      <family val="2"/>
    </font>
    <font>
      <b/>
      <sz val="14"/>
      <name val="Calibri"/>
      <family val="2"/>
      <scheme val="minor"/>
    </font>
    <font>
      <b/>
      <sz val="11"/>
      <color theme="9" tint="-0.499984740745262"/>
      <name val="Calibri"/>
      <family val="2"/>
      <scheme val="minor"/>
    </font>
    <font>
      <i/>
      <sz val="10"/>
      <name val="Arial"/>
      <family val="2"/>
    </font>
    <font>
      <b/>
      <sz val="9"/>
      <color theme="0" tint="-0.14999847407452621"/>
      <name val="Calibri"/>
      <family val="2"/>
      <scheme val="minor"/>
    </font>
    <font>
      <b/>
      <sz val="10"/>
      <color theme="1" tint="0.34998626667073579"/>
      <name val="Calibri"/>
      <family val="2"/>
      <scheme val="minor"/>
    </font>
    <font>
      <sz val="10"/>
      <color indexed="16"/>
      <name val="Calibri"/>
      <family val="2"/>
      <scheme val="minor"/>
    </font>
    <font>
      <sz val="9"/>
      <color indexed="10"/>
      <name val="Calibri"/>
      <family val="2"/>
      <scheme val="minor"/>
    </font>
    <font>
      <sz val="10"/>
      <color indexed="10"/>
      <name val="Calibri"/>
      <family val="2"/>
      <scheme val="minor"/>
    </font>
    <font>
      <sz val="11"/>
      <color theme="0" tint="-4.9989318521683403E-2"/>
      <name val="Arial"/>
      <family val="2"/>
    </font>
    <font>
      <sz val="9"/>
      <color theme="10"/>
      <name val="Calibri"/>
      <family val="2"/>
      <scheme val="minor"/>
    </font>
    <font>
      <sz val="9"/>
      <color theme="5" tint="-0.499984740745262"/>
      <name val="Calibri"/>
      <family val="2"/>
      <scheme val="minor"/>
    </font>
    <font>
      <sz val="8"/>
      <name val="Calibri"/>
      <family val="2"/>
      <scheme val="minor"/>
    </font>
    <font>
      <sz val="10"/>
      <color theme="0" tint="-0.499984740745262"/>
      <name val="Calibri"/>
      <family val="2"/>
      <scheme val="minor"/>
    </font>
    <font>
      <b/>
      <sz val="11"/>
      <color rgb="FFFF0000"/>
      <name val="Calibri"/>
      <family val="2"/>
      <scheme val="minor"/>
    </font>
    <font>
      <sz val="9"/>
      <color indexed="60"/>
      <name val="Calibri"/>
      <family val="2"/>
      <scheme val="minor"/>
    </font>
    <font>
      <sz val="10"/>
      <color indexed="12"/>
      <name val="Calibri"/>
      <family val="2"/>
      <scheme val="minor"/>
    </font>
    <font>
      <sz val="9"/>
      <color theme="0" tint="-0.499984740745262"/>
      <name val="Calibri"/>
      <family val="2"/>
      <scheme val="minor"/>
    </font>
    <font>
      <sz val="10"/>
      <name val="Arial"/>
      <family val="2"/>
    </font>
    <font>
      <sz val="10"/>
      <color rgb="FF000000"/>
      <name val="Calibri"/>
      <family val="2"/>
    </font>
    <font>
      <sz val="9"/>
      <color rgb="FF000000"/>
      <name val="Calibri"/>
      <family val="2"/>
    </font>
    <font>
      <sz val="8"/>
      <color rgb="FF000000"/>
      <name val="Calibri"/>
      <family val="2"/>
    </font>
    <font>
      <b/>
      <sz val="12"/>
      <color rgb="FF000000"/>
      <name val="Calibri"/>
      <family val="2"/>
    </font>
    <font>
      <b/>
      <sz val="10"/>
      <color rgb="FF000000"/>
      <name val="Calibri"/>
      <family val="2"/>
    </font>
    <font>
      <b/>
      <sz val="9"/>
      <color rgb="FF000000"/>
      <name val="Calibri"/>
      <family val="2"/>
    </font>
    <font>
      <b/>
      <sz val="8"/>
      <color rgb="FF000000"/>
      <name val="Calibri"/>
      <family val="2"/>
    </font>
    <font>
      <sz val="10"/>
      <color rgb="FF000000"/>
      <name val="Calibri"/>
      <family val="2"/>
      <scheme val="minor"/>
    </font>
    <font>
      <b/>
      <i/>
      <sz val="10"/>
      <color theme="1"/>
      <name val="Calibri"/>
      <family val="2"/>
      <scheme val="minor"/>
    </font>
    <font>
      <i/>
      <sz val="10"/>
      <color rgb="FFFF0000"/>
      <name val="Calibri"/>
      <family val="2"/>
      <scheme val="minor"/>
    </font>
    <font>
      <b/>
      <u/>
      <sz val="10"/>
      <color rgb="FF000000"/>
      <name val="Calibri"/>
      <family val="2"/>
      <scheme val="minor"/>
    </font>
    <font>
      <b/>
      <i/>
      <sz val="10"/>
      <color rgb="FF000000"/>
      <name val="Calibri"/>
      <family val="2"/>
      <scheme val="minor"/>
    </font>
    <font>
      <b/>
      <i/>
      <u/>
      <sz val="10"/>
      <color rgb="FF000000"/>
      <name val="Calibri"/>
      <family val="2"/>
      <scheme val="minor"/>
    </font>
    <font>
      <b/>
      <sz val="10"/>
      <color rgb="FF000000"/>
      <name val="Calibri"/>
      <family val="2"/>
      <scheme val="minor"/>
    </font>
    <font>
      <b/>
      <sz val="10"/>
      <color theme="3"/>
      <name val="Calibri"/>
      <family val="2"/>
      <scheme val="minor"/>
    </font>
    <font>
      <i/>
      <sz val="9"/>
      <color rgb="FFFF0000"/>
      <name val="Calibri"/>
      <family val="2"/>
      <scheme val="minor"/>
    </font>
    <font>
      <i/>
      <sz val="11"/>
      <color rgb="FFFF0000"/>
      <name val="Calibri"/>
      <family val="2"/>
    </font>
    <font>
      <i/>
      <sz val="10"/>
      <color rgb="FFFF0000"/>
      <name val="Calibri"/>
      <family val="2"/>
    </font>
    <font>
      <sz val="10"/>
      <color rgb="FFFF0000"/>
      <name val="Calibri"/>
      <family val="2"/>
    </font>
    <font>
      <b/>
      <i/>
      <sz val="10"/>
      <color theme="4" tint="-0.499984740745262"/>
      <name val="Calibri"/>
      <family val="2"/>
    </font>
    <font>
      <i/>
      <sz val="10"/>
      <color theme="1"/>
      <name val="Calibri"/>
      <family val="2"/>
    </font>
    <font>
      <sz val="10"/>
      <color theme="0" tint="-4.9989318521683403E-2"/>
      <name val="Calibri"/>
      <family val="2"/>
    </font>
    <font>
      <b/>
      <sz val="9"/>
      <name val="Calibri"/>
      <family val="2"/>
    </font>
    <font>
      <sz val="8"/>
      <color theme="0" tint="-0.499984740745262"/>
      <name val="Calibri"/>
      <family val="2"/>
    </font>
    <font>
      <sz val="11"/>
      <color rgb="FF000000"/>
      <name val="Arial"/>
      <family val="2"/>
    </font>
    <font>
      <sz val="12"/>
      <color rgb="FF800000"/>
      <name val="Arial"/>
      <family val="2"/>
    </font>
    <font>
      <sz val="10"/>
      <color rgb="FF333F4F"/>
      <name val="Arial"/>
      <family val="2"/>
    </font>
    <font>
      <sz val="10"/>
      <color rgb="FF0000FF"/>
      <name val="Arial"/>
      <family val="2"/>
    </font>
    <font>
      <sz val="9"/>
      <color rgb="FF000000"/>
      <name val="Tahoma"/>
      <family val="2"/>
    </font>
    <font>
      <i/>
      <sz val="9"/>
      <color rgb="FFFF0000"/>
      <name val="Arial"/>
      <family val="2"/>
    </font>
    <font>
      <sz val="10"/>
      <color theme="6" tint="0.79998168889431442"/>
      <name val="Arial"/>
      <family val="2"/>
    </font>
    <font>
      <sz val="8"/>
      <color rgb="FF000000"/>
      <name val="Arial"/>
      <family val="2"/>
    </font>
    <font>
      <sz val="8"/>
      <color rgb="FF333F4F"/>
      <name val="Arial"/>
      <family val="2"/>
    </font>
    <font>
      <sz val="10"/>
      <color rgb="FF333399"/>
      <name val="Arial"/>
      <family val="2"/>
    </font>
    <font>
      <b/>
      <sz val="10"/>
      <color rgb="FF000000"/>
      <name val="Arial"/>
      <family val="2"/>
    </font>
    <font>
      <sz val="9"/>
      <color rgb="FF993300"/>
      <name val="Arial"/>
      <family val="2"/>
    </font>
    <font>
      <sz val="8"/>
      <color rgb="FFFF0000"/>
      <name val="Calibri"/>
      <family val="2"/>
    </font>
    <font>
      <sz val="9"/>
      <color rgb="FFFF0000"/>
      <name val="Calibri"/>
      <family val="2"/>
    </font>
    <font>
      <sz val="9"/>
      <color rgb="FF1F4E78"/>
      <name val="Calibri"/>
      <family val="2"/>
    </font>
    <font>
      <sz val="8"/>
      <color rgb="FFA6A6A6"/>
      <name val="Calibri"/>
      <family val="2"/>
    </font>
    <font>
      <sz val="8"/>
      <color theme="0" tint="-0.34998626667073579"/>
      <name val="Calibri"/>
      <family val="2"/>
    </font>
    <font>
      <b/>
      <sz val="11"/>
      <color rgb="FF000000"/>
      <name val="Calibri"/>
      <family val="2"/>
    </font>
    <font>
      <b/>
      <u/>
      <sz val="11"/>
      <color rgb="FF000000"/>
      <name val="Calibri"/>
      <family val="2"/>
    </font>
    <font>
      <u/>
      <sz val="10"/>
      <color rgb="FF000000"/>
      <name val="Calibri"/>
      <family val="2"/>
    </font>
    <font>
      <sz val="9"/>
      <color rgb="FFA6A6A6"/>
      <name val="Calibri"/>
      <family val="2"/>
    </font>
    <font>
      <sz val="8"/>
      <color rgb="FF808080"/>
      <name val="Calibri"/>
      <family val="2"/>
    </font>
    <font>
      <sz val="9"/>
      <color rgb="FF808080"/>
      <name val="Calibri"/>
      <family val="2"/>
    </font>
    <font>
      <b/>
      <sz val="10"/>
      <color theme="4" tint="-0.249977111117893"/>
      <name val="Calibri"/>
      <family val="2"/>
    </font>
    <font>
      <sz val="9"/>
      <color theme="0" tint="-0.14999847407452621"/>
      <name val="Arial"/>
      <family val="2"/>
    </font>
    <font>
      <sz val="15"/>
      <color theme="3" tint="0.39997558519241921"/>
      <name val="Arial"/>
      <family val="2"/>
    </font>
    <font>
      <b/>
      <i/>
      <sz val="9"/>
      <color indexed="8"/>
      <name val="Arial"/>
      <family val="2"/>
    </font>
    <font>
      <b/>
      <i/>
      <sz val="8"/>
      <color indexed="8"/>
      <name val="Arial"/>
      <family val="2"/>
    </font>
    <font>
      <sz val="12"/>
      <color theme="1"/>
      <name val="Arial"/>
      <family val="2"/>
    </font>
    <font>
      <sz val="12"/>
      <color rgb="FF000000"/>
      <name val="Arial"/>
      <family val="2"/>
    </font>
    <font>
      <i/>
      <sz val="10"/>
      <name val="Calibri"/>
      <family val="2"/>
    </font>
    <font>
      <sz val="8"/>
      <color theme="4" tint="-0.249977111117893"/>
      <name val="Arial"/>
      <family val="2"/>
    </font>
    <font>
      <sz val="11"/>
      <color rgb="FFFF0000"/>
      <name val="Calibri"/>
      <family val="2"/>
    </font>
    <font>
      <sz val="8"/>
      <color theme="1"/>
      <name val="Arial"/>
      <family val="2"/>
    </font>
    <font>
      <b/>
      <sz val="11"/>
      <color rgb="FF000000"/>
      <name val="Arial"/>
      <family val="2"/>
    </font>
    <font>
      <b/>
      <sz val="9"/>
      <color rgb="FF000000"/>
      <name val="Arial"/>
      <family val="2"/>
    </font>
    <font>
      <sz val="10"/>
      <color theme="0" tint="-4.9989318521683403E-2"/>
      <name val="Arial"/>
      <family val="2"/>
    </font>
    <font>
      <sz val="8"/>
      <color rgb="FF808080"/>
      <name val="Arial"/>
      <family val="2"/>
    </font>
    <font>
      <sz val="8"/>
      <color theme="3"/>
      <name val="Calibri"/>
      <family val="2"/>
      <scheme val="minor"/>
    </font>
    <font>
      <b/>
      <sz val="8"/>
      <color indexed="56"/>
      <name val="Arial"/>
      <family val="2"/>
    </font>
    <font>
      <sz val="8"/>
      <color theme="4"/>
      <name val="Arial"/>
      <family val="2"/>
    </font>
    <font>
      <sz val="9"/>
      <color theme="3" tint="-0.249977111117893"/>
      <name val="Arial"/>
      <family val="2"/>
    </font>
    <font>
      <sz val="9.5"/>
      <color indexed="62"/>
      <name val="Arial"/>
      <family val="2"/>
    </font>
    <font>
      <sz val="8"/>
      <color theme="5" tint="-0.249977111117893"/>
      <name val="Arial"/>
      <family val="2"/>
    </font>
    <font>
      <i/>
      <sz val="10"/>
      <color rgb="FFFF0000"/>
      <name val="Arial"/>
      <family val="2"/>
    </font>
    <font>
      <b/>
      <sz val="10"/>
      <color theme="4" tint="-0.499984740745262"/>
      <name val="Arial"/>
      <family val="2"/>
    </font>
    <font>
      <sz val="8"/>
      <color rgb="FFEAEAEA"/>
      <name val="Arial"/>
      <family val="2"/>
    </font>
    <font>
      <sz val="9"/>
      <color rgb="FFEAEAEA"/>
      <name val="Arial"/>
      <family val="2"/>
    </font>
    <font>
      <b/>
      <sz val="8"/>
      <color theme="4" tint="-0.249977111117893"/>
      <name val="Arial"/>
      <family val="2"/>
    </font>
    <font>
      <sz val="9"/>
      <color theme="0" tint="-0.14996795556505021"/>
      <name val="Arial"/>
      <family val="2"/>
    </font>
    <font>
      <sz val="9"/>
      <color theme="4" tint="-0.249977111117893"/>
      <name val="Arial"/>
      <family val="2"/>
    </font>
    <font>
      <sz val="9"/>
      <color indexed="81"/>
      <name val="Arial"/>
      <family val="2"/>
    </font>
    <font>
      <sz val="9"/>
      <color theme="4" tint="-0.249977111117893"/>
      <name val="Calibri"/>
      <family val="2"/>
      <scheme val="minor"/>
    </font>
    <font>
      <sz val="8"/>
      <name val="Arial"/>
      <family val="2"/>
    </font>
    <font>
      <sz val="10"/>
      <color rgb="FFE6E6E6"/>
      <name val="Arial"/>
      <family val="2"/>
    </font>
    <font>
      <sz val="10"/>
      <color rgb="FF993300"/>
      <name val="Arial"/>
      <family val="2"/>
    </font>
    <font>
      <sz val="8"/>
      <color theme="6" tint="-0.24994659260841701"/>
      <name val="Arial"/>
      <family val="2"/>
    </font>
    <font>
      <sz val="9"/>
      <color rgb="FF800000"/>
      <name val="Arial"/>
      <family val="2"/>
    </font>
    <font>
      <sz val="10"/>
      <color rgb="FF6F315A"/>
      <name val="Arial"/>
      <family val="2"/>
    </font>
    <font>
      <sz val="14"/>
      <color rgb="FF000000"/>
      <name val="Arial"/>
      <family val="2"/>
    </font>
    <font>
      <sz val="9"/>
      <color theme="0" tint="-4.9989318521683403E-2"/>
      <name val="Arial"/>
      <family val="2"/>
    </font>
    <font>
      <b/>
      <u/>
      <sz val="10"/>
      <color rgb="FF000000"/>
      <name val="Arial"/>
      <family val="2"/>
    </font>
    <font>
      <b/>
      <i/>
      <sz val="8"/>
      <color rgb="FF000000"/>
      <name val="Arial"/>
      <family val="2"/>
    </font>
    <font>
      <sz val="10"/>
      <color theme="4" tint="-0.499984740745262"/>
      <name val="Arial"/>
      <family val="2"/>
    </font>
    <font>
      <i/>
      <sz val="8"/>
      <name val="Arial"/>
      <family val="2"/>
    </font>
    <font>
      <i/>
      <sz val="10"/>
      <color theme="1"/>
      <name val="Arial"/>
      <family val="2"/>
    </font>
    <font>
      <b/>
      <sz val="8"/>
      <color rgb="FF000000"/>
      <name val="Arial"/>
      <family val="2"/>
    </font>
    <font>
      <sz val="10"/>
      <color rgb="FF92D050"/>
      <name val="Arial"/>
      <family val="2"/>
    </font>
    <font>
      <sz val="9"/>
      <color rgb="FF333399"/>
      <name val="Arial"/>
      <family val="2"/>
    </font>
    <font>
      <sz val="9.5"/>
      <color rgb="FF333399"/>
      <name val="Arial"/>
      <family val="2"/>
    </font>
    <font>
      <sz val="11"/>
      <color rgb="FFFF0000"/>
      <name val="Arial"/>
      <family val="2"/>
    </font>
  </fonts>
  <fills count="62">
    <fill>
      <patternFill patternType="none"/>
    </fill>
    <fill>
      <patternFill patternType="gray125"/>
    </fill>
    <fill>
      <patternFill patternType="solid">
        <fgColor indexed="20"/>
        <bgColor indexed="64"/>
      </patternFill>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9"/>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34"/>
        <bgColor indexed="64"/>
      </patternFill>
    </fill>
    <fill>
      <patternFill patternType="solid">
        <fgColor indexed="20"/>
        <bgColor indexed="8"/>
      </patternFill>
    </fill>
    <fill>
      <patternFill patternType="solid">
        <fgColor indexed="47"/>
        <bgColor indexed="8"/>
      </patternFill>
    </fill>
    <fill>
      <patternFill patternType="solid">
        <fgColor indexed="13"/>
        <bgColor indexed="8"/>
      </patternFill>
    </fill>
    <fill>
      <patternFill patternType="solid">
        <fgColor indexed="41"/>
        <bgColor indexed="8"/>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rgb="FFE6E6E6"/>
        <bgColor indexed="64"/>
      </patternFill>
    </fill>
    <fill>
      <patternFill patternType="solid">
        <fgColor rgb="FFFFFF00"/>
        <bgColor indexed="64"/>
      </patternFill>
    </fill>
    <fill>
      <patternFill patternType="solid">
        <fgColor rgb="FFDDDDDD"/>
        <bgColor indexed="64"/>
      </patternFill>
    </fill>
    <fill>
      <patternFill patternType="solid">
        <fgColor theme="9" tint="0.39997558519241921"/>
        <bgColor indexed="64"/>
      </patternFill>
    </fill>
    <fill>
      <patternFill patternType="solid">
        <fgColor rgb="FFC00000"/>
        <bgColor indexed="64"/>
      </patternFill>
    </fill>
    <fill>
      <patternFill patternType="solid">
        <fgColor theme="9" tint="0.3999450666829432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CBCBCB"/>
        <bgColor indexed="64"/>
      </patternFill>
    </fill>
    <fill>
      <patternFill patternType="solid">
        <fgColor theme="0" tint="-0.249977111117893"/>
        <bgColor indexed="64"/>
      </patternFill>
    </fill>
    <fill>
      <patternFill patternType="solid">
        <fgColor rgb="FFFFFFFF"/>
        <bgColor indexed="64"/>
      </patternFill>
    </fill>
    <fill>
      <patternFill patternType="solid">
        <fgColor rgb="FFF9D0CB"/>
        <bgColor indexed="64"/>
      </patternFill>
    </fill>
    <fill>
      <patternFill patternType="solid">
        <fgColor rgb="FFF2F2F2"/>
        <bgColor rgb="FFF2F2F2"/>
      </patternFill>
    </fill>
    <fill>
      <patternFill patternType="solid">
        <fgColor rgb="FFFCE4D6"/>
        <bgColor rgb="FFFCE4D6"/>
      </patternFill>
    </fill>
    <fill>
      <patternFill patternType="solid">
        <fgColor rgb="FFF4B084"/>
        <bgColor rgb="FFF4B084"/>
      </patternFill>
    </fill>
    <fill>
      <patternFill patternType="solid">
        <fgColor rgb="FFFFFF00"/>
        <bgColor rgb="FFFFFF00"/>
      </patternFill>
    </fill>
    <fill>
      <patternFill patternType="solid">
        <fgColor rgb="FFFFCC99"/>
        <bgColor rgb="FFFFCC99"/>
      </patternFill>
    </fill>
    <fill>
      <patternFill patternType="solid">
        <fgColor theme="0" tint="-4.9989318521683403E-2"/>
        <bgColor rgb="FFFCE4D6"/>
      </patternFill>
    </fill>
    <fill>
      <patternFill patternType="solid">
        <fgColor rgb="FFFFF2CC"/>
        <bgColor rgb="FFFFF2CC"/>
      </patternFill>
    </fill>
    <fill>
      <patternFill patternType="solid">
        <fgColor theme="0" tint="-4.9989318521683403E-2"/>
        <bgColor rgb="FFF2F2F2"/>
      </patternFill>
    </fill>
    <fill>
      <patternFill patternType="solid">
        <fgColor theme="9" tint="0.39997558519241921"/>
        <bgColor rgb="FFF4B084"/>
      </patternFill>
    </fill>
    <fill>
      <patternFill patternType="solid">
        <fgColor rgb="FFEAEAEA"/>
        <bgColor indexed="64"/>
      </patternFill>
    </fill>
    <fill>
      <patternFill patternType="solid">
        <fgColor theme="9" tint="0.79998168889431442"/>
        <bgColor rgb="FFF2F2F2"/>
      </patternFill>
    </fill>
    <fill>
      <patternFill patternType="solid">
        <fgColor theme="9" tint="0.59996337778862885"/>
        <bgColor rgb="FFF4B084"/>
      </patternFill>
    </fill>
    <fill>
      <patternFill patternType="solid">
        <fgColor theme="9" tint="0.59999389629810485"/>
        <bgColor rgb="FFFFCC99"/>
      </patternFill>
    </fill>
    <fill>
      <patternFill patternType="solid">
        <fgColor rgb="FFFFCC99"/>
        <bgColor indexed="64"/>
      </patternFill>
    </fill>
    <fill>
      <patternFill patternType="solid">
        <fgColor theme="5" tint="0.79998168889431442"/>
        <bgColor rgb="FFFFCC99"/>
      </patternFill>
    </fill>
    <fill>
      <patternFill patternType="solid">
        <fgColor rgb="FFFCE4D6"/>
        <bgColor indexed="64"/>
      </patternFill>
    </fill>
    <fill>
      <patternFill patternType="solid">
        <fgColor theme="5" tint="0.59996337778862885"/>
        <bgColor indexed="64"/>
      </patternFill>
    </fill>
    <fill>
      <patternFill patternType="solid">
        <fgColor rgb="FFE6E6E6"/>
        <bgColor rgb="FF000000"/>
      </patternFill>
    </fill>
    <fill>
      <patternFill patternType="solid">
        <fgColor rgb="FFEFD9E0"/>
        <bgColor rgb="FF000000"/>
      </patternFill>
    </fill>
    <fill>
      <patternFill patternType="solid">
        <fgColor rgb="FFE6E6E6"/>
        <bgColor rgb="FFF2F2F2"/>
      </patternFill>
    </fill>
    <fill>
      <patternFill patternType="solid">
        <fgColor rgb="FFF2F2F2"/>
        <bgColor indexed="64"/>
      </patternFill>
    </fill>
    <fill>
      <patternFill patternType="solid">
        <fgColor rgb="FFF1F1F1"/>
        <bgColor indexed="64"/>
      </patternFill>
    </fill>
    <fill>
      <patternFill patternType="solid">
        <fgColor rgb="FFEFD9E0"/>
        <bgColor rgb="FFFCE4D6"/>
      </patternFill>
    </fill>
    <fill>
      <patternFill patternType="solid">
        <fgColor rgb="FFEFD9E0"/>
        <bgColor indexed="64"/>
      </patternFill>
    </fill>
    <fill>
      <patternFill patternType="solid">
        <fgColor rgb="FFFBDEBB"/>
        <bgColor rgb="FF000000"/>
      </patternFill>
    </fill>
  </fills>
  <borders count="64">
    <border>
      <left/>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indexed="64"/>
      </top>
      <bottom style="thin">
        <color indexed="64"/>
      </bottom>
      <diagonal/>
    </border>
    <border>
      <left/>
      <right style="thin">
        <color rgb="FF000000"/>
      </right>
      <top/>
      <bottom/>
      <diagonal/>
    </border>
    <border>
      <left style="thin">
        <color indexed="64"/>
      </left>
      <right/>
      <top/>
      <bottom style="thin">
        <color rgb="FF000000"/>
      </bottom>
      <diagonal/>
    </border>
  </borders>
  <cellStyleXfs count="18">
    <xf numFmtId="0" fontId="0" fillId="0" borderId="0"/>
    <xf numFmtId="0" fontId="181" fillId="0" borderId="0" applyNumberFormat="0" applyFill="0" applyBorder="0" applyAlignment="0" applyProtection="0">
      <alignment vertical="top"/>
      <protection locked="0"/>
    </xf>
    <xf numFmtId="43" fontId="180" fillId="0" borderId="0" applyFont="0" applyFill="0" applyBorder="0" applyAlignment="0" applyProtection="0"/>
    <xf numFmtId="9" fontId="180"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1" fillId="0" borderId="0"/>
    <xf numFmtId="0" fontId="232" fillId="0" borderId="0"/>
    <xf numFmtId="43" fontId="12" fillId="0" borderId="0" applyFont="0" applyFill="0" applyBorder="0" applyAlignment="0" applyProtection="0"/>
    <xf numFmtId="9" fontId="12" fillId="0" borderId="0" applyFont="0" applyFill="0" applyBorder="0" applyAlignment="0" applyProtection="0"/>
    <xf numFmtId="0" fontId="10" fillId="0" borderId="0"/>
    <xf numFmtId="0" fontId="12" fillId="0" borderId="0"/>
    <xf numFmtId="0" fontId="10" fillId="0" borderId="0"/>
    <xf numFmtId="0" fontId="7" fillId="0" borderId="0"/>
    <xf numFmtId="0" fontId="344" fillId="0" borderId="0"/>
    <xf numFmtId="44" fontId="376" fillId="0" borderId="0" applyFont="0" applyFill="0" applyBorder="0" applyAlignment="0" applyProtection="0"/>
    <xf numFmtId="43" fontId="12" fillId="0" borderId="0" applyFont="0" applyFill="0" applyBorder="0" applyAlignment="0" applyProtection="0"/>
    <xf numFmtId="0" fontId="181" fillId="0" borderId="0" applyNumberFormat="0" applyFill="0" applyBorder="0" applyAlignment="0" applyProtection="0">
      <alignment vertical="top"/>
      <protection locked="0"/>
    </xf>
  </cellStyleXfs>
  <cellXfs count="5709">
    <xf numFmtId="0" fontId="0" fillId="0" borderId="0" xfId="0"/>
    <xf numFmtId="0" fontId="14" fillId="2" borderId="0" xfId="0" applyFont="1" applyFill="1" applyProtection="1">
      <protection hidden="1"/>
    </xf>
    <xf numFmtId="0" fontId="19" fillId="2" borderId="0" xfId="0" applyFont="1" applyFill="1" applyAlignment="1" applyProtection="1">
      <alignment horizontal="center"/>
      <protection hidden="1"/>
    </xf>
    <xf numFmtId="0" fontId="19" fillId="2" borderId="0" xfId="0" applyFont="1" applyFill="1" applyProtection="1">
      <protection hidden="1"/>
    </xf>
    <xf numFmtId="0" fontId="17" fillId="2" borderId="0" xfId="0" applyFont="1" applyFill="1" applyAlignment="1" applyProtection="1">
      <alignment horizontal="justify" vertical="top" wrapText="1"/>
      <protection hidden="1"/>
    </xf>
    <xf numFmtId="0" fontId="19" fillId="2" borderId="1" xfId="0" applyFont="1" applyFill="1" applyBorder="1" applyAlignment="1" applyProtection="1">
      <alignment horizontal="center"/>
      <protection hidden="1"/>
    </xf>
    <xf numFmtId="0" fontId="19" fillId="2" borderId="2" xfId="0" applyFont="1" applyFill="1" applyBorder="1" applyProtection="1">
      <protection hidden="1"/>
    </xf>
    <xf numFmtId="0" fontId="23" fillId="2" borderId="0" xfId="0" applyFont="1" applyFill="1" applyProtection="1">
      <protection hidden="1"/>
    </xf>
    <xf numFmtId="0" fontId="19" fillId="2" borderId="0" xfId="0" applyFont="1" applyFill="1" applyAlignment="1" applyProtection="1">
      <alignment horizontal="left"/>
      <protection hidden="1"/>
    </xf>
    <xf numFmtId="0" fontId="19" fillId="2" borderId="2" xfId="0" applyFont="1" applyFill="1" applyBorder="1" applyAlignment="1" applyProtection="1">
      <alignment horizontal="left"/>
      <protection hidden="1"/>
    </xf>
    <xf numFmtId="0" fontId="19" fillId="2" borderId="3" xfId="0" applyFont="1" applyFill="1" applyBorder="1" applyProtection="1">
      <protection hidden="1"/>
    </xf>
    <xf numFmtId="0" fontId="19" fillId="2" borderId="1" xfId="0" applyFont="1" applyFill="1" applyBorder="1" applyProtection="1">
      <protection hidden="1"/>
    </xf>
    <xf numFmtId="0" fontId="24" fillId="2" borderId="0" xfId="0" applyFont="1" applyFill="1" applyProtection="1">
      <protection hidden="1"/>
    </xf>
    <xf numFmtId="0" fontId="19" fillId="2" borderId="4" xfId="0" applyFont="1" applyFill="1" applyBorder="1" applyProtection="1">
      <protection hidden="1"/>
    </xf>
    <xf numFmtId="0" fontId="19" fillId="2" borderId="5" xfId="0" applyFont="1" applyFill="1" applyBorder="1" applyProtection="1">
      <protection hidden="1"/>
    </xf>
    <xf numFmtId="0" fontId="19" fillId="2" borderId="6" xfId="0" applyFont="1" applyFill="1" applyBorder="1" applyProtection="1">
      <protection hidden="1"/>
    </xf>
    <xf numFmtId="0" fontId="22" fillId="2" borderId="1" xfId="0" applyFont="1" applyFill="1" applyBorder="1" applyProtection="1">
      <protection hidden="1"/>
    </xf>
    <xf numFmtId="0" fontId="22" fillId="2" borderId="0" xfId="0" applyFont="1" applyFill="1" applyProtection="1">
      <protection hidden="1"/>
    </xf>
    <xf numFmtId="0" fontId="22" fillId="3" borderId="7" xfId="0" applyFont="1" applyFill="1" applyBorder="1" applyProtection="1">
      <protection hidden="1"/>
    </xf>
    <xf numFmtId="0" fontId="22" fillId="3" borderId="8" xfId="0" applyFont="1" applyFill="1" applyBorder="1" applyProtection="1">
      <protection hidden="1"/>
    </xf>
    <xf numFmtId="0" fontId="22" fillId="2" borderId="0" xfId="0" applyFont="1" applyFill="1" applyAlignment="1" applyProtection="1">
      <alignment vertical="center"/>
      <protection hidden="1"/>
    </xf>
    <xf numFmtId="0" fontId="22" fillId="3" borderId="9" xfId="0" applyFont="1" applyFill="1" applyBorder="1" applyProtection="1">
      <protection hidden="1"/>
    </xf>
    <xf numFmtId="0" fontId="22" fillId="2" borderId="1" xfId="0" applyFont="1" applyFill="1" applyBorder="1" applyAlignment="1" applyProtection="1">
      <alignment vertical="center"/>
      <protection hidden="1"/>
    </xf>
    <xf numFmtId="0" fontId="22" fillId="3" borderId="7" xfId="0" applyFont="1" applyFill="1" applyBorder="1" applyAlignment="1" applyProtection="1">
      <alignment vertical="center"/>
      <protection hidden="1"/>
    </xf>
    <xf numFmtId="0" fontId="22" fillId="3" borderId="8" xfId="0" applyFont="1" applyFill="1" applyBorder="1" applyAlignment="1" applyProtection="1">
      <alignment vertical="center"/>
      <protection hidden="1"/>
    </xf>
    <xf numFmtId="0" fontId="22" fillId="3" borderId="10" xfId="0" applyFont="1" applyFill="1" applyBorder="1" applyAlignment="1" applyProtection="1">
      <alignment vertical="center"/>
      <protection hidden="1"/>
    </xf>
    <xf numFmtId="0" fontId="22" fillId="3" borderId="3" xfId="0" applyFont="1" applyFill="1" applyBorder="1" applyAlignment="1" applyProtection="1">
      <alignment vertical="center"/>
      <protection hidden="1"/>
    </xf>
    <xf numFmtId="0" fontId="22" fillId="2" borderId="0" xfId="0" applyFont="1" applyFill="1" applyAlignment="1" applyProtection="1">
      <alignment horizontal="left" vertical="top" wrapText="1"/>
      <protection hidden="1"/>
    </xf>
    <xf numFmtId="0" fontId="19" fillId="0" borderId="0" xfId="0" applyFont="1" applyProtection="1">
      <protection hidden="1"/>
    </xf>
    <xf numFmtId="0" fontId="20" fillId="0" borderId="0" xfId="0" applyFont="1" applyProtection="1">
      <protection hidden="1"/>
    </xf>
    <xf numFmtId="0" fontId="25" fillId="0" borderId="0" xfId="0" applyFont="1" applyProtection="1">
      <protection hidden="1"/>
    </xf>
    <xf numFmtId="3" fontId="22" fillId="0" borderId="0" xfId="0" applyNumberFormat="1" applyFont="1" applyProtection="1">
      <protection hidden="1"/>
    </xf>
    <xf numFmtId="3" fontId="19" fillId="0" borderId="0" xfId="0" applyNumberFormat="1" applyFont="1" applyProtection="1">
      <protection hidden="1"/>
    </xf>
    <xf numFmtId="0" fontId="19" fillId="3" borderId="7" xfId="0" applyFont="1" applyFill="1" applyBorder="1" applyProtection="1">
      <protection hidden="1"/>
    </xf>
    <xf numFmtId="3" fontId="19" fillId="2" borderId="0" xfId="0" applyNumberFormat="1" applyFont="1" applyFill="1" applyProtection="1">
      <protection hidden="1"/>
    </xf>
    <xf numFmtId="0" fontId="26" fillId="2" borderId="0" xfId="0" applyFont="1" applyFill="1" applyProtection="1">
      <protection hidden="1"/>
    </xf>
    <xf numFmtId="3" fontId="26" fillId="2" borderId="0" xfId="0" applyNumberFormat="1" applyFont="1" applyFill="1" applyProtection="1">
      <protection hidden="1"/>
    </xf>
    <xf numFmtId="3" fontId="27" fillId="0" borderId="0" xfId="0" applyNumberFormat="1" applyFont="1" applyProtection="1">
      <protection hidden="1"/>
    </xf>
    <xf numFmtId="3" fontId="26" fillId="0" borderId="0" xfId="0" applyNumberFormat="1" applyFont="1" applyProtection="1">
      <protection hidden="1"/>
    </xf>
    <xf numFmtId="3" fontId="22" fillId="0" borderId="0" xfId="0" applyNumberFormat="1" applyFont="1" applyAlignment="1" applyProtection="1">
      <alignment horizontal="center" vertical="center" wrapText="1"/>
      <protection hidden="1"/>
    </xf>
    <xf numFmtId="0" fontId="19" fillId="0" borderId="0" xfId="0" applyFont="1" applyAlignment="1" applyProtection="1">
      <alignment horizontal="center"/>
      <protection hidden="1"/>
    </xf>
    <xf numFmtId="0" fontId="28" fillId="2" borderId="0" xfId="0" applyFont="1" applyFill="1" applyProtection="1">
      <protection hidden="1"/>
    </xf>
    <xf numFmtId="3" fontId="28" fillId="2" borderId="0" xfId="0" applyNumberFormat="1" applyFont="1" applyFill="1" applyProtection="1">
      <protection hidden="1"/>
    </xf>
    <xf numFmtId="0" fontId="27" fillId="0" borderId="0" xfId="0" applyFont="1" applyProtection="1">
      <protection hidden="1"/>
    </xf>
    <xf numFmtId="3" fontId="25" fillId="0" borderId="0" xfId="0" applyNumberFormat="1" applyFont="1" applyProtection="1">
      <protection hidden="1"/>
    </xf>
    <xf numFmtId="3" fontId="20" fillId="0" borderId="0" xfId="0" applyNumberFormat="1" applyFont="1" applyProtection="1">
      <protection hidden="1"/>
    </xf>
    <xf numFmtId="0" fontId="22" fillId="0" borderId="0" xfId="0" applyFont="1" applyProtection="1">
      <protection hidden="1"/>
    </xf>
    <xf numFmtId="0" fontId="19" fillId="0" borderId="0" xfId="0" applyFont="1" applyProtection="1">
      <protection locked="0"/>
    </xf>
    <xf numFmtId="0" fontId="22" fillId="0" borderId="0" xfId="0" applyFont="1" applyProtection="1">
      <protection locked="0"/>
    </xf>
    <xf numFmtId="0" fontId="29" fillId="2" borderId="0" xfId="0" applyFont="1" applyFill="1" applyProtection="1">
      <protection hidden="1"/>
    </xf>
    <xf numFmtId="3" fontId="22" fillId="2" borderId="0" xfId="0" applyNumberFormat="1" applyFont="1" applyFill="1" applyProtection="1">
      <protection hidden="1"/>
    </xf>
    <xf numFmtId="3" fontId="22" fillId="2" borderId="2" xfId="0" applyNumberFormat="1" applyFont="1" applyFill="1" applyBorder="1" applyProtection="1">
      <protection hidden="1"/>
    </xf>
    <xf numFmtId="3" fontId="30" fillId="3" borderId="7" xfId="0" applyNumberFormat="1" applyFont="1" applyFill="1" applyBorder="1" applyProtection="1">
      <protection hidden="1"/>
    </xf>
    <xf numFmtId="3" fontId="22" fillId="3" borderId="7" xfId="0" applyNumberFormat="1" applyFont="1" applyFill="1" applyBorder="1" applyProtection="1">
      <protection hidden="1"/>
    </xf>
    <xf numFmtId="3" fontId="31" fillId="2" borderId="0" xfId="0" applyNumberFormat="1" applyFont="1" applyFill="1" applyProtection="1">
      <protection hidden="1"/>
    </xf>
    <xf numFmtId="3" fontId="22" fillId="2" borderId="5" xfId="0" applyNumberFormat="1" applyFont="1" applyFill="1" applyBorder="1" applyProtection="1">
      <protection hidden="1"/>
    </xf>
    <xf numFmtId="3" fontId="22" fillId="2" borderId="0" xfId="0" applyNumberFormat="1" applyFont="1" applyFill="1" applyAlignment="1" applyProtection="1">
      <alignment horizontal="right"/>
      <protection hidden="1"/>
    </xf>
    <xf numFmtId="3" fontId="22" fillId="2" borderId="11" xfId="0" applyNumberFormat="1" applyFont="1" applyFill="1" applyBorder="1" applyAlignment="1" applyProtection="1">
      <alignment horizontal="right"/>
      <protection hidden="1"/>
    </xf>
    <xf numFmtId="3" fontId="22" fillId="2" borderId="12" xfId="0" applyNumberFormat="1" applyFont="1" applyFill="1" applyBorder="1" applyProtection="1">
      <protection hidden="1"/>
    </xf>
    <xf numFmtId="0" fontId="19" fillId="2" borderId="12" xfId="0" applyFont="1" applyFill="1" applyBorder="1" applyAlignment="1" applyProtection="1">
      <alignment horizontal="center"/>
      <protection hidden="1"/>
    </xf>
    <xf numFmtId="3" fontId="22" fillId="0" borderId="0" xfId="0" applyNumberFormat="1" applyFont="1" applyAlignment="1" applyProtection="1">
      <alignment horizontal="right"/>
      <protection hidden="1"/>
    </xf>
    <xf numFmtId="0" fontId="25" fillId="2" borderId="0" xfId="0" applyFont="1" applyFill="1" applyProtection="1">
      <protection hidden="1"/>
    </xf>
    <xf numFmtId="0" fontId="19" fillId="0" borderId="0" xfId="0" applyFont="1" applyAlignment="1" applyProtection="1">
      <alignment horizontal="left"/>
      <protection hidden="1"/>
    </xf>
    <xf numFmtId="0" fontId="22" fillId="2" borderId="0" xfId="0" applyFont="1" applyFill="1" applyAlignment="1" applyProtection="1">
      <alignment horizontal="center" vertical="top"/>
      <protection hidden="1"/>
    </xf>
    <xf numFmtId="0" fontId="17" fillId="2" borderId="0" xfId="0" applyFont="1" applyFill="1" applyAlignment="1" applyProtection="1">
      <alignment horizontal="center"/>
      <protection hidden="1"/>
    </xf>
    <xf numFmtId="0" fontId="17" fillId="2" borderId="0" xfId="0" applyFont="1" applyFill="1" applyProtection="1">
      <protection hidden="1"/>
    </xf>
    <xf numFmtId="0" fontId="17" fillId="0" borderId="0" xfId="0" applyFont="1" applyProtection="1">
      <protection hidden="1"/>
    </xf>
    <xf numFmtId="0" fontId="22" fillId="0" borderId="0" xfId="0" applyFont="1" applyAlignment="1" applyProtection="1">
      <alignment horizontal="left"/>
      <protection hidden="1"/>
    </xf>
    <xf numFmtId="0" fontId="22" fillId="0" borderId="0" xfId="0" quotePrefix="1" applyFont="1" applyAlignment="1" applyProtection="1">
      <alignment horizontal="left"/>
      <protection hidden="1"/>
    </xf>
    <xf numFmtId="0" fontId="17" fillId="0" borderId="0" xfId="0" applyFont="1" applyAlignment="1" applyProtection="1">
      <alignment horizontal="left"/>
      <protection hidden="1"/>
    </xf>
    <xf numFmtId="3" fontId="17" fillId="0" borderId="0" xfId="0" applyNumberFormat="1" applyFont="1" applyAlignment="1" applyProtection="1">
      <alignment horizontal="left" vertical="center"/>
      <protection hidden="1"/>
    </xf>
    <xf numFmtId="1" fontId="19" fillId="0" borderId="0" xfId="0" applyNumberFormat="1" applyFont="1" applyAlignment="1" applyProtection="1">
      <alignment horizontal="center"/>
      <protection hidden="1"/>
    </xf>
    <xf numFmtId="0" fontId="19" fillId="2" borderId="0" xfId="0" applyFont="1" applyFill="1" applyAlignment="1" applyProtection="1">
      <alignment horizontal="right"/>
      <protection hidden="1"/>
    </xf>
    <xf numFmtId="1" fontId="19" fillId="0" borderId="0" xfId="0" applyNumberFormat="1" applyFont="1" applyProtection="1">
      <protection hidden="1"/>
    </xf>
    <xf numFmtId="14" fontId="19" fillId="0" borderId="0" xfId="0" applyNumberFormat="1" applyFont="1" applyProtection="1">
      <protection hidden="1"/>
    </xf>
    <xf numFmtId="0" fontId="32" fillId="2" borderId="0" xfId="0" applyFont="1" applyFill="1" applyProtection="1">
      <protection hidden="1"/>
    </xf>
    <xf numFmtId="0" fontId="22" fillId="0" borderId="0" xfId="0" applyFont="1" applyAlignment="1" applyProtection="1">
      <alignment horizontal="left" vertical="center" wrapText="1"/>
      <protection hidden="1"/>
    </xf>
    <xf numFmtId="0" fontId="19" fillId="0" borderId="0" xfId="0" applyFont="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1" fontId="19" fillId="0" borderId="0" xfId="0" applyNumberFormat="1" applyFont="1" applyAlignment="1" applyProtection="1">
      <alignment horizontal="center" vertical="center" wrapText="1"/>
      <protection hidden="1"/>
    </xf>
    <xf numFmtId="3" fontId="19" fillId="0" borderId="0" xfId="0" applyNumberFormat="1" applyFont="1" applyAlignment="1" applyProtection="1">
      <alignment horizontal="center" vertical="center" wrapText="1"/>
      <protection hidden="1"/>
    </xf>
    <xf numFmtId="0" fontId="22" fillId="2" borderId="0" xfId="0" applyFont="1" applyFill="1" applyAlignment="1" applyProtection="1">
      <alignment horizontal="center" vertical="center" wrapText="1"/>
      <protection hidden="1"/>
    </xf>
    <xf numFmtId="0" fontId="14" fillId="2" borderId="0" xfId="0" applyFont="1" applyFill="1" applyAlignment="1" applyProtection="1">
      <alignment horizontal="center" vertical="center" wrapText="1"/>
      <protection hidden="1"/>
    </xf>
    <xf numFmtId="0" fontId="19" fillId="0" borderId="0" xfId="0" applyFont="1" applyAlignment="1" applyProtection="1">
      <alignment horizontal="center" vertical="center"/>
      <protection hidden="1"/>
    </xf>
    <xf numFmtId="166" fontId="19" fillId="0" borderId="0" xfId="0" applyNumberFormat="1" applyFont="1" applyProtection="1">
      <protection hidden="1"/>
    </xf>
    <xf numFmtId="166" fontId="19" fillId="2" borderId="0" xfId="0" applyNumberFormat="1" applyFont="1" applyFill="1" applyProtection="1">
      <protection hidden="1"/>
    </xf>
    <xf numFmtId="166" fontId="22" fillId="2" borderId="0" xfId="0" applyNumberFormat="1" applyFont="1" applyFill="1" applyProtection="1">
      <protection hidden="1"/>
    </xf>
    <xf numFmtId="0" fontId="19" fillId="0" borderId="12" xfId="0" applyFont="1" applyBorder="1" applyAlignment="1" applyProtection="1">
      <alignment horizontal="center" vertical="center" wrapText="1"/>
      <protection hidden="1"/>
    </xf>
    <xf numFmtId="0" fontId="19" fillId="0" borderId="12" xfId="0" applyFont="1" applyBorder="1" applyAlignment="1" applyProtection="1">
      <alignment horizontal="center" vertical="center"/>
      <protection hidden="1"/>
    </xf>
    <xf numFmtId="3" fontId="19" fillId="0" borderId="12" xfId="0" applyNumberFormat="1" applyFont="1" applyBorder="1" applyProtection="1">
      <protection hidden="1"/>
    </xf>
    <xf numFmtId="10" fontId="19" fillId="0" borderId="12" xfId="0" applyNumberFormat="1" applyFont="1" applyBorder="1" applyProtection="1">
      <protection hidden="1"/>
    </xf>
    <xf numFmtId="0" fontId="19" fillId="0" borderId="12" xfId="0" applyFont="1" applyBorder="1" applyProtection="1">
      <protection hidden="1"/>
    </xf>
    <xf numFmtId="10" fontId="19" fillId="0" borderId="0" xfId="0" applyNumberFormat="1" applyFont="1" applyProtection="1">
      <protection hidden="1"/>
    </xf>
    <xf numFmtId="0" fontId="19" fillId="0" borderId="13" xfId="0" applyFont="1" applyBorder="1" applyProtection="1">
      <protection hidden="1"/>
    </xf>
    <xf numFmtId="1" fontId="25" fillId="0" borderId="0" xfId="0" applyNumberFormat="1" applyFont="1" applyAlignment="1" applyProtection="1">
      <alignment horizontal="center"/>
      <protection hidden="1"/>
    </xf>
    <xf numFmtId="0" fontId="22" fillId="2" borderId="14" xfId="0" applyFont="1" applyFill="1" applyBorder="1" applyAlignment="1" applyProtection="1">
      <alignment horizontal="right" vertical="center"/>
      <protection hidden="1"/>
    </xf>
    <xf numFmtId="0" fontId="22" fillId="2" borderId="14" xfId="0" applyFont="1" applyFill="1" applyBorder="1" applyAlignment="1" applyProtection="1">
      <alignment vertical="center"/>
      <protection hidden="1"/>
    </xf>
    <xf numFmtId="0" fontId="19" fillId="2" borderId="14" xfId="0" applyFont="1" applyFill="1" applyBorder="1" applyProtection="1">
      <protection hidden="1"/>
    </xf>
    <xf numFmtId="0" fontId="19" fillId="2" borderId="11" xfId="0" applyFont="1" applyFill="1" applyBorder="1" applyProtection="1">
      <protection hidden="1"/>
    </xf>
    <xf numFmtId="0" fontId="22" fillId="2" borderId="0" xfId="0" applyFont="1" applyFill="1" applyAlignment="1" applyProtection="1">
      <alignment vertical="top" wrapText="1"/>
      <protection hidden="1"/>
    </xf>
    <xf numFmtId="0" fontId="22" fillId="2" borderId="11" xfId="0" applyFont="1" applyFill="1" applyBorder="1" applyProtection="1">
      <protection hidden="1"/>
    </xf>
    <xf numFmtId="0" fontId="19" fillId="2" borderId="15" xfId="0" applyFont="1" applyFill="1" applyBorder="1" applyProtection="1">
      <protection hidden="1"/>
    </xf>
    <xf numFmtId="0" fontId="19" fillId="2" borderId="16" xfId="0" applyFont="1" applyFill="1" applyBorder="1" applyProtection="1">
      <protection hidden="1"/>
    </xf>
    <xf numFmtId="0" fontId="22" fillId="2" borderId="16" xfId="0" applyFont="1" applyFill="1" applyBorder="1" applyProtection="1">
      <protection hidden="1"/>
    </xf>
    <xf numFmtId="0" fontId="19" fillId="2" borderId="17" xfId="0" applyFont="1" applyFill="1" applyBorder="1" applyProtection="1">
      <protection hidden="1"/>
    </xf>
    <xf numFmtId="3" fontId="19" fillId="2" borderId="0" xfId="0" applyNumberFormat="1" applyFont="1" applyFill="1" applyAlignment="1" applyProtection="1">
      <alignment horizontal="left"/>
      <protection hidden="1"/>
    </xf>
    <xf numFmtId="3" fontId="19" fillId="2" borderId="2" xfId="0" applyNumberFormat="1" applyFont="1" applyFill="1" applyBorder="1" applyAlignment="1" applyProtection="1">
      <alignment horizontal="right"/>
      <protection hidden="1"/>
    </xf>
    <xf numFmtId="3" fontId="17" fillId="0" borderId="0" xfId="0" applyNumberFormat="1" applyFont="1" applyAlignment="1" applyProtection="1">
      <alignment horizontal="left"/>
      <protection hidden="1"/>
    </xf>
    <xf numFmtId="3" fontId="17" fillId="2" borderId="0" xfId="0" applyNumberFormat="1" applyFont="1" applyFill="1" applyAlignment="1" applyProtection="1">
      <alignment horizontal="left"/>
      <protection hidden="1"/>
    </xf>
    <xf numFmtId="3" fontId="17" fillId="0" borderId="2" xfId="0" applyNumberFormat="1" applyFont="1" applyBorder="1" applyAlignment="1" applyProtection="1">
      <alignment horizontal="left"/>
      <protection hidden="1"/>
    </xf>
    <xf numFmtId="3" fontId="19" fillId="0" borderId="2" xfId="0" applyNumberFormat="1" applyFont="1" applyBorder="1" applyProtection="1">
      <protection hidden="1"/>
    </xf>
    <xf numFmtId="3" fontId="17" fillId="2" borderId="16" xfId="0" applyNumberFormat="1" applyFont="1" applyFill="1" applyBorder="1" applyAlignment="1" applyProtection="1">
      <alignment horizontal="left"/>
      <protection hidden="1"/>
    </xf>
    <xf numFmtId="3" fontId="19" fillId="0" borderId="0" xfId="0" applyNumberFormat="1" applyFont="1" applyAlignment="1" applyProtection="1">
      <alignment horizontal="right"/>
      <protection hidden="1"/>
    </xf>
    <xf numFmtId="0" fontId="19" fillId="2" borderId="1" xfId="0" applyFont="1" applyFill="1" applyBorder="1" applyAlignment="1" applyProtection="1">
      <alignment horizontal="left"/>
      <protection hidden="1"/>
    </xf>
    <xf numFmtId="0" fontId="22" fillId="2" borderId="0" xfId="0" applyFont="1" applyFill="1" applyAlignment="1" applyProtection="1">
      <alignment horizontal="left"/>
      <protection hidden="1"/>
    </xf>
    <xf numFmtId="0" fontId="24" fillId="2" borderId="18" xfId="0" applyFont="1" applyFill="1" applyBorder="1" applyAlignment="1" applyProtection="1">
      <alignment horizontal="left"/>
      <protection hidden="1"/>
    </xf>
    <xf numFmtId="0" fontId="22" fillId="2" borderId="14" xfId="0" applyFont="1" applyFill="1" applyBorder="1" applyProtection="1">
      <protection hidden="1"/>
    </xf>
    <xf numFmtId="3" fontId="22" fillId="2" borderId="0" xfId="0" applyNumberFormat="1" applyFont="1" applyFill="1" applyAlignment="1" applyProtection="1">
      <alignment horizontal="right" vertical="center"/>
      <protection hidden="1"/>
    </xf>
    <xf numFmtId="0" fontId="22" fillId="2" borderId="5" xfId="0" applyFont="1" applyFill="1" applyBorder="1" applyProtection="1">
      <protection hidden="1"/>
    </xf>
    <xf numFmtId="0" fontId="22" fillId="2" borderId="0" xfId="0" applyFont="1" applyFill="1" applyAlignment="1" applyProtection="1">
      <alignment horizontal="right" vertical="center"/>
      <protection hidden="1"/>
    </xf>
    <xf numFmtId="0" fontId="17" fillId="2" borderId="0" xfId="0" applyFont="1" applyFill="1" applyAlignment="1" applyProtection="1">
      <alignment horizontal="right" vertical="center"/>
      <protection hidden="1"/>
    </xf>
    <xf numFmtId="0" fontId="24" fillId="2" borderId="0" xfId="0" applyFont="1" applyFill="1" applyAlignment="1" applyProtection="1">
      <alignment horizontal="right" vertical="center"/>
      <protection hidden="1"/>
    </xf>
    <xf numFmtId="0" fontId="17" fillId="4" borderId="12" xfId="0" applyFont="1" applyFill="1" applyBorder="1" applyAlignment="1" applyProtection="1">
      <alignment horizontal="center"/>
      <protection hidden="1"/>
    </xf>
    <xf numFmtId="0" fontId="22" fillId="4" borderId="12" xfId="0" applyFont="1" applyFill="1" applyBorder="1" applyAlignment="1" applyProtection="1">
      <alignment horizontal="left" vertical="center"/>
      <protection hidden="1"/>
    </xf>
    <xf numFmtId="0" fontId="22" fillId="4" borderId="12" xfId="0" applyFont="1" applyFill="1" applyBorder="1" applyProtection="1">
      <protection hidden="1"/>
    </xf>
    <xf numFmtId="0" fontId="14" fillId="2" borderId="0" xfId="0" applyFont="1" applyFill="1" applyAlignment="1" applyProtection="1">
      <alignment horizontal="left"/>
      <protection hidden="1"/>
    </xf>
    <xf numFmtId="0" fontId="37" fillId="2" borderId="0" xfId="0" applyFont="1" applyFill="1" applyAlignment="1" applyProtection="1">
      <alignment horizontal="center"/>
      <protection hidden="1"/>
    </xf>
    <xf numFmtId="0" fontId="37" fillId="2" borderId="0" xfId="0" applyFont="1" applyFill="1" applyProtection="1">
      <protection hidden="1"/>
    </xf>
    <xf numFmtId="0" fontId="19" fillId="4" borderId="7" xfId="0" applyFont="1" applyFill="1" applyBorder="1" applyProtection="1">
      <protection hidden="1"/>
    </xf>
    <xf numFmtId="0" fontId="22" fillId="4" borderId="7" xfId="0" applyFont="1" applyFill="1" applyBorder="1" applyProtection="1">
      <protection hidden="1"/>
    </xf>
    <xf numFmtId="0" fontId="22" fillId="4" borderId="8" xfId="0" applyFont="1" applyFill="1" applyBorder="1" applyAlignment="1" applyProtection="1">
      <alignment horizontal="center" vertical="center" wrapText="1"/>
      <protection hidden="1"/>
    </xf>
    <xf numFmtId="1" fontId="25" fillId="0" borderId="0" xfId="0" applyNumberFormat="1" applyFont="1" applyProtection="1">
      <protection hidden="1"/>
    </xf>
    <xf numFmtId="0" fontId="14" fillId="2" borderId="0" xfId="0" applyFont="1" applyFill="1" applyAlignment="1" applyProtection="1">
      <alignment horizontal="right"/>
      <protection hidden="1"/>
    </xf>
    <xf numFmtId="0" fontId="22" fillId="4" borderId="9" xfId="0" applyFont="1" applyFill="1" applyBorder="1" applyAlignment="1" applyProtection="1">
      <alignment horizontal="left" vertical="center"/>
      <protection hidden="1"/>
    </xf>
    <xf numFmtId="0" fontId="22" fillId="4" borderId="9" xfId="0" applyFont="1" applyFill="1" applyBorder="1" applyAlignment="1" applyProtection="1">
      <alignment vertical="center"/>
      <protection hidden="1"/>
    </xf>
    <xf numFmtId="0" fontId="22" fillId="4" borderId="9" xfId="0" applyFont="1" applyFill="1" applyBorder="1" applyProtection="1">
      <protection hidden="1"/>
    </xf>
    <xf numFmtId="0" fontId="36" fillId="2" borderId="0" xfId="0" applyFont="1" applyFill="1" applyAlignment="1" applyProtection="1">
      <alignment horizontal="center"/>
      <protection hidden="1"/>
    </xf>
    <xf numFmtId="166" fontId="17" fillId="2" borderId="10" xfId="0" applyNumberFormat="1" applyFont="1" applyFill="1" applyBorder="1" applyProtection="1">
      <protection hidden="1"/>
    </xf>
    <xf numFmtId="0" fontId="17" fillId="4" borderId="9" xfId="0" applyFont="1" applyFill="1" applyBorder="1" applyProtection="1">
      <protection hidden="1"/>
    </xf>
    <xf numFmtId="0" fontId="19" fillId="0" borderId="0" xfId="0" applyFont="1" applyAlignment="1" applyProtection="1">
      <alignment horizontal="right"/>
      <protection hidden="1"/>
    </xf>
    <xf numFmtId="166" fontId="17" fillId="4" borderId="0" xfId="0" applyNumberFormat="1" applyFont="1" applyFill="1" applyProtection="1">
      <protection hidden="1"/>
    </xf>
    <xf numFmtId="0" fontId="41" fillId="0" borderId="0" xfId="0" applyFont="1" applyProtection="1">
      <protection hidden="1"/>
    </xf>
    <xf numFmtId="0" fontId="19" fillId="0" borderId="0" xfId="0" applyFont="1"/>
    <xf numFmtId="3" fontId="22" fillId="0" borderId="0" xfId="0" applyNumberFormat="1" applyFont="1"/>
    <xf numFmtId="0" fontId="22" fillId="2" borderId="2" xfId="0" applyFont="1" applyFill="1" applyBorder="1" applyProtection="1">
      <protection hidden="1"/>
    </xf>
    <xf numFmtId="0" fontId="42" fillId="0" borderId="0" xfId="0" applyFont="1" applyProtection="1">
      <protection hidden="1"/>
    </xf>
    <xf numFmtId="0" fontId="42" fillId="0" borderId="0" xfId="0" applyFont="1"/>
    <xf numFmtId="3" fontId="42" fillId="0" borderId="0" xfId="0" applyNumberFormat="1" applyFont="1" applyAlignment="1" applyProtection="1">
      <alignment horizontal="center"/>
      <protection hidden="1"/>
    </xf>
    <xf numFmtId="3" fontId="43" fillId="0" borderId="0" xfId="0" applyNumberFormat="1" applyFont="1" applyAlignment="1" applyProtection="1">
      <alignment horizontal="right"/>
      <protection hidden="1"/>
    </xf>
    <xf numFmtId="167" fontId="19" fillId="0" borderId="0" xfId="0" applyNumberFormat="1" applyFont="1" applyProtection="1">
      <protection hidden="1"/>
    </xf>
    <xf numFmtId="9" fontId="19" fillId="0" borderId="0" xfId="0" applyNumberFormat="1" applyFont="1" applyProtection="1">
      <protection hidden="1"/>
    </xf>
    <xf numFmtId="3" fontId="17" fillId="2" borderId="0" xfId="0" applyNumberFormat="1" applyFont="1" applyFill="1" applyProtection="1">
      <protection hidden="1"/>
    </xf>
    <xf numFmtId="0" fontId="22" fillId="0" borderId="12" xfId="0" applyFont="1" applyBorder="1" applyAlignment="1" applyProtection="1">
      <alignment horizontal="left" vertical="center"/>
      <protection locked="0"/>
    </xf>
    <xf numFmtId="0" fontId="22" fillId="4" borderId="0" xfId="0" applyFont="1" applyFill="1" applyProtection="1">
      <protection hidden="1"/>
    </xf>
    <xf numFmtId="0" fontId="22" fillId="4" borderId="2" xfId="0" applyFont="1" applyFill="1" applyBorder="1" applyProtection="1">
      <protection hidden="1"/>
    </xf>
    <xf numFmtId="0" fontId="47" fillId="2" borderId="19" xfId="0" applyFont="1" applyFill="1" applyBorder="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22" fillId="2" borderId="0" xfId="0" applyFont="1" applyFill="1" applyAlignment="1" applyProtection="1">
      <alignment wrapText="1"/>
      <protection hidden="1"/>
    </xf>
    <xf numFmtId="0" fontId="22" fillId="4" borderId="1" xfId="0" applyFont="1" applyFill="1" applyBorder="1" applyProtection="1">
      <protection hidden="1"/>
    </xf>
    <xf numFmtId="0" fontId="22" fillId="4" borderId="4" xfId="0" applyFont="1" applyFill="1" applyBorder="1" applyProtection="1">
      <protection hidden="1"/>
    </xf>
    <xf numFmtId="0" fontId="22" fillId="4" borderId="5" xfId="0" applyFont="1" applyFill="1" applyBorder="1" applyProtection="1">
      <protection hidden="1"/>
    </xf>
    <xf numFmtId="0" fontId="22" fillId="4" borderId="6" xfId="0" applyFont="1" applyFill="1" applyBorder="1" applyProtection="1">
      <protection hidden="1"/>
    </xf>
    <xf numFmtId="0" fontId="46" fillId="3" borderId="7" xfId="0" applyFont="1" applyFill="1" applyBorder="1" applyProtection="1">
      <protection hidden="1"/>
    </xf>
    <xf numFmtId="0" fontId="46" fillId="3" borderId="8" xfId="0" applyFont="1" applyFill="1" applyBorder="1" applyProtection="1">
      <protection hidden="1"/>
    </xf>
    <xf numFmtId="0" fontId="25" fillId="0" borderId="0" xfId="0" applyFont="1"/>
    <xf numFmtId="0" fontId="47" fillId="2" borderId="10" xfId="0" applyFont="1" applyFill="1" applyBorder="1" applyAlignment="1" applyProtection="1">
      <alignment horizontal="center" vertical="center"/>
      <protection hidden="1"/>
    </xf>
    <xf numFmtId="14" fontId="25" fillId="0" borderId="0" xfId="0" applyNumberFormat="1" applyFont="1"/>
    <xf numFmtId="0" fontId="48" fillId="0" borderId="0" xfId="0" applyFont="1"/>
    <xf numFmtId="0" fontId="46" fillId="2" borderId="19" xfId="0" applyFont="1" applyFill="1" applyBorder="1" applyAlignment="1" applyProtection="1">
      <alignment horizontal="center"/>
      <protection hidden="1"/>
    </xf>
    <xf numFmtId="0" fontId="46" fillId="2" borderId="10" xfId="0" applyFont="1" applyFill="1" applyBorder="1" applyAlignment="1" applyProtection="1">
      <alignment horizontal="center"/>
      <protection hidden="1"/>
    </xf>
    <xf numFmtId="0" fontId="46" fillId="2" borderId="3" xfId="0" applyFont="1" applyFill="1" applyBorder="1" applyAlignment="1" applyProtection="1">
      <alignment horizontal="center"/>
      <protection hidden="1"/>
    </xf>
    <xf numFmtId="0" fontId="28" fillId="2" borderId="0" xfId="0" applyFont="1" applyFill="1" applyAlignment="1" applyProtection="1">
      <alignment horizontal="left"/>
      <protection hidden="1"/>
    </xf>
    <xf numFmtId="3" fontId="25" fillId="0" borderId="0" xfId="0" applyNumberFormat="1" applyFont="1" applyAlignment="1" applyProtection="1">
      <alignment horizontal="center"/>
      <protection hidden="1"/>
    </xf>
    <xf numFmtId="0" fontId="37" fillId="0" borderId="0" xfId="0" applyFont="1" applyProtection="1">
      <protection hidden="1"/>
    </xf>
    <xf numFmtId="0" fontId="19" fillId="4" borderId="8" xfId="0" applyFont="1" applyFill="1" applyBorder="1" applyProtection="1">
      <protection hidden="1"/>
    </xf>
    <xf numFmtId="0" fontId="22" fillId="2" borderId="0" xfId="0" applyFont="1" applyFill="1" applyAlignment="1" applyProtection="1">
      <alignment horizontal="center" vertical="center"/>
      <protection hidden="1"/>
    </xf>
    <xf numFmtId="0" fontId="50" fillId="0" borderId="0" xfId="0" applyFont="1" applyProtection="1">
      <protection hidden="1"/>
    </xf>
    <xf numFmtId="0" fontId="51" fillId="0" borderId="0" xfId="0" applyFont="1" applyProtection="1">
      <protection hidden="1"/>
    </xf>
    <xf numFmtId="0" fontId="19" fillId="5" borderId="0" xfId="0" applyFont="1" applyFill="1" applyProtection="1">
      <protection hidden="1"/>
    </xf>
    <xf numFmtId="0" fontId="19" fillId="5" borderId="2" xfId="0" applyFont="1" applyFill="1" applyBorder="1" applyProtection="1">
      <protection hidden="1"/>
    </xf>
    <xf numFmtId="0" fontId="19" fillId="5" borderId="5" xfId="0" applyFont="1" applyFill="1" applyBorder="1" applyProtection="1">
      <protection hidden="1"/>
    </xf>
    <xf numFmtId="0" fontId="19" fillId="5" borderId="6" xfId="0" applyFont="1" applyFill="1" applyBorder="1" applyProtection="1">
      <protection hidden="1"/>
    </xf>
    <xf numFmtId="0" fontId="17" fillId="0" borderId="0" xfId="0" applyFont="1" applyAlignment="1" applyProtection="1">
      <alignment horizontal="left" vertical="center"/>
      <protection hidden="1"/>
    </xf>
    <xf numFmtId="0" fontId="17"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22" fillId="2" borderId="0" xfId="0" applyFont="1" applyFill="1" applyAlignment="1" applyProtection="1">
      <alignment horizontal="left" vertical="center"/>
      <protection hidden="1"/>
    </xf>
    <xf numFmtId="0" fontId="28" fillId="5" borderId="7" xfId="0" applyFont="1" applyFill="1" applyBorder="1" applyProtection="1">
      <protection hidden="1"/>
    </xf>
    <xf numFmtId="0" fontId="28" fillId="5" borderId="8" xfId="0" applyFont="1" applyFill="1" applyBorder="1" applyProtection="1">
      <protection hidden="1"/>
    </xf>
    <xf numFmtId="0" fontId="19" fillId="0" borderId="1" xfId="0" applyFont="1" applyBorder="1" applyProtection="1">
      <protection hidden="1"/>
    </xf>
    <xf numFmtId="0" fontId="19" fillId="5" borderId="10" xfId="0" applyFont="1" applyFill="1" applyBorder="1" applyProtection="1">
      <protection hidden="1"/>
    </xf>
    <xf numFmtId="0" fontId="19" fillId="5" borderId="3" xfId="0" applyFont="1" applyFill="1" applyBorder="1" applyProtection="1">
      <protection hidden="1"/>
    </xf>
    <xf numFmtId="0" fontId="52" fillId="0" borderId="0" xfId="0" applyFont="1" applyProtection="1">
      <protection hidden="1"/>
    </xf>
    <xf numFmtId="0" fontId="55" fillId="0" borderId="0" xfId="0" applyFont="1" applyProtection="1">
      <protection hidden="1"/>
    </xf>
    <xf numFmtId="0" fontId="56" fillId="0" borderId="0" xfId="0" applyFont="1" applyProtection="1">
      <protection hidden="1"/>
    </xf>
    <xf numFmtId="0" fontId="19" fillId="4" borderId="0" xfId="0" applyFont="1" applyFill="1" applyProtection="1">
      <protection hidden="1"/>
    </xf>
    <xf numFmtId="3" fontId="17" fillId="2" borderId="20" xfId="0" applyNumberFormat="1" applyFont="1" applyFill="1" applyBorder="1" applyAlignment="1" applyProtection="1">
      <alignment horizontal="left"/>
      <protection hidden="1"/>
    </xf>
    <xf numFmtId="3" fontId="19" fillId="2" borderId="20" xfId="0" applyNumberFormat="1" applyFont="1" applyFill="1" applyBorder="1" applyProtection="1">
      <protection hidden="1"/>
    </xf>
    <xf numFmtId="3" fontId="17" fillId="2" borderId="18" xfId="0" applyNumberFormat="1" applyFont="1" applyFill="1" applyBorder="1" applyAlignment="1" applyProtection="1">
      <alignment horizontal="left"/>
      <protection hidden="1"/>
    </xf>
    <xf numFmtId="0" fontId="25" fillId="6" borderId="0" xfId="0" applyFont="1" applyFill="1" applyProtection="1">
      <protection hidden="1"/>
    </xf>
    <xf numFmtId="0" fontId="19" fillId="5" borderId="7" xfId="0" applyFont="1" applyFill="1" applyBorder="1" applyProtection="1">
      <protection hidden="1"/>
    </xf>
    <xf numFmtId="0" fontId="19" fillId="5" borderId="8" xfId="0" applyFont="1" applyFill="1" applyBorder="1" applyProtection="1">
      <protection hidden="1"/>
    </xf>
    <xf numFmtId="49" fontId="17" fillId="0" borderId="12" xfId="0" applyNumberFormat="1" applyFont="1" applyBorder="1" applyAlignment="1" applyProtection="1">
      <alignment horizontal="center"/>
      <protection locked="0"/>
    </xf>
    <xf numFmtId="14" fontId="17" fillId="0" borderId="12" xfId="0" applyNumberFormat="1" applyFont="1" applyBorder="1" applyAlignment="1" applyProtection="1">
      <alignment horizontal="center"/>
      <protection locked="0"/>
    </xf>
    <xf numFmtId="0" fontId="58" fillId="2" borderId="0" xfId="0" applyFont="1" applyFill="1" applyProtection="1">
      <protection hidden="1"/>
    </xf>
    <xf numFmtId="0" fontId="44" fillId="2" borderId="0" xfId="0" applyFont="1" applyFill="1" applyProtection="1">
      <protection hidden="1"/>
    </xf>
    <xf numFmtId="3" fontId="59" fillId="0" borderId="0" xfId="0" applyNumberFormat="1" applyFont="1" applyAlignment="1" applyProtection="1">
      <alignment horizontal="right"/>
      <protection hidden="1"/>
    </xf>
    <xf numFmtId="166" fontId="17" fillId="0" borderId="0" xfId="0" applyNumberFormat="1" applyFont="1" applyAlignment="1" applyProtection="1">
      <alignment vertical="center"/>
      <protection hidden="1"/>
    </xf>
    <xf numFmtId="0" fontId="19" fillId="4" borderId="5" xfId="0" applyFont="1" applyFill="1" applyBorder="1" applyProtection="1">
      <protection hidden="1"/>
    </xf>
    <xf numFmtId="0" fontId="22" fillId="0" borderId="0" xfId="0" applyFont="1" applyAlignment="1" applyProtection="1">
      <alignment wrapText="1"/>
      <protection hidden="1"/>
    </xf>
    <xf numFmtId="3" fontId="22" fillId="0" borderId="0" xfId="0" applyNumberFormat="1" applyFont="1" applyAlignment="1" applyProtection="1">
      <alignment horizontal="right" vertical="center"/>
      <protection hidden="1"/>
    </xf>
    <xf numFmtId="3" fontId="22" fillId="2" borderId="2" xfId="0" applyNumberFormat="1" applyFont="1" applyFill="1" applyBorder="1" applyAlignment="1" applyProtection="1">
      <alignment horizontal="right"/>
      <protection hidden="1"/>
    </xf>
    <xf numFmtId="0" fontId="19" fillId="2" borderId="0" xfId="0" applyFont="1" applyFill="1"/>
    <xf numFmtId="3" fontId="17" fillId="0" borderId="9" xfId="0" applyNumberFormat="1" applyFont="1" applyBorder="1" applyAlignment="1" applyProtection="1">
      <alignment vertical="center"/>
      <protection locked="0"/>
    </xf>
    <xf numFmtId="3" fontId="17" fillId="0" borderId="20" xfId="0" applyNumberFormat="1" applyFont="1" applyBorder="1" applyAlignment="1" applyProtection="1">
      <alignment vertical="center"/>
      <protection locked="0"/>
    </xf>
    <xf numFmtId="3" fontId="19" fillId="2" borderId="5" xfId="0" applyNumberFormat="1" applyFont="1" applyFill="1" applyBorder="1" applyProtection="1">
      <protection hidden="1"/>
    </xf>
    <xf numFmtId="0" fontId="22" fillId="0" borderId="20" xfId="0" applyFont="1" applyBorder="1" applyAlignment="1" applyProtection="1">
      <alignment horizontal="center"/>
      <protection hidden="1"/>
    </xf>
    <xf numFmtId="3" fontId="60" fillId="0" borderId="20" xfId="0" applyNumberFormat="1" applyFont="1" applyBorder="1" applyProtection="1">
      <protection hidden="1"/>
    </xf>
    <xf numFmtId="0" fontId="60" fillId="0" borderId="20" xfId="0" applyFont="1" applyBorder="1" applyProtection="1">
      <protection hidden="1"/>
    </xf>
    <xf numFmtId="0" fontId="22" fillId="2" borderId="9" xfId="0" applyFont="1" applyFill="1" applyBorder="1" applyAlignment="1" applyProtection="1">
      <alignment horizontal="center"/>
      <protection hidden="1"/>
    </xf>
    <xf numFmtId="0" fontId="22" fillId="0" borderId="18" xfId="0" applyFont="1" applyBorder="1" applyAlignment="1" applyProtection="1">
      <alignment horizontal="center"/>
      <protection hidden="1"/>
    </xf>
    <xf numFmtId="0" fontId="22" fillId="2" borderId="12" xfId="0" applyFont="1" applyFill="1" applyBorder="1" applyProtection="1">
      <protection hidden="1"/>
    </xf>
    <xf numFmtId="0" fontId="22" fillId="2" borderId="7" xfId="0" applyFont="1" applyFill="1" applyBorder="1" applyProtection="1">
      <protection hidden="1"/>
    </xf>
    <xf numFmtId="0" fontId="61" fillId="2" borderId="0" xfId="0" applyFont="1" applyFill="1" applyProtection="1">
      <protection hidden="1"/>
    </xf>
    <xf numFmtId="3" fontId="22" fillId="0" borderId="12" xfId="0" applyNumberFormat="1" applyFont="1" applyBorder="1" applyProtection="1">
      <protection locked="0"/>
    </xf>
    <xf numFmtId="0" fontId="22" fillId="2" borderId="10" xfId="0" applyFont="1" applyFill="1" applyBorder="1" applyProtection="1">
      <protection hidden="1"/>
    </xf>
    <xf numFmtId="0" fontId="31" fillId="0" borderId="0" xfId="0" applyFont="1" applyProtection="1">
      <protection hidden="1"/>
    </xf>
    <xf numFmtId="166" fontId="22" fillId="0" borderId="0" xfId="0" applyNumberFormat="1" applyFont="1"/>
    <xf numFmtId="166" fontId="22" fillId="0" borderId="2" xfId="0" applyNumberFormat="1" applyFont="1" applyBorder="1"/>
    <xf numFmtId="166" fontId="22" fillId="2" borderId="2" xfId="0" applyNumberFormat="1" applyFont="1" applyFill="1" applyBorder="1" applyProtection="1">
      <protection hidden="1"/>
    </xf>
    <xf numFmtId="0" fontId="17" fillId="2" borderId="0" xfId="0" applyFont="1" applyFill="1" applyAlignment="1" applyProtection="1">
      <alignment vertical="center"/>
      <protection hidden="1"/>
    </xf>
    <xf numFmtId="0" fontId="17" fillId="3" borderId="8" xfId="0" applyFont="1" applyFill="1" applyBorder="1" applyAlignment="1" applyProtection="1">
      <alignment vertical="center"/>
      <protection hidden="1"/>
    </xf>
    <xf numFmtId="0" fontId="17" fillId="2" borderId="0" xfId="0" applyFont="1" applyFill="1" applyAlignment="1" applyProtection="1">
      <alignment horizontal="center" vertical="center"/>
      <protection hidden="1"/>
    </xf>
    <xf numFmtId="0" fontId="17" fillId="7" borderId="0" xfId="0" applyFont="1" applyFill="1" applyAlignment="1" applyProtection="1">
      <alignment vertical="center"/>
      <protection hidden="1"/>
    </xf>
    <xf numFmtId="0" fontId="24" fillId="2" borderId="0" xfId="0" applyFont="1" applyFill="1" applyAlignment="1" applyProtection="1">
      <alignment vertical="center"/>
      <protection hidden="1"/>
    </xf>
    <xf numFmtId="0" fontId="24" fillId="7" borderId="0" xfId="0" applyFont="1" applyFill="1" applyAlignment="1" applyProtection="1">
      <alignment vertical="center"/>
      <protection hidden="1"/>
    </xf>
    <xf numFmtId="0" fontId="19" fillId="0" borderId="0" xfId="0" applyFont="1" applyAlignment="1" applyProtection="1">
      <alignment wrapText="1"/>
      <protection hidden="1"/>
    </xf>
    <xf numFmtId="165" fontId="22" fillId="0" borderId="0" xfId="0" applyNumberFormat="1" applyFont="1" applyProtection="1">
      <protection hidden="1"/>
    </xf>
    <xf numFmtId="0" fontId="55" fillId="2" borderId="0" xfId="0" applyFont="1" applyFill="1" applyProtection="1">
      <protection hidden="1"/>
    </xf>
    <xf numFmtId="0" fontId="62" fillId="2" borderId="0" xfId="0" applyFont="1" applyFill="1" applyAlignment="1" applyProtection="1">
      <alignment vertical="top"/>
      <protection hidden="1"/>
    </xf>
    <xf numFmtId="3" fontId="22" fillId="0" borderId="0" xfId="0" applyNumberFormat="1" applyFont="1" applyAlignment="1" applyProtection="1">
      <alignment wrapText="1"/>
      <protection hidden="1"/>
    </xf>
    <xf numFmtId="0" fontId="22" fillId="0" borderId="9" xfId="0" applyFont="1" applyBorder="1" applyAlignment="1" applyProtection="1">
      <alignment horizontal="left"/>
      <protection locked="0"/>
    </xf>
    <xf numFmtId="3" fontId="22" fillId="2" borderId="0" xfId="0" applyNumberFormat="1" applyFont="1" applyFill="1" applyAlignment="1" applyProtection="1">
      <alignment horizontal="center"/>
      <protection hidden="1"/>
    </xf>
    <xf numFmtId="0" fontId="22" fillId="2" borderId="0" xfId="0" applyFont="1" applyFill="1" applyAlignment="1" applyProtection="1">
      <alignment horizontal="center"/>
      <protection hidden="1"/>
    </xf>
    <xf numFmtId="0" fontId="19" fillId="3" borderId="12" xfId="0" applyFont="1" applyFill="1" applyBorder="1" applyAlignment="1" applyProtection="1">
      <alignment horizontal="left"/>
      <protection hidden="1"/>
    </xf>
    <xf numFmtId="0" fontId="65" fillId="0" borderId="0" xfId="0" applyFont="1" applyAlignment="1" applyProtection="1">
      <alignment vertical="center"/>
      <protection hidden="1"/>
    </xf>
    <xf numFmtId="0" fontId="19" fillId="2" borderId="20" xfId="0" applyFont="1" applyFill="1" applyBorder="1" applyProtection="1">
      <protection hidden="1"/>
    </xf>
    <xf numFmtId="0" fontId="19" fillId="0" borderId="0" xfId="0" applyFont="1" applyAlignment="1" applyProtection="1">
      <alignment horizontal="justify" vertical="center" wrapText="1"/>
      <protection hidden="1"/>
    </xf>
    <xf numFmtId="0" fontId="19" fillId="6" borderId="0" xfId="0" applyFont="1" applyFill="1" applyProtection="1">
      <protection locked="0"/>
    </xf>
    <xf numFmtId="0" fontId="28" fillId="2" borderId="0" xfId="0" applyFont="1" applyFill="1" applyAlignment="1" applyProtection="1">
      <alignment horizontal="center"/>
      <protection hidden="1"/>
    </xf>
    <xf numFmtId="0" fontId="25" fillId="2" borderId="0" xfId="0" applyFont="1" applyFill="1" applyAlignment="1" applyProtection="1">
      <alignment horizontal="left"/>
      <protection hidden="1"/>
    </xf>
    <xf numFmtId="0" fontId="19" fillId="4" borderId="7" xfId="0" applyFont="1" applyFill="1" applyBorder="1" applyAlignment="1" applyProtection="1">
      <alignment horizontal="center"/>
      <protection hidden="1"/>
    </xf>
    <xf numFmtId="49" fontId="19" fillId="0" borderId="0" xfId="0" applyNumberFormat="1" applyFont="1"/>
    <xf numFmtId="0" fontId="28" fillId="5" borderId="9" xfId="0" applyFont="1" applyFill="1" applyBorder="1" applyAlignment="1" applyProtection="1">
      <alignment horizontal="left"/>
      <protection hidden="1"/>
    </xf>
    <xf numFmtId="0" fontId="28" fillId="5" borderId="7" xfId="0" applyFont="1" applyFill="1" applyBorder="1" applyAlignment="1" applyProtection="1">
      <alignment horizontal="left"/>
      <protection hidden="1"/>
    </xf>
    <xf numFmtId="0" fontId="28" fillId="5" borderId="8" xfId="0" applyFont="1" applyFill="1" applyBorder="1" applyAlignment="1" applyProtection="1">
      <alignment horizontal="left"/>
      <protection hidden="1"/>
    </xf>
    <xf numFmtId="0" fontId="17" fillId="3" borderId="12" xfId="0" applyFont="1" applyFill="1" applyBorder="1" applyAlignment="1" applyProtection="1">
      <alignment horizontal="center" vertical="center"/>
      <protection hidden="1"/>
    </xf>
    <xf numFmtId="0" fontId="17" fillId="3" borderId="9" xfId="0" applyFont="1" applyFill="1" applyBorder="1" applyAlignment="1" applyProtection="1">
      <alignment vertical="center"/>
      <protection hidden="1"/>
    </xf>
    <xf numFmtId="0" fontId="17" fillId="3" borderId="7" xfId="0" applyFont="1" applyFill="1" applyBorder="1" applyAlignment="1" applyProtection="1">
      <alignment vertical="center"/>
      <protection hidden="1"/>
    </xf>
    <xf numFmtId="0" fontId="22" fillId="3" borderId="12" xfId="0" applyFont="1" applyFill="1" applyBorder="1" applyAlignment="1" applyProtection="1">
      <alignment horizontal="center" vertical="center"/>
      <protection hidden="1"/>
    </xf>
    <xf numFmtId="0" fontId="17" fillId="3" borderId="8" xfId="0" applyFont="1" applyFill="1" applyBorder="1" applyAlignment="1" applyProtection="1">
      <alignment horizontal="right" vertical="center"/>
      <protection hidden="1"/>
    </xf>
    <xf numFmtId="0" fontId="17" fillId="3" borderId="9" xfId="0" applyFont="1" applyFill="1" applyBorder="1" applyAlignment="1" applyProtection="1">
      <alignment horizontal="center" vertical="center"/>
      <protection hidden="1"/>
    </xf>
    <xf numFmtId="0" fontId="72" fillId="2" borderId="0" xfId="0" applyFont="1" applyFill="1" applyAlignment="1" applyProtection="1">
      <alignment vertical="center" wrapText="1"/>
      <protection hidden="1"/>
    </xf>
    <xf numFmtId="0" fontId="72" fillId="2" borderId="0" xfId="0" applyFont="1" applyFill="1" applyAlignment="1" applyProtection="1">
      <alignment horizontal="left" vertical="center" wrapText="1"/>
      <protection hidden="1"/>
    </xf>
    <xf numFmtId="0" fontId="24" fillId="2" borderId="0" xfId="0" applyFont="1" applyFill="1" applyAlignment="1" applyProtection="1">
      <alignment horizontal="justify" vertical="center" wrapText="1"/>
      <protection hidden="1"/>
    </xf>
    <xf numFmtId="0" fontId="17" fillId="3" borderId="7" xfId="0" applyFont="1" applyFill="1" applyBorder="1" applyAlignment="1" applyProtection="1">
      <alignment horizontal="left" vertical="center"/>
      <protection hidden="1"/>
    </xf>
    <xf numFmtId="0" fontId="17" fillId="2" borderId="1" xfId="0" applyFont="1" applyFill="1" applyBorder="1" applyAlignment="1" applyProtection="1">
      <alignment vertical="center"/>
      <protection hidden="1"/>
    </xf>
    <xf numFmtId="0" fontId="24" fillId="3" borderId="12" xfId="0" applyFont="1" applyFill="1" applyBorder="1" applyAlignment="1" applyProtection="1">
      <alignment horizontal="center" vertical="center"/>
      <protection hidden="1"/>
    </xf>
    <xf numFmtId="0" fontId="17" fillId="2" borderId="0" xfId="0" applyFont="1" applyFill="1" applyAlignment="1" applyProtection="1">
      <alignment vertical="top" wrapText="1"/>
      <protection hidden="1"/>
    </xf>
    <xf numFmtId="0" fontId="17" fillId="3" borderId="9" xfId="0" applyFont="1" applyFill="1" applyBorder="1" applyAlignment="1" applyProtection="1">
      <alignment horizontal="left" vertical="center"/>
      <protection hidden="1"/>
    </xf>
    <xf numFmtId="0" fontId="22" fillId="3" borderId="12" xfId="0" applyFont="1" applyFill="1" applyBorder="1" applyAlignment="1" applyProtection="1">
      <alignment horizontal="center" vertical="center" wrapText="1"/>
      <protection hidden="1"/>
    </xf>
    <xf numFmtId="0" fontId="41" fillId="2" borderId="0" xfId="0" applyFont="1" applyFill="1" applyAlignment="1" applyProtection="1">
      <alignment horizontal="center"/>
      <protection hidden="1"/>
    </xf>
    <xf numFmtId="0" fontId="22" fillId="3" borderId="7" xfId="0" applyFont="1" applyFill="1" applyBorder="1" applyAlignment="1" applyProtection="1">
      <alignment horizontal="center" vertical="center"/>
      <protection hidden="1"/>
    </xf>
    <xf numFmtId="0" fontId="22" fillId="2" borderId="0" xfId="0" applyFont="1" applyFill="1" applyAlignment="1" applyProtection="1">
      <alignment vertical="center" wrapText="1"/>
      <protection hidden="1"/>
    </xf>
    <xf numFmtId="0" fontId="28" fillId="6" borderId="9" xfId="0" applyFont="1" applyFill="1" applyBorder="1" applyAlignment="1" applyProtection="1">
      <alignment horizontal="right"/>
      <protection hidden="1"/>
    </xf>
    <xf numFmtId="170" fontId="17" fillId="8" borderId="21" xfId="0" applyNumberFormat="1" applyFont="1" applyFill="1" applyBorder="1" applyAlignment="1" applyProtection="1">
      <alignment horizontal="center"/>
      <protection locked="0"/>
    </xf>
    <xf numFmtId="0" fontId="17" fillId="8" borderId="12" xfId="0" applyFont="1" applyFill="1" applyBorder="1" applyAlignment="1" applyProtection="1">
      <alignment horizontal="center"/>
      <protection locked="0"/>
    </xf>
    <xf numFmtId="0" fontId="19" fillId="4" borderId="21" xfId="0" applyFont="1" applyFill="1" applyBorder="1" applyAlignment="1" applyProtection="1">
      <alignment horizontal="left"/>
      <protection hidden="1"/>
    </xf>
    <xf numFmtId="0" fontId="42" fillId="4" borderId="12" xfId="0" applyFont="1" applyFill="1" applyBorder="1" applyAlignment="1" applyProtection="1">
      <alignment horizontal="justify" vertical="center" wrapText="1"/>
      <protection hidden="1"/>
    </xf>
    <xf numFmtId="0" fontId="42" fillId="4" borderId="12" xfId="0" applyFont="1" applyFill="1" applyBorder="1" applyAlignment="1" applyProtection="1">
      <alignment horizontal="center" vertical="center"/>
      <protection hidden="1"/>
    </xf>
    <xf numFmtId="0" fontId="22" fillId="4" borderId="12" xfId="0" applyFont="1" applyFill="1" applyBorder="1" applyAlignment="1" applyProtection="1">
      <alignment horizontal="center"/>
      <protection hidden="1"/>
    </xf>
    <xf numFmtId="166" fontId="22" fillId="0" borderId="12" xfId="0" applyNumberFormat="1" applyFont="1" applyBorder="1" applyAlignment="1" applyProtection="1">
      <alignment vertical="center"/>
      <protection locked="0"/>
    </xf>
    <xf numFmtId="170" fontId="19" fillId="0" borderId="0" xfId="0" applyNumberFormat="1" applyFont="1" applyProtection="1">
      <protection hidden="1"/>
    </xf>
    <xf numFmtId="166" fontId="43" fillId="4" borderId="12" xfId="0" applyNumberFormat="1" applyFont="1" applyFill="1" applyBorder="1" applyAlignment="1" applyProtection="1">
      <alignment vertical="center"/>
      <protection hidden="1"/>
    </xf>
    <xf numFmtId="0" fontId="25" fillId="2" borderId="0" xfId="0" applyFont="1" applyFill="1" applyAlignment="1" applyProtection="1">
      <alignment horizontal="center"/>
      <protection hidden="1"/>
    </xf>
    <xf numFmtId="166" fontId="49" fillId="2" borderId="12" xfId="0" applyNumberFormat="1" applyFont="1" applyFill="1" applyBorder="1" applyAlignment="1" applyProtection="1">
      <alignment vertical="center"/>
      <protection hidden="1"/>
    </xf>
    <xf numFmtId="166" fontId="22" fillId="4" borderId="12" xfId="0" applyNumberFormat="1" applyFont="1" applyFill="1" applyBorder="1" applyAlignment="1" applyProtection="1">
      <alignment vertical="center"/>
      <protection hidden="1"/>
    </xf>
    <xf numFmtId="0" fontId="37" fillId="4" borderId="12" xfId="0" applyFont="1" applyFill="1" applyBorder="1" applyAlignment="1" applyProtection="1">
      <alignment horizontal="center"/>
      <protection hidden="1"/>
    </xf>
    <xf numFmtId="0" fontId="15" fillId="4" borderId="12" xfId="0" applyFont="1" applyFill="1" applyBorder="1" applyProtection="1">
      <protection hidden="1"/>
    </xf>
    <xf numFmtId="0" fontId="19" fillId="0" borderId="12" xfId="0" applyFont="1" applyBorder="1" applyAlignment="1" applyProtection="1">
      <alignment horizontal="center"/>
      <protection locked="0"/>
    </xf>
    <xf numFmtId="0" fontId="25" fillId="4" borderId="0" xfId="0" applyFont="1" applyFill="1" applyProtection="1">
      <protection hidden="1"/>
    </xf>
    <xf numFmtId="0" fontId="17" fillId="4" borderId="0" xfId="0" applyFont="1" applyFill="1" applyAlignment="1" applyProtection="1">
      <alignment horizontal="right"/>
      <protection hidden="1"/>
    </xf>
    <xf numFmtId="0" fontId="17" fillId="4" borderId="12" xfId="0" applyFont="1" applyFill="1" applyBorder="1" applyAlignment="1" applyProtection="1">
      <alignment horizontal="center" vertical="center"/>
      <protection hidden="1"/>
    </xf>
    <xf numFmtId="0" fontId="78" fillId="4" borderId="12" xfId="0" applyFont="1" applyFill="1" applyBorder="1" applyAlignment="1" applyProtection="1">
      <alignment horizontal="center" vertical="center"/>
      <protection hidden="1"/>
    </xf>
    <xf numFmtId="0" fontId="19" fillId="4" borderId="12" xfId="0" applyFont="1" applyFill="1" applyBorder="1" applyAlignment="1" applyProtection="1">
      <alignment horizontal="center"/>
      <protection hidden="1"/>
    </xf>
    <xf numFmtId="0" fontId="43" fillId="4" borderId="9" xfId="0" applyFont="1" applyFill="1" applyBorder="1" applyAlignment="1" applyProtection="1">
      <alignment horizontal="justify" vertical="center" wrapText="1"/>
      <protection hidden="1"/>
    </xf>
    <xf numFmtId="0" fontId="69" fillId="4" borderId="12" xfId="0" applyFont="1" applyFill="1" applyBorder="1" applyAlignment="1" applyProtection="1">
      <alignment horizontal="center"/>
      <protection hidden="1"/>
    </xf>
    <xf numFmtId="0" fontId="43" fillId="4" borderId="12" xfId="0" applyFont="1" applyFill="1" applyBorder="1" applyAlignment="1" applyProtection="1">
      <alignment horizontal="center"/>
      <protection hidden="1"/>
    </xf>
    <xf numFmtId="165" fontId="22" fillId="0" borderId="12" xfId="0" applyNumberFormat="1" applyFont="1" applyBorder="1" applyProtection="1">
      <protection locked="0"/>
    </xf>
    <xf numFmtId="165" fontId="75" fillId="4" borderId="12" xfId="0" applyNumberFormat="1" applyFont="1" applyFill="1" applyBorder="1" applyProtection="1">
      <protection hidden="1"/>
    </xf>
    <xf numFmtId="165" fontId="19" fillId="0" borderId="0" xfId="0" applyNumberFormat="1" applyFont="1" applyProtection="1">
      <protection hidden="1"/>
    </xf>
    <xf numFmtId="165" fontId="25" fillId="0" borderId="0" xfId="0" applyNumberFormat="1" applyFont="1" applyProtection="1">
      <protection hidden="1"/>
    </xf>
    <xf numFmtId="0" fontId="25" fillId="2" borderId="0" xfId="0" applyFont="1" applyFill="1" applyAlignment="1" applyProtection="1">
      <alignment horizontal="right"/>
      <protection hidden="1"/>
    </xf>
    <xf numFmtId="0" fontId="79" fillId="2" borderId="0" xfId="0" applyFont="1" applyFill="1" applyAlignment="1" applyProtection="1">
      <alignment vertical="center"/>
      <protection hidden="1"/>
    </xf>
    <xf numFmtId="165" fontId="80" fillId="2" borderId="12" xfId="0" applyNumberFormat="1" applyFont="1" applyFill="1" applyBorder="1" applyAlignment="1" applyProtection="1">
      <alignment vertical="top"/>
      <protection hidden="1"/>
    </xf>
    <xf numFmtId="165" fontId="81" fillId="0" borderId="0" xfId="0" applyNumberFormat="1" applyFont="1" applyProtection="1">
      <protection hidden="1"/>
    </xf>
    <xf numFmtId="165" fontId="22" fillId="0" borderId="12" xfId="0" applyNumberFormat="1" applyFont="1" applyBorder="1" applyProtection="1">
      <protection hidden="1"/>
    </xf>
    <xf numFmtId="165" fontId="43" fillId="4" borderId="12" xfId="0" applyNumberFormat="1" applyFont="1" applyFill="1" applyBorder="1" applyAlignment="1" applyProtection="1">
      <alignment vertical="top"/>
      <protection hidden="1"/>
    </xf>
    <xf numFmtId="0" fontId="69" fillId="2" borderId="0" xfId="0" applyFont="1" applyFill="1" applyAlignment="1" applyProtection="1">
      <alignment vertical="center"/>
      <protection hidden="1"/>
    </xf>
    <xf numFmtId="0" fontId="28" fillId="4" borderId="7" xfId="0" applyFont="1" applyFill="1" applyBorder="1" applyAlignment="1" applyProtection="1">
      <alignment horizontal="left" vertical="center"/>
      <protection hidden="1"/>
    </xf>
    <xf numFmtId="165" fontId="22" fillId="4" borderId="6" xfId="0" applyNumberFormat="1" applyFont="1" applyFill="1" applyBorder="1" applyAlignment="1" applyProtection="1">
      <alignment horizontal="left" vertical="center"/>
      <protection hidden="1"/>
    </xf>
    <xf numFmtId="165" fontId="22" fillId="2" borderId="0" xfId="0" applyNumberFormat="1" applyFont="1" applyFill="1" applyProtection="1">
      <protection hidden="1"/>
    </xf>
    <xf numFmtId="165" fontId="22" fillId="0" borderId="18" xfId="0" applyNumberFormat="1" applyFont="1" applyBorder="1" applyProtection="1">
      <protection locked="0"/>
    </xf>
    <xf numFmtId="165" fontId="49" fillId="2" borderId="12" xfId="0" applyNumberFormat="1" applyFont="1" applyFill="1" applyBorder="1" applyAlignment="1" applyProtection="1">
      <alignment vertical="center"/>
      <protection hidden="1"/>
    </xf>
    <xf numFmtId="165" fontId="22" fillId="0" borderId="21" xfId="0" applyNumberFormat="1" applyFont="1" applyBorder="1" applyProtection="1">
      <protection locked="0"/>
    </xf>
    <xf numFmtId="0" fontId="17" fillId="4" borderId="9" xfId="0" applyFont="1" applyFill="1" applyBorder="1" applyAlignment="1" applyProtection="1">
      <alignment horizontal="left" vertical="center"/>
      <protection hidden="1"/>
    </xf>
    <xf numFmtId="0" fontId="17" fillId="4" borderId="7" xfId="0" applyFont="1" applyFill="1" applyBorder="1" applyAlignment="1" applyProtection="1">
      <alignment horizontal="left" vertical="center"/>
      <protection hidden="1"/>
    </xf>
    <xf numFmtId="165" fontId="22" fillId="4" borderId="8" xfId="0" applyNumberFormat="1" applyFont="1" applyFill="1" applyBorder="1" applyProtection="1">
      <protection hidden="1"/>
    </xf>
    <xf numFmtId="165" fontId="75" fillId="4" borderId="18" xfId="0" applyNumberFormat="1" applyFont="1" applyFill="1" applyBorder="1" applyProtection="1">
      <protection hidden="1"/>
    </xf>
    <xf numFmtId="0" fontId="19" fillId="2" borderId="12" xfId="0" applyFont="1" applyFill="1" applyBorder="1" applyProtection="1">
      <protection hidden="1"/>
    </xf>
    <xf numFmtId="0" fontId="19" fillId="2" borderId="18" xfId="0" applyFont="1" applyFill="1" applyBorder="1" applyProtection="1">
      <protection hidden="1"/>
    </xf>
    <xf numFmtId="0" fontId="37" fillId="4" borderId="8" xfId="0" applyFont="1" applyFill="1" applyBorder="1" applyAlignment="1" applyProtection="1">
      <alignment horizontal="center"/>
      <protection hidden="1"/>
    </xf>
    <xf numFmtId="0" fontId="82" fillId="2" borderId="0" xfId="0" applyFont="1" applyFill="1" applyAlignment="1" applyProtection="1">
      <alignment vertical="center"/>
      <protection hidden="1"/>
    </xf>
    <xf numFmtId="0" fontId="82" fillId="0" borderId="12" xfId="0" applyFont="1" applyBorder="1" applyAlignment="1" applyProtection="1">
      <alignment horizontal="center" vertical="center"/>
      <protection locked="0"/>
    </xf>
    <xf numFmtId="0" fontId="83" fillId="4" borderId="9" xfId="0" applyFont="1" applyFill="1" applyBorder="1" applyAlignment="1" applyProtection="1">
      <alignment vertical="center"/>
      <protection hidden="1"/>
    </xf>
    <xf numFmtId="0" fontId="77" fillId="2" borderId="0" xfId="0" applyFont="1" applyFill="1" applyAlignment="1" applyProtection="1">
      <alignment horizontal="center"/>
      <protection hidden="1"/>
    </xf>
    <xf numFmtId="0" fontId="22" fillId="0" borderId="9" xfId="0" applyFont="1" applyBorder="1" applyAlignment="1" applyProtection="1">
      <alignment horizontal="left" vertical="center" wrapText="1"/>
      <protection hidden="1"/>
    </xf>
    <xf numFmtId="0" fontId="69" fillId="2" borderId="0" xfId="0" applyFont="1" applyFill="1" applyAlignment="1" applyProtection="1">
      <alignment horizontal="center"/>
      <protection hidden="1"/>
    </xf>
    <xf numFmtId="0" fontId="17" fillId="2" borderId="0" xfId="0" applyFont="1" applyFill="1" applyAlignment="1" applyProtection="1">
      <alignment horizontal="left"/>
      <protection hidden="1"/>
    </xf>
    <xf numFmtId="3" fontId="17" fillId="2" borderId="0" xfId="0" applyNumberFormat="1" applyFont="1" applyFill="1" applyAlignment="1" applyProtection="1">
      <alignment horizontal="center"/>
      <protection hidden="1"/>
    </xf>
    <xf numFmtId="0" fontId="19" fillId="4" borderId="9" xfId="0" applyFont="1" applyFill="1" applyBorder="1" applyAlignment="1" applyProtection="1">
      <alignment horizontal="left"/>
      <protection hidden="1"/>
    </xf>
    <xf numFmtId="0" fontId="22" fillId="4" borderId="7" xfId="0" applyFont="1" applyFill="1" applyBorder="1" applyAlignment="1" applyProtection="1">
      <alignment horizontal="center"/>
      <protection hidden="1"/>
    </xf>
    <xf numFmtId="0" fontId="19" fillId="8" borderId="12" xfId="0" applyFont="1" applyFill="1" applyBorder="1" applyAlignment="1" applyProtection="1">
      <alignment horizontal="center"/>
      <protection locked="0"/>
    </xf>
    <xf numFmtId="0" fontId="19" fillId="3" borderId="9" xfId="0" applyFont="1" applyFill="1" applyBorder="1" applyAlignment="1" applyProtection="1">
      <alignment horizontal="left"/>
      <protection hidden="1"/>
    </xf>
    <xf numFmtId="0" fontId="19" fillId="3" borderId="7" xfId="0" applyFont="1" applyFill="1" applyBorder="1" applyAlignment="1" applyProtection="1">
      <alignment horizontal="left"/>
      <protection hidden="1"/>
    </xf>
    <xf numFmtId="3" fontId="17" fillId="0" borderId="12" xfId="0" applyNumberFormat="1" applyFont="1" applyBorder="1" applyAlignment="1" applyProtection="1">
      <alignment horizontal="right"/>
      <protection locked="0"/>
    </xf>
    <xf numFmtId="3" fontId="17" fillId="3" borderId="21" xfId="0" applyNumberFormat="1" applyFont="1" applyFill="1" applyBorder="1" applyAlignment="1" applyProtection="1">
      <alignment horizontal="center"/>
      <protection hidden="1"/>
    </xf>
    <xf numFmtId="0" fontId="17" fillId="4" borderId="9" xfId="0" applyFont="1" applyFill="1" applyBorder="1" applyAlignment="1" applyProtection="1">
      <alignment horizontal="left"/>
      <protection hidden="1"/>
    </xf>
    <xf numFmtId="3" fontId="17" fillId="2" borderId="8" xfId="0" applyNumberFormat="1" applyFont="1" applyFill="1" applyBorder="1" applyProtection="1">
      <protection hidden="1"/>
    </xf>
    <xf numFmtId="3" fontId="17" fillId="0" borderId="18" xfId="0" applyNumberFormat="1" applyFont="1" applyBorder="1" applyProtection="1">
      <protection locked="0"/>
    </xf>
    <xf numFmtId="3" fontId="17" fillId="0" borderId="12" xfId="0" applyNumberFormat="1" applyFont="1" applyBorder="1" applyProtection="1">
      <protection locked="0"/>
    </xf>
    <xf numFmtId="3" fontId="17" fillId="4" borderId="12" xfId="0" applyNumberFormat="1" applyFont="1" applyFill="1" applyBorder="1" applyProtection="1">
      <protection hidden="1"/>
    </xf>
    <xf numFmtId="3" fontId="17" fillId="2" borderId="12" xfId="0" applyNumberFormat="1" applyFont="1" applyFill="1" applyBorder="1" applyProtection="1">
      <protection hidden="1"/>
    </xf>
    <xf numFmtId="0" fontId="19" fillId="5" borderId="9" xfId="0" applyFont="1" applyFill="1" applyBorder="1" applyAlignment="1" applyProtection="1">
      <alignment horizontal="left"/>
      <protection hidden="1"/>
    </xf>
    <xf numFmtId="0" fontId="19" fillId="5" borderId="7" xfId="0" applyFont="1" applyFill="1" applyBorder="1" applyAlignment="1" applyProtection="1">
      <alignment horizontal="left"/>
      <protection hidden="1"/>
    </xf>
    <xf numFmtId="0" fontId="19" fillId="5" borderId="8" xfId="0" applyFont="1" applyFill="1" applyBorder="1" applyAlignment="1" applyProtection="1">
      <alignment horizontal="right"/>
      <protection hidden="1"/>
    </xf>
    <xf numFmtId="3" fontId="17" fillId="5" borderId="12" xfId="0" applyNumberFormat="1" applyFont="1" applyFill="1" applyBorder="1" applyAlignment="1" applyProtection="1">
      <alignment horizontal="right"/>
      <protection hidden="1"/>
    </xf>
    <xf numFmtId="3" fontId="17" fillId="4" borderId="12" xfId="0" applyNumberFormat="1" applyFont="1" applyFill="1" applyBorder="1" applyAlignment="1" applyProtection="1">
      <alignment horizontal="right"/>
      <protection hidden="1"/>
    </xf>
    <xf numFmtId="3" fontId="19" fillId="4" borderId="8" xfId="0" applyNumberFormat="1" applyFont="1" applyFill="1" applyBorder="1" applyProtection="1">
      <protection hidden="1"/>
    </xf>
    <xf numFmtId="0" fontId="22" fillId="5" borderId="7" xfId="0" applyFont="1" applyFill="1" applyBorder="1" applyAlignment="1" applyProtection="1">
      <alignment horizontal="center"/>
      <protection hidden="1"/>
    </xf>
    <xf numFmtId="0" fontId="17" fillId="3" borderId="9" xfId="0" applyFont="1" applyFill="1" applyBorder="1" applyAlignment="1" applyProtection="1">
      <alignment horizontal="left"/>
      <protection hidden="1"/>
    </xf>
    <xf numFmtId="0" fontId="19" fillId="3" borderId="8" xfId="0" applyFont="1" applyFill="1" applyBorder="1" applyProtection="1">
      <protection hidden="1"/>
    </xf>
    <xf numFmtId="0" fontId="78" fillId="2" borderId="0" xfId="0" applyFont="1" applyFill="1" applyAlignment="1" applyProtection="1">
      <alignment horizontal="center" vertical="center"/>
      <protection hidden="1"/>
    </xf>
    <xf numFmtId="3" fontId="78" fillId="2" borderId="0" xfId="0" applyNumberFormat="1" applyFont="1" applyFill="1" applyAlignment="1" applyProtection="1">
      <alignment horizontal="center" vertical="center"/>
      <protection hidden="1"/>
    </xf>
    <xf numFmtId="9" fontId="19" fillId="5" borderId="7" xfId="0" applyNumberFormat="1" applyFont="1" applyFill="1" applyBorder="1" applyAlignment="1" applyProtection="1">
      <alignment horizontal="left"/>
      <protection hidden="1"/>
    </xf>
    <xf numFmtId="3" fontId="17" fillId="5" borderId="8" xfId="0" applyNumberFormat="1" applyFont="1" applyFill="1" applyBorder="1" applyAlignment="1" applyProtection="1">
      <alignment horizontal="right"/>
      <protection hidden="1"/>
    </xf>
    <xf numFmtId="0" fontId="17" fillId="2" borderId="12" xfId="0" applyFont="1" applyFill="1" applyBorder="1" applyAlignment="1" applyProtection="1">
      <alignment horizontal="center"/>
      <protection hidden="1"/>
    </xf>
    <xf numFmtId="0" fontId="19" fillId="2" borderId="1" xfId="0" applyFont="1" applyFill="1" applyBorder="1" applyAlignment="1">
      <alignment horizontal="left" vertical="center" wrapText="1"/>
    </xf>
    <xf numFmtId="0" fontId="19" fillId="2" borderId="0" xfId="0" applyFont="1" applyFill="1" applyAlignment="1">
      <alignment horizontal="left" vertical="center" wrapText="1"/>
    </xf>
    <xf numFmtId="0" fontId="19" fillId="2" borderId="0" xfId="0" applyFont="1" applyFill="1" applyAlignment="1" applyProtection="1">
      <alignment horizontal="left" vertical="center"/>
      <protection hidden="1"/>
    </xf>
    <xf numFmtId="0" fontId="19" fillId="0" borderId="12" xfId="0" applyFont="1" applyBorder="1" applyAlignment="1" applyProtection="1">
      <alignment horizontal="center" vertical="center"/>
      <protection locked="0"/>
    </xf>
    <xf numFmtId="0" fontId="19" fillId="2" borderId="1" xfId="0" applyFont="1" applyFill="1" applyBorder="1" applyAlignment="1" applyProtection="1">
      <alignment horizontal="left" vertical="center"/>
      <protection hidden="1"/>
    </xf>
    <xf numFmtId="0" fontId="19" fillId="2" borderId="2" xfId="0" applyFont="1" applyFill="1" applyBorder="1" applyAlignment="1" applyProtection="1">
      <alignment horizontal="left" vertical="center"/>
      <protection hidden="1"/>
    </xf>
    <xf numFmtId="0" fontId="17" fillId="3" borderId="12" xfId="0" applyFont="1" applyFill="1" applyBorder="1" applyAlignment="1" applyProtection="1">
      <alignment horizontal="center" vertical="center" wrapText="1"/>
      <protection hidden="1"/>
    </xf>
    <xf numFmtId="0" fontId="17" fillId="0" borderId="12" xfId="0" applyFont="1" applyBorder="1" applyAlignment="1" applyProtection="1">
      <alignment horizontal="center"/>
      <protection locked="0"/>
    </xf>
    <xf numFmtId="14" fontId="22" fillId="0" borderId="12" xfId="0" applyNumberFormat="1" applyFont="1" applyBorder="1" applyAlignment="1" applyProtection="1">
      <alignment horizontal="center"/>
      <protection locked="0"/>
    </xf>
    <xf numFmtId="3" fontId="22" fillId="0" borderId="12" xfId="0" applyNumberFormat="1" applyFont="1" applyBorder="1" applyAlignment="1" applyProtection="1">
      <alignment horizontal="right"/>
      <protection locked="0"/>
    </xf>
    <xf numFmtId="0" fontId="22" fillId="8" borderId="12" xfId="0" applyFont="1" applyFill="1" applyBorder="1" applyAlignment="1" applyProtection="1">
      <alignment horizontal="center"/>
      <protection locked="0"/>
    </xf>
    <xf numFmtId="9" fontId="17" fillId="4" borderId="12" xfId="0" applyNumberFormat="1" applyFont="1" applyFill="1" applyBorder="1" applyAlignment="1" applyProtection="1">
      <alignment horizontal="center"/>
      <protection hidden="1"/>
    </xf>
    <xf numFmtId="3" fontId="22" fillId="4" borderId="12" xfId="0" applyNumberFormat="1" applyFont="1" applyFill="1" applyBorder="1" applyAlignment="1" applyProtection="1">
      <alignment horizontal="right"/>
      <protection hidden="1"/>
    </xf>
    <xf numFmtId="3" fontId="22" fillId="6" borderId="20" xfId="0" applyNumberFormat="1" applyFont="1" applyFill="1" applyBorder="1" applyAlignment="1" applyProtection="1">
      <alignment horizontal="right"/>
      <protection hidden="1"/>
    </xf>
    <xf numFmtId="0" fontId="19" fillId="2" borderId="19" xfId="0" applyFont="1" applyFill="1" applyBorder="1" applyAlignment="1" applyProtection="1">
      <alignment horizontal="left"/>
      <protection hidden="1"/>
    </xf>
    <xf numFmtId="0" fontId="19" fillId="2" borderId="10" xfId="0" applyFont="1" applyFill="1" applyBorder="1" applyAlignment="1" applyProtection="1">
      <alignment horizontal="left"/>
      <protection hidden="1"/>
    </xf>
    <xf numFmtId="0" fontId="19" fillId="2" borderId="3" xfId="0" applyFont="1" applyFill="1" applyBorder="1" applyAlignment="1" applyProtection="1">
      <alignment horizontal="left"/>
      <protection hidden="1"/>
    </xf>
    <xf numFmtId="0" fontId="24" fillId="2" borderId="12" xfId="0" applyFont="1" applyFill="1" applyBorder="1" applyAlignment="1" applyProtection="1">
      <alignment horizontal="center"/>
      <protection hidden="1"/>
    </xf>
    <xf numFmtId="0" fontId="17" fillId="2" borderId="1" xfId="0" applyFont="1" applyFill="1" applyBorder="1"/>
    <xf numFmtId="3" fontId="22" fillId="0" borderId="12" xfId="0" applyNumberFormat="1" applyFont="1" applyBorder="1" applyAlignment="1" applyProtection="1">
      <alignment horizontal="center"/>
      <protection locked="0"/>
    </xf>
    <xf numFmtId="3" fontId="22" fillId="0" borderId="9" xfId="0" applyNumberFormat="1" applyFont="1" applyBorder="1" applyAlignment="1" applyProtection="1">
      <alignment horizontal="center"/>
      <protection locked="0"/>
    </xf>
    <xf numFmtId="9" fontId="22" fillId="0" borderId="12" xfId="0" applyNumberFormat="1" applyFont="1" applyBorder="1" applyAlignment="1" applyProtection="1">
      <alignment horizontal="center"/>
      <protection locked="0"/>
    </xf>
    <xf numFmtId="0" fontId="25" fillId="2" borderId="2" xfId="0" applyFont="1" applyFill="1" applyBorder="1" applyAlignment="1" applyProtection="1">
      <alignment horizontal="center"/>
      <protection hidden="1"/>
    </xf>
    <xf numFmtId="3" fontId="22" fillId="6" borderId="22" xfId="0" applyNumberFormat="1" applyFont="1" applyFill="1" applyBorder="1" applyAlignment="1" applyProtection="1">
      <alignment horizontal="right"/>
      <protection hidden="1"/>
    </xf>
    <xf numFmtId="0" fontId="19" fillId="2" borderId="4" xfId="0" applyFont="1" applyFill="1" applyBorder="1" applyAlignment="1" applyProtection="1">
      <alignment horizontal="left"/>
      <protection hidden="1"/>
    </xf>
    <xf numFmtId="0" fontId="19" fillId="2" borderId="5" xfId="0" applyFont="1" applyFill="1" applyBorder="1" applyAlignment="1" applyProtection="1">
      <alignment horizontal="left"/>
      <protection hidden="1"/>
    </xf>
    <xf numFmtId="0" fontId="19" fillId="2" borderId="6" xfId="0" applyFont="1" applyFill="1" applyBorder="1" applyAlignment="1" applyProtection="1">
      <alignment horizontal="left"/>
      <protection hidden="1"/>
    </xf>
    <xf numFmtId="0" fontId="82" fillId="2" borderId="4" xfId="0" applyFont="1" applyFill="1" applyBorder="1" applyAlignment="1" applyProtection="1">
      <alignment horizontal="left"/>
      <protection hidden="1"/>
    </xf>
    <xf numFmtId="0" fontId="82" fillId="2" borderId="5" xfId="0" applyFont="1" applyFill="1" applyBorder="1" applyAlignment="1" applyProtection="1">
      <alignment horizontal="left"/>
      <protection hidden="1"/>
    </xf>
    <xf numFmtId="0" fontId="82" fillId="2" borderId="6" xfId="0" applyFont="1" applyFill="1" applyBorder="1" applyAlignment="1" applyProtection="1">
      <alignment horizontal="left"/>
      <protection hidden="1"/>
    </xf>
    <xf numFmtId="0" fontId="17" fillId="2" borderId="4" xfId="0" applyFont="1" applyFill="1" applyBorder="1" applyProtection="1">
      <protection hidden="1"/>
    </xf>
    <xf numFmtId="0" fontId="17" fillId="2" borderId="6" xfId="0" applyFont="1" applyFill="1" applyBorder="1" applyAlignment="1" applyProtection="1">
      <alignment horizontal="right"/>
      <protection hidden="1"/>
    </xf>
    <xf numFmtId="0" fontId="55" fillId="0" borderId="0" xfId="0" applyFont="1" applyAlignment="1" applyProtection="1">
      <alignment horizontal="right"/>
      <protection hidden="1"/>
    </xf>
    <xf numFmtId="0" fontId="22" fillId="2" borderId="1" xfId="0" applyFont="1" applyFill="1" applyBorder="1"/>
    <xf numFmtId="0" fontId="19" fillId="2" borderId="5" xfId="0" applyFont="1" applyFill="1" applyBorder="1" applyAlignment="1">
      <alignment horizontal="right"/>
    </xf>
    <xf numFmtId="3" fontId="17" fillId="2" borderId="12" xfId="0" applyNumberFormat="1" applyFont="1" applyFill="1" applyBorder="1" applyAlignment="1" applyProtection="1">
      <alignment horizontal="center"/>
      <protection hidden="1"/>
    </xf>
    <xf numFmtId="3" fontId="17" fillId="3" borderId="12" xfId="0" applyNumberFormat="1" applyFont="1" applyFill="1" applyBorder="1" applyAlignment="1" applyProtection="1">
      <alignment horizontal="center"/>
      <protection hidden="1"/>
    </xf>
    <xf numFmtId="3" fontId="61" fillId="3" borderId="8" xfId="0" applyNumberFormat="1" applyFont="1" applyFill="1" applyBorder="1" applyProtection="1">
      <protection hidden="1"/>
    </xf>
    <xf numFmtId="3" fontId="22" fillId="4" borderId="8" xfId="0" applyNumberFormat="1" applyFont="1" applyFill="1" applyBorder="1" applyProtection="1">
      <protection hidden="1"/>
    </xf>
    <xf numFmtId="9" fontId="19" fillId="3" borderId="9" xfId="0" applyNumberFormat="1" applyFont="1" applyFill="1" applyBorder="1" applyAlignment="1" applyProtection="1">
      <alignment horizontal="left"/>
      <protection hidden="1"/>
    </xf>
    <xf numFmtId="9" fontId="22" fillId="3" borderId="7" xfId="0" applyNumberFormat="1" applyFont="1" applyFill="1" applyBorder="1" applyAlignment="1" applyProtection="1">
      <alignment horizontal="right"/>
      <protection hidden="1"/>
    </xf>
    <xf numFmtId="10" fontId="17" fillId="0" borderId="9" xfId="0" applyNumberFormat="1" applyFont="1" applyBorder="1" applyAlignment="1" applyProtection="1">
      <alignment horizontal="center"/>
      <protection locked="0"/>
    </xf>
    <xf numFmtId="9" fontId="25" fillId="3" borderId="9" xfId="0" applyNumberFormat="1" applyFont="1" applyFill="1" applyBorder="1" applyAlignment="1" applyProtection="1">
      <alignment horizontal="left"/>
      <protection hidden="1"/>
    </xf>
    <xf numFmtId="0" fontId="17" fillId="2" borderId="8" xfId="0" applyFont="1" applyFill="1" applyBorder="1" applyAlignment="1" applyProtection="1">
      <alignment horizontal="center"/>
      <protection hidden="1"/>
    </xf>
    <xf numFmtId="0" fontId="17" fillId="4" borderId="12" xfId="0" applyFont="1" applyFill="1" applyBorder="1" applyAlignment="1" applyProtection="1">
      <alignment horizontal="center" vertical="center" wrapText="1"/>
      <protection hidden="1"/>
    </xf>
    <xf numFmtId="3" fontId="22" fillId="3" borderId="12" xfId="0" applyNumberFormat="1" applyFont="1" applyFill="1" applyBorder="1" applyAlignment="1" applyProtection="1">
      <alignment horizontal="center" vertical="center" wrapText="1"/>
      <protection hidden="1"/>
    </xf>
    <xf numFmtId="3" fontId="22" fillId="3" borderId="12" xfId="0" applyNumberFormat="1" applyFont="1" applyFill="1" applyBorder="1" applyAlignment="1" applyProtection="1">
      <alignment horizontal="center" vertical="center"/>
      <protection hidden="1"/>
    </xf>
    <xf numFmtId="0" fontId="85" fillId="4" borderId="12" xfId="0" applyFont="1" applyFill="1" applyBorder="1" applyAlignment="1" applyProtection="1">
      <alignment horizontal="center"/>
      <protection hidden="1"/>
    </xf>
    <xf numFmtId="3" fontId="22" fillId="0" borderId="9" xfId="0" applyNumberFormat="1" applyFont="1" applyBorder="1" applyProtection="1">
      <protection locked="0"/>
    </xf>
    <xf numFmtId="3" fontId="22" fillId="4" borderId="12" xfId="0" applyNumberFormat="1" applyFont="1" applyFill="1" applyBorder="1" applyProtection="1">
      <protection hidden="1"/>
    </xf>
    <xf numFmtId="3" fontId="61" fillId="2" borderId="0" xfId="0" applyNumberFormat="1" applyFont="1" applyFill="1" applyProtection="1">
      <protection hidden="1"/>
    </xf>
    <xf numFmtId="0" fontId="19" fillId="5" borderId="19" xfId="0" applyFont="1" applyFill="1" applyBorder="1" applyProtection="1">
      <protection hidden="1"/>
    </xf>
    <xf numFmtId="0" fontId="25" fillId="5" borderId="10" xfId="0" applyFont="1" applyFill="1" applyBorder="1" applyProtection="1">
      <protection hidden="1"/>
    </xf>
    <xf numFmtId="0" fontId="25" fillId="5" borderId="7" xfId="0" applyFont="1" applyFill="1" applyBorder="1" applyProtection="1">
      <protection hidden="1"/>
    </xf>
    <xf numFmtId="3" fontId="22" fillId="5" borderId="12" xfId="0" applyNumberFormat="1" applyFont="1" applyFill="1" applyBorder="1" applyProtection="1">
      <protection hidden="1"/>
    </xf>
    <xf numFmtId="0" fontId="19" fillId="3" borderId="9" xfId="0" applyFont="1" applyFill="1" applyBorder="1" applyProtection="1">
      <protection hidden="1"/>
    </xf>
    <xf numFmtId="3" fontId="22" fillId="4" borderId="12" xfId="0" applyNumberFormat="1" applyFont="1" applyFill="1" applyBorder="1" applyAlignment="1" applyProtection="1">
      <alignment horizontal="center"/>
      <protection hidden="1"/>
    </xf>
    <xf numFmtId="3" fontId="55" fillId="0" borderId="0" xfId="0" applyNumberFormat="1" applyFont="1" applyProtection="1">
      <protection hidden="1"/>
    </xf>
    <xf numFmtId="3" fontId="49" fillId="2" borderId="0" xfId="0" applyNumberFormat="1" applyFont="1" applyFill="1" applyAlignment="1" applyProtection="1">
      <alignment horizontal="right" vertical="top"/>
      <protection hidden="1"/>
    </xf>
    <xf numFmtId="3" fontId="49" fillId="2" borderId="0" xfId="0" applyNumberFormat="1" applyFont="1" applyFill="1" applyAlignment="1" applyProtection="1">
      <alignment horizontal="center" vertical="top"/>
      <protection hidden="1"/>
    </xf>
    <xf numFmtId="3" fontId="49" fillId="2" borderId="0" xfId="0" applyNumberFormat="1" applyFont="1" applyFill="1" applyAlignment="1" applyProtection="1">
      <alignment vertical="top"/>
      <protection hidden="1"/>
    </xf>
    <xf numFmtId="0" fontId="25" fillId="0" borderId="0" xfId="0" applyFont="1" applyAlignment="1" applyProtection="1">
      <alignment horizontal="center"/>
      <protection hidden="1"/>
    </xf>
    <xf numFmtId="0" fontId="86" fillId="0" borderId="0" xfId="0" applyFont="1" applyAlignment="1" applyProtection="1">
      <alignment horizontal="right"/>
      <protection hidden="1"/>
    </xf>
    <xf numFmtId="0" fontId="19" fillId="2" borderId="0" xfId="0" applyFont="1" applyFill="1" applyAlignment="1" applyProtection="1">
      <alignment horizontal="justify" vertical="center" wrapText="1"/>
      <protection hidden="1"/>
    </xf>
    <xf numFmtId="0" fontId="45" fillId="2" borderId="0" xfId="0" applyFont="1" applyFill="1" applyAlignment="1" applyProtection="1">
      <alignment horizontal="center"/>
      <protection hidden="1"/>
    </xf>
    <xf numFmtId="0" fontId="15" fillId="5" borderId="7" xfId="0" applyFont="1" applyFill="1" applyBorder="1" applyAlignment="1" applyProtection="1">
      <alignment horizontal="left"/>
      <protection hidden="1"/>
    </xf>
    <xf numFmtId="0" fontId="15" fillId="5" borderId="8" xfId="0" applyFont="1" applyFill="1" applyBorder="1" applyAlignment="1" applyProtection="1">
      <alignment horizontal="left"/>
      <protection hidden="1"/>
    </xf>
    <xf numFmtId="0" fontId="15" fillId="2" borderId="1" xfId="0" applyFont="1" applyFill="1" applyBorder="1" applyAlignment="1" applyProtection="1">
      <alignment horizontal="left"/>
      <protection hidden="1"/>
    </xf>
    <xf numFmtId="0" fontId="15" fillId="2" borderId="0" xfId="0" applyFont="1" applyFill="1" applyAlignment="1" applyProtection="1">
      <alignment horizontal="left"/>
      <protection hidden="1"/>
    </xf>
    <xf numFmtId="3" fontId="43" fillId="2" borderId="0" xfId="0" applyNumberFormat="1" applyFont="1" applyFill="1" applyAlignment="1" applyProtection="1">
      <alignment horizontal="center" vertical="center" wrapText="1"/>
      <protection hidden="1"/>
    </xf>
    <xf numFmtId="0" fontId="22" fillId="8" borderId="12" xfId="0" applyFont="1" applyFill="1" applyBorder="1" applyProtection="1">
      <protection locked="0"/>
    </xf>
    <xf numFmtId="0" fontId="31" fillId="2" borderId="12" xfId="0" applyFont="1" applyFill="1" applyBorder="1" applyAlignment="1" applyProtection="1">
      <alignment horizontal="center"/>
      <protection hidden="1"/>
    </xf>
    <xf numFmtId="0" fontId="22" fillId="0" borderId="12" xfId="0" applyFont="1" applyBorder="1" applyAlignment="1" applyProtection="1">
      <alignment horizontal="center"/>
      <protection locked="0"/>
    </xf>
    <xf numFmtId="0" fontId="22" fillId="0" borderId="12" xfId="0" applyFont="1" applyBorder="1" applyProtection="1">
      <protection locked="0"/>
    </xf>
    <xf numFmtId="3" fontId="87" fillId="2" borderId="0" xfId="0" applyNumberFormat="1" applyFont="1" applyFill="1" applyAlignment="1" applyProtection="1">
      <alignment horizontal="center"/>
      <protection hidden="1"/>
    </xf>
    <xf numFmtId="1" fontId="22" fillId="0" borderId="12" xfId="0" applyNumberFormat="1" applyFont="1" applyBorder="1" applyAlignment="1" applyProtection="1">
      <alignment horizontal="center"/>
      <protection locked="0"/>
    </xf>
    <xf numFmtId="3" fontId="22" fillId="0" borderId="8" xfId="0" applyNumberFormat="1" applyFont="1" applyBorder="1" applyProtection="1">
      <protection locked="0"/>
    </xf>
    <xf numFmtId="3" fontId="22" fillId="4" borderId="9" xfId="0" applyNumberFormat="1" applyFont="1" applyFill="1" applyBorder="1" applyProtection="1">
      <protection hidden="1"/>
    </xf>
    <xf numFmtId="3" fontId="61" fillId="0" borderId="0" xfId="0" applyNumberFormat="1" applyFont="1" applyProtection="1">
      <protection hidden="1"/>
    </xf>
    <xf numFmtId="0" fontId="55" fillId="4" borderId="4" xfId="0" applyFont="1" applyFill="1" applyBorder="1" applyAlignment="1" applyProtection="1">
      <alignment vertical="center"/>
      <protection hidden="1"/>
    </xf>
    <xf numFmtId="0" fontId="19" fillId="3" borderId="5" xfId="0" applyFont="1" applyFill="1" applyBorder="1"/>
    <xf numFmtId="0" fontId="28" fillId="4" borderId="5" xfId="0" applyFont="1" applyFill="1" applyBorder="1" applyAlignment="1" applyProtection="1">
      <alignment vertical="center"/>
      <protection hidden="1"/>
    </xf>
    <xf numFmtId="166" fontId="22" fillId="0" borderId="8" xfId="0" applyNumberFormat="1" applyFont="1" applyBorder="1" applyAlignment="1" applyProtection="1">
      <alignment vertical="center"/>
      <protection locked="0"/>
    </xf>
    <xf numFmtId="166" fontId="49" fillId="2" borderId="0" xfId="0" applyNumberFormat="1" applyFont="1" applyFill="1" applyAlignment="1" applyProtection="1">
      <alignment vertical="top"/>
      <protection hidden="1"/>
    </xf>
    <xf numFmtId="166" fontId="49" fillId="2" borderId="0" xfId="0" applyNumberFormat="1" applyFont="1" applyFill="1" applyAlignment="1" applyProtection="1">
      <alignment horizontal="right" vertical="top"/>
      <protection hidden="1"/>
    </xf>
    <xf numFmtId="166" fontId="49" fillId="2" borderId="0" xfId="0" applyNumberFormat="1" applyFont="1" applyFill="1" applyAlignment="1" applyProtection="1">
      <alignment horizontal="center" vertical="top"/>
      <protection hidden="1"/>
    </xf>
    <xf numFmtId="1" fontId="19" fillId="2" borderId="8" xfId="0" applyNumberFormat="1" applyFont="1" applyFill="1" applyBorder="1" applyAlignment="1" applyProtection="1">
      <alignment horizontal="center"/>
      <protection hidden="1"/>
    </xf>
    <xf numFmtId="0" fontId="26" fillId="2" borderId="1" xfId="0" applyFont="1" applyFill="1" applyBorder="1" applyAlignment="1" applyProtection="1">
      <alignment horizontal="left"/>
      <protection hidden="1"/>
    </xf>
    <xf numFmtId="0" fontId="26" fillId="2" borderId="0" xfId="0" applyFont="1" applyFill="1" applyAlignment="1" applyProtection="1">
      <alignment horizontal="left"/>
      <protection hidden="1"/>
    </xf>
    <xf numFmtId="3" fontId="68" fillId="2" borderId="0" xfId="0" applyNumberFormat="1" applyFont="1" applyFill="1" applyProtection="1">
      <protection hidden="1"/>
    </xf>
    <xf numFmtId="0" fontId="19" fillId="3" borderId="12" xfId="0" applyFont="1" applyFill="1" applyBorder="1" applyAlignment="1" applyProtection="1">
      <alignment horizontal="center"/>
      <protection hidden="1"/>
    </xf>
    <xf numFmtId="0" fontId="88" fillId="3" borderId="12" xfId="0" applyFont="1" applyFill="1" applyBorder="1" applyAlignment="1" applyProtection="1">
      <alignment horizontal="center"/>
      <protection hidden="1"/>
    </xf>
    <xf numFmtId="3" fontId="22" fillId="3" borderId="12" xfId="0" applyNumberFormat="1" applyFont="1" applyFill="1" applyBorder="1" applyAlignment="1" applyProtection="1">
      <alignment horizontal="center"/>
      <protection hidden="1"/>
    </xf>
    <xf numFmtId="0" fontId="24" fillId="8" borderId="12" xfId="0" applyFont="1" applyFill="1" applyBorder="1" applyAlignment="1" applyProtection="1">
      <alignment horizontal="center"/>
      <protection locked="0"/>
    </xf>
    <xf numFmtId="0" fontId="85" fillId="3" borderId="12" xfId="0" applyFont="1" applyFill="1" applyBorder="1" applyAlignment="1" applyProtection="1">
      <alignment horizontal="center"/>
      <protection hidden="1"/>
    </xf>
    <xf numFmtId="3" fontId="22" fillId="4" borderId="18" xfId="0" applyNumberFormat="1" applyFont="1" applyFill="1" applyBorder="1" applyProtection="1">
      <protection hidden="1"/>
    </xf>
    <xf numFmtId="0" fontId="61" fillId="2" borderId="2" xfId="0" applyFont="1" applyFill="1" applyBorder="1" applyAlignment="1" applyProtection="1">
      <alignment horizontal="justify" vertical="center" wrapText="1"/>
      <protection hidden="1"/>
    </xf>
    <xf numFmtId="0" fontId="19" fillId="2" borderId="19" xfId="0" applyFont="1" applyFill="1" applyBorder="1" applyAlignment="1" applyProtection="1">
      <alignment horizontal="center"/>
      <protection hidden="1"/>
    </xf>
    <xf numFmtId="0" fontId="19" fillId="2" borderId="10" xfId="0" applyFont="1" applyFill="1" applyBorder="1" applyAlignment="1" applyProtection="1">
      <alignment horizontal="center"/>
      <protection hidden="1"/>
    </xf>
    <xf numFmtId="3" fontId="22" fillId="6" borderId="13" xfId="0" applyNumberFormat="1" applyFont="1" applyFill="1" applyBorder="1" applyProtection="1">
      <protection hidden="1"/>
    </xf>
    <xf numFmtId="3" fontId="22" fillId="6" borderId="22" xfId="0" applyNumberFormat="1" applyFont="1" applyFill="1" applyBorder="1" applyProtection="1">
      <protection hidden="1"/>
    </xf>
    <xf numFmtId="0" fontId="19" fillId="5" borderId="9" xfId="0" applyFont="1" applyFill="1" applyBorder="1" applyProtection="1">
      <protection hidden="1"/>
    </xf>
    <xf numFmtId="0" fontId="55" fillId="2" borderId="1" xfId="0" applyFont="1" applyFill="1" applyBorder="1" applyProtection="1">
      <protection hidden="1"/>
    </xf>
    <xf numFmtId="0" fontId="55" fillId="3" borderId="4" xfId="0" applyFont="1" applyFill="1" applyBorder="1" applyAlignment="1" applyProtection="1">
      <alignment vertical="center"/>
      <protection hidden="1"/>
    </xf>
    <xf numFmtId="0" fontId="55" fillId="3" borderId="5" xfId="0" applyFont="1" applyFill="1" applyBorder="1" applyAlignment="1" applyProtection="1">
      <alignment vertical="center"/>
      <protection hidden="1"/>
    </xf>
    <xf numFmtId="0" fontId="19" fillId="3" borderId="5" xfId="0" applyFont="1" applyFill="1" applyBorder="1" applyProtection="1">
      <protection hidden="1"/>
    </xf>
    <xf numFmtId="3" fontId="61" fillId="2" borderId="2" xfId="0" applyNumberFormat="1" applyFont="1" applyFill="1" applyBorder="1" applyAlignment="1" applyProtection="1">
      <alignment horizontal="left"/>
      <protection hidden="1"/>
    </xf>
    <xf numFmtId="3" fontId="49" fillId="2" borderId="0" xfId="0" applyNumberFormat="1" applyFont="1" applyFill="1" applyAlignment="1" applyProtection="1">
      <alignment horizontal="right"/>
      <protection hidden="1"/>
    </xf>
    <xf numFmtId="0" fontId="19" fillId="2" borderId="0" xfId="0" applyFont="1" applyFill="1" applyProtection="1">
      <protection locked="0"/>
    </xf>
    <xf numFmtId="3" fontId="49" fillId="2" borderId="0" xfId="0" applyNumberFormat="1" applyFont="1" applyFill="1" applyAlignment="1" applyProtection="1">
      <alignment horizontal="center"/>
      <protection hidden="1"/>
    </xf>
    <xf numFmtId="3" fontId="49" fillId="2" borderId="0" xfId="0" applyNumberFormat="1" applyFont="1" applyFill="1" applyProtection="1">
      <protection hidden="1"/>
    </xf>
    <xf numFmtId="3" fontId="36" fillId="2" borderId="2" xfId="0" applyNumberFormat="1" applyFont="1" applyFill="1" applyBorder="1" applyAlignment="1" applyProtection="1">
      <alignment horizontal="center"/>
      <protection hidden="1"/>
    </xf>
    <xf numFmtId="0" fontId="17" fillId="2" borderId="5" xfId="0" applyFont="1" applyFill="1" applyBorder="1" applyProtection="1">
      <protection hidden="1"/>
    </xf>
    <xf numFmtId="3" fontId="22" fillId="2" borderId="5" xfId="0" applyNumberFormat="1" applyFont="1" applyFill="1" applyBorder="1" applyAlignment="1" applyProtection="1">
      <alignment horizontal="right"/>
      <protection hidden="1"/>
    </xf>
    <xf numFmtId="3" fontId="36" fillId="2" borderId="6" xfId="0" applyNumberFormat="1" applyFont="1" applyFill="1" applyBorder="1" applyAlignment="1" applyProtection="1">
      <alignment horizontal="center"/>
      <protection hidden="1"/>
    </xf>
    <xf numFmtId="0" fontId="29" fillId="2" borderId="19" xfId="0" applyFont="1" applyFill="1" applyBorder="1" applyAlignment="1" applyProtection="1">
      <alignment vertical="center"/>
      <protection hidden="1"/>
    </xf>
    <xf numFmtId="0" fontId="29" fillId="2" borderId="10" xfId="0" applyFont="1" applyFill="1" applyBorder="1" applyAlignment="1" applyProtection="1">
      <alignment vertical="center"/>
      <protection hidden="1"/>
    </xf>
    <xf numFmtId="0" fontId="29" fillId="2" borderId="2" xfId="0" applyFont="1" applyFill="1" applyBorder="1" applyAlignment="1" applyProtection="1">
      <alignment horizontal="justify" vertical="center" wrapText="1"/>
      <protection hidden="1"/>
    </xf>
    <xf numFmtId="0" fontId="29" fillId="2" borderId="1" xfId="0" applyFont="1" applyFill="1" applyBorder="1" applyAlignment="1" applyProtection="1">
      <alignment horizontal="justify" vertical="center" wrapText="1"/>
      <protection hidden="1"/>
    </xf>
    <xf numFmtId="0" fontId="29" fillId="2" borderId="0" xfId="0" applyFont="1" applyFill="1" applyAlignment="1" applyProtection="1">
      <alignment horizontal="justify" vertical="center" wrapText="1"/>
      <protection hidden="1"/>
    </xf>
    <xf numFmtId="0" fontId="19" fillId="2" borderId="7" xfId="0" applyFont="1" applyFill="1" applyBorder="1" applyAlignment="1" applyProtection="1">
      <alignment horizontal="right"/>
      <protection hidden="1"/>
    </xf>
    <xf numFmtId="169" fontId="19" fillId="0" borderId="0" xfId="0" applyNumberFormat="1" applyFont="1" applyProtection="1">
      <protection hidden="1"/>
    </xf>
    <xf numFmtId="10" fontId="22" fillId="4" borderId="12" xfId="0" applyNumberFormat="1" applyFont="1" applyFill="1" applyBorder="1" applyAlignment="1" applyProtection="1">
      <alignment horizontal="center"/>
      <protection hidden="1"/>
    </xf>
    <xf numFmtId="0" fontId="29" fillId="2" borderId="0" xfId="0" applyFont="1" applyFill="1" applyAlignment="1" applyProtection="1">
      <alignment horizontal="right"/>
      <protection hidden="1"/>
    </xf>
    <xf numFmtId="0" fontId="23" fillId="3" borderId="12" xfId="0" applyFont="1" applyFill="1" applyBorder="1" applyAlignment="1" applyProtection="1">
      <alignment horizontal="center" vertical="center" wrapText="1"/>
      <protection hidden="1"/>
    </xf>
    <xf numFmtId="3" fontId="23" fillId="3" borderId="12" xfId="0" applyNumberFormat="1" applyFont="1" applyFill="1" applyBorder="1" applyAlignment="1" applyProtection="1">
      <alignment horizontal="center" vertical="center" wrapText="1"/>
      <protection hidden="1"/>
    </xf>
    <xf numFmtId="0" fontId="88" fillId="3" borderId="12" xfId="0" applyFont="1" applyFill="1" applyBorder="1" applyAlignment="1" applyProtection="1">
      <alignment horizontal="center" vertical="center" wrapText="1"/>
      <protection hidden="1"/>
    </xf>
    <xf numFmtId="3" fontId="24" fillId="3" borderId="12" xfId="0" applyNumberFormat="1" applyFont="1" applyFill="1" applyBorder="1" applyAlignment="1" applyProtection="1">
      <alignment horizontal="center" vertical="center" wrapText="1"/>
      <protection hidden="1"/>
    </xf>
    <xf numFmtId="0" fontId="61" fillId="2" borderId="12" xfId="0" applyFont="1" applyFill="1" applyBorder="1" applyAlignment="1" applyProtection="1">
      <alignment horizontal="center"/>
      <protection hidden="1"/>
    </xf>
    <xf numFmtId="10" fontId="22" fillId="8" borderId="12" xfId="0" applyNumberFormat="1" applyFont="1" applyFill="1" applyBorder="1" applyAlignment="1" applyProtection="1">
      <alignment horizontal="center"/>
      <protection locked="0"/>
    </xf>
    <xf numFmtId="10" fontId="19" fillId="3" borderId="7" xfId="0" applyNumberFormat="1" applyFont="1" applyFill="1" applyBorder="1" applyAlignment="1" applyProtection="1">
      <alignment horizontal="center"/>
      <protection hidden="1"/>
    </xf>
    <xf numFmtId="3" fontId="61" fillId="3" borderId="8" xfId="0" applyNumberFormat="1" applyFont="1" applyFill="1" applyBorder="1" applyAlignment="1" applyProtection="1">
      <alignment horizontal="right"/>
      <protection hidden="1"/>
    </xf>
    <xf numFmtId="3" fontId="89" fillId="4" borderId="12" xfId="0" applyNumberFormat="1" applyFont="1" applyFill="1" applyBorder="1" applyAlignment="1" applyProtection="1">
      <alignment horizontal="right"/>
      <protection hidden="1"/>
    </xf>
    <xf numFmtId="10" fontId="19" fillId="2" borderId="0" xfId="0" applyNumberFormat="1" applyFont="1" applyFill="1" applyAlignment="1" applyProtection="1">
      <alignment horizontal="center"/>
      <protection hidden="1"/>
    </xf>
    <xf numFmtId="10" fontId="19" fillId="2" borderId="5" xfId="0" applyNumberFormat="1" applyFont="1" applyFill="1" applyBorder="1" applyAlignment="1" applyProtection="1">
      <alignment horizontal="center"/>
      <protection hidden="1"/>
    </xf>
    <xf numFmtId="3" fontId="22" fillId="2" borderId="6" xfId="0" applyNumberFormat="1" applyFont="1" applyFill="1" applyBorder="1" applyAlignment="1" applyProtection="1">
      <alignment horizontal="right"/>
      <protection hidden="1"/>
    </xf>
    <xf numFmtId="10" fontId="19" fillId="0" borderId="0" xfId="0" applyNumberFormat="1" applyFont="1" applyAlignment="1" applyProtection="1">
      <alignment horizontal="center"/>
      <protection hidden="1"/>
    </xf>
    <xf numFmtId="0" fontId="29" fillId="0" borderId="0" xfId="0" applyFont="1" applyProtection="1">
      <protection hidden="1"/>
    </xf>
    <xf numFmtId="1" fontId="19" fillId="2" borderId="23" xfId="0" applyNumberFormat="1" applyFont="1" applyFill="1" applyBorder="1" applyAlignment="1" applyProtection="1">
      <alignment horizontal="center"/>
      <protection hidden="1"/>
    </xf>
    <xf numFmtId="1" fontId="22" fillId="0" borderId="24" xfId="0" applyNumberFormat="1" applyFont="1" applyBorder="1" applyAlignment="1" applyProtection="1">
      <alignment horizontal="center" vertical="center" wrapText="1"/>
      <protection locked="0"/>
    </xf>
    <xf numFmtId="3" fontId="22" fillId="0" borderId="12" xfId="0" applyNumberFormat="1" applyFont="1" applyBorder="1" applyAlignment="1" applyProtection="1">
      <alignment horizontal="left" vertical="center"/>
      <protection locked="0"/>
    </xf>
    <xf numFmtId="3" fontId="22" fillId="0" borderId="12" xfId="0" applyNumberFormat="1" applyFont="1" applyBorder="1" applyAlignment="1" applyProtection="1">
      <alignment horizontal="right" vertical="center"/>
      <protection locked="0"/>
    </xf>
    <xf numFmtId="3" fontId="22" fillId="0" borderId="12" xfId="0" applyNumberFormat="1" applyFont="1" applyBorder="1" applyAlignment="1" applyProtection="1">
      <alignment horizontal="right" vertical="center" wrapText="1"/>
      <protection locked="0"/>
    </xf>
    <xf numFmtId="3" fontId="17" fillId="3" borderId="12" xfId="0" applyNumberFormat="1" applyFont="1" applyFill="1" applyBorder="1" applyProtection="1">
      <protection hidden="1"/>
    </xf>
    <xf numFmtId="3" fontId="22" fillId="4" borderId="22" xfId="0" applyNumberFormat="1" applyFont="1" applyFill="1" applyBorder="1" applyAlignment="1" applyProtection="1">
      <alignment horizontal="right"/>
      <protection hidden="1"/>
    </xf>
    <xf numFmtId="3" fontId="19" fillId="2" borderId="12" xfId="0" applyNumberFormat="1" applyFont="1" applyFill="1" applyBorder="1" applyProtection="1">
      <protection hidden="1"/>
    </xf>
    <xf numFmtId="3" fontId="22" fillId="4" borderId="18" xfId="0" applyNumberFormat="1" applyFont="1" applyFill="1" applyBorder="1" applyAlignment="1" applyProtection="1">
      <alignment horizontal="right"/>
      <protection hidden="1"/>
    </xf>
    <xf numFmtId="3" fontId="61" fillId="2" borderId="0" xfId="0" applyNumberFormat="1" applyFont="1" applyFill="1" applyAlignment="1" applyProtection="1">
      <alignment horizontal="left"/>
      <protection hidden="1"/>
    </xf>
    <xf numFmtId="0" fontId="19" fillId="2" borderId="12" xfId="0" applyFont="1" applyFill="1" applyBorder="1" applyAlignment="1" applyProtection="1">
      <alignment vertical="top"/>
      <protection hidden="1"/>
    </xf>
    <xf numFmtId="3" fontId="22" fillId="2" borderId="8" xfId="0" applyNumberFormat="1" applyFont="1" applyFill="1" applyBorder="1" applyAlignment="1" applyProtection="1">
      <alignment horizontal="center"/>
      <protection hidden="1"/>
    </xf>
    <xf numFmtId="3" fontId="22" fillId="2" borderId="12" xfId="0" applyNumberFormat="1" applyFont="1" applyFill="1" applyBorder="1" applyAlignment="1" applyProtection="1">
      <alignment horizontal="right"/>
      <protection hidden="1"/>
    </xf>
    <xf numFmtId="3" fontId="22" fillId="0" borderId="12" xfId="0" applyNumberFormat="1" applyFont="1" applyBorder="1" applyAlignment="1" applyProtection="1">
      <alignment horizontal="right"/>
      <protection locked="0" hidden="1"/>
    </xf>
    <xf numFmtId="3" fontId="36" fillId="2" borderId="0" xfId="0" applyNumberFormat="1" applyFont="1" applyFill="1" applyAlignment="1" applyProtection="1">
      <alignment horizontal="left"/>
      <protection hidden="1"/>
    </xf>
    <xf numFmtId="3" fontId="36" fillId="2" borderId="0" xfId="0" applyNumberFormat="1" applyFont="1" applyFill="1" applyAlignment="1" applyProtection="1">
      <alignment horizontal="right"/>
      <protection hidden="1"/>
    </xf>
    <xf numFmtId="166" fontId="22" fillId="0" borderId="12" xfId="0" applyNumberFormat="1" applyFont="1" applyBorder="1" applyProtection="1">
      <protection locked="0"/>
    </xf>
    <xf numFmtId="3" fontId="17" fillId="2" borderId="1" xfId="0" applyNumberFormat="1" applyFont="1" applyFill="1" applyBorder="1" applyProtection="1">
      <protection hidden="1"/>
    </xf>
    <xf numFmtId="3" fontId="17" fillId="2" borderId="0" xfId="0" applyNumberFormat="1" applyFont="1" applyFill="1" applyAlignment="1" applyProtection="1">
      <alignment horizontal="right"/>
      <protection hidden="1"/>
    </xf>
    <xf numFmtId="0" fontId="17" fillId="2" borderId="2" xfId="0" applyFont="1" applyFill="1" applyBorder="1" applyAlignment="1" applyProtection="1">
      <alignment horizontal="right"/>
      <protection hidden="1"/>
    </xf>
    <xf numFmtId="3" fontId="17" fillId="2" borderId="4" xfId="0" applyNumberFormat="1" applyFont="1" applyFill="1" applyBorder="1" applyAlignment="1" applyProtection="1">
      <alignment vertical="top"/>
      <protection hidden="1"/>
    </xf>
    <xf numFmtId="3" fontId="17" fillId="2" borderId="5" xfId="0" applyNumberFormat="1" applyFont="1" applyFill="1" applyBorder="1" applyAlignment="1" applyProtection="1">
      <alignment vertical="top"/>
      <protection hidden="1"/>
    </xf>
    <xf numFmtId="3" fontId="17" fillId="2" borderId="5" xfId="0" applyNumberFormat="1" applyFont="1" applyFill="1" applyBorder="1" applyAlignment="1" applyProtection="1">
      <alignment horizontal="right" vertical="top"/>
      <protection hidden="1"/>
    </xf>
    <xf numFmtId="0" fontId="17" fillId="2" borderId="5" xfId="0" applyFont="1" applyFill="1" applyBorder="1" applyAlignment="1" applyProtection="1">
      <alignment vertical="top"/>
      <protection hidden="1"/>
    </xf>
    <xf numFmtId="0" fontId="17" fillId="2" borderId="6" xfId="0" applyFont="1" applyFill="1" applyBorder="1" applyAlignment="1" applyProtection="1">
      <alignment horizontal="right" vertical="top"/>
      <protection hidden="1"/>
    </xf>
    <xf numFmtId="0" fontId="28" fillId="3" borderId="7" xfId="0" applyFont="1" applyFill="1" applyBorder="1" applyProtection="1">
      <protection hidden="1"/>
    </xf>
    <xf numFmtId="0" fontId="19" fillId="2" borderId="12" xfId="0" applyFont="1" applyFill="1" applyBorder="1" applyAlignment="1" applyProtection="1">
      <alignment horizontal="left"/>
      <protection hidden="1"/>
    </xf>
    <xf numFmtId="3" fontId="22" fillId="0" borderId="9" xfId="0" applyNumberFormat="1" applyFont="1" applyBorder="1" applyAlignment="1" applyProtection="1">
      <alignment horizontal="right"/>
      <protection locked="0"/>
    </xf>
    <xf numFmtId="3" fontId="22" fillId="2" borderId="9" xfId="0" applyNumberFormat="1" applyFont="1" applyFill="1" applyBorder="1" applyProtection="1">
      <protection hidden="1"/>
    </xf>
    <xf numFmtId="0" fontId="19" fillId="2" borderId="7" xfId="0" applyFont="1" applyFill="1" applyBorder="1" applyProtection="1">
      <protection hidden="1"/>
    </xf>
    <xf numFmtId="3" fontId="22" fillId="0" borderId="18" xfId="0" applyNumberFormat="1" applyFont="1" applyBorder="1" applyAlignment="1" applyProtection="1">
      <alignment horizontal="right"/>
      <protection locked="0"/>
    </xf>
    <xf numFmtId="3" fontId="22" fillId="0" borderId="21" xfId="0" applyNumberFormat="1" applyFont="1" applyBorder="1" applyProtection="1">
      <protection locked="0"/>
    </xf>
    <xf numFmtId="3" fontId="22" fillId="0" borderId="21" xfId="0" applyNumberFormat="1" applyFont="1" applyBorder="1" applyAlignment="1" applyProtection="1">
      <alignment horizontal="right"/>
      <protection locked="0"/>
    </xf>
    <xf numFmtId="0" fontId="19" fillId="2" borderId="9" xfId="0" applyFont="1" applyFill="1" applyBorder="1" applyAlignment="1" applyProtection="1">
      <alignment vertical="top"/>
      <protection hidden="1"/>
    </xf>
    <xf numFmtId="3" fontId="22" fillId="2" borderId="7" xfId="0" applyNumberFormat="1" applyFont="1" applyFill="1" applyBorder="1" applyAlignment="1" applyProtection="1">
      <alignment horizontal="right"/>
      <protection hidden="1"/>
    </xf>
    <xf numFmtId="3" fontId="22" fillId="2" borderId="8" xfId="0" applyNumberFormat="1" applyFont="1" applyFill="1" applyBorder="1" applyProtection="1">
      <protection hidden="1"/>
    </xf>
    <xf numFmtId="0" fontId="19" fillId="0" borderId="12" xfId="0" applyFont="1" applyBorder="1" applyAlignment="1" applyProtection="1">
      <alignment horizontal="left"/>
      <protection locked="0"/>
    </xf>
    <xf numFmtId="0" fontId="61" fillId="2" borderId="0" xfId="0" applyFont="1" applyFill="1" applyAlignment="1" applyProtection="1">
      <alignment horizontal="left"/>
      <protection hidden="1"/>
    </xf>
    <xf numFmtId="166" fontId="22" fillId="0" borderId="12" xfId="0" applyNumberFormat="1" applyFont="1" applyBorder="1" applyProtection="1">
      <protection locked="0" hidden="1"/>
    </xf>
    <xf numFmtId="0" fontId="19" fillId="4" borderId="12" xfId="0" applyFont="1" applyFill="1" applyBorder="1" applyProtection="1">
      <protection hidden="1"/>
    </xf>
    <xf numFmtId="0" fontId="78" fillId="2" borderId="0" xfId="0" applyFont="1" applyFill="1" applyProtection="1">
      <protection hidden="1"/>
    </xf>
    <xf numFmtId="166" fontId="22" fillId="3" borderId="12" xfId="0" applyNumberFormat="1" applyFont="1" applyFill="1" applyBorder="1" applyProtection="1">
      <protection hidden="1"/>
    </xf>
    <xf numFmtId="0" fontId="22" fillId="2" borderId="0" xfId="0" applyFont="1" applyFill="1" applyAlignment="1" applyProtection="1">
      <alignment horizontal="right"/>
      <protection hidden="1"/>
    </xf>
    <xf numFmtId="3" fontId="22" fillId="3" borderId="18" xfId="0" applyNumberFormat="1" applyFont="1" applyFill="1" applyBorder="1" applyAlignment="1" applyProtection="1">
      <alignment horizontal="right"/>
      <protection hidden="1"/>
    </xf>
    <xf numFmtId="3" fontId="22" fillId="3" borderId="12" xfId="0" applyNumberFormat="1" applyFont="1" applyFill="1" applyBorder="1" applyAlignment="1" applyProtection="1">
      <alignment horizontal="right"/>
      <protection hidden="1"/>
    </xf>
    <xf numFmtId="0" fontId="17" fillId="2" borderId="0" xfId="0" applyFont="1" applyFill="1" applyAlignment="1" applyProtection="1">
      <alignment horizontal="right"/>
      <protection hidden="1"/>
    </xf>
    <xf numFmtId="3" fontId="22" fillId="6" borderId="18" xfId="0" applyNumberFormat="1" applyFont="1" applyFill="1" applyBorder="1" applyProtection="1">
      <protection hidden="1"/>
    </xf>
    <xf numFmtId="3" fontId="22" fillId="6" borderId="12" xfId="0" applyNumberFormat="1" applyFont="1" applyFill="1" applyBorder="1" applyProtection="1">
      <protection hidden="1"/>
    </xf>
    <xf numFmtId="9" fontId="19" fillId="2" borderId="12" xfId="0" applyNumberFormat="1" applyFont="1" applyFill="1" applyBorder="1" applyProtection="1">
      <protection hidden="1"/>
    </xf>
    <xf numFmtId="9" fontId="19" fillId="0" borderId="12" xfId="0" applyNumberFormat="1" applyFont="1" applyBorder="1" applyProtection="1">
      <protection locked="0"/>
    </xf>
    <xf numFmtId="166" fontId="22" fillId="4" borderId="12" xfId="0" applyNumberFormat="1" applyFont="1" applyFill="1" applyBorder="1" applyProtection="1">
      <protection hidden="1"/>
    </xf>
    <xf numFmtId="0" fontId="61" fillId="0" borderId="0" xfId="0" applyFont="1" applyProtection="1">
      <protection hidden="1"/>
    </xf>
    <xf numFmtId="0" fontId="17" fillId="2" borderId="20" xfId="0" applyFont="1" applyFill="1" applyBorder="1" applyAlignment="1" applyProtection="1">
      <alignment horizontal="right"/>
      <protection hidden="1"/>
    </xf>
    <xf numFmtId="3" fontId="22" fillId="6" borderId="12" xfId="0" applyNumberFormat="1" applyFont="1" applyFill="1" applyBorder="1" applyAlignment="1" applyProtection="1">
      <alignment horizontal="right"/>
      <protection hidden="1"/>
    </xf>
    <xf numFmtId="0" fontId="19" fillId="2" borderId="19" xfId="0" applyFont="1" applyFill="1" applyBorder="1" applyProtection="1">
      <protection hidden="1"/>
    </xf>
    <xf numFmtId="0" fontId="19" fillId="2" borderId="10" xfId="0" applyFont="1" applyFill="1" applyBorder="1" applyProtection="1">
      <protection hidden="1"/>
    </xf>
    <xf numFmtId="0" fontId="17" fillId="2" borderId="8" xfId="0" applyFont="1" applyFill="1" applyBorder="1" applyAlignment="1" applyProtection="1">
      <alignment horizontal="right"/>
      <protection hidden="1"/>
    </xf>
    <xf numFmtId="3" fontId="22" fillId="0" borderId="8" xfId="0" applyNumberFormat="1" applyFont="1" applyBorder="1" applyAlignment="1" applyProtection="1">
      <alignment horizontal="right"/>
      <protection locked="0"/>
    </xf>
    <xf numFmtId="0" fontId="17" fillId="2" borderId="1" xfId="0" applyFont="1" applyFill="1" applyBorder="1" applyAlignment="1" applyProtection="1">
      <alignment horizontal="right"/>
      <protection hidden="1"/>
    </xf>
    <xf numFmtId="3" fontId="19" fillId="0" borderId="0" xfId="0" applyNumberFormat="1" applyFont="1"/>
    <xf numFmtId="0" fontId="19" fillId="2" borderId="9" xfId="0" applyFont="1" applyFill="1" applyBorder="1" applyProtection="1">
      <protection hidden="1"/>
    </xf>
    <xf numFmtId="0" fontId="19" fillId="3" borderId="12" xfId="0" applyFont="1" applyFill="1" applyBorder="1" applyProtection="1">
      <protection hidden="1"/>
    </xf>
    <xf numFmtId="0" fontId="28" fillId="5" borderId="7" xfId="0" applyFont="1" applyFill="1" applyBorder="1" applyAlignment="1" applyProtection="1">
      <alignment horizontal="center"/>
      <protection hidden="1"/>
    </xf>
    <xf numFmtId="0" fontId="19" fillId="3" borderId="9" xfId="0" applyFont="1" applyFill="1" applyBorder="1" applyAlignment="1" applyProtection="1">
      <alignment vertical="center"/>
      <protection hidden="1"/>
    </xf>
    <xf numFmtId="0" fontId="19" fillId="3" borderId="7" xfId="0" applyFont="1" applyFill="1" applyBorder="1" applyAlignment="1" applyProtection="1">
      <alignment vertical="center"/>
      <protection hidden="1"/>
    </xf>
    <xf numFmtId="0" fontId="19" fillId="4" borderId="9" xfId="0" applyFont="1" applyFill="1" applyBorder="1" applyProtection="1">
      <protection hidden="1"/>
    </xf>
    <xf numFmtId="0" fontId="22" fillId="4" borderId="7" xfId="0" applyFont="1" applyFill="1" applyBorder="1" applyAlignment="1" applyProtection="1">
      <alignment horizontal="left" vertical="center"/>
      <protection hidden="1"/>
    </xf>
    <xf numFmtId="166" fontId="22" fillId="0" borderId="12" xfId="0" applyNumberFormat="1" applyFont="1" applyBorder="1" applyAlignment="1" applyProtection="1">
      <alignment horizontal="right"/>
      <protection locked="0"/>
    </xf>
    <xf numFmtId="0" fontId="22" fillId="2" borderId="10" xfId="0" applyFont="1" applyFill="1" applyBorder="1" applyAlignment="1" applyProtection="1">
      <alignment vertical="center"/>
      <protection hidden="1"/>
    </xf>
    <xf numFmtId="0" fontId="55" fillId="2" borderId="0" xfId="0" applyFont="1" applyFill="1" applyAlignment="1" applyProtection="1">
      <alignment horizontal="right"/>
      <protection hidden="1"/>
    </xf>
    <xf numFmtId="0" fontId="28" fillId="2" borderId="0" xfId="0" applyFont="1" applyFill="1" applyAlignment="1" applyProtection="1">
      <alignment vertical="center"/>
      <protection hidden="1"/>
    </xf>
    <xf numFmtId="0" fontId="28" fillId="2" borderId="0" xfId="0" applyFont="1" applyFill="1" applyAlignment="1" applyProtection="1">
      <alignment horizontal="left" vertical="center"/>
      <protection hidden="1"/>
    </xf>
    <xf numFmtId="0" fontId="61" fillId="2" borderId="0" xfId="0" applyFont="1" applyFill="1" applyAlignment="1" applyProtection="1">
      <alignment horizontal="right" vertical="center"/>
      <protection hidden="1"/>
    </xf>
    <xf numFmtId="0" fontId="46" fillId="2" borderId="0" xfId="0" applyFont="1" applyFill="1" applyAlignment="1" applyProtection="1">
      <alignment horizontal="left" vertical="center"/>
      <protection hidden="1"/>
    </xf>
    <xf numFmtId="1" fontId="22" fillId="0" borderId="12" xfId="0" applyNumberFormat="1" applyFont="1" applyBorder="1" applyAlignment="1" applyProtection="1">
      <alignment horizontal="center" vertical="center"/>
      <protection locked="0"/>
    </xf>
    <xf numFmtId="0" fontId="22" fillId="8" borderId="12" xfId="0" applyFont="1" applyFill="1" applyBorder="1" applyAlignment="1" applyProtection="1">
      <alignment horizontal="center" vertical="center"/>
      <protection locked="0"/>
    </xf>
    <xf numFmtId="0" fontId="61" fillId="2" borderId="0" xfId="0" applyFont="1" applyFill="1" applyAlignment="1" applyProtection="1">
      <alignment horizontal="center" vertical="center"/>
      <protection hidden="1"/>
    </xf>
    <xf numFmtId="37" fontId="22" fillId="0" borderId="12" xfId="0" applyNumberFormat="1" applyFont="1" applyBorder="1" applyAlignment="1" applyProtection="1">
      <alignment vertical="center"/>
      <protection locked="0"/>
    </xf>
    <xf numFmtId="0" fontId="61" fillId="2" borderId="0" xfId="0" applyFont="1" applyFill="1" applyAlignment="1" applyProtection="1">
      <alignment vertical="center"/>
      <protection hidden="1"/>
    </xf>
    <xf numFmtId="37" fontId="22" fillId="2" borderId="0" xfId="0" applyNumberFormat="1" applyFont="1" applyFill="1" applyAlignment="1" applyProtection="1">
      <alignment horizontal="right" vertical="center"/>
      <protection hidden="1"/>
    </xf>
    <xf numFmtId="164" fontId="22" fillId="2" borderId="0" xfId="0" applyNumberFormat="1" applyFont="1" applyFill="1" applyAlignment="1" applyProtection="1">
      <alignment vertical="center"/>
      <protection hidden="1"/>
    </xf>
    <xf numFmtId="14" fontId="22" fillId="0" borderId="12" xfId="0" applyNumberFormat="1" applyFont="1" applyBorder="1" applyAlignment="1" applyProtection="1">
      <alignment horizontal="center" vertical="center"/>
      <protection locked="0"/>
    </xf>
    <xf numFmtId="37" fontId="22" fillId="2" borderId="0" xfId="0" applyNumberFormat="1" applyFont="1" applyFill="1" applyAlignment="1" applyProtection="1">
      <alignment vertical="center"/>
      <protection hidden="1"/>
    </xf>
    <xf numFmtId="37" fontId="61" fillId="2" borderId="0" xfId="0" applyNumberFormat="1" applyFont="1" applyFill="1" applyAlignment="1" applyProtection="1">
      <alignment horizontal="left" vertical="center"/>
      <protection hidden="1"/>
    </xf>
    <xf numFmtId="164" fontId="22" fillId="2" borderId="0" xfId="0" applyNumberFormat="1" applyFont="1" applyFill="1" applyProtection="1">
      <protection hidden="1"/>
    </xf>
    <xf numFmtId="37" fontId="22" fillId="2" borderId="0" xfId="0" applyNumberFormat="1" applyFont="1" applyFill="1" applyProtection="1">
      <protection hidden="1"/>
    </xf>
    <xf numFmtId="37" fontId="22" fillId="2" borderId="0" xfId="0" applyNumberFormat="1" applyFont="1" applyFill="1" applyAlignment="1" applyProtection="1">
      <alignment horizontal="right"/>
      <protection hidden="1"/>
    </xf>
    <xf numFmtId="0" fontId="22" fillId="3" borderId="12" xfId="0" applyFont="1" applyFill="1" applyBorder="1" applyAlignment="1" applyProtection="1">
      <alignment horizontal="center" wrapText="1"/>
      <protection hidden="1"/>
    </xf>
    <xf numFmtId="164" fontId="22" fillId="3" borderId="12" xfId="0" applyNumberFormat="1" applyFont="1" applyFill="1" applyBorder="1" applyAlignment="1" applyProtection="1">
      <alignment horizontal="center" vertical="center" wrapText="1"/>
      <protection hidden="1"/>
    </xf>
    <xf numFmtId="37" fontId="22" fillId="3" borderId="12" xfId="0" applyNumberFormat="1" applyFont="1" applyFill="1" applyBorder="1" applyAlignment="1" applyProtection="1">
      <alignment horizontal="center" vertical="center" wrapText="1"/>
      <protection hidden="1"/>
    </xf>
    <xf numFmtId="164" fontId="22" fillId="2" borderId="0" xfId="0" applyNumberFormat="1" applyFont="1" applyFill="1" applyAlignment="1" applyProtection="1">
      <alignment horizontal="center" vertical="center" wrapText="1"/>
      <protection hidden="1"/>
    </xf>
    <xf numFmtId="1" fontId="22" fillId="0" borderId="21" xfId="0" applyNumberFormat="1" applyFont="1" applyBorder="1" applyAlignment="1" applyProtection="1">
      <alignment horizontal="center"/>
      <protection locked="0"/>
    </xf>
    <xf numFmtId="165" fontId="28" fillId="3" borderId="12" xfId="0" applyNumberFormat="1" applyFont="1" applyFill="1" applyBorder="1" applyAlignment="1" applyProtection="1">
      <alignment horizontal="center"/>
      <protection hidden="1"/>
    </xf>
    <xf numFmtId="165" fontId="22" fillId="6" borderId="12" xfId="0" applyNumberFormat="1" applyFont="1" applyFill="1" applyBorder="1" applyProtection="1">
      <protection hidden="1"/>
    </xf>
    <xf numFmtId="165" fontId="22" fillId="4" borderId="12" xfId="0" applyNumberFormat="1" applyFont="1" applyFill="1" applyBorder="1" applyProtection="1">
      <protection hidden="1"/>
    </xf>
    <xf numFmtId="165" fontId="19" fillId="2" borderId="0" xfId="0" applyNumberFormat="1" applyFont="1" applyFill="1" applyAlignment="1" applyProtection="1">
      <alignment horizontal="left"/>
      <protection hidden="1"/>
    </xf>
    <xf numFmtId="166" fontId="22" fillId="6" borderId="12" xfId="0" applyNumberFormat="1" applyFont="1" applyFill="1" applyBorder="1" applyProtection="1">
      <protection hidden="1"/>
    </xf>
    <xf numFmtId="0" fontId="22" fillId="0" borderId="0" xfId="0" applyFont="1"/>
    <xf numFmtId="0" fontId="59" fillId="2" borderId="0" xfId="0" applyFont="1" applyFill="1" applyAlignment="1" applyProtection="1">
      <alignment horizontal="right"/>
      <protection hidden="1"/>
    </xf>
    <xf numFmtId="0" fontId="28" fillId="2" borderId="0" xfId="0" applyFont="1" applyFill="1" applyAlignment="1" applyProtection="1">
      <alignment horizontal="center" vertical="center"/>
      <protection hidden="1"/>
    </xf>
    <xf numFmtId="0" fontId="78" fillId="2" borderId="0" xfId="0" applyFont="1" applyFill="1" applyAlignment="1" applyProtection="1">
      <alignment horizontal="right"/>
      <protection hidden="1"/>
    </xf>
    <xf numFmtId="0" fontId="78" fillId="2" borderId="0" xfId="0" applyFont="1" applyFill="1" applyAlignment="1" applyProtection="1">
      <alignment horizontal="left"/>
      <protection hidden="1"/>
    </xf>
    <xf numFmtId="166" fontId="19" fillId="2" borderId="0" xfId="0" applyNumberFormat="1" applyFont="1" applyFill="1" applyAlignment="1" applyProtection="1">
      <alignment horizontal="left" vertical="center"/>
      <protection hidden="1"/>
    </xf>
    <xf numFmtId="166" fontId="22" fillId="0" borderId="12" xfId="0" applyNumberFormat="1" applyFont="1" applyBorder="1" applyAlignment="1" applyProtection="1">
      <alignment horizontal="center"/>
      <protection locked="0"/>
    </xf>
    <xf numFmtId="166" fontId="22" fillId="2" borderId="0" xfId="0" applyNumberFormat="1" applyFont="1" applyFill="1" applyAlignment="1" applyProtection="1">
      <alignment horizontal="left" vertical="center"/>
      <protection hidden="1"/>
    </xf>
    <xf numFmtId="0" fontId="61" fillId="2" borderId="0" xfId="0" applyFont="1" applyFill="1" applyAlignment="1" applyProtection="1">
      <alignment horizontal="right"/>
      <protection hidden="1"/>
    </xf>
    <xf numFmtId="166" fontId="19" fillId="2" borderId="0" xfId="0" applyNumberFormat="1" applyFont="1" applyFill="1" applyAlignment="1" applyProtection="1">
      <alignment horizontal="center" vertical="center"/>
      <protection hidden="1"/>
    </xf>
    <xf numFmtId="1" fontId="22" fillId="8" borderId="12" xfId="0" applyNumberFormat="1" applyFont="1" applyFill="1" applyBorder="1" applyAlignment="1" applyProtection="1">
      <alignment horizontal="center"/>
      <protection locked="0"/>
    </xf>
    <xf numFmtId="166" fontId="22" fillId="2" borderId="0" xfId="0" applyNumberFormat="1" applyFont="1" applyFill="1" applyAlignment="1" applyProtection="1">
      <alignment horizontal="left"/>
      <protection hidden="1"/>
    </xf>
    <xf numFmtId="166" fontId="19" fillId="2" borderId="0" xfId="0" applyNumberFormat="1" applyFont="1" applyFill="1" applyAlignment="1" applyProtection="1">
      <alignment horizontal="left"/>
      <protection hidden="1"/>
    </xf>
    <xf numFmtId="166" fontId="19" fillId="3" borderId="12" xfId="0" applyNumberFormat="1" applyFont="1" applyFill="1" applyBorder="1" applyAlignment="1" applyProtection="1">
      <alignment horizontal="left"/>
      <protection hidden="1"/>
    </xf>
    <xf numFmtId="166" fontId="22" fillId="4" borderId="12" xfId="0" applyNumberFormat="1" applyFont="1" applyFill="1" applyBorder="1" applyAlignment="1" applyProtection="1">
      <alignment horizontal="center"/>
      <protection hidden="1"/>
    </xf>
    <xf numFmtId="166" fontId="22" fillId="0" borderId="0" xfId="0" applyNumberFormat="1" applyFont="1" applyProtection="1">
      <protection hidden="1"/>
    </xf>
    <xf numFmtId="166" fontId="22" fillId="2" borderId="0" xfId="0" applyNumberFormat="1" applyFont="1" applyFill="1" applyAlignment="1" applyProtection="1">
      <alignment horizontal="right"/>
      <protection hidden="1"/>
    </xf>
    <xf numFmtId="166" fontId="92" fillId="2" borderId="0" xfId="0" applyNumberFormat="1" applyFont="1" applyFill="1" applyAlignment="1" applyProtection="1">
      <alignment horizontal="left"/>
      <protection hidden="1"/>
    </xf>
    <xf numFmtId="166" fontId="17" fillId="2" borderId="0" xfId="0" applyNumberFormat="1" applyFont="1" applyFill="1" applyAlignment="1" applyProtection="1">
      <alignment horizontal="left"/>
      <protection hidden="1"/>
    </xf>
    <xf numFmtId="0" fontId="86" fillId="2" borderId="0" xfId="0" applyFont="1" applyFill="1" applyAlignment="1" applyProtection="1">
      <alignment horizontal="right"/>
      <protection hidden="1"/>
    </xf>
    <xf numFmtId="0" fontId="28" fillId="5" borderId="9" xfId="0" applyFont="1" applyFill="1" applyBorder="1" applyProtection="1">
      <protection hidden="1"/>
    </xf>
    <xf numFmtId="0" fontId="17" fillId="2" borderId="20" xfId="0" applyFont="1" applyFill="1" applyBorder="1" applyAlignment="1" applyProtection="1">
      <alignment horizontal="center"/>
      <protection hidden="1"/>
    </xf>
    <xf numFmtId="0" fontId="22" fillId="2" borderId="20" xfId="0" applyFont="1" applyFill="1" applyBorder="1" applyAlignment="1" applyProtection="1">
      <alignment horizontal="center"/>
      <protection hidden="1"/>
    </xf>
    <xf numFmtId="0" fontId="22" fillId="2" borderId="2" xfId="0" applyFont="1" applyFill="1" applyBorder="1" applyAlignment="1" applyProtection="1">
      <alignment horizontal="center"/>
      <protection hidden="1"/>
    </xf>
    <xf numFmtId="0" fontId="19" fillId="3" borderId="8" xfId="0" applyFont="1" applyFill="1" applyBorder="1" applyAlignment="1" applyProtection="1">
      <alignment vertical="center"/>
      <protection hidden="1"/>
    </xf>
    <xf numFmtId="0" fontId="22" fillId="2" borderId="12" xfId="0" applyFont="1" applyFill="1" applyBorder="1" applyAlignment="1" applyProtection="1">
      <alignment horizontal="center"/>
      <protection hidden="1"/>
    </xf>
    <xf numFmtId="0" fontId="19" fillId="2" borderId="0" xfId="0" applyFont="1" applyFill="1" applyAlignment="1" applyProtection="1">
      <alignment horizontal="center" vertical="top"/>
      <protection hidden="1"/>
    </xf>
    <xf numFmtId="0" fontId="17" fillId="2" borderId="0" xfId="0" applyFont="1" applyFill="1" applyAlignment="1" applyProtection="1">
      <alignment horizontal="left" vertical="center"/>
      <protection hidden="1"/>
    </xf>
    <xf numFmtId="0" fontId="19" fillId="2" borderId="20" xfId="0" applyFont="1" applyFill="1" applyBorder="1" applyAlignment="1" applyProtection="1">
      <alignment horizontal="center"/>
      <protection hidden="1"/>
    </xf>
    <xf numFmtId="0" fontId="28" fillId="6" borderId="7" xfId="0" applyFont="1" applyFill="1" applyBorder="1" applyProtection="1">
      <protection hidden="1"/>
    </xf>
    <xf numFmtId="0" fontId="28" fillId="6" borderId="8" xfId="0" applyFont="1" applyFill="1" applyBorder="1" applyProtection="1">
      <protection hidden="1"/>
    </xf>
    <xf numFmtId="49" fontId="22" fillId="0" borderId="12" xfId="0" applyNumberFormat="1" applyFont="1" applyBorder="1" applyAlignment="1" applyProtection="1">
      <alignment horizontal="center" vertical="center" wrapText="1"/>
      <protection locked="0"/>
    </xf>
    <xf numFmtId="3" fontId="22" fillId="0" borderId="12" xfId="0" applyNumberFormat="1" applyFont="1" applyBorder="1" applyAlignment="1" applyProtection="1">
      <alignment vertical="center"/>
      <protection locked="0"/>
    </xf>
    <xf numFmtId="0" fontId="61" fillId="2" borderId="0" xfId="0" applyFont="1" applyFill="1" applyAlignment="1" applyProtection="1">
      <alignment horizontal="center"/>
      <protection hidden="1"/>
    </xf>
    <xf numFmtId="3" fontId="22" fillId="4" borderId="22" xfId="0" applyNumberFormat="1" applyFont="1" applyFill="1" applyBorder="1" applyProtection="1">
      <protection hidden="1"/>
    </xf>
    <xf numFmtId="0" fontId="46" fillId="4" borderId="9" xfId="0" applyFont="1" applyFill="1" applyBorder="1" applyAlignment="1" applyProtection="1">
      <alignment vertical="center"/>
      <protection hidden="1"/>
    </xf>
    <xf numFmtId="0" fontId="19" fillId="4" borderId="7" xfId="0" applyFont="1" applyFill="1" applyBorder="1" applyAlignment="1" applyProtection="1">
      <alignment horizontal="center" vertical="center" wrapText="1"/>
      <protection hidden="1"/>
    </xf>
    <xf numFmtId="3" fontId="46" fillId="3" borderId="8" xfId="0" applyNumberFormat="1" applyFont="1" applyFill="1" applyBorder="1" applyProtection="1">
      <protection hidden="1"/>
    </xf>
    <xf numFmtId="0" fontId="17" fillId="2" borderId="0" xfId="0" applyFont="1" applyFill="1" applyAlignment="1" applyProtection="1">
      <alignment vertical="center" wrapText="1"/>
      <protection hidden="1"/>
    </xf>
    <xf numFmtId="3" fontId="22" fillId="4" borderId="12" xfId="0" applyNumberFormat="1" applyFont="1" applyFill="1" applyBorder="1" applyAlignment="1" applyProtection="1">
      <alignment vertical="center"/>
      <protection hidden="1"/>
    </xf>
    <xf numFmtId="0" fontId="19" fillId="2" borderId="0" xfId="0" applyFont="1" applyFill="1" applyAlignment="1" applyProtection="1">
      <alignment vertical="center"/>
      <protection hidden="1"/>
    </xf>
    <xf numFmtId="49" fontId="22" fillId="0" borderId="12" xfId="0" applyNumberFormat="1" applyFont="1" applyBorder="1" applyAlignment="1" applyProtection="1">
      <alignment horizontal="center"/>
      <protection locked="0"/>
    </xf>
    <xf numFmtId="0" fontId="72" fillId="2" borderId="2" xfId="0" applyFont="1" applyFill="1" applyBorder="1" applyAlignment="1" applyProtection="1">
      <alignment horizontal="center"/>
      <protection hidden="1"/>
    </xf>
    <xf numFmtId="10" fontId="22" fillId="4" borderId="12" xfId="0" applyNumberFormat="1" applyFont="1" applyFill="1" applyBorder="1" applyProtection="1">
      <protection hidden="1"/>
    </xf>
    <xf numFmtId="10" fontId="17" fillId="8" borderId="12" xfId="0" applyNumberFormat="1" applyFont="1" applyFill="1" applyBorder="1" applyAlignment="1" applyProtection="1">
      <alignment horizontal="center"/>
      <protection locked="0"/>
    </xf>
    <xf numFmtId="3" fontId="49" fillId="2" borderId="0" xfId="0" applyNumberFormat="1" applyFont="1" applyFill="1" applyAlignment="1" applyProtection="1">
      <alignment horizontal="left" vertical="center"/>
      <protection hidden="1"/>
    </xf>
    <xf numFmtId="10" fontId="22" fillId="0" borderId="18" xfId="0" applyNumberFormat="1" applyFont="1" applyBorder="1" applyAlignment="1" applyProtection="1">
      <alignment horizontal="center"/>
      <protection locked="0"/>
    </xf>
    <xf numFmtId="10" fontId="22" fillId="4" borderId="18" xfId="0" applyNumberFormat="1" applyFont="1" applyFill="1" applyBorder="1" applyAlignment="1" applyProtection="1">
      <alignment horizontal="center"/>
      <protection hidden="1"/>
    </xf>
    <xf numFmtId="0" fontId="78" fillId="2" borderId="0" xfId="0" applyFont="1" applyFill="1" applyAlignment="1" applyProtection="1">
      <alignment horizontal="center"/>
      <protection hidden="1"/>
    </xf>
    <xf numFmtId="0" fontId="78" fillId="2" borderId="10" xfId="0" applyFont="1" applyFill="1" applyBorder="1" applyAlignment="1" applyProtection="1">
      <alignment horizontal="center"/>
      <protection hidden="1"/>
    </xf>
    <xf numFmtId="3" fontId="49" fillId="2" borderId="0" xfId="0" applyNumberFormat="1" applyFont="1" applyFill="1" applyAlignment="1" applyProtection="1">
      <alignment horizontal="left"/>
      <protection hidden="1"/>
    </xf>
    <xf numFmtId="0" fontId="96" fillId="2" borderId="0" xfId="0" applyFont="1" applyFill="1" applyProtection="1">
      <protection hidden="1"/>
    </xf>
    <xf numFmtId="0" fontId="19" fillId="0" borderId="0" xfId="0" applyFont="1" applyAlignment="1">
      <alignment horizontal="right"/>
    </xf>
    <xf numFmtId="0" fontId="28" fillId="5" borderId="9" xfId="0" applyFont="1" applyFill="1" applyBorder="1" applyAlignment="1" applyProtection="1">
      <alignment horizontal="left" vertical="center"/>
      <protection hidden="1"/>
    </xf>
    <xf numFmtId="166" fontId="22" fillId="0" borderId="18" xfId="0" applyNumberFormat="1" applyFont="1" applyBorder="1" applyProtection="1">
      <protection locked="0"/>
    </xf>
    <xf numFmtId="166" fontId="22" fillId="4" borderId="18" xfId="0" applyNumberFormat="1" applyFont="1" applyFill="1" applyBorder="1" applyProtection="1">
      <protection hidden="1"/>
    </xf>
    <xf numFmtId="10" fontId="22" fillId="0" borderId="12" xfId="0" applyNumberFormat="1" applyFont="1" applyBorder="1" applyAlignment="1" applyProtection="1">
      <alignment horizontal="center"/>
      <protection locked="0"/>
    </xf>
    <xf numFmtId="0" fontId="43" fillId="2" borderId="0" xfId="0" applyFont="1" applyFill="1" applyProtection="1">
      <protection hidden="1"/>
    </xf>
    <xf numFmtId="0" fontId="19" fillId="2" borderId="0" xfId="0" applyFont="1" applyFill="1" applyAlignment="1" applyProtection="1">
      <alignment horizontal="left" vertical="center" wrapText="1"/>
      <protection hidden="1"/>
    </xf>
    <xf numFmtId="0" fontId="22" fillId="2" borderId="1" xfId="0" applyFont="1" applyFill="1" applyBorder="1" applyAlignment="1" applyProtection="1">
      <alignment horizontal="center"/>
      <protection hidden="1"/>
    </xf>
    <xf numFmtId="3" fontId="19" fillId="3" borderId="9" xfId="0" applyNumberFormat="1" applyFont="1" applyFill="1" applyBorder="1" applyAlignment="1" applyProtection="1">
      <alignment horizontal="left" vertical="center"/>
      <protection hidden="1"/>
    </xf>
    <xf numFmtId="3" fontId="19" fillId="3" borderId="8" xfId="0" applyNumberFormat="1" applyFont="1" applyFill="1" applyBorder="1" applyAlignment="1" applyProtection="1">
      <alignment horizontal="left" vertical="center"/>
      <protection hidden="1"/>
    </xf>
    <xf numFmtId="0" fontId="19" fillId="2" borderId="0" xfId="0" applyFont="1" applyFill="1" applyAlignment="1" applyProtection="1">
      <alignment horizontal="right" vertical="center"/>
      <protection hidden="1"/>
    </xf>
    <xf numFmtId="2" fontId="17" fillId="0" borderId="0" xfId="0" applyNumberFormat="1" applyFont="1" applyAlignment="1" applyProtection="1">
      <alignment horizontal="center"/>
      <protection hidden="1"/>
    </xf>
    <xf numFmtId="9" fontId="17" fillId="0" borderId="12" xfId="0" applyNumberFormat="1" applyFont="1" applyBorder="1" applyAlignment="1" applyProtection="1">
      <alignment horizontal="center"/>
      <protection locked="0"/>
    </xf>
    <xf numFmtId="0" fontId="86" fillId="2" borderId="0" xfId="0" applyFont="1" applyFill="1" applyProtection="1">
      <protection hidden="1"/>
    </xf>
    <xf numFmtId="0" fontId="25" fillId="2" borderId="0" xfId="0" applyFont="1" applyFill="1" applyAlignment="1" applyProtection="1">
      <alignment horizontal="left" vertical="center"/>
      <protection hidden="1"/>
    </xf>
    <xf numFmtId="3" fontId="78" fillId="2" borderId="0" xfId="0" applyNumberFormat="1" applyFont="1" applyFill="1" applyAlignment="1" applyProtection="1">
      <alignment horizontal="right"/>
      <protection hidden="1"/>
    </xf>
    <xf numFmtId="0" fontId="91" fillId="2" borderId="0" xfId="0" applyFont="1" applyFill="1" applyAlignment="1" applyProtection="1">
      <alignment vertical="center"/>
      <protection hidden="1"/>
    </xf>
    <xf numFmtId="10" fontId="22" fillId="2" borderId="0" xfId="0" applyNumberFormat="1" applyFont="1" applyFill="1" applyProtection="1">
      <protection hidden="1"/>
    </xf>
    <xf numFmtId="0" fontId="19" fillId="0" borderId="21" xfId="0" applyFont="1" applyBorder="1" applyAlignment="1" applyProtection="1">
      <alignment horizontal="center"/>
      <protection hidden="1"/>
    </xf>
    <xf numFmtId="0" fontId="19" fillId="0" borderId="20" xfId="0" applyFont="1" applyBorder="1" applyAlignment="1" applyProtection="1">
      <alignment horizontal="center"/>
      <protection hidden="1"/>
    </xf>
    <xf numFmtId="0" fontId="17" fillId="2" borderId="12" xfId="0" applyFont="1" applyFill="1" applyBorder="1" applyProtection="1">
      <protection hidden="1"/>
    </xf>
    <xf numFmtId="3" fontId="22" fillId="8" borderId="12" xfId="0" applyNumberFormat="1" applyFont="1" applyFill="1" applyBorder="1" applyAlignment="1" applyProtection="1">
      <alignment horizontal="center"/>
      <protection locked="0"/>
    </xf>
    <xf numFmtId="3" fontId="22" fillId="8" borderId="9" xfId="0" applyNumberFormat="1" applyFont="1" applyFill="1" applyBorder="1" applyAlignment="1" applyProtection="1">
      <alignment horizontal="center"/>
      <protection locked="0"/>
    </xf>
    <xf numFmtId="0" fontId="17" fillId="2" borderId="12" xfId="0" applyFont="1" applyFill="1" applyBorder="1" applyAlignment="1" applyProtection="1">
      <alignment horizontal="left" vertical="center"/>
      <protection hidden="1"/>
    </xf>
    <xf numFmtId="0" fontId="17" fillId="2" borderId="12" xfId="0" applyFont="1" applyFill="1" applyBorder="1" applyAlignment="1" applyProtection="1">
      <alignment vertical="center"/>
      <protection hidden="1"/>
    </xf>
    <xf numFmtId="3" fontId="19" fillId="2" borderId="12" xfId="0" applyNumberFormat="1" applyFont="1" applyFill="1" applyBorder="1" applyAlignment="1" applyProtection="1">
      <alignment horizontal="left" vertical="center"/>
      <protection hidden="1"/>
    </xf>
    <xf numFmtId="3" fontId="19" fillId="2" borderId="9" xfId="0" applyNumberFormat="1" applyFont="1" applyFill="1" applyBorder="1" applyAlignment="1" applyProtection="1">
      <alignment horizontal="left" vertical="center"/>
      <protection hidden="1"/>
    </xf>
    <xf numFmtId="3" fontId="19" fillId="2" borderId="1" xfId="0" applyNumberFormat="1" applyFont="1" applyFill="1" applyBorder="1" applyAlignment="1" applyProtection="1">
      <alignment horizontal="left" vertical="center"/>
      <protection hidden="1"/>
    </xf>
    <xf numFmtId="3" fontId="19" fillId="2" borderId="3" xfId="0" applyNumberFormat="1" applyFont="1" applyFill="1" applyBorder="1" applyAlignment="1" applyProtection="1">
      <alignment horizontal="left" vertical="center"/>
      <protection hidden="1"/>
    </xf>
    <xf numFmtId="3" fontId="28" fillId="5" borderId="9" xfId="0" applyNumberFormat="1" applyFont="1" applyFill="1" applyBorder="1" applyAlignment="1" applyProtection="1">
      <alignment horizontal="left" vertical="center"/>
      <protection hidden="1"/>
    </xf>
    <xf numFmtId="3" fontId="19" fillId="5" borderId="7" xfId="0" applyNumberFormat="1" applyFont="1" applyFill="1" applyBorder="1" applyAlignment="1" applyProtection="1">
      <alignment horizontal="left" vertical="center"/>
      <protection hidden="1"/>
    </xf>
    <xf numFmtId="3" fontId="22" fillId="5" borderId="7" xfId="0" applyNumberFormat="1" applyFont="1" applyFill="1" applyBorder="1" applyAlignment="1" applyProtection="1">
      <alignment horizontal="center" vertical="center"/>
      <protection hidden="1"/>
    </xf>
    <xf numFmtId="3" fontId="22" fillId="5" borderId="8" xfId="0" applyNumberFormat="1" applyFont="1" applyFill="1" applyBorder="1" applyAlignment="1" applyProtection="1">
      <alignment horizontal="center" vertical="center"/>
      <protection hidden="1"/>
    </xf>
    <xf numFmtId="3" fontId="61" fillId="2" borderId="0" xfId="0" applyNumberFormat="1" applyFont="1" applyFill="1" applyAlignment="1" applyProtection="1">
      <alignment horizontal="center" vertical="center"/>
      <protection hidden="1"/>
    </xf>
    <xf numFmtId="3" fontId="22" fillId="0" borderId="0" xfId="0" applyNumberFormat="1" applyFont="1" applyAlignment="1" applyProtection="1">
      <alignment horizontal="center" vertical="center"/>
      <protection hidden="1"/>
    </xf>
    <xf numFmtId="3" fontId="22" fillId="2" borderId="1" xfId="0" applyNumberFormat="1" applyFont="1" applyFill="1" applyBorder="1" applyAlignment="1" applyProtection="1">
      <alignment horizontal="left" vertical="center"/>
      <protection hidden="1"/>
    </xf>
    <xf numFmtId="3" fontId="22" fillId="2" borderId="0" xfId="0" applyNumberFormat="1" applyFont="1" applyFill="1" applyAlignment="1" applyProtection="1">
      <alignment horizontal="left" vertical="center"/>
      <protection hidden="1"/>
    </xf>
    <xf numFmtId="3" fontId="22" fillId="2" borderId="0" xfId="0" applyNumberFormat="1" applyFont="1" applyFill="1" applyAlignment="1" applyProtection="1">
      <alignment horizontal="center" vertical="center"/>
      <protection hidden="1"/>
    </xf>
    <xf numFmtId="4" fontId="22" fillId="2" borderId="0" xfId="0" applyNumberFormat="1" applyFont="1" applyFill="1" applyAlignment="1" applyProtection="1">
      <alignment horizontal="center" vertical="center"/>
      <protection hidden="1"/>
    </xf>
    <xf numFmtId="3" fontId="28" fillId="4" borderId="9" xfId="0" applyNumberFormat="1" applyFont="1" applyFill="1" applyBorder="1" applyAlignment="1" applyProtection="1">
      <alignment horizontal="left" vertical="center"/>
      <protection hidden="1"/>
    </xf>
    <xf numFmtId="3" fontId="19" fillId="3" borderId="12" xfId="0" applyNumberFormat="1" applyFont="1" applyFill="1" applyBorder="1" applyAlignment="1" applyProtection="1">
      <alignment horizontal="center" vertical="center"/>
      <protection hidden="1"/>
    </xf>
    <xf numFmtId="4" fontId="19" fillId="3" borderId="12" xfId="0" applyNumberFormat="1" applyFont="1" applyFill="1" applyBorder="1" applyAlignment="1" applyProtection="1">
      <alignment horizontal="center" vertical="center" wrapText="1"/>
      <protection hidden="1"/>
    </xf>
    <xf numFmtId="3" fontId="19" fillId="3" borderId="12" xfId="0" applyNumberFormat="1" applyFont="1" applyFill="1" applyBorder="1" applyAlignment="1" applyProtection="1">
      <alignment horizontal="center" vertical="center" wrapText="1"/>
      <protection hidden="1"/>
    </xf>
    <xf numFmtId="3" fontId="22" fillId="2" borderId="19" xfId="0" applyNumberFormat="1" applyFont="1" applyFill="1" applyBorder="1" applyAlignment="1" applyProtection="1">
      <alignment horizontal="left" vertical="center"/>
      <protection hidden="1"/>
    </xf>
    <xf numFmtId="3" fontId="22" fillId="2" borderId="3" xfId="0" applyNumberFormat="1" applyFont="1" applyFill="1" applyBorder="1" applyAlignment="1" applyProtection="1">
      <alignment horizontal="left" vertical="center"/>
      <protection hidden="1"/>
    </xf>
    <xf numFmtId="3" fontId="22" fillId="2" borderId="21" xfId="0" applyNumberFormat="1" applyFont="1" applyFill="1" applyBorder="1" applyAlignment="1" applyProtection="1">
      <alignment horizontal="center" vertical="center"/>
      <protection hidden="1"/>
    </xf>
    <xf numFmtId="3" fontId="22" fillId="4" borderId="12" xfId="0" applyNumberFormat="1" applyFont="1" applyFill="1" applyBorder="1" applyAlignment="1" applyProtection="1">
      <alignment horizontal="right" vertical="center"/>
      <protection hidden="1"/>
    </xf>
    <xf numFmtId="10" fontId="22" fillId="4" borderId="12" xfId="0" applyNumberFormat="1" applyFont="1" applyFill="1" applyBorder="1" applyAlignment="1" applyProtection="1">
      <alignment horizontal="center" vertical="center"/>
      <protection hidden="1"/>
    </xf>
    <xf numFmtId="3" fontId="22" fillId="4" borderId="12" xfId="0" applyNumberFormat="1" applyFont="1" applyFill="1" applyBorder="1" applyAlignment="1" applyProtection="1">
      <alignment horizontal="center" vertical="center"/>
      <protection hidden="1"/>
    </xf>
    <xf numFmtId="3" fontId="17" fillId="2" borderId="20" xfId="0" applyNumberFormat="1" applyFont="1" applyFill="1" applyBorder="1" applyAlignment="1" applyProtection="1">
      <alignment horizontal="center" vertical="center"/>
      <protection hidden="1"/>
    </xf>
    <xf numFmtId="3" fontId="78" fillId="2" borderId="20" xfId="0" applyNumberFormat="1" applyFont="1" applyFill="1" applyBorder="1" applyAlignment="1" applyProtection="1">
      <alignment horizontal="center" vertical="center"/>
      <protection hidden="1"/>
    </xf>
    <xf numFmtId="10" fontId="22" fillId="0" borderId="12" xfId="0" applyNumberFormat="1" applyFont="1" applyBorder="1" applyAlignment="1" applyProtection="1">
      <alignment horizontal="center" vertical="center"/>
      <protection locked="0"/>
    </xf>
    <xf numFmtId="3" fontId="61" fillId="2" borderId="20" xfId="0" applyNumberFormat="1" applyFont="1" applyFill="1" applyBorder="1" applyAlignment="1" applyProtection="1">
      <alignment horizontal="center" vertical="center"/>
      <protection hidden="1"/>
    </xf>
    <xf numFmtId="10" fontId="22" fillId="2" borderId="0" xfId="0" applyNumberFormat="1" applyFont="1" applyFill="1" applyAlignment="1" applyProtection="1">
      <alignment horizontal="center" vertical="center"/>
      <protection hidden="1"/>
    </xf>
    <xf numFmtId="3" fontId="17" fillId="2" borderId="1" xfId="0" applyNumberFormat="1" applyFont="1" applyFill="1" applyBorder="1" applyAlignment="1" applyProtection="1">
      <alignment horizontal="center" vertical="center"/>
      <protection hidden="1"/>
    </xf>
    <xf numFmtId="49" fontId="17" fillId="0" borderId="12" xfId="0" applyNumberFormat="1" applyFont="1" applyBorder="1" applyAlignment="1" applyProtection="1">
      <alignment horizontal="left" vertical="center"/>
      <protection locked="0"/>
    </xf>
    <xf numFmtId="3" fontId="61" fillId="2" borderId="1" xfId="0" applyNumberFormat="1" applyFont="1" applyFill="1" applyBorder="1" applyAlignment="1" applyProtection="1">
      <alignment horizontal="center" vertical="center"/>
      <protection hidden="1"/>
    </xf>
    <xf numFmtId="3" fontId="80" fillId="2" borderId="0" xfId="0" applyNumberFormat="1" applyFont="1" applyFill="1" applyAlignment="1" applyProtection="1">
      <alignment horizontal="right" vertical="center"/>
      <protection hidden="1"/>
    </xf>
    <xf numFmtId="0" fontId="19" fillId="2" borderId="2" xfId="0" applyFont="1" applyFill="1" applyBorder="1" applyAlignment="1" applyProtection="1">
      <alignment horizontal="right"/>
      <protection hidden="1"/>
    </xf>
    <xf numFmtId="0" fontId="17" fillId="8" borderId="12" xfId="0" applyFont="1" applyFill="1" applyBorder="1" applyAlignment="1" applyProtection="1">
      <alignment horizontal="left"/>
      <protection locked="0"/>
    </xf>
    <xf numFmtId="9" fontId="49" fillId="2" borderId="0" xfId="0" applyNumberFormat="1" applyFont="1" applyFill="1" applyAlignment="1" applyProtection="1">
      <alignment horizontal="center"/>
      <protection hidden="1"/>
    </xf>
    <xf numFmtId="0" fontId="19" fillId="3" borderId="9" xfId="0" applyFont="1" applyFill="1" applyBorder="1" applyAlignment="1" applyProtection="1">
      <alignment horizontal="left" vertical="center"/>
      <protection hidden="1"/>
    </xf>
    <xf numFmtId="0" fontId="19" fillId="3" borderId="8" xfId="0" applyFont="1" applyFill="1" applyBorder="1" applyAlignment="1" applyProtection="1">
      <alignment horizontal="left" vertical="center"/>
      <protection hidden="1"/>
    </xf>
    <xf numFmtId="3" fontId="78" fillId="2" borderId="0" xfId="0" applyNumberFormat="1" applyFont="1" applyFill="1" applyProtection="1">
      <protection hidden="1"/>
    </xf>
    <xf numFmtId="0" fontId="93" fillId="3" borderId="4" xfId="0" applyFont="1" applyFill="1" applyBorder="1" applyAlignment="1" applyProtection="1">
      <alignment vertical="center" wrapText="1"/>
      <protection hidden="1"/>
    </xf>
    <xf numFmtId="0" fontId="46" fillId="3" borderId="5" xfId="0" applyFont="1" applyFill="1" applyBorder="1" applyAlignment="1" applyProtection="1">
      <alignment vertical="center" wrapText="1"/>
      <protection hidden="1"/>
    </xf>
    <xf numFmtId="0" fontId="46" fillId="3" borderId="6" xfId="0" applyFont="1" applyFill="1" applyBorder="1" applyAlignment="1" applyProtection="1">
      <alignment vertical="center" wrapText="1"/>
      <protection hidden="1"/>
    </xf>
    <xf numFmtId="0" fontId="22" fillId="4" borderId="7" xfId="0" applyFont="1" applyFill="1" applyBorder="1" applyAlignment="1" applyProtection="1">
      <alignment horizontal="left"/>
      <protection hidden="1"/>
    </xf>
    <xf numFmtId="0" fontId="19" fillId="5" borderId="7" xfId="0" applyFont="1" applyFill="1" applyBorder="1" applyAlignment="1" applyProtection="1">
      <alignment horizontal="center"/>
      <protection hidden="1"/>
    </xf>
    <xf numFmtId="166" fontId="19" fillId="5" borderId="7" xfId="0" applyNumberFormat="1" applyFont="1" applyFill="1" applyBorder="1" applyProtection="1">
      <protection hidden="1"/>
    </xf>
    <xf numFmtId="166" fontId="19" fillId="0" borderId="12" xfId="0" applyNumberFormat="1" applyFont="1" applyBorder="1" applyAlignment="1" applyProtection="1">
      <alignment horizontal="center"/>
      <protection locked="0"/>
    </xf>
    <xf numFmtId="166" fontId="19" fillId="4" borderId="12" xfId="0" applyNumberFormat="1" applyFont="1" applyFill="1" applyBorder="1" applyAlignment="1" applyProtection="1">
      <alignment horizontal="center"/>
      <protection hidden="1"/>
    </xf>
    <xf numFmtId="0" fontId="17" fillId="9" borderId="12" xfId="0" applyFont="1" applyFill="1" applyBorder="1" applyAlignment="1" applyProtection="1">
      <alignment horizontal="center"/>
      <protection locked="0"/>
    </xf>
    <xf numFmtId="14" fontId="17" fillId="9" borderId="12" xfId="0" applyNumberFormat="1" applyFont="1" applyFill="1" applyBorder="1" applyAlignment="1" applyProtection="1">
      <alignment horizontal="center"/>
      <protection locked="0"/>
    </xf>
    <xf numFmtId="3" fontId="17" fillId="9" borderId="12" xfId="0" applyNumberFormat="1" applyFont="1" applyFill="1" applyBorder="1" applyProtection="1">
      <protection locked="0"/>
    </xf>
    <xf numFmtId="0" fontId="98" fillId="2" borderId="0" xfId="0" applyFont="1" applyFill="1" applyAlignment="1" applyProtection="1">
      <alignment horizontal="left"/>
      <protection hidden="1"/>
    </xf>
    <xf numFmtId="166" fontId="28" fillId="5" borderId="8" xfId="0" applyNumberFormat="1" applyFont="1" applyFill="1" applyBorder="1" applyProtection="1">
      <protection hidden="1"/>
    </xf>
    <xf numFmtId="9" fontId="19" fillId="4" borderId="12" xfId="0" applyNumberFormat="1" applyFont="1" applyFill="1" applyBorder="1" applyAlignment="1" applyProtection="1">
      <alignment horizontal="center"/>
      <protection hidden="1"/>
    </xf>
    <xf numFmtId="3" fontId="49" fillId="2" borderId="5" xfId="0" applyNumberFormat="1" applyFont="1" applyFill="1" applyBorder="1" applyProtection="1">
      <protection hidden="1"/>
    </xf>
    <xf numFmtId="0" fontId="94" fillId="2" borderId="0" xfId="0" applyFont="1" applyFill="1" applyAlignment="1" applyProtection="1">
      <alignment horizontal="left"/>
      <protection hidden="1"/>
    </xf>
    <xf numFmtId="0" fontId="19" fillId="2" borderId="0" xfId="0" quotePrefix="1" applyFont="1" applyFill="1" applyAlignment="1" applyProtection="1">
      <alignment horizontal="right"/>
      <protection hidden="1"/>
    </xf>
    <xf numFmtId="3" fontId="19" fillId="0" borderId="12" xfId="0" applyNumberFormat="1" applyFont="1" applyBorder="1" applyProtection="1">
      <protection locked="0"/>
    </xf>
    <xf numFmtId="1" fontId="19" fillId="0" borderId="12" xfId="0" applyNumberFormat="1" applyFont="1" applyBorder="1" applyAlignment="1" applyProtection="1">
      <alignment horizontal="center"/>
      <protection locked="0"/>
    </xf>
    <xf numFmtId="10" fontId="19" fillId="0" borderId="12" xfId="0" applyNumberFormat="1" applyFont="1" applyBorder="1" applyAlignment="1" applyProtection="1">
      <alignment horizontal="center"/>
      <protection locked="0"/>
    </xf>
    <xf numFmtId="0" fontId="84" fillId="2" borderId="0" xfId="0" applyFont="1" applyFill="1" applyAlignment="1" applyProtection="1">
      <alignment horizontal="right"/>
      <protection hidden="1"/>
    </xf>
    <xf numFmtId="166" fontId="92" fillId="2" borderId="0" xfId="0" applyNumberFormat="1" applyFont="1" applyFill="1" applyAlignment="1" applyProtection="1">
      <alignment horizontal="right" vertical="top"/>
      <protection hidden="1"/>
    </xf>
    <xf numFmtId="0" fontId="22" fillId="9" borderId="12" xfId="0" applyFont="1" applyFill="1" applyBorder="1" applyAlignment="1" applyProtection="1">
      <alignment horizontal="center"/>
      <protection locked="0"/>
    </xf>
    <xf numFmtId="14" fontId="22" fillId="9" borderId="12" xfId="0" applyNumberFormat="1" applyFont="1" applyFill="1" applyBorder="1" applyAlignment="1" applyProtection="1">
      <alignment horizontal="center"/>
      <protection locked="0"/>
    </xf>
    <xf numFmtId="0" fontId="46" fillId="2" borderId="0" xfId="0" applyFont="1" applyFill="1" applyProtection="1">
      <protection hidden="1"/>
    </xf>
    <xf numFmtId="9" fontId="22" fillId="4" borderId="12" xfId="0" applyNumberFormat="1" applyFont="1" applyFill="1" applyBorder="1" applyAlignment="1" applyProtection="1">
      <alignment horizontal="center"/>
      <protection hidden="1"/>
    </xf>
    <xf numFmtId="0" fontId="84" fillId="2" borderId="0" xfId="0" applyFont="1" applyFill="1" applyAlignment="1" applyProtection="1">
      <alignment horizontal="left"/>
      <protection hidden="1"/>
    </xf>
    <xf numFmtId="0" fontId="22" fillId="2" borderId="0" xfId="0" quotePrefix="1" applyFont="1" applyFill="1" applyAlignment="1" applyProtection="1">
      <alignment horizontal="right"/>
      <protection hidden="1"/>
    </xf>
    <xf numFmtId="3" fontId="22" fillId="0" borderId="12" xfId="0" quotePrefix="1" applyNumberFormat="1" applyFont="1" applyBorder="1" applyAlignment="1" applyProtection="1">
      <alignment horizontal="right"/>
      <protection locked="0"/>
    </xf>
    <xf numFmtId="14" fontId="22" fillId="0" borderId="12" xfId="0" quotePrefix="1" applyNumberFormat="1" applyFont="1" applyBorder="1" applyAlignment="1" applyProtection="1">
      <alignment horizontal="right"/>
      <protection locked="0"/>
    </xf>
    <xf numFmtId="166" fontId="17" fillId="0" borderId="12" xfId="0" applyNumberFormat="1" applyFont="1" applyBorder="1" applyAlignment="1" applyProtection="1">
      <alignment horizontal="right"/>
      <protection locked="0"/>
    </xf>
    <xf numFmtId="3" fontId="22" fillId="0" borderId="0" xfId="0" applyNumberFormat="1" applyFont="1" applyAlignment="1" applyProtection="1">
      <alignment horizontal="center"/>
      <protection hidden="1"/>
    </xf>
    <xf numFmtId="0" fontId="55" fillId="2" borderId="0" xfId="0" applyFont="1" applyFill="1" applyAlignment="1" applyProtection="1">
      <alignment horizontal="left"/>
      <protection hidden="1"/>
    </xf>
    <xf numFmtId="0" fontId="46" fillId="4" borderId="9" xfId="0" applyFont="1" applyFill="1" applyBorder="1" applyProtection="1">
      <protection hidden="1"/>
    </xf>
    <xf numFmtId="0" fontId="22" fillId="4" borderId="12" xfId="0" applyFont="1" applyFill="1" applyBorder="1" applyAlignment="1" applyProtection="1">
      <alignment horizontal="center" vertical="center" wrapText="1"/>
      <protection hidden="1"/>
    </xf>
    <xf numFmtId="0" fontId="22" fillId="0" borderId="12" xfId="0" applyFont="1" applyBorder="1" applyAlignment="1" applyProtection="1">
      <alignment horizontal="center" vertical="center"/>
      <protection locked="0"/>
    </xf>
    <xf numFmtId="0" fontId="22" fillId="0" borderId="21" xfId="0" applyFont="1" applyBorder="1" applyAlignment="1" applyProtection="1">
      <alignment horizontal="center" vertical="center"/>
      <protection locked="0"/>
    </xf>
    <xf numFmtId="3" fontId="28" fillId="4" borderId="21" xfId="0" applyNumberFormat="1" applyFont="1" applyFill="1" applyBorder="1" applyAlignment="1" applyProtection="1">
      <alignment horizontal="justify" vertical="center" wrapText="1"/>
      <protection hidden="1"/>
    </xf>
    <xf numFmtId="3" fontId="17" fillId="0" borderId="9" xfId="0" applyNumberFormat="1" applyFont="1" applyBorder="1" applyAlignment="1" applyProtection="1">
      <alignment horizontal="right" vertical="center"/>
      <protection locked="0"/>
    </xf>
    <xf numFmtId="3" fontId="61" fillId="4" borderId="20" xfId="0" applyNumberFormat="1" applyFont="1" applyFill="1" applyBorder="1" applyAlignment="1" applyProtection="1">
      <alignment horizontal="center" vertical="center" wrapText="1"/>
      <protection hidden="1"/>
    </xf>
    <xf numFmtId="3" fontId="61" fillId="4" borderId="18" xfId="0" applyNumberFormat="1"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protection hidden="1"/>
    </xf>
    <xf numFmtId="0" fontId="22" fillId="0" borderId="12" xfId="0" applyFont="1" applyBorder="1" applyAlignment="1" applyProtection="1">
      <alignment horizontal="right" vertical="center"/>
      <protection locked="0"/>
    </xf>
    <xf numFmtId="0" fontId="55" fillId="0" borderId="0" xfId="0" applyFont="1" applyAlignment="1" applyProtection="1">
      <alignment horizontal="left"/>
      <protection hidden="1"/>
    </xf>
    <xf numFmtId="0" fontId="19" fillId="4" borderId="12" xfId="0" applyFont="1" applyFill="1" applyBorder="1" applyAlignment="1" applyProtection="1">
      <alignment horizontal="left" vertical="center" wrapText="1"/>
      <protection hidden="1"/>
    </xf>
    <xf numFmtId="0" fontId="19" fillId="4" borderId="12" xfId="0" applyFont="1" applyFill="1" applyBorder="1" applyAlignment="1" applyProtection="1">
      <alignment horizontal="center" vertical="center" wrapText="1"/>
      <protection hidden="1"/>
    </xf>
    <xf numFmtId="0" fontId="46" fillId="3" borderId="9" xfId="0" applyFont="1" applyFill="1" applyBorder="1" applyProtection="1">
      <protection hidden="1"/>
    </xf>
    <xf numFmtId="0" fontId="17" fillId="0" borderId="12" xfId="0" applyFont="1" applyBorder="1" applyAlignment="1" applyProtection="1">
      <alignment horizontal="left"/>
      <protection locked="0"/>
    </xf>
    <xf numFmtId="0" fontId="55" fillId="2" borderId="0" xfId="0" applyFont="1" applyFill="1" applyAlignment="1" applyProtection="1">
      <alignment vertical="top"/>
      <protection hidden="1"/>
    </xf>
    <xf numFmtId="0" fontId="19" fillId="2" borderId="1" xfId="0" applyFont="1" applyFill="1" applyBorder="1" applyAlignment="1" applyProtection="1">
      <alignment horizontal="justify" vertical="center" wrapText="1"/>
      <protection hidden="1"/>
    </xf>
    <xf numFmtId="0" fontId="19" fillId="2" borderId="2" xfId="0" applyFont="1" applyFill="1" applyBorder="1" applyAlignment="1" applyProtection="1">
      <alignment horizontal="justify" vertical="center" wrapText="1"/>
      <protection hidden="1"/>
    </xf>
    <xf numFmtId="0" fontId="19" fillId="4" borderId="7" xfId="0" applyFont="1" applyFill="1" applyBorder="1" applyAlignment="1" applyProtection="1">
      <alignment horizontal="justify" vertical="center" wrapText="1"/>
      <protection hidden="1"/>
    </xf>
    <xf numFmtId="0" fontId="19" fillId="4" borderId="8" xfId="0" applyFont="1" applyFill="1" applyBorder="1" applyAlignment="1" applyProtection="1">
      <alignment horizontal="justify" vertical="center" wrapText="1"/>
      <protection hidden="1"/>
    </xf>
    <xf numFmtId="0" fontId="19" fillId="2" borderId="5" xfId="0" applyFont="1" applyFill="1" applyBorder="1" applyAlignment="1" applyProtection="1">
      <alignment horizontal="justify" vertical="center" wrapText="1"/>
      <protection hidden="1"/>
    </xf>
    <xf numFmtId="4" fontId="22" fillId="0" borderId="12" xfId="0" applyNumberFormat="1" applyFont="1" applyBorder="1" applyProtection="1">
      <protection locked="0"/>
    </xf>
    <xf numFmtId="0" fontId="22" fillId="4" borderId="8" xfId="0" applyFont="1" applyFill="1" applyBorder="1" applyProtection="1">
      <protection hidden="1"/>
    </xf>
    <xf numFmtId="4" fontId="19" fillId="0" borderId="0" xfId="0" applyNumberFormat="1" applyFont="1" applyProtection="1">
      <protection hidden="1"/>
    </xf>
    <xf numFmtId="3" fontId="19" fillId="2" borderId="21" xfId="0" applyNumberFormat="1" applyFont="1" applyFill="1" applyBorder="1" applyProtection="1">
      <protection hidden="1"/>
    </xf>
    <xf numFmtId="3" fontId="61" fillId="2" borderId="20" xfId="0" applyNumberFormat="1" applyFont="1" applyFill="1" applyBorder="1" applyProtection="1">
      <protection hidden="1"/>
    </xf>
    <xf numFmtId="3" fontId="22" fillId="2" borderId="20" xfId="0" applyNumberFormat="1" applyFont="1" applyFill="1" applyBorder="1" applyProtection="1">
      <protection hidden="1"/>
    </xf>
    <xf numFmtId="3" fontId="19" fillId="4" borderId="7" xfId="0" applyNumberFormat="1" applyFont="1" applyFill="1" applyBorder="1" applyProtection="1">
      <protection hidden="1"/>
    </xf>
    <xf numFmtId="0" fontId="22" fillId="2" borderId="20" xfId="0" applyFont="1" applyFill="1" applyBorder="1" applyProtection="1">
      <protection hidden="1"/>
    </xf>
    <xf numFmtId="3" fontId="22" fillId="2" borderId="18" xfId="0" applyNumberFormat="1" applyFont="1" applyFill="1" applyBorder="1" applyProtection="1">
      <protection hidden="1"/>
    </xf>
    <xf numFmtId="3" fontId="86" fillId="2" borderId="0" xfId="0" applyNumberFormat="1" applyFont="1" applyFill="1" applyAlignment="1" applyProtection="1">
      <alignment horizontal="right"/>
      <protection hidden="1"/>
    </xf>
    <xf numFmtId="172" fontId="19" fillId="0" borderId="0" xfId="0" applyNumberFormat="1" applyFont="1" applyProtection="1">
      <protection hidden="1"/>
    </xf>
    <xf numFmtId="0" fontId="15" fillId="5" borderId="19" xfId="0" applyFont="1" applyFill="1" applyBorder="1" applyProtection="1">
      <protection hidden="1"/>
    </xf>
    <xf numFmtId="0" fontId="28" fillId="5" borderId="4" xfId="0" applyFont="1" applyFill="1" applyBorder="1" applyProtection="1">
      <protection hidden="1"/>
    </xf>
    <xf numFmtId="0" fontId="17" fillId="8" borderId="21" xfId="0" applyFont="1" applyFill="1" applyBorder="1" applyAlignment="1" applyProtection="1">
      <alignment horizontal="center"/>
      <protection locked="0"/>
    </xf>
    <xf numFmtId="14" fontId="19" fillId="0" borderId="12" xfId="0" applyNumberFormat="1" applyFont="1" applyBorder="1" applyAlignment="1" applyProtection="1">
      <alignment horizontal="center"/>
      <protection locked="0"/>
    </xf>
    <xf numFmtId="49" fontId="19" fillId="0" borderId="12" xfId="0" applyNumberFormat="1" applyFont="1" applyBorder="1" applyAlignment="1" applyProtection="1">
      <alignment horizontal="center"/>
      <protection locked="0"/>
    </xf>
    <xf numFmtId="0" fontId="19" fillId="0" borderId="0" xfId="0" applyFont="1" applyAlignment="1" applyProtection="1">
      <alignment horizontal="left" vertical="center"/>
      <protection hidden="1"/>
    </xf>
    <xf numFmtId="1" fontId="57" fillId="0" borderId="0" xfId="0" applyNumberFormat="1" applyFont="1" applyProtection="1">
      <protection hidden="1"/>
    </xf>
    <xf numFmtId="0" fontId="57" fillId="0" borderId="0" xfId="0" applyFont="1" applyProtection="1">
      <protection hidden="1"/>
    </xf>
    <xf numFmtId="3" fontId="25" fillId="2" borderId="0" xfId="0" applyNumberFormat="1" applyFont="1" applyFill="1" applyAlignment="1" applyProtection="1">
      <alignment horizontal="left"/>
      <protection hidden="1"/>
    </xf>
    <xf numFmtId="0" fontId="19" fillId="6" borderId="12" xfId="0" applyFont="1" applyFill="1" applyBorder="1" applyAlignment="1" applyProtection="1">
      <alignment horizontal="center"/>
      <protection hidden="1"/>
    </xf>
    <xf numFmtId="0" fontId="17" fillId="5" borderId="12" xfId="0" applyFont="1" applyFill="1" applyBorder="1" applyAlignment="1" applyProtection="1">
      <alignment horizontal="center" vertical="center" wrapText="1"/>
      <protection hidden="1"/>
    </xf>
    <xf numFmtId="0" fontId="22" fillId="5" borderId="12" xfId="0" applyFont="1" applyFill="1" applyBorder="1" applyAlignment="1" applyProtection="1">
      <alignment horizontal="center" vertical="center" wrapText="1"/>
      <protection hidden="1"/>
    </xf>
    <xf numFmtId="0" fontId="25" fillId="2" borderId="0" xfId="0" quotePrefix="1" applyFont="1" applyFill="1" applyProtection="1">
      <protection hidden="1"/>
    </xf>
    <xf numFmtId="3" fontId="19" fillId="0" borderId="21" xfId="0" applyNumberFormat="1" applyFont="1" applyBorder="1" applyProtection="1">
      <protection locked="0"/>
    </xf>
    <xf numFmtId="3" fontId="19" fillId="4" borderId="12" xfId="0" applyNumberFormat="1" applyFont="1" applyFill="1" applyBorder="1" applyProtection="1">
      <protection hidden="1"/>
    </xf>
    <xf numFmtId="3" fontId="19" fillId="4" borderId="21" xfId="0" applyNumberFormat="1" applyFont="1" applyFill="1" applyBorder="1" applyProtection="1">
      <protection hidden="1"/>
    </xf>
    <xf numFmtId="3" fontId="19" fillId="4" borderId="22" xfId="0" applyNumberFormat="1" applyFont="1" applyFill="1" applyBorder="1" applyProtection="1">
      <protection hidden="1"/>
    </xf>
    <xf numFmtId="3" fontId="19" fillId="2" borderId="0" xfId="0" applyNumberFormat="1" applyFont="1" applyFill="1" applyAlignment="1" applyProtection="1">
      <alignment horizontal="right"/>
      <protection hidden="1"/>
    </xf>
    <xf numFmtId="3" fontId="19" fillId="0" borderId="18" xfId="0" applyNumberFormat="1" applyFont="1" applyBorder="1" applyProtection="1">
      <protection locked="0"/>
    </xf>
    <xf numFmtId="3" fontId="19" fillId="4" borderId="13" xfId="0" applyNumberFormat="1" applyFont="1" applyFill="1" applyBorder="1" applyProtection="1">
      <protection hidden="1"/>
    </xf>
    <xf numFmtId="0" fontId="91" fillId="6" borderId="18" xfId="0" applyFont="1" applyFill="1" applyBorder="1" applyAlignment="1" applyProtection="1">
      <alignment horizontal="center"/>
      <protection hidden="1"/>
    </xf>
    <xf numFmtId="0" fontId="19" fillId="5" borderId="1" xfId="0" applyFont="1" applyFill="1" applyBorder="1" applyProtection="1">
      <protection hidden="1"/>
    </xf>
    <xf numFmtId="0" fontId="82" fillId="2" borderId="0" xfId="0" applyFont="1" applyFill="1" applyAlignment="1" applyProtection="1">
      <alignment horizontal="center"/>
      <protection hidden="1"/>
    </xf>
    <xf numFmtId="0" fontId="54" fillId="2" borderId="0" xfId="0" applyFont="1" applyFill="1" applyProtection="1">
      <protection hidden="1"/>
    </xf>
    <xf numFmtId="3" fontId="62" fillId="2" borderId="0" xfId="0" applyNumberFormat="1" applyFont="1" applyFill="1" applyAlignment="1" applyProtection="1">
      <alignment horizontal="left"/>
      <protection hidden="1"/>
    </xf>
    <xf numFmtId="3" fontId="22" fillId="5" borderId="22" xfId="0" applyNumberFormat="1" applyFont="1" applyFill="1" applyBorder="1" applyProtection="1">
      <protection hidden="1"/>
    </xf>
    <xf numFmtId="3" fontId="22" fillId="0" borderId="18" xfId="0" applyNumberFormat="1" applyFont="1" applyBorder="1" applyProtection="1">
      <protection locked="0"/>
    </xf>
    <xf numFmtId="3" fontId="22" fillId="3" borderId="12" xfId="0" applyNumberFormat="1" applyFont="1" applyFill="1" applyBorder="1" applyProtection="1">
      <protection hidden="1"/>
    </xf>
    <xf numFmtId="0" fontId="100" fillId="2" borderId="0" xfId="0" applyFont="1" applyFill="1" applyProtection="1">
      <protection hidden="1"/>
    </xf>
    <xf numFmtId="0" fontId="41" fillId="2" borderId="0" xfId="0" applyFont="1" applyFill="1" applyProtection="1">
      <protection hidden="1"/>
    </xf>
    <xf numFmtId="3" fontId="101" fillId="2" borderId="0" xfId="0" applyNumberFormat="1" applyFont="1" applyFill="1" applyAlignment="1" applyProtection="1">
      <alignment horizontal="left"/>
      <protection hidden="1"/>
    </xf>
    <xf numFmtId="3" fontId="19" fillId="2" borderId="0" xfId="0" quotePrefix="1" applyNumberFormat="1" applyFont="1" applyFill="1" applyAlignment="1" applyProtection="1">
      <alignment horizontal="left"/>
      <protection hidden="1"/>
    </xf>
    <xf numFmtId="3" fontId="25" fillId="2" borderId="2" xfId="0" applyNumberFormat="1" applyFont="1" applyFill="1" applyBorder="1" applyAlignment="1" applyProtection="1">
      <alignment horizontal="right"/>
      <protection hidden="1"/>
    </xf>
    <xf numFmtId="0" fontId="42" fillId="2" borderId="0" xfId="0" applyFont="1" applyFill="1" applyProtection="1">
      <protection hidden="1"/>
    </xf>
    <xf numFmtId="3" fontId="25" fillId="2" borderId="0" xfId="0" applyNumberFormat="1" applyFont="1" applyFill="1" applyAlignment="1" applyProtection="1">
      <alignment horizontal="right"/>
      <protection hidden="1"/>
    </xf>
    <xf numFmtId="0" fontId="15" fillId="5" borderId="4" xfId="0" applyFont="1" applyFill="1" applyBorder="1" applyProtection="1">
      <protection hidden="1"/>
    </xf>
    <xf numFmtId="3" fontId="19" fillId="5" borderId="12" xfId="0" applyNumberFormat="1" applyFont="1" applyFill="1" applyBorder="1" applyProtection="1">
      <protection hidden="1"/>
    </xf>
    <xf numFmtId="14" fontId="17" fillId="0" borderId="12" xfId="0" applyNumberFormat="1" applyFont="1" applyBorder="1" applyAlignment="1" applyProtection="1">
      <alignment horizontal="right"/>
      <protection locked="0"/>
    </xf>
    <xf numFmtId="3" fontId="17" fillId="3" borderId="7" xfId="0" applyNumberFormat="1" applyFont="1" applyFill="1" applyBorder="1" applyProtection="1">
      <protection hidden="1"/>
    </xf>
    <xf numFmtId="166" fontId="17" fillId="0" borderId="12" xfId="0" applyNumberFormat="1" applyFont="1" applyBorder="1" applyProtection="1">
      <protection locked="0"/>
    </xf>
    <xf numFmtId="0" fontId="36" fillId="2" borderId="0" xfId="0" applyFont="1" applyFill="1" applyProtection="1">
      <protection hidden="1"/>
    </xf>
    <xf numFmtId="0" fontId="46" fillId="5" borderId="9" xfId="0" applyFont="1" applyFill="1" applyBorder="1" applyProtection="1">
      <protection hidden="1"/>
    </xf>
    <xf numFmtId="0" fontId="17" fillId="2" borderId="0" xfId="0" applyFont="1" applyFill="1" applyAlignment="1" applyProtection="1">
      <alignment horizontal="left" vertical="center" wrapText="1"/>
      <protection hidden="1"/>
    </xf>
    <xf numFmtId="0" fontId="28" fillId="5" borderId="5" xfId="0" applyFont="1" applyFill="1" applyBorder="1" applyAlignment="1" applyProtection="1">
      <alignment horizontal="left"/>
      <protection hidden="1"/>
    </xf>
    <xf numFmtId="0" fontId="28" fillId="5" borderId="6" xfId="0" applyFont="1" applyFill="1" applyBorder="1" applyAlignment="1" applyProtection="1">
      <alignment horizontal="left"/>
      <protection hidden="1"/>
    </xf>
    <xf numFmtId="0" fontId="55" fillId="2" borderId="0" xfId="0" applyFont="1" applyFill="1" applyAlignment="1" applyProtection="1">
      <alignment vertical="center"/>
      <protection hidden="1"/>
    </xf>
    <xf numFmtId="0" fontId="22" fillId="2" borderId="0" xfId="0" applyFont="1" applyFill="1" applyAlignment="1" applyProtection="1">
      <alignment vertical="top"/>
      <protection hidden="1"/>
    </xf>
    <xf numFmtId="164" fontId="22" fillId="3" borderId="21" xfId="0" applyNumberFormat="1" applyFont="1" applyFill="1" applyBorder="1" applyAlignment="1" applyProtection="1">
      <alignment horizontal="center" vertical="center" wrapText="1"/>
      <protection hidden="1"/>
    </xf>
    <xf numFmtId="1" fontId="22" fillId="0" borderId="12" xfId="0" applyNumberFormat="1" applyFont="1" applyBorder="1" applyAlignment="1" applyProtection="1">
      <alignment horizontal="left"/>
      <protection locked="0"/>
    </xf>
    <xf numFmtId="166" fontId="22" fillId="3" borderId="12" xfId="0" applyNumberFormat="1" applyFont="1" applyFill="1" applyBorder="1" applyAlignment="1" applyProtection="1">
      <alignment horizontal="right"/>
      <protection hidden="1"/>
    </xf>
    <xf numFmtId="1" fontId="22" fillId="0" borderId="9" xfId="0" applyNumberFormat="1" applyFont="1" applyBorder="1" applyAlignment="1" applyProtection="1">
      <alignment horizontal="left"/>
      <protection locked="0"/>
    </xf>
    <xf numFmtId="1" fontId="22" fillId="0" borderId="9" xfId="0" applyNumberFormat="1" applyFont="1" applyBorder="1" applyAlignment="1" applyProtection="1">
      <alignment horizontal="center"/>
      <protection locked="0"/>
    </xf>
    <xf numFmtId="166" fontId="17" fillId="2" borderId="0" xfId="0" applyNumberFormat="1" applyFont="1" applyFill="1" applyAlignment="1" applyProtection="1">
      <alignment vertical="center"/>
      <protection hidden="1"/>
    </xf>
    <xf numFmtId="166" fontId="17" fillId="5" borderId="12" xfId="0" applyNumberFormat="1" applyFont="1" applyFill="1" applyBorder="1" applyAlignment="1" applyProtection="1">
      <alignment vertical="center"/>
      <protection hidden="1"/>
    </xf>
    <xf numFmtId="165" fontId="17" fillId="5" borderId="12" xfId="0" applyNumberFormat="1" applyFont="1" applyFill="1" applyBorder="1" applyAlignment="1" applyProtection="1">
      <alignment horizontal="right" vertical="center"/>
      <protection hidden="1"/>
    </xf>
    <xf numFmtId="166" fontId="17" fillId="5" borderId="12" xfId="0" applyNumberFormat="1" applyFont="1" applyFill="1" applyBorder="1" applyAlignment="1" applyProtection="1">
      <alignment horizontal="right" vertical="center"/>
      <protection hidden="1"/>
    </xf>
    <xf numFmtId="166" fontId="69" fillId="2" borderId="0" xfId="0" applyNumberFormat="1" applyFont="1" applyFill="1" applyAlignment="1" applyProtection="1">
      <alignment vertical="center"/>
      <protection hidden="1"/>
    </xf>
    <xf numFmtId="0" fontId="22" fillId="5" borderId="8" xfId="0" applyFont="1" applyFill="1" applyBorder="1" applyProtection="1">
      <protection hidden="1"/>
    </xf>
    <xf numFmtId="0" fontId="73" fillId="2" borderId="0" xfId="0" applyFont="1" applyFill="1" applyProtection="1">
      <protection hidden="1"/>
    </xf>
    <xf numFmtId="165" fontId="49" fillId="2" borderId="0" xfId="0" applyNumberFormat="1" applyFont="1" applyFill="1" applyProtection="1">
      <protection hidden="1"/>
    </xf>
    <xf numFmtId="166" fontId="22" fillId="2" borderId="0" xfId="0" applyNumberFormat="1" applyFont="1" applyFill="1" applyAlignment="1" applyProtection="1">
      <alignment vertical="top"/>
      <protection hidden="1"/>
    </xf>
    <xf numFmtId="166" fontId="22" fillId="2" borderId="0" xfId="0" applyNumberFormat="1" applyFont="1" applyFill="1" applyAlignment="1" applyProtection="1">
      <alignment horizontal="right" vertical="top"/>
      <protection hidden="1"/>
    </xf>
    <xf numFmtId="0" fontId="51" fillId="2" borderId="0" xfId="0" applyFont="1" applyFill="1" applyAlignment="1" applyProtection="1">
      <alignment horizontal="center"/>
      <protection hidden="1"/>
    </xf>
    <xf numFmtId="0" fontId="105" fillId="2" borderId="0" xfId="0" applyFont="1" applyFill="1" applyAlignment="1" applyProtection="1">
      <alignment horizontal="right"/>
      <protection hidden="1"/>
    </xf>
    <xf numFmtId="0" fontId="51" fillId="2" borderId="2" xfId="0" applyFont="1" applyFill="1" applyBorder="1" applyAlignment="1" applyProtection="1">
      <alignment horizontal="center"/>
      <protection hidden="1"/>
    </xf>
    <xf numFmtId="0" fontId="19" fillId="4" borderId="9" xfId="0" applyFont="1" applyFill="1" applyBorder="1" applyAlignment="1" applyProtection="1">
      <alignment vertical="center"/>
      <protection hidden="1"/>
    </xf>
    <xf numFmtId="0" fontId="17" fillId="2" borderId="9" xfId="0" applyFont="1" applyFill="1" applyBorder="1" applyProtection="1">
      <protection hidden="1"/>
    </xf>
    <xf numFmtId="0" fontId="19" fillId="5" borderId="6" xfId="0" applyFont="1" applyFill="1" applyBorder="1" applyAlignment="1" applyProtection="1">
      <alignment vertical="center" wrapText="1"/>
      <protection hidden="1"/>
    </xf>
    <xf numFmtId="0" fontId="22" fillId="5" borderId="8" xfId="0" applyFont="1" applyFill="1" applyBorder="1" applyAlignment="1" applyProtection="1">
      <alignment horizontal="center"/>
      <protection hidden="1"/>
    </xf>
    <xf numFmtId="0" fontId="22" fillId="5" borderId="12" xfId="0" applyFont="1" applyFill="1" applyBorder="1" applyAlignment="1" applyProtection="1">
      <alignment horizontal="center"/>
      <protection hidden="1"/>
    </xf>
    <xf numFmtId="3" fontId="86" fillId="10" borderId="4" xfId="0" applyNumberFormat="1" applyFont="1" applyFill="1" applyBorder="1" applyAlignment="1" applyProtection="1">
      <alignment horizontal="left" vertical="center"/>
      <protection hidden="1"/>
    </xf>
    <xf numFmtId="0" fontId="19" fillId="10" borderId="6" xfId="0" applyFont="1" applyFill="1" applyBorder="1" applyProtection="1">
      <protection hidden="1"/>
    </xf>
    <xf numFmtId="3" fontId="17" fillId="2" borderId="12" xfId="0" applyNumberFormat="1" applyFont="1" applyFill="1" applyBorder="1" applyAlignment="1" applyProtection="1">
      <alignment horizontal="left" vertical="center"/>
      <protection hidden="1"/>
    </xf>
    <xf numFmtId="165" fontId="22" fillId="4" borderId="12" xfId="0" applyNumberFormat="1" applyFont="1" applyFill="1" applyBorder="1" applyAlignment="1" applyProtection="1">
      <alignment horizontal="right"/>
      <protection hidden="1"/>
    </xf>
    <xf numFmtId="0" fontId="19" fillId="9" borderId="0" xfId="0" applyFont="1" applyFill="1" applyProtection="1">
      <protection hidden="1"/>
    </xf>
    <xf numFmtId="165" fontId="22" fillId="0" borderId="12" xfId="0" applyNumberFormat="1" applyFont="1" applyBorder="1" applyAlignment="1" applyProtection="1">
      <alignment horizontal="right"/>
      <protection locked="0"/>
    </xf>
    <xf numFmtId="3" fontId="17" fillId="2" borderId="12" xfId="0" applyNumberFormat="1" applyFont="1" applyFill="1" applyBorder="1" applyAlignment="1" applyProtection="1">
      <alignment horizontal="right"/>
      <protection hidden="1"/>
    </xf>
    <xf numFmtId="0" fontId="49" fillId="2" borderId="0" xfId="0" applyFont="1" applyFill="1" applyAlignment="1" applyProtection="1">
      <alignment horizontal="left"/>
      <protection hidden="1"/>
    </xf>
    <xf numFmtId="166" fontId="22" fillId="2" borderId="0" xfId="0" applyNumberFormat="1" applyFont="1" applyFill="1" applyAlignment="1" applyProtection="1">
      <alignment horizontal="center" vertical="top"/>
      <protection hidden="1"/>
    </xf>
    <xf numFmtId="0" fontId="51" fillId="2" borderId="0" xfId="0" applyFont="1" applyFill="1" applyAlignment="1" applyProtection="1">
      <alignment horizontal="right"/>
      <protection hidden="1"/>
    </xf>
    <xf numFmtId="166" fontId="22" fillId="0" borderId="8" xfId="0" applyNumberFormat="1" applyFont="1" applyBorder="1" applyProtection="1">
      <protection locked="0"/>
    </xf>
    <xf numFmtId="0" fontId="17" fillId="7" borderId="9" xfId="0" applyFont="1" applyFill="1" applyBorder="1" applyProtection="1">
      <protection hidden="1"/>
    </xf>
    <xf numFmtId="0" fontId="19" fillId="7" borderId="7" xfId="0" applyFont="1" applyFill="1" applyBorder="1" applyProtection="1">
      <protection hidden="1"/>
    </xf>
    <xf numFmtId="0" fontId="17" fillId="7" borderId="19" xfId="0" applyFont="1" applyFill="1" applyBorder="1" applyProtection="1">
      <protection hidden="1"/>
    </xf>
    <xf numFmtId="0" fontId="19" fillId="7" borderId="10" xfId="0" applyFont="1" applyFill="1" applyBorder="1" applyProtection="1">
      <protection hidden="1"/>
    </xf>
    <xf numFmtId="0" fontId="19" fillId="2" borderId="0" xfId="0" applyFont="1" applyFill="1" applyAlignment="1" applyProtection="1">
      <alignment vertical="top"/>
      <protection hidden="1"/>
    </xf>
    <xf numFmtId="0" fontId="19" fillId="2" borderId="0" xfId="0" applyFont="1" applyFill="1" applyAlignment="1" applyProtection="1">
      <alignment horizontal="right" vertical="top"/>
      <protection hidden="1"/>
    </xf>
    <xf numFmtId="0" fontId="22" fillId="2" borderId="0" xfId="0" applyFont="1" applyFill="1" applyAlignment="1" applyProtection="1">
      <alignment horizontal="right" vertical="top"/>
      <protection hidden="1"/>
    </xf>
    <xf numFmtId="0" fontId="19" fillId="7" borderId="0" xfId="0" applyFont="1" applyFill="1" applyProtection="1">
      <protection hidden="1"/>
    </xf>
    <xf numFmtId="0" fontId="19" fillId="7" borderId="0" xfId="0" applyFont="1" applyFill="1" applyAlignment="1" applyProtection="1">
      <alignment horizontal="right"/>
      <protection hidden="1"/>
    </xf>
    <xf numFmtId="0" fontId="19" fillId="10" borderId="7" xfId="0" applyFont="1" applyFill="1" applyBorder="1" applyProtection="1">
      <protection hidden="1"/>
    </xf>
    <xf numFmtId="3" fontId="22" fillId="0" borderId="12" xfId="0" applyNumberFormat="1" applyFont="1" applyBorder="1" applyAlignment="1" applyProtection="1">
      <alignment vertical="center" wrapText="1"/>
      <protection locked="0"/>
    </xf>
    <xf numFmtId="166" fontId="22" fillId="0" borderId="12" xfId="0" applyNumberFormat="1" applyFont="1" applyBorder="1" applyAlignment="1" applyProtection="1">
      <alignment vertical="center" wrapText="1"/>
      <protection locked="0"/>
    </xf>
    <xf numFmtId="0" fontId="17" fillId="2" borderId="19" xfId="0" applyFont="1" applyFill="1" applyBorder="1" applyAlignment="1" applyProtection="1">
      <alignment vertical="center"/>
      <protection hidden="1"/>
    </xf>
    <xf numFmtId="0" fontId="17" fillId="2" borderId="3" xfId="0" applyFont="1" applyFill="1" applyBorder="1" applyAlignment="1" applyProtection="1">
      <alignment vertical="center" wrapText="1"/>
      <protection hidden="1"/>
    </xf>
    <xf numFmtId="0" fontId="17" fillId="2" borderId="4" xfId="0" applyFont="1" applyFill="1" applyBorder="1" applyAlignment="1" applyProtection="1">
      <alignment vertical="center"/>
      <protection hidden="1"/>
    </xf>
    <xf numFmtId="174" fontId="19" fillId="0" borderId="0" xfId="0" applyNumberFormat="1" applyFont="1" applyProtection="1">
      <protection hidden="1"/>
    </xf>
    <xf numFmtId="3" fontId="24" fillId="2" borderId="0" xfId="0" applyNumberFormat="1" applyFont="1" applyFill="1" applyAlignment="1" applyProtection="1">
      <alignment horizontal="right" vertical="center"/>
      <protection hidden="1"/>
    </xf>
    <xf numFmtId="0" fontId="15" fillId="0" borderId="0" xfId="0" applyFont="1" applyAlignment="1" applyProtection="1">
      <alignment horizontal="left"/>
      <protection hidden="1"/>
    </xf>
    <xf numFmtId="0" fontId="106" fillId="5" borderId="9" xfId="0" applyFont="1" applyFill="1" applyBorder="1" applyProtection="1">
      <protection hidden="1"/>
    </xf>
    <xf numFmtId="0" fontId="15" fillId="5" borderId="7" xfId="0" applyFont="1" applyFill="1" applyBorder="1" applyProtection="1">
      <protection hidden="1"/>
    </xf>
    <xf numFmtId="0" fontId="17" fillId="5" borderId="8" xfId="0" applyFont="1" applyFill="1" applyBorder="1" applyAlignment="1" applyProtection="1">
      <alignment vertical="center"/>
      <protection hidden="1"/>
    </xf>
    <xf numFmtId="0" fontId="17" fillId="3" borderId="21" xfId="0" applyFont="1" applyFill="1" applyBorder="1" applyAlignment="1" applyProtection="1">
      <alignment horizontal="center"/>
      <protection hidden="1"/>
    </xf>
    <xf numFmtId="0" fontId="17" fillId="3" borderId="18" xfId="0" applyFont="1" applyFill="1" applyBorder="1" applyAlignment="1" applyProtection="1">
      <alignment horizontal="center" vertical="top"/>
      <protection hidden="1"/>
    </xf>
    <xf numFmtId="0" fontId="19" fillId="0" borderId="2" xfId="0" applyFont="1" applyBorder="1" applyProtection="1">
      <protection hidden="1"/>
    </xf>
    <xf numFmtId="0" fontId="22" fillId="2" borderId="1" xfId="0" quotePrefix="1" applyFont="1" applyFill="1" applyBorder="1" applyAlignment="1" applyProtection="1">
      <alignment horizontal="center"/>
      <protection hidden="1"/>
    </xf>
    <xf numFmtId="166" fontId="22" fillId="0" borderId="12" xfId="0" applyNumberFormat="1" applyFont="1" applyBorder="1" applyAlignment="1" applyProtection="1">
      <alignment horizontal="right" vertical="center"/>
      <protection locked="0"/>
    </xf>
    <xf numFmtId="166" fontId="61" fillId="0" borderId="12" xfId="0" applyNumberFormat="1" applyFont="1" applyBorder="1" applyAlignment="1" applyProtection="1">
      <alignment horizontal="right" vertical="center"/>
      <protection locked="0"/>
    </xf>
    <xf numFmtId="166" fontId="22" fillId="4" borderId="12" xfId="0" applyNumberFormat="1" applyFont="1" applyFill="1" applyBorder="1" applyAlignment="1" applyProtection="1">
      <alignment horizontal="right" vertical="center"/>
      <protection hidden="1"/>
    </xf>
    <xf numFmtId="3" fontId="61" fillId="2" borderId="0" xfId="0" applyNumberFormat="1" applyFont="1" applyFill="1" applyAlignment="1" applyProtection="1">
      <alignment horizontal="left" vertical="center"/>
      <protection hidden="1"/>
    </xf>
    <xf numFmtId="0" fontId="19" fillId="2" borderId="1" xfId="0" applyFont="1" applyFill="1" applyBorder="1"/>
    <xf numFmtId="0" fontId="19" fillId="0" borderId="1" xfId="0" applyFont="1" applyBorder="1"/>
    <xf numFmtId="0" fontId="28" fillId="4" borderId="9" xfId="0" applyFont="1" applyFill="1" applyBorder="1" applyProtection="1">
      <protection hidden="1"/>
    </xf>
    <xf numFmtId="0" fontId="78" fillId="2" borderId="0" xfId="0" applyFont="1" applyFill="1" applyAlignment="1" applyProtection="1">
      <alignment vertical="center"/>
      <protection hidden="1"/>
    </xf>
    <xf numFmtId="166" fontId="22" fillId="2" borderId="0" xfId="0" applyNumberFormat="1" applyFont="1" applyFill="1" applyAlignment="1" applyProtection="1">
      <alignment horizontal="right" vertical="center"/>
      <protection hidden="1"/>
    </xf>
    <xf numFmtId="166" fontId="22" fillId="3" borderId="12" xfId="0" applyNumberFormat="1" applyFont="1" applyFill="1" applyBorder="1" applyAlignment="1" applyProtection="1">
      <alignment horizontal="center" vertical="center"/>
      <protection hidden="1"/>
    </xf>
    <xf numFmtId="166" fontId="22" fillId="3" borderId="12" xfId="0" applyNumberFormat="1" applyFont="1" applyFill="1" applyBorder="1" applyAlignment="1" applyProtection="1">
      <alignment horizontal="center" vertical="center" wrapText="1"/>
      <protection hidden="1"/>
    </xf>
    <xf numFmtId="0" fontId="22" fillId="2" borderId="1" xfId="0" quotePrefix="1" applyFont="1" applyFill="1" applyBorder="1" applyAlignment="1" applyProtection="1">
      <alignment horizontal="center" vertical="center"/>
      <protection hidden="1"/>
    </xf>
    <xf numFmtId="2" fontId="17" fillId="2" borderId="0" xfId="0" quotePrefix="1" applyNumberFormat="1" applyFont="1" applyFill="1" applyAlignment="1" applyProtection="1">
      <alignment horizontal="center" vertical="center"/>
      <protection hidden="1"/>
    </xf>
    <xf numFmtId="2" fontId="17" fillId="2" borderId="0" xfId="0" applyNumberFormat="1" applyFont="1" applyFill="1" applyAlignment="1" applyProtection="1">
      <alignment horizontal="center" vertical="center"/>
      <protection hidden="1"/>
    </xf>
    <xf numFmtId="2" fontId="22" fillId="0" borderId="12" xfId="0" applyNumberFormat="1" applyFont="1" applyBorder="1" applyAlignment="1" applyProtection="1">
      <alignment horizontal="center" vertical="center"/>
      <protection locked="0"/>
    </xf>
    <xf numFmtId="166" fontId="61" fillId="2" borderId="2" xfId="0" applyNumberFormat="1" applyFont="1" applyFill="1" applyBorder="1" applyAlignment="1" applyProtection="1">
      <alignment horizontal="right" vertical="center"/>
      <protection hidden="1"/>
    </xf>
    <xf numFmtId="3" fontId="22" fillId="2" borderId="0" xfId="0" applyNumberFormat="1" applyFont="1" applyFill="1" applyAlignment="1" applyProtection="1">
      <alignment horizontal="left"/>
      <protection hidden="1"/>
    </xf>
    <xf numFmtId="0" fontId="55" fillId="2" borderId="0" xfId="0" applyFont="1" applyFill="1"/>
    <xf numFmtId="0" fontId="19" fillId="8" borderId="12" xfId="0" applyFont="1" applyFill="1" applyBorder="1" applyAlignment="1" applyProtection="1">
      <alignment horizontal="center" vertical="center"/>
      <protection locked="0"/>
    </xf>
    <xf numFmtId="3" fontId="59" fillId="0" borderId="0" xfId="0" applyNumberFormat="1" applyFont="1" applyAlignment="1" applyProtection="1">
      <alignment horizontal="right" vertical="center"/>
      <protection hidden="1"/>
    </xf>
    <xf numFmtId="0" fontId="22" fillId="0" borderId="0" xfId="0" applyFont="1" applyAlignment="1" applyProtection="1">
      <alignment vertical="center"/>
      <protection hidden="1"/>
    </xf>
    <xf numFmtId="0" fontId="28" fillId="2" borderId="5" xfId="0" applyFont="1" applyFill="1" applyBorder="1" applyAlignment="1" applyProtection="1">
      <alignment horizontal="left" vertical="center"/>
      <protection hidden="1"/>
    </xf>
    <xf numFmtId="0" fontId="17" fillId="3" borderId="15" xfId="0" applyFont="1" applyFill="1" applyBorder="1" applyAlignment="1" applyProtection="1">
      <alignment horizontal="center" vertical="center"/>
      <protection hidden="1"/>
    </xf>
    <xf numFmtId="0" fontId="17" fillId="2" borderId="14" xfId="0" applyFont="1" applyFill="1" applyBorder="1" applyAlignment="1" applyProtection="1">
      <alignment horizontal="center" vertical="center"/>
      <protection hidden="1"/>
    </xf>
    <xf numFmtId="0" fontId="17" fillId="2" borderId="14" xfId="0" applyFont="1" applyFill="1" applyBorder="1" applyAlignment="1" applyProtection="1">
      <alignment vertical="center"/>
      <protection hidden="1"/>
    </xf>
    <xf numFmtId="0" fontId="22" fillId="2" borderId="0" xfId="0" applyFont="1" applyFill="1" applyAlignment="1" applyProtection="1">
      <alignment horizontal="justify" vertical="center" wrapText="1"/>
      <protection hidden="1"/>
    </xf>
    <xf numFmtId="0" fontId="19" fillId="0" borderId="0" xfId="0" applyFont="1" applyAlignment="1">
      <alignment horizontal="center"/>
    </xf>
    <xf numFmtId="0" fontId="19" fillId="2" borderId="14" xfId="0" applyFont="1" applyFill="1" applyBorder="1" applyAlignment="1" applyProtection="1">
      <alignment horizontal="left" vertical="center"/>
      <protection hidden="1"/>
    </xf>
    <xf numFmtId="0" fontId="43" fillId="2" borderId="0" xfId="0" applyFont="1" applyFill="1" applyAlignment="1" applyProtection="1">
      <alignment horizontal="left" vertical="center"/>
      <protection hidden="1"/>
    </xf>
    <xf numFmtId="0" fontId="19" fillId="2" borderId="14" xfId="0" applyFont="1" applyFill="1" applyBorder="1" applyAlignment="1" applyProtection="1">
      <alignment horizontal="right" vertical="center"/>
      <protection hidden="1"/>
    </xf>
    <xf numFmtId="0" fontId="22" fillId="2" borderId="11" xfId="0" applyFont="1" applyFill="1" applyBorder="1" applyAlignment="1" applyProtection="1">
      <alignment horizontal="center" vertical="top"/>
      <protection hidden="1"/>
    </xf>
    <xf numFmtId="3" fontId="28" fillId="0" borderId="0" xfId="0" applyNumberFormat="1" applyFont="1" applyAlignment="1" applyProtection="1">
      <alignment horizontal="left"/>
      <protection hidden="1"/>
    </xf>
    <xf numFmtId="3" fontId="19" fillId="0" borderId="0" xfId="0" applyNumberFormat="1" applyFont="1" applyAlignment="1" applyProtection="1">
      <alignment horizontal="center"/>
      <protection hidden="1"/>
    </xf>
    <xf numFmtId="3" fontId="19" fillId="3" borderId="25" xfId="0" applyNumberFormat="1" applyFont="1" applyFill="1" applyBorder="1" applyAlignment="1" applyProtection="1">
      <alignment vertical="center"/>
      <protection hidden="1"/>
    </xf>
    <xf numFmtId="3" fontId="22" fillId="3" borderId="26" xfId="0" applyNumberFormat="1" applyFont="1" applyFill="1" applyBorder="1" applyAlignment="1" applyProtection="1">
      <alignment horizontal="center"/>
      <protection hidden="1"/>
    </xf>
    <xf numFmtId="3" fontId="22" fillId="2" borderId="1" xfId="0" applyNumberFormat="1" applyFont="1" applyFill="1" applyBorder="1" applyAlignment="1" applyProtection="1">
      <alignment horizontal="center"/>
      <protection hidden="1"/>
    </xf>
    <xf numFmtId="3" fontId="86" fillId="2" borderId="9" xfId="0" applyNumberFormat="1" applyFont="1" applyFill="1" applyBorder="1" applyAlignment="1" applyProtection="1">
      <alignment vertical="center"/>
      <protection hidden="1"/>
    </xf>
    <xf numFmtId="3" fontId="68" fillId="2" borderId="21" xfId="0" applyNumberFormat="1" applyFont="1" applyFill="1" applyBorder="1" applyAlignment="1" applyProtection="1">
      <alignment horizontal="center"/>
      <protection hidden="1"/>
    </xf>
    <xf numFmtId="3" fontId="61" fillId="2" borderId="1" xfId="0" applyNumberFormat="1" applyFont="1" applyFill="1" applyBorder="1" applyProtection="1">
      <protection hidden="1"/>
    </xf>
    <xf numFmtId="165" fontId="49" fillId="2" borderId="7" xfId="0" applyNumberFormat="1" applyFont="1" applyFill="1" applyBorder="1" applyAlignment="1" applyProtection="1">
      <alignment vertical="top"/>
      <protection hidden="1"/>
    </xf>
    <xf numFmtId="3" fontId="17" fillId="2" borderId="9" xfId="0" applyNumberFormat="1" applyFont="1" applyFill="1" applyBorder="1" applyAlignment="1" applyProtection="1">
      <alignment vertical="center"/>
      <protection hidden="1"/>
    </xf>
    <xf numFmtId="165" fontId="22" fillId="0" borderId="0" xfId="0" applyNumberFormat="1" applyFont="1" applyAlignment="1" applyProtection="1">
      <alignment horizontal="right"/>
      <protection hidden="1"/>
    </xf>
    <xf numFmtId="3" fontId="86" fillId="10" borderId="9" xfId="0" applyNumberFormat="1" applyFont="1" applyFill="1" applyBorder="1" applyAlignment="1" applyProtection="1">
      <alignment vertical="center"/>
      <protection hidden="1"/>
    </xf>
    <xf numFmtId="165" fontId="22" fillId="2" borderId="0" xfId="0" applyNumberFormat="1" applyFont="1" applyFill="1" applyAlignment="1" applyProtection="1">
      <alignment horizontal="right"/>
      <protection hidden="1"/>
    </xf>
    <xf numFmtId="3" fontId="17" fillId="2" borderId="0" xfId="0" applyNumberFormat="1" applyFont="1" applyFill="1" applyAlignment="1" applyProtection="1">
      <alignment horizontal="left" vertical="center"/>
      <protection hidden="1"/>
    </xf>
    <xf numFmtId="165" fontId="22" fillId="2" borderId="0" xfId="0" applyNumberFormat="1" applyFont="1" applyFill="1" applyAlignment="1" applyProtection="1">
      <alignment horizontal="right" vertical="center"/>
      <protection hidden="1"/>
    </xf>
    <xf numFmtId="3" fontId="22" fillId="2" borderId="9" xfId="0" applyNumberFormat="1" applyFont="1" applyFill="1" applyBorder="1" applyAlignment="1" applyProtection="1">
      <alignment vertical="center"/>
      <protection hidden="1"/>
    </xf>
    <xf numFmtId="166" fontId="22" fillId="4" borderId="12" xfId="0" applyNumberFormat="1" applyFont="1" applyFill="1" applyBorder="1" applyAlignment="1" applyProtection="1">
      <alignment horizontal="right"/>
      <protection hidden="1"/>
    </xf>
    <xf numFmtId="3" fontId="17" fillId="2" borderId="9" xfId="0" applyNumberFormat="1" applyFont="1" applyFill="1" applyBorder="1" applyProtection="1">
      <protection hidden="1"/>
    </xf>
    <xf numFmtId="165" fontId="22" fillId="2" borderId="0" xfId="0" applyNumberFormat="1" applyFont="1" applyFill="1" applyAlignment="1" applyProtection="1">
      <alignment horizontal="right"/>
      <protection locked="0"/>
    </xf>
    <xf numFmtId="3" fontId="53" fillId="0" borderId="0" xfId="0" applyNumberFormat="1" applyFont="1" applyProtection="1">
      <protection hidden="1"/>
    </xf>
    <xf numFmtId="3" fontId="107" fillId="0" borderId="0" xfId="0" applyNumberFormat="1" applyFont="1" applyProtection="1">
      <protection hidden="1"/>
    </xf>
    <xf numFmtId="3" fontId="23" fillId="3" borderId="9" xfId="0" applyNumberFormat="1" applyFont="1" applyFill="1" applyBorder="1" applyAlignment="1" applyProtection="1">
      <alignment vertical="center"/>
      <protection hidden="1"/>
    </xf>
    <xf numFmtId="3" fontId="23" fillId="3" borderId="8" xfId="0" applyNumberFormat="1" applyFont="1" applyFill="1" applyBorder="1" applyAlignment="1" applyProtection="1">
      <alignment vertical="center"/>
      <protection hidden="1"/>
    </xf>
    <xf numFmtId="3" fontId="17" fillId="2" borderId="19" xfId="0" applyNumberFormat="1" applyFont="1" applyFill="1" applyBorder="1" applyAlignment="1" applyProtection="1">
      <alignment horizontal="left"/>
      <protection hidden="1"/>
    </xf>
    <xf numFmtId="3" fontId="78" fillId="2" borderId="10" xfId="0" applyNumberFormat="1" applyFont="1" applyFill="1" applyBorder="1" applyAlignment="1" applyProtection="1">
      <alignment horizontal="left"/>
      <protection hidden="1"/>
    </xf>
    <xf numFmtId="3" fontId="22" fillId="2" borderId="12" xfId="0" applyNumberFormat="1" applyFont="1" applyFill="1" applyBorder="1" applyAlignment="1" applyProtection="1">
      <alignment horizontal="center"/>
      <protection hidden="1"/>
    </xf>
    <xf numFmtId="3" fontId="17" fillId="2" borderId="1" xfId="0" applyNumberFormat="1" applyFont="1" applyFill="1" applyBorder="1" applyAlignment="1" applyProtection="1">
      <alignment horizontal="left"/>
      <protection hidden="1"/>
    </xf>
    <xf numFmtId="3" fontId="19" fillId="2" borderId="4" xfId="0" applyNumberFormat="1" applyFont="1" applyFill="1" applyBorder="1" applyProtection="1">
      <protection hidden="1"/>
    </xf>
    <xf numFmtId="3" fontId="22" fillId="2" borderId="21" xfId="0" applyNumberFormat="1" applyFont="1" applyFill="1" applyBorder="1" applyAlignment="1" applyProtection="1">
      <alignment horizontal="center"/>
      <protection hidden="1"/>
    </xf>
    <xf numFmtId="3" fontId="17" fillId="3" borderId="9" xfId="0" applyNumberFormat="1" applyFont="1" applyFill="1" applyBorder="1" applyProtection="1">
      <protection hidden="1"/>
    </xf>
    <xf numFmtId="166" fontId="22" fillId="4" borderId="21" xfId="0" applyNumberFormat="1" applyFont="1" applyFill="1" applyBorder="1" applyAlignment="1" applyProtection="1">
      <alignment horizontal="right"/>
      <protection hidden="1"/>
    </xf>
    <xf numFmtId="3" fontId="78" fillId="0" borderId="0" xfId="0" applyNumberFormat="1" applyFont="1" applyAlignment="1" applyProtection="1">
      <alignment horizontal="right"/>
      <protection hidden="1"/>
    </xf>
    <xf numFmtId="3" fontId="17" fillId="3" borderId="9" xfId="0" applyNumberFormat="1" applyFont="1" applyFill="1" applyBorder="1" applyAlignment="1" applyProtection="1">
      <alignment vertical="center"/>
      <protection hidden="1"/>
    </xf>
    <xf numFmtId="3" fontId="17" fillId="3" borderId="7" xfId="0" applyNumberFormat="1" applyFont="1" applyFill="1" applyBorder="1" applyAlignment="1" applyProtection="1">
      <alignment vertical="center"/>
      <protection hidden="1"/>
    </xf>
    <xf numFmtId="3" fontId="19" fillId="2" borderId="5" xfId="0" applyNumberFormat="1" applyFont="1" applyFill="1" applyBorder="1" applyAlignment="1" applyProtection="1">
      <alignment horizontal="left" vertical="center"/>
      <protection hidden="1"/>
    </xf>
    <xf numFmtId="0" fontId="22" fillId="3" borderId="21" xfId="0" applyFont="1" applyFill="1" applyBorder="1" applyAlignment="1" applyProtection="1">
      <alignment vertical="center" wrapText="1"/>
      <protection hidden="1"/>
    </xf>
    <xf numFmtId="0" fontId="24" fillId="2" borderId="20" xfId="0" applyFont="1" applyFill="1" applyBorder="1" applyAlignment="1" applyProtection="1">
      <alignment horizontal="center" vertical="center" wrapText="1"/>
      <protection hidden="1"/>
    </xf>
    <xf numFmtId="0" fontId="22" fillId="3" borderId="18" xfId="0" applyFont="1" applyFill="1" applyBorder="1" applyAlignment="1" applyProtection="1">
      <alignment vertical="center" wrapText="1"/>
      <protection hidden="1"/>
    </xf>
    <xf numFmtId="0" fontId="22" fillId="2" borderId="21" xfId="0" applyFont="1" applyFill="1" applyBorder="1" applyAlignment="1" applyProtection="1">
      <alignment horizontal="center" vertical="center"/>
      <protection hidden="1"/>
    </xf>
    <xf numFmtId="0" fontId="22" fillId="2" borderId="21" xfId="0" applyFont="1" applyFill="1" applyBorder="1" applyAlignment="1">
      <alignment horizontal="center"/>
    </xf>
    <xf numFmtId="0" fontId="24" fillId="2" borderId="20" xfId="0" applyFont="1" applyFill="1" applyBorder="1" applyAlignment="1" applyProtection="1">
      <alignment horizontal="left" vertical="center" wrapText="1"/>
      <protection hidden="1"/>
    </xf>
    <xf numFmtId="0" fontId="22" fillId="2" borderId="18" xfId="0" applyFont="1" applyFill="1" applyBorder="1" applyAlignment="1" applyProtection="1">
      <alignment horizontal="center" vertical="center"/>
      <protection hidden="1"/>
    </xf>
    <xf numFmtId="0" fontId="22" fillId="2" borderId="18" xfId="0" applyFont="1" applyFill="1" applyBorder="1" applyAlignment="1">
      <alignment horizontal="center"/>
    </xf>
    <xf numFmtId="0" fontId="22" fillId="2" borderId="20" xfId="0" applyFont="1" applyFill="1" applyBorder="1" applyAlignment="1" applyProtection="1">
      <alignment horizontal="center" vertical="center"/>
      <protection hidden="1"/>
    </xf>
    <xf numFmtId="0" fontId="17" fillId="2" borderId="10" xfId="0" applyFont="1" applyFill="1" applyBorder="1" applyAlignment="1" applyProtection="1">
      <alignment vertical="center"/>
      <protection hidden="1"/>
    </xf>
    <xf numFmtId="0" fontId="61" fillId="2" borderId="10" xfId="0" applyFont="1" applyFill="1" applyBorder="1" applyAlignment="1" applyProtection="1">
      <alignment vertical="center"/>
      <protection hidden="1"/>
    </xf>
    <xf numFmtId="0" fontId="17" fillId="2" borderId="3" xfId="0" applyFont="1" applyFill="1" applyBorder="1" applyAlignment="1" applyProtection="1">
      <alignment vertical="center"/>
      <protection hidden="1"/>
    </xf>
    <xf numFmtId="0" fontId="22" fillId="2" borderId="0" xfId="0" applyFont="1" applyFill="1" applyAlignment="1">
      <alignment horizontal="center"/>
    </xf>
    <xf numFmtId="0" fontId="17" fillId="2" borderId="2" xfId="0" applyFont="1" applyFill="1" applyBorder="1" applyAlignment="1" applyProtection="1">
      <alignment vertical="center" wrapText="1"/>
      <protection hidden="1"/>
    </xf>
    <xf numFmtId="0" fontId="22" fillId="2" borderId="20" xfId="0" applyFont="1" applyFill="1" applyBorder="1" applyAlignment="1">
      <alignment horizontal="center"/>
    </xf>
    <xf numFmtId="173" fontId="19" fillId="0" borderId="0" xfId="0" applyNumberFormat="1" applyFont="1" applyProtection="1">
      <protection hidden="1"/>
    </xf>
    <xf numFmtId="166" fontId="22" fillId="4" borderId="21" xfId="0" applyNumberFormat="1" applyFont="1" applyFill="1" applyBorder="1" applyProtection="1">
      <protection hidden="1"/>
    </xf>
    <xf numFmtId="0" fontId="24" fillId="2" borderId="2" xfId="0" applyFont="1" applyFill="1" applyBorder="1" applyAlignment="1" applyProtection="1">
      <alignment horizontal="left" vertical="center" wrapText="1"/>
      <protection hidden="1"/>
    </xf>
    <xf numFmtId="166" fontId="25" fillId="0" borderId="0" xfId="0" applyNumberFormat="1" applyFont="1" applyProtection="1">
      <protection hidden="1"/>
    </xf>
    <xf numFmtId="0" fontId="17" fillId="2" borderId="10" xfId="0" applyFont="1" applyFill="1" applyBorder="1" applyAlignment="1" applyProtection="1">
      <alignment vertical="center" wrapText="1"/>
      <protection hidden="1"/>
    </xf>
    <xf numFmtId="0" fontId="17" fillId="2" borderId="5" xfId="0" applyFont="1" applyFill="1" applyBorder="1" applyAlignment="1" applyProtection="1">
      <alignment vertical="center" wrapText="1"/>
      <protection hidden="1"/>
    </xf>
    <xf numFmtId="0" fontId="17" fillId="2" borderId="6" xfId="0" applyFont="1" applyFill="1" applyBorder="1" applyAlignment="1" applyProtection="1">
      <alignment vertical="center" wrapText="1"/>
      <protection hidden="1"/>
    </xf>
    <xf numFmtId="166" fontId="22" fillId="2" borderId="8" xfId="0" applyNumberFormat="1" applyFont="1" applyFill="1" applyBorder="1" applyProtection="1">
      <protection hidden="1"/>
    </xf>
    <xf numFmtId="0" fontId="17" fillId="2" borderId="7" xfId="0" applyFont="1" applyFill="1" applyBorder="1" applyAlignment="1" applyProtection="1">
      <alignment vertical="center" wrapText="1"/>
      <protection hidden="1"/>
    </xf>
    <xf numFmtId="0" fontId="17" fillId="2" borderId="8" xfId="0" applyFont="1" applyFill="1" applyBorder="1" applyAlignment="1" applyProtection="1">
      <alignment vertical="center" wrapText="1"/>
      <protection hidden="1"/>
    </xf>
    <xf numFmtId="166" fontId="22" fillId="4" borderId="4" xfId="0" applyNumberFormat="1" applyFont="1" applyFill="1" applyBorder="1" applyProtection="1">
      <protection hidden="1"/>
    </xf>
    <xf numFmtId="166" fontId="55" fillId="0" borderId="0" xfId="0" applyNumberFormat="1" applyFont="1" applyProtection="1">
      <protection hidden="1"/>
    </xf>
    <xf numFmtId="0" fontId="19" fillId="3" borderId="8" xfId="0" applyFont="1" applyFill="1" applyBorder="1"/>
    <xf numFmtId="0" fontId="61" fillId="2" borderId="9" xfId="0" applyFont="1" applyFill="1" applyBorder="1" applyAlignment="1" applyProtection="1">
      <alignment horizontal="left"/>
      <protection hidden="1"/>
    </xf>
    <xf numFmtId="0" fontId="22" fillId="2" borderId="1" xfId="0" applyFont="1" applyFill="1" applyBorder="1" applyAlignment="1" applyProtection="1">
      <alignment horizontal="center" vertical="center"/>
      <protection hidden="1"/>
    </xf>
    <xf numFmtId="0" fontId="19" fillId="2" borderId="2" xfId="0" applyFont="1" applyFill="1" applyBorder="1"/>
    <xf numFmtId="166" fontId="22" fillId="4" borderId="20" xfId="0" applyNumberFormat="1" applyFont="1" applyFill="1" applyBorder="1" applyProtection="1">
      <protection hidden="1"/>
    </xf>
    <xf numFmtId="0" fontId="22" fillId="3" borderId="5" xfId="0" applyFont="1" applyFill="1" applyBorder="1" applyAlignment="1" applyProtection="1">
      <alignment horizontal="center" vertical="center"/>
      <protection hidden="1"/>
    </xf>
    <xf numFmtId="0" fontId="17" fillId="2" borderId="2" xfId="0" applyFont="1" applyFill="1" applyBorder="1" applyAlignment="1" applyProtection="1">
      <alignment vertical="center"/>
      <protection hidden="1"/>
    </xf>
    <xf numFmtId="0" fontId="19" fillId="2" borderId="20" xfId="0" applyFont="1" applyFill="1" applyBorder="1"/>
    <xf numFmtId="0" fontId="19" fillId="2" borderId="3" xfId="0" applyFont="1" applyFill="1" applyBorder="1"/>
    <xf numFmtId="0" fontId="22" fillId="2" borderId="12" xfId="0" applyFont="1" applyFill="1" applyBorder="1" applyAlignment="1" applyProtection="1">
      <alignment horizontal="center" vertical="center"/>
      <protection hidden="1"/>
    </xf>
    <xf numFmtId="0" fontId="28" fillId="3" borderId="9" xfId="0" applyFont="1" applyFill="1" applyBorder="1" applyAlignment="1" applyProtection="1">
      <alignment horizontal="left" vertical="center"/>
      <protection hidden="1"/>
    </xf>
    <xf numFmtId="0" fontId="19" fillId="3" borderId="7" xfId="0" applyFont="1" applyFill="1" applyBorder="1" applyAlignment="1" applyProtection="1">
      <alignment horizontal="left" vertical="center"/>
      <protection hidden="1"/>
    </xf>
    <xf numFmtId="0" fontId="19" fillId="3" borderId="7" xfId="0" applyFont="1" applyFill="1" applyBorder="1" applyAlignment="1" applyProtection="1">
      <alignment horizontal="center" vertical="center"/>
      <protection hidden="1"/>
    </xf>
    <xf numFmtId="3" fontId="108" fillId="5" borderId="7" xfId="0" applyNumberFormat="1" applyFont="1" applyFill="1" applyBorder="1" applyAlignment="1" applyProtection="1">
      <alignment horizontal="left" vertical="center"/>
      <protection hidden="1"/>
    </xf>
    <xf numFmtId="3" fontId="15" fillId="5" borderId="7" xfId="0" applyNumberFormat="1" applyFont="1" applyFill="1" applyBorder="1" applyAlignment="1" applyProtection="1">
      <alignment horizontal="left" vertical="center"/>
      <protection hidden="1"/>
    </xf>
    <xf numFmtId="3" fontId="17" fillId="5" borderId="8" xfId="0" applyNumberFormat="1" applyFont="1" applyFill="1" applyBorder="1" applyAlignment="1" applyProtection="1">
      <alignment vertical="center"/>
      <protection hidden="1"/>
    </xf>
    <xf numFmtId="0" fontId="62" fillId="2" borderId="0" xfId="0" applyFont="1" applyFill="1" applyProtection="1">
      <protection hidden="1"/>
    </xf>
    <xf numFmtId="0" fontId="19" fillId="2" borderId="1" xfId="0" applyFont="1" applyFill="1" applyBorder="1" applyAlignment="1" applyProtection="1">
      <alignment horizontal="center" vertical="center" wrapText="1"/>
      <protection hidden="1"/>
    </xf>
    <xf numFmtId="0" fontId="62" fillId="2" borderId="0" xfId="0" applyFont="1" applyFill="1" applyAlignment="1" applyProtection="1">
      <alignment horizontal="center" vertical="center" wrapText="1"/>
      <protection hidden="1"/>
    </xf>
    <xf numFmtId="3" fontId="22" fillId="2" borderId="8" xfId="0" applyNumberFormat="1" applyFont="1" applyFill="1" applyBorder="1" applyAlignment="1" applyProtection="1">
      <alignment horizontal="center" vertical="center"/>
      <protection hidden="1"/>
    </xf>
    <xf numFmtId="3" fontId="22" fillId="2" borderId="4" xfId="0" applyNumberFormat="1" applyFont="1" applyFill="1" applyBorder="1" applyAlignment="1" applyProtection="1">
      <alignment horizontal="center" vertical="center"/>
      <protection hidden="1"/>
    </xf>
    <xf numFmtId="3" fontId="49" fillId="2" borderId="5" xfId="0" applyNumberFormat="1" applyFont="1" applyFill="1" applyBorder="1" applyAlignment="1" applyProtection="1">
      <alignment horizontal="center" vertical="center"/>
      <protection hidden="1"/>
    </xf>
    <xf numFmtId="3" fontId="22" fillId="2" borderId="5" xfId="0" applyNumberFormat="1" applyFont="1" applyFill="1" applyBorder="1" applyAlignment="1" applyProtection="1">
      <alignment horizontal="center" vertical="center"/>
      <protection hidden="1"/>
    </xf>
    <xf numFmtId="3" fontId="22" fillId="2" borderId="12" xfId="0" applyNumberFormat="1" applyFont="1" applyFill="1" applyBorder="1" applyAlignment="1" applyProtection="1">
      <alignment horizontal="center" vertical="center"/>
      <protection hidden="1"/>
    </xf>
    <xf numFmtId="0" fontId="62" fillId="2" borderId="20" xfId="0" applyFont="1" applyFill="1" applyBorder="1" applyProtection="1">
      <protection hidden="1"/>
    </xf>
    <xf numFmtId="165" fontId="49" fillId="2" borderId="0" xfId="0" applyNumberFormat="1" applyFont="1" applyFill="1" applyAlignment="1" applyProtection="1">
      <alignment horizontal="right" vertical="top"/>
      <protection hidden="1"/>
    </xf>
    <xf numFmtId="165" fontId="79" fillId="2" borderId="0" xfId="0" applyNumberFormat="1" applyFont="1" applyFill="1" applyAlignment="1" applyProtection="1">
      <alignment horizontal="left" vertical="top"/>
      <protection hidden="1"/>
    </xf>
    <xf numFmtId="165" fontId="17" fillId="2" borderId="0" xfId="0" applyNumberFormat="1" applyFont="1" applyFill="1" applyAlignment="1" applyProtection="1">
      <alignment horizontal="left"/>
      <protection hidden="1"/>
    </xf>
    <xf numFmtId="0" fontId="62" fillId="4" borderId="8" xfId="0" applyFont="1" applyFill="1" applyBorder="1" applyAlignment="1" applyProtection="1">
      <alignment horizontal="left"/>
      <protection hidden="1"/>
    </xf>
    <xf numFmtId="3" fontId="19" fillId="2" borderId="1" xfId="0" applyNumberFormat="1" applyFont="1" applyFill="1" applyBorder="1" applyAlignment="1" applyProtection="1">
      <alignment vertical="center"/>
      <protection hidden="1"/>
    </xf>
    <xf numFmtId="3" fontId="62" fillId="2" borderId="20" xfId="0" applyNumberFormat="1" applyFont="1" applyFill="1" applyBorder="1" applyAlignment="1" applyProtection="1">
      <alignment vertical="center"/>
      <protection hidden="1"/>
    </xf>
    <xf numFmtId="165" fontId="22" fillId="2" borderId="0" xfId="0" applyNumberFormat="1" applyFont="1" applyFill="1" applyAlignment="1" applyProtection="1">
      <alignment horizontal="left"/>
      <protection hidden="1"/>
    </xf>
    <xf numFmtId="0" fontId="90" fillId="2" borderId="0" xfId="0" applyFont="1" applyFill="1" applyAlignment="1" applyProtection="1">
      <alignment horizontal="left"/>
      <protection hidden="1"/>
    </xf>
    <xf numFmtId="3" fontId="19" fillId="3" borderId="9" xfId="0" applyNumberFormat="1" applyFont="1" applyFill="1" applyBorder="1" applyAlignment="1" applyProtection="1">
      <alignment vertical="center"/>
      <protection hidden="1"/>
    </xf>
    <xf numFmtId="0" fontId="62" fillId="2" borderId="18" xfId="0" applyFont="1" applyFill="1" applyBorder="1" applyProtection="1">
      <protection hidden="1"/>
    </xf>
    <xf numFmtId="3" fontId="62" fillId="3" borderId="8" xfId="0" applyNumberFormat="1" applyFont="1" applyFill="1" applyBorder="1" applyAlignment="1" applyProtection="1">
      <alignment horizontal="left" vertical="center"/>
      <protection hidden="1"/>
    </xf>
    <xf numFmtId="3" fontId="19" fillId="2" borderId="25" xfId="0" applyNumberFormat="1" applyFont="1" applyFill="1" applyBorder="1" applyAlignment="1" applyProtection="1">
      <alignment horizontal="left" vertical="center"/>
      <protection hidden="1"/>
    </xf>
    <xf numFmtId="0" fontId="62" fillId="2" borderId="27" xfId="0" applyFont="1" applyFill="1" applyBorder="1" applyProtection="1">
      <protection hidden="1"/>
    </xf>
    <xf numFmtId="0" fontId="19" fillId="2" borderId="27" xfId="0" applyFont="1" applyFill="1" applyBorder="1" applyProtection="1">
      <protection hidden="1"/>
    </xf>
    <xf numFmtId="0" fontId="62" fillId="2" borderId="0" xfId="0" applyFont="1" applyFill="1" applyAlignment="1" applyProtection="1">
      <alignment horizontal="left"/>
      <protection hidden="1"/>
    </xf>
    <xf numFmtId="0" fontId="62" fillId="3" borderId="8" xfId="0" applyFont="1" applyFill="1" applyBorder="1" applyProtection="1">
      <protection hidden="1"/>
    </xf>
    <xf numFmtId="0" fontId="62" fillId="0" borderId="0" xfId="0" applyFont="1"/>
    <xf numFmtId="0" fontId="15" fillId="5" borderId="9" xfId="0" applyFont="1" applyFill="1" applyBorder="1" applyProtection="1">
      <protection hidden="1"/>
    </xf>
    <xf numFmtId="0" fontId="19" fillId="4" borderId="7" xfId="0" applyFont="1" applyFill="1" applyBorder="1"/>
    <xf numFmtId="0" fontId="19" fillId="4" borderId="8" xfId="0" applyFont="1" applyFill="1" applyBorder="1"/>
    <xf numFmtId="0" fontId="15" fillId="4" borderId="9" xfId="0" applyFont="1" applyFill="1" applyBorder="1" applyAlignment="1" applyProtection="1">
      <alignment vertical="center"/>
      <protection hidden="1"/>
    </xf>
    <xf numFmtId="0" fontId="19" fillId="2" borderId="7" xfId="0" applyFont="1" applyFill="1" applyBorder="1" applyAlignment="1" applyProtection="1">
      <alignment vertical="center"/>
      <protection hidden="1"/>
    </xf>
    <xf numFmtId="0" fontId="24" fillId="2" borderId="12" xfId="0" applyFont="1" applyFill="1" applyBorder="1" applyAlignment="1" applyProtection="1">
      <alignment horizontal="center" vertical="center"/>
      <protection hidden="1"/>
    </xf>
    <xf numFmtId="3" fontId="22" fillId="3" borderId="12" xfId="0" applyNumberFormat="1" applyFont="1" applyFill="1" applyBorder="1" applyAlignment="1" applyProtection="1">
      <alignment vertical="center"/>
      <protection hidden="1"/>
    </xf>
    <xf numFmtId="166" fontId="22" fillId="2" borderId="0" xfId="0" applyNumberFormat="1" applyFont="1" applyFill="1" applyAlignment="1" applyProtection="1">
      <alignment horizontal="center" vertical="center"/>
      <protection hidden="1"/>
    </xf>
    <xf numFmtId="0" fontId="17" fillId="2" borderId="0" xfId="0" applyFont="1" applyFill="1" applyAlignment="1" applyProtection="1">
      <alignment horizontal="center" vertical="center" wrapText="1"/>
      <protection hidden="1"/>
    </xf>
    <xf numFmtId="0" fontId="89" fillId="2" borderId="0" xfId="0" applyFont="1" applyFill="1" applyAlignment="1" applyProtection="1">
      <alignment horizontal="center" vertical="center"/>
      <protection hidden="1"/>
    </xf>
    <xf numFmtId="0" fontId="19" fillId="0" borderId="0" xfId="0" applyFont="1" applyAlignment="1" applyProtection="1">
      <alignment vertical="center"/>
      <protection hidden="1"/>
    </xf>
    <xf numFmtId="0" fontId="25" fillId="0" borderId="0" xfId="0" applyFont="1" applyAlignment="1" applyProtection="1">
      <alignment vertical="center"/>
      <protection hidden="1"/>
    </xf>
    <xf numFmtId="0" fontId="24" fillId="2" borderId="0" xfId="0" applyFont="1" applyFill="1" applyAlignment="1" applyProtection="1">
      <alignment horizontal="center" vertical="center"/>
      <protection hidden="1"/>
    </xf>
    <xf numFmtId="0" fontId="89" fillId="2" borderId="0" xfId="0" applyFont="1" applyFill="1" applyAlignment="1" applyProtection="1">
      <alignment horizontal="center"/>
      <protection hidden="1"/>
    </xf>
    <xf numFmtId="0" fontId="19" fillId="7" borderId="0" xfId="0" applyFont="1" applyFill="1" applyAlignment="1" applyProtection="1">
      <alignment vertical="center"/>
      <protection hidden="1"/>
    </xf>
    <xf numFmtId="3" fontId="19" fillId="0" borderId="0" xfId="0" applyNumberFormat="1" applyFont="1" applyAlignment="1" applyProtection="1">
      <alignment vertical="center"/>
      <protection hidden="1"/>
    </xf>
    <xf numFmtId="166" fontId="24" fillId="2" borderId="0" xfId="0" applyNumberFormat="1" applyFont="1" applyFill="1" applyAlignment="1" applyProtection="1">
      <alignment horizontal="center" vertical="center"/>
      <protection hidden="1"/>
    </xf>
    <xf numFmtId="3" fontId="89" fillId="2" borderId="0" xfId="0" applyNumberFormat="1" applyFont="1" applyFill="1" applyAlignment="1" applyProtection="1">
      <alignment horizontal="right" vertical="center"/>
      <protection hidden="1"/>
    </xf>
    <xf numFmtId="165" fontId="89" fillId="2" borderId="0" xfId="0" applyNumberFormat="1" applyFont="1" applyFill="1" applyAlignment="1" applyProtection="1">
      <alignment horizontal="right" vertical="center"/>
      <protection hidden="1"/>
    </xf>
    <xf numFmtId="0" fontId="97" fillId="2" borderId="0" xfId="0" applyFont="1" applyFill="1" applyProtection="1">
      <protection hidden="1"/>
    </xf>
    <xf numFmtId="0" fontId="97" fillId="2" borderId="0" xfId="0" applyFont="1" applyFill="1" applyAlignment="1" applyProtection="1">
      <alignment vertical="center"/>
      <protection hidden="1"/>
    </xf>
    <xf numFmtId="0" fontId="19" fillId="2" borderId="0" xfId="0" quotePrefix="1" applyFont="1" applyFill="1" applyProtection="1">
      <protection hidden="1"/>
    </xf>
    <xf numFmtId="0" fontId="22" fillId="2" borderId="0" xfId="0" quotePrefix="1" applyFont="1" applyFill="1" applyProtection="1">
      <protection hidden="1"/>
    </xf>
    <xf numFmtId="0" fontId="19" fillId="3" borderId="12" xfId="0" applyFont="1" applyFill="1" applyBorder="1" applyAlignment="1" applyProtection="1">
      <alignment vertical="center"/>
      <protection hidden="1"/>
    </xf>
    <xf numFmtId="0" fontId="109" fillId="2" borderId="12" xfId="0" applyFont="1" applyFill="1" applyBorder="1" applyAlignment="1" applyProtection="1">
      <alignment horizontal="center" vertical="center" wrapText="1"/>
      <protection hidden="1"/>
    </xf>
    <xf numFmtId="0" fontId="17" fillId="8" borderId="12" xfId="0" applyFont="1" applyFill="1" applyBorder="1" applyAlignment="1" applyProtection="1">
      <alignment horizontal="center" vertical="center"/>
      <protection locked="0"/>
    </xf>
    <xf numFmtId="0" fontId="22" fillId="2" borderId="4" xfId="0" applyFont="1" applyFill="1" applyBorder="1" applyProtection="1">
      <protection hidden="1"/>
    </xf>
    <xf numFmtId="0" fontId="22" fillId="2" borderId="6" xfId="0" applyFont="1" applyFill="1" applyBorder="1" applyProtection="1">
      <protection hidden="1"/>
    </xf>
    <xf numFmtId="0" fontId="22" fillId="4" borderId="1" xfId="0" applyFont="1" applyFill="1" applyBorder="1" applyAlignment="1" applyProtection="1">
      <alignment horizontal="center"/>
      <protection hidden="1"/>
    </xf>
    <xf numFmtId="0" fontId="22" fillId="4" borderId="0" xfId="0" applyFont="1" applyFill="1" applyAlignment="1" applyProtection="1">
      <alignment horizontal="center"/>
      <protection hidden="1"/>
    </xf>
    <xf numFmtId="0" fontId="45" fillId="2" borderId="1" xfId="0" applyFont="1" applyFill="1" applyBorder="1" applyAlignment="1" applyProtection="1">
      <alignment horizontal="left" vertical="center"/>
      <protection hidden="1"/>
    </xf>
    <xf numFmtId="0" fontId="45" fillId="2" borderId="0" xfId="0" applyFont="1" applyFill="1" applyAlignment="1" applyProtection="1">
      <alignment horizontal="left" vertical="center"/>
      <protection hidden="1"/>
    </xf>
    <xf numFmtId="0" fontId="17" fillId="2" borderId="4" xfId="0" applyFont="1" applyFill="1" applyBorder="1" applyAlignment="1" applyProtection="1">
      <alignment horizontal="left" vertical="center"/>
      <protection hidden="1"/>
    </xf>
    <xf numFmtId="0" fontId="17" fillId="2" borderId="5" xfId="0" applyFont="1" applyFill="1" applyBorder="1" applyAlignment="1" applyProtection="1">
      <alignment horizontal="left" vertical="center"/>
      <protection hidden="1"/>
    </xf>
    <xf numFmtId="1" fontId="22" fillId="4" borderId="7" xfId="0" applyNumberFormat="1" applyFont="1" applyFill="1" applyBorder="1" applyAlignment="1" applyProtection="1">
      <alignment horizontal="center"/>
      <protection hidden="1"/>
    </xf>
    <xf numFmtId="3" fontId="30" fillId="4" borderId="7" xfId="0" applyNumberFormat="1" applyFont="1" applyFill="1" applyBorder="1" applyProtection="1">
      <protection hidden="1"/>
    </xf>
    <xf numFmtId="3" fontId="30" fillId="4" borderId="7" xfId="0" applyNumberFormat="1" applyFont="1" applyFill="1" applyBorder="1" applyAlignment="1" applyProtection="1">
      <alignment horizontal="right"/>
      <protection hidden="1"/>
    </xf>
    <xf numFmtId="3" fontId="30" fillId="4" borderId="8" xfId="0" applyNumberFormat="1" applyFont="1" applyFill="1" applyBorder="1" applyProtection="1">
      <protection hidden="1"/>
    </xf>
    <xf numFmtId="10" fontId="19" fillId="3" borderId="6" xfId="0" applyNumberFormat="1" applyFont="1" applyFill="1" applyBorder="1" applyAlignment="1" applyProtection="1">
      <alignment horizontal="center"/>
      <protection hidden="1"/>
    </xf>
    <xf numFmtId="0" fontId="61" fillId="7" borderId="0" xfId="0" applyFont="1" applyFill="1"/>
    <xf numFmtId="0" fontId="19" fillId="7" borderId="0" xfId="0" applyFont="1" applyFill="1" applyAlignment="1" applyProtection="1">
      <alignment horizontal="center"/>
      <protection hidden="1"/>
    </xf>
    <xf numFmtId="0" fontId="25" fillId="7" borderId="0" xfId="0" applyFont="1" applyFill="1" applyProtection="1">
      <protection hidden="1"/>
    </xf>
    <xf numFmtId="3" fontId="80" fillId="7" borderId="0" xfId="0" applyNumberFormat="1" applyFont="1" applyFill="1" applyAlignment="1" applyProtection="1">
      <alignment horizontal="center"/>
      <protection hidden="1"/>
    </xf>
    <xf numFmtId="3" fontId="22" fillId="7" borderId="0" xfId="0" applyNumberFormat="1" applyFont="1" applyFill="1" applyAlignment="1" applyProtection="1">
      <alignment horizontal="right"/>
      <protection hidden="1"/>
    </xf>
    <xf numFmtId="0" fontId="17" fillId="7" borderId="0" xfId="0" applyFont="1" applyFill="1"/>
    <xf numFmtId="3" fontId="17" fillId="7" borderId="0" xfId="0" applyNumberFormat="1" applyFont="1" applyFill="1" applyAlignment="1" applyProtection="1">
      <alignment horizontal="right"/>
      <protection hidden="1"/>
    </xf>
    <xf numFmtId="166" fontId="22" fillId="2" borderId="18" xfId="0" applyNumberFormat="1" applyFont="1" applyFill="1" applyBorder="1" applyProtection="1">
      <protection hidden="1"/>
    </xf>
    <xf numFmtId="0" fontId="17" fillId="0" borderId="0" xfId="0" applyFont="1" applyAlignment="1" applyProtection="1">
      <alignment horizontal="center"/>
      <protection hidden="1"/>
    </xf>
    <xf numFmtId="0" fontId="22" fillId="3" borderId="8" xfId="0" applyFont="1" applyFill="1" applyBorder="1" applyAlignment="1" applyProtection="1">
      <alignment horizontal="center" vertical="center"/>
      <protection hidden="1"/>
    </xf>
    <xf numFmtId="0" fontId="19" fillId="4" borderId="7" xfId="0" applyFont="1" applyFill="1" applyBorder="1" applyAlignment="1" applyProtection="1">
      <alignment vertical="center"/>
      <protection hidden="1"/>
    </xf>
    <xf numFmtId="0" fontId="17" fillId="4" borderId="7" xfId="0" applyFont="1" applyFill="1" applyBorder="1" applyAlignment="1" applyProtection="1">
      <alignment horizontal="center"/>
      <protection hidden="1"/>
    </xf>
    <xf numFmtId="166" fontId="22" fillId="0" borderId="8" xfId="0" applyNumberFormat="1" applyFont="1" applyBorder="1" applyAlignment="1" applyProtection="1">
      <alignment horizontal="right"/>
      <protection locked="0"/>
    </xf>
    <xf numFmtId="0" fontId="19" fillId="3" borderId="5" xfId="0" applyFont="1" applyFill="1" applyBorder="1" applyAlignment="1" applyProtection="1">
      <alignment horizontal="left"/>
      <protection hidden="1"/>
    </xf>
    <xf numFmtId="166" fontId="22" fillId="2" borderId="7" xfId="0" applyNumberFormat="1" applyFont="1" applyFill="1" applyBorder="1" applyProtection="1">
      <protection hidden="1"/>
    </xf>
    <xf numFmtId="166" fontId="22" fillId="2" borderId="9" xfId="0" applyNumberFormat="1" applyFont="1" applyFill="1" applyBorder="1" applyProtection="1">
      <protection hidden="1"/>
    </xf>
    <xf numFmtId="0" fontId="25" fillId="2" borderId="7" xfId="0" applyFont="1" applyFill="1" applyBorder="1" applyProtection="1">
      <protection hidden="1"/>
    </xf>
    <xf numFmtId="0" fontId="25" fillId="2" borderId="8" xfId="0" applyFont="1" applyFill="1" applyBorder="1" applyProtection="1">
      <protection hidden="1"/>
    </xf>
    <xf numFmtId="0" fontId="19" fillId="6" borderId="7" xfId="0" applyFont="1" applyFill="1" applyBorder="1" applyProtection="1">
      <protection hidden="1"/>
    </xf>
    <xf numFmtId="0" fontId="19" fillId="6" borderId="10" xfId="0" applyFont="1" applyFill="1" applyBorder="1" applyProtection="1">
      <protection hidden="1"/>
    </xf>
    <xf numFmtId="0" fontId="19" fillId="6" borderId="5" xfId="0" applyFont="1" applyFill="1" applyBorder="1" applyProtection="1">
      <protection hidden="1"/>
    </xf>
    <xf numFmtId="0" fontId="19" fillId="6" borderId="8" xfId="0" applyFont="1" applyFill="1" applyBorder="1" applyProtection="1">
      <protection hidden="1"/>
    </xf>
    <xf numFmtId="0" fontId="22" fillId="4" borderId="7" xfId="0" applyFont="1" applyFill="1" applyBorder="1" applyAlignment="1" applyProtection="1">
      <alignment horizontal="center" vertical="center"/>
      <protection hidden="1"/>
    </xf>
    <xf numFmtId="0" fontId="19" fillId="4" borderId="9" xfId="0" applyFont="1" applyFill="1" applyBorder="1" applyAlignment="1" applyProtection="1">
      <alignment horizontal="left" vertical="center"/>
      <protection hidden="1"/>
    </xf>
    <xf numFmtId="0" fontId="22" fillId="4" borderId="8" xfId="0" applyFont="1" applyFill="1" applyBorder="1" applyAlignment="1">
      <alignment horizontal="center"/>
    </xf>
    <xf numFmtId="174" fontId="24" fillId="0" borderId="8" xfId="0" applyNumberFormat="1" applyFont="1" applyBorder="1" applyAlignment="1" applyProtection="1">
      <alignment horizontal="center" vertical="center" wrapText="1"/>
      <protection locked="0"/>
    </xf>
    <xf numFmtId="0" fontId="25" fillId="2" borderId="0" xfId="0" applyFont="1" applyFill="1" applyAlignment="1" applyProtection="1">
      <alignment horizontal="right" vertical="center"/>
      <protection hidden="1"/>
    </xf>
    <xf numFmtId="49" fontId="22" fillId="0" borderId="8" xfId="0" applyNumberFormat="1" applyFont="1" applyBorder="1" applyAlignment="1" applyProtection="1">
      <alignment horizontal="center" vertical="center"/>
      <protection locked="0"/>
    </xf>
    <xf numFmtId="166" fontId="22" fillId="0" borderId="9" xfId="0" applyNumberFormat="1" applyFont="1" applyBorder="1" applyProtection="1">
      <protection locked="0"/>
    </xf>
    <xf numFmtId="3" fontId="22" fillId="2" borderId="20" xfId="0" applyNumberFormat="1" applyFont="1" applyFill="1" applyBorder="1" applyAlignment="1" applyProtection="1">
      <alignment horizontal="right"/>
      <protection hidden="1"/>
    </xf>
    <xf numFmtId="0" fontId="61" fillId="7" borderId="0" xfId="0" applyFont="1" applyFill="1" applyProtection="1">
      <protection hidden="1"/>
    </xf>
    <xf numFmtId="3" fontId="49" fillId="2" borderId="10" xfId="0" applyNumberFormat="1" applyFont="1" applyFill="1" applyBorder="1" applyProtection="1">
      <protection hidden="1"/>
    </xf>
    <xf numFmtId="0" fontId="111" fillId="2" borderId="0" xfId="0" applyFont="1" applyFill="1" applyAlignment="1" applyProtection="1">
      <alignment horizontal="left" vertical="center"/>
      <protection hidden="1"/>
    </xf>
    <xf numFmtId="0" fontId="61" fillId="2" borderId="12" xfId="0" applyFont="1" applyFill="1" applyBorder="1" applyAlignment="1" applyProtection="1">
      <alignment horizontal="center" vertical="center"/>
      <protection hidden="1"/>
    </xf>
    <xf numFmtId="0" fontId="22" fillId="3" borderId="7" xfId="0" applyFont="1" applyFill="1" applyBorder="1" applyAlignment="1" applyProtection="1">
      <alignment horizontal="left" vertical="center"/>
      <protection hidden="1"/>
    </xf>
    <xf numFmtId="0" fontId="22" fillId="3" borderId="8"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protection hidden="1"/>
    </xf>
    <xf numFmtId="3" fontId="22" fillId="4" borderId="8" xfId="0" applyNumberFormat="1" applyFont="1" applyFill="1" applyBorder="1" applyAlignment="1" applyProtection="1">
      <alignment horizontal="center"/>
      <protection hidden="1"/>
    </xf>
    <xf numFmtId="0" fontId="22" fillId="3" borderId="18" xfId="0" applyFont="1" applyFill="1" applyBorder="1" applyAlignment="1" applyProtection="1">
      <alignment horizontal="center"/>
      <protection hidden="1"/>
    </xf>
    <xf numFmtId="3" fontId="22" fillId="3" borderId="18" xfId="0" applyNumberFormat="1" applyFont="1" applyFill="1" applyBorder="1" applyAlignment="1" applyProtection="1">
      <alignment horizontal="center"/>
      <protection hidden="1"/>
    </xf>
    <xf numFmtId="3" fontId="73" fillId="2" borderId="0" xfId="0" applyNumberFormat="1" applyFont="1" applyFill="1" applyAlignment="1" applyProtection="1">
      <alignment horizontal="left"/>
      <protection hidden="1"/>
    </xf>
    <xf numFmtId="3" fontId="90" fillId="2" borderId="0" xfId="0" applyNumberFormat="1" applyFont="1" applyFill="1" applyAlignment="1" applyProtection="1">
      <alignment horizontal="left"/>
      <protection hidden="1"/>
    </xf>
    <xf numFmtId="0" fontId="73" fillId="2" borderId="0" xfId="0" applyFont="1" applyFill="1" applyAlignment="1" applyProtection="1">
      <alignment horizontal="left"/>
      <protection hidden="1"/>
    </xf>
    <xf numFmtId="0" fontId="103" fillId="2" borderId="0" xfId="0" applyFont="1" applyFill="1" applyProtection="1">
      <protection hidden="1"/>
    </xf>
    <xf numFmtId="0" fontId="100" fillId="2" borderId="0" xfId="0" applyFont="1" applyFill="1" applyAlignment="1" applyProtection="1">
      <alignment horizontal="center"/>
      <protection hidden="1"/>
    </xf>
    <xf numFmtId="0" fontId="19" fillId="6" borderId="9" xfId="0" applyFont="1" applyFill="1" applyBorder="1" applyProtection="1">
      <protection hidden="1"/>
    </xf>
    <xf numFmtId="166" fontId="22" fillId="5" borderId="12" xfId="0" applyNumberFormat="1" applyFont="1" applyFill="1" applyBorder="1" applyProtection="1">
      <protection hidden="1"/>
    </xf>
    <xf numFmtId="166" fontId="46" fillId="3" borderId="9" xfId="0" applyNumberFormat="1" applyFont="1" applyFill="1" applyBorder="1" applyAlignment="1" applyProtection="1">
      <alignment vertical="center"/>
      <protection hidden="1"/>
    </xf>
    <xf numFmtId="166" fontId="46" fillId="3" borderId="7" xfId="0" applyNumberFormat="1" applyFont="1" applyFill="1" applyBorder="1" applyAlignment="1" applyProtection="1">
      <alignment vertical="center"/>
      <protection hidden="1"/>
    </xf>
    <xf numFmtId="166" fontId="22" fillId="3" borderId="12" xfId="0" applyNumberFormat="1" applyFont="1" applyFill="1" applyBorder="1" applyAlignment="1" applyProtection="1">
      <alignment vertical="center"/>
      <protection hidden="1"/>
    </xf>
    <xf numFmtId="166" fontId="46" fillId="3" borderId="8" xfId="0" applyNumberFormat="1" applyFont="1" applyFill="1" applyBorder="1" applyAlignment="1" applyProtection="1">
      <alignment vertical="center"/>
      <protection hidden="1"/>
    </xf>
    <xf numFmtId="0" fontId="19" fillId="7" borderId="0" xfId="0" applyFont="1" applyFill="1"/>
    <xf numFmtId="0" fontId="19" fillId="4" borderId="9" xfId="0" applyFont="1" applyFill="1" applyBorder="1"/>
    <xf numFmtId="0" fontId="28" fillId="6" borderId="9" xfId="0" applyFont="1" applyFill="1" applyBorder="1" applyProtection="1">
      <protection hidden="1"/>
    </xf>
    <xf numFmtId="0" fontId="68" fillId="2" borderId="0" xfId="0" applyFont="1" applyFill="1" applyAlignment="1" applyProtection="1">
      <alignment horizontal="center"/>
      <protection hidden="1"/>
    </xf>
    <xf numFmtId="49" fontId="22" fillId="0" borderId="12" xfId="0" applyNumberFormat="1" applyFont="1" applyBorder="1" applyAlignment="1" applyProtection="1">
      <alignment horizontal="center" vertical="center"/>
      <protection locked="0"/>
    </xf>
    <xf numFmtId="0" fontId="22" fillId="4" borderId="12" xfId="0" applyFont="1" applyFill="1" applyBorder="1" applyAlignment="1" applyProtection="1">
      <alignment horizontal="center" vertical="center"/>
      <protection hidden="1"/>
    </xf>
    <xf numFmtId="0" fontId="22" fillId="2" borderId="9" xfId="0" applyFont="1" applyFill="1" applyBorder="1" applyAlignment="1" applyProtection="1">
      <alignment horizontal="center" vertical="center"/>
      <protection hidden="1"/>
    </xf>
    <xf numFmtId="3" fontId="49" fillId="0" borderId="0" xfId="0" applyNumberFormat="1" applyFont="1" applyProtection="1">
      <protection hidden="1"/>
    </xf>
    <xf numFmtId="0" fontId="50" fillId="2" borderId="0" xfId="0" applyFont="1" applyFill="1" applyProtection="1">
      <protection hidden="1"/>
    </xf>
    <xf numFmtId="0" fontId="117" fillId="2" borderId="0" xfId="0" applyFont="1" applyFill="1" applyProtection="1">
      <protection hidden="1"/>
    </xf>
    <xf numFmtId="0" fontId="19" fillId="2" borderId="0" xfId="0" applyFont="1" applyFill="1" applyAlignment="1" applyProtection="1">
      <alignment horizontal="justify"/>
      <protection hidden="1"/>
    </xf>
    <xf numFmtId="0" fontId="55" fillId="2" borderId="0" xfId="0" applyFont="1" applyFill="1" applyAlignment="1" applyProtection="1">
      <alignment horizontal="left" vertical="center" wrapText="1"/>
      <protection hidden="1"/>
    </xf>
    <xf numFmtId="0" fontId="27" fillId="2" borderId="0" xfId="0" applyFont="1" applyFill="1" applyAlignment="1" applyProtection="1">
      <alignment horizontal="left" vertical="center"/>
      <protection hidden="1"/>
    </xf>
    <xf numFmtId="0" fontId="19" fillId="2" borderId="0" xfId="0" applyFont="1" applyFill="1" applyAlignment="1" applyProtection="1">
      <alignment horizontal="justify" vertical="center"/>
      <protection hidden="1"/>
    </xf>
    <xf numFmtId="0" fontId="92" fillId="2" borderId="0" xfId="0" applyFont="1" applyFill="1" applyAlignment="1" applyProtection="1">
      <alignment vertical="center" wrapText="1"/>
      <protection hidden="1"/>
    </xf>
    <xf numFmtId="3" fontId="36" fillId="2" borderId="0" xfId="0" applyNumberFormat="1" applyFont="1" applyFill="1" applyAlignment="1" applyProtection="1">
      <alignment horizontal="left" vertical="center"/>
      <protection hidden="1"/>
    </xf>
    <xf numFmtId="3" fontId="22" fillId="4" borderId="6" xfId="0" applyNumberFormat="1" applyFont="1" applyFill="1" applyBorder="1" applyProtection="1">
      <protection hidden="1"/>
    </xf>
    <xf numFmtId="0" fontId="46" fillId="5" borderId="1" xfId="0" applyFont="1" applyFill="1" applyBorder="1" applyProtection="1">
      <protection hidden="1"/>
    </xf>
    <xf numFmtId="0" fontId="61" fillId="2" borderId="20" xfId="0" applyFont="1" applyFill="1" applyBorder="1" applyAlignment="1" applyProtection="1">
      <alignment horizontal="right"/>
      <protection hidden="1"/>
    </xf>
    <xf numFmtId="0" fontId="73" fillId="2" borderId="0" xfId="0" applyFont="1" applyFill="1" applyAlignment="1" applyProtection="1">
      <alignment horizontal="right" vertical="center"/>
      <protection hidden="1"/>
    </xf>
    <xf numFmtId="166" fontId="22" fillId="0" borderId="12" xfId="0" applyNumberFormat="1" applyFont="1" applyBorder="1" applyProtection="1">
      <protection hidden="1"/>
    </xf>
    <xf numFmtId="1" fontId="22" fillId="0" borderId="0" xfId="0" applyNumberFormat="1" applyFont="1" applyAlignment="1" applyProtection="1">
      <alignment vertical="center" wrapText="1"/>
      <protection hidden="1"/>
    </xf>
    <xf numFmtId="3" fontId="22" fillId="8" borderId="12" xfId="0" applyNumberFormat="1" applyFont="1" applyFill="1" applyBorder="1" applyAlignment="1" applyProtection="1">
      <alignment horizontal="center" vertical="center"/>
      <protection locked="0"/>
    </xf>
    <xf numFmtId="3" fontId="17" fillId="4" borderId="7" xfId="0" applyNumberFormat="1" applyFont="1" applyFill="1" applyBorder="1" applyAlignment="1" applyProtection="1">
      <alignment horizontal="center"/>
      <protection hidden="1"/>
    </xf>
    <xf numFmtId="3" fontId="22" fillId="4" borderId="7" xfId="0" applyNumberFormat="1" applyFont="1" applyFill="1" applyBorder="1" applyProtection="1">
      <protection hidden="1"/>
    </xf>
    <xf numFmtId="0" fontId="17" fillId="2" borderId="0" xfId="0" applyFont="1" applyFill="1" applyAlignment="1" applyProtection="1">
      <alignment horizontal="center"/>
      <protection locked="0" hidden="1"/>
    </xf>
    <xf numFmtId="0" fontId="17" fillId="4" borderId="12" xfId="0" applyFont="1" applyFill="1" applyBorder="1" applyAlignment="1">
      <alignment horizontal="center"/>
    </xf>
    <xf numFmtId="0" fontId="61" fillId="2" borderId="0" xfId="0" applyFont="1" applyFill="1" applyAlignment="1" applyProtection="1">
      <alignment horizontal="left" vertical="center"/>
      <protection hidden="1"/>
    </xf>
    <xf numFmtId="0" fontId="17" fillId="2" borderId="0" xfId="0" applyFont="1" applyFill="1" applyAlignment="1">
      <alignment horizontal="right"/>
    </xf>
    <xf numFmtId="0" fontId="14" fillId="2" borderId="0" xfId="0" applyFont="1" applyFill="1"/>
    <xf numFmtId="0" fontId="17" fillId="0" borderId="0" xfId="0" applyFont="1"/>
    <xf numFmtId="0" fontId="17" fillId="2" borderId="0" xfId="0" applyFont="1" applyFill="1"/>
    <xf numFmtId="0" fontId="45" fillId="2" borderId="0" xfId="0" applyFont="1" applyFill="1"/>
    <xf numFmtId="0" fontId="19" fillId="0" borderId="12" xfId="0" applyFont="1" applyBorder="1" applyAlignment="1" applyProtection="1">
      <alignment horizontal="center"/>
      <protection locked="0" hidden="1"/>
    </xf>
    <xf numFmtId="0" fontId="17" fillId="8" borderId="12" xfId="0" applyFont="1" applyFill="1" applyBorder="1" applyAlignment="1" applyProtection="1">
      <alignment horizontal="center"/>
      <protection locked="0" hidden="1"/>
    </xf>
    <xf numFmtId="14" fontId="22" fillId="0" borderId="12" xfId="0" applyNumberFormat="1" applyFont="1" applyBorder="1" applyAlignment="1" applyProtection="1">
      <alignment horizontal="left"/>
      <protection locked="0" hidden="1"/>
    </xf>
    <xf numFmtId="49" fontId="22" fillId="0" borderId="12" xfId="0" applyNumberFormat="1" applyFont="1" applyBorder="1" applyAlignment="1" applyProtection="1">
      <alignment horizontal="center"/>
      <protection locked="0" hidden="1"/>
    </xf>
    <xf numFmtId="14" fontId="22" fillId="0" borderId="12" xfId="0" applyNumberFormat="1" applyFont="1" applyBorder="1" applyAlignment="1" applyProtection="1">
      <alignment horizontal="center"/>
      <protection locked="0" hidden="1"/>
    </xf>
    <xf numFmtId="3" fontId="17" fillId="0" borderId="12" xfId="0" applyNumberFormat="1" applyFont="1" applyBorder="1" applyProtection="1">
      <protection locked="0" hidden="1"/>
    </xf>
    <xf numFmtId="0" fontId="78" fillId="4" borderId="7" xfId="0" applyFont="1" applyFill="1" applyBorder="1" applyProtection="1">
      <protection hidden="1"/>
    </xf>
    <xf numFmtId="0" fontId="54" fillId="4" borderId="7" xfId="0" applyFont="1" applyFill="1" applyBorder="1" applyProtection="1">
      <protection hidden="1"/>
    </xf>
    <xf numFmtId="10" fontId="22" fillId="2" borderId="0" xfId="0" applyNumberFormat="1" applyFont="1" applyFill="1" applyAlignment="1" applyProtection="1">
      <alignment vertical="top"/>
      <protection hidden="1"/>
    </xf>
    <xf numFmtId="1" fontId="19" fillId="0" borderId="0" xfId="0" applyNumberFormat="1" applyFont="1" applyAlignment="1" applyProtection="1">
      <alignment horizontal="center" vertical="top"/>
      <protection hidden="1"/>
    </xf>
    <xf numFmtId="0" fontId="19" fillId="0" borderId="0" xfId="0" applyFont="1" applyAlignment="1" applyProtection="1">
      <alignment vertical="top"/>
      <protection hidden="1"/>
    </xf>
    <xf numFmtId="0" fontId="59" fillId="2" borderId="0" xfId="0" applyFont="1" applyFill="1" applyAlignment="1" applyProtection="1">
      <alignment vertical="center"/>
      <protection hidden="1"/>
    </xf>
    <xf numFmtId="0" fontId="41" fillId="7" borderId="0" xfId="0" applyFont="1" applyFill="1" applyProtection="1">
      <protection hidden="1"/>
    </xf>
    <xf numFmtId="0" fontId="86" fillId="2" borderId="0" xfId="0" applyFont="1" applyFill="1" applyAlignment="1" applyProtection="1">
      <alignment horizontal="left"/>
      <protection hidden="1"/>
    </xf>
    <xf numFmtId="0" fontId="22" fillId="5" borderId="10" xfId="0" applyFont="1" applyFill="1" applyBorder="1" applyProtection="1">
      <protection hidden="1"/>
    </xf>
    <xf numFmtId="0" fontId="17" fillId="7" borderId="0" xfId="0" applyFont="1" applyFill="1" applyAlignment="1" applyProtection="1">
      <alignment horizontal="left"/>
      <protection hidden="1"/>
    </xf>
    <xf numFmtId="0" fontId="78" fillId="7" borderId="0" xfId="0" applyFont="1" applyFill="1" applyProtection="1">
      <protection hidden="1"/>
    </xf>
    <xf numFmtId="166" fontId="22" fillId="3" borderId="18" xfId="0" applyNumberFormat="1" applyFont="1" applyFill="1" applyBorder="1" applyProtection="1">
      <protection hidden="1"/>
    </xf>
    <xf numFmtId="166" fontId="61" fillId="2" borderId="0" xfId="0" applyNumberFormat="1" applyFont="1" applyFill="1" applyAlignment="1" applyProtection="1">
      <alignment horizontal="left" vertical="top"/>
      <protection hidden="1"/>
    </xf>
    <xf numFmtId="3" fontId="43" fillId="2" borderId="1" xfId="0" applyNumberFormat="1" applyFont="1" applyFill="1" applyBorder="1" applyAlignment="1" applyProtection="1">
      <alignment vertical="center" wrapText="1"/>
      <protection hidden="1"/>
    </xf>
    <xf numFmtId="0" fontId="19" fillId="0" borderId="12" xfId="0" applyFont="1" applyBorder="1" applyAlignment="1" applyProtection="1">
      <alignment vertical="top"/>
      <protection hidden="1"/>
    </xf>
    <xf numFmtId="0" fontId="17" fillId="8" borderId="12" xfId="0" applyFont="1" applyFill="1" applyBorder="1" applyAlignment="1" applyProtection="1">
      <alignment vertical="top"/>
      <protection locked="0"/>
    </xf>
    <xf numFmtId="0" fontId="73" fillId="2" borderId="0" xfId="0" applyFont="1" applyFill="1" applyAlignment="1" applyProtection="1">
      <alignment horizontal="left" vertical="center"/>
      <protection hidden="1"/>
    </xf>
    <xf numFmtId="166" fontId="73" fillId="2" borderId="0" xfId="0" applyNumberFormat="1" applyFont="1" applyFill="1" applyProtection="1">
      <protection hidden="1"/>
    </xf>
    <xf numFmtId="0" fontId="19" fillId="4" borderId="10" xfId="0" applyFont="1" applyFill="1" applyBorder="1" applyProtection="1">
      <protection hidden="1"/>
    </xf>
    <xf numFmtId="0" fontId="17" fillId="3" borderId="7" xfId="0" applyFont="1" applyFill="1" applyBorder="1" applyProtection="1">
      <protection hidden="1"/>
    </xf>
    <xf numFmtId="1" fontId="25" fillId="0" borderId="0" xfId="0" applyNumberFormat="1" applyFont="1" applyAlignment="1" applyProtection="1">
      <alignment horizontal="center" vertical="center" wrapText="1"/>
      <protection hidden="1"/>
    </xf>
    <xf numFmtId="0" fontId="19" fillId="0" borderId="0" xfId="0" applyFont="1" applyProtection="1">
      <protection locked="0" hidden="1"/>
    </xf>
    <xf numFmtId="0" fontId="22" fillId="0" borderId="0" xfId="0" applyFont="1" applyProtection="1">
      <protection locked="0" hidden="1"/>
    </xf>
    <xf numFmtId="0" fontId="121" fillId="0" borderId="0" xfId="0" applyFont="1" applyAlignment="1" applyProtection="1">
      <alignment vertical="center"/>
      <protection hidden="1"/>
    </xf>
    <xf numFmtId="0" fontId="61" fillId="2" borderId="11" xfId="0" applyFont="1" applyFill="1" applyBorder="1" applyAlignment="1" applyProtection="1">
      <alignment horizontal="center" vertical="center"/>
      <protection hidden="1"/>
    </xf>
    <xf numFmtId="0" fontId="22" fillId="0" borderId="12" xfId="0" applyFont="1" applyBorder="1" applyAlignment="1" applyProtection="1">
      <alignment horizontal="left"/>
      <protection locked="0"/>
    </xf>
    <xf numFmtId="0" fontId="17" fillId="7" borderId="9" xfId="0" applyFont="1" applyFill="1" applyBorder="1" applyAlignment="1" applyProtection="1">
      <alignment horizontal="left"/>
      <protection hidden="1"/>
    </xf>
    <xf numFmtId="0" fontId="17" fillId="2" borderId="21" xfId="0" applyFont="1" applyFill="1" applyBorder="1" applyProtection="1">
      <protection hidden="1"/>
    </xf>
    <xf numFmtId="166" fontId="22" fillId="0" borderId="3" xfId="0" applyNumberFormat="1" applyFont="1" applyBorder="1" applyProtection="1">
      <protection locked="0"/>
    </xf>
    <xf numFmtId="166" fontId="22" fillId="0" borderId="21" xfId="0" applyNumberFormat="1" applyFont="1" applyBorder="1" applyAlignment="1" applyProtection="1">
      <alignment horizontal="right"/>
      <protection locked="0"/>
    </xf>
    <xf numFmtId="166" fontId="22" fillId="3" borderId="21" xfId="0" applyNumberFormat="1" applyFont="1" applyFill="1" applyBorder="1" applyProtection="1">
      <protection hidden="1"/>
    </xf>
    <xf numFmtId="0" fontId="17" fillId="2" borderId="18" xfId="0" applyFont="1" applyFill="1" applyBorder="1" applyProtection="1">
      <protection hidden="1"/>
    </xf>
    <xf numFmtId="0" fontId="19" fillId="2" borderId="8" xfId="0" applyFont="1" applyFill="1" applyBorder="1" applyProtection="1">
      <protection hidden="1"/>
    </xf>
    <xf numFmtId="0" fontId="29" fillId="2" borderId="0" xfId="0" applyFont="1" applyFill="1" applyAlignment="1" applyProtection="1">
      <alignment horizontal="left"/>
      <protection hidden="1"/>
    </xf>
    <xf numFmtId="0" fontId="22" fillId="2" borderId="18" xfId="0" applyFont="1" applyFill="1" applyBorder="1" applyAlignment="1" applyProtection="1">
      <alignment horizontal="left"/>
      <protection hidden="1"/>
    </xf>
    <xf numFmtId="0" fontId="15" fillId="6" borderId="19" xfId="0" applyFont="1" applyFill="1" applyBorder="1" applyProtection="1">
      <protection hidden="1"/>
    </xf>
    <xf numFmtId="0" fontId="17" fillId="6" borderId="4" xfId="0" applyFont="1" applyFill="1" applyBorder="1" applyProtection="1">
      <protection hidden="1"/>
    </xf>
    <xf numFmtId="0" fontId="17" fillId="7" borderId="0" xfId="0" applyFont="1" applyFill="1" applyProtection="1">
      <protection hidden="1"/>
    </xf>
    <xf numFmtId="3" fontId="69" fillId="7" borderId="0" xfId="0" applyNumberFormat="1" applyFont="1" applyFill="1" applyAlignment="1" applyProtection="1">
      <alignment horizontal="left" vertical="center"/>
      <protection hidden="1"/>
    </xf>
    <xf numFmtId="3" fontId="22" fillId="7" borderId="0" xfId="0" applyNumberFormat="1" applyFont="1" applyFill="1" applyProtection="1">
      <protection hidden="1"/>
    </xf>
    <xf numFmtId="0" fontId="17" fillId="7" borderId="0" xfId="0" applyFont="1" applyFill="1" applyAlignment="1" applyProtection="1">
      <alignment horizontal="right"/>
      <protection hidden="1"/>
    </xf>
    <xf numFmtId="0" fontId="46" fillId="5" borderId="4" xfId="0" applyFont="1" applyFill="1" applyBorder="1" applyProtection="1">
      <protection hidden="1"/>
    </xf>
    <xf numFmtId="1" fontId="17" fillId="0" borderId="12" xfId="0" applyNumberFormat="1" applyFont="1" applyBorder="1" applyAlignment="1" applyProtection="1">
      <alignment horizontal="center"/>
      <protection locked="0"/>
    </xf>
    <xf numFmtId="166" fontId="22" fillId="3" borderId="21" xfId="0" applyNumberFormat="1" applyFont="1" applyFill="1" applyBorder="1" applyAlignment="1" applyProtection="1">
      <alignment horizontal="right"/>
      <protection hidden="1"/>
    </xf>
    <xf numFmtId="1" fontId="22" fillId="0" borderId="19" xfId="0" applyNumberFormat="1" applyFont="1" applyBorder="1" applyAlignment="1" applyProtection="1">
      <alignment horizontal="left"/>
      <protection locked="0"/>
    </xf>
    <xf numFmtId="0" fontId="63" fillId="0" borderId="0" xfId="0" applyFont="1" applyProtection="1">
      <protection hidden="1"/>
    </xf>
    <xf numFmtId="0" fontId="50" fillId="2" borderId="0" xfId="0" applyFont="1" applyFill="1" applyAlignment="1" applyProtection="1">
      <alignment vertical="top"/>
      <protection hidden="1"/>
    </xf>
    <xf numFmtId="3" fontId="17" fillId="5" borderId="12" xfId="0" applyNumberFormat="1" applyFont="1" applyFill="1" applyBorder="1" applyProtection="1">
      <protection hidden="1"/>
    </xf>
    <xf numFmtId="14" fontId="19" fillId="0" borderId="0" xfId="0" applyNumberFormat="1" applyFont="1"/>
    <xf numFmtId="175" fontId="19" fillId="0" borderId="0" xfId="0" applyNumberFormat="1" applyFont="1"/>
    <xf numFmtId="0" fontId="51" fillId="0" borderId="0" xfId="0" applyFont="1"/>
    <xf numFmtId="0" fontId="19" fillId="7" borderId="12" xfId="0" applyFont="1" applyFill="1" applyBorder="1"/>
    <xf numFmtId="0" fontId="22" fillId="7" borderId="0" xfId="0" applyFont="1" applyFill="1" applyAlignment="1" applyProtection="1">
      <alignment horizontal="center"/>
      <protection hidden="1"/>
    </xf>
    <xf numFmtId="0" fontId="25" fillId="0" borderId="0" xfId="0" applyFont="1" applyAlignment="1" applyProtection="1">
      <alignment horizontal="left" wrapText="1"/>
      <protection hidden="1"/>
    </xf>
    <xf numFmtId="0" fontId="61" fillId="7" borderId="0" xfId="0" applyFont="1" applyFill="1" applyAlignment="1" applyProtection="1">
      <alignment horizontal="center"/>
      <protection hidden="1"/>
    </xf>
    <xf numFmtId="0" fontId="17" fillId="7" borderId="0" xfId="0" applyFont="1" applyFill="1" applyAlignment="1" applyProtection="1">
      <alignment horizontal="center"/>
      <protection hidden="1"/>
    </xf>
    <xf numFmtId="0" fontId="25" fillId="0" borderId="0" xfId="0" applyFont="1" applyAlignment="1" applyProtection="1">
      <alignment horizontal="right" wrapText="1"/>
      <protection hidden="1"/>
    </xf>
    <xf numFmtId="0" fontId="17" fillId="6" borderId="0" xfId="0" applyFont="1" applyFill="1" applyProtection="1">
      <protection hidden="1"/>
    </xf>
    <xf numFmtId="2" fontId="22" fillId="7" borderId="0" xfId="0" applyNumberFormat="1" applyFont="1" applyFill="1" applyAlignment="1" applyProtection="1">
      <alignment horizontal="center"/>
      <protection hidden="1"/>
    </xf>
    <xf numFmtId="3" fontId="19" fillId="7" borderId="0" xfId="0" applyNumberFormat="1" applyFont="1" applyFill="1" applyProtection="1">
      <protection hidden="1"/>
    </xf>
    <xf numFmtId="3" fontId="17" fillId="7" borderId="0" xfId="0" applyNumberFormat="1" applyFont="1" applyFill="1" applyProtection="1">
      <protection hidden="1"/>
    </xf>
    <xf numFmtId="0" fontId="22" fillId="7" borderId="0" xfId="0" applyFont="1" applyFill="1" applyProtection="1">
      <protection hidden="1"/>
    </xf>
    <xf numFmtId="0" fontId="94" fillId="2" borderId="0" xfId="0" applyFont="1" applyFill="1" applyAlignment="1" applyProtection="1">
      <alignment wrapText="1"/>
      <protection hidden="1"/>
    </xf>
    <xf numFmtId="0" fontId="19" fillId="2" borderId="0" xfId="0" applyFont="1" applyFill="1" applyAlignment="1" applyProtection="1">
      <alignment wrapText="1"/>
      <protection hidden="1"/>
    </xf>
    <xf numFmtId="14" fontId="19" fillId="0" borderId="0" xfId="0" applyNumberFormat="1" applyFont="1" applyAlignment="1" applyProtection="1">
      <alignment wrapText="1"/>
      <protection hidden="1"/>
    </xf>
    <xf numFmtId="0" fontId="22" fillId="0" borderId="12" xfId="0" applyFont="1" applyBorder="1" applyAlignment="1" applyProtection="1">
      <alignment vertical="center"/>
      <protection locked="0"/>
    </xf>
    <xf numFmtId="0" fontId="17" fillId="0" borderId="12" xfId="0" applyFont="1" applyBorder="1" applyProtection="1">
      <protection locked="0"/>
    </xf>
    <xf numFmtId="14" fontId="22" fillId="0" borderId="12" xfId="0" applyNumberFormat="1" applyFont="1" applyBorder="1" applyProtection="1">
      <protection locked="0"/>
    </xf>
    <xf numFmtId="0" fontId="17" fillId="0" borderId="12" xfId="0" applyFont="1" applyBorder="1" applyAlignment="1" applyProtection="1">
      <alignment vertical="center" wrapText="1"/>
      <protection locked="0"/>
    </xf>
    <xf numFmtId="0" fontId="19" fillId="7" borderId="12" xfId="0" applyFont="1" applyFill="1" applyBorder="1" applyProtection="1">
      <protection locked="0"/>
    </xf>
    <xf numFmtId="0" fontId="19" fillId="7" borderId="0" xfId="0" applyFont="1" applyFill="1" applyAlignment="1" applyProtection="1">
      <alignment horizontal="left"/>
      <protection hidden="1"/>
    </xf>
    <xf numFmtId="0" fontId="42" fillId="7" borderId="0" xfId="0" applyFont="1" applyFill="1" applyAlignment="1" applyProtection="1">
      <alignment horizontal="center"/>
      <protection hidden="1"/>
    </xf>
    <xf numFmtId="49" fontId="19" fillId="0" borderId="0" xfId="0" applyNumberFormat="1" applyFont="1" applyAlignment="1">
      <alignment horizontal="left"/>
    </xf>
    <xf numFmtId="0" fontId="22" fillId="12" borderId="0" xfId="0" applyFont="1" applyFill="1" applyAlignment="1" applyProtection="1">
      <alignment wrapText="1"/>
      <protection hidden="1"/>
    </xf>
    <xf numFmtId="0" fontId="22" fillId="12" borderId="0" xfId="0" applyFont="1" applyFill="1" applyAlignment="1" applyProtection="1">
      <alignment horizontal="right" wrapText="1"/>
      <protection hidden="1"/>
    </xf>
    <xf numFmtId="0" fontId="22" fillId="12" borderId="0" xfId="0" applyFont="1" applyFill="1" applyAlignment="1" applyProtection="1">
      <alignment horizontal="left" wrapText="1"/>
      <protection hidden="1"/>
    </xf>
    <xf numFmtId="3" fontId="22" fillId="12" borderId="0" xfId="0" applyNumberFormat="1" applyFont="1" applyFill="1" applyAlignment="1" applyProtection="1">
      <alignment wrapText="1"/>
      <protection hidden="1"/>
    </xf>
    <xf numFmtId="174" fontId="22" fillId="12" borderId="0" xfId="0" applyNumberFormat="1" applyFont="1" applyFill="1" applyAlignment="1" applyProtection="1">
      <alignment wrapText="1"/>
      <protection hidden="1"/>
    </xf>
    <xf numFmtId="0" fontId="19" fillId="12" borderId="0" xfId="0" applyFont="1" applyFill="1"/>
    <xf numFmtId="0" fontId="22" fillId="12" borderId="0" xfId="0" applyFont="1" applyFill="1" applyAlignment="1" applyProtection="1">
      <alignment horizontal="center" vertical="center" wrapText="1"/>
      <protection hidden="1"/>
    </xf>
    <xf numFmtId="0" fontId="19" fillId="12" borderId="0" xfId="0" applyFont="1" applyFill="1" applyAlignment="1" applyProtection="1">
      <alignment vertical="center" wrapText="1"/>
      <protection hidden="1"/>
    </xf>
    <xf numFmtId="3" fontId="22" fillId="12" borderId="0" xfId="0" applyNumberFormat="1" applyFont="1" applyFill="1" applyAlignment="1" applyProtection="1">
      <alignment vertical="center" wrapText="1"/>
      <protection hidden="1"/>
    </xf>
    <xf numFmtId="0" fontId="22" fillId="0" borderId="0" xfId="0" applyFont="1" applyAlignment="1" applyProtection="1">
      <alignment vertical="center" wrapText="1"/>
      <protection hidden="1"/>
    </xf>
    <xf numFmtId="3" fontId="17" fillId="13" borderId="12" xfId="0" applyNumberFormat="1" applyFont="1" applyFill="1" applyBorder="1" applyAlignment="1" applyProtection="1">
      <alignment horizontal="center"/>
      <protection locked="0"/>
    </xf>
    <xf numFmtId="0" fontId="19" fillId="0" borderId="0" xfId="0" applyFont="1" applyAlignment="1" applyProtection="1">
      <alignment vertical="center" wrapText="1"/>
      <protection hidden="1"/>
    </xf>
    <xf numFmtId="174" fontId="22" fillId="12" borderId="21" xfId="0" applyNumberFormat="1" applyFont="1" applyFill="1" applyBorder="1" applyAlignment="1" applyProtection="1">
      <alignment vertical="center" wrapText="1"/>
      <protection hidden="1"/>
    </xf>
    <xf numFmtId="174" fontId="22" fillId="14" borderId="19" xfId="0" applyNumberFormat="1" applyFont="1" applyFill="1" applyBorder="1" applyAlignment="1" applyProtection="1">
      <alignment horizontal="center" vertical="center" wrapText="1"/>
      <protection hidden="1"/>
    </xf>
    <xf numFmtId="174" fontId="22" fillId="14" borderId="21" xfId="0" applyNumberFormat="1" applyFont="1" applyFill="1" applyBorder="1" applyAlignment="1" applyProtection="1">
      <alignment horizontal="center" vertical="center" wrapText="1"/>
      <protection hidden="1"/>
    </xf>
    <xf numFmtId="174" fontId="22" fillId="12" borderId="20" xfId="0" applyNumberFormat="1" applyFont="1" applyFill="1" applyBorder="1" applyAlignment="1" applyProtection="1">
      <alignment horizontal="right" vertical="center"/>
      <protection hidden="1"/>
    </xf>
    <xf numFmtId="166" fontId="17" fillId="0" borderId="12" xfId="0" applyNumberFormat="1" applyFont="1" applyBorder="1" applyAlignment="1" applyProtection="1">
      <alignment vertical="center" wrapText="1"/>
      <protection locked="0"/>
    </xf>
    <xf numFmtId="166" fontId="17" fillId="14" borderId="12" xfId="0" applyNumberFormat="1" applyFont="1" applyFill="1" applyBorder="1" applyAlignment="1" applyProtection="1">
      <alignment vertical="center" wrapText="1"/>
      <protection hidden="1"/>
    </xf>
    <xf numFmtId="166" fontId="19" fillId="0" borderId="0" xfId="0" applyNumberFormat="1" applyFont="1" applyAlignment="1" applyProtection="1">
      <alignment vertical="center" wrapText="1"/>
      <protection hidden="1"/>
    </xf>
    <xf numFmtId="3" fontId="19" fillId="0" borderId="0" xfId="0" applyNumberFormat="1" applyFont="1" applyAlignment="1" applyProtection="1">
      <alignment vertical="center" wrapText="1"/>
      <protection hidden="1"/>
    </xf>
    <xf numFmtId="3" fontId="22" fillId="0" borderId="0" xfId="0" applyNumberFormat="1" applyFont="1" applyAlignment="1" applyProtection="1">
      <alignment vertical="center" wrapText="1"/>
      <protection hidden="1"/>
    </xf>
    <xf numFmtId="174" fontId="22" fillId="12" borderId="18" xfId="0" applyNumberFormat="1" applyFont="1" applyFill="1" applyBorder="1" applyAlignment="1" applyProtection="1">
      <alignment horizontal="right" vertical="center"/>
      <protection hidden="1"/>
    </xf>
    <xf numFmtId="0" fontId="22" fillId="12" borderId="0" xfId="0" applyFont="1" applyFill="1" applyAlignment="1" applyProtection="1">
      <alignment vertical="center" wrapText="1"/>
      <protection hidden="1"/>
    </xf>
    <xf numFmtId="166" fontId="22" fillId="14" borderId="12" xfId="0" applyNumberFormat="1" applyFont="1" applyFill="1" applyBorder="1" applyAlignment="1" applyProtection="1">
      <alignment vertical="center" wrapText="1"/>
      <protection hidden="1"/>
    </xf>
    <xf numFmtId="0" fontId="22" fillId="12" borderId="0" xfId="0" applyFont="1" applyFill="1" applyProtection="1">
      <protection hidden="1"/>
    </xf>
    <xf numFmtId="3" fontId="22" fillId="12" borderId="0" xfId="0" applyNumberFormat="1" applyFont="1" applyFill="1" applyProtection="1">
      <protection hidden="1"/>
    </xf>
    <xf numFmtId="3" fontId="22" fillId="12" borderId="0" xfId="0" applyNumberFormat="1" applyFont="1" applyFill="1" applyAlignment="1" applyProtection="1">
      <alignment horizontal="right"/>
      <protection hidden="1"/>
    </xf>
    <xf numFmtId="0" fontId="22" fillId="12" borderId="0" xfId="0" applyFont="1" applyFill="1" applyAlignment="1" applyProtection="1">
      <alignment horizontal="right"/>
      <protection hidden="1"/>
    </xf>
    <xf numFmtId="174" fontId="22" fillId="14" borderId="12" xfId="0" applyNumberFormat="1" applyFont="1" applyFill="1" applyBorder="1" applyAlignment="1" applyProtection="1">
      <alignment horizontal="center" vertical="center" wrapText="1"/>
      <protection hidden="1"/>
    </xf>
    <xf numFmtId="0" fontId="19" fillId="12" borderId="0" xfId="0" applyFont="1" applyFill="1" applyProtection="1">
      <protection hidden="1"/>
    </xf>
    <xf numFmtId="3" fontId="19" fillId="12" borderId="0" xfId="0" applyNumberFormat="1" applyFont="1" applyFill="1" applyProtection="1">
      <protection hidden="1"/>
    </xf>
    <xf numFmtId="0" fontId="22" fillId="12" borderId="0" xfId="0" applyFont="1" applyFill="1" applyAlignment="1" applyProtection="1">
      <alignment vertical="center"/>
      <protection hidden="1"/>
    </xf>
    <xf numFmtId="3" fontId="22" fillId="12" borderId="0" xfId="0" applyNumberFormat="1" applyFont="1" applyFill="1" applyAlignment="1" applyProtection="1">
      <alignment vertical="center"/>
      <protection hidden="1"/>
    </xf>
    <xf numFmtId="3" fontId="22" fillId="12" borderId="0" xfId="0" applyNumberFormat="1" applyFont="1" applyFill="1" applyAlignment="1" applyProtection="1">
      <alignment horizontal="right" vertical="center"/>
      <protection hidden="1"/>
    </xf>
    <xf numFmtId="0" fontId="22" fillId="12" borderId="0" xfId="0" applyFont="1" applyFill="1" applyAlignment="1" applyProtection="1">
      <alignment horizontal="right" vertical="center"/>
      <protection hidden="1"/>
    </xf>
    <xf numFmtId="0" fontId="22" fillId="12" borderId="0" xfId="0" applyFont="1" applyFill="1"/>
    <xf numFmtId="0" fontId="19" fillId="12" borderId="21" xfId="0" applyFont="1" applyFill="1" applyBorder="1"/>
    <xf numFmtId="0" fontId="19" fillId="12" borderId="20" xfId="0" applyFont="1" applyFill="1" applyBorder="1"/>
    <xf numFmtId="0" fontId="22" fillId="12" borderId="0" xfId="0" applyFont="1" applyFill="1" applyAlignment="1" applyProtection="1">
      <alignment horizontal="left"/>
      <protection hidden="1"/>
    </xf>
    <xf numFmtId="0" fontId="22" fillId="2" borderId="0" xfId="0" applyFont="1" applyFill="1"/>
    <xf numFmtId="0" fontId="17" fillId="12" borderId="9" xfId="0" applyFont="1" applyFill="1" applyBorder="1" applyAlignment="1" applyProtection="1">
      <alignment horizontal="left" vertical="center"/>
      <protection hidden="1"/>
    </xf>
    <xf numFmtId="0" fontId="17" fillId="12" borderId="19" xfId="0" applyFont="1" applyFill="1" applyBorder="1" applyAlignment="1" applyProtection="1">
      <alignment vertical="center"/>
      <protection hidden="1"/>
    </xf>
    <xf numFmtId="0" fontId="17" fillId="12" borderId="9" xfId="0" applyFont="1" applyFill="1" applyBorder="1" applyAlignment="1" applyProtection="1">
      <alignment horizontal="left" vertical="center" wrapText="1"/>
      <protection hidden="1"/>
    </xf>
    <xf numFmtId="0" fontId="17" fillId="12" borderId="9" xfId="0" applyFont="1" applyFill="1" applyBorder="1" applyAlignment="1" applyProtection="1">
      <alignment vertical="center"/>
      <protection hidden="1"/>
    </xf>
    <xf numFmtId="0" fontId="22" fillId="12" borderId="0" xfId="0" applyFont="1" applyFill="1" applyAlignment="1">
      <alignment horizontal="right"/>
    </xf>
    <xf numFmtId="0" fontId="19" fillId="2" borderId="21" xfId="0" applyFont="1" applyFill="1" applyBorder="1" applyProtection="1">
      <protection hidden="1"/>
    </xf>
    <xf numFmtId="3" fontId="17" fillId="0" borderId="12" xfId="0" applyNumberFormat="1" applyFont="1" applyBorder="1" applyAlignment="1" applyProtection="1">
      <alignment vertical="center" wrapText="1"/>
      <protection locked="0"/>
    </xf>
    <xf numFmtId="3" fontId="17" fillId="0" borderId="21" xfId="0" applyNumberFormat="1" applyFont="1" applyBorder="1" applyAlignment="1" applyProtection="1">
      <alignment vertical="center" wrapText="1"/>
      <protection locked="0"/>
    </xf>
    <xf numFmtId="3" fontId="22" fillId="0" borderId="12" xfId="0" applyNumberFormat="1" applyFont="1" applyBorder="1"/>
    <xf numFmtId="3" fontId="22" fillId="13" borderId="12" xfId="0" applyNumberFormat="1" applyFont="1" applyFill="1" applyBorder="1" applyAlignment="1" applyProtection="1">
      <alignment horizontal="center"/>
      <protection locked="0"/>
    </xf>
    <xf numFmtId="10" fontId="24" fillId="0" borderId="8" xfId="0" applyNumberFormat="1" applyFont="1" applyBorder="1" applyAlignment="1" applyProtection="1">
      <alignment horizontal="center" vertical="center" wrapText="1"/>
      <protection locked="0"/>
    </xf>
    <xf numFmtId="10" fontId="24" fillId="0" borderId="12" xfId="0" applyNumberFormat="1" applyFont="1" applyBorder="1" applyAlignment="1" applyProtection="1">
      <alignment horizontal="center" vertical="center" wrapText="1"/>
      <protection locked="0"/>
    </xf>
    <xf numFmtId="0" fontId="17" fillId="0" borderId="12" xfId="0" applyFont="1" applyBorder="1" applyAlignment="1" applyProtection="1">
      <alignment horizontal="center" vertical="center"/>
      <protection locked="0"/>
    </xf>
    <xf numFmtId="0" fontId="19" fillId="6" borderId="9" xfId="0" applyFont="1" applyFill="1" applyBorder="1"/>
    <xf numFmtId="0" fontId="19" fillId="6" borderId="8" xfId="0" applyFont="1" applyFill="1" applyBorder="1"/>
    <xf numFmtId="166" fontId="17" fillId="6" borderId="12" xfId="0" applyNumberFormat="1" applyFont="1" applyFill="1" applyBorder="1"/>
    <xf numFmtId="166" fontId="22" fillId="6" borderId="12" xfId="0" applyNumberFormat="1" applyFont="1" applyFill="1" applyBorder="1"/>
    <xf numFmtId="166" fontId="17" fillId="14" borderId="12" xfId="0" applyNumberFormat="1" applyFont="1" applyFill="1" applyBorder="1" applyAlignment="1" applyProtection="1">
      <alignment horizontal="center" vertical="center" wrapText="1"/>
      <protection hidden="1"/>
    </xf>
    <xf numFmtId="0" fontId="61" fillId="12" borderId="0" xfId="0" applyFont="1" applyFill="1" applyAlignment="1" applyProtection="1">
      <alignment vertical="center"/>
      <protection hidden="1"/>
    </xf>
    <xf numFmtId="0" fontId="28" fillId="0" borderId="9" xfId="0" applyFont="1" applyBorder="1" applyAlignment="1" applyProtection="1">
      <alignment vertical="center"/>
      <protection hidden="1"/>
    </xf>
    <xf numFmtId="166" fontId="19" fillId="2" borderId="0" xfId="0" applyNumberFormat="1" applyFont="1" applyFill="1" applyAlignment="1" applyProtection="1">
      <alignment horizontal="right" vertical="center"/>
      <protection hidden="1"/>
    </xf>
    <xf numFmtId="0" fontId="135" fillId="2" borderId="0" xfId="0" applyFont="1" applyFill="1" applyProtection="1">
      <protection hidden="1"/>
    </xf>
    <xf numFmtId="49" fontId="17" fillId="0" borderId="12" xfId="0" applyNumberFormat="1" applyFont="1" applyBorder="1" applyAlignment="1" applyProtection="1">
      <alignment horizontal="center" vertical="center"/>
      <protection locked="0"/>
    </xf>
    <xf numFmtId="176" fontId="17" fillId="0" borderId="12" xfId="0" applyNumberFormat="1" applyFont="1" applyBorder="1" applyAlignment="1" applyProtection="1">
      <alignment horizontal="center" vertical="center"/>
      <protection locked="0"/>
    </xf>
    <xf numFmtId="0" fontId="15" fillId="5" borderId="19" xfId="0" applyFont="1" applyFill="1" applyBorder="1" applyAlignment="1" applyProtection="1">
      <alignment vertical="center"/>
      <protection hidden="1"/>
    </xf>
    <xf numFmtId="3" fontId="17" fillId="6" borderId="12" xfId="0" applyNumberFormat="1" applyFont="1" applyFill="1" applyBorder="1" applyProtection="1">
      <protection hidden="1"/>
    </xf>
    <xf numFmtId="0" fontId="136" fillId="2" borderId="0" xfId="0" applyFont="1" applyFill="1" applyAlignment="1" applyProtection="1">
      <alignment vertical="center"/>
      <protection hidden="1"/>
    </xf>
    <xf numFmtId="0" fontId="17" fillId="2" borderId="0" xfId="0" applyFont="1" applyFill="1" applyAlignment="1" applyProtection="1">
      <alignment wrapText="1"/>
      <protection hidden="1"/>
    </xf>
    <xf numFmtId="0" fontId="17" fillId="0" borderId="0" xfId="0" applyFont="1" applyAlignment="1" applyProtection="1">
      <alignment wrapText="1"/>
      <protection hidden="1"/>
    </xf>
    <xf numFmtId="0" fontId="137" fillId="0" borderId="0" xfId="0" applyFont="1" applyProtection="1">
      <protection hidden="1"/>
    </xf>
    <xf numFmtId="0" fontId="17" fillId="9" borderId="12" xfId="0" applyFont="1" applyFill="1" applyBorder="1" applyProtection="1">
      <protection locked="0"/>
    </xf>
    <xf numFmtId="0" fontId="138" fillId="2" borderId="0" xfId="0" applyFont="1" applyFill="1" applyAlignment="1" applyProtection="1">
      <alignment horizontal="right" vertical="center"/>
      <protection hidden="1"/>
    </xf>
    <xf numFmtId="0" fontId="17" fillId="7" borderId="5" xfId="0" applyFont="1" applyFill="1" applyBorder="1" applyProtection="1">
      <protection hidden="1"/>
    </xf>
    <xf numFmtId="0" fontId="19" fillId="10" borderId="12" xfId="0" applyFont="1" applyFill="1" applyBorder="1" applyProtection="1">
      <protection hidden="1"/>
    </xf>
    <xf numFmtId="0" fontId="17" fillId="8" borderId="9" xfId="0" applyFont="1" applyFill="1" applyBorder="1" applyAlignment="1" applyProtection="1">
      <alignment horizontal="center" vertical="center"/>
      <protection locked="0"/>
    </xf>
    <xf numFmtId="0" fontId="22" fillId="2" borderId="9" xfId="0" applyFont="1" applyFill="1" applyBorder="1" applyAlignment="1" applyProtection="1">
      <alignment horizontal="left" vertical="center"/>
      <protection hidden="1"/>
    </xf>
    <xf numFmtId="0" fontId="89" fillId="2" borderId="8" xfId="0" applyFont="1" applyFill="1" applyBorder="1" applyAlignment="1" applyProtection="1">
      <alignment horizontal="center" vertical="center"/>
      <protection hidden="1"/>
    </xf>
    <xf numFmtId="0" fontId="89" fillId="4" borderId="8" xfId="0" applyFont="1" applyFill="1" applyBorder="1" applyAlignment="1" applyProtection="1">
      <alignment horizontal="center" vertical="center"/>
      <protection hidden="1"/>
    </xf>
    <xf numFmtId="0" fontId="135" fillId="12" borderId="0" xfId="0" applyFont="1" applyFill="1" applyProtection="1">
      <protection hidden="1"/>
    </xf>
    <xf numFmtId="0" fontId="135" fillId="0" borderId="0" xfId="0" applyFont="1"/>
    <xf numFmtId="0" fontId="17" fillId="0" borderId="18" xfId="0" applyFont="1" applyBorder="1" applyAlignment="1" applyProtection="1">
      <alignment horizontal="left"/>
      <protection locked="0"/>
    </xf>
    <xf numFmtId="0" fontId="17" fillId="0" borderId="18" xfId="0" applyFont="1" applyBorder="1" applyAlignment="1" applyProtection="1">
      <alignment horizontal="center" vertical="center"/>
      <protection locked="0"/>
    </xf>
    <xf numFmtId="166" fontId="17" fillId="14" borderId="7" xfId="0" applyNumberFormat="1" applyFont="1" applyFill="1" applyBorder="1" applyAlignment="1" applyProtection="1">
      <alignment vertical="center"/>
      <protection hidden="1"/>
    </xf>
    <xf numFmtId="166" fontId="17" fillId="14" borderId="8" xfId="0" applyNumberFormat="1" applyFont="1" applyFill="1" applyBorder="1" applyAlignment="1" applyProtection="1">
      <alignment vertical="center"/>
      <protection hidden="1"/>
    </xf>
    <xf numFmtId="0" fontId="135" fillId="2" borderId="0" xfId="0" applyFont="1" applyFill="1" applyAlignment="1">
      <alignment vertical="center"/>
    </xf>
    <xf numFmtId="0" fontId="136" fillId="2" borderId="0" xfId="0" applyFont="1" applyFill="1" applyAlignment="1" applyProtection="1">
      <alignment horizontal="center" vertical="center" wrapText="1"/>
      <protection hidden="1"/>
    </xf>
    <xf numFmtId="0" fontId="22" fillId="3" borderId="18" xfId="0" applyFont="1" applyFill="1" applyBorder="1" applyAlignment="1" applyProtection="1">
      <alignment horizontal="center" vertical="center" wrapText="1"/>
      <protection hidden="1"/>
    </xf>
    <xf numFmtId="0" fontId="22" fillId="3" borderId="20" xfId="0" applyFont="1" applyFill="1" applyBorder="1" applyAlignment="1" applyProtection="1">
      <alignment horizontal="center" vertical="center" wrapText="1"/>
      <protection hidden="1"/>
    </xf>
    <xf numFmtId="0" fontId="19" fillId="4" borderId="12" xfId="0" applyFont="1" applyFill="1" applyBorder="1" applyAlignment="1" applyProtection="1">
      <alignment horizontal="left"/>
      <protection hidden="1"/>
    </xf>
    <xf numFmtId="0" fontId="22" fillId="2" borderId="5" xfId="0" applyFont="1" applyFill="1" applyBorder="1" applyAlignment="1" applyProtection="1">
      <alignment horizontal="left"/>
      <protection hidden="1"/>
    </xf>
    <xf numFmtId="0" fontId="26" fillId="4" borderId="0" xfId="0" applyFont="1" applyFill="1" applyProtection="1">
      <protection hidden="1"/>
    </xf>
    <xf numFmtId="0" fontId="105" fillId="2" borderId="0" xfId="0" applyFont="1" applyFill="1" applyProtection="1">
      <protection hidden="1"/>
    </xf>
    <xf numFmtId="0" fontId="28" fillId="2" borderId="1" xfId="0" applyFont="1" applyFill="1" applyBorder="1" applyProtection="1">
      <protection hidden="1"/>
    </xf>
    <xf numFmtId="0" fontId="28" fillId="2" borderId="1" xfId="0" applyFont="1" applyFill="1" applyBorder="1" applyAlignment="1" applyProtection="1">
      <alignment horizontal="left" vertical="center"/>
      <protection hidden="1"/>
    </xf>
    <xf numFmtId="0" fontId="36" fillId="2" borderId="0" xfId="0" applyFont="1" applyFill="1" applyAlignment="1" applyProtection="1">
      <alignment horizontal="left" vertical="center"/>
      <protection hidden="1"/>
    </xf>
    <xf numFmtId="0" fontId="105" fillId="2" borderId="1" xfId="0" applyFont="1" applyFill="1" applyBorder="1" applyProtection="1">
      <protection hidden="1"/>
    </xf>
    <xf numFmtId="0" fontId="29" fillId="0" borderId="0" xfId="0" applyFont="1" applyAlignment="1" applyProtection="1">
      <alignment horizontal="right"/>
      <protection hidden="1"/>
    </xf>
    <xf numFmtId="0" fontId="129" fillId="2" borderId="0" xfId="0" applyFont="1" applyFill="1" applyAlignment="1" applyProtection="1">
      <alignment horizontal="left"/>
      <protection hidden="1"/>
    </xf>
    <xf numFmtId="0" fontId="129" fillId="0" borderId="0" xfId="0" applyFont="1" applyAlignment="1" applyProtection="1">
      <alignment horizontal="left"/>
      <protection hidden="1"/>
    </xf>
    <xf numFmtId="3" fontId="105" fillId="4" borderId="9" xfId="0" applyNumberFormat="1" applyFont="1" applyFill="1" applyBorder="1" applyProtection="1">
      <protection hidden="1"/>
    </xf>
    <xf numFmtId="0" fontId="22" fillId="7" borderId="1" xfId="0" applyFont="1" applyFill="1" applyBorder="1" applyAlignment="1" applyProtection="1">
      <alignment horizontal="center" vertical="center"/>
      <protection hidden="1"/>
    </xf>
    <xf numFmtId="3" fontId="19" fillId="4" borderId="9" xfId="0" applyNumberFormat="1" applyFont="1" applyFill="1" applyBorder="1" applyProtection="1">
      <protection hidden="1"/>
    </xf>
    <xf numFmtId="0" fontId="22" fillId="4" borderId="7" xfId="0" applyFont="1" applyFill="1" applyBorder="1" applyAlignment="1" applyProtection="1">
      <alignment vertical="center"/>
      <protection hidden="1"/>
    </xf>
    <xf numFmtId="0" fontId="22" fillId="3" borderId="4" xfId="0" applyFont="1" applyFill="1" applyBorder="1" applyAlignment="1" applyProtection="1">
      <alignment vertical="center" wrapText="1"/>
      <protection hidden="1"/>
    </xf>
    <xf numFmtId="0" fontId="22" fillId="3" borderId="5" xfId="0" applyFont="1" applyFill="1" applyBorder="1" applyAlignment="1" applyProtection="1">
      <alignment vertical="center" wrapText="1"/>
      <protection hidden="1"/>
    </xf>
    <xf numFmtId="0" fontId="22" fillId="3" borderId="6" xfId="0" applyFont="1" applyFill="1" applyBorder="1" applyAlignment="1" applyProtection="1">
      <alignment vertical="center" wrapText="1"/>
      <protection hidden="1"/>
    </xf>
    <xf numFmtId="0" fontId="22" fillId="0" borderId="21" xfId="0" applyFont="1" applyBorder="1" applyAlignment="1" applyProtection="1">
      <alignment horizontal="left"/>
      <protection locked="0"/>
    </xf>
    <xf numFmtId="0" fontId="22" fillId="2" borderId="9" xfId="0" applyFont="1" applyFill="1" applyBorder="1" applyProtection="1">
      <protection hidden="1"/>
    </xf>
    <xf numFmtId="0" fontId="61" fillId="2" borderId="7" xfId="0" applyFont="1" applyFill="1" applyBorder="1" applyAlignment="1" applyProtection="1">
      <alignment horizontal="right"/>
      <protection hidden="1"/>
    </xf>
    <xf numFmtId="0" fontId="61" fillId="2" borderId="8" xfId="0" applyFont="1" applyFill="1" applyBorder="1" applyAlignment="1" applyProtection="1">
      <alignment horizontal="right"/>
      <protection hidden="1"/>
    </xf>
    <xf numFmtId="10" fontId="22" fillId="6" borderId="8" xfId="0" applyNumberFormat="1" applyFont="1" applyFill="1" applyBorder="1" applyAlignment="1" applyProtection="1">
      <alignment horizontal="center"/>
      <protection hidden="1"/>
    </xf>
    <xf numFmtId="0" fontId="84" fillId="2" borderId="0" xfId="0" applyFont="1" applyFill="1" applyProtection="1">
      <protection hidden="1"/>
    </xf>
    <xf numFmtId="0" fontId="22" fillId="3" borderId="12" xfId="0" applyFont="1" applyFill="1" applyBorder="1" applyAlignment="1" applyProtection="1">
      <alignment horizontal="center"/>
      <protection hidden="1"/>
    </xf>
    <xf numFmtId="0" fontId="73" fillId="2" borderId="0" xfId="0" applyFont="1" applyFill="1" applyAlignment="1" applyProtection="1">
      <alignment horizontal="right"/>
      <protection hidden="1"/>
    </xf>
    <xf numFmtId="0" fontId="89" fillId="2" borderId="0" xfId="0" applyFont="1" applyFill="1" applyAlignment="1" applyProtection="1">
      <alignment horizontal="right" vertical="center"/>
      <protection hidden="1"/>
    </xf>
    <xf numFmtId="0" fontId="22" fillId="5" borderId="8" xfId="0" applyFont="1" applyFill="1" applyBorder="1" applyAlignment="1" applyProtection="1">
      <alignment horizontal="center" vertical="center"/>
      <protection hidden="1"/>
    </xf>
    <xf numFmtId="0" fontId="22" fillId="5" borderId="12" xfId="0" applyFont="1" applyFill="1" applyBorder="1" applyAlignment="1" applyProtection="1">
      <alignment horizontal="center" wrapText="1"/>
      <protection hidden="1"/>
    </xf>
    <xf numFmtId="3" fontId="22" fillId="3" borderId="6" xfId="0" applyNumberFormat="1" applyFont="1" applyFill="1" applyBorder="1" applyProtection="1">
      <protection hidden="1"/>
    </xf>
    <xf numFmtId="0" fontId="17" fillId="3" borderId="8" xfId="0" applyFont="1" applyFill="1" applyBorder="1" applyAlignment="1" applyProtection="1">
      <alignment horizontal="center" vertical="center"/>
      <protection hidden="1"/>
    </xf>
    <xf numFmtId="0" fontId="59" fillId="2" borderId="5" xfId="0" applyFont="1" applyFill="1" applyBorder="1" applyAlignment="1" applyProtection="1">
      <alignment vertical="top"/>
      <protection hidden="1"/>
    </xf>
    <xf numFmtId="0" fontId="87" fillId="2" borderId="0" xfId="0" applyFont="1" applyFill="1" applyAlignment="1" applyProtection="1">
      <alignment horizontal="center"/>
      <protection hidden="1"/>
    </xf>
    <xf numFmtId="0" fontId="29" fillId="0" borderId="0" xfId="0" applyFont="1" applyAlignment="1" applyProtection="1">
      <alignment horizontal="left"/>
      <protection hidden="1"/>
    </xf>
    <xf numFmtId="0" fontId="29" fillId="2" borderId="0" xfId="0" applyFont="1" applyFill="1" applyAlignment="1" applyProtection="1">
      <alignment horizontal="center"/>
      <protection hidden="1"/>
    </xf>
    <xf numFmtId="0" fontId="79" fillId="2" borderId="0" xfId="0" applyFont="1" applyFill="1" applyAlignment="1" applyProtection="1">
      <alignment horizontal="center"/>
      <protection hidden="1"/>
    </xf>
    <xf numFmtId="0" fontId="130" fillId="2" borderId="0" xfId="0" applyFont="1" applyFill="1" applyAlignment="1" applyProtection="1">
      <alignment horizontal="center" vertical="top"/>
      <protection hidden="1"/>
    </xf>
    <xf numFmtId="0" fontId="51" fillId="2" borderId="0" xfId="0" applyFont="1" applyFill="1" applyProtection="1">
      <protection hidden="1"/>
    </xf>
    <xf numFmtId="0" fontId="130" fillId="2" borderId="0" xfId="0" applyFont="1" applyFill="1" applyAlignment="1" applyProtection="1">
      <alignment horizontal="left" vertical="center"/>
      <protection hidden="1"/>
    </xf>
    <xf numFmtId="0" fontId="130" fillId="2" borderId="0" xfId="0" applyFont="1" applyFill="1" applyAlignment="1" applyProtection="1">
      <alignment horizontal="right" vertical="center"/>
      <protection hidden="1"/>
    </xf>
    <xf numFmtId="3" fontId="17" fillId="2" borderId="2" xfId="0" applyNumberFormat="1" applyFont="1" applyFill="1" applyBorder="1" applyAlignment="1" applyProtection="1">
      <alignment horizontal="center"/>
      <protection hidden="1"/>
    </xf>
    <xf numFmtId="3" fontId="17" fillId="5" borderId="7" xfId="0" applyNumberFormat="1" applyFont="1" applyFill="1" applyBorder="1" applyAlignment="1" applyProtection="1">
      <alignment horizontal="center"/>
      <protection hidden="1"/>
    </xf>
    <xf numFmtId="166" fontId="51" fillId="0" borderId="0" xfId="0" applyNumberFormat="1" applyFont="1" applyProtection="1">
      <protection hidden="1"/>
    </xf>
    <xf numFmtId="166" fontId="89" fillId="2" borderId="0" xfId="0" applyNumberFormat="1" applyFont="1" applyFill="1" applyAlignment="1" applyProtection="1">
      <alignment horizontal="left" vertical="center"/>
      <protection hidden="1"/>
    </xf>
    <xf numFmtId="166" fontId="89" fillId="2" borderId="0" xfId="0" applyNumberFormat="1" applyFont="1" applyFill="1" applyAlignment="1" applyProtection="1">
      <alignment horizontal="center" vertical="center"/>
      <protection hidden="1"/>
    </xf>
    <xf numFmtId="3" fontId="22" fillId="0" borderId="12" xfId="0" applyNumberFormat="1" applyFont="1" applyBorder="1" applyAlignment="1" applyProtection="1">
      <alignment horizontal="center" vertical="center"/>
      <protection locked="0"/>
    </xf>
    <xf numFmtId="9" fontId="22" fillId="0" borderId="12" xfId="0" applyNumberFormat="1" applyFont="1" applyBorder="1" applyAlignment="1" applyProtection="1">
      <alignment horizontal="center" vertical="center"/>
      <protection locked="0"/>
    </xf>
    <xf numFmtId="0" fontId="73" fillId="2" borderId="0" xfId="0" applyFont="1" applyFill="1" applyAlignment="1" applyProtection="1">
      <alignment vertical="center"/>
      <protection hidden="1"/>
    </xf>
    <xf numFmtId="3" fontId="61" fillId="2" borderId="0" xfId="0" applyNumberFormat="1" applyFont="1" applyFill="1" applyAlignment="1" applyProtection="1">
      <alignment horizontal="right"/>
      <protection hidden="1"/>
    </xf>
    <xf numFmtId="3" fontId="50" fillId="2" borderId="0" xfId="0" applyNumberFormat="1" applyFont="1" applyFill="1" applyProtection="1">
      <protection hidden="1"/>
    </xf>
    <xf numFmtId="0" fontId="22" fillId="5" borderId="9" xfId="0" applyFont="1" applyFill="1" applyBorder="1" applyAlignment="1" applyProtection="1">
      <alignment horizontal="left" vertical="center"/>
      <protection hidden="1"/>
    </xf>
    <xf numFmtId="0" fontId="105" fillId="2" borderId="0" xfId="0" applyFont="1" applyFill="1" applyAlignment="1" applyProtection="1">
      <alignment vertical="center"/>
      <protection hidden="1"/>
    </xf>
    <xf numFmtId="0" fontId="17" fillId="2" borderId="19" xfId="0" applyFont="1" applyFill="1" applyBorder="1" applyProtection="1">
      <protection hidden="1"/>
    </xf>
    <xf numFmtId="0" fontId="51" fillId="2" borderId="0" xfId="0" applyFont="1" applyFill="1" applyAlignment="1" applyProtection="1">
      <alignment vertical="center"/>
      <protection hidden="1"/>
    </xf>
    <xf numFmtId="0" fontId="131" fillId="4" borderId="8" xfId="0" applyFont="1" applyFill="1" applyBorder="1" applyAlignment="1" applyProtection="1">
      <alignment horizontal="center"/>
      <protection hidden="1"/>
    </xf>
    <xf numFmtId="0" fontId="86" fillId="10" borderId="9" xfId="0" applyFont="1" applyFill="1" applyBorder="1" applyProtection="1">
      <protection hidden="1"/>
    </xf>
    <xf numFmtId="166" fontId="89" fillId="2" borderId="21" xfId="0" applyNumberFormat="1" applyFont="1" applyFill="1" applyBorder="1" applyAlignment="1" applyProtection="1">
      <alignment horizontal="center" vertical="center"/>
      <protection hidden="1"/>
    </xf>
    <xf numFmtId="166" fontId="89" fillId="2" borderId="20" xfId="0" applyNumberFormat="1" applyFont="1" applyFill="1" applyBorder="1" applyAlignment="1" applyProtection="1">
      <alignment horizontal="center" vertical="center"/>
      <protection hidden="1"/>
    </xf>
    <xf numFmtId="0" fontId="26" fillId="2" borderId="0" xfId="0" applyFont="1" applyFill="1" applyAlignment="1" applyProtection="1">
      <alignment horizontal="right"/>
      <protection hidden="1"/>
    </xf>
    <xf numFmtId="0" fontId="59" fillId="12" borderId="0" xfId="0" applyFont="1" applyFill="1"/>
    <xf numFmtId="0" fontId="51" fillId="12" borderId="0" xfId="0" applyFont="1" applyFill="1"/>
    <xf numFmtId="0" fontId="59" fillId="2" borderId="0" xfId="0" applyFont="1" applyFill="1" applyAlignment="1" applyProtection="1">
      <alignment horizontal="right" vertical="center"/>
      <protection hidden="1"/>
    </xf>
    <xf numFmtId="0" fontId="54" fillId="12" borderId="21" xfId="0" applyFont="1" applyFill="1" applyBorder="1" applyAlignment="1">
      <alignment horizontal="center"/>
    </xf>
    <xf numFmtId="3" fontId="48" fillId="8" borderId="0" xfId="0" applyNumberFormat="1" applyFont="1" applyFill="1" applyAlignment="1" applyProtection="1">
      <alignment horizontal="center" vertical="center" wrapText="1"/>
      <protection hidden="1"/>
    </xf>
    <xf numFmtId="174" fontId="49" fillId="14" borderId="9" xfId="0" applyNumberFormat="1" applyFont="1" applyFill="1" applyBorder="1" applyAlignment="1" applyProtection="1">
      <alignment horizontal="center" vertical="center" wrapText="1"/>
      <protection hidden="1"/>
    </xf>
    <xf numFmtId="0" fontId="49" fillId="12" borderId="12" xfId="0" applyFont="1" applyFill="1" applyBorder="1"/>
    <xf numFmtId="166" fontId="17" fillId="6" borderId="12" xfId="0" applyNumberFormat="1" applyFont="1" applyFill="1" applyBorder="1" applyProtection="1">
      <protection hidden="1"/>
    </xf>
    <xf numFmtId="3" fontId="55" fillId="12" borderId="0" xfId="0" applyNumberFormat="1" applyFont="1" applyFill="1" applyAlignment="1" applyProtection="1">
      <alignment horizontal="right"/>
      <protection hidden="1"/>
    </xf>
    <xf numFmtId="0" fontId="61" fillId="12" borderId="0" xfId="0" applyFont="1" applyFill="1"/>
    <xf numFmtId="0" fontId="140" fillId="6" borderId="8" xfId="0" applyFont="1" applyFill="1" applyBorder="1" applyAlignment="1" applyProtection="1">
      <alignment horizontal="center" vertical="center"/>
      <protection hidden="1"/>
    </xf>
    <xf numFmtId="0" fontId="26" fillId="12" borderId="0" xfId="0" applyFont="1" applyFill="1" applyAlignment="1" applyProtection="1">
      <alignment horizontal="right"/>
      <protection hidden="1"/>
    </xf>
    <xf numFmtId="0" fontId="61" fillId="12" borderId="0" xfId="0" applyFont="1" applyFill="1" applyProtection="1">
      <protection hidden="1"/>
    </xf>
    <xf numFmtId="3" fontId="17" fillId="14" borderId="12" xfId="0" applyNumberFormat="1" applyFont="1" applyFill="1" applyBorder="1" applyAlignment="1" applyProtection="1">
      <alignment vertical="center" wrapText="1"/>
      <protection hidden="1"/>
    </xf>
    <xf numFmtId="0" fontId="139" fillId="12" borderId="0" xfId="0" applyFont="1" applyFill="1" applyProtection="1">
      <protection hidden="1"/>
    </xf>
    <xf numFmtId="166" fontId="17" fillId="14" borderId="9" xfId="0" applyNumberFormat="1" applyFont="1" applyFill="1" applyBorder="1" applyAlignment="1" applyProtection="1">
      <alignment vertical="center"/>
      <protection hidden="1"/>
    </xf>
    <xf numFmtId="166" fontId="17" fillId="14" borderId="18" xfId="0" applyNumberFormat="1" applyFont="1" applyFill="1" applyBorder="1" applyAlignment="1" applyProtection="1">
      <alignment vertical="center" wrapText="1"/>
      <protection hidden="1"/>
    </xf>
    <xf numFmtId="166" fontId="17" fillId="14" borderId="18" xfId="0" applyNumberFormat="1" applyFont="1" applyFill="1" applyBorder="1" applyAlignment="1" applyProtection="1">
      <alignment horizontal="center" vertical="center" wrapText="1"/>
      <protection hidden="1"/>
    </xf>
    <xf numFmtId="166" fontId="19" fillId="0" borderId="0" xfId="0" applyNumberFormat="1" applyFont="1"/>
    <xf numFmtId="166" fontId="17" fillId="14" borderId="9" xfId="0" applyNumberFormat="1" applyFont="1" applyFill="1" applyBorder="1" applyAlignment="1" applyProtection="1">
      <alignment vertical="center" wrapText="1"/>
      <protection hidden="1"/>
    </xf>
    <xf numFmtId="166" fontId="17" fillId="14" borderId="8" xfId="0" applyNumberFormat="1" applyFont="1" applyFill="1" applyBorder="1" applyAlignment="1" applyProtection="1">
      <alignment vertical="center" wrapText="1"/>
      <protection hidden="1"/>
    </xf>
    <xf numFmtId="0" fontId="61" fillId="0" borderId="0" xfId="0" applyFont="1"/>
    <xf numFmtId="0" fontId="140" fillId="12" borderId="0" xfId="0" applyFont="1" applyFill="1" applyAlignment="1" applyProtection="1">
      <alignment horizontal="left"/>
      <protection hidden="1"/>
    </xf>
    <xf numFmtId="3" fontId="89" fillId="2" borderId="0" xfId="0" applyNumberFormat="1" applyFont="1" applyFill="1" applyAlignment="1" applyProtection="1">
      <alignment horizontal="left" vertical="center"/>
      <protection hidden="1"/>
    </xf>
    <xf numFmtId="0" fontId="133" fillId="7" borderId="1" xfId="0" applyFont="1" applyFill="1" applyBorder="1" applyAlignment="1" applyProtection="1">
      <alignment vertical="center" wrapText="1"/>
      <protection hidden="1"/>
    </xf>
    <xf numFmtId="0" fontId="133" fillId="7" borderId="0" xfId="0" applyFont="1" applyFill="1" applyAlignment="1" applyProtection="1">
      <alignment vertical="center" wrapText="1"/>
      <protection hidden="1"/>
    </xf>
    <xf numFmtId="0" fontId="17" fillId="6" borderId="12" xfId="0" applyFont="1" applyFill="1" applyBorder="1" applyAlignment="1" applyProtection="1">
      <alignment horizontal="center" vertical="center" wrapText="1"/>
      <protection hidden="1"/>
    </xf>
    <xf numFmtId="0" fontId="22" fillId="7" borderId="0" xfId="0" applyFont="1" applyFill="1" applyAlignment="1" applyProtection="1">
      <alignment horizontal="center" vertical="center" wrapText="1"/>
      <protection hidden="1"/>
    </xf>
    <xf numFmtId="0" fontId="17" fillId="7" borderId="0" xfId="0" applyFont="1" applyFill="1" applyAlignment="1" applyProtection="1">
      <alignment horizontal="center" vertical="center" wrapText="1"/>
      <protection hidden="1"/>
    </xf>
    <xf numFmtId="0" fontId="19" fillId="7" borderId="0" xfId="0" applyFont="1" applyFill="1" applyAlignment="1" applyProtection="1">
      <alignment wrapText="1"/>
      <protection hidden="1"/>
    </xf>
    <xf numFmtId="0" fontId="84" fillId="2" borderId="0" xfId="0" applyFont="1" applyFill="1" applyAlignment="1" applyProtection="1">
      <alignment horizontal="justify" vertical="center" wrapText="1"/>
      <protection hidden="1"/>
    </xf>
    <xf numFmtId="0" fontId="22" fillId="0" borderId="0" xfId="0" applyFont="1" applyAlignment="1" applyProtection="1">
      <alignment horizontal="center"/>
      <protection hidden="1"/>
    </xf>
    <xf numFmtId="0" fontId="89" fillId="2" borderId="0" xfId="0" applyFont="1" applyFill="1" applyProtection="1">
      <protection hidden="1"/>
    </xf>
    <xf numFmtId="0" fontId="89" fillId="2" borderId="0" xfId="0" applyFont="1" applyFill="1" applyAlignment="1" applyProtection="1">
      <alignment horizontal="center" vertical="top"/>
      <protection hidden="1"/>
    </xf>
    <xf numFmtId="167" fontId="17" fillId="0" borderId="12" xfId="0" applyNumberFormat="1" applyFont="1" applyBorder="1" applyAlignment="1" applyProtection="1">
      <alignment horizontal="center"/>
      <protection locked="0"/>
    </xf>
    <xf numFmtId="0" fontId="22" fillId="3" borderId="9" xfId="0" applyFont="1" applyFill="1" applyBorder="1" applyAlignment="1" applyProtection="1">
      <alignment horizontal="center" vertical="center" wrapText="1"/>
      <protection hidden="1"/>
    </xf>
    <xf numFmtId="0" fontId="26" fillId="2" borderId="0" xfId="0" applyFont="1" applyFill="1" applyAlignment="1" applyProtection="1">
      <alignment vertical="center"/>
      <protection hidden="1"/>
    </xf>
    <xf numFmtId="0" fontId="19" fillId="6" borderId="3" xfId="0" applyFont="1" applyFill="1" applyBorder="1" applyProtection="1">
      <protection hidden="1"/>
    </xf>
    <xf numFmtId="0" fontId="19" fillId="6" borderId="6" xfId="0" applyFont="1" applyFill="1" applyBorder="1" applyProtection="1">
      <protection hidden="1"/>
    </xf>
    <xf numFmtId="0" fontId="54" fillId="2" borderId="7" xfId="0" applyFont="1" applyFill="1" applyBorder="1" applyAlignment="1" applyProtection="1">
      <alignment horizontal="center"/>
      <protection hidden="1"/>
    </xf>
    <xf numFmtId="0" fontId="54" fillId="2" borderId="0" xfId="0" applyFont="1" applyFill="1" applyAlignment="1" applyProtection="1">
      <alignment horizontal="right"/>
      <protection hidden="1"/>
    </xf>
    <xf numFmtId="0" fontId="131" fillId="5" borderId="7" xfId="0" applyFont="1" applyFill="1" applyBorder="1" applyAlignment="1" applyProtection="1">
      <alignment horizontal="right"/>
      <protection hidden="1"/>
    </xf>
    <xf numFmtId="3" fontId="17" fillId="3" borderId="8" xfId="0" applyNumberFormat="1" applyFont="1" applyFill="1" applyBorder="1" applyProtection="1">
      <protection hidden="1"/>
    </xf>
    <xf numFmtId="3" fontId="55" fillId="7" borderId="0" xfId="0" applyNumberFormat="1" applyFont="1" applyFill="1" applyAlignment="1" applyProtection="1">
      <alignment horizontal="left" vertical="center"/>
      <protection hidden="1"/>
    </xf>
    <xf numFmtId="3" fontId="43" fillId="7" borderId="0" xfId="0" applyNumberFormat="1" applyFont="1" applyFill="1" applyAlignment="1" applyProtection="1">
      <alignment horizontal="center"/>
      <protection hidden="1"/>
    </xf>
    <xf numFmtId="3" fontId="17" fillId="8" borderId="12" xfId="0" applyNumberFormat="1" applyFont="1" applyFill="1" applyBorder="1" applyAlignment="1" applyProtection="1">
      <alignment horizontal="center"/>
      <protection locked="0"/>
    </xf>
    <xf numFmtId="3" fontId="17" fillId="0" borderId="0" xfId="0" applyNumberFormat="1" applyFont="1" applyProtection="1">
      <protection hidden="1"/>
    </xf>
    <xf numFmtId="0" fontId="89" fillId="7" borderId="0" xfId="0" applyFont="1" applyFill="1" applyAlignment="1" applyProtection="1">
      <alignment horizontal="center"/>
      <protection hidden="1"/>
    </xf>
    <xf numFmtId="0" fontId="29" fillId="7" borderId="0" xfId="0" applyFont="1" applyFill="1" applyProtection="1">
      <protection hidden="1"/>
    </xf>
    <xf numFmtId="0" fontId="46" fillId="5" borderId="19" xfId="0" applyFont="1" applyFill="1" applyBorder="1" applyProtection="1">
      <protection hidden="1"/>
    </xf>
    <xf numFmtId="0" fontId="46" fillId="5" borderId="3" xfId="0" applyFont="1" applyFill="1" applyBorder="1" applyProtection="1">
      <protection hidden="1"/>
    </xf>
    <xf numFmtId="0" fontId="46" fillId="5" borderId="6" xfId="0" applyFont="1" applyFill="1" applyBorder="1" applyProtection="1">
      <protection hidden="1"/>
    </xf>
    <xf numFmtId="0" fontId="96" fillId="7" borderId="0" xfId="0" applyFont="1" applyFill="1" applyProtection="1">
      <protection hidden="1"/>
    </xf>
    <xf numFmtId="0" fontId="78" fillId="7" borderId="0" xfId="0" applyFont="1" applyFill="1" applyAlignment="1" applyProtection="1">
      <alignment horizontal="left"/>
      <protection hidden="1"/>
    </xf>
    <xf numFmtId="3" fontId="17" fillId="4" borderId="12" xfId="0" applyNumberFormat="1" applyFont="1" applyFill="1" applyBorder="1" applyAlignment="1" applyProtection="1">
      <alignment horizontal="right" wrapText="1"/>
      <protection hidden="1"/>
    </xf>
    <xf numFmtId="0" fontId="19" fillId="4" borderId="12" xfId="0" applyFont="1" applyFill="1" applyBorder="1" applyAlignment="1" applyProtection="1">
      <alignment horizontal="right"/>
      <protection hidden="1"/>
    </xf>
    <xf numFmtId="3" fontId="17" fillId="4" borderId="12" xfId="0" applyNumberFormat="1" applyFont="1" applyFill="1" applyBorder="1" applyAlignment="1" applyProtection="1">
      <alignment horizontal="center" vertical="center" wrapText="1"/>
      <protection hidden="1"/>
    </xf>
    <xf numFmtId="0" fontId="141" fillId="2" borderId="0" xfId="0" applyFont="1" applyFill="1" applyAlignment="1" applyProtection="1">
      <alignment vertical="center"/>
      <protection hidden="1"/>
    </xf>
    <xf numFmtId="3" fontId="17" fillId="4" borderId="12" xfId="0" applyNumberFormat="1" applyFont="1" applyFill="1" applyBorder="1" applyAlignment="1" applyProtection="1">
      <alignment horizontal="right" vertical="center" wrapText="1"/>
      <protection hidden="1"/>
    </xf>
    <xf numFmtId="0" fontId="136" fillId="2" borderId="0" xfId="0" applyFont="1" applyFill="1" applyAlignment="1" applyProtection="1">
      <alignment horizontal="center" vertical="center"/>
      <protection hidden="1"/>
    </xf>
    <xf numFmtId="0" fontId="17" fillId="4" borderId="18" xfId="0" applyFont="1" applyFill="1" applyBorder="1" applyAlignment="1" applyProtection="1">
      <alignment horizontal="left" vertical="center" wrapText="1"/>
      <protection hidden="1"/>
    </xf>
    <xf numFmtId="0" fontId="136" fillId="2" borderId="0" xfId="0" applyFont="1" applyFill="1" applyProtection="1">
      <protection hidden="1"/>
    </xf>
    <xf numFmtId="0" fontId="136" fillId="2" borderId="0" xfId="0" applyFont="1" applyFill="1" applyAlignment="1" applyProtection="1">
      <alignment horizontal="left" vertical="center"/>
      <protection hidden="1"/>
    </xf>
    <xf numFmtId="0" fontId="142" fillId="2" borderId="0" xfId="0" applyFont="1" applyFill="1" applyAlignment="1" applyProtection="1">
      <alignment horizontal="right" vertical="center"/>
      <protection hidden="1"/>
    </xf>
    <xf numFmtId="3" fontId="55" fillId="10" borderId="9" xfId="0" applyNumberFormat="1" applyFont="1" applyFill="1" applyBorder="1" applyAlignment="1" applyProtection="1">
      <alignment vertical="center"/>
      <protection hidden="1"/>
    </xf>
    <xf numFmtId="0" fontId="50" fillId="2" borderId="1" xfId="0" applyFont="1" applyFill="1" applyBorder="1" applyProtection="1">
      <protection hidden="1"/>
    </xf>
    <xf numFmtId="0" fontId="73" fillId="2" borderId="10" xfId="0" applyFont="1" applyFill="1" applyBorder="1" applyAlignment="1" applyProtection="1">
      <alignment vertical="center"/>
      <protection hidden="1"/>
    </xf>
    <xf numFmtId="0" fontId="36" fillId="2" borderId="1" xfId="0" applyFont="1" applyFill="1" applyBorder="1"/>
    <xf numFmtId="0" fontId="43" fillId="2" borderId="9" xfId="0" applyFont="1" applyFill="1" applyBorder="1" applyAlignment="1" applyProtection="1">
      <alignment horizontal="left"/>
      <protection hidden="1"/>
    </xf>
    <xf numFmtId="165" fontId="36" fillId="2" borderId="0" xfId="0" applyNumberFormat="1" applyFont="1" applyFill="1" applyAlignment="1" applyProtection="1">
      <alignment horizontal="left"/>
      <protection hidden="1"/>
    </xf>
    <xf numFmtId="0" fontId="29" fillId="2" borderId="1" xfId="0" applyFont="1" applyFill="1" applyBorder="1" applyAlignment="1" applyProtection="1">
      <alignment horizontal="left"/>
      <protection hidden="1"/>
    </xf>
    <xf numFmtId="3" fontId="49" fillId="2" borderId="20" xfId="0" applyNumberFormat="1" applyFont="1" applyFill="1" applyBorder="1" applyAlignment="1" applyProtection="1">
      <alignment horizontal="center" vertical="center"/>
      <protection hidden="1"/>
    </xf>
    <xf numFmtId="0" fontId="62" fillId="2" borderId="20" xfId="0" applyFont="1" applyFill="1" applyBorder="1" applyAlignment="1" applyProtection="1">
      <alignment horizontal="center"/>
      <protection hidden="1"/>
    </xf>
    <xf numFmtId="0" fontId="62" fillId="3" borderId="8" xfId="0" applyFont="1" applyFill="1" applyBorder="1" applyAlignment="1" applyProtection="1">
      <alignment horizontal="center"/>
      <protection hidden="1"/>
    </xf>
    <xf numFmtId="0" fontId="43" fillId="2" borderId="0" xfId="0" applyFont="1" applyFill="1" applyAlignment="1" applyProtection="1">
      <alignment horizontal="right" vertical="center"/>
      <protection hidden="1"/>
    </xf>
    <xf numFmtId="0" fontId="134" fillId="2" borderId="0" xfId="0" applyFont="1" applyFill="1" applyAlignment="1" applyProtection="1">
      <alignment vertical="center"/>
      <protection hidden="1"/>
    </xf>
    <xf numFmtId="0" fontId="19" fillId="5" borderId="7" xfId="0" applyFont="1" applyFill="1" applyBorder="1" applyAlignment="1" applyProtection="1">
      <alignment vertical="center"/>
      <protection hidden="1"/>
    </xf>
    <xf numFmtId="0" fontId="89" fillId="5" borderId="8" xfId="0" applyFont="1" applyFill="1" applyBorder="1" applyAlignment="1" applyProtection="1">
      <alignment horizontal="center" vertical="center"/>
      <protection hidden="1"/>
    </xf>
    <xf numFmtId="3" fontId="22" fillId="5" borderId="9" xfId="0" applyNumberFormat="1" applyFont="1" applyFill="1" applyBorder="1" applyAlignment="1" applyProtection="1">
      <alignment vertical="center"/>
      <protection hidden="1"/>
    </xf>
    <xf numFmtId="3" fontId="22" fillId="5" borderId="12" xfId="0" applyNumberFormat="1" applyFont="1" applyFill="1" applyBorder="1" applyAlignment="1" applyProtection="1">
      <alignment vertical="center"/>
      <protection hidden="1"/>
    </xf>
    <xf numFmtId="0" fontId="105" fillId="2" borderId="0" xfId="0" applyFont="1" applyFill="1" applyAlignment="1" applyProtection="1">
      <alignment horizontal="left" vertical="center"/>
      <protection hidden="1"/>
    </xf>
    <xf numFmtId="3" fontId="76" fillId="2" borderId="0" xfId="0" applyNumberFormat="1" applyFont="1" applyFill="1" applyAlignment="1" applyProtection="1">
      <alignment horizontal="right" vertical="top"/>
      <protection hidden="1"/>
    </xf>
    <xf numFmtId="166" fontId="22" fillId="6" borderId="12" xfId="0" applyNumberFormat="1" applyFont="1" applyFill="1" applyBorder="1" applyAlignment="1" applyProtection="1">
      <alignment horizontal="right" vertical="center"/>
      <protection hidden="1"/>
    </xf>
    <xf numFmtId="0" fontId="29" fillId="2" borderId="5" xfId="0" applyFont="1" applyFill="1" applyBorder="1" applyProtection="1">
      <protection hidden="1"/>
    </xf>
    <xf numFmtId="0" fontId="89" fillId="2" borderId="12" xfId="0" applyFont="1" applyFill="1" applyBorder="1" applyAlignment="1" applyProtection="1">
      <alignment horizontal="center" vertical="center"/>
      <protection hidden="1"/>
    </xf>
    <xf numFmtId="0" fontId="50" fillId="12" borderId="0" xfId="0" applyFont="1" applyFill="1" applyAlignment="1" applyProtection="1">
      <alignment wrapText="1"/>
      <protection hidden="1"/>
    </xf>
    <xf numFmtId="0" fontId="51" fillId="12" borderId="0" xfId="0" applyFont="1" applyFill="1" applyAlignment="1">
      <alignment horizontal="center" vertical="center"/>
    </xf>
    <xf numFmtId="0" fontId="51" fillId="12" borderId="0" xfId="0" applyFont="1" applyFill="1" applyProtection="1">
      <protection hidden="1"/>
    </xf>
    <xf numFmtId="0" fontId="17" fillId="2" borderId="7" xfId="0" applyFont="1" applyFill="1" applyBorder="1" applyProtection="1">
      <protection hidden="1"/>
    </xf>
    <xf numFmtId="3" fontId="19" fillId="8" borderId="0" xfId="0" applyNumberFormat="1" applyFont="1" applyFill="1" applyAlignment="1" applyProtection="1">
      <alignment horizontal="center" vertical="center" wrapText="1"/>
      <protection hidden="1"/>
    </xf>
    <xf numFmtId="0" fontId="151" fillId="12" borderId="0" xfId="0" applyFont="1" applyFill="1" applyAlignment="1" applyProtection="1">
      <alignment vertical="center"/>
      <protection hidden="1"/>
    </xf>
    <xf numFmtId="0" fontId="19" fillId="8" borderId="0" xfId="0" applyFont="1" applyFill="1"/>
    <xf numFmtId="0" fontId="146" fillId="8" borderId="0" xfId="0" applyFont="1" applyFill="1"/>
    <xf numFmtId="3" fontId="19" fillId="8" borderId="0" xfId="0" applyNumberFormat="1" applyFont="1" applyFill="1"/>
    <xf numFmtId="3" fontId="152" fillId="2" borderId="0" xfId="0" applyNumberFormat="1" applyFont="1" applyFill="1" applyAlignment="1" applyProtection="1">
      <alignment horizontal="left" vertical="center" wrapText="1"/>
      <protection hidden="1"/>
    </xf>
    <xf numFmtId="0" fontId="153" fillId="2" borderId="0" xfId="0" applyFont="1" applyFill="1" applyProtection="1">
      <protection hidden="1"/>
    </xf>
    <xf numFmtId="0" fontId="153" fillId="0" borderId="0" xfId="0" applyFont="1" applyProtection="1">
      <protection hidden="1"/>
    </xf>
    <xf numFmtId="0" fontId="153" fillId="2" borderId="0" xfId="0" applyFont="1" applyFill="1" applyAlignment="1" applyProtection="1">
      <alignment horizontal="center" vertical="center" wrapText="1"/>
      <protection hidden="1"/>
    </xf>
    <xf numFmtId="3" fontId="157" fillId="0" borderId="12" xfId="0" applyNumberFormat="1" applyFont="1" applyBorder="1" applyProtection="1">
      <protection locked="0"/>
    </xf>
    <xf numFmtId="0" fontId="153" fillId="2" borderId="0" xfId="0" applyFont="1" applyFill="1" applyAlignment="1" applyProtection="1">
      <alignment horizontal="right"/>
      <protection hidden="1"/>
    </xf>
    <xf numFmtId="0" fontId="153" fillId="8" borderId="12" xfId="0" applyFont="1" applyFill="1" applyBorder="1" applyAlignment="1" applyProtection="1">
      <alignment horizontal="center" vertical="center"/>
      <protection locked="0"/>
    </xf>
    <xf numFmtId="0" fontId="159" fillId="2" borderId="0" xfId="0" applyFont="1" applyFill="1" applyAlignment="1" applyProtection="1">
      <alignment vertical="center"/>
      <protection hidden="1"/>
    </xf>
    <xf numFmtId="0" fontId="157" fillId="2" borderId="0" xfId="0" applyFont="1" applyFill="1" applyProtection="1">
      <protection hidden="1"/>
    </xf>
    <xf numFmtId="0" fontId="158" fillId="2" borderId="0" xfId="0" applyFont="1" applyFill="1" applyAlignment="1" applyProtection="1">
      <alignment horizontal="right"/>
      <protection hidden="1"/>
    </xf>
    <xf numFmtId="0" fontId="160" fillId="2" borderId="0" xfId="0" applyFont="1" applyFill="1" applyAlignment="1" applyProtection="1">
      <alignment vertical="center"/>
      <protection hidden="1"/>
    </xf>
    <xf numFmtId="0" fontId="157" fillId="2" borderId="0" xfId="0" applyFont="1" applyFill="1" applyAlignment="1" applyProtection="1">
      <alignment horizontal="right"/>
      <protection hidden="1"/>
    </xf>
    <xf numFmtId="0" fontId="13" fillId="2" borderId="0" xfId="0" applyFont="1" applyFill="1" applyProtection="1">
      <protection hidden="1"/>
    </xf>
    <xf numFmtId="0" fontId="161" fillId="2" borderId="0" xfId="0" applyFont="1" applyFill="1" applyProtection="1">
      <protection hidden="1"/>
    </xf>
    <xf numFmtId="0" fontId="157" fillId="0" borderId="12" xfId="0" applyFont="1" applyBorder="1" applyProtection="1">
      <protection locked="0"/>
    </xf>
    <xf numFmtId="0" fontId="157" fillId="8" borderId="12" xfId="0" applyFont="1" applyFill="1" applyBorder="1" applyAlignment="1" applyProtection="1">
      <alignment horizontal="center" vertical="center"/>
      <protection locked="0"/>
    </xf>
    <xf numFmtId="165" fontId="22" fillId="4" borderId="0" xfId="0" applyNumberFormat="1" applyFont="1" applyFill="1" applyAlignment="1" applyProtection="1">
      <alignment horizontal="right"/>
      <protection hidden="1"/>
    </xf>
    <xf numFmtId="0" fontId="162" fillId="0" borderId="0" xfId="0" applyFont="1"/>
    <xf numFmtId="14" fontId="153" fillId="0" borderId="0" xfId="0" applyNumberFormat="1" applyFont="1" applyProtection="1">
      <protection hidden="1"/>
    </xf>
    <xf numFmtId="1" fontId="153" fillId="0" borderId="0" xfId="0" applyNumberFormat="1" applyFont="1" applyProtection="1">
      <protection hidden="1"/>
    </xf>
    <xf numFmtId="0" fontId="157" fillId="0" borderId="12" xfId="0" applyFont="1" applyBorder="1" applyAlignment="1" applyProtection="1">
      <alignment horizontal="center" vertical="center"/>
      <protection locked="0"/>
    </xf>
    <xf numFmtId="14" fontId="157" fillId="0" borderId="12" xfId="0" applyNumberFormat="1" applyFont="1" applyBorder="1" applyAlignment="1" applyProtection="1">
      <alignment horizontal="center" vertical="center"/>
      <protection locked="0"/>
    </xf>
    <xf numFmtId="3" fontId="157" fillId="0" borderId="12" xfId="0" applyNumberFormat="1" applyFont="1" applyBorder="1" applyAlignment="1" applyProtection="1">
      <alignment horizontal="center" vertical="center"/>
      <protection locked="0"/>
    </xf>
    <xf numFmtId="0" fontId="159" fillId="2" borderId="0" xfId="0" applyFont="1" applyFill="1" applyAlignment="1" applyProtection="1">
      <alignment horizontal="left" vertical="center"/>
      <protection hidden="1"/>
    </xf>
    <xf numFmtId="0" fontId="159" fillId="2" borderId="0" xfId="0" applyFont="1" applyFill="1" applyAlignment="1" applyProtection="1">
      <alignment horizontal="center" vertical="center"/>
      <protection hidden="1"/>
    </xf>
    <xf numFmtId="0" fontId="156" fillId="2" borderId="0" xfId="0" applyFont="1" applyFill="1" applyAlignment="1" applyProtection="1">
      <alignment horizontal="right"/>
      <protection hidden="1"/>
    </xf>
    <xf numFmtId="0" fontId="157" fillId="2" borderId="0" xfId="0" applyFont="1" applyFill="1" applyAlignment="1" applyProtection="1">
      <alignment horizontal="center" vertical="center"/>
      <protection hidden="1"/>
    </xf>
    <xf numFmtId="9" fontId="153" fillId="0" borderId="0" xfId="0" applyNumberFormat="1" applyFont="1" applyProtection="1">
      <protection hidden="1"/>
    </xf>
    <xf numFmtId="0" fontId="149" fillId="2" borderId="0" xfId="0" applyFont="1" applyFill="1" applyProtection="1">
      <protection hidden="1"/>
    </xf>
    <xf numFmtId="0" fontId="0" fillId="0" borderId="0" xfId="0" applyProtection="1">
      <protection hidden="1"/>
    </xf>
    <xf numFmtId="0" fontId="154" fillId="6" borderId="10" xfId="0" applyFont="1" applyFill="1" applyBorder="1" applyProtection="1">
      <protection hidden="1"/>
    </xf>
    <xf numFmtId="0" fontId="153" fillId="6" borderId="10" xfId="0" applyFont="1" applyFill="1" applyBorder="1" applyProtection="1">
      <protection hidden="1"/>
    </xf>
    <xf numFmtId="0" fontId="153" fillId="6" borderId="3" xfId="0" applyFont="1" applyFill="1" applyBorder="1" applyProtection="1">
      <protection hidden="1"/>
    </xf>
    <xf numFmtId="0" fontId="155" fillId="6" borderId="4" xfId="0" applyFont="1" applyFill="1" applyBorder="1" applyAlignment="1" applyProtection="1">
      <alignment vertical="center"/>
      <protection hidden="1"/>
    </xf>
    <xf numFmtId="0" fontId="155" fillId="6" borderId="5" xfId="0" applyFont="1" applyFill="1" applyBorder="1" applyAlignment="1" applyProtection="1">
      <alignment vertical="center"/>
      <protection hidden="1"/>
    </xf>
    <xf numFmtId="0" fontId="153" fillId="6" borderId="5" xfId="0" applyFont="1" applyFill="1" applyBorder="1" applyProtection="1">
      <protection hidden="1"/>
    </xf>
    <xf numFmtId="0" fontId="153" fillId="6" borderId="6" xfId="0" applyFont="1" applyFill="1" applyBorder="1" applyProtection="1">
      <protection hidden="1"/>
    </xf>
    <xf numFmtId="0" fontId="156" fillId="6" borderId="12" xfId="0" applyFont="1" applyFill="1" applyBorder="1" applyAlignment="1" applyProtection="1">
      <alignment vertical="center"/>
      <protection hidden="1"/>
    </xf>
    <xf numFmtId="0" fontId="156" fillId="6" borderId="12" xfId="0" applyFont="1" applyFill="1" applyBorder="1" applyAlignment="1" applyProtection="1">
      <alignment horizontal="center" vertical="center" wrapText="1"/>
      <protection hidden="1"/>
    </xf>
    <xf numFmtId="0" fontId="158" fillId="6" borderId="12" xfId="0" applyFont="1" applyFill="1" applyBorder="1" applyProtection="1">
      <protection hidden="1"/>
    </xf>
    <xf numFmtId="3" fontId="157" fillId="6" borderId="12" xfId="0" applyNumberFormat="1" applyFont="1" applyFill="1" applyBorder="1" applyProtection="1">
      <protection hidden="1"/>
    </xf>
    <xf numFmtId="3" fontId="156" fillId="6" borderId="12" xfId="0" applyNumberFormat="1" applyFont="1" applyFill="1" applyBorder="1" applyAlignment="1" applyProtection="1">
      <alignment horizontal="right" vertical="center"/>
      <protection hidden="1"/>
    </xf>
    <xf numFmtId="0" fontId="153" fillId="6" borderId="7" xfId="0" applyFont="1" applyFill="1" applyBorder="1" applyProtection="1">
      <protection hidden="1"/>
    </xf>
    <xf numFmtId="0" fontId="153" fillId="6" borderId="8" xfId="0" applyFont="1" applyFill="1" applyBorder="1" applyProtection="1">
      <protection hidden="1"/>
    </xf>
    <xf numFmtId="9" fontId="157" fillId="6" borderId="12" xfId="0" applyNumberFormat="1" applyFont="1" applyFill="1" applyBorder="1" applyAlignment="1" applyProtection="1">
      <alignment horizontal="center" vertical="center"/>
      <protection hidden="1"/>
    </xf>
    <xf numFmtId="0" fontId="156" fillId="6" borderId="12" xfId="0" applyFont="1" applyFill="1" applyBorder="1" applyProtection="1">
      <protection hidden="1"/>
    </xf>
    <xf numFmtId="3" fontId="156" fillId="6" borderId="12" xfId="0" applyNumberFormat="1" applyFont="1" applyFill="1" applyBorder="1" applyProtection="1">
      <protection hidden="1"/>
    </xf>
    <xf numFmtId="0" fontId="165" fillId="2" borderId="0" xfId="0" applyFont="1" applyFill="1" applyAlignment="1" applyProtection="1">
      <alignment horizontal="left" vertical="center"/>
      <protection hidden="1"/>
    </xf>
    <xf numFmtId="0" fontId="165" fillId="2" borderId="0" xfId="0" applyFont="1" applyFill="1" applyAlignment="1" applyProtection="1">
      <alignment horizontal="center" vertical="top"/>
      <protection hidden="1"/>
    </xf>
    <xf numFmtId="0" fontId="165" fillId="2" borderId="0" xfId="0" applyFont="1" applyFill="1" applyAlignment="1" applyProtection="1">
      <alignment vertical="center"/>
      <protection hidden="1"/>
    </xf>
    <xf numFmtId="0" fontId="166" fillId="2" borderId="0" xfId="0" applyFont="1" applyFill="1" applyProtection="1">
      <protection hidden="1"/>
    </xf>
    <xf numFmtId="0" fontId="147" fillId="8" borderId="12" xfId="0" applyFont="1" applyFill="1" applyBorder="1" applyAlignment="1" applyProtection="1">
      <alignment horizontal="center" vertical="center"/>
      <protection locked="0"/>
    </xf>
    <xf numFmtId="0" fontId="150" fillId="2" borderId="0" xfId="0" applyFont="1" applyFill="1" applyProtection="1">
      <protection hidden="1"/>
    </xf>
    <xf numFmtId="166" fontId="40" fillId="0" borderId="0" xfId="0" applyNumberFormat="1" applyFont="1" applyProtection="1">
      <protection hidden="1"/>
    </xf>
    <xf numFmtId="0" fontId="40" fillId="0" borderId="0" xfId="0" applyFont="1" applyProtection="1">
      <protection hidden="1"/>
    </xf>
    <xf numFmtId="0" fontId="17" fillId="0" borderId="0" xfId="0" applyFont="1" applyAlignment="1" applyProtection="1">
      <alignment vertical="center"/>
      <protection hidden="1"/>
    </xf>
    <xf numFmtId="1" fontId="19" fillId="0" borderId="0" xfId="0" applyNumberFormat="1" applyFont="1" applyAlignment="1" applyProtection="1">
      <alignment vertical="center"/>
      <protection hidden="1"/>
    </xf>
    <xf numFmtId="0" fontId="19" fillId="0" borderId="0" xfId="0" applyFont="1" applyAlignment="1">
      <alignment vertical="center"/>
    </xf>
    <xf numFmtId="0" fontId="167" fillId="0" borderId="0" xfId="0" applyFont="1" applyProtection="1">
      <protection hidden="1"/>
    </xf>
    <xf numFmtId="0" fontId="78" fillId="0" borderId="0" xfId="0" applyFont="1" applyProtection="1">
      <protection hidden="1"/>
    </xf>
    <xf numFmtId="0" fontId="87" fillId="0" borderId="0" xfId="0" applyFont="1" applyProtection="1">
      <protection hidden="1"/>
    </xf>
    <xf numFmtId="0" fontId="17" fillId="0" borderId="0" xfId="0" applyFont="1" applyAlignment="1" applyProtection="1">
      <alignment horizontal="right"/>
      <protection hidden="1"/>
    </xf>
    <xf numFmtId="0" fontId="14" fillId="0" borderId="0" xfId="0" applyFont="1" applyProtection="1">
      <protection hidden="1"/>
    </xf>
    <xf numFmtId="0" fontId="62" fillId="0" borderId="0" xfId="0" applyFont="1" applyAlignment="1" applyProtection="1">
      <alignment horizontal="left"/>
      <protection hidden="1"/>
    </xf>
    <xf numFmtId="0" fontId="17" fillId="6" borderId="10" xfId="0" applyFont="1" applyFill="1" applyBorder="1" applyProtection="1">
      <protection hidden="1"/>
    </xf>
    <xf numFmtId="0" fontId="17" fillId="6" borderId="5" xfId="0" applyFont="1" applyFill="1" applyBorder="1" applyProtection="1">
      <protection hidden="1"/>
    </xf>
    <xf numFmtId="3" fontId="17" fillId="6" borderId="5" xfId="0" applyNumberFormat="1" applyFont="1" applyFill="1" applyBorder="1" applyProtection="1">
      <protection hidden="1"/>
    </xf>
    <xf numFmtId="3" fontId="96" fillId="7" borderId="0" xfId="0" applyNumberFormat="1" applyFont="1" applyFill="1" applyAlignment="1" applyProtection="1">
      <alignment horizontal="left" vertical="center"/>
      <protection hidden="1"/>
    </xf>
    <xf numFmtId="3" fontId="28" fillId="7" borderId="0" xfId="0" applyNumberFormat="1" applyFont="1" applyFill="1" applyAlignment="1" applyProtection="1">
      <alignment horizontal="left" vertical="center"/>
      <protection hidden="1"/>
    </xf>
    <xf numFmtId="3" fontId="19" fillId="7" borderId="0" xfId="0" applyNumberFormat="1" applyFont="1" applyFill="1" applyAlignment="1" applyProtection="1">
      <alignment horizontal="right" vertical="center"/>
      <protection hidden="1"/>
    </xf>
    <xf numFmtId="0" fontId="78" fillId="7" borderId="0" xfId="0" applyFont="1" applyFill="1" applyAlignment="1" applyProtection="1">
      <alignment horizontal="center" vertical="center"/>
      <protection hidden="1"/>
    </xf>
    <xf numFmtId="0" fontId="78" fillId="7" borderId="0" xfId="0" applyFont="1" applyFill="1" applyAlignment="1" applyProtection="1">
      <alignment horizontal="center"/>
      <protection hidden="1"/>
    </xf>
    <xf numFmtId="0" fontId="78" fillId="7" borderId="0" xfId="0" applyFont="1" applyFill="1" applyAlignment="1" applyProtection="1">
      <alignment horizontal="right" vertical="center"/>
      <protection hidden="1"/>
    </xf>
    <xf numFmtId="3" fontId="69" fillId="7" borderId="0" xfId="0" applyNumberFormat="1" applyFont="1" applyFill="1" applyAlignment="1" applyProtection="1">
      <alignment horizontal="center"/>
      <protection hidden="1"/>
    </xf>
    <xf numFmtId="0" fontId="131" fillId="7" borderId="0" xfId="0" applyFont="1" applyFill="1" applyAlignment="1" applyProtection="1">
      <alignment horizontal="center"/>
      <protection hidden="1"/>
    </xf>
    <xf numFmtId="3" fontId="22" fillId="0" borderId="12" xfId="0" applyNumberFormat="1" applyFont="1" applyBorder="1" applyProtection="1">
      <protection hidden="1"/>
    </xf>
    <xf numFmtId="0" fontId="64" fillId="0" borderId="0" xfId="0" applyFont="1" applyProtection="1">
      <protection hidden="1"/>
    </xf>
    <xf numFmtId="0" fontId="64" fillId="0" borderId="0" xfId="0" applyFont="1" applyProtection="1">
      <protection locked="0"/>
    </xf>
    <xf numFmtId="0" fontId="28" fillId="4" borderId="10" xfId="0" applyFont="1" applyFill="1" applyBorder="1" applyProtection="1">
      <protection hidden="1"/>
    </xf>
    <xf numFmtId="0" fontId="28" fillId="4" borderId="3" xfId="0" applyFont="1" applyFill="1" applyBorder="1" applyProtection="1">
      <protection hidden="1"/>
    </xf>
    <xf numFmtId="0" fontId="28" fillId="4" borderId="5" xfId="0" applyFont="1" applyFill="1" applyBorder="1" applyProtection="1">
      <protection hidden="1"/>
    </xf>
    <xf numFmtId="0" fontId="28" fillId="4" borderId="6" xfId="0" applyFont="1" applyFill="1" applyBorder="1" applyProtection="1">
      <protection hidden="1"/>
    </xf>
    <xf numFmtId="0" fontId="28" fillId="4" borderId="7" xfId="0" applyFont="1" applyFill="1" applyBorder="1" applyProtection="1">
      <protection hidden="1"/>
    </xf>
    <xf numFmtId="0" fontId="28" fillId="4" borderId="8" xfId="0" applyFont="1" applyFill="1" applyBorder="1" applyProtection="1">
      <protection hidden="1"/>
    </xf>
    <xf numFmtId="0" fontId="17" fillId="7" borderId="0" xfId="0" applyFont="1" applyFill="1" applyAlignment="1" applyProtection="1">
      <alignment horizontal="left" vertical="center" wrapText="1"/>
      <protection hidden="1"/>
    </xf>
    <xf numFmtId="0" fontId="171" fillId="0" borderId="0" xfId="0" applyFont="1" applyProtection="1">
      <protection hidden="1"/>
    </xf>
    <xf numFmtId="3" fontId="17" fillId="0" borderId="8" xfId="0" applyNumberFormat="1" applyFont="1" applyBorder="1" applyProtection="1">
      <protection locked="0"/>
    </xf>
    <xf numFmtId="3" fontId="17" fillId="4" borderId="8" xfId="0" applyNumberFormat="1" applyFont="1" applyFill="1" applyBorder="1" applyProtection="1">
      <protection hidden="1"/>
    </xf>
    <xf numFmtId="0" fontId="17" fillId="4" borderId="7" xfId="0" applyFont="1" applyFill="1" applyBorder="1" applyProtection="1">
      <protection hidden="1"/>
    </xf>
    <xf numFmtId="3" fontId="42" fillId="0" borderId="0" xfId="0" applyNumberFormat="1" applyFont="1" applyAlignment="1" applyProtection="1">
      <alignment horizontal="left" vertical="center"/>
      <protection hidden="1"/>
    </xf>
    <xf numFmtId="3" fontId="69" fillId="0" borderId="0" xfId="0" applyNumberFormat="1" applyFont="1" applyAlignment="1" applyProtection="1">
      <alignment horizontal="center"/>
      <protection hidden="1"/>
    </xf>
    <xf numFmtId="0" fontId="78" fillId="0" borderId="0" xfId="0" applyFont="1" applyAlignment="1" applyProtection="1">
      <alignment horizontal="left"/>
      <protection hidden="1"/>
    </xf>
    <xf numFmtId="0" fontId="38" fillId="0" borderId="0" xfId="0" applyFont="1" applyProtection="1">
      <protection hidden="1"/>
    </xf>
    <xf numFmtId="0" fontId="24" fillId="0" borderId="0" xfId="0" applyFont="1" applyAlignment="1" applyProtection="1">
      <alignment horizontal="justify" vertical="top" wrapText="1"/>
      <protection hidden="1"/>
    </xf>
    <xf numFmtId="0" fontId="17" fillId="0" borderId="3" xfId="0" applyFont="1" applyBorder="1" applyAlignment="1" applyProtection="1">
      <alignment horizontal="center"/>
      <protection hidden="1"/>
    </xf>
    <xf numFmtId="0" fontId="39" fillId="0" borderId="4" xfId="0" applyFont="1" applyBorder="1" applyAlignment="1" applyProtection="1">
      <alignment horizontal="left" vertical="center"/>
      <protection hidden="1"/>
    </xf>
    <xf numFmtId="1" fontId="28" fillId="0" borderId="5" xfId="0" applyNumberFormat="1" applyFont="1" applyBorder="1" applyAlignment="1" applyProtection="1">
      <alignment horizontal="center"/>
      <protection hidden="1"/>
    </xf>
    <xf numFmtId="0" fontId="39" fillId="0" borderId="5" xfId="0" applyFont="1" applyBorder="1" applyProtection="1">
      <protection hidden="1"/>
    </xf>
    <xf numFmtId="0" fontId="17" fillId="0" borderId="6" xfId="0" applyFont="1" applyBorder="1" applyAlignment="1" applyProtection="1">
      <alignment horizontal="center"/>
      <protection hidden="1"/>
    </xf>
    <xf numFmtId="0" fontId="66" fillId="0" borderId="10" xfId="0" applyFont="1" applyBorder="1" applyAlignment="1" applyProtection="1">
      <alignment horizontal="left" vertical="center"/>
      <protection hidden="1"/>
    </xf>
    <xf numFmtId="0" fontId="29" fillId="0" borderId="0" xfId="0" applyFont="1" applyAlignment="1" applyProtection="1">
      <alignment horizontal="left" vertical="center"/>
      <protection hidden="1"/>
    </xf>
    <xf numFmtId="0" fontId="67" fillId="0" borderId="0" xfId="0" applyFont="1" applyAlignment="1" applyProtection="1">
      <alignment vertical="center"/>
      <protection hidden="1"/>
    </xf>
    <xf numFmtId="0" fontId="69" fillId="0" borderId="0" xfId="0" applyFont="1" applyAlignment="1" applyProtection="1">
      <alignment horizontal="center"/>
      <protection hidden="1"/>
    </xf>
    <xf numFmtId="0" fontId="18" fillId="0" borderId="0" xfId="0" applyFont="1" applyAlignment="1" applyProtection="1">
      <alignment horizontal="center"/>
      <protection hidden="1"/>
    </xf>
    <xf numFmtId="0" fontId="112" fillId="0" borderId="0" xfId="0" applyFont="1" applyAlignment="1" applyProtection="1">
      <alignment horizontal="center"/>
      <protection hidden="1"/>
    </xf>
    <xf numFmtId="0" fontId="113" fillId="0" borderId="0" xfId="0" applyFont="1" applyProtection="1">
      <protection hidden="1"/>
    </xf>
    <xf numFmtId="0" fontId="123" fillId="0" borderId="0" xfId="0" applyFont="1" applyAlignment="1">
      <alignment horizontal="center"/>
    </xf>
    <xf numFmtId="0" fontId="123" fillId="0" borderId="0" xfId="0" applyFont="1"/>
    <xf numFmtId="0" fontId="169" fillId="0" borderId="0" xfId="0" applyFont="1" applyAlignment="1" applyProtection="1">
      <alignment horizontal="center"/>
      <protection hidden="1"/>
    </xf>
    <xf numFmtId="0" fontId="168" fillId="0" borderId="0" xfId="0" applyFont="1" applyProtection="1">
      <protection hidden="1"/>
    </xf>
    <xf numFmtId="0" fontId="124" fillId="0" borderId="0" xfId="0" applyFont="1" applyAlignment="1">
      <alignment horizontal="center"/>
    </xf>
    <xf numFmtId="0" fontId="125" fillId="0" borderId="0" xfId="0" applyFont="1"/>
    <xf numFmtId="0" fontId="20" fillId="0" borderId="0" xfId="0" applyFont="1" applyAlignment="1" applyProtection="1">
      <alignment horizontal="center"/>
      <protection hidden="1"/>
    </xf>
    <xf numFmtId="0" fontId="39" fillId="0" borderId="0" xfId="0" applyFont="1" applyAlignment="1" applyProtection="1">
      <alignment horizontal="center"/>
      <protection hidden="1"/>
    </xf>
    <xf numFmtId="3" fontId="20" fillId="0" borderId="0" xfId="0" applyNumberFormat="1" applyFont="1" applyAlignment="1" applyProtection="1">
      <alignment horizontal="center"/>
      <protection hidden="1"/>
    </xf>
    <xf numFmtId="1" fontId="39" fillId="0" borderId="0" xfId="0" applyNumberFormat="1" applyFont="1" applyAlignment="1" applyProtection="1">
      <alignment horizontal="center"/>
      <protection hidden="1"/>
    </xf>
    <xf numFmtId="1" fontId="39" fillId="0" borderId="0" xfId="0" applyNumberFormat="1" applyFont="1" applyAlignment="1" applyProtection="1">
      <alignment horizontal="center" vertical="center"/>
      <protection hidden="1"/>
    </xf>
    <xf numFmtId="0" fontId="24" fillId="0" borderId="19" xfId="0" applyFont="1" applyBorder="1" applyAlignment="1" applyProtection="1">
      <alignment horizontal="center" vertical="top"/>
      <protection hidden="1"/>
    </xf>
    <xf numFmtId="0" fontId="19" fillId="0" borderId="3" xfId="0" applyFont="1" applyBorder="1" applyProtection="1">
      <protection hidden="1"/>
    </xf>
    <xf numFmtId="0" fontId="24" fillId="0" borderId="1" xfId="0" applyFont="1" applyBorder="1" applyAlignment="1" applyProtection="1">
      <alignment horizontal="center" vertical="top"/>
      <protection hidden="1"/>
    </xf>
    <xf numFmtId="0" fontId="24" fillId="0" borderId="0" xfId="0" applyFont="1" applyAlignment="1" applyProtection="1">
      <alignment horizontal="left"/>
      <protection hidden="1"/>
    </xf>
    <xf numFmtId="0" fontId="24" fillId="0" borderId="0" xfId="0" applyFont="1" applyProtection="1">
      <protection hidden="1"/>
    </xf>
    <xf numFmtId="0" fontId="19" fillId="0" borderId="4" xfId="0" applyFont="1" applyBorder="1" applyProtection="1">
      <protection hidden="1"/>
    </xf>
    <xf numFmtId="0" fontId="19" fillId="0" borderId="5" xfId="0" applyFont="1" applyBorder="1" applyProtection="1">
      <protection hidden="1"/>
    </xf>
    <xf numFmtId="0" fontId="19" fillId="0" borderId="6" xfId="0" applyFont="1" applyBorder="1" applyProtection="1">
      <protection hidden="1"/>
    </xf>
    <xf numFmtId="0" fontId="26" fillId="0" borderId="0" xfId="0" applyFont="1" applyAlignment="1" applyProtection="1">
      <alignment horizontal="left"/>
      <protection hidden="1"/>
    </xf>
    <xf numFmtId="0" fontId="14" fillId="0" borderId="0" xfId="0" applyFont="1" applyAlignment="1" applyProtection="1">
      <alignment horizontal="left"/>
      <protection hidden="1"/>
    </xf>
    <xf numFmtId="0" fontId="28" fillId="0" borderId="0" xfId="0" applyFont="1" applyProtection="1">
      <protection hidden="1"/>
    </xf>
    <xf numFmtId="0" fontId="22" fillId="0" borderId="12" xfId="0" applyFont="1" applyBorder="1" applyAlignment="1" applyProtection="1">
      <alignment horizontal="left" vertical="top"/>
      <protection hidden="1"/>
    </xf>
    <xf numFmtId="0" fontId="17" fillId="0" borderId="12" xfId="0" applyFont="1" applyBorder="1" applyAlignment="1">
      <alignment horizontal="center"/>
    </xf>
    <xf numFmtId="0" fontId="22" fillId="0" borderId="12" xfId="0" applyFont="1" applyBorder="1" applyAlignment="1" applyProtection="1">
      <alignment vertical="top"/>
      <protection hidden="1"/>
    </xf>
    <xf numFmtId="0" fontId="76" fillId="0" borderId="12" xfId="0" applyFont="1" applyBorder="1" applyAlignment="1" applyProtection="1">
      <alignment horizontal="left" vertical="top"/>
      <protection hidden="1"/>
    </xf>
    <xf numFmtId="0" fontId="77" fillId="0" borderId="12" xfId="0" applyFont="1" applyBorder="1" applyAlignment="1">
      <alignment horizontal="center"/>
    </xf>
    <xf numFmtId="0" fontId="22" fillId="0" borderId="12" xfId="0" applyFont="1" applyBorder="1" applyAlignment="1" applyProtection="1">
      <alignment horizontal="left" vertical="center"/>
      <protection hidden="1"/>
    </xf>
    <xf numFmtId="0" fontId="22" fillId="0" borderId="12" xfId="0" applyFont="1" applyBorder="1" applyAlignment="1" applyProtection="1">
      <alignment vertical="center"/>
      <protection hidden="1"/>
    </xf>
    <xf numFmtId="0" fontId="22" fillId="0" borderId="12" xfId="0" applyFont="1" applyBorder="1" applyProtection="1">
      <protection hidden="1"/>
    </xf>
    <xf numFmtId="0" fontId="22" fillId="0" borderId="12" xfId="0" applyFont="1" applyBorder="1" applyAlignment="1" applyProtection="1">
      <alignment horizontal="left"/>
      <protection hidden="1"/>
    </xf>
    <xf numFmtId="0" fontId="76" fillId="0" borderId="12" xfId="0" applyFont="1" applyBorder="1" applyProtection="1">
      <protection hidden="1"/>
    </xf>
    <xf numFmtId="0" fontId="73" fillId="0" borderId="12" xfId="0" applyFont="1" applyBorder="1" applyProtection="1">
      <protection hidden="1"/>
    </xf>
    <xf numFmtId="0" fontId="74" fillId="0" borderId="12" xfId="0" applyFont="1" applyBorder="1" applyAlignment="1">
      <alignment horizontal="center"/>
    </xf>
    <xf numFmtId="0" fontId="73" fillId="0" borderId="9" xfId="0" applyFont="1" applyBorder="1" applyAlignment="1" applyProtection="1">
      <alignment horizontal="left" vertical="top"/>
      <protection hidden="1"/>
    </xf>
    <xf numFmtId="0" fontId="74" fillId="0" borderId="8" xfId="0" applyFont="1" applyBorder="1" applyAlignment="1" applyProtection="1">
      <alignment horizontal="center"/>
      <protection hidden="1"/>
    </xf>
    <xf numFmtId="0" fontId="75" fillId="0" borderId="12" xfId="0" applyFont="1" applyBorder="1" applyAlignment="1" applyProtection="1">
      <alignment vertical="top" wrapText="1"/>
      <protection hidden="1"/>
    </xf>
    <xf numFmtId="0" fontId="75" fillId="0" borderId="9" xfId="0" applyFont="1" applyBorder="1" applyAlignment="1" applyProtection="1">
      <alignment horizontal="left" vertical="top"/>
      <protection hidden="1"/>
    </xf>
    <xf numFmtId="0" fontId="76" fillId="0" borderId="12" xfId="0" applyFont="1" applyBorder="1" applyAlignment="1" applyProtection="1">
      <alignment horizontal="left"/>
      <protection hidden="1"/>
    </xf>
    <xf numFmtId="0" fontId="75" fillId="0" borderId="21" xfId="0" applyFont="1" applyBorder="1" applyAlignment="1" applyProtection="1">
      <alignment horizontal="left" vertical="top"/>
      <protection hidden="1"/>
    </xf>
    <xf numFmtId="0" fontId="74" fillId="0" borderId="21" xfId="0" applyFont="1" applyBorder="1" applyAlignment="1">
      <alignment horizontal="center"/>
    </xf>
    <xf numFmtId="0" fontId="76" fillId="0" borderId="18" xfId="0" applyFont="1" applyBorder="1" applyAlignment="1" applyProtection="1">
      <alignment horizontal="left" vertical="top"/>
      <protection hidden="1"/>
    </xf>
    <xf numFmtId="0" fontId="77" fillId="0" borderId="18" xfId="0" applyFont="1" applyBorder="1" applyAlignment="1">
      <alignment horizontal="center"/>
    </xf>
    <xf numFmtId="0" fontId="27" fillId="0" borderId="0" xfId="0" applyFont="1" applyAlignment="1" applyProtection="1">
      <alignment horizontal="center"/>
      <protection hidden="1"/>
    </xf>
    <xf numFmtId="0" fontId="37" fillId="0" borderId="0" xfId="0" applyFont="1" applyAlignment="1" applyProtection="1">
      <alignment horizontal="center"/>
      <protection hidden="1"/>
    </xf>
    <xf numFmtId="0" fontId="22" fillId="0" borderId="9" xfId="0" applyFont="1" applyBorder="1" applyAlignment="1" applyProtection="1">
      <alignment horizontal="justify" vertical="center" wrapText="1"/>
      <protection hidden="1"/>
    </xf>
    <xf numFmtId="0" fontId="22" fillId="0" borderId="9" xfId="0" applyFont="1" applyBorder="1" applyAlignment="1" applyProtection="1">
      <alignment horizontal="left" vertical="center"/>
      <protection hidden="1"/>
    </xf>
    <xf numFmtId="0" fontId="76" fillId="0" borderId="9" xfId="0" applyFont="1" applyBorder="1" applyAlignment="1" applyProtection="1">
      <alignment horizontal="left" vertical="center"/>
      <protection hidden="1"/>
    </xf>
    <xf numFmtId="0" fontId="22" fillId="0" borderId="9" xfId="0" applyFont="1" applyBorder="1" applyAlignment="1" applyProtection="1">
      <alignment vertical="center"/>
      <protection hidden="1"/>
    </xf>
    <xf numFmtId="0" fontId="22" fillId="0" borderId="9" xfId="0" applyFont="1" applyBorder="1" applyProtection="1">
      <protection hidden="1"/>
    </xf>
    <xf numFmtId="0" fontId="76" fillId="0" borderId="9" xfId="0" applyFont="1" applyBorder="1" applyAlignment="1" applyProtection="1">
      <alignment vertical="center"/>
      <protection hidden="1"/>
    </xf>
    <xf numFmtId="0" fontId="69" fillId="0" borderId="9" xfId="0" applyFont="1" applyBorder="1" applyAlignment="1" applyProtection="1">
      <alignment vertical="center"/>
      <protection hidden="1"/>
    </xf>
    <xf numFmtId="0" fontId="69" fillId="0" borderId="12" xfId="0" applyFont="1" applyBorder="1" applyAlignment="1">
      <alignment vertical="center"/>
    </xf>
    <xf numFmtId="0" fontId="79" fillId="0" borderId="9" xfId="0" applyFont="1" applyBorder="1" applyAlignment="1" applyProtection="1">
      <alignment vertical="center"/>
      <protection hidden="1"/>
    </xf>
    <xf numFmtId="0" fontId="79" fillId="0" borderId="12" xfId="0" applyFont="1" applyBorder="1" applyAlignment="1" applyProtection="1">
      <alignment vertical="center"/>
      <protection hidden="1"/>
    </xf>
    <xf numFmtId="168" fontId="22" fillId="0" borderId="9" xfId="0" applyNumberFormat="1" applyFont="1" applyBorder="1" applyAlignment="1" applyProtection="1">
      <alignment vertical="center"/>
      <protection hidden="1"/>
    </xf>
    <xf numFmtId="0" fontId="22" fillId="0" borderId="4" xfId="0" applyFont="1" applyBorder="1" applyAlignment="1" applyProtection="1">
      <alignment vertical="center"/>
      <protection hidden="1"/>
    </xf>
    <xf numFmtId="0" fontId="69" fillId="0" borderId="12" xfId="0" applyFont="1" applyBorder="1" applyAlignment="1" applyProtection="1">
      <alignment vertical="center"/>
      <protection hidden="1"/>
    </xf>
    <xf numFmtId="0" fontId="76" fillId="0" borderId="4" xfId="0" applyFont="1" applyBorder="1" applyAlignment="1" applyProtection="1">
      <alignment horizontal="left" vertical="center"/>
      <protection hidden="1"/>
    </xf>
    <xf numFmtId="166" fontId="17" fillId="0" borderId="12" xfId="0" applyNumberFormat="1" applyFont="1" applyBorder="1" applyProtection="1">
      <protection hidden="1"/>
    </xf>
    <xf numFmtId="0" fontId="69" fillId="0" borderId="1" xfId="0" applyFont="1" applyBorder="1" applyAlignment="1" applyProtection="1">
      <alignment vertical="center"/>
      <protection hidden="1"/>
    </xf>
    <xf numFmtId="0" fontId="69" fillId="0" borderId="20" xfId="0" applyFont="1" applyBorder="1" applyAlignment="1" applyProtection="1">
      <alignment vertical="center"/>
      <protection hidden="1"/>
    </xf>
    <xf numFmtId="0" fontId="69" fillId="0" borderId="8" xfId="0" applyFont="1" applyBorder="1" applyAlignment="1" applyProtection="1">
      <alignment vertical="center"/>
      <protection hidden="1"/>
    </xf>
    <xf numFmtId="0" fontId="17" fillId="0" borderId="4" xfId="0" applyFont="1" applyBorder="1" applyAlignment="1" applyProtection="1">
      <alignment vertical="center"/>
      <protection hidden="1"/>
    </xf>
    <xf numFmtId="0" fontId="0" fillId="7" borderId="0" xfId="0" applyFill="1"/>
    <xf numFmtId="0" fontId="22" fillId="0" borderId="19" xfId="0" applyFont="1" applyBorder="1" applyAlignment="1" applyProtection="1">
      <alignment vertical="center"/>
      <protection hidden="1"/>
    </xf>
    <xf numFmtId="0" fontId="17" fillId="0" borderId="21" xfId="0" applyFont="1" applyBorder="1" applyAlignment="1">
      <alignment horizontal="center"/>
    </xf>
    <xf numFmtId="0" fontId="17" fillId="0" borderId="9" xfId="0" applyFont="1" applyBorder="1" applyAlignment="1" applyProtection="1">
      <alignment vertical="center"/>
      <protection hidden="1"/>
    </xf>
    <xf numFmtId="0" fontId="17" fillId="0" borderId="9" xfId="0" applyFont="1" applyBorder="1" applyProtection="1">
      <protection hidden="1"/>
    </xf>
    <xf numFmtId="0" fontId="37" fillId="7" borderId="0" xfId="0" applyFont="1" applyFill="1" applyAlignment="1" applyProtection="1">
      <alignment horizontal="center"/>
      <protection hidden="1"/>
    </xf>
    <xf numFmtId="0" fontId="19" fillId="4" borderId="19" xfId="0" applyFont="1" applyFill="1" applyBorder="1" applyProtection="1">
      <protection hidden="1"/>
    </xf>
    <xf numFmtId="0" fontId="19" fillId="4" borderId="4" xfId="0" applyFont="1" applyFill="1" applyBorder="1" applyProtection="1">
      <protection hidden="1"/>
    </xf>
    <xf numFmtId="0" fontId="12" fillId="0" borderId="0" xfId="0" applyFont="1"/>
    <xf numFmtId="0" fontId="19" fillId="6" borderId="19" xfId="0" applyFont="1" applyFill="1" applyBorder="1" applyProtection="1">
      <protection hidden="1"/>
    </xf>
    <xf numFmtId="0" fontId="19" fillId="6" borderId="4" xfId="0" applyFont="1" applyFill="1" applyBorder="1" applyProtection="1">
      <protection hidden="1"/>
    </xf>
    <xf numFmtId="3" fontId="19" fillId="7" borderId="0" xfId="0" applyNumberFormat="1" applyFont="1" applyFill="1" applyAlignment="1" applyProtection="1">
      <alignment horizontal="left" vertical="center"/>
      <protection hidden="1"/>
    </xf>
    <xf numFmtId="3" fontId="19" fillId="0" borderId="1" xfId="0" applyNumberFormat="1" applyFont="1" applyBorder="1" applyProtection="1">
      <protection hidden="1"/>
    </xf>
    <xf numFmtId="3" fontId="61" fillId="0" borderId="1" xfId="0" applyNumberFormat="1" applyFont="1" applyBorder="1" applyAlignment="1" applyProtection="1">
      <alignment horizontal="left"/>
      <protection hidden="1"/>
    </xf>
    <xf numFmtId="3" fontId="73" fillId="0" borderId="1" xfId="0" applyNumberFormat="1" applyFont="1" applyBorder="1" applyProtection="1">
      <protection hidden="1"/>
    </xf>
    <xf numFmtId="1" fontId="17" fillId="0" borderId="0" xfId="0" applyNumberFormat="1" applyFont="1" applyAlignment="1" applyProtection="1">
      <alignment horizontal="right"/>
      <protection hidden="1"/>
    </xf>
    <xf numFmtId="3" fontId="19" fillId="0" borderId="2" xfId="0" applyNumberFormat="1" applyFont="1" applyBorder="1" applyAlignment="1" applyProtection="1">
      <alignment horizontal="right"/>
      <protection hidden="1"/>
    </xf>
    <xf numFmtId="3" fontId="25" fillId="0" borderId="2" xfId="0" applyNumberFormat="1" applyFont="1" applyBorder="1" applyProtection="1">
      <protection hidden="1"/>
    </xf>
    <xf numFmtId="3" fontId="19" fillId="0" borderId="16" xfId="0" applyNumberFormat="1" applyFont="1" applyBorder="1" applyProtection="1">
      <protection hidden="1"/>
    </xf>
    <xf numFmtId="3" fontId="19" fillId="0" borderId="28" xfId="0" applyNumberFormat="1" applyFont="1" applyBorder="1" applyAlignment="1" applyProtection="1">
      <alignment horizontal="right"/>
      <protection hidden="1"/>
    </xf>
    <xf numFmtId="3" fontId="17" fillId="0" borderId="1" xfId="0" applyNumberFormat="1" applyFont="1" applyBorder="1" applyAlignment="1" applyProtection="1">
      <alignment horizontal="left"/>
      <protection hidden="1"/>
    </xf>
    <xf numFmtId="0" fontId="22" fillId="0" borderId="0" xfId="0" applyFont="1" applyAlignment="1" applyProtection="1">
      <alignment horizontal="right"/>
      <protection hidden="1"/>
    </xf>
    <xf numFmtId="0" fontId="28" fillId="5" borderId="19" xfId="0" applyFont="1" applyFill="1" applyBorder="1" applyProtection="1">
      <protection hidden="1"/>
    </xf>
    <xf numFmtId="0" fontId="172" fillId="0" borderId="0" xfId="0" applyFont="1"/>
    <xf numFmtId="0" fontId="161" fillId="0" borderId="0" xfId="0" applyFont="1"/>
    <xf numFmtId="0" fontId="19" fillId="0" borderId="0" xfId="0" applyFont="1" applyAlignment="1" applyProtection="1">
      <alignment horizontal="right" wrapText="1"/>
      <protection hidden="1"/>
    </xf>
    <xf numFmtId="0" fontId="78" fillId="0" borderId="0" xfId="0" quotePrefix="1" applyFont="1" applyAlignment="1" applyProtection="1">
      <alignment horizontal="left"/>
      <protection hidden="1"/>
    </xf>
    <xf numFmtId="0" fontId="78" fillId="0" borderId="0" xfId="0" applyFont="1" applyAlignment="1" applyProtection="1">
      <alignment horizontal="left" vertical="center"/>
      <protection hidden="1"/>
    </xf>
    <xf numFmtId="0" fontId="78" fillId="0" borderId="0" xfId="0" applyFont="1" applyAlignment="1" applyProtection="1">
      <alignment horizontal="center" vertical="center"/>
      <protection hidden="1"/>
    </xf>
    <xf numFmtId="0" fontId="79" fillId="0" borderId="0" xfId="0" applyFont="1" applyAlignment="1" applyProtection="1">
      <alignment horizontal="center"/>
      <protection hidden="1"/>
    </xf>
    <xf numFmtId="0" fontId="78" fillId="0" borderId="0" xfId="0" quotePrefix="1" applyFont="1" applyProtection="1">
      <protection hidden="1"/>
    </xf>
    <xf numFmtId="0" fontId="42" fillId="0" borderId="0" xfId="0" applyFont="1" applyAlignment="1" applyProtection="1">
      <alignment horizontal="center"/>
      <protection hidden="1"/>
    </xf>
    <xf numFmtId="0" fontId="46" fillId="6" borderId="10" xfId="0" applyFont="1" applyFill="1" applyBorder="1" applyProtection="1">
      <protection hidden="1"/>
    </xf>
    <xf numFmtId="0" fontId="46" fillId="6" borderId="3" xfId="0" applyFont="1" applyFill="1" applyBorder="1" applyProtection="1">
      <protection hidden="1"/>
    </xf>
    <xf numFmtId="0" fontId="19" fillId="6" borderId="1" xfId="0" applyFont="1" applyFill="1" applyBorder="1" applyProtection="1">
      <protection hidden="1"/>
    </xf>
    <xf numFmtId="0" fontId="46" fillId="6" borderId="0" xfId="0" applyFont="1" applyFill="1" applyProtection="1">
      <protection hidden="1"/>
    </xf>
    <xf numFmtId="0" fontId="46" fillId="6" borderId="2" xfId="0" applyFont="1" applyFill="1" applyBorder="1" applyProtection="1">
      <protection hidden="1"/>
    </xf>
    <xf numFmtId="0" fontId="46" fillId="6" borderId="5" xfId="0" applyFont="1" applyFill="1" applyBorder="1" applyProtection="1">
      <protection hidden="1"/>
    </xf>
    <xf numFmtId="0" fontId="46" fillId="6" borderId="6" xfId="0" applyFont="1" applyFill="1" applyBorder="1" applyProtection="1">
      <protection hidden="1"/>
    </xf>
    <xf numFmtId="3" fontId="17" fillId="4" borderId="8" xfId="0" applyNumberFormat="1" applyFont="1" applyFill="1" applyBorder="1" applyAlignment="1" applyProtection="1">
      <alignment horizontal="center"/>
      <protection hidden="1"/>
    </xf>
    <xf numFmtId="0" fontId="0" fillId="0" borderId="0" xfId="0" applyAlignment="1">
      <alignment horizontal="right"/>
    </xf>
    <xf numFmtId="0" fontId="0" fillId="4" borderId="9" xfId="0" applyFill="1" applyBorder="1"/>
    <xf numFmtId="0" fontId="0" fillId="4" borderId="7" xfId="0" applyFill="1" applyBorder="1"/>
    <xf numFmtId="0" fontId="0" fillId="4" borderId="8" xfId="0" applyFill="1" applyBorder="1"/>
    <xf numFmtId="0" fontId="173" fillId="0" borderId="0" xfId="0" applyFont="1" applyAlignment="1">
      <alignment horizontal="right"/>
    </xf>
    <xf numFmtId="0" fontId="173" fillId="0" borderId="0" xfId="0" applyFont="1"/>
    <xf numFmtId="0" fontId="0" fillId="4" borderId="19" xfId="0" applyFill="1" applyBorder="1"/>
    <xf numFmtId="0" fontId="0" fillId="4" borderId="10" xfId="0" applyFill="1" applyBorder="1"/>
    <xf numFmtId="0" fontId="0" fillId="4" borderId="3" xfId="0" applyFill="1" applyBorder="1"/>
    <xf numFmtId="0" fontId="0" fillId="4" borderId="1" xfId="0" applyFill="1" applyBorder="1"/>
    <xf numFmtId="0" fontId="0" fillId="4" borderId="0" xfId="0" applyFill="1"/>
    <xf numFmtId="0" fontId="0" fillId="4" borderId="2" xfId="0" applyFill="1" applyBorder="1"/>
    <xf numFmtId="0" fontId="0" fillId="4" borderId="4" xfId="0" applyFill="1" applyBorder="1"/>
    <xf numFmtId="0" fontId="0" fillId="4" borderId="5" xfId="0" applyFill="1" applyBorder="1"/>
    <xf numFmtId="0" fontId="0" fillId="4" borderId="6" xfId="0" applyFill="1" applyBorder="1"/>
    <xf numFmtId="0" fontId="174" fillId="0" borderId="0" xfId="0" applyFont="1"/>
    <xf numFmtId="0" fontId="0" fillId="6" borderId="7" xfId="0" applyFill="1" applyBorder="1"/>
    <xf numFmtId="0" fontId="0" fillId="6" borderId="8" xfId="0" applyFill="1" applyBorder="1"/>
    <xf numFmtId="3" fontId="175" fillId="0" borderId="0" xfId="0" applyNumberFormat="1" applyFont="1"/>
    <xf numFmtId="0" fontId="0" fillId="6" borderId="18" xfId="0" applyFill="1" applyBorder="1" applyAlignment="1">
      <alignment horizontal="center" wrapText="1"/>
    </xf>
    <xf numFmtId="0" fontId="176" fillId="4" borderId="9" xfId="0" applyFont="1" applyFill="1" applyBorder="1"/>
    <xf numFmtId="0" fontId="176" fillId="4" borderId="7" xfId="0" applyFont="1" applyFill="1" applyBorder="1"/>
    <xf numFmtId="0" fontId="0" fillId="0" borderId="0" xfId="0" applyAlignment="1">
      <alignment vertical="center"/>
    </xf>
    <xf numFmtId="0" fontId="0" fillId="6" borderId="12" xfId="0" applyFill="1" applyBorder="1" applyAlignment="1">
      <alignment horizontal="center" vertical="center" wrapText="1"/>
    </xf>
    <xf numFmtId="0" fontId="0" fillId="6" borderId="8" xfId="0" applyFill="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1" xfId="0" applyBorder="1"/>
    <xf numFmtId="0" fontId="0" fillId="0" borderId="2" xfId="0" applyBorder="1"/>
    <xf numFmtId="0" fontId="0" fillId="6" borderId="12" xfId="0" applyFill="1" applyBorder="1" applyAlignment="1">
      <alignment horizontal="center"/>
    </xf>
    <xf numFmtId="0" fontId="0" fillId="6" borderId="9" xfId="0" applyFill="1" applyBorder="1" applyAlignment="1">
      <alignment vertical="center"/>
    </xf>
    <xf numFmtId="0" fontId="0" fillId="8" borderId="12" xfId="0" applyFill="1" applyBorder="1" applyAlignment="1" applyProtection="1">
      <alignment horizontal="center"/>
      <protection locked="0"/>
    </xf>
    <xf numFmtId="1" fontId="175" fillId="0" borderId="8" xfId="0" applyNumberFormat="1" applyFont="1" applyBorder="1" applyAlignment="1" applyProtection="1">
      <alignment horizontal="center" vertical="center"/>
      <protection locked="0"/>
    </xf>
    <xf numFmtId="1" fontId="175" fillId="0" borderId="12" xfId="0" applyNumberFormat="1" applyFont="1" applyBorder="1" applyAlignment="1" applyProtection="1">
      <alignment horizontal="center" vertical="center"/>
      <protection locked="0"/>
    </xf>
    <xf numFmtId="0" fontId="0" fillId="6" borderId="9" xfId="0" applyFill="1" applyBorder="1"/>
    <xf numFmtId="0" fontId="0" fillId="0" borderId="9" xfId="0" applyBorder="1"/>
    <xf numFmtId="0" fontId="0" fillId="0" borderId="7" xfId="0" applyBorder="1"/>
    <xf numFmtId="0" fontId="15" fillId="0" borderId="0" xfId="0" applyFont="1" applyAlignment="1" applyProtection="1">
      <alignment wrapText="1"/>
      <protection hidden="1"/>
    </xf>
    <xf numFmtId="0" fontId="15" fillId="0" borderId="0" xfId="0" applyFont="1" applyAlignment="1" applyProtection="1">
      <alignment horizontal="justify" vertical="center" wrapText="1"/>
      <protection hidden="1"/>
    </xf>
    <xf numFmtId="3" fontId="175" fillId="0" borderId="8" xfId="0" applyNumberFormat="1" applyFont="1" applyBorder="1" applyAlignment="1" applyProtection="1">
      <alignment horizontal="right" vertical="center"/>
      <protection locked="0"/>
    </xf>
    <xf numFmtId="1" fontId="0" fillId="0" borderId="0" xfId="0" applyNumberFormat="1"/>
    <xf numFmtId="0" fontId="25" fillId="0" borderId="0" xfId="0" quotePrefix="1" applyFont="1" applyProtection="1">
      <protection hidden="1"/>
    </xf>
    <xf numFmtId="3" fontId="153" fillId="0" borderId="0" xfId="0" quotePrefix="1" applyNumberFormat="1" applyFont="1" applyProtection="1">
      <protection hidden="1"/>
    </xf>
    <xf numFmtId="0" fontId="170" fillId="8" borderId="12" xfId="0" applyFont="1" applyFill="1" applyBorder="1" applyAlignment="1" applyProtection="1">
      <alignment horizontal="center"/>
      <protection locked="0"/>
    </xf>
    <xf numFmtId="3" fontId="175" fillId="0" borderId="12" xfId="0" applyNumberFormat="1" applyFont="1" applyBorder="1" applyAlignment="1" applyProtection="1">
      <alignment horizontal="right" vertical="center"/>
      <protection locked="0"/>
    </xf>
    <xf numFmtId="14" fontId="175" fillId="0" borderId="8" xfId="0" applyNumberFormat="1" applyFont="1" applyBorder="1" applyAlignment="1" applyProtection="1">
      <alignment horizontal="center" vertical="center"/>
      <protection locked="0"/>
    </xf>
    <xf numFmtId="0" fontId="174" fillId="0" borderId="0" xfId="0" applyFont="1" applyProtection="1">
      <protection hidden="1"/>
    </xf>
    <xf numFmtId="3" fontId="175" fillId="6" borderId="12" xfId="0" applyNumberFormat="1" applyFont="1" applyFill="1" applyBorder="1" applyProtection="1">
      <protection hidden="1"/>
    </xf>
    <xf numFmtId="14" fontId="175" fillId="0" borderId="12" xfId="0" applyNumberFormat="1" applyFont="1" applyBorder="1" applyAlignment="1" applyProtection="1">
      <alignment horizontal="center" vertical="center"/>
      <protection locked="0"/>
    </xf>
    <xf numFmtId="0" fontId="178" fillId="0" borderId="0" xfId="0" applyFont="1" applyAlignment="1">
      <alignment horizontal="center"/>
    </xf>
    <xf numFmtId="3" fontId="0" fillId="0" borderId="0" xfId="0" applyNumberFormat="1"/>
    <xf numFmtId="0" fontId="177" fillId="0" borderId="0" xfId="0" applyFont="1"/>
    <xf numFmtId="0" fontId="15" fillId="0" borderId="0" xfId="0" applyFont="1" applyAlignment="1" applyProtection="1">
      <alignment vertical="center" wrapText="1"/>
      <protection hidden="1"/>
    </xf>
    <xf numFmtId="0" fontId="179" fillId="0" borderId="0" xfId="0" applyFont="1" applyAlignment="1" applyProtection="1">
      <alignment horizontal="justify" vertical="center" wrapText="1"/>
      <protection hidden="1"/>
    </xf>
    <xf numFmtId="3" fontId="43" fillId="2" borderId="0" xfId="0" applyNumberFormat="1" applyFont="1" applyFill="1" applyAlignment="1" applyProtection="1">
      <alignment horizontal="left" vertical="center"/>
      <protection hidden="1"/>
    </xf>
    <xf numFmtId="3" fontId="55" fillId="7" borderId="0" xfId="0" applyNumberFormat="1" applyFont="1" applyFill="1" applyAlignment="1" applyProtection="1">
      <alignment horizontal="left" vertical="center" wrapText="1"/>
      <protection hidden="1"/>
    </xf>
    <xf numFmtId="3" fontId="55" fillId="0" borderId="0" xfId="0" applyNumberFormat="1" applyFont="1" applyAlignment="1" applyProtection="1">
      <alignment horizontal="left" vertical="center" wrapText="1"/>
      <protection hidden="1"/>
    </xf>
    <xf numFmtId="14" fontId="20" fillId="0" borderId="0" xfId="0" applyNumberFormat="1" applyFont="1" applyProtection="1">
      <protection hidden="1"/>
    </xf>
    <xf numFmtId="0" fontId="28" fillId="0" borderId="0" xfId="0" applyFont="1" applyAlignment="1" applyProtection="1">
      <alignment horizontal="left"/>
      <protection hidden="1"/>
    </xf>
    <xf numFmtId="0" fontId="157" fillId="0" borderId="0" xfId="0" applyFont="1" applyProtection="1">
      <protection hidden="1"/>
    </xf>
    <xf numFmtId="0" fontId="157" fillId="0" borderId="0" xfId="0" applyFont="1" applyAlignment="1" applyProtection="1">
      <alignment horizontal="center" vertical="center" wrapText="1"/>
      <protection hidden="1"/>
    </xf>
    <xf numFmtId="14" fontId="157" fillId="0" borderId="0" xfId="0" applyNumberFormat="1" applyFont="1" applyProtection="1">
      <protection hidden="1"/>
    </xf>
    <xf numFmtId="1" fontId="157" fillId="0" borderId="0" xfId="0" applyNumberFormat="1" applyFont="1" applyProtection="1">
      <protection hidden="1"/>
    </xf>
    <xf numFmtId="3" fontId="157" fillId="0" borderId="0" xfId="2" applyNumberFormat="1" applyFont="1" applyProtection="1">
      <protection hidden="1"/>
    </xf>
    <xf numFmtId="3" fontId="157" fillId="0" borderId="0" xfId="0" applyNumberFormat="1" applyFont="1" applyProtection="1">
      <protection hidden="1"/>
    </xf>
    <xf numFmtId="3" fontId="157" fillId="0" borderId="0" xfId="2" applyNumberFormat="1" applyFont="1" applyFill="1" applyProtection="1">
      <protection hidden="1"/>
    </xf>
    <xf numFmtId="0" fontId="157" fillId="0" borderId="7" xfId="0" applyFont="1" applyBorder="1" applyProtection="1">
      <protection hidden="1"/>
    </xf>
    <xf numFmtId="0" fontId="149" fillId="0" borderId="0" xfId="0" applyFont="1" applyProtection="1">
      <protection hidden="1"/>
    </xf>
    <xf numFmtId="9" fontId="157" fillId="0" borderId="0" xfId="0" applyNumberFormat="1" applyFont="1" applyProtection="1">
      <protection hidden="1"/>
    </xf>
    <xf numFmtId="0" fontId="12" fillId="0" borderId="0" xfId="0" applyFont="1" applyProtection="1">
      <protection hidden="1"/>
    </xf>
    <xf numFmtId="0" fontId="12" fillId="4" borderId="19" xfId="0" applyFont="1" applyFill="1" applyBorder="1" applyProtection="1">
      <protection hidden="1"/>
    </xf>
    <xf numFmtId="0" fontId="12" fillId="4" borderId="4" xfId="0" applyFont="1" applyFill="1" applyBorder="1" applyProtection="1">
      <protection hidden="1"/>
    </xf>
    <xf numFmtId="0" fontId="12" fillId="7" borderId="0" xfId="0" applyFont="1" applyFill="1" applyProtection="1">
      <protection hidden="1"/>
    </xf>
    <xf numFmtId="0" fontId="12" fillId="8" borderId="12" xfId="0" applyFont="1" applyFill="1" applyBorder="1" applyAlignment="1" applyProtection="1">
      <alignment horizontal="center"/>
      <protection locked="0"/>
    </xf>
    <xf numFmtId="0" fontId="12" fillId="4" borderId="12" xfId="0" applyFont="1" applyFill="1" applyBorder="1" applyAlignment="1" applyProtection="1">
      <alignment horizontal="center" vertical="center" wrapText="1"/>
      <protection hidden="1"/>
    </xf>
    <xf numFmtId="0" fontId="183" fillId="0" borderId="0" xfId="0" applyFont="1" applyProtection="1">
      <protection hidden="1"/>
    </xf>
    <xf numFmtId="0" fontId="12" fillId="4" borderId="9" xfId="0" applyFont="1" applyFill="1" applyBorder="1" applyProtection="1">
      <protection hidden="1"/>
    </xf>
    <xf numFmtId="0" fontId="12" fillId="4" borderId="7" xfId="0" applyFont="1" applyFill="1" applyBorder="1" applyProtection="1">
      <protection hidden="1"/>
    </xf>
    <xf numFmtId="0" fontId="12" fillId="17" borderId="0" xfId="0" applyFont="1" applyFill="1" applyProtection="1">
      <protection hidden="1"/>
    </xf>
    <xf numFmtId="0" fontId="17" fillId="17" borderId="0" xfId="0" applyFont="1" applyFill="1" applyProtection="1">
      <protection hidden="1"/>
    </xf>
    <xf numFmtId="0" fontId="62" fillId="17" borderId="0" xfId="0" applyFont="1" applyFill="1" applyAlignment="1" applyProtection="1">
      <alignment horizontal="right"/>
      <protection hidden="1"/>
    </xf>
    <xf numFmtId="20" fontId="14" fillId="0" borderId="0" xfId="0" applyNumberFormat="1" applyFont="1" applyProtection="1">
      <protection hidden="1"/>
    </xf>
    <xf numFmtId="20" fontId="12" fillId="0" borderId="0" xfId="0" applyNumberFormat="1" applyFont="1" applyProtection="1">
      <protection hidden="1"/>
    </xf>
    <xf numFmtId="0" fontId="12" fillId="4" borderId="10" xfId="0" applyFont="1" applyFill="1" applyBorder="1" applyProtection="1">
      <protection hidden="1"/>
    </xf>
    <xf numFmtId="0" fontId="12" fillId="4" borderId="4" xfId="0" applyFont="1" applyFill="1" applyBorder="1" applyAlignment="1" applyProtection="1">
      <alignment vertical="top"/>
      <protection hidden="1"/>
    </xf>
    <xf numFmtId="0" fontId="12" fillId="4" borderId="5" xfId="0" applyFont="1" applyFill="1" applyBorder="1" applyProtection="1">
      <protection hidden="1"/>
    </xf>
    <xf numFmtId="0" fontId="12" fillId="0" borderId="0" xfId="0" applyFont="1" applyAlignment="1" applyProtection="1">
      <alignment vertical="top"/>
      <protection hidden="1"/>
    </xf>
    <xf numFmtId="20" fontId="25" fillId="0" borderId="0" xfId="0" applyNumberFormat="1" applyFont="1" applyProtection="1">
      <protection hidden="1"/>
    </xf>
    <xf numFmtId="0" fontId="184" fillId="4" borderId="9" xfId="0" applyFont="1" applyFill="1" applyBorder="1" applyAlignment="1" applyProtection="1">
      <alignment vertical="top"/>
      <protection hidden="1"/>
    </xf>
    <xf numFmtId="0" fontId="12" fillId="4" borderId="7" xfId="0" applyFont="1" applyFill="1" applyBorder="1" applyAlignment="1" applyProtection="1">
      <alignment vertical="top"/>
      <protection hidden="1"/>
    </xf>
    <xf numFmtId="0" fontId="12" fillId="4" borderId="8" xfId="0" applyFont="1" applyFill="1" applyBorder="1" applyAlignment="1" applyProtection="1">
      <alignment vertical="top"/>
      <protection hidden="1"/>
    </xf>
    <xf numFmtId="0" fontId="12" fillId="4" borderId="9" xfId="0" applyFont="1" applyFill="1" applyBorder="1" applyAlignment="1" applyProtection="1">
      <alignment horizontal="center" vertical="center" wrapText="1"/>
      <protection hidden="1"/>
    </xf>
    <xf numFmtId="0" fontId="17" fillId="0" borderId="8" xfId="0" applyFont="1" applyBorder="1" applyAlignment="1" applyProtection="1">
      <alignment horizontal="center"/>
      <protection locked="0"/>
    </xf>
    <xf numFmtId="0" fontId="12" fillId="0" borderId="0" xfId="0" applyFont="1" applyAlignment="1" applyProtection="1">
      <alignment horizontal="right"/>
      <protection hidden="1"/>
    </xf>
    <xf numFmtId="14" fontId="12" fillId="0" borderId="0" xfId="0" applyNumberFormat="1" applyFont="1" applyProtection="1">
      <protection hidden="1"/>
    </xf>
    <xf numFmtId="1" fontId="12" fillId="0" borderId="0" xfId="0" applyNumberFormat="1" applyFont="1" applyProtection="1">
      <protection hidden="1"/>
    </xf>
    <xf numFmtId="20" fontId="17" fillId="0" borderId="0" xfId="0" applyNumberFormat="1" applyFont="1" applyProtection="1">
      <protection hidden="1"/>
    </xf>
    <xf numFmtId="0" fontId="17" fillId="4" borderId="10" xfId="0" applyFont="1" applyFill="1" applyBorder="1" applyProtection="1">
      <protection hidden="1"/>
    </xf>
    <xf numFmtId="0" fontId="17" fillId="4" borderId="3" xfId="0" applyFont="1" applyFill="1" applyBorder="1" applyProtection="1">
      <protection hidden="1"/>
    </xf>
    <xf numFmtId="2" fontId="12" fillId="0" borderId="0" xfId="0" applyNumberFormat="1" applyFont="1" applyProtection="1">
      <protection hidden="1"/>
    </xf>
    <xf numFmtId="0" fontId="17" fillId="4" borderId="5" xfId="0" applyFont="1" applyFill="1" applyBorder="1" applyProtection="1">
      <protection hidden="1"/>
    </xf>
    <xf numFmtId="0" fontId="17" fillId="4" borderId="6" xfId="0" applyFont="1" applyFill="1" applyBorder="1" applyProtection="1">
      <protection hidden="1"/>
    </xf>
    <xf numFmtId="0" fontId="12" fillId="0" borderId="0" xfId="0" applyFont="1" applyAlignment="1" applyProtection="1">
      <alignment horizontal="center"/>
      <protection hidden="1"/>
    </xf>
    <xf numFmtId="0" fontId="12" fillId="0" borderId="5" xfId="0" applyFont="1" applyBorder="1" applyProtection="1">
      <protection hidden="1"/>
    </xf>
    <xf numFmtId="0" fontId="87" fillId="0" borderId="0" xfId="0" applyFont="1" applyAlignment="1" applyProtection="1">
      <alignment horizontal="left"/>
      <protection hidden="1"/>
    </xf>
    <xf numFmtId="0" fontId="12" fillId="5" borderId="10" xfId="0" applyFont="1" applyFill="1" applyBorder="1" applyProtection="1">
      <protection hidden="1"/>
    </xf>
    <xf numFmtId="0" fontId="12" fillId="16" borderId="3" xfId="0" applyFont="1" applyFill="1" applyBorder="1" applyProtection="1">
      <protection hidden="1"/>
    </xf>
    <xf numFmtId="0" fontId="12" fillId="5" borderId="5" xfId="0" applyFont="1" applyFill="1" applyBorder="1" applyProtection="1">
      <protection hidden="1"/>
    </xf>
    <xf numFmtId="0" fontId="12" fillId="16" borderId="6" xfId="0" applyFont="1" applyFill="1" applyBorder="1" applyProtection="1">
      <protection hidden="1"/>
    </xf>
    <xf numFmtId="0" fontId="12" fillId="0" borderId="0" xfId="0" applyFont="1" applyAlignment="1" applyProtection="1">
      <alignment vertical="center"/>
      <protection hidden="1"/>
    </xf>
    <xf numFmtId="0" fontId="61" fillId="0" borderId="0" xfId="0" applyFont="1" applyAlignment="1" applyProtection="1">
      <alignment horizontal="left" vertical="center"/>
      <protection hidden="1"/>
    </xf>
    <xf numFmtId="0" fontId="12" fillId="0" borderId="0" xfId="0" applyFont="1" applyAlignment="1" applyProtection="1">
      <alignment wrapText="1"/>
      <protection hidden="1"/>
    </xf>
    <xf numFmtId="0" fontId="131" fillId="4" borderId="8" xfId="0" applyFont="1" applyFill="1" applyBorder="1" applyAlignment="1" applyProtection="1">
      <alignment horizontal="right"/>
      <protection hidden="1"/>
    </xf>
    <xf numFmtId="0" fontId="12" fillId="2" borderId="0" xfId="0" applyFont="1" applyFill="1" applyProtection="1">
      <protection hidden="1"/>
    </xf>
    <xf numFmtId="0" fontId="12" fillId="2" borderId="12" xfId="0" applyFont="1" applyFill="1" applyBorder="1" applyProtection="1">
      <protection hidden="1"/>
    </xf>
    <xf numFmtId="0" fontId="12" fillId="2" borderId="0" xfId="0" applyFont="1" applyFill="1"/>
    <xf numFmtId="0" fontId="12" fillId="7" borderId="7" xfId="0" applyFont="1" applyFill="1" applyBorder="1" applyProtection="1">
      <protection hidden="1"/>
    </xf>
    <xf numFmtId="177" fontId="17" fillId="0" borderId="0" xfId="2" applyNumberFormat="1" applyFont="1" applyFill="1" applyBorder="1" applyProtection="1">
      <protection hidden="1"/>
    </xf>
    <xf numFmtId="0" fontId="19" fillId="18" borderId="12" xfId="0" applyFont="1" applyFill="1" applyBorder="1" applyAlignment="1" applyProtection="1">
      <alignment horizontal="center"/>
      <protection locked="0"/>
    </xf>
    <xf numFmtId="9" fontId="19" fillId="0" borderId="0" xfId="3" applyFont="1" applyProtection="1">
      <protection hidden="1"/>
    </xf>
    <xf numFmtId="0" fontId="19" fillId="17" borderId="0" xfId="0" applyFont="1" applyFill="1" applyProtection="1">
      <protection hidden="1"/>
    </xf>
    <xf numFmtId="0" fontId="96" fillId="17" borderId="0" xfId="0" applyFont="1" applyFill="1" applyProtection="1">
      <protection hidden="1"/>
    </xf>
    <xf numFmtId="0" fontId="78" fillId="17" borderId="0" xfId="0" applyFont="1" applyFill="1" applyAlignment="1" applyProtection="1">
      <alignment horizontal="left"/>
      <protection hidden="1"/>
    </xf>
    <xf numFmtId="0" fontId="17" fillId="17" borderId="0" xfId="0" applyFont="1" applyFill="1" applyAlignment="1" applyProtection="1">
      <alignment horizontal="right"/>
      <protection hidden="1"/>
    </xf>
    <xf numFmtId="0" fontId="19" fillId="17" borderId="0" xfId="0" applyFont="1" applyFill="1" applyAlignment="1" applyProtection="1">
      <alignment horizontal="right"/>
      <protection hidden="1"/>
    </xf>
    <xf numFmtId="3" fontId="19" fillId="17" borderId="0" xfId="0" applyNumberFormat="1" applyFont="1" applyFill="1" applyProtection="1">
      <protection hidden="1"/>
    </xf>
    <xf numFmtId="0" fontId="19" fillId="17" borderId="0" xfId="0" applyFont="1" applyFill="1" applyAlignment="1" applyProtection="1">
      <alignment horizontal="left"/>
      <protection hidden="1"/>
    </xf>
    <xf numFmtId="0" fontId="78" fillId="17" borderId="0" xfId="0" applyFont="1" applyFill="1" applyProtection="1">
      <protection hidden="1"/>
    </xf>
    <xf numFmtId="0" fontId="17" fillId="17" borderId="0" xfId="0" applyFont="1" applyFill="1" applyAlignment="1" applyProtection="1">
      <alignment horizontal="left" vertical="center"/>
      <protection hidden="1"/>
    </xf>
    <xf numFmtId="0" fontId="22" fillId="17" borderId="0" xfId="0" applyFont="1" applyFill="1" applyAlignment="1" applyProtection="1">
      <alignment horizontal="left" vertical="center"/>
      <protection hidden="1"/>
    </xf>
    <xf numFmtId="0" fontId="17" fillId="17" borderId="0" xfId="0" applyFont="1" applyFill="1" applyAlignment="1" applyProtection="1">
      <alignment horizontal="left" vertical="center" wrapText="1"/>
      <protection hidden="1"/>
    </xf>
    <xf numFmtId="0" fontId="22" fillId="17" borderId="0" xfId="0" applyFont="1" applyFill="1" applyAlignment="1" applyProtection="1">
      <alignment vertical="center" wrapText="1"/>
      <protection hidden="1"/>
    </xf>
    <xf numFmtId="0" fontId="51" fillId="17" borderId="0" xfId="0" applyFont="1" applyFill="1" applyAlignment="1" applyProtection="1">
      <alignment vertical="center"/>
      <protection hidden="1"/>
    </xf>
    <xf numFmtId="0" fontId="78" fillId="17" borderId="0" xfId="0" applyFont="1" applyFill="1" applyAlignment="1" applyProtection="1">
      <alignment horizontal="left" vertical="center"/>
      <protection hidden="1"/>
    </xf>
    <xf numFmtId="0" fontId="86" fillId="17" borderId="0" xfId="0" applyFont="1" applyFill="1" applyAlignment="1" applyProtection="1">
      <alignment horizontal="right"/>
      <protection hidden="1"/>
    </xf>
    <xf numFmtId="0" fontId="51" fillId="17" borderId="0" xfId="0" applyFont="1" applyFill="1" applyProtection="1">
      <protection hidden="1"/>
    </xf>
    <xf numFmtId="3" fontId="189" fillId="17" borderId="0" xfId="0" applyNumberFormat="1" applyFont="1" applyFill="1" applyProtection="1">
      <protection hidden="1"/>
    </xf>
    <xf numFmtId="0" fontId="17" fillId="17" borderId="0" xfId="0" applyFont="1" applyFill="1" applyAlignment="1" applyProtection="1">
      <alignment horizontal="center" vertical="center" wrapText="1"/>
      <protection hidden="1"/>
    </xf>
    <xf numFmtId="0" fontId="191" fillId="0" borderId="7" xfId="0" applyFont="1" applyBorder="1" applyProtection="1">
      <protection hidden="1"/>
    </xf>
    <xf numFmtId="0" fontId="12" fillId="0" borderId="4" xfId="0" applyFont="1" applyBorder="1" applyAlignment="1" applyProtection="1">
      <alignment horizontal="center"/>
      <protection hidden="1"/>
    </xf>
    <xf numFmtId="177" fontId="12" fillId="0" borderId="4" xfId="0" applyNumberFormat="1" applyFont="1" applyBorder="1" applyProtection="1">
      <protection hidden="1"/>
    </xf>
    <xf numFmtId="0" fontId="46" fillId="19" borderId="19" xfId="0" applyFont="1" applyFill="1" applyBorder="1" applyProtection="1">
      <protection hidden="1"/>
    </xf>
    <xf numFmtId="0" fontId="46" fillId="19" borderId="10" xfId="0" applyFont="1" applyFill="1" applyBorder="1" applyProtection="1">
      <protection hidden="1"/>
    </xf>
    <xf numFmtId="0" fontId="46" fillId="19" borderId="3" xfId="0" applyFont="1" applyFill="1" applyBorder="1" applyProtection="1">
      <protection hidden="1"/>
    </xf>
    <xf numFmtId="0" fontId="46" fillId="19" borderId="4" xfId="0" applyFont="1" applyFill="1" applyBorder="1" applyProtection="1">
      <protection hidden="1"/>
    </xf>
    <xf numFmtId="0" fontId="46" fillId="19" borderId="5" xfId="0" applyFont="1" applyFill="1" applyBorder="1" applyProtection="1">
      <protection hidden="1"/>
    </xf>
    <xf numFmtId="0" fontId="46" fillId="19" borderId="6" xfId="0" applyFont="1" applyFill="1" applyBorder="1" applyProtection="1">
      <protection hidden="1"/>
    </xf>
    <xf numFmtId="0" fontId="156" fillId="19" borderId="12" xfId="0" applyFont="1" applyFill="1" applyBorder="1" applyAlignment="1" applyProtection="1">
      <alignment vertical="center" wrapText="1"/>
      <protection hidden="1"/>
    </xf>
    <xf numFmtId="0" fontId="156" fillId="19" borderId="12" xfId="0" applyFont="1" applyFill="1" applyBorder="1" applyAlignment="1" applyProtection="1">
      <alignment horizontal="center" vertical="center" wrapText="1"/>
      <protection hidden="1"/>
    </xf>
    <xf numFmtId="0" fontId="153" fillId="19" borderId="10" xfId="0" applyFont="1" applyFill="1" applyBorder="1" applyProtection="1">
      <protection hidden="1"/>
    </xf>
    <xf numFmtId="0" fontId="155" fillId="19" borderId="4" xfId="0" applyFont="1" applyFill="1" applyBorder="1" applyAlignment="1" applyProtection="1">
      <alignment vertical="center"/>
      <protection hidden="1"/>
    </xf>
    <xf numFmtId="0" fontId="153" fillId="19" borderId="5" xfId="0" applyFont="1" applyFill="1" applyBorder="1" applyProtection="1">
      <protection hidden="1"/>
    </xf>
    <xf numFmtId="0" fontId="156" fillId="19" borderId="9" xfId="0" applyFont="1" applyFill="1" applyBorder="1" applyProtection="1">
      <protection hidden="1"/>
    </xf>
    <xf numFmtId="0" fontId="156" fillId="19" borderId="7" xfId="0" applyFont="1" applyFill="1" applyBorder="1" applyProtection="1">
      <protection hidden="1"/>
    </xf>
    <xf numFmtId="3" fontId="157" fillId="19" borderId="12" xfId="0" applyNumberFormat="1" applyFont="1" applyFill="1" applyBorder="1" applyProtection="1">
      <protection hidden="1"/>
    </xf>
    <xf numFmtId="0" fontId="158" fillId="19" borderId="7" xfId="0" applyFont="1" applyFill="1" applyBorder="1" applyAlignment="1" applyProtection="1">
      <alignment horizontal="left"/>
      <protection hidden="1"/>
    </xf>
    <xf numFmtId="3" fontId="156" fillId="19" borderId="12" xfId="0" applyNumberFormat="1" applyFont="1" applyFill="1" applyBorder="1" applyAlignment="1" applyProtection="1">
      <alignment horizontal="right" vertical="center"/>
      <protection hidden="1"/>
    </xf>
    <xf numFmtId="3" fontId="17" fillId="18" borderId="12" xfId="0" applyNumberFormat="1" applyFont="1" applyFill="1" applyBorder="1" applyAlignment="1" applyProtection="1">
      <alignment horizontal="center"/>
      <protection locked="0"/>
    </xf>
    <xf numFmtId="0" fontId="19" fillId="19" borderId="9" xfId="0" applyFont="1" applyFill="1" applyBorder="1" applyAlignment="1" applyProtection="1">
      <alignment horizontal="left"/>
      <protection hidden="1"/>
    </xf>
    <xf numFmtId="0" fontId="19" fillId="19" borderId="7" xfId="0" applyFont="1" applyFill="1" applyBorder="1" applyAlignment="1" applyProtection="1">
      <alignment horizontal="left"/>
      <protection hidden="1"/>
    </xf>
    <xf numFmtId="0" fontId="89" fillId="17" borderId="0" xfId="0" applyFont="1" applyFill="1" applyAlignment="1" applyProtection="1">
      <alignment horizontal="right"/>
      <protection hidden="1"/>
    </xf>
    <xf numFmtId="0" fontId="19" fillId="0" borderId="12" xfId="0" applyFont="1" applyBorder="1" applyAlignment="1" applyProtection="1">
      <alignment wrapText="1"/>
      <protection hidden="1"/>
    </xf>
    <xf numFmtId="0" fontId="19" fillId="0" borderId="12" xfId="0" applyFont="1" applyBorder="1" applyAlignment="1" applyProtection="1">
      <alignment horizontal="right" wrapText="1"/>
      <protection hidden="1"/>
    </xf>
    <xf numFmtId="14" fontId="19" fillId="0" borderId="12" xfId="0" applyNumberFormat="1" applyFont="1" applyBorder="1" applyAlignment="1" applyProtection="1">
      <alignment wrapText="1"/>
      <protection hidden="1"/>
    </xf>
    <xf numFmtId="177" fontId="19" fillId="0" borderId="12" xfId="2" applyNumberFormat="1" applyFont="1" applyBorder="1" applyProtection="1">
      <protection hidden="1"/>
    </xf>
    <xf numFmtId="177" fontId="19" fillId="0" borderId="12" xfId="0" applyNumberFormat="1" applyFont="1" applyBorder="1" applyProtection="1">
      <protection hidden="1"/>
    </xf>
    <xf numFmtId="0" fontId="89" fillId="19" borderId="8" xfId="0" applyFont="1" applyFill="1" applyBorder="1" applyAlignment="1" applyProtection="1">
      <alignment horizontal="right"/>
      <protection hidden="1"/>
    </xf>
    <xf numFmtId="0" fontId="19" fillId="0" borderId="21" xfId="0" applyFont="1" applyBorder="1" applyProtection="1">
      <protection hidden="1"/>
    </xf>
    <xf numFmtId="0" fontId="183" fillId="17" borderId="0" xfId="0" applyFont="1" applyFill="1" applyAlignment="1" applyProtection="1">
      <alignment horizontal="left"/>
      <protection hidden="1"/>
    </xf>
    <xf numFmtId="0" fontId="183" fillId="2" borderId="0" xfId="0" applyFont="1" applyFill="1" applyProtection="1">
      <protection hidden="1"/>
    </xf>
    <xf numFmtId="0" fontId="197" fillId="17" borderId="0" xfId="0" applyFont="1" applyFill="1" applyProtection="1">
      <protection hidden="1"/>
    </xf>
    <xf numFmtId="0" fontId="77" fillId="4" borderId="8" xfId="0" applyFont="1" applyFill="1" applyBorder="1" applyAlignment="1" applyProtection="1">
      <alignment horizontal="center"/>
      <protection hidden="1"/>
    </xf>
    <xf numFmtId="0" fontId="156" fillId="19" borderId="9" xfId="0" applyFont="1" applyFill="1" applyBorder="1" applyAlignment="1" applyProtection="1">
      <alignment horizontal="left"/>
      <protection hidden="1"/>
    </xf>
    <xf numFmtId="166" fontId="22" fillId="0" borderId="12" xfId="2" applyNumberFormat="1" applyFont="1" applyFill="1" applyBorder="1" applyAlignment="1" applyProtection="1">
      <alignment horizontal="right" vertical="center"/>
      <protection locked="0"/>
    </xf>
    <xf numFmtId="0" fontId="182" fillId="17" borderId="0" xfId="0" applyFont="1" applyFill="1" applyProtection="1">
      <protection hidden="1"/>
    </xf>
    <xf numFmtId="0" fontId="25" fillId="17" borderId="0" xfId="0" applyFont="1" applyFill="1" applyProtection="1">
      <protection hidden="1"/>
    </xf>
    <xf numFmtId="0" fontId="171" fillId="17" borderId="0" xfId="0" applyFont="1" applyFill="1" applyProtection="1">
      <protection hidden="1"/>
    </xf>
    <xf numFmtId="0" fontId="183" fillId="17" borderId="0" xfId="0" applyFont="1" applyFill="1" applyProtection="1">
      <protection hidden="1"/>
    </xf>
    <xf numFmtId="0" fontId="198" fillId="17" borderId="0" xfId="0" applyFont="1" applyFill="1" applyProtection="1">
      <protection hidden="1"/>
    </xf>
    <xf numFmtId="0" fontId="12" fillId="0" borderId="12" xfId="0" applyFont="1" applyBorder="1" applyProtection="1">
      <protection hidden="1"/>
    </xf>
    <xf numFmtId="0" fontId="12" fillId="0" borderId="12" xfId="0" applyFont="1" applyBorder="1" applyAlignment="1" applyProtection="1">
      <alignment wrapText="1"/>
      <protection hidden="1"/>
    </xf>
    <xf numFmtId="0" fontId="12" fillId="0" borderId="7" xfId="0" applyFont="1" applyBorder="1" applyProtection="1">
      <protection hidden="1"/>
    </xf>
    <xf numFmtId="0" fontId="199" fillId="17" borderId="0" xfId="0" applyFont="1" applyFill="1" applyProtection="1">
      <protection hidden="1"/>
    </xf>
    <xf numFmtId="0" fontId="12" fillId="17" borderId="0" xfId="0" applyFont="1" applyFill="1" applyAlignment="1" applyProtection="1">
      <alignment horizontal="left"/>
      <protection hidden="1"/>
    </xf>
    <xf numFmtId="0" fontId="12" fillId="0" borderId="3" xfId="0" applyFont="1" applyBorder="1" applyProtection="1">
      <protection hidden="1"/>
    </xf>
    <xf numFmtId="0" fontId="12" fillId="0" borderId="1" xfId="0" applyFont="1" applyBorder="1" applyProtection="1">
      <protection hidden="1"/>
    </xf>
    <xf numFmtId="0" fontId="12" fillId="0" borderId="2" xfId="0" applyFont="1" applyBorder="1" applyProtection="1">
      <protection hidden="1"/>
    </xf>
    <xf numFmtId="0" fontId="12" fillId="0" borderId="4" xfId="0" applyFont="1" applyBorder="1" applyProtection="1">
      <protection hidden="1"/>
    </xf>
    <xf numFmtId="0" fontId="12" fillId="0" borderId="6" xfId="0" applyFont="1" applyBorder="1" applyProtection="1">
      <protection hidden="1"/>
    </xf>
    <xf numFmtId="0" fontId="187" fillId="0" borderId="0" xfId="0" applyFont="1" applyProtection="1">
      <protection hidden="1"/>
    </xf>
    <xf numFmtId="0" fontId="188" fillId="0" borderId="0" xfId="0" applyFont="1" applyProtection="1">
      <protection hidden="1"/>
    </xf>
    <xf numFmtId="0" fontId="184" fillId="17" borderId="10" xfId="0" applyFont="1" applyFill="1" applyBorder="1" applyProtection="1">
      <protection hidden="1"/>
    </xf>
    <xf numFmtId="0" fontId="184" fillId="17" borderId="3" xfId="0" applyFont="1" applyFill="1" applyBorder="1" applyProtection="1">
      <protection hidden="1"/>
    </xf>
    <xf numFmtId="0" fontId="193" fillId="17" borderId="1" xfId="0" applyFont="1" applyFill="1" applyBorder="1" applyProtection="1">
      <protection hidden="1"/>
    </xf>
    <xf numFmtId="0" fontId="184" fillId="17" borderId="0" xfId="0" applyFont="1" applyFill="1" applyProtection="1">
      <protection hidden="1"/>
    </xf>
    <xf numFmtId="0" fontId="184" fillId="17" borderId="2" xfId="0" applyFont="1" applyFill="1" applyBorder="1" applyProtection="1">
      <protection hidden="1"/>
    </xf>
    <xf numFmtId="0" fontId="193" fillId="17" borderId="4" xfId="0" applyFont="1" applyFill="1" applyBorder="1" applyProtection="1">
      <protection hidden="1"/>
    </xf>
    <xf numFmtId="0" fontId="184" fillId="17" borderId="5" xfId="0" applyFont="1" applyFill="1" applyBorder="1" applyProtection="1">
      <protection hidden="1"/>
    </xf>
    <xf numFmtId="0" fontId="184" fillId="17" borderId="6" xfId="0" applyFont="1" applyFill="1" applyBorder="1" applyProtection="1">
      <protection hidden="1"/>
    </xf>
    <xf numFmtId="0" fontId="0" fillId="0" borderId="0" xfId="0" applyAlignment="1" applyProtection="1">
      <alignment horizontal="center"/>
      <protection hidden="1"/>
    </xf>
    <xf numFmtId="177" fontId="12" fillId="0" borderId="0" xfId="2" applyNumberFormat="1" applyFont="1" applyProtection="1">
      <protection hidden="1"/>
    </xf>
    <xf numFmtId="177" fontId="0" fillId="0" borderId="0" xfId="2" applyNumberFormat="1" applyFont="1" applyProtection="1">
      <protection hidden="1"/>
    </xf>
    <xf numFmtId="9" fontId="0" fillId="0" borderId="0" xfId="3" applyFont="1" applyProtection="1">
      <protection hidden="1"/>
    </xf>
    <xf numFmtId="9" fontId="0" fillId="0" borderId="0" xfId="0" applyNumberFormat="1" applyProtection="1">
      <protection hidden="1"/>
    </xf>
    <xf numFmtId="0" fontId="0" fillId="0" borderId="0" xfId="0" applyAlignment="1" applyProtection="1">
      <alignment horizontal="right"/>
      <protection hidden="1"/>
    </xf>
    <xf numFmtId="177" fontId="0" fillId="0" borderId="0" xfId="0" applyNumberFormat="1" applyProtection="1">
      <protection hidden="1"/>
    </xf>
    <xf numFmtId="0" fontId="0" fillId="0" borderId="12" xfId="0" applyBorder="1" applyProtection="1">
      <protection hidden="1"/>
    </xf>
    <xf numFmtId="0" fontId="192" fillId="0" borderId="0" xfId="0" applyFont="1" applyProtection="1">
      <protection hidden="1"/>
    </xf>
    <xf numFmtId="0" fontId="0" fillId="0" borderId="21" xfId="0" applyBorder="1" applyProtection="1">
      <protection hidden="1"/>
    </xf>
    <xf numFmtId="0" fontId="0" fillId="0" borderId="18" xfId="0" applyBorder="1" applyProtection="1">
      <protection hidden="1"/>
    </xf>
    <xf numFmtId="14" fontId="0" fillId="0" borderId="18" xfId="0" applyNumberFormat="1" applyBorder="1" applyProtection="1">
      <protection hidden="1"/>
    </xf>
    <xf numFmtId="9" fontId="0" fillId="0" borderId="21" xfId="0" applyNumberFormat="1" applyBorder="1" applyProtection="1">
      <protection hidden="1"/>
    </xf>
    <xf numFmtId="0" fontId="182" fillId="0" borderId="0" xfId="0" applyFont="1" applyProtection="1">
      <protection hidden="1"/>
    </xf>
    <xf numFmtId="0" fontId="0" fillId="0" borderId="20" xfId="0" applyBorder="1" applyProtection="1">
      <protection hidden="1"/>
    </xf>
    <xf numFmtId="9" fontId="0" fillId="0" borderId="20" xfId="0" applyNumberFormat="1" applyBorder="1" applyProtection="1">
      <protection hidden="1"/>
    </xf>
    <xf numFmtId="9" fontId="0" fillId="0" borderId="18" xfId="0" applyNumberFormat="1" applyBorder="1" applyProtection="1">
      <protection hidden="1"/>
    </xf>
    <xf numFmtId="178" fontId="0" fillId="0" borderId="0" xfId="0" applyNumberFormat="1" applyProtection="1">
      <protection hidden="1"/>
    </xf>
    <xf numFmtId="0" fontId="0" fillId="0" borderId="6" xfId="0" applyBorder="1" applyProtection="1">
      <protection hidden="1"/>
    </xf>
    <xf numFmtId="0" fontId="193" fillId="17" borderId="0" xfId="0" applyFont="1" applyFill="1" applyProtection="1">
      <protection hidden="1"/>
    </xf>
    <xf numFmtId="3" fontId="182" fillId="17" borderId="0" xfId="0" applyNumberFormat="1" applyFont="1" applyFill="1" applyProtection="1">
      <protection hidden="1"/>
    </xf>
    <xf numFmtId="3" fontId="12" fillId="0" borderId="0" xfId="0" applyNumberFormat="1" applyFont="1" applyProtection="1">
      <protection hidden="1"/>
    </xf>
    <xf numFmtId="175" fontId="12" fillId="0" borderId="0" xfId="0" applyNumberFormat="1" applyFont="1" applyProtection="1">
      <protection hidden="1"/>
    </xf>
    <xf numFmtId="3" fontId="17" fillId="16" borderId="12" xfId="0" applyNumberFormat="1" applyFont="1" applyFill="1" applyBorder="1" applyProtection="1">
      <protection hidden="1"/>
    </xf>
    <xf numFmtId="14" fontId="22" fillId="17" borderId="0" xfId="0" applyNumberFormat="1" applyFont="1" applyFill="1" applyAlignment="1" applyProtection="1">
      <alignment horizontal="center"/>
      <protection hidden="1"/>
    </xf>
    <xf numFmtId="3" fontId="17" fillId="17" borderId="0" xfId="0" applyNumberFormat="1" applyFont="1" applyFill="1" applyProtection="1">
      <protection hidden="1"/>
    </xf>
    <xf numFmtId="14" fontId="22" fillId="0" borderId="0" xfId="0" applyNumberFormat="1" applyFont="1" applyAlignment="1" applyProtection="1">
      <alignment horizontal="center"/>
      <protection hidden="1"/>
    </xf>
    <xf numFmtId="0" fontId="17" fillId="17" borderId="0" xfId="0" applyFont="1" applyFill="1" applyAlignment="1" applyProtection="1">
      <alignment horizontal="center"/>
      <protection hidden="1"/>
    </xf>
    <xf numFmtId="0" fontId="12" fillId="0" borderId="12" xfId="0" applyFont="1" applyBorder="1" applyAlignment="1" applyProtection="1">
      <alignment horizontal="center"/>
      <protection locked="0"/>
    </xf>
    <xf numFmtId="0" fontId="19" fillId="0" borderId="7" xfId="0" applyFont="1" applyBorder="1" applyProtection="1">
      <protection hidden="1"/>
    </xf>
    <xf numFmtId="0" fontId="17" fillId="0" borderId="12" xfId="0" applyFont="1" applyBorder="1" applyAlignment="1" applyProtection="1">
      <alignment horizontal="right"/>
      <protection locked="0"/>
    </xf>
    <xf numFmtId="166" fontId="17" fillId="0" borderId="12" xfId="2" applyNumberFormat="1" applyFont="1" applyFill="1" applyBorder="1" applyAlignment="1" applyProtection="1">
      <alignment horizontal="right"/>
      <protection locked="0"/>
    </xf>
    <xf numFmtId="166" fontId="17" fillId="19" borderId="12" xfId="0" applyNumberFormat="1" applyFont="1" applyFill="1" applyBorder="1" applyProtection="1">
      <protection hidden="1"/>
    </xf>
    <xf numFmtId="166" fontId="17" fillId="19" borderId="12" xfId="0" applyNumberFormat="1" applyFont="1" applyFill="1" applyBorder="1" applyAlignment="1" applyProtection="1">
      <alignment horizontal="right"/>
      <protection hidden="1"/>
    </xf>
    <xf numFmtId="166" fontId="17" fillId="19" borderId="12" xfId="2" applyNumberFormat="1" applyFont="1" applyFill="1" applyBorder="1" applyAlignment="1" applyProtection="1">
      <alignment horizontal="right"/>
      <protection hidden="1"/>
    </xf>
    <xf numFmtId="0" fontId="17" fillId="20" borderId="6" xfId="0" applyFont="1" applyFill="1" applyBorder="1" applyProtection="1">
      <protection hidden="1"/>
    </xf>
    <xf numFmtId="0" fontId="17" fillId="20" borderId="18" xfId="0" applyFont="1" applyFill="1" applyBorder="1" applyAlignment="1" applyProtection="1">
      <alignment horizontal="center" vertical="center"/>
      <protection hidden="1"/>
    </xf>
    <xf numFmtId="0" fontId="17" fillId="20" borderId="8" xfId="0" applyFont="1" applyFill="1" applyBorder="1" applyProtection="1">
      <protection hidden="1"/>
    </xf>
    <xf numFmtId="0" fontId="17" fillId="20" borderId="12" xfId="0" applyFont="1" applyFill="1" applyBorder="1" applyAlignment="1" applyProtection="1">
      <alignment horizontal="center" vertical="center"/>
      <protection hidden="1"/>
    </xf>
    <xf numFmtId="0" fontId="17" fillId="20" borderId="9" xfId="0" applyFont="1" applyFill="1" applyBorder="1" applyAlignment="1" applyProtection="1">
      <alignment horizontal="left"/>
      <protection hidden="1"/>
    </xf>
    <xf numFmtId="0" fontId="17" fillId="20" borderId="7" xfId="0" applyFont="1" applyFill="1" applyBorder="1" applyAlignment="1" applyProtection="1">
      <alignment horizontal="left"/>
      <protection hidden="1"/>
    </xf>
    <xf numFmtId="0" fontId="19" fillId="20" borderId="0" xfId="0" applyFont="1" applyFill="1"/>
    <xf numFmtId="0" fontId="17" fillId="20" borderId="0" xfId="0" applyFont="1" applyFill="1"/>
    <xf numFmtId="0" fontId="17" fillId="20" borderId="19" xfId="0" applyFont="1" applyFill="1" applyBorder="1" applyAlignment="1" applyProtection="1">
      <alignment horizontal="left"/>
      <protection hidden="1"/>
    </xf>
    <xf numFmtId="0" fontId="17" fillId="20" borderId="21" xfId="0" applyFont="1" applyFill="1" applyBorder="1" applyAlignment="1" applyProtection="1">
      <alignment horizontal="center" vertical="center"/>
      <protection hidden="1"/>
    </xf>
    <xf numFmtId="0" fontId="46" fillId="20" borderId="10" xfId="0" applyFont="1" applyFill="1" applyBorder="1" applyProtection="1">
      <protection hidden="1"/>
    </xf>
    <xf numFmtId="0" fontId="17" fillId="20" borderId="10" xfId="0" applyFont="1" applyFill="1" applyBorder="1" applyAlignment="1" applyProtection="1">
      <alignment horizontal="left"/>
      <protection hidden="1"/>
    </xf>
    <xf numFmtId="0" fontId="17" fillId="20" borderId="3" xfId="0" applyFont="1" applyFill="1" applyBorder="1" applyProtection="1">
      <protection hidden="1"/>
    </xf>
    <xf numFmtId="0" fontId="17" fillId="20" borderId="10" xfId="0" applyFont="1" applyFill="1" applyBorder="1" applyProtection="1">
      <protection hidden="1"/>
    </xf>
    <xf numFmtId="0" fontId="17" fillId="20" borderId="7" xfId="0" applyFont="1" applyFill="1" applyBorder="1" applyProtection="1">
      <protection hidden="1"/>
    </xf>
    <xf numFmtId="0" fontId="19" fillId="20" borderId="7" xfId="0" applyFont="1" applyFill="1" applyBorder="1" applyProtection="1">
      <protection hidden="1"/>
    </xf>
    <xf numFmtId="0" fontId="19" fillId="20" borderId="10" xfId="0" applyFont="1" applyFill="1" applyBorder="1" applyProtection="1">
      <protection hidden="1"/>
    </xf>
    <xf numFmtId="0" fontId="184" fillId="0" borderId="0" xfId="0" applyFont="1" applyProtection="1">
      <protection hidden="1"/>
    </xf>
    <xf numFmtId="0" fontId="200" fillId="2" borderId="0" xfId="1" applyFont="1" applyFill="1" applyBorder="1" applyAlignment="1" applyProtection="1">
      <alignment horizontal="right" vertical="center"/>
      <protection hidden="1"/>
    </xf>
    <xf numFmtId="0" fontId="157" fillId="20" borderId="0" xfId="0" applyFont="1" applyFill="1" applyProtection="1">
      <protection hidden="1"/>
    </xf>
    <xf numFmtId="0" fontId="153" fillId="20" borderId="0" xfId="0" applyFont="1" applyFill="1" applyProtection="1">
      <protection hidden="1"/>
    </xf>
    <xf numFmtId="0" fontId="0" fillId="20" borderId="0" xfId="0" applyFill="1"/>
    <xf numFmtId="0" fontId="194" fillId="20" borderId="0" xfId="0" applyFont="1" applyFill="1"/>
    <xf numFmtId="177" fontId="190" fillId="20" borderId="0" xfId="2" applyNumberFormat="1" applyFont="1" applyFill="1" applyAlignment="1" applyProtection="1">
      <alignment horizontal="center" vertical="center"/>
      <protection hidden="1"/>
    </xf>
    <xf numFmtId="0" fontId="49" fillId="20" borderId="0" xfId="0" applyFont="1" applyFill="1" applyAlignment="1" applyProtection="1">
      <alignment horizontal="center" vertical="top"/>
      <protection hidden="1"/>
    </xf>
    <xf numFmtId="0" fontId="86" fillId="20" borderId="0" xfId="0" applyFont="1" applyFill="1" applyAlignment="1" applyProtection="1">
      <alignment horizontal="right"/>
      <protection hidden="1"/>
    </xf>
    <xf numFmtId="0" fontId="156" fillId="20" borderId="0" xfId="0" applyFont="1" applyFill="1" applyAlignment="1" applyProtection="1">
      <alignment horizontal="right"/>
      <protection hidden="1"/>
    </xf>
    <xf numFmtId="0" fontId="182" fillId="20" borderId="0" xfId="0" applyFont="1" applyFill="1" applyProtection="1">
      <protection hidden="1"/>
    </xf>
    <xf numFmtId="0" fontId="99" fillId="20" borderId="0" xfId="0" applyFont="1" applyFill="1" applyAlignment="1" applyProtection="1">
      <alignment vertical="center"/>
      <protection hidden="1"/>
    </xf>
    <xf numFmtId="0" fontId="201" fillId="19" borderId="8" xfId="0" applyFont="1" applyFill="1" applyBorder="1" applyAlignment="1" applyProtection="1">
      <alignment horizontal="right" vertical="center"/>
      <protection hidden="1"/>
    </xf>
    <xf numFmtId="0" fontId="182" fillId="20" borderId="0" xfId="0" applyFont="1" applyFill="1" applyAlignment="1" applyProtection="1">
      <alignment horizontal="left" vertical="center"/>
      <protection hidden="1"/>
    </xf>
    <xf numFmtId="0" fontId="0" fillId="0" borderId="12" xfId="0" applyBorder="1" applyAlignment="1" applyProtection="1">
      <alignment horizontal="center" vertical="center"/>
      <protection locked="0"/>
    </xf>
    <xf numFmtId="0" fontId="202" fillId="17" borderId="0" xfId="0" applyFont="1" applyFill="1" applyAlignment="1" applyProtection="1">
      <alignment horizontal="right" vertical="center"/>
      <protection hidden="1"/>
    </xf>
    <xf numFmtId="0" fontId="201" fillId="17" borderId="0" xfId="0" applyFont="1" applyFill="1" applyAlignment="1" applyProtection="1">
      <alignment horizontal="right"/>
      <protection hidden="1"/>
    </xf>
    <xf numFmtId="0" fontId="17" fillId="20" borderId="0" xfId="0" applyFont="1" applyFill="1" applyProtection="1">
      <protection hidden="1"/>
    </xf>
    <xf numFmtId="0" fontId="17" fillId="20" borderId="0" xfId="0" applyFont="1" applyFill="1" applyAlignment="1" applyProtection="1">
      <alignment horizontal="left"/>
      <protection hidden="1"/>
    </xf>
    <xf numFmtId="0" fontId="86" fillId="20" borderId="0" xfId="0" applyFont="1" applyFill="1" applyAlignment="1" applyProtection="1">
      <alignment horizontal="left"/>
      <protection hidden="1"/>
    </xf>
    <xf numFmtId="0" fontId="17" fillId="20" borderId="0" xfId="0" applyFont="1" applyFill="1" applyAlignment="1" applyProtection="1">
      <alignment horizontal="right"/>
      <protection hidden="1"/>
    </xf>
    <xf numFmtId="0" fontId="194" fillId="20" borderId="0" xfId="0" applyFont="1" applyFill="1" applyProtection="1">
      <protection hidden="1"/>
    </xf>
    <xf numFmtId="0" fontId="150" fillId="20" borderId="0" xfId="0" applyFont="1" applyFill="1" applyProtection="1">
      <protection hidden="1"/>
    </xf>
    <xf numFmtId="0" fontId="183" fillId="20" borderId="0" xfId="0" applyFont="1" applyFill="1" applyProtection="1">
      <protection hidden="1"/>
    </xf>
    <xf numFmtId="0" fontId="12" fillId="20" borderId="0" xfId="0" applyFont="1" applyFill="1" applyProtection="1">
      <protection hidden="1"/>
    </xf>
    <xf numFmtId="0" fontId="17" fillId="20" borderId="0" xfId="0" applyFont="1" applyFill="1" applyAlignment="1" applyProtection="1">
      <alignment horizontal="center"/>
      <protection hidden="1"/>
    </xf>
    <xf numFmtId="177" fontId="17" fillId="20" borderId="0" xfId="2" applyNumberFormat="1" applyFont="1" applyFill="1" applyBorder="1" applyProtection="1">
      <protection hidden="1"/>
    </xf>
    <xf numFmtId="0" fontId="192" fillId="20" borderId="0" xfId="0" applyFont="1" applyFill="1" applyProtection="1">
      <protection hidden="1"/>
    </xf>
    <xf numFmtId="0" fontId="195" fillId="20" borderId="0" xfId="0" applyFont="1" applyFill="1" applyProtection="1">
      <protection hidden="1"/>
    </xf>
    <xf numFmtId="0" fontId="185" fillId="20" borderId="0" xfId="0" applyFont="1" applyFill="1" applyProtection="1">
      <protection hidden="1"/>
    </xf>
    <xf numFmtId="3" fontId="183" fillId="0" borderId="0" xfId="0" applyNumberFormat="1" applyFont="1" applyProtection="1">
      <protection hidden="1"/>
    </xf>
    <xf numFmtId="0" fontId="193" fillId="0" borderId="0" xfId="0" applyFont="1" applyProtection="1">
      <protection hidden="1"/>
    </xf>
    <xf numFmtId="0" fontId="203" fillId="21" borderId="0" xfId="0" applyFont="1" applyFill="1" applyAlignment="1">
      <alignment horizontal="center"/>
    </xf>
    <xf numFmtId="0" fontId="203" fillId="22" borderId="0" xfId="0" applyFont="1" applyFill="1" applyAlignment="1">
      <alignment horizontal="center"/>
    </xf>
    <xf numFmtId="0" fontId="0" fillId="21" borderId="0" xfId="0" applyFill="1" applyAlignment="1">
      <alignment horizontal="center"/>
    </xf>
    <xf numFmtId="0" fontId="17" fillId="16" borderId="9" xfId="0" applyFont="1" applyFill="1" applyBorder="1" applyAlignment="1" applyProtection="1">
      <alignment horizontal="left"/>
      <protection hidden="1"/>
    </xf>
    <xf numFmtId="0" fontId="17" fillId="16" borderId="7" xfId="0" applyFont="1" applyFill="1" applyBorder="1" applyAlignment="1" applyProtection="1">
      <alignment horizontal="left"/>
      <protection hidden="1"/>
    </xf>
    <xf numFmtId="0" fontId="12" fillId="19" borderId="12" xfId="0" applyFont="1" applyFill="1" applyBorder="1" applyAlignment="1" applyProtection="1">
      <alignment horizontal="center" vertical="center" wrapText="1"/>
      <protection hidden="1"/>
    </xf>
    <xf numFmtId="3" fontId="12" fillId="17" borderId="0" xfId="0" applyNumberFormat="1" applyFont="1" applyFill="1" applyProtection="1">
      <protection hidden="1"/>
    </xf>
    <xf numFmtId="0" fontId="12" fillId="0" borderId="0" xfId="0" applyFont="1" applyAlignment="1" applyProtection="1">
      <alignment horizontal="left"/>
      <protection hidden="1"/>
    </xf>
    <xf numFmtId="0" fontId="161" fillId="20" borderId="0" xfId="0" applyFont="1" applyFill="1" applyProtection="1">
      <protection hidden="1"/>
    </xf>
    <xf numFmtId="0" fontId="161" fillId="20" borderId="0" xfId="0" applyFont="1" applyFill="1" applyAlignment="1" applyProtection="1">
      <alignment horizontal="right"/>
      <protection hidden="1"/>
    </xf>
    <xf numFmtId="0" fontId="161" fillId="0" borderId="0" xfId="0" applyFont="1" applyProtection="1">
      <protection hidden="1"/>
    </xf>
    <xf numFmtId="0" fontId="205" fillId="0" borderId="0" xfId="0" applyFont="1" applyAlignment="1" applyProtection="1">
      <alignment vertical="center" wrapText="1"/>
      <protection hidden="1"/>
    </xf>
    <xf numFmtId="0" fontId="22" fillId="0" borderId="12" xfId="0" applyFont="1" applyBorder="1"/>
    <xf numFmtId="1" fontId="17" fillId="0" borderId="8" xfId="0" applyNumberFormat="1" applyFont="1" applyBorder="1" applyAlignment="1" applyProtection="1">
      <alignment horizontal="center" vertical="center"/>
      <protection locked="0"/>
    </xf>
    <xf numFmtId="0" fontId="22" fillId="0" borderId="12" xfId="0" applyFont="1" applyBorder="1" applyAlignment="1">
      <alignment horizontal="center"/>
    </xf>
    <xf numFmtId="0" fontId="0" fillId="0" borderId="0" xfId="0" applyAlignment="1">
      <alignment horizontal="center"/>
    </xf>
    <xf numFmtId="0" fontId="206" fillId="0" borderId="21" xfId="0" applyFont="1" applyBorder="1"/>
    <xf numFmtId="0" fontId="206" fillId="0" borderId="21" xfId="0" applyFont="1" applyBorder="1" applyAlignment="1">
      <alignment horizontal="center"/>
    </xf>
    <xf numFmtId="0" fontId="28" fillId="0" borderId="12" xfId="0" applyFont="1" applyBorder="1" applyAlignment="1" applyProtection="1">
      <alignment horizontal="left"/>
      <protection hidden="1"/>
    </xf>
    <xf numFmtId="0" fontId="28" fillId="0" borderId="12" xfId="0" applyFont="1" applyBorder="1" applyAlignment="1" applyProtection="1">
      <alignment horizontal="right"/>
      <protection hidden="1"/>
    </xf>
    <xf numFmtId="176" fontId="0" fillId="0" borderId="0" xfId="0" applyNumberFormat="1"/>
    <xf numFmtId="3" fontId="175" fillId="4" borderId="12" xfId="0" applyNumberFormat="1" applyFont="1" applyFill="1" applyBorder="1" applyProtection="1">
      <protection hidden="1"/>
    </xf>
    <xf numFmtId="3" fontId="207" fillId="8" borderId="12" xfId="0" applyNumberFormat="1" applyFont="1" applyFill="1" applyBorder="1"/>
    <xf numFmtId="0" fontId="209" fillId="2" borderId="0" xfId="1" applyFont="1" applyFill="1" applyBorder="1" applyAlignment="1" applyProtection="1">
      <alignment horizontal="center"/>
      <protection hidden="1"/>
    </xf>
    <xf numFmtId="9" fontId="12" fillId="0" borderId="0" xfId="0" applyNumberFormat="1" applyFont="1" applyProtection="1">
      <protection hidden="1"/>
    </xf>
    <xf numFmtId="0" fontId="210" fillId="2" borderId="0" xfId="0" applyFont="1" applyFill="1" applyAlignment="1" applyProtection="1">
      <alignment vertical="center"/>
      <protection hidden="1"/>
    </xf>
    <xf numFmtId="0" fontId="55" fillId="2" borderId="12" xfId="0" applyFont="1" applyFill="1" applyBorder="1" applyAlignment="1" applyProtection="1">
      <alignment horizontal="center" vertical="center" wrapText="1"/>
      <protection hidden="1"/>
    </xf>
    <xf numFmtId="0" fontId="206" fillId="3" borderId="12" xfId="0" applyFont="1" applyFill="1" applyBorder="1" applyAlignment="1" applyProtection="1">
      <alignment horizontal="center" vertical="center" wrapText="1"/>
      <protection hidden="1"/>
    </xf>
    <xf numFmtId="10" fontId="22" fillId="3" borderId="12" xfId="0" applyNumberFormat="1" applyFont="1" applyFill="1" applyBorder="1" applyAlignment="1" applyProtection="1">
      <alignment horizontal="center" vertical="center" wrapText="1"/>
      <protection hidden="1"/>
    </xf>
    <xf numFmtId="164" fontId="12" fillId="0" borderId="0" xfId="0" applyNumberFormat="1" applyFont="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1" fontId="17" fillId="0" borderId="12" xfId="0" applyNumberFormat="1" applyFont="1" applyBorder="1" applyAlignment="1" applyProtection="1">
      <alignment horizontal="center" vertical="center"/>
      <protection locked="0"/>
    </xf>
    <xf numFmtId="0" fontId="182" fillId="2" borderId="0" xfId="0" applyFont="1" applyFill="1" applyProtection="1">
      <protection hidden="1"/>
    </xf>
    <xf numFmtId="166" fontId="12" fillId="0" borderId="0" xfId="0" applyNumberFormat="1" applyFont="1" applyProtection="1">
      <protection hidden="1"/>
    </xf>
    <xf numFmtId="0" fontId="17" fillId="2" borderId="0" xfId="0" applyFont="1" applyFill="1" applyAlignment="1" applyProtection="1">
      <alignment vertical="top"/>
      <protection hidden="1"/>
    </xf>
    <xf numFmtId="166" fontId="17" fillId="0" borderId="21" xfId="0" applyNumberFormat="1" applyFont="1" applyBorder="1" applyAlignment="1" applyProtection="1">
      <alignment horizontal="right"/>
      <protection locked="0"/>
    </xf>
    <xf numFmtId="0" fontId="69" fillId="2" borderId="0" xfId="0" applyFont="1" applyFill="1" applyProtection="1">
      <protection hidden="1"/>
    </xf>
    <xf numFmtId="166" fontId="211" fillId="0" borderId="0" xfId="0" applyNumberFormat="1" applyFont="1" applyAlignment="1" applyProtection="1">
      <alignment vertical="center"/>
      <protection hidden="1"/>
    </xf>
    <xf numFmtId="166" fontId="212" fillId="5" borderId="9" xfId="0" applyNumberFormat="1" applyFont="1" applyFill="1" applyBorder="1" applyAlignment="1" applyProtection="1">
      <alignment vertical="center"/>
      <protection hidden="1"/>
    </xf>
    <xf numFmtId="166" fontId="194" fillId="5" borderId="7" xfId="0" applyNumberFormat="1" applyFont="1" applyFill="1" applyBorder="1" applyAlignment="1" applyProtection="1">
      <alignment vertical="center"/>
      <protection hidden="1"/>
    </xf>
    <xf numFmtId="164" fontId="22" fillId="3" borderId="8" xfId="0" applyNumberFormat="1" applyFont="1" applyFill="1" applyBorder="1" applyAlignment="1" applyProtection="1">
      <alignment vertical="center" wrapText="1"/>
      <protection hidden="1"/>
    </xf>
    <xf numFmtId="166" fontId="213" fillId="2" borderId="0" xfId="0" applyNumberFormat="1" applyFont="1" applyFill="1" applyAlignment="1" applyProtection="1">
      <alignment horizontal="center" vertical="center" wrapText="1"/>
      <protection hidden="1"/>
    </xf>
    <xf numFmtId="166" fontId="150" fillId="2" borderId="12" xfId="0" applyNumberFormat="1" applyFont="1" applyFill="1" applyBorder="1" applyAlignment="1" applyProtection="1">
      <alignment horizontal="center" vertical="center"/>
      <protection hidden="1"/>
    </xf>
    <xf numFmtId="166" fontId="17" fillId="5" borderId="18" xfId="0" applyNumberFormat="1" applyFont="1" applyFill="1" applyBorder="1" applyAlignment="1" applyProtection="1">
      <alignment horizontal="right" vertical="center"/>
      <protection hidden="1"/>
    </xf>
    <xf numFmtId="166" fontId="17" fillId="0" borderId="12" xfId="2" applyNumberFormat="1" applyFont="1" applyFill="1" applyBorder="1" applyAlignment="1" applyProtection="1">
      <alignment horizontal="right" vertical="center"/>
      <protection locked="0"/>
    </xf>
    <xf numFmtId="166" fontId="17" fillId="0" borderId="5" xfId="0" applyNumberFormat="1" applyFont="1" applyBorder="1" applyAlignment="1" applyProtection="1">
      <alignment vertical="center"/>
      <protection hidden="1"/>
    </xf>
    <xf numFmtId="166" fontId="17" fillId="0" borderId="0" xfId="0" applyNumberFormat="1" applyFont="1" applyAlignment="1" applyProtection="1">
      <alignment horizontal="right" vertical="center"/>
      <protection hidden="1"/>
    </xf>
    <xf numFmtId="166" fontId="24" fillId="0" borderId="0" xfId="0" applyNumberFormat="1" applyFont="1" applyAlignment="1" applyProtection="1">
      <alignment horizontal="center" vertical="center" wrapText="1"/>
      <protection hidden="1"/>
    </xf>
    <xf numFmtId="177" fontId="17" fillId="0" borderId="7" xfId="2" applyNumberFormat="1" applyFont="1" applyBorder="1" applyAlignment="1" applyProtection="1">
      <alignment vertical="center"/>
      <protection hidden="1"/>
    </xf>
    <xf numFmtId="166" fontId="17" fillId="2" borderId="0" xfId="0" applyNumberFormat="1" applyFont="1" applyFill="1" applyAlignment="1" applyProtection="1">
      <alignment horizontal="left" vertical="center"/>
      <protection hidden="1"/>
    </xf>
    <xf numFmtId="166" fontId="17" fillId="0" borderId="0" xfId="2" applyNumberFormat="1" applyFont="1" applyAlignment="1" applyProtection="1">
      <alignment vertical="center"/>
      <protection hidden="1"/>
    </xf>
    <xf numFmtId="166" fontId="17" fillId="0" borderId="12" xfId="0" applyNumberFormat="1" applyFont="1" applyBorder="1" applyAlignment="1" applyProtection="1">
      <alignment vertical="center"/>
      <protection locked="0"/>
    </xf>
    <xf numFmtId="166" fontId="17" fillId="0" borderId="0" xfId="0" quotePrefix="1" applyNumberFormat="1" applyFont="1" applyAlignment="1" applyProtection="1">
      <alignment vertical="center"/>
      <protection hidden="1"/>
    </xf>
    <xf numFmtId="166" fontId="22" fillId="0" borderId="0" xfId="0" applyNumberFormat="1" applyFont="1" applyAlignment="1" applyProtection="1">
      <alignment horizontal="center" vertical="center"/>
      <protection hidden="1"/>
    </xf>
    <xf numFmtId="166" fontId="22" fillId="0" borderId="0" xfId="0" applyNumberFormat="1" applyFont="1" applyAlignment="1" applyProtection="1">
      <alignment horizontal="center" vertical="center" wrapText="1"/>
      <protection hidden="1"/>
    </xf>
    <xf numFmtId="0" fontId="12" fillId="5" borderId="9" xfId="0" applyFont="1" applyFill="1" applyBorder="1" applyProtection="1">
      <protection hidden="1"/>
    </xf>
    <xf numFmtId="0" fontId="12" fillId="5" borderId="7" xfId="0" applyFont="1" applyFill="1" applyBorder="1" applyProtection="1">
      <protection hidden="1"/>
    </xf>
    <xf numFmtId="177" fontId="17" fillId="0" borderId="0" xfId="2" applyNumberFormat="1" applyFont="1" applyAlignment="1" applyProtection="1">
      <alignment horizontal="center" vertical="center" wrapText="1"/>
      <protection hidden="1"/>
    </xf>
    <xf numFmtId="166" fontId="186" fillId="0" borderId="0" xfId="0" applyNumberFormat="1" applyFont="1" applyProtection="1">
      <protection hidden="1"/>
    </xf>
    <xf numFmtId="0" fontId="210" fillId="2" borderId="0" xfId="0" applyFont="1" applyFill="1" applyProtection="1">
      <protection hidden="1"/>
    </xf>
    <xf numFmtId="43" fontId="17" fillId="0" borderId="0" xfId="0" applyNumberFormat="1" applyFont="1" applyProtection="1">
      <protection hidden="1"/>
    </xf>
    <xf numFmtId="43" fontId="17" fillId="0" borderId="0" xfId="2" applyFont="1" applyAlignment="1" applyProtection="1">
      <alignment horizontal="right"/>
      <protection hidden="1"/>
    </xf>
    <xf numFmtId="43" fontId="17" fillId="0" borderId="0" xfId="2" applyFont="1" applyFill="1" applyProtection="1">
      <protection hidden="1"/>
    </xf>
    <xf numFmtId="0" fontId="214" fillId="0" borderId="0" xfId="0" applyFont="1" applyAlignment="1" applyProtection="1">
      <alignment horizontal="left"/>
      <protection hidden="1"/>
    </xf>
    <xf numFmtId="0" fontId="17" fillId="0" borderId="0" xfId="0" applyFont="1" applyAlignment="1">
      <alignment vertical="center"/>
    </xf>
    <xf numFmtId="0" fontId="45" fillId="2" borderId="0" xfId="0" applyFont="1" applyFill="1" applyProtection="1">
      <protection hidden="1"/>
    </xf>
    <xf numFmtId="0" fontId="78" fillId="0" borderId="0" xfId="0" applyFont="1"/>
    <xf numFmtId="0" fontId="17" fillId="0" borderId="0" xfId="0" applyFont="1" applyProtection="1">
      <protection locked="0"/>
    </xf>
    <xf numFmtId="0" fontId="45" fillId="2" borderId="0" xfId="0" applyFont="1" applyFill="1" applyAlignment="1" applyProtection="1">
      <alignment vertical="center"/>
      <protection hidden="1"/>
    </xf>
    <xf numFmtId="0" fontId="78" fillId="0" borderId="0" xfId="0" applyFont="1" applyAlignment="1">
      <alignment vertical="center"/>
    </xf>
    <xf numFmtId="0" fontId="17" fillId="0" borderId="0" xfId="0" applyFont="1" applyAlignment="1" applyProtection="1">
      <alignment vertical="center"/>
      <protection locked="0"/>
    </xf>
    <xf numFmtId="0" fontId="213" fillId="0" borderId="0" xfId="0" applyFont="1" applyAlignment="1" applyProtection="1">
      <alignment vertical="center"/>
      <protection hidden="1"/>
    </xf>
    <xf numFmtId="166" fontId="216" fillId="2" borderId="0" xfId="1" applyNumberFormat="1" applyFont="1" applyFill="1" applyAlignment="1" applyProtection="1">
      <alignment vertical="center"/>
      <protection hidden="1"/>
    </xf>
    <xf numFmtId="0" fontId="17" fillId="2" borderId="9" xfId="0" applyFont="1" applyFill="1" applyBorder="1" applyAlignment="1" applyProtection="1">
      <alignment horizontal="center" vertical="center"/>
      <protection hidden="1"/>
    </xf>
    <xf numFmtId="0" fontId="17" fillId="2" borderId="7" xfId="0" applyFont="1" applyFill="1" applyBorder="1" applyAlignment="1" applyProtection="1">
      <alignment horizontal="center" vertical="center"/>
      <protection hidden="1"/>
    </xf>
    <xf numFmtId="3" fontId="17" fillId="4" borderId="12" xfId="0" applyNumberFormat="1" applyFont="1" applyFill="1" applyBorder="1" applyAlignment="1" applyProtection="1">
      <alignment vertical="center"/>
      <protection hidden="1"/>
    </xf>
    <xf numFmtId="49" fontId="150" fillId="4" borderId="9" xfId="0" applyNumberFormat="1" applyFont="1" applyFill="1" applyBorder="1" applyAlignment="1" applyProtection="1">
      <alignment horizontal="left" vertical="center"/>
      <protection hidden="1"/>
    </xf>
    <xf numFmtId="166" fontId="150" fillId="4" borderId="12" xfId="0" applyNumberFormat="1" applyFont="1" applyFill="1" applyBorder="1" applyAlignment="1" applyProtection="1">
      <alignment vertical="center"/>
      <protection hidden="1"/>
    </xf>
    <xf numFmtId="0" fontId="150" fillId="3" borderId="9" xfId="0" applyFont="1" applyFill="1" applyBorder="1" applyAlignment="1" applyProtection="1">
      <alignment horizontal="left" vertical="center"/>
      <protection hidden="1"/>
    </xf>
    <xf numFmtId="0" fontId="78" fillId="3" borderId="7" xfId="0" applyFont="1" applyFill="1" applyBorder="1" applyAlignment="1" applyProtection="1">
      <alignment vertical="center"/>
      <protection hidden="1"/>
    </xf>
    <xf numFmtId="0" fontId="78" fillId="3" borderId="8" xfId="0" applyFont="1" applyFill="1" applyBorder="1" applyAlignment="1" applyProtection="1">
      <alignment vertical="center"/>
      <protection hidden="1"/>
    </xf>
    <xf numFmtId="3" fontId="150" fillId="4" borderId="12" xfId="0" applyNumberFormat="1" applyFont="1" applyFill="1" applyBorder="1" applyAlignment="1" applyProtection="1">
      <alignment vertical="center"/>
      <protection hidden="1"/>
    </xf>
    <xf numFmtId="3" fontId="150" fillId="4" borderId="8" xfId="0" applyNumberFormat="1" applyFont="1" applyFill="1" applyBorder="1" applyAlignment="1" applyProtection="1">
      <alignment vertical="center"/>
      <protection hidden="1"/>
    </xf>
    <xf numFmtId="166" fontId="216" fillId="2" borderId="0" xfId="0" applyNumberFormat="1" applyFont="1" applyFill="1" applyAlignment="1" applyProtection="1">
      <alignment vertical="center"/>
      <protection hidden="1"/>
    </xf>
    <xf numFmtId="0" fontId="22" fillId="2" borderId="9" xfId="0" applyFont="1" applyFill="1" applyBorder="1" applyAlignment="1" applyProtection="1">
      <alignment vertical="center"/>
      <protection hidden="1"/>
    </xf>
    <xf numFmtId="0" fontId="19" fillId="2" borderId="8" xfId="0" applyFont="1" applyFill="1" applyBorder="1" applyAlignment="1" applyProtection="1">
      <alignment vertical="center"/>
      <protection hidden="1"/>
    </xf>
    <xf numFmtId="0" fontId="218" fillId="2" borderId="0" xfId="0" applyFont="1" applyFill="1" applyProtection="1">
      <protection hidden="1"/>
    </xf>
    <xf numFmtId="0" fontId="219" fillId="2" borderId="0" xfId="0" applyFont="1" applyFill="1" applyProtection="1">
      <protection hidden="1"/>
    </xf>
    <xf numFmtId="166" fontId="213" fillId="2" borderId="0" xfId="0" applyNumberFormat="1" applyFont="1" applyFill="1" applyAlignment="1" applyProtection="1">
      <alignment vertical="center"/>
      <protection hidden="1"/>
    </xf>
    <xf numFmtId="0" fontId="186" fillId="0" borderId="0" xfId="0" quotePrefix="1" applyFont="1" applyProtection="1">
      <protection hidden="1"/>
    </xf>
    <xf numFmtId="165" fontId="217" fillId="2" borderId="0" xfId="0" applyNumberFormat="1" applyFont="1" applyFill="1" applyAlignment="1" applyProtection="1">
      <alignment horizontal="right" vertical="center"/>
      <protection hidden="1"/>
    </xf>
    <xf numFmtId="14" fontId="17" fillId="0" borderId="12" xfId="0" applyNumberFormat="1" applyFont="1" applyBorder="1" applyAlignment="1" applyProtection="1">
      <alignment horizontal="center" vertical="center"/>
      <protection locked="0"/>
    </xf>
    <xf numFmtId="0" fontId="17" fillId="2" borderId="3" xfId="0" applyFont="1" applyFill="1" applyBorder="1" applyAlignment="1" applyProtection="1">
      <alignment horizontal="center" vertical="center"/>
      <protection hidden="1"/>
    </xf>
    <xf numFmtId="0" fontId="216" fillId="3" borderId="8" xfId="0" applyFont="1" applyFill="1" applyBorder="1" applyAlignment="1" applyProtection="1">
      <alignment horizontal="center" vertical="center"/>
      <protection hidden="1"/>
    </xf>
    <xf numFmtId="14" fontId="22" fillId="0" borderId="21" xfId="0" applyNumberFormat="1" applyFont="1" applyBorder="1" applyAlignment="1" applyProtection="1">
      <alignment horizontal="center"/>
      <protection locked="0"/>
    </xf>
    <xf numFmtId="0" fontId="12" fillId="6" borderId="1" xfId="0" applyFont="1" applyFill="1" applyBorder="1" applyProtection="1">
      <protection hidden="1"/>
    </xf>
    <xf numFmtId="0" fontId="12" fillId="7" borderId="0" xfId="0" applyFont="1" applyFill="1" applyAlignment="1" applyProtection="1">
      <alignment horizontal="right"/>
      <protection hidden="1"/>
    </xf>
    <xf numFmtId="0" fontId="12" fillId="6" borderId="0" xfId="0" applyFont="1" applyFill="1" applyProtection="1">
      <protection hidden="1"/>
    </xf>
    <xf numFmtId="0" fontId="198" fillId="7" borderId="0" xfId="0" applyFont="1" applyFill="1" applyAlignment="1" applyProtection="1">
      <alignment horizontal="right"/>
      <protection hidden="1"/>
    </xf>
    <xf numFmtId="0" fontId="12" fillId="7" borderId="0" xfId="0" applyFont="1" applyFill="1" applyAlignment="1" applyProtection="1">
      <alignment horizontal="left"/>
      <protection hidden="1"/>
    </xf>
    <xf numFmtId="0" fontId="198" fillId="7" borderId="0" xfId="0" applyFont="1" applyFill="1" applyAlignment="1" applyProtection="1">
      <alignment horizontal="left"/>
      <protection hidden="1"/>
    </xf>
    <xf numFmtId="0" fontId="194" fillId="7" borderId="0" xfId="0" applyFont="1" applyFill="1" applyAlignment="1" applyProtection="1">
      <alignment horizontal="right"/>
      <protection hidden="1"/>
    </xf>
    <xf numFmtId="0" fontId="222" fillId="0" borderId="0" xfId="0" applyFont="1" applyAlignment="1">
      <alignment horizontal="right"/>
    </xf>
    <xf numFmtId="0" fontId="222" fillId="0" borderId="0" xfId="0" applyFont="1"/>
    <xf numFmtId="0" fontId="12" fillId="4" borderId="12" xfId="0" applyFont="1" applyFill="1" applyBorder="1" applyAlignment="1" applyProtection="1">
      <alignment horizontal="left"/>
      <protection hidden="1"/>
    </xf>
    <xf numFmtId="0" fontId="223" fillId="7" borderId="0" xfId="0" applyFont="1" applyFill="1" applyAlignment="1" applyProtection="1">
      <alignment horizontal="left"/>
      <protection hidden="1"/>
    </xf>
    <xf numFmtId="0" fontId="210" fillId="7" borderId="0" xfId="0" applyFont="1" applyFill="1" applyProtection="1">
      <protection hidden="1"/>
    </xf>
    <xf numFmtId="0" fontId="78" fillId="23" borderId="0" xfId="0" applyFont="1" applyFill="1" applyAlignment="1" applyProtection="1">
      <alignment horizontal="left"/>
      <protection hidden="1"/>
    </xf>
    <xf numFmtId="0" fontId="12" fillId="0" borderId="0" xfId="0" applyFont="1" applyAlignment="1">
      <alignment horizontal="right"/>
    </xf>
    <xf numFmtId="166" fontId="183" fillId="17" borderId="0" xfId="0" quotePrefix="1" applyNumberFormat="1" applyFont="1" applyFill="1" applyAlignment="1" applyProtection="1">
      <alignment horizontal="left" vertical="top"/>
      <protection hidden="1"/>
    </xf>
    <xf numFmtId="0" fontId="224" fillId="0" borderId="0" xfId="0" applyFont="1" applyAlignment="1" applyProtection="1">
      <alignment horizontal="center"/>
      <protection hidden="1"/>
    </xf>
    <xf numFmtId="1" fontId="172" fillId="0" borderId="0" xfId="0" applyNumberFormat="1" applyFont="1" applyProtection="1">
      <protection hidden="1"/>
    </xf>
    <xf numFmtId="0" fontId="225" fillId="0" borderId="0" xfId="0" applyFont="1" applyAlignment="1" applyProtection="1">
      <alignment horizontal="center"/>
      <protection hidden="1"/>
    </xf>
    <xf numFmtId="0" fontId="225" fillId="0" borderId="0" xfId="0" applyFont="1" applyAlignment="1" applyProtection="1">
      <alignment horizontal="center" vertical="center"/>
      <protection hidden="1"/>
    </xf>
    <xf numFmtId="0" fontId="224" fillId="0" borderId="0" xfId="0" applyFont="1" applyAlignment="1" applyProtection="1">
      <alignment horizontal="center" vertical="center"/>
      <protection hidden="1"/>
    </xf>
    <xf numFmtId="0" fontId="172" fillId="0" borderId="0" xfId="0" applyFont="1" applyAlignment="1">
      <alignment vertical="center"/>
    </xf>
    <xf numFmtId="0" fontId="194" fillId="0" borderId="0" xfId="0" applyFont="1" applyProtection="1">
      <protection hidden="1"/>
    </xf>
    <xf numFmtId="0" fontId="226" fillId="7" borderId="0" xfId="0" applyFont="1" applyFill="1" applyAlignment="1" applyProtection="1">
      <alignment horizontal="left"/>
      <protection hidden="1"/>
    </xf>
    <xf numFmtId="14" fontId="17" fillId="0" borderId="0" xfId="0" applyNumberFormat="1" applyFont="1" applyProtection="1">
      <protection hidden="1"/>
    </xf>
    <xf numFmtId="0" fontId="223" fillId="7" borderId="0" xfId="0" applyFont="1" applyFill="1" applyProtection="1">
      <protection hidden="1"/>
    </xf>
    <xf numFmtId="0" fontId="89" fillId="2" borderId="0" xfId="0" applyFont="1" applyFill="1" applyAlignment="1" applyProtection="1">
      <alignment horizontal="right"/>
      <protection hidden="1"/>
    </xf>
    <xf numFmtId="0" fontId="22" fillId="5" borderId="7" xfId="0" applyFont="1" applyFill="1" applyBorder="1" applyAlignment="1" applyProtection="1">
      <alignment vertical="center"/>
      <protection hidden="1"/>
    </xf>
    <xf numFmtId="0" fontId="215" fillId="2" borderId="0" xfId="0" applyFont="1" applyFill="1" applyAlignment="1" applyProtection="1">
      <alignment horizontal="center"/>
      <protection hidden="1"/>
    </xf>
    <xf numFmtId="166" fontId="204" fillId="2" borderId="0" xfId="1" applyNumberFormat="1" applyFont="1" applyFill="1" applyAlignment="1" applyProtection="1">
      <alignment vertical="center"/>
      <protection hidden="1"/>
    </xf>
    <xf numFmtId="0" fontId="17" fillId="5" borderId="9" xfId="0" applyFont="1" applyFill="1" applyBorder="1" applyAlignment="1" applyProtection="1">
      <alignment vertical="center"/>
      <protection hidden="1"/>
    </xf>
    <xf numFmtId="43" fontId="17" fillId="0" borderId="0" xfId="2" applyFont="1" applyProtection="1">
      <protection hidden="1"/>
    </xf>
    <xf numFmtId="0" fontId="213" fillId="0" borderId="0" xfId="0" applyFont="1" applyProtection="1">
      <protection hidden="1"/>
    </xf>
    <xf numFmtId="0" fontId="12" fillId="4" borderId="9" xfId="0" applyFont="1" applyFill="1" applyBorder="1" applyAlignment="1" applyProtection="1">
      <alignment vertical="center"/>
      <protection hidden="1"/>
    </xf>
    <xf numFmtId="0" fontId="227" fillId="2" borderId="0" xfId="0" applyFont="1" applyFill="1" applyProtection="1">
      <protection hidden="1"/>
    </xf>
    <xf numFmtId="0" fontId="228" fillId="2" borderId="0" xfId="0" applyFont="1" applyFill="1" applyProtection="1">
      <protection hidden="1"/>
    </xf>
    <xf numFmtId="3" fontId="229" fillId="0" borderId="0" xfId="0" applyNumberFormat="1" applyFont="1" applyProtection="1">
      <protection hidden="1"/>
    </xf>
    <xf numFmtId="165" fontId="228" fillId="0" borderId="0" xfId="0" applyNumberFormat="1" applyFont="1" applyProtection="1">
      <protection hidden="1"/>
    </xf>
    <xf numFmtId="0" fontId="186" fillId="0" borderId="0" xfId="0" applyFont="1" applyProtection="1">
      <protection hidden="1"/>
    </xf>
    <xf numFmtId="3" fontId="207" fillId="2" borderId="0" xfId="0" applyNumberFormat="1" applyFont="1" applyFill="1" applyAlignment="1" applyProtection="1">
      <alignment horizontal="left" vertical="center"/>
      <protection hidden="1"/>
    </xf>
    <xf numFmtId="166" fontId="216" fillId="2" borderId="0" xfId="1" applyNumberFormat="1" applyFont="1" applyFill="1" applyAlignment="1" applyProtection="1">
      <alignment horizontal="center" vertical="center"/>
      <protection hidden="1"/>
    </xf>
    <xf numFmtId="0" fontId="206" fillId="2" borderId="18" xfId="0" applyFont="1" applyFill="1" applyBorder="1" applyAlignment="1" applyProtection="1">
      <alignment horizontal="center" vertical="center"/>
      <protection hidden="1"/>
    </xf>
    <xf numFmtId="0" fontId="19" fillId="2" borderId="8" xfId="0" applyFont="1" applyFill="1" applyBorder="1"/>
    <xf numFmtId="166" fontId="183" fillId="0" borderId="0" xfId="0" applyNumberFormat="1" applyFont="1" applyProtection="1">
      <protection hidden="1"/>
    </xf>
    <xf numFmtId="2" fontId="150" fillId="4" borderId="9" xfId="0" applyNumberFormat="1" applyFont="1" applyFill="1" applyBorder="1" applyAlignment="1" applyProtection="1">
      <alignment horizontal="left" vertical="center"/>
      <protection hidden="1"/>
    </xf>
    <xf numFmtId="0" fontId="216" fillId="2" borderId="0" xfId="0" applyFont="1" applyFill="1" applyAlignment="1" applyProtection="1">
      <alignment horizontal="left" vertical="center"/>
      <protection hidden="1"/>
    </xf>
    <xf numFmtId="0" fontId="12" fillId="2" borderId="0" xfId="0" applyFont="1" applyFill="1" applyAlignment="1" applyProtection="1">
      <alignment horizontal="center"/>
      <protection hidden="1"/>
    </xf>
    <xf numFmtId="0" fontId="231" fillId="0" borderId="0" xfId="0" applyFont="1" applyAlignment="1" applyProtection="1">
      <alignment horizontal="center"/>
      <protection hidden="1"/>
    </xf>
    <xf numFmtId="0" fontId="12" fillId="4" borderId="7" xfId="0" applyFont="1" applyFill="1" applyBorder="1" applyAlignment="1" applyProtection="1">
      <alignment horizontal="left"/>
      <protection hidden="1"/>
    </xf>
    <xf numFmtId="3" fontId="207" fillId="2" borderId="3" xfId="0" applyNumberFormat="1" applyFont="1" applyFill="1" applyBorder="1" applyAlignment="1" applyProtection="1">
      <alignment horizontal="left" vertical="center"/>
      <protection hidden="1"/>
    </xf>
    <xf numFmtId="10" fontId="22" fillId="14" borderId="19" xfId="0" applyNumberFormat="1" applyFont="1" applyFill="1" applyBorder="1" applyAlignment="1" applyProtection="1">
      <alignment horizontal="center" vertical="center" wrapText="1"/>
      <protection hidden="1"/>
    </xf>
    <xf numFmtId="3" fontId="12" fillId="7" borderId="0" xfId="0" applyNumberFormat="1" applyFont="1" applyFill="1" applyProtection="1">
      <protection hidden="1"/>
    </xf>
    <xf numFmtId="0" fontId="12" fillId="6" borderId="19" xfId="0" applyFont="1" applyFill="1" applyBorder="1" applyProtection="1">
      <protection hidden="1"/>
    </xf>
    <xf numFmtId="0" fontId="12" fillId="6" borderId="10" xfId="0" applyFont="1" applyFill="1" applyBorder="1" applyProtection="1">
      <protection hidden="1"/>
    </xf>
    <xf numFmtId="0" fontId="12" fillId="6" borderId="3" xfId="0" applyFont="1" applyFill="1" applyBorder="1" applyProtection="1">
      <protection hidden="1"/>
    </xf>
    <xf numFmtId="0" fontId="12" fillId="6" borderId="2" xfId="0" applyFont="1" applyFill="1" applyBorder="1" applyProtection="1">
      <protection hidden="1"/>
    </xf>
    <xf numFmtId="0" fontId="223" fillId="7" borderId="0" xfId="0" quotePrefix="1" applyFont="1" applyFill="1" applyAlignment="1" applyProtection="1">
      <alignment horizontal="left"/>
      <protection hidden="1"/>
    </xf>
    <xf numFmtId="0" fontId="12" fillId="4" borderId="8" xfId="0" applyFont="1" applyFill="1" applyBorder="1" applyAlignment="1" applyProtection="1">
      <alignment horizontal="left"/>
      <protection hidden="1"/>
    </xf>
    <xf numFmtId="3" fontId="236" fillId="0" borderId="0" xfId="0" applyNumberFormat="1" applyFont="1" applyProtection="1">
      <protection hidden="1"/>
    </xf>
    <xf numFmtId="0" fontId="236" fillId="0" borderId="0" xfId="0" applyFont="1" applyProtection="1">
      <protection hidden="1"/>
    </xf>
    <xf numFmtId="0" fontId="233" fillId="0" borderId="0" xfId="0" applyFont="1" applyProtection="1">
      <protection hidden="1"/>
    </xf>
    <xf numFmtId="0" fontId="186" fillId="2" borderId="0" xfId="0" applyFont="1" applyFill="1"/>
    <xf numFmtId="0" fontId="206" fillId="8" borderId="12" xfId="0" applyFont="1" applyFill="1" applyBorder="1" applyAlignment="1" applyProtection="1">
      <alignment horizontal="center"/>
      <protection locked="0"/>
    </xf>
    <xf numFmtId="9" fontId="186" fillId="0" borderId="0" xfId="0" applyNumberFormat="1" applyFont="1" applyProtection="1">
      <protection hidden="1"/>
    </xf>
    <xf numFmtId="166" fontId="22" fillId="3" borderId="18" xfId="0" applyNumberFormat="1" applyFont="1" applyFill="1" applyBorder="1" applyAlignment="1" applyProtection="1">
      <alignment horizontal="center" vertical="center"/>
      <protection hidden="1"/>
    </xf>
    <xf numFmtId="3" fontId="22" fillId="4" borderId="21" xfId="0" applyNumberFormat="1" applyFont="1" applyFill="1" applyBorder="1" applyAlignment="1" applyProtection="1">
      <alignment horizontal="right"/>
      <protection hidden="1"/>
    </xf>
    <xf numFmtId="3" fontId="150" fillId="3" borderId="12" xfId="0" applyNumberFormat="1" applyFont="1" applyFill="1" applyBorder="1" applyAlignment="1" applyProtection="1">
      <alignment horizontal="center" vertical="center"/>
      <protection hidden="1"/>
    </xf>
    <xf numFmtId="3" fontId="22" fillId="0" borderId="9" xfId="0" applyNumberFormat="1" applyFont="1" applyBorder="1" applyAlignment="1" applyProtection="1">
      <alignment horizontal="right" vertical="center"/>
      <protection locked="0"/>
    </xf>
    <xf numFmtId="3" fontId="22" fillId="4" borderId="34" xfId="0" applyNumberFormat="1" applyFont="1" applyFill="1" applyBorder="1" applyAlignment="1" applyProtection="1">
      <alignment horizontal="right"/>
      <protection hidden="1"/>
    </xf>
    <xf numFmtId="3" fontId="22" fillId="4" borderId="35" xfId="0" applyNumberFormat="1" applyFont="1" applyFill="1" applyBorder="1" applyAlignment="1" applyProtection="1">
      <alignment horizontal="right"/>
      <protection hidden="1"/>
    </xf>
    <xf numFmtId="1" fontId="19" fillId="2" borderId="4" xfId="0" applyNumberFormat="1" applyFont="1" applyFill="1" applyBorder="1" applyAlignment="1" applyProtection="1">
      <alignment horizontal="center"/>
      <protection hidden="1"/>
    </xf>
    <xf numFmtId="1" fontId="19" fillId="2" borderId="5" xfId="0" applyNumberFormat="1" applyFont="1" applyFill="1" applyBorder="1" applyAlignment="1" applyProtection="1">
      <alignment horizontal="center"/>
      <protection hidden="1"/>
    </xf>
    <xf numFmtId="3" fontId="22" fillId="0" borderId="9" xfId="0" applyNumberFormat="1" applyFont="1" applyBorder="1" applyAlignment="1" applyProtection="1">
      <alignment horizontal="left" vertical="center"/>
      <protection locked="0"/>
    </xf>
    <xf numFmtId="3" fontId="22" fillId="0" borderId="8" xfId="0" applyNumberFormat="1" applyFont="1" applyBorder="1" applyAlignment="1" applyProtection="1">
      <alignment horizontal="right" vertical="center"/>
      <protection locked="0"/>
    </xf>
    <xf numFmtId="1" fontId="237" fillId="2" borderId="18" xfId="1" applyNumberFormat="1" applyFont="1" applyFill="1" applyBorder="1" applyAlignment="1" applyProtection="1">
      <alignment horizontal="center" vertical="center"/>
      <protection hidden="1"/>
    </xf>
    <xf numFmtId="1" fontId="19" fillId="2" borderId="21" xfId="0" applyNumberFormat="1" applyFont="1" applyFill="1" applyBorder="1" applyAlignment="1" applyProtection="1">
      <alignment horizontal="center"/>
      <protection hidden="1"/>
    </xf>
    <xf numFmtId="1" fontId="19" fillId="2" borderId="20" xfId="0" applyNumberFormat="1" applyFont="1" applyFill="1" applyBorder="1" applyAlignment="1" applyProtection="1">
      <alignment horizontal="center"/>
      <protection hidden="1"/>
    </xf>
    <xf numFmtId="1" fontId="19" fillId="2" borderId="18" xfId="0" applyNumberFormat="1" applyFont="1" applyFill="1" applyBorder="1" applyAlignment="1" applyProtection="1">
      <alignment horizontal="center"/>
      <protection hidden="1"/>
    </xf>
    <xf numFmtId="0" fontId="194" fillId="3" borderId="9" xfId="0" applyFont="1" applyFill="1" applyBorder="1" applyProtection="1">
      <protection hidden="1"/>
    </xf>
    <xf numFmtId="3" fontId="150" fillId="3" borderId="9" xfId="0" applyNumberFormat="1" applyFont="1" applyFill="1" applyBorder="1" applyAlignment="1" applyProtection="1">
      <alignment horizontal="center" vertical="center"/>
      <protection hidden="1"/>
    </xf>
    <xf numFmtId="1" fontId="237" fillId="2" borderId="6" xfId="1" applyNumberFormat="1" applyFont="1" applyFill="1" applyBorder="1" applyAlignment="1" applyProtection="1">
      <alignment horizontal="center" vertical="center"/>
      <protection hidden="1"/>
    </xf>
    <xf numFmtId="0" fontId="239" fillId="0" borderId="0" xfId="0" applyFont="1" applyProtection="1">
      <protection hidden="1"/>
    </xf>
    <xf numFmtId="0" fontId="246" fillId="0" borderId="0" xfId="0" applyFont="1"/>
    <xf numFmtId="3" fontId="184" fillId="0" borderId="0" xfId="0" applyNumberFormat="1" applyFont="1"/>
    <xf numFmtId="1" fontId="186" fillId="2" borderId="0" xfId="0" applyNumberFormat="1" applyFont="1" applyFill="1" applyAlignment="1" applyProtection="1">
      <alignment vertical="center"/>
      <protection hidden="1"/>
    </xf>
    <xf numFmtId="1" fontId="19" fillId="2" borderId="19" xfId="0" applyNumberFormat="1" applyFont="1" applyFill="1" applyBorder="1" applyProtection="1">
      <protection hidden="1"/>
    </xf>
    <xf numFmtId="1" fontId="19" fillId="2" borderId="10" xfId="0" applyNumberFormat="1" applyFont="1" applyFill="1" applyBorder="1" applyProtection="1">
      <protection hidden="1"/>
    </xf>
    <xf numFmtId="1" fontId="213" fillId="2" borderId="1" xfId="0" applyNumberFormat="1" applyFont="1" applyFill="1" applyBorder="1" applyAlignment="1" applyProtection="1">
      <alignment vertical="center"/>
      <protection hidden="1"/>
    </xf>
    <xf numFmtId="3" fontId="150" fillId="3" borderId="12" xfId="0" applyNumberFormat="1" applyFont="1" applyFill="1" applyBorder="1" applyAlignment="1" applyProtection="1">
      <alignment horizontal="left"/>
      <protection hidden="1"/>
    </xf>
    <xf numFmtId="1" fontId="213" fillId="2" borderId="0" xfId="0" applyNumberFormat="1" applyFont="1" applyFill="1" applyAlignment="1" applyProtection="1">
      <alignment vertical="center"/>
      <protection hidden="1"/>
    </xf>
    <xf numFmtId="0" fontId="194" fillId="2" borderId="0" xfId="0" applyFont="1" applyFill="1" applyProtection="1">
      <protection hidden="1"/>
    </xf>
    <xf numFmtId="0" fontId="182" fillId="2" borderId="0" xfId="0" applyFont="1" applyFill="1" applyAlignment="1" applyProtection="1">
      <alignment horizontal="center"/>
      <protection hidden="1"/>
    </xf>
    <xf numFmtId="3" fontId="247" fillId="3" borderId="9" xfId="0" applyNumberFormat="1" applyFont="1" applyFill="1" applyBorder="1" applyProtection="1">
      <protection hidden="1"/>
    </xf>
    <xf numFmtId="3" fontId="247" fillId="3" borderId="7" xfId="0" applyNumberFormat="1" applyFont="1" applyFill="1" applyBorder="1" applyProtection="1">
      <protection hidden="1"/>
    </xf>
    <xf numFmtId="3" fontId="247" fillId="3" borderId="8" xfId="0" applyNumberFormat="1" applyFont="1" applyFill="1" applyBorder="1" applyProtection="1">
      <protection hidden="1"/>
    </xf>
    <xf numFmtId="14" fontId="183" fillId="0" borderId="0" xfId="0" applyNumberFormat="1" applyFont="1" applyProtection="1">
      <protection hidden="1"/>
    </xf>
    <xf numFmtId="0" fontId="182" fillId="2" borderId="0" xfId="0" applyFont="1" applyFill="1" applyAlignment="1" applyProtection="1">
      <alignment horizontal="left" vertical="center"/>
      <protection hidden="1"/>
    </xf>
    <xf numFmtId="0" fontId="249" fillId="2" borderId="0" xfId="0" applyFont="1" applyFill="1" applyAlignment="1" applyProtection="1">
      <alignment vertical="center" wrapText="1"/>
      <protection hidden="1"/>
    </xf>
    <xf numFmtId="0" fontId="249" fillId="0" borderId="0" xfId="0" applyFont="1" applyAlignment="1" applyProtection="1">
      <alignment vertical="center" wrapText="1"/>
      <protection hidden="1"/>
    </xf>
    <xf numFmtId="0" fontId="46" fillId="0" borderId="0" xfId="0" applyFont="1" applyAlignment="1" applyProtection="1">
      <alignment vertical="center"/>
      <protection hidden="1"/>
    </xf>
    <xf numFmtId="3" fontId="194" fillId="3" borderId="9" xfId="0" applyNumberFormat="1" applyFont="1" applyFill="1" applyBorder="1" applyProtection="1">
      <protection hidden="1"/>
    </xf>
    <xf numFmtId="0" fontId="12" fillId="2" borderId="0" xfId="0" applyFont="1" applyFill="1" applyAlignment="1" applyProtection="1">
      <alignment horizontal="right"/>
      <protection hidden="1"/>
    </xf>
    <xf numFmtId="0" fontId="182" fillId="2" borderId="0" xfId="0" applyFont="1" applyFill="1" applyAlignment="1" applyProtection="1">
      <alignment vertical="center"/>
      <protection hidden="1"/>
    </xf>
    <xf numFmtId="0" fontId="17" fillId="2" borderId="5" xfId="0" applyFont="1" applyFill="1" applyBorder="1" applyAlignment="1" applyProtection="1">
      <alignment horizontal="right"/>
      <protection hidden="1"/>
    </xf>
    <xf numFmtId="0" fontId="131" fillId="2" borderId="0" xfId="0" applyFont="1" applyFill="1" applyAlignment="1" applyProtection="1">
      <alignment horizontal="right" vertical="center"/>
      <protection hidden="1"/>
    </xf>
    <xf numFmtId="0" fontId="250" fillId="4" borderId="7" xfId="0" applyFont="1" applyFill="1" applyBorder="1" applyAlignment="1" applyProtection="1">
      <alignment vertical="center"/>
      <protection hidden="1"/>
    </xf>
    <xf numFmtId="0" fontId="207" fillId="2" borderId="0" xfId="0" applyFont="1" applyFill="1" applyAlignment="1" applyProtection="1">
      <alignment vertical="center"/>
      <protection hidden="1"/>
    </xf>
    <xf numFmtId="0" fontId="12" fillId="5" borderId="3" xfId="0" applyFont="1" applyFill="1" applyBorder="1" applyProtection="1">
      <protection hidden="1"/>
    </xf>
    <xf numFmtId="0" fontId="12" fillId="5" borderId="6" xfId="0" applyFont="1" applyFill="1" applyBorder="1" applyProtection="1">
      <protection hidden="1"/>
    </xf>
    <xf numFmtId="0" fontId="12" fillId="4" borderId="8" xfId="0" applyFont="1" applyFill="1" applyBorder="1" applyProtection="1">
      <protection hidden="1"/>
    </xf>
    <xf numFmtId="0" fontId="12" fillId="0" borderId="12" xfId="0" applyFont="1" applyBorder="1" applyAlignment="1" applyProtection="1">
      <alignment horizontal="center"/>
      <protection locked="0" hidden="1"/>
    </xf>
    <xf numFmtId="14" fontId="12" fillId="0" borderId="0" xfId="0" applyNumberFormat="1" applyFont="1"/>
    <xf numFmtId="175" fontId="12" fillId="0" borderId="0" xfId="0" applyNumberFormat="1" applyFont="1"/>
    <xf numFmtId="3" fontId="12" fillId="0" borderId="0" xfId="0" applyNumberFormat="1" applyFont="1"/>
    <xf numFmtId="0" fontId="15" fillId="5" borderId="10" xfId="0" applyFont="1" applyFill="1" applyBorder="1" applyProtection="1">
      <protection hidden="1"/>
    </xf>
    <xf numFmtId="0" fontId="15" fillId="5" borderId="3" xfId="0" applyFont="1" applyFill="1" applyBorder="1" applyProtection="1">
      <protection hidden="1"/>
    </xf>
    <xf numFmtId="0" fontId="61" fillId="0" borderId="0" xfId="0" applyFont="1" applyAlignment="1" applyProtection="1">
      <alignment vertical="center"/>
      <protection hidden="1"/>
    </xf>
    <xf numFmtId="0" fontId="147" fillId="20" borderId="0" xfId="0" applyFont="1" applyFill="1" applyAlignment="1" applyProtection="1">
      <alignment vertical="center"/>
      <protection hidden="1"/>
    </xf>
    <xf numFmtId="0" fontId="147" fillId="19" borderId="3" xfId="0" applyFont="1" applyFill="1" applyBorder="1" applyAlignment="1" applyProtection="1">
      <alignment vertical="center"/>
      <protection hidden="1"/>
    </xf>
    <xf numFmtId="0" fontId="147" fillId="19" borderId="6" xfId="0" applyFont="1" applyFill="1" applyBorder="1" applyAlignment="1" applyProtection="1">
      <alignment vertical="center"/>
      <protection hidden="1"/>
    </xf>
    <xf numFmtId="0" fontId="22" fillId="20" borderId="0" xfId="0" applyFont="1" applyFill="1" applyAlignment="1">
      <alignment vertical="center"/>
    </xf>
    <xf numFmtId="0" fontId="207" fillId="20" borderId="0" xfId="0" applyFont="1" applyFill="1" applyAlignment="1" applyProtection="1">
      <alignment vertical="center"/>
      <protection hidden="1"/>
    </xf>
    <xf numFmtId="0" fontId="22" fillId="20" borderId="0" xfId="0" applyFont="1" applyFill="1" applyAlignment="1" applyProtection="1">
      <alignment vertical="center"/>
      <protection hidden="1"/>
    </xf>
    <xf numFmtId="0" fontId="147" fillId="0" borderId="0" xfId="0" applyFont="1" applyAlignment="1" applyProtection="1">
      <alignment vertical="center"/>
      <protection hidden="1"/>
    </xf>
    <xf numFmtId="0" fontId="147" fillId="18" borderId="12" xfId="0" applyFont="1" applyFill="1" applyBorder="1" applyAlignment="1" applyProtection="1">
      <alignment horizontal="center" vertical="center"/>
      <protection locked="0"/>
    </xf>
    <xf numFmtId="3" fontId="150" fillId="4" borderId="12" xfId="0" applyNumberFormat="1" applyFont="1" applyFill="1" applyBorder="1" applyAlignment="1" applyProtection="1">
      <alignment horizontal="right" vertical="center" wrapText="1"/>
      <protection hidden="1"/>
    </xf>
    <xf numFmtId="0" fontId="49" fillId="2" borderId="0" xfId="0" applyFont="1" applyFill="1" applyAlignment="1" applyProtection="1">
      <alignment horizontal="left" vertical="center"/>
      <protection hidden="1"/>
    </xf>
    <xf numFmtId="0" fontId="252" fillId="2" borderId="0" xfId="0" applyFont="1" applyFill="1" applyAlignment="1" applyProtection="1">
      <alignment horizontal="left" vertical="center"/>
      <protection hidden="1"/>
    </xf>
    <xf numFmtId="0" fontId="19" fillId="4" borderId="7" xfId="0" applyFont="1" applyFill="1" applyBorder="1" applyAlignment="1" applyProtection="1">
      <alignment horizontal="left"/>
      <protection hidden="1"/>
    </xf>
    <xf numFmtId="0" fontId="19" fillId="4" borderId="8" xfId="0" applyFont="1" applyFill="1" applyBorder="1" applyAlignment="1" applyProtection="1">
      <alignment horizontal="right"/>
      <protection hidden="1"/>
    </xf>
    <xf numFmtId="9" fontId="0" fillId="0" borderId="0" xfId="0" applyNumberFormat="1"/>
    <xf numFmtId="0" fontId="253" fillId="0" borderId="0" xfId="0" applyFont="1"/>
    <xf numFmtId="10" fontId="206" fillId="18" borderId="12" xfId="3" applyNumberFormat="1" applyFont="1" applyFill="1" applyBorder="1" applyAlignment="1" applyProtection="1">
      <alignment horizontal="center" vertical="center"/>
      <protection locked="0"/>
    </xf>
    <xf numFmtId="9" fontId="17" fillId="5" borderId="12" xfId="0" applyNumberFormat="1" applyFont="1" applyFill="1" applyBorder="1" applyAlignment="1" applyProtection="1">
      <alignment horizontal="center" vertical="center"/>
      <protection hidden="1"/>
    </xf>
    <xf numFmtId="0" fontId="207" fillId="0" borderId="0" xfId="0" applyFont="1" applyProtection="1">
      <protection hidden="1"/>
    </xf>
    <xf numFmtId="0" fontId="43" fillId="2" borderId="0" xfId="0" applyFont="1" applyFill="1" applyAlignment="1" applyProtection="1">
      <alignment horizontal="right"/>
      <protection hidden="1"/>
    </xf>
    <xf numFmtId="174" fontId="22" fillId="0" borderId="12" xfId="0" applyNumberFormat="1" applyFont="1" applyBorder="1" applyAlignment="1" applyProtection="1">
      <alignment horizontal="center"/>
      <protection locked="0"/>
    </xf>
    <xf numFmtId="1" fontId="183" fillId="0" borderId="0" xfId="0" applyNumberFormat="1" applyFont="1" applyProtection="1">
      <protection hidden="1"/>
    </xf>
    <xf numFmtId="0" fontId="194" fillId="4" borderId="19" xfId="0" applyFont="1" applyFill="1" applyBorder="1" applyProtection="1">
      <protection hidden="1"/>
    </xf>
    <xf numFmtId="0" fontId="194" fillId="4" borderId="4" xfId="0" applyFont="1" applyFill="1" applyBorder="1" applyProtection="1">
      <protection hidden="1"/>
    </xf>
    <xf numFmtId="0" fontId="184" fillId="17" borderId="19" xfId="0" applyFont="1" applyFill="1" applyBorder="1" applyProtection="1">
      <protection hidden="1"/>
    </xf>
    <xf numFmtId="0" fontId="184" fillId="17" borderId="1" xfId="0" applyFont="1" applyFill="1" applyBorder="1" applyProtection="1">
      <protection hidden="1"/>
    </xf>
    <xf numFmtId="0" fontId="184" fillId="17" borderId="4" xfId="0" applyFont="1" applyFill="1" applyBorder="1" applyProtection="1">
      <protection hidden="1"/>
    </xf>
    <xf numFmtId="0" fontId="254" fillId="17" borderId="19" xfId="0" applyFont="1" applyFill="1" applyBorder="1" applyProtection="1">
      <protection hidden="1"/>
    </xf>
    <xf numFmtId="0" fontId="207" fillId="20" borderId="0" xfId="0" applyFont="1" applyFill="1" applyProtection="1">
      <protection hidden="1"/>
    </xf>
    <xf numFmtId="0" fontId="22" fillId="20" borderId="0" xfId="0" applyFont="1" applyFill="1" applyProtection="1">
      <protection hidden="1"/>
    </xf>
    <xf numFmtId="0" fontId="12" fillId="6" borderId="4" xfId="0" applyFont="1" applyFill="1" applyBorder="1" applyProtection="1">
      <protection hidden="1"/>
    </xf>
    <xf numFmtId="14" fontId="161" fillId="0" borderId="0" xfId="0" applyNumberFormat="1" applyFont="1"/>
    <xf numFmtId="9" fontId="161" fillId="0" borderId="0" xfId="0" applyNumberFormat="1" applyFont="1"/>
    <xf numFmtId="9" fontId="17" fillId="4" borderId="12" xfId="3" applyFont="1" applyFill="1" applyBorder="1" applyAlignment="1" applyProtection="1">
      <alignment horizontal="right"/>
      <protection hidden="1"/>
    </xf>
    <xf numFmtId="0" fontId="12" fillId="8" borderId="12" xfId="0" applyFont="1" applyFill="1" applyBorder="1" applyAlignment="1" applyProtection="1">
      <alignment horizontal="center" vertical="center"/>
      <protection locked="0"/>
    </xf>
    <xf numFmtId="3" fontId="161" fillId="0" borderId="0" xfId="0" applyNumberFormat="1" applyFont="1"/>
    <xf numFmtId="3" fontId="17" fillId="4" borderId="7" xfId="0" applyNumberFormat="1" applyFont="1" applyFill="1" applyBorder="1" applyProtection="1">
      <protection hidden="1"/>
    </xf>
    <xf numFmtId="3" fontId="17" fillId="0" borderId="0" xfId="0" applyNumberFormat="1" applyFont="1" applyAlignment="1" applyProtection="1">
      <alignment horizontal="right"/>
      <protection hidden="1"/>
    </xf>
    <xf numFmtId="3" fontId="17" fillId="0" borderId="12" xfId="0" applyNumberFormat="1" applyFont="1" applyBorder="1" applyAlignment="1" applyProtection="1">
      <alignment horizontal="center"/>
      <protection locked="0"/>
    </xf>
    <xf numFmtId="0" fontId="12" fillId="6" borderId="12" xfId="0" applyFont="1" applyFill="1" applyBorder="1" applyAlignment="1" applyProtection="1">
      <alignment horizontal="center"/>
      <protection hidden="1"/>
    </xf>
    <xf numFmtId="3" fontId="255" fillId="4" borderId="8" xfId="0" applyNumberFormat="1" applyFont="1" applyFill="1" applyBorder="1" applyAlignment="1" applyProtection="1">
      <alignment horizontal="center"/>
      <protection hidden="1"/>
    </xf>
    <xf numFmtId="3" fontId="17" fillId="4" borderId="12" xfId="2" applyNumberFormat="1" applyFont="1" applyFill="1" applyBorder="1" applyAlignment="1" applyProtection="1">
      <alignment horizontal="right"/>
      <protection hidden="1"/>
    </xf>
    <xf numFmtId="3" fontId="17" fillId="4" borderId="12" xfId="3" applyNumberFormat="1" applyFont="1" applyFill="1" applyBorder="1" applyAlignment="1" applyProtection="1">
      <alignment horizontal="right"/>
      <protection hidden="1"/>
    </xf>
    <xf numFmtId="43" fontId="17" fillId="0" borderId="0" xfId="8" applyFont="1" applyProtection="1">
      <protection hidden="1"/>
    </xf>
    <xf numFmtId="0" fontId="12" fillId="4" borderId="1" xfId="0" applyFont="1" applyFill="1" applyBorder="1"/>
    <xf numFmtId="0" fontId="12" fillId="4" borderId="4" xfId="0" applyFont="1" applyFill="1" applyBorder="1"/>
    <xf numFmtId="0" fontId="12" fillId="0" borderId="0" xfId="0" applyFont="1" applyAlignment="1">
      <alignment horizontal="center"/>
    </xf>
    <xf numFmtId="0" fontId="17" fillId="20" borderId="12" xfId="1" applyFont="1" applyFill="1" applyBorder="1" applyAlignment="1" applyProtection="1">
      <alignment horizontal="center" vertical="center"/>
      <protection hidden="1"/>
    </xf>
    <xf numFmtId="0" fontId="12" fillId="4" borderId="19" xfId="0" applyFont="1" applyFill="1" applyBorder="1"/>
    <xf numFmtId="177" fontId="19" fillId="0" borderId="20" xfId="2" applyNumberFormat="1" applyFont="1" applyBorder="1" applyProtection="1">
      <protection hidden="1"/>
    </xf>
    <xf numFmtId="0" fontId="19" fillId="0" borderId="18" xfId="0" applyFont="1" applyBorder="1" applyProtection="1">
      <protection hidden="1"/>
    </xf>
    <xf numFmtId="3" fontId="150" fillId="4" borderId="9" xfId="0" applyNumberFormat="1" applyFont="1" applyFill="1" applyBorder="1" applyProtection="1">
      <protection hidden="1"/>
    </xf>
    <xf numFmtId="3" fontId="150" fillId="4" borderId="7" xfId="0" applyNumberFormat="1" applyFont="1" applyFill="1" applyBorder="1" applyProtection="1">
      <protection hidden="1"/>
    </xf>
    <xf numFmtId="3" fontId="150" fillId="4" borderId="8" xfId="0" applyNumberFormat="1" applyFont="1" applyFill="1" applyBorder="1" applyProtection="1">
      <protection hidden="1"/>
    </xf>
    <xf numFmtId="0" fontId="22" fillId="2" borderId="4" xfId="0" quotePrefix="1" applyFont="1" applyFill="1" applyBorder="1" applyAlignment="1" applyProtection="1">
      <alignment horizontal="center"/>
      <protection hidden="1"/>
    </xf>
    <xf numFmtId="0" fontId="50" fillId="2" borderId="5" xfId="0" applyFont="1" applyFill="1" applyBorder="1"/>
    <xf numFmtId="0" fontId="19" fillId="2" borderId="5" xfId="0" applyFont="1" applyFill="1" applyBorder="1"/>
    <xf numFmtId="166" fontId="22" fillId="2" borderId="5" xfId="0" applyNumberFormat="1" applyFont="1" applyFill="1" applyBorder="1"/>
    <xf numFmtId="166" fontId="22" fillId="2" borderId="6" xfId="0" applyNumberFormat="1" applyFont="1" applyFill="1" applyBorder="1"/>
    <xf numFmtId="166" fontId="194" fillId="2" borderId="0" xfId="0" applyNumberFormat="1" applyFont="1" applyFill="1" applyAlignment="1" applyProtection="1">
      <alignment horizontal="right" vertical="center"/>
      <protection hidden="1"/>
    </xf>
    <xf numFmtId="0" fontId="194" fillId="2" borderId="0" xfId="0" applyFont="1" applyFill="1" applyAlignment="1" applyProtection="1">
      <alignment horizontal="center" vertical="center"/>
      <protection hidden="1"/>
    </xf>
    <xf numFmtId="0" fontId="12" fillId="2" borderId="0" xfId="0" applyFont="1" applyFill="1" applyAlignment="1" applyProtection="1">
      <alignment vertical="center"/>
      <protection hidden="1"/>
    </xf>
    <xf numFmtId="0" fontId="61" fillId="23" borderId="0" xfId="0" applyFont="1" applyFill="1" applyAlignment="1" applyProtection="1">
      <alignment horizontal="left"/>
      <protection hidden="1"/>
    </xf>
    <xf numFmtId="0" fontId="49" fillId="23" borderId="0" xfId="0" applyFont="1" applyFill="1" applyAlignment="1" applyProtection="1">
      <alignment horizontal="left"/>
      <protection hidden="1"/>
    </xf>
    <xf numFmtId="0" fontId="12" fillId="23" borderId="0" xfId="0" applyFont="1" applyFill="1" applyAlignment="1">
      <alignment horizontal="left" indent="1"/>
    </xf>
    <xf numFmtId="0" fontId="62" fillId="23" borderId="0" xfId="0" applyFont="1" applyFill="1"/>
    <xf numFmtId="0" fontId="12" fillId="23" borderId="0" xfId="0" applyFont="1" applyFill="1"/>
    <xf numFmtId="0" fontId="12" fillId="23" borderId="0" xfId="0" applyFont="1" applyFill="1" applyAlignment="1">
      <alignment horizontal="left" indent="2"/>
    </xf>
    <xf numFmtId="0" fontId="12" fillId="23" borderId="0" xfId="0" applyFont="1" applyFill="1" applyAlignment="1">
      <alignment horizontal="right"/>
    </xf>
    <xf numFmtId="0" fontId="46" fillId="23" borderId="0" xfId="0" applyFont="1" applyFill="1"/>
    <xf numFmtId="0" fontId="24" fillId="23" borderId="1" xfId="0" applyFont="1" applyFill="1" applyBorder="1" applyAlignment="1" applyProtection="1">
      <alignment horizontal="left" vertical="center"/>
      <protection hidden="1"/>
    </xf>
    <xf numFmtId="0" fontId="17" fillId="23" borderId="1" xfId="0" applyFont="1" applyFill="1" applyBorder="1" applyAlignment="1" applyProtection="1">
      <alignment horizontal="left" vertical="center"/>
      <protection locked="0"/>
    </xf>
    <xf numFmtId="0" fontId="206" fillId="23" borderId="12" xfId="0" applyFont="1" applyFill="1" applyBorder="1" applyAlignment="1" applyProtection="1">
      <alignment horizontal="left" vertical="center" indent="1"/>
      <protection hidden="1"/>
    </xf>
    <xf numFmtId="0" fontId="243" fillId="0" borderId="0" xfId="0" applyFont="1" applyProtection="1">
      <protection hidden="1"/>
    </xf>
    <xf numFmtId="0" fontId="243" fillId="2" borderId="0" xfId="0" applyFont="1" applyFill="1" applyAlignment="1" applyProtection="1">
      <alignment horizontal="center"/>
      <protection hidden="1"/>
    </xf>
    <xf numFmtId="1" fontId="213" fillId="0" borderId="0" xfId="0" applyNumberFormat="1" applyFont="1" applyAlignment="1" applyProtection="1">
      <alignment vertical="center"/>
      <protection hidden="1"/>
    </xf>
    <xf numFmtId="0" fontId="146" fillId="0" borderId="0" xfId="0" applyFont="1"/>
    <xf numFmtId="3" fontId="12" fillId="20" borderId="0" xfId="0" applyNumberFormat="1" applyFont="1" applyFill="1" applyProtection="1">
      <protection hidden="1"/>
    </xf>
    <xf numFmtId="0" fontId="12" fillId="20" borderId="0" xfId="0" applyFont="1" applyFill="1" applyAlignment="1" applyProtection="1">
      <alignment horizontal="right"/>
      <protection hidden="1"/>
    </xf>
    <xf numFmtId="0" fontId="12" fillId="20" borderId="0" xfId="0" applyFont="1" applyFill="1" applyAlignment="1" applyProtection="1">
      <alignment horizontal="left"/>
      <protection hidden="1"/>
    </xf>
    <xf numFmtId="0" fontId="78" fillId="20" borderId="0" xfId="0" applyFont="1" applyFill="1" applyAlignment="1" applyProtection="1">
      <alignment horizontal="left"/>
      <protection hidden="1"/>
    </xf>
    <xf numFmtId="0" fontId="78" fillId="20" borderId="0" xfId="0" applyFont="1" applyFill="1" applyProtection="1">
      <protection hidden="1"/>
    </xf>
    <xf numFmtId="0" fontId="89" fillId="20" borderId="0" xfId="0" applyFont="1" applyFill="1" applyAlignment="1" applyProtection="1">
      <alignment horizontal="center"/>
      <protection hidden="1"/>
    </xf>
    <xf numFmtId="0" fontId="12" fillId="20" borderId="12" xfId="0" applyFont="1" applyFill="1" applyBorder="1" applyProtection="1">
      <protection hidden="1"/>
    </xf>
    <xf numFmtId="0" fontId="12" fillId="20" borderId="9" xfId="0" applyFont="1" applyFill="1" applyBorder="1" applyProtection="1">
      <protection hidden="1"/>
    </xf>
    <xf numFmtId="0" fontId="89" fillId="20" borderId="8" xfId="0" applyFont="1" applyFill="1" applyBorder="1" applyAlignment="1" applyProtection="1">
      <alignment horizontal="center"/>
      <protection hidden="1"/>
    </xf>
    <xf numFmtId="0" fontId="42" fillId="20" borderId="0" xfId="0" applyFont="1" applyFill="1" applyAlignment="1" applyProtection="1">
      <alignment horizontal="center"/>
      <protection hidden="1"/>
    </xf>
    <xf numFmtId="0" fontId="22" fillId="20" borderId="0" xfId="0" applyFont="1" applyFill="1" applyAlignment="1" applyProtection="1">
      <alignment horizontal="center"/>
      <protection hidden="1"/>
    </xf>
    <xf numFmtId="0" fontId="78" fillId="20" borderId="0" xfId="0" quotePrefix="1" applyFont="1" applyFill="1" applyAlignment="1" applyProtection="1">
      <alignment horizontal="left"/>
      <protection hidden="1"/>
    </xf>
    <xf numFmtId="0" fontId="78" fillId="20" borderId="0" xfId="0" applyFont="1" applyFill="1" applyAlignment="1" applyProtection="1">
      <alignment horizontal="left" vertical="center"/>
      <protection hidden="1"/>
    </xf>
    <xf numFmtId="3" fontId="12" fillId="20" borderId="0" xfId="0" applyNumberFormat="1" applyFont="1" applyFill="1" applyAlignment="1" applyProtection="1">
      <alignment horizontal="right"/>
      <protection hidden="1"/>
    </xf>
    <xf numFmtId="0" fontId="161" fillId="20" borderId="0" xfId="0" applyFont="1" applyFill="1"/>
    <xf numFmtId="0" fontId="12" fillId="20" borderId="0" xfId="0" applyFont="1" applyFill="1" applyAlignment="1" applyProtection="1">
      <alignment horizontal="right" wrapText="1"/>
      <protection hidden="1"/>
    </xf>
    <xf numFmtId="0" fontId="12" fillId="20" borderId="0" xfId="0" applyFont="1" applyFill="1" applyAlignment="1" applyProtection="1">
      <alignment horizontal="center"/>
      <protection hidden="1"/>
    </xf>
    <xf numFmtId="0" fontId="17" fillId="20" borderId="0" xfId="0" applyFont="1" applyFill="1" applyAlignment="1" applyProtection="1">
      <alignment horizontal="right" wrapText="1"/>
      <protection hidden="1"/>
    </xf>
    <xf numFmtId="0" fontId="78" fillId="20" borderId="0" xfId="0" applyFont="1" applyFill="1" applyAlignment="1" applyProtection="1">
      <alignment horizontal="center" vertical="center"/>
      <protection hidden="1"/>
    </xf>
    <xf numFmtId="0" fontId="79" fillId="20" borderId="0" xfId="0" applyFont="1" applyFill="1" applyAlignment="1" applyProtection="1">
      <alignment horizontal="center"/>
      <protection hidden="1"/>
    </xf>
    <xf numFmtId="0" fontId="12" fillId="20" borderId="0" xfId="0" applyFont="1" applyFill="1" applyAlignment="1" applyProtection="1">
      <alignment wrapText="1"/>
      <protection hidden="1"/>
    </xf>
    <xf numFmtId="0" fontId="42" fillId="20" borderId="0" xfId="0" quotePrefix="1" applyFont="1" applyFill="1" applyAlignment="1" applyProtection="1">
      <alignment horizontal="center"/>
      <protection hidden="1"/>
    </xf>
    <xf numFmtId="0" fontId="78" fillId="20" borderId="0" xfId="0" quotePrefix="1" applyFont="1" applyFill="1" applyProtection="1">
      <protection hidden="1"/>
    </xf>
    <xf numFmtId="0" fontId="105" fillId="20" borderId="0" xfId="0" applyFont="1" applyFill="1" applyProtection="1">
      <protection hidden="1"/>
    </xf>
    <xf numFmtId="0" fontId="105" fillId="20" borderId="0" xfId="0" applyFont="1" applyFill="1" applyAlignment="1" applyProtection="1">
      <alignment horizontal="right"/>
      <protection hidden="1"/>
    </xf>
    <xf numFmtId="0" fontId="256" fillId="20" borderId="0" xfId="0" quotePrefix="1" applyFont="1" applyFill="1" applyAlignment="1" applyProtection="1">
      <alignment vertical="center"/>
      <protection hidden="1"/>
    </xf>
    <xf numFmtId="0" fontId="19" fillId="20" borderId="0" xfId="0" applyFont="1" applyFill="1" applyProtection="1">
      <protection hidden="1"/>
    </xf>
    <xf numFmtId="0" fontId="61" fillId="20" borderId="0" xfId="0" quotePrefix="1" applyFont="1" applyFill="1" applyAlignment="1" applyProtection="1">
      <alignment horizontal="left"/>
      <protection hidden="1"/>
    </xf>
    <xf numFmtId="3" fontId="17" fillId="20" borderId="0" xfId="0" applyNumberFormat="1" applyFont="1" applyFill="1" applyAlignment="1" applyProtection="1">
      <alignment horizontal="right"/>
      <protection hidden="1"/>
    </xf>
    <xf numFmtId="0" fontId="240" fillId="20" borderId="0" xfId="0" applyFont="1" applyFill="1" applyProtection="1">
      <protection hidden="1"/>
    </xf>
    <xf numFmtId="0" fontId="12" fillId="20" borderId="0" xfId="0" applyFont="1" applyFill="1" applyAlignment="1" applyProtection="1">
      <alignment horizontal="left" wrapText="1"/>
      <protection hidden="1"/>
    </xf>
    <xf numFmtId="0" fontId="198" fillId="20" borderId="0" xfId="0" applyFont="1" applyFill="1" applyProtection="1">
      <protection hidden="1"/>
    </xf>
    <xf numFmtId="14" fontId="17" fillId="20" borderId="0" xfId="0" applyNumberFormat="1" applyFont="1" applyFill="1" applyAlignment="1" applyProtection="1">
      <alignment horizontal="center"/>
      <protection hidden="1"/>
    </xf>
    <xf numFmtId="0" fontId="194" fillId="20" borderId="0" xfId="0" applyFont="1" applyFill="1" applyAlignment="1" applyProtection="1">
      <alignment horizontal="left"/>
      <protection hidden="1"/>
    </xf>
    <xf numFmtId="3" fontId="161" fillId="20" borderId="0" xfId="0" applyNumberFormat="1" applyFont="1" applyFill="1"/>
    <xf numFmtId="0" fontId="186" fillId="20" borderId="0" xfId="0" applyFont="1" applyFill="1" applyProtection="1">
      <protection hidden="1"/>
    </xf>
    <xf numFmtId="3" fontId="42" fillId="20" borderId="0" xfId="0" applyNumberFormat="1" applyFont="1" applyFill="1" applyAlignment="1" applyProtection="1">
      <alignment horizontal="center"/>
      <protection hidden="1"/>
    </xf>
    <xf numFmtId="3" fontId="78" fillId="20" borderId="0" xfId="0" quotePrefix="1" applyNumberFormat="1" applyFont="1" applyFill="1" applyProtection="1">
      <protection hidden="1"/>
    </xf>
    <xf numFmtId="9" fontId="161" fillId="0" borderId="0" xfId="0" applyNumberFormat="1" applyFont="1" applyProtection="1">
      <protection hidden="1"/>
    </xf>
    <xf numFmtId="17" fontId="17" fillId="0" borderId="12" xfId="0" applyNumberFormat="1" applyFont="1" applyBorder="1" applyAlignment="1" applyProtection="1">
      <alignment horizontal="center"/>
      <protection locked="0" hidden="1"/>
    </xf>
    <xf numFmtId="14" fontId="161" fillId="0" borderId="0" xfId="0" applyNumberFormat="1" applyFont="1" applyProtection="1">
      <protection hidden="1"/>
    </xf>
    <xf numFmtId="14" fontId="17" fillId="0" borderId="12" xfId="0" applyNumberFormat="1" applyFont="1" applyBorder="1" applyAlignment="1" applyProtection="1">
      <alignment horizontal="center"/>
      <protection locked="0" hidden="1"/>
    </xf>
    <xf numFmtId="3" fontId="17" fillId="0" borderId="12" xfId="0" applyNumberFormat="1" applyFont="1" applyBorder="1" applyAlignment="1" applyProtection="1">
      <alignment horizontal="right"/>
      <protection locked="0" hidden="1"/>
    </xf>
    <xf numFmtId="3" fontId="161" fillId="0" borderId="0" xfId="0" applyNumberFormat="1" applyFont="1" applyProtection="1">
      <protection hidden="1"/>
    </xf>
    <xf numFmtId="3" fontId="17" fillId="0" borderId="8" xfId="0" applyNumberFormat="1" applyFont="1" applyBorder="1" applyProtection="1">
      <protection locked="0" hidden="1"/>
    </xf>
    <xf numFmtId="0" fontId="17" fillId="8" borderId="12" xfId="0" applyFont="1" applyFill="1" applyBorder="1" applyAlignment="1" applyProtection="1">
      <alignment horizontal="center" vertical="center"/>
      <protection locked="0" hidden="1"/>
    </xf>
    <xf numFmtId="166" fontId="150" fillId="2" borderId="0" xfId="0" applyNumberFormat="1" applyFont="1" applyFill="1" applyAlignment="1" applyProtection="1">
      <alignment horizontal="right" vertical="center"/>
      <protection hidden="1"/>
    </xf>
    <xf numFmtId="166" fontId="150" fillId="2" borderId="0" xfId="0" applyNumberFormat="1" applyFont="1" applyFill="1" applyAlignment="1" applyProtection="1">
      <alignment vertical="center"/>
      <protection hidden="1"/>
    </xf>
    <xf numFmtId="0" fontId="206" fillId="2" borderId="0" xfId="0" applyFont="1" applyFill="1" applyAlignment="1" applyProtection="1">
      <alignment vertical="center"/>
      <protection hidden="1"/>
    </xf>
    <xf numFmtId="166" fontId="150" fillId="0" borderId="0" xfId="0" applyNumberFormat="1" applyFont="1" applyAlignment="1" applyProtection="1">
      <alignment vertical="center"/>
      <protection hidden="1"/>
    </xf>
    <xf numFmtId="0" fontId="0" fillId="0" borderId="0" xfId="0" applyAlignment="1">
      <alignment vertical="top"/>
    </xf>
    <xf numFmtId="49" fontId="12" fillId="0" borderId="0" xfId="0" applyNumberFormat="1" applyFont="1" applyAlignment="1" applyProtection="1">
      <alignment horizontal="left"/>
      <protection locked="0" hidden="1"/>
    </xf>
    <xf numFmtId="1" fontId="186" fillId="0" borderId="0" xfId="0" applyNumberFormat="1" applyFont="1" applyAlignment="1" applyProtection="1">
      <alignment horizontal="center"/>
      <protection hidden="1"/>
    </xf>
    <xf numFmtId="1" fontId="12" fillId="0" borderId="0" xfId="0" applyNumberFormat="1" applyFont="1" applyAlignment="1" applyProtection="1">
      <alignment horizontal="left"/>
      <protection hidden="1"/>
    </xf>
    <xf numFmtId="49" fontId="12" fillId="0" borderId="0" xfId="0" applyNumberFormat="1" applyFont="1"/>
    <xf numFmtId="49" fontId="25" fillId="0" borderId="0" xfId="0" applyNumberFormat="1" applyFont="1"/>
    <xf numFmtId="0" fontId="42" fillId="0" borderId="0" xfId="0" quotePrefix="1" applyFont="1"/>
    <xf numFmtId="0" fontId="63" fillId="0" borderId="0" xfId="0" applyFont="1"/>
    <xf numFmtId="0" fontId="25" fillId="11" borderId="0" xfId="0" applyFont="1" applyFill="1"/>
    <xf numFmtId="0" fontId="38" fillId="0" borderId="0" xfId="0" applyFont="1"/>
    <xf numFmtId="49" fontId="12" fillId="10" borderId="0" xfId="0" applyNumberFormat="1" applyFont="1" applyFill="1" applyAlignment="1">
      <alignment horizontal="center"/>
    </xf>
    <xf numFmtId="0" fontId="12" fillId="10" borderId="0" xfId="0" applyFont="1" applyFill="1" applyAlignment="1">
      <alignment horizontal="center"/>
    </xf>
    <xf numFmtId="0" fontId="12" fillId="0" borderId="0" xfId="11"/>
    <xf numFmtId="49" fontId="12" fillId="24" borderId="0" xfId="0" applyNumberFormat="1" applyFont="1" applyFill="1"/>
    <xf numFmtId="0" fontId="12" fillId="24" borderId="0" xfId="11" applyFill="1"/>
    <xf numFmtId="0" fontId="183" fillId="0" borderId="0" xfId="0" applyFont="1"/>
    <xf numFmtId="0" fontId="267" fillId="0" borderId="0" xfId="0" applyFont="1"/>
    <xf numFmtId="0" fontId="12" fillId="24" borderId="0" xfId="0" applyFont="1" applyFill="1"/>
    <xf numFmtId="49" fontId="268" fillId="0" borderId="0" xfId="0" applyNumberFormat="1" applyFont="1"/>
    <xf numFmtId="0" fontId="268" fillId="0" borderId="0" xfId="0" applyFont="1"/>
    <xf numFmtId="49" fontId="183" fillId="0" borderId="0" xfId="0" applyNumberFormat="1" applyFont="1"/>
    <xf numFmtId="0" fontId="10" fillId="0" borderId="0" xfId="12"/>
    <xf numFmtId="0" fontId="183" fillId="23" borderId="0" xfId="0" applyFont="1" applyFill="1"/>
    <xf numFmtId="0" fontId="182" fillId="23" borderId="1" xfId="0" applyFont="1" applyFill="1" applyBorder="1" applyAlignment="1">
      <alignment horizontal="center" vertical="center"/>
    </xf>
    <xf numFmtId="3" fontId="194" fillId="0" borderId="0" xfId="0" applyNumberFormat="1" applyFont="1" applyAlignment="1" applyProtection="1">
      <alignment horizontal="right"/>
      <protection hidden="1"/>
    </xf>
    <xf numFmtId="1" fontId="194" fillId="0" borderId="0" xfId="0" applyNumberFormat="1" applyFont="1" applyAlignment="1" applyProtection="1">
      <alignment horizontal="left"/>
      <protection hidden="1"/>
    </xf>
    <xf numFmtId="3" fontId="0" fillId="0" borderId="0" xfId="0" applyNumberFormat="1" applyProtection="1">
      <protection hidden="1"/>
    </xf>
    <xf numFmtId="166" fontId="0" fillId="0" borderId="0" xfId="0" applyNumberFormat="1" applyProtection="1">
      <protection hidden="1"/>
    </xf>
    <xf numFmtId="3" fontId="0" fillId="0" borderId="29" xfId="0" applyNumberFormat="1" applyBorder="1" applyProtection="1">
      <protection hidden="1"/>
    </xf>
    <xf numFmtId="3" fontId="0" fillId="0" borderId="23" xfId="0" applyNumberFormat="1" applyBorder="1" applyProtection="1">
      <protection hidden="1"/>
    </xf>
    <xf numFmtId="179" fontId="0" fillId="0" borderId="23" xfId="0" applyNumberFormat="1" applyBorder="1" applyProtection="1">
      <protection hidden="1"/>
    </xf>
    <xf numFmtId="3" fontId="0" fillId="0" borderId="14" xfId="0" applyNumberFormat="1" applyBorder="1" applyProtection="1">
      <protection hidden="1"/>
    </xf>
    <xf numFmtId="166" fontId="194" fillId="0" borderId="0" xfId="0" applyNumberFormat="1" applyFont="1" applyAlignment="1" applyProtection="1">
      <alignment horizontal="center"/>
      <protection hidden="1"/>
    </xf>
    <xf numFmtId="3" fontId="12" fillId="0" borderId="14" xfId="0" applyNumberFormat="1" applyFont="1" applyBorder="1" applyProtection="1">
      <protection hidden="1"/>
    </xf>
    <xf numFmtId="179" fontId="12" fillId="0" borderId="24" xfId="0" applyNumberFormat="1" applyFont="1" applyBorder="1" applyProtection="1">
      <protection hidden="1"/>
    </xf>
    <xf numFmtId="3" fontId="12" fillId="0" borderId="12" xfId="0" applyNumberFormat="1" applyFont="1" applyBorder="1" applyProtection="1">
      <protection hidden="1"/>
    </xf>
    <xf numFmtId="3" fontId="12" fillId="0" borderId="38" xfId="0" applyNumberFormat="1" applyFont="1" applyBorder="1" applyProtection="1">
      <protection hidden="1"/>
    </xf>
    <xf numFmtId="179" fontId="12" fillId="0" borderId="8" xfId="0" applyNumberFormat="1" applyFont="1" applyBorder="1" applyProtection="1">
      <protection hidden="1"/>
    </xf>
    <xf numFmtId="179" fontId="12" fillId="0" borderId="12" xfId="0" applyNumberFormat="1" applyFont="1" applyBorder="1" applyProtection="1">
      <protection hidden="1"/>
    </xf>
    <xf numFmtId="3" fontId="194" fillId="0" borderId="0" xfId="0" applyNumberFormat="1" applyFont="1" applyProtection="1">
      <protection hidden="1"/>
    </xf>
    <xf numFmtId="179" fontId="0" fillId="0" borderId="14" xfId="0" applyNumberFormat="1" applyBorder="1" applyProtection="1">
      <protection hidden="1"/>
    </xf>
    <xf numFmtId="3" fontId="0" fillId="0" borderId="11" xfId="0" applyNumberFormat="1" applyBorder="1" applyProtection="1">
      <protection hidden="1"/>
    </xf>
    <xf numFmtId="179" fontId="0" fillId="0" borderId="0" xfId="0" applyNumberFormat="1" applyProtection="1">
      <protection hidden="1"/>
    </xf>
    <xf numFmtId="3" fontId="0" fillId="0" borderId="2" xfId="0" applyNumberFormat="1" applyBorder="1" applyProtection="1">
      <protection hidden="1"/>
    </xf>
    <xf numFmtId="179" fontId="0" fillId="0" borderId="1" xfId="0" applyNumberFormat="1" applyBorder="1" applyProtection="1">
      <protection hidden="1"/>
    </xf>
    <xf numFmtId="3" fontId="0" fillId="0" borderId="1" xfId="0" applyNumberFormat="1" applyBorder="1" applyProtection="1">
      <protection hidden="1"/>
    </xf>
    <xf numFmtId="3" fontId="239" fillId="0" borderId="0" xfId="0" applyNumberFormat="1" applyFont="1" applyProtection="1">
      <protection hidden="1"/>
    </xf>
    <xf numFmtId="166" fontId="239" fillId="0" borderId="0" xfId="0" applyNumberFormat="1" applyFont="1" applyProtection="1">
      <protection hidden="1"/>
    </xf>
    <xf numFmtId="3" fontId="245" fillId="0" borderId="0" xfId="0" applyNumberFormat="1" applyFont="1" applyProtection="1">
      <protection hidden="1"/>
    </xf>
    <xf numFmtId="3" fontId="241" fillId="0" borderId="0" xfId="0" applyNumberFormat="1" applyFont="1" applyProtection="1">
      <protection hidden="1"/>
    </xf>
    <xf numFmtId="166" fontId="12" fillId="0" borderId="0" xfId="0" applyNumberFormat="1" applyFont="1" applyAlignment="1" applyProtection="1">
      <alignment horizontal="center"/>
      <protection hidden="1"/>
    </xf>
    <xf numFmtId="166" fontId="194" fillId="0" borderId="0" xfId="0" applyNumberFormat="1" applyFont="1" applyProtection="1">
      <protection hidden="1"/>
    </xf>
    <xf numFmtId="179" fontId="0" fillId="0" borderId="15" xfId="0" applyNumberFormat="1" applyBorder="1" applyProtection="1">
      <protection hidden="1"/>
    </xf>
    <xf numFmtId="3" fontId="0" fillId="0" borderId="16" xfId="0" applyNumberFormat="1" applyBorder="1" applyProtection="1">
      <protection hidden="1"/>
    </xf>
    <xf numFmtId="3" fontId="0" fillId="0" borderId="17" xfId="0" applyNumberFormat="1" applyBorder="1" applyProtection="1">
      <protection hidden="1"/>
    </xf>
    <xf numFmtId="179" fontId="0" fillId="0" borderId="5" xfId="0" applyNumberFormat="1" applyBorder="1" applyProtection="1">
      <protection hidden="1"/>
    </xf>
    <xf numFmtId="3" fontId="0" fillId="0" borderId="5" xfId="0" applyNumberFormat="1" applyBorder="1" applyProtection="1">
      <protection hidden="1"/>
    </xf>
    <xf numFmtId="3" fontId="0" fillId="0" borderId="6" xfId="0" applyNumberFormat="1" applyBorder="1" applyProtection="1">
      <protection hidden="1"/>
    </xf>
    <xf numFmtId="179" fontId="0" fillId="0" borderId="4" xfId="0" applyNumberFormat="1" applyBorder="1" applyProtection="1">
      <protection hidden="1"/>
    </xf>
    <xf numFmtId="3" fontId="0" fillId="0" borderId="39" xfId="0" applyNumberFormat="1" applyBorder="1" applyProtection="1">
      <protection hidden="1"/>
    </xf>
    <xf numFmtId="3" fontId="240" fillId="0" borderId="0" xfId="0" applyNumberFormat="1" applyFont="1" applyProtection="1">
      <protection hidden="1"/>
    </xf>
    <xf numFmtId="166" fontId="240" fillId="0" borderId="0" xfId="0" applyNumberFormat="1" applyFont="1" applyProtection="1">
      <protection hidden="1"/>
    </xf>
    <xf numFmtId="179" fontId="183" fillId="0" borderId="29" xfId="0" applyNumberFormat="1" applyFont="1" applyBorder="1" applyProtection="1">
      <protection hidden="1"/>
    </xf>
    <xf numFmtId="3" fontId="183" fillId="0" borderId="23" xfId="0" applyNumberFormat="1" applyFont="1" applyBorder="1" applyProtection="1">
      <protection hidden="1"/>
    </xf>
    <xf numFmtId="179" fontId="183" fillId="0" borderId="23" xfId="0" applyNumberFormat="1" applyFont="1" applyBorder="1" applyProtection="1">
      <protection hidden="1"/>
    </xf>
    <xf numFmtId="3" fontId="183" fillId="0" borderId="41" xfId="0" applyNumberFormat="1" applyFont="1" applyBorder="1" applyProtection="1">
      <protection hidden="1"/>
    </xf>
    <xf numFmtId="179" fontId="183" fillId="0" borderId="14" xfId="0" applyNumberFormat="1" applyFont="1" applyBorder="1" applyProtection="1">
      <protection hidden="1"/>
    </xf>
    <xf numFmtId="179" fontId="183" fillId="0" borderId="0" xfId="0" applyNumberFormat="1" applyFont="1" applyProtection="1">
      <protection hidden="1"/>
    </xf>
    <xf numFmtId="3" fontId="183" fillId="0" borderId="11" xfId="0" applyNumberFormat="1" applyFont="1" applyBorder="1" applyProtection="1">
      <protection hidden="1"/>
    </xf>
    <xf numFmtId="3" fontId="0" fillId="0" borderId="15" xfId="0" applyNumberFormat="1" applyBorder="1" applyProtection="1">
      <protection hidden="1"/>
    </xf>
    <xf numFmtId="3" fontId="186" fillId="0" borderId="15" xfId="0" applyNumberFormat="1" applyFont="1" applyBorder="1" applyProtection="1">
      <protection hidden="1"/>
    </xf>
    <xf numFmtId="3" fontId="183" fillId="0" borderId="16" xfId="0" applyNumberFormat="1" applyFont="1" applyBorder="1" applyProtection="1">
      <protection hidden="1"/>
    </xf>
    <xf numFmtId="179" fontId="183" fillId="0" borderId="16" xfId="0" applyNumberFormat="1" applyFont="1" applyBorder="1" applyProtection="1">
      <protection hidden="1"/>
    </xf>
    <xf numFmtId="3" fontId="183" fillId="0" borderId="17" xfId="0" applyNumberFormat="1" applyFont="1" applyBorder="1" applyProtection="1">
      <protection hidden="1"/>
    </xf>
    <xf numFmtId="179" fontId="0" fillId="0" borderId="16" xfId="0" applyNumberFormat="1" applyBorder="1" applyProtection="1">
      <protection hidden="1"/>
    </xf>
    <xf numFmtId="3" fontId="12" fillId="0" borderId="0" xfId="0" applyNumberFormat="1" applyFont="1" applyAlignment="1" applyProtection="1">
      <alignment horizontal="center" vertical="center" wrapText="1"/>
      <protection hidden="1"/>
    </xf>
    <xf numFmtId="3" fontId="179" fillId="0" borderId="0" xfId="0" applyNumberFormat="1" applyFont="1" applyAlignment="1" applyProtection="1">
      <alignment horizontal="center" vertical="center" wrapText="1"/>
      <protection hidden="1"/>
    </xf>
    <xf numFmtId="179" fontId="12" fillId="0" borderId="0" xfId="0" applyNumberFormat="1" applyFont="1" applyProtection="1">
      <protection hidden="1"/>
    </xf>
    <xf numFmtId="3" fontId="186" fillId="0" borderId="0" xfId="0" applyNumberFormat="1" applyFont="1" applyProtection="1">
      <protection hidden="1"/>
    </xf>
    <xf numFmtId="3" fontId="242" fillId="0" borderId="0" xfId="0" applyNumberFormat="1" applyFont="1" applyProtection="1">
      <protection hidden="1"/>
    </xf>
    <xf numFmtId="179" fontId="242" fillId="0" borderId="0" xfId="0" applyNumberFormat="1" applyFont="1" applyProtection="1">
      <protection hidden="1"/>
    </xf>
    <xf numFmtId="3" fontId="243" fillId="0" borderId="42" xfId="0" applyNumberFormat="1" applyFont="1" applyBorder="1" applyProtection="1">
      <protection hidden="1"/>
    </xf>
    <xf numFmtId="3" fontId="243" fillId="0" borderId="43" xfId="0" applyNumberFormat="1" applyFont="1" applyBorder="1" applyProtection="1">
      <protection hidden="1"/>
    </xf>
    <xf numFmtId="3" fontId="244" fillId="0" borderId="44" xfId="0" applyNumberFormat="1" applyFont="1" applyBorder="1" applyAlignment="1" applyProtection="1">
      <alignment wrapText="1"/>
      <protection hidden="1"/>
    </xf>
    <xf numFmtId="0" fontId="260" fillId="2" borderId="10" xfId="0" applyFont="1" applyFill="1" applyBorder="1" applyAlignment="1" applyProtection="1">
      <alignment vertical="center" wrapText="1"/>
      <protection hidden="1"/>
    </xf>
    <xf numFmtId="0" fontId="260" fillId="2" borderId="0" xfId="0" applyFont="1" applyFill="1" applyAlignment="1" applyProtection="1">
      <alignment vertical="center" wrapText="1"/>
      <protection hidden="1"/>
    </xf>
    <xf numFmtId="0" fontId="260" fillId="2" borderId="5" xfId="0" applyFont="1" applyFill="1" applyBorder="1" applyAlignment="1" applyProtection="1">
      <alignment vertical="center" wrapText="1"/>
      <protection hidden="1"/>
    </xf>
    <xf numFmtId="165" fontId="22" fillId="0" borderId="12" xfId="0" applyNumberFormat="1" applyFont="1" applyBorder="1" applyAlignment="1" applyProtection="1">
      <alignment horizontal="right" vertical="center"/>
      <protection locked="0"/>
    </xf>
    <xf numFmtId="0" fontId="206" fillId="2" borderId="0" xfId="0" applyFont="1" applyFill="1" applyProtection="1">
      <protection hidden="1"/>
    </xf>
    <xf numFmtId="0" fontId="150" fillId="2" borderId="0" xfId="0" applyFont="1" applyFill="1" applyAlignment="1" applyProtection="1">
      <alignment horizontal="left" vertical="center"/>
      <protection hidden="1"/>
    </xf>
    <xf numFmtId="0" fontId="12" fillId="5" borderId="9" xfId="0" applyFont="1" applyFill="1" applyBorder="1" applyAlignment="1" applyProtection="1">
      <alignment vertical="center"/>
      <protection hidden="1"/>
    </xf>
    <xf numFmtId="0" fontId="272" fillId="2" borderId="0" xfId="0" applyFont="1" applyFill="1" applyAlignment="1" applyProtection="1">
      <alignment vertical="center"/>
      <protection hidden="1"/>
    </xf>
    <xf numFmtId="165" fontId="17" fillId="0" borderId="12" xfId="0" applyNumberFormat="1" applyFont="1" applyBorder="1" applyAlignment="1" applyProtection="1">
      <alignment vertical="center"/>
      <protection locked="0"/>
    </xf>
    <xf numFmtId="0" fontId="272" fillId="2" borderId="0" xfId="0" applyFont="1" applyFill="1" applyAlignment="1" applyProtection="1">
      <alignment horizontal="left" vertical="center"/>
      <protection hidden="1"/>
    </xf>
    <xf numFmtId="0" fontId="274" fillId="0" borderId="0" xfId="0" applyFont="1" applyAlignment="1" applyProtection="1">
      <alignment horizontal="center" vertical="center"/>
      <protection hidden="1"/>
    </xf>
    <xf numFmtId="0" fontId="274" fillId="0" borderId="0" xfId="0" applyFont="1" applyProtection="1">
      <protection hidden="1"/>
    </xf>
    <xf numFmtId="1" fontId="275" fillId="0" borderId="0" xfId="0" applyNumberFormat="1" applyFont="1" applyAlignment="1" applyProtection="1">
      <alignment horizontal="center"/>
      <protection hidden="1"/>
    </xf>
    <xf numFmtId="0" fontId="269" fillId="20" borderId="19" xfId="0" applyFont="1" applyFill="1" applyBorder="1" applyAlignment="1" applyProtection="1">
      <alignment horizontal="left"/>
      <protection hidden="1"/>
    </xf>
    <xf numFmtId="0" fontId="269" fillId="20" borderId="10" xfId="0" applyFont="1" applyFill="1" applyBorder="1" applyProtection="1">
      <protection hidden="1"/>
    </xf>
    <xf numFmtId="0" fontId="269" fillId="20" borderId="3" xfId="0" applyFont="1" applyFill="1" applyBorder="1" applyProtection="1">
      <protection hidden="1"/>
    </xf>
    <xf numFmtId="0" fontId="269" fillId="20" borderId="12" xfId="0" applyFont="1" applyFill="1" applyBorder="1" applyAlignment="1" applyProtection="1">
      <alignment horizontal="center" vertical="center"/>
      <protection hidden="1"/>
    </xf>
    <xf numFmtId="3" fontId="270" fillId="4" borderId="6" xfId="0" applyNumberFormat="1" applyFont="1" applyFill="1" applyBorder="1" applyProtection="1">
      <protection hidden="1"/>
    </xf>
    <xf numFmtId="166" fontId="270" fillId="3" borderId="18" xfId="0" applyNumberFormat="1" applyFont="1" applyFill="1" applyBorder="1" applyProtection="1">
      <protection hidden="1"/>
    </xf>
    <xf numFmtId="0" fontId="270" fillId="8" borderId="12" xfId="0" applyFont="1" applyFill="1" applyBorder="1" applyAlignment="1" applyProtection="1">
      <alignment horizontal="center"/>
      <protection locked="0"/>
    </xf>
    <xf numFmtId="0" fontId="273" fillId="0" borderId="0" xfId="0" applyFont="1" applyProtection="1">
      <protection hidden="1"/>
    </xf>
    <xf numFmtId="0" fontId="273" fillId="0" borderId="0" xfId="0" applyFont="1" applyAlignment="1" applyProtection="1">
      <alignment horizontal="center"/>
      <protection hidden="1"/>
    </xf>
    <xf numFmtId="0" fontId="273" fillId="0" borderId="0" xfId="0" applyFont="1" applyProtection="1">
      <protection locked="0"/>
    </xf>
    <xf numFmtId="180" fontId="0" fillId="0" borderId="0" xfId="0" applyNumberFormat="1"/>
    <xf numFmtId="0" fontId="278" fillId="9" borderId="0" xfId="0" applyFont="1" applyFill="1" applyAlignment="1">
      <alignment horizontal="center" wrapText="1"/>
    </xf>
    <xf numFmtId="0" fontId="0" fillId="9" borderId="0" xfId="0" applyFill="1" applyAlignment="1">
      <alignment horizontal="left"/>
    </xf>
    <xf numFmtId="181" fontId="0" fillId="9" borderId="0" xfId="0" applyNumberFormat="1" applyFill="1"/>
    <xf numFmtId="0" fontId="12" fillId="0" borderId="0" xfId="0" quotePrefix="1" applyFont="1"/>
    <xf numFmtId="181" fontId="277" fillId="9" borderId="0" xfId="0" applyNumberFormat="1" applyFont="1" applyFill="1" applyAlignment="1">
      <alignment horizontal="center" wrapText="1"/>
    </xf>
    <xf numFmtId="167" fontId="278" fillId="9" borderId="0" xfId="0" applyNumberFormat="1" applyFont="1" applyFill="1" applyAlignment="1">
      <alignment horizontal="center"/>
    </xf>
    <xf numFmtId="182" fontId="277" fillId="9" borderId="0" xfId="0" applyNumberFormat="1" applyFont="1" applyFill="1" applyAlignment="1">
      <alignment horizontal="center" wrapText="1"/>
    </xf>
    <xf numFmtId="2" fontId="278" fillId="9" borderId="0" xfId="0" applyNumberFormat="1" applyFont="1" applyFill="1" applyAlignment="1">
      <alignment horizontal="center"/>
    </xf>
    <xf numFmtId="180" fontId="277" fillId="9" borderId="0" xfId="0" applyNumberFormat="1" applyFont="1" applyFill="1" applyAlignment="1">
      <alignment horizontal="center" wrapText="1"/>
    </xf>
    <xf numFmtId="0" fontId="277" fillId="9" borderId="0" xfId="0" applyFont="1" applyFill="1" applyAlignment="1">
      <alignment horizontal="center"/>
    </xf>
    <xf numFmtId="183" fontId="278" fillId="9" borderId="0" xfId="0" applyNumberFormat="1" applyFont="1" applyFill="1" applyAlignment="1">
      <alignment horizontal="center" wrapText="1"/>
    </xf>
    <xf numFmtId="167" fontId="278" fillId="9" borderId="0" xfId="0" applyNumberFormat="1" applyFont="1" applyFill="1" applyAlignment="1">
      <alignment horizontal="center" wrapText="1"/>
    </xf>
    <xf numFmtId="2" fontId="278" fillId="9" borderId="0" xfId="0" quotePrefix="1" applyNumberFormat="1" applyFont="1" applyFill="1" applyAlignment="1">
      <alignment horizontal="center"/>
    </xf>
    <xf numFmtId="2" fontId="278" fillId="9" borderId="0" xfId="0" applyNumberFormat="1" applyFont="1" applyFill="1" applyAlignment="1">
      <alignment horizontal="center" wrapText="1"/>
    </xf>
    <xf numFmtId="180" fontId="278" fillId="9" borderId="0" xfId="0" applyNumberFormat="1" applyFont="1" applyFill="1" applyAlignment="1">
      <alignment horizontal="center" wrapText="1"/>
    </xf>
    <xf numFmtId="0" fontId="0" fillId="20" borderId="0" xfId="0" applyFill="1" applyAlignment="1" applyProtection="1">
      <alignment vertical="center"/>
      <protection hidden="1"/>
    </xf>
    <xf numFmtId="3" fontId="0" fillId="20" borderId="0" xfId="0" applyNumberFormat="1" applyFill="1" applyAlignment="1" applyProtection="1">
      <alignment vertical="center"/>
      <protection hidden="1"/>
    </xf>
    <xf numFmtId="0" fontId="0" fillId="0" borderId="0" xfId="0" applyAlignment="1" applyProtection="1">
      <alignment vertical="center"/>
      <protection hidden="1"/>
    </xf>
    <xf numFmtId="0" fontId="280" fillId="20" borderId="0" xfId="0" applyFont="1" applyFill="1" applyAlignment="1" applyProtection="1">
      <alignment vertical="center"/>
      <protection hidden="1"/>
    </xf>
    <xf numFmtId="3" fontId="282" fillId="0" borderId="12" xfId="0" applyNumberFormat="1" applyFont="1" applyBorder="1" applyAlignment="1" applyProtection="1">
      <alignment vertical="center"/>
      <protection locked="0"/>
    </xf>
    <xf numFmtId="0" fontId="276" fillId="20" borderId="0" xfId="0" applyFont="1" applyFill="1" applyAlignment="1" applyProtection="1">
      <alignment vertical="center"/>
      <protection hidden="1"/>
    </xf>
    <xf numFmtId="0" fontId="203" fillId="20" borderId="0" xfId="0" applyFont="1" applyFill="1" applyAlignment="1" applyProtection="1">
      <alignment vertical="center"/>
      <protection hidden="1"/>
    </xf>
    <xf numFmtId="0" fontId="285" fillId="20" borderId="0" xfId="0" applyFont="1" applyFill="1" applyAlignment="1" applyProtection="1">
      <alignment vertical="center"/>
      <protection hidden="1"/>
    </xf>
    <xf numFmtId="3" fontId="282" fillId="16" borderId="12" xfId="0" applyNumberFormat="1" applyFont="1" applyFill="1" applyBorder="1" applyAlignment="1" applyProtection="1">
      <alignment vertical="center"/>
      <protection hidden="1"/>
    </xf>
    <xf numFmtId="0" fontId="0" fillId="20" borderId="0" xfId="0" applyFill="1" applyAlignment="1" applyProtection="1">
      <alignment horizontal="center" vertical="center"/>
      <protection hidden="1"/>
    </xf>
    <xf numFmtId="0" fontId="286" fillId="20" borderId="0" xfId="0" applyFont="1" applyFill="1" applyAlignment="1" applyProtection="1">
      <alignment vertical="center"/>
      <protection hidden="1"/>
    </xf>
    <xf numFmtId="0" fontId="287" fillId="20" borderId="0" xfId="0" applyFont="1" applyFill="1" applyAlignment="1" applyProtection="1">
      <alignment vertical="center"/>
      <protection hidden="1"/>
    </xf>
    <xf numFmtId="3" fontId="287" fillId="20" borderId="0" xfId="0" applyNumberFormat="1" applyFont="1" applyFill="1" applyAlignment="1" applyProtection="1">
      <alignment vertical="center"/>
      <protection hidden="1"/>
    </xf>
    <xf numFmtId="0" fontId="288" fillId="20" borderId="0" xfId="0" applyFont="1" applyFill="1" applyAlignment="1" applyProtection="1">
      <alignment horizontal="right" vertical="center"/>
      <protection hidden="1"/>
    </xf>
    <xf numFmtId="0" fontId="287" fillId="0" borderId="0" xfId="0" applyFont="1" applyAlignment="1" applyProtection="1">
      <alignment vertical="center"/>
      <protection hidden="1"/>
    </xf>
    <xf numFmtId="3" fontId="285" fillId="20" borderId="0" xfId="0" applyNumberFormat="1" applyFont="1" applyFill="1" applyAlignment="1" applyProtection="1">
      <alignment vertical="center"/>
      <protection hidden="1"/>
    </xf>
    <xf numFmtId="3" fontId="0" fillId="0" borderId="0" xfId="0" applyNumberFormat="1" applyAlignment="1" applyProtection="1">
      <alignment vertical="center"/>
      <protection hidden="1"/>
    </xf>
    <xf numFmtId="0" fontId="285" fillId="0" borderId="0" xfId="0" applyFont="1" applyAlignment="1" applyProtection="1">
      <alignment vertical="center"/>
      <protection hidden="1"/>
    </xf>
    <xf numFmtId="0" fontId="289" fillId="20" borderId="0" xfId="1" applyFont="1" applyFill="1" applyAlignment="1" applyProtection="1">
      <alignment vertical="center"/>
      <protection hidden="1"/>
    </xf>
    <xf numFmtId="0" fontId="0" fillId="18" borderId="12" xfId="0" applyFill="1" applyBorder="1" applyAlignment="1" applyProtection="1">
      <alignment horizontal="center" vertical="center"/>
      <protection locked="0"/>
    </xf>
    <xf numFmtId="3" fontId="204" fillId="20" borderId="0" xfId="1" applyNumberFormat="1" applyFont="1" applyFill="1" applyAlignment="1" applyProtection="1">
      <alignment horizontal="right" vertical="center"/>
      <protection hidden="1"/>
    </xf>
    <xf numFmtId="0" fontId="197" fillId="20" borderId="0" xfId="0" applyFont="1" applyFill="1" applyAlignment="1" applyProtection="1">
      <alignment vertical="center"/>
      <protection hidden="1"/>
    </xf>
    <xf numFmtId="0" fontId="290" fillId="20" borderId="0" xfId="0" applyFont="1" applyFill="1" applyAlignment="1" applyProtection="1">
      <alignment vertical="center"/>
      <protection hidden="1"/>
    </xf>
    <xf numFmtId="0" fontId="282" fillId="0" borderId="0" xfId="0" applyFont="1" applyAlignment="1" applyProtection="1">
      <alignment vertical="center"/>
      <protection hidden="1"/>
    </xf>
    <xf numFmtId="0" fontId="290" fillId="0" borderId="12" xfId="0" applyFont="1" applyBorder="1" applyAlignment="1" applyProtection="1">
      <alignment horizontal="center" vertical="center"/>
      <protection locked="0"/>
    </xf>
    <xf numFmtId="0" fontId="291" fillId="20" borderId="0" xfId="0" applyFont="1" applyFill="1" applyAlignment="1" applyProtection="1">
      <alignment vertical="center"/>
      <protection hidden="1"/>
    </xf>
    <xf numFmtId="0" fontId="292" fillId="16" borderId="9" xfId="0" applyFont="1" applyFill="1" applyBorder="1" applyAlignment="1" applyProtection="1">
      <alignment vertical="center"/>
      <protection hidden="1"/>
    </xf>
    <xf numFmtId="0" fontId="290" fillId="16" borderId="7" xfId="0" applyFont="1" applyFill="1" applyBorder="1" applyAlignment="1" applyProtection="1">
      <alignment vertical="center"/>
      <protection hidden="1"/>
    </xf>
    <xf numFmtId="0" fontId="287" fillId="16" borderId="7" xfId="0" applyFont="1" applyFill="1" applyBorder="1" applyAlignment="1" applyProtection="1">
      <alignment vertical="center"/>
      <protection hidden="1"/>
    </xf>
    <xf numFmtId="0" fontId="290" fillId="16" borderId="8" xfId="0" applyFont="1" applyFill="1" applyBorder="1" applyAlignment="1" applyProtection="1">
      <alignment vertical="center"/>
      <protection hidden="1"/>
    </xf>
    <xf numFmtId="0" fontId="292" fillId="20" borderId="0" xfId="0" applyFont="1" applyFill="1" applyAlignment="1" applyProtection="1">
      <alignment vertical="center"/>
      <protection hidden="1"/>
    </xf>
    <xf numFmtId="3" fontId="287" fillId="0" borderId="12" xfId="0" applyNumberFormat="1" applyFont="1" applyBorder="1" applyAlignment="1" applyProtection="1">
      <alignment vertical="center"/>
      <protection locked="0"/>
    </xf>
    <xf numFmtId="3" fontId="287" fillId="16" borderId="12" xfId="0" applyNumberFormat="1" applyFont="1" applyFill="1" applyBorder="1" applyAlignment="1" applyProtection="1">
      <alignment vertical="center"/>
      <protection hidden="1"/>
    </xf>
    <xf numFmtId="0" fontId="294" fillId="20" borderId="0" xfId="0" applyFont="1" applyFill="1" applyAlignment="1" applyProtection="1">
      <alignment vertical="top"/>
      <protection hidden="1"/>
    </xf>
    <xf numFmtId="3" fontId="287" fillId="0" borderId="12" xfId="0" applyNumberFormat="1" applyFont="1" applyBorder="1" applyAlignment="1" applyProtection="1">
      <alignment vertical="center"/>
      <protection hidden="1"/>
    </xf>
    <xf numFmtId="0" fontId="295" fillId="20" borderId="0" xfId="0" applyFont="1" applyFill="1" applyAlignment="1" applyProtection="1">
      <alignment vertical="center"/>
      <protection hidden="1"/>
    </xf>
    <xf numFmtId="3" fontId="290" fillId="20" borderId="0" xfId="0" applyNumberFormat="1" applyFont="1" applyFill="1" applyAlignment="1" applyProtection="1">
      <alignment vertical="center"/>
      <protection hidden="1"/>
    </xf>
    <xf numFmtId="0" fontId="299" fillId="20" borderId="0" xfId="0" applyFont="1" applyFill="1" applyAlignment="1" applyProtection="1">
      <alignment vertical="center"/>
      <protection hidden="1"/>
    </xf>
    <xf numFmtId="0" fontId="290" fillId="0" borderId="0" xfId="0" applyFont="1" applyAlignment="1" applyProtection="1">
      <alignment vertical="center"/>
      <protection hidden="1"/>
    </xf>
    <xf numFmtId="0" fontId="300" fillId="0" borderId="0" xfId="0" applyFont="1" applyAlignment="1" applyProtection="1">
      <alignment vertical="center"/>
      <protection hidden="1"/>
    </xf>
    <xf numFmtId="0" fontId="301" fillId="20" borderId="0" xfId="0" applyFont="1" applyFill="1" applyAlignment="1" applyProtection="1">
      <alignment vertical="center"/>
      <protection hidden="1"/>
    </xf>
    <xf numFmtId="0" fontId="288" fillId="20" borderId="0" xfId="0" applyFont="1" applyFill="1" applyAlignment="1" applyProtection="1">
      <alignment vertical="center"/>
      <protection hidden="1"/>
    </xf>
    <xf numFmtId="3" fontId="294" fillId="20" borderId="0" xfId="0" applyNumberFormat="1" applyFont="1" applyFill="1" applyAlignment="1" applyProtection="1">
      <alignment vertical="top"/>
      <protection hidden="1"/>
    </xf>
    <xf numFmtId="0" fontId="290" fillId="18" borderId="12" xfId="0" applyFont="1" applyFill="1" applyBorder="1" applyAlignment="1" applyProtection="1">
      <alignment horizontal="center" vertical="center"/>
      <protection locked="0"/>
    </xf>
    <xf numFmtId="0" fontId="203" fillId="18" borderId="12" xfId="0" applyFont="1" applyFill="1" applyBorder="1" applyAlignment="1" applyProtection="1">
      <alignment horizontal="center" vertical="center"/>
      <protection locked="0"/>
    </xf>
    <xf numFmtId="0" fontId="279" fillId="19" borderId="19" xfId="0" applyFont="1" applyFill="1" applyBorder="1" applyAlignment="1" applyProtection="1">
      <alignment vertical="center"/>
      <protection hidden="1"/>
    </xf>
    <xf numFmtId="0" fontId="0" fillId="19" borderId="10" xfId="0" applyFill="1" applyBorder="1" applyAlignment="1" applyProtection="1">
      <alignment vertical="center"/>
      <protection hidden="1"/>
    </xf>
    <xf numFmtId="3" fontId="0" fillId="19" borderId="10" xfId="0" applyNumberFormat="1" applyFill="1" applyBorder="1" applyAlignment="1" applyProtection="1">
      <alignment vertical="center"/>
      <protection hidden="1"/>
    </xf>
    <xf numFmtId="0" fontId="0" fillId="19" borderId="3" xfId="0" applyFill="1" applyBorder="1" applyAlignment="1" applyProtection="1">
      <alignment vertical="center"/>
      <protection hidden="1"/>
    </xf>
    <xf numFmtId="0" fontId="279" fillId="19" borderId="4" xfId="0" applyFont="1" applyFill="1" applyBorder="1" applyAlignment="1" applyProtection="1">
      <alignment vertical="center"/>
      <protection hidden="1"/>
    </xf>
    <xf numFmtId="0" fontId="0" fillId="19" borderId="5" xfId="0" applyFill="1" applyBorder="1" applyAlignment="1" applyProtection="1">
      <alignment vertical="center"/>
      <protection hidden="1"/>
    </xf>
    <xf numFmtId="3" fontId="0" fillId="19" borderId="5" xfId="0" applyNumberFormat="1" applyFill="1" applyBorder="1" applyAlignment="1" applyProtection="1">
      <alignment vertical="center"/>
      <protection hidden="1"/>
    </xf>
    <xf numFmtId="0" fontId="0" fillId="19" borderId="6" xfId="0" applyFill="1" applyBorder="1" applyAlignment="1" applyProtection="1">
      <alignment vertical="center"/>
      <protection hidden="1"/>
    </xf>
    <xf numFmtId="0" fontId="203" fillId="19" borderId="10" xfId="0" applyFont="1" applyFill="1" applyBorder="1" applyAlignment="1" applyProtection="1">
      <alignment vertical="center"/>
      <protection hidden="1"/>
    </xf>
    <xf numFmtId="0" fontId="287" fillId="19" borderId="10" xfId="0" applyFont="1" applyFill="1" applyBorder="1" applyAlignment="1" applyProtection="1">
      <alignment vertical="center"/>
      <protection hidden="1"/>
    </xf>
    <xf numFmtId="0" fontId="203" fillId="19" borderId="3" xfId="0" applyFont="1" applyFill="1" applyBorder="1" applyAlignment="1" applyProtection="1">
      <alignment vertical="center"/>
      <protection hidden="1"/>
    </xf>
    <xf numFmtId="0" fontId="203" fillId="19" borderId="5" xfId="0" applyFont="1" applyFill="1" applyBorder="1" applyAlignment="1" applyProtection="1">
      <alignment vertical="center"/>
      <protection hidden="1"/>
    </xf>
    <xf numFmtId="0" fontId="287" fillId="19" borderId="5" xfId="0" applyFont="1" applyFill="1" applyBorder="1" applyAlignment="1" applyProtection="1">
      <alignment vertical="center"/>
      <protection hidden="1"/>
    </xf>
    <xf numFmtId="0" fontId="203" fillId="19" borderId="6" xfId="0" applyFont="1" applyFill="1" applyBorder="1" applyAlignment="1" applyProtection="1">
      <alignment vertical="center"/>
      <protection hidden="1"/>
    </xf>
    <xf numFmtId="0" fontId="17" fillId="20" borderId="0" xfId="0" applyFont="1" applyFill="1" applyAlignment="1" applyProtection="1">
      <alignment vertical="center"/>
      <protection hidden="1"/>
    </xf>
    <xf numFmtId="0" fontId="17" fillId="20" borderId="0" xfId="0" applyFont="1" applyFill="1" applyAlignment="1" applyProtection="1">
      <alignment horizontal="right" vertical="center"/>
      <protection hidden="1"/>
    </xf>
    <xf numFmtId="0" fontId="282" fillId="20" borderId="0" xfId="0" applyFont="1" applyFill="1" applyAlignment="1" applyProtection="1">
      <alignment vertical="center"/>
      <protection hidden="1"/>
    </xf>
    <xf numFmtId="0" fontId="303" fillId="20" borderId="0" xfId="0" applyFont="1" applyFill="1" applyAlignment="1" applyProtection="1">
      <alignment horizontal="right" vertical="center"/>
      <protection hidden="1"/>
    </xf>
    <xf numFmtId="0" fontId="203" fillId="0" borderId="12" xfId="0" applyFont="1" applyBorder="1" applyAlignment="1" applyProtection="1">
      <alignment horizontal="center" vertical="center"/>
      <protection locked="0"/>
    </xf>
    <xf numFmtId="0" fontId="204" fillId="20" borderId="0" xfId="1" applyFont="1" applyFill="1" applyAlignment="1" applyProtection="1">
      <alignment horizontal="right" vertical="center"/>
      <protection hidden="1"/>
    </xf>
    <xf numFmtId="0" fontId="17" fillId="16" borderId="9" xfId="0" applyFont="1" applyFill="1" applyBorder="1" applyAlignment="1" applyProtection="1">
      <alignment vertical="top"/>
      <protection hidden="1"/>
    </xf>
    <xf numFmtId="0" fontId="19" fillId="16" borderId="7" xfId="0" applyFont="1" applyFill="1" applyBorder="1" applyProtection="1">
      <protection hidden="1"/>
    </xf>
    <xf numFmtId="0" fontId="22" fillId="2" borderId="7" xfId="0" applyFont="1" applyFill="1" applyBorder="1" applyAlignment="1" applyProtection="1">
      <alignment vertical="center"/>
      <protection hidden="1"/>
    </xf>
    <xf numFmtId="0" fontId="22" fillId="2" borderId="8" xfId="0" applyFont="1" applyFill="1" applyBorder="1" applyAlignment="1" applyProtection="1">
      <alignment vertical="center"/>
      <protection hidden="1"/>
    </xf>
    <xf numFmtId="0" fontId="304" fillId="0" borderId="0" xfId="0" applyFont="1" applyProtection="1">
      <protection hidden="1"/>
    </xf>
    <xf numFmtId="0" fontId="304" fillId="0" borderId="0" xfId="0" applyFont="1" applyAlignment="1" applyProtection="1">
      <alignment horizontal="center"/>
      <protection hidden="1"/>
    </xf>
    <xf numFmtId="3" fontId="304" fillId="0" borderId="0" xfId="0" applyNumberFormat="1" applyFont="1" applyProtection="1">
      <protection hidden="1"/>
    </xf>
    <xf numFmtId="3" fontId="287" fillId="20" borderId="0" xfId="0" applyNumberFormat="1" applyFont="1" applyFill="1" applyAlignment="1" applyProtection="1">
      <alignment horizontal="center" vertical="top"/>
      <protection hidden="1"/>
    </xf>
    <xf numFmtId="0" fontId="305" fillId="2" borderId="0" xfId="0" applyFont="1" applyFill="1" applyProtection="1">
      <protection hidden="1"/>
    </xf>
    <xf numFmtId="3" fontId="22" fillId="23" borderId="0" xfId="0" applyNumberFormat="1" applyFont="1" applyFill="1" applyProtection="1">
      <protection hidden="1"/>
    </xf>
    <xf numFmtId="166" fontId="22" fillId="14" borderId="12" xfId="0" applyNumberFormat="1" applyFont="1" applyFill="1" applyBorder="1" applyAlignment="1" applyProtection="1">
      <alignment horizontal="center" vertical="center" wrapText="1"/>
      <protection hidden="1"/>
    </xf>
    <xf numFmtId="0" fontId="25" fillId="0" borderId="0" xfId="0" applyFont="1" applyAlignment="1" applyProtection="1">
      <alignment horizontal="left"/>
      <protection hidden="1"/>
    </xf>
    <xf numFmtId="0" fontId="182" fillId="0" borderId="0" xfId="0" applyFont="1" applyAlignment="1" applyProtection="1">
      <alignment horizontal="left" vertical="center"/>
      <protection hidden="1"/>
    </xf>
    <xf numFmtId="0" fontId="186" fillId="2" borderId="0" xfId="0" applyFont="1" applyFill="1" applyAlignment="1" applyProtection="1">
      <alignment horizontal="center"/>
      <protection hidden="1"/>
    </xf>
    <xf numFmtId="0" fontId="153" fillId="25" borderId="0" xfId="0" applyFont="1" applyFill="1" applyProtection="1">
      <protection hidden="1"/>
    </xf>
    <xf numFmtId="0" fontId="153" fillId="16" borderId="10" xfId="0" applyFont="1" applyFill="1" applyBorder="1" applyProtection="1">
      <protection hidden="1"/>
    </xf>
    <xf numFmtId="0" fontId="153" fillId="16" borderId="3" xfId="0" applyFont="1" applyFill="1" applyBorder="1" applyProtection="1">
      <protection hidden="1"/>
    </xf>
    <xf numFmtId="0" fontId="155" fillId="16" borderId="4" xfId="0" applyFont="1" applyFill="1" applyBorder="1" applyAlignment="1" applyProtection="1">
      <alignment vertical="center"/>
      <protection hidden="1"/>
    </xf>
    <xf numFmtId="0" fontId="153" fillId="16" borderId="5" xfId="0" applyFont="1" applyFill="1" applyBorder="1" applyProtection="1">
      <protection hidden="1"/>
    </xf>
    <xf numFmtId="0" fontId="153" fillId="16" borderId="6" xfId="0" applyFont="1" applyFill="1" applyBorder="1" applyProtection="1">
      <protection hidden="1"/>
    </xf>
    <xf numFmtId="0" fontId="156" fillId="16" borderId="12" xfId="0" applyFont="1" applyFill="1" applyBorder="1" applyAlignment="1" applyProtection="1">
      <alignment vertical="center"/>
      <protection hidden="1"/>
    </xf>
    <xf numFmtId="0" fontId="156" fillId="16" borderId="12" xfId="0" applyFont="1" applyFill="1" applyBorder="1" applyAlignment="1" applyProtection="1">
      <alignment horizontal="center" vertical="center" wrapText="1"/>
      <protection hidden="1"/>
    </xf>
    <xf numFmtId="3" fontId="157" fillId="0" borderId="12" xfId="0" applyNumberFormat="1" applyFont="1" applyBorder="1" applyAlignment="1" applyProtection="1">
      <alignment horizontal="right" vertical="center"/>
      <protection locked="0"/>
    </xf>
    <xf numFmtId="176" fontId="157" fillId="0" borderId="12" xfId="0" applyNumberFormat="1" applyFont="1" applyBorder="1" applyAlignment="1" applyProtection="1">
      <alignment horizontal="center" vertical="center"/>
      <protection locked="0"/>
    </xf>
    <xf numFmtId="0" fontId="182" fillId="25" borderId="0" xfId="0" applyFont="1" applyFill="1" applyProtection="1">
      <protection hidden="1"/>
    </xf>
    <xf numFmtId="0" fontId="156" fillId="16" borderId="12" xfId="0" applyFont="1" applyFill="1" applyBorder="1" applyProtection="1">
      <protection hidden="1"/>
    </xf>
    <xf numFmtId="3" fontId="156" fillId="16" borderId="12" xfId="0" applyNumberFormat="1" applyFont="1" applyFill="1" applyBorder="1" applyProtection="1">
      <protection hidden="1"/>
    </xf>
    <xf numFmtId="0" fontId="204" fillId="25" borderId="0" xfId="0" applyFont="1" applyFill="1" applyAlignment="1" applyProtection="1">
      <alignment horizontal="left" vertical="center"/>
      <protection hidden="1"/>
    </xf>
    <xf numFmtId="0" fontId="161" fillId="25" borderId="0" xfId="0" applyFont="1" applyFill="1" applyAlignment="1" applyProtection="1">
      <alignment horizontal="right"/>
      <protection hidden="1"/>
    </xf>
    <xf numFmtId="0" fontId="306" fillId="25" borderId="0" xfId="0" applyFont="1" applyFill="1" applyAlignment="1" applyProtection="1">
      <alignment horizontal="right"/>
      <protection hidden="1"/>
    </xf>
    <xf numFmtId="0" fontId="157" fillId="25" borderId="0" xfId="0" applyFont="1" applyFill="1" applyProtection="1">
      <protection hidden="1"/>
    </xf>
    <xf numFmtId="0" fontId="301" fillId="17" borderId="0" xfId="0" applyFont="1" applyFill="1" applyAlignment="1" applyProtection="1">
      <alignment vertical="center"/>
      <protection hidden="1"/>
    </xf>
    <xf numFmtId="0" fontId="204" fillId="25" borderId="0" xfId="1" applyFont="1" applyFill="1" applyAlignment="1" applyProtection="1">
      <alignment horizontal="left" vertical="center"/>
      <protection hidden="1"/>
    </xf>
    <xf numFmtId="0" fontId="204" fillId="25" borderId="0" xfId="1" applyFont="1" applyFill="1" applyAlignment="1" applyProtection="1">
      <alignment horizontal="center" vertical="top"/>
      <protection hidden="1"/>
    </xf>
    <xf numFmtId="0" fontId="234" fillId="17" borderId="0" xfId="0" applyFont="1" applyFill="1" applyAlignment="1" applyProtection="1">
      <alignment vertical="center"/>
      <protection hidden="1"/>
    </xf>
    <xf numFmtId="0" fontId="279" fillId="16" borderId="19" xfId="0" applyFont="1" applyFill="1" applyBorder="1" applyAlignment="1" applyProtection="1">
      <alignment vertical="center"/>
      <protection hidden="1"/>
    </xf>
    <xf numFmtId="0" fontId="203" fillId="16" borderId="10" xfId="0" applyFont="1" applyFill="1" applyBorder="1" applyAlignment="1" applyProtection="1">
      <alignment vertical="center"/>
      <protection hidden="1"/>
    </xf>
    <xf numFmtId="0" fontId="203" fillId="16" borderId="3" xfId="0" applyFont="1" applyFill="1" applyBorder="1" applyAlignment="1" applyProtection="1">
      <alignment vertical="center"/>
      <protection hidden="1"/>
    </xf>
    <xf numFmtId="0" fontId="279" fillId="16" borderId="4" xfId="0" applyFont="1" applyFill="1" applyBorder="1" applyAlignment="1" applyProtection="1">
      <alignment vertical="center"/>
      <protection hidden="1"/>
    </xf>
    <xf numFmtId="0" fontId="203" fillId="16" borderId="5" xfId="0" applyFont="1" applyFill="1" applyBorder="1" applyAlignment="1" applyProtection="1">
      <alignment vertical="center"/>
      <protection hidden="1"/>
    </xf>
    <xf numFmtId="0" fontId="203" fillId="16" borderId="6" xfId="0" applyFont="1" applyFill="1" applyBorder="1" applyAlignment="1" applyProtection="1">
      <alignment vertical="center"/>
      <protection hidden="1"/>
    </xf>
    <xf numFmtId="0" fontId="203" fillId="16" borderId="9" xfId="0" applyFont="1" applyFill="1" applyBorder="1" applyAlignment="1" applyProtection="1">
      <alignment vertical="center"/>
      <protection hidden="1"/>
    </xf>
    <xf numFmtId="0" fontId="203" fillId="16" borderId="7" xfId="0" applyFont="1" applyFill="1" applyBorder="1" applyAlignment="1" applyProtection="1">
      <alignment vertical="center"/>
      <protection hidden="1"/>
    </xf>
    <xf numFmtId="0" fontId="203" fillId="16" borderId="8" xfId="0" applyFont="1" applyFill="1" applyBorder="1" applyAlignment="1" applyProtection="1">
      <alignment vertical="center"/>
      <protection hidden="1"/>
    </xf>
    <xf numFmtId="0" fontId="0" fillId="16" borderId="7" xfId="0" applyFill="1" applyBorder="1" applyAlignment="1" applyProtection="1">
      <alignment vertical="center"/>
      <protection hidden="1"/>
    </xf>
    <xf numFmtId="0" fontId="0" fillId="16" borderId="8" xfId="0" applyFill="1" applyBorder="1" applyAlignment="1" applyProtection="1">
      <alignment vertical="center"/>
      <protection hidden="1"/>
    </xf>
    <xf numFmtId="14" fontId="0" fillId="0" borderId="8" xfId="0" applyNumberFormat="1" applyBorder="1" applyAlignment="1" applyProtection="1">
      <alignment horizontal="center" vertical="center"/>
      <protection locked="0"/>
    </xf>
    <xf numFmtId="14" fontId="0" fillId="0" borderId="0" xfId="0" applyNumberFormat="1" applyAlignment="1" applyProtection="1">
      <alignment vertical="center"/>
      <protection hidden="1"/>
    </xf>
    <xf numFmtId="0" fontId="203" fillId="16" borderId="12" xfId="0" applyFont="1" applyFill="1" applyBorder="1" applyAlignment="1" applyProtection="1">
      <alignment horizontal="center" vertical="center" wrapText="1"/>
      <protection hidden="1"/>
    </xf>
    <xf numFmtId="0" fontId="203" fillId="16" borderId="12" xfId="0" applyFont="1" applyFill="1" applyBorder="1" applyAlignment="1" applyProtection="1">
      <alignment horizontal="center" vertical="center"/>
      <protection hidden="1"/>
    </xf>
    <xf numFmtId="0" fontId="308" fillId="20" borderId="0" xfId="0" applyFont="1" applyFill="1" applyAlignment="1" applyProtection="1">
      <alignment vertical="center"/>
      <protection hidden="1"/>
    </xf>
    <xf numFmtId="3" fontId="290" fillId="0" borderId="12" xfId="0" applyNumberFormat="1" applyFont="1" applyBorder="1" applyAlignment="1" applyProtection="1">
      <alignment vertical="center"/>
      <protection locked="0"/>
    </xf>
    <xf numFmtId="3" fontId="290" fillId="16" borderId="12" xfId="0" applyNumberFormat="1" applyFont="1" applyFill="1" applyBorder="1" applyAlignment="1" applyProtection="1">
      <alignment vertical="center"/>
      <protection hidden="1"/>
    </xf>
    <xf numFmtId="0" fontId="0" fillId="20" borderId="0" xfId="0" applyFill="1" applyAlignment="1" applyProtection="1">
      <alignment horizontal="right" vertical="center"/>
      <protection hidden="1"/>
    </xf>
    <xf numFmtId="0" fontId="310" fillId="20" borderId="0" xfId="0" applyFont="1" applyFill="1" applyAlignment="1" applyProtection="1">
      <alignment horizontal="right" vertical="center"/>
      <protection hidden="1"/>
    </xf>
    <xf numFmtId="0" fontId="291" fillId="0" borderId="0" xfId="0" applyFont="1" applyAlignment="1" applyProtection="1">
      <alignment vertical="center"/>
      <protection hidden="1"/>
    </xf>
    <xf numFmtId="0" fontId="291" fillId="0" borderId="0" xfId="0" applyFont="1" applyAlignment="1" applyProtection="1">
      <alignment horizontal="right" vertical="center"/>
      <protection hidden="1"/>
    </xf>
    <xf numFmtId="0" fontId="311" fillId="20" borderId="0" xfId="0" applyFont="1" applyFill="1" applyAlignment="1" applyProtection="1">
      <alignment vertical="center"/>
      <protection hidden="1"/>
    </xf>
    <xf numFmtId="0" fontId="17" fillId="2" borderId="9" xfId="0" applyFont="1" applyFill="1" applyBorder="1"/>
    <xf numFmtId="0" fontId="17" fillId="2" borderId="8" xfId="0" applyFont="1" applyFill="1" applyBorder="1"/>
    <xf numFmtId="0" fontId="312" fillId="20" borderId="0" xfId="0" applyFont="1" applyFill="1" applyAlignment="1" applyProtection="1">
      <alignment vertical="center"/>
      <protection hidden="1"/>
    </xf>
    <xf numFmtId="0" fontId="289" fillId="20" borderId="0" xfId="1" applyFont="1" applyFill="1" applyAlignment="1" applyProtection="1">
      <protection hidden="1"/>
    </xf>
    <xf numFmtId="14" fontId="282" fillId="0" borderId="12" xfId="0" applyNumberFormat="1" applyFont="1" applyBorder="1" applyAlignment="1" applyProtection="1">
      <alignment horizontal="center" vertical="center"/>
      <protection locked="0"/>
    </xf>
    <xf numFmtId="0" fontId="313" fillId="0" borderId="0" xfId="0" applyFont="1" applyAlignment="1" applyProtection="1">
      <alignment vertical="center"/>
      <protection hidden="1"/>
    </xf>
    <xf numFmtId="0" fontId="0" fillId="0" borderId="0" xfId="0" applyAlignment="1">
      <alignment horizontal="left"/>
    </xf>
    <xf numFmtId="0" fontId="314" fillId="20" borderId="0" xfId="0" applyFont="1" applyFill="1" applyAlignment="1" applyProtection="1">
      <alignment vertical="center"/>
      <protection hidden="1"/>
    </xf>
    <xf numFmtId="0" fontId="157" fillId="0" borderId="12" xfId="0" applyFont="1" applyBorder="1" applyAlignment="1" applyProtection="1">
      <alignment horizontal="left" vertical="center"/>
      <protection locked="0"/>
    </xf>
    <xf numFmtId="0" fontId="61" fillId="2" borderId="1" xfId="0" applyFont="1" applyFill="1" applyBorder="1" applyAlignment="1" applyProtection="1">
      <alignment horizontal="center" vertical="center"/>
      <protection hidden="1"/>
    </xf>
    <xf numFmtId="2" fontId="12" fillId="0" borderId="0" xfId="0" applyNumberFormat="1" applyFont="1"/>
    <xf numFmtId="0" fontId="277" fillId="9" borderId="0" xfId="0" applyFont="1" applyFill="1" applyAlignment="1">
      <alignment horizontal="left"/>
    </xf>
    <xf numFmtId="2" fontId="194" fillId="0" borderId="0" xfId="0" applyNumberFormat="1" applyFont="1" applyAlignment="1">
      <alignment horizontal="center" vertical="center"/>
    </xf>
    <xf numFmtId="0" fontId="194" fillId="0" borderId="0" xfId="0" applyFont="1" applyAlignment="1">
      <alignment horizontal="center" vertical="center"/>
    </xf>
    <xf numFmtId="2" fontId="0" fillId="0" borderId="0" xfId="0" applyNumberFormat="1"/>
    <xf numFmtId="1" fontId="315" fillId="0" borderId="0" xfId="0" applyNumberFormat="1" applyFont="1"/>
    <xf numFmtId="0" fontId="288" fillId="17" borderId="0" xfId="0" applyFont="1" applyFill="1" applyAlignment="1" applyProtection="1">
      <alignment horizontal="right" vertical="center"/>
      <protection hidden="1"/>
    </xf>
    <xf numFmtId="0" fontId="0" fillId="17" borderId="0" xfId="0" applyFill="1" applyProtection="1">
      <protection hidden="1"/>
    </xf>
    <xf numFmtId="0" fontId="292" fillId="16" borderId="19" xfId="0" applyFont="1" applyFill="1" applyBorder="1" applyProtection="1">
      <protection hidden="1"/>
    </xf>
    <xf numFmtId="0" fontId="203" fillId="16" borderId="10" xfId="0" applyFont="1" applyFill="1" applyBorder="1" applyProtection="1">
      <protection hidden="1"/>
    </xf>
    <xf numFmtId="0" fontId="203" fillId="16" borderId="3" xfId="0" applyFont="1" applyFill="1" applyBorder="1" applyProtection="1">
      <protection hidden="1"/>
    </xf>
    <xf numFmtId="0" fontId="292" fillId="16" borderId="4" xfId="0" applyFont="1" applyFill="1" applyBorder="1" applyProtection="1">
      <protection hidden="1"/>
    </xf>
    <xf numFmtId="0" fontId="203" fillId="16" borderId="5" xfId="0" applyFont="1" applyFill="1" applyBorder="1" applyProtection="1">
      <protection hidden="1"/>
    </xf>
    <xf numFmtId="0" fontId="203" fillId="16" borderId="6" xfId="0" applyFont="1" applyFill="1" applyBorder="1" applyProtection="1">
      <protection hidden="1"/>
    </xf>
    <xf numFmtId="0" fontId="316" fillId="17" borderId="0" xfId="0" applyFont="1" applyFill="1" applyAlignment="1" applyProtection="1">
      <alignment vertical="center"/>
      <protection hidden="1"/>
    </xf>
    <xf numFmtId="0" fontId="182" fillId="17" borderId="0" xfId="0" applyFont="1" applyFill="1" applyAlignment="1" applyProtection="1">
      <alignment vertical="center"/>
      <protection hidden="1"/>
    </xf>
    <xf numFmtId="0" fontId="0" fillId="17" borderId="0" xfId="0" applyFill="1" applyAlignment="1" applyProtection="1">
      <alignment vertical="center"/>
      <protection hidden="1"/>
    </xf>
    <xf numFmtId="0" fontId="186" fillId="17" borderId="0" xfId="0" applyFont="1" applyFill="1" applyAlignment="1" applyProtection="1">
      <alignment vertical="center"/>
      <protection hidden="1"/>
    </xf>
    <xf numFmtId="0" fontId="194" fillId="17" borderId="0" xfId="0" applyFont="1" applyFill="1" applyAlignment="1" applyProtection="1">
      <alignment vertical="center"/>
      <protection hidden="1"/>
    </xf>
    <xf numFmtId="0" fontId="316" fillId="17" borderId="0" xfId="0" applyFont="1" applyFill="1" applyProtection="1">
      <protection hidden="1"/>
    </xf>
    <xf numFmtId="0" fontId="194" fillId="17" borderId="0" xfId="0" applyFont="1" applyFill="1" applyProtection="1">
      <protection hidden="1"/>
    </xf>
    <xf numFmtId="3" fontId="194" fillId="17" borderId="0" xfId="0" applyNumberFormat="1" applyFont="1" applyFill="1" applyProtection="1">
      <protection hidden="1"/>
    </xf>
    <xf numFmtId="0" fontId="150" fillId="17" borderId="0" xfId="0" applyFont="1" applyFill="1" applyProtection="1">
      <protection hidden="1"/>
    </xf>
    <xf numFmtId="0" fontId="150" fillId="0" borderId="0" xfId="0" applyFont="1" applyProtection="1">
      <protection hidden="1"/>
    </xf>
    <xf numFmtId="0" fontId="313" fillId="17" borderId="0" xfId="0" applyFont="1" applyFill="1" applyAlignment="1" applyProtection="1">
      <alignment vertical="center"/>
      <protection hidden="1"/>
    </xf>
    <xf numFmtId="3" fontId="313" fillId="17" borderId="0" xfId="0" applyNumberFormat="1" applyFont="1" applyFill="1" applyProtection="1">
      <protection hidden="1"/>
    </xf>
    <xf numFmtId="0" fontId="313" fillId="17" borderId="0" xfId="0" applyFont="1" applyFill="1" applyProtection="1">
      <protection hidden="1"/>
    </xf>
    <xf numFmtId="3" fontId="313" fillId="17" borderId="0" xfId="0" applyNumberFormat="1" applyFont="1" applyFill="1" applyAlignment="1" applyProtection="1">
      <alignment vertical="center"/>
      <protection hidden="1"/>
    </xf>
    <xf numFmtId="3" fontId="313" fillId="16" borderId="12" xfId="0" applyNumberFormat="1" applyFont="1" applyFill="1" applyBorder="1" applyAlignment="1" applyProtection="1">
      <alignment vertical="center"/>
      <protection hidden="1"/>
    </xf>
    <xf numFmtId="3" fontId="318" fillId="17" borderId="0" xfId="0" applyNumberFormat="1" applyFont="1" applyFill="1" applyProtection="1">
      <protection hidden="1"/>
    </xf>
    <xf numFmtId="3" fontId="313" fillId="0" borderId="0" xfId="0" applyNumberFormat="1" applyFont="1" applyProtection="1">
      <protection hidden="1"/>
    </xf>
    <xf numFmtId="3" fontId="290" fillId="16" borderId="10" xfId="0" applyNumberFormat="1" applyFont="1" applyFill="1" applyBorder="1" applyProtection="1">
      <protection hidden="1"/>
    </xf>
    <xf numFmtId="3" fontId="290" fillId="16" borderId="5" xfId="0" applyNumberFormat="1" applyFont="1" applyFill="1" applyBorder="1" applyProtection="1">
      <protection hidden="1"/>
    </xf>
    <xf numFmtId="3" fontId="318" fillId="18" borderId="12" xfId="0" applyNumberFormat="1" applyFont="1" applyFill="1" applyBorder="1" applyAlignment="1" applyProtection="1">
      <alignment horizontal="center" vertical="center"/>
      <protection locked="0"/>
    </xf>
    <xf numFmtId="3" fontId="313" fillId="0" borderId="12" xfId="0" applyNumberFormat="1" applyFont="1" applyBorder="1" applyAlignment="1" applyProtection="1">
      <alignment horizontal="center" vertical="center"/>
      <protection locked="0"/>
    </xf>
    <xf numFmtId="1" fontId="313" fillId="0" borderId="12" xfId="0" applyNumberFormat="1" applyFont="1" applyBorder="1" applyAlignment="1" applyProtection="1">
      <alignment horizontal="center" vertical="center"/>
      <protection locked="0"/>
    </xf>
    <xf numFmtId="3" fontId="318" fillId="17" borderId="0" xfId="0" applyNumberFormat="1" applyFont="1" applyFill="1" applyAlignment="1" applyProtection="1">
      <alignment vertical="center"/>
      <protection hidden="1"/>
    </xf>
    <xf numFmtId="3" fontId="313" fillId="0" borderId="12" xfId="0" applyNumberFormat="1" applyFont="1" applyBorder="1" applyAlignment="1" applyProtection="1">
      <alignment vertical="center"/>
      <protection locked="0"/>
    </xf>
    <xf numFmtId="0" fontId="299" fillId="17" borderId="0" xfId="0" applyFont="1" applyFill="1" applyProtection="1">
      <protection hidden="1"/>
    </xf>
    <xf numFmtId="0" fontId="316" fillId="17" borderId="0" xfId="0" applyFont="1" applyFill="1" applyAlignment="1" applyProtection="1">
      <alignment horizontal="left" vertical="center"/>
      <protection hidden="1"/>
    </xf>
    <xf numFmtId="0" fontId="320" fillId="27" borderId="0" xfId="0" applyFont="1" applyFill="1" applyProtection="1">
      <protection hidden="1"/>
    </xf>
    <xf numFmtId="0" fontId="302" fillId="17" borderId="0" xfId="1" applyFont="1" applyFill="1" applyAlignment="1" applyProtection="1">
      <alignment horizontal="right" vertical="center"/>
      <protection hidden="1"/>
    </xf>
    <xf numFmtId="0" fontId="150" fillId="17" borderId="0" xfId="0" applyFont="1" applyFill="1" applyAlignment="1" applyProtection="1">
      <alignment horizontal="right"/>
      <protection hidden="1"/>
    </xf>
    <xf numFmtId="0" fontId="321" fillId="17" borderId="0" xfId="0" applyFont="1" applyFill="1" applyAlignment="1" applyProtection="1">
      <alignment vertical="center"/>
      <protection hidden="1"/>
    </xf>
    <xf numFmtId="0" fontId="190" fillId="2" borderId="0" xfId="0" applyFont="1" applyFill="1" applyProtection="1">
      <protection hidden="1"/>
    </xf>
    <xf numFmtId="166" fontId="320" fillId="27" borderId="0" xfId="0" applyNumberFormat="1" applyFont="1" applyFill="1" applyProtection="1">
      <protection hidden="1"/>
    </xf>
    <xf numFmtId="2" fontId="19" fillId="0" borderId="0" xfId="0" applyNumberFormat="1" applyFont="1" applyProtection="1">
      <protection hidden="1"/>
    </xf>
    <xf numFmtId="166" fontId="323" fillId="27" borderId="0" xfId="0" applyNumberFormat="1" applyFont="1" applyFill="1" applyProtection="1">
      <protection hidden="1"/>
    </xf>
    <xf numFmtId="0" fontId="325" fillId="17" borderId="0" xfId="0" applyFont="1" applyFill="1" applyAlignment="1" applyProtection="1">
      <alignment horizontal="right" vertical="center"/>
      <protection hidden="1"/>
    </xf>
    <xf numFmtId="0" fontId="0" fillId="20" borderId="0" xfId="0" applyFill="1" applyProtection="1">
      <protection hidden="1"/>
    </xf>
    <xf numFmtId="0" fontId="203" fillId="20" borderId="0" xfId="0" applyFont="1" applyFill="1" applyProtection="1">
      <protection hidden="1"/>
    </xf>
    <xf numFmtId="0" fontId="279" fillId="16" borderId="19" xfId="0" applyFont="1" applyFill="1" applyBorder="1" applyProtection="1">
      <protection hidden="1"/>
    </xf>
    <xf numFmtId="0" fontId="0" fillId="16" borderId="10" xfId="0" applyFill="1" applyBorder="1" applyProtection="1">
      <protection hidden="1"/>
    </xf>
    <xf numFmtId="0" fontId="279" fillId="16" borderId="4" xfId="0" applyFont="1" applyFill="1" applyBorder="1" applyProtection="1">
      <protection hidden="1"/>
    </xf>
    <xf numFmtId="0" fontId="0" fillId="16" borderId="5" xfId="0" applyFill="1" applyBorder="1" applyProtection="1">
      <protection hidden="1"/>
    </xf>
    <xf numFmtId="0" fontId="282" fillId="20" borderId="0" xfId="0" applyFont="1" applyFill="1" applyProtection="1">
      <protection hidden="1"/>
    </xf>
    <xf numFmtId="0" fontId="292" fillId="20" borderId="0" xfId="0" applyFont="1" applyFill="1" applyProtection="1">
      <protection hidden="1"/>
    </xf>
    <xf numFmtId="0" fontId="290" fillId="20" borderId="0" xfId="0" applyFont="1" applyFill="1" applyProtection="1">
      <protection hidden="1"/>
    </xf>
    <xf numFmtId="3" fontId="282" fillId="16" borderId="12" xfId="0" applyNumberFormat="1" applyFont="1" applyFill="1" applyBorder="1" applyAlignment="1" applyProtection="1">
      <alignment horizontal="right" vertical="center"/>
      <protection hidden="1"/>
    </xf>
    <xf numFmtId="0" fontId="282" fillId="16" borderId="7" xfId="0" applyFont="1" applyFill="1" applyBorder="1" applyProtection="1">
      <protection hidden="1"/>
    </xf>
    <xf numFmtId="0" fontId="326" fillId="20" borderId="0" xfId="0" applyFont="1" applyFill="1" applyProtection="1">
      <protection hidden="1"/>
    </xf>
    <xf numFmtId="3" fontId="282" fillId="20" borderId="0" xfId="0" applyNumberFormat="1" applyFont="1" applyFill="1" applyAlignment="1" applyProtection="1">
      <alignment vertical="center"/>
      <protection hidden="1"/>
    </xf>
    <xf numFmtId="0" fontId="290" fillId="20" borderId="0" xfId="0" applyFont="1" applyFill="1" applyAlignment="1" applyProtection="1">
      <alignment horizontal="center" vertical="center"/>
      <protection hidden="1"/>
    </xf>
    <xf numFmtId="0" fontId="279" fillId="20" borderId="0" xfId="0" applyFont="1" applyFill="1" applyAlignment="1" applyProtection="1">
      <alignment horizontal="right"/>
      <protection hidden="1"/>
    </xf>
    <xf numFmtId="0" fontId="287" fillId="20" borderId="0" xfId="0" applyFont="1" applyFill="1" applyProtection="1">
      <protection hidden="1"/>
    </xf>
    <xf numFmtId="0" fontId="287" fillId="20" borderId="0" xfId="0" applyFont="1" applyFill="1" applyAlignment="1" applyProtection="1">
      <alignment horizontal="left"/>
      <protection hidden="1"/>
    </xf>
    <xf numFmtId="0" fontId="287" fillId="0" borderId="0" xfId="0" applyFont="1" applyProtection="1">
      <protection hidden="1"/>
    </xf>
    <xf numFmtId="0" fontId="203" fillId="0" borderId="0" xfId="0" applyFont="1" applyProtection="1">
      <protection hidden="1"/>
    </xf>
    <xf numFmtId="10" fontId="282" fillId="0" borderId="12" xfId="0" applyNumberFormat="1" applyFont="1" applyBorder="1" applyAlignment="1" applyProtection="1">
      <alignment horizontal="center" vertical="center"/>
      <protection locked="0"/>
    </xf>
    <xf numFmtId="10" fontId="0" fillId="0" borderId="0" xfId="0" applyNumberFormat="1" applyProtection="1">
      <protection hidden="1"/>
    </xf>
    <xf numFmtId="0" fontId="290" fillId="20" borderId="0" xfId="0" applyFont="1" applyFill="1" applyAlignment="1" applyProtection="1">
      <alignment horizontal="right"/>
      <protection hidden="1"/>
    </xf>
    <xf numFmtId="0" fontId="292" fillId="20" borderId="0" xfId="0" applyFont="1" applyFill="1" applyAlignment="1" applyProtection="1">
      <alignment horizontal="center" vertical="center"/>
      <protection hidden="1"/>
    </xf>
    <xf numFmtId="0" fontId="281" fillId="20" borderId="0" xfId="0" applyFont="1" applyFill="1" applyAlignment="1" applyProtection="1">
      <alignment horizontal="left" vertical="center"/>
      <protection hidden="1"/>
    </xf>
    <xf numFmtId="0" fontId="291" fillId="20" borderId="0" xfId="0" applyFont="1" applyFill="1" applyAlignment="1" applyProtection="1">
      <alignment horizontal="left" vertical="center"/>
      <protection hidden="1"/>
    </xf>
    <xf numFmtId="0" fontId="292" fillId="20" borderId="0" xfId="0" applyFont="1" applyFill="1" applyAlignment="1" applyProtection="1">
      <alignment vertical="center" wrapText="1"/>
      <protection hidden="1"/>
    </xf>
    <xf numFmtId="3" fontId="291" fillId="20" borderId="0" xfId="0" applyNumberFormat="1" applyFont="1" applyFill="1" applyAlignment="1" applyProtection="1">
      <alignment vertical="center"/>
      <protection hidden="1"/>
    </xf>
    <xf numFmtId="3" fontId="292" fillId="16" borderId="12" xfId="0" applyNumberFormat="1" applyFont="1" applyFill="1" applyBorder="1" applyAlignment="1" applyProtection="1">
      <alignment horizontal="center" vertical="center"/>
      <protection hidden="1"/>
    </xf>
    <xf numFmtId="3" fontId="327" fillId="16" borderId="12" xfId="0" applyNumberFormat="1" applyFont="1" applyFill="1" applyBorder="1" applyAlignment="1" applyProtection="1">
      <alignment horizontal="center" vertical="center"/>
      <protection hidden="1"/>
    </xf>
    <xf numFmtId="0" fontId="289" fillId="20" borderId="0" xfId="1" applyFont="1" applyFill="1" applyAlignment="1" applyProtection="1"/>
    <xf numFmtId="0" fontId="17" fillId="20" borderId="8" xfId="0" applyFont="1" applyFill="1" applyBorder="1" applyAlignment="1" applyProtection="1">
      <alignment horizontal="left"/>
      <protection hidden="1"/>
    </xf>
    <xf numFmtId="0" fontId="17" fillId="20" borderId="0" xfId="0" applyFont="1" applyFill="1" applyAlignment="1" applyProtection="1">
      <alignment horizontal="center" vertical="center"/>
      <protection hidden="1"/>
    </xf>
    <xf numFmtId="0" fontId="150" fillId="19" borderId="9" xfId="0" applyFont="1" applyFill="1" applyBorder="1" applyAlignment="1" applyProtection="1">
      <alignment horizontal="left" vertical="center"/>
      <protection hidden="1"/>
    </xf>
    <xf numFmtId="0" fontId="150" fillId="19" borderId="7" xfId="0" applyFont="1" applyFill="1" applyBorder="1" applyAlignment="1" applyProtection="1">
      <alignment horizontal="center" vertical="center"/>
      <protection hidden="1"/>
    </xf>
    <xf numFmtId="0" fontId="150" fillId="19" borderId="8" xfId="0" applyFont="1" applyFill="1" applyBorder="1" applyAlignment="1" applyProtection="1">
      <alignment horizontal="center" vertical="center"/>
      <protection hidden="1"/>
    </xf>
    <xf numFmtId="3" fontId="17" fillId="0" borderId="8" xfId="0" applyNumberFormat="1" applyFont="1" applyBorder="1" applyAlignment="1" applyProtection="1">
      <alignment horizontal="right" vertical="center"/>
      <protection locked="0"/>
    </xf>
    <xf numFmtId="3" fontId="17" fillId="0" borderId="12" xfId="0" applyNumberFormat="1" applyFont="1" applyBorder="1" applyAlignment="1" applyProtection="1">
      <alignment horizontal="right" vertical="center"/>
      <protection locked="0"/>
    </xf>
    <xf numFmtId="0" fontId="25" fillId="20" borderId="0" xfId="0" applyFont="1" applyFill="1" applyProtection="1">
      <protection hidden="1"/>
    </xf>
    <xf numFmtId="0" fontId="46" fillId="16" borderId="19" xfId="0" applyFont="1" applyFill="1" applyBorder="1" applyProtection="1">
      <protection hidden="1"/>
    </xf>
    <xf numFmtId="0" fontId="46" fillId="16" borderId="10" xfId="0" applyFont="1" applyFill="1" applyBorder="1" applyProtection="1">
      <protection hidden="1"/>
    </xf>
    <xf numFmtId="0" fontId="46" fillId="16" borderId="3" xfId="0" applyFont="1" applyFill="1" applyBorder="1" applyProtection="1">
      <protection hidden="1"/>
    </xf>
    <xf numFmtId="0" fontId="46" fillId="16" borderId="4" xfId="0" applyFont="1" applyFill="1" applyBorder="1" applyProtection="1">
      <protection hidden="1"/>
    </xf>
    <xf numFmtId="0" fontId="46" fillId="16" borderId="5" xfId="0" applyFont="1" applyFill="1" applyBorder="1" applyProtection="1">
      <protection hidden="1"/>
    </xf>
    <xf numFmtId="0" fontId="46" fillId="16" borderId="6" xfId="0" applyFont="1" applyFill="1" applyBorder="1" applyProtection="1">
      <protection hidden="1"/>
    </xf>
    <xf numFmtId="3" fontId="17" fillId="16" borderId="12" xfId="3" applyNumberFormat="1" applyFont="1" applyFill="1" applyBorder="1" applyAlignment="1" applyProtection="1">
      <alignment horizontal="right"/>
      <protection hidden="1"/>
    </xf>
    <xf numFmtId="9" fontId="17" fillId="16" borderId="12" xfId="3" applyFont="1" applyFill="1" applyBorder="1" applyAlignment="1" applyProtection="1">
      <alignment horizontal="right"/>
      <protection hidden="1"/>
    </xf>
    <xf numFmtId="3" fontId="17" fillId="16" borderId="12" xfId="0" applyNumberFormat="1" applyFont="1" applyFill="1" applyBorder="1" applyAlignment="1" applyProtection="1">
      <alignment horizontal="right"/>
      <protection hidden="1"/>
    </xf>
    <xf numFmtId="0" fontId="12" fillId="16" borderId="12" xfId="0" applyFont="1" applyFill="1" applyBorder="1" applyAlignment="1" applyProtection="1">
      <alignment horizontal="center" wrapText="1"/>
      <protection hidden="1"/>
    </xf>
    <xf numFmtId="3" fontId="17" fillId="0" borderId="12" xfId="0" applyNumberFormat="1" applyFont="1" applyBorder="1" applyProtection="1">
      <protection hidden="1"/>
    </xf>
    <xf numFmtId="3" fontId="17" fillId="16" borderId="7" xfId="0" applyNumberFormat="1" applyFont="1" applyFill="1" applyBorder="1" applyAlignment="1" applyProtection="1">
      <alignment horizontal="left"/>
      <protection hidden="1"/>
    </xf>
    <xf numFmtId="0" fontId="255" fillId="20" borderId="0" xfId="1" applyFont="1" applyFill="1" applyAlignment="1" applyProtection="1">
      <alignment horizontal="center"/>
      <protection hidden="1"/>
    </xf>
    <xf numFmtId="3" fontId="255" fillId="16" borderId="8" xfId="1" applyNumberFormat="1" applyFont="1" applyFill="1" applyBorder="1" applyAlignment="1" applyProtection="1">
      <alignment horizontal="center"/>
      <protection hidden="1"/>
    </xf>
    <xf numFmtId="0" fontId="255" fillId="20" borderId="0" xfId="1" applyFont="1" applyFill="1" applyAlignment="1" applyProtection="1">
      <alignment horizontal="center" vertical="center"/>
    </xf>
    <xf numFmtId="0" fontId="255" fillId="4" borderId="8" xfId="1" applyFont="1" applyFill="1" applyBorder="1" applyAlignment="1" applyProtection="1">
      <alignment horizontal="center" vertical="center"/>
    </xf>
    <xf numFmtId="0" fontId="12" fillId="16" borderId="12" xfId="0" applyFont="1" applyFill="1" applyBorder="1" applyAlignment="1" applyProtection="1">
      <alignment horizontal="left"/>
      <protection hidden="1"/>
    </xf>
    <xf numFmtId="3" fontId="17" fillId="16" borderId="12" xfId="0" applyNumberFormat="1" applyFont="1" applyFill="1" applyBorder="1" applyAlignment="1" applyProtection="1">
      <alignment horizontal="right" wrapText="1"/>
      <protection hidden="1"/>
    </xf>
    <xf numFmtId="0" fontId="182" fillId="20" borderId="0" xfId="0" applyFont="1" applyFill="1" applyAlignment="1" applyProtection="1">
      <alignment horizontal="left"/>
      <protection hidden="1"/>
    </xf>
    <xf numFmtId="0" fontId="12" fillId="20" borderId="12" xfId="0" applyFont="1" applyFill="1" applyBorder="1" applyAlignment="1" applyProtection="1">
      <alignment horizontal="right"/>
      <protection hidden="1"/>
    </xf>
    <xf numFmtId="0" fontId="17" fillId="20" borderId="0" xfId="0" applyFont="1" applyFill="1" applyAlignment="1" applyProtection="1">
      <alignment wrapText="1"/>
      <protection hidden="1"/>
    </xf>
    <xf numFmtId="3" fontId="17" fillId="22" borderId="12" xfId="0" applyNumberFormat="1" applyFont="1" applyFill="1" applyBorder="1" applyProtection="1">
      <protection hidden="1"/>
    </xf>
    <xf numFmtId="0" fontId="17" fillId="20" borderId="19" xfId="0" applyFont="1" applyFill="1" applyBorder="1"/>
    <xf numFmtId="0" fontId="223" fillId="20" borderId="0" xfId="0" applyFont="1" applyFill="1" applyProtection="1">
      <protection hidden="1"/>
    </xf>
    <xf numFmtId="0" fontId="61" fillId="20" borderId="0" xfId="0" applyFont="1" applyFill="1" applyProtection="1">
      <protection hidden="1"/>
    </xf>
    <xf numFmtId="0" fontId="22" fillId="20" borderId="0" xfId="0" applyFont="1" applyFill="1" applyAlignment="1" applyProtection="1">
      <alignment horizontal="center" vertical="center"/>
      <protection hidden="1"/>
    </xf>
    <xf numFmtId="0" fontId="133" fillId="20" borderId="1" xfId="0" applyFont="1" applyFill="1" applyBorder="1" applyAlignment="1" applyProtection="1">
      <alignment vertical="center" wrapText="1"/>
      <protection hidden="1"/>
    </xf>
    <xf numFmtId="0" fontId="133" fillId="20" borderId="0" xfId="0" applyFont="1" applyFill="1" applyAlignment="1" applyProtection="1">
      <alignment vertical="center" wrapText="1"/>
      <protection hidden="1"/>
    </xf>
    <xf numFmtId="0" fontId="22" fillId="20" borderId="0" xfId="0" applyFont="1" applyFill="1" applyAlignment="1" applyProtection="1">
      <alignment horizontal="center" vertical="center" wrapText="1"/>
      <protection hidden="1"/>
    </xf>
    <xf numFmtId="0" fontId="17" fillId="20" borderId="0" xfId="0" applyFont="1" applyFill="1" applyAlignment="1" applyProtection="1">
      <alignment horizontal="center" vertical="center" wrapText="1"/>
      <protection hidden="1"/>
    </xf>
    <xf numFmtId="3" fontId="22" fillId="20" borderId="0" xfId="0" applyNumberFormat="1" applyFont="1" applyFill="1" applyProtection="1">
      <protection hidden="1"/>
    </xf>
    <xf numFmtId="2" fontId="22" fillId="20" borderId="0" xfId="0" applyNumberFormat="1" applyFont="1" applyFill="1" applyAlignment="1" applyProtection="1">
      <alignment horizontal="center"/>
      <protection hidden="1"/>
    </xf>
    <xf numFmtId="0" fontId="215" fillId="20" borderId="0" xfId="0" applyFont="1" applyFill="1" applyAlignment="1" applyProtection="1">
      <alignment horizontal="center"/>
      <protection hidden="1"/>
    </xf>
    <xf numFmtId="0" fontId="89" fillId="20" borderId="0" xfId="0" applyFont="1" applyFill="1" applyAlignment="1" applyProtection="1">
      <alignment horizontal="right"/>
      <protection hidden="1"/>
    </xf>
    <xf numFmtId="0" fontId="94" fillId="20" borderId="0" xfId="0" applyFont="1" applyFill="1" applyAlignment="1" applyProtection="1">
      <alignment wrapText="1"/>
      <protection hidden="1"/>
    </xf>
    <xf numFmtId="0" fontId="22" fillId="22" borderId="7" xfId="0" applyFont="1" applyFill="1" applyBorder="1" applyAlignment="1" applyProtection="1">
      <alignment vertical="center"/>
      <protection hidden="1"/>
    </xf>
    <xf numFmtId="0" fontId="223" fillId="20" borderId="0" xfId="0" applyFont="1" applyFill="1" applyAlignment="1" applyProtection="1">
      <alignment horizontal="left"/>
      <protection hidden="1"/>
    </xf>
    <xf numFmtId="0" fontId="84" fillId="20" borderId="0" xfId="0" applyFont="1" applyFill="1" applyAlignment="1" applyProtection="1">
      <alignment horizontal="justify" vertical="center" wrapText="1"/>
      <protection hidden="1"/>
    </xf>
    <xf numFmtId="0" fontId="26" fillId="20" borderId="0" xfId="0" applyFont="1" applyFill="1" applyAlignment="1" applyProtection="1">
      <alignment horizontal="left"/>
      <protection hidden="1"/>
    </xf>
    <xf numFmtId="1" fontId="329" fillId="0" borderId="0" xfId="0" applyNumberFormat="1" applyFont="1" applyAlignment="1" applyProtection="1">
      <alignment horizontal="center" vertical="center"/>
      <protection hidden="1"/>
    </xf>
    <xf numFmtId="1" fontId="12" fillId="0" borderId="0" xfId="0" applyNumberFormat="1" applyFont="1" applyAlignment="1" applyProtection="1">
      <alignment vertical="center"/>
      <protection hidden="1"/>
    </xf>
    <xf numFmtId="0" fontId="9" fillId="20" borderId="0" xfId="0" applyFont="1" applyFill="1" applyAlignment="1">
      <alignment horizontal="right"/>
    </xf>
    <xf numFmtId="0" fontId="330" fillId="20" borderId="0" xfId="0" applyFont="1" applyFill="1"/>
    <xf numFmtId="0" fontId="330" fillId="0" borderId="0" xfId="0" applyFont="1"/>
    <xf numFmtId="0" fontId="12" fillId="4" borderId="3" xfId="0" applyFont="1" applyFill="1" applyBorder="1"/>
    <xf numFmtId="0" fontId="12" fillId="4" borderId="6" xfId="0" applyFont="1" applyFill="1" applyBorder="1"/>
    <xf numFmtId="0" fontId="330" fillId="0" borderId="0" xfId="0" applyFont="1" applyAlignment="1">
      <alignment horizontal="right"/>
    </xf>
    <xf numFmtId="0" fontId="9" fillId="20" borderId="0" xfId="0" applyFont="1" applyFill="1"/>
    <xf numFmtId="0" fontId="78" fillId="20" borderId="0" xfId="0" applyFont="1" applyFill="1"/>
    <xf numFmtId="14" fontId="330" fillId="0" borderId="0" xfId="0" applyNumberFormat="1" applyFont="1"/>
    <xf numFmtId="0" fontId="182" fillId="20" borderId="0" xfId="0" applyFont="1" applyFill="1" applyAlignment="1">
      <alignment horizontal="left"/>
    </xf>
    <xf numFmtId="0" fontId="9" fillId="20" borderId="0" xfId="0" applyFont="1" applyFill="1" applyAlignment="1">
      <alignment horizontal="left"/>
    </xf>
    <xf numFmtId="176" fontId="330" fillId="0" borderId="0" xfId="0" applyNumberFormat="1" applyFont="1"/>
    <xf numFmtId="0" fontId="25" fillId="20" borderId="0" xfId="0" applyFont="1" applyFill="1"/>
    <xf numFmtId="3" fontId="330" fillId="0" borderId="0" xfId="0" applyNumberFormat="1" applyFont="1"/>
    <xf numFmtId="0" fontId="36" fillId="20" borderId="0" xfId="0" applyFont="1" applyFill="1"/>
    <xf numFmtId="0" fontId="12" fillId="4" borderId="9" xfId="0" applyFont="1" applyFill="1" applyBorder="1"/>
    <xf numFmtId="0" fontId="12" fillId="4" borderId="7" xfId="0" applyFont="1" applyFill="1" applyBorder="1"/>
    <xf numFmtId="0" fontId="36" fillId="20" borderId="0" xfId="0" applyFont="1" applyFill="1" applyAlignment="1">
      <alignment horizontal="center"/>
    </xf>
    <xf numFmtId="0" fontId="105" fillId="20" borderId="0" xfId="0" applyFont="1" applyFill="1" applyAlignment="1">
      <alignment horizontal="right"/>
    </xf>
    <xf numFmtId="0" fontId="9" fillId="20" borderId="0" xfId="0" applyFont="1" applyFill="1" applyAlignment="1" applyProtection="1">
      <alignment horizontal="right"/>
      <protection hidden="1"/>
    </xf>
    <xf numFmtId="0" fontId="330" fillId="20" borderId="0" xfId="0" applyFont="1" applyFill="1" applyProtection="1">
      <protection hidden="1"/>
    </xf>
    <xf numFmtId="0" fontId="330" fillId="0" borderId="0" xfId="0" applyFont="1" applyProtection="1">
      <protection hidden="1"/>
    </xf>
    <xf numFmtId="0" fontId="330" fillId="0" borderId="0" xfId="0" applyFont="1" applyAlignment="1" applyProtection="1">
      <alignment horizontal="right"/>
      <protection hidden="1"/>
    </xf>
    <xf numFmtId="0" fontId="9" fillId="20" borderId="0" xfId="0" applyFont="1" applyFill="1" applyProtection="1">
      <protection hidden="1"/>
    </xf>
    <xf numFmtId="0" fontId="9" fillId="20" borderId="0" xfId="0" applyFont="1" applyFill="1" applyAlignment="1" applyProtection="1">
      <alignment horizontal="left"/>
      <protection hidden="1"/>
    </xf>
    <xf numFmtId="176" fontId="330" fillId="0" borderId="0" xfId="0" applyNumberFormat="1" applyFont="1" applyProtection="1">
      <protection hidden="1"/>
    </xf>
    <xf numFmtId="3" fontId="330" fillId="0" borderId="0" xfId="0" applyNumberFormat="1" applyFont="1" applyProtection="1">
      <protection hidden="1"/>
    </xf>
    <xf numFmtId="0" fontId="36" fillId="20" borderId="0" xfId="0" applyFont="1" applyFill="1" applyProtection="1">
      <protection hidden="1"/>
    </xf>
    <xf numFmtId="0" fontId="36" fillId="20" borderId="0" xfId="0" applyFont="1" applyFill="1" applyAlignment="1" applyProtection="1">
      <alignment horizontal="center"/>
      <protection hidden="1"/>
    </xf>
    <xf numFmtId="3" fontId="161" fillId="20" borderId="0" xfId="0" applyNumberFormat="1" applyFont="1" applyFill="1" applyProtection="1">
      <protection hidden="1"/>
    </xf>
    <xf numFmtId="0" fontId="161" fillId="0" borderId="0" xfId="0" applyFont="1" applyAlignment="1" applyProtection="1">
      <alignment wrapText="1"/>
      <protection hidden="1"/>
    </xf>
    <xf numFmtId="0" fontId="12" fillId="28" borderId="12" xfId="0" applyFont="1" applyFill="1" applyBorder="1" applyAlignment="1" applyProtection="1">
      <alignment horizontal="center" vertical="center"/>
      <protection locked="0" hidden="1"/>
    </xf>
    <xf numFmtId="0" fontId="12" fillId="28" borderId="12" xfId="0" applyFont="1" applyFill="1" applyBorder="1" applyAlignment="1" applyProtection="1">
      <alignment horizontal="center"/>
      <protection locked="0" hidden="1"/>
    </xf>
    <xf numFmtId="3" fontId="17" fillId="0" borderId="12" xfId="0" applyNumberFormat="1" applyFont="1" applyBorder="1" applyAlignment="1" applyProtection="1">
      <alignment horizontal="center"/>
      <protection locked="0" hidden="1"/>
    </xf>
    <xf numFmtId="0" fontId="17" fillId="0" borderId="12" xfId="0" applyFont="1" applyBorder="1" applyAlignment="1" applyProtection="1">
      <alignment horizontal="center"/>
      <protection locked="0" hidden="1"/>
    </xf>
    <xf numFmtId="1" fontId="17" fillId="0" borderId="12" xfId="0" applyNumberFormat="1" applyFont="1" applyBorder="1" applyAlignment="1" applyProtection="1">
      <alignment horizontal="center"/>
      <protection locked="0" hidden="1"/>
    </xf>
    <xf numFmtId="9" fontId="17" fillId="0" borderId="12" xfId="0" applyNumberFormat="1" applyFont="1" applyBorder="1" applyProtection="1">
      <protection locked="0" hidden="1"/>
    </xf>
    <xf numFmtId="3" fontId="22" fillId="0" borderId="12" xfId="0" applyNumberFormat="1" applyFont="1" applyBorder="1" applyProtection="1">
      <protection locked="0" hidden="1"/>
    </xf>
    <xf numFmtId="3" fontId="22" fillId="0" borderId="8" xfId="0" applyNumberFormat="1" applyFont="1" applyBorder="1" applyProtection="1">
      <protection locked="0" hidden="1"/>
    </xf>
    <xf numFmtId="10" fontId="22" fillId="0" borderId="12" xfId="0" applyNumberFormat="1" applyFont="1" applyBorder="1" applyAlignment="1" applyProtection="1">
      <alignment horizontal="center"/>
      <protection locked="0" hidden="1"/>
    </xf>
    <xf numFmtId="0" fontId="9" fillId="22" borderId="12" xfId="0" applyFont="1" applyFill="1" applyBorder="1" applyAlignment="1" applyProtection="1">
      <alignment horizontal="center" wrapText="1"/>
      <protection hidden="1"/>
    </xf>
    <xf numFmtId="3" fontId="17" fillId="22" borderId="12" xfId="0" applyNumberFormat="1" applyFont="1" applyFill="1" applyBorder="1" applyAlignment="1" applyProtection="1">
      <alignment horizontal="right" vertical="center"/>
      <protection hidden="1"/>
    </xf>
    <xf numFmtId="0" fontId="9" fillId="22" borderId="9" xfId="0" applyFont="1" applyFill="1" applyBorder="1" applyProtection="1">
      <protection hidden="1"/>
    </xf>
    <xf numFmtId="0" fontId="9" fillId="22" borderId="7" xfId="0" applyFont="1" applyFill="1" applyBorder="1" applyProtection="1">
      <protection hidden="1"/>
    </xf>
    <xf numFmtId="0" fontId="9" fillId="22" borderId="8" xfId="0" applyFont="1" applyFill="1" applyBorder="1" applyProtection="1">
      <protection hidden="1"/>
    </xf>
    <xf numFmtId="0" fontId="9" fillId="0" borderId="0" xfId="0" applyFont="1" applyProtection="1">
      <protection hidden="1"/>
    </xf>
    <xf numFmtId="0" fontId="8" fillId="0" borderId="0" xfId="0" applyFont="1" applyAlignment="1" applyProtection="1">
      <alignment horizontal="right"/>
      <protection hidden="1"/>
    </xf>
    <xf numFmtId="1" fontId="17" fillId="0" borderId="12" xfId="0" applyNumberFormat="1" applyFont="1" applyBorder="1" applyAlignment="1" applyProtection="1">
      <alignment horizontal="center" vertical="center"/>
      <protection locked="0" hidden="1"/>
    </xf>
    <xf numFmtId="14" fontId="17" fillId="0" borderId="12" xfId="0" applyNumberFormat="1" applyFont="1" applyBorder="1" applyAlignment="1" applyProtection="1">
      <alignment horizontal="center" vertical="center"/>
      <protection locked="0" hidden="1"/>
    </xf>
    <xf numFmtId="177" fontId="9" fillId="0" borderId="12" xfId="2" applyNumberFormat="1" applyFont="1" applyFill="1" applyBorder="1" applyProtection="1">
      <protection locked="0" hidden="1"/>
    </xf>
    <xf numFmtId="3" fontId="17" fillId="0" borderId="12" xfId="0" applyNumberFormat="1" applyFont="1" applyBorder="1" applyAlignment="1" applyProtection="1">
      <alignment horizontal="right" vertical="center"/>
      <protection locked="0" hidden="1"/>
    </xf>
    <xf numFmtId="0" fontId="19" fillId="0" borderId="20" xfId="0" applyFont="1" applyBorder="1" applyProtection="1">
      <protection hidden="1"/>
    </xf>
    <xf numFmtId="0" fontId="291" fillId="20" borderId="0" xfId="0" applyFont="1" applyFill="1" applyAlignment="1" applyProtection="1">
      <alignment vertical="top"/>
      <protection hidden="1"/>
    </xf>
    <xf numFmtId="0" fontId="229" fillId="0" borderId="0" xfId="0" applyFont="1" applyProtection="1">
      <protection hidden="1"/>
    </xf>
    <xf numFmtId="0" fontId="229" fillId="0" borderId="0" xfId="0" quotePrefix="1" applyFont="1" applyProtection="1">
      <protection hidden="1"/>
    </xf>
    <xf numFmtId="3" fontId="229" fillId="0" borderId="0" xfId="0" quotePrefix="1" applyNumberFormat="1" applyFont="1" applyProtection="1">
      <protection hidden="1"/>
    </xf>
    <xf numFmtId="0" fontId="227" fillId="0" borderId="0" xfId="0" applyFont="1" applyProtection="1">
      <protection hidden="1"/>
    </xf>
    <xf numFmtId="0" fontId="0" fillId="0" borderId="0" xfId="0" quotePrefix="1" applyProtection="1">
      <protection hidden="1"/>
    </xf>
    <xf numFmtId="0" fontId="290" fillId="16" borderId="9" xfId="0" applyFont="1" applyFill="1" applyBorder="1" applyAlignment="1" applyProtection="1">
      <alignment vertical="center"/>
      <protection hidden="1"/>
    </xf>
    <xf numFmtId="0" fontId="255" fillId="20" borderId="0" xfId="1" applyFont="1" applyFill="1" applyAlignment="1" applyProtection="1">
      <alignment horizontal="right" vertical="center"/>
      <protection hidden="1"/>
    </xf>
    <xf numFmtId="3" fontId="292" fillId="16" borderId="8" xfId="0" applyNumberFormat="1" applyFont="1" applyFill="1" applyBorder="1" applyAlignment="1" applyProtection="1">
      <alignment horizontal="center" vertical="center"/>
      <protection hidden="1"/>
    </xf>
    <xf numFmtId="3" fontId="299" fillId="0" borderId="0" xfId="0" applyNumberFormat="1" applyFont="1" applyAlignment="1" applyProtection="1">
      <alignment horizontal="right" vertical="center"/>
      <protection hidden="1"/>
    </xf>
    <xf numFmtId="0" fontId="292" fillId="16" borderId="7" xfId="0" applyFont="1" applyFill="1" applyBorder="1" applyAlignment="1" applyProtection="1">
      <alignment vertical="center"/>
      <protection hidden="1"/>
    </xf>
    <xf numFmtId="0" fontId="12" fillId="0" borderId="0" xfId="0" quotePrefix="1" applyFont="1" applyProtection="1">
      <protection hidden="1"/>
    </xf>
    <xf numFmtId="0" fontId="22" fillId="2" borderId="2" xfId="0" applyFont="1" applyFill="1" applyBorder="1" applyAlignment="1">
      <alignment horizontal="center"/>
    </xf>
    <xf numFmtId="0" fontId="12" fillId="2" borderId="2" xfId="0" applyFont="1" applyFill="1" applyBorder="1" applyProtection="1">
      <protection hidden="1"/>
    </xf>
    <xf numFmtId="0" fontId="206" fillId="2" borderId="9" xfId="0" applyFont="1" applyFill="1" applyBorder="1" applyAlignment="1" applyProtection="1">
      <alignment horizontal="center" vertical="center"/>
      <protection hidden="1"/>
    </xf>
    <xf numFmtId="0" fontId="150" fillId="2" borderId="9" xfId="0" applyFont="1" applyFill="1" applyBorder="1" applyAlignment="1" applyProtection="1">
      <alignment horizontal="left" vertical="center"/>
      <protection hidden="1"/>
    </xf>
    <xf numFmtId="0" fontId="150" fillId="2" borderId="7" xfId="0" applyFont="1" applyFill="1" applyBorder="1" applyAlignment="1" applyProtection="1">
      <alignment horizontal="left" vertical="center" wrapText="1"/>
      <protection hidden="1"/>
    </xf>
    <xf numFmtId="0" fontId="150" fillId="2" borderId="8" xfId="0" applyFont="1" applyFill="1" applyBorder="1" applyAlignment="1" applyProtection="1">
      <alignment horizontal="left" vertical="center" wrapText="1"/>
      <protection hidden="1"/>
    </xf>
    <xf numFmtId="0" fontId="207" fillId="2" borderId="1" xfId="0" applyFont="1" applyFill="1" applyBorder="1" applyProtection="1">
      <protection hidden="1"/>
    </xf>
    <xf numFmtId="3" fontId="331" fillId="29" borderId="0" xfId="0" quotePrefix="1" applyNumberFormat="1" applyFont="1" applyFill="1" applyProtection="1">
      <protection hidden="1"/>
    </xf>
    <xf numFmtId="0" fontId="12" fillId="2" borderId="7" xfId="0" applyFont="1" applyFill="1" applyBorder="1" applyAlignment="1" applyProtection="1">
      <alignment vertical="center"/>
      <protection hidden="1"/>
    </xf>
    <xf numFmtId="3" fontId="320" fillId="29" borderId="0" xfId="0" quotePrefix="1" applyNumberFormat="1" applyFont="1" applyFill="1" applyProtection="1">
      <protection hidden="1"/>
    </xf>
    <xf numFmtId="0" fontId="291" fillId="16" borderId="7" xfId="0" applyFont="1" applyFill="1" applyBorder="1" applyAlignment="1" applyProtection="1">
      <alignment horizontal="right" vertical="center"/>
      <protection hidden="1"/>
    </xf>
    <xf numFmtId="0" fontId="291" fillId="16" borderId="7" xfId="0" applyFont="1" applyFill="1" applyBorder="1" applyAlignment="1" applyProtection="1">
      <alignment horizontal="left" vertical="center"/>
      <protection hidden="1"/>
    </xf>
    <xf numFmtId="0" fontId="291" fillId="16" borderId="8" xfId="0" applyFont="1" applyFill="1" applyBorder="1" applyAlignment="1" applyProtection="1">
      <alignment vertical="center"/>
      <protection hidden="1"/>
    </xf>
    <xf numFmtId="0" fontId="183" fillId="20" borderId="0" xfId="0" applyFont="1" applyFill="1" applyAlignment="1" applyProtection="1">
      <alignment horizontal="left"/>
      <protection hidden="1"/>
    </xf>
    <xf numFmtId="0" fontId="194" fillId="20" borderId="0" xfId="1" applyFont="1" applyFill="1" applyAlignment="1" applyProtection="1">
      <alignment horizontal="center" vertical="center"/>
    </xf>
    <xf numFmtId="0" fontId="329" fillId="0" borderId="0" xfId="0" applyFont="1" applyAlignment="1" applyProtection="1">
      <alignment horizontal="left"/>
      <protection hidden="1"/>
    </xf>
    <xf numFmtId="0" fontId="292" fillId="0" borderId="0" xfId="0" applyFont="1" applyProtection="1">
      <protection hidden="1"/>
    </xf>
    <xf numFmtId="10" fontId="0" fillId="0" borderId="0" xfId="0" applyNumberFormat="1"/>
    <xf numFmtId="3" fontId="287" fillId="0" borderId="0" xfId="0" applyNumberFormat="1" applyFont="1" applyProtection="1">
      <protection hidden="1"/>
    </xf>
    <xf numFmtId="0" fontId="17" fillId="0" borderId="12" xfId="0" applyFont="1" applyBorder="1" applyAlignment="1" applyProtection="1">
      <alignment horizontal="center"/>
      <protection hidden="1"/>
    </xf>
    <xf numFmtId="0" fontId="291" fillId="20" borderId="0" xfId="0" applyFont="1" applyFill="1" applyProtection="1">
      <protection hidden="1"/>
    </xf>
    <xf numFmtId="0" fontId="281" fillId="16" borderId="7" xfId="0" applyFont="1" applyFill="1" applyBorder="1" applyAlignment="1" applyProtection="1">
      <alignment horizontal="right" vertical="center"/>
      <protection hidden="1"/>
    </xf>
    <xf numFmtId="0" fontId="282" fillId="16" borderId="8" xfId="0" applyFont="1" applyFill="1" applyBorder="1" applyProtection="1">
      <protection hidden="1"/>
    </xf>
    <xf numFmtId="3" fontId="282" fillId="16" borderId="20" xfId="0" applyNumberFormat="1" applyFont="1" applyFill="1" applyBorder="1" applyAlignment="1" applyProtection="1">
      <alignment horizontal="right" vertical="center"/>
      <protection hidden="1"/>
    </xf>
    <xf numFmtId="0" fontId="255" fillId="20" borderId="0" xfId="1" applyFont="1" applyFill="1" applyBorder="1" applyAlignment="1" applyProtection="1">
      <alignment horizontal="right" vertical="center"/>
      <protection hidden="1"/>
    </xf>
    <xf numFmtId="0" fontId="204" fillId="2" borderId="0" xfId="1" applyFont="1" applyFill="1" applyAlignment="1" applyProtection="1">
      <alignment horizontal="left" vertical="center"/>
      <protection hidden="1"/>
    </xf>
    <xf numFmtId="0" fontId="332" fillId="20" borderId="0" xfId="0" applyFont="1" applyFill="1" applyAlignment="1" applyProtection="1">
      <alignment vertical="center"/>
      <protection hidden="1"/>
    </xf>
    <xf numFmtId="0" fontId="300" fillId="20" borderId="0" xfId="0" applyFont="1" applyFill="1" applyAlignment="1" applyProtection="1">
      <alignment vertical="center"/>
      <protection hidden="1"/>
    </xf>
    <xf numFmtId="0" fontId="333" fillId="20" borderId="0" xfId="0" applyFont="1" applyFill="1" applyAlignment="1" applyProtection="1">
      <alignment vertical="center"/>
      <protection hidden="1"/>
    </xf>
    <xf numFmtId="3" fontId="282" fillId="0" borderId="0" xfId="0" applyNumberFormat="1" applyFont="1" applyAlignment="1" applyProtection="1">
      <alignment vertical="center"/>
      <protection hidden="1"/>
    </xf>
    <xf numFmtId="0" fontId="294" fillId="20" borderId="0" xfId="1" applyFont="1" applyFill="1" applyAlignment="1" applyProtection="1">
      <alignment horizontal="left" vertical="center"/>
      <protection hidden="1"/>
    </xf>
    <xf numFmtId="0" fontId="294" fillId="20" borderId="0" xfId="1" applyFont="1" applyFill="1" applyAlignment="1" applyProtection="1">
      <alignment horizontal="right" vertical="center"/>
      <protection hidden="1"/>
    </xf>
    <xf numFmtId="0" fontId="0" fillId="24" borderId="0" xfId="0" applyFill="1" applyProtection="1">
      <protection hidden="1"/>
    </xf>
    <xf numFmtId="0" fontId="290" fillId="20" borderId="0" xfId="0" applyFont="1" applyFill="1" applyAlignment="1" applyProtection="1">
      <alignment horizontal="right" vertical="center"/>
      <protection hidden="1"/>
    </xf>
    <xf numFmtId="0" fontId="334" fillId="17" borderId="0" xfId="0" applyFont="1" applyFill="1" applyAlignment="1" applyProtection="1">
      <alignment vertical="center"/>
      <protection hidden="1"/>
    </xf>
    <xf numFmtId="0" fontId="320" fillId="29" borderId="0" xfId="0" applyFont="1" applyFill="1" applyAlignment="1" applyProtection="1">
      <alignment vertical="center"/>
      <protection hidden="1"/>
    </xf>
    <xf numFmtId="0" fontId="12" fillId="20" borderId="0" xfId="0" applyFont="1" applyFill="1" applyAlignment="1" applyProtection="1">
      <alignment vertical="center"/>
      <protection hidden="1"/>
    </xf>
    <xf numFmtId="0" fontId="12" fillId="26" borderId="12" xfId="0" applyFont="1" applyFill="1" applyBorder="1" applyAlignment="1" applyProtection="1">
      <alignment horizontal="center" vertical="center"/>
      <protection locked="0"/>
    </xf>
    <xf numFmtId="0" fontId="183" fillId="24" borderId="0" xfId="0" applyFont="1" applyFill="1"/>
    <xf numFmtId="14" fontId="0" fillId="0" borderId="0" xfId="0" applyNumberFormat="1" applyProtection="1">
      <protection hidden="1"/>
    </xf>
    <xf numFmtId="0" fontId="150" fillId="20" borderId="0" xfId="0" applyFont="1" applyFill="1" applyAlignment="1" applyProtection="1">
      <alignment horizontal="center" vertical="center"/>
      <protection hidden="1"/>
    </xf>
    <xf numFmtId="0" fontId="337" fillId="20" borderId="0" xfId="0" applyFont="1" applyFill="1" applyAlignment="1" applyProtection="1">
      <alignment horizontal="left" vertical="center"/>
      <protection hidden="1"/>
    </xf>
    <xf numFmtId="0" fontId="0" fillId="20" borderId="0" xfId="0" applyFill="1" applyAlignment="1" applyProtection="1">
      <alignment horizontal="left" vertical="center"/>
      <protection hidden="1"/>
    </xf>
    <xf numFmtId="0" fontId="284" fillId="20" borderId="0" xfId="0" applyFont="1" applyFill="1" applyAlignment="1" applyProtection="1">
      <alignment horizontal="left" vertical="center"/>
      <protection hidden="1"/>
    </xf>
    <xf numFmtId="0" fontId="0" fillId="0" borderId="0" xfId="0" applyAlignment="1" applyProtection="1">
      <alignment horizontal="left" vertical="center"/>
      <protection hidden="1"/>
    </xf>
    <xf numFmtId="3" fontId="300" fillId="20" borderId="0" xfId="0" applyNumberFormat="1" applyFont="1" applyFill="1" applyAlignment="1" applyProtection="1">
      <alignment vertical="center"/>
      <protection hidden="1"/>
    </xf>
    <xf numFmtId="3" fontId="300" fillId="0" borderId="12" xfId="0" applyNumberFormat="1" applyFont="1" applyBorder="1" applyAlignment="1" applyProtection="1">
      <alignment vertical="center"/>
      <protection locked="0"/>
    </xf>
    <xf numFmtId="3" fontId="300" fillId="16" borderId="12" xfId="0" applyNumberFormat="1" applyFont="1" applyFill="1" applyBorder="1" applyAlignment="1" applyProtection="1">
      <alignment vertical="center"/>
      <protection hidden="1"/>
    </xf>
    <xf numFmtId="3" fontId="300" fillId="18" borderId="12" xfId="0" applyNumberFormat="1" applyFont="1" applyFill="1" applyBorder="1" applyAlignment="1" applyProtection="1">
      <alignment horizontal="center" vertical="center"/>
      <protection locked="0"/>
    </xf>
    <xf numFmtId="3" fontId="300" fillId="0" borderId="0" xfId="0" applyNumberFormat="1" applyFont="1" applyAlignment="1" applyProtection="1">
      <alignment vertical="center"/>
      <protection hidden="1"/>
    </xf>
    <xf numFmtId="0" fontId="12" fillId="20" borderId="0" xfId="0" applyFont="1" applyFill="1" applyAlignment="1" applyProtection="1">
      <alignment horizontal="left" vertical="center"/>
      <protection hidden="1"/>
    </xf>
    <xf numFmtId="0" fontId="150" fillId="20" borderId="0" xfId="0" applyFont="1" applyFill="1" applyAlignment="1" applyProtection="1">
      <alignment horizontal="left" vertical="center"/>
      <protection hidden="1"/>
    </xf>
    <xf numFmtId="0" fontId="22" fillId="20" borderId="0" xfId="0" applyFont="1" applyFill="1" applyAlignment="1" applyProtection="1">
      <alignment horizontal="left" vertical="center"/>
      <protection hidden="1"/>
    </xf>
    <xf numFmtId="3" fontId="283" fillId="20" borderId="0" xfId="0" applyNumberFormat="1" applyFont="1" applyFill="1" applyAlignment="1" applyProtection="1">
      <alignment vertical="center"/>
      <protection hidden="1"/>
    </xf>
    <xf numFmtId="0" fontId="12" fillId="0" borderId="12" xfId="0" applyFont="1" applyBorder="1" applyAlignment="1" applyProtection="1">
      <alignment horizontal="center" vertical="center"/>
      <protection locked="0"/>
    </xf>
    <xf numFmtId="0" fontId="338" fillId="0" borderId="0" xfId="0" applyFont="1" applyProtection="1">
      <protection hidden="1"/>
    </xf>
    <xf numFmtId="0" fontId="289" fillId="20" borderId="0" xfId="1" applyFont="1" applyFill="1" applyAlignment="1" applyProtection="1">
      <alignment horizontal="left" vertical="center"/>
      <protection hidden="1"/>
    </xf>
    <xf numFmtId="0" fontId="204" fillId="20" borderId="0" xfId="1" applyFont="1" applyFill="1" applyAlignment="1" applyProtection="1">
      <alignment horizontal="center"/>
      <protection hidden="1"/>
    </xf>
    <xf numFmtId="166" fontId="17" fillId="0" borderId="12" xfId="8" applyNumberFormat="1" applyFont="1" applyFill="1" applyBorder="1" applyAlignment="1" applyProtection="1">
      <alignment horizontal="right"/>
      <protection locked="0"/>
    </xf>
    <xf numFmtId="0" fontId="19" fillId="24" borderId="12" xfId="0" applyFont="1" applyFill="1" applyBorder="1" applyProtection="1">
      <protection hidden="1"/>
    </xf>
    <xf numFmtId="184" fontId="17" fillId="0" borderId="12" xfId="8" applyNumberFormat="1" applyFont="1" applyFill="1" applyBorder="1" applyAlignment="1" applyProtection="1">
      <alignment horizontal="center"/>
      <protection locked="0"/>
    </xf>
    <xf numFmtId="0" fontId="12" fillId="2" borderId="9" xfId="0" applyFont="1" applyFill="1" applyBorder="1" applyProtection="1">
      <protection hidden="1"/>
    </xf>
    <xf numFmtId="3" fontId="207" fillId="2" borderId="0" xfId="0" applyNumberFormat="1" applyFont="1" applyFill="1" applyAlignment="1" applyProtection="1">
      <alignment horizontal="left"/>
      <protection hidden="1"/>
    </xf>
    <xf numFmtId="0" fontId="8" fillId="20" borderId="0" xfId="0" applyFont="1" applyFill="1" applyAlignment="1">
      <alignment horizontal="right"/>
    </xf>
    <xf numFmtId="0" fontId="8" fillId="20" borderId="0" xfId="0" applyFont="1" applyFill="1"/>
    <xf numFmtId="3" fontId="22" fillId="16" borderId="12" xfId="0" applyNumberFormat="1" applyFont="1" applyFill="1" applyBorder="1" applyProtection="1">
      <protection hidden="1"/>
    </xf>
    <xf numFmtId="177" fontId="330" fillId="0" borderId="0" xfId="2" applyNumberFormat="1" applyFont="1"/>
    <xf numFmtId="0" fontId="8" fillId="20" borderId="0" xfId="0" applyFont="1" applyFill="1" applyAlignment="1">
      <alignment horizontal="left"/>
    </xf>
    <xf numFmtId="0" fontId="8" fillId="20" borderId="0" xfId="0" applyFont="1" applyFill="1" applyAlignment="1">
      <alignment horizontal="left" vertical="center"/>
    </xf>
    <xf numFmtId="0" fontId="8" fillId="20" borderId="0" xfId="0" applyFont="1" applyFill="1" applyAlignment="1">
      <alignment horizontal="right" vertical="center"/>
    </xf>
    <xf numFmtId="0" fontId="261" fillId="20" borderId="0" xfId="0" applyFont="1" applyFill="1"/>
    <xf numFmtId="177" fontId="330" fillId="0" borderId="0" xfId="0" applyNumberFormat="1" applyFont="1"/>
    <xf numFmtId="10" fontId="330" fillId="0" borderId="0" xfId="3" applyNumberFormat="1" applyFont="1"/>
    <xf numFmtId="9" fontId="330" fillId="0" borderId="0" xfId="0" applyNumberFormat="1" applyFont="1"/>
    <xf numFmtId="0" fontId="161" fillId="0" borderId="0" xfId="0" applyFont="1" applyAlignment="1" applyProtection="1">
      <alignment horizontal="right"/>
      <protection hidden="1"/>
    </xf>
    <xf numFmtId="0" fontId="161" fillId="0" borderId="0" xfId="2" applyNumberFormat="1" applyFont="1" applyProtection="1">
      <protection hidden="1"/>
    </xf>
    <xf numFmtId="0" fontId="12" fillId="16" borderId="19" xfId="0" applyFont="1" applyFill="1" applyBorder="1" applyProtection="1">
      <protection hidden="1"/>
    </xf>
    <xf numFmtId="0" fontId="12" fillId="16" borderId="4" xfId="0" applyFont="1" applyFill="1" applyBorder="1" applyProtection="1">
      <protection hidden="1"/>
    </xf>
    <xf numFmtId="3" fontId="150" fillId="16" borderId="9" xfId="0" applyNumberFormat="1" applyFont="1" applyFill="1" applyBorder="1" applyProtection="1">
      <protection hidden="1"/>
    </xf>
    <xf numFmtId="3" fontId="150" fillId="16" borderId="7" xfId="0" applyNumberFormat="1" applyFont="1" applyFill="1" applyBorder="1" applyProtection="1">
      <protection hidden="1"/>
    </xf>
    <xf numFmtId="3" fontId="150" fillId="16" borderId="8" xfId="0" applyNumberFormat="1" applyFont="1" applyFill="1" applyBorder="1" applyProtection="1">
      <protection hidden="1"/>
    </xf>
    <xf numFmtId="3" fontId="17" fillId="16" borderId="7" xfId="0" applyNumberFormat="1" applyFont="1" applyFill="1" applyBorder="1" applyProtection="1">
      <protection hidden="1"/>
    </xf>
    <xf numFmtId="3" fontId="22" fillId="16" borderId="8" xfId="0" applyNumberFormat="1" applyFont="1" applyFill="1" applyBorder="1" applyAlignment="1" applyProtection="1">
      <alignment horizontal="center"/>
      <protection hidden="1"/>
    </xf>
    <xf numFmtId="0" fontId="29" fillId="20" borderId="0" xfId="0" applyFont="1" applyFill="1" applyProtection="1">
      <protection hidden="1"/>
    </xf>
    <xf numFmtId="0" fontId="51" fillId="20" borderId="0" xfId="0" applyFont="1" applyFill="1"/>
    <xf numFmtId="3" fontId="17" fillId="2" borderId="9" xfId="0" applyNumberFormat="1" applyFont="1" applyFill="1" applyBorder="1" applyAlignment="1" applyProtection="1">
      <alignment horizontal="left" vertical="center"/>
      <protection hidden="1"/>
    </xf>
    <xf numFmtId="3" fontId="17" fillId="2" borderId="8" xfId="0" applyNumberFormat="1" applyFont="1" applyFill="1" applyBorder="1" applyAlignment="1" applyProtection="1">
      <alignment horizontal="left" vertical="center"/>
      <protection hidden="1"/>
    </xf>
    <xf numFmtId="0" fontId="318" fillId="20" borderId="0" xfId="0" applyFont="1" applyFill="1" applyAlignment="1" applyProtection="1">
      <alignment horizontal="right"/>
      <protection hidden="1"/>
    </xf>
    <xf numFmtId="0" fontId="272" fillId="20" borderId="0" xfId="0" applyFont="1" applyFill="1" applyAlignment="1" applyProtection="1">
      <alignment vertical="center"/>
      <protection hidden="1"/>
    </xf>
    <xf numFmtId="0" fontId="292" fillId="16" borderId="9" xfId="0" applyFont="1" applyFill="1" applyBorder="1" applyProtection="1">
      <protection hidden="1"/>
    </xf>
    <xf numFmtId="0" fontId="292" fillId="16" borderId="7" xfId="0" applyFont="1" applyFill="1" applyBorder="1" applyProtection="1">
      <protection hidden="1"/>
    </xf>
    <xf numFmtId="0" fontId="326" fillId="16" borderId="7" xfId="0" applyFont="1" applyFill="1" applyBorder="1" applyProtection="1">
      <protection hidden="1"/>
    </xf>
    <xf numFmtId="0" fontId="326" fillId="16" borderId="8" xfId="0" applyFont="1" applyFill="1" applyBorder="1" applyProtection="1">
      <protection hidden="1"/>
    </xf>
    <xf numFmtId="0" fontId="290" fillId="20" borderId="0" xfId="0" quotePrefix="1" applyFont="1" applyFill="1" applyAlignment="1" applyProtection="1">
      <alignment horizontal="right"/>
      <protection hidden="1"/>
    </xf>
    <xf numFmtId="0" fontId="290" fillId="20" borderId="0" xfId="0" quotePrefix="1" applyFont="1" applyFill="1" applyAlignment="1" applyProtection="1">
      <alignment horizontal="left" vertical="center"/>
      <protection hidden="1"/>
    </xf>
    <xf numFmtId="0" fontId="290" fillId="20" borderId="0" xfId="0" quotePrefix="1" applyFont="1" applyFill="1" applyProtection="1">
      <protection hidden="1"/>
    </xf>
    <xf numFmtId="0" fontId="287" fillId="20" borderId="0" xfId="0" quotePrefix="1" applyFont="1" applyFill="1" applyAlignment="1" applyProtection="1">
      <alignment vertical="center"/>
      <protection hidden="1"/>
    </xf>
    <xf numFmtId="0" fontId="297" fillId="20" borderId="0" xfId="0" quotePrefix="1" applyFont="1" applyFill="1" applyAlignment="1" applyProtection="1">
      <alignment horizontal="right"/>
      <protection hidden="1"/>
    </xf>
    <xf numFmtId="0" fontId="290" fillId="20" borderId="0" xfId="0" quotePrefix="1" applyFont="1" applyFill="1" applyAlignment="1" applyProtection="1">
      <alignment horizontal="left"/>
      <protection hidden="1"/>
    </xf>
    <xf numFmtId="0" fontId="283" fillId="0" borderId="0" xfId="0" applyFont="1" applyAlignment="1" applyProtection="1">
      <alignment horizontal="center" vertical="center"/>
      <protection hidden="1"/>
    </xf>
    <xf numFmtId="0" fontId="282" fillId="0" borderId="0" xfId="0" applyFont="1" applyAlignment="1" applyProtection="1">
      <alignment horizontal="left" vertical="center"/>
      <protection hidden="1"/>
    </xf>
    <xf numFmtId="0" fontId="282" fillId="0" borderId="0" xfId="0" applyFont="1" applyAlignment="1" applyProtection="1">
      <alignment horizontal="center" vertical="center"/>
      <protection hidden="1"/>
    </xf>
    <xf numFmtId="0" fontId="282" fillId="20" borderId="0" xfId="0" applyFont="1" applyFill="1" applyAlignment="1" applyProtection="1">
      <alignment horizontal="left" vertical="center"/>
      <protection hidden="1"/>
    </xf>
    <xf numFmtId="3" fontId="300" fillId="20" borderId="0" xfId="0" applyNumberFormat="1" applyFont="1" applyFill="1" applyAlignment="1" applyProtection="1">
      <alignment horizontal="right" vertical="center"/>
      <protection hidden="1"/>
    </xf>
    <xf numFmtId="3" fontId="290" fillId="16" borderId="12" xfId="0" applyNumberFormat="1" applyFont="1" applyFill="1" applyBorder="1" applyAlignment="1" applyProtection="1">
      <alignment horizontal="right" vertical="center"/>
      <protection hidden="1"/>
    </xf>
    <xf numFmtId="3" fontId="282" fillId="0" borderId="0" xfId="0" applyNumberFormat="1" applyFont="1" applyAlignment="1" applyProtection="1">
      <alignment horizontal="right" vertical="center"/>
      <protection hidden="1"/>
    </xf>
    <xf numFmtId="0" fontId="340" fillId="20" borderId="0" xfId="1" applyFont="1" applyFill="1" applyAlignment="1" applyProtection="1">
      <alignment horizontal="right" vertical="center"/>
      <protection hidden="1"/>
    </xf>
    <xf numFmtId="0" fontId="340" fillId="20" borderId="0" xfId="1" applyFont="1" applyFill="1" applyAlignment="1" applyProtection="1">
      <alignment horizontal="left" vertical="center"/>
      <protection hidden="1"/>
    </xf>
    <xf numFmtId="0" fontId="312" fillId="20" borderId="0" xfId="0" applyFont="1" applyFill="1" applyProtection="1">
      <protection hidden="1"/>
    </xf>
    <xf numFmtId="14" fontId="17" fillId="0" borderId="8" xfId="0" applyNumberFormat="1" applyFont="1" applyBorder="1" applyAlignment="1" applyProtection="1">
      <alignment horizontal="center" vertical="center"/>
      <protection locked="0"/>
    </xf>
    <xf numFmtId="0" fontId="282" fillId="0" borderId="0" xfId="0" applyFont="1" applyProtection="1">
      <protection hidden="1"/>
    </xf>
    <xf numFmtId="0" fontId="326" fillId="0" borderId="0" xfId="0" applyFont="1" applyProtection="1">
      <protection hidden="1"/>
    </xf>
    <xf numFmtId="0" fontId="292" fillId="0" borderId="0" xfId="0" applyFont="1" applyAlignment="1" applyProtection="1">
      <alignment horizontal="right" vertical="center"/>
      <protection hidden="1"/>
    </xf>
    <xf numFmtId="0" fontId="292" fillId="20" borderId="0" xfId="0" applyFont="1" applyFill="1" applyAlignment="1" applyProtection="1">
      <alignment horizontal="right"/>
      <protection hidden="1"/>
    </xf>
    <xf numFmtId="9" fontId="12" fillId="0" borderId="12" xfId="0" applyNumberFormat="1" applyFont="1" applyBorder="1" applyProtection="1">
      <protection locked="0"/>
    </xf>
    <xf numFmtId="0" fontId="204" fillId="2" borderId="0" xfId="1" applyFont="1" applyFill="1" applyAlignment="1" applyProtection="1">
      <alignment horizontal="center" vertical="center"/>
      <protection hidden="1"/>
    </xf>
    <xf numFmtId="10" fontId="341" fillId="20" borderId="0" xfId="0" applyNumberFormat="1" applyFont="1" applyFill="1" applyAlignment="1" applyProtection="1">
      <alignment vertical="center"/>
      <protection hidden="1"/>
    </xf>
    <xf numFmtId="0" fontId="194" fillId="2" borderId="9" xfId="0" applyFont="1" applyFill="1" applyBorder="1" applyAlignment="1" applyProtection="1">
      <alignment vertical="top"/>
      <protection hidden="1"/>
    </xf>
    <xf numFmtId="3" fontId="22" fillId="0" borderId="6" xfId="0" applyNumberFormat="1" applyFont="1" applyBorder="1" applyAlignment="1" applyProtection="1">
      <alignment horizontal="right"/>
      <protection locked="0"/>
    </xf>
    <xf numFmtId="3" fontId="22" fillId="0" borderId="3" xfId="0" applyNumberFormat="1" applyFont="1" applyBorder="1" applyAlignment="1" applyProtection="1">
      <alignment horizontal="right"/>
      <protection locked="0"/>
    </xf>
    <xf numFmtId="3" fontId="22" fillId="0" borderId="19" xfId="0" applyNumberFormat="1" applyFont="1" applyBorder="1" applyAlignment="1" applyProtection="1">
      <alignment horizontal="right"/>
      <protection locked="0"/>
    </xf>
    <xf numFmtId="0" fontId="46" fillId="20" borderId="0" xfId="0" applyFont="1" applyFill="1" applyProtection="1">
      <protection hidden="1"/>
    </xf>
    <xf numFmtId="0" fontId="194" fillId="16" borderId="12" xfId="0" applyFont="1" applyFill="1" applyBorder="1" applyAlignment="1" applyProtection="1">
      <alignment horizontal="center" vertical="center"/>
      <protection hidden="1"/>
    </xf>
    <xf numFmtId="0" fontId="204" fillId="20" borderId="0" xfId="1" applyFont="1" applyFill="1" applyAlignment="1" applyProtection="1">
      <alignment horizontal="center" vertical="center"/>
      <protection hidden="1"/>
    </xf>
    <xf numFmtId="0" fontId="46" fillId="0" borderId="0" xfId="0" applyFont="1" applyProtection="1">
      <protection hidden="1"/>
    </xf>
    <xf numFmtId="3" fontId="294" fillId="20" borderId="0" xfId="0" applyNumberFormat="1" applyFont="1" applyFill="1" applyAlignment="1" applyProtection="1">
      <alignment vertical="center"/>
      <protection hidden="1"/>
    </xf>
    <xf numFmtId="166" fontId="287" fillId="16" borderId="12" xfId="0" applyNumberFormat="1" applyFont="1" applyFill="1" applyBorder="1" applyAlignment="1" applyProtection="1">
      <alignment horizontal="right" vertical="center"/>
      <protection hidden="1"/>
    </xf>
    <xf numFmtId="0" fontId="194" fillId="9" borderId="0" xfId="14" applyFont="1" applyFill="1" applyAlignment="1">
      <alignment horizontal="right"/>
    </xf>
    <xf numFmtId="0" fontId="194" fillId="21" borderId="0" xfId="14" applyFont="1" applyFill="1" applyAlignment="1">
      <alignment horizontal="right"/>
    </xf>
    <xf numFmtId="0" fontId="313" fillId="0" borderId="0" xfId="0" applyFont="1"/>
    <xf numFmtId="14" fontId="318" fillId="0" borderId="0" xfId="0" applyNumberFormat="1" applyFont="1" applyAlignment="1">
      <alignment horizontal="center" vertical="center"/>
    </xf>
    <xf numFmtId="0" fontId="343" fillId="20" borderId="0" xfId="0" applyFont="1" applyFill="1" applyAlignment="1" applyProtection="1">
      <alignment vertical="center"/>
      <protection hidden="1"/>
    </xf>
    <xf numFmtId="0" fontId="291" fillId="16" borderId="7" xfId="0" applyFont="1" applyFill="1" applyBorder="1" applyAlignment="1" applyProtection="1">
      <alignment vertical="center"/>
      <protection hidden="1"/>
    </xf>
    <xf numFmtId="0" fontId="318" fillId="16" borderId="8" xfId="0" applyFont="1" applyFill="1" applyBorder="1" applyAlignment="1" applyProtection="1">
      <alignment horizontal="right" vertical="center"/>
      <protection hidden="1"/>
    </xf>
    <xf numFmtId="0" fontId="290" fillId="20" borderId="12" xfId="0" applyFont="1" applyFill="1" applyBorder="1" applyAlignment="1" applyProtection="1">
      <alignment horizontal="left" vertical="center" wrapText="1"/>
      <protection hidden="1"/>
    </xf>
    <xf numFmtId="0" fontId="318" fillId="16" borderId="12" xfId="0" applyFont="1" applyFill="1" applyBorder="1" applyAlignment="1" applyProtection="1">
      <alignment horizontal="center" vertical="center"/>
      <protection hidden="1"/>
    </xf>
    <xf numFmtId="0" fontId="203" fillId="16" borderId="9" xfId="0" applyFont="1" applyFill="1" applyBorder="1" applyProtection="1">
      <protection hidden="1"/>
    </xf>
    <xf numFmtId="10" fontId="12" fillId="16" borderId="12" xfId="0" applyNumberFormat="1" applyFont="1" applyFill="1" applyBorder="1" applyAlignment="1" applyProtection="1">
      <alignment horizontal="center" vertical="center"/>
      <protection hidden="1"/>
    </xf>
    <xf numFmtId="3" fontId="290" fillId="16" borderId="12" xfId="0" applyNumberFormat="1" applyFont="1" applyFill="1" applyBorder="1" applyAlignment="1" applyProtection="1">
      <alignment horizontal="center" vertical="center"/>
      <protection hidden="1"/>
    </xf>
    <xf numFmtId="3" fontId="318" fillId="16" borderId="12" xfId="0" applyNumberFormat="1" applyFont="1" applyFill="1" applyBorder="1" applyAlignment="1" applyProtection="1">
      <alignment horizontal="right" vertical="center"/>
      <protection hidden="1"/>
    </xf>
    <xf numFmtId="0" fontId="6" fillId="20" borderId="0" xfId="0" applyFont="1" applyFill="1" applyProtection="1">
      <protection hidden="1"/>
    </xf>
    <xf numFmtId="0" fontId="316" fillId="20" borderId="0" xfId="0" applyFont="1" applyFill="1"/>
    <xf numFmtId="0" fontId="322" fillId="0" borderId="0" xfId="0" applyFont="1"/>
    <xf numFmtId="0" fontId="294" fillId="20" borderId="0" xfId="0" applyFont="1" applyFill="1" applyAlignment="1" applyProtection="1">
      <alignment vertical="center"/>
      <protection hidden="1"/>
    </xf>
    <xf numFmtId="0" fontId="194" fillId="16" borderId="12" xfId="0" applyFont="1" applyFill="1" applyBorder="1" applyAlignment="1" applyProtection="1">
      <alignment vertical="center"/>
      <protection hidden="1"/>
    </xf>
    <xf numFmtId="0" fontId="194" fillId="16" borderId="12" xfId="0" applyFont="1" applyFill="1" applyBorder="1" applyProtection="1">
      <protection hidden="1"/>
    </xf>
    <xf numFmtId="3" fontId="0" fillId="16" borderId="12" xfId="0" applyNumberFormat="1" applyFill="1" applyBorder="1" applyProtection="1">
      <protection hidden="1"/>
    </xf>
    <xf numFmtId="0" fontId="0" fillId="16" borderId="12" xfId="0" applyFill="1" applyBorder="1" applyProtection="1">
      <protection hidden="1"/>
    </xf>
    <xf numFmtId="0" fontId="0" fillId="30" borderId="0" xfId="0" applyFill="1" applyProtection="1">
      <protection hidden="1"/>
    </xf>
    <xf numFmtId="3" fontId="346" fillId="20" borderId="0" xfId="0" applyNumberFormat="1" applyFont="1" applyFill="1" applyAlignment="1" applyProtection="1">
      <alignment vertical="top"/>
      <protection hidden="1"/>
    </xf>
    <xf numFmtId="3" fontId="347" fillId="0" borderId="12" xfId="0" applyNumberFormat="1" applyFont="1" applyBorder="1" applyProtection="1">
      <protection locked="0"/>
    </xf>
    <xf numFmtId="3" fontId="347" fillId="16" borderId="12" xfId="0" applyNumberFormat="1" applyFont="1" applyFill="1" applyBorder="1" applyProtection="1">
      <protection hidden="1"/>
    </xf>
    <xf numFmtId="3" fontId="343" fillId="16" borderId="12" xfId="0" applyNumberFormat="1" applyFont="1" applyFill="1" applyBorder="1" applyProtection="1">
      <protection hidden="1"/>
    </xf>
    <xf numFmtId="0" fontId="343" fillId="20" borderId="0" xfId="0" applyFont="1" applyFill="1" applyProtection="1">
      <protection hidden="1"/>
    </xf>
    <xf numFmtId="0" fontId="182" fillId="20" borderId="0" xfId="0" applyFont="1" applyFill="1" applyAlignment="1" applyProtection="1">
      <alignment vertical="center"/>
      <protection hidden="1"/>
    </xf>
    <xf numFmtId="0" fontId="348" fillId="20" borderId="0" xfId="0" applyFont="1" applyFill="1" applyProtection="1">
      <protection hidden="1"/>
    </xf>
    <xf numFmtId="0" fontId="312" fillId="0" borderId="0" xfId="0" applyFont="1" applyAlignment="1" applyProtection="1">
      <alignment vertical="center"/>
      <protection hidden="1"/>
    </xf>
    <xf numFmtId="0" fontId="318" fillId="16" borderId="12" xfId="0" applyFont="1" applyFill="1" applyBorder="1" applyAlignment="1" applyProtection="1">
      <alignment horizontal="right" vertical="center"/>
      <protection hidden="1"/>
    </xf>
    <xf numFmtId="3" fontId="300" fillId="16" borderId="12" xfId="0" applyNumberFormat="1" applyFont="1" applyFill="1" applyBorder="1" applyAlignment="1" applyProtection="1">
      <alignment horizontal="right" vertical="center"/>
      <protection hidden="1"/>
    </xf>
    <xf numFmtId="3" fontId="300" fillId="0" borderId="18" xfId="0" applyNumberFormat="1" applyFont="1" applyBorder="1" applyAlignment="1" applyProtection="1">
      <alignment horizontal="right" vertical="center"/>
      <protection locked="0"/>
    </xf>
    <xf numFmtId="3" fontId="300" fillId="0" borderId="12" xfId="0" applyNumberFormat="1" applyFont="1" applyBorder="1" applyAlignment="1" applyProtection="1">
      <alignment horizontal="right" vertical="center"/>
      <protection locked="0"/>
    </xf>
    <xf numFmtId="0" fontId="300" fillId="20" borderId="0" xfId="0" applyFont="1" applyFill="1" applyAlignment="1" applyProtection="1">
      <alignment vertical="center"/>
      <protection locked="0"/>
    </xf>
    <xf numFmtId="3" fontId="347" fillId="0" borderId="12" xfId="0" applyNumberFormat="1" applyFont="1" applyBorder="1" applyAlignment="1" applyProtection="1">
      <alignment vertical="center"/>
      <protection locked="0"/>
    </xf>
    <xf numFmtId="3" fontId="347" fillId="0" borderId="12" xfId="0" applyNumberFormat="1" applyFont="1" applyBorder="1" applyAlignment="1" applyProtection="1">
      <alignment horizontal="right" vertical="center"/>
      <protection locked="0"/>
    </xf>
    <xf numFmtId="0" fontId="282" fillId="20" borderId="0" xfId="0" applyFont="1" applyFill="1" applyAlignment="1" applyProtection="1">
      <alignment horizontal="center" vertical="center"/>
      <protection hidden="1"/>
    </xf>
    <xf numFmtId="0" fontId="279" fillId="16" borderId="12" xfId="0" applyFont="1" applyFill="1" applyBorder="1" applyAlignment="1" applyProtection="1">
      <alignment horizontal="center" vertical="center" wrapText="1"/>
      <protection hidden="1"/>
    </xf>
    <xf numFmtId="0" fontId="291" fillId="20" borderId="0" xfId="0" applyFont="1" applyFill="1" applyAlignment="1" applyProtection="1">
      <alignment horizontal="center" vertical="center"/>
      <protection hidden="1"/>
    </xf>
    <xf numFmtId="0" fontId="312" fillId="20" borderId="0" xfId="0" applyFont="1" applyFill="1" applyAlignment="1" applyProtection="1">
      <alignment horizontal="center" vertical="center"/>
      <protection hidden="1"/>
    </xf>
    <xf numFmtId="0" fontId="0" fillId="0" borderId="0" xfId="0" applyAlignment="1" applyProtection="1">
      <alignment horizontal="center" vertical="center"/>
      <protection hidden="1"/>
    </xf>
    <xf numFmtId="0" fontId="12" fillId="0" borderId="0" xfId="0" applyFont="1" applyAlignment="1" applyProtection="1">
      <alignment horizontal="center" vertical="center"/>
      <protection hidden="1"/>
    </xf>
    <xf numFmtId="0" fontId="347" fillId="20" borderId="0" xfId="0" applyFont="1" applyFill="1" applyProtection="1">
      <protection hidden="1"/>
    </xf>
    <xf numFmtId="0" fontId="347" fillId="0" borderId="0" xfId="0" applyFont="1" applyProtection="1">
      <protection hidden="1"/>
    </xf>
    <xf numFmtId="0" fontId="332" fillId="0" borderId="0" xfId="0" applyFont="1" applyAlignment="1" applyProtection="1">
      <alignment vertical="center"/>
      <protection hidden="1"/>
    </xf>
    <xf numFmtId="166" fontId="347" fillId="0" borderId="12" xfId="0" applyNumberFormat="1" applyFont="1" applyBorder="1" applyProtection="1">
      <protection locked="0"/>
    </xf>
    <xf numFmtId="0" fontId="282" fillId="0" borderId="0" xfId="0" applyFont="1" applyAlignment="1" applyProtection="1">
      <alignment horizontal="right" vertical="center"/>
      <protection hidden="1"/>
    </xf>
    <xf numFmtId="166" fontId="343" fillId="16" borderId="12" xfId="0" applyNumberFormat="1" applyFont="1" applyFill="1" applyBorder="1" applyAlignment="1" applyProtection="1">
      <alignment vertical="center"/>
      <protection hidden="1"/>
    </xf>
    <xf numFmtId="3" fontId="0" fillId="24" borderId="0" xfId="0" applyNumberFormat="1" applyFill="1" applyAlignment="1" applyProtection="1">
      <alignment vertical="center"/>
      <protection hidden="1"/>
    </xf>
    <xf numFmtId="0" fontId="313" fillId="0" borderId="0" xfId="0" applyFont="1" applyProtection="1">
      <protection hidden="1"/>
    </xf>
    <xf numFmtId="3" fontId="17" fillId="20" borderId="0" xfId="0" applyNumberFormat="1" applyFont="1" applyFill="1" applyProtection="1">
      <protection hidden="1"/>
    </xf>
    <xf numFmtId="3" fontId="332" fillId="20" borderId="0" xfId="0" applyNumberFormat="1" applyFont="1" applyFill="1" applyAlignment="1" applyProtection="1">
      <alignment vertical="center"/>
      <protection hidden="1"/>
    </xf>
    <xf numFmtId="3" fontId="347" fillId="16" borderId="12" xfId="0" applyNumberFormat="1" applyFont="1" applyFill="1" applyBorder="1" applyAlignment="1" applyProtection="1">
      <alignment vertical="center"/>
      <protection hidden="1"/>
    </xf>
    <xf numFmtId="0" fontId="207" fillId="2" borderId="0" xfId="0" applyFont="1" applyFill="1" applyAlignment="1" applyProtection="1">
      <alignment horizontal="left"/>
      <protection hidden="1"/>
    </xf>
    <xf numFmtId="3" fontId="0" fillId="16" borderId="0" xfId="0" applyNumberFormat="1" applyFill="1" applyProtection="1">
      <protection hidden="1"/>
    </xf>
    <xf numFmtId="0" fontId="297" fillId="20" borderId="12" xfId="0" applyFont="1" applyFill="1" applyBorder="1" applyAlignment="1" applyProtection="1">
      <alignment horizontal="left" vertical="center" wrapText="1"/>
      <protection hidden="1"/>
    </xf>
    <xf numFmtId="0" fontId="290" fillId="20" borderId="21" xfId="0" applyFont="1" applyFill="1" applyBorder="1" applyAlignment="1" applyProtection="1">
      <alignment horizontal="left" vertical="center" wrapText="1"/>
      <protection hidden="1"/>
    </xf>
    <xf numFmtId="166" fontId="0" fillId="0" borderId="0" xfId="0" applyNumberFormat="1" applyAlignment="1" applyProtection="1">
      <alignment vertical="center"/>
      <protection hidden="1"/>
    </xf>
    <xf numFmtId="166" fontId="0" fillId="24" borderId="0" xfId="0" applyNumberFormat="1" applyFill="1" applyProtection="1">
      <protection hidden="1"/>
    </xf>
    <xf numFmtId="3" fontId="0" fillId="24" borderId="0" xfId="0" applyNumberFormat="1" applyFill="1" applyProtection="1">
      <protection hidden="1"/>
    </xf>
    <xf numFmtId="166" fontId="300" fillId="16" borderId="12" xfId="0" applyNumberFormat="1" applyFont="1" applyFill="1" applyBorder="1" applyAlignment="1">
      <alignment horizontal="right" vertical="center"/>
    </xf>
    <xf numFmtId="3" fontId="287" fillId="16" borderId="12" xfId="0" quotePrefix="1" applyNumberFormat="1" applyFont="1" applyFill="1" applyBorder="1" applyAlignment="1" applyProtection="1">
      <alignment horizontal="right" vertical="center"/>
      <protection hidden="1"/>
    </xf>
    <xf numFmtId="3" fontId="194" fillId="24" borderId="0" xfId="0" applyNumberFormat="1" applyFont="1" applyFill="1"/>
    <xf numFmtId="0" fontId="0" fillId="24" borderId="0" xfId="0" applyFill="1" applyAlignment="1" applyProtection="1">
      <alignment vertical="center"/>
      <protection hidden="1"/>
    </xf>
    <xf numFmtId="0" fontId="343" fillId="0" borderId="0" xfId="0" applyFont="1" applyProtection="1">
      <protection hidden="1"/>
    </xf>
    <xf numFmtId="0" fontId="347" fillId="24" borderId="0" xfId="0" applyFont="1" applyFill="1" applyAlignment="1" applyProtection="1">
      <alignment vertical="center"/>
      <protection hidden="1"/>
    </xf>
    <xf numFmtId="166" fontId="0" fillId="16" borderId="12" xfId="0" applyNumberFormat="1" applyFill="1" applyBorder="1" applyProtection="1">
      <protection hidden="1"/>
    </xf>
    <xf numFmtId="3" fontId="352" fillId="20" borderId="0" xfId="0" applyNumberFormat="1" applyFont="1" applyFill="1" applyAlignment="1" applyProtection="1">
      <alignment vertical="top"/>
      <protection hidden="1"/>
    </xf>
    <xf numFmtId="166" fontId="300" fillId="16" borderId="12" xfId="0" applyNumberFormat="1" applyFont="1" applyFill="1" applyBorder="1" applyAlignment="1" applyProtection="1">
      <alignment horizontal="right" vertical="center"/>
      <protection hidden="1"/>
    </xf>
    <xf numFmtId="3" fontId="283" fillId="16" borderId="12" xfId="0" applyNumberFormat="1" applyFont="1" applyFill="1" applyBorder="1" applyAlignment="1" applyProtection="1">
      <alignment horizontal="right" vertical="center"/>
      <protection hidden="1"/>
    </xf>
    <xf numFmtId="0" fontId="203" fillId="20" borderId="0" xfId="0" applyFont="1" applyFill="1" applyAlignment="1" applyProtection="1">
      <alignment horizontal="center" vertical="center"/>
      <protection hidden="1"/>
    </xf>
    <xf numFmtId="166" fontId="283" fillId="16" borderId="12" xfId="0" applyNumberFormat="1" applyFont="1" applyFill="1" applyBorder="1" applyAlignment="1" applyProtection="1">
      <alignment horizontal="right" vertical="center"/>
      <protection hidden="1"/>
    </xf>
    <xf numFmtId="3" fontId="282" fillId="0" borderId="12" xfId="0" applyNumberFormat="1" applyFont="1" applyBorder="1" applyAlignment="1" applyProtection="1">
      <alignment horizontal="right" vertical="center"/>
      <protection hidden="1"/>
    </xf>
    <xf numFmtId="3" fontId="347" fillId="0" borderId="8" xfId="0" applyNumberFormat="1" applyFont="1" applyBorder="1" applyAlignment="1" applyProtection="1">
      <alignment horizontal="right" vertical="center"/>
      <protection locked="0"/>
    </xf>
    <xf numFmtId="3" fontId="343" fillId="16" borderId="12" xfId="0" applyNumberFormat="1" applyFont="1" applyFill="1" applyBorder="1" applyAlignment="1" applyProtection="1">
      <alignment horizontal="right" vertical="center"/>
      <protection hidden="1"/>
    </xf>
    <xf numFmtId="0" fontId="300" fillId="20" borderId="0" xfId="0" applyFont="1" applyFill="1" applyProtection="1">
      <protection hidden="1"/>
    </xf>
    <xf numFmtId="3" fontId="347" fillId="16" borderId="18" xfId="0" applyNumberFormat="1" applyFont="1" applyFill="1" applyBorder="1" applyAlignment="1" applyProtection="1">
      <alignment vertical="center"/>
      <protection hidden="1"/>
    </xf>
    <xf numFmtId="0" fontId="318" fillId="16" borderId="8" xfId="0" applyFont="1" applyFill="1" applyBorder="1" applyAlignment="1" applyProtection="1">
      <alignment horizontal="center" vertical="center"/>
      <protection hidden="1"/>
    </xf>
    <xf numFmtId="0" fontId="19" fillId="18" borderId="0" xfId="0" applyFont="1" applyFill="1" applyProtection="1">
      <protection hidden="1"/>
    </xf>
    <xf numFmtId="0" fontId="300" fillId="0" borderId="0" xfId="0" applyFont="1" applyProtection="1">
      <protection hidden="1"/>
    </xf>
    <xf numFmtId="0" fontId="0" fillId="18" borderId="0" xfId="0" applyFill="1"/>
    <xf numFmtId="0" fontId="0" fillId="18" borderId="0" xfId="0" applyFill="1" applyProtection="1">
      <protection hidden="1"/>
    </xf>
    <xf numFmtId="0" fontId="318" fillId="20" borderId="0" xfId="0" applyFont="1" applyFill="1" applyAlignment="1" applyProtection="1">
      <alignment horizontal="right" vertical="center"/>
      <protection hidden="1"/>
    </xf>
    <xf numFmtId="0" fontId="348" fillId="20" borderId="0" xfId="0" applyFont="1" applyFill="1" applyAlignment="1" applyProtection="1">
      <alignment horizontal="right" vertical="center"/>
      <protection hidden="1"/>
    </xf>
    <xf numFmtId="166" fontId="343" fillId="16" borderId="12" xfId="0" applyNumberFormat="1" applyFont="1" applyFill="1" applyBorder="1" applyProtection="1">
      <protection hidden="1"/>
    </xf>
    <xf numFmtId="0" fontId="343" fillId="2" borderId="4" xfId="0" applyFont="1" applyFill="1" applyBorder="1" applyAlignment="1" applyProtection="1">
      <alignment vertical="center"/>
      <protection hidden="1"/>
    </xf>
    <xf numFmtId="0" fontId="205" fillId="0" borderId="0" xfId="0" applyFont="1" applyAlignment="1" applyProtection="1">
      <alignment wrapText="1"/>
      <protection hidden="1"/>
    </xf>
    <xf numFmtId="0" fontId="205" fillId="0" borderId="0" xfId="0" applyFont="1" applyAlignment="1" applyProtection="1">
      <alignment horizontal="justify" vertical="center" wrapText="1"/>
      <protection hidden="1"/>
    </xf>
    <xf numFmtId="0" fontId="12" fillId="0" borderId="0" xfId="1" applyFont="1" applyFill="1" applyAlignment="1" applyProtection="1">
      <protection hidden="1"/>
    </xf>
    <xf numFmtId="0" fontId="343" fillId="2" borderId="0" xfId="0" applyFont="1" applyFill="1" applyProtection="1">
      <protection hidden="1"/>
    </xf>
    <xf numFmtId="0" fontId="207" fillId="20" borderId="0" xfId="0" applyFont="1" applyFill="1" applyAlignment="1" applyProtection="1">
      <alignment horizontal="center" vertical="center"/>
      <protection hidden="1"/>
    </xf>
    <xf numFmtId="0" fontId="354" fillId="2" borderId="8" xfId="0" applyFont="1" applyFill="1" applyBorder="1" applyAlignment="1" applyProtection="1">
      <alignment horizontal="right" vertical="center"/>
      <protection hidden="1"/>
    </xf>
    <xf numFmtId="3" fontId="294" fillId="20" borderId="0" xfId="0" applyNumberFormat="1" applyFont="1" applyFill="1" applyAlignment="1" applyProtection="1">
      <alignment horizontal="center" vertical="top"/>
      <protection hidden="1"/>
    </xf>
    <xf numFmtId="0" fontId="327" fillId="20" borderId="0" xfId="0" applyFont="1" applyFill="1" applyAlignment="1" applyProtection="1">
      <alignment horizontal="center" vertical="center"/>
      <protection hidden="1"/>
    </xf>
    <xf numFmtId="0" fontId="254" fillId="20" borderId="0" xfId="0" applyFont="1" applyFill="1" applyAlignment="1" applyProtection="1">
      <alignment horizontal="right"/>
      <protection hidden="1"/>
    </xf>
    <xf numFmtId="3" fontId="343" fillId="20" borderId="0" xfId="0" applyNumberFormat="1" applyFont="1" applyFill="1" applyAlignment="1" applyProtection="1">
      <alignment vertical="center"/>
      <protection hidden="1"/>
    </xf>
    <xf numFmtId="0" fontId="343" fillId="0" borderId="0" xfId="0" applyFont="1" applyAlignment="1" applyProtection="1">
      <alignment vertical="center"/>
      <protection hidden="1"/>
    </xf>
    <xf numFmtId="0" fontId="318" fillId="20" borderId="0" xfId="0" applyFont="1" applyFill="1" applyAlignment="1" applyProtection="1">
      <alignment vertical="center"/>
      <protection hidden="1"/>
    </xf>
    <xf numFmtId="3" fontId="318" fillId="20" borderId="0" xfId="0" applyNumberFormat="1" applyFont="1" applyFill="1" applyAlignment="1" applyProtection="1">
      <alignment vertical="center"/>
      <protection hidden="1"/>
    </xf>
    <xf numFmtId="0" fontId="330" fillId="16" borderId="19" xfId="0" applyFont="1" applyFill="1" applyBorder="1"/>
    <xf numFmtId="0" fontId="330" fillId="16" borderId="10" xfId="0" applyFont="1" applyFill="1" applyBorder="1"/>
    <xf numFmtId="0" fontId="330" fillId="16" borderId="3" xfId="0" applyFont="1" applyFill="1" applyBorder="1"/>
    <xf numFmtId="0" fontId="330" fillId="16" borderId="4" xfId="0" applyFont="1" applyFill="1" applyBorder="1"/>
    <xf numFmtId="0" fontId="330" fillId="16" borderId="5" xfId="0" applyFont="1" applyFill="1" applyBorder="1"/>
    <xf numFmtId="0" fontId="330" fillId="16" borderId="6" xfId="0" applyFont="1" applyFill="1" applyBorder="1"/>
    <xf numFmtId="0" fontId="8" fillId="16" borderId="9" xfId="0" applyFont="1" applyFill="1" applyBorder="1"/>
    <xf numFmtId="0" fontId="8" fillId="16" borderId="7" xfId="0" applyFont="1" applyFill="1" applyBorder="1"/>
    <xf numFmtId="0" fontId="255" fillId="20" borderId="0" xfId="0" applyFont="1" applyFill="1"/>
    <xf numFmtId="0" fontId="255" fillId="16" borderId="8" xfId="0" applyFont="1" applyFill="1" applyBorder="1"/>
    <xf numFmtId="0" fontId="28" fillId="16" borderId="9" xfId="0" applyFont="1" applyFill="1" applyBorder="1" applyProtection="1">
      <protection hidden="1"/>
    </xf>
    <xf numFmtId="0" fontId="28" fillId="16" borderId="7" xfId="0" applyFont="1" applyFill="1" applyBorder="1" applyProtection="1">
      <protection hidden="1"/>
    </xf>
    <xf numFmtId="0" fontId="17" fillId="16" borderId="12" xfId="0" applyFont="1" applyFill="1" applyBorder="1" applyAlignment="1" applyProtection="1">
      <alignment horizontal="center" vertical="center" wrapText="1"/>
      <protection hidden="1"/>
    </xf>
    <xf numFmtId="0" fontId="17" fillId="16" borderId="9" xfId="0" applyFont="1" applyFill="1" applyBorder="1" applyAlignment="1" applyProtection="1">
      <alignment vertical="center"/>
      <protection hidden="1"/>
    </xf>
    <xf numFmtId="0" fontId="204" fillId="22" borderId="7" xfId="0" applyFont="1" applyFill="1" applyBorder="1" applyAlignment="1" applyProtection="1">
      <alignment vertical="center"/>
      <protection hidden="1"/>
    </xf>
    <xf numFmtId="0" fontId="12" fillId="18" borderId="12" xfId="0" applyFont="1" applyFill="1" applyBorder="1" applyAlignment="1" applyProtection="1">
      <alignment horizontal="center"/>
      <protection locked="0" hidden="1"/>
    </xf>
    <xf numFmtId="0" fontId="12" fillId="18" borderId="12" xfId="0" applyFont="1" applyFill="1" applyBorder="1" applyAlignment="1" applyProtection="1">
      <alignment horizontal="center" vertical="center"/>
      <protection locked="0" hidden="1"/>
    </xf>
    <xf numFmtId="0" fontId="12" fillId="18" borderId="12" xfId="0" applyFont="1" applyFill="1" applyBorder="1" applyAlignment="1" applyProtection="1">
      <alignment horizontal="center"/>
      <protection locked="0"/>
    </xf>
    <xf numFmtId="0" fontId="355" fillId="2" borderId="1" xfId="0" applyFont="1" applyFill="1" applyBorder="1" applyAlignment="1" applyProtection="1">
      <alignment vertical="center"/>
      <protection hidden="1"/>
    </xf>
    <xf numFmtId="0" fontId="291" fillId="16" borderId="9" xfId="0" applyFont="1" applyFill="1" applyBorder="1" applyAlignment="1" applyProtection="1">
      <alignment vertical="center"/>
      <protection hidden="1"/>
    </xf>
    <xf numFmtId="3" fontId="287" fillId="16" borderId="12" xfId="0" applyNumberFormat="1" applyFont="1" applyFill="1" applyBorder="1" applyAlignment="1" applyProtection="1">
      <alignment horizontal="right" vertical="center"/>
      <protection hidden="1"/>
    </xf>
    <xf numFmtId="0" fontId="356" fillId="20" borderId="0" xfId="0" applyFont="1" applyFill="1" applyAlignment="1" applyProtection="1">
      <alignment horizontal="right" vertical="center"/>
      <protection hidden="1"/>
    </xf>
    <xf numFmtId="166" fontId="287" fillId="0" borderId="12" xfId="0" applyNumberFormat="1" applyFont="1" applyBorder="1" applyAlignment="1" applyProtection="1">
      <alignment horizontal="right" vertical="center"/>
      <protection locked="0"/>
    </xf>
    <xf numFmtId="3" fontId="312" fillId="20" borderId="0" xfId="0" applyNumberFormat="1" applyFont="1" applyFill="1" applyAlignment="1" applyProtection="1">
      <alignment vertical="center"/>
      <protection hidden="1"/>
    </xf>
    <xf numFmtId="0" fontId="0" fillId="22" borderId="0" xfId="0" applyFill="1" applyProtection="1">
      <protection hidden="1"/>
    </xf>
    <xf numFmtId="0" fontId="327" fillId="20" borderId="0" xfId="0" applyFont="1" applyFill="1" applyAlignment="1" applyProtection="1">
      <alignment vertical="center"/>
      <protection hidden="1"/>
    </xf>
    <xf numFmtId="3" fontId="183" fillId="24" borderId="0" xfId="0" applyNumberFormat="1" applyFont="1" applyFill="1" applyProtection="1">
      <protection hidden="1"/>
    </xf>
    <xf numFmtId="0" fontId="183" fillId="24" borderId="0" xfId="0" applyFont="1" applyFill="1" applyProtection="1">
      <protection hidden="1"/>
    </xf>
    <xf numFmtId="0" fontId="207" fillId="20" borderId="21" xfId="0" applyFont="1" applyFill="1" applyBorder="1" applyAlignment="1" applyProtection="1">
      <alignment vertical="center"/>
      <protection hidden="1"/>
    </xf>
    <xf numFmtId="0" fontId="207" fillId="20" borderId="20" xfId="0" applyFont="1" applyFill="1" applyBorder="1" applyAlignment="1" applyProtection="1">
      <alignment vertical="center"/>
      <protection hidden="1"/>
    </xf>
    <xf numFmtId="0" fontId="207" fillId="20" borderId="18" xfId="0" applyFont="1" applyFill="1" applyBorder="1" applyAlignment="1" applyProtection="1">
      <alignment vertical="center"/>
      <protection hidden="1"/>
    </xf>
    <xf numFmtId="3" fontId="0" fillId="18" borderId="0" xfId="0" applyNumberFormat="1" applyFill="1" applyProtection="1">
      <protection hidden="1"/>
    </xf>
    <xf numFmtId="3" fontId="194" fillId="18" borderId="0" xfId="0" applyNumberFormat="1" applyFont="1" applyFill="1" applyProtection="1">
      <protection hidden="1"/>
    </xf>
    <xf numFmtId="0" fontId="290" fillId="20" borderId="0" xfId="0" applyFont="1" applyFill="1" applyAlignment="1" applyProtection="1">
      <alignment vertical="center" wrapText="1"/>
      <protection hidden="1"/>
    </xf>
    <xf numFmtId="3" fontId="327" fillId="16" borderId="8" xfId="0" applyNumberFormat="1" applyFont="1" applyFill="1" applyBorder="1" applyAlignment="1" applyProtection="1">
      <alignment horizontal="center" vertical="center"/>
      <protection hidden="1"/>
    </xf>
    <xf numFmtId="0" fontId="332" fillId="2" borderId="0" xfId="0" applyFont="1" applyFill="1" applyAlignment="1" applyProtection="1">
      <alignment vertical="center"/>
      <protection hidden="1"/>
    </xf>
    <xf numFmtId="0" fontId="290" fillId="16" borderId="12" xfId="0" applyFont="1" applyFill="1" applyBorder="1" applyAlignment="1" applyProtection="1">
      <alignment horizontal="left" vertical="center" wrapText="1"/>
      <protection hidden="1"/>
    </xf>
    <xf numFmtId="0" fontId="241" fillId="20" borderId="0" xfId="0" applyFont="1" applyFill="1" applyProtection="1">
      <protection hidden="1"/>
    </xf>
    <xf numFmtId="0" fontId="358" fillId="20" borderId="0" xfId="0" applyFont="1" applyFill="1" applyAlignment="1" applyProtection="1">
      <alignment horizontal="center"/>
      <protection hidden="1"/>
    </xf>
    <xf numFmtId="185" fontId="8" fillId="16" borderId="12" xfId="2" applyNumberFormat="1" applyFont="1" applyFill="1" applyBorder="1" applyProtection="1">
      <protection hidden="1"/>
    </xf>
    <xf numFmtId="0" fontId="343" fillId="0" borderId="0" xfId="0" applyFont="1"/>
    <xf numFmtId="0" fontId="343" fillId="0" borderId="0" xfId="0" applyFont="1" applyAlignment="1">
      <alignment vertical="center"/>
    </xf>
    <xf numFmtId="0" fontId="347" fillId="20" borderId="0" xfId="0" applyFont="1" applyFill="1" applyAlignment="1">
      <alignment horizontal="center" vertical="center"/>
    </xf>
    <xf numFmtId="0" fontId="343" fillId="20" borderId="0" xfId="0" applyFont="1" applyFill="1" applyAlignment="1">
      <alignment horizontal="center" vertical="center"/>
    </xf>
    <xf numFmtId="0" fontId="343" fillId="0" borderId="0" xfId="0" applyFont="1" applyAlignment="1">
      <alignment horizontal="center" vertical="center"/>
    </xf>
    <xf numFmtId="0" fontId="318" fillId="20" borderId="0" xfId="0" applyFont="1" applyFill="1" applyProtection="1">
      <protection hidden="1"/>
    </xf>
    <xf numFmtId="0" fontId="343" fillId="20" borderId="0" xfId="0" applyFont="1" applyFill="1" applyAlignment="1" applyProtection="1">
      <alignment horizontal="center" vertical="center"/>
      <protection hidden="1"/>
    </xf>
    <xf numFmtId="0" fontId="0" fillId="20" borderId="0" xfId="0" applyFill="1" applyAlignment="1" applyProtection="1">
      <alignment horizontal="right"/>
      <protection hidden="1"/>
    </xf>
    <xf numFmtId="0" fontId="0" fillId="20" borderId="0" xfId="0" applyFill="1" applyAlignment="1" applyProtection="1">
      <alignment wrapText="1"/>
      <protection hidden="1"/>
    </xf>
    <xf numFmtId="0" fontId="0" fillId="20" borderId="0" xfId="0" applyFill="1" applyAlignment="1" applyProtection="1">
      <alignment vertical="justify" wrapText="1"/>
      <protection hidden="1"/>
    </xf>
    <xf numFmtId="0" fontId="312" fillId="20" borderId="0" xfId="0" applyFont="1" applyFill="1" applyAlignment="1" applyProtection="1">
      <alignment horizontal="center" vertical="center" wrapText="1"/>
      <protection hidden="1"/>
    </xf>
    <xf numFmtId="0" fontId="318" fillId="20" borderId="0" xfId="0" applyFont="1" applyFill="1" applyAlignment="1" applyProtection="1">
      <alignment vertical="justify" wrapText="1"/>
      <protection hidden="1"/>
    </xf>
    <xf numFmtId="0" fontId="312" fillId="20" borderId="0" xfId="0" applyFont="1" applyFill="1" applyAlignment="1" applyProtection="1">
      <alignment horizontal="right" vertical="center" wrapText="1"/>
      <protection hidden="1"/>
    </xf>
    <xf numFmtId="0" fontId="316" fillId="20" borderId="0" xfId="0" applyFont="1" applyFill="1" applyAlignment="1" applyProtection="1">
      <alignment horizontal="left" vertical="center" wrapText="1"/>
      <protection hidden="1"/>
    </xf>
    <xf numFmtId="0" fontId="343" fillId="20" borderId="0" xfId="0" applyFont="1" applyFill="1" applyAlignment="1" applyProtection="1">
      <alignment horizontal="right" vertical="center"/>
      <protection hidden="1"/>
    </xf>
    <xf numFmtId="0" fontId="347" fillId="20" borderId="0" xfId="0" applyFont="1" applyFill="1" applyAlignment="1" applyProtection="1">
      <alignment horizontal="center" vertical="center"/>
      <protection hidden="1"/>
    </xf>
    <xf numFmtId="0" fontId="316" fillId="20" borderId="0" xfId="0" applyFont="1" applyFill="1" applyProtection="1">
      <protection hidden="1"/>
    </xf>
    <xf numFmtId="0" fontId="360" fillId="20" borderId="0" xfId="0" applyFont="1" applyFill="1" applyAlignment="1" applyProtection="1">
      <alignment horizontal="right" vertical="center"/>
      <protection hidden="1"/>
    </xf>
    <xf numFmtId="0" fontId="347" fillId="0" borderId="12" xfId="0" applyFont="1" applyBorder="1" applyProtection="1">
      <protection locked="0"/>
    </xf>
    <xf numFmtId="1" fontId="347" fillId="0" borderId="12" xfId="0" applyNumberFormat="1" applyFont="1" applyBorder="1" applyAlignment="1" applyProtection="1">
      <alignment horizontal="center" vertical="center"/>
      <protection locked="0"/>
    </xf>
    <xf numFmtId="0" fontId="343" fillId="0" borderId="12" xfId="0" applyFont="1" applyBorder="1" applyAlignment="1" applyProtection="1">
      <alignment horizontal="center" vertical="center"/>
      <protection locked="0"/>
    </xf>
    <xf numFmtId="0" fontId="343" fillId="26" borderId="12" xfId="0" applyFont="1" applyFill="1" applyBorder="1" applyAlignment="1" applyProtection="1">
      <alignment horizontal="center" vertical="center"/>
      <protection locked="0"/>
    </xf>
    <xf numFmtId="0" fontId="347" fillId="0" borderId="12" xfId="0" applyFont="1" applyBorder="1" applyAlignment="1" applyProtection="1">
      <alignment vertical="center"/>
      <protection locked="0"/>
    </xf>
    <xf numFmtId="1" fontId="17" fillId="0" borderId="12" xfId="0" applyNumberFormat="1" applyFont="1" applyBorder="1" applyAlignment="1">
      <alignment horizontal="center"/>
    </xf>
    <xf numFmtId="1" fontId="77" fillId="0" borderId="12" xfId="0" applyNumberFormat="1" applyFont="1" applyBorder="1" applyAlignment="1">
      <alignment horizontal="center"/>
    </xf>
    <xf numFmtId="1" fontId="17" fillId="0" borderId="0" xfId="0" applyNumberFormat="1" applyFont="1" applyAlignment="1">
      <alignment horizontal="center"/>
    </xf>
    <xf numFmtId="1" fontId="17" fillId="0" borderId="8" xfId="0" applyNumberFormat="1" applyFont="1" applyBorder="1" applyAlignment="1">
      <alignment horizontal="center"/>
    </xf>
    <xf numFmtId="1" fontId="69" fillId="0" borderId="12" xfId="0" applyNumberFormat="1" applyFont="1" applyBorder="1" applyAlignment="1">
      <alignment vertical="center"/>
    </xf>
    <xf numFmtId="1" fontId="79" fillId="0" borderId="12" xfId="0" applyNumberFormat="1" applyFont="1" applyBorder="1" applyAlignment="1" applyProtection="1">
      <alignment vertical="center"/>
      <protection hidden="1"/>
    </xf>
    <xf numFmtId="0" fontId="181" fillId="20" borderId="0" xfId="1" applyFill="1" applyAlignment="1" applyProtection="1"/>
    <xf numFmtId="0" fontId="330" fillId="31" borderId="0" xfId="0" applyFont="1" applyFill="1"/>
    <xf numFmtId="177" fontId="330" fillId="31" borderId="0" xfId="2" applyNumberFormat="1" applyFont="1" applyFill="1"/>
    <xf numFmtId="177" fontId="330" fillId="32" borderId="0" xfId="2" applyNumberFormat="1" applyFont="1" applyFill="1"/>
    <xf numFmtId="0" fontId="8" fillId="18" borderId="12" xfId="0" applyFont="1" applyFill="1" applyBorder="1" applyAlignment="1" applyProtection="1">
      <alignment horizontal="center"/>
      <protection locked="0"/>
    </xf>
    <xf numFmtId="0" fontId="161" fillId="32" borderId="0" xfId="0" applyFont="1" applyFill="1" applyProtection="1">
      <protection hidden="1"/>
    </xf>
    <xf numFmtId="177" fontId="8" fillId="16" borderId="12" xfId="2" applyNumberFormat="1" applyFont="1" applyFill="1" applyBorder="1" applyProtection="1">
      <protection hidden="1"/>
    </xf>
    <xf numFmtId="0" fontId="8" fillId="20" borderId="0" xfId="0" applyFont="1" applyFill="1" applyAlignment="1" applyProtection="1">
      <alignment horizontal="right"/>
      <protection hidden="1"/>
    </xf>
    <xf numFmtId="0" fontId="318" fillId="20" borderId="0" xfId="0" applyFont="1" applyFill="1" applyAlignment="1" applyProtection="1">
      <alignment vertical="top"/>
      <protection hidden="1"/>
    </xf>
    <xf numFmtId="0" fontId="318" fillId="20" borderId="0" xfId="0" applyFont="1" applyFill="1"/>
    <xf numFmtId="0" fontId="318" fillId="0" borderId="0" xfId="0" applyFont="1"/>
    <xf numFmtId="49" fontId="194" fillId="33" borderId="0" xfId="0" applyNumberFormat="1" applyFont="1" applyFill="1"/>
    <xf numFmtId="0" fontId="12" fillId="33" borderId="0" xfId="0" applyFont="1" applyFill="1"/>
    <xf numFmtId="0" fontId="361" fillId="0" borderId="0" xfId="0" applyFont="1"/>
    <xf numFmtId="49" fontId="194" fillId="34" borderId="0" xfId="0" applyNumberFormat="1" applyFont="1" applyFill="1"/>
    <xf numFmtId="0" fontId="194" fillId="34" borderId="0" xfId="0" applyFont="1" applyFill="1"/>
    <xf numFmtId="0" fontId="12" fillId="34" borderId="0" xfId="0" applyFont="1" applyFill="1"/>
    <xf numFmtId="0" fontId="362" fillId="2" borderId="0" xfId="0" applyFont="1" applyFill="1" applyProtection="1">
      <protection hidden="1"/>
    </xf>
    <xf numFmtId="0" fontId="299" fillId="20" borderId="0" xfId="0" applyFont="1" applyFill="1" applyProtection="1">
      <protection hidden="1"/>
    </xf>
    <xf numFmtId="0" fontId="313" fillId="20" borderId="0" xfId="0" applyFont="1" applyFill="1" applyProtection="1">
      <protection hidden="1"/>
    </xf>
    <xf numFmtId="0" fontId="313" fillId="18" borderId="12" xfId="0" applyFont="1" applyFill="1" applyBorder="1" applyAlignment="1" applyProtection="1">
      <alignment horizontal="center"/>
      <protection locked="0"/>
    </xf>
    <xf numFmtId="0" fontId="313" fillId="0" borderId="12" xfId="0" applyFont="1" applyBorder="1" applyAlignment="1" applyProtection="1">
      <alignment horizontal="center"/>
      <protection locked="0"/>
    </xf>
    <xf numFmtId="0" fontId="313" fillId="20" borderId="0" xfId="0" applyFont="1" applyFill="1" applyAlignment="1" applyProtection="1">
      <alignment horizontal="right"/>
      <protection hidden="1"/>
    </xf>
    <xf numFmtId="14" fontId="313" fillId="0" borderId="12" xfId="0" applyNumberFormat="1" applyFont="1" applyBorder="1" applyAlignment="1" applyProtection="1">
      <alignment horizontal="center"/>
      <protection locked="0"/>
    </xf>
    <xf numFmtId="0" fontId="313" fillId="20" borderId="0" xfId="0" applyFont="1" applyFill="1" applyAlignment="1" applyProtection="1">
      <alignment horizontal="center"/>
      <protection hidden="1"/>
    </xf>
    <xf numFmtId="0" fontId="313" fillId="5" borderId="12" xfId="0" applyFont="1" applyFill="1" applyBorder="1" applyAlignment="1" applyProtection="1">
      <alignment horizontal="center"/>
      <protection hidden="1"/>
    </xf>
    <xf numFmtId="177" fontId="313" fillId="20" borderId="7" xfId="2" applyNumberFormat="1" applyFont="1" applyFill="1" applyBorder="1" applyProtection="1">
      <protection hidden="1"/>
    </xf>
    <xf numFmtId="177" fontId="313" fillId="20" borderId="0" xfId="2" applyNumberFormat="1" applyFont="1" applyFill="1" applyBorder="1" applyProtection="1">
      <protection hidden="1"/>
    </xf>
    <xf numFmtId="166" fontId="313" fillId="21" borderId="12" xfId="2" applyNumberFormat="1" applyFont="1" applyFill="1" applyBorder="1" applyProtection="1">
      <protection locked="0"/>
    </xf>
    <xf numFmtId="166" fontId="313" fillId="35" borderId="12" xfId="2" applyNumberFormat="1" applyFont="1" applyFill="1" applyBorder="1" applyProtection="1">
      <protection locked="0"/>
    </xf>
    <xf numFmtId="166" fontId="313" fillId="16" borderId="12" xfId="2" applyNumberFormat="1" applyFont="1" applyFill="1" applyBorder="1" applyProtection="1">
      <protection hidden="1"/>
    </xf>
    <xf numFmtId="166" fontId="313" fillId="0" borderId="12" xfId="2" applyNumberFormat="1" applyFont="1" applyBorder="1" applyProtection="1">
      <protection locked="0"/>
    </xf>
    <xf numFmtId="166" fontId="313" fillId="4" borderId="12" xfId="2" applyNumberFormat="1" applyFont="1" applyFill="1" applyBorder="1" applyProtection="1">
      <protection hidden="1"/>
    </xf>
    <xf numFmtId="0" fontId="313" fillId="20" borderId="0" xfId="0" applyFont="1" applyFill="1" applyAlignment="1" applyProtection="1">
      <alignment vertical="center"/>
      <protection hidden="1"/>
    </xf>
    <xf numFmtId="177" fontId="313" fillId="20" borderId="0" xfId="2" applyNumberFormat="1" applyFont="1" applyFill="1" applyProtection="1">
      <protection hidden="1"/>
    </xf>
    <xf numFmtId="0" fontId="313" fillId="20" borderId="0" xfId="0" applyFont="1" applyFill="1" applyAlignment="1" applyProtection="1">
      <alignment horizontal="left"/>
      <protection hidden="1"/>
    </xf>
    <xf numFmtId="0" fontId="313" fillId="20" borderId="2" xfId="0" applyFont="1" applyFill="1" applyBorder="1" applyAlignment="1" applyProtection="1">
      <alignment horizontal="left"/>
      <protection hidden="1"/>
    </xf>
    <xf numFmtId="9" fontId="313" fillId="0" borderId="12" xfId="3" applyFont="1" applyBorder="1" applyProtection="1">
      <protection locked="0"/>
    </xf>
    <xf numFmtId="166" fontId="313" fillId="0" borderId="12" xfId="2" applyNumberFormat="1" applyFont="1" applyFill="1" applyBorder="1" applyAlignment="1" applyProtection="1">
      <alignment horizontal="right"/>
      <protection locked="0"/>
    </xf>
    <xf numFmtId="166" fontId="313" fillId="0" borderId="12" xfId="2" applyNumberFormat="1" applyFont="1" applyFill="1" applyBorder="1" applyProtection="1">
      <protection locked="0"/>
    </xf>
    <xf numFmtId="0" fontId="363" fillId="20" borderId="0" xfId="0" applyFont="1" applyFill="1" applyAlignment="1" applyProtection="1">
      <alignment horizontal="right"/>
      <protection hidden="1"/>
    </xf>
    <xf numFmtId="0" fontId="313" fillId="16" borderId="7" xfId="0" applyFont="1" applyFill="1" applyBorder="1" applyAlignment="1" applyProtection="1">
      <alignment horizontal="left"/>
      <protection hidden="1"/>
    </xf>
    <xf numFmtId="0" fontId="363" fillId="16" borderId="8" xfId="0" applyFont="1" applyFill="1" applyBorder="1" applyAlignment="1" applyProtection="1">
      <alignment horizontal="right"/>
      <protection hidden="1"/>
    </xf>
    <xf numFmtId="166" fontId="313" fillId="0" borderId="12" xfId="0" applyNumberFormat="1" applyFont="1" applyBorder="1" applyProtection="1">
      <protection locked="0"/>
    </xf>
    <xf numFmtId="166" fontId="299" fillId="20" borderId="0" xfId="0" applyNumberFormat="1" applyFont="1" applyFill="1" applyAlignment="1" applyProtection="1">
      <alignment horizontal="left" vertical="top"/>
      <protection hidden="1"/>
    </xf>
    <xf numFmtId="0" fontId="364" fillId="20" borderId="0" xfId="0" applyFont="1" applyFill="1" applyAlignment="1" applyProtection="1">
      <alignment horizontal="right"/>
      <protection hidden="1"/>
    </xf>
    <xf numFmtId="176" fontId="330" fillId="24" borderId="0" xfId="0" quotePrefix="1" applyNumberFormat="1" applyFont="1" applyFill="1"/>
    <xf numFmtId="176" fontId="330" fillId="24" borderId="0" xfId="0" applyNumberFormat="1" applyFont="1" applyFill="1"/>
    <xf numFmtId="14" fontId="330" fillId="24" borderId="0" xfId="8" quotePrefix="1" applyNumberFormat="1" applyFont="1" applyFill="1"/>
    <xf numFmtId="0" fontId="365" fillId="20" borderId="0" xfId="0" applyFont="1" applyFill="1" applyProtection="1">
      <protection hidden="1"/>
    </xf>
    <xf numFmtId="0" fontId="330" fillId="24" borderId="0" xfId="0" applyFont="1" applyFill="1"/>
    <xf numFmtId="177" fontId="330" fillId="24" borderId="0" xfId="0" applyNumberFormat="1" applyFont="1" applyFill="1"/>
    <xf numFmtId="0" fontId="366" fillId="20" borderId="0" xfId="0" applyFont="1" applyFill="1" applyProtection="1">
      <protection hidden="1"/>
    </xf>
    <xf numFmtId="0" fontId="367" fillId="20" borderId="0" xfId="0" applyFont="1" applyFill="1"/>
    <xf numFmtId="0" fontId="367" fillId="0" borderId="0" xfId="0" applyFont="1"/>
    <xf numFmtId="0" fontId="367" fillId="31" borderId="0" xfId="0" applyFont="1" applyFill="1"/>
    <xf numFmtId="0" fontId="8" fillId="18" borderId="12" xfId="0" applyFont="1" applyFill="1" applyBorder="1" applyAlignment="1" applyProtection="1">
      <alignment horizontal="center" vertical="center"/>
      <protection locked="0"/>
    </xf>
    <xf numFmtId="177" fontId="8" fillId="0" borderId="12" xfId="2" applyNumberFormat="1" applyFont="1" applyFill="1" applyBorder="1" applyProtection="1">
      <protection locked="0"/>
    </xf>
    <xf numFmtId="0" fontId="8" fillId="0" borderId="12" xfId="0" applyFont="1" applyBorder="1" applyProtection="1">
      <protection locked="0"/>
    </xf>
    <xf numFmtId="0" fontId="312" fillId="20" borderId="0" xfId="0" applyFont="1" applyFill="1" applyAlignment="1" applyProtection="1">
      <alignment horizontal="right" vertical="center"/>
      <protection hidden="1"/>
    </xf>
    <xf numFmtId="0" fontId="302" fillId="2" borderId="0" xfId="1" applyFont="1" applyFill="1" applyBorder="1" applyAlignment="1" applyProtection="1">
      <alignment horizontal="left" vertical="center"/>
      <protection hidden="1"/>
    </xf>
    <xf numFmtId="0" fontId="368" fillId="20" borderId="0" xfId="1" applyFont="1" applyFill="1" applyAlignment="1" applyProtection="1">
      <protection hidden="1"/>
    </xf>
    <xf numFmtId="3" fontId="22" fillId="4" borderId="6" xfId="0" quotePrefix="1" applyNumberFormat="1" applyFont="1" applyFill="1" applyBorder="1" applyProtection="1">
      <protection hidden="1"/>
    </xf>
    <xf numFmtId="166" fontId="22" fillId="3" borderId="18" xfId="0" quotePrefix="1" applyNumberFormat="1" applyFont="1" applyFill="1" applyBorder="1" applyProtection="1">
      <protection hidden="1"/>
    </xf>
    <xf numFmtId="0" fontId="300" fillId="20" borderId="0" xfId="0" applyFont="1" applyFill="1" applyAlignment="1" applyProtection="1">
      <alignment horizontal="right"/>
      <protection hidden="1"/>
    </xf>
    <xf numFmtId="3" fontId="370" fillId="0" borderId="0" xfId="0" applyNumberFormat="1" applyFont="1" applyAlignment="1" applyProtection="1">
      <alignment horizontal="center" vertical="center" wrapText="1"/>
      <protection hidden="1"/>
    </xf>
    <xf numFmtId="0" fontId="355" fillId="20" borderId="0" xfId="0" applyFont="1" applyFill="1" applyProtection="1">
      <protection hidden="1"/>
    </xf>
    <xf numFmtId="1" fontId="313" fillId="0" borderId="0" xfId="0" applyNumberFormat="1" applyFont="1" applyProtection="1">
      <protection hidden="1"/>
    </xf>
    <xf numFmtId="1" fontId="366" fillId="0" borderId="0" xfId="0" applyNumberFormat="1" applyFont="1" applyProtection="1">
      <protection hidden="1"/>
    </xf>
    <xf numFmtId="0" fontId="313" fillId="0" borderId="0" xfId="0" applyFont="1" applyAlignment="1" applyProtection="1">
      <alignment horizontal="center"/>
      <protection hidden="1"/>
    </xf>
    <xf numFmtId="3" fontId="370" fillId="0" borderId="0" xfId="0" applyNumberFormat="1" applyFont="1" applyProtection="1">
      <protection hidden="1"/>
    </xf>
    <xf numFmtId="0" fontId="347" fillId="20" borderId="0" xfId="0" applyFont="1" applyFill="1" applyAlignment="1" applyProtection="1">
      <alignment horizontal="right"/>
      <protection hidden="1"/>
    </xf>
    <xf numFmtId="0" fontId="374" fillId="20" borderId="0" xfId="0" applyFont="1" applyFill="1" applyProtection="1">
      <protection hidden="1"/>
    </xf>
    <xf numFmtId="0" fontId="313" fillId="2" borderId="12" xfId="0" applyFont="1" applyFill="1" applyBorder="1" applyProtection="1">
      <protection hidden="1"/>
    </xf>
    <xf numFmtId="3" fontId="347" fillId="0" borderId="12" xfId="0" applyNumberFormat="1" applyFont="1" applyBorder="1" applyAlignment="1" applyProtection="1">
      <alignment horizontal="right"/>
      <protection locked="0"/>
    </xf>
    <xf numFmtId="3" fontId="347" fillId="16" borderId="12" xfId="0" applyNumberFormat="1" applyFont="1" applyFill="1" applyBorder="1" applyAlignment="1" applyProtection="1">
      <alignment horizontal="right"/>
      <protection hidden="1"/>
    </xf>
    <xf numFmtId="1" fontId="347" fillId="0" borderId="12" xfId="0" applyNumberFormat="1" applyFont="1" applyBorder="1" applyAlignment="1" applyProtection="1">
      <alignment horizontal="center"/>
      <protection locked="0"/>
    </xf>
    <xf numFmtId="0" fontId="313" fillId="17" borderId="0" xfId="0" applyFont="1" applyFill="1" applyAlignment="1" applyProtection="1">
      <alignment horizontal="right"/>
      <protection hidden="1"/>
    </xf>
    <xf numFmtId="0" fontId="19" fillId="0" borderId="9" xfId="0" applyFont="1" applyBorder="1" applyAlignment="1" applyProtection="1">
      <alignment horizontal="left"/>
      <protection hidden="1"/>
    </xf>
    <xf numFmtId="0" fontId="22" fillId="0" borderId="7" xfId="0" applyFont="1" applyBorder="1" applyAlignment="1" applyProtection="1">
      <alignment horizontal="center"/>
      <protection hidden="1"/>
    </xf>
    <xf numFmtId="0" fontId="19" fillId="0" borderId="8" xfId="0" applyFont="1" applyBorder="1" applyProtection="1">
      <protection hidden="1"/>
    </xf>
    <xf numFmtId="0" fontId="324" fillId="0" borderId="0" xfId="0" applyFont="1"/>
    <xf numFmtId="0" fontId="19" fillId="0" borderId="12" xfId="0" applyFont="1" applyBorder="1" applyAlignment="1" applyProtection="1">
      <alignment horizontal="center"/>
      <protection hidden="1"/>
    </xf>
    <xf numFmtId="0" fontId="19" fillId="0" borderId="9" xfId="0" applyFont="1" applyBorder="1" applyProtection="1">
      <protection hidden="1"/>
    </xf>
    <xf numFmtId="0" fontId="17" fillId="5" borderId="4" xfId="0" applyFont="1" applyFill="1" applyBorder="1" applyAlignment="1" applyProtection="1">
      <alignment vertical="top"/>
      <protection hidden="1"/>
    </xf>
    <xf numFmtId="0" fontId="370" fillId="0" borderId="0" xfId="0" applyFont="1" applyProtection="1">
      <protection hidden="1"/>
    </xf>
    <xf numFmtId="166" fontId="22" fillId="6" borderId="12" xfId="0" quotePrefix="1" applyNumberFormat="1" applyFont="1" applyFill="1" applyBorder="1" applyProtection="1">
      <protection hidden="1"/>
    </xf>
    <xf numFmtId="0" fontId="17" fillId="2" borderId="0" xfId="0" applyFont="1" applyFill="1" applyAlignment="1">
      <alignment horizontal="left"/>
    </xf>
    <xf numFmtId="0" fontId="12" fillId="3" borderId="9" xfId="0" applyFont="1" applyFill="1" applyBorder="1" applyProtection="1">
      <protection hidden="1"/>
    </xf>
    <xf numFmtId="0" fontId="12" fillId="3" borderId="9" xfId="0" applyFont="1" applyFill="1" applyBorder="1" applyAlignment="1" applyProtection="1">
      <alignment vertical="center"/>
      <protection hidden="1"/>
    </xf>
    <xf numFmtId="0" fontId="377" fillId="37" borderId="0" xfId="0" applyFont="1" applyFill="1" applyProtection="1">
      <protection hidden="1"/>
    </xf>
    <xf numFmtId="0" fontId="378" fillId="37" borderId="0" xfId="0" applyFont="1" applyFill="1" applyAlignment="1" applyProtection="1">
      <alignment horizontal="left"/>
      <protection hidden="1"/>
    </xf>
    <xf numFmtId="0" fontId="222" fillId="0" borderId="0" xfId="0" applyFont="1" applyProtection="1">
      <protection hidden="1"/>
    </xf>
    <xf numFmtId="186" fontId="378" fillId="37" borderId="0" xfId="0" applyNumberFormat="1" applyFont="1" applyFill="1" applyProtection="1">
      <protection hidden="1"/>
    </xf>
    <xf numFmtId="186" fontId="379" fillId="37" borderId="0" xfId="0" applyNumberFormat="1" applyFont="1" applyFill="1" applyProtection="1">
      <protection hidden="1"/>
    </xf>
    <xf numFmtId="3" fontId="377" fillId="37" borderId="0" xfId="0" applyNumberFormat="1" applyFont="1" applyFill="1" applyProtection="1">
      <protection hidden="1"/>
    </xf>
    <xf numFmtId="0" fontId="380" fillId="38" borderId="45" xfId="0" applyFont="1" applyFill="1" applyBorder="1" applyProtection="1">
      <protection hidden="1"/>
    </xf>
    <xf numFmtId="0" fontId="381" fillId="38" borderId="46" xfId="0" applyFont="1" applyFill="1" applyBorder="1" applyProtection="1">
      <protection hidden="1"/>
    </xf>
    <xf numFmtId="186" fontId="382" fillId="38" borderId="46" xfId="0" applyNumberFormat="1" applyFont="1" applyFill="1" applyBorder="1" applyProtection="1">
      <protection hidden="1"/>
    </xf>
    <xf numFmtId="186" fontId="383" fillId="38" borderId="46" xfId="0" applyNumberFormat="1" applyFont="1" applyFill="1" applyBorder="1" applyProtection="1">
      <protection hidden="1"/>
    </xf>
    <xf numFmtId="3" fontId="381" fillId="38" borderId="46" xfId="0" applyNumberFormat="1" applyFont="1" applyFill="1" applyBorder="1" applyProtection="1">
      <protection hidden="1"/>
    </xf>
    <xf numFmtId="186" fontId="382" fillId="38" borderId="47" xfId="0" applyNumberFormat="1" applyFont="1" applyFill="1" applyBorder="1" applyProtection="1">
      <protection hidden="1"/>
    </xf>
    <xf numFmtId="0" fontId="380" fillId="38" borderId="48" xfId="0" applyFont="1" applyFill="1" applyBorder="1" applyProtection="1">
      <protection hidden="1"/>
    </xf>
    <xf numFmtId="0" fontId="381" fillId="38" borderId="49" xfId="0" applyFont="1" applyFill="1" applyBorder="1" applyProtection="1">
      <protection hidden="1"/>
    </xf>
    <xf numFmtId="186" fontId="382" fillId="38" borderId="49" xfId="0" applyNumberFormat="1" applyFont="1" applyFill="1" applyBorder="1" applyProtection="1">
      <protection hidden="1"/>
    </xf>
    <xf numFmtId="186" fontId="383" fillId="38" borderId="49" xfId="0" applyNumberFormat="1" applyFont="1" applyFill="1" applyBorder="1" applyProtection="1">
      <protection hidden="1"/>
    </xf>
    <xf numFmtId="3" fontId="381" fillId="38" borderId="49" xfId="0" applyNumberFormat="1" applyFont="1" applyFill="1" applyBorder="1" applyProtection="1">
      <protection hidden="1"/>
    </xf>
    <xf numFmtId="186" fontId="382" fillId="38" borderId="50" xfId="0" applyNumberFormat="1" applyFont="1" applyFill="1" applyBorder="1" applyProtection="1">
      <protection hidden="1"/>
    </xf>
    <xf numFmtId="0" fontId="384" fillId="20" borderId="0" xfId="0" applyFont="1" applyFill="1" applyProtection="1">
      <protection hidden="1"/>
    </xf>
    <xf numFmtId="0" fontId="384" fillId="0" borderId="0" xfId="0" applyFont="1" applyProtection="1">
      <protection hidden="1"/>
    </xf>
    <xf numFmtId="0" fontId="385" fillId="20" borderId="0" xfId="0" applyFont="1" applyFill="1" applyProtection="1">
      <protection hidden="1"/>
    </xf>
    <xf numFmtId="0" fontId="386" fillId="20" borderId="0" xfId="0" applyFont="1" applyFill="1" applyProtection="1">
      <protection hidden="1"/>
    </xf>
    <xf numFmtId="0" fontId="387" fillId="20" borderId="0" xfId="0" applyFont="1" applyFill="1" applyProtection="1">
      <protection hidden="1"/>
    </xf>
    <xf numFmtId="0" fontId="384" fillId="20" borderId="0" xfId="0" applyFont="1" applyFill="1" applyAlignment="1" applyProtection="1">
      <alignment horizontal="left"/>
      <protection hidden="1"/>
    </xf>
    <xf numFmtId="0" fontId="290" fillId="20" borderId="0" xfId="0" applyFont="1" applyFill="1" applyAlignment="1" applyProtection="1">
      <alignment vertical="top"/>
      <protection hidden="1"/>
    </xf>
    <xf numFmtId="0" fontId="385" fillId="20" borderId="0" xfId="0" applyFont="1" applyFill="1" applyAlignment="1" applyProtection="1">
      <alignment vertical="top"/>
      <protection hidden="1"/>
    </xf>
    <xf numFmtId="0" fontId="388" fillId="20" borderId="0" xfId="0" applyFont="1" applyFill="1" applyProtection="1">
      <protection hidden="1"/>
    </xf>
    <xf numFmtId="0" fontId="390" fillId="20" borderId="0" xfId="0" applyFont="1" applyFill="1" applyAlignment="1" applyProtection="1">
      <alignment horizontal="center"/>
      <protection hidden="1"/>
    </xf>
    <xf numFmtId="0" fontId="391" fillId="20" borderId="0" xfId="0" applyFont="1" applyFill="1" applyAlignment="1" applyProtection="1">
      <alignment horizontal="center" vertical="center"/>
      <protection hidden="1"/>
    </xf>
    <xf numFmtId="187" fontId="282" fillId="0" borderId="12" xfId="2" applyNumberFormat="1" applyFont="1" applyBorder="1" applyAlignment="1" applyProtection="1">
      <alignment horizontal="right"/>
      <protection locked="0"/>
    </xf>
    <xf numFmtId="0" fontId="384" fillId="0" borderId="12" xfId="0" applyFont="1" applyBorder="1" applyProtection="1">
      <protection hidden="1"/>
    </xf>
    <xf numFmtId="10" fontId="290" fillId="16" borderId="12" xfId="3" applyNumberFormat="1" applyFont="1" applyFill="1" applyBorder="1" applyAlignment="1" applyProtection="1">
      <alignment horizontal="right"/>
      <protection hidden="1"/>
    </xf>
    <xf numFmtId="0" fontId="391" fillId="20" borderId="0" xfId="0" applyFont="1" applyFill="1" applyProtection="1">
      <protection hidden="1"/>
    </xf>
    <xf numFmtId="0" fontId="390" fillId="20" borderId="0" xfId="0" applyFont="1" applyFill="1" applyProtection="1">
      <protection hidden="1"/>
    </xf>
    <xf numFmtId="3" fontId="384" fillId="0" borderId="12" xfId="2" applyNumberFormat="1" applyFont="1" applyFill="1" applyBorder="1" applyAlignment="1" applyProtection="1">
      <alignment horizontal="right"/>
      <protection locked="0"/>
    </xf>
    <xf numFmtId="3" fontId="384" fillId="16" borderId="12" xfId="2" applyNumberFormat="1" applyFont="1" applyFill="1" applyBorder="1" applyAlignment="1" applyProtection="1">
      <alignment horizontal="right"/>
      <protection hidden="1"/>
    </xf>
    <xf numFmtId="0" fontId="328" fillId="20" borderId="0" xfId="0" applyFont="1" applyFill="1" applyProtection="1">
      <protection hidden="1"/>
    </xf>
    <xf numFmtId="177" fontId="384" fillId="20" borderId="0" xfId="2" applyNumberFormat="1" applyFont="1" applyFill="1" applyProtection="1">
      <protection hidden="1"/>
    </xf>
    <xf numFmtId="177" fontId="384" fillId="20" borderId="0" xfId="2" applyNumberFormat="1" applyFont="1" applyFill="1" applyBorder="1" applyProtection="1">
      <protection hidden="1"/>
    </xf>
    <xf numFmtId="177" fontId="299" fillId="20" borderId="0" xfId="2" applyNumberFormat="1" applyFont="1" applyFill="1" applyProtection="1">
      <protection hidden="1"/>
    </xf>
    <xf numFmtId="177" fontId="384" fillId="16" borderId="12" xfId="2" applyNumberFormat="1" applyFont="1" applyFill="1" applyBorder="1" applyAlignment="1" applyProtection="1">
      <alignment horizontal="center"/>
      <protection hidden="1"/>
    </xf>
    <xf numFmtId="177" fontId="384" fillId="0" borderId="12" xfId="2" applyNumberFormat="1" applyFont="1" applyFill="1" applyBorder="1" applyAlignment="1" applyProtection="1">
      <alignment horizontal="center"/>
      <protection locked="0"/>
    </xf>
    <xf numFmtId="177" fontId="384" fillId="16" borderId="12" xfId="2" applyNumberFormat="1" applyFont="1" applyFill="1" applyBorder="1" applyProtection="1">
      <protection hidden="1"/>
    </xf>
    <xf numFmtId="0" fontId="381" fillId="16" borderId="12" xfId="0" applyFont="1" applyFill="1" applyBorder="1" applyAlignment="1" applyProtection="1">
      <alignment horizontal="center" vertical="center" wrapText="1"/>
      <protection hidden="1"/>
    </xf>
    <xf numFmtId="177" fontId="381" fillId="16" borderId="12" xfId="2" applyNumberFormat="1" applyFont="1" applyFill="1" applyBorder="1" applyAlignment="1" applyProtection="1">
      <alignment horizontal="center" vertical="center" wrapText="1"/>
      <protection hidden="1"/>
    </xf>
    <xf numFmtId="0" fontId="381" fillId="16" borderId="21" xfId="0" applyFont="1" applyFill="1" applyBorder="1" applyAlignment="1" applyProtection="1">
      <alignment horizontal="center" vertical="center" wrapText="1"/>
      <protection hidden="1"/>
    </xf>
    <xf numFmtId="0" fontId="381" fillId="0" borderId="0" xfId="0" applyFont="1" applyAlignment="1" applyProtection="1">
      <alignment horizontal="center" vertical="center" wrapText="1"/>
      <protection hidden="1"/>
    </xf>
    <xf numFmtId="177" fontId="381" fillId="0" borderId="0" xfId="2" applyNumberFormat="1" applyFont="1" applyFill="1" applyBorder="1" applyAlignment="1" applyProtection="1">
      <alignment horizontal="center" vertical="center" wrapText="1"/>
      <protection hidden="1"/>
    </xf>
    <xf numFmtId="0" fontId="381" fillId="16" borderId="19" xfId="0" applyFont="1" applyFill="1" applyBorder="1" applyProtection="1">
      <protection hidden="1"/>
    </xf>
    <xf numFmtId="0" fontId="381" fillId="16" borderId="10" xfId="0" applyFont="1" applyFill="1" applyBorder="1" applyProtection="1">
      <protection hidden="1"/>
    </xf>
    <xf numFmtId="0" fontId="381" fillId="16" borderId="3" xfId="0" applyFont="1" applyFill="1" applyBorder="1" applyProtection="1">
      <protection hidden="1"/>
    </xf>
    <xf numFmtId="3" fontId="384" fillId="0" borderId="21" xfId="2" applyNumberFormat="1" applyFont="1" applyFill="1" applyBorder="1" applyAlignment="1" applyProtection="1">
      <alignment horizontal="right"/>
      <protection locked="0"/>
    </xf>
    <xf numFmtId="3" fontId="384" fillId="0" borderId="10" xfId="2" applyNumberFormat="1" applyFont="1" applyFill="1" applyBorder="1" applyAlignment="1" applyProtection="1">
      <alignment horizontal="right"/>
      <protection locked="0"/>
    </xf>
    <xf numFmtId="3" fontId="384" fillId="16" borderId="19" xfId="2" applyNumberFormat="1" applyFont="1" applyFill="1" applyBorder="1" applyAlignment="1" applyProtection="1">
      <alignment horizontal="right"/>
      <protection hidden="1"/>
    </xf>
    <xf numFmtId="0" fontId="381" fillId="0" borderId="0" xfId="0" applyFont="1" applyProtection="1">
      <protection hidden="1"/>
    </xf>
    <xf numFmtId="3" fontId="384" fillId="0" borderId="0" xfId="2" applyNumberFormat="1" applyFont="1" applyFill="1" applyBorder="1" applyAlignment="1" applyProtection="1">
      <alignment horizontal="right"/>
      <protection hidden="1"/>
    </xf>
    <xf numFmtId="0" fontId="381" fillId="16" borderId="1" xfId="0" applyFont="1" applyFill="1" applyBorder="1" applyProtection="1">
      <protection hidden="1"/>
    </xf>
    <xf numFmtId="0" fontId="381" fillId="16" borderId="0" xfId="0" applyFont="1" applyFill="1" applyProtection="1">
      <protection hidden="1"/>
    </xf>
    <xf numFmtId="0" fontId="381" fillId="16" borderId="2" xfId="0" applyFont="1" applyFill="1" applyBorder="1" applyProtection="1">
      <protection hidden="1"/>
    </xf>
    <xf numFmtId="3" fontId="384" fillId="0" borderId="20" xfId="2" applyNumberFormat="1" applyFont="1" applyFill="1" applyBorder="1" applyAlignment="1" applyProtection="1">
      <alignment horizontal="right"/>
      <protection locked="0"/>
    </xf>
    <xf numFmtId="3" fontId="384" fillId="16" borderId="1" xfId="2" applyNumberFormat="1" applyFont="1" applyFill="1" applyBorder="1" applyAlignment="1" applyProtection="1">
      <alignment horizontal="right"/>
      <protection hidden="1"/>
    </xf>
    <xf numFmtId="3" fontId="384" fillId="0" borderId="0" xfId="2" applyNumberFormat="1" applyFont="1" applyFill="1" applyBorder="1" applyAlignment="1" applyProtection="1">
      <alignment horizontal="right"/>
      <protection locked="0"/>
    </xf>
    <xf numFmtId="0" fontId="377" fillId="20" borderId="0" xfId="0" applyFont="1" applyFill="1" applyProtection="1">
      <protection hidden="1"/>
    </xf>
    <xf numFmtId="0" fontId="377" fillId="0" borderId="0" xfId="0" applyFont="1" applyProtection="1">
      <protection hidden="1"/>
    </xf>
    <xf numFmtId="0" fontId="381" fillId="16" borderId="1" xfId="0" applyFont="1" applyFill="1" applyBorder="1" applyAlignment="1" applyProtection="1">
      <alignment horizontal="left" vertical="center"/>
      <protection hidden="1"/>
    </xf>
    <xf numFmtId="0" fontId="381" fillId="16" borderId="0" xfId="0" applyFont="1" applyFill="1" applyAlignment="1" applyProtection="1">
      <alignment horizontal="left" vertical="center"/>
      <protection hidden="1"/>
    </xf>
    <xf numFmtId="0" fontId="381" fillId="16" borderId="2" xfId="0" applyFont="1" applyFill="1" applyBorder="1" applyAlignment="1" applyProtection="1">
      <alignment horizontal="left" vertical="center"/>
      <protection hidden="1"/>
    </xf>
    <xf numFmtId="0" fontId="381" fillId="0" borderId="0" xfId="0" applyFont="1" applyAlignment="1" applyProtection="1">
      <alignment horizontal="left" vertical="center"/>
      <protection hidden="1"/>
    </xf>
    <xf numFmtId="0" fontId="381" fillId="16" borderId="4" xfId="0" applyFont="1" applyFill="1" applyBorder="1" applyProtection="1">
      <protection hidden="1"/>
    </xf>
    <xf numFmtId="0" fontId="381" fillId="16" borderId="5" xfId="0" applyFont="1" applyFill="1" applyBorder="1" applyProtection="1">
      <protection hidden="1"/>
    </xf>
    <xf numFmtId="0" fontId="381" fillId="16" borderId="6" xfId="0" applyFont="1" applyFill="1" applyBorder="1" applyProtection="1">
      <protection hidden="1"/>
    </xf>
    <xf numFmtId="3" fontId="384" fillId="0" borderId="18" xfId="2" applyNumberFormat="1" applyFont="1" applyFill="1" applyBorder="1" applyAlignment="1" applyProtection="1">
      <alignment horizontal="right"/>
      <protection locked="0"/>
    </xf>
    <xf numFmtId="3" fontId="384" fillId="16" borderId="4" xfId="2" applyNumberFormat="1" applyFont="1" applyFill="1" applyBorder="1" applyAlignment="1" applyProtection="1">
      <alignment horizontal="right"/>
      <protection hidden="1"/>
    </xf>
    <xf numFmtId="3" fontId="377" fillId="16" borderId="12" xfId="0" applyNumberFormat="1" applyFont="1" applyFill="1" applyBorder="1" applyAlignment="1" applyProtection="1">
      <alignment vertical="center"/>
      <protection hidden="1"/>
    </xf>
    <xf numFmtId="166" fontId="377" fillId="16" borderId="12" xfId="0" applyNumberFormat="1" applyFont="1" applyFill="1" applyBorder="1" applyAlignment="1" applyProtection="1">
      <alignment vertical="center"/>
      <protection hidden="1"/>
    </xf>
    <xf numFmtId="0" fontId="377" fillId="0" borderId="0" xfId="0" applyFont="1" applyAlignment="1" applyProtection="1">
      <alignment vertical="center"/>
      <protection hidden="1"/>
    </xf>
    <xf numFmtId="3" fontId="384" fillId="20" borderId="0" xfId="0" applyNumberFormat="1" applyFont="1" applyFill="1" applyProtection="1">
      <protection hidden="1"/>
    </xf>
    <xf numFmtId="0" fontId="371" fillId="20" borderId="0" xfId="0" applyFont="1" applyFill="1" applyAlignment="1" applyProtection="1">
      <alignment horizontal="center" vertical="top"/>
      <protection hidden="1"/>
    </xf>
    <xf numFmtId="0" fontId="384" fillId="20" borderId="0" xfId="0" applyFont="1" applyFill="1" applyAlignment="1" applyProtection="1">
      <alignment vertical="top"/>
      <protection hidden="1"/>
    </xf>
    <xf numFmtId="3" fontId="371" fillId="20" borderId="0" xfId="0" applyNumberFormat="1" applyFont="1" applyFill="1" applyAlignment="1" applyProtection="1">
      <alignment vertical="top"/>
      <protection hidden="1"/>
    </xf>
    <xf numFmtId="0" fontId="392" fillId="20" borderId="0" xfId="0" applyFont="1" applyFill="1" applyAlignment="1" applyProtection="1">
      <alignment horizontal="right" wrapText="1"/>
      <protection hidden="1"/>
    </xf>
    <xf numFmtId="0" fontId="290" fillId="16" borderId="12" xfId="0" applyFont="1" applyFill="1" applyBorder="1" applyAlignment="1" applyProtection="1">
      <alignment horizontal="center" vertical="center" wrapText="1"/>
      <protection hidden="1"/>
    </xf>
    <xf numFmtId="0" fontId="384" fillId="0" borderId="0" xfId="0" applyFont="1" applyAlignment="1" applyProtection="1">
      <alignment wrapText="1"/>
      <protection hidden="1"/>
    </xf>
    <xf numFmtId="0" fontId="384" fillId="0" borderId="9" xfId="0" applyFont="1" applyBorder="1" applyProtection="1">
      <protection hidden="1"/>
    </xf>
    <xf numFmtId="0" fontId="384" fillId="0" borderId="7" xfId="0" applyFont="1" applyBorder="1" applyProtection="1">
      <protection hidden="1"/>
    </xf>
    <xf numFmtId="0" fontId="384" fillId="0" borderId="8" xfId="0" applyFont="1" applyBorder="1" applyAlignment="1" applyProtection="1">
      <alignment wrapText="1"/>
      <protection hidden="1"/>
    </xf>
    <xf numFmtId="0" fontId="384" fillId="16" borderId="12" xfId="0" applyFont="1" applyFill="1" applyBorder="1" applyProtection="1">
      <protection hidden="1"/>
    </xf>
    <xf numFmtId="166" fontId="282" fillId="0" borderId="12" xfId="0" applyNumberFormat="1" applyFont="1" applyBorder="1" applyAlignment="1" applyProtection="1">
      <alignment vertical="center"/>
      <protection locked="0"/>
    </xf>
    <xf numFmtId="166" fontId="282" fillId="0" borderId="12" xfId="0" applyNumberFormat="1" applyFont="1" applyBorder="1" applyAlignment="1" applyProtection="1">
      <alignment vertical="center" wrapText="1"/>
      <protection locked="0"/>
    </xf>
    <xf numFmtId="0" fontId="384" fillId="0" borderId="1" xfId="0" applyFont="1" applyBorder="1" applyProtection="1">
      <protection hidden="1"/>
    </xf>
    <xf numFmtId="0" fontId="384" fillId="0" borderId="2" xfId="0" applyFont="1" applyBorder="1" applyProtection="1">
      <protection hidden="1"/>
    </xf>
    <xf numFmtId="3" fontId="384" fillId="0" borderId="0" xfId="0" applyNumberFormat="1" applyFont="1" applyProtection="1">
      <protection hidden="1"/>
    </xf>
    <xf numFmtId="166" fontId="282" fillId="0" borderId="12" xfId="0" applyNumberFormat="1" applyFont="1" applyBorder="1" applyAlignment="1" applyProtection="1">
      <alignment horizontal="right" vertical="center"/>
      <protection locked="0"/>
    </xf>
    <xf numFmtId="166" fontId="299" fillId="0" borderId="12" xfId="0" applyNumberFormat="1" applyFont="1" applyBorder="1" applyAlignment="1" applyProtection="1">
      <alignment horizontal="right" vertical="center" wrapText="1"/>
      <protection locked="0"/>
    </xf>
    <xf numFmtId="166" fontId="282" fillId="0" borderId="12" xfId="0" applyNumberFormat="1" applyFont="1" applyBorder="1" applyAlignment="1" applyProtection="1">
      <alignment horizontal="right" vertical="center" wrapText="1"/>
      <protection locked="0"/>
    </xf>
    <xf numFmtId="0" fontId="384" fillId="0" borderId="4" xfId="0" applyFont="1" applyBorder="1" applyProtection="1">
      <protection hidden="1"/>
    </xf>
    <xf numFmtId="0" fontId="384" fillId="0" borderId="5" xfId="0" applyFont="1" applyBorder="1" applyProtection="1">
      <protection hidden="1"/>
    </xf>
    <xf numFmtId="0" fontId="384" fillId="0" borderId="6" xfId="0" applyFont="1" applyBorder="1" applyProtection="1">
      <protection hidden="1"/>
    </xf>
    <xf numFmtId="0" fontId="290" fillId="16" borderId="12" xfId="0" applyFont="1" applyFill="1" applyBorder="1" applyProtection="1">
      <protection hidden="1"/>
    </xf>
    <xf numFmtId="166" fontId="282" fillId="16" borderId="12" xfId="0" applyNumberFormat="1" applyFont="1" applyFill="1" applyBorder="1" applyAlignment="1" applyProtection="1">
      <alignment horizontal="right"/>
      <protection hidden="1"/>
    </xf>
    <xf numFmtId="0" fontId="290" fillId="16" borderId="12" xfId="0" applyFont="1" applyFill="1" applyBorder="1" applyAlignment="1" applyProtection="1">
      <alignment horizontal="center" vertical="center"/>
      <protection hidden="1"/>
    </xf>
    <xf numFmtId="0" fontId="282" fillId="16" borderId="12" xfId="0" applyFont="1" applyFill="1" applyBorder="1" applyAlignment="1" applyProtection="1">
      <alignment horizontal="center" vertical="center" wrapText="1"/>
      <protection hidden="1"/>
    </xf>
    <xf numFmtId="0" fontId="282" fillId="16" borderId="12" xfId="0" applyFont="1" applyFill="1" applyBorder="1" applyAlignment="1" applyProtection="1">
      <alignment horizontal="center" vertical="center"/>
      <protection hidden="1"/>
    </xf>
    <xf numFmtId="166" fontId="282" fillId="16" borderId="12" xfId="0" applyNumberFormat="1" applyFont="1" applyFill="1" applyBorder="1" applyAlignment="1" applyProtection="1">
      <alignment horizontal="right" vertical="center"/>
      <protection hidden="1"/>
    </xf>
    <xf numFmtId="0" fontId="393" fillId="20" borderId="0" xfId="0" applyFont="1" applyFill="1" applyProtection="1">
      <protection hidden="1"/>
    </xf>
    <xf numFmtId="0" fontId="282" fillId="0" borderId="12" xfId="0" applyFont="1" applyBorder="1" applyAlignment="1" applyProtection="1">
      <alignment horizontal="center" vertical="center"/>
      <protection locked="0"/>
    </xf>
    <xf numFmtId="166" fontId="282" fillId="0" borderId="12" xfId="2" applyNumberFormat="1" applyFont="1" applyBorder="1" applyAlignment="1" applyProtection="1">
      <alignment horizontal="right"/>
      <protection locked="0"/>
    </xf>
    <xf numFmtId="0" fontId="394" fillId="20" borderId="0" xfId="0" applyFont="1" applyFill="1" applyProtection="1">
      <protection hidden="1"/>
    </xf>
    <xf numFmtId="177" fontId="390" fillId="16" borderId="12" xfId="2" applyNumberFormat="1" applyFont="1" applyFill="1" applyBorder="1" applyProtection="1">
      <protection hidden="1"/>
    </xf>
    <xf numFmtId="0" fontId="341" fillId="20" borderId="0" xfId="0" applyFont="1" applyFill="1" applyProtection="1">
      <protection hidden="1"/>
    </xf>
    <xf numFmtId="3" fontId="390" fillId="16" borderId="12" xfId="2" applyNumberFormat="1" applyFont="1" applyFill="1" applyBorder="1" applyProtection="1">
      <protection hidden="1"/>
    </xf>
    <xf numFmtId="0" fontId="299" fillId="20" borderId="0" xfId="0" applyFont="1" applyFill="1" applyAlignment="1" applyProtection="1">
      <alignment horizontal="left" vertical="center"/>
      <protection hidden="1"/>
    </xf>
    <xf numFmtId="0" fontId="181" fillId="37" borderId="0" xfId="1" applyFill="1" applyAlignment="1" applyProtection="1">
      <protection hidden="1"/>
    </xf>
    <xf numFmtId="3" fontId="282" fillId="0" borderId="12" xfId="2" applyNumberFormat="1" applyFont="1" applyBorder="1" applyAlignment="1" applyProtection="1">
      <alignment horizontal="right"/>
      <protection locked="0"/>
    </xf>
    <xf numFmtId="187" fontId="282" fillId="0" borderId="12" xfId="2" applyNumberFormat="1" applyFont="1" applyFill="1" applyBorder="1" applyAlignment="1" applyProtection="1">
      <alignment horizontal="right"/>
      <protection locked="0"/>
    </xf>
    <xf numFmtId="166" fontId="282" fillId="20" borderId="12" xfId="0" applyNumberFormat="1" applyFont="1" applyFill="1" applyBorder="1" applyAlignment="1" applyProtection="1">
      <alignment horizontal="right" vertical="center"/>
      <protection locked="0"/>
    </xf>
    <xf numFmtId="0" fontId="377" fillId="0" borderId="0" xfId="0" applyFont="1" applyAlignment="1" applyProtection="1">
      <alignment horizontal="right"/>
      <protection hidden="1"/>
    </xf>
    <xf numFmtId="186" fontId="377" fillId="37" borderId="0" xfId="0" applyNumberFormat="1" applyFont="1" applyFill="1" applyProtection="1">
      <protection hidden="1"/>
    </xf>
    <xf numFmtId="0" fontId="381" fillId="38" borderId="45" xfId="0" applyFont="1" applyFill="1" applyBorder="1" applyProtection="1">
      <protection hidden="1"/>
    </xf>
    <xf numFmtId="186" fontId="381" fillId="38" borderId="46" xfId="0" applyNumberFormat="1" applyFont="1" applyFill="1" applyBorder="1" applyProtection="1">
      <protection hidden="1"/>
    </xf>
    <xf numFmtId="186" fontId="381" fillId="38" borderId="47" xfId="0" applyNumberFormat="1" applyFont="1" applyFill="1" applyBorder="1" applyProtection="1">
      <protection hidden="1"/>
    </xf>
    <xf numFmtId="0" fontId="381" fillId="38" borderId="48" xfId="0" applyFont="1" applyFill="1" applyBorder="1" applyProtection="1">
      <protection hidden="1"/>
    </xf>
    <xf numFmtId="186" fontId="381" fillId="38" borderId="49" xfId="0" applyNumberFormat="1" applyFont="1" applyFill="1" applyBorder="1" applyProtection="1">
      <protection hidden="1"/>
    </xf>
    <xf numFmtId="186" fontId="381" fillId="38" borderId="50" xfId="0" applyNumberFormat="1" applyFont="1" applyFill="1" applyBorder="1" applyProtection="1">
      <protection hidden="1"/>
    </xf>
    <xf numFmtId="0" fontId="377" fillId="0" borderId="12" xfId="0" applyFont="1" applyBorder="1" applyProtection="1">
      <protection hidden="1"/>
    </xf>
    <xf numFmtId="0" fontId="395" fillId="20" borderId="0" xfId="0" applyFont="1" applyFill="1" applyProtection="1">
      <protection hidden="1"/>
    </xf>
    <xf numFmtId="0" fontId="293" fillId="20" borderId="0" xfId="0" applyFont="1" applyFill="1" applyProtection="1">
      <protection hidden="1"/>
    </xf>
    <xf numFmtId="0" fontId="293" fillId="0" borderId="12" xfId="0" applyFont="1" applyBorder="1" applyAlignment="1" applyProtection="1">
      <alignment horizontal="center"/>
      <protection locked="0"/>
    </xf>
    <xf numFmtId="0" fontId="381" fillId="20" borderId="0" xfId="0" applyFont="1" applyFill="1" applyProtection="1">
      <protection hidden="1"/>
    </xf>
    <xf numFmtId="0" fontId="396" fillId="20" borderId="0" xfId="0" applyFont="1" applyFill="1" applyAlignment="1" applyProtection="1">
      <alignment horizontal="center"/>
      <protection hidden="1"/>
    </xf>
    <xf numFmtId="0" fontId="397" fillId="20" borderId="0" xfId="0" applyFont="1" applyFill="1" applyProtection="1">
      <protection hidden="1"/>
    </xf>
    <xf numFmtId="0" fontId="293" fillId="16" borderId="51" xfId="0" applyFont="1" applyFill="1" applyBorder="1" applyAlignment="1" applyProtection="1">
      <alignment horizontal="center" vertical="center"/>
      <protection hidden="1"/>
    </xf>
    <xf numFmtId="0" fontId="293" fillId="16" borderId="51" xfId="0" applyFont="1" applyFill="1" applyBorder="1" applyAlignment="1" applyProtection="1">
      <alignment horizontal="center" vertical="center" wrapText="1"/>
      <protection hidden="1"/>
    </xf>
    <xf numFmtId="0" fontId="293" fillId="16" borderId="52" xfId="0" applyFont="1" applyFill="1" applyBorder="1" applyAlignment="1" applyProtection="1">
      <alignment horizontal="center" vertical="center" wrapText="1"/>
      <protection hidden="1"/>
    </xf>
    <xf numFmtId="0" fontId="398" fillId="20" borderId="0" xfId="0" applyFont="1" applyFill="1" applyProtection="1">
      <protection hidden="1"/>
    </xf>
    <xf numFmtId="0" fontId="377" fillId="0" borderId="18" xfId="0" applyFont="1" applyBorder="1" applyAlignment="1" applyProtection="1">
      <alignment horizontal="center"/>
      <protection locked="0"/>
    </xf>
    <xf numFmtId="0" fontId="377" fillId="0" borderId="9" xfId="0" applyFont="1" applyBorder="1" applyAlignment="1" applyProtection="1">
      <alignment horizontal="center"/>
      <protection locked="0"/>
    </xf>
    <xf numFmtId="0" fontId="377" fillId="0" borderId="12" xfId="0" applyFont="1" applyBorder="1" applyAlignment="1" applyProtection="1">
      <alignment horizontal="center"/>
      <protection locked="0"/>
    </xf>
    <xf numFmtId="0" fontId="395" fillId="0" borderId="0" xfId="0" applyFont="1" applyProtection="1">
      <protection hidden="1"/>
    </xf>
    <xf numFmtId="3" fontId="317" fillId="16" borderId="18" xfId="0" applyNumberFormat="1" applyFont="1" applyFill="1" applyBorder="1" applyAlignment="1" applyProtection="1">
      <alignment horizontal="center" vertical="center" wrapText="1"/>
      <protection hidden="1"/>
    </xf>
    <xf numFmtId="44" fontId="317" fillId="16" borderId="18" xfId="15" applyFont="1" applyFill="1" applyBorder="1" applyAlignment="1" applyProtection="1">
      <alignment horizontal="center" vertical="center" wrapText="1"/>
      <protection hidden="1"/>
    </xf>
    <xf numFmtId="0" fontId="377" fillId="0" borderId="12" xfId="0" applyFont="1" applyBorder="1" applyProtection="1">
      <protection locked="0"/>
    </xf>
    <xf numFmtId="0" fontId="400" fillId="16" borderId="8" xfId="0" applyFont="1" applyFill="1" applyBorder="1" applyAlignment="1" applyProtection="1">
      <alignment horizontal="center" vertical="center" wrapText="1"/>
      <protection hidden="1"/>
    </xf>
    <xf numFmtId="0" fontId="377" fillId="16" borderId="12" xfId="0" applyFont="1" applyFill="1" applyBorder="1" applyProtection="1">
      <protection hidden="1"/>
    </xf>
    <xf numFmtId="0" fontId="222" fillId="0" borderId="0" xfId="0" applyFont="1" applyAlignment="1" applyProtection="1">
      <alignment horizontal="right"/>
      <protection hidden="1"/>
    </xf>
    <xf numFmtId="0" fontId="401" fillId="38" borderId="45" xfId="0" applyFont="1" applyFill="1" applyBorder="1" applyProtection="1">
      <protection hidden="1"/>
    </xf>
    <xf numFmtId="0" fontId="401" fillId="38" borderId="46" xfId="0" applyFont="1" applyFill="1" applyBorder="1" applyProtection="1">
      <protection hidden="1"/>
    </xf>
    <xf numFmtId="0" fontId="401" fillId="38" borderId="53" xfId="0" applyFont="1" applyFill="1" applyBorder="1" applyProtection="1">
      <protection hidden="1"/>
    </xf>
    <xf numFmtId="0" fontId="401" fillId="38" borderId="48" xfId="0" applyFont="1" applyFill="1" applyBorder="1" applyProtection="1">
      <protection hidden="1"/>
    </xf>
    <xf numFmtId="0" fontId="401" fillId="38" borderId="49" xfId="0" applyFont="1" applyFill="1" applyBorder="1" applyProtection="1">
      <protection hidden="1"/>
    </xf>
    <xf numFmtId="0" fontId="401" fillId="38" borderId="54" xfId="0" applyFont="1" applyFill="1" applyBorder="1" applyProtection="1">
      <protection hidden="1"/>
    </xf>
    <xf numFmtId="14" fontId="222" fillId="0" borderId="0" xfId="0" applyNumberFormat="1" applyFont="1" applyProtection="1">
      <protection hidden="1"/>
    </xf>
    <xf numFmtId="187" fontId="222" fillId="0" borderId="0" xfId="2" applyNumberFormat="1" applyFont="1" applyProtection="1">
      <protection hidden="1"/>
    </xf>
    <xf numFmtId="0" fontId="402" fillId="0" borderId="0" xfId="0" applyFont="1" applyProtection="1">
      <protection hidden="1"/>
    </xf>
    <xf numFmtId="0" fontId="222" fillId="0" borderId="0" xfId="0" applyFont="1" applyAlignment="1" applyProtection="1">
      <alignment horizontal="left"/>
      <protection hidden="1"/>
    </xf>
    <xf numFmtId="0" fontId="188" fillId="0" borderId="0" xfId="0" applyFont="1" applyAlignment="1" applyProtection="1">
      <alignment horizontal="right"/>
      <protection hidden="1"/>
    </xf>
    <xf numFmtId="0" fontId="182" fillId="0" borderId="0" xfId="0" applyFont="1" applyAlignment="1" applyProtection="1">
      <alignment horizontal="left"/>
      <protection hidden="1"/>
    </xf>
    <xf numFmtId="0" fontId="222" fillId="0" borderId="0" xfId="0" applyFont="1" applyAlignment="1" applyProtection="1">
      <alignment horizontal="center"/>
      <protection hidden="1"/>
    </xf>
    <xf numFmtId="0" fontId="222" fillId="38" borderId="55" xfId="0" applyFont="1" applyFill="1" applyBorder="1" applyAlignment="1" applyProtection="1">
      <alignment horizontal="center" vertical="center" wrapText="1"/>
      <protection hidden="1"/>
    </xf>
    <xf numFmtId="0" fontId="222" fillId="0" borderId="0" xfId="0" applyFont="1" applyAlignment="1" applyProtection="1">
      <alignment wrapText="1"/>
      <protection hidden="1"/>
    </xf>
    <xf numFmtId="0" fontId="222" fillId="0" borderId="55" xfId="0" applyFont="1" applyBorder="1" applyAlignment="1" applyProtection="1">
      <alignment wrapText="1"/>
      <protection hidden="1"/>
    </xf>
    <xf numFmtId="0" fontId="222" fillId="0" borderId="55" xfId="0" applyFont="1" applyBorder="1" applyAlignment="1" applyProtection="1">
      <alignment horizontal="right" wrapText="1"/>
      <protection hidden="1"/>
    </xf>
    <xf numFmtId="14" fontId="222" fillId="0" borderId="55" xfId="0" applyNumberFormat="1" applyFont="1" applyBorder="1" applyAlignment="1" applyProtection="1">
      <alignment wrapText="1"/>
      <protection hidden="1"/>
    </xf>
    <xf numFmtId="0" fontId="188" fillId="0" borderId="55" xfId="0" applyFont="1" applyBorder="1" applyAlignment="1" applyProtection="1">
      <alignment horizontal="right"/>
      <protection locked="0"/>
    </xf>
    <xf numFmtId="14" fontId="188" fillId="0" borderId="55" xfId="0" applyNumberFormat="1" applyFont="1" applyBorder="1" applyAlignment="1" applyProtection="1">
      <alignment horizontal="right"/>
      <protection locked="0"/>
    </xf>
    <xf numFmtId="186" fontId="188" fillId="0" borderId="55" xfId="8" applyNumberFormat="1" applyFont="1" applyFill="1" applyBorder="1" applyAlignment="1" applyProtection="1">
      <alignment horizontal="right"/>
      <protection locked="0"/>
    </xf>
    <xf numFmtId="184" fontId="188" fillId="0" borderId="56" xfId="8" applyNumberFormat="1" applyFont="1" applyFill="1" applyBorder="1" applyAlignment="1" applyProtection="1">
      <alignment horizontal="center"/>
      <protection locked="0"/>
    </xf>
    <xf numFmtId="186" fontId="188" fillId="38" borderId="55" xfId="0" applyNumberFormat="1" applyFont="1" applyFill="1" applyBorder="1" applyAlignment="1" applyProtection="1">
      <alignment horizontal="right"/>
      <protection hidden="1"/>
    </xf>
    <xf numFmtId="186" fontId="188" fillId="0" borderId="55" xfId="2" applyNumberFormat="1" applyFont="1" applyFill="1" applyBorder="1" applyAlignment="1" applyProtection="1">
      <alignment horizontal="right"/>
      <protection locked="0"/>
    </xf>
    <xf numFmtId="186" fontId="188" fillId="38" borderId="55" xfId="2" applyNumberFormat="1" applyFont="1" applyFill="1" applyBorder="1" applyAlignment="1" applyProtection="1">
      <alignment horizontal="right"/>
      <protection hidden="1"/>
    </xf>
    <xf numFmtId="184" fontId="222" fillId="0" borderId="55" xfId="0" applyNumberFormat="1" applyFont="1" applyBorder="1" applyProtection="1">
      <protection hidden="1"/>
    </xf>
    <xf numFmtId="0" fontId="222" fillId="40" borderId="55" xfId="0" applyFont="1" applyFill="1" applyBorder="1" applyProtection="1">
      <protection hidden="1"/>
    </xf>
    <xf numFmtId="0" fontId="222" fillId="0" borderId="55" xfId="0" applyFont="1" applyBorder="1" applyProtection="1">
      <protection hidden="1"/>
    </xf>
    <xf numFmtId="187" fontId="222" fillId="0" borderId="55" xfId="2" applyNumberFormat="1" applyFont="1" applyBorder="1" applyProtection="1">
      <protection hidden="1"/>
    </xf>
    <xf numFmtId="187" fontId="222" fillId="0" borderId="55" xfId="0" applyNumberFormat="1" applyFont="1" applyBorder="1" applyProtection="1">
      <protection hidden="1"/>
    </xf>
    <xf numFmtId="0" fontId="188" fillId="0" borderId="55" xfId="0" applyFont="1" applyBorder="1" applyAlignment="1" applyProtection="1">
      <alignment horizontal="center"/>
      <protection locked="0"/>
    </xf>
    <xf numFmtId="186" fontId="188" fillId="38" borderId="55" xfId="0" applyNumberFormat="1" applyFont="1" applyFill="1" applyBorder="1" applyProtection="1">
      <protection hidden="1"/>
    </xf>
    <xf numFmtId="0" fontId="183" fillId="0" borderId="0" xfId="0" applyFont="1" applyAlignment="1" applyProtection="1">
      <alignment horizontal="left"/>
      <protection hidden="1"/>
    </xf>
    <xf numFmtId="0" fontId="403" fillId="0" borderId="0" xfId="0" applyFont="1" applyProtection="1">
      <protection hidden="1"/>
    </xf>
    <xf numFmtId="3" fontId="222" fillId="0" borderId="0" xfId="0" applyNumberFormat="1" applyFont="1" applyProtection="1">
      <protection hidden="1"/>
    </xf>
    <xf numFmtId="9" fontId="222" fillId="0" borderId="0" xfId="0" applyNumberFormat="1" applyFont="1" applyProtection="1">
      <protection hidden="1"/>
    </xf>
    <xf numFmtId="9" fontId="222" fillId="0" borderId="0" xfId="3" applyFont="1" applyProtection="1">
      <protection hidden="1"/>
    </xf>
    <xf numFmtId="0" fontId="222" fillId="38" borderId="57" xfId="0" applyFont="1" applyFill="1" applyBorder="1" applyAlignment="1" applyProtection="1">
      <alignment horizontal="left"/>
      <protection hidden="1"/>
    </xf>
    <xf numFmtId="0" fontId="222" fillId="38" borderId="58" xfId="0" applyFont="1" applyFill="1" applyBorder="1" applyAlignment="1" applyProtection="1">
      <alignment horizontal="left"/>
      <protection hidden="1"/>
    </xf>
    <xf numFmtId="186" fontId="188" fillId="0" borderId="55" xfId="0" applyNumberFormat="1" applyFont="1" applyBorder="1" applyAlignment="1" applyProtection="1">
      <alignment horizontal="right"/>
      <protection locked="0"/>
    </xf>
    <xf numFmtId="186" fontId="183" fillId="0" borderId="0" xfId="0" applyNumberFormat="1" applyFont="1" applyAlignment="1" applyProtection="1">
      <alignment horizontal="left" vertical="top"/>
      <protection hidden="1"/>
    </xf>
    <xf numFmtId="3" fontId="222" fillId="0" borderId="48" xfId="2" applyNumberFormat="1" applyFont="1" applyBorder="1" applyProtection="1">
      <protection hidden="1"/>
    </xf>
    <xf numFmtId="0" fontId="222" fillId="0" borderId="49" xfId="0" applyFont="1" applyBorder="1" applyProtection="1">
      <protection hidden="1"/>
    </xf>
    <xf numFmtId="0" fontId="0" fillId="0" borderId="54" xfId="0" applyBorder="1" applyProtection="1">
      <protection hidden="1"/>
    </xf>
    <xf numFmtId="0" fontId="222" fillId="39" borderId="55" xfId="0" applyFont="1" applyFill="1" applyBorder="1" applyAlignment="1" applyProtection="1">
      <alignment horizontal="center"/>
      <protection locked="0"/>
    </xf>
    <xf numFmtId="0" fontId="222" fillId="0" borderId="58" xfId="0" applyFont="1" applyBorder="1" applyProtection="1">
      <protection hidden="1"/>
    </xf>
    <xf numFmtId="0" fontId="404" fillId="0" borderId="0" xfId="0" applyFont="1" applyProtection="1">
      <protection hidden="1"/>
    </xf>
    <xf numFmtId="0" fontId="188" fillId="37" borderId="0" xfId="0" applyFont="1" applyFill="1" applyAlignment="1" applyProtection="1">
      <alignment horizontal="left"/>
      <protection hidden="1"/>
    </xf>
    <xf numFmtId="0" fontId="188" fillId="37" borderId="0" xfId="0" applyFont="1" applyFill="1" applyAlignment="1" applyProtection="1">
      <alignment horizontal="right"/>
      <protection hidden="1"/>
    </xf>
    <xf numFmtId="0" fontId="222" fillId="37" borderId="0" xfId="0" applyFont="1" applyFill="1" applyProtection="1">
      <protection hidden="1"/>
    </xf>
    <xf numFmtId="0" fontId="222" fillId="0" borderId="0" xfId="8" applyNumberFormat="1" applyFont="1" applyProtection="1">
      <protection hidden="1"/>
    </xf>
    <xf numFmtId="0" fontId="222" fillId="38" borderId="45" xfId="0" applyFont="1" applyFill="1" applyBorder="1" applyProtection="1">
      <protection hidden="1"/>
    </xf>
    <xf numFmtId="0" fontId="222" fillId="38" borderId="48" xfId="0" applyFont="1" applyFill="1" applyBorder="1" applyProtection="1">
      <protection hidden="1"/>
    </xf>
    <xf numFmtId="0" fontId="222" fillId="37" borderId="0" xfId="0" applyFont="1" applyFill="1" applyAlignment="1" applyProtection="1">
      <alignment horizontal="right"/>
      <protection hidden="1"/>
    </xf>
    <xf numFmtId="0" fontId="222" fillId="37" borderId="0" xfId="0" applyFont="1" applyFill="1" applyAlignment="1" applyProtection="1">
      <alignment horizontal="left"/>
      <protection hidden="1"/>
    </xf>
    <xf numFmtId="0" fontId="222" fillId="41" borderId="55" xfId="0" applyFont="1" applyFill="1" applyBorder="1" applyAlignment="1" applyProtection="1">
      <alignment horizontal="center" vertical="center"/>
      <protection locked="0"/>
    </xf>
    <xf numFmtId="0" fontId="406" fillId="37" borderId="0" xfId="0" applyFont="1" applyFill="1" applyAlignment="1" applyProtection="1">
      <alignment horizontal="left"/>
      <protection hidden="1"/>
    </xf>
    <xf numFmtId="0" fontId="182" fillId="37" borderId="0" xfId="0" applyFont="1" applyFill="1" applyAlignment="1" applyProtection="1">
      <alignment horizontal="left"/>
      <protection hidden="1"/>
    </xf>
    <xf numFmtId="0" fontId="222" fillId="37" borderId="0" xfId="0" applyFont="1" applyFill="1" applyAlignment="1" applyProtection="1">
      <alignment horizontal="right" wrapText="1"/>
      <protection hidden="1"/>
    </xf>
    <xf numFmtId="9" fontId="188" fillId="38" borderId="55" xfId="3" applyFont="1" applyFill="1" applyBorder="1" applyAlignment="1" applyProtection="1">
      <alignment horizontal="right"/>
      <protection hidden="1"/>
    </xf>
    <xf numFmtId="174" fontId="222" fillId="0" borderId="0" xfId="0" applyNumberFormat="1" applyFont="1" applyProtection="1">
      <protection hidden="1"/>
    </xf>
    <xf numFmtId="0" fontId="222" fillId="38" borderId="60" xfId="0" applyFont="1" applyFill="1" applyBorder="1" applyAlignment="1" applyProtection="1">
      <alignment horizontal="center" vertical="center" wrapText="1"/>
      <protection hidden="1"/>
    </xf>
    <xf numFmtId="0" fontId="222" fillId="0" borderId="0" xfId="0" applyFont="1" applyAlignment="1" applyProtection="1">
      <alignment horizontal="center" wrapText="1"/>
      <protection hidden="1"/>
    </xf>
    <xf numFmtId="0" fontId="407" fillId="37" borderId="0" xfId="0" applyFont="1" applyFill="1" applyProtection="1">
      <protection hidden="1"/>
    </xf>
    <xf numFmtId="0" fontId="188" fillId="0" borderId="55" xfId="0" applyFont="1" applyBorder="1" applyAlignment="1" applyProtection="1">
      <alignment horizontal="right" vertical="center"/>
      <protection locked="0"/>
    </xf>
    <xf numFmtId="14" fontId="188" fillId="0" borderId="57" xfId="0" applyNumberFormat="1" applyFont="1" applyBorder="1" applyAlignment="1" applyProtection="1">
      <alignment horizontal="right" vertical="center"/>
      <protection locked="0"/>
    </xf>
    <xf numFmtId="0" fontId="408" fillId="41" borderId="57" xfId="0" applyFont="1" applyFill="1" applyBorder="1" applyAlignment="1" applyProtection="1">
      <alignment horizontal="center" vertical="center" wrapText="1"/>
      <protection locked="0"/>
    </xf>
    <xf numFmtId="3" fontId="188" fillId="0" borderId="12" xfId="0" applyNumberFormat="1" applyFont="1" applyBorder="1" applyAlignment="1" applyProtection="1">
      <alignment vertical="center"/>
      <protection locked="0"/>
    </xf>
    <xf numFmtId="186" fontId="188" fillId="0" borderId="59" xfId="8" applyNumberFormat="1" applyFont="1" applyFill="1" applyBorder="1" applyAlignment="1" applyProtection="1">
      <alignment horizontal="right" vertical="center"/>
      <protection locked="0"/>
    </xf>
    <xf numFmtId="0" fontId="406" fillId="20" borderId="0" xfId="0" applyFont="1" applyFill="1" applyAlignment="1" applyProtection="1">
      <alignment vertical="center"/>
      <protection hidden="1"/>
    </xf>
    <xf numFmtId="186" fontId="188" fillId="0" borderId="59" xfId="2" applyNumberFormat="1" applyFont="1" applyFill="1" applyBorder="1" applyAlignment="1" applyProtection="1">
      <alignment horizontal="right" vertical="center"/>
      <protection locked="0"/>
    </xf>
    <xf numFmtId="0" fontId="406" fillId="37" borderId="0" xfId="0" applyFont="1" applyFill="1" applyProtection="1">
      <protection hidden="1"/>
    </xf>
    <xf numFmtId="14" fontId="222" fillId="0" borderId="55" xfId="0" applyNumberFormat="1" applyFont="1" applyBorder="1" applyProtection="1">
      <protection hidden="1"/>
    </xf>
    <xf numFmtId="0" fontId="222" fillId="37" borderId="0" xfId="0" applyFont="1" applyFill="1" applyAlignment="1" applyProtection="1">
      <alignment horizontal="center"/>
      <protection hidden="1"/>
    </xf>
    <xf numFmtId="0" fontId="409" fillId="37" borderId="0" xfId="0" applyFont="1" applyFill="1" applyAlignment="1" applyProtection="1">
      <alignment horizontal="center"/>
      <protection hidden="1"/>
    </xf>
    <xf numFmtId="3" fontId="188" fillId="38" borderId="55" xfId="0" applyNumberFormat="1" applyFont="1" applyFill="1" applyBorder="1" applyAlignment="1" applyProtection="1">
      <alignment horizontal="right"/>
      <protection hidden="1"/>
    </xf>
    <xf numFmtId="0" fontId="188" fillId="37" borderId="0" xfId="0" applyFont="1" applyFill="1" applyAlignment="1" applyProtection="1">
      <alignment horizontal="right" wrapText="1"/>
      <protection hidden="1"/>
    </xf>
    <xf numFmtId="3" fontId="188" fillId="0" borderId="55" xfId="0" applyNumberFormat="1" applyFont="1" applyBorder="1" applyAlignment="1" applyProtection="1">
      <alignment horizontal="right"/>
      <protection locked="0"/>
    </xf>
    <xf numFmtId="0" fontId="210" fillId="37" borderId="0" xfId="0" applyFont="1" applyFill="1" applyAlignment="1" applyProtection="1">
      <alignment horizontal="left"/>
      <protection hidden="1"/>
    </xf>
    <xf numFmtId="0" fontId="222" fillId="37" borderId="0" xfId="0" applyFont="1" applyFill="1" applyAlignment="1" applyProtection="1">
      <alignment wrapText="1"/>
      <protection hidden="1"/>
    </xf>
    <xf numFmtId="3" fontId="188" fillId="38" borderId="57" xfId="0" applyNumberFormat="1" applyFont="1" applyFill="1" applyBorder="1" applyProtection="1">
      <protection hidden="1"/>
    </xf>
    <xf numFmtId="3" fontId="188" fillId="38" borderId="58" xfId="0" applyNumberFormat="1" applyFont="1" applyFill="1" applyBorder="1" applyProtection="1">
      <protection hidden="1"/>
    </xf>
    <xf numFmtId="186" fontId="182" fillId="20" borderId="0" xfId="0" applyNumberFormat="1" applyFont="1" applyFill="1" applyAlignment="1" applyProtection="1">
      <alignment horizontal="left" vertical="top"/>
      <protection hidden="1"/>
    </xf>
    <xf numFmtId="0" fontId="410" fillId="37" borderId="0" xfId="0" applyFont="1" applyFill="1" applyAlignment="1" applyProtection="1">
      <alignment horizontal="center"/>
      <protection hidden="1"/>
    </xf>
    <xf numFmtId="3" fontId="222" fillId="0" borderId="48" xfId="0" applyNumberFormat="1" applyFont="1" applyBorder="1" applyProtection="1">
      <protection hidden="1"/>
    </xf>
    <xf numFmtId="0" fontId="182" fillId="37" borderId="0" xfId="0" applyFont="1" applyFill="1" applyProtection="1">
      <protection hidden="1"/>
    </xf>
    <xf numFmtId="0" fontId="188" fillId="41" borderId="55" xfId="0" applyFont="1" applyFill="1" applyBorder="1" applyAlignment="1" applyProtection="1">
      <alignment horizontal="center" vertical="center"/>
      <protection locked="0"/>
    </xf>
    <xf numFmtId="0" fontId="411" fillId="37" borderId="0" xfId="0" applyFont="1" applyFill="1" applyProtection="1">
      <protection hidden="1"/>
    </xf>
    <xf numFmtId="0" fontId="213" fillId="37" borderId="0" xfId="0" applyFont="1" applyFill="1" applyAlignment="1" applyProtection="1">
      <alignment vertical="center"/>
      <protection hidden="1"/>
    </xf>
    <xf numFmtId="0" fontId="412" fillId="37" borderId="0" xfId="0" applyFont="1" applyFill="1" applyProtection="1">
      <protection hidden="1"/>
    </xf>
    <xf numFmtId="0" fontId="412" fillId="37" borderId="0" xfId="0" applyFont="1" applyFill="1" applyAlignment="1" applyProtection="1">
      <alignment horizontal="right"/>
      <protection hidden="1"/>
    </xf>
    <xf numFmtId="0" fontId="188" fillId="37" borderId="0" xfId="0" applyFont="1" applyFill="1" applyProtection="1">
      <protection hidden="1"/>
    </xf>
    <xf numFmtId="0" fontId="404" fillId="37" borderId="0" xfId="0" applyFont="1" applyFill="1" applyProtection="1">
      <protection hidden="1"/>
    </xf>
    <xf numFmtId="0" fontId="181" fillId="0" borderId="0" xfId="1" applyFill="1" applyAlignment="1" applyProtection="1">
      <protection hidden="1"/>
    </xf>
    <xf numFmtId="0" fontId="190" fillId="0" borderId="0" xfId="1" applyFont="1" applyFill="1" applyAlignment="1" applyProtection="1">
      <alignment horizontal="right"/>
      <protection hidden="1"/>
    </xf>
    <xf numFmtId="0" fontId="190" fillId="22" borderId="61" xfId="1" applyFont="1" applyFill="1" applyBorder="1" applyAlignment="1" applyProtection="1">
      <alignment horizontal="right"/>
      <protection hidden="1"/>
    </xf>
    <xf numFmtId="0" fontId="17" fillId="20" borderId="3" xfId="0" applyFont="1" applyFill="1" applyBorder="1" applyAlignment="1" applyProtection="1">
      <alignment horizontal="left"/>
      <protection hidden="1"/>
    </xf>
    <xf numFmtId="3" fontId="188" fillId="0" borderId="12" xfId="0" applyNumberFormat="1" applyFont="1" applyBorder="1" applyAlignment="1" applyProtection="1">
      <alignment horizontal="right"/>
      <protection locked="0"/>
    </xf>
    <xf numFmtId="3" fontId="188" fillId="0" borderId="12" xfId="0" applyNumberFormat="1" applyFont="1" applyBorder="1" applyProtection="1">
      <protection locked="0"/>
    </xf>
    <xf numFmtId="3" fontId="190" fillId="42" borderId="0" xfId="0" applyNumberFormat="1" applyFont="1" applyFill="1" applyAlignment="1" applyProtection="1">
      <alignment horizontal="right"/>
      <protection hidden="1"/>
    </xf>
    <xf numFmtId="0" fontId="19" fillId="3" borderId="8" xfId="0" applyFont="1" applyFill="1" applyBorder="1" applyAlignment="1" applyProtection="1">
      <alignment horizontal="left"/>
      <protection hidden="1"/>
    </xf>
    <xf numFmtId="0" fontId="12" fillId="3" borderId="12" xfId="0" applyFont="1" applyFill="1" applyBorder="1" applyProtection="1">
      <protection hidden="1"/>
    </xf>
    <xf numFmtId="3" fontId="49" fillId="17" borderId="12" xfId="0" applyNumberFormat="1" applyFont="1" applyFill="1" applyBorder="1" applyAlignment="1" applyProtection="1">
      <alignment vertical="top"/>
      <protection hidden="1"/>
    </xf>
    <xf numFmtId="0" fontId="190" fillId="2" borderId="0" xfId="1" applyFont="1" applyFill="1" applyAlignment="1" applyProtection="1">
      <protection hidden="1"/>
    </xf>
    <xf numFmtId="3" fontId="22" fillId="0" borderId="0" xfId="0" applyNumberFormat="1" applyFont="1" applyAlignment="1" applyProtection="1">
      <alignment horizontal="right"/>
      <protection locked="0"/>
    </xf>
    <xf numFmtId="0" fontId="22" fillId="8" borderId="0" xfId="0" applyFont="1" applyFill="1" applyAlignment="1" applyProtection="1">
      <alignment horizontal="center"/>
      <protection locked="0"/>
    </xf>
    <xf numFmtId="0" fontId="22" fillId="3" borderId="9" xfId="0" applyFont="1" applyFill="1" applyBorder="1" applyAlignment="1" applyProtection="1">
      <alignment horizontal="left"/>
      <protection hidden="1"/>
    </xf>
    <xf numFmtId="0" fontId="22" fillId="3" borderId="12" xfId="0" applyFont="1" applyFill="1" applyBorder="1" applyProtection="1">
      <protection hidden="1"/>
    </xf>
    <xf numFmtId="0" fontId="61" fillId="2" borderId="8" xfId="0" applyFont="1" applyFill="1" applyBorder="1" applyProtection="1">
      <protection hidden="1"/>
    </xf>
    <xf numFmtId="0" fontId="395" fillId="37" borderId="0" xfId="0" applyFont="1" applyFill="1" applyProtection="1">
      <protection hidden="1"/>
    </xf>
    <xf numFmtId="0" fontId="377" fillId="37" borderId="57" xfId="0" applyFont="1" applyFill="1" applyBorder="1" applyProtection="1">
      <protection hidden="1"/>
    </xf>
    <xf numFmtId="0" fontId="380" fillId="38" borderId="57" xfId="0" applyFont="1" applyFill="1" applyBorder="1" applyProtection="1">
      <protection hidden="1"/>
    </xf>
    <xf numFmtId="0" fontId="381" fillId="38" borderId="58" xfId="0" applyFont="1" applyFill="1" applyBorder="1" applyProtection="1">
      <protection hidden="1"/>
    </xf>
    <xf numFmtId="186" fontId="382" fillId="38" borderId="58" xfId="0" applyNumberFormat="1" applyFont="1" applyFill="1" applyBorder="1" applyProtection="1">
      <protection hidden="1"/>
    </xf>
    <xf numFmtId="186" fontId="383" fillId="38" borderId="58" xfId="0" applyNumberFormat="1" applyFont="1" applyFill="1" applyBorder="1" applyProtection="1">
      <protection hidden="1"/>
    </xf>
    <xf numFmtId="3" fontId="381" fillId="38" borderId="58" xfId="0" applyNumberFormat="1" applyFont="1" applyFill="1" applyBorder="1" applyProtection="1">
      <protection hidden="1"/>
    </xf>
    <xf numFmtId="186" fontId="382" fillId="38" borderId="59" xfId="0" applyNumberFormat="1" applyFont="1" applyFill="1" applyBorder="1" applyProtection="1">
      <protection hidden="1"/>
    </xf>
    <xf numFmtId="186" fontId="378" fillId="43" borderId="55" xfId="0" applyNumberFormat="1" applyFont="1" applyFill="1" applyBorder="1" applyAlignment="1" applyProtection="1">
      <alignment horizontal="center" vertical="center"/>
      <protection locked="0"/>
    </xf>
    <xf numFmtId="0" fontId="413" fillId="37" borderId="0" xfId="0" applyFont="1" applyFill="1" applyProtection="1">
      <protection hidden="1"/>
    </xf>
    <xf numFmtId="186" fontId="377" fillId="37" borderId="0" xfId="0" applyNumberFormat="1" applyFont="1" applyFill="1" applyAlignment="1" applyProtection="1">
      <alignment horizontal="left"/>
      <protection hidden="1"/>
    </xf>
    <xf numFmtId="0" fontId="378" fillId="0" borderId="55" xfId="0" applyFont="1" applyBorder="1" applyAlignment="1" applyProtection="1">
      <alignment horizontal="center" vertical="center"/>
      <protection locked="0"/>
    </xf>
    <xf numFmtId="176" fontId="378" fillId="0" borderId="55" xfId="0" applyNumberFormat="1" applyFont="1" applyBorder="1" applyAlignment="1" applyProtection="1">
      <alignment horizontal="center" vertical="center"/>
      <protection locked="0"/>
    </xf>
    <xf numFmtId="176" fontId="413" fillId="37" borderId="0" xfId="0" applyNumberFormat="1" applyFont="1" applyFill="1" applyProtection="1">
      <protection hidden="1"/>
    </xf>
    <xf numFmtId="0" fontId="377" fillId="37" borderId="0" xfId="0" applyFont="1" applyFill="1" applyAlignment="1" applyProtection="1">
      <alignment vertical="center" wrapText="1"/>
      <protection hidden="1"/>
    </xf>
    <xf numFmtId="0" fontId="379" fillId="37" borderId="0" xfId="0" applyFont="1" applyFill="1" applyProtection="1">
      <protection hidden="1"/>
    </xf>
    <xf numFmtId="0" fontId="377" fillId="37" borderId="0" xfId="0" applyFont="1" applyFill="1" applyAlignment="1" applyProtection="1">
      <alignment vertical="center"/>
      <protection hidden="1"/>
    </xf>
    <xf numFmtId="186" fontId="378" fillId="43" borderId="55" xfId="0" applyNumberFormat="1" applyFont="1" applyFill="1" applyBorder="1" applyAlignment="1" applyProtection="1">
      <alignment vertical="center" wrapText="1"/>
      <protection locked="0"/>
    </xf>
    <xf numFmtId="0" fontId="413" fillId="37" borderId="0" xfId="0" applyFont="1" applyFill="1" applyAlignment="1" applyProtection="1">
      <alignment horizontal="left" vertical="center"/>
      <protection hidden="1"/>
    </xf>
    <xf numFmtId="0" fontId="413" fillId="37" borderId="0" xfId="0" applyFont="1" applyFill="1" applyAlignment="1" applyProtection="1">
      <alignment horizontal="center" vertical="center"/>
      <protection hidden="1"/>
    </xf>
    <xf numFmtId="0" fontId="413" fillId="44" borderId="0" xfId="0" applyFont="1" applyFill="1" applyProtection="1">
      <protection hidden="1"/>
    </xf>
    <xf numFmtId="186" fontId="414" fillId="37" borderId="0" xfId="0" applyNumberFormat="1" applyFont="1" applyFill="1" applyProtection="1">
      <protection hidden="1"/>
    </xf>
    <xf numFmtId="186" fontId="378" fillId="0" borderId="55" xfId="0" applyNumberFormat="1" applyFont="1" applyBorder="1" applyProtection="1">
      <protection locked="0"/>
    </xf>
    <xf numFmtId="166" fontId="378" fillId="0" borderId="55" xfId="2" applyNumberFormat="1" applyFont="1" applyBorder="1" applyProtection="1">
      <protection locked="0"/>
    </xf>
    <xf numFmtId="0" fontId="382" fillId="37" borderId="0" xfId="0" applyFont="1" applyFill="1" applyProtection="1">
      <protection hidden="1"/>
    </xf>
    <xf numFmtId="3" fontId="413" fillId="37" borderId="0" xfId="0" applyNumberFormat="1" applyFont="1" applyFill="1" applyProtection="1">
      <protection hidden="1"/>
    </xf>
    <xf numFmtId="186" fontId="378" fillId="38" borderId="55" xfId="0" applyNumberFormat="1" applyFont="1" applyFill="1" applyBorder="1" applyProtection="1">
      <protection hidden="1"/>
    </xf>
    <xf numFmtId="0" fontId="0" fillId="0" borderId="19" xfId="0" applyBorder="1" applyProtection="1">
      <protection hidden="1"/>
    </xf>
    <xf numFmtId="0" fontId="0" fillId="0" borderId="10" xfId="0" applyBorder="1" applyProtection="1">
      <protection hidden="1"/>
    </xf>
    <xf numFmtId="0" fontId="0" fillId="0" borderId="3" xfId="0" applyBorder="1" applyProtection="1">
      <protection hidden="1"/>
    </xf>
    <xf numFmtId="0" fontId="0" fillId="0" borderId="1" xfId="0" applyBorder="1" applyProtection="1">
      <protection hidden="1"/>
    </xf>
    <xf numFmtId="0" fontId="0" fillId="0" borderId="2" xfId="0" applyBorder="1" applyProtection="1">
      <protection hidden="1"/>
    </xf>
    <xf numFmtId="0" fontId="381" fillId="37" borderId="0" xfId="0" applyFont="1" applyFill="1" applyProtection="1">
      <protection hidden="1"/>
    </xf>
    <xf numFmtId="186" fontId="415" fillId="37" borderId="0" xfId="0" applyNumberFormat="1" applyFont="1" applyFill="1" applyAlignment="1" applyProtection="1">
      <alignment horizontal="center"/>
      <protection hidden="1"/>
    </xf>
    <xf numFmtId="0" fontId="0" fillId="0" borderId="4" xfId="0" applyBorder="1" applyProtection="1">
      <protection hidden="1"/>
    </xf>
    <xf numFmtId="0" fontId="0" fillId="0" borderId="5" xfId="0" applyBorder="1" applyProtection="1">
      <protection hidden="1"/>
    </xf>
    <xf numFmtId="0" fontId="377" fillId="37" borderId="0" xfId="0" applyFont="1" applyFill="1" applyAlignment="1" applyProtection="1">
      <alignment horizontal="right"/>
      <protection hidden="1"/>
    </xf>
    <xf numFmtId="186" fontId="416" fillId="37" borderId="0" xfId="0" applyNumberFormat="1" applyFont="1" applyFill="1" applyAlignment="1" applyProtection="1">
      <alignment vertical="top"/>
      <protection hidden="1"/>
    </xf>
    <xf numFmtId="0" fontId="413" fillId="20" borderId="0" xfId="0" applyFont="1" applyFill="1" applyProtection="1">
      <protection hidden="1"/>
    </xf>
    <xf numFmtId="3" fontId="379" fillId="37" borderId="0" xfId="0" applyNumberFormat="1" applyFont="1" applyFill="1" applyProtection="1">
      <protection hidden="1"/>
    </xf>
    <xf numFmtId="0" fontId="381" fillId="37" borderId="0" xfId="0" applyFont="1" applyFill="1" applyAlignment="1" applyProtection="1">
      <alignment horizontal="left"/>
      <protection hidden="1"/>
    </xf>
    <xf numFmtId="186" fontId="417" fillId="37" borderId="0" xfId="0" applyNumberFormat="1" applyFont="1" applyFill="1" applyProtection="1">
      <protection hidden="1"/>
    </xf>
    <xf numFmtId="3" fontId="395" fillId="37" borderId="0" xfId="0" applyNumberFormat="1" applyFont="1" applyFill="1" applyAlignment="1" applyProtection="1">
      <alignment horizontal="left"/>
      <protection hidden="1"/>
    </xf>
    <xf numFmtId="186" fontId="414" fillId="37" borderId="0" xfId="0" applyNumberFormat="1" applyFont="1" applyFill="1" applyAlignment="1" applyProtection="1">
      <alignment horizontal="left"/>
      <protection hidden="1"/>
    </xf>
    <xf numFmtId="3" fontId="413" fillId="37" borderId="0" xfId="0" applyNumberFormat="1" applyFont="1" applyFill="1" applyAlignment="1" applyProtection="1">
      <alignment horizontal="left"/>
      <protection hidden="1"/>
    </xf>
    <xf numFmtId="0" fontId="418" fillId="37" borderId="0" xfId="0" applyFont="1" applyFill="1" applyProtection="1">
      <protection hidden="1"/>
    </xf>
    <xf numFmtId="186" fontId="379" fillId="37" borderId="0" xfId="0" applyNumberFormat="1" applyFont="1" applyFill="1" applyAlignment="1" applyProtection="1">
      <alignment horizontal="right"/>
      <protection hidden="1"/>
    </xf>
    <xf numFmtId="0" fontId="377" fillId="37" borderId="49" xfId="0" applyFont="1" applyFill="1" applyBorder="1" applyAlignment="1" applyProtection="1">
      <alignment horizontal="center"/>
      <protection hidden="1"/>
    </xf>
    <xf numFmtId="0" fontId="377" fillId="37" borderId="0" xfId="0" applyFont="1" applyFill="1" applyAlignment="1" applyProtection="1">
      <alignment horizontal="center"/>
      <protection hidden="1"/>
    </xf>
    <xf numFmtId="186" fontId="378" fillId="16" borderId="55" xfId="0" applyNumberFormat="1" applyFont="1" applyFill="1" applyBorder="1" applyProtection="1">
      <protection hidden="1"/>
    </xf>
    <xf numFmtId="0" fontId="377" fillId="37" borderId="0" xfId="0" applyFont="1" applyFill="1" applyAlignment="1" applyProtection="1">
      <alignment horizontal="left" vertical="center"/>
      <protection hidden="1"/>
    </xf>
    <xf numFmtId="0" fontId="418" fillId="37" borderId="0" xfId="0" applyFont="1" applyFill="1" applyAlignment="1" applyProtection="1">
      <alignment horizontal="left"/>
      <protection hidden="1"/>
    </xf>
    <xf numFmtId="9" fontId="378" fillId="38" borderId="55" xfId="3" applyFont="1" applyFill="1" applyBorder="1" applyProtection="1">
      <protection hidden="1"/>
    </xf>
    <xf numFmtId="0" fontId="419" fillId="37" borderId="0" xfId="0" applyFont="1" applyFill="1" applyProtection="1">
      <protection hidden="1"/>
    </xf>
    <xf numFmtId="186" fontId="378" fillId="37" borderId="0" xfId="0" applyNumberFormat="1" applyFont="1" applyFill="1" applyAlignment="1" applyProtection="1">
      <alignment vertical="center" wrapText="1"/>
      <protection hidden="1"/>
    </xf>
    <xf numFmtId="186" fontId="379" fillId="37" borderId="0" xfId="0" applyNumberFormat="1" applyFont="1" applyFill="1" applyAlignment="1" applyProtection="1">
      <alignment vertical="center" wrapText="1"/>
      <protection hidden="1"/>
    </xf>
    <xf numFmtId="186" fontId="421" fillId="37" borderId="0" xfId="0" applyNumberFormat="1" applyFont="1" applyFill="1" applyAlignment="1" applyProtection="1">
      <alignment vertical="top"/>
      <protection hidden="1"/>
    </xf>
    <xf numFmtId="186" fontId="378" fillId="0" borderId="0" xfId="0" applyNumberFormat="1" applyFont="1" applyProtection="1">
      <protection hidden="1"/>
    </xf>
    <xf numFmtId="3" fontId="422" fillId="37" borderId="0" xfId="0" applyNumberFormat="1" applyFont="1" applyFill="1" applyAlignment="1" applyProtection="1">
      <alignment horizontal="right"/>
      <protection hidden="1"/>
    </xf>
    <xf numFmtId="186" fontId="0" fillId="0" borderId="0" xfId="0" applyNumberFormat="1" applyProtection="1">
      <protection hidden="1"/>
    </xf>
    <xf numFmtId="0" fontId="381" fillId="37" borderId="62" xfId="0" applyFont="1" applyFill="1" applyBorder="1" applyAlignment="1" applyProtection="1">
      <alignment horizontal="right"/>
      <protection hidden="1"/>
    </xf>
    <xf numFmtId="186" fontId="382" fillId="43" borderId="55" xfId="0" applyNumberFormat="1" applyFont="1" applyFill="1" applyBorder="1" applyAlignment="1" applyProtection="1">
      <alignment vertical="center"/>
      <protection locked="0"/>
    </xf>
    <xf numFmtId="186" fontId="418" fillId="37" borderId="0" xfId="0" applyNumberFormat="1" applyFont="1" applyFill="1" applyProtection="1">
      <protection hidden="1"/>
    </xf>
    <xf numFmtId="165" fontId="417" fillId="37" borderId="0" xfId="0" applyNumberFormat="1" applyFont="1" applyFill="1" applyProtection="1">
      <protection hidden="1"/>
    </xf>
    <xf numFmtId="186" fontId="413" fillId="37" borderId="0" xfId="0" applyNumberFormat="1" applyFont="1" applyFill="1" applyProtection="1">
      <protection hidden="1"/>
    </xf>
    <xf numFmtId="0" fontId="422" fillId="37" borderId="0" xfId="0" applyFont="1" applyFill="1" applyAlignment="1" applyProtection="1">
      <alignment horizontal="right"/>
      <protection hidden="1"/>
    </xf>
    <xf numFmtId="186" fontId="423" fillId="37" borderId="0" xfId="0" applyNumberFormat="1" applyFont="1" applyFill="1" applyAlignment="1" applyProtection="1">
      <alignment vertical="top"/>
      <protection hidden="1"/>
    </xf>
    <xf numFmtId="186" fontId="382" fillId="43" borderId="55" xfId="0" applyNumberFormat="1" applyFont="1" applyFill="1" applyBorder="1" applyAlignment="1" applyProtection="1">
      <alignment horizontal="center" vertical="center"/>
      <protection locked="0"/>
    </xf>
    <xf numFmtId="0" fontId="0" fillId="0" borderId="12" xfId="0" quotePrefix="1" applyBorder="1" applyProtection="1">
      <protection hidden="1"/>
    </xf>
    <xf numFmtId="186" fontId="379" fillId="0" borderId="0" xfId="0" applyNumberFormat="1" applyFont="1" applyProtection="1">
      <protection hidden="1"/>
    </xf>
    <xf numFmtId="3" fontId="377" fillId="0" borderId="0" xfId="0" applyNumberFormat="1" applyFont="1" applyProtection="1">
      <protection hidden="1"/>
    </xf>
    <xf numFmtId="3" fontId="377" fillId="0" borderId="12" xfId="0" applyNumberFormat="1" applyFont="1" applyBorder="1" applyProtection="1">
      <protection hidden="1"/>
    </xf>
    <xf numFmtId="186" fontId="378" fillId="0" borderId="12" xfId="0" applyNumberFormat="1" applyFont="1" applyBorder="1" applyAlignment="1" applyProtection="1">
      <alignment horizontal="center"/>
      <protection hidden="1"/>
    </xf>
    <xf numFmtId="0" fontId="377" fillId="0" borderId="12" xfId="0" applyFont="1" applyBorder="1" applyAlignment="1" applyProtection="1">
      <alignment horizontal="center"/>
      <protection hidden="1"/>
    </xf>
    <xf numFmtId="186" fontId="378" fillId="0" borderId="12" xfId="0" applyNumberFormat="1" applyFont="1" applyBorder="1" applyProtection="1">
      <protection hidden="1"/>
    </xf>
    <xf numFmtId="3" fontId="377" fillId="0" borderId="12" xfId="0" applyNumberFormat="1" applyFont="1" applyBorder="1" applyAlignment="1" applyProtection="1">
      <alignment horizontal="center"/>
      <protection hidden="1"/>
    </xf>
    <xf numFmtId="186" fontId="379" fillId="0" borderId="12" xfId="0" applyNumberFormat="1" applyFont="1" applyBorder="1" applyProtection="1">
      <protection hidden="1"/>
    </xf>
    <xf numFmtId="0" fontId="0" fillId="0" borderId="12" xfId="0" applyBorder="1" applyAlignment="1" applyProtection="1">
      <alignment horizontal="right"/>
      <protection hidden="1"/>
    </xf>
    <xf numFmtId="3" fontId="377" fillId="0" borderId="0" xfId="0" applyNumberFormat="1" applyFont="1" applyAlignment="1" applyProtection="1">
      <alignment horizontal="center"/>
      <protection hidden="1"/>
    </xf>
    <xf numFmtId="186" fontId="378" fillId="0" borderId="0" xfId="0" applyNumberFormat="1" applyFont="1" applyAlignment="1" applyProtection="1">
      <alignment horizontal="center"/>
      <protection hidden="1"/>
    </xf>
    <xf numFmtId="0" fontId="0" fillId="0" borderId="4" xfId="0" applyBorder="1" applyAlignment="1" applyProtection="1">
      <alignment horizontal="center" vertical="center" wrapText="1"/>
      <protection hidden="1"/>
    </xf>
    <xf numFmtId="3" fontId="377" fillId="17" borderId="12" xfId="0" applyNumberFormat="1" applyFont="1" applyFill="1" applyBorder="1" applyProtection="1">
      <protection hidden="1"/>
    </xf>
    <xf numFmtId="3" fontId="188" fillId="45" borderId="55" xfId="0" applyNumberFormat="1" applyFont="1" applyFill="1" applyBorder="1" applyAlignment="1" applyProtection="1">
      <alignment horizontal="center"/>
      <protection locked="0"/>
    </xf>
    <xf numFmtId="3" fontId="22" fillId="2" borderId="20" xfId="0" applyNumberFormat="1" applyFont="1" applyFill="1" applyBorder="1" applyAlignment="1" applyProtection="1">
      <alignment horizontal="center"/>
      <protection hidden="1"/>
    </xf>
    <xf numFmtId="0" fontId="190" fillId="2" borderId="0" xfId="1" applyFont="1" applyFill="1" applyAlignment="1" applyProtection="1">
      <alignment horizontal="right"/>
      <protection hidden="1"/>
    </xf>
    <xf numFmtId="3" fontId="12" fillId="0" borderId="0" xfId="0" applyNumberFormat="1" applyFont="1" applyAlignment="1" applyProtection="1">
      <alignment horizontal="right"/>
      <protection hidden="1"/>
    </xf>
    <xf numFmtId="0" fontId="375" fillId="2" borderId="0" xfId="1" applyFont="1" applyFill="1" applyBorder="1" applyAlignment="1" applyProtection="1">
      <alignment horizontal="right"/>
      <protection hidden="1"/>
    </xf>
    <xf numFmtId="0" fontId="19" fillId="3" borderId="4" xfId="0" applyFont="1" applyFill="1" applyBorder="1" applyAlignment="1" applyProtection="1">
      <alignment horizontal="left"/>
      <protection hidden="1"/>
    </xf>
    <xf numFmtId="0" fontId="190" fillId="2" borderId="18" xfId="1" applyFont="1" applyFill="1" applyBorder="1" applyAlignment="1" applyProtection="1">
      <alignment horizontal="right"/>
      <protection hidden="1"/>
    </xf>
    <xf numFmtId="0" fontId="12" fillId="3" borderId="7" xfId="0" applyFont="1" applyFill="1" applyBorder="1" applyProtection="1">
      <protection hidden="1"/>
    </xf>
    <xf numFmtId="0" fontId="12" fillId="3" borderId="8" xfId="0" applyFont="1" applyFill="1" applyBorder="1" applyProtection="1">
      <protection hidden="1"/>
    </xf>
    <xf numFmtId="0" fontId="377" fillId="20" borderId="12" xfId="0" applyFont="1" applyFill="1" applyBorder="1" applyProtection="1">
      <protection hidden="1"/>
    </xf>
    <xf numFmtId="49" fontId="12" fillId="0" borderId="0" xfId="11" applyNumberFormat="1"/>
    <xf numFmtId="49" fontId="12" fillId="24" borderId="0" xfId="11" applyNumberFormat="1" applyFill="1"/>
    <xf numFmtId="49" fontId="183" fillId="0" borderId="0" xfId="11" applyNumberFormat="1" applyFont="1"/>
    <xf numFmtId="0" fontId="183" fillId="0" borderId="0" xfId="11" applyFont="1"/>
    <xf numFmtId="3" fontId="371" fillId="20" borderId="0" xfId="2" applyNumberFormat="1" applyFont="1" applyFill="1" applyProtection="1">
      <protection hidden="1"/>
    </xf>
    <xf numFmtId="0" fontId="424" fillId="20" borderId="0" xfId="0" applyFont="1" applyFill="1" applyProtection="1">
      <protection hidden="1"/>
    </xf>
    <xf numFmtId="0" fontId="301" fillId="20" borderId="0" xfId="0" applyFont="1" applyFill="1" applyProtection="1">
      <protection hidden="1"/>
    </xf>
    <xf numFmtId="0" fontId="22" fillId="0" borderId="9" xfId="0" applyFont="1" applyBorder="1" applyAlignment="1" applyProtection="1">
      <alignment horizontal="left" vertical="center"/>
      <protection locked="0"/>
    </xf>
    <xf numFmtId="0" fontId="219" fillId="17" borderId="0" xfId="0" applyFont="1" applyFill="1" applyProtection="1">
      <protection hidden="1"/>
    </xf>
    <xf numFmtId="0" fontId="17" fillId="4" borderId="12" xfId="0" quotePrefix="1" applyFont="1" applyFill="1" applyBorder="1" applyAlignment="1" applyProtection="1">
      <alignment horizontal="center"/>
      <protection hidden="1"/>
    </xf>
    <xf numFmtId="0" fontId="22" fillId="8" borderId="0" xfId="0" applyFont="1" applyFill="1" applyProtection="1">
      <protection locked="0"/>
    </xf>
    <xf numFmtId="0" fontId="31" fillId="2" borderId="0" xfId="0" applyFont="1" applyFill="1" applyAlignment="1" applyProtection="1">
      <alignment horizontal="center"/>
      <protection hidden="1"/>
    </xf>
    <xf numFmtId="0" fontId="22" fillId="0" borderId="0" xfId="0" applyFont="1" applyAlignment="1" applyProtection="1">
      <alignment horizontal="center"/>
      <protection locked="0"/>
    </xf>
    <xf numFmtId="3" fontId="22" fillId="0" borderId="0" xfId="0" applyNumberFormat="1" applyFont="1" applyProtection="1">
      <protection locked="0"/>
    </xf>
    <xf numFmtId="3" fontId="22" fillId="4" borderId="0" xfId="0" applyNumberFormat="1" applyFont="1" applyFill="1" applyProtection="1">
      <protection hidden="1"/>
    </xf>
    <xf numFmtId="1" fontId="22" fillId="0" borderId="0" xfId="0" applyNumberFormat="1" applyFont="1" applyAlignment="1" applyProtection="1">
      <alignment horizontal="center"/>
      <protection locked="0"/>
    </xf>
    <xf numFmtId="3" fontId="22" fillId="4" borderId="0" xfId="0" applyNumberFormat="1" applyFont="1" applyFill="1" applyAlignment="1" applyProtection="1">
      <alignment horizontal="right"/>
      <protection hidden="1"/>
    </xf>
    <xf numFmtId="3" fontId="43" fillId="2" borderId="0" xfId="0" applyNumberFormat="1" applyFont="1" applyFill="1" applyAlignment="1" applyProtection="1">
      <alignment vertical="center" wrapText="1"/>
      <protection hidden="1"/>
    </xf>
    <xf numFmtId="0" fontId="31" fillId="2" borderId="7" xfId="0" applyFont="1" applyFill="1" applyBorder="1" applyAlignment="1" applyProtection="1">
      <alignment horizontal="center"/>
      <protection hidden="1"/>
    </xf>
    <xf numFmtId="1" fontId="22" fillId="0" borderId="7" xfId="0" applyNumberFormat="1" applyFont="1" applyBorder="1" applyAlignment="1" applyProtection="1">
      <alignment horizontal="center"/>
      <protection locked="0"/>
    </xf>
    <xf numFmtId="3" fontId="22" fillId="0" borderId="7" xfId="0" applyNumberFormat="1" applyFont="1" applyBorder="1" applyProtection="1">
      <protection locked="0"/>
    </xf>
    <xf numFmtId="3" fontId="22" fillId="0" borderId="7" xfId="0" applyNumberFormat="1" applyFont="1" applyBorder="1" applyAlignment="1" applyProtection="1">
      <alignment horizontal="right"/>
      <protection locked="0"/>
    </xf>
    <xf numFmtId="0" fontId="22" fillId="4" borderId="19" xfId="0" applyFont="1" applyFill="1" applyBorder="1" applyProtection="1">
      <protection hidden="1"/>
    </xf>
    <xf numFmtId="0" fontId="85" fillId="4" borderId="10" xfId="0" applyFont="1" applyFill="1" applyBorder="1" applyAlignment="1" applyProtection="1">
      <alignment horizontal="center"/>
      <protection hidden="1"/>
    </xf>
    <xf numFmtId="0" fontId="22" fillId="4" borderId="10" xfId="0" applyFont="1" applyFill="1" applyBorder="1" applyAlignment="1" applyProtection="1">
      <alignment horizontal="center"/>
      <protection hidden="1"/>
    </xf>
    <xf numFmtId="3" fontId="22" fillId="4" borderId="10" xfId="0" applyNumberFormat="1" applyFont="1" applyFill="1" applyBorder="1" applyAlignment="1" applyProtection="1">
      <alignment horizontal="right"/>
      <protection hidden="1"/>
    </xf>
    <xf numFmtId="3" fontId="22" fillId="0" borderId="21" xfId="0" applyNumberFormat="1" applyFont="1" applyBorder="1" applyAlignment="1" applyProtection="1">
      <alignment horizontal="right" vertical="center"/>
      <protection locked="0"/>
    </xf>
    <xf numFmtId="3" fontId="22" fillId="0" borderId="21" xfId="0" applyNumberFormat="1" applyFont="1" applyBorder="1" applyAlignment="1" applyProtection="1">
      <alignment horizontal="right" vertical="center" wrapText="1"/>
      <protection locked="0"/>
    </xf>
    <xf numFmtId="3" fontId="17" fillId="3" borderId="21" xfId="0" applyNumberFormat="1" applyFont="1" applyFill="1" applyBorder="1" applyProtection="1">
      <protection hidden="1"/>
    </xf>
    <xf numFmtId="165" fontId="19" fillId="3" borderId="0" xfId="0" applyNumberFormat="1" applyFont="1" applyFill="1" applyAlignment="1" applyProtection="1">
      <alignment horizontal="left"/>
      <protection hidden="1"/>
    </xf>
    <xf numFmtId="166" fontId="22" fillId="6" borderId="0" xfId="0" applyNumberFormat="1" applyFont="1" applyFill="1" applyProtection="1">
      <protection hidden="1"/>
    </xf>
    <xf numFmtId="166" fontId="22" fillId="4" borderId="7" xfId="0" applyNumberFormat="1" applyFont="1" applyFill="1" applyBorder="1" applyProtection="1">
      <protection hidden="1"/>
    </xf>
    <xf numFmtId="166" fontId="22" fillId="4" borderId="8" xfId="0" applyNumberFormat="1" applyFont="1" applyFill="1" applyBorder="1" applyProtection="1">
      <protection hidden="1"/>
    </xf>
    <xf numFmtId="0" fontId="19" fillId="8" borderId="0" xfId="0" applyFont="1" applyFill="1" applyAlignment="1" applyProtection="1">
      <alignment horizontal="center"/>
      <protection locked="0"/>
    </xf>
    <xf numFmtId="166" fontId="22" fillId="4" borderId="9" xfId="0" applyNumberFormat="1" applyFont="1" applyFill="1" applyBorder="1" applyProtection="1">
      <protection hidden="1"/>
    </xf>
    <xf numFmtId="166" fontId="22" fillId="4" borderId="19" xfId="0" applyNumberFormat="1" applyFont="1" applyFill="1" applyBorder="1" applyProtection="1">
      <protection hidden="1"/>
    </xf>
    <xf numFmtId="166" fontId="22" fillId="4" borderId="10" xfId="0" applyNumberFormat="1" applyFont="1" applyFill="1" applyBorder="1" applyProtection="1">
      <protection hidden="1"/>
    </xf>
    <xf numFmtId="166" fontId="22" fillId="4" borderId="3" xfId="0" applyNumberFormat="1" applyFont="1" applyFill="1" applyBorder="1" applyProtection="1">
      <protection hidden="1"/>
    </xf>
    <xf numFmtId="0" fontId="61" fillId="20" borderId="0" xfId="0" applyFont="1" applyFill="1" applyAlignment="1" applyProtection="1">
      <alignment horizontal="left"/>
      <protection hidden="1"/>
    </xf>
    <xf numFmtId="0" fontId="17" fillId="34" borderId="12" xfId="0" applyFont="1" applyFill="1" applyBorder="1" applyAlignment="1" applyProtection="1">
      <alignment horizontal="center" vertical="center"/>
      <protection locked="0"/>
    </xf>
    <xf numFmtId="0" fontId="19" fillId="46" borderId="0" xfId="0" applyFont="1" applyFill="1" applyProtection="1">
      <protection hidden="1"/>
    </xf>
    <xf numFmtId="0" fontId="19" fillId="46" borderId="0" xfId="0" applyFont="1" applyFill="1" applyAlignment="1" applyProtection="1">
      <alignment horizontal="left"/>
      <protection hidden="1"/>
    </xf>
    <xf numFmtId="0" fontId="17" fillId="46" borderId="0" xfId="0" applyFont="1" applyFill="1" applyAlignment="1" applyProtection="1">
      <alignment horizontal="left"/>
      <protection hidden="1"/>
    </xf>
    <xf numFmtId="0" fontId="17" fillId="46" borderId="0" xfId="0" applyFont="1" applyFill="1" applyAlignment="1" applyProtection="1">
      <alignment horizontal="center"/>
      <protection hidden="1"/>
    </xf>
    <xf numFmtId="0" fontId="17" fillId="46" borderId="12" xfId="0" applyFont="1" applyFill="1" applyBorder="1" applyAlignment="1" applyProtection="1">
      <alignment horizontal="center" vertical="center"/>
      <protection locked="0"/>
    </xf>
    <xf numFmtId="0" fontId="61" fillId="46" borderId="0" xfId="0" applyFont="1" applyFill="1" applyAlignment="1" applyProtection="1">
      <alignment horizontal="left"/>
      <protection hidden="1"/>
    </xf>
    <xf numFmtId="0" fontId="19" fillId="46" borderId="0" xfId="0" applyFont="1" applyFill="1" applyAlignment="1" applyProtection="1">
      <alignment horizontal="center" vertical="center" wrapText="1"/>
      <protection hidden="1"/>
    </xf>
    <xf numFmtId="3" fontId="22" fillId="46" borderId="0" xfId="0" applyNumberFormat="1" applyFont="1" applyFill="1" applyAlignment="1" applyProtection="1">
      <alignment vertical="center"/>
      <protection hidden="1"/>
    </xf>
    <xf numFmtId="3" fontId="19" fillId="46" borderId="0" xfId="0" applyNumberFormat="1" applyFont="1" applyFill="1" applyAlignment="1" applyProtection="1">
      <alignment horizontal="left"/>
      <protection hidden="1"/>
    </xf>
    <xf numFmtId="3" fontId="17" fillId="46" borderId="0" xfId="0" applyNumberFormat="1" applyFont="1" applyFill="1" applyAlignment="1" applyProtection="1">
      <alignment horizontal="center"/>
      <protection hidden="1"/>
    </xf>
    <xf numFmtId="3" fontId="22" fillId="46" borderId="0" xfId="0" applyNumberFormat="1" applyFont="1" applyFill="1" applyAlignment="1" applyProtection="1">
      <alignment horizontal="left"/>
      <protection hidden="1"/>
    </xf>
    <xf numFmtId="3" fontId="22" fillId="46" borderId="0" xfId="0" applyNumberFormat="1" applyFont="1" applyFill="1" applyProtection="1">
      <protection hidden="1"/>
    </xf>
    <xf numFmtId="3" fontId="36" fillId="46" borderId="0" xfId="0" applyNumberFormat="1" applyFont="1" applyFill="1" applyProtection="1">
      <protection hidden="1"/>
    </xf>
    <xf numFmtId="3" fontId="90" fillId="46" borderId="0" xfId="0" applyNumberFormat="1" applyFont="1" applyFill="1" applyProtection="1">
      <protection hidden="1"/>
    </xf>
    <xf numFmtId="3" fontId="95" fillId="46" borderId="0" xfId="0" applyNumberFormat="1" applyFont="1" applyFill="1" applyAlignment="1" applyProtection="1">
      <alignment horizontal="left"/>
      <protection hidden="1"/>
    </xf>
    <xf numFmtId="3" fontId="41" fillId="46" borderId="0" xfId="0" applyNumberFormat="1" applyFont="1" applyFill="1" applyAlignment="1" applyProtection="1">
      <alignment horizontal="left"/>
      <protection hidden="1"/>
    </xf>
    <xf numFmtId="3" fontId="22" fillId="46" borderId="0" xfId="0" applyNumberFormat="1" applyFont="1" applyFill="1" applyAlignment="1" applyProtection="1">
      <alignment horizontal="right"/>
      <protection hidden="1"/>
    </xf>
    <xf numFmtId="3" fontId="139" fillId="46" borderId="0" xfId="0" applyNumberFormat="1" applyFont="1" applyFill="1" applyAlignment="1" applyProtection="1">
      <alignment horizontal="left"/>
      <protection hidden="1"/>
    </xf>
    <xf numFmtId="3" fontId="17" fillId="17" borderId="0" xfId="0" applyNumberFormat="1" applyFont="1" applyFill="1" applyAlignment="1" applyProtection="1">
      <alignment horizontal="center"/>
      <protection hidden="1"/>
    </xf>
    <xf numFmtId="3" fontId="22" fillId="17" borderId="0" xfId="0" applyNumberFormat="1" applyFont="1" applyFill="1" applyAlignment="1" applyProtection="1">
      <alignment horizontal="center"/>
      <protection hidden="1"/>
    </xf>
    <xf numFmtId="0" fontId="61" fillId="20" borderId="0" xfId="0" applyFont="1" applyFill="1" applyAlignment="1" applyProtection="1">
      <alignment horizontal="center"/>
      <protection hidden="1"/>
    </xf>
    <xf numFmtId="0" fontId="73" fillId="20" borderId="0" xfId="0" applyFont="1" applyFill="1" applyProtection="1">
      <protection hidden="1"/>
    </xf>
    <xf numFmtId="0" fontId="61" fillId="20" borderId="0" xfId="0" applyFont="1" applyFill="1" applyAlignment="1" applyProtection="1">
      <alignment vertical="top"/>
      <protection hidden="1"/>
    </xf>
    <xf numFmtId="0" fontId="19" fillId="20" borderId="0" xfId="0" applyFont="1" applyFill="1" applyAlignment="1" applyProtection="1">
      <alignment horizontal="center" vertical="center" wrapText="1"/>
      <protection hidden="1"/>
    </xf>
    <xf numFmtId="3" fontId="22" fillId="20" borderId="0" xfId="0" applyNumberFormat="1" applyFont="1" applyFill="1" applyAlignment="1" applyProtection="1">
      <alignment vertical="center"/>
      <protection hidden="1"/>
    </xf>
    <xf numFmtId="3" fontId="19" fillId="20" borderId="0" xfId="0" applyNumberFormat="1" applyFont="1" applyFill="1" applyAlignment="1" applyProtection="1">
      <alignment horizontal="left"/>
      <protection hidden="1"/>
    </xf>
    <xf numFmtId="0" fontId="17" fillId="20" borderId="0" xfId="0" applyFont="1" applyFill="1" applyAlignment="1" applyProtection="1">
      <alignment vertical="center" wrapText="1"/>
      <protection hidden="1"/>
    </xf>
    <xf numFmtId="0" fontId="50" fillId="20" borderId="0" xfId="0" applyFont="1" applyFill="1" applyProtection="1">
      <protection hidden="1"/>
    </xf>
    <xf numFmtId="3" fontId="73" fillId="20" borderId="0" xfId="0" applyNumberFormat="1" applyFont="1" applyFill="1" applyAlignment="1" applyProtection="1">
      <alignment horizontal="left"/>
      <protection hidden="1"/>
    </xf>
    <xf numFmtId="0" fontId="46" fillId="20" borderId="1" xfId="0" applyFont="1" applyFill="1" applyBorder="1" applyAlignment="1" applyProtection="1">
      <alignment vertical="center"/>
      <protection hidden="1"/>
    </xf>
    <xf numFmtId="0" fontId="46" fillId="20" borderId="0" xfId="0" applyFont="1" applyFill="1" applyAlignment="1" applyProtection="1">
      <alignment vertical="center"/>
      <protection hidden="1"/>
    </xf>
    <xf numFmtId="0" fontId="54" fillId="20" borderId="0" xfId="0" applyFont="1" applyFill="1" applyProtection="1">
      <protection hidden="1"/>
    </xf>
    <xf numFmtId="3" fontId="17" fillId="20" borderId="0" xfId="0" applyNumberFormat="1" applyFont="1" applyFill="1" applyAlignment="1" applyProtection="1">
      <alignment horizontal="center"/>
      <protection hidden="1"/>
    </xf>
    <xf numFmtId="3" fontId="31" fillId="20" borderId="0" xfId="0" applyNumberFormat="1" applyFont="1" applyFill="1" applyAlignment="1" applyProtection="1">
      <alignment horizontal="left"/>
      <protection hidden="1"/>
    </xf>
    <xf numFmtId="3" fontId="22" fillId="20" borderId="0" xfId="0" applyNumberFormat="1" applyFont="1" applyFill="1" applyAlignment="1" applyProtection="1">
      <alignment horizontal="center"/>
      <protection hidden="1"/>
    </xf>
    <xf numFmtId="3" fontId="22" fillId="20" borderId="0" xfId="0" applyNumberFormat="1" applyFont="1" applyFill="1" applyAlignment="1" applyProtection="1">
      <alignment horizontal="left"/>
      <protection hidden="1"/>
    </xf>
    <xf numFmtId="0" fontId="55" fillId="20" borderId="0" xfId="0" applyFont="1" applyFill="1" applyAlignment="1" applyProtection="1">
      <alignment horizontal="right"/>
      <protection hidden="1"/>
    </xf>
    <xf numFmtId="0" fontId="19" fillId="20" borderId="0" xfId="0" applyFont="1" applyFill="1" applyAlignment="1" applyProtection="1">
      <alignment vertical="center"/>
      <protection hidden="1"/>
    </xf>
    <xf numFmtId="0" fontId="61" fillId="20" borderId="0" xfId="0" applyFont="1" applyFill="1" applyAlignment="1" applyProtection="1">
      <alignment vertical="center"/>
      <protection hidden="1"/>
    </xf>
    <xf numFmtId="3" fontId="22" fillId="20" borderId="0" xfId="0" applyNumberFormat="1" applyFont="1" applyFill="1" applyAlignment="1" applyProtection="1">
      <alignment horizontal="right"/>
      <protection hidden="1"/>
    </xf>
    <xf numFmtId="0" fontId="12" fillId="2" borderId="1" xfId="0" applyFont="1" applyFill="1" applyBorder="1" applyProtection="1">
      <protection hidden="1"/>
    </xf>
    <xf numFmtId="0" fontId="282" fillId="0" borderId="12" xfId="0" applyFont="1" applyBorder="1" applyAlignment="1" applyProtection="1">
      <alignment vertical="center"/>
      <protection hidden="1"/>
    </xf>
    <xf numFmtId="0" fontId="12" fillId="0" borderId="12" xfId="0" applyFont="1" applyBorder="1" applyAlignment="1" applyProtection="1">
      <alignment horizontal="center"/>
      <protection hidden="1"/>
    </xf>
    <xf numFmtId="0" fontId="89" fillId="7" borderId="0" xfId="0" applyFont="1" applyFill="1" applyAlignment="1" applyProtection="1">
      <alignment horizontal="right"/>
      <protection hidden="1"/>
    </xf>
    <xf numFmtId="0" fontId="282" fillId="0" borderId="12" xfId="0" quotePrefix="1" applyFont="1" applyBorder="1" applyAlignment="1" applyProtection="1">
      <alignment vertical="center"/>
      <protection hidden="1"/>
    </xf>
    <xf numFmtId="0" fontId="313" fillId="0" borderId="12" xfId="0" applyFont="1" applyBorder="1" applyAlignment="1" applyProtection="1">
      <alignment vertical="center"/>
      <protection hidden="1"/>
    </xf>
    <xf numFmtId="0" fontId="22" fillId="0" borderId="21" xfId="0" applyFont="1" applyBorder="1" applyAlignment="1" applyProtection="1">
      <alignment horizontal="center"/>
      <protection locked="0"/>
    </xf>
    <xf numFmtId="0" fontId="22" fillId="0" borderId="12" xfId="0" applyFont="1" applyBorder="1" applyAlignment="1" applyProtection="1">
      <alignment horizontal="center"/>
      <protection hidden="1"/>
    </xf>
    <xf numFmtId="3" fontId="17" fillId="22" borderId="12" xfId="0" applyNumberFormat="1" applyFont="1" applyFill="1" applyBorder="1" applyProtection="1">
      <protection locked="0"/>
    </xf>
    <xf numFmtId="0" fontId="282" fillId="0" borderId="0" xfId="0" quotePrefix="1" applyFont="1" applyAlignment="1" applyProtection="1">
      <alignment vertical="center"/>
      <protection hidden="1"/>
    </xf>
    <xf numFmtId="165" fontId="384" fillId="0" borderId="12" xfId="2" applyNumberFormat="1" applyFont="1" applyFill="1" applyBorder="1" applyAlignment="1" applyProtection="1">
      <alignment horizontal="right"/>
      <protection locked="0"/>
    </xf>
    <xf numFmtId="0" fontId="22" fillId="18" borderId="12" xfId="3" applyNumberFormat="1" applyFont="1" applyFill="1" applyBorder="1" applyAlignment="1" applyProtection="1">
      <alignment horizontal="center" vertical="center"/>
      <protection locked="0"/>
    </xf>
    <xf numFmtId="0" fontId="28" fillId="5" borderId="5" xfId="0" applyFont="1" applyFill="1" applyBorder="1" applyProtection="1">
      <protection hidden="1"/>
    </xf>
    <xf numFmtId="0" fontId="153" fillId="6" borderId="7" xfId="0" applyFont="1" applyFill="1" applyBorder="1" applyAlignment="1" applyProtection="1">
      <alignment wrapText="1"/>
      <protection hidden="1"/>
    </xf>
    <xf numFmtId="0" fontId="154" fillId="19" borderId="19" xfId="0" applyFont="1" applyFill="1" applyBorder="1" applyProtection="1">
      <protection hidden="1"/>
    </xf>
    <xf numFmtId="0" fontId="154" fillId="19" borderId="10" xfId="0" applyFont="1" applyFill="1" applyBorder="1" applyProtection="1">
      <protection hidden="1"/>
    </xf>
    <xf numFmtId="0" fontId="155" fillId="19" borderId="5" xfId="0" applyFont="1" applyFill="1" applyBorder="1" applyAlignment="1" applyProtection="1">
      <alignment vertical="center"/>
      <protection hidden="1"/>
    </xf>
    <xf numFmtId="0" fontId="155" fillId="16" borderId="5" xfId="0" applyFont="1" applyFill="1" applyBorder="1" applyAlignment="1" applyProtection="1">
      <alignment vertical="center"/>
      <protection hidden="1"/>
    </xf>
    <xf numFmtId="167" fontId="0" fillId="9" borderId="0" xfId="0" applyNumberFormat="1" applyFill="1" applyAlignment="1">
      <alignment horizontal="right"/>
    </xf>
    <xf numFmtId="2" fontId="0" fillId="9" borderId="0" xfId="0" applyNumberFormat="1" applyFill="1" applyAlignment="1">
      <alignment horizontal="right"/>
    </xf>
    <xf numFmtId="0" fontId="0" fillId="9" borderId="0" xfId="0" applyFill="1" applyAlignment="1">
      <alignment horizontal="right"/>
    </xf>
    <xf numFmtId="180" fontId="0" fillId="9" borderId="0" xfId="0" applyNumberFormat="1" applyFill="1" applyAlignment="1">
      <alignment horizontal="right"/>
    </xf>
    <xf numFmtId="183" fontId="0" fillId="9" borderId="0" xfId="0" applyNumberFormat="1" applyFill="1" applyAlignment="1">
      <alignment horizontal="right"/>
    </xf>
    <xf numFmtId="179" fontId="0" fillId="9" borderId="0" xfId="0" applyNumberFormat="1" applyFill="1" applyAlignment="1">
      <alignment horizontal="right"/>
    </xf>
    <xf numFmtId="0" fontId="258" fillId="0" borderId="0" xfId="0" applyFont="1" applyProtection="1">
      <protection hidden="1"/>
    </xf>
    <xf numFmtId="0" fontId="12" fillId="0" borderId="0" xfId="0" applyFont="1" applyAlignment="1">
      <alignment horizontal="center" vertical="center"/>
    </xf>
    <xf numFmtId="2" fontId="12" fillId="0" borderId="0" xfId="0" applyNumberFormat="1" applyFont="1" applyAlignment="1">
      <alignment horizontal="center"/>
    </xf>
    <xf numFmtId="0" fontId="12" fillId="2" borderId="0" xfId="0" applyFont="1" applyFill="1" applyAlignment="1" applyProtection="1">
      <alignment horizontal="left" vertical="center"/>
      <protection hidden="1"/>
    </xf>
    <xf numFmtId="0" fontId="146" fillId="0" borderId="0" xfId="0" quotePrefix="1" applyFont="1"/>
    <xf numFmtId="0" fontId="146" fillId="0" borderId="0" xfId="0" applyFont="1" applyAlignment="1">
      <alignment horizontal="left" vertical="center" indent="4"/>
    </xf>
    <xf numFmtId="0" fontId="222" fillId="47" borderId="12" xfId="0" applyFont="1" applyFill="1" applyBorder="1" applyAlignment="1" applyProtection="1">
      <alignment horizontal="center"/>
      <protection hidden="1"/>
    </xf>
    <xf numFmtId="0" fontId="28" fillId="5" borderId="12" xfId="0" applyFont="1" applyFill="1" applyBorder="1" applyAlignment="1" applyProtection="1">
      <alignment horizontal="center"/>
      <protection hidden="1"/>
    </xf>
    <xf numFmtId="0" fontId="12" fillId="0" borderId="12" xfId="0" applyFont="1" applyBorder="1" applyAlignment="1" applyProtection="1">
      <alignment vertical="top"/>
      <protection hidden="1"/>
    </xf>
    <xf numFmtId="1" fontId="19" fillId="0" borderId="12" xfId="0" applyNumberFormat="1" applyFont="1" applyBorder="1" applyAlignment="1" applyProtection="1">
      <alignment vertical="top"/>
      <protection hidden="1"/>
    </xf>
    <xf numFmtId="0" fontId="15" fillId="5" borderId="8" xfId="0" applyFont="1" applyFill="1" applyBorder="1" applyProtection="1">
      <protection hidden="1"/>
    </xf>
    <xf numFmtId="0" fontId="15" fillId="5" borderId="9" xfId="0" applyFont="1" applyFill="1" applyBorder="1" applyAlignment="1" applyProtection="1">
      <alignment horizontal="center"/>
      <protection hidden="1"/>
    </xf>
    <xf numFmtId="0" fontId="15" fillId="5" borderId="9" xfId="0" applyFont="1" applyFill="1" applyBorder="1" applyAlignment="1" applyProtection="1">
      <alignment horizontal="center" vertical="center"/>
      <protection hidden="1"/>
    </xf>
    <xf numFmtId="3" fontId="22" fillId="4" borderId="0" xfId="0" applyNumberFormat="1" applyFont="1" applyFill="1" applyAlignment="1" applyProtection="1">
      <alignment horizontal="right" vertical="center"/>
      <protection hidden="1"/>
    </xf>
    <xf numFmtId="0" fontId="401" fillId="38" borderId="12" xfId="0" applyFont="1" applyFill="1" applyBorder="1" applyAlignment="1" applyProtection="1">
      <alignment horizontal="center" vertical="center"/>
      <protection hidden="1"/>
    </xf>
    <xf numFmtId="0" fontId="188" fillId="45" borderId="55" xfId="0" applyFont="1" applyFill="1" applyBorder="1" applyAlignment="1" applyProtection="1">
      <alignment horizontal="center"/>
      <protection locked="0"/>
    </xf>
    <xf numFmtId="0" fontId="17" fillId="18" borderId="12" xfId="0" applyFont="1" applyFill="1" applyBorder="1" applyAlignment="1" applyProtection="1">
      <alignment horizontal="center"/>
      <protection locked="0"/>
    </xf>
    <xf numFmtId="0" fontId="96" fillId="0" borderId="0" xfId="0" applyFont="1" applyProtection="1">
      <protection hidden="1"/>
    </xf>
    <xf numFmtId="0" fontId="188" fillId="17" borderId="0" xfId="0" applyFont="1" applyFill="1" applyProtection="1">
      <protection hidden="1"/>
    </xf>
    <xf numFmtId="0" fontId="222" fillId="17" borderId="0" xfId="0" applyFont="1" applyFill="1" applyProtection="1">
      <protection hidden="1"/>
    </xf>
    <xf numFmtId="0" fontId="188" fillId="17" borderId="0" xfId="0" applyFont="1" applyFill="1" applyAlignment="1" applyProtection="1">
      <alignment horizontal="right"/>
      <protection hidden="1"/>
    </xf>
    <xf numFmtId="0" fontId="222" fillId="17" borderId="0" xfId="0" applyFont="1" applyFill="1" applyAlignment="1" applyProtection="1">
      <alignment horizontal="left"/>
      <protection hidden="1"/>
    </xf>
    <xf numFmtId="0" fontId="190" fillId="17" borderId="0" xfId="1" applyFont="1" applyFill="1" applyAlignment="1" applyProtection="1">
      <alignment horizontal="right"/>
      <protection hidden="1"/>
    </xf>
    <xf numFmtId="0" fontId="213" fillId="17" borderId="0" xfId="0" applyFont="1" applyFill="1" applyAlignment="1" applyProtection="1">
      <alignment horizontal="left"/>
      <protection hidden="1"/>
    </xf>
    <xf numFmtId="0" fontId="46" fillId="19" borderId="12" xfId="0" applyFont="1" applyFill="1" applyBorder="1" applyAlignment="1" applyProtection="1">
      <alignment horizontal="center"/>
      <protection hidden="1"/>
    </xf>
    <xf numFmtId="0" fontId="28" fillId="20" borderId="0" xfId="0" applyFont="1" applyFill="1" applyProtection="1">
      <protection hidden="1"/>
    </xf>
    <xf numFmtId="2" fontId="28" fillId="0" borderId="0" xfId="0" applyNumberFormat="1" applyFont="1" applyProtection="1">
      <protection hidden="1"/>
    </xf>
    <xf numFmtId="0" fontId="429" fillId="0" borderId="0" xfId="0" applyFont="1" applyProtection="1">
      <protection hidden="1"/>
    </xf>
    <xf numFmtId="0" fontId="430" fillId="0" borderId="0" xfId="0" applyFont="1" applyProtection="1">
      <protection hidden="1"/>
    </xf>
    <xf numFmtId="0" fontId="188" fillId="20" borderId="0" xfId="0" applyFont="1" applyFill="1" applyProtection="1">
      <protection hidden="1"/>
    </xf>
    <xf numFmtId="0" fontId="222" fillId="20" borderId="0" xfId="0" applyFont="1" applyFill="1" applyProtection="1">
      <protection hidden="1"/>
    </xf>
    <xf numFmtId="0" fontId="188" fillId="20" borderId="0" xfId="0" applyFont="1" applyFill="1" applyAlignment="1" applyProtection="1">
      <alignment horizontal="right"/>
      <protection hidden="1"/>
    </xf>
    <xf numFmtId="0" fontId="222" fillId="20" borderId="0" xfId="0" applyFont="1" applyFill="1" applyAlignment="1" applyProtection="1">
      <alignment horizontal="left"/>
      <protection hidden="1"/>
    </xf>
    <xf numFmtId="0" fontId="190" fillId="20" borderId="0" xfId="1" applyFont="1" applyFill="1" applyAlignment="1" applyProtection="1">
      <alignment horizontal="right"/>
      <protection hidden="1"/>
    </xf>
    <xf numFmtId="0" fontId="213" fillId="20" borderId="0" xfId="0" applyFont="1" applyFill="1" applyAlignment="1" applyProtection="1">
      <alignment horizontal="left"/>
      <protection hidden="1"/>
    </xf>
    <xf numFmtId="166" fontId="313" fillId="0" borderId="12" xfId="8" applyNumberFormat="1" applyFont="1" applyBorder="1" applyProtection="1">
      <protection locked="0"/>
    </xf>
    <xf numFmtId="166" fontId="17" fillId="16" borderId="12" xfId="0" applyNumberFormat="1" applyFont="1" applyFill="1" applyBorder="1" applyProtection="1">
      <protection hidden="1"/>
    </xf>
    <xf numFmtId="0" fontId="222" fillId="48" borderId="55" xfId="0" applyFont="1" applyFill="1" applyBorder="1" applyAlignment="1" applyProtection="1">
      <alignment horizontal="center"/>
      <protection locked="0"/>
    </xf>
    <xf numFmtId="0" fontId="17" fillId="4" borderId="8" xfId="0" applyFont="1" applyFill="1" applyBorder="1" applyProtection="1">
      <protection hidden="1"/>
    </xf>
    <xf numFmtId="0" fontId="194" fillId="4" borderId="7" xfId="0" applyFont="1" applyFill="1" applyBorder="1" applyProtection="1">
      <protection hidden="1"/>
    </xf>
    <xf numFmtId="0" fontId="194" fillId="4" borderId="12" xfId="0" applyFont="1" applyFill="1" applyBorder="1" applyAlignment="1" applyProtection="1">
      <alignment horizontal="center"/>
      <protection hidden="1"/>
    </xf>
    <xf numFmtId="0" fontId="384" fillId="20" borderId="0" xfId="0" applyFont="1" applyFill="1" applyAlignment="1" applyProtection="1">
      <alignment horizontal="right"/>
      <protection hidden="1"/>
    </xf>
    <xf numFmtId="0" fontId="431" fillId="20" borderId="0" xfId="0" applyFont="1" applyFill="1" applyProtection="1">
      <protection hidden="1"/>
    </xf>
    <xf numFmtId="9" fontId="377" fillId="0" borderId="18" xfId="3" applyFont="1" applyBorder="1" applyAlignment="1" applyProtection="1">
      <alignment horizontal="center"/>
      <protection locked="0"/>
    </xf>
    <xf numFmtId="0" fontId="377" fillId="0" borderId="0" xfId="0" applyFont="1" applyAlignment="1" applyProtection="1">
      <alignment wrapText="1"/>
      <protection hidden="1"/>
    </xf>
    <xf numFmtId="3" fontId="377" fillId="0" borderId="0" xfId="0" quotePrefix="1" applyNumberFormat="1" applyFont="1" applyProtection="1">
      <protection hidden="1"/>
    </xf>
    <xf numFmtId="0" fontId="61" fillId="2" borderId="0" xfId="0" quotePrefix="1" applyFont="1" applyFill="1" applyAlignment="1" applyProtection="1">
      <alignment horizontal="right" vertical="center"/>
      <protection hidden="1"/>
    </xf>
    <xf numFmtId="0" fontId="28" fillId="2" borderId="1" xfId="0" applyFont="1" applyFill="1" applyBorder="1" applyAlignment="1" applyProtection="1">
      <alignment vertical="center"/>
      <protection hidden="1"/>
    </xf>
    <xf numFmtId="0" fontId="46" fillId="2" borderId="0" xfId="0" applyFont="1" applyFill="1" applyAlignment="1" applyProtection="1">
      <alignment vertical="center"/>
      <protection hidden="1"/>
    </xf>
    <xf numFmtId="0" fontId="61" fillId="2" borderId="0" xfId="0" quotePrefix="1" applyFont="1" applyFill="1" applyAlignment="1" applyProtection="1">
      <alignment vertical="center"/>
      <protection hidden="1"/>
    </xf>
    <xf numFmtId="0" fontId="222" fillId="0" borderId="12" xfId="0" applyFont="1" applyBorder="1" applyProtection="1">
      <protection hidden="1"/>
    </xf>
    <xf numFmtId="0" fontId="22" fillId="16" borderId="18" xfId="0" quotePrefix="1" applyFont="1" applyFill="1" applyBorder="1" applyAlignment="1" applyProtection="1">
      <alignment horizontal="center"/>
      <protection hidden="1"/>
    </xf>
    <xf numFmtId="166" fontId="22" fillId="16" borderId="18" xfId="0" applyNumberFormat="1" applyFont="1" applyFill="1" applyBorder="1" applyProtection="1">
      <protection hidden="1"/>
    </xf>
    <xf numFmtId="166" fontId="22" fillId="16" borderId="12" xfId="0" applyNumberFormat="1" applyFont="1" applyFill="1" applyBorder="1" applyProtection="1">
      <protection hidden="1"/>
    </xf>
    <xf numFmtId="166" fontId="22" fillId="16" borderId="12" xfId="7" applyNumberFormat="1" applyFont="1" applyFill="1" applyBorder="1" applyProtection="1">
      <protection hidden="1"/>
    </xf>
    <xf numFmtId="166" fontId="22" fillId="20" borderId="5" xfId="7" applyNumberFormat="1" applyFont="1" applyFill="1" applyBorder="1" applyProtection="1">
      <protection hidden="1"/>
    </xf>
    <xf numFmtId="0" fontId="206" fillId="16" borderId="12" xfId="7" applyFont="1" applyFill="1" applyBorder="1" applyAlignment="1" applyProtection="1">
      <alignment horizontal="center" vertical="center" wrapText="1"/>
      <protection hidden="1"/>
    </xf>
    <xf numFmtId="0" fontId="206" fillId="16" borderId="9" xfId="7" applyFont="1" applyFill="1" applyBorder="1" applyAlignment="1" applyProtection="1">
      <alignment horizontal="center" vertical="center" wrapText="1"/>
      <protection hidden="1"/>
    </xf>
    <xf numFmtId="0" fontId="22" fillId="20" borderId="21" xfId="7" applyFont="1" applyFill="1" applyBorder="1" applyAlignment="1" applyProtection="1">
      <alignment horizontal="center" vertical="center"/>
      <protection hidden="1"/>
    </xf>
    <xf numFmtId="0" fontId="22" fillId="16" borderId="8" xfId="7" applyFont="1" applyFill="1" applyBorder="1" applyAlignment="1" applyProtection="1">
      <alignment horizontal="center" vertical="center"/>
      <protection hidden="1"/>
    </xf>
    <xf numFmtId="0" fontId="22" fillId="16" borderId="12" xfId="7" applyFont="1" applyFill="1" applyBorder="1" applyAlignment="1" applyProtection="1">
      <alignment horizontal="center" vertical="center"/>
      <protection hidden="1"/>
    </xf>
    <xf numFmtId="3" fontId="22" fillId="0" borderId="12" xfId="7" applyNumberFormat="1" applyFont="1" applyBorder="1" applyAlignment="1" applyProtection="1">
      <alignment horizontal="right"/>
      <protection locked="0"/>
    </xf>
    <xf numFmtId="3" fontId="22" fillId="0" borderId="9" xfId="7" applyNumberFormat="1" applyFont="1" applyBorder="1" applyAlignment="1" applyProtection="1">
      <alignment horizontal="right"/>
      <protection locked="0"/>
    </xf>
    <xf numFmtId="3" fontId="22" fillId="20" borderId="20" xfId="7" applyNumberFormat="1" applyFont="1" applyFill="1" applyBorder="1" applyAlignment="1" applyProtection="1">
      <alignment horizontal="right"/>
      <protection hidden="1"/>
    </xf>
    <xf numFmtId="166" fontId="22" fillId="0" borderId="8" xfId="7" applyNumberFormat="1" applyFont="1" applyBorder="1" applyAlignment="1" applyProtection="1">
      <alignment horizontal="right"/>
      <protection locked="0"/>
    </xf>
    <xf numFmtId="166" fontId="22" fillId="0" borderId="12" xfId="7" applyNumberFormat="1" applyFont="1" applyBorder="1" applyAlignment="1" applyProtection="1">
      <alignment horizontal="right"/>
      <protection locked="0"/>
    </xf>
    <xf numFmtId="3" fontId="22" fillId="0" borderId="21" xfId="7" applyNumberFormat="1" applyFont="1" applyBorder="1" applyAlignment="1" applyProtection="1">
      <alignment horizontal="right"/>
      <protection locked="0"/>
    </xf>
    <xf numFmtId="3" fontId="22" fillId="20" borderId="0" xfId="7" applyNumberFormat="1" applyFont="1" applyFill="1" applyAlignment="1" applyProtection="1">
      <alignment horizontal="right"/>
      <protection hidden="1"/>
    </xf>
    <xf numFmtId="0" fontId="22" fillId="20" borderId="0" xfId="0" applyFont="1" applyFill="1" applyAlignment="1" applyProtection="1">
      <alignment horizontal="right"/>
      <protection hidden="1"/>
    </xf>
    <xf numFmtId="0" fontId="206" fillId="16" borderId="12" xfId="0" applyFont="1" applyFill="1" applyBorder="1" applyProtection="1">
      <protection hidden="1"/>
    </xf>
    <xf numFmtId="0" fontId="206" fillId="16" borderId="12" xfId="0" applyFont="1" applyFill="1" applyBorder="1" applyAlignment="1" applyProtection="1">
      <alignment horizontal="center"/>
      <protection hidden="1"/>
    </xf>
    <xf numFmtId="186" fontId="408" fillId="0" borderId="12" xfId="0" applyNumberFormat="1" applyFont="1" applyBorder="1" applyProtection="1">
      <protection hidden="1"/>
    </xf>
    <xf numFmtId="0" fontId="434" fillId="0" borderId="12" xfId="0" applyFont="1" applyBorder="1" applyProtection="1">
      <protection hidden="1"/>
    </xf>
    <xf numFmtId="0" fontId="29" fillId="20" borderId="0" xfId="0" applyFont="1" applyFill="1" applyAlignment="1" applyProtection="1">
      <alignment horizontal="left"/>
      <protection hidden="1"/>
    </xf>
    <xf numFmtId="0" fontId="17" fillId="4" borderId="9" xfId="0" applyFont="1" applyFill="1" applyBorder="1" applyAlignment="1" applyProtection="1">
      <alignment horizontal="center" vertical="center" wrapText="1"/>
      <protection hidden="1"/>
    </xf>
    <xf numFmtId="0" fontId="19" fillId="5" borderId="12" xfId="0" applyFont="1" applyFill="1" applyBorder="1" applyAlignment="1" applyProtection="1">
      <alignment horizontal="center"/>
      <protection hidden="1"/>
    </xf>
    <xf numFmtId="0" fontId="22" fillId="16" borderId="12" xfId="0" applyFont="1" applyFill="1" applyBorder="1" applyAlignment="1" applyProtection="1">
      <alignment horizontal="center"/>
      <protection hidden="1"/>
    </xf>
    <xf numFmtId="0" fontId="434" fillId="0" borderId="21" xfId="0" applyFont="1" applyBorder="1" applyProtection="1">
      <protection hidden="1"/>
    </xf>
    <xf numFmtId="0" fontId="22" fillId="0" borderId="12" xfId="0" quotePrefix="1" applyFont="1" applyBorder="1" applyProtection="1">
      <protection hidden="1"/>
    </xf>
    <xf numFmtId="0" fontId="22" fillId="0" borderId="18" xfId="0" applyFont="1" applyBorder="1" applyProtection="1">
      <protection hidden="1"/>
    </xf>
    <xf numFmtId="166" fontId="323" fillId="27" borderId="0" xfId="0" quotePrefix="1" applyNumberFormat="1" applyFont="1" applyFill="1" applyProtection="1">
      <protection hidden="1"/>
    </xf>
    <xf numFmtId="166" fontId="22" fillId="16" borderId="12" xfId="0" applyNumberFormat="1" applyFont="1" applyFill="1" applyBorder="1" applyAlignment="1" applyProtection="1">
      <alignment horizontal="right" vertical="center"/>
      <protection hidden="1"/>
    </xf>
    <xf numFmtId="0" fontId="408" fillId="0" borderId="0" xfId="0" applyFont="1" applyProtection="1">
      <protection hidden="1"/>
    </xf>
    <xf numFmtId="3" fontId="22" fillId="0" borderId="12" xfId="0" applyNumberFormat="1" applyFont="1" applyBorder="1" applyAlignment="1" applyProtection="1">
      <alignment horizontal="right"/>
      <protection hidden="1"/>
    </xf>
    <xf numFmtId="166" fontId="22" fillId="0" borderId="12" xfId="0" applyNumberFormat="1" applyFont="1" applyBorder="1" applyAlignment="1" applyProtection="1">
      <alignment horizontal="right"/>
      <protection hidden="1"/>
    </xf>
    <xf numFmtId="3" fontId="22" fillId="0" borderId="21" xfId="0" applyNumberFormat="1" applyFont="1" applyBorder="1" applyAlignment="1" applyProtection="1">
      <alignment horizontal="right"/>
      <protection hidden="1"/>
    </xf>
    <xf numFmtId="0" fontId="232" fillId="0" borderId="0" xfId="7" applyProtection="1">
      <protection hidden="1"/>
    </xf>
    <xf numFmtId="0" fontId="4" fillId="0" borderId="0" xfId="7" applyFont="1" applyAlignment="1" applyProtection="1">
      <alignment horizontal="right"/>
      <protection hidden="1"/>
    </xf>
    <xf numFmtId="0" fontId="4" fillId="0" borderId="0" xfId="7" applyFont="1" applyProtection="1">
      <protection hidden="1"/>
    </xf>
    <xf numFmtId="0" fontId="432" fillId="20" borderId="0" xfId="7" applyFont="1" applyFill="1" applyProtection="1">
      <protection hidden="1"/>
    </xf>
    <xf numFmtId="0" fontId="433" fillId="0" borderId="0" xfId="0" applyFont="1" applyProtection="1">
      <protection hidden="1"/>
    </xf>
    <xf numFmtId="0" fontId="22" fillId="0" borderId="12" xfId="7" applyFont="1" applyBorder="1" applyAlignment="1" applyProtection="1">
      <alignment horizontal="center"/>
      <protection locked="0"/>
    </xf>
    <xf numFmtId="0" fontId="435" fillId="38" borderId="4" xfId="0" applyFont="1" applyFill="1" applyBorder="1" applyProtection="1">
      <protection hidden="1"/>
    </xf>
    <xf numFmtId="0" fontId="435" fillId="38" borderId="5" xfId="0" applyFont="1" applyFill="1" applyBorder="1" applyProtection="1">
      <protection hidden="1"/>
    </xf>
    <xf numFmtId="0" fontId="411" fillId="38" borderId="5" xfId="0" applyFont="1" applyFill="1" applyBorder="1" applyProtection="1">
      <protection hidden="1"/>
    </xf>
    <xf numFmtId="0" fontId="411" fillId="38" borderId="6" xfId="0" applyFont="1" applyFill="1" applyBorder="1" applyProtection="1">
      <protection hidden="1"/>
    </xf>
    <xf numFmtId="186" fontId="436" fillId="38" borderId="50" xfId="0" applyNumberFormat="1" applyFont="1" applyFill="1" applyBorder="1" applyProtection="1">
      <protection hidden="1"/>
    </xf>
    <xf numFmtId="0" fontId="222" fillId="0" borderId="12" xfId="0" applyFont="1" applyBorder="1" applyAlignment="1" applyProtection="1">
      <alignment horizontal="center" vertical="center"/>
      <protection locked="0"/>
    </xf>
    <xf numFmtId="0" fontId="435" fillId="38" borderId="10" xfId="7" applyFont="1" applyFill="1" applyBorder="1" applyProtection="1">
      <protection hidden="1"/>
    </xf>
    <xf numFmtId="0" fontId="188" fillId="44" borderId="0" xfId="0" applyFont="1" applyFill="1" applyProtection="1">
      <protection hidden="1"/>
    </xf>
    <xf numFmtId="165" fontId="22" fillId="0" borderId="0" xfId="0" applyNumberFormat="1" applyFont="1" applyAlignment="1" applyProtection="1">
      <alignment horizontal="right"/>
      <protection locked="0"/>
    </xf>
    <xf numFmtId="3" fontId="17" fillId="2" borderId="1" xfId="0" applyNumberFormat="1" applyFont="1" applyFill="1" applyBorder="1" applyAlignment="1" applyProtection="1">
      <alignment horizontal="left" vertical="center"/>
      <protection hidden="1"/>
    </xf>
    <xf numFmtId="3" fontId="17" fillId="2" borderId="2" xfId="0" applyNumberFormat="1" applyFont="1" applyFill="1" applyBorder="1" applyAlignment="1" applyProtection="1">
      <alignment horizontal="left" vertical="center"/>
      <protection hidden="1"/>
    </xf>
    <xf numFmtId="0" fontId="435" fillId="38" borderId="45" xfId="0" applyFont="1" applyFill="1" applyBorder="1" applyProtection="1">
      <protection hidden="1"/>
    </xf>
    <xf numFmtId="0" fontId="435" fillId="38" borderId="46" xfId="0" applyFont="1" applyFill="1" applyBorder="1" applyProtection="1">
      <protection hidden="1"/>
    </xf>
    <xf numFmtId="186" fontId="435" fillId="38" borderId="46" xfId="0" applyNumberFormat="1" applyFont="1" applyFill="1" applyBorder="1" applyProtection="1">
      <protection hidden="1"/>
    </xf>
    <xf numFmtId="186" fontId="435" fillId="38" borderId="47" xfId="0" applyNumberFormat="1" applyFont="1" applyFill="1" applyBorder="1" applyProtection="1">
      <protection hidden="1"/>
    </xf>
    <xf numFmtId="0" fontId="435" fillId="38" borderId="48" xfId="0" applyFont="1" applyFill="1" applyBorder="1" applyProtection="1">
      <protection hidden="1"/>
    </xf>
    <xf numFmtId="0" fontId="435" fillId="38" borderId="49" xfId="0" applyFont="1" applyFill="1" applyBorder="1" applyProtection="1">
      <protection hidden="1"/>
    </xf>
    <xf numFmtId="186" fontId="435" fillId="38" borderId="49" xfId="0" applyNumberFormat="1" applyFont="1" applyFill="1" applyBorder="1" applyProtection="1">
      <protection hidden="1"/>
    </xf>
    <xf numFmtId="186" fontId="435" fillId="38" borderId="50" xfId="0" applyNumberFormat="1" applyFont="1" applyFill="1" applyBorder="1" applyProtection="1">
      <protection hidden="1"/>
    </xf>
    <xf numFmtId="0" fontId="182" fillId="37" borderId="0" xfId="0" quotePrefix="1" applyFont="1" applyFill="1" applyProtection="1">
      <protection hidden="1"/>
    </xf>
    <xf numFmtId="166" fontId="22" fillId="16" borderId="12" xfId="0" applyNumberFormat="1" applyFont="1" applyFill="1" applyBorder="1" applyAlignment="1" applyProtection="1">
      <alignment horizontal="right"/>
      <protection hidden="1"/>
    </xf>
    <xf numFmtId="0" fontId="408" fillId="49" borderId="55" xfId="0" applyFont="1" applyFill="1" applyBorder="1" applyAlignment="1" applyProtection="1">
      <alignment horizontal="center" vertical="center"/>
      <protection locked="0"/>
    </xf>
    <xf numFmtId="0" fontId="401" fillId="38" borderId="50" xfId="0" applyFont="1" applyFill="1" applyBorder="1" applyProtection="1">
      <protection hidden="1"/>
    </xf>
    <xf numFmtId="0" fontId="401" fillId="20" borderId="0" xfId="0" applyFont="1" applyFill="1" applyProtection="1">
      <protection hidden="1"/>
    </xf>
    <xf numFmtId="0" fontId="401" fillId="0" borderId="0" xfId="0" applyFont="1" applyProtection="1">
      <protection hidden="1"/>
    </xf>
    <xf numFmtId="0" fontId="401" fillId="0" borderId="12" xfId="0" applyFont="1" applyBorder="1" applyProtection="1">
      <protection hidden="1"/>
    </xf>
    <xf numFmtId="0" fontId="401" fillId="16" borderId="8" xfId="0" applyFont="1" applyFill="1" applyBorder="1" applyProtection="1">
      <protection hidden="1"/>
    </xf>
    <xf numFmtId="0" fontId="437" fillId="20" borderId="0" xfId="0" applyFont="1" applyFill="1" applyProtection="1">
      <protection hidden="1"/>
    </xf>
    <xf numFmtId="0" fontId="222" fillId="16" borderId="18" xfId="0" applyFont="1" applyFill="1" applyBorder="1" applyAlignment="1" applyProtection="1">
      <alignment horizontal="center" vertical="center" wrapText="1"/>
      <protection hidden="1"/>
    </xf>
    <xf numFmtId="0" fontId="222" fillId="16" borderId="18" xfId="0" applyFont="1" applyFill="1" applyBorder="1" applyAlignment="1" applyProtection="1">
      <alignment horizontal="center" wrapText="1"/>
      <protection hidden="1"/>
    </xf>
    <xf numFmtId="0" fontId="437" fillId="20" borderId="0" xfId="0" applyFont="1" applyFill="1" applyAlignment="1" applyProtection="1">
      <alignment horizontal="right"/>
      <protection hidden="1"/>
    </xf>
    <xf numFmtId="0" fontId="411" fillId="16" borderId="12" xfId="0" applyFont="1" applyFill="1" applyBorder="1" applyProtection="1">
      <protection hidden="1"/>
    </xf>
    <xf numFmtId="0" fontId="367" fillId="20" borderId="0" xfId="0" applyFont="1" applyFill="1" applyProtection="1">
      <protection hidden="1"/>
    </xf>
    <xf numFmtId="0" fontId="411" fillId="16" borderId="9" xfId="0" applyFont="1" applyFill="1" applyBorder="1" applyProtection="1">
      <protection hidden="1"/>
    </xf>
    <xf numFmtId="0" fontId="411" fillId="16" borderId="7" xfId="0" applyFont="1" applyFill="1" applyBorder="1" applyProtection="1">
      <protection hidden="1"/>
    </xf>
    <xf numFmtId="0" fontId="401" fillId="16" borderId="12" xfId="0" applyFont="1" applyFill="1" applyBorder="1" applyProtection="1">
      <protection hidden="1"/>
    </xf>
    <xf numFmtId="0" fontId="222" fillId="16" borderId="12" xfId="0" applyFont="1" applyFill="1" applyBorder="1" applyAlignment="1" applyProtection="1">
      <alignment horizontal="center" vertical="center" wrapText="1"/>
      <protection hidden="1"/>
    </xf>
    <xf numFmtId="0" fontId="401" fillId="0" borderId="12" xfId="0" applyFont="1" applyBorder="1" applyAlignment="1" applyProtection="1">
      <alignment horizontal="center"/>
      <protection hidden="1"/>
    </xf>
    <xf numFmtId="0" fontId="401" fillId="0" borderId="0" xfId="0" applyFont="1" applyAlignment="1" applyProtection="1">
      <alignment horizontal="right"/>
      <protection hidden="1"/>
    </xf>
    <xf numFmtId="0" fontId="188" fillId="18" borderId="12" xfId="0" applyFont="1" applyFill="1" applyBorder="1" applyAlignment="1" applyProtection="1">
      <alignment horizontal="center"/>
      <protection locked="0"/>
    </xf>
    <xf numFmtId="0" fontId="188" fillId="0" borderId="12" xfId="0" applyFont="1" applyBorder="1" applyAlignment="1" applyProtection="1">
      <alignment horizontal="center"/>
      <protection locked="0"/>
    </xf>
    <xf numFmtId="0" fontId="188" fillId="0" borderId="12" xfId="0" applyFont="1" applyBorder="1" applyAlignment="1" applyProtection="1">
      <alignment horizontal="right"/>
      <protection locked="0"/>
    </xf>
    <xf numFmtId="0" fontId="222" fillId="20" borderId="0" xfId="0" applyFont="1" applyFill="1" applyAlignment="1" applyProtection="1">
      <alignment horizontal="right"/>
      <protection hidden="1"/>
    </xf>
    <xf numFmtId="0" fontId="183" fillId="20" borderId="0" xfId="0" quotePrefix="1" applyFont="1" applyFill="1" applyAlignment="1" applyProtection="1">
      <alignment horizontal="left"/>
      <protection hidden="1"/>
    </xf>
    <xf numFmtId="0" fontId="222" fillId="22" borderId="12" xfId="0" applyFont="1" applyFill="1" applyBorder="1" applyAlignment="1" applyProtection="1">
      <alignment horizontal="center" vertical="center" wrapText="1"/>
      <protection hidden="1"/>
    </xf>
    <xf numFmtId="0" fontId="222" fillId="20" borderId="0" xfId="0" applyFont="1" applyFill="1" applyAlignment="1" applyProtection="1">
      <alignment horizontal="center"/>
      <protection hidden="1"/>
    </xf>
    <xf numFmtId="0" fontId="222" fillId="18" borderId="12" xfId="0" applyFont="1" applyFill="1" applyBorder="1" applyAlignment="1" applyProtection="1">
      <alignment horizontal="center"/>
      <protection hidden="1"/>
    </xf>
    <xf numFmtId="0" fontId="222" fillId="18" borderId="12" xfId="0" applyFont="1" applyFill="1" applyBorder="1" applyAlignment="1" applyProtection="1">
      <alignment horizontal="center"/>
      <protection locked="0"/>
    </xf>
    <xf numFmtId="0" fontId="188" fillId="44" borderId="0" xfId="0" applyFont="1" applyFill="1" applyAlignment="1" applyProtection="1">
      <alignment horizontal="left"/>
      <protection hidden="1"/>
    </xf>
    <xf numFmtId="0" fontId="28" fillId="20" borderId="0" xfId="0" applyFont="1" applyFill="1" applyAlignment="1" applyProtection="1">
      <alignment horizontal="center"/>
      <protection hidden="1"/>
    </xf>
    <xf numFmtId="0" fontId="253" fillId="0" borderId="0" xfId="0" applyFont="1" applyProtection="1">
      <protection hidden="1"/>
    </xf>
    <xf numFmtId="0" fontId="55" fillId="20" borderId="0" xfId="0" applyFont="1" applyFill="1" applyAlignment="1" applyProtection="1">
      <alignment vertical="center"/>
      <protection hidden="1"/>
    </xf>
    <xf numFmtId="0" fontId="28" fillId="20" borderId="0" xfId="0" applyFont="1" applyFill="1" applyAlignment="1" applyProtection="1">
      <alignment vertical="center"/>
      <protection hidden="1"/>
    </xf>
    <xf numFmtId="0" fontId="22" fillId="20" borderId="0" xfId="0" applyFont="1" applyFill="1" applyAlignment="1" applyProtection="1">
      <alignment vertical="top"/>
      <protection hidden="1"/>
    </xf>
    <xf numFmtId="0" fontId="22" fillId="22" borderId="12" xfId="0" applyFont="1" applyFill="1" applyBorder="1" applyAlignment="1" applyProtection="1">
      <alignment horizontal="center" vertical="center" wrapText="1"/>
      <protection hidden="1"/>
    </xf>
    <xf numFmtId="164" fontId="22" fillId="22" borderId="21" xfId="0" applyNumberFormat="1" applyFont="1" applyFill="1" applyBorder="1" applyAlignment="1" applyProtection="1">
      <alignment horizontal="center" vertical="center" wrapText="1"/>
      <protection hidden="1"/>
    </xf>
    <xf numFmtId="0" fontId="43" fillId="20" borderId="0" xfId="0" applyFont="1" applyFill="1" applyProtection="1">
      <protection hidden="1"/>
    </xf>
    <xf numFmtId="0" fontId="210" fillId="20" borderId="0" xfId="0" applyFont="1" applyFill="1" applyProtection="1">
      <protection hidden="1"/>
    </xf>
    <xf numFmtId="0" fontId="434" fillId="0" borderId="0" xfId="0" applyFont="1" applyProtection="1">
      <protection hidden="1"/>
    </xf>
    <xf numFmtId="166" fontId="22" fillId="0" borderId="0" xfId="0" applyNumberFormat="1" applyFont="1" applyAlignment="1" applyProtection="1">
      <alignment horizontal="right"/>
      <protection hidden="1"/>
    </xf>
    <xf numFmtId="166" fontId="17" fillId="20" borderId="0" xfId="0" applyNumberFormat="1" applyFont="1" applyFill="1" applyAlignment="1" applyProtection="1">
      <alignment vertical="center"/>
      <protection hidden="1"/>
    </xf>
    <xf numFmtId="166" fontId="17" fillId="16" borderId="12" xfId="0" applyNumberFormat="1" applyFont="1" applyFill="1" applyBorder="1" applyAlignment="1" applyProtection="1">
      <alignment vertical="center"/>
      <protection hidden="1"/>
    </xf>
    <xf numFmtId="166" fontId="89" fillId="20" borderId="0" xfId="0" applyNumberFormat="1" applyFont="1" applyFill="1" applyAlignment="1" applyProtection="1">
      <alignment horizontal="left" vertical="center"/>
      <protection hidden="1"/>
    </xf>
    <xf numFmtId="166" fontId="17" fillId="16" borderId="12" xfId="0" applyNumberFormat="1" applyFont="1" applyFill="1" applyBorder="1" applyAlignment="1" applyProtection="1">
      <alignment horizontal="right" vertical="center"/>
      <protection hidden="1"/>
    </xf>
    <xf numFmtId="166" fontId="69" fillId="20" borderId="0" xfId="0" applyNumberFormat="1" applyFont="1" applyFill="1" applyAlignment="1" applyProtection="1">
      <alignment vertical="center"/>
      <protection hidden="1"/>
    </xf>
    <xf numFmtId="166" fontId="89" fillId="20" borderId="0" xfId="0" applyNumberFormat="1" applyFont="1" applyFill="1" applyAlignment="1" applyProtection="1">
      <alignment horizontal="center" vertical="center"/>
      <protection hidden="1"/>
    </xf>
    <xf numFmtId="0" fontId="210" fillId="20" borderId="0" xfId="0" applyFont="1" applyFill="1" applyAlignment="1" applyProtection="1">
      <alignment horizontal="left" vertical="center"/>
      <protection hidden="1"/>
    </xf>
    <xf numFmtId="0" fontId="272" fillId="20" borderId="0" xfId="0" applyFont="1" applyFill="1" applyAlignment="1" applyProtection="1">
      <alignment horizontal="left" vertical="center"/>
      <protection hidden="1"/>
    </xf>
    <xf numFmtId="165" fontId="49" fillId="20" borderId="0" xfId="0" applyNumberFormat="1" applyFont="1" applyFill="1" applyProtection="1">
      <protection hidden="1"/>
    </xf>
    <xf numFmtId="0" fontId="12" fillId="20" borderId="0" xfId="0" applyFont="1" applyFill="1" applyAlignment="1" applyProtection="1">
      <alignment horizontal="right" vertical="center"/>
      <protection hidden="1"/>
    </xf>
    <xf numFmtId="166" fontId="22" fillId="20" borderId="0" xfId="0" applyNumberFormat="1" applyFont="1" applyFill="1" applyAlignment="1" applyProtection="1">
      <alignment vertical="top"/>
      <protection hidden="1"/>
    </xf>
    <xf numFmtId="0" fontId="51" fillId="20" borderId="0" xfId="0" applyFont="1" applyFill="1" applyAlignment="1" applyProtection="1">
      <alignment horizontal="center"/>
      <protection hidden="1"/>
    </xf>
    <xf numFmtId="0" fontId="51" fillId="20" borderId="2" xfId="0" applyFont="1" applyFill="1" applyBorder="1" applyAlignment="1" applyProtection="1">
      <alignment horizontal="center"/>
      <protection hidden="1"/>
    </xf>
    <xf numFmtId="0" fontId="17" fillId="20" borderId="12" xfId="0" applyFont="1" applyFill="1" applyBorder="1" applyAlignment="1" applyProtection="1">
      <alignment horizontal="center"/>
      <protection hidden="1"/>
    </xf>
    <xf numFmtId="0" fontId="433" fillId="0" borderId="0" xfId="0" quotePrefix="1" applyFont="1" applyProtection="1">
      <protection hidden="1"/>
    </xf>
    <xf numFmtId="0" fontId="429" fillId="20" borderId="0" xfId="0" applyFont="1" applyFill="1" applyAlignment="1" applyProtection="1">
      <alignment horizontal="left" vertical="center"/>
      <protection hidden="1"/>
    </xf>
    <xf numFmtId="3" fontId="8" fillId="20" borderId="0" xfId="0" applyNumberFormat="1" applyFont="1" applyFill="1" applyAlignment="1" applyProtection="1">
      <alignment vertical="center"/>
      <protection hidden="1"/>
    </xf>
    <xf numFmtId="0" fontId="434" fillId="20" borderId="0" xfId="0" applyFont="1" applyFill="1" applyAlignment="1" applyProtection="1">
      <alignment horizontal="left" vertical="center"/>
      <protection hidden="1"/>
    </xf>
    <xf numFmtId="0" fontId="401" fillId="20" borderId="0" xfId="0" applyFont="1" applyFill="1" applyAlignment="1" applyProtection="1">
      <alignment horizontal="left" vertical="center"/>
      <protection hidden="1"/>
    </xf>
    <xf numFmtId="14" fontId="222" fillId="0" borderId="12" xfId="0" applyNumberFormat="1" applyFont="1" applyBorder="1" applyProtection="1">
      <protection hidden="1"/>
    </xf>
    <xf numFmtId="14" fontId="222" fillId="0" borderId="12" xfId="0" quotePrefix="1" applyNumberFormat="1" applyFont="1" applyBorder="1" applyProtection="1">
      <protection hidden="1"/>
    </xf>
    <xf numFmtId="0" fontId="188" fillId="20" borderId="0" xfId="0" applyFont="1" applyFill="1" applyAlignment="1" applyProtection="1">
      <alignment horizontal="left" vertical="center"/>
      <protection hidden="1"/>
    </xf>
    <xf numFmtId="0" fontId="8" fillId="20" borderId="0" xfId="0" applyFont="1" applyFill="1" applyProtection="1">
      <protection hidden="1"/>
    </xf>
    <xf numFmtId="0" fontId="222" fillId="38" borderId="46" xfId="0" applyFont="1" applyFill="1" applyBorder="1" applyProtection="1">
      <protection hidden="1"/>
    </xf>
    <xf numFmtId="0" fontId="222" fillId="38" borderId="49" xfId="0" applyFont="1" applyFill="1" applyBorder="1" applyProtection="1">
      <protection hidden="1"/>
    </xf>
    <xf numFmtId="0" fontId="437" fillId="37" borderId="0" xfId="0" applyFont="1" applyFill="1" applyProtection="1">
      <protection hidden="1"/>
    </xf>
    <xf numFmtId="14" fontId="188" fillId="0" borderId="57" xfId="0" applyNumberFormat="1" applyFont="1" applyBorder="1" applyAlignment="1" applyProtection="1">
      <alignment horizontal="right" vertical="center" wrapText="1"/>
      <protection locked="0"/>
    </xf>
    <xf numFmtId="3" fontId="17" fillId="16" borderId="12" xfId="0" applyNumberFormat="1" applyFont="1" applyFill="1" applyBorder="1" applyAlignment="1" applyProtection="1">
      <alignment horizontal="right" vertical="center"/>
      <protection hidden="1"/>
    </xf>
    <xf numFmtId="0" fontId="438" fillId="37" borderId="0" xfId="0" applyFont="1" applyFill="1" applyAlignment="1" applyProtection="1">
      <alignment horizontal="right"/>
      <protection hidden="1"/>
    </xf>
    <xf numFmtId="3" fontId="408" fillId="38" borderId="59" xfId="0" applyNumberFormat="1" applyFont="1" applyFill="1" applyBorder="1" applyAlignment="1" applyProtection="1">
      <alignment horizontal="right"/>
      <protection hidden="1"/>
    </xf>
    <xf numFmtId="3" fontId="188" fillId="0" borderId="59" xfId="0" applyNumberFormat="1" applyFont="1" applyBorder="1" applyProtection="1">
      <protection locked="0"/>
    </xf>
    <xf numFmtId="0" fontId="188" fillId="18" borderId="55" xfId="0" applyFont="1" applyFill="1" applyBorder="1" applyAlignment="1" applyProtection="1">
      <alignment horizontal="right" vertical="center"/>
      <protection locked="0"/>
    </xf>
    <xf numFmtId="0" fontId="401" fillId="38" borderId="63" xfId="0" applyFont="1" applyFill="1" applyBorder="1" applyProtection="1">
      <protection hidden="1"/>
    </xf>
    <xf numFmtId="0" fontId="183" fillId="0" borderId="0" xfId="0" quotePrefix="1" applyFont="1" applyProtection="1">
      <protection hidden="1"/>
    </xf>
    <xf numFmtId="0" fontId="181" fillId="20" borderId="0" xfId="1" applyFill="1" applyAlignment="1" applyProtection="1">
      <alignment horizontal="left"/>
      <protection hidden="1"/>
    </xf>
    <xf numFmtId="0" fontId="181" fillId="20" borderId="0" xfId="1" applyFill="1" applyAlignment="1" applyProtection="1">
      <alignment horizontal="left" vertical="center"/>
      <protection hidden="1"/>
    </xf>
    <xf numFmtId="0" fontId="438" fillId="37" borderId="0" xfId="0" applyFont="1" applyFill="1" applyAlignment="1" applyProtection="1">
      <alignment horizontal="center"/>
      <protection hidden="1"/>
    </xf>
    <xf numFmtId="0" fontId="190" fillId="2" borderId="20" xfId="1" applyFont="1" applyFill="1" applyBorder="1" applyAlignment="1" applyProtection="1">
      <alignment horizontal="right"/>
      <protection hidden="1"/>
    </xf>
    <xf numFmtId="0" fontId="206" fillId="16" borderId="8" xfId="7" applyFont="1" applyFill="1" applyBorder="1" applyProtection="1">
      <protection hidden="1"/>
    </xf>
    <xf numFmtId="0" fontId="438" fillId="37" borderId="0" xfId="0" applyFont="1" applyFill="1" applyAlignment="1" applyProtection="1">
      <alignment horizontal="left"/>
      <protection hidden="1"/>
    </xf>
    <xf numFmtId="0" fontId="313" fillId="16" borderId="21" xfId="0" applyFont="1" applyFill="1" applyBorder="1" applyAlignment="1" applyProtection="1">
      <alignment horizontal="center" vertical="center" wrapText="1"/>
      <protection hidden="1"/>
    </xf>
    <xf numFmtId="0" fontId="313" fillId="16" borderId="12" xfId="0" applyFont="1" applyFill="1" applyBorder="1" applyAlignment="1" applyProtection="1">
      <alignment horizontal="center" vertical="center" wrapText="1"/>
      <protection hidden="1"/>
    </xf>
    <xf numFmtId="3" fontId="313" fillId="16" borderId="21" xfId="0" applyNumberFormat="1" applyFont="1" applyFill="1" applyBorder="1" applyAlignment="1" applyProtection="1">
      <alignment horizontal="center" vertical="center" wrapText="1"/>
      <protection hidden="1"/>
    </xf>
    <xf numFmtId="3" fontId="313" fillId="16" borderId="12" xfId="0" applyNumberFormat="1" applyFont="1" applyFill="1" applyBorder="1" applyAlignment="1" applyProtection="1">
      <alignment horizontal="center" vertical="center" wrapText="1"/>
      <protection hidden="1"/>
    </xf>
    <xf numFmtId="14" fontId="22" fillId="0" borderId="0" xfId="0" applyNumberFormat="1" applyFont="1" applyProtection="1">
      <protection hidden="1"/>
    </xf>
    <xf numFmtId="0" fontId="61" fillId="2" borderId="19" xfId="0" applyFont="1" applyFill="1" applyBorder="1" applyAlignment="1" applyProtection="1">
      <alignment horizontal="center" vertical="center"/>
      <protection hidden="1"/>
    </xf>
    <xf numFmtId="0" fontId="17" fillId="20" borderId="0" xfId="0" applyFont="1" applyFill="1" applyAlignment="1" applyProtection="1">
      <alignment horizontal="left" vertical="center"/>
      <protection hidden="1"/>
    </xf>
    <xf numFmtId="0" fontId="377" fillId="0" borderId="52" xfId="0" applyFont="1" applyBorder="1" applyAlignment="1" applyProtection="1">
      <alignment vertical="center"/>
      <protection hidden="1"/>
    </xf>
    <xf numFmtId="0" fontId="377" fillId="0" borderId="44" xfId="0" applyFont="1" applyBorder="1" applyAlignment="1" applyProtection="1">
      <alignment horizontal="right" vertical="center"/>
      <protection hidden="1"/>
    </xf>
    <xf numFmtId="3" fontId="384" fillId="20" borderId="21" xfId="2" applyNumberFormat="1" applyFont="1" applyFill="1" applyBorder="1" applyAlignment="1" applyProtection="1">
      <alignment horizontal="right"/>
      <protection hidden="1"/>
    </xf>
    <xf numFmtId="3" fontId="384" fillId="20" borderId="20" xfId="2" applyNumberFormat="1" applyFont="1" applyFill="1" applyBorder="1" applyAlignment="1" applyProtection="1">
      <alignment horizontal="right"/>
      <protection hidden="1"/>
    </xf>
    <xf numFmtId="3" fontId="384" fillId="20" borderId="18" xfId="2" applyNumberFormat="1" applyFont="1" applyFill="1" applyBorder="1" applyAlignment="1" applyProtection="1">
      <alignment horizontal="right"/>
      <protection hidden="1"/>
    </xf>
    <xf numFmtId="166" fontId="384" fillId="0" borderId="20" xfId="2" applyNumberFormat="1" applyFont="1" applyFill="1" applyBorder="1" applyAlignment="1" applyProtection="1">
      <alignment horizontal="right"/>
      <protection locked="0"/>
    </xf>
    <xf numFmtId="166" fontId="282" fillId="20" borderId="12" xfId="0" applyNumberFormat="1" applyFont="1" applyFill="1" applyBorder="1" applyAlignment="1" applyProtection="1">
      <alignment vertical="center" wrapText="1"/>
      <protection locked="0"/>
    </xf>
    <xf numFmtId="0" fontId="299" fillId="0" borderId="0" xfId="0" applyFont="1"/>
    <xf numFmtId="0" fontId="188" fillId="18" borderId="0" xfId="0" applyFont="1" applyFill="1" applyAlignment="1" applyProtection="1">
      <alignment horizontal="right" vertical="center"/>
      <protection locked="0"/>
    </xf>
    <xf numFmtId="0" fontId="188" fillId="0" borderId="0" xfId="0" applyFont="1" applyAlignment="1" applyProtection="1">
      <alignment horizontal="right" vertical="center"/>
      <protection locked="0"/>
    </xf>
    <xf numFmtId="14" fontId="188" fillId="0" borderId="0" xfId="0" applyNumberFormat="1" applyFont="1" applyAlignment="1" applyProtection="1">
      <alignment horizontal="right" vertical="center"/>
      <protection locked="0"/>
    </xf>
    <xf numFmtId="14" fontId="188" fillId="0" borderId="0" xfId="0" applyNumberFormat="1" applyFont="1" applyAlignment="1" applyProtection="1">
      <alignment horizontal="right" vertical="center" wrapText="1"/>
      <protection locked="0"/>
    </xf>
    <xf numFmtId="3" fontId="188" fillId="0" borderId="0" xfId="0" applyNumberFormat="1" applyFont="1" applyAlignment="1" applyProtection="1">
      <alignment vertical="center"/>
      <protection locked="0"/>
    </xf>
    <xf numFmtId="3" fontId="384" fillId="0" borderId="12" xfId="8" applyNumberFormat="1" applyFont="1" applyFill="1" applyBorder="1" applyAlignment="1" applyProtection="1">
      <alignment horizontal="right"/>
      <protection locked="0"/>
    </xf>
    <xf numFmtId="186" fontId="436" fillId="38" borderId="0" xfId="0" applyNumberFormat="1" applyFont="1" applyFill="1" applyProtection="1">
      <protection hidden="1"/>
    </xf>
    <xf numFmtId="0" fontId="222" fillId="0" borderId="12" xfId="0" applyFont="1" applyBorder="1" applyAlignment="1" applyProtection="1">
      <alignment horizontal="center"/>
      <protection hidden="1"/>
    </xf>
    <xf numFmtId="0" fontId="222" fillId="16" borderId="20" xfId="0" applyFont="1" applyFill="1" applyBorder="1" applyAlignment="1" applyProtection="1">
      <alignment horizontal="center" vertical="center" wrapText="1"/>
      <protection hidden="1"/>
    </xf>
    <xf numFmtId="0" fontId="222" fillId="0" borderId="12" xfId="0" applyFont="1" applyBorder="1" applyAlignment="1" applyProtection="1">
      <alignment horizontal="center" vertical="center" wrapText="1"/>
      <protection hidden="1"/>
    </xf>
    <xf numFmtId="0" fontId="188" fillId="16" borderId="12" xfId="0" applyFont="1" applyFill="1" applyBorder="1" applyProtection="1">
      <protection hidden="1"/>
    </xf>
    <xf numFmtId="166" fontId="22" fillId="2" borderId="0" xfId="0" applyNumberFormat="1" applyFont="1" applyFill="1" applyProtection="1">
      <protection locked="0"/>
    </xf>
    <xf numFmtId="0" fontId="408" fillId="0" borderId="12" xfId="0" applyFont="1" applyBorder="1" applyProtection="1">
      <protection hidden="1"/>
    </xf>
    <xf numFmtId="0" fontId="408" fillId="0" borderId="12" xfId="0" applyFont="1" applyBorder="1" applyAlignment="1" applyProtection="1">
      <alignment horizontal="center"/>
      <protection hidden="1"/>
    </xf>
    <xf numFmtId="0" fontId="408" fillId="0" borderId="0" xfId="0" applyFont="1" applyAlignment="1" applyProtection="1">
      <alignment horizontal="right"/>
      <protection hidden="1"/>
    </xf>
    <xf numFmtId="166" fontId="408" fillId="0" borderId="12" xfId="0" applyNumberFormat="1" applyFont="1" applyBorder="1" applyProtection="1">
      <protection hidden="1"/>
    </xf>
    <xf numFmtId="166" fontId="22" fillId="0" borderId="12" xfId="7" applyNumberFormat="1" applyFont="1" applyBorder="1" applyProtection="1">
      <protection locked="0"/>
    </xf>
    <xf numFmtId="0" fontId="73" fillId="7" borderId="0" xfId="0" applyFont="1" applyFill="1" applyProtection="1">
      <protection locked="0"/>
    </xf>
    <xf numFmtId="0" fontId="61" fillId="17" borderId="0" xfId="0" applyFont="1" applyFill="1" applyAlignment="1" applyProtection="1">
      <alignment horizontal="left"/>
      <protection hidden="1"/>
    </xf>
    <xf numFmtId="186" fontId="282" fillId="0" borderId="12" xfId="2" applyNumberFormat="1" applyFont="1" applyBorder="1" applyAlignment="1" applyProtection="1">
      <alignment horizontal="right"/>
      <protection locked="0"/>
    </xf>
    <xf numFmtId="3" fontId="371" fillId="20" borderId="0" xfId="0" applyNumberFormat="1" applyFont="1" applyFill="1" applyAlignment="1" applyProtection="1">
      <alignment horizontal="right" vertical="top"/>
      <protection hidden="1"/>
    </xf>
    <xf numFmtId="0" fontId="318" fillId="16" borderId="12" xfId="0" applyFont="1" applyFill="1" applyBorder="1" applyAlignment="1" applyProtection="1">
      <alignment horizontal="center" vertical="center" wrapText="1"/>
      <protection hidden="1"/>
    </xf>
    <xf numFmtId="0" fontId="207" fillId="20" borderId="0" xfId="0" quotePrefix="1" applyFont="1" applyFill="1" applyProtection="1">
      <protection hidden="1"/>
    </xf>
    <xf numFmtId="0" fontId="0" fillId="0" borderId="0" xfId="0" applyAlignment="1">
      <alignment wrapText="1"/>
    </xf>
    <xf numFmtId="0" fontId="347" fillId="26" borderId="12" xfId="0" applyFont="1" applyFill="1" applyBorder="1" applyAlignment="1" applyProtection="1">
      <alignment horizontal="center" vertical="center"/>
      <protection locked="0"/>
    </xf>
    <xf numFmtId="0" fontId="12" fillId="0" borderId="0" xfId="0" applyFont="1" applyAlignment="1">
      <alignment wrapText="1"/>
    </xf>
    <xf numFmtId="180" fontId="12" fillId="0" borderId="0" xfId="0" applyNumberFormat="1" applyFont="1"/>
    <xf numFmtId="0" fontId="12" fillId="0" borderId="0" xfId="6" applyFont="1" applyProtection="1">
      <protection hidden="1"/>
    </xf>
    <xf numFmtId="0" fontId="12" fillId="0" borderId="0" xfId="6" applyFont="1" applyAlignment="1" applyProtection="1">
      <alignment horizontal="left"/>
      <protection hidden="1"/>
    </xf>
    <xf numFmtId="0" fontId="12" fillId="0" borderId="0" xfId="6" applyFont="1" applyAlignment="1" applyProtection="1">
      <alignment horizontal="right"/>
      <protection hidden="1"/>
    </xf>
    <xf numFmtId="20" fontId="14" fillId="0" borderId="0" xfId="6" applyNumberFormat="1" applyFont="1" applyProtection="1">
      <protection hidden="1"/>
    </xf>
    <xf numFmtId="0" fontId="183" fillId="0" borderId="0" xfId="6" applyFont="1" applyProtection="1">
      <protection hidden="1"/>
    </xf>
    <xf numFmtId="14" fontId="12" fillId="0" borderId="0" xfId="6" applyNumberFormat="1" applyFont="1" applyProtection="1">
      <protection hidden="1"/>
    </xf>
    <xf numFmtId="1" fontId="183" fillId="0" borderId="0" xfId="6" applyNumberFormat="1" applyFont="1" applyProtection="1">
      <protection hidden="1"/>
    </xf>
    <xf numFmtId="0" fontId="17" fillId="0" borderId="0" xfId="6" applyFont="1" applyProtection="1">
      <protection hidden="1"/>
    </xf>
    <xf numFmtId="20" fontId="17" fillId="0" borderId="0" xfId="6" applyNumberFormat="1" applyFont="1" applyProtection="1">
      <protection hidden="1"/>
    </xf>
    <xf numFmtId="1" fontId="12" fillId="0" borderId="0" xfId="6" applyNumberFormat="1" applyFont="1" applyProtection="1">
      <protection hidden="1"/>
    </xf>
    <xf numFmtId="0" fontId="11" fillId="0" borderId="0" xfId="6" applyProtection="1">
      <protection hidden="1"/>
    </xf>
    <xf numFmtId="0" fontId="194" fillId="16" borderId="19" xfId="6" applyFont="1" applyFill="1" applyBorder="1" applyProtection="1">
      <protection hidden="1"/>
    </xf>
    <xf numFmtId="0" fontId="17" fillId="16" borderId="10" xfId="6" applyFont="1" applyFill="1" applyBorder="1" applyProtection="1">
      <protection hidden="1"/>
    </xf>
    <xf numFmtId="0" fontId="17" fillId="16" borderId="3" xfId="6" applyFont="1" applyFill="1" applyBorder="1" applyProtection="1">
      <protection hidden="1"/>
    </xf>
    <xf numFmtId="0" fontId="12" fillId="20" borderId="0" xfId="6" applyFont="1" applyFill="1" applyProtection="1">
      <protection hidden="1"/>
    </xf>
    <xf numFmtId="2" fontId="12" fillId="0" borderId="0" xfId="6" applyNumberFormat="1" applyFont="1" applyProtection="1">
      <protection hidden="1"/>
    </xf>
    <xf numFmtId="0" fontId="8" fillId="0" borderId="0" xfId="6" applyFont="1" applyProtection="1">
      <protection hidden="1"/>
    </xf>
    <xf numFmtId="0" fontId="188" fillId="0" borderId="0" xfId="6" applyFont="1" applyProtection="1">
      <protection hidden="1"/>
    </xf>
    <xf numFmtId="0" fontId="194" fillId="16" borderId="4" xfId="6" applyFont="1" applyFill="1" applyBorder="1" applyProtection="1">
      <protection hidden="1"/>
    </xf>
    <xf numFmtId="0" fontId="17" fillId="16" borderId="5" xfId="6" applyFont="1" applyFill="1" applyBorder="1" applyProtection="1">
      <protection hidden="1"/>
    </xf>
    <xf numFmtId="0" fontId="17" fillId="16" borderId="6" xfId="6" applyFont="1" applyFill="1" applyBorder="1" applyProtection="1">
      <protection hidden="1"/>
    </xf>
    <xf numFmtId="0" fontId="194" fillId="16" borderId="12" xfId="6" applyFont="1" applyFill="1" applyBorder="1" applyAlignment="1" applyProtection="1">
      <alignment horizontal="center"/>
      <protection hidden="1"/>
    </xf>
    <xf numFmtId="0" fontId="194" fillId="16" borderId="7" xfId="6" applyFont="1" applyFill="1" applyBorder="1" applyProtection="1">
      <protection hidden="1"/>
    </xf>
    <xf numFmtId="0" fontId="17" fillId="16" borderId="7" xfId="6" applyFont="1" applyFill="1" applyBorder="1" applyProtection="1">
      <protection hidden="1"/>
    </xf>
    <xf numFmtId="0" fontId="17" fillId="16" borderId="8" xfId="6" applyFont="1" applyFill="1" applyBorder="1" applyProtection="1">
      <protection hidden="1"/>
    </xf>
    <xf numFmtId="0" fontId="254" fillId="17" borderId="19" xfId="6" applyFont="1" applyFill="1" applyBorder="1" applyProtection="1">
      <protection hidden="1"/>
    </xf>
    <xf numFmtId="0" fontId="184" fillId="17" borderId="19" xfId="6" applyFont="1" applyFill="1" applyBorder="1" applyProtection="1">
      <protection hidden="1"/>
    </xf>
    <xf numFmtId="0" fontId="184" fillId="17" borderId="10" xfId="6" applyFont="1" applyFill="1" applyBorder="1" applyProtection="1">
      <protection hidden="1"/>
    </xf>
    <xf numFmtId="0" fontId="184" fillId="17" borderId="3" xfId="6" applyFont="1" applyFill="1" applyBorder="1" applyProtection="1">
      <protection hidden="1"/>
    </xf>
    <xf numFmtId="0" fontId="193" fillId="17" borderId="1" xfId="6" applyFont="1" applyFill="1" applyBorder="1" applyProtection="1">
      <protection hidden="1"/>
    </xf>
    <xf numFmtId="0" fontId="184" fillId="17" borderId="1" xfId="6" applyFont="1" applyFill="1" applyBorder="1" applyProtection="1">
      <protection hidden="1"/>
    </xf>
    <xf numFmtId="0" fontId="184" fillId="17" borderId="0" xfId="6" applyFont="1" applyFill="1" applyProtection="1">
      <protection hidden="1"/>
    </xf>
    <xf numFmtId="0" fontId="184" fillId="17" borderId="2" xfId="6" applyFont="1" applyFill="1" applyBorder="1" applyProtection="1">
      <protection hidden="1"/>
    </xf>
    <xf numFmtId="0" fontId="193" fillId="17" borderId="4" xfId="6" applyFont="1" applyFill="1" applyBorder="1" applyProtection="1">
      <protection hidden="1"/>
    </xf>
    <xf numFmtId="0" fontId="184" fillId="17" borderId="4" xfId="6" applyFont="1" applyFill="1" applyBorder="1" applyProtection="1">
      <protection hidden="1"/>
    </xf>
    <xf numFmtId="0" fontId="184" fillId="17" borderId="5" xfId="6" applyFont="1" applyFill="1" applyBorder="1" applyProtection="1">
      <protection hidden="1"/>
    </xf>
    <xf numFmtId="0" fontId="184" fillId="17" borderId="6" xfId="6" applyFont="1" applyFill="1" applyBorder="1" applyProtection="1">
      <protection hidden="1"/>
    </xf>
    <xf numFmtId="0" fontId="299" fillId="20" borderId="0" xfId="6" applyFont="1" applyFill="1" applyProtection="1">
      <protection hidden="1"/>
    </xf>
    <xf numFmtId="0" fontId="222" fillId="0" borderId="0" xfId="6" applyFont="1" applyProtection="1">
      <protection hidden="1"/>
    </xf>
    <xf numFmtId="0" fontId="313" fillId="20" borderId="0" xfId="6" applyFont="1" applyFill="1" applyProtection="1">
      <protection hidden="1"/>
    </xf>
    <xf numFmtId="0" fontId="17" fillId="0" borderId="0" xfId="6" applyFont="1" applyAlignment="1" applyProtection="1">
      <alignment horizontal="center"/>
      <protection hidden="1"/>
    </xf>
    <xf numFmtId="0" fontId="194" fillId="20" borderId="0" xfId="6" applyFont="1" applyFill="1" applyProtection="1">
      <protection hidden="1"/>
    </xf>
    <xf numFmtId="0" fontId="17" fillId="20" borderId="0" xfId="6" applyFont="1" applyFill="1" applyProtection="1">
      <protection hidden="1"/>
    </xf>
    <xf numFmtId="0" fontId="313" fillId="0" borderId="12" xfId="6" applyFont="1" applyBorder="1" applyAlignment="1" applyProtection="1">
      <alignment horizontal="center"/>
      <protection locked="0"/>
    </xf>
    <xf numFmtId="0" fontId="313" fillId="20" borderId="0" xfId="6" applyFont="1" applyFill="1" applyAlignment="1" applyProtection="1">
      <alignment horizontal="right"/>
      <protection hidden="1"/>
    </xf>
    <xf numFmtId="14" fontId="313" fillId="0" borderId="12" xfId="6" applyNumberFormat="1" applyFont="1" applyBorder="1" applyAlignment="1" applyProtection="1">
      <alignment horizontal="center"/>
      <protection locked="0"/>
    </xf>
    <xf numFmtId="0" fontId="207" fillId="20" borderId="0" xfId="6" applyFont="1" applyFill="1" applyProtection="1">
      <protection hidden="1"/>
    </xf>
    <xf numFmtId="0" fontId="22" fillId="20" borderId="0" xfId="6" applyFont="1" applyFill="1" applyProtection="1">
      <protection hidden="1"/>
    </xf>
    <xf numFmtId="0" fontId="384" fillId="41" borderId="55" xfId="0" applyFont="1" applyFill="1" applyBorder="1" applyAlignment="1" applyProtection="1">
      <alignment horizontal="center" vertical="center"/>
      <protection locked="0"/>
    </xf>
    <xf numFmtId="0" fontId="313" fillId="20" borderId="0" xfId="6" applyFont="1" applyFill="1" applyAlignment="1" applyProtection="1">
      <alignment horizontal="center"/>
      <protection hidden="1"/>
    </xf>
    <xf numFmtId="0" fontId="11" fillId="0" borderId="0" xfId="6" applyAlignment="1" applyProtection="1">
      <alignment horizontal="center"/>
      <protection hidden="1"/>
    </xf>
    <xf numFmtId="0" fontId="12" fillId="0" borderId="0" xfId="6" applyFont="1" applyAlignment="1" applyProtection="1">
      <alignment horizontal="center"/>
      <protection hidden="1"/>
    </xf>
    <xf numFmtId="0" fontId="313" fillId="0" borderId="0" xfId="6" applyFont="1" applyProtection="1">
      <protection hidden="1"/>
    </xf>
    <xf numFmtId="177" fontId="17" fillId="0" borderId="0" xfId="16" applyNumberFormat="1" applyFont="1" applyFill="1" applyBorder="1" applyProtection="1">
      <protection hidden="1"/>
    </xf>
    <xf numFmtId="177" fontId="12" fillId="0" borderId="0" xfId="16" applyNumberFormat="1" applyFont="1" applyProtection="1">
      <protection hidden="1"/>
    </xf>
    <xf numFmtId="0" fontId="195" fillId="20" borderId="0" xfId="6" applyFont="1" applyFill="1" applyProtection="1">
      <protection hidden="1"/>
    </xf>
    <xf numFmtId="0" fontId="17" fillId="16" borderId="12" xfId="6" applyFont="1" applyFill="1" applyBorder="1" applyAlignment="1" applyProtection="1">
      <alignment horizontal="center"/>
      <protection hidden="1"/>
    </xf>
    <xf numFmtId="0" fontId="17" fillId="20" borderId="0" xfId="6" applyFont="1" applyFill="1" applyAlignment="1" applyProtection="1">
      <alignment horizontal="center"/>
      <protection hidden="1"/>
    </xf>
    <xf numFmtId="177" fontId="0" fillId="0" borderId="0" xfId="16" applyNumberFormat="1" applyFont="1" applyProtection="1">
      <protection hidden="1"/>
    </xf>
    <xf numFmtId="0" fontId="185" fillId="20" borderId="0" xfId="6" applyFont="1" applyFill="1" applyProtection="1">
      <protection hidden="1"/>
    </xf>
    <xf numFmtId="177" fontId="313" fillId="20" borderId="10" xfId="16" applyNumberFormat="1" applyFont="1" applyFill="1" applyBorder="1" applyProtection="1">
      <protection hidden="1"/>
    </xf>
    <xf numFmtId="177" fontId="313" fillId="20" borderId="0" xfId="16" applyNumberFormat="1" applyFont="1" applyFill="1" applyBorder="1" applyProtection="1">
      <protection hidden="1"/>
    </xf>
    <xf numFmtId="177" fontId="17" fillId="20" borderId="0" xfId="16" applyNumberFormat="1" applyFont="1" applyFill="1" applyBorder="1" applyProtection="1">
      <protection hidden="1"/>
    </xf>
    <xf numFmtId="177" fontId="0" fillId="0" borderId="0" xfId="16" applyNumberFormat="1" applyFont="1" applyFill="1" applyProtection="1">
      <protection hidden="1"/>
    </xf>
    <xf numFmtId="177" fontId="12" fillId="0" borderId="0" xfId="16" applyNumberFormat="1" applyFont="1" applyFill="1" applyProtection="1">
      <protection hidden="1"/>
    </xf>
    <xf numFmtId="9" fontId="0" fillId="0" borderId="0" xfId="9" applyFont="1" applyFill="1" applyProtection="1">
      <protection hidden="1"/>
    </xf>
    <xf numFmtId="9" fontId="11" fillId="0" borderId="0" xfId="6" applyNumberFormat="1" applyProtection="1">
      <protection hidden="1"/>
    </xf>
    <xf numFmtId="0" fontId="11" fillId="0" borderId="0" xfId="6" applyAlignment="1" applyProtection="1">
      <alignment horizontal="right"/>
      <protection hidden="1"/>
    </xf>
    <xf numFmtId="177" fontId="11" fillId="0" borderId="0" xfId="6" applyNumberFormat="1" applyProtection="1">
      <protection hidden="1"/>
    </xf>
    <xf numFmtId="0" fontId="150" fillId="20" borderId="0" xfId="6" applyFont="1" applyFill="1" applyProtection="1">
      <protection hidden="1"/>
    </xf>
    <xf numFmtId="0" fontId="313" fillId="20" borderId="0" xfId="6" applyFont="1" applyFill="1" applyAlignment="1" applyProtection="1">
      <alignment vertical="center"/>
      <protection hidden="1"/>
    </xf>
    <xf numFmtId="177" fontId="313" fillId="20" borderId="0" xfId="16" applyNumberFormat="1" applyFont="1" applyFill="1" applyProtection="1">
      <protection hidden="1"/>
    </xf>
    <xf numFmtId="166" fontId="11" fillId="0" borderId="0" xfId="6" applyNumberFormat="1" applyProtection="1">
      <protection hidden="1"/>
    </xf>
    <xf numFmtId="0" fontId="11" fillId="0" borderId="21" xfId="6" applyBorder="1" applyProtection="1">
      <protection hidden="1"/>
    </xf>
    <xf numFmtId="0" fontId="192" fillId="20" borderId="0" xfId="6" applyFont="1" applyFill="1" applyProtection="1">
      <protection hidden="1"/>
    </xf>
    <xf numFmtId="0" fontId="17" fillId="20" borderId="0" xfId="6" applyFont="1" applyFill="1" applyAlignment="1" applyProtection="1">
      <alignment horizontal="left"/>
      <protection hidden="1"/>
    </xf>
    <xf numFmtId="0" fontId="313" fillId="20" borderId="0" xfId="6" applyFont="1" applyFill="1" applyAlignment="1" applyProtection="1">
      <alignment horizontal="left"/>
      <protection hidden="1"/>
    </xf>
    <xf numFmtId="0" fontId="17" fillId="0" borderId="0" xfId="6" applyFont="1" applyAlignment="1" applyProtection="1">
      <alignment horizontal="right"/>
      <protection hidden="1"/>
    </xf>
    <xf numFmtId="0" fontId="11" fillId="0" borderId="18" xfId="6" applyBorder="1" applyProtection="1">
      <protection hidden="1"/>
    </xf>
    <xf numFmtId="14" fontId="12" fillId="0" borderId="18" xfId="6" applyNumberFormat="1" applyFont="1" applyBorder="1" applyProtection="1">
      <protection hidden="1"/>
    </xf>
    <xf numFmtId="9" fontId="11" fillId="0" borderId="20" xfId="6" applyNumberFormat="1" applyBorder="1" applyProtection="1">
      <protection hidden="1"/>
    </xf>
    <xf numFmtId="9" fontId="11" fillId="0" borderId="21" xfId="6" applyNumberFormat="1" applyBorder="1" applyProtection="1">
      <protection hidden="1"/>
    </xf>
    <xf numFmtId="0" fontId="11" fillId="0" borderId="20" xfId="6" applyBorder="1" applyProtection="1">
      <protection hidden="1"/>
    </xf>
    <xf numFmtId="9" fontId="11" fillId="0" borderId="18" xfId="6" applyNumberFormat="1" applyBorder="1" applyProtection="1">
      <protection hidden="1"/>
    </xf>
    <xf numFmtId="0" fontId="192" fillId="0" borderId="0" xfId="6" applyFont="1" applyProtection="1">
      <protection hidden="1"/>
    </xf>
    <xf numFmtId="166" fontId="313" fillId="0" borderId="12" xfId="16" applyNumberFormat="1" applyFont="1" applyFill="1" applyBorder="1" applyProtection="1">
      <protection locked="0"/>
    </xf>
    <xf numFmtId="0" fontId="291" fillId="20" borderId="0" xfId="6" applyFont="1" applyFill="1" applyProtection="1">
      <protection hidden="1"/>
    </xf>
    <xf numFmtId="0" fontId="363" fillId="20" borderId="0" xfId="6" applyFont="1" applyFill="1" applyAlignment="1" applyProtection="1">
      <alignment horizontal="right"/>
      <protection hidden="1"/>
    </xf>
    <xf numFmtId="0" fontId="313" fillId="16" borderId="7" xfId="6" applyFont="1" applyFill="1" applyBorder="1" applyAlignment="1" applyProtection="1">
      <alignment horizontal="left"/>
      <protection hidden="1"/>
    </xf>
    <xf numFmtId="0" fontId="363" fillId="16" borderId="8" xfId="6" applyFont="1" applyFill="1" applyBorder="1" applyAlignment="1" applyProtection="1">
      <alignment horizontal="right"/>
      <protection hidden="1"/>
    </xf>
    <xf numFmtId="166" fontId="313" fillId="0" borderId="12" xfId="6" applyNumberFormat="1" applyFont="1" applyBorder="1" applyProtection="1">
      <protection locked="0"/>
    </xf>
    <xf numFmtId="166" fontId="299" fillId="20" borderId="0" xfId="6" applyNumberFormat="1" applyFont="1" applyFill="1" applyAlignment="1" applyProtection="1">
      <alignment horizontal="left" vertical="top"/>
      <protection hidden="1"/>
    </xf>
    <xf numFmtId="177" fontId="12" fillId="0" borderId="4" xfId="6" applyNumberFormat="1" applyFont="1" applyBorder="1" applyProtection="1">
      <protection hidden="1"/>
    </xf>
    <xf numFmtId="0" fontId="12" fillId="0" borderId="5" xfId="6" applyFont="1" applyBorder="1" applyProtection="1">
      <protection hidden="1"/>
    </xf>
    <xf numFmtId="0" fontId="11" fillId="0" borderId="6" xfId="6" applyBorder="1" applyProtection="1">
      <protection hidden="1"/>
    </xf>
    <xf numFmtId="0" fontId="86" fillId="20" borderId="0" xfId="6" applyFont="1" applyFill="1" applyAlignment="1" applyProtection="1">
      <alignment horizontal="left"/>
      <protection hidden="1"/>
    </xf>
    <xf numFmtId="0" fontId="364" fillId="20" borderId="0" xfId="6" applyFont="1" applyFill="1" applyAlignment="1" applyProtection="1">
      <alignment horizontal="right"/>
      <protection hidden="1"/>
    </xf>
    <xf numFmtId="0" fontId="17" fillId="20" borderId="0" xfId="6" applyFont="1" applyFill="1" applyAlignment="1" applyProtection="1">
      <alignment horizontal="right"/>
      <protection hidden="1"/>
    </xf>
    <xf numFmtId="0" fontId="12" fillId="0" borderId="12" xfId="6" applyFont="1" applyBorder="1" applyProtection="1">
      <protection hidden="1"/>
    </xf>
    <xf numFmtId="0" fontId="17" fillId="21" borderId="0" xfId="6" applyFont="1" applyFill="1" applyProtection="1">
      <protection hidden="1"/>
    </xf>
    <xf numFmtId="0" fontId="12" fillId="21" borderId="0" xfId="6" applyFont="1" applyFill="1" applyProtection="1">
      <protection hidden="1"/>
    </xf>
    <xf numFmtId="2" fontId="12" fillId="21" borderId="0" xfId="6" applyNumberFormat="1" applyFont="1" applyFill="1" applyProtection="1">
      <protection hidden="1"/>
    </xf>
    <xf numFmtId="0" fontId="11" fillId="21" borderId="0" xfId="6" applyFill="1" applyProtection="1">
      <protection hidden="1"/>
    </xf>
    <xf numFmtId="0" fontId="12" fillId="21" borderId="0" xfId="6" applyFont="1" applyFill="1" applyAlignment="1" applyProtection="1">
      <alignment horizontal="right"/>
      <protection hidden="1"/>
    </xf>
    <xf numFmtId="0" fontId="8" fillId="21" borderId="0" xfId="6" applyFont="1" applyFill="1" applyProtection="1">
      <protection hidden="1"/>
    </xf>
    <xf numFmtId="0" fontId="188" fillId="21" borderId="0" xfId="6" applyFont="1" applyFill="1" applyProtection="1">
      <protection hidden="1"/>
    </xf>
    <xf numFmtId="0" fontId="17" fillId="16" borderId="9" xfId="6" applyFont="1" applyFill="1" applyBorder="1" applyAlignment="1" applyProtection="1">
      <alignment horizontal="left"/>
      <protection hidden="1"/>
    </xf>
    <xf numFmtId="0" fontId="17" fillId="16" borderId="7" xfId="6" applyFont="1" applyFill="1" applyBorder="1" applyAlignment="1" applyProtection="1">
      <alignment horizontal="left"/>
      <protection hidden="1"/>
    </xf>
    <xf numFmtId="0" fontId="222" fillId="20" borderId="0" xfId="6" applyFont="1" applyFill="1" applyProtection="1">
      <protection hidden="1"/>
    </xf>
    <xf numFmtId="0" fontId="188" fillId="20" borderId="0" xfId="6" applyFont="1" applyFill="1" applyProtection="1">
      <protection hidden="1"/>
    </xf>
    <xf numFmtId="0" fontId="188" fillId="20" borderId="0" xfId="6" applyFont="1" applyFill="1" applyAlignment="1" applyProtection="1">
      <alignment horizontal="right"/>
      <protection hidden="1"/>
    </xf>
    <xf numFmtId="0" fontId="12" fillId="0" borderId="12" xfId="6" applyFont="1" applyBorder="1" applyAlignment="1" applyProtection="1">
      <alignment vertical="top"/>
      <protection hidden="1"/>
    </xf>
    <xf numFmtId="0" fontId="222" fillId="20" borderId="0" xfId="6" applyFont="1" applyFill="1" applyAlignment="1" applyProtection="1">
      <alignment horizontal="left"/>
      <protection hidden="1"/>
    </xf>
    <xf numFmtId="0" fontId="190" fillId="20" borderId="0" xfId="17" applyFont="1" applyFill="1" applyAlignment="1" applyProtection="1">
      <alignment horizontal="right"/>
      <protection hidden="1"/>
    </xf>
    <xf numFmtId="166" fontId="17" fillId="16" borderId="12" xfId="6" applyNumberFormat="1" applyFont="1" applyFill="1" applyBorder="1" applyProtection="1">
      <protection hidden="1"/>
    </xf>
    <xf numFmtId="1" fontId="12" fillId="0" borderId="12" xfId="6" applyNumberFormat="1" applyFont="1" applyBorder="1" applyAlignment="1" applyProtection="1">
      <alignment vertical="top"/>
      <protection hidden="1"/>
    </xf>
    <xf numFmtId="0" fontId="182" fillId="20" borderId="0" xfId="6" applyFont="1" applyFill="1" applyProtection="1">
      <protection hidden="1"/>
    </xf>
    <xf numFmtId="0" fontId="87" fillId="0" borderId="0" xfId="6" applyFont="1" applyAlignment="1" applyProtection="1">
      <alignment horizontal="left"/>
      <protection hidden="1"/>
    </xf>
    <xf numFmtId="0" fontId="3" fillId="0" borderId="0" xfId="6" applyFont="1" applyProtection="1">
      <protection hidden="1"/>
    </xf>
    <xf numFmtId="0" fontId="313" fillId="18" borderId="12" xfId="6" applyFont="1" applyFill="1" applyBorder="1" applyAlignment="1" applyProtection="1">
      <alignment horizontal="center"/>
      <protection hidden="1"/>
    </xf>
    <xf numFmtId="3" fontId="377" fillId="51" borderId="55" xfId="2" applyNumberFormat="1" applyFont="1" applyFill="1" applyBorder="1" applyAlignment="1" applyProtection="1">
      <alignment horizontal="right" vertical="center"/>
      <protection hidden="1"/>
    </xf>
    <xf numFmtId="0" fontId="17" fillId="0" borderId="0" xfId="6" applyFont="1" applyAlignment="1" applyProtection="1">
      <alignment horizontal="left"/>
      <protection hidden="1"/>
    </xf>
    <xf numFmtId="0" fontId="182" fillId="0" borderId="0" xfId="6" applyFont="1" applyAlignment="1" applyProtection="1">
      <alignment horizontal="left"/>
      <protection hidden="1"/>
    </xf>
    <xf numFmtId="0" fontId="336" fillId="16" borderId="19" xfId="0" applyFont="1" applyFill="1" applyBorder="1" applyProtection="1">
      <protection hidden="1"/>
    </xf>
    <xf numFmtId="0" fontId="336" fillId="16" borderId="10" xfId="0" applyFont="1" applyFill="1" applyBorder="1" applyProtection="1">
      <protection hidden="1"/>
    </xf>
    <xf numFmtId="0" fontId="336" fillId="16" borderId="3" xfId="0" applyFont="1" applyFill="1" applyBorder="1" applyProtection="1">
      <protection hidden="1"/>
    </xf>
    <xf numFmtId="0" fontId="207" fillId="46" borderId="0" xfId="0" applyFont="1" applyFill="1" applyAlignment="1" applyProtection="1">
      <alignment horizontal="left"/>
      <protection hidden="1"/>
    </xf>
    <xf numFmtId="0" fontId="188" fillId="16" borderId="18" xfId="0" applyFont="1" applyFill="1" applyBorder="1" applyAlignment="1" applyProtection="1">
      <alignment horizontal="center" vertical="center" wrapText="1"/>
      <protection hidden="1"/>
    </xf>
    <xf numFmtId="3" fontId="188" fillId="0" borderId="12" xfId="2" applyNumberFormat="1" applyFont="1" applyBorder="1" applyAlignment="1" applyProtection="1">
      <alignment horizontal="right"/>
      <protection locked="0"/>
    </xf>
    <xf numFmtId="0" fontId="12" fillId="46" borderId="0" xfId="0" applyFont="1" applyFill="1" applyProtection="1">
      <protection hidden="1"/>
    </xf>
    <xf numFmtId="0" fontId="17" fillId="46" borderId="0" xfId="0" applyFont="1" applyFill="1" applyAlignment="1" applyProtection="1">
      <alignment horizontal="right"/>
      <protection hidden="1"/>
    </xf>
    <xf numFmtId="0" fontId="17" fillId="46" borderId="0" xfId="6" applyFont="1" applyFill="1" applyProtection="1">
      <protection hidden="1"/>
    </xf>
    <xf numFmtId="0" fontId="17" fillId="46" borderId="0" xfId="6" applyFont="1" applyFill="1" applyAlignment="1" applyProtection="1">
      <alignment horizontal="center"/>
      <protection hidden="1"/>
    </xf>
    <xf numFmtId="0" fontId="17" fillId="46" borderId="0" xfId="6" applyFont="1" applyFill="1" applyAlignment="1" applyProtection="1">
      <alignment horizontal="right"/>
      <protection hidden="1"/>
    </xf>
    <xf numFmtId="0" fontId="207" fillId="46" borderId="0" xfId="0" applyFont="1" applyFill="1" applyAlignment="1" applyProtection="1">
      <alignment horizontal="left" vertical="center"/>
      <protection hidden="1"/>
    </xf>
    <xf numFmtId="0" fontId="276" fillId="0" borderId="0" xfId="0" applyFont="1" applyProtection="1">
      <protection hidden="1"/>
    </xf>
    <xf numFmtId="0" fontId="77" fillId="0" borderId="12" xfId="0" applyFont="1" applyBorder="1" applyAlignment="1" applyProtection="1">
      <alignment horizontal="center"/>
      <protection hidden="1"/>
    </xf>
    <xf numFmtId="0" fontId="183" fillId="46" borderId="0" xfId="0" applyFont="1" applyFill="1" applyAlignment="1" applyProtection="1">
      <alignment horizontal="left"/>
      <protection hidden="1"/>
    </xf>
    <xf numFmtId="0" fontId="12" fillId="46" borderId="0" xfId="0" applyFont="1" applyFill="1" applyAlignment="1" applyProtection="1">
      <alignment horizontal="left"/>
      <protection hidden="1"/>
    </xf>
    <xf numFmtId="0" fontId="17" fillId="46" borderId="0" xfId="0" applyFont="1" applyFill="1" applyAlignment="1" applyProtection="1">
      <alignment horizontal="left" wrapText="1"/>
      <protection hidden="1"/>
    </xf>
    <xf numFmtId="0" fontId="408" fillId="41" borderId="55" xfId="0" applyFont="1" applyFill="1" applyBorder="1" applyAlignment="1" applyProtection="1">
      <alignment horizontal="center" vertical="center"/>
      <protection locked="0"/>
    </xf>
    <xf numFmtId="0" fontId="257" fillId="46" borderId="0" xfId="0" applyFont="1" applyFill="1" applyAlignment="1" applyProtection="1">
      <alignment horizontal="left"/>
      <protection hidden="1"/>
    </xf>
    <xf numFmtId="0" fontId="17" fillId="46" borderId="0" xfId="0" applyFont="1" applyFill="1" applyProtection="1">
      <protection hidden="1"/>
    </xf>
    <xf numFmtId="3" fontId="150" fillId="46" borderId="0" xfId="0" applyNumberFormat="1" applyFont="1" applyFill="1" applyAlignment="1" applyProtection="1">
      <alignment horizontal="center"/>
      <protection hidden="1"/>
    </xf>
    <xf numFmtId="0" fontId="206" fillId="16" borderId="12" xfId="0" applyFont="1" applyFill="1" applyBorder="1" applyAlignment="1" applyProtection="1">
      <alignment horizontal="center" vertical="center" wrapText="1"/>
      <protection hidden="1"/>
    </xf>
    <xf numFmtId="0" fontId="61" fillId="46" borderId="0" xfId="0" applyFont="1" applyFill="1" applyAlignment="1" applyProtection="1">
      <alignment horizontal="center"/>
      <protection hidden="1"/>
    </xf>
    <xf numFmtId="0" fontId="61" fillId="0" borderId="0" xfId="0" applyFont="1" applyAlignment="1" applyProtection="1">
      <alignment horizontal="left"/>
      <protection hidden="1"/>
    </xf>
    <xf numFmtId="0" fontId="207" fillId="46" borderId="0" xfId="0" applyFont="1" applyFill="1" applyProtection="1">
      <protection hidden="1"/>
    </xf>
    <xf numFmtId="0" fontId="12" fillId="0" borderId="12" xfId="0" applyFont="1" applyBorder="1"/>
    <xf numFmtId="3" fontId="190" fillId="46" borderId="0" xfId="2" applyNumberFormat="1" applyFont="1" applyFill="1" applyAlignment="1" applyProtection="1">
      <alignment horizontal="right"/>
      <protection hidden="1"/>
    </xf>
    <xf numFmtId="3" fontId="22" fillId="52" borderId="12" xfId="0" applyNumberFormat="1" applyFont="1" applyFill="1" applyBorder="1" applyAlignment="1" applyProtection="1">
      <alignment vertical="center" wrapText="1"/>
      <protection hidden="1"/>
    </xf>
    <xf numFmtId="3" fontId="17" fillId="46" borderId="0" xfId="0" applyNumberFormat="1" applyFont="1" applyFill="1" applyProtection="1">
      <protection hidden="1"/>
    </xf>
    <xf numFmtId="3" fontId="206" fillId="16" borderId="12" xfId="0" applyNumberFormat="1" applyFont="1" applyFill="1" applyBorder="1" applyAlignment="1" applyProtection="1">
      <alignment vertical="center" wrapText="1"/>
      <protection hidden="1"/>
    </xf>
    <xf numFmtId="3" fontId="440" fillId="46" borderId="0" xfId="0" applyNumberFormat="1" applyFont="1" applyFill="1" applyProtection="1">
      <protection hidden="1"/>
    </xf>
    <xf numFmtId="3" fontId="12" fillId="46" borderId="0" xfId="0" applyNumberFormat="1" applyFont="1" applyFill="1" applyAlignment="1" applyProtection="1">
      <alignment horizontal="left"/>
      <protection hidden="1"/>
    </xf>
    <xf numFmtId="0" fontId="194" fillId="46" borderId="0" xfId="0" applyFont="1" applyFill="1" applyProtection="1">
      <protection hidden="1"/>
    </xf>
    <xf numFmtId="0" fontId="12" fillId="46" borderId="0" xfId="0" applyFont="1" applyFill="1" applyAlignment="1" applyProtection="1">
      <alignment horizontal="right"/>
      <protection hidden="1"/>
    </xf>
    <xf numFmtId="0" fontId="22" fillId="2" borderId="8" xfId="0" applyFont="1" applyFill="1" applyBorder="1" applyAlignment="1" applyProtection="1">
      <alignment horizontal="center"/>
      <protection hidden="1"/>
    </xf>
    <xf numFmtId="0" fontId="12" fillId="3" borderId="9" xfId="0" applyFont="1" applyFill="1" applyBorder="1" applyAlignment="1" applyProtection="1">
      <alignment horizontal="left" vertical="center"/>
      <protection hidden="1"/>
    </xf>
    <xf numFmtId="166" fontId="22" fillId="0" borderId="21" xfId="0" applyNumberFormat="1" applyFont="1" applyBorder="1" applyProtection="1">
      <protection locked="0"/>
    </xf>
    <xf numFmtId="0" fontId="441" fillId="46" borderId="0" xfId="0" applyFont="1" applyFill="1" applyAlignment="1" applyProtection="1">
      <alignment horizontal="left"/>
      <protection hidden="1"/>
    </xf>
    <xf numFmtId="3" fontId="12" fillId="46" borderId="0" xfId="0" applyNumberFormat="1" applyFont="1" applyFill="1" applyAlignment="1" applyProtection="1">
      <alignment horizontal="right"/>
      <protection hidden="1"/>
    </xf>
    <xf numFmtId="0" fontId="150" fillId="2" borderId="7" xfId="0" applyFont="1" applyFill="1" applyBorder="1" applyAlignment="1" applyProtection="1">
      <alignment horizontal="left" vertical="center"/>
      <protection hidden="1"/>
    </xf>
    <xf numFmtId="0" fontId="17" fillId="2" borderId="9" xfId="0" applyFont="1" applyFill="1" applyBorder="1" applyAlignment="1" applyProtection="1">
      <alignment vertical="center" wrapText="1"/>
      <protection hidden="1"/>
    </xf>
    <xf numFmtId="0" fontId="150" fillId="0" borderId="0" xfId="0" applyFont="1" applyAlignment="1" applyProtection="1">
      <alignment vertical="center" wrapText="1"/>
      <protection hidden="1"/>
    </xf>
    <xf numFmtId="0" fontId="19" fillId="0" borderId="0" xfId="0" applyFont="1" applyAlignment="1" applyProtection="1">
      <alignment horizontal="right" vertical="center"/>
      <protection hidden="1"/>
    </xf>
    <xf numFmtId="0" fontId="17" fillId="0" borderId="0" xfId="0" applyFont="1" applyAlignment="1" applyProtection="1">
      <alignment horizontal="right" vertical="center"/>
      <protection hidden="1"/>
    </xf>
    <xf numFmtId="0" fontId="17" fillId="0" borderId="0" xfId="0" applyFont="1" applyAlignment="1" applyProtection="1">
      <alignment vertical="center" wrapText="1"/>
      <protection hidden="1"/>
    </xf>
    <xf numFmtId="0" fontId="150" fillId="0" borderId="0" xfId="0" applyFont="1" applyAlignment="1" applyProtection="1">
      <alignment horizontal="right" vertical="center"/>
      <protection hidden="1"/>
    </xf>
    <xf numFmtId="0" fontId="443" fillId="0" borderId="0" xfId="0" applyFont="1" applyProtection="1">
      <protection hidden="1"/>
    </xf>
    <xf numFmtId="0" fontId="2" fillId="0" borderId="0" xfId="6" applyFont="1" applyProtection="1">
      <protection hidden="1"/>
    </xf>
    <xf numFmtId="10" fontId="313" fillId="0" borderId="12" xfId="3" applyNumberFormat="1" applyFont="1" applyFill="1" applyBorder="1" applyProtection="1">
      <protection locked="0"/>
    </xf>
    <xf numFmtId="0" fontId="2" fillId="0" borderId="0" xfId="6" applyFont="1" applyAlignment="1" applyProtection="1">
      <alignment horizontal="right"/>
      <protection hidden="1"/>
    </xf>
    <xf numFmtId="0" fontId="2" fillId="0" borderId="12" xfId="6" applyFont="1" applyBorder="1" applyProtection="1">
      <protection hidden="1"/>
    </xf>
    <xf numFmtId="0" fontId="12" fillId="0" borderId="21" xfId="6" applyFont="1" applyBorder="1" applyProtection="1">
      <protection hidden="1"/>
    </xf>
    <xf numFmtId="0" fontId="12" fillId="0" borderId="18" xfId="6" applyFont="1" applyBorder="1" applyProtection="1">
      <protection hidden="1"/>
    </xf>
    <xf numFmtId="0" fontId="442" fillId="46" borderId="9" xfId="0" applyFont="1" applyFill="1" applyBorder="1" applyAlignment="1" applyProtection="1">
      <alignment horizontal="right" vertical="top" wrapText="1"/>
      <protection hidden="1"/>
    </xf>
    <xf numFmtId="166" fontId="320" fillId="0" borderId="0" xfId="0" applyNumberFormat="1" applyFont="1" applyProtection="1">
      <protection hidden="1"/>
    </xf>
    <xf numFmtId="0" fontId="22" fillId="17" borderId="0" xfId="0" applyFont="1" applyFill="1" applyProtection="1">
      <protection hidden="1"/>
    </xf>
    <xf numFmtId="0" fontId="444" fillId="17" borderId="0" xfId="0" applyFont="1" applyFill="1" applyProtection="1">
      <protection hidden="1"/>
    </xf>
    <xf numFmtId="0" fontId="445" fillId="37" borderId="0" xfId="0" applyFont="1" applyFill="1" applyProtection="1">
      <protection hidden="1"/>
    </xf>
    <xf numFmtId="0" fontId="12" fillId="19" borderId="21" xfId="0" applyFont="1" applyFill="1" applyBorder="1" applyAlignment="1" applyProtection="1">
      <alignment horizontal="center" vertical="center" wrapText="1"/>
      <protection hidden="1"/>
    </xf>
    <xf numFmtId="0" fontId="12" fillId="19" borderId="21" xfId="0" applyFont="1" applyFill="1" applyBorder="1" applyAlignment="1" applyProtection="1">
      <alignment horizontal="center" vertical="center"/>
      <protection hidden="1"/>
    </xf>
    <xf numFmtId="0" fontId="188" fillId="41" borderId="56" xfId="0" applyFont="1" applyFill="1" applyBorder="1" applyAlignment="1" applyProtection="1">
      <alignment horizontal="center" vertical="center"/>
      <protection locked="0"/>
    </xf>
    <xf numFmtId="166" fontId="17" fillId="0" borderId="12" xfId="16" applyNumberFormat="1" applyFont="1" applyFill="1" applyBorder="1" applyAlignment="1" applyProtection="1">
      <alignment horizontal="right"/>
      <protection locked="0"/>
    </xf>
    <xf numFmtId="184" fontId="17" fillId="0" borderId="12" xfId="16" applyNumberFormat="1" applyFont="1" applyFill="1" applyBorder="1" applyAlignment="1" applyProtection="1">
      <alignment horizontal="center"/>
      <protection locked="0"/>
    </xf>
    <xf numFmtId="166" fontId="17" fillId="19" borderId="12" xfId="16" applyNumberFormat="1" applyFont="1" applyFill="1" applyBorder="1" applyAlignment="1" applyProtection="1">
      <alignment horizontal="right"/>
      <protection hidden="1"/>
    </xf>
    <xf numFmtId="0" fontId="12" fillId="19" borderId="9" xfId="0" applyFont="1" applyFill="1" applyBorder="1" applyProtection="1">
      <protection hidden="1"/>
    </xf>
    <xf numFmtId="0" fontId="12" fillId="19" borderId="7" xfId="0" applyFont="1" applyFill="1" applyBorder="1" applyProtection="1">
      <protection hidden="1"/>
    </xf>
    <xf numFmtId="3" fontId="188" fillId="0" borderId="48" xfId="0" applyNumberFormat="1" applyFont="1" applyBorder="1" applyProtection="1">
      <protection hidden="1"/>
    </xf>
    <xf numFmtId="0" fontId="188" fillId="0" borderId="49" xfId="0" applyFont="1" applyBorder="1" applyProtection="1">
      <protection hidden="1"/>
    </xf>
    <xf numFmtId="0" fontId="378" fillId="0" borderId="54" xfId="0" applyFont="1" applyBorder="1" applyProtection="1">
      <protection hidden="1"/>
    </xf>
    <xf numFmtId="0" fontId="22" fillId="53" borderId="8" xfId="1" applyFont="1" applyFill="1" applyBorder="1" applyAlignment="1" applyProtection="1">
      <alignment horizontal="right" vertical="center"/>
      <protection hidden="1"/>
    </xf>
    <xf numFmtId="166" fontId="17" fillId="0" borderId="12" xfId="0" applyNumberFormat="1" applyFont="1" applyBorder="1" applyAlignment="1" applyProtection="1">
      <alignment horizontal="right" vertical="center"/>
      <protection locked="0"/>
    </xf>
    <xf numFmtId="0" fontId="12" fillId="19" borderId="12" xfId="0" applyFont="1" applyFill="1" applyBorder="1" applyAlignment="1" applyProtection="1">
      <alignment horizontal="center" vertical="center"/>
      <protection hidden="1"/>
    </xf>
    <xf numFmtId="0" fontId="222" fillId="0" borderId="0" xfId="16" applyNumberFormat="1" applyFont="1" applyProtection="1">
      <protection hidden="1"/>
    </xf>
    <xf numFmtId="0" fontId="411" fillId="38" borderId="45" xfId="0" applyFont="1" applyFill="1" applyBorder="1" applyProtection="1">
      <protection hidden="1"/>
    </xf>
    <xf numFmtId="0" fontId="411" fillId="38" borderId="48" xfId="0" applyFont="1" applyFill="1" applyBorder="1" applyProtection="1">
      <protection hidden="1"/>
    </xf>
    <xf numFmtId="0" fontId="222" fillId="42" borderId="0" xfId="0" applyFont="1" applyFill="1" applyAlignment="1" applyProtection="1">
      <alignment horizontal="left" vertical="center" wrapText="1"/>
      <protection hidden="1"/>
    </xf>
    <xf numFmtId="3" fontId="188" fillId="0" borderId="12" xfId="0" applyNumberFormat="1" applyFont="1" applyBorder="1" applyAlignment="1" applyProtection="1">
      <alignment horizontal="right" vertical="center"/>
      <protection locked="0"/>
    </xf>
    <xf numFmtId="166" fontId="188" fillId="0" borderId="12" xfId="0" applyNumberFormat="1" applyFont="1" applyBorder="1" applyAlignment="1" applyProtection="1">
      <alignment horizontal="right" vertical="center"/>
      <protection locked="0"/>
    </xf>
    <xf numFmtId="166" fontId="188" fillId="38" borderId="55" xfId="0" applyNumberFormat="1" applyFont="1" applyFill="1" applyBorder="1" applyAlignment="1" applyProtection="1">
      <alignment horizontal="right" vertical="center"/>
      <protection hidden="1"/>
    </xf>
    <xf numFmtId="3" fontId="188" fillId="38" borderId="55" xfId="0" applyNumberFormat="1" applyFont="1" applyFill="1" applyBorder="1" applyAlignment="1" applyProtection="1">
      <alignment horizontal="right" vertical="center"/>
      <protection hidden="1"/>
    </xf>
    <xf numFmtId="187" fontId="222" fillId="0" borderId="0" xfId="16" applyNumberFormat="1" applyFont="1" applyProtection="1">
      <protection hidden="1"/>
    </xf>
    <xf numFmtId="3" fontId="188" fillId="0" borderId="0" xfId="0" applyNumberFormat="1" applyFont="1" applyProtection="1">
      <protection hidden="1"/>
    </xf>
    <xf numFmtId="186" fontId="182" fillId="20" borderId="0" xfId="0" quotePrefix="1" applyNumberFormat="1" applyFont="1" applyFill="1" applyAlignment="1" applyProtection="1">
      <alignment horizontal="left" vertical="top"/>
      <protection hidden="1"/>
    </xf>
    <xf numFmtId="3" fontId="22" fillId="38" borderId="59" xfId="1" applyNumberFormat="1" applyFont="1" applyFill="1" applyBorder="1" applyAlignment="1" applyProtection="1">
      <alignment horizontal="right" vertical="center"/>
      <protection hidden="1"/>
    </xf>
    <xf numFmtId="0" fontId="190" fillId="37" borderId="0" xfId="1" applyFont="1" applyFill="1" applyAlignment="1" applyProtection="1">
      <alignment horizontal="right"/>
      <protection hidden="1"/>
    </xf>
    <xf numFmtId="0" fontId="17" fillId="20" borderId="12" xfId="0" applyFont="1" applyFill="1" applyBorder="1" applyAlignment="1" applyProtection="1">
      <alignment horizontal="left"/>
      <protection hidden="1"/>
    </xf>
    <xf numFmtId="0" fontId="207" fillId="2" borderId="0" xfId="0" applyFont="1" applyFill="1" applyProtection="1">
      <protection hidden="1"/>
    </xf>
    <xf numFmtId="3" fontId="447" fillId="46" borderId="0" xfId="2" applyNumberFormat="1" applyFont="1" applyFill="1" applyAlignment="1" applyProtection="1">
      <alignment horizontal="right"/>
      <protection hidden="1"/>
    </xf>
    <xf numFmtId="3" fontId="448" fillId="46" borderId="0" xfId="0" applyNumberFormat="1" applyFont="1" applyFill="1" applyProtection="1">
      <protection hidden="1"/>
    </xf>
    <xf numFmtId="165" fontId="282" fillId="0" borderId="12" xfId="0" applyNumberFormat="1" applyFont="1" applyBorder="1" applyAlignment="1" applyProtection="1">
      <alignment horizontal="right" vertical="center" wrapText="1"/>
      <protection locked="0"/>
    </xf>
    <xf numFmtId="0" fontId="17" fillId="2" borderId="21" xfId="0" applyFont="1" applyFill="1" applyBorder="1" applyAlignment="1" applyProtection="1">
      <alignment horizontal="center" vertical="center" wrapText="1"/>
      <protection hidden="1"/>
    </xf>
    <xf numFmtId="0" fontId="17" fillId="2" borderId="20" xfId="0" applyFont="1" applyFill="1" applyBorder="1" applyAlignment="1" applyProtection="1">
      <alignment horizontal="center" vertical="center" wrapText="1"/>
      <protection hidden="1"/>
    </xf>
    <xf numFmtId="0" fontId="17" fillId="2" borderId="18" xfId="0" applyFont="1" applyFill="1" applyBorder="1" applyAlignment="1" applyProtection="1">
      <alignment horizontal="center" vertical="center" wrapText="1"/>
      <protection hidden="1"/>
    </xf>
    <xf numFmtId="0" fontId="69" fillId="0" borderId="0" xfId="0" applyFont="1" applyAlignment="1" applyProtection="1">
      <alignment horizontal="left" vertical="center" wrapText="1"/>
      <protection hidden="1"/>
    </xf>
    <xf numFmtId="0" fontId="19" fillId="24" borderId="0" xfId="0" applyFont="1" applyFill="1" applyProtection="1">
      <protection hidden="1"/>
    </xf>
    <xf numFmtId="0" fontId="450" fillId="17" borderId="0" xfId="0" applyFont="1" applyFill="1" applyAlignment="1" applyProtection="1">
      <alignment horizontal="right"/>
      <protection hidden="1"/>
    </xf>
    <xf numFmtId="0" fontId="282" fillId="0" borderId="12" xfId="0" applyFont="1" applyBorder="1" applyAlignment="1" applyProtection="1">
      <alignment vertical="center"/>
      <protection locked="0"/>
    </xf>
    <xf numFmtId="10" fontId="17" fillId="5" borderId="12" xfId="0" applyNumberFormat="1" applyFont="1" applyFill="1" applyBorder="1" applyAlignment="1" applyProtection="1">
      <alignment horizontal="center" vertical="center"/>
      <protection hidden="1"/>
    </xf>
    <xf numFmtId="9" fontId="12" fillId="0" borderId="12" xfId="0" applyNumberFormat="1" applyFont="1" applyBorder="1" applyAlignment="1" applyProtection="1">
      <alignment horizontal="center" vertical="center" wrapText="1"/>
      <protection hidden="1"/>
    </xf>
    <xf numFmtId="0" fontId="269" fillId="20" borderId="9" xfId="0" applyFont="1" applyFill="1" applyBorder="1" applyAlignment="1" applyProtection="1">
      <alignment horizontal="left"/>
      <protection hidden="1"/>
    </xf>
    <xf numFmtId="0" fontId="269" fillId="20" borderId="7" xfId="0" applyFont="1" applyFill="1" applyBorder="1" applyProtection="1">
      <protection hidden="1"/>
    </xf>
    <xf numFmtId="0" fontId="269" fillId="20" borderId="8" xfId="0" applyFont="1" applyFill="1" applyBorder="1" applyProtection="1">
      <protection hidden="1"/>
    </xf>
    <xf numFmtId="0" fontId="17" fillId="20" borderId="7" xfId="0" applyFont="1" applyFill="1" applyBorder="1" applyAlignment="1" applyProtection="1">
      <alignment horizontal="center" vertical="center"/>
      <protection hidden="1"/>
    </xf>
    <xf numFmtId="14" fontId="0" fillId="0" borderId="12" xfId="0" applyNumberFormat="1" applyBorder="1" applyProtection="1">
      <protection hidden="1"/>
    </xf>
    <xf numFmtId="0" fontId="300" fillId="20" borderId="0" xfId="0" applyFont="1" applyFill="1" applyAlignment="1" applyProtection="1">
      <alignment horizontal="left"/>
      <protection hidden="1"/>
    </xf>
    <xf numFmtId="0" fontId="312" fillId="20" borderId="0" xfId="0" applyFont="1" applyFill="1" applyAlignment="1" applyProtection="1">
      <alignment horizontal="left" vertical="center"/>
      <protection hidden="1"/>
    </xf>
    <xf numFmtId="0" fontId="355" fillId="20" borderId="0" xfId="0" applyFont="1" applyFill="1" applyAlignment="1" applyProtection="1">
      <alignment horizontal="left" vertical="center"/>
      <protection hidden="1"/>
    </xf>
    <xf numFmtId="0" fontId="370" fillId="0" borderId="12" xfId="0" applyFont="1" applyBorder="1" applyAlignment="1" applyProtection="1">
      <alignment wrapText="1"/>
      <protection hidden="1"/>
    </xf>
    <xf numFmtId="3" fontId="370" fillId="0" borderId="12" xfId="0" applyNumberFormat="1" applyFont="1" applyBorder="1" applyAlignment="1" applyProtection="1">
      <alignment wrapText="1"/>
      <protection hidden="1"/>
    </xf>
    <xf numFmtId="0" fontId="370" fillId="0" borderId="0" xfId="0" applyFont="1" applyAlignment="1" applyProtection="1">
      <alignment horizontal="center" wrapText="1"/>
      <protection hidden="1"/>
    </xf>
    <xf numFmtId="0" fontId="313" fillId="0" borderId="12" xfId="0" applyFont="1" applyBorder="1" applyAlignment="1" applyProtection="1">
      <alignment horizontal="center" vertical="center" wrapText="1"/>
      <protection hidden="1"/>
    </xf>
    <xf numFmtId="0" fontId="300" fillId="50" borderId="12" xfId="0" applyFont="1" applyFill="1" applyBorder="1" applyAlignment="1" applyProtection="1">
      <alignment horizontal="center"/>
      <protection locked="0"/>
    </xf>
    <xf numFmtId="0" fontId="313" fillId="16" borderId="10" xfId="0" applyFont="1" applyFill="1" applyBorder="1" applyAlignment="1" applyProtection="1">
      <alignment horizontal="right" vertical="center" wrapText="1"/>
      <protection hidden="1"/>
    </xf>
    <xf numFmtId="3" fontId="313" fillId="0" borderId="10" xfId="0" applyNumberFormat="1" applyFont="1" applyBorder="1" applyProtection="1">
      <protection hidden="1"/>
    </xf>
    <xf numFmtId="0" fontId="313" fillId="0" borderId="10" xfId="0" applyFont="1" applyBorder="1" applyProtection="1">
      <protection hidden="1"/>
    </xf>
    <xf numFmtId="0" fontId="313" fillId="16" borderId="0" xfId="0" applyFont="1" applyFill="1" applyAlignment="1" applyProtection="1">
      <alignment horizontal="right" vertical="center" wrapText="1"/>
      <protection hidden="1"/>
    </xf>
    <xf numFmtId="3" fontId="313" fillId="0" borderId="10" xfId="0" applyNumberFormat="1" applyFont="1" applyBorder="1" applyAlignment="1" applyProtection="1">
      <alignment horizontal="right" vertical="center" wrapText="1"/>
      <protection hidden="1"/>
    </xf>
    <xf numFmtId="3" fontId="313" fillId="16" borderId="10" xfId="0" quotePrefix="1" applyNumberFormat="1" applyFont="1" applyFill="1" applyBorder="1" applyAlignment="1" applyProtection="1">
      <alignment horizontal="right" vertical="center" wrapText="1"/>
      <protection hidden="1"/>
    </xf>
    <xf numFmtId="3" fontId="313" fillId="0" borderId="0" xfId="0" applyNumberFormat="1" applyFont="1" applyAlignment="1" applyProtection="1">
      <alignment horizontal="right" vertical="center" wrapText="1"/>
      <protection hidden="1"/>
    </xf>
    <xf numFmtId="3" fontId="313" fillId="16" borderId="0" xfId="0" quotePrefix="1" applyNumberFormat="1" applyFont="1" applyFill="1" applyAlignment="1" applyProtection="1">
      <alignment horizontal="right" vertical="center" wrapText="1"/>
      <protection hidden="1"/>
    </xf>
    <xf numFmtId="0" fontId="371" fillId="20" borderId="0" xfId="17" applyFont="1" applyFill="1" applyAlignment="1" applyProtection="1">
      <protection hidden="1"/>
    </xf>
    <xf numFmtId="0" fontId="281" fillId="20" borderId="0" xfId="17" applyFont="1" applyFill="1" applyAlignment="1" applyProtection="1">
      <alignment horizontal="center"/>
      <protection hidden="1"/>
    </xf>
    <xf numFmtId="0" fontId="299" fillId="20" borderId="0" xfId="17" applyFont="1" applyFill="1" applyAlignment="1" applyProtection="1">
      <protection hidden="1"/>
    </xf>
    <xf numFmtId="0" fontId="1" fillId="20" borderId="0" xfId="0" applyFont="1" applyFill="1" applyProtection="1">
      <protection hidden="1"/>
    </xf>
    <xf numFmtId="0" fontId="1" fillId="0" borderId="0" xfId="0" applyFont="1" applyProtection="1">
      <protection hidden="1"/>
    </xf>
    <xf numFmtId="0" fontId="283" fillId="0" borderId="0" xfId="0" applyFont="1" applyAlignment="1" applyProtection="1">
      <alignment horizontal="center" wrapText="1"/>
      <protection hidden="1"/>
    </xf>
    <xf numFmtId="0" fontId="1" fillId="36" borderId="19" xfId="0" applyFont="1" applyFill="1" applyBorder="1" applyProtection="1">
      <protection hidden="1"/>
    </xf>
    <xf numFmtId="0" fontId="1" fillId="36" borderId="10" xfId="0" applyFont="1" applyFill="1" applyBorder="1" applyProtection="1">
      <protection hidden="1"/>
    </xf>
    <xf numFmtId="0" fontId="1" fillId="36" borderId="3" xfId="0" applyFont="1" applyFill="1" applyBorder="1" applyProtection="1">
      <protection hidden="1"/>
    </xf>
    <xf numFmtId="0" fontId="1" fillId="36" borderId="4" xfId="0" applyFont="1" applyFill="1" applyBorder="1" applyProtection="1">
      <protection hidden="1"/>
    </xf>
    <xf numFmtId="0" fontId="1" fillId="36" borderId="5" xfId="0" applyFont="1" applyFill="1" applyBorder="1" applyProtection="1">
      <protection hidden="1"/>
    </xf>
    <xf numFmtId="0" fontId="1" fillId="36" borderId="6" xfId="0" applyFont="1" applyFill="1" applyBorder="1" applyProtection="1">
      <protection hidden="1"/>
    </xf>
    <xf numFmtId="0" fontId="1" fillId="0" borderId="0" xfId="0" applyFont="1" applyAlignment="1" applyProtection="1">
      <alignment horizontal="right"/>
      <protection hidden="1"/>
    </xf>
    <xf numFmtId="0" fontId="283" fillId="20" borderId="0" xfId="0" applyFont="1" applyFill="1" applyProtection="1">
      <protection hidden="1"/>
    </xf>
    <xf numFmtId="0" fontId="439" fillId="20" borderId="0" xfId="0" applyFont="1" applyFill="1" applyAlignment="1" applyProtection="1">
      <alignment vertical="center" wrapText="1"/>
      <protection hidden="1"/>
    </xf>
    <xf numFmtId="0" fontId="370" fillId="0" borderId="0" xfId="0" applyFont="1" applyAlignment="1" applyProtection="1">
      <alignment horizontal="right"/>
      <protection hidden="1"/>
    </xf>
    <xf numFmtId="3" fontId="1" fillId="0" borderId="0" xfId="0" applyNumberFormat="1" applyFont="1" applyProtection="1">
      <protection hidden="1"/>
    </xf>
    <xf numFmtId="0" fontId="1" fillId="20" borderId="0" xfId="0" applyFont="1" applyFill="1" applyAlignment="1" applyProtection="1">
      <alignment horizontal="right"/>
      <protection hidden="1"/>
    </xf>
    <xf numFmtId="0" fontId="453" fillId="20" borderId="0" xfId="0" applyFont="1" applyFill="1" applyAlignment="1" applyProtection="1">
      <alignment horizontal="center"/>
      <protection hidden="1"/>
    </xf>
    <xf numFmtId="0" fontId="276" fillId="20" borderId="0" xfId="0" applyFont="1" applyFill="1" applyAlignment="1" applyProtection="1">
      <alignment horizontal="left"/>
      <protection hidden="1"/>
    </xf>
    <xf numFmtId="0" fontId="372" fillId="20" borderId="0" xfId="0" applyFont="1" applyFill="1" applyAlignment="1" applyProtection="1">
      <alignment horizontal="left"/>
      <protection hidden="1"/>
    </xf>
    <xf numFmtId="0" fontId="373" fillId="20" borderId="0" xfId="0" applyFont="1" applyFill="1" applyAlignment="1" applyProtection="1">
      <alignment horizontal="right"/>
      <protection hidden="1"/>
    </xf>
    <xf numFmtId="0" fontId="12" fillId="28" borderId="12" xfId="0" applyFont="1" applyFill="1" applyBorder="1" applyAlignment="1" applyProtection="1">
      <alignment horizontal="center"/>
      <protection locked="0"/>
    </xf>
    <xf numFmtId="3" fontId="207" fillId="2" borderId="2" xfId="0" applyNumberFormat="1" applyFont="1" applyFill="1" applyBorder="1" applyAlignment="1" applyProtection="1">
      <alignment horizontal="left" vertical="center"/>
      <protection hidden="1"/>
    </xf>
    <xf numFmtId="14" fontId="222" fillId="0" borderId="59" xfId="0" applyNumberFormat="1" applyFont="1" applyBorder="1" applyProtection="1">
      <protection hidden="1"/>
    </xf>
    <xf numFmtId="0" fontId="222" fillId="0" borderId="1" xfId="0" applyFont="1" applyBorder="1" applyProtection="1">
      <protection hidden="1"/>
    </xf>
    <xf numFmtId="14" fontId="222" fillId="0" borderId="2" xfId="0" quotePrefix="1" applyNumberFormat="1" applyFont="1" applyBorder="1" applyProtection="1">
      <protection hidden="1"/>
    </xf>
    <xf numFmtId="0" fontId="222" fillId="0" borderId="2" xfId="0" applyFont="1" applyBorder="1" applyProtection="1">
      <protection hidden="1"/>
    </xf>
    <xf numFmtId="0" fontId="222" fillId="0" borderId="2" xfId="0" quotePrefix="1" applyFont="1" applyBorder="1" applyProtection="1">
      <protection hidden="1"/>
    </xf>
    <xf numFmtId="3" fontId="222" fillId="0" borderId="2" xfId="0" quotePrefix="1" applyNumberFormat="1" applyFont="1" applyBorder="1" applyProtection="1">
      <protection hidden="1"/>
    </xf>
    <xf numFmtId="0" fontId="222" fillId="0" borderId="4" xfId="0" applyFont="1" applyBorder="1" applyProtection="1">
      <protection hidden="1"/>
    </xf>
    <xf numFmtId="0" fontId="222" fillId="0" borderId="5" xfId="0" applyFont="1" applyBorder="1" applyAlignment="1" applyProtection="1">
      <alignment horizontal="right"/>
      <protection hidden="1"/>
    </xf>
    <xf numFmtId="3" fontId="222" fillId="0" borderId="6" xfId="0" quotePrefix="1" applyNumberFormat="1" applyFont="1" applyBorder="1" applyProtection="1">
      <protection hidden="1"/>
    </xf>
    <xf numFmtId="0" fontId="222" fillId="0" borderId="19" xfId="0" applyFont="1" applyBorder="1" applyAlignment="1" applyProtection="1">
      <alignment horizontal="right"/>
      <protection hidden="1"/>
    </xf>
    <xf numFmtId="177" fontId="222" fillId="0" borderId="3" xfId="2" quotePrefix="1" applyNumberFormat="1" applyFont="1" applyFill="1" applyBorder="1" applyProtection="1">
      <protection hidden="1"/>
    </xf>
    <xf numFmtId="0" fontId="222" fillId="0" borderId="4" xfId="0" applyFont="1" applyBorder="1" applyAlignment="1" applyProtection="1">
      <alignment horizontal="right"/>
      <protection hidden="1"/>
    </xf>
    <xf numFmtId="177" fontId="222" fillId="0" borderId="6" xfId="2" quotePrefix="1" applyNumberFormat="1" applyFont="1" applyFill="1" applyBorder="1" applyProtection="1">
      <protection hidden="1"/>
    </xf>
    <xf numFmtId="177" fontId="222" fillId="0" borderId="0" xfId="2" quotePrefix="1" applyNumberFormat="1" applyFont="1" applyFill="1" applyProtection="1">
      <protection hidden="1"/>
    </xf>
    <xf numFmtId="0" fontId="222" fillId="37" borderId="0" xfId="0" quotePrefix="1" applyFont="1" applyFill="1" applyProtection="1">
      <protection hidden="1"/>
    </xf>
    <xf numFmtId="0" fontId="12" fillId="0" borderId="12" xfId="0" applyFont="1" applyBorder="1" applyAlignment="1" applyProtection="1">
      <alignment horizontal="center" vertical="center" wrapText="1"/>
      <protection hidden="1"/>
    </xf>
    <xf numFmtId="184" fontId="0" fillId="0" borderId="0" xfId="0" applyNumberFormat="1" applyProtection="1">
      <protection hidden="1"/>
    </xf>
    <xf numFmtId="0" fontId="445" fillId="37" borderId="0" xfId="0" applyFont="1" applyFill="1" applyAlignment="1" applyProtection="1">
      <alignment horizontal="left" vertical="center"/>
      <protection hidden="1"/>
    </xf>
    <xf numFmtId="14" fontId="17" fillId="0" borderId="12" xfId="0" applyNumberFormat="1" applyFont="1" applyBorder="1" applyAlignment="1" applyProtection="1">
      <alignment horizontal="left"/>
      <protection locked="0"/>
    </xf>
    <xf numFmtId="0" fontId="445" fillId="37" borderId="0" xfId="0" quotePrefix="1" applyFont="1" applyFill="1" applyProtection="1">
      <protection hidden="1"/>
    </xf>
    <xf numFmtId="0" fontId="222" fillId="0" borderId="0" xfId="0" quotePrefix="1" applyFont="1" applyProtection="1">
      <protection hidden="1"/>
    </xf>
    <xf numFmtId="0" fontId="445" fillId="37" borderId="0" xfId="0" applyFont="1" applyFill="1" applyAlignment="1" applyProtection="1">
      <alignment vertical="center"/>
      <protection hidden="1"/>
    </xf>
    <xf numFmtId="0" fontId="18" fillId="0" borderId="0" xfId="0" quotePrefix="1" applyFont="1" applyAlignment="1" applyProtection="1">
      <alignment horizontal="center"/>
      <protection hidden="1"/>
    </xf>
    <xf numFmtId="0" fontId="0" fillId="0" borderId="0" xfId="0" applyAlignment="1" applyProtection="1">
      <alignment wrapText="1"/>
      <protection hidden="1"/>
    </xf>
    <xf numFmtId="0" fontId="17" fillId="54" borderId="0" xfId="0" applyFont="1" applyFill="1" applyAlignment="1" applyProtection="1">
      <alignment horizontal="right"/>
      <protection hidden="1"/>
    </xf>
    <xf numFmtId="0" fontId="183" fillId="54" borderId="0" xfId="0" applyFont="1" applyFill="1" applyProtection="1">
      <protection hidden="1"/>
    </xf>
    <xf numFmtId="0" fontId="12" fillId="54" borderId="0" xfId="0" applyFont="1" applyFill="1" applyProtection="1">
      <protection hidden="1"/>
    </xf>
    <xf numFmtId="0" fontId="15" fillId="55" borderId="19" xfId="0" applyFont="1" applyFill="1" applyBorder="1" applyProtection="1">
      <protection hidden="1"/>
    </xf>
    <xf numFmtId="0" fontId="12" fillId="55" borderId="10" xfId="0" applyFont="1" applyFill="1" applyBorder="1" applyProtection="1">
      <protection hidden="1"/>
    </xf>
    <xf numFmtId="0" fontId="12" fillId="55" borderId="3" xfId="0" applyFont="1" applyFill="1" applyBorder="1" applyProtection="1">
      <protection hidden="1"/>
    </xf>
    <xf numFmtId="0" fontId="15" fillId="55" borderId="4" xfId="0" applyFont="1" applyFill="1" applyBorder="1" applyProtection="1">
      <protection hidden="1"/>
    </xf>
    <xf numFmtId="0" fontId="12" fillId="55" borderId="5" xfId="0" applyFont="1" applyFill="1" applyBorder="1" applyProtection="1">
      <protection hidden="1"/>
    </xf>
    <xf numFmtId="0" fontId="12" fillId="55" borderId="6" xfId="0" applyFont="1" applyFill="1" applyBorder="1" applyProtection="1">
      <protection hidden="1"/>
    </xf>
    <xf numFmtId="0" fontId="194" fillId="55" borderId="9" xfId="0" applyFont="1" applyFill="1" applyBorder="1" applyAlignment="1" applyProtection="1">
      <alignment vertical="center"/>
      <protection hidden="1"/>
    </xf>
    <xf numFmtId="0" fontId="12" fillId="55" borderId="8" xfId="0" applyFont="1" applyFill="1" applyBorder="1" applyProtection="1">
      <protection hidden="1"/>
    </xf>
    <xf numFmtId="0" fontId="12" fillId="55" borderId="7" xfId="0" applyFont="1" applyFill="1" applyBorder="1" applyProtection="1">
      <protection hidden="1"/>
    </xf>
    <xf numFmtId="0" fontId="17" fillId="54" borderId="0" xfId="0" applyFont="1" applyFill="1" applyAlignment="1" applyProtection="1">
      <alignment horizontal="left" vertical="center"/>
      <protection hidden="1"/>
    </xf>
    <xf numFmtId="0" fontId="22" fillId="54" borderId="0" xfId="0" applyFont="1" applyFill="1" applyAlignment="1" applyProtection="1">
      <alignment horizontal="left" vertical="center"/>
      <protection hidden="1"/>
    </xf>
    <xf numFmtId="0" fontId="406" fillId="56" borderId="0" xfId="0" quotePrefix="1" applyFont="1" applyFill="1" applyProtection="1">
      <protection hidden="1"/>
    </xf>
    <xf numFmtId="0" fontId="17" fillId="55" borderId="9" xfId="0" applyFont="1" applyFill="1" applyBorder="1" applyAlignment="1" applyProtection="1">
      <alignment horizontal="center" vertical="center" wrapText="1"/>
      <protection hidden="1"/>
    </xf>
    <xf numFmtId="0" fontId="17" fillId="55" borderId="9" xfId="0" applyFont="1" applyFill="1" applyBorder="1" applyAlignment="1" applyProtection="1">
      <alignment vertical="center" wrapText="1"/>
      <protection hidden="1"/>
    </xf>
    <xf numFmtId="0" fontId="17" fillId="55" borderId="12" xfId="0" applyFont="1" applyFill="1" applyBorder="1" applyAlignment="1" applyProtection="1">
      <alignment horizontal="center" vertical="center" wrapText="1"/>
      <protection hidden="1"/>
    </xf>
    <xf numFmtId="0" fontId="455" fillId="54" borderId="0" xfId="0" applyFont="1" applyFill="1" applyProtection="1">
      <protection hidden="1"/>
    </xf>
    <xf numFmtId="0" fontId="207" fillId="54" borderId="0" xfId="0" applyFont="1" applyFill="1" applyProtection="1">
      <protection hidden="1"/>
    </xf>
    <xf numFmtId="0" fontId="46" fillId="55" borderId="9" xfId="0" applyFont="1" applyFill="1" applyBorder="1" applyProtection="1">
      <protection hidden="1"/>
    </xf>
    <xf numFmtId="0" fontId="182" fillId="55" borderId="7" xfId="0" applyFont="1" applyFill="1" applyBorder="1" applyProtection="1">
      <protection hidden="1"/>
    </xf>
    <xf numFmtId="166" fontId="12" fillId="55" borderId="12" xfId="0" applyNumberFormat="1" applyFont="1" applyFill="1" applyBorder="1" applyProtection="1">
      <protection hidden="1"/>
    </xf>
    <xf numFmtId="0" fontId="456" fillId="54" borderId="0" xfId="0" applyFont="1" applyFill="1" applyProtection="1">
      <protection hidden="1"/>
    </xf>
    <xf numFmtId="3" fontId="438" fillId="54" borderId="0" xfId="0" applyNumberFormat="1" applyFont="1" applyFill="1" applyProtection="1">
      <protection hidden="1"/>
    </xf>
    <xf numFmtId="0" fontId="22" fillId="54" borderId="0" xfId="0" applyFont="1" applyFill="1" applyAlignment="1" applyProtection="1">
      <alignment vertical="center" wrapText="1"/>
      <protection hidden="1"/>
    </xf>
    <xf numFmtId="0" fontId="458" fillId="54" borderId="0" xfId="0" applyFont="1" applyFill="1" applyAlignment="1" applyProtection="1">
      <alignment horizontal="right"/>
      <protection hidden="1"/>
    </xf>
    <xf numFmtId="0" fontId="406" fillId="56" borderId="0" xfId="0" quotePrefix="1" applyFont="1" applyFill="1" applyAlignment="1" applyProtection="1">
      <alignment horizontal="left"/>
      <protection hidden="1"/>
    </xf>
    <xf numFmtId="0" fontId="183" fillId="0" borderId="0" xfId="6" quotePrefix="1" applyFont="1" applyProtection="1">
      <protection hidden="1"/>
    </xf>
    <xf numFmtId="0" fontId="190" fillId="23" borderId="0" xfId="17" applyFont="1" applyFill="1" applyAlignment="1" applyProtection="1">
      <alignment horizontal="right"/>
      <protection hidden="1"/>
    </xf>
    <xf numFmtId="0" fontId="457" fillId="54" borderId="0" xfId="0" applyFont="1" applyFill="1" applyAlignment="1" applyProtection="1">
      <alignment horizontal="right" vertical="top"/>
      <protection hidden="1"/>
    </xf>
    <xf numFmtId="49" fontId="17" fillId="0" borderId="12" xfId="0" applyNumberFormat="1" applyFont="1" applyBorder="1" applyAlignment="1" applyProtection="1">
      <alignment horizontal="left"/>
      <protection locked="0"/>
    </xf>
    <xf numFmtId="176" fontId="17" fillId="0" borderId="12" xfId="0" applyNumberFormat="1" applyFont="1" applyBorder="1" applyAlignment="1" applyProtection="1">
      <alignment horizontal="center"/>
      <protection locked="0"/>
    </xf>
    <xf numFmtId="0" fontId="459" fillId="0" borderId="0" xfId="0" applyFont="1" applyProtection="1">
      <protection hidden="1"/>
    </xf>
    <xf numFmtId="0" fontId="17" fillId="23" borderId="0" xfId="0" applyFont="1" applyFill="1" applyProtection="1">
      <protection hidden="1"/>
    </xf>
    <xf numFmtId="0" fontId="12" fillId="23" borderId="0" xfId="0" applyFont="1" applyFill="1" applyProtection="1">
      <protection hidden="1"/>
    </xf>
    <xf numFmtId="0" fontId="17" fillId="23" borderId="0" xfId="0" applyFont="1" applyFill="1" applyAlignment="1" applyProtection="1">
      <alignment horizontal="right"/>
      <protection hidden="1"/>
    </xf>
    <xf numFmtId="0" fontId="222" fillId="0" borderId="12" xfId="0" applyFont="1" applyBorder="1" applyAlignment="1" applyProtection="1">
      <alignment horizontal="center"/>
      <protection locked="0"/>
    </xf>
    <xf numFmtId="0" fontId="183" fillId="20" borderId="0" xfId="0" quotePrefix="1" applyFont="1" applyFill="1" applyAlignment="1" applyProtection="1">
      <alignment vertical="center"/>
      <protection hidden="1"/>
    </xf>
    <xf numFmtId="0" fontId="222" fillId="20" borderId="0" xfId="0" applyFont="1" applyFill="1" applyAlignment="1" applyProtection="1">
      <alignment horizontal="left" vertical="top" wrapText="1"/>
      <protection hidden="1"/>
    </xf>
    <xf numFmtId="0" fontId="188" fillId="20" borderId="0" xfId="0" applyFont="1" applyFill="1" applyAlignment="1" applyProtection="1">
      <alignment vertical="center"/>
      <protection hidden="1"/>
    </xf>
    <xf numFmtId="0" fontId="183" fillId="20" borderId="0" xfId="0" applyFont="1" applyFill="1" applyAlignment="1" applyProtection="1">
      <alignment vertical="center"/>
      <protection hidden="1"/>
    </xf>
    <xf numFmtId="0" fontId="188" fillId="37" borderId="0" xfId="0" applyFont="1" applyFill="1" applyAlignment="1" applyProtection="1">
      <alignment horizontal="left" vertical="top" wrapText="1"/>
      <protection hidden="1"/>
    </xf>
    <xf numFmtId="0" fontId="188" fillId="37" borderId="0" xfId="0" applyFont="1" applyFill="1" applyAlignment="1" applyProtection="1">
      <alignment horizontal="left" vertical="top"/>
      <protection hidden="1"/>
    </xf>
    <xf numFmtId="0" fontId="222" fillId="20" borderId="0" xfId="0" applyFont="1" applyFill="1" applyAlignment="1" applyProtection="1">
      <alignment vertical="center"/>
      <protection hidden="1"/>
    </xf>
    <xf numFmtId="0" fontId="188" fillId="16" borderId="12" xfId="0" applyFont="1" applyFill="1" applyBorder="1" applyAlignment="1" applyProtection="1">
      <alignment horizontal="center" vertical="center" wrapText="1"/>
      <protection hidden="1"/>
    </xf>
    <xf numFmtId="187" fontId="188" fillId="0" borderId="12" xfId="2" applyNumberFormat="1" applyFont="1" applyBorder="1" applyAlignment="1" applyProtection="1">
      <alignment horizontal="right"/>
      <protection locked="0"/>
    </xf>
    <xf numFmtId="0" fontId="17" fillId="57" borderId="0" xfId="0" applyFont="1" applyFill="1" applyProtection="1">
      <protection hidden="1"/>
    </xf>
    <xf numFmtId="166" fontId="188" fillId="16" borderId="12" xfId="2" applyNumberFormat="1" applyFont="1" applyFill="1" applyBorder="1" applyAlignment="1" applyProtection="1">
      <alignment horizontal="right" vertical="center" wrapText="1"/>
      <protection hidden="1"/>
    </xf>
    <xf numFmtId="0" fontId="461" fillId="20" borderId="0" xfId="0" applyFont="1" applyFill="1" applyProtection="1">
      <protection hidden="1"/>
    </xf>
    <xf numFmtId="0" fontId="17" fillId="58" borderId="0" xfId="0" applyFont="1" applyFill="1" applyProtection="1">
      <protection hidden="1"/>
    </xf>
    <xf numFmtId="0" fontId="12" fillId="58" borderId="0" xfId="0" applyFont="1" applyFill="1" applyProtection="1">
      <protection hidden="1"/>
    </xf>
    <xf numFmtId="0" fontId="0" fillId="0" borderId="12" xfId="0" applyBorder="1" applyAlignment="1" applyProtection="1">
      <alignment horizontal="center" wrapText="1"/>
      <protection hidden="1"/>
    </xf>
    <xf numFmtId="0" fontId="0" fillId="0" borderId="12" xfId="0" applyBorder="1" applyAlignment="1" applyProtection="1">
      <alignment horizontal="center"/>
      <protection hidden="1"/>
    </xf>
    <xf numFmtId="0" fontId="222" fillId="0" borderId="0" xfId="0" applyFont="1" applyAlignment="1" applyProtection="1">
      <alignment vertical="center"/>
      <protection hidden="1"/>
    </xf>
    <xf numFmtId="3" fontId="22" fillId="0" borderId="20" xfId="0" applyNumberFormat="1" applyFont="1" applyBorder="1" applyAlignment="1" applyProtection="1">
      <alignment vertical="center"/>
      <protection locked="0"/>
    </xf>
    <xf numFmtId="3" fontId="19" fillId="24" borderId="0" xfId="0" applyNumberFormat="1" applyFont="1" applyFill="1" applyProtection="1">
      <protection hidden="1"/>
    </xf>
    <xf numFmtId="0" fontId="190" fillId="55" borderId="7" xfId="1" applyFont="1" applyFill="1" applyBorder="1" applyAlignment="1" applyProtection="1">
      <alignment horizontal="right"/>
      <protection hidden="1"/>
    </xf>
    <xf numFmtId="0" fontId="19" fillId="3" borderId="12" xfId="0" applyFont="1" applyFill="1" applyBorder="1" applyAlignment="1" applyProtection="1">
      <alignment horizontal="center" vertical="center" wrapText="1"/>
      <protection hidden="1"/>
    </xf>
    <xf numFmtId="0" fontId="46" fillId="60" borderId="19" xfId="0" applyFont="1" applyFill="1" applyBorder="1" applyProtection="1">
      <protection hidden="1"/>
    </xf>
    <xf numFmtId="0" fontId="46" fillId="60" borderId="10" xfId="0" applyFont="1" applyFill="1" applyBorder="1" applyProtection="1">
      <protection hidden="1"/>
    </xf>
    <xf numFmtId="0" fontId="46" fillId="60" borderId="3" xfId="0" applyFont="1" applyFill="1" applyBorder="1" applyProtection="1">
      <protection hidden="1"/>
    </xf>
    <xf numFmtId="0" fontId="46" fillId="60" borderId="4" xfId="0" applyFont="1" applyFill="1" applyBorder="1" applyProtection="1">
      <protection hidden="1"/>
    </xf>
    <xf numFmtId="0" fontId="46" fillId="60" borderId="5" xfId="0" applyFont="1" applyFill="1" applyBorder="1" applyProtection="1">
      <protection hidden="1"/>
    </xf>
    <xf numFmtId="0" fontId="46" fillId="60" borderId="6" xfId="0" applyFont="1" applyFill="1" applyBorder="1" applyProtection="1">
      <protection hidden="1"/>
    </xf>
    <xf numFmtId="0" fontId="12" fillId="60" borderId="12" xfId="0" applyFont="1" applyFill="1" applyBorder="1" applyAlignment="1" applyProtection="1">
      <alignment horizontal="center" vertical="center" wrapText="1"/>
      <protection hidden="1"/>
    </xf>
    <xf numFmtId="0" fontId="12" fillId="60" borderId="12" xfId="0" applyFont="1" applyFill="1" applyBorder="1" applyAlignment="1" applyProtection="1">
      <alignment horizontal="center" vertical="center"/>
      <protection hidden="1"/>
    </xf>
    <xf numFmtId="166" fontId="17" fillId="60" borderId="12" xfId="0" applyNumberFormat="1" applyFont="1" applyFill="1" applyBorder="1" applyAlignment="1" applyProtection="1">
      <alignment horizontal="right"/>
      <protection hidden="1"/>
    </xf>
    <xf numFmtId="166" fontId="17" fillId="60" borderId="12" xfId="16" applyNumberFormat="1" applyFont="1" applyFill="1" applyBorder="1" applyAlignment="1" applyProtection="1">
      <alignment horizontal="right"/>
      <protection hidden="1"/>
    </xf>
    <xf numFmtId="166" fontId="17" fillId="60" borderId="12" xfId="0" applyNumberFormat="1" applyFont="1" applyFill="1" applyBorder="1" applyProtection="1">
      <protection hidden="1"/>
    </xf>
    <xf numFmtId="0" fontId="12" fillId="60" borderId="9" xfId="0" applyFont="1" applyFill="1" applyBorder="1" applyProtection="1">
      <protection hidden="1"/>
    </xf>
    <xf numFmtId="0" fontId="12" fillId="60" borderId="7" xfId="0" applyFont="1" applyFill="1" applyBorder="1" applyProtection="1">
      <protection hidden="1"/>
    </xf>
    <xf numFmtId="0" fontId="22" fillId="60" borderId="8" xfId="17" applyFont="1" applyFill="1" applyBorder="1" applyAlignment="1" applyProtection="1">
      <alignment horizontal="right" vertical="center"/>
      <protection hidden="1"/>
    </xf>
    <xf numFmtId="0" fontId="46" fillId="60" borderId="4" xfId="0" applyFont="1" applyFill="1" applyBorder="1" applyAlignment="1" applyProtection="1">
      <alignment horizontal="left"/>
      <protection hidden="1"/>
    </xf>
    <xf numFmtId="0" fontId="46" fillId="60" borderId="19" xfId="0" applyFont="1" applyFill="1" applyBorder="1" applyAlignment="1" applyProtection="1">
      <alignment horizontal="left"/>
      <protection hidden="1"/>
    </xf>
    <xf numFmtId="165" fontId="22" fillId="60" borderId="12" xfId="0" applyNumberFormat="1" applyFont="1" applyFill="1" applyBorder="1" applyAlignment="1" applyProtection="1">
      <alignment horizontal="right"/>
      <protection hidden="1"/>
    </xf>
    <xf numFmtId="0" fontId="431" fillId="20" borderId="0" xfId="0" applyFont="1" applyFill="1" applyAlignment="1" applyProtection="1">
      <alignment horizontal="left" vertical="top"/>
      <protection hidden="1"/>
    </xf>
    <xf numFmtId="0" fontId="188" fillId="37" borderId="0" xfId="0" applyFont="1" applyFill="1" applyAlignment="1" applyProtection="1">
      <alignment horizontal="center"/>
      <protection hidden="1"/>
    </xf>
    <xf numFmtId="0" fontId="435" fillId="38" borderId="19" xfId="7" applyFont="1" applyFill="1" applyBorder="1" applyProtection="1">
      <protection hidden="1"/>
    </xf>
    <xf numFmtId="0" fontId="435" fillId="38" borderId="3" xfId="7" applyFont="1" applyFill="1" applyBorder="1" applyProtection="1">
      <protection hidden="1"/>
    </xf>
    <xf numFmtId="0" fontId="222" fillId="20" borderId="0" xfId="0" applyFont="1" applyFill="1" applyAlignment="1" applyProtection="1">
      <alignment horizontal="left" wrapText="1"/>
      <protection hidden="1"/>
    </xf>
    <xf numFmtId="0" fontId="462" fillId="20" borderId="0" xfId="0" applyFont="1" applyFill="1" applyProtection="1">
      <protection hidden="1"/>
    </xf>
    <xf numFmtId="0" fontId="411" fillId="20" borderId="0" xfId="0" applyFont="1" applyFill="1" applyProtection="1">
      <protection hidden="1"/>
    </xf>
    <xf numFmtId="0" fontId="408" fillId="20" borderId="0" xfId="0" applyFont="1" applyFill="1" applyProtection="1">
      <protection hidden="1"/>
    </xf>
    <xf numFmtId="0" fontId="464" fillId="20" borderId="0" xfId="0" quotePrefix="1" applyFont="1" applyFill="1" applyAlignment="1" applyProtection="1">
      <alignment vertical="center"/>
      <protection hidden="1"/>
    </xf>
    <xf numFmtId="0" fontId="446" fillId="20" borderId="0" xfId="0" quotePrefix="1" applyFont="1" applyFill="1" applyAlignment="1" applyProtection="1">
      <alignment vertical="center"/>
      <protection hidden="1"/>
    </xf>
    <xf numFmtId="10" fontId="12" fillId="0" borderId="0" xfId="3" applyNumberFormat="1" applyFont="1" applyProtection="1">
      <protection hidden="1"/>
    </xf>
    <xf numFmtId="165" fontId="12" fillId="0" borderId="0" xfId="0" applyNumberFormat="1" applyFont="1" applyProtection="1">
      <protection hidden="1"/>
    </xf>
    <xf numFmtId="166" fontId="222" fillId="51" borderId="55" xfId="3" applyNumberFormat="1" applyFont="1" applyFill="1" applyBorder="1" applyAlignment="1" applyProtection="1">
      <alignment horizontal="right" vertical="center"/>
      <protection hidden="1"/>
    </xf>
    <xf numFmtId="0" fontId="465" fillId="20" borderId="0" xfId="0" applyFont="1" applyFill="1" applyProtection="1">
      <protection hidden="1"/>
    </xf>
    <xf numFmtId="0" fontId="411" fillId="16" borderId="12" xfId="0" applyFont="1" applyFill="1" applyBorder="1" applyAlignment="1" applyProtection="1">
      <alignment horizontal="center" vertical="center" wrapText="1"/>
      <protection hidden="1"/>
    </xf>
    <xf numFmtId="0" fontId="222" fillId="16" borderId="7" xfId="0" applyFont="1" applyFill="1" applyBorder="1" applyAlignment="1" applyProtection="1">
      <alignment horizontal="center" vertical="center" wrapText="1"/>
      <protection hidden="1"/>
    </xf>
    <xf numFmtId="0" fontId="222" fillId="16" borderId="8" xfId="0" applyFont="1" applyFill="1" applyBorder="1" applyAlignment="1" applyProtection="1">
      <alignment horizontal="center" vertical="center" wrapText="1"/>
      <protection hidden="1"/>
    </xf>
    <xf numFmtId="0" fontId="257" fillId="16" borderId="12" xfId="0" applyFont="1" applyFill="1" applyBorder="1" applyAlignment="1" applyProtection="1">
      <alignment horizontal="center" vertical="center"/>
      <protection hidden="1"/>
    </xf>
    <xf numFmtId="0" fontId="257" fillId="16" borderId="12" xfId="0" applyFont="1" applyFill="1" applyBorder="1" applyAlignment="1" applyProtection="1">
      <alignment horizontal="center" vertical="center" wrapText="1"/>
      <protection hidden="1"/>
    </xf>
    <xf numFmtId="0" fontId="465" fillId="20" borderId="0" xfId="0" applyFont="1" applyFill="1" applyAlignment="1" applyProtection="1">
      <alignment horizontal="center" wrapText="1"/>
      <protection hidden="1"/>
    </xf>
    <xf numFmtId="9" fontId="258" fillId="0" borderId="0" xfId="0" applyNumberFormat="1" applyFont="1" applyProtection="1">
      <protection hidden="1"/>
    </xf>
    <xf numFmtId="10" fontId="258" fillId="0" borderId="0" xfId="3" applyNumberFormat="1" applyFont="1" applyProtection="1">
      <protection hidden="1"/>
    </xf>
    <xf numFmtId="0" fontId="466" fillId="0" borderId="0" xfId="0" applyFont="1" applyProtection="1">
      <protection hidden="1"/>
    </xf>
    <xf numFmtId="0" fontId="17" fillId="61" borderId="12" xfId="0" applyFont="1" applyFill="1" applyBorder="1" applyAlignment="1" applyProtection="1">
      <alignment horizontal="center"/>
      <protection locked="0"/>
    </xf>
    <xf numFmtId="0" fontId="468" fillId="0" borderId="0" xfId="0" applyFont="1" applyProtection="1">
      <protection hidden="1"/>
    </xf>
    <xf numFmtId="0" fontId="469" fillId="0" borderId="0" xfId="1" applyFont="1" applyAlignment="1" applyProtection="1">
      <alignment horizontal="center"/>
      <protection hidden="1"/>
    </xf>
    <xf numFmtId="0" fontId="470" fillId="0" borderId="0" xfId="1" applyFont="1" applyAlignment="1" applyProtection="1">
      <protection hidden="1"/>
    </xf>
    <xf numFmtId="0" fontId="222" fillId="20" borderId="0" xfId="0" applyFont="1" applyFill="1" applyAlignment="1" applyProtection="1">
      <alignment vertical="top" wrapText="1"/>
      <protection hidden="1"/>
    </xf>
    <xf numFmtId="0" fontId="222" fillId="0" borderId="0" xfId="0" applyFont="1" applyAlignment="1" applyProtection="1">
      <alignment horizontal="center"/>
      <protection locked="0"/>
    </xf>
    <xf numFmtId="0" fontId="188" fillId="0" borderId="0" xfId="0" applyFont="1" applyProtection="1">
      <protection locked="0"/>
    </xf>
    <xf numFmtId="3" fontId="12" fillId="2" borderId="1" xfId="0" applyNumberFormat="1" applyFont="1" applyFill="1" applyBorder="1" applyAlignment="1" applyProtection="1">
      <alignment horizontal="left" vertical="center"/>
      <protection hidden="1"/>
    </xf>
    <xf numFmtId="3" fontId="12" fillId="3" borderId="9" xfId="0" applyNumberFormat="1" applyFont="1" applyFill="1" applyBorder="1" applyAlignment="1" applyProtection="1">
      <alignment vertical="center"/>
      <protection hidden="1"/>
    </xf>
    <xf numFmtId="166" fontId="22" fillId="4" borderId="12" xfId="0" quotePrefix="1" applyNumberFormat="1" applyFont="1" applyFill="1" applyBorder="1" applyAlignment="1" applyProtection="1">
      <alignment vertical="center"/>
      <protection hidden="1"/>
    </xf>
    <xf numFmtId="0" fontId="190" fillId="20" borderId="0" xfId="1" applyFont="1" applyFill="1" applyAlignment="1" applyProtection="1">
      <alignment horizontal="center"/>
      <protection hidden="1"/>
    </xf>
    <xf numFmtId="0" fontId="188" fillId="0" borderId="0" xfId="0" applyFont="1" applyAlignment="1" applyProtection="1">
      <alignment horizontal="center"/>
      <protection locked="0"/>
    </xf>
    <xf numFmtId="165" fontId="188" fillId="0" borderId="12" xfId="2" applyNumberFormat="1" applyFont="1" applyFill="1" applyBorder="1" applyAlignment="1" applyProtection="1">
      <alignment horizontal="right"/>
      <protection locked="0"/>
    </xf>
    <xf numFmtId="10" fontId="188" fillId="0" borderId="12" xfId="2" applyNumberFormat="1" applyFont="1" applyFill="1" applyBorder="1" applyAlignment="1" applyProtection="1">
      <alignment horizontal="right"/>
      <protection locked="0"/>
    </xf>
    <xf numFmtId="10" fontId="255" fillId="20" borderId="0" xfId="3" applyNumberFormat="1" applyFont="1" applyFill="1" applyAlignment="1" applyProtection="1">
      <alignment vertical="top"/>
      <protection hidden="1"/>
    </xf>
    <xf numFmtId="0" fontId="0" fillId="0" borderId="0" xfId="0" applyProtection="1">
      <protection locked="0" hidden="1"/>
    </xf>
    <xf numFmtId="0" fontId="432" fillId="2" borderId="1" xfId="0" applyFont="1" applyFill="1" applyBorder="1" applyAlignment="1" applyProtection="1">
      <alignment horizontal="left" vertical="center" wrapText="1"/>
      <protection hidden="1"/>
    </xf>
    <xf numFmtId="0" fontId="432" fillId="2" borderId="0" xfId="0" applyFont="1" applyFill="1" applyAlignment="1" applyProtection="1">
      <alignment horizontal="left" vertical="center" wrapText="1"/>
      <protection hidden="1"/>
    </xf>
    <xf numFmtId="0" fontId="17" fillId="0" borderId="12" xfId="0" applyFont="1" applyBorder="1" applyAlignment="1" applyProtection="1">
      <alignment horizontal="left" vertical="center"/>
      <protection locked="0"/>
    </xf>
    <xf numFmtId="3" fontId="22" fillId="0" borderId="12" xfId="0" applyNumberFormat="1" applyFont="1" applyBorder="1" applyAlignment="1" applyProtection="1">
      <alignment horizontal="right" vertical="center"/>
      <protection locked="0"/>
    </xf>
    <xf numFmtId="165" fontId="22" fillId="0" borderId="12" xfId="0" applyNumberFormat="1" applyFont="1" applyBorder="1" applyAlignment="1" applyProtection="1">
      <alignment horizontal="right" vertical="center"/>
      <protection locked="0"/>
    </xf>
    <xf numFmtId="0" fontId="17" fillId="0" borderId="9" xfId="0" applyFont="1" applyBorder="1" applyAlignment="1" applyProtection="1">
      <alignment horizontal="left" vertical="center"/>
      <protection locked="0"/>
    </xf>
    <xf numFmtId="0" fontId="17" fillId="0" borderId="7" xfId="0" applyFont="1" applyBorder="1" applyAlignment="1" applyProtection="1">
      <alignment horizontal="left" vertical="center"/>
      <protection locked="0"/>
    </xf>
    <xf numFmtId="0" fontId="17" fillId="0" borderId="8" xfId="0" applyFont="1" applyBorder="1" applyAlignment="1" applyProtection="1">
      <alignment horizontal="left" vertical="center"/>
      <protection locked="0"/>
    </xf>
    <xf numFmtId="0" fontId="22" fillId="0" borderId="12" xfId="0"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17" fillId="2" borderId="9" xfId="0" applyFont="1" applyFill="1" applyBorder="1" applyAlignment="1" applyProtection="1">
      <alignment horizontal="center" vertical="center"/>
      <protection hidden="1"/>
    </xf>
    <xf numFmtId="0" fontId="17" fillId="2" borderId="7" xfId="0" applyFont="1" applyFill="1" applyBorder="1" applyAlignment="1" applyProtection="1">
      <alignment horizontal="center" vertical="center"/>
      <protection hidden="1"/>
    </xf>
    <xf numFmtId="0" fontId="17" fillId="2" borderId="8" xfId="0" applyFont="1" applyFill="1" applyBorder="1" applyAlignment="1" applyProtection="1">
      <alignment horizontal="center" vertical="center"/>
      <protection hidden="1"/>
    </xf>
    <xf numFmtId="0" fontId="17" fillId="2" borderId="9" xfId="0" applyFont="1" applyFill="1" applyBorder="1" applyAlignment="1" applyProtection="1">
      <alignment horizontal="center" vertical="center" wrapText="1"/>
      <protection hidden="1"/>
    </xf>
    <xf numFmtId="0" fontId="17" fillId="2" borderId="7" xfId="0" applyFont="1" applyFill="1" applyBorder="1" applyAlignment="1" applyProtection="1">
      <alignment horizontal="center" vertical="center" wrapText="1"/>
      <protection hidden="1"/>
    </xf>
    <xf numFmtId="0" fontId="17" fillId="2" borderId="8" xfId="0" applyFont="1" applyFill="1" applyBorder="1" applyAlignment="1" applyProtection="1">
      <alignment horizontal="center" vertical="center" wrapText="1"/>
      <protection hidden="1"/>
    </xf>
    <xf numFmtId="0" fontId="17" fillId="2" borderId="21" xfId="0" applyFont="1" applyFill="1" applyBorder="1" applyAlignment="1" applyProtection="1">
      <alignment horizontal="center" vertical="center" wrapText="1"/>
      <protection hidden="1"/>
    </xf>
    <xf numFmtId="0" fontId="17" fillId="2" borderId="20" xfId="0" applyFont="1" applyFill="1" applyBorder="1" applyAlignment="1" applyProtection="1">
      <alignment horizontal="center" vertical="center" wrapText="1"/>
      <protection hidden="1"/>
    </xf>
    <xf numFmtId="0" fontId="17" fillId="2" borderId="18" xfId="0" applyFont="1" applyFill="1" applyBorder="1" applyAlignment="1" applyProtection="1">
      <alignment horizontal="center" vertical="center" wrapText="1"/>
      <protection hidden="1"/>
    </xf>
    <xf numFmtId="14" fontId="17" fillId="0" borderId="12" xfId="0" applyNumberFormat="1"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3" fontId="17" fillId="0" borderId="9" xfId="0" applyNumberFormat="1" applyFont="1" applyBorder="1" applyAlignment="1" applyProtection="1">
      <alignment horizontal="right" vertical="center"/>
      <protection locked="0"/>
    </xf>
    <xf numFmtId="3" fontId="17" fillId="0" borderId="7" xfId="0" applyNumberFormat="1" applyFont="1" applyBorder="1" applyAlignment="1" applyProtection="1">
      <alignment horizontal="right" vertical="center"/>
      <protection locked="0"/>
    </xf>
    <xf numFmtId="3" fontId="17" fillId="0" borderId="8" xfId="0" applyNumberFormat="1" applyFont="1" applyBorder="1" applyAlignment="1" applyProtection="1">
      <alignment horizontal="right" vertical="center"/>
      <protection locked="0"/>
    </xf>
    <xf numFmtId="0" fontId="28" fillId="3" borderId="12" xfId="0" applyFont="1" applyFill="1" applyBorder="1" applyAlignment="1" applyProtection="1">
      <alignment horizontal="left" vertical="center"/>
      <protection hidden="1"/>
    </xf>
    <xf numFmtId="3" fontId="17" fillId="6" borderId="9" xfId="0" applyNumberFormat="1" applyFont="1" applyFill="1" applyBorder="1" applyAlignment="1" applyProtection="1">
      <alignment horizontal="right" vertical="center"/>
      <protection hidden="1"/>
    </xf>
    <xf numFmtId="3" fontId="17" fillId="6" borderId="7" xfId="0" applyNumberFormat="1" applyFont="1" applyFill="1" applyBorder="1" applyAlignment="1" applyProtection="1">
      <alignment horizontal="right" vertical="center"/>
      <protection hidden="1"/>
    </xf>
    <xf numFmtId="3" fontId="17" fillId="6" borderId="8" xfId="0" applyNumberFormat="1" applyFont="1" applyFill="1" applyBorder="1" applyAlignment="1" applyProtection="1">
      <alignment horizontal="right" vertical="center"/>
      <protection hidden="1"/>
    </xf>
    <xf numFmtId="0" fontId="12" fillId="2" borderId="19" xfId="0" applyFont="1" applyFill="1" applyBorder="1" applyAlignment="1" applyProtection="1">
      <alignment horizontal="center" vertical="center" wrapText="1"/>
      <protection hidden="1"/>
    </xf>
    <xf numFmtId="0" fontId="19" fillId="2" borderId="10" xfId="0" applyFont="1" applyFill="1" applyBorder="1" applyAlignment="1" applyProtection="1">
      <alignment horizontal="center" vertical="center" wrapText="1"/>
      <protection hidden="1"/>
    </xf>
    <xf numFmtId="0" fontId="19" fillId="2" borderId="3" xfId="0" applyFont="1" applyFill="1" applyBorder="1" applyAlignment="1" applyProtection="1">
      <alignment horizontal="center" vertical="center" wrapText="1"/>
      <protection hidden="1"/>
    </xf>
    <xf numFmtId="0" fontId="19" fillId="2" borderId="4" xfId="0" applyFont="1" applyFill="1" applyBorder="1" applyAlignment="1" applyProtection="1">
      <alignment horizontal="center" vertical="center" wrapText="1"/>
      <protection hidden="1"/>
    </xf>
    <xf numFmtId="0" fontId="19" fillId="2" borderId="5" xfId="0" applyFont="1" applyFill="1" applyBorder="1" applyAlignment="1" applyProtection="1">
      <alignment horizontal="center" vertical="center" wrapText="1"/>
      <protection hidden="1"/>
    </xf>
    <xf numFmtId="0" fontId="19" fillId="2" borderId="6" xfId="0" applyFont="1" applyFill="1" applyBorder="1" applyAlignment="1" applyProtection="1">
      <alignment horizontal="center" vertical="center" wrapText="1"/>
      <protection hidden="1"/>
    </xf>
    <xf numFmtId="0" fontId="17" fillId="2" borderId="12" xfId="0" applyFont="1" applyFill="1" applyBorder="1" applyAlignment="1" applyProtection="1">
      <alignment horizontal="center" vertical="center" wrapText="1"/>
      <protection hidden="1"/>
    </xf>
    <xf numFmtId="0" fontId="17" fillId="2" borderId="1"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center" vertical="center" wrapText="1"/>
      <protection hidden="1"/>
    </xf>
    <xf numFmtId="0" fontId="17" fillId="2" borderId="4" xfId="0" applyFont="1" applyFill="1" applyBorder="1" applyAlignment="1" applyProtection="1">
      <alignment horizontal="center" vertical="center" wrapText="1"/>
      <protection hidden="1"/>
    </xf>
    <xf numFmtId="0" fontId="17" fillId="2" borderId="6" xfId="0" applyFont="1" applyFill="1" applyBorder="1" applyAlignment="1" applyProtection="1">
      <alignment horizontal="center" vertical="center" wrapText="1"/>
      <protection hidden="1"/>
    </xf>
    <xf numFmtId="0" fontId="17" fillId="2" borderId="19" xfId="0" applyFont="1" applyFill="1" applyBorder="1" applyAlignment="1" applyProtection="1">
      <alignment horizontal="center" vertical="center" wrapText="1"/>
      <protection hidden="1"/>
    </xf>
    <xf numFmtId="0" fontId="17" fillId="2" borderId="10" xfId="0" applyFont="1" applyFill="1" applyBorder="1" applyAlignment="1" applyProtection="1">
      <alignment horizontal="center" vertical="center" wrapText="1"/>
      <protection hidden="1"/>
    </xf>
    <xf numFmtId="0" fontId="17" fillId="2" borderId="3" xfId="0" applyFont="1" applyFill="1" applyBorder="1" applyAlignment="1" applyProtection="1">
      <alignment horizontal="center" vertical="center" wrapText="1"/>
      <protection hidden="1"/>
    </xf>
    <xf numFmtId="0" fontId="17" fillId="2" borderId="0" xfId="0" applyFont="1" applyFill="1" applyAlignment="1" applyProtection="1">
      <alignment horizontal="center" vertical="center" wrapText="1"/>
      <protection hidden="1"/>
    </xf>
    <xf numFmtId="0" fontId="17" fillId="2" borderId="5" xfId="0" applyFont="1" applyFill="1" applyBorder="1" applyAlignment="1" applyProtection="1">
      <alignment horizontal="center" vertical="center" wrapText="1"/>
      <protection hidden="1"/>
    </xf>
    <xf numFmtId="0" fontId="28" fillId="2" borderId="12" xfId="0" applyFont="1" applyFill="1" applyBorder="1" applyAlignment="1" applyProtection="1">
      <alignment horizontal="left" vertical="center"/>
      <protection hidden="1"/>
    </xf>
    <xf numFmtId="0" fontId="28" fillId="2" borderId="9" xfId="0" applyFont="1" applyFill="1" applyBorder="1" applyAlignment="1" applyProtection="1">
      <alignment horizontal="center" vertical="center"/>
      <protection hidden="1"/>
    </xf>
    <xf numFmtId="0" fontId="28" fillId="2" borderId="7" xfId="0" applyFont="1" applyFill="1" applyBorder="1" applyAlignment="1" applyProtection="1">
      <alignment horizontal="center" vertical="center"/>
      <protection hidden="1"/>
    </xf>
    <xf numFmtId="0" fontId="28" fillId="2" borderId="8" xfId="0" applyFont="1" applyFill="1" applyBorder="1" applyAlignment="1" applyProtection="1">
      <alignment horizontal="center" vertical="center"/>
      <protection hidden="1"/>
    </xf>
    <xf numFmtId="166" fontId="24" fillId="6" borderId="12" xfId="0" applyNumberFormat="1" applyFont="1" applyFill="1" applyBorder="1" applyAlignment="1" applyProtection="1">
      <alignment horizontal="right" vertical="center"/>
      <protection hidden="1"/>
    </xf>
    <xf numFmtId="0" fontId="22" fillId="2" borderId="21" xfId="0" applyFont="1" applyFill="1" applyBorder="1" applyAlignment="1" applyProtection="1">
      <alignment horizontal="center" vertical="center" textRotation="255" wrapText="1"/>
      <protection hidden="1"/>
    </xf>
    <xf numFmtId="0" fontId="22" fillId="2" borderId="20" xfId="0" applyFont="1" applyFill="1" applyBorder="1" applyAlignment="1" applyProtection="1">
      <alignment horizontal="center" vertical="center" textRotation="255" wrapText="1"/>
      <protection hidden="1"/>
    </xf>
    <xf numFmtId="0" fontId="22" fillId="2" borderId="18" xfId="0" applyFont="1" applyFill="1" applyBorder="1" applyAlignment="1" applyProtection="1">
      <alignment horizontal="center" vertical="center" textRotation="255" wrapText="1"/>
      <protection hidden="1"/>
    </xf>
    <xf numFmtId="0" fontId="102" fillId="2" borderId="1" xfId="0" applyFont="1" applyFill="1" applyBorder="1" applyAlignment="1" applyProtection="1">
      <alignment horizontal="center" vertical="center"/>
      <protection hidden="1"/>
    </xf>
    <xf numFmtId="0" fontId="102" fillId="2" borderId="0" xfId="0" applyFont="1" applyFill="1" applyAlignment="1" applyProtection="1">
      <alignment horizontal="center" vertical="center"/>
      <protection hidden="1"/>
    </xf>
    <xf numFmtId="3" fontId="49" fillId="2" borderId="10" xfId="0" applyNumberFormat="1" applyFont="1" applyFill="1" applyBorder="1" applyAlignment="1" applyProtection="1">
      <alignment horizontal="right"/>
      <protection hidden="1"/>
    </xf>
    <xf numFmtId="3" fontId="24" fillId="6" borderId="12" xfId="0" applyNumberFormat="1" applyFont="1" applyFill="1" applyBorder="1" applyAlignment="1" applyProtection="1">
      <alignment horizontal="right" vertical="center"/>
      <protection hidden="1"/>
    </xf>
    <xf numFmtId="3" fontId="24" fillId="2" borderId="0" xfId="0" applyNumberFormat="1" applyFont="1" applyFill="1" applyAlignment="1" applyProtection="1">
      <alignment horizontal="right" vertical="center"/>
      <protection hidden="1"/>
    </xf>
    <xf numFmtId="0" fontId="19" fillId="2" borderId="0" xfId="0" applyFont="1" applyFill="1" applyAlignment="1" applyProtection="1">
      <alignment horizontal="center"/>
      <protection hidden="1"/>
    </xf>
    <xf numFmtId="0" fontId="19" fillId="3" borderId="9" xfId="0" applyFont="1" applyFill="1" applyBorder="1" applyAlignment="1" applyProtection="1">
      <alignment horizontal="left" vertical="center"/>
      <protection hidden="1"/>
    </xf>
    <xf numFmtId="0" fontId="19" fillId="3" borderId="7" xfId="0" applyFont="1" applyFill="1" applyBorder="1" applyAlignment="1" applyProtection="1">
      <alignment horizontal="left" vertical="center"/>
      <protection hidden="1"/>
    </xf>
    <xf numFmtId="0" fontId="19" fillId="3" borderId="8" xfId="0" applyFont="1" applyFill="1" applyBorder="1" applyAlignment="1" applyProtection="1">
      <alignment horizontal="left" vertical="center"/>
      <protection hidden="1"/>
    </xf>
    <xf numFmtId="0" fontId="29" fillId="2" borderId="0" xfId="0" applyFont="1" applyFill="1" applyAlignment="1" applyProtection="1">
      <alignment horizontal="center"/>
      <protection hidden="1"/>
    </xf>
    <xf numFmtId="0" fontId="28" fillId="5" borderId="12" xfId="0" applyFont="1" applyFill="1" applyBorder="1" applyAlignment="1" applyProtection="1">
      <alignment horizontal="left"/>
      <protection hidden="1"/>
    </xf>
    <xf numFmtId="0" fontId="19" fillId="2" borderId="0" xfId="0" applyFont="1" applyFill="1" applyAlignment="1" applyProtection="1">
      <alignment horizontal="left"/>
      <protection hidden="1"/>
    </xf>
    <xf numFmtId="0" fontId="22" fillId="2" borderId="12" xfId="0" applyFont="1" applyFill="1" applyBorder="1" applyAlignment="1" applyProtection="1">
      <alignment horizontal="center" vertical="center" wrapText="1"/>
      <protection hidden="1"/>
    </xf>
    <xf numFmtId="0" fontId="22" fillId="2" borderId="8" xfId="0" applyFont="1" applyFill="1" applyBorder="1" applyAlignment="1" applyProtection="1">
      <alignment horizontal="center" vertical="center" wrapText="1"/>
      <protection hidden="1"/>
    </xf>
    <xf numFmtId="0" fontId="17" fillId="0" borderId="12" xfId="0" applyFont="1" applyBorder="1" applyAlignment="1" applyProtection="1">
      <alignment horizontal="center" vertical="center"/>
      <protection hidden="1"/>
    </xf>
    <xf numFmtId="0" fontId="22" fillId="2" borderId="21" xfId="0" applyFont="1" applyFill="1" applyBorder="1" applyAlignment="1" applyProtection="1">
      <alignment horizontal="center" vertical="center" wrapText="1"/>
      <protection hidden="1"/>
    </xf>
    <xf numFmtId="0" fontId="22" fillId="2" borderId="20" xfId="0" applyFont="1" applyFill="1" applyBorder="1" applyAlignment="1" applyProtection="1">
      <alignment horizontal="center" vertical="center" wrapText="1"/>
      <protection hidden="1"/>
    </xf>
    <xf numFmtId="0" fontId="22" fillId="2" borderId="18" xfId="0" applyFont="1" applyFill="1" applyBorder="1" applyAlignment="1" applyProtection="1">
      <alignment horizontal="center" vertical="center" wrapText="1"/>
      <protection hidden="1"/>
    </xf>
    <xf numFmtId="0" fontId="67" fillId="0" borderId="21" xfId="0" applyFont="1" applyBorder="1" applyAlignment="1" applyProtection="1">
      <alignment horizontal="left" vertical="center"/>
      <protection hidden="1"/>
    </xf>
    <xf numFmtId="0" fontId="67" fillId="0" borderId="18" xfId="0" applyFont="1" applyBorder="1" applyAlignment="1" applyProtection="1">
      <alignment horizontal="left" vertical="center"/>
      <protection hidden="1"/>
    </xf>
    <xf numFmtId="1" fontId="19" fillId="4" borderId="9" xfId="0" applyNumberFormat="1" applyFont="1" applyFill="1" applyBorder="1" applyAlignment="1">
      <alignment horizontal="center"/>
    </xf>
    <xf numFmtId="1" fontId="19" fillId="4" borderId="7" xfId="0" applyNumberFormat="1" applyFont="1" applyFill="1" applyBorder="1" applyAlignment="1">
      <alignment horizontal="center"/>
    </xf>
    <xf numFmtId="1" fontId="19" fillId="4" borderId="8" xfId="0" applyNumberFormat="1" applyFont="1" applyFill="1" applyBorder="1" applyAlignment="1">
      <alignment horizontal="center"/>
    </xf>
    <xf numFmtId="0" fontId="22" fillId="2" borderId="0" xfId="0" applyFont="1" applyFill="1" applyAlignment="1" applyProtection="1">
      <alignment horizontal="justify" vertical="top" wrapText="1"/>
      <protection hidden="1"/>
    </xf>
    <xf numFmtId="0" fontId="17" fillId="3" borderId="12" xfId="0" applyFont="1" applyFill="1" applyBorder="1" applyAlignment="1" applyProtection="1">
      <alignment horizontal="left" vertical="center"/>
      <protection hidden="1"/>
    </xf>
    <xf numFmtId="0" fontId="19" fillId="2" borderId="2" xfId="0" applyFont="1" applyFill="1" applyBorder="1" applyAlignment="1" applyProtection="1">
      <alignment horizontal="left"/>
      <protection hidden="1"/>
    </xf>
    <xf numFmtId="1" fontId="12" fillId="0" borderId="9" xfId="0" applyNumberFormat="1" applyFont="1" applyBorder="1" applyAlignment="1">
      <alignment horizontal="center"/>
    </xf>
    <xf numFmtId="1" fontId="12" fillId="0" borderId="7" xfId="0" applyNumberFormat="1" applyFont="1" applyBorder="1" applyAlignment="1">
      <alignment horizontal="center"/>
    </xf>
    <xf numFmtId="1" fontId="12" fillId="0" borderId="8" xfId="0" applyNumberFormat="1" applyFont="1" applyBorder="1" applyAlignment="1">
      <alignment horizontal="center"/>
    </xf>
    <xf numFmtId="49" fontId="22" fillId="0" borderId="9" xfId="0" applyNumberFormat="1" applyFont="1" applyBorder="1" applyAlignment="1" applyProtection="1">
      <alignment horizontal="left"/>
      <protection locked="0"/>
    </xf>
    <xf numFmtId="49" fontId="22" fillId="0" borderId="7" xfId="0" applyNumberFormat="1" applyFont="1" applyBorder="1" applyAlignment="1" applyProtection="1">
      <alignment horizontal="left"/>
      <protection locked="0"/>
    </xf>
    <xf numFmtId="49" fontId="22" fillId="0" borderId="8" xfId="0" applyNumberFormat="1" applyFont="1" applyBorder="1" applyAlignment="1" applyProtection="1">
      <alignment horizontal="left"/>
      <protection locked="0"/>
    </xf>
    <xf numFmtId="0" fontId="19" fillId="4" borderId="9" xfId="0" applyFont="1" applyFill="1" applyBorder="1" applyAlignment="1" applyProtection="1">
      <alignment horizontal="center"/>
      <protection hidden="1"/>
    </xf>
    <xf numFmtId="0" fontId="19" fillId="4" borderId="7" xfId="0" applyFont="1" applyFill="1" applyBorder="1" applyAlignment="1" applyProtection="1">
      <alignment horizontal="center"/>
      <protection hidden="1"/>
    </xf>
    <xf numFmtId="0" fontId="19" fillId="4" borderId="8" xfId="0" applyFont="1" applyFill="1" applyBorder="1" applyAlignment="1" applyProtection="1">
      <alignment horizontal="center"/>
      <protection hidden="1"/>
    </xf>
    <xf numFmtId="0" fontId="24" fillId="0" borderId="0" xfId="0" applyFont="1" applyAlignment="1" applyProtection="1">
      <alignment horizontal="justify" vertical="top" wrapText="1"/>
      <protection hidden="1"/>
    </xf>
    <xf numFmtId="0" fontId="17" fillId="3" borderId="19" xfId="0" applyFont="1" applyFill="1" applyBorder="1" applyAlignment="1" applyProtection="1">
      <alignment horizontal="left" vertical="center" wrapText="1"/>
      <protection hidden="1"/>
    </xf>
    <xf numFmtId="0" fontId="19" fillId="3" borderId="10" xfId="0" applyFont="1" applyFill="1" applyBorder="1" applyAlignment="1" applyProtection="1">
      <alignment horizontal="left" vertical="center" wrapText="1"/>
      <protection hidden="1"/>
    </xf>
    <xf numFmtId="0" fontId="22" fillId="0" borderId="9" xfId="0" applyFont="1" applyBorder="1" applyAlignment="1" applyProtection="1">
      <alignment horizontal="center"/>
      <protection locked="0"/>
    </xf>
    <xf numFmtId="0" fontId="22" fillId="0" borderId="7" xfId="0" applyFont="1" applyBorder="1" applyAlignment="1" applyProtection="1">
      <alignment horizontal="center"/>
      <protection locked="0"/>
    </xf>
    <xf numFmtId="0" fontId="22" fillId="0" borderId="8" xfId="0" applyFont="1" applyBorder="1" applyAlignment="1" applyProtection="1">
      <alignment horizontal="center"/>
      <protection locked="0"/>
    </xf>
    <xf numFmtId="0" fontId="72" fillId="3" borderId="4" xfId="0" applyFont="1" applyFill="1" applyBorder="1" applyAlignment="1" applyProtection="1">
      <alignment horizontal="left" vertical="center" wrapText="1"/>
      <protection hidden="1"/>
    </xf>
    <xf numFmtId="0" fontId="72" fillId="3" borderId="5" xfId="0" applyFont="1" applyFill="1" applyBorder="1" applyAlignment="1" applyProtection="1">
      <alignment horizontal="left" vertical="center" wrapText="1"/>
      <protection hidden="1"/>
    </xf>
    <xf numFmtId="0" fontId="72" fillId="3" borderId="6" xfId="0" applyFont="1" applyFill="1" applyBorder="1" applyAlignment="1" applyProtection="1">
      <alignment horizontal="left" vertical="center" wrapText="1"/>
      <protection hidden="1"/>
    </xf>
    <xf numFmtId="0" fontId="28" fillId="3" borderId="19" xfId="0" applyFont="1" applyFill="1" applyBorder="1" applyAlignment="1" applyProtection="1">
      <alignment horizontal="left" vertical="center" wrapText="1"/>
      <protection hidden="1"/>
    </xf>
    <xf numFmtId="0" fontId="28" fillId="3" borderId="10" xfId="0" applyFont="1" applyFill="1" applyBorder="1" applyAlignment="1" applyProtection="1">
      <alignment horizontal="left" vertical="center" wrapText="1"/>
      <protection hidden="1"/>
    </xf>
    <xf numFmtId="0" fontId="28" fillId="3" borderId="3" xfId="0" applyFont="1" applyFill="1" applyBorder="1" applyAlignment="1" applyProtection="1">
      <alignment horizontal="left" vertical="center" wrapText="1"/>
      <protection hidden="1"/>
    </xf>
    <xf numFmtId="0" fontId="28" fillId="3" borderId="1" xfId="0" applyFont="1" applyFill="1" applyBorder="1" applyAlignment="1" applyProtection="1">
      <alignment horizontal="left" vertical="center" wrapText="1"/>
      <protection hidden="1"/>
    </xf>
    <xf numFmtId="0" fontId="28" fillId="3" borderId="0" xfId="0" applyFont="1" applyFill="1" applyAlignment="1" applyProtection="1">
      <alignment horizontal="left" vertical="center" wrapText="1"/>
      <protection hidden="1"/>
    </xf>
    <xf numFmtId="0" fontId="28" fillId="3" borderId="2" xfId="0" applyFont="1" applyFill="1" applyBorder="1" applyAlignment="1" applyProtection="1">
      <alignment horizontal="left" vertical="center" wrapText="1"/>
      <protection hidden="1"/>
    </xf>
    <xf numFmtId="0" fontId="28" fillId="3" borderId="4" xfId="0" applyFont="1" applyFill="1" applyBorder="1" applyAlignment="1" applyProtection="1">
      <alignment horizontal="left" vertical="center" wrapText="1"/>
      <protection hidden="1"/>
    </xf>
    <xf numFmtId="0" fontId="28" fillId="3" borderId="5" xfId="0" applyFont="1" applyFill="1" applyBorder="1" applyAlignment="1" applyProtection="1">
      <alignment horizontal="left" vertical="center" wrapText="1"/>
      <protection hidden="1"/>
    </xf>
    <xf numFmtId="0" fontId="28" fillId="3" borderId="6" xfId="0" applyFont="1" applyFill="1" applyBorder="1" applyAlignment="1" applyProtection="1">
      <alignment horizontal="left" vertical="center" wrapText="1"/>
      <protection hidden="1"/>
    </xf>
    <xf numFmtId="0" fontId="22" fillId="0" borderId="9" xfId="0" applyFont="1" applyBorder="1" applyAlignment="1" applyProtection="1">
      <alignment horizontal="left"/>
      <protection locked="0"/>
    </xf>
    <xf numFmtId="0" fontId="22" fillId="0" borderId="7" xfId="0" applyFont="1" applyBorder="1" applyAlignment="1" applyProtection="1">
      <alignment horizontal="left"/>
      <protection locked="0"/>
    </xf>
    <xf numFmtId="0" fontId="22" fillId="0" borderId="8" xfId="0" applyFont="1" applyBorder="1" applyAlignment="1" applyProtection="1">
      <alignment horizontal="left"/>
      <protection locked="0"/>
    </xf>
    <xf numFmtId="0" fontId="19" fillId="3" borderId="9" xfId="0" applyFont="1" applyFill="1" applyBorder="1" applyAlignment="1" applyProtection="1">
      <alignment horizontal="center"/>
      <protection hidden="1"/>
    </xf>
    <xf numFmtId="0" fontId="19" fillId="3" borderId="7" xfId="0" applyFont="1" applyFill="1" applyBorder="1" applyAlignment="1" applyProtection="1">
      <alignment horizontal="center"/>
      <protection hidden="1"/>
    </xf>
    <xf numFmtId="0" fontId="19" fillId="3" borderId="8" xfId="0" applyFont="1" applyFill="1" applyBorder="1" applyAlignment="1" applyProtection="1">
      <alignment horizontal="center"/>
      <protection hidden="1"/>
    </xf>
    <xf numFmtId="0" fontId="71" fillId="0" borderId="19" xfId="0" applyFont="1" applyBorder="1" applyAlignment="1" applyProtection="1">
      <alignment horizontal="center" vertical="center" wrapText="1"/>
      <protection hidden="1"/>
    </xf>
    <xf numFmtId="0" fontId="71" fillId="0" borderId="10" xfId="0" applyFont="1" applyBorder="1" applyAlignment="1" applyProtection="1">
      <alignment horizontal="center" vertical="center" wrapText="1"/>
      <protection hidden="1"/>
    </xf>
    <xf numFmtId="0" fontId="71" fillId="3" borderId="3" xfId="0" applyFont="1" applyFill="1" applyBorder="1" applyAlignment="1" applyProtection="1">
      <alignment horizontal="center" vertical="center" wrapText="1"/>
      <protection hidden="1"/>
    </xf>
    <xf numFmtId="0" fontId="71" fillId="3" borderId="4" xfId="0" applyFont="1" applyFill="1" applyBorder="1" applyAlignment="1" applyProtection="1">
      <alignment horizontal="center" vertical="center" wrapText="1"/>
      <protection hidden="1"/>
    </xf>
    <xf numFmtId="0" fontId="71" fillId="3" borderId="5" xfId="0" applyFont="1" applyFill="1" applyBorder="1" applyAlignment="1" applyProtection="1">
      <alignment horizontal="center" vertical="center" wrapText="1"/>
      <protection hidden="1"/>
    </xf>
    <xf numFmtId="0" fontId="71" fillId="3" borderId="6" xfId="0" applyFont="1" applyFill="1" applyBorder="1" applyAlignment="1" applyProtection="1">
      <alignment horizontal="center" vertical="center" wrapText="1"/>
      <protection hidden="1"/>
    </xf>
    <xf numFmtId="0" fontId="28" fillId="2" borderId="1" xfId="0" applyFont="1" applyFill="1" applyBorder="1" applyAlignment="1" applyProtection="1">
      <alignment horizontal="center"/>
      <protection hidden="1"/>
    </xf>
    <xf numFmtId="0" fontId="28" fillId="2" borderId="0" xfId="0" applyFont="1" applyFill="1" applyAlignment="1" applyProtection="1">
      <alignment horizontal="center"/>
      <protection hidden="1"/>
    </xf>
    <xf numFmtId="0" fontId="28" fillId="2" borderId="2" xfId="0" applyFont="1" applyFill="1" applyBorder="1" applyAlignment="1" applyProtection="1">
      <alignment horizontal="center"/>
      <protection hidden="1"/>
    </xf>
    <xf numFmtId="0" fontId="104" fillId="2" borderId="0" xfId="0" applyFont="1" applyFill="1" applyAlignment="1" applyProtection="1">
      <alignment horizontal="center"/>
      <protection hidden="1"/>
    </xf>
    <xf numFmtId="0" fontId="70" fillId="2" borderId="0" xfId="0" applyFont="1" applyFill="1" applyAlignment="1" applyProtection="1">
      <alignment horizontal="left"/>
      <protection hidden="1"/>
    </xf>
    <xf numFmtId="0" fontId="70" fillId="2" borderId="0" xfId="0" applyFont="1" applyFill="1" applyAlignment="1" applyProtection="1">
      <alignment horizontal="left" vertical="top"/>
      <protection hidden="1"/>
    </xf>
    <xf numFmtId="0" fontId="28" fillId="2" borderId="0" xfId="0" applyFont="1" applyFill="1" applyAlignment="1" applyProtection="1">
      <alignment horizontal="center" vertical="center"/>
      <protection hidden="1"/>
    </xf>
    <xf numFmtId="0" fontId="17" fillId="0" borderId="9" xfId="0" applyFont="1" applyBorder="1" applyAlignment="1" applyProtection="1">
      <alignment horizontal="left" vertical="top"/>
      <protection locked="0"/>
    </xf>
    <xf numFmtId="0" fontId="17" fillId="0" borderId="7" xfId="0" applyFont="1" applyBorder="1" applyAlignment="1" applyProtection="1">
      <alignment horizontal="left" vertical="top"/>
      <protection locked="0"/>
    </xf>
    <xf numFmtId="0" fontId="17" fillId="0" borderId="8" xfId="0" applyFont="1" applyBorder="1" applyAlignment="1" applyProtection="1">
      <alignment horizontal="left" vertical="top"/>
      <protection locked="0"/>
    </xf>
    <xf numFmtId="0" fontId="28" fillId="5" borderId="9" xfId="0" applyFont="1" applyFill="1" applyBorder="1" applyAlignment="1" applyProtection="1">
      <alignment horizontal="left"/>
      <protection hidden="1"/>
    </xf>
    <xf numFmtId="0" fontId="28" fillId="5" borderId="7" xfId="0" applyFont="1" applyFill="1" applyBorder="1" applyAlignment="1" applyProtection="1">
      <alignment horizontal="left"/>
      <protection hidden="1"/>
    </xf>
    <xf numFmtId="0" fontId="28" fillId="5" borderId="8" xfId="0" applyFont="1" applyFill="1" applyBorder="1" applyAlignment="1" applyProtection="1">
      <alignment horizontal="left"/>
      <protection hidden="1"/>
    </xf>
    <xf numFmtId="0" fontId="21" fillId="2" borderId="0" xfId="0" applyFont="1" applyFill="1" applyAlignment="1" applyProtection="1">
      <alignment horizontal="center" vertical="top" textRotation="90"/>
      <protection hidden="1"/>
    </xf>
    <xf numFmtId="0" fontId="17" fillId="3" borderId="9" xfId="0" applyFont="1" applyFill="1" applyBorder="1" applyAlignment="1" applyProtection="1">
      <alignment horizontal="left" vertical="center"/>
      <protection hidden="1"/>
    </xf>
    <xf numFmtId="0" fontId="17" fillId="3" borderId="7" xfId="0" applyFont="1" applyFill="1" applyBorder="1" applyAlignment="1" applyProtection="1">
      <alignment horizontal="left" vertical="center"/>
      <protection hidden="1"/>
    </xf>
    <xf numFmtId="0" fontId="17" fillId="3" borderId="8" xfId="0" applyFont="1" applyFill="1" applyBorder="1" applyAlignment="1" applyProtection="1">
      <alignment horizontal="left" vertical="center"/>
      <protection hidden="1"/>
    </xf>
    <xf numFmtId="0" fontId="22" fillId="0" borderId="9" xfId="0" applyFont="1" applyBorder="1" applyAlignment="1" applyProtection="1">
      <alignment horizontal="left" vertical="center"/>
      <protection locked="0"/>
    </xf>
    <xf numFmtId="0" fontId="22" fillId="0" borderId="7" xfId="0" applyFont="1" applyBorder="1" applyAlignment="1" applyProtection="1">
      <alignment horizontal="left" vertical="center"/>
      <protection locked="0"/>
    </xf>
    <xf numFmtId="0" fontId="22" fillId="0" borderId="8" xfId="0" applyFont="1" applyBorder="1" applyAlignment="1" applyProtection="1">
      <alignment horizontal="left" vertical="center"/>
      <protection locked="0"/>
    </xf>
    <xf numFmtId="0" fontId="24" fillId="0" borderId="10" xfId="0" applyFont="1" applyBorder="1" applyAlignment="1" applyProtection="1">
      <alignment horizontal="justify" vertical="top" wrapText="1"/>
      <protection hidden="1"/>
    </xf>
    <xf numFmtId="0" fontId="17" fillId="0" borderId="19" xfId="0" applyFont="1" applyBorder="1" applyAlignment="1" applyProtection="1">
      <alignment horizontal="left" vertical="top" wrapText="1"/>
      <protection locked="0"/>
    </xf>
    <xf numFmtId="0" fontId="17" fillId="0" borderId="10" xfId="0" applyFont="1" applyBorder="1" applyAlignment="1" applyProtection="1">
      <alignment horizontal="left" vertical="top" wrapText="1"/>
      <protection locked="0"/>
    </xf>
    <xf numFmtId="0" fontId="17" fillId="0" borderId="3" xfId="0" applyFont="1" applyBorder="1" applyAlignment="1" applyProtection="1">
      <alignment horizontal="left" vertical="top" wrapText="1"/>
      <protection locked="0"/>
    </xf>
    <xf numFmtId="0" fontId="17" fillId="0" borderId="4" xfId="0" applyFont="1" applyBorder="1" applyAlignment="1" applyProtection="1">
      <alignment horizontal="left" vertical="top" wrapText="1"/>
      <protection locked="0"/>
    </xf>
    <xf numFmtId="0" fontId="17" fillId="0" borderId="5" xfId="0" applyFont="1" applyBorder="1" applyAlignment="1" applyProtection="1">
      <alignment horizontal="left" vertical="top" wrapText="1"/>
      <protection locked="0"/>
    </xf>
    <xf numFmtId="0" fontId="17" fillId="0" borderId="6" xfId="0" applyFont="1" applyBorder="1" applyAlignment="1" applyProtection="1">
      <alignment horizontal="left" vertical="top" wrapText="1"/>
      <protection locked="0"/>
    </xf>
    <xf numFmtId="0" fontId="22" fillId="8" borderId="9"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8" xfId="0" applyFont="1" applyFill="1" applyBorder="1" applyAlignment="1">
      <alignment horizontal="center" vertical="center"/>
    </xf>
    <xf numFmtId="0" fontId="22" fillId="2" borderId="10" xfId="0" applyFont="1" applyFill="1" applyBorder="1" applyAlignment="1" applyProtection="1">
      <alignment horizontal="center" vertical="top"/>
      <protection hidden="1"/>
    </xf>
    <xf numFmtId="0" fontId="17" fillId="2" borderId="5" xfId="0" applyFont="1" applyFill="1" applyBorder="1" applyAlignment="1" applyProtection="1">
      <alignment horizontal="center"/>
      <protection hidden="1"/>
    </xf>
    <xf numFmtId="0" fontId="22" fillId="2" borderId="0" xfId="0" applyFont="1" applyFill="1" applyAlignment="1" applyProtection="1">
      <alignment horizontal="left" vertical="center" wrapText="1"/>
      <protection hidden="1"/>
    </xf>
    <xf numFmtId="0" fontId="22" fillId="3" borderId="9" xfId="0" applyFont="1" applyFill="1" applyBorder="1" applyAlignment="1" applyProtection="1">
      <alignment horizontal="center" vertical="center"/>
      <protection hidden="1"/>
    </xf>
    <xf numFmtId="0" fontId="22" fillId="3" borderId="7" xfId="0" applyFont="1" applyFill="1" applyBorder="1" applyAlignment="1" applyProtection="1">
      <alignment horizontal="center" vertical="center"/>
      <protection hidden="1"/>
    </xf>
    <xf numFmtId="0" fontId="22" fillId="3" borderId="8" xfId="0" applyFont="1" applyFill="1" applyBorder="1" applyAlignment="1" applyProtection="1">
      <alignment horizontal="center" vertical="center"/>
      <protection hidden="1"/>
    </xf>
    <xf numFmtId="0" fontId="24" fillId="2" borderId="5" xfId="0" applyFont="1" applyFill="1" applyBorder="1" applyAlignment="1" applyProtection="1">
      <alignment horizontal="justify" wrapText="1"/>
      <protection hidden="1"/>
    </xf>
    <xf numFmtId="0" fontId="22" fillId="3" borderId="9" xfId="0" applyFont="1" applyFill="1" applyBorder="1" applyAlignment="1" applyProtection="1">
      <alignment horizontal="left" vertical="center"/>
      <protection hidden="1"/>
    </xf>
    <xf numFmtId="0" fontId="22" fillId="3" borderId="7" xfId="0" applyFont="1" applyFill="1" applyBorder="1" applyAlignment="1" applyProtection="1">
      <alignment horizontal="left" vertical="center"/>
      <protection hidden="1"/>
    </xf>
    <xf numFmtId="0" fontId="22" fillId="3" borderId="8" xfId="0" applyFont="1" applyFill="1" applyBorder="1" applyAlignment="1" applyProtection="1">
      <alignment horizontal="left" vertical="center"/>
      <protection hidden="1"/>
    </xf>
    <xf numFmtId="0" fontId="22" fillId="0" borderId="9" xfId="0" applyFont="1" applyBorder="1" applyAlignment="1" applyProtection="1">
      <alignment horizontal="center" vertical="top" wrapText="1"/>
      <protection locked="0"/>
    </xf>
    <xf numFmtId="0" fontId="22" fillId="0" borderId="7" xfId="0" applyFont="1" applyBorder="1" applyAlignment="1" applyProtection="1">
      <alignment horizontal="center" vertical="top" wrapText="1"/>
      <protection locked="0"/>
    </xf>
    <xf numFmtId="0" fontId="22" fillId="0" borderId="8" xfId="0" applyFont="1" applyBorder="1" applyAlignment="1" applyProtection="1">
      <alignment horizontal="center" vertical="top" wrapText="1"/>
      <protection locked="0"/>
    </xf>
    <xf numFmtId="0" fontId="17" fillId="3" borderId="19" xfId="0" applyFont="1" applyFill="1" applyBorder="1" applyAlignment="1" applyProtection="1">
      <alignment vertical="top" wrapText="1"/>
      <protection hidden="1"/>
    </xf>
    <xf numFmtId="0" fontId="17" fillId="3" borderId="10" xfId="0" applyFont="1" applyFill="1" applyBorder="1" applyAlignment="1" applyProtection="1">
      <alignment vertical="top" wrapText="1"/>
      <protection hidden="1"/>
    </xf>
    <xf numFmtId="0" fontId="17" fillId="3" borderId="3" xfId="0" applyFont="1" applyFill="1" applyBorder="1" applyAlignment="1" applyProtection="1">
      <alignment vertical="top" wrapText="1"/>
      <protection hidden="1"/>
    </xf>
    <xf numFmtId="0" fontId="17" fillId="3" borderId="1" xfId="0" applyFont="1" applyFill="1" applyBorder="1" applyAlignment="1" applyProtection="1">
      <alignment vertical="top" wrapText="1"/>
      <protection hidden="1"/>
    </xf>
    <xf numFmtId="0" fontId="17" fillId="3" borderId="0" xfId="0" applyFont="1" applyFill="1" applyAlignment="1" applyProtection="1">
      <alignment vertical="top" wrapText="1"/>
      <protection hidden="1"/>
    </xf>
    <xf numFmtId="0" fontId="17" fillId="3" borderId="2" xfId="0" applyFont="1" applyFill="1" applyBorder="1" applyAlignment="1" applyProtection="1">
      <alignment vertical="top" wrapText="1"/>
      <protection hidden="1"/>
    </xf>
    <xf numFmtId="0" fontId="17" fillId="3" borderId="4" xfId="0" applyFont="1" applyFill="1" applyBorder="1" applyAlignment="1" applyProtection="1">
      <alignment vertical="top" wrapText="1"/>
      <protection hidden="1"/>
    </xf>
    <xf numFmtId="0" fontId="17" fillId="3" borderId="5" xfId="0" applyFont="1" applyFill="1" applyBorder="1" applyAlignment="1" applyProtection="1">
      <alignment vertical="top" wrapText="1"/>
      <protection hidden="1"/>
    </xf>
    <xf numFmtId="0" fontId="17" fillId="3" borderId="6" xfId="0" applyFont="1" applyFill="1" applyBorder="1" applyAlignment="1" applyProtection="1">
      <alignment vertical="top" wrapText="1"/>
      <protection hidden="1"/>
    </xf>
    <xf numFmtId="14" fontId="22" fillId="0" borderId="9" xfId="0" applyNumberFormat="1" applyFont="1" applyBorder="1" applyAlignment="1" applyProtection="1">
      <alignment horizontal="center" vertical="top" wrapText="1"/>
      <protection locked="0"/>
    </xf>
    <xf numFmtId="14" fontId="22" fillId="0" borderId="7" xfId="0" applyNumberFormat="1" applyFont="1" applyBorder="1" applyAlignment="1" applyProtection="1">
      <alignment horizontal="center" vertical="top" wrapText="1"/>
      <protection locked="0"/>
    </xf>
    <xf numFmtId="14" fontId="22" fillId="0" borderId="8" xfId="0" applyNumberFormat="1" applyFont="1" applyBorder="1" applyAlignment="1" applyProtection="1">
      <alignment horizontal="center" vertical="top" wrapText="1"/>
      <protection locked="0"/>
    </xf>
    <xf numFmtId="0" fontId="22" fillId="3" borderId="12" xfId="0" applyFont="1" applyFill="1" applyBorder="1" applyAlignment="1" applyProtection="1">
      <alignment horizontal="center" vertical="center" wrapText="1"/>
      <protection hidden="1"/>
    </xf>
    <xf numFmtId="0" fontId="22" fillId="3" borderId="12" xfId="0" applyFont="1" applyFill="1" applyBorder="1" applyAlignment="1" applyProtection="1">
      <alignment horizontal="center" vertical="center"/>
      <protection hidden="1"/>
    </xf>
    <xf numFmtId="0" fontId="17" fillId="0" borderId="19" xfId="0" applyFont="1" applyBorder="1" applyAlignment="1" applyProtection="1">
      <alignment horizontal="left"/>
      <protection hidden="1"/>
    </xf>
    <xf numFmtId="0" fontId="17" fillId="0" borderId="10" xfId="0" applyFont="1" applyBorder="1" applyAlignment="1" applyProtection="1">
      <alignment horizontal="left"/>
      <protection hidden="1"/>
    </xf>
    <xf numFmtId="0" fontId="68" fillId="0" borderId="0" xfId="0" applyFont="1" applyAlignment="1" applyProtection="1">
      <alignment horizontal="justify" vertical="center" wrapText="1"/>
      <protection hidden="1"/>
    </xf>
    <xf numFmtId="0" fontId="37" fillId="4" borderId="12" xfId="0" applyFont="1" applyFill="1" applyBorder="1" applyAlignment="1" applyProtection="1">
      <alignment horizontal="left"/>
      <protection hidden="1"/>
    </xf>
    <xf numFmtId="0" fontId="17" fillId="4" borderId="0" xfId="0" applyFont="1" applyFill="1" applyAlignment="1" applyProtection="1">
      <alignment horizontal="left"/>
      <protection hidden="1"/>
    </xf>
    <xf numFmtId="0" fontId="61" fillId="2" borderId="12" xfId="0" applyFont="1" applyFill="1" applyBorder="1" applyAlignment="1" applyProtection="1">
      <alignment horizontal="center" vertical="center"/>
      <protection hidden="1"/>
    </xf>
    <xf numFmtId="0" fontId="83" fillId="4" borderId="12" xfId="0" applyFont="1" applyFill="1" applyBorder="1" applyAlignment="1" applyProtection="1">
      <alignment horizontal="left" vertical="center"/>
      <protection hidden="1"/>
    </xf>
    <xf numFmtId="0" fontId="17" fillId="4" borderId="12" xfId="0" applyFont="1" applyFill="1" applyBorder="1" applyAlignment="1">
      <alignment horizontal="center" vertical="center"/>
    </xf>
    <xf numFmtId="0" fontId="29" fillId="4" borderId="0" xfId="0" applyFont="1" applyFill="1" applyAlignment="1" applyProtection="1">
      <alignment horizontal="left"/>
      <protection hidden="1"/>
    </xf>
    <xf numFmtId="0" fontId="37" fillId="4" borderId="9" xfId="0" applyFont="1" applyFill="1" applyBorder="1" applyAlignment="1" applyProtection="1">
      <alignment horizontal="left"/>
      <protection hidden="1"/>
    </xf>
    <xf numFmtId="0" fontId="37" fillId="4" borderId="8" xfId="0" applyFont="1" applyFill="1" applyBorder="1" applyAlignment="1" applyProtection="1">
      <alignment horizontal="left"/>
      <protection hidden="1"/>
    </xf>
    <xf numFmtId="0" fontId="37" fillId="4" borderId="21" xfId="0" applyFont="1" applyFill="1" applyBorder="1" applyAlignment="1" applyProtection="1">
      <alignment horizontal="left"/>
      <protection hidden="1"/>
    </xf>
    <xf numFmtId="0" fontId="37" fillId="4" borderId="19" xfId="0" applyFont="1" applyFill="1" applyBorder="1" applyAlignment="1" applyProtection="1">
      <alignment horizontal="left"/>
      <protection hidden="1"/>
    </xf>
    <xf numFmtId="0" fontId="28" fillId="4" borderId="9" xfId="0" applyFont="1" applyFill="1" applyBorder="1" applyAlignment="1" applyProtection="1">
      <alignment horizontal="left" vertical="center"/>
      <protection hidden="1"/>
    </xf>
    <xf numFmtId="0" fontId="28" fillId="4" borderId="7" xfId="0" applyFont="1" applyFill="1" applyBorder="1" applyAlignment="1" applyProtection="1">
      <alignment horizontal="left" vertical="center"/>
      <protection hidden="1"/>
    </xf>
    <xf numFmtId="0" fontId="22" fillId="0" borderId="12" xfId="0" applyFont="1" applyBorder="1" applyAlignment="1" applyProtection="1">
      <alignment horizontal="left" vertical="center" wrapText="1"/>
      <protection locked="0"/>
    </xf>
    <xf numFmtId="166" fontId="19" fillId="0" borderId="0" xfId="0" applyNumberFormat="1" applyFont="1" applyAlignment="1" applyProtection="1">
      <alignment horizontal="center"/>
      <protection hidden="1"/>
    </xf>
    <xf numFmtId="0" fontId="22" fillId="0" borderId="21" xfId="0" applyFont="1" applyBorder="1"/>
    <xf numFmtId="0" fontId="22" fillId="0" borderId="18" xfId="0" applyFont="1" applyBorder="1"/>
    <xf numFmtId="0" fontId="22" fillId="0" borderId="21" xfId="0" applyFont="1" applyBorder="1" applyAlignment="1">
      <alignment horizontal="center"/>
    </xf>
    <xf numFmtId="0" fontId="22" fillId="0" borderId="18" xfId="0" applyFont="1" applyBorder="1" applyAlignment="1">
      <alignment horizontal="center"/>
    </xf>
    <xf numFmtId="0" fontId="17" fillId="0" borderId="18" xfId="0" applyFont="1" applyBorder="1" applyAlignment="1" applyProtection="1">
      <alignment horizontal="left"/>
      <protection locked="0"/>
    </xf>
    <xf numFmtId="0" fontId="17" fillId="2" borderId="0" xfId="0" applyFont="1" applyFill="1" applyAlignment="1" applyProtection="1">
      <alignment horizontal="left"/>
      <protection hidden="1"/>
    </xf>
    <xf numFmtId="3" fontId="46" fillId="5" borderId="12" xfId="0" applyNumberFormat="1" applyFont="1" applyFill="1" applyBorder="1" applyAlignment="1" applyProtection="1">
      <alignment horizontal="left" vertical="justify"/>
      <protection hidden="1"/>
    </xf>
    <xf numFmtId="0" fontId="17" fillId="5" borderId="19" xfId="0" applyFont="1" applyFill="1" applyBorder="1" applyAlignment="1" applyProtection="1">
      <alignment horizontal="left"/>
      <protection hidden="1"/>
    </xf>
    <xf numFmtId="0" fontId="17" fillId="5" borderId="10" xfId="0" applyFont="1" applyFill="1" applyBorder="1" applyAlignment="1" applyProtection="1">
      <alignment horizontal="left"/>
      <protection hidden="1"/>
    </xf>
    <xf numFmtId="0" fontId="17" fillId="5" borderId="3" xfId="0" applyFont="1" applyFill="1" applyBorder="1" applyAlignment="1" applyProtection="1">
      <alignment horizontal="left"/>
      <protection hidden="1"/>
    </xf>
    <xf numFmtId="0" fontId="17" fillId="4" borderId="9" xfId="0" applyFont="1" applyFill="1" applyBorder="1" applyAlignment="1" applyProtection="1">
      <alignment horizontal="left"/>
      <protection hidden="1"/>
    </xf>
    <xf numFmtId="0" fontId="17" fillId="4" borderId="7" xfId="0" applyFont="1" applyFill="1" applyBorder="1" applyAlignment="1" applyProtection="1">
      <alignment horizontal="left"/>
      <protection hidden="1"/>
    </xf>
    <xf numFmtId="0" fontId="17" fillId="4" borderId="8" xfId="0" applyFont="1" applyFill="1" applyBorder="1" applyAlignment="1" applyProtection="1">
      <alignment horizontal="left"/>
      <protection hidden="1"/>
    </xf>
    <xf numFmtId="0" fontId="17" fillId="4" borderId="12" xfId="0" applyFont="1" applyFill="1" applyBorder="1" applyAlignment="1" applyProtection="1">
      <alignment horizontal="left"/>
      <protection hidden="1"/>
    </xf>
    <xf numFmtId="0" fontId="17" fillId="0" borderId="0" xfId="0" applyFont="1" applyAlignment="1" applyProtection="1">
      <alignment horizontal="center"/>
      <protection hidden="1"/>
    </xf>
    <xf numFmtId="0" fontId="29" fillId="0" borderId="0" xfId="0" applyFont="1" applyAlignment="1" applyProtection="1">
      <alignment horizontal="left"/>
      <protection hidden="1"/>
    </xf>
    <xf numFmtId="0" fontId="19" fillId="3" borderId="12" xfId="0" applyFont="1" applyFill="1" applyBorder="1" applyAlignment="1">
      <alignment horizontal="left"/>
    </xf>
    <xf numFmtId="0" fontId="19" fillId="2" borderId="1" xfId="0" applyFont="1" applyFill="1" applyBorder="1" applyAlignment="1" applyProtection="1">
      <alignment horizontal="left"/>
      <protection hidden="1"/>
    </xf>
    <xf numFmtId="0" fontId="28" fillId="4" borderId="9" xfId="0" applyFont="1" applyFill="1" applyBorder="1" applyAlignment="1" applyProtection="1">
      <alignment horizontal="left"/>
      <protection hidden="1"/>
    </xf>
    <xf numFmtId="0" fontId="28" fillId="4" borderId="7" xfId="0" applyFont="1" applyFill="1" applyBorder="1" applyAlignment="1" applyProtection="1">
      <alignment horizontal="left"/>
      <protection hidden="1"/>
    </xf>
    <xf numFmtId="0" fontId="28" fillId="4" borderId="8" xfId="0" applyFont="1" applyFill="1" applyBorder="1" applyAlignment="1" applyProtection="1">
      <alignment horizontal="left"/>
      <protection hidden="1"/>
    </xf>
    <xf numFmtId="0" fontId="17" fillId="2" borderId="2" xfId="0" applyFont="1" applyFill="1" applyBorder="1" applyAlignment="1" applyProtection="1">
      <alignment horizontal="left"/>
      <protection hidden="1"/>
    </xf>
    <xf numFmtId="0" fontId="17" fillId="2" borderId="5" xfId="0" applyFont="1" applyFill="1" applyBorder="1" applyAlignment="1" applyProtection="1">
      <alignment horizontal="left"/>
      <protection hidden="1"/>
    </xf>
    <xf numFmtId="0" fontId="17" fillId="2" borderId="6" xfId="0" applyFont="1" applyFill="1" applyBorder="1" applyAlignment="1" applyProtection="1">
      <alignment horizontal="left"/>
      <protection hidden="1"/>
    </xf>
    <xf numFmtId="0" fontId="17" fillId="2" borderId="7" xfId="0" applyFont="1" applyFill="1" applyBorder="1" applyAlignment="1" applyProtection="1">
      <alignment horizontal="center"/>
      <protection hidden="1"/>
    </xf>
    <xf numFmtId="0" fontId="17" fillId="2" borderId="1" xfId="0" applyFont="1" applyFill="1" applyBorder="1" applyAlignment="1">
      <alignment horizontal="center"/>
    </xf>
    <xf numFmtId="0" fontId="17" fillId="2" borderId="0" xfId="0" applyFont="1" applyFill="1" applyAlignment="1">
      <alignment horizontal="center"/>
    </xf>
    <xf numFmtId="0" fontId="17" fillId="0" borderId="12" xfId="0" applyFont="1" applyBorder="1" applyAlignment="1" applyProtection="1">
      <alignment horizontal="left"/>
      <protection locked="0"/>
    </xf>
    <xf numFmtId="0" fontId="19" fillId="3" borderId="19" xfId="0" applyFont="1" applyFill="1" applyBorder="1" applyAlignment="1" applyProtection="1">
      <alignment horizontal="center"/>
      <protection hidden="1"/>
    </xf>
    <xf numFmtId="0" fontId="19" fillId="3" borderId="10" xfId="0" applyFont="1" applyFill="1" applyBorder="1" applyAlignment="1" applyProtection="1">
      <alignment horizontal="center"/>
      <protection hidden="1"/>
    </xf>
    <xf numFmtId="0" fontId="19" fillId="3" borderId="3" xfId="0" applyFont="1" applyFill="1" applyBorder="1" applyAlignment="1" applyProtection="1">
      <alignment horizontal="center"/>
      <protection hidden="1"/>
    </xf>
    <xf numFmtId="0" fontId="28" fillId="3" borderId="9" xfId="0" applyFont="1" applyFill="1" applyBorder="1" applyAlignment="1" applyProtection="1">
      <alignment horizontal="left"/>
      <protection hidden="1"/>
    </xf>
    <xf numFmtId="0" fontId="28" fillId="3" borderId="7" xfId="0" applyFont="1" applyFill="1" applyBorder="1" applyAlignment="1" applyProtection="1">
      <alignment horizontal="left"/>
      <protection hidden="1"/>
    </xf>
    <xf numFmtId="0" fontId="28" fillId="3" borderId="8" xfId="0" applyFont="1" applyFill="1" applyBorder="1" applyAlignment="1" applyProtection="1">
      <alignment horizontal="left"/>
      <protection hidden="1"/>
    </xf>
    <xf numFmtId="0" fontId="42" fillId="2" borderId="1" xfId="0" applyFont="1" applyFill="1" applyBorder="1" applyAlignment="1">
      <alignment horizontal="left"/>
    </xf>
    <xf numFmtId="0" fontId="42" fillId="2" borderId="0" xfId="0" applyFont="1" applyFill="1" applyAlignment="1">
      <alignment horizontal="left"/>
    </xf>
    <xf numFmtId="0" fontId="19" fillId="2" borderId="9" xfId="0" applyFont="1" applyFill="1" applyBorder="1" applyAlignment="1" applyProtection="1">
      <alignment horizontal="center"/>
      <protection hidden="1"/>
    </xf>
    <xf numFmtId="0" fontId="19" fillId="2" borderId="7" xfId="0" applyFont="1" applyFill="1" applyBorder="1" applyAlignment="1" applyProtection="1">
      <alignment horizontal="center"/>
      <protection hidden="1"/>
    </xf>
    <xf numFmtId="0" fontId="19" fillId="2" borderId="8" xfId="0" applyFont="1" applyFill="1" applyBorder="1" applyAlignment="1" applyProtection="1">
      <alignment horizontal="center"/>
      <protection hidden="1"/>
    </xf>
    <xf numFmtId="0" fontId="19" fillId="0" borderId="0" xfId="0" applyFont="1" applyAlignment="1" applyProtection="1">
      <alignment horizontal="center"/>
      <protection hidden="1"/>
    </xf>
    <xf numFmtId="0" fontId="22" fillId="3" borderId="21" xfId="0" applyFont="1" applyFill="1" applyBorder="1" applyAlignment="1" applyProtection="1">
      <alignment horizontal="center" vertical="center" wrapText="1"/>
      <protection hidden="1"/>
    </xf>
    <xf numFmtId="0" fontId="22" fillId="3" borderId="18" xfId="0" applyFont="1" applyFill="1" applyBorder="1" applyAlignment="1" applyProtection="1">
      <alignment horizontal="center" vertical="center" wrapText="1"/>
      <protection hidden="1"/>
    </xf>
    <xf numFmtId="0" fontId="19" fillId="2" borderId="1"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 xfId="0" applyFont="1" applyFill="1" applyBorder="1" applyAlignment="1" applyProtection="1">
      <alignment horizontal="center" vertical="center"/>
      <protection hidden="1"/>
    </xf>
    <xf numFmtId="0" fontId="28" fillId="2" borderId="4" xfId="0" applyFont="1" applyFill="1" applyBorder="1" applyAlignment="1" applyProtection="1">
      <alignment horizontal="left" vertical="center"/>
      <protection hidden="1"/>
    </xf>
    <xf numFmtId="0" fontId="28" fillId="2" borderId="5" xfId="0" applyFont="1" applyFill="1" applyBorder="1" applyAlignment="1" applyProtection="1">
      <alignment horizontal="left" vertical="center"/>
      <protection hidden="1"/>
    </xf>
    <xf numFmtId="0" fontId="28" fillId="2" borderId="6"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wrapText="1"/>
      <protection hidden="1"/>
    </xf>
    <xf numFmtId="0" fontId="19" fillId="3" borderId="12" xfId="0" applyFont="1" applyFill="1" applyBorder="1" applyAlignment="1" applyProtection="1">
      <alignment horizontal="left" vertical="center"/>
      <protection hidden="1"/>
    </xf>
    <xf numFmtId="0" fontId="17" fillId="3" borderId="12" xfId="0" applyFont="1" applyFill="1" applyBorder="1" applyAlignment="1" applyProtection="1">
      <alignment horizontal="center" vertical="center" wrapText="1"/>
      <protection hidden="1"/>
    </xf>
    <xf numFmtId="0" fontId="19" fillId="2" borderId="1" xfId="0" applyFont="1" applyFill="1" applyBorder="1" applyAlignment="1">
      <alignment horizontal="left" vertical="center" wrapText="1"/>
    </xf>
    <xf numFmtId="0" fontId="19" fillId="2" borderId="0" xfId="0" applyFont="1" applyFill="1" applyAlignment="1">
      <alignment horizontal="left" vertical="center" wrapText="1"/>
    </xf>
    <xf numFmtId="0" fontId="17" fillId="2" borderId="9" xfId="0" applyFont="1" applyFill="1" applyBorder="1" applyAlignment="1" applyProtection="1">
      <alignment horizontal="left"/>
      <protection hidden="1"/>
    </xf>
    <xf numFmtId="0" fontId="17" fillId="2" borderId="7" xfId="0" applyFont="1" applyFill="1" applyBorder="1" applyAlignment="1" applyProtection="1">
      <alignment horizontal="left"/>
      <protection hidden="1"/>
    </xf>
    <xf numFmtId="0" fontId="17" fillId="2" borderId="8" xfId="0" applyFont="1" applyFill="1" applyBorder="1" applyAlignment="1" applyProtection="1">
      <alignment horizontal="left"/>
      <protection hidden="1"/>
    </xf>
    <xf numFmtId="0" fontId="22" fillId="2" borderId="4" xfId="0" applyFont="1" applyFill="1" applyBorder="1" applyAlignment="1" applyProtection="1">
      <alignment horizontal="center"/>
      <protection hidden="1"/>
    </xf>
    <xf numFmtId="0" fontId="22" fillId="2" borderId="5" xfId="0" applyFont="1" applyFill="1" applyBorder="1" applyAlignment="1" applyProtection="1">
      <alignment horizontal="center"/>
      <protection hidden="1"/>
    </xf>
    <xf numFmtId="0" fontId="22" fillId="2" borderId="0" xfId="0" applyFont="1" applyFill="1" applyAlignment="1" applyProtection="1">
      <alignment horizontal="center"/>
      <protection hidden="1"/>
    </xf>
    <xf numFmtId="0" fontId="22" fillId="2" borderId="8" xfId="0" applyFont="1" applyFill="1" applyBorder="1" applyAlignment="1" applyProtection="1">
      <alignment horizontal="center"/>
      <protection hidden="1"/>
    </xf>
    <xf numFmtId="0" fontId="17" fillId="0" borderId="21" xfId="0" applyFont="1" applyBorder="1" applyAlignment="1" applyProtection="1">
      <alignment horizontal="left"/>
      <protection locked="0"/>
    </xf>
    <xf numFmtId="0" fontId="17" fillId="0" borderId="10" xfId="0" applyFont="1" applyBorder="1" applyAlignment="1" applyProtection="1">
      <alignment horizontal="center"/>
      <protection hidden="1"/>
    </xf>
    <xf numFmtId="0" fontId="19" fillId="3" borderId="9" xfId="0" applyFont="1" applyFill="1" applyBorder="1" applyAlignment="1" applyProtection="1">
      <alignment horizontal="left"/>
      <protection hidden="1"/>
    </xf>
    <xf numFmtId="0" fontId="19" fillId="3" borderId="7" xfId="0" applyFont="1" applyFill="1" applyBorder="1" applyAlignment="1" applyProtection="1">
      <alignment horizontal="left"/>
      <protection hidden="1"/>
    </xf>
    <xf numFmtId="0" fontId="19" fillId="3" borderId="8" xfId="0" applyFont="1" applyFill="1" applyBorder="1" applyAlignment="1" applyProtection="1">
      <alignment horizontal="left"/>
      <protection hidden="1"/>
    </xf>
    <xf numFmtId="3" fontId="28" fillId="5" borderId="12" xfId="0" applyNumberFormat="1" applyFont="1" applyFill="1" applyBorder="1" applyAlignment="1" applyProtection="1">
      <alignment horizontal="left" vertical="justify"/>
      <protection hidden="1"/>
    </xf>
    <xf numFmtId="0" fontId="19" fillId="3" borderId="12" xfId="0" applyFont="1" applyFill="1" applyBorder="1" applyAlignment="1" applyProtection="1">
      <alignment horizontal="left"/>
      <protection hidden="1"/>
    </xf>
    <xf numFmtId="0" fontId="425" fillId="17" borderId="9" xfId="0" quotePrefix="1" applyFont="1" applyFill="1" applyBorder="1" applyAlignment="1" applyProtection="1">
      <alignment horizontal="left"/>
      <protection hidden="1"/>
    </xf>
    <xf numFmtId="0" fontId="425" fillId="17" borderId="7" xfId="0" applyFont="1" applyFill="1" applyBorder="1" applyAlignment="1" applyProtection="1">
      <alignment horizontal="left"/>
      <protection hidden="1"/>
    </xf>
    <xf numFmtId="0" fontId="17" fillId="4" borderId="12" xfId="0" applyFont="1" applyFill="1" applyBorder="1" applyAlignment="1" applyProtection="1">
      <alignment horizontal="center" vertical="center" wrapText="1"/>
      <protection hidden="1"/>
    </xf>
    <xf numFmtId="0" fontId="19" fillId="0" borderId="0" xfId="0" applyFont="1" applyAlignment="1" applyProtection="1">
      <alignment horizontal="center" wrapText="1"/>
      <protection hidden="1"/>
    </xf>
    <xf numFmtId="3" fontId="28" fillId="3" borderId="12" xfId="0" applyNumberFormat="1" applyFont="1" applyFill="1" applyBorder="1" applyAlignment="1" applyProtection="1">
      <alignment horizontal="left" vertical="center"/>
      <protection hidden="1"/>
    </xf>
    <xf numFmtId="3" fontId="22" fillId="3" borderId="12" xfId="0" applyNumberFormat="1" applyFont="1" applyFill="1" applyBorder="1" applyAlignment="1" applyProtection="1">
      <alignment horizontal="center" vertical="center" wrapText="1"/>
      <protection hidden="1"/>
    </xf>
    <xf numFmtId="0" fontId="15" fillId="5" borderId="12" xfId="0" applyFont="1" applyFill="1" applyBorder="1" applyAlignment="1" applyProtection="1">
      <alignment horizontal="left"/>
      <protection hidden="1"/>
    </xf>
    <xf numFmtId="0" fontId="22" fillId="3" borderId="19" xfId="0" applyFont="1" applyFill="1" applyBorder="1" applyAlignment="1" applyProtection="1">
      <alignment horizontal="center" vertical="center"/>
      <protection hidden="1"/>
    </xf>
    <xf numFmtId="0" fontId="22" fillId="3" borderId="3" xfId="0" applyFont="1" applyFill="1" applyBorder="1" applyAlignment="1" applyProtection="1">
      <alignment horizontal="center" vertical="center"/>
      <protection hidden="1"/>
    </xf>
    <xf numFmtId="0" fontId="22" fillId="3" borderId="4" xfId="0" applyFont="1" applyFill="1" applyBorder="1" applyAlignment="1" applyProtection="1">
      <alignment horizontal="center" vertical="center"/>
      <protection hidden="1"/>
    </xf>
    <xf numFmtId="0" fontId="22" fillId="3" borderId="6" xfId="0" applyFont="1" applyFill="1" applyBorder="1" applyAlignment="1" applyProtection="1">
      <alignment horizontal="center" vertical="center"/>
      <protection hidden="1"/>
    </xf>
    <xf numFmtId="0" fontId="17" fillId="2" borderId="9" xfId="0" quotePrefix="1" applyFont="1" applyFill="1" applyBorder="1" applyAlignment="1" applyProtection="1">
      <alignment horizontal="left"/>
      <protection hidden="1"/>
    </xf>
    <xf numFmtId="0" fontId="22" fillId="2" borderId="0" xfId="0" applyFont="1" applyFill="1" applyAlignment="1" applyProtection="1">
      <alignment horizontal="center" vertical="center"/>
      <protection hidden="1"/>
    </xf>
    <xf numFmtId="0" fontId="22" fillId="2" borderId="0" xfId="0" applyFont="1" applyFill="1" applyAlignment="1" applyProtection="1">
      <alignment horizontal="left" vertical="center"/>
      <protection hidden="1"/>
    </xf>
    <xf numFmtId="3" fontId="22" fillId="4" borderId="21" xfId="0" applyNumberFormat="1" applyFont="1" applyFill="1" applyBorder="1" applyAlignment="1" applyProtection="1">
      <alignment horizontal="center" vertical="center" wrapText="1"/>
      <protection hidden="1"/>
    </xf>
    <xf numFmtId="3" fontId="22" fillId="4" borderId="18" xfId="0" applyNumberFormat="1" applyFont="1" applyFill="1" applyBorder="1" applyAlignment="1" applyProtection="1">
      <alignment horizontal="center" vertical="center" wrapText="1"/>
      <protection hidden="1"/>
    </xf>
    <xf numFmtId="3" fontId="22" fillId="4" borderId="9" xfId="0" applyNumberFormat="1" applyFont="1" applyFill="1" applyBorder="1" applyAlignment="1" applyProtection="1">
      <alignment horizontal="center" vertical="center" wrapText="1"/>
      <protection hidden="1"/>
    </xf>
    <xf numFmtId="3" fontId="22" fillId="4" borderId="7" xfId="0" applyNumberFormat="1" applyFont="1" applyFill="1" applyBorder="1" applyAlignment="1" applyProtection="1">
      <alignment horizontal="center" vertical="center" wrapText="1"/>
      <protection hidden="1"/>
    </xf>
    <xf numFmtId="3" fontId="22" fillId="4" borderId="8" xfId="0" applyNumberFormat="1" applyFont="1" applyFill="1" applyBorder="1" applyAlignment="1" applyProtection="1">
      <alignment horizontal="center" vertical="center" wrapText="1"/>
      <protection hidden="1"/>
    </xf>
    <xf numFmtId="0" fontId="19" fillId="3" borderId="19" xfId="0" applyFont="1" applyFill="1" applyBorder="1" applyAlignment="1" applyProtection="1">
      <alignment horizontal="right" vertical="center"/>
      <protection hidden="1"/>
    </xf>
    <xf numFmtId="0" fontId="19" fillId="3" borderId="10" xfId="0" applyFont="1" applyFill="1" applyBorder="1" applyAlignment="1" applyProtection="1">
      <alignment horizontal="right" vertical="center"/>
      <protection hidden="1"/>
    </xf>
    <xf numFmtId="0" fontId="19" fillId="3" borderId="3" xfId="0" applyFont="1" applyFill="1" applyBorder="1" applyAlignment="1" applyProtection="1">
      <alignment horizontal="right" vertical="center"/>
      <protection hidden="1"/>
    </xf>
    <xf numFmtId="0" fontId="19" fillId="3" borderId="4" xfId="0" applyFont="1" applyFill="1" applyBorder="1" applyAlignment="1" applyProtection="1">
      <alignment horizontal="right" vertical="center"/>
      <protection hidden="1"/>
    </xf>
    <xf numFmtId="0" fontId="19" fillId="3" borderId="5" xfId="0" applyFont="1" applyFill="1" applyBorder="1" applyAlignment="1" applyProtection="1">
      <alignment horizontal="right" vertical="center"/>
      <protection hidden="1"/>
    </xf>
    <xf numFmtId="0" fontId="19" fillId="3" borderId="6" xfId="0" applyFont="1" applyFill="1" applyBorder="1" applyAlignment="1" applyProtection="1">
      <alignment horizontal="right" vertical="center"/>
      <protection hidden="1"/>
    </xf>
    <xf numFmtId="0" fontId="28" fillId="3" borderId="12" xfId="0" applyFont="1" applyFill="1" applyBorder="1" applyAlignment="1" applyProtection="1">
      <alignment horizontal="left" vertical="center" wrapText="1"/>
      <protection hidden="1"/>
    </xf>
    <xf numFmtId="0" fontId="46" fillId="3" borderId="12" xfId="0" applyFont="1" applyFill="1" applyBorder="1" applyAlignment="1" applyProtection="1">
      <alignment horizontal="left" vertical="center" wrapText="1"/>
      <protection hidden="1"/>
    </xf>
    <xf numFmtId="0" fontId="22" fillId="3" borderId="8" xfId="0" applyFont="1" applyFill="1" applyBorder="1" applyAlignment="1" applyProtection="1">
      <alignment horizontal="center" vertical="center" wrapText="1"/>
      <protection hidden="1"/>
    </xf>
    <xf numFmtId="0" fontId="72" fillId="3" borderId="20" xfId="0" applyFont="1" applyFill="1" applyBorder="1" applyAlignment="1" applyProtection="1">
      <alignment horizontal="center" vertical="center" wrapText="1"/>
      <protection hidden="1"/>
    </xf>
    <xf numFmtId="0" fontId="72" fillId="3" borderId="18" xfId="0" applyFont="1" applyFill="1" applyBorder="1" applyAlignment="1" applyProtection="1">
      <alignment horizontal="center" vertical="center" wrapText="1"/>
      <protection hidden="1"/>
    </xf>
    <xf numFmtId="0" fontId="12" fillId="3" borderId="21" xfId="0" applyFont="1" applyFill="1" applyBorder="1" applyAlignment="1" applyProtection="1">
      <alignment horizontal="justify" vertical="center" wrapText="1"/>
      <protection hidden="1"/>
    </xf>
    <xf numFmtId="0" fontId="12" fillId="3" borderId="20" xfId="0" applyFont="1" applyFill="1" applyBorder="1" applyAlignment="1" applyProtection="1">
      <alignment horizontal="justify" vertical="center" wrapText="1"/>
      <protection hidden="1"/>
    </xf>
    <xf numFmtId="0" fontId="12" fillId="3" borderId="18" xfId="0" applyFont="1" applyFill="1" applyBorder="1" applyAlignment="1" applyProtection="1">
      <alignment horizontal="justify" vertical="center" wrapText="1"/>
      <protection hidden="1"/>
    </xf>
    <xf numFmtId="3" fontId="22" fillId="2" borderId="0" xfId="0" applyNumberFormat="1" applyFont="1" applyFill="1" applyAlignment="1" applyProtection="1">
      <alignment horizontal="center" vertical="center" wrapText="1"/>
      <protection hidden="1"/>
    </xf>
    <xf numFmtId="0" fontId="22" fillId="3" borderId="20" xfId="0" applyFont="1" applyFill="1" applyBorder="1" applyAlignment="1" applyProtection="1">
      <alignment horizontal="center" vertical="center" wrapText="1"/>
      <protection hidden="1"/>
    </xf>
    <xf numFmtId="3" fontId="22" fillId="3" borderId="9" xfId="0" applyNumberFormat="1" applyFont="1" applyFill="1" applyBorder="1" applyAlignment="1" applyProtection="1">
      <alignment horizontal="center" vertical="center" wrapText="1"/>
      <protection hidden="1"/>
    </xf>
    <xf numFmtId="0" fontId="28" fillId="4" borderId="19" xfId="0" applyFont="1" applyFill="1" applyBorder="1" applyAlignment="1" applyProtection="1">
      <alignment horizontal="right" vertical="center"/>
      <protection hidden="1"/>
    </xf>
    <xf numFmtId="0" fontId="28" fillId="4" borderId="10" xfId="0" applyFont="1" applyFill="1" applyBorder="1" applyAlignment="1" applyProtection="1">
      <alignment horizontal="right" vertical="center"/>
      <protection hidden="1"/>
    </xf>
    <xf numFmtId="0" fontId="28" fillId="4" borderId="3" xfId="0" applyFont="1" applyFill="1" applyBorder="1" applyAlignment="1" applyProtection="1">
      <alignment horizontal="right" vertical="center"/>
      <protection hidden="1"/>
    </xf>
    <xf numFmtId="0" fontId="28" fillId="4" borderId="1" xfId="0" applyFont="1" applyFill="1" applyBorder="1" applyAlignment="1" applyProtection="1">
      <alignment horizontal="right" vertical="center"/>
      <protection hidden="1"/>
    </xf>
    <xf numFmtId="0" fontId="28" fillId="4" borderId="0" xfId="0" applyFont="1" applyFill="1" applyAlignment="1" applyProtection="1">
      <alignment horizontal="right" vertical="center"/>
      <protection hidden="1"/>
    </xf>
    <xf numFmtId="0" fontId="28" fillId="4" borderId="2" xfId="0" applyFont="1" applyFill="1" applyBorder="1" applyAlignment="1" applyProtection="1">
      <alignment horizontal="right" vertical="center"/>
      <protection hidden="1"/>
    </xf>
    <xf numFmtId="3" fontId="22" fillId="3" borderId="8" xfId="0" applyNumberFormat="1" applyFont="1" applyFill="1" applyBorder="1" applyAlignment="1" applyProtection="1">
      <alignment horizontal="center" vertical="center" wrapText="1"/>
      <protection hidden="1"/>
    </xf>
    <xf numFmtId="3" fontId="22" fillId="3" borderId="21" xfId="0" applyNumberFormat="1" applyFont="1" applyFill="1" applyBorder="1" applyAlignment="1" applyProtection="1">
      <alignment horizontal="center" vertical="center" wrapText="1"/>
      <protection hidden="1"/>
    </xf>
    <xf numFmtId="3" fontId="22" fillId="3" borderId="18" xfId="0" applyNumberFormat="1" applyFont="1" applyFill="1" applyBorder="1" applyAlignment="1" applyProtection="1">
      <alignment horizontal="center" vertical="center" wrapText="1"/>
      <protection hidden="1"/>
    </xf>
    <xf numFmtId="0" fontId="19" fillId="2" borderId="9" xfId="0" applyFont="1" applyFill="1" applyBorder="1" applyAlignment="1" applyProtection="1">
      <alignment horizontal="left"/>
      <protection hidden="1"/>
    </xf>
    <xf numFmtId="0" fontId="19" fillId="2" borderId="7" xfId="0" applyFont="1" applyFill="1" applyBorder="1" applyAlignment="1" applyProtection="1">
      <alignment horizontal="left"/>
      <protection hidden="1"/>
    </xf>
    <xf numFmtId="0" fontId="15" fillId="5" borderId="9" xfId="0" applyFont="1" applyFill="1" applyBorder="1" applyAlignment="1" applyProtection="1">
      <alignment horizontal="left"/>
      <protection hidden="1"/>
    </xf>
    <xf numFmtId="0" fontId="15" fillId="5" borderId="7" xfId="0" applyFont="1" applyFill="1" applyBorder="1" applyAlignment="1" applyProtection="1">
      <alignment horizontal="left"/>
      <protection hidden="1"/>
    </xf>
    <xf numFmtId="0" fontId="15" fillId="5" borderId="8" xfId="0" applyFont="1" applyFill="1" applyBorder="1" applyAlignment="1" applyProtection="1">
      <alignment horizontal="left"/>
      <protection hidden="1"/>
    </xf>
    <xf numFmtId="0" fontId="28" fillId="3" borderId="18" xfId="0" applyFont="1" applyFill="1" applyBorder="1" applyAlignment="1" applyProtection="1">
      <alignment horizontal="left" vertical="center" wrapText="1"/>
      <protection hidden="1"/>
    </xf>
    <xf numFmtId="0" fontId="19" fillId="3" borderId="12" xfId="0" applyFont="1" applyFill="1" applyBorder="1" applyAlignment="1" applyProtection="1">
      <alignment horizontal="left" vertical="center" wrapText="1"/>
      <protection hidden="1"/>
    </xf>
    <xf numFmtId="3" fontId="22" fillId="3" borderId="20" xfId="0" applyNumberFormat="1" applyFont="1" applyFill="1" applyBorder="1" applyAlignment="1" applyProtection="1">
      <alignment horizontal="center" vertical="center" wrapText="1"/>
      <protection hidden="1"/>
    </xf>
    <xf numFmtId="0" fontId="22" fillId="2" borderId="0" xfId="0" applyFont="1" applyFill="1" applyAlignment="1" applyProtection="1">
      <alignment horizontal="center" vertical="center" wrapText="1"/>
      <protection hidden="1"/>
    </xf>
    <xf numFmtId="0" fontId="22" fillId="4" borderId="9" xfId="0" applyFont="1" applyFill="1" applyBorder="1" applyAlignment="1" applyProtection="1">
      <alignment horizontal="center" vertical="center" wrapText="1"/>
      <protection hidden="1"/>
    </xf>
    <xf numFmtId="0" fontId="22" fillId="4" borderId="7" xfId="0" applyFont="1" applyFill="1" applyBorder="1" applyAlignment="1" applyProtection="1">
      <alignment horizontal="center" vertical="center" wrapText="1"/>
      <protection hidden="1"/>
    </xf>
    <xf numFmtId="0" fontId="22" fillId="4" borderId="8" xfId="0" applyFont="1" applyFill="1" applyBorder="1" applyAlignment="1" applyProtection="1">
      <alignment horizontal="center" vertical="center" wrapText="1"/>
      <protection hidden="1"/>
    </xf>
    <xf numFmtId="0" fontId="22" fillId="8" borderId="12" xfId="0" applyFont="1" applyFill="1" applyBorder="1" applyAlignment="1" applyProtection="1">
      <alignment horizontal="left"/>
      <protection locked="0"/>
    </xf>
    <xf numFmtId="0" fontId="105" fillId="3" borderId="21" xfId="0" applyFont="1" applyFill="1" applyBorder="1" applyAlignment="1" applyProtection="1">
      <alignment horizontal="left"/>
      <protection hidden="1"/>
    </xf>
    <xf numFmtId="0" fontId="19" fillId="4" borderId="19" xfId="0" applyFont="1" applyFill="1" applyBorder="1" applyAlignment="1" applyProtection="1">
      <alignment horizontal="center" wrapText="1"/>
      <protection hidden="1"/>
    </xf>
    <xf numFmtId="0" fontId="19" fillId="4" borderId="10" xfId="0" applyFont="1" applyFill="1" applyBorder="1" applyAlignment="1" applyProtection="1">
      <alignment horizontal="center" wrapText="1"/>
      <protection hidden="1"/>
    </xf>
    <xf numFmtId="0" fontId="19" fillId="4" borderId="1" xfId="0" applyFont="1" applyFill="1" applyBorder="1" applyAlignment="1" applyProtection="1">
      <alignment horizontal="right"/>
      <protection hidden="1"/>
    </xf>
    <xf numFmtId="0" fontId="19" fillId="4" borderId="0" xfId="0" applyFont="1" applyFill="1" applyAlignment="1" applyProtection="1">
      <alignment horizontal="right"/>
      <protection hidden="1"/>
    </xf>
    <xf numFmtId="0" fontId="22" fillId="0" borderId="12" xfId="0" applyFont="1" applyBorder="1" applyAlignment="1" applyProtection="1">
      <alignment horizontal="left"/>
      <protection locked="0"/>
    </xf>
    <xf numFmtId="0" fontId="28" fillId="3" borderId="19" xfId="0" applyFont="1" applyFill="1" applyBorder="1" applyAlignment="1" applyProtection="1">
      <alignment horizontal="left"/>
      <protection hidden="1"/>
    </xf>
    <xf numFmtId="0" fontId="28" fillId="3" borderId="10" xfId="0" applyFont="1" applyFill="1" applyBorder="1" applyAlignment="1" applyProtection="1">
      <alignment horizontal="left"/>
      <protection hidden="1"/>
    </xf>
    <xf numFmtId="0" fontId="28" fillId="3" borderId="3" xfId="0" applyFont="1" applyFill="1" applyBorder="1" applyAlignment="1" applyProtection="1">
      <alignment horizontal="left"/>
      <protection hidden="1"/>
    </xf>
    <xf numFmtId="0" fontId="28" fillId="3" borderId="4" xfId="0" applyFont="1" applyFill="1" applyBorder="1" applyAlignment="1" applyProtection="1">
      <alignment horizontal="left"/>
      <protection hidden="1"/>
    </xf>
    <xf numFmtId="0" fontId="28" fillId="3" borderId="5" xfId="0" applyFont="1" applyFill="1" applyBorder="1" applyAlignment="1" applyProtection="1">
      <alignment horizontal="left"/>
      <protection hidden="1"/>
    </xf>
    <xf numFmtId="0" fontId="28" fillId="3" borderId="6" xfId="0" applyFont="1" applyFill="1" applyBorder="1" applyAlignment="1" applyProtection="1">
      <alignment horizontal="left"/>
      <protection hidden="1"/>
    </xf>
    <xf numFmtId="1" fontId="19" fillId="2" borderId="7" xfId="0" applyNumberFormat="1" applyFont="1" applyFill="1" applyBorder="1" applyAlignment="1" applyProtection="1">
      <alignment horizontal="center"/>
      <protection hidden="1"/>
    </xf>
    <xf numFmtId="1" fontId="19" fillId="2" borderId="8" xfId="0" applyNumberFormat="1" applyFont="1" applyFill="1" applyBorder="1" applyAlignment="1" applyProtection="1">
      <alignment horizontal="center"/>
      <protection hidden="1"/>
    </xf>
    <xf numFmtId="3" fontId="19" fillId="2" borderId="9" xfId="0" applyNumberFormat="1" applyFont="1" applyFill="1" applyBorder="1" applyAlignment="1" applyProtection="1">
      <alignment horizontal="left"/>
      <protection hidden="1"/>
    </xf>
    <xf numFmtId="3" fontId="19" fillId="2" borderId="7" xfId="0" applyNumberFormat="1" applyFont="1" applyFill="1" applyBorder="1" applyAlignment="1" applyProtection="1">
      <alignment horizontal="left"/>
      <protection hidden="1"/>
    </xf>
    <xf numFmtId="0" fontId="19" fillId="3" borderId="10" xfId="0" applyFont="1" applyFill="1" applyBorder="1" applyAlignment="1" applyProtection="1">
      <alignment horizontal="center" vertical="center"/>
      <protection hidden="1"/>
    </xf>
    <xf numFmtId="0" fontId="19" fillId="3" borderId="3" xfId="0" applyFont="1" applyFill="1" applyBorder="1" applyAlignment="1" applyProtection="1">
      <alignment horizontal="center" vertical="center"/>
      <protection hidden="1"/>
    </xf>
    <xf numFmtId="0" fontId="19" fillId="3" borderId="1" xfId="0" applyFont="1" applyFill="1" applyBorder="1" applyAlignment="1" applyProtection="1">
      <alignment horizontal="center" vertical="center"/>
      <protection hidden="1"/>
    </xf>
    <xf numFmtId="0" fontId="19" fillId="3" borderId="0" xfId="0" applyFont="1" applyFill="1" applyAlignment="1" applyProtection="1">
      <alignment horizontal="center" vertical="center"/>
      <protection hidden="1"/>
    </xf>
    <xf numFmtId="0" fontId="19" fillId="3" borderId="2" xfId="0" applyFont="1" applyFill="1" applyBorder="1" applyAlignment="1" applyProtection="1">
      <alignment horizontal="center" vertical="center"/>
      <protection hidden="1"/>
    </xf>
    <xf numFmtId="0" fontId="22" fillId="2" borderId="0" xfId="0" applyFont="1" applyFill="1" applyAlignment="1" applyProtection="1">
      <alignment horizontal="left"/>
      <protection hidden="1"/>
    </xf>
    <xf numFmtId="0" fontId="19" fillId="3" borderId="9" xfId="0" applyFont="1" applyFill="1" applyBorder="1" applyAlignment="1" applyProtection="1">
      <alignment horizontal="left" vertical="center" wrapText="1"/>
      <protection hidden="1"/>
    </xf>
    <xf numFmtId="0" fontId="19" fillId="3" borderId="7" xfId="0" applyFont="1" applyFill="1" applyBorder="1" applyAlignment="1" applyProtection="1">
      <alignment horizontal="left" vertical="center" wrapText="1"/>
      <protection hidden="1"/>
    </xf>
    <xf numFmtId="0" fontId="19" fillId="3" borderId="8" xfId="0" applyFont="1" applyFill="1" applyBorder="1" applyAlignment="1" applyProtection="1">
      <alignment horizontal="left" vertical="center" wrapText="1"/>
      <protection hidden="1"/>
    </xf>
    <xf numFmtId="0" fontId="12" fillId="0" borderId="12" xfId="0" applyFont="1" applyBorder="1" applyAlignment="1" applyProtection="1">
      <alignment horizontal="center"/>
      <protection hidden="1"/>
    </xf>
    <xf numFmtId="0" fontId="19" fillId="0" borderId="12" xfId="0" applyFont="1" applyBorder="1" applyAlignment="1" applyProtection="1">
      <alignment horizontal="center"/>
      <protection hidden="1"/>
    </xf>
    <xf numFmtId="3" fontId="17" fillId="0" borderId="12" xfId="0" applyNumberFormat="1" applyFont="1" applyBorder="1" applyAlignment="1" applyProtection="1">
      <alignment horizontal="center" vertical="center" wrapText="1"/>
      <protection hidden="1"/>
    </xf>
    <xf numFmtId="3" fontId="22" fillId="0" borderId="0" xfId="0" applyNumberFormat="1" applyFont="1" applyAlignment="1" applyProtection="1">
      <alignment horizontal="center"/>
      <protection hidden="1"/>
    </xf>
    <xf numFmtId="0" fontId="12" fillId="0" borderId="0" xfId="0" applyFont="1" applyAlignment="1" applyProtection="1">
      <alignment horizontal="center"/>
      <protection hidden="1"/>
    </xf>
    <xf numFmtId="0" fontId="19" fillId="0" borderId="12" xfId="0" applyFont="1" applyBorder="1" applyAlignment="1" applyProtection="1">
      <alignment horizontal="left"/>
      <protection locked="0"/>
    </xf>
    <xf numFmtId="3" fontId="22" fillId="2" borderId="9" xfId="0" applyNumberFormat="1" applyFont="1" applyFill="1" applyBorder="1" applyProtection="1">
      <protection hidden="1"/>
    </xf>
    <xf numFmtId="3" fontId="22" fillId="2" borderId="7" xfId="0" applyNumberFormat="1" applyFont="1" applyFill="1" applyBorder="1" applyProtection="1">
      <protection hidden="1"/>
    </xf>
    <xf numFmtId="3" fontId="22" fillId="2" borderId="8" xfId="0" applyNumberFormat="1" applyFont="1" applyFill="1" applyBorder="1" applyAlignment="1" applyProtection="1">
      <alignment horizontal="center"/>
      <protection hidden="1"/>
    </xf>
    <xf numFmtId="3" fontId="28" fillId="3" borderId="19" xfId="0" applyNumberFormat="1" applyFont="1" applyFill="1" applyBorder="1" applyAlignment="1" applyProtection="1">
      <alignment horizontal="left" vertical="center"/>
      <protection hidden="1"/>
    </xf>
    <xf numFmtId="3" fontId="28" fillId="3" borderId="3" xfId="0" applyNumberFormat="1" applyFont="1" applyFill="1" applyBorder="1" applyAlignment="1" applyProtection="1">
      <alignment horizontal="left" vertical="center"/>
      <protection hidden="1"/>
    </xf>
    <xf numFmtId="3" fontId="28" fillId="3" borderId="1" xfId="0" applyNumberFormat="1" applyFont="1" applyFill="1" applyBorder="1" applyAlignment="1" applyProtection="1">
      <alignment horizontal="left" vertical="center"/>
      <protection hidden="1"/>
    </xf>
    <xf numFmtId="3" fontId="28" fillId="3" borderId="2" xfId="0" applyNumberFormat="1" applyFont="1" applyFill="1" applyBorder="1" applyAlignment="1" applyProtection="1">
      <alignment horizontal="left" vertical="center"/>
      <protection hidden="1"/>
    </xf>
    <xf numFmtId="3" fontId="28" fillId="3" borderId="4" xfId="0" applyNumberFormat="1" applyFont="1" applyFill="1" applyBorder="1" applyAlignment="1" applyProtection="1">
      <alignment horizontal="left" vertical="center"/>
      <protection hidden="1"/>
    </xf>
    <xf numFmtId="3" fontId="28" fillId="3" borderId="6" xfId="0" applyNumberFormat="1" applyFont="1" applyFill="1" applyBorder="1" applyAlignment="1" applyProtection="1">
      <alignment horizontal="left" vertical="center"/>
      <protection hidden="1"/>
    </xf>
    <xf numFmtId="3" fontId="17" fillId="3" borderId="12" xfId="0" applyNumberFormat="1" applyFont="1" applyFill="1" applyBorder="1" applyAlignment="1" applyProtection="1">
      <alignment horizontal="center"/>
      <protection hidden="1"/>
    </xf>
    <xf numFmtId="0" fontId="19" fillId="2" borderId="8" xfId="0" applyFont="1" applyFill="1" applyBorder="1" applyAlignment="1" applyProtection="1">
      <alignment horizontal="left"/>
      <protection hidden="1"/>
    </xf>
    <xf numFmtId="3" fontId="17" fillId="3" borderId="19" xfId="0" applyNumberFormat="1" applyFont="1" applyFill="1" applyBorder="1" applyAlignment="1" applyProtection="1">
      <alignment horizontal="center" vertical="center" wrapText="1"/>
      <protection hidden="1"/>
    </xf>
    <xf numFmtId="3" fontId="17" fillId="3" borderId="1" xfId="0" applyNumberFormat="1" applyFont="1" applyFill="1" applyBorder="1" applyAlignment="1" applyProtection="1">
      <alignment horizontal="center" vertical="center" wrapText="1"/>
      <protection hidden="1"/>
    </xf>
    <xf numFmtId="3" fontId="17" fillId="3" borderId="4" xfId="0" applyNumberFormat="1" applyFont="1" applyFill="1" applyBorder="1" applyAlignment="1" applyProtection="1">
      <alignment horizontal="center" vertical="center" wrapText="1"/>
      <protection hidden="1"/>
    </xf>
    <xf numFmtId="3" fontId="17" fillId="3" borderId="21" xfId="0" applyNumberFormat="1" applyFont="1" applyFill="1" applyBorder="1" applyAlignment="1" applyProtection="1">
      <alignment horizontal="center" vertical="center" wrapText="1"/>
      <protection hidden="1"/>
    </xf>
    <xf numFmtId="3" fontId="17" fillId="3" borderId="18" xfId="0" applyNumberFormat="1" applyFont="1" applyFill="1" applyBorder="1" applyAlignment="1" applyProtection="1">
      <alignment horizontal="center" vertical="center" wrapText="1"/>
      <protection hidden="1"/>
    </xf>
    <xf numFmtId="0" fontId="19" fillId="2" borderId="12" xfId="0" applyFont="1" applyFill="1" applyBorder="1" applyAlignment="1" applyProtection="1">
      <alignment horizontal="left"/>
      <protection hidden="1"/>
    </xf>
    <xf numFmtId="3" fontId="22" fillId="2" borderId="9" xfId="0" applyNumberFormat="1" applyFont="1" applyFill="1" applyBorder="1" applyAlignment="1" applyProtection="1">
      <alignment horizontal="center"/>
      <protection hidden="1"/>
    </xf>
    <xf numFmtId="3" fontId="22" fillId="2" borderId="7" xfId="0" applyNumberFormat="1" applyFont="1" applyFill="1" applyBorder="1" applyAlignment="1" applyProtection="1">
      <alignment horizontal="center"/>
      <protection hidden="1"/>
    </xf>
    <xf numFmtId="3" fontId="19" fillId="2" borderId="29" xfId="0" applyNumberFormat="1" applyFont="1" applyFill="1" applyBorder="1" applyAlignment="1" applyProtection="1">
      <alignment horizontal="left"/>
      <protection hidden="1"/>
    </xf>
    <xf numFmtId="3" fontId="19" fillId="2" borderId="23" xfId="0" applyNumberFormat="1" applyFont="1" applyFill="1" applyBorder="1" applyAlignment="1" applyProtection="1">
      <alignment horizontal="left"/>
      <protection hidden="1"/>
    </xf>
    <xf numFmtId="3" fontId="19" fillId="2" borderId="30" xfId="0" applyNumberFormat="1" applyFont="1" applyFill="1" applyBorder="1" applyAlignment="1" applyProtection="1">
      <alignment horizontal="left"/>
      <protection hidden="1"/>
    </xf>
    <xf numFmtId="0" fontId="194" fillId="3" borderId="12" xfId="0" applyFont="1" applyFill="1" applyBorder="1" applyAlignment="1" applyProtection="1">
      <alignment horizontal="center" vertical="center" wrapText="1"/>
      <protection hidden="1"/>
    </xf>
    <xf numFmtId="3" fontId="19" fillId="3" borderId="33" xfId="0" applyNumberFormat="1" applyFont="1" applyFill="1" applyBorder="1" applyAlignment="1" applyProtection="1">
      <alignment horizontal="center"/>
      <protection hidden="1"/>
    </xf>
    <xf numFmtId="3" fontId="19" fillId="3" borderId="8" xfId="0" applyNumberFormat="1" applyFont="1" applyFill="1" applyBorder="1" applyAlignment="1" applyProtection="1">
      <alignment horizontal="center"/>
      <protection hidden="1"/>
    </xf>
    <xf numFmtId="3" fontId="22" fillId="2" borderId="14" xfId="0" applyNumberFormat="1" applyFont="1" applyFill="1" applyBorder="1" applyAlignment="1" applyProtection="1">
      <alignment horizontal="center"/>
      <protection hidden="1"/>
    </xf>
    <xf numFmtId="3" fontId="22" fillId="2" borderId="0" xfId="0" applyNumberFormat="1" applyFont="1" applyFill="1" applyAlignment="1" applyProtection="1">
      <alignment horizontal="center"/>
      <protection hidden="1"/>
    </xf>
    <xf numFmtId="3" fontId="212" fillId="5" borderId="9" xfId="0" applyNumberFormat="1" applyFont="1" applyFill="1" applyBorder="1" applyAlignment="1" applyProtection="1">
      <alignment horizontal="left"/>
      <protection hidden="1"/>
    </xf>
    <xf numFmtId="3" fontId="212" fillId="5" borderId="7" xfId="0" applyNumberFormat="1" applyFont="1" applyFill="1" applyBorder="1" applyAlignment="1" applyProtection="1">
      <alignment horizontal="left"/>
      <protection hidden="1"/>
    </xf>
    <xf numFmtId="3" fontId="212" fillId="5" borderId="8" xfId="0" applyNumberFormat="1" applyFont="1" applyFill="1" applyBorder="1" applyAlignment="1" applyProtection="1">
      <alignment horizontal="left"/>
      <protection hidden="1"/>
    </xf>
    <xf numFmtId="0" fontId="150" fillId="3" borderId="19" xfId="0" applyFont="1" applyFill="1" applyBorder="1" applyAlignment="1" applyProtection="1">
      <alignment horizontal="center" vertical="center" wrapText="1"/>
      <protection hidden="1"/>
    </xf>
    <xf numFmtId="0" fontId="150" fillId="3" borderId="4" xfId="0" applyFont="1" applyFill="1" applyBorder="1" applyAlignment="1" applyProtection="1">
      <alignment horizontal="center" vertical="center" wrapText="1"/>
      <protection hidden="1"/>
    </xf>
    <xf numFmtId="3" fontId="40" fillId="2" borderId="19" xfId="0" applyNumberFormat="1" applyFont="1" applyFill="1" applyBorder="1" applyAlignment="1" applyProtection="1">
      <alignment horizontal="justify" vertical="center" wrapText="1"/>
      <protection hidden="1"/>
    </xf>
    <xf numFmtId="0" fontId="0" fillId="0" borderId="10" xfId="0" applyBorder="1" applyAlignment="1">
      <alignment horizontal="justify"/>
    </xf>
    <xf numFmtId="0" fontId="0" fillId="0" borderId="3" xfId="0" applyBorder="1" applyAlignment="1">
      <alignment horizontal="justify"/>
    </xf>
    <xf numFmtId="0" fontId="0" fillId="0" borderId="1" xfId="0" applyBorder="1" applyAlignment="1">
      <alignment horizontal="justify"/>
    </xf>
    <xf numFmtId="0" fontId="0" fillId="0" borderId="0" xfId="0" applyAlignment="1">
      <alignment horizontal="justify"/>
    </xf>
    <xf numFmtId="0" fontId="0" fillId="0" borderId="2" xfId="0" applyBorder="1" applyAlignment="1">
      <alignment horizontal="justify"/>
    </xf>
    <xf numFmtId="0" fontId="0" fillId="0" borderId="4" xfId="0" applyBorder="1" applyAlignment="1">
      <alignment horizontal="justify"/>
    </xf>
    <xf numFmtId="0" fontId="0" fillId="0" borderId="5" xfId="0" applyBorder="1" applyAlignment="1">
      <alignment horizontal="justify"/>
    </xf>
    <xf numFmtId="0" fontId="0" fillId="0" borderId="6" xfId="0" applyBorder="1" applyAlignment="1">
      <alignment horizontal="justify"/>
    </xf>
    <xf numFmtId="0" fontId="100" fillId="3" borderId="7" xfId="0" applyFont="1" applyFill="1" applyBorder="1" applyAlignment="1" applyProtection="1">
      <alignment horizontal="center"/>
      <protection hidden="1"/>
    </xf>
    <xf numFmtId="0" fontId="100" fillId="3" borderId="8" xfId="0" applyFont="1" applyFill="1" applyBorder="1" applyAlignment="1" applyProtection="1">
      <alignment horizontal="center"/>
      <protection hidden="1"/>
    </xf>
    <xf numFmtId="0" fontId="194" fillId="3" borderId="12" xfId="0" applyFont="1" applyFill="1" applyBorder="1" applyAlignment="1" applyProtection="1">
      <alignment horizontal="center" vertical="center"/>
      <protection hidden="1"/>
    </xf>
    <xf numFmtId="3" fontId="19" fillId="3" borderId="24" xfId="0" applyNumberFormat="1" applyFont="1" applyFill="1" applyBorder="1" applyAlignment="1" applyProtection="1">
      <alignment horizontal="center"/>
      <protection hidden="1"/>
    </xf>
    <xf numFmtId="3" fontId="19" fillId="3" borderId="12" xfId="0" applyNumberFormat="1" applyFont="1" applyFill="1" applyBorder="1" applyAlignment="1" applyProtection="1">
      <alignment horizontal="center"/>
      <protection hidden="1"/>
    </xf>
    <xf numFmtId="3" fontId="238" fillId="3" borderId="4" xfId="0" applyNumberFormat="1" applyFont="1" applyFill="1" applyBorder="1" applyAlignment="1" applyProtection="1">
      <alignment horizontal="center"/>
      <protection hidden="1"/>
    </xf>
    <xf numFmtId="3" fontId="238" fillId="3" borderId="5" xfId="0" applyNumberFormat="1" applyFont="1" applyFill="1" applyBorder="1" applyAlignment="1" applyProtection="1">
      <alignment horizontal="center"/>
      <protection hidden="1"/>
    </xf>
    <xf numFmtId="3" fontId="238" fillId="3" borderId="6" xfId="0" applyNumberFormat="1" applyFont="1" applyFill="1" applyBorder="1" applyAlignment="1" applyProtection="1">
      <alignment horizontal="center"/>
      <protection hidden="1"/>
    </xf>
    <xf numFmtId="3" fontId="17" fillId="3" borderId="9" xfId="0" applyNumberFormat="1" applyFont="1" applyFill="1" applyBorder="1" applyAlignment="1" applyProtection="1">
      <alignment horizontal="center" vertical="center" wrapText="1"/>
      <protection hidden="1"/>
    </xf>
    <xf numFmtId="3" fontId="17" fillId="3" borderId="7" xfId="0" applyNumberFormat="1" applyFont="1" applyFill="1" applyBorder="1" applyAlignment="1" applyProtection="1">
      <alignment horizontal="center" vertical="center" wrapText="1"/>
      <protection hidden="1"/>
    </xf>
    <xf numFmtId="3" fontId="17" fillId="3" borderId="8" xfId="0" applyNumberFormat="1" applyFont="1" applyFill="1" applyBorder="1" applyAlignment="1" applyProtection="1">
      <alignment horizontal="center" vertical="center" wrapText="1"/>
      <protection hidden="1"/>
    </xf>
    <xf numFmtId="1" fontId="19" fillId="2" borderId="0" xfId="0" applyNumberFormat="1" applyFont="1" applyFill="1" applyAlignment="1" applyProtection="1">
      <alignment horizontal="center"/>
      <protection hidden="1"/>
    </xf>
    <xf numFmtId="1" fontId="19" fillId="2" borderId="2" xfId="0" applyNumberFormat="1" applyFont="1" applyFill="1" applyBorder="1" applyAlignment="1" applyProtection="1">
      <alignment horizontal="center"/>
      <protection hidden="1"/>
    </xf>
    <xf numFmtId="1" fontId="19" fillId="2" borderId="5" xfId="0" applyNumberFormat="1" applyFont="1" applyFill="1" applyBorder="1" applyAlignment="1" applyProtection="1">
      <alignment horizontal="center"/>
      <protection hidden="1"/>
    </xf>
    <xf numFmtId="1" fontId="19" fillId="2" borderId="6" xfId="0" applyNumberFormat="1" applyFont="1" applyFill="1" applyBorder="1" applyAlignment="1" applyProtection="1">
      <alignment horizontal="center"/>
      <protection hidden="1"/>
    </xf>
    <xf numFmtId="0" fontId="15" fillId="5" borderId="12" xfId="0" applyFont="1" applyFill="1" applyBorder="1" applyAlignment="1" applyProtection="1">
      <alignment horizontal="left" vertical="center"/>
      <protection hidden="1"/>
    </xf>
    <xf numFmtId="3" fontId="79" fillId="3" borderId="18" xfId="0" applyNumberFormat="1" applyFont="1" applyFill="1" applyBorder="1" applyAlignment="1" applyProtection="1">
      <alignment horizontal="center" vertical="center" wrapText="1"/>
      <protection hidden="1"/>
    </xf>
    <xf numFmtId="3" fontId="79" fillId="3" borderId="12" xfId="0" applyNumberFormat="1" applyFont="1" applyFill="1" applyBorder="1" applyAlignment="1" applyProtection="1">
      <alignment horizontal="center" vertical="center" wrapText="1"/>
      <protection hidden="1"/>
    </xf>
    <xf numFmtId="0" fontId="19" fillId="3" borderId="9" xfId="0" applyFont="1" applyFill="1" applyBorder="1" applyAlignment="1" applyProtection="1">
      <alignment horizontal="center" vertical="center" wrapText="1"/>
      <protection hidden="1"/>
    </xf>
    <xf numFmtId="0" fontId="19" fillId="3" borderId="7" xfId="0" applyFont="1" applyFill="1" applyBorder="1" applyAlignment="1" applyProtection="1">
      <alignment horizontal="center" vertical="center" wrapText="1"/>
      <protection hidden="1"/>
    </xf>
    <xf numFmtId="0" fontId="19" fillId="3" borderId="8" xfId="0" applyFont="1" applyFill="1" applyBorder="1" applyAlignment="1" applyProtection="1">
      <alignment horizontal="center" vertical="center" wrapText="1"/>
      <protection hidden="1"/>
    </xf>
    <xf numFmtId="3" fontId="17" fillId="3" borderId="12" xfId="0" applyNumberFormat="1" applyFont="1" applyFill="1" applyBorder="1" applyAlignment="1" applyProtection="1">
      <alignment horizontal="center" vertical="center" wrapText="1"/>
      <protection hidden="1"/>
    </xf>
    <xf numFmtId="0" fontId="28" fillId="5" borderId="12" xfId="0" applyFont="1" applyFill="1" applyBorder="1" applyAlignment="1" applyProtection="1">
      <alignment horizontal="left" vertical="center" wrapText="1"/>
      <protection hidden="1"/>
    </xf>
    <xf numFmtId="3" fontId="15" fillId="5" borderId="12" xfId="0" applyNumberFormat="1" applyFont="1" applyFill="1" applyBorder="1" applyAlignment="1" applyProtection="1">
      <alignment horizontal="left" vertical="center"/>
      <protection hidden="1"/>
    </xf>
    <xf numFmtId="0" fontId="19" fillId="2" borderId="5" xfId="0" applyFont="1" applyFill="1" applyBorder="1" applyAlignment="1" applyProtection="1">
      <alignment horizontal="left"/>
      <protection hidden="1"/>
    </xf>
    <xf numFmtId="0" fontId="19" fillId="2" borderId="3" xfId="0" applyFont="1" applyFill="1" applyBorder="1" applyAlignment="1" applyProtection="1">
      <alignment horizontal="left"/>
      <protection hidden="1"/>
    </xf>
    <xf numFmtId="0" fontId="15" fillId="5" borderId="21" xfId="0" applyFont="1" applyFill="1" applyBorder="1" applyAlignment="1" applyProtection="1">
      <alignment horizontal="left" vertical="center" wrapText="1"/>
      <protection hidden="1"/>
    </xf>
    <xf numFmtId="0" fontId="15" fillId="5" borderId="20" xfId="0" applyFont="1" applyFill="1" applyBorder="1" applyAlignment="1" applyProtection="1">
      <alignment horizontal="left" vertical="center" wrapText="1"/>
      <protection hidden="1"/>
    </xf>
    <xf numFmtId="0" fontId="15" fillId="5" borderId="18" xfId="0" applyFont="1" applyFill="1" applyBorder="1" applyAlignment="1" applyProtection="1">
      <alignment horizontal="left" vertical="center" wrapText="1"/>
      <protection hidden="1"/>
    </xf>
    <xf numFmtId="0" fontId="12" fillId="3" borderId="12" xfId="0" applyFont="1" applyFill="1" applyBorder="1" applyAlignment="1" applyProtection="1">
      <alignment horizontal="left"/>
      <protection hidden="1"/>
    </xf>
    <xf numFmtId="3" fontId="377" fillId="0" borderId="9" xfId="0" applyNumberFormat="1" applyFont="1" applyBorder="1" applyAlignment="1" applyProtection="1">
      <alignment horizontal="center"/>
      <protection hidden="1"/>
    </xf>
    <xf numFmtId="3" fontId="377" fillId="0" borderId="7" xfId="0" applyNumberFormat="1" applyFont="1" applyBorder="1" applyAlignment="1" applyProtection="1">
      <alignment horizontal="center"/>
      <protection hidden="1"/>
    </xf>
    <xf numFmtId="3" fontId="377" fillId="0" borderId="8" xfId="0" applyNumberFormat="1" applyFont="1" applyBorder="1" applyAlignment="1" applyProtection="1">
      <alignment horizontal="center"/>
      <protection hidden="1"/>
    </xf>
    <xf numFmtId="165" fontId="17" fillId="3" borderId="9" xfId="0" applyNumberFormat="1" applyFont="1" applyFill="1" applyBorder="1" applyAlignment="1" applyProtection="1">
      <alignment horizontal="center" vertical="center" wrapText="1"/>
      <protection hidden="1"/>
    </xf>
    <xf numFmtId="165" fontId="17" fillId="3" borderId="7" xfId="0" applyNumberFormat="1" applyFont="1" applyFill="1" applyBorder="1" applyAlignment="1" applyProtection="1">
      <alignment horizontal="center" vertical="center" wrapText="1"/>
      <protection hidden="1"/>
    </xf>
    <xf numFmtId="165" fontId="17" fillId="3" borderId="8" xfId="0" applyNumberFormat="1" applyFont="1" applyFill="1" applyBorder="1" applyAlignment="1" applyProtection="1">
      <alignment horizontal="center" vertical="center" wrapText="1"/>
      <protection hidden="1"/>
    </xf>
    <xf numFmtId="0" fontId="29" fillId="2" borderId="0" xfId="0" applyFont="1" applyFill="1" applyAlignment="1" applyProtection="1">
      <alignment horizontal="left"/>
      <protection hidden="1"/>
    </xf>
    <xf numFmtId="0" fontId="19" fillId="4" borderId="9" xfId="0" applyFont="1" applyFill="1" applyBorder="1" applyAlignment="1" applyProtection="1">
      <alignment horizontal="left"/>
      <protection hidden="1"/>
    </xf>
    <xf numFmtId="0" fontId="19" fillId="4" borderId="7" xfId="0" applyFont="1" applyFill="1" applyBorder="1" applyAlignment="1" applyProtection="1">
      <alignment horizontal="left"/>
      <protection hidden="1"/>
    </xf>
    <xf numFmtId="0" fontId="22" fillId="0" borderId="9" xfId="0" applyFont="1" applyBorder="1" applyAlignment="1" applyProtection="1">
      <alignment horizontal="left"/>
      <protection hidden="1"/>
    </xf>
    <xf numFmtId="0" fontId="22" fillId="0" borderId="8" xfId="0" applyFont="1" applyBorder="1" applyAlignment="1" applyProtection="1">
      <alignment horizontal="left"/>
      <protection hidden="1"/>
    </xf>
    <xf numFmtId="0" fontId="46" fillId="2" borderId="0" xfId="0" applyFont="1" applyFill="1" applyAlignment="1" applyProtection="1">
      <alignment horizontal="left" vertical="center" wrapText="1"/>
      <protection hidden="1"/>
    </xf>
    <xf numFmtId="0" fontId="12" fillId="2" borderId="0" xfId="0" applyFont="1" applyFill="1" applyAlignment="1" applyProtection="1">
      <alignment horizontal="left" vertical="center" wrapText="1"/>
      <protection hidden="1"/>
    </xf>
    <xf numFmtId="0" fontId="17" fillId="2" borderId="1" xfId="0" applyFont="1" applyFill="1" applyBorder="1" applyAlignment="1" applyProtection="1">
      <alignment horizontal="right" vertical="center"/>
      <protection hidden="1"/>
    </xf>
    <xf numFmtId="0" fontId="17" fillId="2" borderId="0" xfId="0" applyFont="1" applyFill="1" applyAlignment="1" applyProtection="1">
      <alignment horizontal="right" vertical="center"/>
      <protection hidden="1"/>
    </xf>
    <xf numFmtId="0" fontId="28" fillId="5" borderId="12" xfId="0" applyFont="1" applyFill="1" applyBorder="1" applyAlignment="1" applyProtection="1">
      <alignment horizontal="center"/>
      <protection hidden="1"/>
    </xf>
    <xf numFmtId="0" fontId="22" fillId="0" borderId="12" xfId="0" applyFont="1" applyBorder="1" applyAlignment="1" applyProtection="1">
      <alignment horizontal="left" vertical="center"/>
      <protection locked="0"/>
    </xf>
    <xf numFmtId="0" fontId="28" fillId="2" borderId="0" xfId="0" applyFont="1" applyFill="1" applyAlignment="1" applyProtection="1">
      <alignment horizontal="left" vertical="center"/>
      <protection hidden="1"/>
    </xf>
    <xf numFmtId="165" fontId="19" fillId="2" borderId="12" xfId="0" applyNumberFormat="1" applyFont="1" applyFill="1" applyBorder="1" applyAlignment="1" applyProtection="1">
      <alignment horizontal="left"/>
      <protection hidden="1"/>
    </xf>
    <xf numFmtId="37" fontId="22" fillId="4" borderId="12" xfId="0" applyNumberFormat="1" applyFont="1" applyFill="1" applyBorder="1" applyAlignment="1" applyProtection="1">
      <alignment horizontal="center" vertical="center"/>
      <protection hidden="1"/>
    </xf>
    <xf numFmtId="165" fontId="19" fillId="3" borderId="12" xfId="0" applyNumberFormat="1" applyFont="1" applyFill="1" applyBorder="1" applyAlignment="1" applyProtection="1">
      <alignment horizontal="left"/>
      <protection hidden="1"/>
    </xf>
    <xf numFmtId="0" fontId="22" fillId="2" borderId="1" xfId="0" applyFont="1" applyFill="1" applyBorder="1" applyAlignment="1" applyProtection="1">
      <alignment horizontal="right" vertical="center"/>
      <protection hidden="1"/>
    </xf>
    <xf numFmtId="0" fontId="22" fillId="2" borderId="0" xfId="0" applyFont="1" applyFill="1" applyAlignment="1" applyProtection="1">
      <alignment horizontal="right" vertical="center"/>
      <protection hidden="1"/>
    </xf>
    <xf numFmtId="0" fontId="22" fillId="8" borderId="9" xfId="0" applyFont="1" applyFill="1" applyBorder="1" applyAlignment="1" applyProtection="1">
      <alignment horizontal="center" vertical="center"/>
      <protection locked="0"/>
    </xf>
    <xf numFmtId="0" fontId="22" fillId="8" borderId="8" xfId="0" applyFont="1" applyFill="1" applyBorder="1" applyAlignment="1" applyProtection="1">
      <alignment horizontal="center" vertical="center"/>
      <protection locked="0"/>
    </xf>
    <xf numFmtId="1" fontId="22" fillId="8" borderId="9" xfId="0" applyNumberFormat="1" applyFont="1" applyFill="1" applyBorder="1" applyAlignment="1" applyProtection="1">
      <alignment horizontal="center" vertical="center"/>
      <protection locked="0"/>
    </xf>
    <xf numFmtId="1" fontId="22" fillId="8" borderId="7" xfId="0" applyNumberFormat="1" applyFont="1" applyFill="1" applyBorder="1" applyAlignment="1" applyProtection="1">
      <alignment horizontal="center" vertical="center"/>
      <protection locked="0"/>
    </xf>
    <xf numFmtId="1" fontId="22" fillId="8" borderId="8" xfId="0" applyNumberFormat="1" applyFont="1" applyFill="1" applyBorder="1" applyAlignment="1" applyProtection="1">
      <alignment horizontal="center" vertical="center"/>
      <protection locked="0"/>
    </xf>
    <xf numFmtId="0" fontId="322" fillId="8" borderId="9" xfId="0" applyFont="1" applyFill="1" applyBorder="1" applyAlignment="1" applyProtection="1">
      <alignment horizontal="left" vertical="center"/>
      <protection locked="0"/>
    </xf>
    <xf numFmtId="0" fontId="322" fillId="8" borderId="7" xfId="0" applyFont="1" applyFill="1" applyBorder="1" applyAlignment="1" applyProtection="1">
      <alignment horizontal="left" vertical="center"/>
      <protection locked="0"/>
    </xf>
    <xf numFmtId="0" fontId="322" fillId="8" borderId="8"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hidden="1"/>
    </xf>
    <xf numFmtId="0" fontId="19" fillId="2" borderId="2" xfId="0" applyFont="1" applyFill="1" applyBorder="1" applyAlignment="1" applyProtection="1">
      <alignment horizontal="left" vertical="center"/>
      <protection hidden="1"/>
    </xf>
    <xf numFmtId="166" fontId="19" fillId="2" borderId="0" xfId="0" applyNumberFormat="1" applyFont="1" applyFill="1" applyAlignment="1" applyProtection="1">
      <alignment horizontal="right" vertical="center"/>
      <protection hidden="1"/>
    </xf>
    <xf numFmtId="166" fontId="19" fillId="2" borderId="2" xfId="0" applyNumberFormat="1" applyFont="1" applyFill="1" applyBorder="1" applyAlignment="1" applyProtection="1">
      <alignment horizontal="right" vertical="center"/>
      <protection hidden="1"/>
    </xf>
    <xf numFmtId="166" fontId="92" fillId="2" borderId="0" xfId="0" applyNumberFormat="1" applyFont="1" applyFill="1" applyAlignment="1" applyProtection="1">
      <alignment horizontal="left"/>
      <protection hidden="1"/>
    </xf>
    <xf numFmtId="1" fontId="22" fillId="8" borderId="12" xfId="0" applyNumberFormat="1" applyFont="1" applyFill="1" applyBorder="1" applyAlignment="1" applyProtection="1">
      <alignment horizontal="center"/>
      <protection locked="0"/>
    </xf>
    <xf numFmtId="0" fontId="17" fillId="2" borderId="0" xfId="0" applyFont="1" applyFill="1" applyAlignment="1" applyProtection="1">
      <alignment horizontal="left" vertical="center"/>
      <protection hidden="1"/>
    </xf>
    <xf numFmtId="0" fontId="17" fillId="2" borderId="0" xfId="0" applyFont="1" applyFill="1" applyAlignment="1" applyProtection="1">
      <alignment horizontal="center"/>
      <protection hidden="1"/>
    </xf>
    <xf numFmtId="0" fontId="17" fillId="2" borderId="2" xfId="0" applyFont="1" applyFill="1" applyBorder="1" applyAlignment="1" applyProtection="1">
      <alignment horizontal="center"/>
      <protection hidden="1"/>
    </xf>
    <xf numFmtId="0" fontId="50" fillId="2" borderId="5" xfId="0" applyFont="1" applyFill="1" applyBorder="1" applyAlignment="1" applyProtection="1">
      <alignment horizontal="left" vertical="center" wrapText="1"/>
      <protection hidden="1"/>
    </xf>
    <xf numFmtId="3" fontId="22" fillId="46" borderId="0" xfId="0" applyNumberFormat="1" applyFont="1" applyFill="1" applyAlignment="1" applyProtection="1">
      <alignment horizontal="left"/>
      <protection hidden="1"/>
    </xf>
    <xf numFmtId="3" fontId="19" fillId="4" borderId="9" xfId="0" applyNumberFormat="1" applyFont="1" applyFill="1" applyBorder="1" applyAlignment="1" applyProtection="1">
      <alignment horizontal="left"/>
      <protection hidden="1"/>
    </xf>
    <xf numFmtId="3" fontId="19" fillId="4" borderId="8" xfId="0" applyNumberFormat="1" applyFont="1" applyFill="1" applyBorder="1" applyAlignment="1" applyProtection="1">
      <alignment horizontal="left"/>
      <protection hidden="1"/>
    </xf>
    <xf numFmtId="0" fontId="29" fillId="46" borderId="0" xfId="0" applyFont="1" applyFill="1" applyAlignment="1" applyProtection="1">
      <alignment horizontal="left"/>
      <protection hidden="1"/>
    </xf>
    <xf numFmtId="0" fontId="17" fillId="46" borderId="0" xfId="0" applyFont="1" applyFill="1" applyAlignment="1" applyProtection="1">
      <alignment horizontal="center"/>
      <protection hidden="1"/>
    </xf>
    <xf numFmtId="0" fontId="19" fillId="3" borderId="18" xfId="0" applyFont="1" applyFill="1" applyBorder="1" applyAlignment="1" applyProtection="1">
      <alignment horizontal="center" vertical="center" wrapText="1"/>
      <protection hidden="1"/>
    </xf>
    <xf numFmtId="0" fontId="19" fillId="3" borderId="18"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protection hidden="1"/>
    </xf>
    <xf numFmtId="0" fontId="17" fillId="46" borderId="0" xfId="0" applyFont="1" applyFill="1" applyAlignment="1" applyProtection="1">
      <alignment horizontal="left"/>
      <protection hidden="1"/>
    </xf>
    <xf numFmtId="0" fontId="17" fillId="46" borderId="0" xfId="0" applyFont="1" applyFill="1" applyAlignment="1" applyProtection="1">
      <alignment horizontal="left" wrapText="1"/>
      <protection hidden="1"/>
    </xf>
    <xf numFmtId="0" fontId="17" fillId="20" borderId="0" xfId="0" applyFont="1" applyFill="1" applyAlignment="1" applyProtection="1">
      <alignment horizontal="center"/>
      <protection hidden="1"/>
    </xf>
    <xf numFmtId="0" fontId="19" fillId="3" borderId="20" xfId="0" applyFont="1" applyFill="1" applyBorder="1" applyAlignment="1" applyProtection="1">
      <alignment horizontal="center" vertical="center" wrapText="1"/>
      <protection hidden="1"/>
    </xf>
    <xf numFmtId="0" fontId="19" fillId="3" borderId="20" xfId="0" applyFont="1" applyFill="1" applyBorder="1" applyAlignment="1" applyProtection="1">
      <alignment horizontal="left" vertical="center"/>
      <protection hidden="1"/>
    </xf>
    <xf numFmtId="0" fontId="17" fillId="20" borderId="0" xfId="0" applyFont="1" applyFill="1" applyAlignment="1" applyProtection="1">
      <alignment horizontal="left" wrapText="1"/>
      <protection hidden="1"/>
    </xf>
    <xf numFmtId="3" fontId="22" fillId="20" borderId="0" xfId="0" applyNumberFormat="1" applyFont="1" applyFill="1" applyAlignment="1" applyProtection="1">
      <alignment horizontal="left"/>
      <protection hidden="1"/>
    </xf>
    <xf numFmtId="0" fontId="29" fillId="20" borderId="0" xfId="0" applyFont="1" applyFill="1" applyAlignment="1" applyProtection="1">
      <alignment horizontal="left"/>
      <protection hidden="1"/>
    </xf>
    <xf numFmtId="0" fontId="17" fillId="20" borderId="0" xfId="0" applyFont="1" applyFill="1" applyAlignment="1" applyProtection="1">
      <alignment horizontal="left"/>
      <protection hidden="1"/>
    </xf>
    <xf numFmtId="0" fontId="19" fillId="5" borderId="9" xfId="0" applyFont="1" applyFill="1" applyBorder="1" applyAlignment="1" applyProtection="1">
      <alignment horizontal="left"/>
      <protection hidden="1"/>
    </xf>
    <xf numFmtId="0" fontId="19" fillId="5" borderId="7" xfId="0" applyFont="1" applyFill="1" applyBorder="1" applyAlignment="1" applyProtection="1">
      <alignment horizontal="left"/>
      <protection hidden="1"/>
    </xf>
    <xf numFmtId="0" fontId="19" fillId="5" borderId="8" xfId="0" applyFont="1" applyFill="1" applyBorder="1" applyAlignment="1" applyProtection="1">
      <alignment horizontal="left"/>
      <protection hidden="1"/>
    </xf>
    <xf numFmtId="0" fontId="22" fillId="2" borderId="19" xfId="0" applyFont="1" applyFill="1" applyBorder="1" applyAlignment="1" applyProtection="1">
      <alignment horizontal="right"/>
      <protection hidden="1"/>
    </xf>
    <xf numFmtId="0" fontId="22" fillId="2" borderId="3" xfId="0" applyFont="1" applyFill="1" applyBorder="1" applyAlignment="1" applyProtection="1">
      <alignment horizontal="right"/>
      <protection hidden="1"/>
    </xf>
    <xf numFmtId="0" fontId="22" fillId="3" borderId="12" xfId="0" applyFont="1" applyFill="1" applyBorder="1" applyAlignment="1" applyProtection="1">
      <alignment horizontal="left" vertical="center" wrapText="1"/>
      <protection hidden="1"/>
    </xf>
    <xf numFmtId="0" fontId="17" fillId="2" borderId="0" xfId="0" applyFont="1" applyFill="1" applyAlignment="1" applyProtection="1">
      <alignment horizontal="right"/>
      <protection hidden="1"/>
    </xf>
    <xf numFmtId="0" fontId="17" fillId="2" borderId="2" xfId="0" applyFont="1" applyFill="1" applyBorder="1" applyAlignment="1" applyProtection="1">
      <alignment horizontal="right"/>
      <protection hidden="1"/>
    </xf>
    <xf numFmtId="0" fontId="78" fillId="2" borderId="10" xfId="0" applyFont="1" applyFill="1" applyBorder="1" applyAlignment="1" applyProtection="1">
      <alignment horizontal="center"/>
      <protection hidden="1"/>
    </xf>
    <xf numFmtId="0" fontId="78" fillId="2" borderId="3" xfId="0" applyFont="1" applyFill="1" applyBorder="1" applyAlignment="1" applyProtection="1">
      <alignment horizontal="center"/>
      <protection hidden="1"/>
    </xf>
    <xf numFmtId="0" fontId="17" fillId="3" borderId="9" xfId="0" applyFont="1" applyFill="1" applyBorder="1" applyAlignment="1" applyProtection="1">
      <alignment horizontal="center"/>
      <protection hidden="1"/>
    </xf>
    <xf numFmtId="0" fontId="17" fillId="3" borderId="7" xfId="0" applyFont="1" applyFill="1" applyBorder="1" applyAlignment="1" applyProtection="1">
      <alignment horizontal="center"/>
      <protection hidden="1"/>
    </xf>
    <xf numFmtId="0" fontId="17" fillId="3" borderId="8" xfId="0" applyFont="1" applyFill="1" applyBorder="1" applyAlignment="1" applyProtection="1">
      <alignment horizontal="center"/>
      <protection hidden="1"/>
    </xf>
    <xf numFmtId="0" fontId="17" fillId="3" borderId="12" xfId="0" applyFont="1" applyFill="1" applyBorder="1" applyAlignment="1" applyProtection="1">
      <alignment horizontal="center"/>
      <protection hidden="1"/>
    </xf>
    <xf numFmtId="0" fontId="17" fillId="3" borderId="9" xfId="0" applyFont="1" applyFill="1" applyBorder="1" applyAlignment="1" applyProtection="1">
      <alignment horizontal="left"/>
      <protection hidden="1"/>
    </xf>
    <xf numFmtId="0" fontId="17" fillId="3" borderId="7" xfId="0" applyFont="1" applyFill="1" applyBorder="1" applyAlignment="1" applyProtection="1">
      <alignment horizontal="left"/>
      <protection hidden="1"/>
    </xf>
    <xf numFmtId="0" fontId="17" fillId="3" borderId="8" xfId="0" applyFont="1" applyFill="1" applyBorder="1" applyAlignment="1" applyProtection="1">
      <alignment horizontal="left"/>
      <protection hidden="1"/>
    </xf>
    <xf numFmtId="3" fontId="28" fillId="5" borderId="9" xfId="0" applyNumberFormat="1" applyFont="1" applyFill="1" applyBorder="1" applyAlignment="1" applyProtection="1">
      <alignment horizontal="left" vertical="center"/>
      <protection hidden="1"/>
    </xf>
    <xf numFmtId="3" fontId="28" fillId="5" borderId="7" xfId="0" applyNumberFormat="1" applyFont="1" applyFill="1" applyBorder="1" applyAlignment="1" applyProtection="1">
      <alignment horizontal="left" vertical="center"/>
      <protection hidden="1"/>
    </xf>
    <xf numFmtId="3" fontId="28" fillId="5" borderId="8" xfId="0" applyNumberFormat="1" applyFont="1" applyFill="1" applyBorder="1" applyAlignment="1" applyProtection="1">
      <alignment horizontal="left" vertical="center"/>
      <protection hidden="1"/>
    </xf>
    <xf numFmtId="0" fontId="84" fillId="2" borderId="0" xfId="0" applyFont="1" applyFill="1" applyAlignment="1" applyProtection="1">
      <alignment horizontal="left"/>
      <protection hidden="1"/>
    </xf>
    <xf numFmtId="0" fontId="22" fillId="3" borderId="3" xfId="0" applyFont="1" applyFill="1" applyBorder="1" applyAlignment="1" applyProtection="1">
      <alignment horizontal="center" vertical="center" wrapText="1"/>
      <protection hidden="1"/>
    </xf>
    <xf numFmtId="0" fontId="19" fillId="8" borderId="9" xfId="0" applyFont="1" applyFill="1" applyBorder="1" applyAlignment="1" applyProtection="1">
      <alignment horizontal="center"/>
      <protection locked="0"/>
    </xf>
    <xf numFmtId="0" fontId="19" fillId="8" borderId="7" xfId="0" applyFont="1" applyFill="1" applyBorder="1" applyAlignment="1" applyProtection="1">
      <alignment horizontal="center"/>
      <protection locked="0"/>
    </xf>
    <xf numFmtId="0" fontId="19" fillId="8" borderId="8" xfId="0" applyFont="1" applyFill="1" applyBorder="1" applyAlignment="1" applyProtection="1">
      <alignment horizontal="center"/>
      <protection locked="0"/>
    </xf>
    <xf numFmtId="0" fontId="19" fillId="2" borderId="10" xfId="0" applyFont="1" applyFill="1" applyBorder="1" applyAlignment="1" applyProtection="1">
      <alignment horizontal="center"/>
      <protection hidden="1"/>
    </xf>
    <xf numFmtId="0" fontId="19" fillId="2" borderId="3" xfId="0" applyFont="1" applyFill="1" applyBorder="1" applyAlignment="1" applyProtection="1">
      <alignment horizontal="center"/>
      <protection hidden="1"/>
    </xf>
    <xf numFmtId="0" fontId="19" fillId="5" borderId="9" xfId="0" applyFont="1" applyFill="1" applyBorder="1" applyAlignment="1" applyProtection="1">
      <alignment horizontal="left" vertical="center"/>
      <protection hidden="1"/>
    </xf>
    <xf numFmtId="0" fontId="19" fillId="5" borderId="7" xfId="0" applyFont="1" applyFill="1" applyBorder="1" applyAlignment="1" applyProtection="1">
      <alignment horizontal="left" vertical="center"/>
      <protection hidden="1"/>
    </xf>
    <xf numFmtId="0" fontId="19" fillId="5" borderId="8" xfId="0" applyFont="1" applyFill="1" applyBorder="1" applyAlignment="1" applyProtection="1">
      <alignment horizontal="left" vertical="center"/>
      <protection hidden="1"/>
    </xf>
    <xf numFmtId="3" fontId="28" fillId="5" borderId="12" xfId="0" applyNumberFormat="1" applyFont="1" applyFill="1" applyBorder="1" applyAlignment="1" applyProtection="1">
      <alignment horizontal="left" vertical="center"/>
      <protection hidden="1"/>
    </xf>
    <xf numFmtId="3" fontId="28" fillId="5" borderId="21" xfId="0" applyNumberFormat="1" applyFont="1" applyFill="1" applyBorder="1" applyAlignment="1" applyProtection="1">
      <alignment horizontal="left" vertical="center"/>
      <protection hidden="1"/>
    </xf>
    <xf numFmtId="0" fontId="19" fillId="0" borderId="9" xfId="0" applyFont="1" applyBorder="1" applyAlignment="1" applyProtection="1">
      <alignment horizontal="left"/>
      <protection locked="0"/>
    </xf>
    <xf numFmtId="0" fontId="19" fillId="0" borderId="8" xfId="0" applyFont="1" applyBorder="1" applyAlignment="1" applyProtection="1">
      <alignment horizontal="left"/>
      <protection locked="0"/>
    </xf>
    <xf numFmtId="0" fontId="19" fillId="3" borderId="21" xfId="0" applyFont="1" applyFill="1" applyBorder="1" applyAlignment="1" applyProtection="1">
      <alignment horizontal="left" vertical="center" wrapText="1"/>
      <protection hidden="1"/>
    </xf>
    <xf numFmtId="0" fontId="19" fillId="3" borderId="18" xfId="0" applyFont="1" applyFill="1" applyBorder="1" applyAlignment="1" applyProtection="1">
      <alignment horizontal="left" vertical="center" wrapText="1"/>
      <protection hidden="1"/>
    </xf>
    <xf numFmtId="0" fontId="17" fillId="3" borderId="21" xfId="0" applyFont="1" applyFill="1" applyBorder="1" applyAlignment="1" applyProtection="1">
      <alignment horizontal="center" vertical="center"/>
      <protection hidden="1"/>
    </xf>
    <xf numFmtId="0" fontId="17" fillId="3" borderId="18" xfId="0" applyFont="1" applyFill="1" applyBorder="1" applyAlignment="1" applyProtection="1">
      <alignment horizontal="center" vertical="center"/>
      <protection hidden="1"/>
    </xf>
    <xf numFmtId="0" fontId="19" fillId="4" borderId="12" xfId="0" applyFont="1" applyFill="1" applyBorder="1" applyAlignment="1" applyProtection="1">
      <alignment horizontal="left"/>
      <protection hidden="1"/>
    </xf>
    <xf numFmtId="0" fontId="17" fillId="3" borderId="9" xfId="0" applyFont="1" applyFill="1" applyBorder="1" applyAlignment="1" applyProtection="1">
      <alignment horizontal="center" vertical="center"/>
      <protection hidden="1"/>
    </xf>
    <xf numFmtId="0" fontId="17" fillId="3" borderId="7" xfId="0" applyFont="1" applyFill="1" applyBorder="1" applyAlignment="1" applyProtection="1">
      <alignment horizontal="center" vertical="center"/>
      <protection hidden="1"/>
    </xf>
    <xf numFmtId="0" fontId="17" fillId="3" borderId="8" xfId="0" applyFont="1" applyFill="1" applyBorder="1" applyAlignment="1" applyProtection="1">
      <alignment horizontal="center" vertical="center"/>
      <protection hidden="1"/>
    </xf>
    <xf numFmtId="0" fontId="55" fillId="2" borderId="0" xfId="0" quotePrefix="1" applyFont="1" applyFill="1" applyAlignment="1" applyProtection="1">
      <alignment horizontal="left" vertical="center" wrapText="1"/>
      <protection hidden="1"/>
    </xf>
    <xf numFmtId="0" fontId="55" fillId="2" borderId="0" xfId="0" applyFont="1" applyFill="1" applyAlignment="1" applyProtection="1">
      <alignment horizontal="left" vertical="center" wrapText="1"/>
      <protection hidden="1"/>
    </xf>
    <xf numFmtId="49" fontId="206" fillId="4" borderId="9" xfId="0" applyNumberFormat="1" applyFont="1" applyFill="1" applyBorder="1" applyAlignment="1" applyProtection="1">
      <alignment horizontal="left" vertical="center"/>
      <protection hidden="1"/>
    </xf>
    <xf numFmtId="49" fontId="206" fillId="4" borderId="7" xfId="0" applyNumberFormat="1" applyFont="1" applyFill="1" applyBorder="1" applyAlignment="1" applyProtection="1">
      <alignment horizontal="left" vertical="center"/>
      <protection hidden="1"/>
    </xf>
    <xf numFmtId="49" fontId="206" fillId="4" borderId="8" xfId="0" applyNumberFormat="1" applyFont="1" applyFill="1" applyBorder="1" applyAlignment="1" applyProtection="1">
      <alignment horizontal="left" vertical="center"/>
      <protection hidden="1"/>
    </xf>
    <xf numFmtId="0" fontId="55" fillId="2" borderId="0" xfId="0" applyFont="1" applyFill="1" applyAlignment="1" applyProtection="1">
      <alignment horizontal="justify" vertical="center" wrapText="1"/>
      <protection hidden="1"/>
    </xf>
    <xf numFmtId="0" fontId="114" fillId="3" borderId="21" xfId="0" applyFont="1" applyFill="1" applyBorder="1" applyAlignment="1" applyProtection="1">
      <alignment horizontal="center" vertical="center" wrapText="1"/>
      <protection hidden="1"/>
    </xf>
    <xf numFmtId="0" fontId="114" fillId="3" borderId="18" xfId="0" applyFont="1" applyFill="1" applyBorder="1" applyAlignment="1" applyProtection="1">
      <alignment horizontal="center" vertical="center" wrapText="1"/>
      <protection hidden="1"/>
    </xf>
    <xf numFmtId="0" fontId="19" fillId="3" borderId="21" xfId="0" applyFont="1" applyFill="1" applyBorder="1" applyAlignment="1" applyProtection="1">
      <alignment horizontal="center" vertical="center" wrapText="1"/>
      <protection hidden="1"/>
    </xf>
    <xf numFmtId="0" fontId="116" fillId="2" borderId="0" xfId="0" applyFont="1" applyFill="1" applyAlignment="1" applyProtection="1">
      <alignment horizontal="justify" vertical="center" wrapText="1"/>
      <protection hidden="1"/>
    </xf>
    <xf numFmtId="0" fontId="27" fillId="2" borderId="0" xfId="0" applyFont="1" applyFill="1" applyAlignment="1" applyProtection="1">
      <alignment horizontal="justify" vertical="center" wrapText="1"/>
      <protection hidden="1"/>
    </xf>
    <xf numFmtId="0" fontId="118" fillId="2" borderId="0" xfId="0" applyFont="1" applyFill="1" applyAlignment="1" applyProtection="1">
      <alignment horizontal="justify" vertical="center" wrapText="1"/>
      <protection hidden="1"/>
    </xf>
    <xf numFmtId="0" fontId="220" fillId="2" borderId="0" xfId="0" applyFont="1" applyFill="1" applyAlignment="1" applyProtection="1">
      <alignment horizontal="left" vertical="center" wrapText="1"/>
      <protection hidden="1"/>
    </xf>
    <xf numFmtId="0" fontId="235" fillId="2" borderId="0" xfId="0" applyFont="1" applyFill="1" applyAlignment="1" applyProtection="1">
      <alignment horizontal="left" vertical="center" wrapText="1"/>
      <protection hidden="1"/>
    </xf>
    <xf numFmtId="3" fontId="17" fillId="2" borderId="1" xfId="0" applyNumberFormat="1" applyFont="1" applyFill="1" applyBorder="1" applyAlignment="1" applyProtection="1">
      <alignment horizontal="left" vertical="center"/>
      <protection hidden="1"/>
    </xf>
    <xf numFmtId="3" fontId="17" fillId="2" borderId="2" xfId="0" applyNumberFormat="1" applyFont="1" applyFill="1" applyBorder="1" applyAlignment="1" applyProtection="1">
      <alignment horizontal="left" vertical="center"/>
      <protection hidden="1"/>
    </xf>
    <xf numFmtId="3" fontId="22" fillId="4" borderId="12" xfId="0" applyNumberFormat="1" applyFont="1" applyFill="1" applyBorder="1" applyAlignment="1" applyProtection="1">
      <alignment horizontal="left" vertical="center"/>
      <protection hidden="1"/>
    </xf>
    <xf numFmtId="3" fontId="19" fillId="2" borderId="1" xfId="0" applyNumberFormat="1" applyFont="1" applyFill="1" applyBorder="1" applyAlignment="1" applyProtection="1">
      <alignment horizontal="left" vertical="center"/>
      <protection hidden="1"/>
    </xf>
    <xf numFmtId="3" fontId="19" fillId="2" borderId="0" xfId="0" applyNumberFormat="1" applyFont="1" applyFill="1" applyAlignment="1" applyProtection="1">
      <alignment horizontal="left" vertical="center"/>
      <protection hidden="1"/>
    </xf>
    <xf numFmtId="49" fontId="17" fillId="0" borderId="9" xfId="0" applyNumberFormat="1" applyFont="1" applyBorder="1" applyAlignment="1" applyProtection="1">
      <alignment horizontal="center" vertical="center"/>
      <protection locked="0"/>
    </xf>
    <xf numFmtId="49" fontId="17" fillId="0" borderId="8" xfId="0" applyNumberFormat="1" applyFont="1" applyBorder="1" applyAlignment="1" applyProtection="1">
      <alignment horizontal="center" vertical="center"/>
      <protection locked="0"/>
    </xf>
    <xf numFmtId="0" fontId="19" fillId="2" borderId="2" xfId="0" applyFont="1" applyFill="1" applyBorder="1" applyAlignment="1" applyProtection="1">
      <alignment horizontal="center"/>
      <protection hidden="1"/>
    </xf>
    <xf numFmtId="0" fontId="19" fillId="2" borderId="0" xfId="0" applyFont="1" applyFill="1" applyAlignment="1" applyProtection="1">
      <alignment horizontal="right" vertical="center"/>
      <protection hidden="1"/>
    </xf>
    <xf numFmtId="0" fontId="19" fillId="2" borderId="2" xfId="0" applyFont="1" applyFill="1" applyBorder="1" applyAlignment="1" applyProtection="1">
      <alignment horizontal="right" vertical="center"/>
      <protection hidden="1"/>
    </xf>
    <xf numFmtId="0" fontId="19" fillId="2" borderId="0" xfId="0" applyFont="1" applyFill="1" applyAlignment="1" applyProtection="1">
      <alignment horizontal="right"/>
      <protection hidden="1"/>
    </xf>
    <xf numFmtId="0" fontId="19" fillId="2" borderId="2" xfId="0" applyFont="1" applyFill="1" applyBorder="1" applyAlignment="1" applyProtection="1">
      <alignment horizontal="right"/>
      <protection hidden="1"/>
    </xf>
    <xf numFmtId="0" fontId="61" fillId="2" borderId="1" xfId="0" applyFont="1" applyFill="1" applyBorder="1" applyAlignment="1" applyProtection="1">
      <alignment horizontal="left" vertical="center" wrapText="1"/>
      <protection hidden="1"/>
    </xf>
    <xf numFmtId="0" fontId="61" fillId="2" borderId="0" xfId="0" applyFont="1" applyFill="1" applyAlignment="1" applyProtection="1">
      <alignment horizontal="left" vertical="center" wrapText="1"/>
      <protection hidden="1"/>
    </xf>
    <xf numFmtId="0" fontId="46" fillId="3" borderId="19" xfId="0" applyFont="1" applyFill="1" applyBorder="1" applyAlignment="1" applyProtection="1">
      <alignment horizontal="left" vertical="center" wrapText="1"/>
      <protection hidden="1"/>
    </xf>
    <xf numFmtId="0" fontId="46" fillId="3" borderId="10" xfId="0" applyFont="1" applyFill="1" applyBorder="1" applyAlignment="1" applyProtection="1">
      <alignment horizontal="left" vertical="center" wrapText="1"/>
      <protection hidden="1"/>
    </xf>
    <xf numFmtId="0" fontId="46" fillId="3" borderId="3" xfId="0" applyFont="1" applyFill="1" applyBorder="1" applyAlignment="1" applyProtection="1">
      <alignment horizontal="left" vertical="center" wrapText="1"/>
      <protection hidden="1"/>
    </xf>
    <xf numFmtId="0" fontId="22" fillId="2" borderId="10" xfId="0" applyFont="1" applyFill="1" applyBorder="1" applyAlignment="1" applyProtection="1">
      <alignment horizontal="left"/>
      <protection hidden="1"/>
    </xf>
    <xf numFmtId="0" fontId="19" fillId="0" borderId="0" xfId="0" applyFont="1" applyAlignment="1" applyProtection="1">
      <alignment horizontal="left"/>
      <protection hidden="1"/>
    </xf>
    <xf numFmtId="0" fontId="19" fillId="0" borderId="5" xfId="0" applyFont="1" applyBorder="1" applyAlignment="1" applyProtection="1">
      <alignment horizontal="left"/>
      <protection hidden="1"/>
    </xf>
    <xf numFmtId="0" fontId="17" fillId="20" borderId="9" xfId="0" applyFont="1" applyFill="1" applyBorder="1" applyAlignment="1" applyProtection="1">
      <alignment horizontal="left"/>
      <protection hidden="1"/>
    </xf>
    <xf numFmtId="0" fontId="17" fillId="20" borderId="7" xfId="0" applyFont="1" applyFill="1" applyBorder="1" applyAlignment="1" applyProtection="1">
      <alignment horizontal="left"/>
      <protection hidden="1"/>
    </xf>
    <xf numFmtId="0" fontId="17" fillId="20" borderId="4" xfId="0" applyFont="1" applyFill="1" applyBorder="1" applyAlignment="1" applyProtection="1">
      <alignment horizontal="left"/>
      <protection hidden="1"/>
    </xf>
    <xf numFmtId="0" fontId="17" fillId="20" borderId="5" xfId="0" applyFont="1" applyFill="1" applyBorder="1" applyAlignment="1" applyProtection="1">
      <alignment horizontal="left"/>
      <protection hidden="1"/>
    </xf>
    <xf numFmtId="0" fontId="17" fillId="20" borderId="8" xfId="0" applyFont="1" applyFill="1" applyBorder="1" applyAlignment="1" applyProtection="1">
      <alignment horizontal="left"/>
      <protection hidden="1"/>
    </xf>
    <xf numFmtId="0" fontId="19" fillId="20" borderId="21" xfId="0" applyFont="1" applyFill="1" applyBorder="1" applyAlignment="1" applyProtection="1">
      <alignment horizontal="center"/>
      <protection hidden="1"/>
    </xf>
    <xf numFmtId="0" fontId="19" fillId="20" borderId="20" xfId="0" applyFont="1" applyFill="1" applyBorder="1" applyAlignment="1" applyProtection="1">
      <alignment horizontal="center"/>
      <protection hidden="1"/>
    </xf>
    <xf numFmtId="0" fontId="19" fillId="20" borderId="18" xfId="0" applyFont="1" applyFill="1" applyBorder="1" applyAlignment="1" applyProtection="1">
      <alignment horizontal="center"/>
      <protection hidden="1"/>
    </xf>
    <xf numFmtId="0" fontId="25" fillId="2" borderId="0" xfId="0" applyFont="1" applyFill="1" applyAlignment="1" applyProtection="1">
      <alignment horizontal="center" vertical="center" wrapText="1"/>
      <protection hidden="1"/>
    </xf>
    <xf numFmtId="0" fontId="19" fillId="2" borderId="0" xfId="0" applyFont="1" applyFill="1" applyAlignment="1" applyProtection="1">
      <alignment horizontal="right" vertical="center" wrapText="1"/>
      <protection hidden="1"/>
    </xf>
    <xf numFmtId="0" fontId="19" fillId="0" borderId="0" xfId="0" applyFont="1" applyAlignment="1" applyProtection="1">
      <alignment horizontal="right" vertical="center" wrapText="1"/>
      <protection hidden="1"/>
    </xf>
    <xf numFmtId="166" fontId="17" fillId="8" borderId="9" xfId="0" applyNumberFormat="1" applyFont="1" applyFill="1" applyBorder="1" applyAlignment="1" applyProtection="1">
      <alignment horizontal="left"/>
      <protection locked="0"/>
    </xf>
    <xf numFmtId="166" fontId="17" fillId="8" borderId="7" xfId="0" applyNumberFormat="1" applyFont="1" applyFill="1" applyBorder="1" applyAlignment="1" applyProtection="1">
      <alignment horizontal="left"/>
      <protection locked="0"/>
    </xf>
    <xf numFmtId="166" fontId="17" fillId="8" borderId="8" xfId="0" applyNumberFormat="1" applyFont="1" applyFill="1" applyBorder="1" applyAlignment="1" applyProtection="1">
      <alignment horizontal="left"/>
      <protection locked="0"/>
    </xf>
    <xf numFmtId="0" fontId="22" fillId="2" borderId="0" xfId="0" applyFont="1" applyFill="1" applyAlignment="1" applyProtection="1">
      <alignment horizontal="right"/>
      <protection hidden="1"/>
    </xf>
    <xf numFmtId="166" fontId="17" fillId="8" borderId="9" xfId="0" applyNumberFormat="1" applyFont="1" applyFill="1" applyBorder="1" applyAlignment="1" applyProtection="1">
      <alignment horizontal="center" vertical="center"/>
      <protection locked="0"/>
    </xf>
    <xf numFmtId="166" fontId="17" fillId="8" borderId="7" xfId="0" applyNumberFormat="1" applyFont="1" applyFill="1" applyBorder="1" applyAlignment="1" applyProtection="1">
      <alignment horizontal="center" vertical="center"/>
      <protection locked="0"/>
    </xf>
    <xf numFmtId="166" fontId="17" fillId="8" borderId="8" xfId="0" applyNumberFormat="1" applyFont="1" applyFill="1" applyBorder="1" applyAlignment="1" applyProtection="1">
      <alignment horizontal="center" vertical="center"/>
      <protection locked="0"/>
    </xf>
    <xf numFmtId="0" fontId="19" fillId="2" borderId="0" xfId="0" applyFont="1" applyFill="1" applyAlignment="1" applyProtection="1">
      <alignment horizontal="left" vertical="center" wrapText="1"/>
      <protection hidden="1"/>
    </xf>
    <xf numFmtId="0" fontId="19" fillId="2" borderId="2" xfId="0" applyFont="1" applyFill="1" applyBorder="1" applyAlignment="1" applyProtection="1">
      <alignment horizontal="left" vertical="center" wrapText="1"/>
      <protection hidden="1"/>
    </xf>
    <xf numFmtId="0" fontId="230" fillId="2" borderId="1" xfId="0" applyFont="1" applyFill="1" applyBorder="1" applyAlignment="1" applyProtection="1">
      <alignment horizontal="center" vertical="center" wrapText="1"/>
      <protection hidden="1"/>
    </xf>
    <xf numFmtId="0" fontId="230" fillId="2" borderId="1" xfId="0" applyFont="1" applyFill="1" applyBorder="1" applyAlignment="1" applyProtection="1">
      <alignment horizontal="left" wrapText="1"/>
      <protection hidden="1"/>
    </xf>
    <xf numFmtId="3" fontId="19" fillId="4" borderId="10" xfId="0" applyNumberFormat="1" applyFont="1" applyFill="1" applyBorder="1" applyAlignment="1" applyProtection="1">
      <alignment horizontal="justify" vertical="center" wrapText="1"/>
      <protection hidden="1"/>
    </xf>
    <xf numFmtId="3" fontId="19" fillId="4" borderId="3" xfId="0" applyNumberFormat="1" applyFont="1" applyFill="1" applyBorder="1" applyAlignment="1" applyProtection="1">
      <alignment horizontal="justify" vertical="center" wrapText="1"/>
      <protection hidden="1"/>
    </xf>
    <xf numFmtId="3" fontId="19" fillId="4" borderId="0" xfId="0" applyNumberFormat="1" applyFont="1" applyFill="1" applyAlignment="1" applyProtection="1">
      <alignment horizontal="justify" vertical="center" wrapText="1"/>
      <protection hidden="1"/>
    </xf>
    <xf numFmtId="3" fontId="19" fillId="4" borderId="2" xfId="0" applyNumberFormat="1" applyFont="1" applyFill="1" applyBorder="1" applyAlignment="1" applyProtection="1">
      <alignment horizontal="justify" vertical="center" wrapText="1"/>
      <protection hidden="1"/>
    </xf>
    <xf numFmtId="3" fontId="19" fillId="4" borderId="5" xfId="0" applyNumberFormat="1" applyFont="1" applyFill="1" applyBorder="1" applyAlignment="1" applyProtection="1">
      <alignment horizontal="justify" vertical="center" wrapText="1"/>
      <protection hidden="1"/>
    </xf>
    <xf numFmtId="3" fontId="19" fillId="4" borderId="6" xfId="0" applyNumberFormat="1" applyFont="1" applyFill="1" applyBorder="1" applyAlignment="1" applyProtection="1">
      <alignment horizontal="justify" vertical="center" wrapText="1"/>
      <protection hidden="1"/>
    </xf>
    <xf numFmtId="0" fontId="28" fillId="6" borderId="9" xfId="0" applyFont="1" applyFill="1" applyBorder="1" applyAlignment="1" applyProtection="1">
      <alignment horizontal="left"/>
      <protection hidden="1"/>
    </xf>
    <xf numFmtId="0" fontId="28" fillId="6" borderId="7" xfId="0" applyFont="1" applyFill="1" applyBorder="1" applyAlignment="1" applyProtection="1">
      <alignment horizontal="left"/>
      <protection hidden="1"/>
    </xf>
    <xf numFmtId="0" fontId="28" fillId="6" borderId="8" xfId="0" applyFont="1" applyFill="1" applyBorder="1" applyAlignment="1" applyProtection="1">
      <alignment horizontal="left"/>
      <protection hidden="1"/>
    </xf>
    <xf numFmtId="0" fontId="28" fillId="4" borderId="12" xfId="0" applyFont="1" applyFill="1" applyBorder="1" applyAlignment="1" applyProtection="1">
      <alignment horizontal="left" vertical="center"/>
      <protection hidden="1"/>
    </xf>
    <xf numFmtId="0" fontId="28" fillId="4" borderId="12" xfId="0" applyFont="1" applyFill="1" applyBorder="1" applyAlignment="1" applyProtection="1">
      <alignment horizontal="center" vertical="center" wrapText="1"/>
      <protection hidden="1"/>
    </xf>
    <xf numFmtId="0" fontId="29" fillId="0" borderId="0" xfId="0" applyFont="1" applyAlignment="1" applyProtection="1">
      <alignment horizontal="center"/>
      <protection hidden="1"/>
    </xf>
    <xf numFmtId="0" fontId="22" fillId="4" borderId="12" xfId="0" applyFont="1" applyFill="1" applyBorder="1" applyAlignment="1" applyProtection="1">
      <alignment horizontal="left"/>
      <protection hidden="1"/>
    </xf>
    <xf numFmtId="0" fontId="19" fillId="4" borderId="12" xfId="0" applyFont="1" applyFill="1" applyBorder="1" applyAlignment="1" applyProtection="1">
      <alignment horizontal="left" vertical="center" wrapText="1"/>
      <protection hidden="1"/>
    </xf>
    <xf numFmtId="0" fontId="78" fillId="2" borderId="7" xfId="0" applyFont="1" applyFill="1" applyBorder="1" applyAlignment="1" applyProtection="1">
      <alignment horizontal="center"/>
      <protection hidden="1"/>
    </xf>
    <xf numFmtId="0" fontId="17" fillId="8" borderId="9" xfId="0" applyFont="1" applyFill="1" applyBorder="1" applyAlignment="1" applyProtection="1">
      <alignment horizontal="left"/>
      <protection locked="0"/>
    </xf>
    <xf numFmtId="0" fontId="17" fillId="8" borderId="7" xfId="0" applyFont="1" applyFill="1" applyBorder="1" applyAlignment="1" applyProtection="1">
      <alignment horizontal="left"/>
      <protection locked="0"/>
    </xf>
    <xf numFmtId="0" fontId="17" fillId="8" borderId="8" xfId="0" applyFont="1" applyFill="1" applyBorder="1" applyAlignment="1" applyProtection="1">
      <alignment horizontal="left"/>
      <protection locked="0"/>
    </xf>
    <xf numFmtId="0" fontId="22" fillId="0" borderId="19" xfId="0" applyFont="1" applyBorder="1" applyAlignment="1" applyProtection="1">
      <alignment horizontal="left" vertical="top" wrapText="1"/>
      <protection locked="0"/>
    </xf>
    <xf numFmtId="0" fontId="19" fillId="0" borderId="10" xfId="0" applyFont="1" applyBorder="1" applyAlignment="1">
      <alignment horizontal="left" vertical="top" wrapText="1"/>
    </xf>
    <xf numFmtId="0" fontId="19" fillId="0" borderId="3" xfId="0" applyFont="1" applyBorder="1" applyAlignment="1">
      <alignment horizontal="left" vertical="top" wrapText="1"/>
    </xf>
    <xf numFmtId="0" fontId="19" fillId="0" borderId="1" xfId="0" applyFont="1" applyBorder="1" applyAlignment="1">
      <alignment horizontal="left" vertical="top" wrapText="1"/>
    </xf>
    <xf numFmtId="0" fontId="19" fillId="0" borderId="0" xfId="0" applyFont="1" applyAlignment="1">
      <alignment horizontal="left" vertical="top" wrapText="1"/>
    </xf>
    <xf numFmtId="0" fontId="19" fillId="0" borderId="2" xfId="0" applyFont="1" applyBorder="1" applyAlignment="1">
      <alignment horizontal="left" vertical="top" wrapText="1"/>
    </xf>
    <xf numFmtId="0" fontId="22" fillId="0" borderId="1" xfId="0" applyFont="1" applyBorder="1" applyAlignment="1" applyProtection="1">
      <alignment horizontal="left" vertical="top" wrapText="1"/>
      <protection locked="0"/>
    </xf>
    <xf numFmtId="0" fontId="22" fillId="0" borderId="4" xfId="0" applyFont="1" applyBorder="1" applyAlignment="1" applyProtection="1">
      <alignment horizontal="left" vertical="top" wrapText="1"/>
      <protection locked="0"/>
    </xf>
    <xf numFmtId="0" fontId="19" fillId="0" borderId="5" xfId="0" applyFont="1" applyBorder="1" applyAlignment="1">
      <alignment horizontal="left" vertical="top" wrapText="1"/>
    </xf>
    <xf numFmtId="0" fontId="19" fillId="0" borderId="6" xfId="0" applyFont="1" applyBorder="1" applyAlignment="1">
      <alignment horizontal="left" vertical="top" wrapText="1"/>
    </xf>
    <xf numFmtId="0" fontId="19" fillId="2" borderId="1" xfId="0" applyFont="1" applyFill="1" applyBorder="1" applyAlignment="1" applyProtection="1">
      <alignment horizontal="justify" vertical="center" wrapText="1"/>
      <protection hidden="1"/>
    </xf>
    <xf numFmtId="0" fontId="19" fillId="2" borderId="0" xfId="0" applyFont="1" applyFill="1" applyAlignment="1" applyProtection="1">
      <alignment horizontal="justify" vertical="center" wrapText="1"/>
      <protection hidden="1"/>
    </xf>
    <xf numFmtId="0" fontId="19" fillId="2" borderId="2" xfId="0" applyFont="1" applyFill="1" applyBorder="1" applyAlignment="1" applyProtection="1">
      <alignment horizontal="justify" vertical="center" wrapText="1"/>
      <protection hidden="1"/>
    </xf>
    <xf numFmtId="0" fontId="28" fillId="4" borderId="9" xfId="0" applyFont="1" applyFill="1" applyBorder="1" applyAlignment="1" applyProtection="1">
      <alignment horizontal="center"/>
      <protection hidden="1"/>
    </xf>
    <xf numFmtId="0" fontId="28" fillId="4" borderId="7" xfId="0" applyFont="1" applyFill="1" applyBorder="1" applyAlignment="1" applyProtection="1">
      <alignment horizontal="center"/>
      <protection hidden="1"/>
    </xf>
    <xf numFmtId="0" fontId="28" fillId="4" borderId="8" xfId="0" applyFont="1" applyFill="1" applyBorder="1" applyAlignment="1" applyProtection="1">
      <alignment horizontal="center"/>
      <protection hidden="1"/>
    </xf>
    <xf numFmtId="0" fontId="46" fillId="4" borderId="9" xfId="0" applyFont="1" applyFill="1" applyBorder="1" applyAlignment="1" applyProtection="1">
      <alignment horizontal="left"/>
      <protection hidden="1"/>
    </xf>
    <xf numFmtId="0" fontId="19" fillId="4" borderId="8" xfId="0" applyFont="1" applyFill="1" applyBorder="1" applyAlignment="1" applyProtection="1">
      <alignment horizontal="left"/>
      <protection hidden="1"/>
    </xf>
    <xf numFmtId="0" fontId="19" fillId="2" borderId="1" xfId="0" applyFont="1" applyFill="1" applyBorder="1" applyAlignment="1" applyProtection="1">
      <alignment horizontal="center"/>
      <protection hidden="1"/>
    </xf>
    <xf numFmtId="3" fontId="22" fillId="2" borderId="0" xfId="0" applyNumberFormat="1" applyFont="1" applyFill="1" applyAlignment="1" applyProtection="1">
      <alignment horizontal="center" vertical="center"/>
      <protection hidden="1"/>
    </xf>
    <xf numFmtId="10" fontId="19" fillId="0" borderId="0" xfId="0" applyNumberFormat="1" applyFont="1" applyAlignment="1" applyProtection="1">
      <alignment horizontal="center"/>
      <protection hidden="1"/>
    </xf>
    <xf numFmtId="3" fontId="19" fillId="2" borderId="0" xfId="0" applyNumberFormat="1" applyFont="1" applyFill="1" applyAlignment="1" applyProtection="1">
      <alignment horizontal="right"/>
      <protection hidden="1"/>
    </xf>
    <xf numFmtId="0" fontId="19" fillId="6" borderId="9" xfId="0" applyFont="1" applyFill="1" applyBorder="1" applyAlignment="1" applyProtection="1">
      <alignment horizontal="center"/>
      <protection hidden="1"/>
    </xf>
    <xf numFmtId="0" fontId="19" fillId="6" borderId="8" xfId="0" applyFont="1" applyFill="1" applyBorder="1" applyAlignment="1" applyProtection="1">
      <alignment horizontal="center"/>
      <protection hidden="1"/>
    </xf>
    <xf numFmtId="0" fontId="91" fillId="6" borderId="4" xfId="0" applyFont="1" applyFill="1" applyBorder="1" applyAlignment="1" applyProtection="1">
      <alignment horizontal="center"/>
      <protection hidden="1"/>
    </xf>
    <xf numFmtId="0" fontId="91" fillId="6" borderId="6" xfId="0" applyFont="1" applyFill="1" applyBorder="1" applyAlignment="1" applyProtection="1">
      <alignment horizontal="center"/>
      <protection hidden="1"/>
    </xf>
    <xf numFmtId="0" fontId="91" fillId="6" borderId="9" xfId="0" applyFont="1" applyFill="1" applyBorder="1" applyAlignment="1" applyProtection="1">
      <alignment horizontal="center"/>
      <protection hidden="1"/>
    </xf>
    <xf numFmtId="0" fontId="91" fillId="6" borderId="8" xfId="0" applyFont="1" applyFill="1" applyBorder="1" applyAlignment="1" applyProtection="1">
      <alignment horizontal="center"/>
      <protection hidden="1"/>
    </xf>
    <xf numFmtId="0" fontId="19" fillId="5" borderId="12" xfId="0" applyFont="1" applyFill="1" applyBorder="1" applyAlignment="1" applyProtection="1">
      <alignment horizontal="left" vertical="center"/>
      <protection hidden="1"/>
    </xf>
    <xf numFmtId="0" fontId="19" fillId="6" borderId="7" xfId="0" applyFont="1" applyFill="1" applyBorder="1" applyAlignment="1" applyProtection="1">
      <alignment horizontal="center"/>
      <protection hidden="1"/>
    </xf>
    <xf numFmtId="0" fontId="22" fillId="8" borderId="12" xfId="0" applyFont="1" applyFill="1" applyBorder="1" applyAlignment="1" applyProtection="1">
      <alignment horizontal="center"/>
      <protection locked="0"/>
    </xf>
    <xf numFmtId="0" fontId="19" fillId="6" borderId="12" xfId="0" applyFont="1" applyFill="1" applyBorder="1" applyAlignment="1" applyProtection="1">
      <alignment horizontal="center"/>
      <protection hidden="1"/>
    </xf>
    <xf numFmtId="0" fontId="25" fillId="2" borderId="1" xfId="0" applyFont="1" applyFill="1" applyBorder="1" applyAlignment="1" applyProtection="1">
      <alignment horizontal="left" vertical="center" wrapText="1"/>
      <protection hidden="1"/>
    </xf>
    <xf numFmtId="0" fontId="41" fillId="2" borderId="0" xfId="0" applyFont="1" applyFill="1" applyAlignment="1" applyProtection="1">
      <alignment horizontal="center"/>
      <protection hidden="1"/>
    </xf>
    <xf numFmtId="3" fontId="19" fillId="2" borderId="0" xfId="0" applyNumberFormat="1" applyFont="1" applyFill="1" applyAlignment="1" applyProtection="1">
      <alignment horizontal="left"/>
      <protection hidden="1"/>
    </xf>
    <xf numFmtId="3" fontId="19" fillId="2" borderId="2" xfId="0" applyNumberFormat="1" applyFont="1" applyFill="1" applyBorder="1" applyAlignment="1" applyProtection="1">
      <alignment horizontal="left"/>
      <protection hidden="1"/>
    </xf>
    <xf numFmtId="0" fontId="19" fillId="5" borderId="12" xfId="0" applyFont="1" applyFill="1" applyBorder="1" applyAlignment="1" applyProtection="1">
      <alignment horizontal="left" vertical="center" wrapText="1"/>
      <protection hidden="1"/>
    </xf>
    <xf numFmtId="0" fontId="19" fillId="5" borderId="9" xfId="0" applyFont="1" applyFill="1" applyBorder="1" applyAlignment="1" applyProtection="1">
      <alignment horizontal="center"/>
      <protection hidden="1"/>
    </xf>
    <xf numFmtId="0" fontId="19" fillId="5" borderId="7" xfId="0" applyFont="1" applyFill="1" applyBorder="1" applyAlignment="1" applyProtection="1">
      <alignment horizontal="center"/>
      <protection hidden="1"/>
    </xf>
    <xf numFmtId="0" fontId="19" fillId="5" borderId="8" xfId="0" applyFont="1" applyFill="1" applyBorder="1" applyAlignment="1" applyProtection="1">
      <alignment horizontal="center"/>
      <protection hidden="1"/>
    </xf>
    <xf numFmtId="0" fontId="19" fillId="5" borderId="19" xfId="0" applyFont="1" applyFill="1" applyBorder="1" applyAlignment="1" applyProtection="1">
      <alignment horizontal="left" vertical="center"/>
      <protection hidden="1"/>
    </xf>
    <xf numFmtId="0" fontId="19" fillId="5" borderId="3" xfId="0" applyFont="1" applyFill="1" applyBorder="1" applyAlignment="1" applyProtection="1">
      <alignment horizontal="left" vertical="center"/>
      <protection hidden="1"/>
    </xf>
    <xf numFmtId="0" fontId="19" fillId="5" borderId="4" xfId="0" applyFont="1" applyFill="1" applyBorder="1" applyAlignment="1" applyProtection="1">
      <alignment horizontal="left" vertical="center"/>
      <protection hidden="1"/>
    </xf>
    <xf numFmtId="0" fontId="19" fillId="5" borderId="6" xfId="0" applyFont="1" applyFill="1" applyBorder="1" applyAlignment="1" applyProtection="1">
      <alignment horizontal="left" vertical="center"/>
      <protection hidden="1"/>
    </xf>
    <xf numFmtId="0" fontId="61" fillId="2" borderId="0" xfId="0" applyFont="1" applyFill="1" applyAlignment="1" applyProtection="1">
      <alignment horizontal="center"/>
      <protection hidden="1"/>
    </xf>
    <xf numFmtId="0" fontId="15" fillId="5" borderId="1" xfId="0" applyFont="1" applyFill="1" applyBorder="1" applyAlignment="1" applyProtection="1">
      <alignment horizontal="left"/>
      <protection hidden="1"/>
    </xf>
    <xf numFmtId="0" fontId="15" fillId="5" borderId="0" xfId="0" applyFont="1" applyFill="1" applyAlignment="1" applyProtection="1">
      <alignment horizontal="left"/>
      <protection hidden="1"/>
    </xf>
    <xf numFmtId="0" fontId="15" fillId="5" borderId="2" xfId="0" applyFont="1" applyFill="1" applyBorder="1" applyAlignment="1" applyProtection="1">
      <alignment horizontal="left"/>
      <protection hidden="1"/>
    </xf>
    <xf numFmtId="0" fontId="22" fillId="8" borderId="9" xfId="0" applyFont="1" applyFill="1" applyBorder="1" applyAlignment="1" applyProtection="1">
      <alignment horizontal="center"/>
      <protection locked="0"/>
    </xf>
    <xf numFmtId="0" fontId="22" fillId="8" borderId="8" xfId="0" applyFont="1" applyFill="1" applyBorder="1" applyAlignment="1" applyProtection="1">
      <alignment horizontal="center"/>
      <protection locked="0"/>
    </xf>
    <xf numFmtId="0" fontId="25" fillId="2" borderId="1" xfId="0" applyFont="1" applyFill="1" applyBorder="1" applyAlignment="1" applyProtection="1">
      <alignment horizontal="center"/>
      <protection hidden="1"/>
    </xf>
    <xf numFmtId="0" fontId="25" fillId="2" borderId="0" xfId="0" applyFont="1" applyFill="1" applyAlignment="1" applyProtection="1">
      <alignment horizontal="center"/>
      <protection hidden="1"/>
    </xf>
    <xf numFmtId="0" fontId="19" fillId="0" borderId="12" xfId="0" applyFont="1" applyBorder="1" applyProtection="1">
      <protection hidden="1"/>
    </xf>
    <xf numFmtId="0" fontId="25" fillId="2" borderId="1" xfId="0" applyFont="1" applyFill="1" applyBorder="1" applyAlignment="1" applyProtection="1">
      <alignment horizontal="center" vertical="center"/>
      <protection hidden="1"/>
    </xf>
    <xf numFmtId="0" fontId="25" fillId="2" borderId="0" xfId="0" applyFont="1" applyFill="1" applyAlignment="1" applyProtection="1">
      <alignment horizontal="center" vertical="center"/>
      <protection hidden="1"/>
    </xf>
    <xf numFmtId="0" fontId="28" fillId="4" borderId="1" xfId="0" applyFont="1" applyFill="1" applyBorder="1" applyAlignment="1" applyProtection="1">
      <alignment horizontal="left"/>
      <protection hidden="1"/>
    </xf>
    <xf numFmtId="0" fontId="28" fillId="4" borderId="0" xfId="0" applyFont="1" applyFill="1" applyAlignment="1" applyProtection="1">
      <alignment horizontal="left"/>
      <protection hidden="1"/>
    </xf>
    <xf numFmtId="0" fontId="28" fillId="4" borderId="2" xfId="0" applyFont="1" applyFill="1" applyBorder="1" applyAlignment="1" applyProtection="1">
      <alignment horizontal="left"/>
      <protection hidden="1"/>
    </xf>
    <xf numFmtId="0" fontId="104" fillId="4" borderId="19" xfId="0" applyFont="1" applyFill="1" applyBorder="1" applyAlignment="1" applyProtection="1">
      <alignment horizontal="left" vertical="center" wrapText="1"/>
      <protection hidden="1"/>
    </xf>
    <xf numFmtId="0" fontId="104" fillId="4" borderId="3" xfId="0" applyFont="1" applyFill="1" applyBorder="1" applyAlignment="1" applyProtection="1">
      <alignment horizontal="left" vertical="center" wrapText="1"/>
      <protection hidden="1"/>
    </xf>
    <xf numFmtId="0" fontId="104" fillId="4" borderId="1" xfId="0" applyFont="1" applyFill="1" applyBorder="1" applyAlignment="1" applyProtection="1">
      <alignment horizontal="left" vertical="center" wrapText="1"/>
      <protection hidden="1"/>
    </xf>
    <xf numFmtId="0" fontId="104" fillId="4" borderId="2" xfId="0" applyFont="1" applyFill="1" applyBorder="1" applyAlignment="1" applyProtection="1">
      <alignment horizontal="left" vertical="center" wrapText="1"/>
      <protection hidden="1"/>
    </xf>
    <xf numFmtId="0" fontId="104" fillId="4" borderId="4" xfId="0" applyFont="1" applyFill="1" applyBorder="1" applyAlignment="1" applyProtection="1">
      <alignment horizontal="left" vertical="center" wrapText="1"/>
      <protection hidden="1"/>
    </xf>
    <xf numFmtId="0" fontId="104" fillId="4" borderId="6" xfId="0" applyFont="1" applyFill="1" applyBorder="1" applyAlignment="1" applyProtection="1">
      <alignment horizontal="left" vertical="center" wrapText="1"/>
      <protection hidden="1"/>
    </xf>
    <xf numFmtId="0" fontId="54" fillId="2" borderId="10" xfId="0" applyFont="1" applyFill="1" applyBorder="1" applyAlignment="1" applyProtection="1">
      <alignment horizontal="center"/>
      <protection hidden="1"/>
    </xf>
    <xf numFmtId="0" fontId="54" fillId="2" borderId="3" xfId="0" applyFont="1" applyFill="1" applyBorder="1" applyAlignment="1" applyProtection="1">
      <alignment horizontal="center"/>
      <protection hidden="1"/>
    </xf>
    <xf numFmtId="0" fontId="17" fillId="2" borderId="0" xfId="0" applyFont="1" applyFill="1" applyAlignment="1" applyProtection="1">
      <alignment horizontal="left" vertical="center" wrapText="1"/>
      <protection hidden="1"/>
    </xf>
    <xf numFmtId="0" fontId="17" fillId="4" borderId="19" xfId="0" applyFont="1" applyFill="1" applyBorder="1" applyAlignment="1" applyProtection="1">
      <alignment horizontal="left" vertical="center" wrapText="1"/>
      <protection hidden="1"/>
    </xf>
    <xf numFmtId="0" fontId="17" fillId="4" borderId="3" xfId="0" applyFont="1" applyFill="1" applyBorder="1" applyAlignment="1" applyProtection="1">
      <alignment horizontal="left" vertical="center" wrapText="1"/>
      <protection hidden="1"/>
    </xf>
    <xf numFmtId="0" fontId="17" fillId="4" borderId="1" xfId="0" applyFont="1" applyFill="1" applyBorder="1" applyAlignment="1" applyProtection="1">
      <alignment horizontal="left" vertical="center" wrapText="1"/>
      <protection hidden="1"/>
    </xf>
    <xf numFmtId="0" fontId="17" fillId="4" borderId="2" xfId="0" applyFont="1" applyFill="1" applyBorder="1" applyAlignment="1" applyProtection="1">
      <alignment horizontal="left" vertical="center" wrapText="1"/>
      <protection hidden="1"/>
    </xf>
    <xf numFmtId="0" fontId="17" fillId="4" borderId="4" xfId="0" applyFont="1" applyFill="1" applyBorder="1" applyAlignment="1" applyProtection="1">
      <alignment horizontal="left" vertical="center" wrapText="1"/>
      <protection hidden="1"/>
    </xf>
    <xf numFmtId="0" fontId="17" fillId="4" borderId="6" xfId="0" applyFont="1" applyFill="1" applyBorder="1" applyAlignment="1" applyProtection="1">
      <alignment horizontal="left" vertical="center" wrapText="1"/>
      <protection hidden="1"/>
    </xf>
    <xf numFmtId="164" fontId="22" fillId="3" borderId="21" xfId="0" applyNumberFormat="1" applyFont="1" applyFill="1" applyBorder="1" applyAlignment="1" applyProtection="1">
      <alignment horizontal="center" vertical="center" wrapText="1"/>
      <protection hidden="1"/>
    </xf>
    <xf numFmtId="164" fontId="22" fillId="3" borderId="18" xfId="0" applyNumberFormat="1" applyFont="1" applyFill="1" applyBorder="1" applyAlignment="1" applyProtection="1">
      <alignment horizontal="center" vertical="center" wrapText="1"/>
      <protection hidden="1"/>
    </xf>
    <xf numFmtId="0" fontId="28" fillId="5" borderId="19" xfId="0" applyFont="1" applyFill="1" applyBorder="1" applyAlignment="1" applyProtection="1">
      <alignment horizontal="left"/>
      <protection hidden="1"/>
    </xf>
    <xf numFmtId="0" fontId="28" fillId="5" borderId="10" xfId="0" applyFont="1" applyFill="1" applyBorder="1" applyAlignment="1" applyProtection="1">
      <alignment horizontal="left"/>
      <protection hidden="1"/>
    </xf>
    <xf numFmtId="0" fontId="28" fillId="5" borderId="3" xfId="0" applyFont="1" applyFill="1" applyBorder="1" applyAlignment="1" applyProtection="1">
      <alignment horizontal="left"/>
      <protection hidden="1"/>
    </xf>
    <xf numFmtId="0" fontId="17" fillId="2" borderId="2" xfId="0" applyFont="1" applyFill="1" applyBorder="1" applyAlignment="1" applyProtection="1">
      <alignment horizontal="right" vertical="center"/>
      <protection hidden="1"/>
    </xf>
    <xf numFmtId="0" fontId="22" fillId="5" borderId="9" xfId="0" applyFont="1" applyFill="1" applyBorder="1" applyAlignment="1" applyProtection="1">
      <alignment horizontal="left" vertical="center"/>
      <protection hidden="1"/>
    </xf>
    <xf numFmtId="0" fontId="22" fillId="5" borderId="8" xfId="0" applyFont="1" applyFill="1" applyBorder="1" applyAlignment="1" applyProtection="1">
      <alignment horizontal="left" vertical="center"/>
      <protection hidden="1"/>
    </xf>
    <xf numFmtId="0" fontId="17" fillId="8" borderId="9" xfId="0" applyFont="1" applyFill="1" applyBorder="1" applyAlignment="1" applyProtection="1">
      <alignment horizontal="center" vertical="center"/>
      <protection locked="0"/>
    </xf>
    <xf numFmtId="0" fontId="17" fillId="8" borderId="7"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7" fillId="2" borderId="0" xfId="0" applyFont="1" applyFill="1" applyAlignment="1" applyProtection="1">
      <alignment horizontal="center" vertical="center"/>
      <protection hidden="1"/>
    </xf>
    <xf numFmtId="0" fontId="17" fillId="2" borderId="2" xfId="0" applyFont="1" applyFill="1" applyBorder="1" applyAlignment="1" applyProtection="1">
      <alignment horizontal="center" vertical="center"/>
      <protection hidden="1"/>
    </xf>
    <xf numFmtId="0" fontId="17" fillId="2" borderId="2" xfId="0" applyFont="1" applyFill="1" applyBorder="1" applyAlignment="1" applyProtection="1">
      <alignment horizontal="left" vertical="center"/>
      <protection hidden="1"/>
    </xf>
    <xf numFmtId="0" fontId="15" fillId="5" borderId="19" xfId="0" applyFont="1" applyFill="1" applyBorder="1" applyAlignment="1" applyProtection="1">
      <alignment horizontal="left"/>
      <protection hidden="1"/>
    </xf>
    <xf numFmtId="0" fontId="15" fillId="5" borderId="10" xfId="0" applyFont="1" applyFill="1" applyBorder="1" applyAlignment="1" applyProtection="1">
      <alignment horizontal="left"/>
      <protection hidden="1"/>
    </xf>
    <xf numFmtId="0" fontId="15" fillId="5" borderId="3" xfId="0" applyFont="1" applyFill="1" applyBorder="1" applyAlignment="1" applyProtection="1">
      <alignment horizontal="left"/>
      <protection hidden="1"/>
    </xf>
    <xf numFmtId="0" fontId="15" fillId="5" borderId="4" xfId="0" applyFont="1" applyFill="1" applyBorder="1" applyProtection="1">
      <protection hidden="1"/>
    </xf>
    <xf numFmtId="0" fontId="15" fillId="5" borderId="5" xfId="0" applyFont="1" applyFill="1" applyBorder="1" applyProtection="1">
      <protection hidden="1"/>
    </xf>
    <xf numFmtId="0" fontId="15" fillId="5" borderId="6" xfId="0" applyFont="1" applyFill="1" applyBorder="1" applyProtection="1">
      <protection hidden="1"/>
    </xf>
    <xf numFmtId="0" fontId="19" fillId="4" borderId="9" xfId="0" applyFont="1" applyFill="1" applyBorder="1" applyAlignment="1" applyProtection="1">
      <alignment vertical="center" wrapText="1"/>
      <protection hidden="1"/>
    </xf>
    <xf numFmtId="0" fontId="19" fillId="4" borderId="7" xfId="0" applyFont="1" applyFill="1" applyBorder="1" applyAlignment="1" applyProtection="1">
      <alignment vertical="center" wrapText="1"/>
      <protection hidden="1"/>
    </xf>
    <xf numFmtId="0" fontId="19" fillId="4" borderId="8" xfId="0" applyFont="1" applyFill="1" applyBorder="1" applyAlignment="1" applyProtection="1">
      <alignment vertical="center" wrapText="1"/>
      <protection hidden="1"/>
    </xf>
    <xf numFmtId="0" fontId="105" fillId="2" borderId="9" xfId="0" applyFont="1" applyFill="1" applyBorder="1" applyAlignment="1" applyProtection="1">
      <alignment horizontal="justify" vertical="center" wrapText="1"/>
      <protection hidden="1"/>
    </xf>
    <xf numFmtId="0" fontId="105" fillId="2" borderId="7" xfId="0" applyFont="1" applyFill="1" applyBorder="1" applyAlignment="1" applyProtection="1">
      <alignment horizontal="justify" vertical="center" wrapText="1"/>
      <protection hidden="1"/>
    </xf>
    <xf numFmtId="0" fontId="105" fillId="2" borderId="8" xfId="0" applyFont="1" applyFill="1" applyBorder="1" applyAlignment="1" applyProtection="1">
      <alignment horizontal="justify" vertical="center" wrapText="1"/>
      <protection hidden="1"/>
    </xf>
    <xf numFmtId="0" fontId="29" fillId="2" borderId="0" xfId="0" applyFont="1" applyFill="1" applyAlignment="1">
      <alignment horizontal="left"/>
    </xf>
    <xf numFmtId="49" fontId="22" fillId="0" borderId="12" xfId="0" applyNumberFormat="1" applyFont="1" applyBorder="1" applyAlignment="1" applyProtection="1">
      <alignment horizontal="left"/>
      <protection locked="0" hidden="1"/>
    </xf>
    <xf numFmtId="0" fontId="17" fillId="4" borderId="9" xfId="0" applyFont="1" applyFill="1" applyBorder="1" applyAlignment="1" applyProtection="1">
      <alignment horizontal="center" vertical="center" wrapText="1"/>
      <protection hidden="1"/>
    </xf>
    <xf numFmtId="0" fontId="17" fillId="4" borderId="8" xfId="0" applyFont="1" applyFill="1" applyBorder="1" applyAlignment="1" applyProtection="1">
      <alignment horizontal="center" vertical="center" wrapText="1"/>
      <protection hidden="1"/>
    </xf>
    <xf numFmtId="0" fontId="46" fillId="5" borderId="19" xfId="0" applyFont="1" applyFill="1" applyBorder="1" applyAlignment="1" applyProtection="1">
      <alignment horizontal="left" vertical="center" wrapText="1"/>
      <protection hidden="1"/>
    </xf>
    <xf numFmtId="0" fontId="46" fillId="5" borderId="3" xfId="0" applyFont="1" applyFill="1" applyBorder="1" applyAlignment="1" applyProtection="1">
      <alignment horizontal="left" vertical="center" wrapText="1"/>
      <protection hidden="1"/>
    </xf>
    <xf numFmtId="0" fontId="46" fillId="5" borderId="1" xfId="0" applyFont="1" applyFill="1" applyBorder="1" applyAlignment="1" applyProtection="1">
      <alignment horizontal="left" vertical="center" wrapText="1"/>
      <protection hidden="1"/>
    </xf>
    <xf numFmtId="0" fontId="46" fillId="5" borderId="2" xfId="0" applyFont="1" applyFill="1" applyBorder="1" applyAlignment="1" applyProtection="1">
      <alignment horizontal="left" vertical="center" wrapText="1"/>
      <protection hidden="1"/>
    </xf>
    <xf numFmtId="3" fontId="17" fillId="2" borderId="12" xfId="0" applyNumberFormat="1" applyFont="1" applyFill="1" applyBorder="1" applyAlignment="1" applyProtection="1">
      <alignment horizontal="left" vertical="center"/>
      <protection hidden="1"/>
    </xf>
    <xf numFmtId="0" fontId="19" fillId="5" borderId="12" xfId="0" applyFont="1" applyFill="1" applyBorder="1" applyAlignment="1" applyProtection="1">
      <alignment horizontal="center"/>
      <protection hidden="1"/>
    </xf>
    <xf numFmtId="0" fontId="17" fillId="5" borderId="12" xfId="0" applyFont="1" applyFill="1" applyBorder="1" applyAlignment="1" applyProtection="1">
      <alignment horizontal="center" vertical="center" wrapText="1"/>
      <protection hidden="1"/>
    </xf>
    <xf numFmtId="0" fontId="17" fillId="5" borderId="10" xfId="0" applyFont="1" applyFill="1" applyBorder="1" applyAlignment="1" applyProtection="1">
      <alignment horizontal="center" vertical="center" wrapText="1"/>
      <protection hidden="1"/>
    </xf>
    <xf numFmtId="0" fontId="17" fillId="5" borderId="3" xfId="0" applyFont="1" applyFill="1" applyBorder="1" applyAlignment="1" applyProtection="1">
      <alignment horizontal="center" vertical="center" wrapText="1"/>
      <protection hidden="1"/>
    </xf>
    <xf numFmtId="0" fontId="17" fillId="5" borderId="5" xfId="0" applyFont="1" applyFill="1" applyBorder="1" applyAlignment="1" applyProtection="1">
      <alignment horizontal="center" vertical="center" wrapText="1"/>
      <protection hidden="1"/>
    </xf>
    <xf numFmtId="0" fontId="17" fillId="5" borderId="6" xfId="0" applyFont="1" applyFill="1" applyBorder="1" applyAlignment="1" applyProtection="1">
      <alignment horizontal="center" vertical="center" wrapText="1"/>
      <protection hidden="1"/>
    </xf>
    <xf numFmtId="0" fontId="17" fillId="2" borderId="12" xfId="0" applyFont="1" applyFill="1" applyBorder="1"/>
    <xf numFmtId="0" fontId="61" fillId="2" borderId="1" xfId="0" applyFont="1" applyFill="1" applyBorder="1" applyProtection="1">
      <protection hidden="1"/>
    </xf>
    <xf numFmtId="3" fontId="61" fillId="2" borderId="0" xfId="0" applyNumberFormat="1" applyFont="1" applyFill="1" applyAlignment="1" applyProtection="1">
      <alignment horizontal="left"/>
      <protection hidden="1"/>
    </xf>
    <xf numFmtId="3" fontId="105" fillId="0" borderId="12" xfId="0" applyNumberFormat="1" applyFont="1" applyBorder="1" applyAlignment="1" applyProtection="1">
      <alignment horizontal="left" vertical="center"/>
      <protection hidden="1"/>
    </xf>
    <xf numFmtId="3" fontId="105" fillId="10" borderId="12" xfId="0" applyNumberFormat="1" applyFont="1" applyFill="1" applyBorder="1" applyAlignment="1" applyProtection="1">
      <alignment horizontal="left" vertical="center"/>
      <protection hidden="1"/>
    </xf>
    <xf numFmtId="0" fontId="22" fillId="2" borderId="5" xfId="0" applyFont="1" applyFill="1" applyBorder="1" applyAlignment="1" applyProtection="1">
      <alignment horizontal="left"/>
      <protection hidden="1"/>
    </xf>
    <xf numFmtId="0" fontId="28" fillId="6" borderId="19" xfId="0" applyFont="1" applyFill="1" applyBorder="1" applyAlignment="1" applyProtection="1">
      <alignment horizontal="left" vertical="center" wrapText="1"/>
      <protection hidden="1"/>
    </xf>
    <xf numFmtId="0" fontId="28" fillId="6" borderId="3" xfId="0" applyFont="1" applyFill="1" applyBorder="1" applyAlignment="1" applyProtection="1">
      <alignment horizontal="left" vertical="center" wrapText="1"/>
      <protection hidden="1"/>
    </xf>
    <xf numFmtId="0" fontId="28" fillId="6" borderId="1" xfId="0" applyFont="1" applyFill="1" applyBorder="1" applyAlignment="1" applyProtection="1">
      <alignment horizontal="left" vertical="center" wrapText="1"/>
      <protection hidden="1"/>
    </xf>
    <xf numFmtId="0" fontId="28" fillId="6" borderId="2" xfId="0" applyFont="1" applyFill="1" applyBorder="1" applyAlignment="1" applyProtection="1">
      <alignment horizontal="left" vertical="center" wrapText="1"/>
      <protection hidden="1"/>
    </xf>
    <xf numFmtId="0" fontId="28" fillId="6" borderId="4" xfId="0" applyFont="1" applyFill="1" applyBorder="1" applyAlignment="1" applyProtection="1">
      <alignment horizontal="left" vertical="center" wrapText="1"/>
      <protection hidden="1"/>
    </xf>
    <xf numFmtId="0" fontId="28" fillId="6" borderId="6" xfId="0" applyFont="1" applyFill="1" applyBorder="1" applyAlignment="1" applyProtection="1">
      <alignment horizontal="left" vertical="center" wrapText="1"/>
      <protection hidden="1"/>
    </xf>
    <xf numFmtId="0" fontId="17" fillId="5" borderId="21" xfId="0" applyFont="1" applyFill="1" applyBorder="1" applyAlignment="1" applyProtection="1">
      <alignment horizontal="center" vertical="center" wrapText="1"/>
      <protection hidden="1"/>
    </xf>
    <xf numFmtId="0" fontId="17" fillId="5" borderId="20" xfId="0" applyFont="1" applyFill="1" applyBorder="1" applyAlignment="1" applyProtection="1">
      <alignment horizontal="center" vertical="center" wrapText="1"/>
      <protection hidden="1"/>
    </xf>
    <xf numFmtId="0" fontId="17" fillId="5" borderId="18" xfId="0" applyFont="1" applyFill="1" applyBorder="1" applyAlignment="1" applyProtection="1">
      <alignment horizontal="center" vertical="center" wrapText="1"/>
      <protection hidden="1"/>
    </xf>
    <xf numFmtId="0" fontId="19" fillId="5" borderId="12" xfId="0" applyFont="1" applyFill="1" applyBorder="1" applyAlignment="1" applyProtection="1">
      <alignment horizontal="center" vertical="center" wrapText="1"/>
      <protection hidden="1"/>
    </xf>
    <xf numFmtId="0" fontId="22" fillId="4" borderId="20" xfId="0" applyFont="1" applyFill="1" applyBorder="1" applyAlignment="1" applyProtection="1">
      <alignment horizontal="center" vertical="center" wrapText="1"/>
      <protection hidden="1"/>
    </xf>
    <xf numFmtId="0" fontId="22" fillId="4" borderId="18" xfId="0" applyFont="1" applyFill="1" applyBorder="1" applyAlignment="1" applyProtection="1">
      <alignment horizontal="center" vertical="center" wrapText="1"/>
      <protection hidden="1"/>
    </xf>
    <xf numFmtId="0" fontId="17" fillId="4" borderId="4" xfId="0" applyFont="1" applyFill="1" applyBorder="1" applyAlignment="1" applyProtection="1">
      <alignment horizontal="center" vertical="center" wrapText="1"/>
      <protection hidden="1"/>
    </xf>
    <xf numFmtId="0" fontId="17" fillId="4" borderId="6" xfId="0" applyFont="1" applyFill="1" applyBorder="1" applyAlignment="1" applyProtection="1">
      <alignment horizontal="center" vertical="center" wrapText="1"/>
      <protection hidden="1"/>
    </xf>
    <xf numFmtId="0" fontId="22" fillId="12" borderId="0" xfId="0" applyFont="1" applyFill="1" applyAlignment="1" applyProtection="1">
      <alignment horizontal="left"/>
      <protection hidden="1"/>
    </xf>
    <xf numFmtId="0" fontId="28" fillId="14" borderId="19" xfId="0" applyFont="1" applyFill="1" applyBorder="1" applyAlignment="1" applyProtection="1">
      <alignment horizontal="left" vertical="center" wrapText="1"/>
      <protection hidden="1"/>
    </xf>
    <xf numFmtId="0" fontId="28" fillId="14" borderId="10" xfId="0" applyFont="1" applyFill="1" applyBorder="1" applyAlignment="1" applyProtection="1">
      <alignment horizontal="left" vertical="center" wrapText="1"/>
      <protection hidden="1"/>
    </xf>
    <xf numFmtId="0" fontId="28" fillId="14" borderId="4" xfId="0" applyFont="1" applyFill="1" applyBorder="1" applyAlignment="1" applyProtection="1">
      <alignment horizontal="left" vertical="center" wrapText="1"/>
      <protection hidden="1"/>
    </xf>
    <xf numFmtId="0" fontId="28" fillId="14" borderId="5" xfId="0" applyFont="1" applyFill="1" applyBorder="1" applyAlignment="1" applyProtection="1">
      <alignment horizontal="left" vertical="center" wrapText="1"/>
      <protection hidden="1"/>
    </xf>
    <xf numFmtId="0" fontId="140" fillId="14" borderId="3" xfId="0" applyFont="1" applyFill="1" applyBorder="1" applyAlignment="1" applyProtection="1">
      <alignment horizontal="center" vertical="center" wrapText="1"/>
      <protection hidden="1"/>
    </xf>
    <xf numFmtId="0" fontId="140" fillId="14" borderId="6" xfId="0" applyFont="1" applyFill="1" applyBorder="1" applyAlignment="1" applyProtection="1">
      <alignment horizontal="center" vertical="center" wrapText="1"/>
      <protection hidden="1"/>
    </xf>
    <xf numFmtId="0" fontId="28" fillId="14" borderId="9" xfId="0" applyFont="1" applyFill="1" applyBorder="1" applyAlignment="1">
      <alignment wrapText="1"/>
    </xf>
    <xf numFmtId="0" fontId="28" fillId="14" borderId="7" xfId="0" applyFont="1" applyFill="1" applyBorder="1" applyAlignment="1">
      <alignment wrapText="1"/>
    </xf>
    <xf numFmtId="0" fontId="28" fillId="14" borderId="8" xfId="0" applyFont="1" applyFill="1" applyBorder="1" applyAlignment="1">
      <alignment wrapText="1"/>
    </xf>
    <xf numFmtId="174" fontId="22" fillId="14" borderId="9" xfId="0" applyNumberFormat="1" applyFont="1" applyFill="1" applyBorder="1" applyAlignment="1" applyProtection="1">
      <alignment horizontal="left" vertical="center" wrapText="1"/>
      <protection hidden="1"/>
    </xf>
    <xf numFmtId="174" fontId="22" fillId="14" borderId="8" xfId="0" applyNumberFormat="1" applyFont="1" applyFill="1" applyBorder="1" applyAlignment="1" applyProtection="1">
      <alignment horizontal="left" vertical="center" wrapText="1"/>
      <protection hidden="1"/>
    </xf>
    <xf numFmtId="0" fontId="28" fillId="14" borderId="3" xfId="0" applyFont="1" applyFill="1" applyBorder="1" applyAlignment="1" applyProtection="1">
      <alignment horizontal="left" vertical="center" wrapText="1"/>
      <protection hidden="1"/>
    </xf>
    <xf numFmtId="0" fontId="28" fillId="14" borderId="6" xfId="0" applyFont="1" applyFill="1" applyBorder="1" applyAlignment="1" applyProtection="1">
      <alignment horizontal="left" vertical="center" wrapText="1"/>
      <protection hidden="1"/>
    </xf>
    <xf numFmtId="0" fontId="19" fillId="14" borderId="19" xfId="0" applyFont="1" applyFill="1" applyBorder="1" applyAlignment="1" applyProtection="1">
      <alignment horizontal="left" vertical="center" wrapText="1"/>
      <protection hidden="1"/>
    </xf>
    <xf numFmtId="0" fontId="19" fillId="14" borderId="10" xfId="0" applyFont="1" applyFill="1" applyBorder="1" applyAlignment="1" applyProtection="1">
      <alignment horizontal="left" vertical="center" wrapText="1"/>
      <protection hidden="1"/>
    </xf>
    <xf numFmtId="0" fontId="19" fillId="14" borderId="3" xfId="0" applyFont="1" applyFill="1" applyBorder="1" applyAlignment="1" applyProtection="1">
      <alignment horizontal="left" vertical="center" wrapText="1"/>
      <protection hidden="1"/>
    </xf>
    <xf numFmtId="0" fontId="19" fillId="14" borderId="4" xfId="0" applyFont="1" applyFill="1" applyBorder="1" applyAlignment="1" applyProtection="1">
      <alignment horizontal="left" vertical="center" wrapText="1"/>
      <protection hidden="1"/>
    </xf>
    <xf numFmtId="0" fontId="19" fillId="14" borderId="5" xfId="0" applyFont="1" applyFill="1" applyBorder="1" applyAlignment="1" applyProtection="1">
      <alignment horizontal="left" vertical="center" wrapText="1"/>
      <protection hidden="1"/>
    </xf>
    <xf numFmtId="0" fontId="19" fillId="14" borderId="6" xfId="0" applyFont="1" applyFill="1" applyBorder="1" applyAlignment="1" applyProtection="1">
      <alignment horizontal="left" vertical="center" wrapText="1"/>
      <protection hidden="1"/>
    </xf>
    <xf numFmtId="0" fontId="15" fillId="14" borderId="12" xfId="0" applyFont="1" applyFill="1" applyBorder="1" applyProtection="1">
      <protection hidden="1"/>
    </xf>
    <xf numFmtId="0" fontId="15" fillId="6" borderId="12" xfId="0" applyFont="1" applyFill="1" applyBorder="1" applyAlignment="1" applyProtection="1">
      <alignment vertical="center" wrapText="1"/>
      <protection hidden="1"/>
    </xf>
    <xf numFmtId="0" fontId="17" fillId="5" borderId="9" xfId="0" applyFont="1" applyFill="1" applyBorder="1" applyAlignment="1" applyProtection="1">
      <alignment vertical="center" wrapText="1"/>
      <protection hidden="1"/>
    </xf>
    <xf numFmtId="0" fontId="17" fillId="5" borderId="7" xfId="0" applyFont="1" applyFill="1" applyBorder="1" applyAlignment="1" applyProtection="1">
      <alignment vertical="center" wrapText="1"/>
      <protection hidden="1"/>
    </xf>
    <xf numFmtId="0" fontId="17" fillId="5" borderId="8" xfId="0" applyFont="1" applyFill="1" applyBorder="1" applyAlignment="1" applyProtection="1">
      <alignment vertical="center" wrapText="1"/>
      <protection hidden="1"/>
    </xf>
    <xf numFmtId="0" fontId="59" fillId="2" borderId="0" xfId="0" applyFont="1" applyFill="1" applyAlignment="1" applyProtection="1">
      <alignment horizontal="left" vertical="center" wrapText="1"/>
      <protection hidden="1"/>
    </xf>
    <xf numFmtId="0" fontId="15" fillId="14" borderId="9" xfId="0" applyFont="1" applyFill="1" applyBorder="1" applyAlignment="1" applyProtection="1">
      <alignment horizontal="left" vertical="center" wrapText="1"/>
      <protection hidden="1"/>
    </xf>
    <xf numFmtId="0" fontId="15" fillId="14" borderId="7" xfId="0" applyFont="1" applyFill="1" applyBorder="1" applyAlignment="1" applyProtection="1">
      <alignment horizontal="left" vertical="center" wrapText="1"/>
      <protection hidden="1"/>
    </xf>
    <xf numFmtId="0" fontId="15" fillId="14" borderId="8" xfId="0" applyFont="1" applyFill="1" applyBorder="1" applyAlignment="1" applyProtection="1">
      <alignment horizontal="left" vertical="center" wrapText="1"/>
      <protection hidden="1"/>
    </xf>
    <xf numFmtId="0" fontId="17" fillId="14" borderId="19" xfId="0" applyFont="1" applyFill="1" applyBorder="1" applyAlignment="1" applyProtection="1">
      <alignment horizontal="left" vertical="center" wrapText="1"/>
      <protection hidden="1"/>
    </xf>
    <xf numFmtId="0" fontId="17" fillId="14" borderId="3" xfId="0" applyFont="1" applyFill="1" applyBorder="1" applyAlignment="1" applyProtection="1">
      <alignment horizontal="left" vertical="center" wrapText="1"/>
      <protection hidden="1"/>
    </xf>
    <xf numFmtId="0" fontId="17" fillId="14" borderId="1" xfId="0" applyFont="1" applyFill="1" applyBorder="1" applyAlignment="1" applyProtection="1">
      <alignment horizontal="left" vertical="center" wrapText="1"/>
      <protection hidden="1"/>
    </xf>
    <xf numFmtId="0" fontId="17" fillId="14" borderId="2" xfId="0" applyFont="1" applyFill="1" applyBorder="1" applyAlignment="1" applyProtection="1">
      <alignment horizontal="left" vertical="center" wrapText="1"/>
      <protection hidden="1"/>
    </xf>
    <xf numFmtId="0" fontId="17" fillId="14" borderId="4" xfId="0" applyFont="1" applyFill="1" applyBorder="1" applyAlignment="1" applyProtection="1">
      <alignment horizontal="left" vertical="center" wrapText="1"/>
      <protection hidden="1"/>
    </xf>
    <xf numFmtId="0" fontId="17" fillId="14" borderId="6" xfId="0" applyFont="1" applyFill="1" applyBorder="1" applyAlignment="1" applyProtection="1">
      <alignment horizontal="left" vertical="center" wrapText="1"/>
      <protection hidden="1"/>
    </xf>
    <xf numFmtId="0" fontId="17" fillId="14" borderId="9" xfId="0" applyFont="1" applyFill="1" applyBorder="1" applyAlignment="1" applyProtection="1">
      <alignment horizontal="left" vertical="center" wrapText="1"/>
      <protection hidden="1"/>
    </xf>
    <xf numFmtId="0" fontId="17" fillId="14" borderId="8" xfId="0" applyFont="1" applyFill="1" applyBorder="1" applyAlignment="1" applyProtection="1">
      <alignment horizontal="left" vertical="center" wrapText="1"/>
      <protection hidden="1"/>
    </xf>
    <xf numFmtId="0" fontId="46" fillId="15" borderId="19" xfId="0" applyFont="1" applyFill="1" applyBorder="1" applyAlignment="1" applyProtection="1">
      <alignment horizontal="left" vertical="center" wrapText="1"/>
      <protection hidden="1"/>
    </xf>
    <xf numFmtId="0" fontId="46" fillId="15" borderId="10" xfId="0" applyFont="1" applyFill="1" applyBorder="1" applyAlignment="1" applyProtection="1">
      <alignment horizontal="left" vertical="center" wrapText="1"/>
      <protection hidden="1"/>
    </xf>
    <xf numFmtId="0" fontId="46" fillId="15" borderId="3" xfId="0" applyFont="1" applyFill="1" applyBorder="1" applyAlignment="1" applyProtection="1">
      <alignment horizontal="left" vertical="center" wrapText="1"/>
      <protection hidden="1"/>
    </xf>
    <xf numFmtId="0" fontId="46" fillId="15" borderId="4" xfId="0" applyFont="1" applyFill="1" applyBorder="1" applyAlignment="1" applyProtection="1">
      <alignment horizontal="left" vertical="center" wrapText="1"/>
      <protection hidden="1"/>
    </xf>
    <xf numFmtId="0" fontId="46" fillId="15" borderId="5" xfId="0" applyFont="1" applyFill="1" applyBorder="1" applyAlignment="1" applyProtection="1">
      <alignment horizontal="left" vertical="center" wrapText="1"/>
      <protection hidden="1"/>
    </xf>
    <xf numFmtId="0" fontId="46" fillId="15" borderId="6" xfId="0" applyFont="1" applyFill="1" applyBorder="1" applyAlignment="1" applyProtection="1">
      <alignment horizontal="left" vertical="center" wrapText="1"/>
      <protection hidden="1"/>
    </xf>
    <xf numFmtId="0" fontId="19" fillId="14" borderId="9" xfId="0" applyFont="1" applyFill="1" applyBorder="1" applyAlignment="1" applyProtection="1">
      <alignment horizontal="left" vertical="center" wrapText="1"/>
      <protection hidden="1"/>
    </xf>
    <xf numFmtId="0" fontId="19" fillId="14" borderId="8" xfId="0" applyFont="1" applyFill="1" applyBorder="1" applyAlignment="1" applyProtection="1">
      <alignment horizontal="left" vertical="center" wrapText="1"/>
      <protection hidden="1"/>
    </xf>
    <xf numFmtId="0" fontId="17" fillId="12" borderId="9" xfId="0" applyFont="1" applyFill="1" applyBorder="1" applyAlignment="1" applyProtection="1">
      <alignment horizontal="left" vertical="center" wrapText="1"/>
      <protection hidden="1"/>
    </xf>
    <xf numFmtId="0" fontId="17" fillId="12" borderId="8" xfId="0" applyFont="1" applyFill="1" applyBorder="1" applyAlignment="1" applyProtection="1">
      <alignment horizontal="left" vertical="center" wrapText="1"/>
      <protection hidden="1"/>
    </xf>
    <xf numFmtId="0" fontId="51" fillId="12" borderId="2" xfId="0" applyFont="1" applyFill="1" applyBorder="1" applyAlignment="1">
      <alignment horizontal="center" vertical="center"/>
    </xf>
    <xf numFmtId="0" fontId="17" fillId="14" borderId="9" xfId="0" applyFont="1" applyFill="1" applyBorder="1" applyAlignment="1" applyProtection="1">
      <alignment vertical="center"/>
      <protection hidden="1"/>
    </xf>
    <xf numFmtId="0" fontId="17" fillId="14" borderId="8" xfId="0" applyFont="1" applyFill="1" applyBorder="1" applyAlignment="1" applyProtection="1">
      <alignment vertical="center"/>
      <protection hidden="1"/>
    </xf>
    <xf numFmtId="0" fontId="19" fillId="2" borderId="21" xfId="0" applyFont="1" applyFill="1" applyBorder="1" applyAlignment="1" applyProtection="1">
      <alignment wrapText="1"/>
      <protection hidden="1"/>
    </xf>
    <xf numFmtId="0" fontId="19" fillId="2" borderId="18" xfId="0" applyFont="1" applyFill="1" applyBorder="1" applyAlignment="1" applyProtection="1">
      <alignment wrapText="1"/>
      <protection hidden="1"/>
    </xf>
    <xf numFmtId="0" fontId="12" fillId="2" borderId="0" xfId="0" applyFont="1" applyFill="1" applyAlignment="1">
      <alignment horizontal="left" vertical="center" wrapText="1"/>
    </xf>
    <xf numFmtId="0" fontId="12" fillId="2" borderId="2" xfId="0" applyFont="1" applyFill="1" applyBorder="1" applyAlignment="1">
      <alignment horizontal="left" vertical="center" wrapText="1"/>
    </xf>
    <xf numFmtId="0" fontId="194" fillId="2" borderId="5" xfId="0" applyFont="1" applyFill="1" applyBorder="1" applyAlignment="1" applyProtection="1">
      <alignment horizontal="left" vertical="center"/>
      <protection hidden="1"/>
    </xf>
    <xf numFmtId="0" fontId="15" fillId="5" borderId="19" xfId="0" applyFont="1" applyFill="1" applyBorder="1" applyAlignment="1" applyProtection="1">
      <alignment horizontal="left" vertical="center"/>
      <protection hidden="1"/>
    </xf>
    <xf numFmtId="0" fontId="15" fillId="5" borderId="10" xfId="0" applyFont="1" applyFill="1" applyBorder="1" applyAlignment="1" applyProtection="1">
      <alignment horizontal="left" vertical="center"/>
      <protection hidden="1"/>
    </xf>
    <xf numFmtId="0" fontId="15" fillId="5" borderId="3" xfId="0" applyFont="1" applyFill="1" applyBorder="1" applyAlignment="1" applyProtection="1">
      <alignment horizontal="left" vertical="center"/>
      <protection hidden="1"/>
    </xf>
    <xf numFmtId="0" fontId="15" fillId="5" borderId="4" xfId="0" applyFont="1" applyFill="1" applyBorder="1" applyAlignment="1" applyProtection="1">
      <alignment horizontal="left" vertical="center"/>
      <protection hidden="1"/>
    </xf>
    <xf numFmtId="0" fontId="15" fillId="5" borderId="5" xfId="0" applyFont="1" applyFill="1" applyBorder="1" applyAlignment="1" applyProtection="1">
      <alignment horizontal="left" vertical="center"/>
      <protection hidden="1"/>
    </xf>
    <xf numFmtId="0" fontId="15" fillId="5" borderId="6" xfId="0" applyFont="1" applyFill="1" applyBorder="1" applyAlignment="1" applyProtection="1">
      <alignment horizontal="left" vertical="center"/>
      <protection hidden="1"/>
    </xf>
    <xf numFmtId="166" fontId="22" fillId="3" borderId="9" xfId="0" applyNumberFormat="1" applyFont="1" applyFill="1" applyBorder="1" applyAlignment="1" applyProtection="1">
      <alignment horizontal="center" vertical="center"/>
      <protection hidden="1"/>
    </xf>
    <xf numFmtId="166" fontId="22" fillId="3" borderId="8" xfId="0" applyNumberFormat="1" applyFont="1" applyFill="1" applyBorder="1" applyAlignment="1" applyProtection="1">
      <alignment horizontal="center" vertical="center"/>
      <protection hidden="1"/>
    </xf>
    <xf numFmtId="0" fontId="194" fillId="2" borderId="0" xfId="0" applyFont="1" applyFill="1" applyAlignment="1" applyProtection="1">
      <alignment horizontal="left" vertical="center"/>
      <protection hidden="1"/>
    </xf>
    <xf numFmtId="0" fontId="212" fillId="2" borderId="5" xfId="0" applyFont="1" applyFill="1" applyBorder="1" applyAlignment="1" applyProtection="1">
      <alignment horizontal="center" vertical="center"/>
      <protection hidden="1"/>
    </xf>
    <xf numFmtId="166" fontId="22" fillId="3" borderId="21" xfId="0" applyNumberFormat="1" applyFont="1" applyFill="1" applyBorder="1" applyAlignment="1" applyProtection="1">
      <alignment horizontal="center" vertical="center" wrapText="1"/>
      <protection hidden="1"/>
    </xf>
    <xf numFmtId="166" fontId="22" fillId="3" borderId="18" xfId="0" applyNumberFormat="1" applyFont="1" applyFill="1" applyBorder="1" applyAlignment="1" applyProtection="1">
      <alignment horizontal="center" vertical="center" wrapText="1"/>
      <protection hidden="1"/>
    </xf>
    <xf numFmtId="0" fontId="262" fillId="2" borderId="0" xfId="0" applyFont="1" applyFill="1" applyAlignment="1">
      <alignment horizontal="left" vertical="center" wrapText="1"/>
    </xf>
    <xf numFmtId="0" fontId="262" fillId="2" borderId="2" xfId="0" applyFont="1" applyFill="1" applyBorder="1" applyAlignment="1">
      <alignment horizontal="left" vertical="center" wrapText="1"/>
    </xf>
    <xf numFmtId="0" fontId="22" fillId="8" borderId="9" xfId="0" applyFont="1" applyFill="1" applyBorder="1" applyAlignment="1" applyProtection="1">
      <alignment horizontal="left" wrapText="1"/>
      <protection locked="0"/>
    </xf>
    <xf numFmtId="0" fontId="22" fillId="8" borderId="7" xfId="0" applyFont="1" applyFill="1" applyBorder="1" applyAlignment="1" applyProtection="1">
      <alignment horizontal="left" wrapText="1"/>
      <protection locked="0"/>
    </xf>
    <xf numFmtId="0" fontId="22" fillId="8" borderId="8" xfId="0" applyFont="1" applyFill="1" applyBorder="1" applyAlignment="1" applyProtection="1">
      <alignment horizontal="left" wrapText="1"/>
      <protection locked="0"/>
    </xf>
    <xf numFmtId="0" fontId="17" fillId="0" borderId="9" xfId="0" applyFont="1" applyBorder="1" applyAlignment="1" applyProtection="1">
      <alignment horizontal="center"/>
      <protection locked="0"/>
    </xf>
    <xf numFmtId="0" fontId="17" fillId="0" borderId="7" xfId="0" applyFont="1" applyBorder="1" applyAlignment="1" applyProtection="1">
      <alignment horizontal="center"/>
      <protection locked="0"/>
    </xf>
    <xf numFmtId="0" fontId="17" fillId="0" borderId="8" xfId="0" applyFont="1" applyBorder="1" applyAlignment="1" applyProtection="1">
      <alignment horizontal="center"/>
      <protection locked="0"/>
    </xf>
    <xf numFmtId="0" fontId="17" fillId="7" borderId="0" xfId="0" applyFont="1" applyFill="1" applyAlignment="1" applyProtection="1">
      <alignment horizontal="left"/>
      <protection hidden="1"/>
    </xf>
    <xf numFmtId="0" fontId="17" fillId="7" borderId="5" xfId="0" applyFont="1" applyFill="1" applyBorder="1" applyAlignment="1" applyProtection="1">
      <alignment horizontal="center"/>
      <protection hidden="1"/>
    </xf>
    <xf numFmtId="0" fontId="28" fillId="4" borderId="9" xfId="0" applyFont="1" applyFill="1" applyBorder="1" applyAlignment="1" applyProtection="1">
      <alignment horizontal="left" vertical="center" wrapText="1"/>
      <protection hidden="1"/>
    </xf>
    <xf numFmtId="0" fontId="19" fillId="4" borderId="7" xfId="0" applyFont="1" applyFill="1" applyBorder="1" applyAlignment="1" applyProtection="1">
      <alignment horizontal="left" vertical="center" wrapText="1"/>
      <protection hidden="1"/>
    </xf>
    <xf numFmtId="0" fontId="19" fillId="4" borderId="8" xfId="0" applyFont="1" applyFill="1" applyBorder="1" applyAlignment="1" applyProtection="1">
      <alignment horizontal="left" vertical="center" wrapText="1"/>
      <protection hidden="1"/>
    </xf>
    <xf numFmtId="0" fontId="22" fillId="5" borderId="7" xfId="0" applyFont="1" applyFill="1" applyBorder="1" applyAlignment="1" applyProtection="1">
      <alignment horizontal="left" vertical="center"/>
      <protection hidden="1"/>
    </xf>
    <xf numFmtId="0" fontId="22" fillId="4" borderId="9" xfId="0" applyFont="1" applyFill="1" applyBorder="1" applyAlignment="1" applyProtection="1">
      <alignment horizontal="left" vertical="center" wrapText="1"/>
      <protection hidden="1"/>
    </xf>
    <xf numFmtId="0" fontId="19" fillId="0" borderId="7" xfId="0" applyFont="1" applyBorder="1"/>
    <xf numFmtId="0" fontId="19" fillId="0" borderId="8" xfId="0" applyFont="1" applyBorder="1"/>
    <xf numFmtId="0" fontId="54" fillId="7" borderId="1" xfId="0" applyFont="1" applyFill="1" applyBorder="1" applyAlignment="1" applyProtection="1">
      <alignment horizontal="center" vertical="center" wrapText="1"/>
      <protection hidden="1"/>
    </xf>
    <xf numFmtId="0" fontId="54" fillId="7" borderId="0" xfId="0" applyFont="1" applyFill="1" applyAlignment="1" applyProtection="1">
      <alignment horizontal="center" vertical="center" wrapText="1"/>
      <protection hidden="1"/>
    </xf>
    <xf numFmtId="0" fontId="28" fillId="3" borderId="9" xfId="0" applyFont="1" applyFill="1" applyBorder="1" applyAlignment="1" applyProtection="1">
      <alignment horizontal="left" wrapText="1"/>
      <protection hidden="1"/>
    </xf>
    <xf numFmtId="0" fontId="28" fillId="3" borderId="7" xfId="0" applyFont="1" applyFill="1" applyBorder="1" applyAlignment="1" applyProtection="1">
      <alignment horizontal="left" wrapText="1"/>
      <protection hidden="1"/>
    </xf>
    <xf numFmtId="0" fontId="28" fillId="3" borderId="8" xfId="0" applyFont="1" applyFill="1" applyBorder="1" applyAlignment="1" applyProtection="1">
      <alignment horizontal="left" wrapText="1"/>
      <protection hidden="1"/>
    </xf>
    <xf numFmtId="0" fontId="248" fillId="0" borderId="0" xfId="0" applyFont="1" applyAlignment="1" applyProtection="1">
      <alignment horizontal="center" vertical="center"/>
      <protection hidden="1"/>
    </xf>
    <xf numFmtId="0" fontId="17" fillId="3" borderId="18" xfId="0" applyFont="1" applyFill="1" applyBorder="1" applyAlignment="1" applyProtection="1">
      <alignment horizontal="center"/>
      <protection hidden="1"/>
    </xf>
    <xf numFmtId="0" fontId="17" fillId="3" borderId="21" xfId="0" applyFont="1" applyFill="1" applyBorder="1" applyAlignment="1" applyProtection="1">
      <alignment horizontal="center" vertical="center" wrapText="1"/>
      <protection hidden="1"/>
    </xf>
    <xf numFmtId="0" fontId="17" fillId="3" borderId="18" xfId="0" applyFont="1" applyFill="1" applyBorder="1" applyAlignment="1" applyProtection="1">
      <alignment horizontal="center" vertical="center" wrapText="1"/>
      <protection hidden="1"/>
    </xf>
    <xf numFmtId="0" fontId="22" fillId="3" borderId="9" xfId="0" applyFont="1" applyFill="1" applyBorder="1" applyAlignment="1" applyProtection="1">
      <alignment horizontal="center"/>
      <protection hidden="1"/>
    </xf>
    <xf numFmtId="0" fontId="22" fillId="3" borderId="7" xfId="0" applyFont="1" applyFill="1" applyBorder="1" applyAlignment="1" applyProtection="1">
      <alignment horizontal="center"/>
      <protection hidden="1"/>
    </xf>
    <xf numFmtId="0" fontId="22" fillId="4" borderId="9" xfId="0" applyFont="1" applyFill="1" applyBorder="1" applyAlignment="1" applyProtection="1">
      <alignment horizontal="center" vertical="center"/>
      <protection hidden="1"/>
    </xf>
    <xf numFmtId="0" fontId="22" fillId="4" borderId="8" xfId="0" applyFont="1" applyFill="1" applyBorder="1" applyAlignment="1" applyProtection="1">
      <alignment horizontal="center" vertical="center"/>
      <protection hidden="1"/>
    </xf>
    <xf numFmtId="0" fontId="259" fillId="2" borderId="1" xfId="0" applyFont="1" applyFill="1" applyBorder="1" applyAlignment="1" applyProtection="1">
      <alignment horizontal="center" wrapText="1"/>
      <protection hidden="1"/>
    </xf>
    <xf numFmtId="0" fontId="12" fillId="3" borderId="9" xfId="0" applyFont="1" applyFill="1" applyBorder="1" applyAlignment="1" applyProtection="1">
      <alignment horizontal="left" vertical="center"/>
      <protection hidden="1"/>
    </xf>
    <xf numFmtId="0" fontId="17" fillId="0" borderId="19" xfId="0" applyFont="1" applyBorder="1" applyAlignment="1" applyProtection="1">
      <alignment vertical="center" wrapText="1"/>
      <protection locked="0"/>
    </xf>
    <xf numFmtId="0" fontId="17" fillId="0" borderId="10" xfId="0" applyFont="1" applyBorder="1" applyAlignment="1" applyProtection="1">
      <alignment vertical="center" wrapText="1"/>
      <protection locked="0"/>
    </xf>
    <xf numFmtId="0" fontId="17" fillId="0" borderId="3" xfId="0" applyFont="1" applyBorder="1" applyAlignment="1" applyProtection="1">
      <alignment vertical="center" wrapText="1"/>
      <protection locked="0"/>
    </xf>
    <xf numFmtId="0" fontId="17" fillId="0" borderId="1" xfId="0" applyFont="1" applyBorder="1" applyAlignment="1" applyProtection="1">
      <alignment vertical="center" wrapText="1"/>
      <protection locked="0"/>
    </xf>
    <xf numFmtId="0" fontId="17" fillId="0" borderId="0" xfId="0" applyFont="1" applyAlignment="1" applyProtection="1">
      <alignment vertical="center" wrapText="1"/>
      <protection locked="0"/>
    </xf>
    <xf numFmtId="0" fontId="17" fillId="0" borderId="2" xfId="0" applyFont="1" applyBorder="1" applyAlignment="1" applyProtection="1">
      <alignment vertical="center" wrapText="1"/>
      <protection locked="0"/>
    </xf>
    <xf numFmtId="0" fontId="17" fillId="0" borderId="4" xfId="0" applyFont="1" applyBorder="1" applyAlignment="1" applyProtection="1">
      <alignment vertical="center" wrapText="1"/>
      <protection locked="0"/>
    </xf>
    <xf numFmtId="0" fontId="17" fillId="0" borderId="5" xfId="0" applyFont="1" applyBorder="1" applyAlignment="1" applyProtection="1">
      <alignment vertical="center" wrapText="1"/>
      <protection locked="0"/>
    </xf>
    <xf numFmtId="0" fontId="17" fillId="0" borderId="6" xfId="0" applyFont="1" applyBorder="1" applyAlignment="1" applyProtection="1">
      <alignment vertical="center" wrapText="1"/>
      <protection locked="0"/>
    </xf>
    <xf numFmtId="0" fontId="19" fillId="0" borderId="19" xfId="0" applyFont="1" applyBorder="1" applyAlignment="1" applyProtection="1">
      <alignment vertical="center" wrapText="1"/>
      <protection locked="0"/>
    </xf>
    <xf numFmtId="0" fontId="19" fillId="0" borderId="10" xfId="0" applyFont="1" applyBorder="1" applyAlignment="1" applyProtection="1">
      <alignment vertical="center" wrapText="1"/>
      <protection locked="0"/>
    </xf>
    <xf numFmtId="0" fontId="19" fillId="0" borderId="3" xfId="0" applyFont="1" applyBorder="1" applyAlignment="1" applyProtection="1">
      <alignment vertical="center" wrapText="1"/>
      <protection locked="0"/>
    </xf>
    <xf numFmtId="0" fontId="19" fillId="0" borderId="4" xfId="0" applyFont="1" applyBorder="1" applyAlignment="1" applyProtection="1">
      <alignment vertical="center" wrapText="1"/>
      <protection locked="0"/>
    </xf>
    <xf numFmtId="0" fontId="19" fillId="0" borderId="5" xfId="0" applyFont="1" applyBorder="1" applyAlignment="1" applyProtection="1">
      <alignment vertical="center" wrapText="1"/>
      <protection locked="0"/>
    </xf>
    <xf numFmtId="0" fontId="19" fillId="0" borderId="6" xfId="0" applyFont="1" applyBorder="1" applyAlignment="1" applyProtection="1">
      <alignment vertical="center" wrapText="1"/>
      <protection locked="0"/>
    </xf>
    <xf numFmtId="0" fontId="17" fillId="7" borderId="0" xfId="0" applyFont="1" applyFill="1" applyAlignment="1" applyProtection="1">
      <alignment horizontal="right"/>
      <protection hidden="1"/>
    </xf>
    <xf numFmtId="0" fontId="12" fillId="2" borderId="0" xfId="0" applyFont="1" applyFill="1" applyAlignment="1" applyProtection="1">
      <alignment horizontal="left"/>
      <protection hidden="1"/>
    </xf>
    <xf numFmtId="3" fontId="46" fillId="4" borderId="12" xfId="0" applyNumberFormat="1" applyFont="1" applyFill="1" applyBorder="1" applyAlignment="1" applyProtection="1">
      <alignment horizontal="left" vertical="center" wrapText="1"/>
      <protection hidden="1"/>
    </xf>
    <xf numFmtId="0" fontId="17" fillId="4" borderId="9" xfId="0" applyFont="1" applyFill="1" applyBorder="1" applyAlignment="1" applyProtection="1">
      <alignment vertical="center" wrapText="1"/>
      <protection hidden="1"/>
    </xf>
    <xf numFmtId="0" fontId="17" fillId="4" borderId="7" xfId="0" applyFont="1" applyFill="1" applyBorder="1" applyAlignment="1" applyProtection="1">
      <alignment vertical="center" wrapText="1"/>
      <protection hidden="1"/>
    </xf>
    <xf numFmtId="0" fontId="17" fillId="4" borderId="8" xfId="0" applyFont="1" applyFill="1" applyBorder="1" applyAlignment="1" applyProtection="1">
      <alignment vertical="center" wrapText="1"/>
      <protection hidden="1"/>
    </xf>
    <xf numFmtId="0" fontId="28" fillId="4" borderId="9" xfId="0" applyFont="1" applyFill="1" applyBorder="1" applyAlignment="1" applyProtection="1">
      <alignment vertical="center" wrapText="1"/>
      <protection hidden="1"/>
    </xf>
    <xf numFmtId="0" fontId="28" fillId="4" borderId="7" xfId="0" applyFont="1" applyFill="1" applyBorder="1" applyAlignment="1" applyProtection="1">
      <alignment vertical="center" wrapText="1"/>
      <protection hidden="1"/>
    </xf>
    <xf numFmtId="0" fontId="28" fillId="4" borderId="8" xfId="0" applyFont="1" applyFill="1" applyBorder="1" applyAlignment="1" applyProtection="1">
      <alignment vertical="center" wrapText="1"/>
      <protection hidden="1"/>
    </xf>
    <xf numFmtId="0" fontId="22" fillId="4" borderId="9" xfId="0" applyFont="1" applyFill="1" applyBorder="1" applyAlignment="1" applyProtection="1">
      <alignment vertical="center" wrapText="1"/>
      <protection hidden="1"/>
    </xf>
    <xf numFmtId="0" fontId="22" fillId="4" borderId="7" xfId="0" applyFont="1" applyFill="1" applyBorder="1" applyAlignment="1" applyProtection="1">
      <alignment vertical="center" wrapText="1"/>
      <protection hidden="1"/>
    </xf>
    <xf numFmtId="0" fontId="22" fillId="4" borderId="8" xfId="0" applyFont="1" applyFill="1" applyBorder="1" applyAlignment="1" applyProtection="1">
      <alignment vertical="center" wrapText="1"/>
      <protection hidden="1"/>
    </xf>
    <xf numFmtId="0" fontId="46" fillId="4" borderId="12" xfId="0" applyFont="1" applyFill="1" applyBorder="1" applyAlignment="1" applyProtection="1">
      <alignment vertical="center" wrapText="1"/>
      <protection hidden="1"/>
    </xf>
    <xf numFmtId="0" fontId="17" fillId="4" borderId="12" xfId="0" applyFont="1" applyFill="1" applyBorder="1" applyAlignment="1" applyProtection="1">
      <alignment horizontal="left" vertical="center" wrapText="1"/>
      <protection hidden="1"/>
    </xf>
    <xf numFmtId="0" fontId="17" fillId="9" borderId="12" xfId="0" applyFont="1" applyFill="1" applyBorder="1" applyProtection="1">
      <protection locked="0"/>
    </xf>
    <xf numFmtId="0" fontId="157" fillId="2" borderId="0" xfId="0" applyFont="1" applyFill="1" applyAlignment="1" applyProtection="1">
      <alignment horizontal="left"/>
      <protection hidden="1"/>
    </xf>
    <xf numFmtId="0" fontId="154" fillId="6" borderId="19" xfId="0" applyFont="1" applyFill="1" applyBorder="1" applyAlignment="1" applyProtection="1">
      <alignment horizontal="left"/>
      <protection hidden="1"/>
    </xf>
    <xf numFmtId="0" fontId="154" fillId="6" borderId="10" xfId="0" applyFont="1" applyFill="1" applyBorder="1" applyAlignment="1" applyProtection="1">
      <alignment horizontal="left"/>
      <protection hidden="1"/>
    </xf>
    <xf numFmtId="0" fontId="155" fillId="6" borderId="4" xfId="0" applyFont="1" applyFill="1" applyBorder="1" applyAlignment="1" applyProtection="1">
      <alignment horizontal="left" vertical="center" wrapText="1"/>
      <protection hidden="1"/>
    </xf>
    <xf numFmtId="0" fontId="155" fillId="6" borderId="5" xfId="0" applyFont="1" applyFill="1" applyBorder="1" applyAlignment="1" applyProtection="1">
      <alignment horizontal="left" vertical="center" wrapText="1"/>
      <protection hidden="1"/>
    </xf>
    <xf numFmtId="0" fontId="155" fillId="6" borderId="6" xfId="0" applyFont="1" applyFill="1" applyBorder="1" applyAlignment="1" applyProtection="1">
      <alignment horizontal="left" vertical="center" wrapText="1"/>
      <protection hidden="1"/>
    </xf>
    <xf numFmtId="0" fontId="154" fillId="6" borderId="19" xfId="0" applyFont="1" applyFill="1" applyBorder="1" applyProtection="1">
      <protection hidden="1"/>
    </xf>
    <xf numFmtId="0" fontId="154" fillId="6" borderId="10" xfId="0" applyFont="1" applyFill="1" applyBorder="1" applyProtection="1">
      <protection hidden="1"/>
    </xf>
    <xf numFmtId="0" fontId="157" fillId="2" borderId="0" xfId="0" applyFont="1" applyFill="1" applyAlignment="1" applyProtection="1">
      <alignment horizontal="left" wrapText="1"/>
      <protection hidden="1"/>
    </xf>
    <xf numFmtId="0" fontId="153" fillId="2" borderId="0" xfId="0" applyFont="1" applyFill="1" applyAlignment="1" applyProtection="1">
      <alignment horizontal="left"/>
      <protection hidden="1"/>
    </xf>
    <xf numFmtId="0" fontId="155" fillId="6" borderId="4" xfId="0" applyFont="1" applyFill="1" applyBorder="1" applyAlignment="1" applyProtection="1">
      <alignment horizontal="left" vertical="center"/>
      <protection hidden="1"/>
    </xf>
    <xf numFmtId="0" fontId="155" fillId="6" borderId="5" xfId="0" applyFont="1" applyFill="1" applyBorder="1" applyAlignment="1" applyProtection="1">
      <alignment horizontal="left" vertical="center"/>
      <protection hidden="1"/>
    </xf>
    <xf numFmtId="0" fontId="163" fillId="2" borderId="0" xfId="0" applyFont="1" applyFill="1" applyAlignment="1" applyProtection="1">
      <alignment horizontal="left" vertical="center" wrapText="1"/>
      <protection hidden="1"/>
    </xf>
    <xf numFmtId="0" fontId="17" fillId="0" borderId="0" xfId="0" applyFont="1" applyAlignment="1" applyProtection="1">
      <alignment horizontal="left"/>
      <protection hidden="1"/>
    </xf>
    <xf numFmtId="3" fontId="17" fillId="4" borderId="21" xfId="0" applyNumberFormat="1" applyFont="1" applyFill="1" applyBorder="1" applyAlignment="1" applyProtection="1">
      <alignment horizontal="center" vertical="center" wrapText="1"/>
      <protection hidden="1"/>
    </xf>
    <xf numFmtId="0" fontId="19" fillId="4" borderId="18" xfId="0" applyFont="1" applyFill="1" applyBorder="1" applyAlignment="1" applyProtection="1">
      <alignment wrapText="1"/>
      <protection hidden="1"/>
    </xf>
    <xf numFmtId="0" fontId="55" fillId="0" borderId="0" xfId="0" applyFont="1" applyAlignment="1" applyProtection="1">
      <alignment horizontal="right"/>
      <protection hidden="1"/>
    </xf>
    <xf numFmtId="3" fontId="55" fillId="7" borderId="0" xfId="0" applyNumberFormat="1" applyFont="1" applyFill="1" applyAlignment="1" applyProtection="1">
      <alignment horizontal="center" vertical="center" wrapText="1"/>
      <protection hidden="1"/>
    </xf>
    <xf numFmtId="0" fontId="77" fillId="4" borderId="7" xfId="0" applyFont="1" applyFill="1" applyBorder="1" applyAlignment="1" applyProtection="1">
      <alignment horizontal="center"/>
      <protection hidden="1"/>
    </xf>
    <xf numFmtId="0" fontId="77" fillId="4" borderId="8" xfId="0" applyFont="1" applyFill="1" applyBorder="1" applyAlignment="1" applyProtection="1">
      <alignment horizontal="center"/>
      <protection hidden="1"/>
    </xf>
    <xf numFmtId="0" fontId="19" fillId="8" borderId="12" xfId="0" applyFont="1" applyFill="1" applyBorder="1" applyAlignment="1" applyProtection="1">
      <alignment horizontal="left" vertical="center" wrapText="1"/>
      <protection locked="0"/>
    </xf>
    <xf numFmtId="0" fontId="17" fillId="7" borderId="0" xfId="0" applyFont="1" applyFill="1" applyAlignment="1" applyProtection="1">
      <alignment horizontal="left" vertical="center" wrapText="1"/>
      <protection hidden="1"/>
    </xf>
    <xf numFmtId="0" fontId="19" fillId="4" borderId="9" xfId="0" applyFont="1" applyFill="1" applyBorder="1" applyAlignment="1" applyProtection="1">
      <alignment horizontal="left" vertical="center" wrapText="1"/>
      <protection hidden="1"/>
    </xf>
    <xf numFmtId="0" fontId="19" fillId="0" borderId="8" xfId="0" applyFont="1" applyBorder="1" applyAlignment="1" applyProtection="1">
      <alignment horizontal="left" vertical="center" wrapText="1"/>
      <protection hidden="1"/>
    </xf>
    <xf numFmtId="0" fontId="19" fillId="8" borderId="12" xfId="0" applyFont="1" applyFill="1" applyBorder="1" applyAlignment="1" applyProtection="1">
      <alignment horizontal="center" vertical="center"/>
      <protection locked="0"/>
    </xf>
    <xf numFmtId="3" fontId="17" fillId="4" borderId="9" xfId="0" applyNumberFormat="1" applyFont="1" applyFill="1" applyBorder="1" applyAlignment="1" applyProtection="1">
      <alignment horizontal="left"/>
      <protection hidden="1"/>
    </xf>
    <xf numFmtId="3" fontId="17" fillId="4" borderId="7" xfId="0" applyNumberFormat="1" applyFont="1" applyFill="1" applyBorder="1" applyAlignment="1" applyProtection="1">
      <alignment horizontal="left"/>
      <protection hidden="1"/>
    </xf>
    <xf numFmtId="0" fontId="105" fillId="0" borderId="0" xfId="0" applyFont="1" applyAlignment="1" applyProtection="1">
      <alignment horizontal="right"/>
      <protection hidden="1"/>
    </xf>
    <xf numFmtId="0" fontId="0" fillId="0" borderId="0" xfId="0" applyAlignment="1">
      <alignment horizontal="left"/>
    </xf>
    <xf numFmtId="0" fontId="69" fillId="0" borderId="1" xfId="0" applyFont="1" applyBorder="1" applyAlignment="1" applyProtection="1">
      <alignment horizontal="left" vertical="center" wrapText="1"/>
      <protection hidden="1"/>
    </xf>
    <xf numFmtId="0" fontId="426" fillId="0" borderId="10" xfId="0" applyFont="1" applyBorder="1" applyAlignment="1" applyProtection="1">
      <alignment horizontal="center" vertical="center"/>
      <protection hidden="1"/>
    </xf>
    <xf numFmtId="0" fontId="426" fillId="0" borderId="3" xfId="0" applyFont="1" applyBorder="1" applyAlignment="1" applyProtection="1">
      <alignment horizontal="center" vertical="center"/>
      <protection hidden="1"/>
    </xf>
    <xf numFmtId="0" fontId="175" fillId="6" borderId="12" xfId="0" applyFont="1" applyFill="1" applyBorder="1" applyAlignment="1">
      <alignment horizontal="center" vertical="center" wrapText="1"/>
    </xf>
    <xf numFmtId="0" fontId="0" fillId="6" borderId="12" xfId="0" applyFill="1" applyBorder="1" applyAlignment="1">
      <alignment horizontal="center"/>
    </xf>
    <xf numFmtId="0" fontId="175" fillId="6" borderId="12" xfId="0" applyFont="1" applyFill="1" applyBorder="1" applyAlignment="1">
      <alignment horizontal="center" vertical="center"/>
    </xf>
    <xf numFmtId="0" fontId="0" fillId="0" borderId="19" xfId="0" applyBorder="1" applyAlignment="1">
      <alignment horizontal="left" vertical="center" wrapText="1"/>
    </xf>
    <xf numFmtId="0" fontId="0" fillId="0" borderId="10"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17" fillId="6" borderId="21" xfId="0" applyFont="1" applyFill="1" applyBorder="1" applyAlignment="1">
      <alignment horizontal="center" vertical="center" wrapText="1"/>
    </xf>
    <xf numFmtId="0" fontId="175" fillId="6" borderId="20" xfId="0" applyFont="1" applyFill="1" applyBorder="1" applyAlignment="1">
      <alignment horizontal="center" vertical="center" wrapText="1"/>
    </xf>
    <xf numFmtId="0" fontId="175" fillId="6" borderId="18" xfId="0" applyFont="1" applyFill="1" applyBorder="1" applyAlignment="1">
      <alignment horizontal="center" vertical="center" wrapText="1"/>
    </xf>
    <xf numFmtId="0" fontId="156" fillId="19" borderId="9" xfId="0" applyFont="1" applyFill="1" applyBorder="1" applyAlignment="1" applyProtection="1">
      <alignment horizontal="left"/>
      <protection hidden="1"/>
    </xf>
    <xf numFmtId="0" fontId="156" fillId="19" borderId="7" xfId="0" applyFont="1" applyFill="1" applyBorder="1" applyAlignment="1" applyProtection="1">
      <alignment horizontal="left"/>
      <protection hidden="1"/>
    </xf>
    <xf numFmtId="0" fontId="156" fillId="19" borderId="8" xfId="0" applyFont="1" applyFill="1" applyBorder="1" applyAlignment="1" applyProtection="1">
      <alignment horizontal="left"/>
      <protection hidden="1"/>
    </xf>
    <xf numFmtId="0" fontId="156" fillId="20" borderId="0" xfId="0" applyFont="1" applyFill="1" applyAlignment="1" applyProtection="1">
      <alignment horizontal="right" wrapText="1"/>
      <protection hidden="1"/>
    </xf>
    <xf numFmtId="0" fontId="12" fillId="4" borderId="9" xfId="0" applyFont="1" applyFill="1" applyBorder="1" applyAlignment="1" applyProtection="1">
      <alignment horizontal="left" vertical="center" wrapText="1"/>
      <protection hidden="1"/>
    </xf>
    <xf numFmtId="0" fontId="12" fillId="0" borderId="8" xfId="0" applyFont="1" applyBorder="1" applyAlignment="1" applyProtection="1">
      <alignment horizontal="left" vertical="center" wrapText="1"/>
      <protection hidden="1"/>
    </xf>
    <xf numFmtId="0" fontId="12" fillId="8" borderId="12" xfId="0" applyFont="1" applyFill="1" applyBorder="1" applyAlignment="1" applyProtection="1">
      <alignment horizontal="left" vertical="center" wrapText="1"/>
      <protection locked="0"/>
    </xf>
    <xf numFmtId="0" fontId="12" fillId="8" borderId="9" xfId="0" applyFont="1" applyFill="1" applyBorder="1" applyAlignment="1" applyProtection="1">
      <alignment horizontal="center" vertical="center" wrapText="1"/>
      <protection locked="0"/>
    </xf>
    <xf numFmtId="0" fontId="12" fillId="8" borderId="8" xfId="0" applyFont="1" applyFill="1" applyBorder="1" applyAlignment="1" applyProtection="1">
      <alignment horizontal="center" vertical="center" wrapText="1"/>
      <protection locked="0"/>
    </xf>
    <xf numFmtId="0" fontId="12" fillId="0" borderId="0" xfId="0" applyFont="1" applyAlignment="1" applyProtection="1">
      <alignment horizontal="left"/>
      <protection hidden="1"/>
    </xf>
    <xf numFmtId="0" fontId="12" fillId="0" borderId="19" xfId="0" applyFont="1" applyBorder="1" applyAlignment="1" applyProtection="1">
      <alignment horizontal="center"/>
      <protection hidden="1"/>
    </xf>
    <xf numFmtId="0" fontId="12" fillId="0" borderId="10" xfId="0" applyFont="1" applyBorder="1" applyAlignment="1" applyProtection="1">
      <alignment horizontal="center"/>
      <protection hidden="1"/>
    </xf>
    <xf numFmtId="0" fontId="12" fillId="0" borderId="3" xfId="0" applyFont="1" applyBorder="1" applyAlignment="1" applyProtection="1">
      <alignment horizontal="center"/>
      <protection hidden="1"/>
    </xf>
    <xf numFmtId="0" fontId="0" fillId="0" borderId="9" xfId="0" applyBorder="1" applyAlignment="1" applyProtection="1">
      <alignment horizontal="center"/>
      <protection hidden="1"/>
    </xf>
    <xf numFmtId="0" fontId="0" fillId="0" borderId="7" xfId="0" applyBorder="1" applyAlignment="1" applyProtection="1">
      <alignment horizontal="center"/>
      <protection hidden="1"/>
    </xf>
    <xf numFmtId="0" fontId="0" fillId="0" borderId="8" xfId="0" applyBorder="1" applyAlignment="1" applyProtection="1">
      <alignment horizontal="center"/>
      <protection hidden="1"/>
    </xf>
    <xf numFmtId="0" fontId="17" fillId="16" borderId="9" xfId="0" applyFont="1" applyFill="1" applyBorder="1" applyAlignment="1" applyProtection="1">
      <alignment horizontal="left"/>
      <protection hidden="1"/>
    </xf>
    <xf numFmtId="0" fontId="17" fillId="16" borderId="7" xfId="0" applyFont="1" applyFill="1" applyBorder="1" applyAlignment="1" applyProtection="1">
      <alignment horizontal="left"/>
      <protection hidden="1"/>
    </xf>
    <xf numFmtId="0" fontId="17" fillId="16" borderId="8" xfId="0" applyFont="1" applyFill="1" applyBorder="1" applyAlignment="1" applyProtection="1">
      <alignment horizontal="left"/>
      <protection hidden="1"/>
    </xf>
    <xf numFmtId="0" fontId="313" fillId="18" borderId="9" xfId="0" applyFont="1" applyFill="1" applyBorder="1" applyAlignment="1" applyProtection="1">
      <alignment horizontal="center"/>
      <protection locked="0"/>
    </xf>
    <xf numFmtId="0" fontId="313" fillId="18" borderId="7" xfId="0" applyFont="1" applyFill="1" applyBorder="1" applyAlignment="1" applyProtection="1">
      <alignment horizontal="center"/>
      <protection locked="0"/>
    </xf>
    <xf numFmtId="0" fontId="313" fillId="18" borderId="8" xfId="0" applyFont="1" applyFill="1" applyBorder="1" applyAlignment="1" applyProtection="1">
      <alignment horizontal="center"/>
      <protection locked="0"/>
    </xf>
    <xf numFmtId="0" fontId="194" fillId="4" borderId="9" xfId="0" applyFont="1" applyFill="1" applyBorder="1" applyAlignment="1" applyProtection="1">
      <alignment horizontal="left" vertical="center"/>
      <protection hidden="1"/>
    </xf>
    <xf numFmtId="0" fontId="194" fillId="4" borderId="7" xfId="0" applyFont="1" applyFill="1" applyBorder="1" applyAlignment="1" applyProtection="1">
      <alignment horizontal="left" vertical="center"/>
      <protection hidden="1"/>
    </xf>
    <xf numFmtId="0" fontId="194" fillId="4" borderId="8" xfId="0" applyFont="1" applyFill="1" applyBorder="1" applyAlignment="1" applyProtection="1">
      <alignment horizontal="left" vertical="center"/>
      <protection hidden="1"/>
    </xf>
    <xf numFmtId="14" fontId="12" fillId="16" borderId="9" xfId="0" applyNumberFormat="1" applyFont="1" applyFill="1" applyBorder="1" applyAlignment="1" applyProtection="1">
      <alignment horizontal="left"/>
      <protection hidden="1"/>
    </xf>
    <xf numFmtId="14" fontId="12" fillId="16" borderId="8" xfId="0" applyNumberFormat="1" applyFont="1" applyFill="1" applyBorder="1" applyAlignment="1" applyProtection="1">
      <alignment horizontal="left"/>
      <protection hidden="1"/>
    </xf>
    <xf numFmtId="0" fontId="12" fillId="4" borderId="9" xfId="0" applyFont="1" applyFill="1" applyBorder="1" applyAlignment="1" applyProtection="1">
      <alignment horizontal="left"/>
      <protection hidden="1"/>
    </xf>
    <xf numFmtId="0" fontId="12" fillId="4" borderId="7" xfId="0" applyFont="1" applyFill="1" applyBorder="1" applyAlignment="1" applyProtection="1">
      <alignment horizontal="left"/>
      <protection hidden="1"/>
    </xf>
    <xf numFmtId="0" fontId="46" fillId="19" borderId="12" xfId="0" applyFont="1" applyFill="1" applyBorder="1" applyAlignment="1" applyProtection="1">
      <alignment horizontal="left"/>
      <protection hidden="1"/>
    </xf>
    <xf numFmtId="0" fontId="46" fillId="19" borderId="9" xfId="0" applyFont="1" applyFill="1" applyBorder="1" applyAlignment="1" applyProtection="1">
      <alignment horizontal="left"/>
      <protection hidden="1"/>
    </xf>
    <xf numFmtId="0" fontId="46" fillId="19" borderId="7" xfId="0" applyFont="1" applyFill="1" applyBorder="1" applyAlignment="1" applyProtection="1">
      <alignment horizontal="left"/>
      <protection hidden="1"/>
    </xf>
    <xf numFmtId="0" fontId="46" fillId="19" borderId="8" xfId="0" applyFont="1" applyFill="1" applyBorder="1" applyAlignment="1" applyProtection="1">
      <alignment horizontal="left"/>
      <protection hidden="1"/>
    </xf>
    <xf numFmtId="0" fontId="28" fillId="5" borderId="19" xfId="0" applyFont="1" applyFill="1" applyBorder="1" applyAlignment="1" applyProtection="1">
      <alignment horizontal="left" vertical="center"/>
      <protection hidden="1"/>
    </xf>
    <xf numFmtId="0" fontId="28" fillId="5" borderId="10" xfId="0" applyFont="1" applyFill="1" applyBorder="1" applyAlignment="1" applyProtection="1">
      <alignment horizontal="left" vertical="center"/>
      <protection hidden="1"/>
    </xf>
    <xf numFmtId="0" fontId="28" fillId="5" borderId="3" xfId="0" applyFont="1" applyFill="1" applyBorder="1" applyAlignment="1" applyProtection="1">
      <alignment horizontal="left" vertical="center"/>
      <protection hidden="1"/>
    </xf>
    <xf numFmtId="0" fontId="28" fillId="5" borderId="4" xfId="0" applyFont="1" applyFill="1" applyBorder="1" applyAlignment="1" applyProtection="1">
      <alignment horizontal="left" vertical="center"/>
      <protection hidden="1"/>
    </xf>
    <xf numFmtId="0" fontId="28" fillId="5" borderId="5" xfId="0" applyFont="1" applyFill="1" applyBorder="1" applyAlignment="1" applyProtection="1">
      <alignment horizontal="left" vertical="center"/>
      <protection hidden="1"/>
    </xf>
    <xf numFmtId="0" fontId="28" fillId="5" borderId="6" xfId="0" applyFont="1" applyFill="1" applyBorder="1" applyAlignment="1" applyProtection="1">
      <alignment horizontal="left" vertical="center"/>
      <protection hidden="1"/>
    </xf>
    <xf numFmtId="0" fontId="55" fillId="2" borderId="12" xfId="0" applyFont="1" applyFill="1" applyBorder="1" applyAlignment="1" applyProtection="1">
      <alignment horizontal="left" vertical="center"/>
      <protection hidden="1"/>
    </xf>
    <xf numFmtId="166" fontId="150" fillId="2" borderId="0" xfId="0" applyNumberFormat="1" applyFont="1" applyFill="1" applyAlignment="1" applyProtection="1">
      <alignment horizontal="left" vertical="center"/>
      <protection hidden="1"/>
    </xf>
    <xf numFmtId="0" fontId="12" fillId="4" borderId="8" xfId="0" applyFont="1" applyFill="1" applyBorder="1" applyAlignment="1" applyProtection="1">
      <alignment horizontal="left"/>
      <protection hidden="1"/>
    </xf>
    <xf numFmtId="0" fontId="254" fillId="7" borderId="0" xfId="0" applyFont="1" applyFill="1" applyAlignment="1" applyProtection="1">
      <alignment horizontal="right"/>
      <protection hidden="1"/>
    </xf>
    <xf numFmtId="0" fontId="254" fillId="7" borderId="2" xfId="0" applyFont="1" applyFill="1" applyBorder="1" applyAlignment="1" applyProtection="1">
      <alignment horizontal="right"/>
      <protection hidden="1"/>
    </xf>
    <xf numFmtId="0" fontId="12" fillId="6" borderId="4" xfId="0" applyFont="1" applyFill="1" applyBorder="1" applyAlignment="1" applyProtection="1">
      <alignment horizontal="left"/>
      <protection hidden="1"/>
    </xf>
    <xf numFmtId="0" fontId="12" fillId="6" borderId="5" xfId="0" applyFont="1" applyFill="1" applyBorder="1" applyAlignment="1" applyProtection="1">
      <alignment horizontal="left"/>
      <protection hidden="1"/>
    </xf>
    <xf numFmtId="0" fontId="12" fillId="6" borderId="6" xfId="0" applyFont="1" applyFill="1" applyBorder="1" applyAlignment="1" applyProtection="1">
      <alignment horizontal="left"/>
      <protection hidden="1"/>
    </xf>
    <xf numFmtId="0" fontId="12" fillId="8" borderId="9" xfId="0" applyFont="1" applyFill="1" applyBorder="1" applyAlignment="1" applyProtection="1">
      <alignment horizontal="left"/>
      <protection locked="0"/>
    </xf>
    <xf numFmtId="0" fontId="12" fillId="8" borderId="7" xfId="0" applyFont="1" applyFill="1" applyBorder="1" applyAlignment="1" applyProtection="1">
      <alignment horizontal="left"/>
      <protection locked="0"/>
    </xf>
    <xf numFmtId="0" fontId="12" fillId="8" borderId="8" xfId="0" applyFont="1" applyFill="1" applyBorder="1" applyAlignment="1" applyProtection="1">
      <alignment horizontal="left"/>
      <protection locked="0"/>
    </xf>
    <xf numFmtId="0" fontId="12" fillId="8" borderId="9" xfId="0" applyFont="1" applyFill="1" applyBorder="1" applyAlignment="1" applyProtection="1">
      <alignment horizontal="center"/>
      <protection locked="0"/>
    </xf>
    <xf numFmtId="0" fontId="12" fillId="8" borderId="8" xfId="0" applyFont="1" applyFill="1" applyBorder="1" applyAlignment="1" applyProtection="1">
      <alignment horizontal="center"/>
      <protection locked="0"/>
    </xf>
    <xf numFmtId="0" fontId="184" fillId="7" borderId="0" xfId="0" applyFont="1" applyFill="1" applyAlignment="1" applyProtection="1">
      <alignment horizontal="center"/>
      <protection hidden="1"/>
    </xf>
    <xf numFmtId="0" fontId="17" fillId="7" borderId="0" xfId="0" applyFont="1" applyFill="1" applyAlignment="1" applyProtection="1">
      <alignment horizontal="center"/>
      <protection hidden="1"/>
    </xf>
    <xf numFmtId="0" fontId="28" fillId="4" borderId="7" xfId="0" applyFont="1" applyFill="1" applyBorder="1" applyAlignment="1" applyProtection="1">
      <alignment horizontal="left" vertical="center" wrapText="1"/>
      <protection hidden="1"/>
    </xf>
    <xf numFmtId="0" fontId="17" fillId="0" borderId="12" xfId="0" applyFont="1" applyBorder="1" applyAlignment="1" applyProtection="1">
      <alignment horizontal="center"/>
      <protection locked="0"/>
    </xf>
    <xf numFmtId="14" fontId="17" fillId="0" borderId="12" xfId="0" applyNumberFormat="1" applyFont="1" applyBorder="1" applyAlignment="1" applyProtection="1">
      <alignment horizontal="center"/>
      <protection locked="0"/>
    </xf>
    <xf numFmtId="0" fontId="12" fillId="8" borderId="12" xfId="0" applyFont="1" applyFill="1" applyBorder="1" applyAlignment="1" applyProtection="1">
      <alignment horizontal="center" vertical="center"/>
      <protection locked="0"/>
    </xf>
    <xf numFmtId="0" fontId="12" fillId="6" borderId="12" xfId="0" applyFont="1" applyFill="1" applyBorder="1" applyAlignment="1" applyProtection="1">
      <alignment horizontal="center"/>
      <protection hidden="1"/>
    </xf>
    <xf numFmtId="0" fontId="12" fillId="8" borderId="12" xfId="0" applyFont="1" applyFill="1" applyBorder="1" applyAlignment="1" applyProtection="1">
      <alignment horizontal="center" vertical="center"/>
      <protection locked="0" hidden="1"/>
    </xf>
    <xf numFmtId="0" fontId="12" fillId="16" borderId="12" xfId="0" applyFont="1" applyFill="1" applyBorder="1" applyAlignment="1" applyProtection="1">
      <alignment horizontal="center"/>
      <protection hidden="1"/>
    </xf>
    <xf numFmtId="0" fontId="96" fillId="16" borderId="19" xfId="0" applyFont="1" applyFill="1" applyBorder="1" applyAlignment="1" applyProtection="1">
      <alignment horizontal="left"/>
      <protection hidden="1"/>
    </xf>
    <xf numFmtId="0" fontId="96" fillId="16" borderId="10" xfId="0" applyFont="1" applyFill="1" applyBorder="1" applyAlignment="1" applyProtection="1">
      <alignment horizontal="left"/>
      <protection hidden="1"/>
    </xf>
    <xf numFmtId="0" fontId="96" fillId="16" borderId="3" xfId="0" applyFont="1" applyFill="1" applyBorder="1" applyAlignment="1" applyProtection="1">
      <alignment horizontal="left"/>
      <protection hidden="1"/>
    </xf>
    <xf numFmtId="0" fontId="12" fillId="4" borderId="9" xfId="0" applyFont="1" applyFill="1" applyBorder="1" applyAlignment="1" applyProtection="1">
      <alignment horizontal="center"/>
      <protection hidden="1"/>
    </xf>
    <xf numFmtId="0" fontId="12" fillId="4" borderId="7" xfId="0" applyFont="1" applyFill="1" applyBorder="1" applyAlignment="1" applyProtection="1">
      <alignment horizontal="center"/>
      <protection hidden="1"/>
    </xf>
    <xf numFmtId="0" fontId="12" fillId="4" borderId="8" xfId="0" applyFont="1" applyFill="1" applyBorder="1" applyAlignment="1" applyProtection="1">
      <alignment horizontal="center"/>
      <protection hidden="1"/>
    </xf>
    <xf numFmtId="0" fontId="12" fillId="6" borderId="9" xfId="0" applyFont="1" applyFill="1" applyBorder="1" applyAlignment="1" applyProtection="1">
      <alignment horizontal="center"/>
      <protection hidden="1"/>
    </xf>
    <xf numFmtId="0" fontId="12" fillId="6" borderId="7" xfId="0" applyFont="1" applyFill="1" applyBorder="1" applyAlignment="1" applyProtection="1">
      <alignment horizontal="center"/>
      <protection hidden="1"/>
    </xf>
    <xf numFmtId="0" fontId="12" fillId="6" borderId="8" xfId="0" applyFont="1" applyFill="1" applyBorder="1" applyAlignment="1" applyProtection="1">
      <alignment horizontal="center"/>
      <protection hidden="1"/>
    </xf>
    <xf numFmtId="0" fontId="96" fillId="16" borderId="4" xfId="0" applyFont="1" applyFill="1" applyBorder="1" applyAlignment="1" applyProtection="1">
      <alignment horizontal="left"/>
      <protection hidden="1"/>
    </xf>
    <xf numFmtId="0" fontId="0" fillId="16" borderId="5" xfId="0" applyFill="1" applyBorder="1" applyAlignment="1">
      <alignment horizontal="left"/>
    </xf>
    <xf numFmtId="0" fontId="0" fillId="16" borderId="6" xfId="0" applyFill="1" applyBorder="1" applyAlignment="1">
      <alignment horizontal="left"/>
    </xf>
    <xf numFmtId="0" fontId="17" fillId="20" borderId="0" xfId="0" applyFont="1" applyFill="1" applyAlignment="1" applyProtection="1">
      <alignment horizontal="left" vertical="center"/>
      <protection hidden="1"/>
    </xf>
    <xf numFmtId="0" fontId="203" fillId="20" borderId="0" xfId="0" applyFont="1" applyFill="1" applyAlignment="1" applyProtection="1">
      <alignment horizontal="left" vertical="center"/>
      <protection hidden="1"/>
    </xf>
    <xf numFmtId="0" fontId="157" fillId="25" borderId="0" xfId="0" applyFont="1" applyFill="1" applyAlignment="1" applyProtection="1">
      <alignment horizontal="left"/>
      <protection hidden="1"/>
    </xf>
    <xf numFmtId="0" fontId="154" fillId="16" borderId="19" xfId="0" applyFont="1" applyFill="1" applyBorder="1" applyAlignment="1" applyProtection="1">
      <alignment horizontal="left" vertical="top"/>
      <protection hidden="1"/>
    </xf>
    <xf numFmtId="0" fontId="154" fillId="16" borderId="10" xfId="0" applyFont="1" applyFill="1" applyBorder="1" applyAlignment="1" applyProtection="1">
      <alignment horizontal="left" vertical="top"/>
      <protection hidden="1"/>
    </xf>
    <xf numFmtId="0" fontId="290" fillId="16" borderId="9" xfId="0" applyFont="1" applyFill="1" applyBorder="1" applyAlignment="1" applyProtection="1">
      <alignment horizontal="left" vertical="center"/>
      <protection hidden="1"/>
    </xf>
    <xf numFmtId="0" fontId="290" fillId="16" borderId="7" xfId="0" applyFont="1" applyFill="1" applyBorder="1" applyAlignment="1" applyProtection="1">
      <alignment horizontal="left" vertical="center"/>
      <protection hidden="1"/>
    </xf>
    <xf numFmtId="0" fontId="290" fillId="16" borderId="8" xfId="0" applyFont="1" applyFill="1" applyBorder="1" applyAlignment="1" applyProtection="1">
      <alignment horizontal="left" vertical="center"/>
      <protection hidden="1"/>
    </xf>
    <xf numFmtId="0" fontId="308" fillId="20" borderId="9" xfId="0" applyFont="1" applyFill="1" applyBorder="1" applyAlignment="1" applyProtection="1">
      <alignment horizontal="left" vertical="center" wrapText="1"/>
      <protection hidden="1"/>
    </xf>
    <xf numFmtId="0" fontId="308" fillId="20" borderId="7" xfId="0" applyFont="1" applyFill="1" applyBorder="1" applyAlignment="1" applyProtection="1">
      <alignment horizontal="left" vertical="center" wrapText="1"/>
      <protection hidden="1"/>
    </xf>
    <xf numFmtId="0" fontId="308" fillId="20" borderId="8" xfId="0" applyFont="1" applyFill="1" applyBorder="1" applyAlignment="1" applyProtection="1">
      <alignment horizontal="left" vertical="center" wrapText="1"/>
      <protection hidden="1"/>
    </xf>
    <xf numFmtId="0" fontId="12" fillId="0" borderId="9" xfId="0" applyFont="1"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203" fillId="16" borderId="19" xfId="0" applyFont="1" applyFill="1" applyBorder="1" applyAlignment="1" applyProtection="1">
      <alignment horizontal="justify" vertical="center" wrapText="1"/>
      <protection hidden="1"/>
    </xf>
    <xf numFmtId="0" fontId="203" fillId="16" borderId="10" xfId="0" applyFont="1" applyFill="1" applyBorder="1" applyAlignment="1" applyProtection="1">
      <alignment horizontal="justify" vertical="center" wrapText="1"/>
      <protection hidden="1"/>
    </xf>
    <xf numFmtId="0" fontId="203" fillId="16" borderId="3" xfId="0" applyFont="1" applyFill="1" applyBorder="1" applyAlignment="1" applyProtection="1">
      <alignment horizontal="justify" vertical="center" wrapText="1"/>
      <protection hidden="1"/>
    </xf>
    <xf numFmtId="0" fontId="203" fillId="16" borderId="1" xfId="0" applyFont="1" applyFill="1" applyBorder="1" applyAlignment="1" applyProtection="1">
      <alignment horizontal="justify" vertical="center" wrapText="1"/>
      <protection hidden="1"/>
    </xf>
    <xf numFmtId="0" fontId="203" fillId="16" borderId="0" xfId="0" applyFont="1" applyFill="1" applyAlignment="1" applyProtection="1">
      <alignment horizontal="justify" vertical="center" wrapText="1"/>
      <protection hidden="1"/>
    </xf>
    <xf numFmtId="0" fontId="203" fillId="16" borderId="2" xfId="0" applyFont="1" applyFill="1" applyBorder="1" applyAlignment="1" applyProtection="1">
      <alignment horizontal="justify" vertical="center" wrapText="1"/>
      <protection hidden="1"/>
    </xf>
    <xf numFmtId="0" fontId="203" fillId="16" borderId="4" xfId="0" applyFont="1" applyFill="1" applyBorder="1" applyAlignment="1" applyProtection="1">
      <alignment horizontal="justify" vertical="center" wrapText="1"/>
      <protection hidden="1"/>
    </xf>
    <xf numFmtId="0" fontId="203" fillId="16" borderId="5" xfId="0" applyFont="1" applyFill="1" applyBorder="1" applyAlignment="1" applyProtection="1">
      <alignment horizontal="justify" vertical="center" wrapText="1"/>
      <protection hidden="1"/>
    </xf>
    <xf numFmtId="0" fontId="203" fillId="16" borderId="6" xfId="0" applyFont="1" applyFill="1" applyBorder="1" applyAlignment="1" applyProtection="1">
      <alignment horizontal="justify" vertical="center" wrapText="1"/>
      <protection hidden="1"/>
    </xf>
    <xf numFmtId="0" fontId="290" fillId="26" borderId="9" xfId="0" applyFont="1" applyFill="1" applyBorder="1" applyAlignment="1" applyProtection="1">
      <alignment horizontal="center" vertical="center"/>
      <protection locked="0"/>
    </xf>
    <xf numFmtId="0" fontId="290" fillId="26" borderId="7" xfId="0" applyFont="1" applyFill="1" applyBorder="1" applyAlignment="1" applyProtection="1">
      <alignment horizontal="center" vertical="center"/>
      <protection locked="0"/>
    </xf>
    <xf numFmtId="0" fontId="290" fillId="26" borderId="8" xfId="0" applyFont="1" applyFill="1" applyBorder="1" applyAlignment="1" applyProtection="1">
      <alignment horizontal="center" vertical="center"/>
      <protection locked="0"/>
    </xf>
    <xf numFmtId="0" fontId="203" fillId="16" borderId="9" xfId="0" applyFont="1" applyFill="1" applyBorder="1" applyAlignment="1" applyProtection="1">
      <alignment horizontal="center" vertical="center"/>
      <protection hidden="1"/>
    </xf>
    <xf numFmtId="0" fontId="203" fillId="16" borderId="7" xfId="0" applyFont="1" applyFill="1" applyBorder="1" applyAlignment="1" applyProtection="1">
      <alignment horizontal="center" vertical="center"/>
      <protection hidden="1"/>
    </xf>
    <xf numFmtId="0" fontId="203" fillId="16" borderId="8" xfId="0" applyFont="1" applyFill="1" applyBorder="1" applyAlignment="1" applyProtection="1">
      <alignment horizontal="center" vertical="center"/>
      <protection hidden="1"/>
    </xf>
    <xf numFmtId="0" fontId="316" fillId="18" borderId="9" xfId="0" applyFont="1" applyFill="1" applyBorder="1" applyAlignment="1" applyProtection="1">
      <alignment horizontal="left" vertical="center"/>
      <protection locked="0"/>
    </xf>
    <xf numFmtId="0" fontId="316" fillId="18" borderId="7" xfId="0" applyFont="1" applyFill="1" applyBorder="1" applyAlignment="1" applyProtection="1">
      <alignment horizontal="left" vertical="center"/>
      <protection locked="0"/>
    </xf>
    <xf numFmtId="0" fontId="316" fillId="18" borderId="8" xfId="0" applyFont="1" applyFill="1" applyBorder="1" applyAlignment="1" applyProtection="1">
      <alignment horizontal="left" vertical="center"/>
      <protection locked="0"/>
    </xf>
    <xf numFmtId="0" fontId="17" fillId="17" borderId="0" xfId="0" applyFont="1" applyFill="1" applyAlignment="1" applyProtection="1">
      <alignment horizontal="left"/>
      <protection hidden="1"/>
    </xf>
    <xf numFmtId="0" fontId="203" fillId="16" borderId="9" xfId="0" applyFont="1" applyFill="1" applyBorder="1" applyAlignment="1" applyProtection="1">
      <alignment horizontal="left" vertical="center" wrapText="1"/>
      <protection hidden="1"/>
    </xf>
    <xf numFmtId="0" fontId="203" fillId="16" borderId="7" xfId="0" applyFont="1" applyFill="1" applyBorder="1" applyAlignment="1" applyProtection="1">
      <alignment horizontal="left" vertical="center" wrapText="1"/>
      <protection hidden="1"/>
    </xf>
    <xf numFmtId="0" fontId="203" fillId="16" borderId="8" xfId="0" applyFont="1" applyFill="1" applyBorder="1" applyAlignment="1" applyProtection="1">
      <alignment horizontal="left" vertical="center" wrapText="1"/>
      <protection hidden="1"/>
    </xf>
    <xf numFmtId="0" fontId="22" fillId="6" borderId="12" xfId="0" applyFont="1" applyFill="1" applyBorder="1" applyAlignment="1">
      <alignment horizontal="center" vertical="center" wrapText="1"/>
    </xf>
    <xf numFmtId="0" fontId="318" fillId="20" borderId="0" xfId="0" applyFont="1" applyFill="1" applyAlignment="1" applyProtection="1">
      <alignment horizontal="left"/>
      <protection hidden="1"/>
    </xf>
    <xf numFmtId="0" fontId="292" fillId="16" borderId="9" xfId="0" applyFont="1" applyFill="1" applyBorder="1" applyAlignment="1" applyProtection="1">
      <alignment horizontal="left" vertical="center" wrapText="1"/>
      <protection hidden="1"/>
    </xf>
    <xf numFmtId="0" fontId="292" fillId="16" borderId="7" xfId="0" applyFont="1" applyFill="1" applyBorder="1" applyAlignment="1" applyProtection="1">
      <alignment horizontal="left" vertical="center" wrapText="1"/>
      <protection hidden="1"/>
    </xf>
    <xf numFmtId="0" fontId="292" fillId="16" borderId="8" xfId="0" applyFont="1" applyFill="1" applyBorder="1" applyAlignment="1" applyProtection="1">
      <alignment horizontal="left" vertical="center" wrapText="1"/>
      <protection hidden="1"/>
    </xf>
    <xf numFmtId="0" fontId="349" fillId="16" borderId="10" xfId="0" applyFont="1" applyFill="1" applyBorder="1" applyAlignment="1" applyProtection="1">
      <alignment horizontal="justify" vertical="center" wrapText="1"/>
      <protection hidden="1"/>
    </xf>
    <xf numFmtId="0" fontId="349" fillId="16" borderId="3" xfId="0" applyFont="1" applyFill="1" applyBorder="1" applyAlignment="1" applyProtection="1">
      <alignment horizontal="justify" vertical="center" wrapText="1"/>
      <protection hidden="1"/>
    </xf>
    <xf numFmtId="0" fontId="349" fillId="16" borderId="5" xfId="0" applyFont="1" applyFill="1" applyBorder="1" applyAlignment="1" applyProtection="1">
      <alignment horizontal="justify" vertical="center" wrapText="1"/>
      <protection hidden="1"/>
    </xf>
    <xf numFmtId="0" fontId="349" fillId="16" borderId="6" xfId="0" applyFont="1" applyFill="1" applyBorder="1" applyAlignment="1" applyProtection="1">
      <alignment horizontal="justify" vertical="center" wrapText="1"/>
      <protection hidden="1"/>
    </xf>
    <xf numFmtId="0" fontId="17" fillId="6" borderId="12" xfId="0" applyFont="1" applyFill="1" applyBorder="1" applyAlignment="1">
      <alignment horizontal="center" vertical="center" wrapText="1"/>
    </xf>
    <xf numFmtId="0" fontId="194" fillId="6" borderId="12" xfId="0" applyFont="1" applyFill="1" applyBorder="1" applyAlignment="1">
      <alignment horizontal="center"/>
    </xf>
    <xf numFmtId="0" fontId="17" fillId="6" borderId="12" xfId="0" applyFont="1" applyFill="1" applyBorder="1" applyAlignment="1">
      <alignment horizontal="center" vertical="center"/>
    </xf>
    <xf numFmtId="3" fontId="294" fillId="20" borderId="0" xfId="0" applyNumberFormat="1" applyFont="1" applyFill="1" applyAlignment="1" applyProtection="1">
      <alignment horizontal="center" vertical="top"/>
      <protection hidden="1"/>
    </xf>
    <xf numFmtId="0" fontId="327" fillId="20" borderId="0" xfId="0" applyFont="1" applyFill="1" applyAlignment="1" applyProtection="1">
      <alignment horizontal="center" vertical="center"/>
      <protection hidden="1"/>
    </xf>
    <xf numFmtId="0" fontId="287" fillId="16" borderId="12" xfId="0" applyFont="1" applyFill="1" applyBorder="1" applyAlignment="1" applyProtection="1">
      <alignment horizontal="center" vertical="center" wrapText="1"/>
      <protection hidden="1"/>
    </xf>
    <xf numFmtId="0" fontId="194" fillId="0" borderId="0" xfId="0" applyFont="1" applyAlignment="1" applyProtection="1">
      <alignment horizontal="center" vertical="center"/>
      <protection hidden="1"/>
    </xf>
    <xf numFmtId="3" fontId="294" fillId="20" borderId="10" xfId="0" applyNumberFormat="1" applyFont="1" applyFill="1" applyBorder="1" applyAlignment="1" applyProtection="1">
      <alignment horizontal="center" vertical="top"/>
      <protection hidden="1"/>
    </xf>
    <xf numFmtId="0" fontId="194" fillId="0" borderId="0" xfId="0" applyFont="1" applyAlignment="1" applyProtection="1">
      <alignment horizontal="center" wrapText="1"/>
      <protection hidden="1"/>
    </xf>
    <xf numFmtId="3" fontId="203" fillId="16" borderId="21" xfId="0" applyNumberFormat="1" applyFont="1" applyFill="1" applyBorder="1" applyAlignment="1" applyProtection="1">
      <alignment horizontal="center" vertical="center" wrapText="1"/>
      <protection hidden="1"/>
    </xf>
    <xf numFmtId="3" fontId="203" fillId="16" borderId="18" xfId="0" applyNumberFormat="1" applyFont="1" applyFill="1" applyBorder="1" applyAlignment="1" applyProtection="1">
      <alignment horizontal="center" vertical="center" wrapText="1"/>
      <protection hidden="1"/>
    </xf>
    <xf numFmtId="3" fontId="292" fillId="16" borderId="9" xfId="0" applyNumberFormat="1" applyFont="1" applyFill="1" applyBorder="1" applyAlignment="1" applyProtection="1">
      <alignment horizontal="center" vertical="center" wrapText="1"/>
      <protection hidden="1"/>
    </xf>
    <xf numFmtId="3" fontId="292" fillId="16" borderId="8" xfId="0" applyNumberFormat="1" applyFont="1" applyFill="1" applyBorder="1" applyAlignment="1" applyProtection="1">
      <alignment horizontal="center" vertical="center" wrapText="1"/>
      <protection hidden="1"/>
    </xf>
    <xf numFmtId="3" fontId="290" fillId="16" borderId="12" xfId="0" applyNumberFormat="1" applyFont="1" applyFill="1" applyBorder="1" applyAlignment="1" applyProtection="1">
      <alignment horizontal="center" vertical="center"/>
      <protection hidden="1"/>
    </xf>
    <xf numFmtId="0" fontId="290" fillId="16" borderId="21" xfId="0" applyFont="1" applyFill="1" applyBorder="1" applyAlignment="1" applyProtection="1">
      <alignment horizontal="left" vertical="center"/>
      <protection hidden="1"/>
    </xf>
    <xf numFmtId="0" fontId="290" fillId="16" borderId="18" xfId="0" applyFont="1" applyFill="1" applyBorder="1" applyAlignment="1" applyProtection="1">
      <alignment horizontal="left" vertical="center"/>
      <protection hidden="1"/>
    </xf>
    <xf numFmtId="3" fontId="292" fillId="16" borderId="12" xfId="0" applyNumberFormat="1" applyFont="1" applyFill="1" applyBorder="1" applyAlignment="1" applyProtection="1">
      <alignment horizontal="center" vertical="center" wrapText="1"/>
      <protection hidden="1"/>
    </xf>
    <xf numFmtId="3" fontId="297" fillId="16" borderId="12" xfId="0" applyNumberFormat="1" applyFont="1" applyFill="1" applyBorder="1" applyAlignment="1" applyProtection="1">
      <alignment horizontal="center" vertical="center" wrapText="1"/>
      <protection hidden="1"/>
    </xf>
    <xf numFmtId="0" fontId="327" fillId="16" borderId="21" xfId="0" applyFont="1" applyFill="1" applyBorder="1" applyAlignment="1" applyProtection="1">
      <alignment horizontal="left" vertical="center" wrapText="1"/>
      <protection hidden="1"/>
    </xf>
    <xf numFmtId="0" fontId="327" fillId="16" borderId="18" xfId="0" applyFont="1" applyFill="1" applyBorder="1" applyAlignment="1" applyProtection="1">
      <alignment horizontal="left" vertical="center" wrapText="1"/>
      <protection hidden="1"/>
    </xf>
    <xf numFmtId="0" fontId="287" fillId="16" borderId="8" xfId="0" applyFont="1" applyFill="1" applyBorder="1" applyAlignment="1" applyProtection="1">
      <alignment horizontal="center" vertical="center" wrapText="1"/>
      <protection hidden="1"/>
    </xf>
    <xf numFmtId="0" fontId="203" fillId="16" borderId="21" xfId="0" applyFont="1" applyFill="1" applyBorder="1" applyAlignment="1" applyProtection="1">
      <alignment horizontal="left" vertical="center" wrapText="1"/>
      <protection hidden="1"/>
    </xf>
    <xf numFmtId="0" fontId="203" fillId="16" borderId="18" xfId="0" applyFont="1" applyFill="1" applyBorder="1" applyAlignment="1" applyProtection="1">
      <alignment horizontal="left" vertical="center" wrapText="1"/>
      <protection hidden="1"/>
    </xf>
    <xf numFmtId="0" fontId="194" fillId="0" borderId="0" xfId="0" applyFont="1" applyAlignment="1" applyProtection="1">
      <alignment horizontal="center"/>
      <protection hidden="1"/>
    </xf>
    <xf numFmtId="0" fontId="0" fillId="0" borderId="0" xfId="0" applyAlignment="1" applyProtection="1">
      <alignment horizontal="center"/>
      <protection hidden="1"/>
    </xf>
    <xf numFmtId="3" fontId="290" fillId="16" borderId="12" xfId="0" applyNumberFormat="1" applyFont="1" applyFill="1" applyBorder="1" applyAlignment="1" applyProtection="1">
      <alignment horizontal="center" vertical="center" wrapText="1"/>
      <protection hidden="1"/>
    </xf>
    <xf numFmtId="3" fontId="357" fillId="20" borderId="0" xfId="0" applyNumberFormat="1" applyFont="1" applyFill="1" applyAlignment="1" applyProtection="1">
      <alignment horizontal="center" vertical="top"/>
      <protection hidden="1"/>
    </xf>
    <xf numFmtId="0" fontId="290" fillId="16" borderId="9" xfId="0" applyFont="1" applyFill="1" applyBorder="1" applyAlignment="1" applyProtection="1">
      <alignment horizontal="center" vertical="center" wrapText="1"/>
      <protection hidden="1"/>
    </xf>
    <xf numFmtId="0" fontId="290" fillId="16" borderId="7" xfId="0" applyFont="1" applyFill="1" applyBorder="1" applyAlignment="1" applyProtection="1">
      <alignment horizontal="center" vertical="center" wrapText="1"/>
      <protection hidden="1"/>
    </xf>
    <xf numFmtId="0" fontId="290" fillId="16" borderId="8" xfId="0" applyFont="1" applyFill="1" applyBorder="1" applyAlignment="1" applyProtection="1">
      <alignment horizontal="center" vertical="center" wrapText="1"/>
      <protection hidden="1"/>
    </xf>
    <xf numFmtId="0" fontId="347" fillId="16" borderId="7" xfId="1" applyFont="1" applyFill="1" applyBorder="1" applyAlignment="1" applyProtection="1">
      <alignment horizontal="center" vertical="center"/>
      <protection hidden="1"/>
    </xf>
    <xf numFmtId="0" fontId="347" fillId="16" borderId="8" xfId="1" applyFont="1" applyFill="1" applyBorder="1" applyAlignment="1" applyProtection="1">
      <alignment horizontal="center" vertical="center"/>
      <protection hidden="1"/>
    </xf>
    <xf numFmtId="0" fontId="203" fillId="16" borderId="12" xfId="0" applyFont="1" applyFill="1" applyBorder="1" applyAlignment="1" applyProtection="1">
      <alignment horizontal="center" vertical="center"/>
      <protection hidden="1"/>
    </xf>
    <xf numFmtId="0" fontId="203" fillId="16" borderId="12" xfId="0" applyFont="1" applyFill="1" applyBorder="1" applyAlignment="1" applyProtection="1">
      <alignment horizontal="center" vertical="center" wrapText="1"/>
      <protection hidden="1"/>
    </xf>
    <xf numFmtId="3" fontId="203" fillId="16" borderId="9" xfId="0" applyNumberFormat="1" applyFont="1" applyFill="1" applyBorder="1" applyAlignment="1" applyProtection="1">
      <alignment horizontal="left" vertical="top" wrapText="1"/>
      <protection hidden="1"/>
    </xf>
    <xf numFmtId="3" fontId="203" fillId="16" borderId="7" xfId="0" applyNumberFormat="1" applyFont="1" applyFill="1" applyBorder="1" applyAlignment="1" applyProtection="1">
      <alignment horizontal="left" vertical="top" wrapText="1"/>
      <protection hidden="1"/>
    </xf>
    <xf numFmtId="3" fontId="301" fillId="16" borderId="7" xfId="0" applyNumberFormat="1" applyFont="1" applyFill="1" applyBorder="1" applyAlignment="1" applyProtection="1">
      <alignment horizontal="center" vertical="center" wrapText="1"/>
      <protection hidden="1"/>
    </xf>
    <xf numFmtId="3" fontId="301" fillId="16" borderId="8" xfId="0" applyNumberFormat="1" applyFont="1" applyFill="1" applyBorder="1" applyAlignment="1" applyProtection="1">
      <alignment horizontal="center" vertical="center" wrapText="1"/>
      <protection hidden="1"/>
    </xf>
    <xf numFmtId="0" fontId="360" fillId="20" borderId="0" xfId="0" applyFont="1" applyFill="1" applyAlignment="1" applyProtection="1">
      <alignment horizontal="center" vertical="center" wrapText="1"/>
      <protection hidden="1"/>
    </xf>
    <xf numFmtId="0" fontId="9" fillId="20" borderId="0" xfId="0" applyFont="1" applyFill="1" applyAlignment="1">
      <alignment horizontal="left"/>
    </xf>
    <xf numFmtId="0" fontId="12" fillId="16" borderId="12" xfId="0" applyFont="1" applyFill="1" applyBorder="1" applyAlignment="1" applyProtection="1">
      <alignment horizontal="left"/>
      <protection hidden="1"/>
    </xf>
    <xf numFmtId="3" fontId="17" fillId="16" borderId="9" xfId="0" applyNumberFormat="1" applyFont="1" applyFill="1" applyBorder="1" applyAlignment="1" applyProtection="1">
      <alignment horizontal="left"/>
      <protection hidden="1"/>
    </xf>
    <xf numFmtId="3" fontId="17" fillId="16" borderId="7" xfId="0" applyNumberFormat="1" applyFont="1" applyFill="1" applyBorder="1" applyAlignment="1" applyProtection="1">
      <alignment horizontal="left"/>
      <protection hidden="1"/>
    </xf>
    <xf numFmtId="0" fontId="12" fillId="16" borderId="9" xfId="0" applyFont="1" applyFill="1" applyBorder="1" applyAlignment="1" applyProtection="1">
      <alignment horizontal="center"/>
      <protection hidden="1"/>
    </xf>
    <xf numFmtId="0" fontId="12" fillId="16" borderId="7" xfId="0" applyFont="1" applyFill="1" applyBorder="1" applyAlignment="1" applyProtection="1">
      <alignment horizontal="center"/>
      <protection hidden="1"/>
    </xf>
    <xf numFmtId="0" fontId="12" fillId="16" borderId="8" xfId="0" applyFont="1" applyFill="1" applyBorder="1" applyAlignment="1" applyProtection="1">
      <alignment horizontal="center"/>
      <protection hidden="1"/>
    </xf>
    <xf numFmtId="0" fontId="17" fillId="20" borderId="0" xfId="0" applyFont="1" applyFill="1" applyAlignment="1" applyProtection="1">
      <alignment horizontal="right"/>
      <protection hidden="1"/>
    </xf>
    <xf numFmtId="0" fontId="28" fillId="16" borderId="9" xfId="0" applyFont="1" applyFill="1" applyBorder="1" applyAlignment="1" applyProtection="1">
      <alignment horizontal="left"/>
      <protection hidden="1"/>
    </xf>
    <xf numFmtId="0" fontId="28" fillId="16" borderId="7" xfId="0" applyFont="1" applyFill="1" applyBorder="1" applyAlignment="1" applyProtection="1">
      <alignment horizontal="left"/>
      <protection hidden="1"/>
    </xf>
    <xf numFmtId="0" fontId="28" fillId="16" borderId="8" xfId="0" applyFont="1" applyFill="1" applyBorder="1" applyAlignment="1" applyProtection="1">
      <alignment horizontal="left"/>
      <protection hidden="1"/>
    </xf>
    <xf numFmtId="0" fontId="22" fillId="8" borderId="9" xfId="0" applyFont="1" applyFill="1" applyBorder="1" applyAlignment="1" applyProtection="1">
      <alignment horizontal="left" wrapText="1"/>
      <protection locked="0" hidden="1"/>
    </xf>
    <xf numFmtId="0" fontId="22" fillId="8" borderId="7" xfId="0" applyFont="1" applyFill="1" applyBorder="1" applyAlignment="1" applyProtection="1">
      <alignment horizontal="left" wrapText="1"/>
      <protection locked="0" hidden="1"/>
    </xf>
    <xf numFmtId="0" fontId="22" fillId="8" borderId="8" xfId="0" applyFont="1" applyFill="1" applyBorder="1" applyAlignment="1" applyProtection="1">
      <alignment horizontal="left" wrapText="1"/>
      <protection locked="0" hidden="1"/>
    </xf>
    <xf numFmtId="0" fontId="17" fillId="0" borderId="12" xfId="0" applyFont="1" applyBorder="1" applyAlignment="1" applyProtection="1">
      <alignment horizontal="center" vertical="center"/>
      <protection locked="0" hidden="1"/>
    </xf>
    <xf numFmtId="14" fontId="17" fillId="0" borderId="12" xfId="0" applyNumberFormat="1" applyFont="1" applyBorder="1" applyAlignment="1" applyProtection="1">
      <alignment horizontal="center" vertical="center"/>
      <protection locked="0" hidden="1"/>
    </xf>
    <xf numFmtId="0" fontId="17" fillId="20" borderId="5" xfId="0" applyFont="1" applyFill="1" applyBorder="1" applyAlignment="1" applyProtection="1">
      <alignment horizontal="center"/>
      <protection hidden="1"/>
    </xf>
    <xf numFmtId="0" fontId="28" fillId="16" borderId="12" xfId="0" applyFont="1" applyFill="1" applyBorder="1" applyAlignment="1" applyProtection="1">
      <alignment horizontal="left" vertical="center" wrapText="1"/>
      <protection hidden="1"/>
    </xf>
    <xf numFmtId="0" fontId="9" fillId="20" borderId="0" xfId="0" applyFont="1" applyFill="1" applyAlignment="1" applyProtection="1">
      <alignment horizontal="left"/>
      <protection hidden="1"/>
    </xf>
    <xf numFmtId="0" fontId="28" fillId="16" borderId="21" xfId="0" applyFont="1" applyFill="1" applyBorder="1" applyAlignment="1" applyProtection="1">
      <alignment horizontal="left" vertical="center" wrapText="1"/>
      <protection hidden="1"/>
    </xf>
    <xf numFmtId="0" fontId="28" fillId="16" borderId="18" xfId="0" applyFont="1" applyFill="1" applyBorder="1" applyAlignment="1" applyProtection="1">
      <alignment horizontal="left" vertical="center" wrapText="1"/>
      <protection hidden="1"/>
    </xf>
    <xf numFmtId="0" fontId="150" fillId="20" borderId="0" xfId="0" applyFont="1" applyFill="1" applyAlignment="1" applyProtection="1">
      <alignment horizontal="left" vertical="center"/>
      <protection hidden="1"/>
    </xf>
    <xf numFmtId="0" fontId="336" fillId="19" borderId="4" xfId="0" applyFont="1" applyFill="1" applyBorder="1" applyAlignment="1" applyProtection="1">
      <alignment horizontal="left"/>
      <protection hidden="1"/>
    </xf>
    <xf numFmtId="0" fontId="336" fillId="19" borderId="5" xfId="0" applyFont="1" applyFill="1" applyBorder="1" applyAlignment="1" applyProtection="1">
      <alignment horizontal="left"/>
      <protection hidden="1"/>
    </xf>
    <xf numFmtId="0" fontId="336" fillId="19" borderId="6" xfId="0" applyFont="1" applyFill="1" applyBorder="1" applyAlignment="1" applyProtection="1">
      <alignment horizontal="left"/>
      <protection hidden="1"/>
    </xf>
    <xf numFmtId="0" fontId="336" fillId="19" borderId="19" xfId="0" applyFont="1" applyFill="1" applyBorder="1" applyAlignment="1" applyProtection="1">
      <alignment horizontal="left"/>
      <protection hidden="1"/>
    </xf>
    <xf numFmtId="0" fontId="336" fillId="19" borderId="10" xfId="0" applyFont="1" applyFill="1" applyBorder="1" applyAlignment="1" applyProtection="1">
      <alignment horizontal="left"/>
      <protection hidden="1"/>
    </xf>
    <xf numFmtId="0" fontId="336" fillId="19" borderId="3" xfId="0" applyFont="1" applyFill="1" applyBorder="1" applyAlignment="1" applyProtection="1">
      <alignment horizontal="left"/>
      <protection hidden="1"/>
    </xf>
    <xf numFmtId="0" fontId="184" fillId="20" borderId="10" xfId="0" applyFont="1" applyFill="1" applyBorder="1" applyAlignment="1" applyProtection="1">
      <alignment horizontal="center" vertical="center"/>
      <protection hidden="1"/>
    </xf>
    <xf numFmtId="0" fontId="300" fillId="20" borderId="0" xfId="0" applyFont="1" applyFill="1" applyAlignment="1" applyProtection="1">
      <alignment horizontal="left"/>
      <protection hidden="1"/>
    </xf>
    <xf numFmtId="0" fontId="369" fillId="20" borderId="7" xfId="0" applyFont="1" applyFill="1" applyBorder="1" applyAlignment="1" applyProtection="1">
      <alignment horizontal="left" vertical="center" wrapText="1"/>
      <protection hidden="1"/>
    </xf>
    <xf numFmtId="0" fontId="1" fillId="0" borderId="12" xfId="0" applyFont="1" applyBorder="1" applyAlignment="1" applyProtection="1">
      <alignment horizontal="center"/>
      <protection hidden="1"/>
    </xf>
    <xf numFmtId="0" fontId="8" fillId="20" borderId="0" xfId="0" applyFont="1" applyFill="1" applyAlignment="1" applyProtection="1">
      <alignment horizontal="left"/>
      <protection hidden="1"/>
    </xf>
    <xf numFmtId="0" fontId="8" fillId="18" borderId="9" xfId="0" applyFont="1" applyFill="1" applyBorder="1" applyAlignment="1" applyProtection="1">
      <alignment horizontal="center" vertical="center"/>
      <protection locked="0"/>
    </xf>
    <xf numFmtId="0" fontId="8" fillId="18" borderId="7" xfId="0" applyFont="1" applyFill="1" applyBorder="1" applyAlignment="1" applyProtection="1">
      <alignment horizontal="center" vertical="center"/>
      <protection locked="0"/>
    </xf>
    <xf numFmtId="0" fontId="8" fillId="18" borderId="8" xfId="0" applyFont="1" applyFill="1" applyBorder="1" applyAlignment="1" applyProtection="1">
      <alignment horizontal="center" vertical="center"/>
      <protection locked="0"/>
    </xf>
    <xf numFmtId="0" fontId="347" fillId="0" borderId="12" xfId="0" applyFont="1" applyBorder="1" applyAlignment="1" applyProtection="1">
      <alignment horizontal="left" vertical="center"/>
      <protection locked="0"/>
    </xf>
    <xf numFmtId="0" fontId="318" fillId="20" borderId="0" xfId="0" applyFont="1" applyFill="1" applyAlignment="1" applyProtection="1">
      <alignment horizontal="left" vertical="justify" wrapText="1"/>
      <protection hidden="1"/>
    </xf>
    <xf numFmtId="0" fontId="318" fillId="16" borderId="21" xfId="0" applyFont="1" applyFill="1" applyBorder="1" applyAlignment="1" applyProtection="1">
      <alignment horizontal="center" vertical="center" wrapText="1"/>
      <protection hidden="1"/>
    </xf>
    <xf numFmtId="0" fontId="318" fillId="16" borderId="18" xfId="0" applyFont="1" applyFill="1" applyBorder="1" applyAlignment="1" applyProtection="1">
      <alignment horizontal="center" vertical="center" wrapText="1"/>
      <protection hidden="1"/>
    </xf>
    <xf numFmtId="0" fontId="318" fillId="16" borderId="12" xfId="0" applyFont="1" applyFill="1" applyBorder="1" applyAlignment="1" applyProtection="1">
      <alignment horizontal="center" vertical="center" wrapText="1"/>
      <protection hidden="1"/>
    </xf>
    <xf numFmtId="0" fontId="186" fillId="20" borderId="10" xfId="0" applyFont="1" applyFill="1" applyBorder="1" applyAlignment="1" applyProtection="1">
      <alignment horizontal="center"/>
      <protection hidden="1"/>
    </xf>
    <xf numFmtId="0" fontId="318" fillId="16" borderId="12" xfId="0" applyFont="1" applyFill="1" applyBorder="1" applyAlignment="1" applyProtection="1">
      <alignment horizontal="center" vertical="center"/>
      <protection hidden="1"/>
    </xf>
    <xf numFmtId="0" fontId="347" fillId="0" borderId="9" xfId="0" applyFont="1" applyBorder="1" applyAlignment="1" applyProtection="1">
      <alignment horizontal="left"/>
      <protection locked="0"/>
    </xf>
    <xf numFmtId="0" fontId="347" fillId="0" borderId="8" xfId="0" applyFont="1" applyBorder="1" applyAlignment="1" applyProtection="1">
      <alignment horizontal="left"/>
      <protection locked="0"/>
    </xf>
    <xf numFmtId="0" fontId="359" fillId="16" borderId="9" xfId="0" applyFont="1" applyFill="1" applyBorder="1" applyAlignment="1" applyProtection="1">
      <alignment horizontal="left" vertical="center" wrapText="1"/>
      <protection hidden="1"/>
    </xf>
    <xf numFmtId="0" fontId="359" fillId="16" borderId="7" xfId="0" applyFont="1" applyFill="1" applyBorder="1" applyAlignment="1" applyProtection="1">
      <alignment horizontal="left" vertical="center" wrapText="1"/>
      <protection hidden="1"/>
    </xf>
    <xf numFmtId="0" fontId="359" fillId="16" borderId="8" xfId="0" applyFont="1" applyFill="1" applyBorder="1" applyAlignment="1" applyProtection="1">
      <alignment horizontal="left" vertical="center" wrapText="1"/>
      <protection hidden="1"/>
    </xf>
    <xf numFmtId="0" fontId="313" fillId="0" borderId="19" xfId="0" applyFont="1" applyBorder="1" applyAlignment="1" applyProtection="1">
      <alignment horizontal="left" vertical="top" wrapText="1"/>
      <protection locked="0"/>
    </xf>
    <xf numFmtId="0" fontId="313" fillId="0" borderId="10" xfId="0" applyFont="1" applyBorder="1" applyAlignment="1" applyProtection="1">
      <alignment horizontal="left" vertical="top" wrapText="1"/>
      <protection locked="0"/>
    </xf>
    <xf numFmtId="0" fontId="313" fillId="0" borderId="3" xfId="0" applyFont="1" applyBorder="1" applyAlignment="1" applyProtection="1">
      <alignment horizontal="left" vertical="top" wrapText="1"/>
      <protection locked="0"/>
    </xf>
    <xf numFmtId="0" fontId="313" fillId="0" borderId="1" xfId="0" applyFont="1" applyBorder="1" applyAlignment="1" applyProtection="1">
      <alignment horizontal="left" vertical="top" wrapText="1"/>
      <protection locked="0"/>
    </xf>
    <xf numFmtId="0" fontId="313" fillId="0" borderId="0" xfId="0" applyFont="1" applyAlignment="1" applyProtection="1">
      <alignment horizontal="left" vertical="top" wrapText="1"/>
      <protection locked="0"/>
    </xf>
    <xf numFmtId="0" fontId="313" fillId="0" borderId="2" xfId="0" applyFont="1" applyBorder="1" applyAlignment="1" applyProtection="1">
      <alignment horizontal="left" vertical="top" wrapText="1"/>
      <protection locked="0"/>
    </xf>
    <xf numFmtId="0" fontId="313" fillId="0" borderId="4" xfId="0" applyFont="1" applyBorder="1" applyAlignment="1" applyProtection="1">
      <alignment horizontal="left" vertical="top" wrapText="1"/>
      <protection locked="0"/>
    </xf>
    <xf numFmtId="0" fontId="313" fillId="0" borderId="5" xfId="0" applyFont="1" applyBorder="1" applyAlignment="1" applyProtection="1">
      <alignment horizontal="left" vertical="top" wrapText="1"/>
      <protection locked="0"/>
    </xf>
    <xf numFmtId="0" fontId="313" fillId="0" borderId="6" xfId="0" applyFont="1" applyBorder="1" applyAlignment="1" applyProtection="1">
      <alignment horizontal="left" vertical="top" wrapText="1"/>
      <protection locked="0"/>
    </xf>
    <xf numFmtId="0" fontId="318" fillId="16" borderId="21" xfId="0" applyFont="1" applyFill="1" applyBorder="1" applyAlignment="1" applyProtection="1">
      <alignment horizontal="center" wrapText="1"/>
      <protection hidden="1"/>
    </xf>
    <xf numFmtId="0" fontId="318" fillId="16" borderId="18" xfId="0" applyFont="1" applyFill="1" applyBorder="1" applyAlignment="1" applyProtection="1">
      <alignment horizontal="center" wrapText="1"/>
      <protection hidden="1"/>
    </xf>
    <xf numFmtId="0" fontId="377" fillId="16" borderId="9" xfId="0" applyFont="1" applyFill="1" applyBorder="1" applyAlignment="1" applyProtection="1">
      <alignment horizontal="center" vertical="center"/>
      <protection hidden="1"/>
    </xf>
    <xf numFmtId="0" fontId="377" fillId="16" borderId="7" xfId="0" applyFont="1" applyFill="1" applyBorder="1" applyAlignment="1" applyProtection="1">
      <alignment horizontal="center" vertical="center"/>
      <protection hidden="1"/>
    </xf>
    <xf numFmtId="0" fontId="377" fillId="16" borderId="8" xfId="0" applyFont="1" applyFill="1" applyBorder="1" applyAlignment="1" applyProtection="1">
      <alignment horizontal="center" vertical="center"/>
      <protection hidden="1"/>
    </xf>
    <xf numFmtId="0" fontId="290" fillId="16" borderId="9" xfId="0" applyFont="1" applyFill="1" applyBorder="1" applyAlignment="1" applyProtection="1">
      <alignment horizontal="left" wrapText="1"/>
      <protection hidden="1"/>
    </xf>
    <xf numFmtId="0" fontId="290" fillId="16" borderId="7" xfId="0" applyFont="1" applyFill="1" applyBorder="1" applyAlignment="1" applyProtection="1">
      <alignment horizontal="left" wrapText="1"/>
      <protection hidden="1"/>
    </xf>
    <xf numFmtId="0" fontId="290" fillId="16" borderId="8" xfId="0" applyFont="1" applyFill="1" applyBorder="1" applyAlignment="1" applyProtection="1">
      <alignment horizontal="left" wrapText="1"/>
      <protection hidden="1"/>
    </xf>
    <xf numFmtId="0" fontId="290" fillId="0" borderId="0" xfId="0" applyFont="1" applyAlignment="1" applyProtection="1">
      <alignment horizontal="left" wrapText="1"/>
      <protection hidden="1"/>
    </xf>
    <xf numFmtId="0" fontId="293" fillId="20" borderId="0" xfId="0" applyFont="1" applyFill="1" applyAlignment="1" applyProtection="1">
      <alignment horizontal="left" wrapText="1"/>
      <protection hidden="1"/>
    </xf>
    <xf numFmtId="0" fontId="399" fillId="16" borderId="12" xfId="0" applyFont="1" applyFill="1" applyBorder="1" applyAlignment="1" applyProtection="1">
      <alignment horizontal="center" vertical="center" wrapText="1"/>
      <protection hidden="1"/>
    </xf>
    <xf numFmtId="0" fontId="293" fillId="16" borderId="9" xfId="0" applyFont="1" applyFill="1" applyBorder="1" applyAlignment="1" applyProtection="1">
      <alignment horizontal="left" wrapText="1"/>
      <protection hidden="1"/>
    </xf>
    <xf numFmtId="0" fontId="293" fillId="16" borderId="7" xfId="0" applyFont="1" applyFill="1" applyBorder="1" applyAlignment="1" applyProtection="1">
      <alignment horizontal="left" wrapText="1"/>
      <protection hidden="1"/>
    </xf>
    <xf numFmtId="0" fontId="293" fillId="16" borderId="8" xfId="0" applyFont="1" applyFill="1" applyBorder="1" applyAlignment="1" applyProtection="1">
      <alignment horizontal="left" wrapText="1"/>
      <protection hidden="1"/>
    </xf>
    <xf numFmtId="0" fontId="381" fillId="16" borderId="19" xfId="0" applyFont="1" applyFill="1" applyBorder="1" applyAlignment="1" applyProtection="1">
      <alignment horizontal="center" vertical="center"/>
      <protection hidden="1"/>
    </xf>
    <xf numFmtId="0" fontId="381" fillId="16" borderId="10" xfId="0" applyFont="1" applyFill="1" applyBorder="1" applyAlignment="1" applyProtection="1">
      <alignment horizontal="center" vertical="center"/>
      <protection hidden="1"/>
    </xf>
    <xf numFmtId="0" fontId="381" fillId="16" borderId="3" xfId="0" applyFont="1" applyFill="1" applyBorder="1" applyAlignment="1" applyProtection="1">
      <alignment horizontal="center" vertical="center"/>
      <protection hidden="1"/>
    </xf>
    <xf numFmtId="0" fontId="381" fillId="16" borderId="4" xfId="0" applyFont="1" applyFill="1" applyBorder="1" applyAlignment="1" applyProtection="1">
      <alignment horizontal="center" vertical="center"/>
      <protection hidden="1"/>
    </xf>
    <xf numFmtId="0" fontId="381" fillId="16" borderId="5" xfId="0" applyFont="1" applyFill="1" applyBorder="1" applyAlignment="1" applyProtection="1">
      <alignment horizontal="center" vertical="center"/>
      <protection hidden="1"/>
    </xf>
    <xf numFmtId="0" fontId="381" fillId="16" borderId="6" xfId="0" applyFont="1" applyFill="1" applyBorder="1" applyAlignment="1" applyProtection="1">
      <alignment horizontal="center" vertical="center"/>
      <protection hidden="1"/>
    </xf>
    <xf numFmtId="0" fontId="378" fillId="16" borderId="9" xfId="0" applyFont="1" applyFill="1" applyBorder="1" applyAlignment="1" applyProtection="1">
      <alignment horizontal="left" vertical="center" wrapText="1"/>
      <protection hidden="1"/>
    </xf>
    <xf numFmtId="0" fontId="378" fillId="16" borderId="7" xfId="0" applyFont="1" applyFill="1" applyBorder="1" applyAlignment="1" applyProtection="1">
      <alignment horizontal="left" vertical="center" wrapText="1"/>
      <protection hidden="1"/>
    </xf>
    <xf numFmtId="0" fontId="0" fillId="0" borderId="21" xfId="0"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18" xfId="0" applyBorder="1" applyAlignment="1" applyProtection="1">
      <alignment horizontal="center" vertical="center" wrapText="1"/>
      <protection hidden="1"/>
    </xf>
    <xf numFmtId="0" fontId="381" fillId="37" borderId="0" xfId="0" applyFont="1" applyFill="1" applyAlignment="1" applyProtection="1">
      <alignment horizontal="left"/>
      <protection hidden="1"/>
    </xf>
    <xf numFmtId="0" fontId="0" fillId="0" borderId="12" xfId="0" applyBorder="1" applyAlignment="1" applyProtection="1">
      <alignment horizontal="center" wrapText="1"/>
      <protection hidden="1"/>
    </xf>
    <xf numFmtId="0" fontId="0" fillId="0" borderId="12" xfId="0" applyBorder="1" applyAlignment="1" applyProtection="1">
      <alignment horizontal="center"/>
      <protection hidden="1"/>
    </xf>
    <xf numFmtId="0" fontId="24" fillId="0" borderId="19" xfId="0" applyFont="1" applyBorder="1" applyAlignment="1" applyProtection="1">
      <alignment horizontal="center" vertical="center" wrapText="1"/>
      <protection hidden="1"/>
    </xf>
    <xf numFmtId="0" fontId="24" fillId="0" borderId="1" xfId="0" applyFont="1" applyBorder="1" applyAlignment="1" applyProtection="1">
      <alignment horizontal="center" vertical="center" wrapText="1"/>
      <protection hidden="1"/>
    </xf>
    <xf numFmtId="0" fontId="24" fillId="0" borderId="4" xfId="0" applyFont="1" applyBorder="1" applyAlignment="1" applyProtection="1">
      <alignment horizontal="center" vertical="center" wrapText="1"/>
      <protection hidden="1"/>
    </xf>
    <xf numFmtId="0" fontId="0" fillId="0" borderId="12" xfId="0" applyBorder="1" applyAlignment="1" applyProtection="1">
      <alignment horizontal="center" vertical="center" wrapText="1"/>
      <protection hidden="1"/>
    </xf>
    <xf numFmtId="3" fontId="377" fillId="0" borderId="0" xfId="0" applyNumberFormat="1" applyFont="1" applyAlignment="1" applyProtection="1">
      <alignment horizontal="left" vertical="center"/>
      <protection hidden="1"/>
    </xf>
    <xf numFmtId="0" fontId="377" fillId="37" borderId="0" xfId="0" applyFont="1" applyFill="1" applyAlignment="1" applyProtection="1">
      <alignment horizontal="left" vertical="center"/>
      <protection hidden="1"/>
    </xf>
    <xf numFmtId="9" fontId="377" fillId="37" borderId="0" xfId="0" applyNumberFormat="1" applyFont="1" applyFill="1" applyAlignment="1" applyProtection="1">
      <alignment horizontal="right" vertical="center"/>
      <protection hidden="1"/>
    </xf>
    <xf numFmtId="0" fontId="420" fillId="37" borderId="0" xfId="0" applyFont="1" applyFill="1" applyAlignment="1" applyProtection="1">
      <alignment horizontal="center" vertical="center"/>
      <protection hidden="1"/>
    </xf>
    <xf numFmtId="0" fontId="377" fillId="37" borderId="0" xfId="0" applyFont="1" applyFill="1" applyAlignment="1" applyProtection="1">
      <alignment horizontal="left" vertical="center" wrapText="1"/>
      <protection hidden="1"/>
    </xf>
    <xf numFmtId="0" fontId="377" fillId="37" borderId="0" xfId="0" applyFont="1" applyFill="1" applyAlignment="1" applyProtection="1">
      <alignment horizontal="center"/>
      <protection hidden="1"/>
    </xf>
    <xf numFmtId="0" fontId="401" fillId="38" borderId="9" xfId="0" applyFont="1" applyFill="1" applyBorder="1" applyAlignment="1" applyProtection="1">
      <alignment horizontal="left" vertical="center"/>
      <protection hidden="1"/>
    </xf>
    <xf numFmtId="0" fontId="401" fillId="38" borderId="7" xfId="0" applyFont="1" applyFill="1" applyBorder="1" applyAlignment="1" applyProtection="1">
      <alignment horizontal="left" vertical="center"/>
      <protection hidden="1"/>
    </xf>
    <xf numFmtId="0" fontId="401" fillId="38" borderId="8" xfId="0" applyFont="1" applyFill="1" applyBorder="1" applyAlignment="1" applyProtection="1">
      <alignment horizontal="left" vertical="center"/>
      <protection hidden="1"/>
    </xf>
    <xf numFmtId="0" fontId="222" fillId="0" borderId="0" xfId="0" applyFont="1" applyAlignment="1" applyProtection="1">
      <alignment horizontal="left"/>
      <protection hidden="1"/>
    </xf>
    <xf numFmtId="0" fontId="0" fillId="0" borderId="55" xfId="0" applyBorder="1" applyAlignment="1" applyProtection="1">
      <alignment horizontal="center"/>
      <protection hidden="1"/>
    </xf>
    <xf numFmtId="0" fontId="401" fillId="38" borderId="12" xfId="0" applyFont="1" applyFill="1" applyBorder="1" applyAlignment="1" applyProtection="1">
      <alignment horizontal="left"/>
      <protection hidden="1"/>
    </xf>
    <xf numFmtId="0" fontId="222" fillId="38" borderId="12" xfId="0" applyFont="1" applyFill="1" applyBorder="1" applyAlignment="1" applyProtection="1">
      <alignment horizontal="left"/>
      <protection hidden="1"/>
    </xf>
    <xf numFmtId="3" fontId="222" fillId="38" borderId="12" xfId="0" applyNumberFormat="1" applyFont="1" applyFill="1" applyBorder="1" applyAlignment="1" applyProtection="1">
      <alignment horizontal="center"/>
      <protection hidden="1"/>
    </xf>
    <xf numFmtId="0" fontId="188" fillId="37" borderId="0" xfId="0" applyFont="1" applyFill="1" applyAlignment="1" applyProtection="1">
      <alignment horizontal="left"/>
      <protection hidden="1"/>
    </xf>
    <xf numFmtId="0" fontId="222" fillId="0" borderId="9" xfId="0" applyFont="1" applyBorder="1" applyAlignment="1" applyProtection="1">
      <alignment horizontal="center"/>
      <protection hidden="1"/>
    </xf>
    <xf numFmtId="0" fontId="222" fillId="0" borderId="7" xfId="0" applyFont="1" applyBorder="1" applyAlignment="1" applyProtection="1">
      <alignment horizontal="center"/>
      <protection hidden="1"/>
    </xf>
    <xf numFmtId="0" fontId="222" fillId="0" borderId="8" xfId="0" applyFont="1" applyBorder="1" applyAlignment="1" applyProtection="1">
      <alignment horizontal="center"/>
      <protection hidden="1"/>
    </xf>
    <xf numFmtId="0" fontId="411" fillId="38" borderId="19" xfId="7" applyFont="1" applyFill="1" applyBorder="1" applyAlignment="1" applyProtection="1">
      <alignment horizontal="left"/>
      <protection hidden="1"/>
    </xf>
    <xf numFmtId="0" fontId="411" fillId="38" borderId="10" xfId="7" applyFont="1" applyFill="1" applyBorder="1" applyAlignment="1" applyProtection="1">
      <alignment horizontal="left"/>
      <protection hidden="1"/>
    </xf>
    <xf numFmtId="0" fontId="411" fillId="38" borderId="3" xfId="7" applyFont="1" applyFill="1" applyBorder="1" applyAlignment="1" applyProtection="1">
      <alignment horizontal="left"/>
      <protection hidden="1"/>
    </xf>
    <xf numFmtId="0" fontId="411" fillId="38" borderId="4" xfId="7" applyFont="1" applyFill="1" applyBorder="1" applyAlignment="1" applyProtection="1">
      <alignment horizontal="left"/>
      <protection hidden="1"/>
    </xf>
    <xf numFmtId="0" fontId="411" fillId="38" borderId="5" xfId="7" applyFont="1" applyFill="1" applyBorder="1" applyAlignment="1" applyProtection="1">
      <alignment horizontal="left"/>
      <protection hidden="1"/>
    </xf>
    <xf numFmtId="0" fontId="411" fillId="38" borderId="6" xfId="7" applyFont="1" applyFill="1" applyBorder="1" applyAlignment="1" applyProtection="1">
      <alignment horizontal="left"/>
      <protection hidden="1"/>
    </xf>
    <xf numFmtId="0" fontId="206" fillId="16" borderId="12" xfId="0" applyFont="1" applyFill="1" applyBorder="1" applyAlignment="1" applyProtection="1">
      <alignment horizontal="left"/>
      <protection hidden="1"/>
    </xf>
    <xf numFmtId="0" fontId="22" fillId="16" borderId="12" xfId="0" applyFont="1" applyFill="1" applyBorder="1" applyProtection="1">
      <protection hidden="1"/>
    </xf>
    <xf numFmtId="0" fontId="22" fillId="16" borderId="12" xfId="0" applyFont="1" applyFill="1" applyBorder="1" applyAlignment="1" applyProtection="1">
      <alignment horizontal="center"/>
      <protection hidden="1"/>
    </xf>
    <xf numFmtId="0" fontId="22" fillId="0" borderId="12" xfId="7" applyFont="1" applyBorder="1" applyAlignment="1" applyProtection="1">
      <alignment horizontal="left"/>
      <protection locked="0"/>
    </xf>
    <xf numFmtId="0" fontId="408" fillId="20" borderId="12" xfId="0" applyFont="1" applyFill="1" applyBorder="1" applyAlignment="1" applyProtection="1">
      <alignment horizontal="left" wrapText="1"/>
      <protection hidden="1"/>
    </xf>
    <xf numFmtId="0" fontId="206" fillId="16" borderId="12" xfId="7" applyFont="1" applyFill="1" applyBorder="1" applyAlignment="1" applyProtection="1">
      <alignment horizontal="left" vertical="center"/>
      <protection hidden="1"/>
    </xf>
    <xf numFmtId="0" fontId="206" fillId="16" borderId="19" xfId="7" applyFont="1" applyFill="1" applyBorder="1" applyAlignment="1" applyProtection="1">
      <alignment horizontal="left" vertical="center"/>
      <protection hidden="1"/>
    </xf>
    <xf numFmtId="0" fontId="206" fillId="16" borderId="10" xfId="7" applyFont="1" applyFill="1" applyBorder="1" applyAlignment="1" applyProtection="1">
      <alignment horizontal="left" vertical="center"/>
      <protection hidden="1"/>
    </xf>
    <xf numFmtId="0" fontId="206" fillId="16" borderId="3" xfId="7" applyFont="1" applyFill="1" applyBorder="1" applyAlignment="1" applyProtection="1">
      <alignment horizontal="left" vertical="center"/>
      <protection hidden="1"/>
    </xf>
    <xf numFmtId="166" fontId="206" fillId="16" borderId="9" xfId="7" applyNumberFormat="1" applyFont="1" applyFill="1" applyBorder="1" applyAlignment="1" applyProtection="1">
      <alignment horizontal="left"/>
      <protection hidden="1"/>
    </xf>
    <xf numFmtId="166" fontId="206" fillId="16" borderId="7" xfId="7" applyNumberFormat="1" applyFont="1" applyFill="1" applyBorder="1" applyAlignment="1" applyProtection="1">
      <alignment horizontal="left"/>
      <protection hidden="1"/>
    </xf>
    <xf numFmtId="166" fontId="206" fillId="16" borderId="8" xfId="7" applyNumberFormat="1" applyFont="1" applyFill="1" applyBorder="1" applyAlignment="1" applyProtection="1">
      <alignment horizontal="left"/>
      <protection hidden="1"/>
    </xf>
    <xf numFmtId="0" fontId="206" fillId="16" borderId="9" xfId="7" applyFont="1" applyFill="1" applyBorder="1" applyAlignment="1" applyProtection="1">
      <alignment horizontal="left"/>
      <protection hidden="1"/>
    </xf>
    <xf numFmtId="0" fontId="206" fillId="16" borderId="7" xfId="7" applyFont="1" applyFill="1" applyBorder="1" applyAlignment="1" applyProtection="1">
      <alignment horizontal="left"/>
      <protection hidden="1"/>
    </xf>
    <xf numFmtId="0" fontId="411" fillId="16" borderId="9" xfId="0" applyFont="1" applyFill="1" applyBorder="1" applyAlignment="1" applyProtection="1">
      <alignment horizontal="right"/>
      <protection hidden="1"/>
    </xf>
    <xf numFmtId="0" fontId="411" fillId="16" borderId="8" xfId="0" applyFont="1" applyFill="1" applyBorder="1" applyAlignment="1" applyProtection="1">
      <alignment horizontal="right"/>
      <protection hidden="1"/>
    </xf>
    <xf numFmtId="0" fontId="411" fillId="16" borderId="7" xfId="0" applyFont="1" applyFill="1" applyBorder="1" applyAlignment="1" applyProtection="1">
      <alignment horizontal="right"/>
      <protection hidden="1"/>
    </xf>
    <xf numFmtId="0" fontId="411" fillId="16" borderId="9" xfId="0" applyFont="1" applyFill="1" applyBorder="1" applyAlignment="1" applyProtection="1">
      <alignment horizontal="left"/>
      <protection hidden="1"/>
    </xf>
    <xf numFmtId="0" fontId="411" fillId="16" borderId="7" xfId="0" applyFont="1" applyFill="1" applyBorder="1" applyAlignment="1" applyProtection="1">
      <alignment horizontal="left"/>
      <protection hidden="1"/>
    </xf>
    <xf numFmtId="0" fontId="411" fillId="16" borderId="8" xfId="0" applyFont="1" applyFill="1" applyBorder="1" applyAlignment="1" applyProtection="1">
      <alignment horizontal="left"/>
      <protection hidden="1"/>
    </xf>
    <xf numFmtId="0" fontId="435" fillId="38" borderId="19" xfId="7" applyFont="1" applyFill="1" applyBorder="1" applyAlignment="1" applyProtection="1">
      <alignment horizontal="left"/>
      <protection hidden="1"/>
    </xf>
    <xf numFmtId="0" fontId="435" fillId="38" borderId="10" xfId="7" applyFont="1" applyFill="1" applyBorder="1" applyAlignment="1" applyProtection="1">
      <alignment horizontal="left"/>
      <protection hidden="1"/>
    </xf>
    <xf numFmtId="0" fontId="435" fillId="38" borderId="3" xfId="7" applyFont="1" applyFill="1" applyBorder="1" applyAlignment="1" applyProtection="1">
      <alignment horizontal="left"/>
      <protection hidden="1"/>
    </xf>
    <xf numFmtId="0" fontId="188" fillId="37" borderId="0" xfId="0" applyFont="1" applyFill="1" applyAlignment="1" applyProtection="1">
      <alignment horizontal="center"/>
      <protection hidden="1"/>
    </xf>
    <xf numFmtId="0" fontId="222" fillId="0" borderId="12" xfId="0" applyFont="1" applyBorder="1" applyAlignment="1" applyProtection="1">
      <alignment horizontal="center"/>
      <protection hidden="1"/>
    </xf>
    <xf numFmtId="0" fontId="222" fillId="0" borderId="12" xfId="0" applyFont="1" applyBorder="1" applyAlignment="1" applyProtection="1">
      <alignment horizontal="center"/>
      <protection locked="0"/>
    </xf>
    <xf numFmtId="0" fontId="222" fillId="37" borderId="0" xfId="0" applyFont="1" applyFill="1" applyAlignment="1" applyProtection="1">
      <alignment horizontal="left"/>
      <protection hidden="1"/>
    </xf>
    <xf numFmtId="0" fontId="222" fillId="22" borderId="9" xfId="0" applyFont="1" applyFill="1" applyBorder="1" applyAlignment="1" applyProtection="1">
      <alignment horizontal="center" vertical="center" wrapText="1"/>
      <protection hidden="1"/>
    </xf>
    <xf numFmtId="0" fontId="222" fillId="22" borderId="8" xfId="0" applyFont="1" applyFill="1" applyBorder="1" applyAlignment="1" applyProtection="1">
      <alignment horizontal="center" vertical="center" wrapText="1"/>
      <protection hidden="1"/>
    </xf>
    <xf numFmtId="164" fontId="22" fillId="22" borderId="21" xfId="0" applyNumberFormat="1" applyFont="1" applyFill="1" applyBorder="1" applyAlignment="1" applyProtection="1">
      <alignment horizontal="center" vertical="center" wrapText="1"/>
      <protection hidden="1"/>
    </xf>
    <xf numFmtId="164" fontId="22" fillId="22" borderId="18" xfId="0" applyNumberFormat="1" applyFont="1" applyFill="1" applyBorder="1" applyAlignment="1" applyProtection="1">
      <alignment horizontal="center" vertical="center" wrapText="1"/>
      <protection hidden="1"/>
    </xf>
    <xf numFmtId="0" fontId="12" fillId="20" borderId="0" xfId="0" applyFont="1" applyFill="1" applyAlignment="1" applyProtection="1">
      <alignment horizontal="left" vertical="center"/>
      <protection hidden="1"/>
    </xf>
    <xf numFmtId="0" fontId="188" fillId="44" borderId="0" xfId="0" applyFont="1" applyFill="1" applyAlignment="1" applyProtection="1">
      <alignment horizontal="left"/>
      <protection hidden="1"/>
    </xf>
    <xf numFmtId="0" fontId="28" fillId="22" borderId="19" xfId="0" applyFont="1" applyFill="1" applyBorder="1" applyAlignment="1" applyProtection="1">
      <alignment horizontal="left"/>
      <protection hidden="1"/>
    </xf>
    <xf numFmtId="0" fontId="28" fillId="22" borderId="10" xfId="0" applyFont="1" applyFill="1" applyBorder="1" applyAlignment="1" applyProtection="1">
      <alignment horizontal="left"/>
      <protection hidden="1"/>
    </xf>
    <xf numFmtId="0" fontId="28" fillId="22" borderId="3" xfId="0" applyFont="1" applyFill="1" applyBorder="1" applyAlignment="1" applyProtection="1">
      <alignment horizontal="left"/>
      <protection hidden="1"/>
    </xf>
    <xf numFmtId="0" fontId="22" fillId="22" borderId="21" xfId="0" applyFont="1" applyFill="1" applyBorder="1" applyAlignment="1" applyProtection="1">
      <alignment horizontal="left" vertical="center" wrapText="1"/>
      <protection hidden="1"/>
    </xf>
    <xf numFmtId="0" fontId="22" fillId="22" borderId="18" xfId="0" applyFont="1" applyFill="1" applyBorder="1" applyAlignment="1" applyProtection="1">
      <alignment horizontal="left" vertical="center" wrapText="1"/>
      <protection hidden="1"/>
    </xf>
    <xf numFmtId="0" fontId="22" fillId="22" borderId="21" xfId="0" applyFont="1" applyFill="1" applyBorder="1" applyAlignment="1" applyProtection="1">
      <alignment horizontal="center" vertical="center" wrapText="1"/>
      <protection hidden="1"/>
    </xf>
    <xf numFmtId="0" fontId="22" fillId="22" borderId="18" xfId="0" applyFont="1" applyFill="1" applyBorder="1" applyAlignment="1" applyProtection="1">
      <alignment horizontal="center" vertical="center" wrapText="1"/>
      <protection hidden="1"/>
    </xf>
    <xf numFmtId="0" fontId="22" fillId="22" borderId="12" xfId="0" applyFont="1" applyFill="1" applyBorder="1" applyAlignment="1" applyProtection="1">
      <alignment horizontal="center" vertical="center" wrapText="1"/>
      <protection hidden="1"/>
    </xf>
    <xf numFmtId="0" fontId="336" fillId="16" borderId="19" xfId="0" applyFont="1" applyFill="1" applyBorder="1" applyProtection="1">
      <protection hidden="1"/>
    </xf>
    <xf numFmtId="0" fontId="336" fillId="16" borderId="10" xfId="0" applyFont="1" applyFill="1" applyBorder="1" applyProtection="1">
      <protection hidden="1"/>
    </xf>
    <xf numFmtId="0" fontId="336" fillId="16" borderId="3" xfId="0" applyFont="1" applyFill="1" applyBorder="1" applyProtection="1">
      <protection hidden="1"/>
    </xf>
    <xf numFmtId="0" fontId="336" fillId="16" borderId="4" xfId="0" applyFont="1" applyFill="1" applyBorder="1" applyProtection="1">
      <protection hidden="1"/>
    </xf>
    <xf numFmtId="0" fontId="336" fillId="16" borderId="5" xfId="0" applyFont="1" applyFill="1" applyBorder="1" applyProtection="1">
      <protection hidden="1"/>
    </xf>
    <xf numFmtId="0" fontId="336" fillId="16" borderId="6" xfId="0" applyFont="1" applyFill="1" applyBorder="1" applyProtection="1">
      <protection hidden="1"/>
    </xf>
    <xf numFmtId="0" fontId="11" fillId="0" borderId="9" xfId="6" applyBorder="1" applyAlignment="1" applyProtection="1">
      <alignment horizontal="center"/>
      <protection hidden="1"/>
    </xf>
    <xf numFmtId="0" fontId="11" fillId="0" borderId="7" xfId="6" applyBorder="1" applyAlignment="1" applyProtection="1">
      <alignment horizontal="center"/>
      <protection hidden="1"/>
    </xf>
    <xf numFmtId="0" fontId="11" fillId="0" borderId="8" xfId="6" applyBorder="1" applyAlignment="1" applyProtection="1">
      <alignment horizontal="center"/>
      <protection hidden="1"/>
    </xf>
    <xf numFmtId="0" fontId="12" fillId="0" borderId="0" xfId="6" applyFont="1" applyAlignment="1" applyProtection="1">
      <alignment horizontal="left"/>
      <protection hidden="1"/>
    </xf>
    <xf numFmtId="0" fontId="313" fillId="50" borderId="9" xfId="6" applyFont="1" applyFill="1" applyBorder="1" applyAlignment="1" applyProtection="1">
      <alignment horizontal="center"/>
      <protection locked="0"/>
    </xf>
    <xf numFmtId="0" fontId="313" fillId="50" borderId="7" xfId="6" applyFont="1" applyFill="1" applyBorder="1" applyAlignment="1" applyProtection="1">
      <alignment horizontal="center"/>
      <protection locked="0"/>
    </xf>
    <xf numFmtId="0" fontId="313" fillId="50" borderId="8" xfId="6" applyFont="1" applyFill="1" applyBorder="1" applyAlignment="1" applyProtection="1">
      <alignment horizontal="center"/>
      <protection locked="0"/>
    </xf>
    <xf numFmtId="0" fontId="313" fillId="50" borderId="12" xfId="6" applyFont="1" applyFill="1" applyBorder="1" applyAlignment="1" applyProtection="1">
      <alignment horizontal="center"/>
      <protection locked="0"/>
    </xf>
    <xf numFmtId="0" fontId="17" fillId="16" borderId="9" xfId="6" applyFont="1" applyFill="1" applyBorder="1" applyAlignment="1" applyProtection="1">
      <alignment horizontal="left"/>
      <protection hidden="1"/>
    </xf>
    <xf numFmtId="0" fontId="17" fillId="16" borderId="7" xfId="6" applyFont="1" applyFill="1" applyBorder="1" applyAlignment="1" applyProtection="1">
      <alignment horizontal="left"/>
      <protection hidden="1"/>
    </xf>
    <xf numFmtId="0" fontId="17" fillId="16" borderId="8" xfId="6" applyFont="1" applyFill="1" applyBorder="1" applyAlignment="1" applyProtection="1">
      <alignment horizontal="left"/>
      <protection hidden="1"/>
    </xf>
    <xf numFmtId="0" fontId="188" fillId="16" borderId="21" xfId="0" applyFont="1" applyFill="1" applyBorder="1" applyAlignment="1" applyProtection="1">
      <alignment horizontal="center" vertical="center" wrapText="1"/>
      <protection hidden="1"/>
    </xf>
    <xf numFmtId="0" fontId="188" fillId="16" borderId="18" xfId="0" applyFont="1" applyFill="1" applyBorder="1" applyAlignment="1" applyProtection="1">
      <alignment horizontal="center" vertical="center" wrapText="1"/>
      <protection hidden="1"/>
    </xf>
    <xf numFmtId="0" fontId="188" fillId="16" borderId="9" xfId="0" applyFont="1" applyFill="1" applyBorder="1" applyAlignment="1" applyProtection="1">
      <alignment horizontal="center" vertical="center" wrapText="1"/>
      <protection hidden="1"/>
    </xf>
    <xf numFmtId="0" fontId="188" fillId="16" borderId="8" xfId="0" applyFont="1" applyFill="1" applyBorder="1" applyAlignment="1" applyProtection="1">
      <alignment horizontal="center" vertical="center" wrapText="1"/>
      <protection hidden="1"/>
    </xf>
    <xf numFmtId="0" fontId="336" fillId="16" borderId="1" xfId="0" applyFont="1" applyFill="1" applyBorder="1" applyAlignment="1" applyProtection="1">
      <alignment horizontal="left" vertical="center" wrapText="1"/>
      <protection hidden="1"/>
    </xf>
    <xf numFmtId="0" fontId="336" fillId="16" borderId="0" xfId="0" applyFont="1" applyFill="1" applyAlignment="1" applyProtection="1">
      <alignment horizontal="left" vertical="center" wrapText="1"/>
      <protection hidden="1"/>
    </xf>
    <xf numFmtId="0" fontId="336" fillId="16" borderId="2" xfId="0" applyFont="1" applyFill="1" applyBorder="1" applyAlignment="1" applyProtection="1">
      <alignment horizontal="left" vertical="center" wrapText="1"/>
      <protection hidden="1"/>
    </xf>
    <xf numFmtId="0" fontId="336" fillId="16" borderId="4" xfId="0" applyFont="1" applyFill="1" applyBorder="1" applyAlignment="1" applyProtection="1">
      <alignment horizontal="left" vertical="center" wrapText="1"/>
      <protection hidden="1"/>
    </xf>
    <xf numFmtId="0" fontId="336" fillId="16" borderId="5" xfId="0" applyFont="1" applyFill="1" applyBorder="1" applyAlignment="1" applyProtection="1">
      <alignment horizontal="left" vertical="center" wrapText="1"/>
      <protection hidden="1"/>
    </xf>
    <xf numFmtId="0" fontId="336" fillId="16" borderId="6" xfId="0" applyFont="1" applyFill="1" applyBorder="1" applyAlignment="1" applyProtection="1">
      <alignment horizontal="left" vertical="center" wrapText="1"/>
      <protection hidden="1"/>
    </xf>
    <xf numFmtId="0" fontId="442" fillId="46" borderId="7" xfId="0" applyFont="1" applyFill="1" applyBorder="1" applyAlignment="1" applyProtection="1">
      <alignment horizontal="left" vertical="top" wrapText="1"/>
      <protection hidden="1"/>
    </xf>
    <xf numFmtId="0" fontId="442" fillId="46" borderId="8" xfId="0" applyFont="1" applyFill="1" applyBorder="1" applyAlignment="1" applyProtection="1">
      <alignment horizontal="left" vertical="top" wrapText="1"/>
      <protection hidden="1"/>
    </xf>
    <xf numFmtId="0" fontId="22" fillId="16" borderId="21" xfId="0" applyFont="1" applyFill="1" applyBorder="1" applyAlignment="1" applyProtection="1">
      <alignment horizontal="center" vertical="center" wrapText="1"/>
      <protection hidden="1"/>
    </xf>
    <xf numFmtId="0" fontId="22" fillId="16" borderId="20" xfId="0" applyFont="1" applyFill="1" applyBorder="1" applyAlignment="1" applyProtection="1">
      <alignment horizontal="center" vertical="center" wrapText="1"/>
      <protection hidden="1"/>
    </xf>
    <xf numFmtId="0" fontId="22" fillId="16" borderId="18" xfId="0" applyFont="1" applyFill="1" applyBorder="1" applyAlignment="1" applyProtection="1">
      <alignment horizontal="center" vertical="center" wrapText="1"/>
      <protection hidden="1"/>
    </xf>
    <xf numFmtId="3" fontId="22" fillId="0" borderId="12" xfId="0" applyNumberFormat="1" applyFont="1" applyBorder="1" applyAlignment="1" applyProtection="1">
      <alignment horizontal="left" vertical="center"/>
      <protection locked="0"/>
    </xf>
    <xf numFmtId="0" fontId="336" fillId="16" borderId="4" xfId="0" applyFont="1" applyFill="1" applyBorder="1" applyAlignment="1" applyProtection="1">
      <alignment horizontal="left" vertical="center"/>
      <protection hidden="1"/>
    </xf>
    <xf numFmtId="0" fontId="336" fillId="16" borderId="5" xfId="0" applyFont="1" applyFill="1" applyBorder="1" applyAlignment="1" applyProtection="1">
      <alignment horizontal="left" vertical="center"/>
      <protection hidden="1"/>
    </xf>
    <xf numFmtId="0" fontId="336" fillId="16" borderId="6" xfId="0" applyFont="1" applyFill="1" applyBorder="1" applyAlignment="1" applyProtection="1">
      <alignment horizontal="left" vertical="center"/>
      <protection hidden="1"/>
    </xf>
    <xf numFmtId="0" fontId="206" fillId="16" borderId="9" xfId="0" applyFont="1" applyFill="1" applyBorder="1" applyAlignment="1" applyProtection="1">
      <alignment horizontal="left" vertical="center" wrapText="1"/>
      <protection hidden="1"/>
    </xf>
    <xf numFmtId="0" fontId="206" fillId="16" borderId="7" xfId="0" applyFont="1" applyFill="1" applyBorder="1" applyAlignment="1" applyProtection="1">
      <alignment horizontal="left" vertical="center" wrapText="1"/>
      <protection hidden="1"/>
    </xf>
    <xf numFmtId="0" fontId="206" fillId="16" borderId="8" xfId="0" applyFont="1" applyFill="1" applyBorder="1" applyAlignment="1" applyProtection="1">
      <alignment horizontal="left" vertical="center" wrapText="1"/>
      <protection hidden="1"/>
    </xf>
    <xf numFmtId="0" fontId="442" fillId="46" borderId="0" xfId="0" applyFont="1" applyFill="1" applyAlignment="1" applyProtection="1">
      <alignment horizontal="center"/>
      <protection hidden="1"/>
    </xf>
    <xf numFmtId="3" fontId="22" fillId="0" borderId="9" xfId="0" applyNumberFormat="1" applyFont="1" applyBorder="1" applyAlignment="1" applyProtection="1">
      <alignment horizontal="left" vertical="center"/>
      <protection locked="0"/>
    </xf>
    <xf numFmtId="3" fontId="22" fillId="0" borderId="7" xfId="0" applyNumberFormat="1" applyFont="1" applyBorder="1" applyAlignment="1" applyProtection="1">
      <alignment horizontal="left" vertical="center"/>
      <protection locked="0"/>
    </xf>
    <xf numFmtId="3" fontId="22" fillId="0" borderId="8" xfId="0" applyNumberFormat="1" applyFont="1" applyBorder="1" applyAlignment="1" applyProtection="1">
      <alignment horizontal="left" vertical="center"/>
      <protection locked="0"/>
    </xf>
    <xf numFmtId="0" fontId="22" fillId="16" borderId="12" xfId="0" applyFont="1" applyFill="1" applyBorder="1" applyAlignment="1" applyProtection="1">
      <alignment horizontal="left" vertical="center" wrapText="1"/>
      <protection hidden="1"/>
    </xf>
    <xf numFmtId="0" fontId="206" fillId="16" borderId="12" xfId="0" applyFont="1" applyFill="1" applyBorder="1" applyAlignment="1" applyProtection="1">
      <alignment horizontal="left" vertical="center" wrapText="1"/>
      <protection hidden="1"/>
    </xf>
    <xf numFmtId="0" fontId="12" fillId="0" borderId="12" xfId="0" applyFont="1" applyBorder="1" applyAlignment="1">
      <alignment horizontal="left"/>
    </xf>
    <xf numFmtId="0" fontId="378" fillId="0" borderId="55" xfId="0" applyFont="1" applyBorder="1" applyAlignment="1" applyProtection="1">
      <alignment horizontal="center"/>
      <protection hidden="1"/>
    </xf>
    <xf numFmtId="0" fontId="12" fillId="19" borderId="21" xfId="0" applyFont="1" applyFill="1" applyBorder="1" applyAlignment="1" applyProtection="1">
      <alignment horizontal="center" vertical="center"/>
      <protection hidden="1"/>
    </xf>
    <xf numFmtId="0" fontId="12" fillId="19" borderId="18" xfId="0" applyFont="1" applyFill="1" applyBorder="1" applyAlignment="1" applyProtection="1">
      <alignment horizontal="center" vertical="center"/>
      <protection hidden="1"/>
    </xf>
    <xf numFmtId="0" fontId="12" fillId="19" borderId="21" xfId="0" applyFont="1" applyFill="1" applyBorder="1" applyAlignment="1" applyProtection="1">
      <alignment horizontal="center" vertical="center" wrapText="1"/>
      <protection hidden="1"/>
    </xf>
    <xf numFmtId="0" fontId="12" fillId="19" borderId="18" xfId="0" applyFont="1" applyFill="1" applyBorder="1" applyAlignment="1" applyProtection="1">
      <alignment horizontal="center" vertical="center" wrapText="1"/>
      <protection hidden="1"/>
    </xf>
    <xf numFmtId="0" fontId="222" fillId="37" borderId="0" xfId="0" applyFont="1" applyFill="1" applyAlignment="1" applyProtection="1">
      <alignment horizontal="center"/>
      <protection hidden="1"/>
    </xf>
    <xf numFmtId="0" fontId="446" fillId="37" borderId="0" xfId="0" applyFont="1" applyFill="1" applyAlignment="1" applyProtection="1">
      <alignment horizontal="center"/>
      <protection hidden="1"/>
    </xf>
    <xf numFmtId="0" fontId="295" fillId="20" borderId="46" xfId="0" applyFont="1" applyFill="1" applyBorder="1" applyAlignment="1" applyProtection="1">
      <alignment horizontal="center" vertical="center"/>
      <protection hidden="1"/>
    </xf>
    <xf numFmtId="0" fontId="379" fillId="0" borderId="12" xfId="0" applyFont="1" applyBorder="1" applyAlignment="1" applyProtection="1">
      <alignment horizontal="center" vertical="center" wrapText="1"/>
      <protection hidden="1"/>
    </xf>
    <xf numFmtId="0" fontId="17" fillId="54" borderId="0" xfId="0" applyFont="1" applyFill="1" applyAlignment="1" applyProtection="1">
      <alignment horizontal="left"/>
      <protection hidden="1"/>
    </xf>
    <xf numFmtId="0" fontId="222" fillId="0" borderId="9" xfId="0" applyFont="1" applyBorder="1" applyAlignment="1" applyProtection="1">
      <alignment horizontal="center"/>
      <protection locked="0"/>
    </xf>
    <xf numFmtId="0" fontId="222" fillId="0" borderId="8" xfId="0" applyFont="1" applyBorder="1" applyAlignment="1" applyProtection="1">
      <alignment horizontal="center"/>
      <protection locked="0"/>
    </xf>
    <xf numFmtId="0" fontId="460" fillId="59" borderId="19" xfId="7" applyFont="1" applyFill="1" applyBorder="1" applyAlignment="1" applyProtection="1">
      <alignment horizontal="left"/>
      <protection hidden="1"/>
    </xf>
    <xf numFmtId="0" fontId="460" fillId="59" borderId="10" xfId="7" applyFont="1" applyFill="1" applyBorder="1" applyAlignment="1" applyProtection="1">
      <alignment horizontal="left"/>
      <protection hidden="1"/>
    </xf>
    <xf numFmtId="0" fontId="460" fillId="59" borderId="3" xfId="7" applyFont="1" applyFill="1" applyBorder="1" applyAlignment="1" applyProtection="1">
      <alignment horizontal="left"/>
      <protection hidden="1"/>
    </xf>
    <xf numFmtId="0" fontId="460" fillId="59" borderId="4" xfId="0" applyFont="1" applyFill="1" applyBorder="1" applyAlignment="1" applyProtection="1">
      <alignment horizontal="left"/>
      <protection hidden="1"/>
    </xf>
    <xf numFmtId="0" fontId="460" fillId="59" borderId="5" xfId="0" applyFont="1" applyFill="1" applyBorder="1" applyAlignment="1" applyProtection="1">
      <alignment horizontal="left"/>
      <protection hidden="1"/>
    </xf>
    <xf numFmtId="0" fontId="460" fillId="59" borderId="6" xfId="0" applyFont="1" applyFill="1" applyBorder="1" applyAlignment="1" applyProtection="1">
      <alignment horizontal="left"/>
      <protection hidden="1"/>
    </xf>
    <xf numFmtId="0" fontId="183" fillId="20" borderId="0" xfId="0" applyFont="1" applyFill="1" applyAlignment="1" applyProtection="1">
      <alignment horizontal="center" vertical="center"/>
      <protection hidden="1"/>
    </xf>
    <xf numFmtId="0" fontId="222" fillId="20" borderId="0" xfId="0" applyFont="1" applyFill="1" applyAlignment="1" applyProtection="1">
      <alignment horizontal="left" vertical="top" wrapText="1"/>
      <protection hidden="1"/>
    </xf>
    <xf numFmtId="0" fontId="188" fillId="0" borderId="9" xfId="0" applyFont="1" applyBorder="1" applyProtection="1">
      <protection locked="0"/>
    </xf>
    <xf numFmtId="0" fontId="188" fillId="0" borderId="7" xfId="0" applyFont="1" applyBorder="1" applyProtection="1">
      <protection locked="0"/>
    </xf>
    <xf numFmtId="0" fontId="188" fillId="0" borderId="8" xfId="0" applyFont="1" applyBorder="1" applyProtection="1">
      <protection locked="0"/>
    </xf>
    <xf numFmtId="0" fontId="222" fillId="20" borderId="0" xfId="0" applyFont="1" applyFill="1" applyAlignment="1" applyProtection="1">
      <alignment horizontal="left"/>
      <protection hidden="1"/>
    </xf>
    <xf numFmtId="0" fontId="411" fillId="16" borderId="9" xfId="0" applyFont="1" applyFill="1" applyBorder="1" applyAlignment="1" applyProtection="1">
      <alignment horizontal="left" vertical="center" wrapText="1"/>
      <protection hidden="1"/>
    </xf>
    <xf numFmtId="0" fontId="411" fillId="16" borderId="7" xfId="0" applyFont="1" applyFill="1" applyBorder="1" applyAlignment="1" applyProtection="1">
      <alignment horizontal="left" vertical="center" wrapText="1"/>
      <protection hidden="1"/>
    </xf>
    <xf numFmtId="0" fontId="471" fillId="20" borderId="10" xfId="0" applyFont="1" applyFill="1" applyBorder="1" applyAlignment="1" applyProtection="1">
      <alignment horizontal="center"/>
      <protection hidden="1"/>
    </xf>
    <xf numFmtId="0" fontId="17" fillId="61" borderId="9" xfId="0" applyFont="1" applyFill="1" applyBorder="1" applyAlignment="1" applyProtection="1">
      <alignment horizontal="center"/>
      <protection locked="0"/>
    </xf>
    <xf numFmtId="0" fontId="17" fillId="61" borderId="8" xfId="0" applyFont="1" applyFill="1" applyBorder="1" applyAlignment="1" applyProtection="1">
      <alignment horizontal="center"/>
      <protection locked="0"/>
    </xf>
    <xf numFmtId="0" fontId="78" fillId="2" borderId="1" xfId="0" applyFont="1" applyFill="1" applyBorder="1" applyAlignment="1" applyProtection="1">
      <alignment horizontal="center" vertical="center"/>
      <protection hidden="1"/>
    </xf>
    <xf numFmtId="0" fontId="78" fillId="2" borderId="0" xfId="0" applyFont="1" applyFill="1" applyAlignment="1" applyProtection="1">
      <alignment horizontal="center" vertical="center"/>
      <protection hidden="1"/>
    </xf>
    <xf numFmtId="0" fontId="78" fillId="2" borderId="11" xfId="0" applyFont="1" applyFill="1" applyBorder="1" applyAlignment="1" applyProtection="1">
      <alignment horizontal="center" vertical="center"/>
      <protection hidden="1"/>
    </xf>
    <xf numFmtId="0" fontId="25" fillId="2" borderId="11" xfId="0" applyFont="1" applyFill="1" applyBorder="1" applyAlignment="1" applyProtection="1">
      <alignment horizontal="center" vertical="center"/>
      <protection hidden="1"/>
    </xf>
    <xf numFmtId="0" fontId="135" fillId="0" borderId="23" xfId="0" applyFont="1" applyBorder="1" applyAlignment="1" applyProtection="1">
      <alignment horizontal="center"/>
      <protection hidden="1"/>
    </xf>
    <xf numFmtId="0" fontId="183" fillId="2" borderId="10" xfId="0" applyFont="1" applyFill="1" applyBorder="1" applyAlignment="1" applyProtection="1">
      <alignment horizontal="center"/>
      <protection hidden="1"/>
    </xf>
    <xf numFmtId="0" fontId="22" fillId="8" borderId="12" xfId="0" applyFont="1" applyFill="1" applyBorder="1" applyAlignment="1" applyProtection="1">
      <alignment horizontal="center" vertical="center"/>
      <protection locked="0"/>
    </xf>
    <xf numFmtId="0" fontId="61" fillId="2" borderId="1" xfId="0" applyFont="1" applyFill="1" applyBorder="1" applyAlignment="1" applyProtection="1">
      <alignment horizontal="center" vertical="center"/>
      <protection hidden="1"/>
    </xf>
    <xf numFmtId="0" fontId="61" fillId="2" borderId="0" xfId="0" applyFont="1" applyFill="1" applyAlignment="1" applyProtection="1">
      <alignment horizontal="center" vertical="center"/>
      <protection hidden="1"/>
    </xf>
    <xf numFmtId="0" fontId="61" fillId="2" borderId="11" xfId="0" applyFont="1" applyFill="1" applyBorder="1" applyAlignment="1" applyProtection="1">
      <alignment horizontal="center" vertical="center"/>
      <protection hidden="1"/>
    </xf>
    <xf numFmtId="0" fontId="17" fillId="2" borderId="11" xfId="0" applyFont="1" applyFill="1" applyBorder="1" applyAlignment="1" applyProtection="1">
      <alignment horizontal="right"/>
      <protection hidden="1"/>
    </xf>
    <xf numFmtId="3" fontId="22" fillId="0" borderId="12" xfId="0" applyNumberFormat="1" applyFont="1" applyBorder="1" applyAlignment="1" applyProtection="1">
      <alignment horizontal="center" vertical="center"/>
      <protection locked="0"/>
    </xf>
    <xf numFmtId="0" fontId="19" fillId="3" borderId="15" xfId="0" applyFont="1" applyFill="1" applyBorder="1" applyAlignment="1" applyProtection="1">
      <alignment horizontal="left" vertical="center"/>
      <protection hidden="1"/>
    </xf>
    <xf numFmtId="0" fontId="19" fillId="3" borderId="16" xfId="0" applyFont="1" applyFill="1" applyBorder="1" applyAlignment="1" applyProtection="1">
      <alignment horizontal="left" vertical="center"/>
      <protection hidden="1"/>
    </xf>
    <xf numFmtId="0" fontId="19" fillId="3" borderId="31" xfId="0" applyFont="1" applyFill="1" applyBorder="1" applyAlignment="1" applyProtection="1">
      <alignment horizontal="left" vertical="center"/>
      <protection hidden="1"/>
    </xf>
    <xf numFmtId="0" fontId="19" fillId="3" borderId="32" xfId="0" applyFont="1" applyFill="1" applyBorder="1" applyAlignment="1" applyProtection="1">
      <alignment horizontal="left" vertical="center"/>
      <protection hidden="1"/>
    </xf>
    <xf numFmtId="0" fontId="17" fillId="0" borderId="16" xfId="0" applyFont="1" applyBorder="1" applyAlignment="1" applyProtection="1">
      <alignment horizontal="center" vertical="center"/>
      <protection hidden="1"/>
    </xf>
    <xf numFmtId="0" fontId="17" fillId="0" borderId="17" xfId="0" applyFont="1" applyBorder="1" applyAlignment="1" applyProtection="1">
      <alignment horizontal="center" vertical="center"/>
      <protection hidden="1"/>
    </xf>
    <xf numFmtId="0" fontId="22" fillId="2" borderId="2" xfId="0" applyFont="1" applyFill="1" applyBorder="1" applyAlignment="1" applyProtection="1">
      <alignment horizontal="left" vertical="center"/>
      <protection hidden="1"/>
    </xf>
    <xf numFmtId="0" fontId="22" fillId="2" borderId="2" xfId="0" applyFont="1" applyFill="1" applyBorder="1" applyAlignment="1" applyProtection="1">
      <alignment horizontal="left" vertical="center" wrapText="1"/>
      <protection hidden="1"/>
    </xf>
    <xf numFmtId="3" fontId="29" fillId="0" borderId="0" xfId="0" applyNumberFormat="1" applyFont="1" applyAlignment="1" applyProtection="1">
      <alignment horizontal="left" vertical="center"/>
      <protection hidden="1"/>
    </xf>
    <xf numFmtId="1" fontId="17" fillId="0" borderId="0" xfId="0" applyNumberFormat="1" applyFont="1" applyAlignment="1" applyProtection="1">
      <alignment horizontal="left"/>
      <protection hidden="1"/>
    </xf>
    <xf numFmtId="3" fontId="17" fillId="0" borderId="0" xfId="0" applyNumberFormat="1" applyFont="1" applyAlignment="1" applyProtection="1">
      <alignment horizontal="left"/>
      <protection hidden="1"/>
    </xf>
    <xf numFmtId="3" fontId="23" fillId="3" borderId="9" xfId="0" applyNumberFormat="1" applyFont="1" applyFill="1" applyBorder="1" applyAlignment="1" applyProtection="1">
      <alignment horizontal="center" vertical="center"/>
      <protection hidden="1"/>
    </xf>
    <xf numFmtId="3" fontId="23" fillId="3" borderId="8" xfId="0" applyNumberFormat="1" applyFont="1" applyFill="1" applyBorder="1" applyAlignment="1" applyProtection="1">
      <alignment horizontal="center" vertical="center"/>
      <protection hidden="1"/>
    </xf>
    <xf numFmtId="3" fontId="17" fillId="3" borderId="9" xfId="0" applyNumberFormat="1" applyFont="1" applyFill="1" applyBorder="1" applyAlignment="1" applyProtection="1">
      <alignment horizontal="left"/>
      <protection hidden="1"/>
    </xf>
    <xf numFmtId="3" fontId="17" fillId="3" borderId="7" xfId="0" applyNumberFormat="1" applyFont="1" applyFill="1" applyBorder="1" applyAlignment="1" applyProtection="1">
      <alignment horizontal="left"/>
      <protection hidden="1"/>
    </xf>
    <xf numFmtId="3" fontId="17" fillId="3" borderId="8" xfId="0" applyNumberFormat="1" applyFont="1" applyFill="1" applyBorder="1" applyAlignment="1" applyProtection="1">
      <alignment horizontal="left"/>
      <protection hidden="1"/>
    </xf>
    <xf numFmtId="3" fontId="19" fillId="2" borderId="9" xfId="0" applyNumberFormat="1" applyFont="1" applyFill="1" applyBorder="1" applyAlignment="1" applyProtection="1">
      <alignment horizontal="center"/>
      <protection hidden="1"/>
    </xf>
    <xf numFmtId="3" fontId="19" fillId="2" borderId="7" xfId="0" applyNumberFormat="1" applyFont="1" applyFill="1" applyBorder="1" applyAlignment="1" applyProtection="1">
      <alignment horizontal="center"/>
      <protection hidden="1"/>
    </xf>
    <xf numFmtId="3" fontId="19" fillId="2" borderId="8" xfId="0" applyNumberFormat="1" applyFont="1" applyFill="1" applyBorder="1" applyAlignment="1" applyProtection="1">
      <alignment horizontal="center"/>
      <protection hidden="1"/>
    </xf>
    <xf numFmtId="3" fontId="19" fillId="5" borderId="9" xfId="0" applyNumberFormat="1" applyFont="1" applyFill="1" applyBorder="1" applyAlignment="1" applyProtection="1">
      <alignment horizontal="left"/>
      <protection hidden="1"/>
    </xf>
    <xf numFmtId="3" fontId="23" fillId="0" borderId="9" xfId="0" applyNumberFormat="1" applyFont="1" applyBorder="1" applyAlignment="1" applyProtection="1">
      <alignment horizontal="center" vertical="center"/>
      <protection hidden="1"/>
    </xf>
    <xf numFmtId="3" fontId="23" fillId="0" borderId="7" xfId="0" applyNumberFormat="1" applyFont="1" applyBorder="1" applyAlignment="1" applyProtection="1">
      <alignment horizontal="center" vertical="center"/>
      <protection hidden="1"/>
    </xf>
    <xf numFmtId="3" fontId="23" fillId="0" borderId="8" xfId="0" applyNumberFormat="1" applyFont="1" applyBorder="1" applyAlignment="1" applyProtection="1">
      <alignment horizontal="center" vertical="center"/>
      <protection hidden="1"/>
    </xf>
    <xf numFmtId="0" fontId="97" fillId="2" borderId="9" xfId="0" applyFont="1" applyFill="1" applyBorder="1" applyAlignment="1" applyProtection="1">
      <alignment horizontal="center"/>
      <protection hidden="1"/>
    </xf>
    <xf numFmtId="0" fontId="97" fillId="2" borderId="8" xfId="0" applyFont="1" applyFill="1" applyBorder="1" applyAlignment="1" applyProtection="1">
      <alignment horizontal="center"/>
      <protection hidden="1"/>
    </xf>
    <xf numFmtId="0" fontId="17" fillId="2" borderId="1"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xf numFmtId="0" fontId="17" fillId="2" borderId="9" xfId="0" applyFont="1" applyFill="1" applyBorder="1" applyAlignment="1" applyProtection="1">
      <alignment horizontal="left" vertical="center" wrapText="1"/>
      <protection hidden="1"/>
    </xf>
    <xf numFmtId="0" fontId="17" fillId="2" borderId="7" xfId="0" applyFont="1" applyFill="1" applyBorder="1" applyAlignment="1" applyProtection="1">
      <alignment horizontal="left" vertical="center" wrapText="1"/>
      <protection hidden="1"/>
    </xf>
    <xf numFmtId="0" fontId="17" fillId="2" borderId="8" xfId="0" applyFont="1" applyFill="1" applyBorder="1" applyAlignment="1" applyProtection="1">
      <alignment horizontal="left" vertical="center" wrapText="1"/>
      <protection hidden="1"/>
    </xf>
    <xf numFmtId="0" fontId="150" fillId="2" borderId="1" xfId="0" applyFont="1" applyFill="1" applyBorder="1" applyAlignment="1" applyProtection="1">
      <alignment horizontal="left" vertical="center" wrapText="1"/>
      <protection hidden="1"/>
    </xf>
    <xf numFmtId="0" fontId="150" fillId="2" borderId="0" xfId="0" applyFont="1" applyFill="1" applyAlignment="1" applyProtection="1">
      <alignment horizontal="left" vertical="center" wrapText="1"/>
      <protection hidden="1"/>
    </xf>
    <xf numFmtId="0" fontId="150" fillId="2" borderId="2" xfId="0" applyFont="1" applyFill="1" applyBorder="1" applyAlignment="1" applyProtection="1">
      <alignment horizontal="left" vertical="center" wrapText="1"/>
      <protection hidden="1"/>
    </xf>
    <xf numFmtId="0" fontId="351" fillId="2" borderId="10" xfId="0" applyFont="1" applyFill="1" applyBorder="1" applyAlignment="1" applyProtection="1">
      <alignment horizontal="center"/>
      <protection hidden="1"/>
    </xf>
    <xf numFmtId="0" fontId="22" fillId="2" borderId="19" xfId="0" applyFont="1" applyFill="1" applyBorder="1" applyAlignment="1" applyProtection="1">
      <alignment horizontal="center"/>
      <protection hidden="1"/>
    </xf>
    <xf numFmtId="0" fontId="22" fillId="2" borderId="3" xfId="0" applyFont="1" applyFill="1" applyBorder="1" applyAlignment="1" applyProtection="1">
      <alignment horizontal="center"/>
      <protection hidden="1"/>
    </xf>
    <xf numFmtId="0" fontId="22" fillId="2" borderId="6" xfId="0" applyFont="1" applyFill="1" applyBorder="1" applyAlignment="1" applyProtection="1">
      <alignment horizontal="center"/>
      <protection hidden="1"/>
    </xf>
    <xf numFmtId="0" fontId="22" fillId="2" borderId="19" xfId="0" applyFont="1" applyFill="1" applyBorder="1" applyAlignment="1" applyProtection="1">
      <alignment horizontal="center" vertical="center"/>
      <protection hidden="1"/>
    </xf>
    <xf numFmtId="0" fontId="22" fillId="2" borderId="1" xfId="0" applyFont="1" applyFill="1" applyBorder="1" applyAlignment="1" applyProtection="1">
      <alignment horizontal="center" vertical="center"/>
      <protection hidden="1"/>
    </xf>
    <xf numFmtId="0" fontId="22" fillId="2" borderId="4" xfId="0" applyFont="1" applyFill="1" applyBorder="1" applyAlignment="1" applyProtection="1">
      <alignment horizontal="center" vertical="center"/>
      <protection hidden="1"/>
    </xf>
    <xf numFmtId="0" fontId="25" fillId="5" borderId="7" xfId="0" applyFont="1" applyFill="1" applyBorder="1" applyAlignment="1" applyProtection="1">
      <alignment horizontal="center" vertical="center"/>
      <protection hidden="1"/>
    </xf>
    <xf numFmtId="0" fontId="25" fillId="5" borderId="8" xfId="0" applyFont="1" applyFill="1" applyBorder="1" applyAlignment="1" applyProtection="1">
      <alignment horizontal="center" vertical="center"/>
      <protection hidden="1"/>
    </xf>
    <xf numFmtId="0" fontId="22" fillId="3" borderId="19" xfId="0" applyFont="1" applyFill="1" applyBorder="1" applyAlignment="1" applyProtection="1">
      <alignment horizontal="center" vertical="center" wrapText="1"/>
      <protection hidden="1"/>
    </xf>
    <xf numFmtId="0" fontId="22" fillId="3" borderId="4" xfId="0" applyFont="1" applyFill="1" applyBorder="1" applyAlignment="1" applyProtection="1">
      <alignment horizontal="center" vertical="center" wrapText="1"/>
      <protection hidden="1"/>
    </xf>
    <xf numFmtId="0" fontId="22" fillId="3" borderId="6" xfId="0" applyFont="1" applyFill="1" applyBorder="1" applyAlignment="1" applyProtection="1">
      <alignment horizontal="center" vertical="center" wrapText="1"/>
      <protection hidden="1"/>
    </xf>
    <xf numFmtId="0" fontId="17" fillId="2" borderId="10" xfId="0" applyFont="1" applyFill="1" applyBorder="1" applyAlignment="1" applyProtection="1">
      <alignment horizontal="left" vertical="center" wrapText="1"/>
      <protection hidden="1"/>
    </xf>
    <xf numFmtId="0" fontId="17" fillId="2" borderId="5" xfId="0" applyFont="1" applyFill="1" applyBorder="1" applyAlignment="1" applyProtection="1">
      <alignment horizontal="left" vertical="center" wrapText="1"/>
      <protection hidden="1"/>
    </xf>
    <xf numFmtId="0" fontId="22" fillId="2" borderId="21" xfId="0" applyFont="1" applyFill="1" applyBorder="1" applyAlignment="1" applyProtection="1">
      <alignment horizontal="center" vertical="center"/>
      <protection hidden="1"/>
    </xf>
    <xf numFmtId="0" fontId="22" fillId="2" borderId="20"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15" fillId="0" borderId="0" xfId="0" applyFont="1" applyAlignment="1" applyProtection="1">
      <alignment horizontal="left"/>
      <protection hidden="1"/>
    </xf>
    <xf numFmtId="0" fontId="61" fillId="2" borderId="9" xfId="0" applyFont="1" applyFill="1" applyBorder="1" applyAlignment="1" applyProtection="1">
      <alignment horizontal="center"/>
      <protection hidden="1"/>
    </xf>
    <xf numFmtId="0" fontId="61" fillId="2" borderId="8" xfId="0" applyFont="1" applyFill="1" applyBorder="1" applyAlignment="1" applyProtection="1">
      <alignment horizontal="center"/>
      <protection hidden="1"/>
    </xf>
    <xf numFmtId="0" fontId="22" fillId="0" borderId="9" xfId="0" applyFont="1" applyBorder="1" applyAlignment="1" applyProtection="1">
      <alignment horizontal="center" vertical="center"/>
      <protection hidden="1"/>
    </xf>
    <xf numFmtId="0" fontId="22" fillId="0" borderId="7" xfId="0" applyFont="1" applyBorder="1" applyAlignment="1" applyProtection="1">
      <alignment horizontal="center" vertical="center"/>
      <protection hidden="1"/>
    </xf>
    <xf numFmtId="0" fontId="22" fillId="0" borderId="8" xfId="0" applyFont="1" applyBorder="1" applyAlignment="1" applyProtection="1">
      <alignment horizontal="center" vertical="center"/>
      <protection hidden="1"/>
    </xf>
    <xf numFmtId="0" fontId="12" fillId="21" borderId="9" xfId="0" applyFont="1" applyFill="1" applyBorder="1" applyAlignment="1" applyProtection="1">
      <alignment horizontal="center"/>
      <protection locked="0"/>
    </xf>
    <xf numFmtId="0" fontId="12" fillId="21" borderId="7" xfId="0" applyFont="1" applyFill="1" applyBorder="1" applyAlignment="1" applyProtection="1">
      <alignment horizontal="center"/>
      <protection locked="0"/>
    </xf>
    <xf numFmtId="0" fontId="12" fillId="21" borderId="8" xfId="0" applyFont="1" applyFill="1" applyBorder="1" applyAlignment="1" applyProtection="1">
      <alignment horizontal="center"/>
      <protection locked="0"/>
    </xf>
    <xf numFmtId="0" fontId="222" fillId="23" borderId="5" xfId="0" applyFont="1" applyFill="1" applyBorder="1" applyAlignment="1">
      <alignment horizontal="justify" vertical="center" wrapText="1"/>
    </xf>
    <xf numFmtId="0" fontId="99" fillId="2" borderId="0" xfId="0" applyFont="1" applyFill="1" applyAlignment="1" applyProtection="1">
      <alignment horizontal="center" vertical="center"/>
      <protection hidden="1"/>
    </xf>
    <xf numFmtId="0" fontId="206" fillId="23" borderId="9" xfId="0" applyFont="1" applyFill="1" applyBorder="1" applyAlignment="1" applyProtection="1">
      <alignment horizontal="center" vertical="center"/>
      <protection hidden="1"/>
    </xf>
    <xf numFmtId="0" fontId="206" fillId="23" borderId="8" xfId="0" applyFont="1" applyFill="1" applyBorder="1" applyAlignment="1" applyProtection="1">
      <alignment horizontal="center" vertical="center"/>
      <protection hidden="1"/>
    </xf>
    <xf numFmtId="0" fontId="206" fillId="23" borderId="9" xfId="0" applyFont="1" applyFill="1" applyBorder="1" applyAlignment="1" applyProtection="1">
      <alignment horizontal="center"/>
      <protection hidden="1"/>
    </xf>
    <xf numFmtId="0" fontId="206" fillId="23" borderId="7" xfId="0" applyFont="1" applyFill="1" applyBorder="1" applyAlignment="1" applyProtection="1">
      <alignment horizontal="center"/>
      <protection hidden="1"/>
    </xf>
    <xf numFmtId="0" fontId="206" fillId="23" borderId="8" xfId="0" applyFont="1" applyFill="1" applyBorder="1" applyAlignment="1" applyProtection="1">
      <alignment horizontal="center"/>
      <protection hidden="1"/>
    </xf>
    <xf numFmtId="0" fontId="17" fillId="21" borderId="21" xfId="0" applyFont="1" applyFill="1" applyBorder="1" applyAlignment="1" applyProtection="1">
      <alignment horizontal="left" vertical="center" indent="1"/>
      <protection locked="0"/>
    </xf>
    <xf numFmtId="0" fontId="17" fillId="21" borderId="20" xfId="0" applyFont="1" applyFill="1" applyBorder="1" applyAlignment="1" applyProtection="1">
      <alignment horizontal="left" vertical="center" indent="1"/>
      <protection locked="0"/>
    </xf>
    <xf numFmtId="0" fontId="17" fillId="21" borderId="18" xfId="0" applyFont="1" applyFill="1" applyBorder="1" applyAlignment="1" applyProtection="1">
      <alignment horizontal="left" vertical="center" indent="1"/>
      <protection locked="0"/>
    </xf>
    <xf numFmtId="0" fontId="17" fillId="21" borderId="19" xfId="0" applyFont="1" applyFill="1" applyBorder="1" applyAlignment="1" applyProtection="1">
      <alignment horizontal="center" vertical="center"/>
      <protection locked="0"/>
    </xf>
    <xf numFmtId="0" fontId="17" fillId="21" borderId="3" xfId="0" applyFont="1" applyFill="1" applyBorder="1" applyAlignment="1" applyProtection="1">
      <alignment horizontal="center" vertical="center"/>
      <protection locked="0"/>
    </xf>
    <xf numFmtId="0" fontId="17" fillId="21" borderId="1" xfId="0" applyFont="1" applyFill="1" applyBorder="1" applyAlignment="1" applyProtection="1">
      <alignment horizontal="center" vertical="center"/>
      <protection locked="0"/>
    </xf>
    <xf numFmtId="0" fontId="17" fillId="21" borderId="2" xfId="0" applyFont="1" applyFill="1" applyBorder="1" applyAlignment="1" applyProtection="1">
      <alignment horizontal="center" vertical="center"/>
      <protection locked="0"/>
    </xf>
    <xf numFmtId="0" fontId="17" fillId="21" borderId="4" xfId="0" applyFont="1" applyFill="1" applyBorder="1" applyAlignment="1" applyProtection="1">
      <alignment horizontal="center" vertical="center"/>
      <protection locked="0"/>
    </xf>
    <xf numFmtId="0" fontId="17" fillId="21" borderId="6" xfId="0" applyFont="1" applyFill="1" applyBorder="1" applyAlignment="1" applyProtection="1">
      <alignment horizontal="center" vertical="center"/>
      <protection locked="0"/>
    </xf>
    <xf numFmtId="0" fontId="17" fillId="21" borderId="10" xfId="0" applyFont="1" applyFill="1" applyBorder="1" applyAlignment="1" applyProtection="1">
      <alignment horizontal="center" vertical="center"/>
      <protection locked="0"/>
    </xf>
    <xf numFmtId="0" fontId="17" fillId="21" borderId="0" xfId="0" applyFont="1" applyFill="1" applyAlignment="1" applyProtection="1">
      <alignment horizontal="center" vertical="center"/>
      <protection locked="0"/>
    </xf>
    <xf numFmtId="0" fontId="17" fillId="21" borderId="5" xfId="0" applyFont="1" applyFill="1" applyBorder="1" applyAlignment="1" applyProtection="1">
      <alignment horizontal="center" vertical="center"/>
      <protection locked="0"/>
    </xf>
    <xf numFmtId="171" fontId="22" fillId="23" borderId="9" xfId="0" applyNumberFormat="1" applyFont="1" applyFill="1" applyBorder="1" applyAlignment="1">
      <alignment horizontal="center" vertical="center"/>
    </xf>
    <xf numFmtId="171" fontId="22" fillId="23" borderId="8" xfId="0" applyNumberFormat="1" applyFont="1" applyFill="1" applyBorder="1" applyAlignment="1">
      <alignment horizontal="center" vertical="center"/>
    </xf>
    <xf numFmtId="0" fontId="19" fillId="5" borderId="9" xfId="0" applyFont="1" applyFill="1" applyBorder="1" applyAlignment="1" applyProtection="1">
      <alignment horizontal="center" vertical="center" wrapText="1"/>
      <protection hidden="1"/>
    </xf>
    <xf numFmtId="0" fontId="19" fillId="5" borderId="8" xfId="0" applyFont="1" applyFill="1" applyBorder="1" applyAlignment="1" applyProtection="1">
      <alignment horizontal="center" vertical="center" wrapText="1"/>
      <protection hidden="1"/>
    </xf>
    <xf numFmtId="3" fontId="17" fillId="0" borderId="9" xfId="0" applyNumberFormat="1" applyFont="1" applyBorder="1" applyAlignment="1" applyProtection="1">
      <alignment horizontal="center" vertical="center"/>
      <protection hidden="1"/>
    </xf>
    <xf numFmtId="3" fontId="17" fillId="0" borderId="7" xfId="0" applyNumberFormat="1" applyFont="1" applyBorder="1" applyAlignment="1" applyProtection="1">
      <alignment horizontal="center" vertical="center"/>
      <protection hidden="1"/>
    </xf>
    <xf numFmtId="3" fontId="17" fillId="0" borderId="8" xfId="0" applyNumberFormat="1" applyFont="1" applyBorder="1" applyAlignment="1" applyProtection="1">
      <alignment horizontal="center" vertical="center"/>
      <protection hidden="1"/>
    </xf>
    <xf numFmtId="0" fontId="15" fillId="5" borderId="9" xfId="0" applyFont="1" applyFill="1" applyBorder="1" applyAlignment="1" applyProtection="1">
      <alignment horizontal="left" vertical="center" wrapText="1"/>
      <protection hidden="1"/>
    </xf>
    <xf numFmtId="0" fontId="15" fillId="5" borderId="8" xfId="0" applyFont="1" applyFill="1" applyBorder="1" applyAlignment="1" applyProtection="1">
      <alignment horizontal="left" vertical="center" wrapText="1"/>
      <protection hidden="1"/>
    </xf>
    <xf numFmtId="3" fontId="19" fillId="4" borderId="9" xfId="0" applyNumberFormat="1" applyFont="1" applyFill="1" applyBorder="1" applyAlignment="1" applyProtection="1">
      <alignment horizontal="left" vertical="center"/>
      <protection hidden="1"/>
    </xf>
    <xf numFmtId="3" fontId="19" fillId="4" borderId="8" xfId="0" applyNumberFormat="1" applyFont="1" applyFill="1" applyBorder="1" applyAlignment="1" applyProtection="1">
      <alignment horizontal="left" vertical="center"/>
      <protection hidden="1"/>
    </xf>
    <xf numFmtId="166" fontId="49" fillId="2" borderId="0" xfId="0" applyNumberFormat="1" applyFont="1" applyFill="1" applyAlignment="1" applyProtection="1">
      <alignment horizontal="right" vertical="center"/>
      <protection hidden="1"/>
    </xf>
    <xf numFmtId="3" fontId="17" fillId="2" borderId="0" xfId="0" applyNumberFormat="1" applyFont="1" applyFill="1" applyAlignment="1" applyProtection="1">
      <alignment horizontal="right" vertical="center"/>
      <protection hidden="1"/>
    </xf>
    <xf numFmtId="3" fontId="19" fillId="2" borderId="1" xfId="0" applyNumberFormat="1" applyFont="1" applyFill="1" applyBorder="1" applyAlignment="1" applyProtection="1">
      <alignment horizontal="center" vertical="center"/>
      <protection hidden="1"/>
    </xf>
    <xf numFmtId="3" fontId="19" fillId="2" borderId="0" xfId="0" applyNumberFormat="1" applyFont="1" applyFill="1" applyAlignment="1" applyProtection="1">
      <alignment horizontal="center" vertical="center"/>
      <protection hidden="1"/>
    </xf>
    <xf numFmtId="0" fontId="41" fillId="2" borderId="0" xfId="0" applyFont="1" applyFill="1" applyAlignment="1" applyProtection="1">
      <alignment horizontal="left" vertical="center"/>
      <protection hidden="1"/>
    </xf>
    <xf numFmtId="0" fontId="194" fillId="3" borderId="12" xfId="0" applyFont="1" applyFill="1" applyBorder="1" applyAlignment="1" applyProtection="1">
      <alignment horizontal="left" vertical="center"/>
      <protection hidden="1"/>
    </xf>
    <xf numFmtId="0" fontId="17" fillId="3" borderId="19" xfId="0" applyFont="1" applyFill="1" applyBorder="1" applyAlignment="1" applyProtection="1">
      <alignment horizontal="center" vertical="center" wrapText="1"/>
      <protection hidden="1"/>
    </xf>
    <xf numFmtId="0" fontId="17" fillId="3" borderId="3" xfId="0" applyFont="1" applyFill="1" applyBorder="1" applyAlignment="1" applyProtection="1">
      <alignment horizontal="center" vertical="center" wrapText="1"/>
      <protection hidden="1"/>
    </xf>
    <xf numFmtId="0" fontId="17" fillId="3" borderId="4" xfId="0" applyFont="1" applyFill="1" applyBorder="1" applyAlignment="1" applyProtection="1">
      <alignment horizontal="center" vertical="center" wrapText="1"/>
      <protection hidden="1"/>
    </xf>
    <xf numFmtId="0" fontId="17" fillId="3" borderId="6" xfId="0" applyFont="1" applyFill="1" applyBorder="1" applyAlignment="1" applyProtection="1">
      <alignment horizontal="center" vertical="center" wrapText="1"/>
      <protection hidden="1"/>
    </xf>
    <xf numFmtId="0" fontId="28" fillId="3" borderId="19" xfId="0" applyFont="1" applyFill="1" applyBorder="1" applyAlignment="1" applyProtection="1">
      <alignment horizontal="center" vertical="center" wrapText="1"/>
      <protection hidden="1"/>
    </xf>
    <xf numFmtId="0" fontId="28" fillId="3" borderId="10" xfId="0" applyFont="1" applyFill="1" applyBorder="1" applyAlignment="1" applyProtection="1">
      <alignment horizontal="center" vertical="center" wrapText="1"/>
      <protection hidden="1"/>
    </xf>
    <xf numFmtId="0" fontId="28" fillId="3" borderId="3" xfId="0" applyFont="1" applyFill="1" applyBorder="1" applyAlignment="1" applyProtection="1">
      <alignment horizontal="center" vertical="center" wrapText="1"/>
      <protection hidden="1"/>
    </xf>
    <xf numFmtId="0" fontId="28" fillId="3" borderId="1" xfId="0" applyFont="1" applyFill="1" applyBorder="1" applyAlignment="1" applyProtection="1">
      <alignment horizontal="center" vertical="center" wrapText="1"/>
      <protection hidden="1"/>
    </xf>
    <xf numFmtId="0" fontId="28" fillId="3" borderId="0" xfId="0" applyFont="1" applyFill="1" applyAlignment="1" applyProtection="1">
      <alignment horizontal="center" vertical="center" wrapText="1"/>
      <protection hidden="1"/>
    </xf>
    <xf numFmtId="0" fontId="28" fillId="3" borderId="2" xfId="0" applyFont="1" applyFill="1" applyBorder="1" applyAlignment="1" applyProtection="1">
      <alignment horizontal="center" vertical="center" wrapText="1"/>
      <protection hidden="1"/>
    </xf>
    <xf numFmtId="0" fontId="28" fillId="3" borderId="4" xfId="0" applyFont="1" applyFill="1" applyBorder="1" applyAlignment="1" applyProtection="1">
      <alignment horizontal="center" vertical="center" wrapText="1"/>
      <protection hidden="1"/>
    </xf>
    <xf numFmtId="0" fontId="28" fillId="3" borderId="5" xfId="0" applyFont="1" applyFill="1" applyBorder="1" applyAlignment="1" applyProtection="1">
      <alignment horizontal="center" vertical="center" wrapText="1"/>
      <protection hidden="1"/>
    </xf>
    <xf numFmtId="0" fontId="28" fillId="3" borderId="6" xfId="0" applyFont="1" applyFill="1" applyBorder="1" applyAlignment="1" applyProtection="1">
      <alignment horizontal="center" vertical="center" wrapText="1"/>
      <protection hidden="1"/>
    </xf>
    <xf numFmtId="0" fontId="17" fillId="3" borderId="1" xfId="0" applyFont="1" applyFill="1" applyBorder="1" applyAlignment="1" applyProtection="1">
      <alignment horizontal="center" vertical="center" wrapText="1"/>
      <protection hidden="1"/>
    </xf>
    <xf numFmtId="0" fontId="17" fillId="3" borderId="2" xfId="0" applyFont="1" applyFill="1" applyBorder="1" applyAlignment="1" applyProtection="1">
      <alignment horizontal="center" vertical="center" wrapText="1"/>
      <protection hidden="1"/>
    </xf>
    <xf numFmtId="0" fontId="17" fillId="3" borderId="10" xfId="0" applyFont="1" applyFill="1" applyBorder="1" applyAlignment="1" applyProtection="1">
      <alignment horizontal="left" vertical="center" wrapText="1"/>
      <protection hidden="1"/>
    </xf>
    <xf numFmtId="0" fontId="17" fillId="3" borderId="3" xfId="0" applyFont="1" applyFill="1" applyBorder="1" applyAlignment="1" applyProtection="1">
      <alignment horizontal="left" vertical="center" wrapText="1"/>
      <protection hidden="1"/>
    </xf>
    <xf numFmtId="0" fontId="17" fillId="3" borderId="4" xfId="0" applyFont="1" applyFill="1" applyBorder="1" applyAlignment="1" applyProtection="1">
      <alignment horizontal="left" vertical="center" wrapText="1"/>
      <protection hidden="1"/>
    </xf>
    <xf numFmtId="0" fontId="17" fillId="3" borderId="5" xfId="0" applyFont="1" applyFill="1" applyBorder="1" applyAlignment="1" applyProtection="1">
      <alignment horizontal="left" vertical="center" wrapText="1"/>
      <protection hidden="1"/>
    </xf>
    <xf numFmtId="0" fontId="17" fillId="3" borderId="6" xfId="0" applyFont="1" applyFill="1" applyBorder="1" applyAlignment="1" applyProtection="1">
      <alignment horizontal="left" vertical="center" wrapText="1"/>
      <protection hidden="1"/>
    </xf>
    <xf numFmtId="0" fontId="22" fillId="4" borderId="12" xfId="0" applyFont="1" applyFill="1" applyBorder="1" applyAlignment="1" applyProtection="1">
      <alignment horizontal="center" vertical="center" wrapText="1"/>
      <protection hidden="1"/>
    </xf>
    <xf numFmtId="0" fontId="19" fillId="4" borderId="1" xfId="0" applyFont="1" applyFill="1" applyBorder="1" applyAlignment="1" applyProtection="1">
      <alignment horizontal="center" vertical="center" wrapText="1"/>
      <protection hidden="1"/>
    </xf>
    <xf numFmtId="0" fontId="19" fillId="4" borderId="0" xfId="0" applyFont="1" applyFill="1" applyAlignment="1" applyProtection="1">
      <alignment horizontal="center" vertical="center" wrapText="1"/>
      <protection hidden="1"/>
    </xf>
    <xf numFmtId="0" fontId="19" fillId="4" borderId="2" xfId="0" applyFont="1" applyFill="1" applyBorder="1" applyAlignment="1" applyProtection="1">
      <alignment horizontal="center" vertical="center" wrapText="1"/>
      <protection hidden="1"/>
    </xf>
    <xf numFmtId="0" fontId="19" fillId="4" borderId="4" xfId="0" applyFont="1" applyFill="1" applyBorder="1" applyAlignment="1" applyProtection="1">
      <alignment horizontal="center" vertical="center" wrapText="1"/>
      <protection hidden="1"/>
    </xf>
    <xf numFmtId="0" fontId="19" fillId="4" borderId="5" xfId="0" applyFont="1" applyFill="1" applyBorder="1" applyAlignment="1" applyProtection="1">
      <alignment horizontal="center" vertical="center" wrapText="1"/>
      <protection hidden="1"/>
    </xf>
    <xf numFmtId="0" fontId="19" fillId="4" borderId="6" xfId="0" applyFont="1" applyFill="1" applyBorder="1" applyAlignment="1" applyProtection="1">
      <alignment horizontal="center" vertical="center" wrapText="1"/>
      <protection hidden="1"/>
    </xf>
    <xf numFmtId="0" fontId="46" fillId="0" borderId="9" xfId="0" applyFont="1" applyBorder="1" applyAlignment="1" applyProtection="1">
      <alignment horizontal="left" vertical="center"/>
      <protection locked="0"/>
    </xf>
    <xf numFmtId="0" fontId="46" fillId="0" borderId="7" xfId="0" applyFont="1" applyBorder="1" applyAlignment="1" applyProtection="1">
      <alignment horizontal="left" vertical="center"/>
      <protection locked="0"/>
    </xf>
    <xf numFmtId="0" fontId="46" fillId="0" borderId="8" xfId="0" applyFont="1" applyBorder="1" applyAlignment="1" applyProtection="1">
      <alignment horizontal="left" vertical="center"/>
      <protection locked="0"/>
    </xf>
    <xf numFmtId="0" fontId="22" fillId="4" borderId="1" xfId="0" applyFont="1" applyFill="1" applyBorder="1" applyAlignment="1" applyProtection="1">
      <alignment horizontal="justify" vertical="center" wrapText="1"/>
      <protection hidden="1"/>
    </xf>
    <xf numFmtId="0" fontId="22" fillId="4" borderId="0" xfId="0" applyFont="1" applyFill="1" applyAlignment="1" applyProtection="1">
      <alignment horizontal="justify" vertical="center" wrapText="1"/>
      <protection hidden="1"/>
    </xf>
    <xf numFmtId="0" fontId="22" fillId="4" borderId="2" xfId="0" applyFont="1" applyFill="1" applyBorder="1" applyAlignment="1" applyProtection="1">
      <alignment horizontal="justify" vertical="center" wrapText="1"/>
      <protection hidden="1"/>
    </xf>
    <xf numFmtId="0" fontId="22" fillId="4" borderId="9" xfId="0" applyFont="1" applyFill="1" applyBorder="1" applyAlignment="1" applyProtection="1">
      <alignment horizontal="left"/>
      <protection hidden="1"/>
    </xf>
    <xf numFmtId="0" fontId="22" fillId="4" borderId="7" xfId="0" applyFont="1" applyFill="1" applyBorder="1" applyAlignment="1" applyProtection="1">
      <alignment horizontal="left"/>
      <protection hidden="1"/>
    </xf>
    <xf numFmtId="0" fontId="22" fillId="4" borderId="8" xfId="0" applyFont="1" applyFill="1" applyBorder="1" applyAlignment="1" applyProtection="1">
      <alignment horizontal="left"/>
      <protection hidden="1"/>
    </xf>
    <xf numFmtId="14" fontId="17" fillId="0" borderId="19" xfId="0" applyNumberFormat="1" applyFont="1" applyBorder="1" applyAlignment="1" applyProtection="1">
      <alignment horizontal="center" vertical="center"/>
      <protection locked="0"/>
    </xf>
    <xf numFmtId="14" fontId="17" fillId="0" borderId="10" xfId="0" applyNumberFormat="1" applyFont="1" applyBorder="1" applyAlignment="1" applyProtection="1">
      <alignment horizontal="center" vertical="center"/>
      <protection locked="0"/>
    </xf>
    <xf numFmtId="14" fontId="17" fillId="0" borderId="3" xfId="0" applyNumberFormat="1" applyFont="1" applyBorder="1" applyAlignment="1" applyProtection="1">
      <alignment horizontal="center" vertical="center"/>
      <protection locked="0"/>
    </xf>
    <xf numFmtId="14" fontId="17" fillId="0" borderId="4" xfId="0" applyNumberFormat="1" applyFont="1" applyBorder="1" applyAlignment="1" applyProtection="1">
      <alignment horizontal="center" vertical="center"/>
      <protection locked="0"/>
    </xf>
    <xf numFmtId="14" fontId="17" fillId="0" borderId="5" xfId="0" applyNumberFormat="1" applyFont="1" applyBorder="1" applyAlignment="1" applyProtection="1">
      <alignment horizontal="center" vertical="center"/>
      <protection locked="0"/>
    </xf>
    <xf numFmtId="14" fontId="17" fillId="0" borderId="6" xfId="0" applyNumberFormat="1" applyFont="1" applyBorder="1" applyAlignment="1" applyProtection="1">
      <alignment horizontal="center" vertical="center"/>
      <protection locked="0"/>
    </xf>
    <xf numFmtId="0" fontId="17" fillId="0" borderId="19" xfId="0" applyFont="1" applyBorder="1" applyAlignment="1" applyProtection="1">
      <alignment horizontal="left" vertical="center" wrapText="1"/>
      <protection locked="0"/>
    </xf>
    <xf numFmtId="0" fontId="17" fillId="0" borderId="10" xfId="0" applyFont="1" applyBorder="1" applyAlignment="1" applyProtection="1">
      <alignment horizontal="left" vertical="center" wrapText="1"/>
      <protection locked="0"/>
    </xf>
    <xf numFmtId="0" fontId="17" fillId="0" borderId="3" xfId="0" applyFont="1" applyBorder="1" applyAlignment="1" applyProtection="1">
      <alignment horizontal="left" vertical="center" wrapText="1"/>
      <protection locked="0"/>
    </xf>
    <xf numFmtId="0" fontId="17" fillId="0" borderId="1" xfId="0" applyFont="1" applyBorder="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7" fillId="0" borderId="2" xfId="0" applyFont="1" applyBorder="1" applyAlignment="1" applyProtection="1">
      <alignment horizontal="left" vertical="center" wrapText="1"/>
      <protection locked="0"/>
    </xf>
    <xf numFmtId="0" fontId="17" fillId="0" borderId="4" xfId="0" applyFont="1" applyBorder="1" applyAlignment="1" applyProtection="1">
      <alignment horizontal="left" vertical="center" wrapText="1"/>
      <protection locked="0"/>
    </xf>
    <xf numFmtId="0" fontId="17" fillId="0" borderId="5" xfId="0" applyFont="1" applyBorder="1" applyAlignment="1" applyProtection="1">
      <alignment horizontal="left" vertical="center" wrapText="1"/>
      <protection locked="0"/>
    </xf>
    <xf numFmtId="0" fontId="17" fillId="0" borderId="6" xfId="0" applyFont="1" applyBorder="1" applyAlignment="1" applyProtection="1">
      <alignment horizontal="left" vertical="center" wrapText="1"/>
      <protection locked="0"/>
    </xf>
    <xf numFmtId="0" fontId="17" fillId="4" borderId="1" xfId="0" applyFont="1" applyFill="1" applyBorder="1" applyAlignment="1" applyProtection="1">
      <alignment horizontal="justify" vertical="center" wrapText="1"/>
      <protection hidden="1"/>
    </xf>
    <xf numFmtId="0" fontId="17" fillId="4" borderId="0" xfId="0" applyFont="1" applyFill="1" applyAlignment="1" applyProtection="1">
      <alignment horizontal="justify" vertical="center" wrapText="1"/>
      <protection hidden="1"/>
    </xf>
    <xf numFmtId="0" fontId="17" fillId="4" borderId="2" xfId="0" applyFont="1" applyFill="1" applyBorder="1" applyAlignment="1" applyProtection="1">
      <alignment horizontal="justify" vertical="center" wrapText="1"/>
      <protection hidden="1"/>
    </xf>
    <xf numFmtId="0" fontId="22" fillId="4" borderId="9" xfId="0" applyFont="1" applyFill="1" applyBorder="1" applyAlignment="1" applyProtection="1">
      <alignment horizontal="center"/>
      <protection hidden="1"/>
    </xf>
    <xf numFmtId="0" fontId="22" fillId="4" borderId="7" xfId="0" applyFont="1" applyFill="1" applyBorder="1" applyAlignment="1" applyProtection="1">
      <alignment horizontal="center"/>
      <protection hidden="1"/>
    </xf>
    <xf numFmtId="0" fontId="22" fillId="4" borderId="8" xfId="0" applyFont="1" applyFill="1" applyBorder="1" applyAlignment="1" applyProtection="1">
      <alignment horizontal="center"/>
      <protection hidden="1"/>
    </xf>
    <xf numFmtId="0" fontId="17" fillId="4" borderId="19" xfId="0" applyFont="1" applyFill="1" applyBorder="1" applyAlignment="1" applyProtection="1">
      <alignment horizontal="left" vertical="center"/>
      <protection hidden="1"/>
    </xf>
    <xf numFmtId="0" fontId="17" fillId="4" borderId="10" xfId="0" applyFont="1" applyFill="1" applyBorder="1" applyAlignment="1" applyProtection="1">
      <alignment horizontal="left" vertical="center"/>
      <protection hidden="1"/>
    </xf>
    <xf numFmtId="0" fontId="17" fillId="4" borderId="3" xfId="0" applyFont="1" applyFill="1" applyBorder="1" applyAlignment="1" applyProtection="1">
      <alignment horizontal="left" vertical="center"/>
      <protection hidden="1"/>
    </xf>
    <xf numFmtId="0" fontId="17" fillId="0" borderId="1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7" fillId="0" borderId="3" xfId="0" applyFont="1" applyBorder="1" applyAlignment="1" applyProtection="1">
      <alignment horizontal="left" vertical="center"/>
      <protection locked="0"/>
    </xf>
    <xf numFmtId="0" fontId="17" fillId="0" borderId="1"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17" fillId="0" borderId="2" xfId="0" applyFont="1" applyBorder="1" applyAlignment="1" applyProtection="1">
      <alignment horizontal="left" vertical="center"/>
      <protection locked="0"/>
    </xf>
    <xf numFmtId="0" fontId="17" fillId="0" borderId="4" xfId="0" applyFont="1" applyBorder="1" applyAlignment="1" applyProtection="1">
      <alignment horizontal="left" vertical="center"/>
      <protection locked="0"/>
    </xf>
    <xf numFmtId="0" fontId="17" fillId="0" borderId="5" xfId="0" applyFont="1" applyBorder="1" applyAlignment="1" applyProtection="1">
      <alignment horizontal="left" vertical="center"/>
      <protection locked="0"/>
    </xf>
    <xf numFmtId="0" fontId="17" fillId="0" borderId="6" xfId="0" applyFont="1" applyBorder="1" applyAlignment="1" applyProtection="1">
      <alignment horizontal="left" vertical="center"/>
      <protection locked="0"/>
    </xf>
    <xf numFmtId="171" fontId="22" fillId="2" borderId="4" xfId="0" applyNumberFormat="1" applyFont="1" applyFill="1" applyBorder="1" applyAlignment="1" applyProtection="1">
      <alignment horizontal="center" vertical="center"/>
      <protection hidden="1"/>
    </xf>
    <xf numFmtId="171" fontId="22" fillId="2" borderId="5" xfId="0" applyNumberFormat="1" applyFont="1" applyFill="1" applyBorder="1" applyAlignment="1" applyProtection="1">
      <alignment horizontal="center" vertical="center"/>
      <protection hidden="1"/>
    </xf>
    <xf numFmtId="171" fontId="22" fillId="2" borderId="6" xfId="0" applyNumberFormat="1" applyFont="1" applyFill="1" applyBorder="1" applyAlignment="1" applyProtection="1">
      <alignment horizontal="center" vertical="center"/>
      <protection hidden="1"/>
    </xf>
    <xf numFmtId="0" fontId="17" fillId="0" borderId="10"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6" xfId="0" applyFont="1" applyBorder="1" applyAlignment="1" applyProtection="1">
      <alignment horizontal="center" vertical="center"/>
      <protection locked="0"/>
    </xf>
    <xf numFmtId="0" fontId="22" fillId="4" borderId="19" xfId="0" applyFont="1" applyFill="1" applyBorder="1" applyAlignment="1" applyProtection="1">
      <alignment horizontal="center" vertical="center"/>
      <protection hidden="1"/>
    </xf>
    <xf numFmtId="0" fontId="22" fillId="4" borderId="10" xfId="0" applyFont="1" applyFill="1" applyBorder="1" applyAlignment="1" applyProtection="1">
      <alignment horizontal="center" vertical="center"/>
      <protection hidden="1"/>
    </xf>
    <xf numFmtId="0" fontId="22" fillId="4" borderId="3" xfId="0" applyFont="1" applyFill="1" applyBorder="1" applyAlignment="1" applyProtection="1">
      <alignment horizontal="center" vertical="center"/>
      <protection hidden="1"/>
    </xf>
    <xf numFmtId="0" fontId="24" fillId="4" borderId="12" xfId="0" applyFont="1" applyFill="1" applyBorder="1" applyAlignment="1" applyProtection="1">
      <alignment horizontal="left" vertical="center"/>
      <protection hidden="1"/>
    </xf>
    <xf numFmtId="0" fontId="22" fillId="4" borderId="7" xfId="0" applyFont="1" applyFill="1" applyBorder="1" applyAlignment="1" applyProtection="1">
      <alignment horizontal="center" vertical="center"/>
      <protection hidden="1"/>
    </xf>
    <xf numFmtId="0" fontId="22" fillId="4" borderId="12" xfId="0" applyFont="1" applyFill="1" applyBorder="1" applyAlignment="1" applyProtection="1">
      <alignment horizontal="center"/>
      <protection hidden="1"/>
    </xf>
    <xf numFmtId="0" fontId="22" fillId="0" borderId="19" xfId="0" applyFont="1" applyBorder="1" applyAlignment="1" applyProtection="1">
      <alignment horizontal="left" vertical="center" wrapText="1"/>
      <protection hidden="1"/>
    </xf>
    <xf numFmtId="0" fontId="22" fillId="0" borderId="10" xfId="0" applyFont="1" applyBorder="1" applyAlignment="1" applyProtection="1">
      <alignment horizontal="left" vertical="center" wrapText="1"/>
      <protection hidden="1"/>
    </xf>
    <xf numFmtId="0" fontId="22" fillId="0" borderId="3" xfId="0" applyFont="1" applyBorder="1" applyAlignment="1" applyProtection="1">
      <alignment horizontal="left" vertical="center" wrapText="1"/>
      <protection hidden="1"/>
    </xf>
    <xf numFmtId="0" fontId="22" fillId="0" borderId="4" xfId="0" applyFont="1" applyBorder="1" applyAlignment="1" applyProtection="1">
      <alignment horizontal="left" vertical="center" wrapText="1"/>
      <protection hidden="1"/>
    </xf>
    <xf numFmtId="0" fontId="22" fillId="0" borderId="5" xfId="0" applyFont="1" applyBorder="1" applyAlignment="1" applyProtection="1">
      <alignment horizontal="left" vertical="center" wrapText="1"/>
      <protection hidden="1"/>
    </xf>
    <xf numFmtId="0" fontId="22" fillId="0" borderId="6" xfId="0" applyFont="1" applyBorder="1" applyAlignment="1" applyProtection="1">
      <alignment horizontal="left" vertical="center" wrapText="1"/>
      <protection hidden="1"/>
    </xf>
    <xf numFmtId="0" fontId="17" fillId="4" borderId="9" xfId="0" applyFont="1" applyFill="1" applyBorder="1" applyAlignment="1" applyProtection="1">
      <alignment horizontal="left" vertical="center" wrapText="1"/>
      <protection hidden="1"/>
    </xf>
    <xf numFmtId="0" fontId="17" fillId="4" borderId="7" xfId="0" applyFont="1" applyFill="1" applyBorder="1" applyAlignment="1" applyProtection="1">
      <alignment horizontal="left" vertical="center" wrapText="1"/>
      <protection hidden="1"/>
    </xf>
    <xf numFmtId="0" fontId="17" fillId="4" borderId="8" xfId="0" applyFont="1" applyFill="1" applyBorder="1" applyAlignment="1" applyProtection="1">
      <alignment horizontal="left" vertical="center" wrapText="1"/>
      <protection hidden="1"/>
    </xf>
    <xf numFmtId="0" fontId="277" fillId="9" borderId="0" xfId="0" applyFont="1" applyFill="1" applyAlignment="1">
      <alignment horizontal="center" vertical="center"/>
    </xf>
    <xf numFmtId="0" fontId="12" fillId="0" borderId="0" xfId="0" applyFont="1" applyAlignment="1">
      <alignment horizontal="center"/>
    </xf>
    <xf numFmtId="0" fontId="0" fillId="0" borderId="0" xfId="0" applyAlignment="1">
      <alignment horizontal="center"/>
    </xf>
    <xf numFmtId="0" fontId="277" fillId="9" borderId="0" xfId="0" applyFont="1" applyFill="1" applyAlignment="1">
      <alignment horizontal="left" vertical="center"/>
    </xf>
    <xf numFmtId="3" fontId="12" fillId="0" borderId="8" xfId="0" applyNumberFormat="1" applyFont="1" applyBorder="1" applyAlignment="1" applyProtection="1">
      <alignment horizontal="center"/>
      <protection hidden="1"/>
    </xf>
    <xf numFmtId="3" fontId="12" fillId="0" borderId="12" xfId="0" applyNumberFormat="1" applyFont="1" applyBorder="1" applyAlignment="1" applyProtection="1">
      <alignment horizontal="center"/>
      <protection hidden="1"/>
    </xf>
    <xf numFmtId="3" fontId="12" fillId="0" borderId="36" xfId="0" applyNumberFormat="1" applyFont="1" applyBorder="1" applyAlignment="1" applyProtection="1">
      <alignment horizontal="center"/>
      <protection hidden="1"/>
    </xf>
    <xf numFmtId="3" fontId="12" fillId="0" borderId="37" xfId="0" applyNumberFormat="1" applyFont="1" applyBorder="1" applyAlignment="1" applyProtection="1">
      <alignment horizontal="center"/>
      <protection hidden="1"/>
    </xf>
    <xf numFmtId="3" fontId="12" fillId="0" borderId="38" xfId="0" applyNumberFormat="1" applyFont="1" applyBorder="1" applyAlignment="1" applyProtection="1">
      <alignment horizontal="center"/>
      <protection hidden="1"/>
    </xf>
    <xf numFmtId="3" fontId="12" fillId="0" borderId="0" xfId="0" applyNumberFormat="1" applyFont="1" applyAlignment="1" applyProtection="1">
      <alignment horizontal="left" wrapText="1"/>
      <protection hidden="1"/>
    </xf>
    <xf numFmtId="3" fontId="242" fillId="0" borderId="0" xfId="0" applyNumberFormat="1" applyFont="1" applyAlignment="1" applyProtection="1">
      <alignment horizontal="left" wrapText="1"/>
      <protection hidden="1"/>
    </xf>
    <xf numFmtId="3" fontId="12" fillId="0" borderId="40" xfId="0" applyNumberFormat="1" applyFont="1" applyBorder="1" applyAlignment="1" applyProtection="1">
      <alignment horizontal="center"/>
      <protection hidden="1"/>
    </xf>
  </cellXfs>
  <cellStyles count="18">
    <cellStyle name="Comma" xfId="2" builtinId="3"/>
    <cellStyle name="Comma 2" xfId="8" xr:uid="{00000000-0005-0000-0000-000001000000}"/>
    <cellStyle name="Comma 2 2" xfId="16" xr:uid="{00000000-0005-0000-0000-000002000000}"/>
    <cellStyle name="Comma 3" xfId="4" xr:uid="{00000000-0005-0000-0000-000003000000}"/>
    <cellStyle name="Currency" xfId="15" builtinId="4"/>
    <cellStyle name="Hyperlink" xfId="1" builtinId="8"/>
    <cellStyle name="Hyperlink 2" xfId="17" xr:uid="{00000000-0005-0000-0000-000006000000}"/>
    <cellStyle name="Normal" xfId="0" builtinId="0"/>
    <cellStyle name="Normal 2" xfId="7" xr:uid="{00000000-0005-0000-0000-000008000000}"/>
    <cellStyle name="Normal 2 2" xfId="11" xr:uid="{00000000-0005-0000-0000-000009000000}"/>
    <cellStyle name="Normal 2 3" xfId="14" xr:uid="{00000000-0005-0000-0000-00000A000000}"/>
    <cellStyle name="Normal 3" xfId="6" xr:uid="{00000000-0005-0000-0000-00000B000000}"/>
    <cellStyle name="Normal 3 2" xfId="10" xr:uid="{00000000-0005-0000-0000-00000C000000}"/>
    <cellStyle name="Normal 4" xfId="12" xr:uid="{00000000-0005-0000-0000-00000D000000}"/>
    <cellStyle name="Normal 5" xfId="13" xr:uid="{00000000-0005-0000-0000-00000E000000}"/>
    <cellStyle name="Per cent" xfId="3" builtinId="5"/>
    <cellStyle name="Percent 2" xfId="9" xr:uid="{00000000-0005-0000-0000-000010000000}"/>
    <cellStyle name="Percent 3" xfId="5" xr:uid="{00000000-0005-0000-0000-000011000000}"/>
  </cellStyles>
  <dxfs count="1077">
    <dxf>
      <font>
        <condense val="0"/>
        <extend val="0"/>
        <color indexed="9"/>
      </font>
      <fill>
        <patternFill>
          <bgColor indexed="10"/>
        </patternFill>
      </fill>
    </dxf>
    <dxf>
      <font>
        <b/>
        <i val="0"/>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b/>
        <i/>
        <strike/>
        <color rgb="FFFF0000"/>
      </font>
      <fill>
        <patternFill>
          <bgColor rgb="FFE6E6E6"/>
        </patternFill>
      </fill>
    </dxf>
    <dxf>
      <font>
        <b/>
        <i/>
        <strike/>
        <condense val="0"/>
        <extend val="0"/>
        <color indexed="10"/>
      </font>
      <fill>
        <patternFill>
          <bgColor indexed="20"/>
        </patternFill>
      </fill>
    </dxf>
    <dxf>
      <font>
        <b/>
        <i val="0"/>
        <condense val="0"/>
        <extend val="0"/>
        <color indexed="9"/>
      </font>
      <fill>
        <patternFill patternType="solid">
          <bgColor indexed="10"/>
        </patternFill>
      </fill>
    </dxf>
    <dxf>
      <font>
        <b val="0"/>
        <i/>
        <strike/>
        <condense val="0"/>
        <extend val="0"/>
        <color indexed="10"/>
      </font>
    </dxf>
    <dxf>
      <font>
        <b val="0"/>
        <i/>
        <condense val="0"/>
        <extend val="0"/>
        <color indexed="23"/>
      </font>
      <fill>
        <patternFill>
          <bgColor indexed="20"/>
        </patternFill>
      </fill>
    </dxf>
    <dxf>
      <font>
        <b val="0"/>
        <i/>
        <strike val="0"/>
        <condense val="0"/>
        <extend val="0"/>
        <color indexed="23"/>
      </font>
      <fill>
        <patternFill>
          <bgColor indexed="20"/>
        </patternFill>
      </fill>
    </dxf>
    <dxf>
      <font>
        <b val="0"/>
        <i/>
        <strike val="0"/>
        <condense val="0"/>
        <extend val="0"/>
        <color indexed="23"/>
      </font>
      <fill>
        <patternFill>
          <bgColor indexed="20"/>
        </patternFill>
      </fill>
    </dxf>
    <dxf>
      <font>
        <b/>
        <i/>
        <condense val="0"/>
        <extend val="0"/>
        <color indexed="18"/>
      </font>
    </dxf>
    <dxf>
      <font>
        <b/>
        <i/>
        <condense val="0"/>
        <extend val="0"/>
        <color indexed="18"/>
      </font>
    </dxf>
    <dxf>
      <font>
        <b/>
        <i val="0"/>
        <condense val="0"/>
        <extend val="0"/>
        <color indexed="62"/>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18"/>
      </font>
    </dxf>
    <dxf>
      <font>
        <condense val="0"/>
        <extend val="0"/>
        <color indexed="43"/>
      </font>
    </dxf>
    <dxf>
      <font>
        <condense val="0"/>
        <extend val="0"/>
        <color indexed="43"/>
      </font>
    </dxf>
    <dxf>
      <font>
        <b val="0"/>
        <i/>
        <strike/>
        <color rgb="FFFF0000"/>
      </font>
    </dxf>
    <dxf>
      <font>
        <b/>
        <i val="0"/>
        <condense val="0"/>
        <extend val="0"/>
        <color indexed="9"/>
      </font>
      <fill>
        <patternFill>
          <bgColor indexed="10"/>
        </patternFill>
      </fill>
    </dxf>
    <dxf>
      <font>
        <b/>
        <i val="0"/>
        <condense val="0"/>
        <extend val="0"/>
        <color indexed="62"/>
      </font>
    </dxf>
    <dxf>
      <font>
        <b val="0"/>
        <i/>
        <strike/>
        <condense val="0"/>
        <extend val="0"/>
        <color indexed="18"/>
      </font>
    </dxf>
    <dxf>
      <font>
        <condense val="0"/>
        <extend val="0"/>
        <color indexed="43"/>
      </font>
    </dxf>
    <dxf>
      <font>
        <condense val="0"/>
        <extend val="0"/>
        <color indexed="43"/>
      </font>
    </dxf>
    <dxf>
      <font>
        <condense val="0"/>
        <extend val="0"/>
        <color indexed="43"/>
      </font>
    </dxf>
    <dxf>
      <font>
        <condense val="0"/>
        <extend val="0"/>
        <color indexed="23"/>
      </font>
      <fill>
        <patternFill>
          <bgColor indexed="20"/>
        </patternFill>
      </fill>
    </dxf>
    <dxf>
      <font>
        <b val="0"/>
        <i/>
        <strike/>
        <color rgb="FFFF0000"/>
      </font>
      <fill>
        <patternFill>
          <bgColor rgb="FFE6E6E6"/>
        </patternFill>
      </fill>
    </dxf>
    <dxf>
      <font>
        <color rgb="FFE6E6E6"/>
      </font>
      <fill>
        <patternFill>
          <fgColor rgb="FFE6E6E6"/>
        </patternFill>
      </fill>
    </dxf>
    <dxf>
      <font>
        <b/>
        <i val="0"/>
        <condense val="0"/>
        <extend val="0"/>
        <color indexed="10"/>
      </font>
    </dxf>
    <dxf>
      <font>
        <color rgb="FFE6E6E6"/>
      </font>
      <fill>
        <patternFill patternType="solid">
          <fgColor indexed="64"/>
          <bgColor rgb="FFE6E6E6"/>
        </patternFill>
      </fill>
    </dxf>
    <dxf>
      <font>
        <b/>
        <i val="0"/>
        <condense val="0"/>
        <extend val="0"/>
        <color indexed="10"/>
      </font>
    </dxf>
    <dxf>
      <font>
        <color theme="0" tint="-0.14996795556505021"/>
      </font>
      <fill>
        <patternFill patternType="solid">
          <bgColor theme="0" tint="-0.14996795556505021"/>
        </patternFill>
      </fill>
    </dxf>
    <dxf>
      <font>
        <b val="0"/>
        <i/>
        <strike/>
        <color rgb="FFFF0000"/>
      </font>
      <fill>
        <patternFill>
          <bgColor theme="0" tint="-0.14996795556505021"/>
        </patternFill>
      </fill>
    </dxf>
    <dxf>
      <font>
        <color rgb="FFE6E6E6"/>
      </font>
      <fill>
        <patternFill>
          <bgColor rgb="FFE6E6E6"/>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9"/>
      </font>
      <fill>
        <patternFill>
          <bgColor indexed="10"/>
        </patternFill>
      </fill>
    </dxf>
    <dxf>
      <font>
        <b val="0"/>
        <i/>
        <strike/>
        <condense val="0"/>
        <extend val="0"/>
        <color indexed="10"/>
      </font>
    </dxf>
    <dxf>
      <font>
        <b val="0"/>
        <i/>
        <strike/>
        <condense val="0"/>
        <extend val="0"/>
        <color indexed="10"/>
      </font>
    </dxf>
    <dxf>
      <font>
        <b/>
        <i val="0"/>
        <condense val="0"/>
        <extend val="0"/>
        <color indexed="9"/>
      </font>
      <fill>
        <patternFill>
          <bgColor indexed="10"/>
        </patternFill>
      </fill>
    </dxf>
    <dxf>
      <font>
        <b val="0"/>
        <i/>
        <strike/>
        <condense val="0"/>
        <extend val="0"/>
        <color indexed="10"/>
      </font>
    </dxf>
    <dxf>
      <font>
        <condense val="0"/>
        <extend val="0"/>
        <color indexed="20"/>
      </font>
      <fill>
        <patternFill>
          <bgColor indexed="20"/>
        </patternFill>
      </fill>
      <border>
        <left/>
      </border>
    </dxf>
    <dxf>
      <font>
        <condense val="0"/>
        <extend val="0"/>
        <color indexed="9"/>
      </font>
      <fill>
        <patternFill>
          <bgColor indexed="10"/>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lor theme="0"/>
      </font>
      <fill>
        <patternFill>
          <bgColor rgb="FFFF0000"/>
        </patternFill>
      </fill>
    </dxf>
    <dxf>
      <border>
        <right/>
      </border>
    </dxf>
    <dxf>
      <font>
        <b/>
        <i val="0"/>
        <strike val="0"/>
        <condense val="0"/>
        <extend val="0"/>
        <color indexed="20"/>
      </font>
      <fill>
        <patternFill>
          <bgColor indexed="20"/>
        </patternFill>
      </fill>
      <border>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font>
        <b/>
        <i val="0"/>
        <strike val="0"/>
        <condense val="0"/>
        <extend val="0"/>
        <color indexed="20"/>
      </font>
      <fill>
        <patternFill>
          <bgColor indexed="20"/>
        </patternFill>
      </fill>
      <border>
        <left/>
        <right/>
        <top style="thin">
          <color auto="1"/>
        </top>
        <bottom style="thin">
          <color auto="1"/>
        </bottom>
      </border>
    </dxf>
    <dxf>
      <font>
        <b/>
        <i val="0"/>
        <condense val="0"/>
        <extend val="0"/>
        <color indexed="18"/>
      </font>
    </dxf>
    <dxf>
      <font>
        <b/>
        <i val="0"/>
        <strike/>
        <condense val="0"/>
        <extend val="0"/>
        <color indexed="10"/>
      </font>
      <fill>
        <patternFill>
          <bgColor indexed="20"/>
        </patternFill>
      </fill>
      <border>
        <left/>
        <right/>
        <top style="thin">
          <color auto="1"/>
        </top>
        <bottom/>
      </border>
    </dxf>
    <dxf>
      <font>
        <b val="0"/>
        <i val="0"/>
        <condense val="0"/>
        <extend val="0"/>
        <color indexed="20"/>
      </font>
    </dxf>
    <dxf>
      <font>
        <b/>
        <i val="0"/>
        <strike val="0"/>
        <condense val="0"/>
        <extend val="0"/>
        <color indexed="20"/>
      </font>
      <fill>
        <patternFill>
          <bgColor indexed="20"/>
        </patternFill>
      </fill>
      <border>
        <left/>
        <right/>
        <top style="thin">
          <color auto="1"/>
        </top>
        <bottom/>
      </border>
    </dxf>
    <dxf>
      <font>
        <b/>
        <i val="0"/>
        <condense val="0"/>
        <extend val="0"/>
        <color indexed="9"/>
      </font>
      <fill>
        <patternFill>
          <bgColor indexed="10"/>
        </patternFill>
      </fill>
    </dxf>
    <dxf>
      <font>
        <b/>
        <i val="0"/>
        <condense val="0"/>
        <extend val="0"/>
        <color indexed="9"/>
      </font>
      <fill>
        <patternFill>
          <bgColor indexed="10"/>
        </patternFill>
      </fill>
    </dxf>
    <dxf>
      <border>
        <right/>
        <top/>
        <bottom/>
      </border>
    </dxf>
    <dxf>
      <font>
        <color rgb="FFFF0000"/>
      </font>
    </dxf>
    <dxf>
      <font>
        <condense val="0"/>
        <extend val="0"/>
        <color indexed="62"/>
      </font>
    </dxf>
    <dxf>
      <font>
        <strike/>
        <color rgb="FFFF0000"/>
      </font>
      <fill>
        <patternFill>
          <bgColor theme="0" tint="-0.14996795556505021"/>
        </patternFill>
      </fill>
    </dxf>
    <dxf>
      <font>
        <strike/>
        <color rgb="FFFF0000"/>
      </font>
      <fill>
        <patternFill>
          <bgColor theme="0" tint="-0.14996795556505021"/>
        </patternFill>
      </fill>
    </dxf>
    <dxf>
      <font>
        <strike/>
        <color rgb="FFFF0000"/>
      </font>
      <fill>
        <patternFill>
          <bgColor theme="0" tint="-0.14996795556505021"/>
        </patternFill>
      </fill>
    </dxf>
    <dxf>
      <font>
        <b val="0"/>
        <i/>
        <strike/>
        <color rgb="FFFF0000"/>
      </font>
      <fill>
        <patternFill>
          <bgColor rgb="FFE6E6E6"/>
        </patternFill>
      </fill>
    </dxf>
    <dxf>
      <font>
        <strike/>
        <condense val="0"/>
        <extend val="0"/>
        <color indexed="10"/>
      </font>
      <fill>
        <patternFill>
          <bgColor indexed="20"/>
        </patternFill>
      </fill>
    </dxf>
    <dxf>
      <font>
        <b/>
        <i val="0"/>
        <condense val="0"/>
        <extend val="0"/>
        <color indexed="9"/>
      </font>
      <fill>
        <patternFill>
          <bgColor indexed="10"/>
        </patternFill>
      </fill>
    </dxf>
    <dxf>
      <font>
        <b val="0"/>
        <i/>
        <strike/>
        <condense val="0"/>
        <extend val="0"/>
        <color indexed="10"/>
      </font>
      <fill>
        <patternFill>
          <bgColor indexed="49"/>
        </patternFill>
      </fill>
      <border>
        <left/>
        <right/>
        <top/>
        <bottom/>
      </border>
    </dxf>
    <dxf>
      <font>
        <b val="0"/>
        <i/>
        <condense val="0"/>
        <extend val="0"/>
        <color indexed="23"/>
      </font>
    </dxf>
    <dxf>
      <font>
        <b val="0"/>
        <i/>
        <condense val="0"/>
        <extend val="0"/>
        <color indexed="23"/>
      </font>
      <fill>
        <patternFill>
          <bgColor indexed="49"/>
        </patternFill>
      </fill>
    </dxf>
    <dxf>
      <font>
        <b val="0"/>
        <i/>
        <condense val="0"/>
        <extend val="0"/>
        <color indexed="23"/>
      </font>
      <fill>
        <patternFill>
          <bgColor indexed="49"/>
        </patternFill>
      </fill>
    </dxf>
    <dxf>
      <font>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dxf>
    <dxf>
      <font>
        <condense val="0"/>
        <extend val="0"/>
        <color indexed="22"/>
      </font>
      <fill>
        <patternFill>
          <bgColor indexed="20"/>
        </patternFill>
      </fill>
    </dxf>
    <dxf>
      <font>
        <condense val="0"/>
        <extend val="0"/>
        <color indexed="22"/>
      </font>
    </dxf>
    <dxf>
      <font>
        <b val="0"/>
        <i/>
        <color theme="0" tint="-0.499984740745262"/>
      </font>
    </dxf>
    <dxf>
      <font>
        <b val="0"/>
        <i/>
        <condense val="0"/>
        <extend val="0"/>
        <color indexed="23"/>
      </font>
    </dxf>
    <dxf>
      <font>
        <b val="0"/>
        <i/>
        <condense val="0"/>
        <extend val="0"/>
        <color indexed="23"/>
      </font>
      <fill>
        <patternFill>
          <bgColor indexed="49"/>
        </patternFill>
      </fill>
    </dxf>
    <dxf>
      <font>
        <b/>
        <i val="0"/>
        <strike val="0"/>
        <color theme="4" tint="-0.499984740745262"/>
      </font>
    </dxf>
    <dxf>
      <font>
        <color rgb="FFFF0000"/>
      </font>
    </dxf>
    <dxf>
      <font>
        <b/>
        <i val="0"/>
        <color theme="4" tint="-0.499984740745262"/>
      </font>
    </dxf>
    <dxf>
      <font>
        <b val="0"/>
        <i val="0"/>
        <strike val="0"/>
        <color rgb="FFFF0000"/>
      </font>
    </dxf>
    <dxf>
      <font>
        <b/>
        <i val="0"/>
        <strike val="0"/>
        <color theme="4" tint="-0.499984740745262"/>
      </font>
    </dxf>
    <dxf>
      <font>
        <color rgb="FFFF0000"/>
      </font>
    </dxf>
    <dxf>
      <font>
        <b val="0"/>
        <i/>
        <strike/>
        <color rgb="FFFF0000"/>
      </font>
    </dxf>
    <dxf>
      <font>
        <b val="0"/>
        <i/>
        <strike/>
        <color rgb="FFFF0000"/>
      </font>
      <fill>
        <patternFill>
          <bgColor rgb="FFF2F2F2"/>
        </patternFill>
      </fill>
      <border>
        <left/>
        <right/>
        <top/>
        <bottom/>
        <vertical/>
        <horizontal/>
      </border>
    </dxf>
    <dxf>
      <font>
        <b/>
        <i val="0"/>
        <condense val="0"/>
        <extend val="0"/>
        <color rgb="FF333399"/>
      </font>
    </dxf>
    <dxf>
      <font>
        <b/>
        <i val="0"/>
        <condense val="0"/>
        <extend val="0"/>
        <color rgb="FF333399"/>
      </font>
    </dxf>
    <dxf>
      <font>
        <b/>
        <i val="0"/>
        <condense val="0"/>
        <extend val="0"/>
        <color rgb="FF333399"/>
      </font>
    </dxf>
    <dxf>
      <font>
        <b/>
        <i val="0"/>
        <condense val="0"/>
        <extend val="0"/>
        <color rgb="FF333399"/>
      </font>
    </dxf>
    <dxf>
      <font>
        <b val="0"/>
        <i/>
        <strike/>
        <condense val="0"/>
        <extend val="0"/>
        <color indexed="10"/>
      </font>
    </dxf>
    <dxf>
      <font>
        <b val="0"/>
        <i/>
        <strike/>
        <condense val="0"/>
        <extend val="0"/>
        <color indexed="10"/>
      </font>
    </dxf>
    <dxf>
      <font>
        <b val="0"/>
        <i/>
        <strike/>
        <condense val="0"/>
        <extend val="0"/>
        <color indexed="10"/>
      </font>
    </dxf>
    <dxf>
      <font>
        <b val="0"/>
        <i/>
        <strike/>
        <condense val="0"/>
        <extend val="0"/>
        <color indexed="10"/>
      </font>
    </dxf>
    <dxf>
      <font>
        <b val="0"/>
        <i/>
        <strike/>
        <condense val="0"/>
        <extend val="0"/>
        <color indexed="10"/>
      </font>
    </dxf>
    <dxf>
      <font>
        <b val="0"/>
        <i/>
        <strike/>
        <condense val="0"/>
        <extend val="0"/>
        <color indexed="10"/>
      </font>
    </dxf>
    <dxf>
      <font>
        <b val="0"/>
        <i/>
        <strike/>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rgb="FFE6E6E6"/>
        </patternFill>
      </fill>
    </dxf>
    <dxf>
      <font>
        <b val="0"/>
        <i/>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condense val="0"/>
        <extend val="0"/>
        <color indexed="41"/>
      </font>
    </dxf>
    <dxf>
      <font>
        <condense val="0"/>
        <extend val="0"/>
        <color indexed="41"/>
      </font>
    </dxf>
    <dxf>
      <font>
        <strike/>
        <color rgb="FFFF0000"/>
      </font>
    </dxf>
    <dxf>
      <font>
        <strike/>
        <color rgb="FFFF0000"/>
      </font>
    </dxf>
    <dxf>
      <font>
        <condense val="0"/>
        <extend val="0"/>
        <color indexed="41"/>
      </font>
    </dxf>
    <dxf>
      <font>
        <condense val="0"/>
        <extend val="0"/>
        <color indexed="41"/>
      </font>
    </dxf>
    <dxf>
      <font>
        <condense val="0"/>
        <extend val="0"/>
        <color indexed="41"/>
      </font>
    </dxf>
    <dxf>
      <font>
        <strike/>
        <color rgb="FFFF0000"/>
        <family val="2"/>
      </font>
    </dxf>
    <dxf>
      <font>
        <b val="0"/>
        <i/>
        <strike/>
        <color rgb="FFFF0000"/>
      </font>
      <fill>
        <patternFill>
          <bgColor theme="0" tint="-4.9989318521683403E-2"/>
        </patternFill>
      </fill>
    </dxf>
    <dxf>
      <font>
        <b val="0"/>
        <i/>
        <strike/>
        <color rgb="FFFF0000"/>
      </font>
      <fill>
        <patternFill>
          <bgColor theme="0" tint="-4.9989318521683403E-2"/>
        </patternFill>
      </fill>
    </dxf>
    <dxf>
      <font>
        <i/>
        <strike/>
        <color rgb="FFFF0000"/>
        <family val="2"/>
      </font>
    </dxf>
    <dxf>
      <font>
        <i/>
        <strike/>
        <color rgb="FFFF0000"/>
        <family val="2"/>
      </font>
    </dxf>
    <dxf>
      <font>
        <i/>
        <strike/>
        <color rgb="FFFF0000"/>
        <family val="2"/>
      </font>
      <fill>
        <patternFill patternType="none"/>
      </fill>
    </dxf>
    <dxf>
      <font>
        <i/>
        <strike/>
        <color rgb="FFFF0000"/>
        <family val="2"/>
      </font>
      <fill>
        <patternFill patternType="none"/>
      </fill>
    </dxf>
    <dxf>
      <font>
        <i/>
        <strike/>
        <color rgb="FFFF0000"/>
        <family val="2"/>
      </font>
      <fill>
        <patternFill patternType="none"/>
      </fill>
    </dxf>
    <dxf>
      <font>
        <b val="0"/>
        <i/>
        <strike/>
        <color rgb="FFFF0000"/>
      </font>
      <fill>
        <patternFill>
          <bgColor theme="0"/>
        </patternFill>
      </fill>
    </dxf>
    <dxf>
      <font>
        <i/>
        <strike/>
        <color rgb="FFFF0000"/>
        <family val="2"/>
      </font>
      <fill>
        <patternFill patternType="none"/>
      </fill>
    </dxf>
    <dxf>
      <font>
        <i/>
        <strike/>
        <color rgb="FFFF0000"/>
        <family val="2"/>
      </font>
      <fill>
        <patternFill patternType="none"/>
      </fill>
    </dxf>
    <dxf>
      <font>
        <i/>
        <strike/>
        <color rgb="FFFF0000"/>
        <family val="2"/>
      </font>
      <fill>
        <patternFill patternType="none"/>
      </fill>
    </dxf>
    <dxf>
      <font>
        <b val="0"/>
        <i/>
        <strike/>
        <color rgb="FFFF0000"/>
      </font>
      <fill>
        <patternFill>
          <bgColor theme="0"/>
        </patternFill>
      </fill>
    </dxf>
    <dxf>
      <font>
        <i/>
        <strike/>
        <color rgb="FFFF0000"/>
        <family val="2"/>
      </font>
      <fill>
        <patternFill patternType="solid">
          <fgColor rgb="FFD9D9D9"/>
          <bgColor rgb="FFD9D9D9"/>
        </patternFill>
      </fill>
    </dxf>
    <dxf>
      <font>
        <i/>
        <strike/>
        <color rgb="FFFF0000"/>
        <family val="2"/>
      </font>
      <fill>
        <patternFill patternType="solid">
          <fgColor rgb="FFD9D9D9"/>
          <bgColor rgb="FFD9D9D9"/>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color rgb="FF808080"/>
        <family val="2"/>
      </font>
      <fill>
        <patternFill patternType="solid">
          <fgColor rgb="FFF2F2F2"/>
          <bgColor rgb="FFF2F2F2"/>
        </patternFill>
      </fill>
    </dxf>
    <dxf>
      <font>
        <b val="0"/>
        <i/>
        <strike/>
        <color rgb="FFFF0000"/>
      </font>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b val="0"/>
        <i/>
        <strike/>
        <color rgb="FFFF0000"/>
      </font>
    </dxf>
    <dxf>
      <font>
        <color rgb="FF808080"/>
        <family val="2"/>
      </font>
      <fill>
        <patternFill patternType="solid">
          <fgColor rgb="FFF2F2F2"/>
          <bgColor rgb="FFF2F2F2"/>
        </patternFill>
      </fill>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b val="0"/>
        <i/>
        <strike/>
        <color rgb="FFFF0000"/>
      </font>
    </dxf>
    <dxf>
      <font>
        <color rgb="FF808080"/>
        <family val="2"/>
      </font>
      <fill>
        <patternFill patternType="solid">
          <fgColor rgb="FFF2F2F2"/>
          <bgColor rgb="FFF2F2F2"/>
        </patternFill>
      </fill>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color rgb="FFA6A6A6"/>
        <family val="2"/>
      </font>
    </dxf>
    <dxf>
      <font>
        <color rgb="FF808080"/>
        <family val="2"/>
      </font>
    </dxf>
    <dxf>
      <font>
        <b val="0"/>
        <i/>
        <strike/>
        <color rgb="FFFF0000"/>
      </font>
    </dxf>
    <dxf>
      <font>
        <strike/>
        <color rgb="FFFF0000"/>
      </font>
    </dxf>
    <dxf>
      <font>
        <strike/>
        <color rgb="FFFF0000"/>
      </font>
    </dxf>
    <dxf>
      <font>
        <strike/>
        <color rgb="FFFF0000"/>
      </font>
    </dxf>
    <dxf>
      <font>
        <strike/>
        <color rgb="FFFF0000"/>
      </font>
    </dxf>
    <dxf>
      <font>
        <strike/>
        <color rgb="FFFF0000"/>
      </font>
    </dxf>
    <dxf>
      <font>
        <b val="0"/>
        <i val="0"/>
        <strike/>
        <color rgb="FFFF0000"/>
      </font>
    </dxf>
    <dxf>
      <font>
        <b val="0"/>
        <i/>
        <strike val="0"/>
        <color theme="2"/>
      </font>
      <fill>
        <patternFill>
          <bgColor theme="2"/>
        </patternFill>
      </fill>
      <border>
        <left style="thin">
          <color auto="1"/>
        </left>
        <right style="thin">
          <color auto="1"/>
        </right>
        <top style="thin">
          <color auto="1"/>
        </top>
        <bottom style="thin">
          <color auto="1"/>
        </bottom>
        <vertical/>
        <horizontal/>
      </border>
    </dxf>
    <dxf>
      <font>
        <b val="0"/>
        <i/>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dxf>
    <dxf>
      <font>
        <strike/>
        <color rgb="FFFF0000"/>
      </font>
    </dxf>
    <dxf>
      <font>
        <strike/>
        <color rgb="FFFF0000"/>
      </font>
    </dxf>
    <dxf>
      <font>
        <strike/>
        <color rgb="FFFF0000"/>
      </font>
    </dxf>
    <dxf>
      <font>
        <color theme="0" tint="-4.9989318521683403E-2"/>
      </font>
      <fill>
        <patternFill>
          <bgColor theme="0" tint="-4.9989318521683403E-2"/>
        </patternFill>
      </fill>
    </dxf>
    <dxf>
      <font>
        <strike val="0"/>
        <color theme="2"/>
      </font>
      <fill>
        <patternFill>
          <bgColor theme="2"/>
        </patternFill>
      </fill>
    </dxf>
    <dxf>
      <font>
        <strike val="0"/>
        <color theme="2"/>
      </font>
      <fill>
        <patternFill>
          <bgColor theme="2"/>
        </patternFill>
      </fill>
    </dxf>
    <dxf>
      <font>
        <strike val="0"/>
        <color theme="2"/>
      </font>
      <fill>
        <patternFill>
          <bgColor theme="2"/>
        </patternFill>
      </fill>
    </dxf>
    <dxf>
      <font>
        <b val="0"/>
        <i/>
        <strike val="0"/>
        <color theme="2"/>
      </font>
      <fill>
        <patternFill>
          <bgColor theme="2"/>
        </patternFill>
      </fill>
      <border>
        <left style="thin">
          <color auto="1"/>
        </left>
        <right style="thin">
          <color auto="1"/>
        </right>
        <top style="thin">
          <color auto="1"/>
        </top>
        <bottom style="thin">
          <color auto="1"/>
        </bottom>
        <vertical/>
        <horizontal/>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strike/>
        <condense val="0"/>
        <extend val="0"/>
        <color indexed="10"/>
      </font>
      <fill>
        <patternFill>
          <bgColor indexed="49"/>
        </patternFill>
      </fill>
    </dxf>
    <dxf>
      <font>
        <b val="0"/>
        <i/>
        <strike/>
        <condense val="0"/>
        <extend val="0"/>
        <color indexed="10"/>
      </font>
      <fill>
        <patternFill>
          <bgColor indexed="49"/>
        </patternFill>
      </fill>
    </dxf>
    <dxf>
      <font>
        <b val="0"/>
        <i/>
        <condense val="0"/>
        <extend val="0"/>
        <color indexed="23"/>
      </font>
    </dxf>
    <dxf>
      <font>
        <b/>
        <i val="0"/>
        <condense val="0"/>
        <extend val="0"/>
        <color indexed="62"/>
      </font>
    </dxf>
    <dxf>
      <font>
        <b/>
        <i val="0"/>
        <condense val="0"/>
        <extend val="0"/>
        <color indexed="62"/>
      </font>
    </dxf>
    <dxf>
      <font>
        <b/>
        <i val="0"/>
        <condense val="0"/>
        <extend val="0"/>
        <color indexed="62"/>
      </font>
    </dxf>
    <dxf>
      <font>
        <b/>
        <i val="0"/>
        <condense val="0"/>
        <extend val="0"/>
        <color indexed="62"/>
      </font>
    </dxf>
    <dxf>
      <font>
        <b val="0"/>
        <i val="0"/>
        <strike/>
        <color rgb="FFFF0000"/>
      </font>
    </dxf>
    <dxf>
      <font>
        <b/>
        <i val="0"/>
        <condense val="0"/>
        <extend val="0"/>
        <color indexed="62"/>
      </font>
    </dxf>
    <dxf>
      <font>
        <b/>
        <i val="0"/>
        <condense val="0"/>
        <extend val="0"/>
        <color indexed="62"/>
      </font>
    </dxf>
    <dxf>
      <font>
        <b val="0"/>
        <i val="0"/>
        <strike/>
        <color rgb="FFFF0000"/>
      </font>
    </dxf>
    <dxf>
      <font>
        <b/>
        <i val="0"/>
        <condense val="0"/>
        <extend val="0"/>
        <color indexed="62"/>
      </font>
    </dxf>
    <dxf>
      <font>
        <strike/>
        <color rgb="FFFF0000"/>
      </font>
      <numFmt numFmtId="3" formatCode="#,##0"/>
      <fill>
        <patternFill>
          <bgColor theme="0" tint="-4.9989318521683403E-2"/>
        </patternFill>
      </fill>
      <border>
        <right style="thin">
          <color theme="0" tint="-4.9989318521683403E-2"/>
        </right>
        <top style="thin">
          <color theme="0" tint="-4.9989318521683403E-2"/>
        </top>
        <bottom style="thin">
          <color theme="0" tint="-4.9989318521683403E-2"/>
        </bottom>
        <vertical/>
        <horizontal/>
      </border>
    </dxf>
    <dxf>
      <font>
        <color theme="0" tint="-4.9989318521683403E-2"/>
      </font>
      <fill>
        <patternFill>
          <bgColor theme="0" tint="-4.9989318521683403E-2"/>
        </patternFill>
      </fill>
      <border>
        <right style="thin">
          <color theme="0" tint="-4.9989318521683403E-2"/>
        </right>
        <top style="thin">
          <color theme="0" tint="-4.9989318521683403E-2"/>
        </top>
        <bottom style="thin">
          <color theme="0" tint="-4.9989318521683403E-2"/>
        </bottom>
        <vertical/>
        <horizontal/>
      </border>
    </dxf>
    <dxf>
      <font>
        <b val="0"/>
        <i/>
        <strike/>
        <condense val="0"/>
        <extend val="0"/>
        <color indexed="10"/>
      </font>
      <fill>
        <patternFill>
          <bgColor indexed="49"/>
        </patternFill>
      </fill>
    </dxf>
    <dxf>
      <font>
        <b val="0"/>
        <i/>
        <condense val="0"/>
        <extend val="0"/>
        <color indexed="23"/>
      </font>
    </dxf>
    <dxf>
      <font>
        <b/>
        <i/>
        <color theme="3" tint="-0.24994659260841701"/>
      </font>
    </dxf>
    <dxf>
      <font>
        <b/>
        <i/>
        <color theme="3" tint="-0.24994659260841701"/>
      </font>
    </dxf>
    <dxf>
      <font>
        <b/>
        <i/>
        <color theme="3" tint="-0.24994659260841701"/>
      </font>
    </dxf>
    <dxf>
      <font>
        <b val="0"/>
        <i/>
        <strike/>
        <condense val="0"/>
        <extend val="0"/>
        <color indexed="10"/>
      </font>
    </dxf>
    <dxf>
      <font>
        <b val="0"/>
        <i/>
        <strike/>
        <condense val="0"/>
        <extend val="0"/>
        <color indexed="10"/>
      </font>
      <fill>
        <patternFill>
          <bgColor theme="0" tint="-0.14996795556505021"/>
        </patternFill>
      </fill>
      <border>
        <left style="thin">
          <color indexed="64"/>
        </left>
        <right style="thin">
          <color indexed="64"/>
        </right>
        <top style="thin">
          <color indexed="64"/>
        </top>
        <bottom style="thin">
          <color indexed="64"/>
        </bottom>
      </border>
    </dxf>
    <dxf>
      <font>
        <color theme="0" tint="-0.14996795556505021"/>
      </font>
      <fill>
        <patternFill>
          <bgColor theme="0" tint="-4.9989318521683403E-2"/>
        </patternFill>
      </fill>
      <border>
        <left style="thin">
          <color auto="1"/>
        </left>
        <right style="thin">
          <color auto="1"/>
        </right>
        <top style="thin">
          <color auto="1"/>
        </top>
        <bottom style="thin">
          <color auto="1"/>
        </bottom>
        <vertical/>
        <horizontal/>
      </border>
    </dxf>
    <dxf>
      <font>
        <b val="0"/>
        <i/>
        <condense val="0"/>
        <extend val="0"/>
        <color indexed="23"/>
      </font>
      <fill>
        <patternFill>
          <bgColor indexed="20"/>
        </patternFill>
      </fill>
      <border>
        <left/>
        <right/>
        <top/>
        <bottom/>
      </border>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color rgb="FFFF0000"/>
      </font>
    </dxf>
    <dxf>
      <font>
        <color theme="4" tint="-0.499984740745262"/>
      </font>
    </dxf>
    <dxf>
      <font>
        <b/>
        <i val="0"/>
        <color theme="3" tint="-0.24994659260841701"/>
      </font>
    </dxf>
    <dxf>
      <font>
        <color theme="3" tint="-0.24994659260841701"/>
      </font>
    </dxf>
    <dxf>
      <font>
        <b/>
        <i val="0"/>
        <color theme="3" tint="-0.24994659260841701"/>
      </font>
    </dxf>
    <dxf>
      <font>
        <strike/>
        <color rgb="FFFF0000"/>
      </font>
      <fill>
        <patternFill>
          <bgColor theme="0" tint="-4.9989318521683403E-2"/>
        </patternFill>
      </fill>
      <border>
        <left/>
        <right/>
        <bottom/>
        <vertical/>
        <horizontal/>
      </border>
    </dxf>
    <dxf>
      <font>
        <color rgb="FFFF0000"/>
      </font>
    </dxf>
    <dxf>
      <font>
        <b val="0"/>
        <i/>
        <strike/>
        <color rgb="FFFF0000"/>
      </font>
      <fill>
        <patternFill>
          <bgColor rgb="FFE6E6E6"/>
        </patternFill>
      </fill>
    </dxf>
    <dxf>
      <font>
        <b/>
        <i val="0"/>
      </font>
      <fill>
        <patternFill>
          <bgColor theme="0"/>
        </patternFill>
      </fill>
    </dxf>
    <dxf>
      <font>
        <b val="0"/>
        <i/>
        <strike/>
        <color rgb="FFFF0000"/>
      </font>
      <fill>
        <patternFill>
          <bgColor theme="0" tint="-4.9989318521683403E-2"/>
        </patternFill>
      </fill>
      <border>
        <left style="thin">
          <color auto="1"/>
        </left>
        <right style="thin">
          <color auto="1"/>
        </right>
        <top style="thin">
          <color auto="1"/>
        </top>
        <bottom style="thin">
          <color auto="1"/>
        </bottom>
      </border>
    </dxf>
    <dxf>
      <font>
        <b val="0"/>
        <i/>
        <strike/>
        <color rgb="FFFF0000"/>
      </font>
      <numFmt numFmtId="3" formatCode="#,##0"/>
      <fill>
        <patternFill>
          <bgColor theme="0" tint="-4.9989318521683403E-2"/>
        </patternFill>
      </fill>
      <border>
        <left/>
        <right/>
        <top/>
        <bottom/>
        <vertical/>
        <horizontal/>
      </border>
    </dxf>
    <dxf>
      <font>
        <b val="0"/>
        <i/>
        <strike/>
        <condense val="0"/>
        <extend val="0"/>
        <color indexed="10"/>
      </font>
    </dxf>
    <dxf>
      <font>
        <b val="0"/>
        <i/>
        <strike/>
        <condense val="0"/>
        <extend val="0"/>
        <color indexed="10"/>
      </font>
      <fill>
        <patternFill patternType="none">
          <bgColor auto="1"/>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strike/>
        <color rgb="FFFF0000"/>
      </font>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i/>
        <color theme="3" tint="-0.24994659260841701"/>
      </font>
    </dxf>
    <dxf>
      <font>
        <b/>
        <i/>
        <color theme="3" tint="-0.24994659260841701"/>
      </font>
    </dxf>
    <dxf>
      <font>
        <b/>
        <i/>
        <color theme="3" tint="-0.24994659260841701"/>
      </font>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b val="0"/>
        <i/>
        <condense val="0"/>
        <extend val="0"/>
        <color indexed="23"/>
      </font>
      <fill>
        <patternFill>
          <bgColor indexed="20"/>
        </patternFill>
      </fill>
      <border>
        <left/>
        <right/>
        <top/>
        <bottom/>
      </border>
    </dxf>
    <dxf>
      <font>
        <b/>
        <i val="0"/>
        <condense val="0"/>
        <extend val="0"/>
        <color indexed="10"/>
      </font>
    </dxf>
    <dxf>
      <font>
        <b/>
        <i val="0"/>
        <condense val="0"/>
        <extend val="0"/>
        <color indexed="10"/>
      </font>
    </dxf>
    <dxf>
      <font>
        <b val="0"/>
        <i/>
        <strike/>
        <color rgb="FFFF0000"/>
      </font>
      <fill>
        <patternFill>
          <bgColor theme="0" tint="-4.9989318521683403E-2"/>
        </patternFill>
      </fill>
    </dxf>
    <dxf>
      <font>
        <b val="0"/>
        <i/>
        <strike/>
        <condense val="0"/>
        <extend val="0"/>
        <color indexed="10"/>
      </font>
    </dxf>
    <dxf>
      <font>
        <b val="0"/>
        <i/>
        <strike/>
        <condense val="0"/>
        <extend val="0"/>
        <color indexed="10"/>
      </font>
    </dxf>
    <dxf>
      <font>
        <b val="0"/>
        <i/>
        <strike/>
        <condense val="0"/>
        <extend val="0"/>
        <color indexed="10"/>
      </font>
    </dxf>
    <dxf>
      <font>
        <b val="0"/>
        <i/>
        <strike/>
        <color rgb="FFFF0000"/>
      </font>
      <fill>
        <patternFill>
          <bgColor theme="0" tint="-0.14996795556505021"/>
        </patternFill>
      </fill>
    </dxf>
    <dxf>
      <font>
        <b val="0"/>
        <i/>
        <strike/>
        <color rgb="FFFF0000"/>
      </font>
      <fill>
        <patternFill>
          <bgColor theme="0" tint="-0.14996795556505021"/>
        </patternFill>
      </fill>
    </dxf>
    <dxf>
      <font>
        <b val="0"/>
        <i/>
        <strike/>
        <color rgb="FFFF0000"/>
      </font>
      <fill>
        <patternFill>
          <bgColor theme="0" tint="-0.14996795556505021"/>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4.9989318521683403E-2"/>
        </patternFill>
      </fill>
    </dxf>
    <dxf>
      <font>
        <b val="0"/>
        <i/>
        <strike/>
        <color rgb="FFFF0000"/>
      </font>
      <fill>
        <patternFill>
          <bgColor theme="0" tint="-4.9989318521683403E-2"/>
        </patternFill>
      </fill>
    </dxf>
    <dxf>
      <font>
        <b val="0"/>
        <i/>
        <strike/>
        <color rgb="FFFF0000"/>
      </font>
      <fill>
        <patternFill>
          <bgColor theme="0" tint="-4.9989318521683403E-2"/>
        </patternFill>
      </fill>
    </dxf>
    <dxf>
      <font>
        <color theme="0" tint="-0.24994659260841701"/>
      </font>
      <fill>
        <patternFill>
          <bgColor theme="0" tint="-0.24994659260841701"/>
        </patternFill>
      </fill>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color theme="0" tint="-0.24994659260841701"/>
      </font>
      <fill>
        <patternFill>
          <bgColor theme="0" tint="-0.24994659260841701"/>
        </patternFill>
      </fill>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color theme="0" tint="-0.24994659260841701"/>
      </font>
      <fill>
        <patternFill>
          <bgColor theme="0" tint="-0.24994659260841701"/>
        </patternFill>
      </fill>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val="0"/>
        <condense val="0"/>
        <extend val="0"/>
        <color indexed="10"/>
      </font>
    </dxf>
    <dxf>
      <font>
        <b val="0"/>
        <i/>
        <strike/>
        <color rgb="FFFF0000"/>
      </font>
      <fill>
        <patternFill>
          <bgColor theme="0" tint="-0.24994659260841701"/>
        </patternFill>
      </fill>
    </dxf>
    <dxf>
      <font>
        <color theme="0" tint="-0.14996795556505021"/>
      </font>
      <fill>
        <patternFill>
          <bgColor theme="0" tint="-0.14996795556505021"/>
        </patternFill>
      </fill>
      <border>
        <right style="thin">
          <color auto="1"/>
        </right>
        <vertical/>
        <horizontal/>
      </border>
    </dxf>
    <dxf>
      <font>
        <color theme="0" tint="-0.14996795556505021"/>
      </font>
      <fill>
        <patternFill>
          <bgColor theme="0" tint="-0.14996795556505021"/>
        </patternFill>
      </fill>
      <border>
        <right style="thin">
          <color auto="1"/>
        </right>
        <vertical/>
        <horizontal/>
      </border>
    </dxf>
    <dxf>
      <font>
        <color theme="0" tint="-0.14996795556505021"/>
      </font>
      <fill>
        <patternFill>
          <bgColor theme="0" tint="-0.14996795556505021"/>
        </patternFill>
      </fill>
      <border>
        <right style="thin">
          <color auto="1"/>
        </right>
        <vertical/>
        <horizontal/>
      </border>
    </dxf>
    <dxf>
      <font>
        <b val="0"/>
        <i/>
        <strike val="0"/>
        <condense val="0"/>
        <extend val="0"/>
        <color indexed="55"/>
      </font>
      <fill>
        <patternFill>
          <bgColor indexed="49"/>
        </patternFill>
      </fill>
      <border>
        <left/>
        <right/>
        <top/>
        <bottom/>
      </border>
    </dxf>
    <dxf>
      <font>
        <b val="0"/>
        <i val="0"/>
        <condense val="0"/>
        <extend val="0"/>
        <color indexed="10"/>
      </font>
    </dxf>
    <dxf>
      <font>
        <b val="0"/>
        <i/>
        <strike/>
        <color rgb="FFFF0000"/>
      </font>
      <fill>
        <patternFill>
          <bgColor theme="0" tint="-0.24994659260841701"/>
        </patternFill>
      </fill>
    </dxf>
    <dxf>
      <font>
        <b val="0"/>
        <i/>
        <strike val="0"/>
        <condense val="0"/>
        <extend val="0"/>
        <color indexed="55"/>
      </font>
      <fill>
        <patternFill>
          <bgColor indexed="49"/>
        </patternFill>
      </fill>
      <border>
        <left/>
        <right/>
        <top/>
        <bottom/>
      </border>
    </dxf>
    <dxf>
      <font>
        <b/>
        <i val="0"/>
        <color rgb="FFFF0000"/>
      </font>
    </dxf>
    <dxf>
      <font>
        <b val="0"/>
        <i/>
        <strike/>
        <color rgb="FFFF0000"/>
      </font>
      <fill>
        <patternFill>
          <bgColor rgb="FFE6E6E6"/>
        </patternFill>
      </fill>
    </dxf>
    <dxf>
      <font>
        <b val="0"/>
        <i/>
        <strike/>
        <condense val="0"/>
        <extend val="0"/>
        <color indexed="10"/>
      </font>
      <fill>
        <patternFill>
          <bgColor indexed="49"/>
        </patternFill>
      </fill>
    </dxf>
    <dxf>
      <font>
        <b val="0"/>
        <i/>
        <condense val="0"/>
        <extend val="0"/>
        <color indexed="23"/>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strike/>
        <color indexed="10"/>
      </font>
      <fill>
        <patternFill>
          <bgColor indexed="49"/>
        </patternFill>
      </fill>
    </dxf>
    <dxf>
      <font>
        <b val="0"/>
        <i/>
        <condense val="0"/>
        <extend val="0"/>
        <color indexed="23"/>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condense val="0"/>
        <extend val="0"/>
        <color indexed="23"/>
      </font>
    </dxf>
    <dxf>
      <font>
        <b val="0"/>
        <i/>
        <color indexed="23"/>
      </font>
    </dxf>
    <dxf>
      <font>
        <b val="0"/>
        <i val="0"/>
        <condense val="0"/>
        <extend val="0"/>
        <color indexed="10"/>
      </font>
    </dxf>
    <dxf>
      <font>
        <b val="0"/>
        <i/>
        <strike/>
        <color rgb="FFFF0000"/>
      </font>
      <fill>
        <patternFill>
          <bgColor rgb="FFE6E6E6"/>
        </patternFill>
      </fill>
    </dxf>
    <dxf>
      <font>
        <b val="0"/>
        <i/>
        <strike/>
        <color rgb="FFFF0000"/>
      </font>
      <fill>
        <patternFill>
          <bgColor rgb="FFE6E6E6"/>
        </patternFill>
      </fill>
    </dxf>
    <dxf>
      <font>
        <b val="0"/>
        <i/>
        <strike/>
        <color rgb="FFFF0000"/>
      </font>
      <fill>
        <patternFill>
          <bgColor rgb="FFE6E6E6"/>
        </patternFill>
      </fill>
    </dxf>
    <dxf>
      <font>
        <color theme="0" tint="-0.499984740745262"/>
      </font>
    </dxf>
    <dxf>
      <font>
        <color theme="0" tint="-0.34998626667073579"/>
      </font>
    </dxf>
    <dxf>
      <font>
        <color theme="0" tint="-0.34998626667073579"/>
      </font>
    </dxf>
    <dxf>
      <font>
        <strike/>
        <color rgb="FFFF0000"/>
      </font>
      <fill>
        <patternFill>
          <bgColor theme="7" tint="0.79998168889431442"/>
        </patternFill>
      </fill>
      <border>
        <left/>
        <right/>
        <top/>
        <bottom/>
      </border>
    </dxf>
    <dxf>
      <font>
        <b val="0"/>
        <i/>
        <color theme="0" tint="-0.34998626667073579"/>
      </font>
      <fill>
        <patternFill>
          <bgColor theme="7" tint="0.79998168889431442"/>
        </patternFill>
      </fill>
      <border>
        <left/>
        <right/>
        <top/>
        <bottom/>
      </border>
    </dxf>
    <dxf>
      <font>
        <b val="0"/>
        <i/>
        <color theme="0" tint="-0.34998626667073579"/>
      </font>
      <fill>
        <patternFill>
          <bgColor theme="7" tint="0.79998168889431442"/>
        </patternFill>
      </fill>
      <border>
        <left/>
        <right/>
        <top/>
        <bottom/>
      </border>
    </dxf>
    <dxf>
      <font>
        <strike/>
        <color rgb="FFFF0000"/>
      </font>
      <fill>
        <patternFill>
          <bgColor theme="7" tint="0.79998168889431442"/>
        </patternFill>
      </fill>
    </dxf>
    <dxf>
      <font>
        <b val="0"/>
        <i/>
        <color theme="0" tint="-0.499984740745262"/>
      </font>
      <fill>
        <patternFill>
          <bgColor theme="7" tint="0.79998168889431442"/>
        </patternFill>
      </fill>
    </dxf>
    <dxf>
      <font>
        <color theme="4" tint="-0.24994659260841701"/>
      </font>
    </dxf>
    <dxf>
      <font>
        <b/>
        <i/>
        <color theme="4" tint="-0.24994659260841701"/>
      </font>
    </dxf>
    <dxf>
      <font>
        <b/>
        <i/>
        <color theme="4" tint="-0.24994659260841701"/>
      </font>
    </dxf>
    <dxf>
      <font>
        <condense val="0"/>
        <extend val="0"/>
        <color indexed="48"/>
      </font>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fill>
        <patternFill>
          <bgColor rgb="FFE6E6E6"/>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vertical/>
        <horizontal/>
      </border>
    </dxf>
    <dxf>
      <font>
        <b val="0"/>
        <i/>
        <strike/>
        <condense val="0"/>
        <extend val="0"/>
        <color indexed="10"/>
      </font>
    </dxf>
    <dxf>
      <font>
        <strike/>
        <condense val="0"/>
        <extend val="0"/>
        <color indexed="10"/>
      </font>
      <fill>
        <patternFill>
          <bgColor indexed="49"/>
        </patternFill>
      </fill>
      <border>
        <left style="thin">
          <color indexed="64"/>
        </left>
        <right style="thin">
          <color indexed="64"/>
        </right>
        <top style="thin">
          <color indexed="64"/>
        </top>
        <bottom style="thin">
          <color indexed="64"/>
        </bottom>
      </border>
    </dxf>
    <dxf>
      <font>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ndense val="0"/>
        <extend val="0"/>
        <color indexed="10"/>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border>
        <left style="thin">
          <color auto="1"/>
        </left>
        <right style="thin">
          <color auto="1"/>
        </right>
        <top style="thin">
          <color auto="1"/>
        </top>
        <bottom style="thin">
          <color auto="1"/>
        </bottom>
        <vertical/>
        <horizontal/>
      </border>
    </dxf>
    <dxf>
      <font>
        <b val="0"/>
        <i/>
        <strike val="0"/>
        <condense val="0"/>
        <extend val="0"/>
        <color indexed="55"/>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fill>
        <patternFill>
          <bgColor rgb="FFE6E6E6"/>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vertical/>
        <horizontal/>
      </border>
    </dxf>
    <dxf>
      <font>
        <b val="0"/>
        <i/>
        <strike/>
        <condense val="0"/>
        <extend val="0"/>
        <color indexed="10"/>
      </font>
    </dxf>
    <dxf>
      <font>
        <strike/>
        <condense val="0"/>
        <extend val="0"/>
        <color indexed="10"/>
      </font>
      <fill>
        <patternFill>
          <bgColor indexed="49"/>
        </patternFill>
      </fill>
      <border>
        <left style="thin">
          <color indexed="64"/>
        </left>
        <right style="thin">
          <color indexed="64"/>
        </right>
        <top style="thin">
          <color indexed="64"/>
        </top>
        <bottom style="thin">
          <color indexed="64"/>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ndense val="0"/>
        <extend val="0"/>
        <color indexed="10"/>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border>
        <left style="thin">
          <color auto="1"/>
        </left>
        <right style="thin">
          <color auto="1"/>
        </right>
        <top style="thin">
          <color auto="1"/>
        </top>
        <bottom style="thin">
          <color auto="1"/>
        </bottom>
        <vertical/>
        <horizontal/>
      </border>
    </dxf>
    <dxf>
      <font>
        <b val="0"/>
        <i/>
        <strike val="0"/>
        <condense val="0"/>
        <extend val="0"/>
        <color indexed="55"/>
      </font>
      <fill>
        <patternFill>
          <bgColor indexed="49"/>
        </patternFill>
      </fill>
      <border>
        <left/>
        <right/>
        <top/>
        <bottom/>
      </border>
    </dxf>
    <dxf>
      <font>
        <b/>
        <i val="0"/>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condense val="0"/>
        <extend val="0"/>
        <color indexed="10"/>
      </font>
      <fill>
        <patternFill>
          <bgColor indexed="20"/>
        </patternFill>
      </fill>
      <border>
        <left/>
        <right/>
        <top/>
        <bottom/>
      </border>
    </dxf>
    <dxf>
      <font>
        <b val="0"/>
        <i/>
        <condense val="0"/>
        <extend val="0"/>
        <color indexed="23"/>
      </font>
      <fill>
        <patternFill>
          <bgColor indexed="20"/>
        </patternFill>
      </fill>
      <border>
        <left/>
        <right/>
        <top/>
        <bottom/>
      </border>
    </dxf>
    <dxf>
      <font>
        <b/>
        <i val="0"/>
        <condense val="0"/>
        <extend val="0"/>
        <color indexed="10"/>
      </font>
    </dxf>
    <dxf>
      <font>
        <b val="0"/>
        <i/>
        <strike/>
        <color rgb="FFFF0000"/>
      </font>
    </dxf>
    <dxf>
      <font>
        <b val="0"/>
        <i/>
        <strike/>
        <color rgb="FFFF0000"/>
      </font>
      <fill>
        <patternFill patternType="none">
          <bgColor auto="1"/>
        </patternFill>
      </fill>
    </dxf>
    <dxf>
      <font>
        <b val="0"/>
        <i/>
        <strike/>
        <color rgb="FFFF0000"/>
      </font>
      <fill>
        <patternFill>
          <bgColor theme="2"/>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condense val="0"/>
        <extend val="0"/>
        <color indexed="23"/>
      </font>
    </dxf>
    <dxf>
      <font>
        <b val="0"/>
        <i/>
        <strike/>
        <condense val="0"/>
        <extend val="0"/>
        <color indexed="10"/>
      </font>
      <fill>
        <patternFill>
          <bgColor indexed="20"/>
        </patternFill>
      </fill>
    </dxf>
    <dxf>
      <font>
        <b val="0"/>
        <i/>
        <strike val="0"/>
        <condense val="0"/>
        <extend val="0"/>
        <color indexed="20"/>
      </font>
      <fill>
        <patternFill>
          <bgColor indexed="20"/>
        </patternFill>
      </fill>
    </dxf>
    <dxf>
      <font>
        <b val="0"/>
        <i/>
        <strike val="0"/>
        <condense val="0"/>
        <extend val="0"/>
        <color indexed="20"/>
      </font>
      <fill>
        <patternFill>
          <bgColor indexed="20"/>
        </patternFill>
      </fill>
    </dxf>
    <dxf>
      <font>
        <b val="0"/>
        <i/>
        <strike/>
        <condense val="0"/>
        <extend val="0"/>
        <color indexed="10"/>
      </font>
      <fill>
        <patternFill>
          <bgColor indexed="20"/>
        </patternFill>
      </fill>
    </dxf>
    <dxf>
      <border>
        <left style="thin">
          <color indexed="64"/>
        </left>
        <right style="thin">
          <color indexed="64"/>
        </right>
        <top style="thin">
          <color indexed="64"/>
        </top>
        <bottom style="thin">
          <color indexed="64"/>
        </bottom>
      </border>
    </dxf>
    <dxf>
      <font>
        <condense val="0"/>
        <extend val="0"/>
        <color indexed="58"/>
      </font>
    </dxf>
    <dxf>
      <font>
        <condense val="0"/>
        <extend val="0"/>
        <color indexed="58"/>
      </font>
    </dxf>
    <dxf>
      <font>
        <b val="0"/>
        <i/>
        <condense val="0"/>
        <extend val="0"/>
        <color indexed="58"/>
      </font>
    </dxf>
    <dxf>
      <font>
        <b val="0"/>
        <i/>
        <condense val="0"/>
        <extend val="0"/>
        <color indexed="58"/>
      </font>
    </dxf>
    <dxf>
      <font>
        <b val="0"/>
        <i/>
        <condense val="0"/>
        <extend val="0"/>
        <color indexed="56"/>
      </font>
    </dxf>
    <dxf>
      <font>
        <b val="0"/>
        <i/>
        <condense val="0"/>
        <extend val="0"/>
        <color indexed="18"/>
      </font>
    </dxf>
    <dxf>
      <font>
        <b val="0"/>
        <i/>
        <condense val="0"/>
        <extend val="0"/>
        <color indexed="18"/>
      </font>
    </dxf>
    <dxf>
      <font>
        <b/>
        <i val="0"/>
        <condense val="0"/>
        <extend val="0"/>
        <color indexed="18"/>
      </font>
    </dxf>
    <dxf>
      <font>
        <b/>
        <i/>
        <strike val="0"/>
        <condense val="0"/>
        <extend val="0"/>
        <color indexed="58"/>
      </font>
      <fill>
        <patternFill>
          <bgColor indexed="20"/>
        </patternFill>
      </fill>
    </dxf>
    <dxf>
      <font>
        <b val="0"/>
        <i/>
        <strike/>
        <condense val="0"/>
        <extend val="0"/>
        <color indexed="10"/>
      </font>
      <fill>
        <patternFill>
          <bgColor indexed="20"/>
        </patternFill>
      </fill>
    </dxf>
    <dxf>
      <font>
        <b val="0"/>
        <i/>
        <condense val="0"/>
        <extend val="0"/>
        <color indexed="18"/>
      </font>
    </dxf>
    <dxf>
      <font>
        <b val="0"/>
        <i/>
        <strike/>
        <condense val="0"/>
        <extend val="0"/>
        <color indexed="10"/>
      </font>
      <fill>
        <patternFill>
          <bgColor indexed="20"/>
        </patternFill>
      </fill>
    </dxf>
    <dxf>
      <font>
        <b/>
        <i/>
        <strike val="0"/>
        <condense val="0"/>
        <extend val="0"/>
        <color indexed="58"/>
      </font>
      <fill>
        <patternFill>
          <bgColor indexed="20"/>
        </patternFill>
      </fill>
    </dxf>
    <dxf>
      <font>
        <b val="0"/>
        <i/>
        <strike/>
        <condense val="0"/>
        <extend val="0"/>
        <color indexed="10"/>
      </font>
      <fill>
        <patternFill>
          <bgColor indexed="20"/>
        </patternFill>
      </fill>
    </dxf>
    <dxf>
      <font>
        <b/>
        <i val="0"/>
        <condense val="0"/>
        <extend val="0"/>
        <color indexed="23"/>
      </font>
    </dxf>
    <dxf>
      <font>
        <condense val="0"/>
        <extend val="0"/>
        <color indexed="58"/>
      </font>
    </dxf>
    <dxf>
      <font>
        <condense val="0"/>
        <extend val="0"/>
        <color indexed="58"/>
      </font>
    </dxf>
    <dxf>
      <font>
        <condense val="0"/>
        <extend val="0"/>
        <color indexed="58"/>
      </font>
    </dxf>
    <dxf>
      <font>
        <condense val="0"/>
        <extend val="0"/>
        <color indexed="58"/>
      </font>
    </dxf>
    <dxf>
      <font>
        <b val="0"/>
        <i val="0"/>
        <condense val="0"/>
        <extend val="0"/>
        <color indexed="18"/>
      </font>
    </dxf>
    <dxf>
      <font>
        <b val="0"/>
        <i/>
        <strike val="0"/>
        <condense val="0"/>
        <extend val="0"/>
        <color indexed="58"/>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i/>
        <condense val="0"/>
        <extend val="0"/>
        <color indexed="18"/>
      </font>
    </dxf>
    <dxf>
      <font>
        <b/>
        <i/>
        <condense val="0"/>
        <extend val="0"/>
        <color indexed="18"/>
      </font>
    </dxf>
    <dxf>
      <font>
        <b/>
        <i/>
        <condense val="0"/>
        <extend val="0"/>
        <color indexed="18"/>
      </font>
    </dxf>
    <dxf>
      <font>
        <condense val="0"/>
        <extend val="0"/>
        <color indexed="63"/>
      </font>
    </dxf>
    <dxf>
      <font>
        <b val="0"/>
        <i/>
        <strike/>
        <condense val="0"/>
        <extend val="0"/>
        <color indexed="10"/>
      </font>
      <fill>
        <patternFill>
          <bgColor indexed="20"/>
        </patternFill>
      </fill>
    </dxf>
    <dxf>
      <font>
        <b/>
        <i val="0"/>
        <condense val="0"/>
        <extend val="0"/>
        <color indexed="23"/>
      </font>
    </dxf>
    <dxf>
      <font>
        <b val="0"/>
        <i/>
        <strike/>
        <condense val="0"/>
        <extend val="0"/>
        <color indexed="10"/>
      </font>
      <fill>
        <patternFill>
          <bgColor indexed="20"/>
        </patternFill>
      </fill>
    </dxf>
    <dxf>
      <font>
        <b val="0"/>
        <i/>
        <strike/>
        <condense val="0"/>
        <extend val="0"/>
        <color indexed="10"/>
      </font>
      <fill>
        <patternFill>
          <bgColor indexed="20"/>
        </patternFill>
      </fill>
    </dxf>
    <dxf>
      <font>
        <condense val="0"/>
        <extend val="0"/>
        <color indexed="20"/>
      </font>
    </dxf>
    <dxf>
      <font>
        <strike val="0"/>
        <color theme="3"/>
      </font>
    </dxf>
    <dxf>
      <font>
        <b val="0"/>
        <i val="0"/>
        <color indexed="56"/>
      </font>
    </dxf>
    <dxf>
      <font>
        <b/>
        <i/>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val="0"/>
        <i/>
        <strike/>
        <color rgb="FFFF0000"/>
      </font>
    </dxf>
    <dxf>
      <font>
        <b val="0"/>
        <i/>
        <strike/>
        <color rgb="FFFF0000"/>
      </font>
      <fill>
        <patternFill patternType="none">
          <bgColor indexed="65"/>
        </patternFill>
      </fill>
    </dxf>
    <dxf>
      <font>
        <b val="0"/>
        <i/>
        <strike/>
        <color rgb="FFFF0000"/>
      </font>
      <fill>
        <patternFill patternType="none">
          <bgColor indexed="65"/>
        </patternFill>
      </fill>
    </dxf>
    <dxf>
      <font>
        <b val="0"/>
        <i/>
        <strike/>
        <condense val="0"/>
        <extend val="0"/>
        <color rgb="FFE6E6E6"/>
      </font>
      <fill>
        <patternFill>
          <bgColor rgb="FFE6E6E6"/>
        </patternFill>
      </fill>
      <border>
        <left/>
        <right/>
        <top/>
        <bottom/>
      </border>
    </dxf>
    <dxf>
      <font>
        <b/>
        <i/>
        <condense val="0"/>
        <extend val="0"/>
        <color indexed="56"/>
      </font>
    </dxf>
    <dxf>
      <font>
        <b/>
        <i/>
        <condense val="0"/>
        <extend val="0"/>
        <color indexed="56"/>
      </font>
    </dxf>
    <dxf>
      <font>
        <condense val="0"/>
        <extend val="0"/>
        <color indexed="48"/>
      </font>
    </dxf>
    <dxf>
      <font>
        <color theme="0" tint="-0.499984740745262"/>
      </font>
      <fill>
        <patternFill>
          <bgColor theme="7" tint="0.79998168889431442"/>
        </patternFill>
      </fill>
    </dxf>
    <dxf>
      <font>
        <b val="0"/>
        <i/>
        <strike/>
        <color rgb="FFFF0000"/>
      </font>
      <fill>
        <patternFill>
          <bgColor theme="2"/>
        </patternFill>
      </fill>
      <border>
        <left/>
        <right/>
        <top/>
        <bottom/>
      </border>
    </dxf>
    <dxf>
      <font>
        <b val="0"/>
        <i/>
        <strike/>
        <color rgb="FFFF0000"/>
      </font>
      <fill>
        <patternFill>
          <bgColor theme="7" tint="0.79998168889431442"/>
        </patternFill>
      </fill>
      <border>
        <left/>
        <right/>
        <top style="thin">
          <color auto="1"/>
        </top>
        <bottom/>
      </border>
    </dxf>
    <dxf>
      <font>
        <b val="0"/>
        <i val="0"/>
        <strike/>
        <condense val="0"/>
        <extend val="0"/>
        <color indexed="10"/>
      </font>
      <fill>
        <patternFill>
          <bgColor indexed="20"/>
        </patternFill>
      </fill>
    </dxf>
    <dxf>
      <font>
        <color theme="0" tint="-0.499984740745262"/>
      </font>
    </dxf>
    <dxf>
      <font>
        <b val="0"/>
        <i/>
        <color rgb="FFFF0000"/>
      </font>
    </dxf>
    <dxf>
      <font>
        <b val="0"/>
        <i/>
        <color rgb="FFFF0000"/>
      </font>
    </dxf>
    <dxf>
      <font>
        <b val="0"/>
        <i/>
        <color rgb="FFFF0000"/>
      </font>
    </dxf>
    <dxf>
      <font>
        <b val="0"/>
        <i/>
        <color rgb="FFFF0000"/>
      </font>
    </dxf>
    <dxf>
      <font>
        <b val="0"/>
        <i/>
        <strike/>
        <color theme="0" tint="-0.14996795556505021"/>
      </font>
      <fill>
        <patternFill>
          <bgColor theme="7" tint="0.79998168889431442"/>
        </patternFill>
      </fill>
    </dxf>
    <dxf>
      <font>
        <b val="0"/>
        <i/>
        <strike/>
        <condense val="0"/>
        <extend val="0"/>
        <color indexed="10"/>
      </font>
      <fill>
        <patternFill>
          <bgColor indexed="20"/>
        </patternFill>
      </fill>
    </dxf>
    <dxf>
      <font>
        <b val="0"/>
        <i val="0"/>
        <strike val="0"/>
        <condense val="0"/>
        <extend val="0"/>
        <color indexed="55"/>
      </font>
      <fill>
        <patternFill>
          <bgColor indexed="20"/>
        </patternFill>
      </fill>
    </dxf>
    <dxf>
      <font>
        <color theme="0" tint="-0.499984740745262"/>
      </font>
      <fill>
        <patternFill>
          <bgColor theme="7" tint="0.79998168889431442"/>
        </patternFill>
      </fill>
    </dxf>
    <dxf>
      <font>
        <b val="0"/>
        <i/>
        <strike/>
        <condense val="0"/>
        <extend val="0"/>
        <color rgb="FFFF0000"/>
      </font>
      <fill>
        <patternFill>
          <bgColor rgb="FFE6E6E6"/>
        </patternFill>
      </fill>
      <border>
        <left style="thin">
          <color rgb="FF000000"/>
        </left>
        <right style="thin">
          <color rgb="FF000000"/>
        </right>
        <top style="thin">
          <color rgb="FF000000"/>
        </top>
        <bottom style="thin">
          <color rgb="FF000000"/>
        </bottom>
      </border>
    </dxf>
    <dxf>
      <font>
        <color theme="0" tint="-0.14996795556505021"/>
      </font>
      <fill>
        <patternFill>
          <bgColor theme="7" tint="0.79998168889431442"/>
        </patternFill>
      </fill>
    </dxf>
    <dxf>
      <font>
        <b val="0"/>
        <i/>
        <strike/>
        <color rgb="FFFF0000"/>
      </font>
      <fill>
        <patternFill>
          <bgColor theme="7" tint="0.79998168889431442"/>
        </patternFill>
      </fill>
      <border>
        <left/>
        <right/>
        <top/>
        <bottom/>
      </border>
    </dxf>
    <dxf>
      <font>
        <color theme="0" tint="-0.499984740745262"/>
      </font>
      <fill>
        <patternFill>
          <bgColor theme="7" tint="0.79998168889431442"/>
        </patternFill>
      </fill>
    </dxf>
    <dxf>
      <font>
        <color theme="0" tint="-0.499984740745262"/>
      </font>
      <fill>
        <patternFill>
          <bgColor theme="7" tint="0.79998168889431442"/>
        </patternFill>
      </fill>
      <border>
        <left style="thin">
          <color indexed="64"/>
        </left>
        <right style="thin">
          <color indexed="64"/>
        </right>
        <top style="thin">
          <color indexed="64"/>
        </top>
        <bottom style="thin">
          <color indexed="64"/>
        </bottom>
      </border>
    </dxf>
    <dxf>
      <font>
        <b val="0"/>
        <i/>
        <strike val="0"/>
        <condense val="0"/>
        <extend val="0"/>
        <color rgb="FF808080"/>
      </font>
      <fill>
        <patternFill>
          <bgColor rgb="FFE6E6E6"/>
        </patternFill>
      </fill>
      <border>
        <left/>
        <right/>
        <top/>
        <bottom/>
      </border>
    </dxf>
    <dxf>
      <font>
        <condense val="0"/>
        <extend val="0"/>
        <color rgb="FFE6E6E6"/>
      </font>
      <fill>
        <patternFill>
          <bgColor rgb="FFE6E6E6"/>
        </patternFill>
      </fill>
      <border>
        <left/>
        <right/>
        <top/>
        <bottom/>
      </border>
    </dxf>
    <dxf>
      <font>
        <color theme="0" tint="-0.499984740745262"/>
      </font>
    </dxf>
    <dxf>
      <font>
        <b/>
        <i/>
        <condense val="0"/>
        <extend val="0"/>
        <color indexed="56"/>
      </font>
    </dxf>
    <dxf>
      <font>
        <b/>
        <i/>
        <condense val="0"/>
        <extend val="0"/>
        <color indexed="56"/>
      </font>
    </dxf>
    <dxf>
      <font>
        <b val="0"/>
        <i/>
        <strike/>
        <condense val="0"/>
        <extend val="0"/>
        <color indexed="10"/>
      </font>
      <fill>
        <patternFill>
          <bgColor indexed="49"/>
        </patternFill>
      </fill>
    </dxf>
    <dxf>
      <font>
        <b val="0"/>
        <i/>
        <condense val="0"/>
        <extend val="0"/>
        <color indexed="23"/>
      </font>
    </dxf>
    <dxf>
      <font>
        <condense val="0"/>
        <extend val="0"/>
        <color indexed="20"/>
      </font>
    </dxf>
    <dxf>
      <font>
        <b/>
        <i val="0"/>
        <condense val="0"/>
        <extend val="0"/>
        <color indexed="62"/>
      </font>
    </dxf>
    <dxf>
      <font>
        <b/>
        <i val="0"/>
        <condense val="0"/>
        <extend val="0"/>
        <color indexed="62"/>
      </font>
    </dxf>
    <dxf>
      <font>
        <b val="0"/>
        <i/>
        <strike/>
        <condense val="0"/>
        <extend val="0"/>
        <color indexed="18"/>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strike/>
        <condense val="0"/>
        <extend val="0"/>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color rgb="FFFF0000"/>
      </font>
      <fill>
        <patternFill>
          <bgColor rgb="FFE6E6E6"/>
        </patternFill>
      </fill>
    </dxf>
    <dxf>
      <font>
        <b val="0"/>
        <i/>
        <strike/>
        <color rgb="FFFF0000"/>
      </font>
      <fill>
        <patternFill>
          <bgColor rgb="FFE6E6E6"/>
        </patternFill>
      </fill>
    </dxf>
    <dxf>
      <font>
        <b val="0"/>
        <i/>
        <strike/>
        <color rgb="FFFF0000"/>
      </font>
      <fill>
        <patternFill>
          <bgColor rgb="FFE6E6E6"/>
        </patternFill>
      </fill>
    </dxf>
    <dxf>
      <font>
        <b/>
        <i/>
        <condense val="0"/>
        <extend val="0"/>
        <color indexed="55"/>
      </font>
    </dxf>
    <dxf>
      <font>
        <b/>
        <i/>
        <condense val="0"/>
        <extend val="0"/>
        <color indexed="55"/>
      </font>
    </dxf>
    <dxf>
      <font>
        <b/>
        <i/>
        <condense val="0"/>
        <extend val="0"/>
        <color indexed="55"/>
      </font>
    </dxf>
    <dxf>
      <font>
        <b/>
        <i/>
        <condense val="0"/>
        <extend val="0"/>
        <color indexed="55"/>
      </font>
    </dxf>
    <dxf>
      <font>
        <b/>
        <i/>
        <condense val="0"/>
        <extend val="0"/>
        <color indexed="55"/>
      </font>
    </dxf>
    <dxf>
      <font>
        <b/>
        <i/>
        <condense val="0"/>
        <extend val="0"/>
        <color indexed="55"/>
      </font>
    </dxf>
    <dxf>
      <font>
        <condense val="0"/>
        <extend val="0"/>
        <color indexed="49"/>
      </font>
    </dxf>
    <dxf>
      <font>
        <condense val="0"/>
        <extend val="0"/>
        <color indexed="49"/>
      </font>
    </dxf>
    <dxf>
      <font>
        <condense val="0"/>
        <extend val="0"/>
        <color indexed="49"/>
      </font>
    </dxf>
    <dxf>
      <font>
        <b/>
        <i val="0"/>
        <condense val="0"/>
        <extend val="0"/>
        <color indexed="10"/>
      </font>
    </dxf>
    <dxf>
      <font>
        <b/>
        <i val="0"/>
        <condense val="0"/>
        <extend val="0"/>
        <color indexed="18"/>
      </font>
    </dxf>
    <dxf>
      <font>
        <b/>
        <i/>
        <color theme="4" tint="-0.499984740745262"/>
      </font>
    </dxf>
    <dxf>
      <font>
        <b/>
        <i/>
        <strike val="0"/>
        <color theme="3" tint="-0.24994659260841701"/>
      </font>
    </dxf>
    <dxf>
      <font>
        <b/>
        <i val="0"/>
        <color rgb="FFFF0000"/>
      </font>
    </dxf>
    <dxf>
      <font>
        <b/>
        <i/>
        <color rgb="FFFF0000"/>
      </font>
    </dxf>
    <dxf>
      <font>
        <b val="0"/>
        <i/>
        <strike/>
        <color rgb="FFFF0000"/>
      </font>
      <fill>
        <patternFill>
          <bgColor rgb="FFE6E6E6"/>
        </patternFill>
      </fill>
    </dxf>
    <dxf>
      <font>
        <b val="0"/>
        <i/>
        <strike/>
        <color rgb="FFFF0000"/>
      </font>
      <fill>
        <patternFill>
          <bgColor rgb="FFE6E6E6"/>
        </patternFill>
      </fill>
    </dxf>
    <dxf>
      <font>
        <b/>
        <i val="0"/>
        <condense val="0"/>
        <extend val="0"/>
        <color indexed="10"/>
      </font>
    </dxf>
    <dxf>
      <font>
        <condense val="0"/>
        <extend val="0"/>
        <color indexed="22"/>
      </font>
      <fill>
        <patternFill>
          <bgColor indexed="22"/>
        </patternFill>
      </fill>
    </dxf>
    <dxf>
      <fill>
        <patternFill>
          <bgColor indexed="20"/>
        </patternFill>
      </fill>
      <border>
        <left/>
      </border>
    </dxf>
    <dxf>
      <font>
        <b/>
        <i val="0"/>
        <condense val="0"/>
        <extend val="0"/>
        <color indexed="10"/>
      </font>
    </dxf>
    <dxf>
      <font>
        <b/>
        <i val="0"/>
        <condense val="0"/>
        <extend val="0"/>
        <color indexed="18"/>
      </font>
    </dxf>
    <dxf>
      <font>
        <b/>
        <i/>
        <strike/>
        <condense val="0"/>
        <extend val="0"/>
        <color indexed="10"/>
      </font>
      <fill>
        <patternFill>
          <bgColor indexed="20"/>
        </patternFill>
      </fill>
      <border>
        <left/>
        <right/>
        <top/>
        <bottom/>
      </border>
    </dxf>
    <dxf>
      <font>
        <condense val="0"/>
        <extend val="0"/>
        <color indexed="20"/>
      </font>
      <fill>
        <patternFill>
          <bgColor indexed="20"/>
        </patternFill>
      </fill>
      <border>
        <left/>
        <right/>
        <top/>
        <bottom/>
      </border>
    </dxf>
    <dxf>
      <fill>
        <patternFill>
          <bgColor indexed="42"/>
        </patternFill>
      </fill>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dxf>
    <dxf>
      <font>
        <b val="0"/>
        <i val="0"/>
        <strike/>
        <condense val="0"/>
        <extend val="0"/>
        <color indexed="23"/>
      </font>
      <fill>
        <patternFill>
          <bgColor indexed="20"/>
        </patternFill>
      </fill>
      <border>
        <left/>
        <right/>
        <top/>
        <bottom/>
      </border>
    </dxf>
    <dxf>
      <font>
        <b/>
        <i/>
        <strike/>
        <condense val="0"/>
        <extend val="0"/>
        <color indexed="10"/>
      </font>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bgColor indexed="20"/>
        </patternFill>
      </fill>
    </dxf>
    <dxf>
      <font>
        <b/>
        <i/>
        <strike/>
        <condense val="0"/>
        <extend val="0"/>
        <color indexed="10"/>
      </font>
    </dxf>
    <dxf>
      <font>
        <b/>
        <i/>
        <strike/>
        <condense val="0"/>
        <extend val="0"/>
        <color indexed="10"/>
      </font>
      <fill>
        <patternFill patternType="none">
          <bgColor indexed="65"/>
        </patternFill>
      </fill>
    </dxf>
    <dxf>
      <font>
        <b val="0"/>
        <i val="0"/>
        <strike val="0"/>
        <condense val="0"/>
        <extend val="0"/>
        <color indexed="20"/>
      </font>
      <fill>
        <patternFill>
          <bgColor indexed="20"/>
        </patternFill>
      </fill>
      <border>
        <left/>
        <right/>
        <top/>
        <bottom/>
      </border>
    </dxf>
    <dxf>
      <fill>
        <patternFill>
          <bgColor indexed="41"/>
        </patternFill>
      </fill>
    </dxf>
    <dxf>
      <font>
        <condense val="0"/>
        <extend val="0"/>
        <color indexed="20"/>
      </font>
      <fill>
        <patternFill>
          <bgColor indexed="20"/>
        </patternFill>
      </fill>
    </dxf>
    <dxf>
      <font>
        <condense val="0"/>
        <extend val="0"/>
        <color indexed="20"/>
      </font>
      <fill>
        <patternFill>
          <bgColor indexed="20"/>
        </patternFill>
      </fill>
      <border>
        <left/>
        <right/>
        <top/>
        <bottom/>
      </border>
    </dxf>
    <dxf>
      <font>
        <b/>
        <i/>
        <condense val="0"/>
        <extend val="0"/>
        <color indexed="10"/>
      </font>
    </dxf>
    <dxf>
      <font>
        <b/>
        <i val="0"/>
        <condense val="0"/>
        <extend val="0"/>
        <color indexed="10"/>
      </font>
    </dxf>
    <dxf>
      <font>
        <b/>
        <i val="0"/>
        <condense val="0"/>
        <extend val="0"/>
        <color indexed="18"/>
      </font>
    </dxf>
    <dxf>
      <font>
        <condense val="0"/>
        <extend val="0"/>
        <color indexed="23"/>
      </font>
      <fill>
        <patternFill>
          <bgColor indexed="22"/>
        </patternFill>
      </fill>
    </dxf>
    <dxf>
      <font>
        <condense val="0"/>
        <extend val="0"/>
        <color indexed="23"/>
      </font>
      <fill>
        <patternFill>
          <bgColor indexed="22"/>
        </patternFill>
      </fill>
    </dxf>
    <dxf>
      <font>
        <b/>
        <i/>
        <strike/>
        <condense val="0"/>
        <extend val="0"/>
        <color indexed="10"/>
      </font>
      <fill>
        <patternFill patternType="solid">
          <bgColor indexed="22"/>
        </patternFill>
      </fill>
    </dxf>
    <dxf>
      <font>
        <b/>
        <i/>
        <strike/>
        <condense val="0"/>
        <extend val="0"/>
        <color indexed="10"/>
      </font>
      <fill>
        <patternFill patternType="none">
          <bgColor indexed="65"/>
        </patternFill>
      </fill>
    </dxf>
    <dxf>
      <font>
        <condense val="0"/>
        <extend val="0"/>
        <color indexed="22"/>
      </font>
      <fill>
        <patternFill>
          <bgColor indexed="20"/>
        </patternFill>
      </fill>
    </dxf>
    <dxf>
      <font>
        <condense val="0"/>
        <extend val="0"/>
        <color indexed="20"/>
      </font>
      <fill>
        <patternFill>
          <bgColor indexed="20"/>
        </patternFill>
      </fill>
    </dxf>
    <dxf>
      <font>
        <condense val="0"/>
        <extend val="0"/>
        <color indexed="22"/>
      </font>
      <fill>
        <patternFill>
          <bgColor indexed="20"/>
        </patternFill>
      </fill>
    </dxf>
    <dxf>
      <border>
        <left/>
        <right/>
        <top/>
        <bottom/>
      </border>
    </dxf>
    <dxf>
      <font>
        <condense val="0"/>
        <extend val="0"/>
        <color indexed="20"/>
      </font>
      <fill>
        <patternFill>
          <bgColor indexed="20"/>
        </patternFill>
      </fill>
      <border>
        <left/>
        <right/>
        <top/>
        <bottom/>
      </border>
    </dxf>
    <dxf>
      <font>
        <condense val="0"/>
        <extend val="0"/>
        <color indexed="22"/>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2"/>
      </font>
      <fill>
        <patternFill>
          <bgColor indexed="20"/>
        </patternFill>
      </fill>
      <border>
        <left/>
        <right/>
        <top/>
        <bottom/>
      </border>
    </dxf>
    <dxf>
      <font>
        <b/>
        <i/>
        <condense val="0"/>
        <extend val="0"/>
        <color indexed="10"/>
      </font>
    </dxf>
    <dxf>
      <font>
        <b/>
        <i/>
        <strike/>
        <condense val="0"/>
        <extend val="0"/>
        <color indexed="1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3"/>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3"/>
      </font>
      <fill>
        <patternFill>
          <bgColor indexed="20"/>
        </patternFill>
      </fill>
      <border>
        <left style="thin">
          <color indexed="64"/>
        </left>
        <right style="thin">
          <color indexed="64"/>
        </right>
        <top style="thin">
          <color indexed="64"/>
        </top>
        <bottom style="thin">
          <color indexed="64"/>
        </bottom>
      </border>
    </dxf>
    <dxf>
      <font>
        <condense val="0"/>
        <extend val="0"/>
        <color indexed="23"/>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strike val="0"/>
        <condense val="0"/>
        <extend val="0"/>
        <color indexed="20"/>
      </font>
      <fill>
        <patternFill>
          <bgColor indexed="20"/>
        </patternFill>
      </fill>
      <border>
        <left/>
        <right/>
        <top/>
        <bottom/>
      </border>
    </dxf>
    <dxf>
      <font>
        <condense val="0"/>
        <extend val="0"/>
        <color indexed="43"/>
      </font>
    </dxf>
    <dxf>
      <font>
        <b val="0"/>
        <i/>
        <condense val="0"/>
        <extend val="0"/>
        <color indexed="10"/>
      </font>
      <fill>
        <patternFill>
          <bgColor indexed="20"/>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fill>
        <patternFill>
          <bgColor indexed="20"/>
        </patternFill>
      </fill>
      <border>
        <left/>
        <right/>
        <top/>
        <bottom/>
      </border>
    </dxf>
    <dxf>
      <font>
        <b/>
        <i val="0"/>
        <condense val="0"/>
        <extend val="0"/>
        <color indexed="10"/>
      </font>
    </dxf>
    <dxf>
      <font>
        <b/>
        <i/>
        <condense val="0"/>
        <extend val="0"/>
        <color indexed="10"/>
      </font>
      <fill>
        <patternFill>
          <bgColor indexed="20"/>
        </patternFill>
      </fill>
    </dxf>
    <dxf>
      <font>
        <b/>
        <i/>
        <condense val="0"/>
        <extend val="0"/>
        <color indexed="10"/>
      </font>
    </dxf>
    <dxf>
      <font>
        <b val="0"/>
        <i/>
        <condense val="0"/>
        <extend val="0"/>
        <color indexed="10"/>
      </font>
      <fill>
        <patternFill>
          <bgColor indexed="20"/>
        </patternFill>
      </fill>
    </dxf>
    <dxf>
      <font>
        <condense val="0"/>
        <extend val="0"/>
        <color indexed="20"/>
      </font>
    </dxf>
    <dxf>
      <font>
        <b/>
        <i val="0"/>
        <condense val="0"/>
        <extend val="0"/>
        <color indexed="10"/>
      </font>
    </dxf>
    <dxf>
      <font>
        <b/>
        <i val="0"/>
        <condense val="0"/>
        <extend val="0"/>
        <color indexed="10"/>
      </font>
    </dxf>
    <dxf>
      <font>
        <condense val="0"/>
        <extend val="0"/>
        <color auto="1"/>
      </font>
    </dxf>
    <dxf>
      <font>
        <condense val="0"/>
        <extend val="0"/>
        <color indexed="23"/>
      </font>
      <fill>
        <patternFill>
          <bgColor indexed="20"/>
        </patternFill>
      </fill>
      <border>
        <right style="thin">
          <color indexed="64"/>
        </right>
      </border>
    </dxf>
    <dxf>
      <font>
        <b val="0"/>
        <i/>
        <strike/>
        <condense val="0"/>
        <extend val="0"/>
        <color indexed="10"/>
      </font>
    </dxf>
    <dxf>
      <font>
        <b/>
        <i val="0"/>
        <condense val="0"/>
        <extend val="0"/>
        <color indexed="18"/>
      </font>
    </dxf>
    <dxf>
      <font>
        <b/>
        <i val="0"/>
        <condense val="0"/>
        <extend val="0"/>
        <color indexed="18"/>
      </font>
    </dxf>
    <dxf>
      <font>
        <b val="0"/>
        <i val="0"/>
        <condense val="0"/>
        <extend val="0"/>
        <color indexed="55"/>
      </font>
      <fill>
        <patternFill>
          <bgColor indexed="20"/>
        </patternFill>
      </fill>
      <border>
        <left style="thin">
          <color indexed="64"/>
        </left>
      </border>
    </dxf>
    <dxf>
      <font>
        <b val="0"/>
        <i/>
        <condense val="0"/>
        <extend val="0"/>
        <color indexed="23"/>
      </font>
      <fill>
        <patternFill>
          <bgColor indexed="20"/>
        </patternFill>
      </fill>
      <border>
        <right/>
      </border>
    </dxf>
    <dxf>
      <font>
        <b val="0"/>
        <i/>
        <strike/>
        <condense val="0"/>
        <extend val="0"/>
        <color indexed="10"/>
      </font>
    </dxf>
    <dxf>
      <font>
        <b/>
        <i/>
        <condense val="0"/>
        <extend val="0"/>
        <color indexed="20"/>
      </font>
    </dxf>
    <dxf>
      <font>
        <condense val="0"/>
        <extend val="0"/>
        <color indexed="10"/>
      </font>
    </dxf>
    <dxf>
      <font>
        <condense val="0"/>
        <extend val="0"/>
        <color indexed="10"/>
      </font>
    </dxf>
    <dxf>
      <font>
        <condense val="0"/>
        <extend val="0"/>
        <color indexed="10"/>
      </font>
    </dxf>
    <dxf>
      <font>
        <b/>
        <i val="0"/>
        <condense val="0"/>
        <extend val="0"/>
        <color indexed="18"/>
      </font>
    </dxf>
    <dxf>
      <font>
        <condense val="0"/>
        <extend val="0"/>
        <color indexed="10"/>
      </font>
    </dxf>
    <dxf>
      <font>
        <b val="0"/>
        <i/>
        <strike/>
        <color rgb="FFFF0000"/>
      </font>
      <fill>
        <patternFill>
          <bgColor rgb="FFE6E6E6"/>
        </patternFill>
      </fill>
    </dxf>
    <dxf>
      <font>
        <b/>
        <i val="0"/>
        <condense val="0"/>
        <extend val="0"/>
        <color indexed="18"/>
      </font>
    </dxf>
    <dxf>
      <font>
        <condense val="0"/>
        <extend val="0"/>
        <color indexed="10"/>
      </font>
    </dxf>
    <dxf>
      <font>
        <b val="0"/>
        <i/>
        <strike/>
        <color rgb="FFFF0000"/>
      </font>
      <fill>
        <patternFill>
          <bgColor rgb="FFE6E6E6"/>
        </patternFill>
      </fill>
    </dxf>
    <dxf>
      <font>
        <b/>
        <i val="0"/>
        <condense val="0"/>
        <extend val="0"/>
        <color indexed="18"/>
      </font>
    </dxf>
    <dxf>
      <font>
        <condense val="0"/>
        <extend val="0"/>
        <color indexed="10"/>
      </font>
    </dxf>
    <dxf>
      <font>
        <b val="0"/>
        <i/>
        <strike/>
        <color rgb="FFFF0000"/>
      </font>
      <fill>
        <patternFill>
          <bgColor rgb="FFE6E6E6"/>
        </patternFill>
      </fill>
    </dxf>
    <dxf>
      <font>
        <condense val="0"/>
        <extend val="0"/>
        <color indexed="20"/>
      </font>
    </dxf>
    <dxf>
      <font>
        <condense val="0"/>
        <extend val="0"/>
        <color indexed="20"/>
      </font>
    </dxf>
    <dxf>
      <font>
        <condense val="0"/>
        <extend val="0"/>
        <color indexed="2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val="0"/>
        <i val="0"/>
        <strike val="0"/>
        <condense val="0"/>
        <extend val="0"/>
        <color indexed="20"/>
      </font>
      <fill>
        <patternFill>
          <bgColor indexed="20"/>
        </patternFill>
      </fill>
      <border>
        <left/>
        <right/>
        <top/>
        <bottom/>
      </border>
    </dxf>
    <dxf>
      <font>
        <condense val="0"/>
        <extend val="0"/>
        <color indexed="43"/>
      </font>
    </dxf>
    <dxf>
      <font>
        <b val="0"/>
        <i/>
        <strike/>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val="0"/>
        <condense val="0"/>
        <extend val="0"/>
        <color indexed="20"/>
      </font>
      <fill>
        <patternFill>
          <bgColor indexed="20"/>
        </patternFill>
      </fill>
      <border>
        <left/>
        <right/>
        <top/>
        <bottom/>
      </border>
    </dxf>
    <dxf>
      <font>
        <condense val="0"/>
        <extend val="0"/>
        <color indexed="20"/>
      </font>
    </dxf>
    <dxf>
      <font>
        <b val="0"/>
        <i/>
        <strike/>
        <condense val="0"/>
        <extend val="0"/>
        <color indexed="10"/>
      </font>
      <fill>
        <patternFill>
          <bgColor indexed="20"/>
        </patternFill>
      </fill>
      <border>
        <left/>
        <right/>
        <top/>
        <bottom/>
      </border>
    </dxf>
    <dxf>
      <font>
        <condense val="0"/>
        <extend val="0"/>
        <color indexed="43"/>
      </font>
    </dxf>
    <dxf>
      <font>
        <condense val="0"/>
        <extend val="0"/>
        <color indexed="20"/>
      </font>
      <border>
        <left/>
        <right/>
        <top/>
        <bottom/>
      </border>
    </dxf>
    <dxf>
      <font>
        <condense val="0"/>
        <extend val="0"/>
        <color indexed="20"/>
      </font>
    </dxf>
    <dxf>
      <font>
        <condense val="0"/>
        <extend val="0"/>
        <color indexed="20"/>
      </font>
      <fill>
        <patternFill>
          <bgColor indexed="20"/>
        </patternFill>
      </fill>
      <border>
        <left/>
        <right/>
        <top/>
        <bottom/>
      </border>
    </dxf>
    <dxf>
      <font>
        <b val="0"/>
        <i/>
        <strike/>
        <condense val="0"/>
        <extend val="0"/>
        <color indexed="10"/>
      </font>
      <fill>
        <patternFill>
          <bgColor indexed="20"/>
        </patternFill>
      </fill>
      <border>
        <left/>
        <right/>
        <top/>
        <bottom/>
      </border>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fill>
        <patternFill>
          <bgColor indexed="20"/>
        </patternFill>
      </fill>
      <border>
        <left/>
        <right/>
        <top/>
        <bottom/>
      </border>
    </dxf>
    <dxf>
      <font>
        <condense val="0"/>
        <extend val="0"/>
        <color indexed="20"/>
      </font>
    </dxf>
    <dxf>
      <font>
        <condense val="0"/>
        <extend val="0"/>
        <color indexed="20"/>
      </font>
    </dxf>
    <dxf>
      <font>
        <condense val="0"/>
        <extend val="0"/>
        <color indexed="20"/>
      </font>
    </dxf>
    <dxf>
      <font>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strike/>
        <color rgb="FFFF0000"/>
      </font>
      <fill>
        <patternFill>
          <bgColor theme="9" tint="0.59996337778862885"/>
        </patternFill>
      </fill>
      <border>
        <left style="thin">
          <color auto="1"/>
        </left>
        <right style="thin">
          <color auto="1"/>
        </right>
        <top style="thin">
          <color auto="1"/>
        </top>
        <bottom style="thin">
          <color auto="1"/>
        </bottom>
      </border>
    </dxf>
    <dxf>
      <font>
        <strike val="0"/>
        <color auto="1"/>
      </font>
      <fill>
        <patternFill>
          <bgColor theme="9" tint="0.59996337778862885"/>
        </patternFill>
      </fill>
      <border>
        <left style="thin">
          <color auto="1"/>
        </left>
        <right style="thin">
          <color auto="1"/>
        </right>
        <top style="thin">
          <color auto="1"/>
        </top>
        <bottom style="thin">
          <color auto="1"/>
        </bottom>
        <vertical/>
        <horizontal/>
      </border>
    </dxf>
    <dxf>
      <font>
        <strike/>
        <color rgb="FFFF0000"/>
      </font>
      <fill>
        <patternFill>
          <bgColor theme="0" tint="-4.9989318521683403E-2"/>
        </patternFill>
      </fill>
      <border>
        <left/>
        <right/>
        <top/>
        <bottom/>
        <vertical/>
        <horizontal/>
      </border>
    </dxf>
    <dxf>
      <font>
        <strike/>
        <condense val="0"/>
        <extend val="0"/>
        <color indexed="10"/>
      </font>
      <fill>
        <patternFill>
          <bgColor indexed="20"/>
        </patternFill>
      </fill>
    </dxf>
    <dxf>
      <font>
        <b/>
        <i val="0"/>
        <condense val="0"/>
        <extend val="0"/>
        <color indexed="9"/>
      </font>
      <fill>
        <patternFill>
          <bgColor indexed="10"/>
        </patternFill>
      </fill>
    </dxf>
    <dxf>
      <font>
        <b/>
        <i val="0"/>
        <condense val="0"/>
        <extend val="0"/>
        <color indexed="9"/>
      </font>
      <fill>
        <patternFill>
          <bgColor indexed="10"/>
        </patternFill>
      </fill>
    </dxf>
    <dxf>
      <font>
        <strike/>
        <color rgb="FFFF0000"/>
      </font>
      <fill>
        <patternFill>
          <bgColor theme="9" tint="0.59996337778862885"/>
        </patternFill>
      </fill>
      <border>
        <left style="thin">
          <color auto="1"/>
        </left>
        <right style="thin">
          <color auto="1"/>
        </right>
        <top style="thin">
          <color auto="1"/>
        </top>
        <bottom style="thin">
          <color auto="1"/>
        </bottom>
      </border>
    </dxf>
    <dxf>
      <font>
        <strike val="0"/>
        <color auto="1"/>
      </font>
      <fill>
        <patternFill>
          <bgColor theme="9" tint="0.59996337778862885"/>
        </patternFill>
      </fill>
      <border>
        <left style="thin">
          <color auto="1"/>
        </left>
        <right style="thin">
          <color auto="1"/>
        </right>
        <top style="thin">
          <color auto="1"/>
        </top>
        <bottom style="thin">
          <color auto="1"/>
        </bottom>
        <vertical/>
        <horizontal/>
      </border>
    </dxf>
    <dxf>
      <font>
        <strike/>
        <color rgb="FFFF0000"/>
      </font>
      <fill>
        <patternFill>
          <bgColor rgb="FFEAEAEA"/>
        </patternFill>
      </fill>
      <border>
        <left/>
        <right/>
        <top/>
        <bottom/>
        <vertical/>
        <horizontal/>
      </border>
    </dxf>
    <dxf>
      <font>
        <b/>
        <i/>
        <condense val="0"/>
        <extend val="0"/>
        <color indexed="10"/>
      </font>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b val="0"/>
        <i/>
        <strike/>
        <color rgb="FFFF0000"/>
      </font>
      <border>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color theme="7" tint="0.79998168889431442"/>
      </font>
      <fill>
        <patternFill>
          <bgColor theme="7" tint="0.79998168889431442"/>
        </patternFill>
      </fill>
      <border>
        <left/>
        <right/>
        <top/>
        <bottom/>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condense val="0"/>
        <extend val="0"/>
        <color indexed="41"/>
      </font>
    </dxf>
    <dxf>
      <font>
        <condense val="0"/>
        <extend val="0"/>
        <color indexed="41"/>
      </font>
    </dxf>
    <dxf>
      <font>
        <condense val="0"/>
        <extend val="0"/>
        <color indexed="20"/>
      </font>
      <fill>
        <patternFill>
          <bgColor indexed="20"/>
        </patternFill>
      </fill>
      <border>
        <left/>
        <right/>
        <top/>
        <bottom/>
      </border>
    </dxf>
    <dxf>
      <font>
        <condense val="0"/>
        <extend val="0"/>
        <color indexed="41"/>
      </font>
    </dxf>
    <dxf>
      <font>
        <condense val="0"/>
        <extend val="0"/>
        <color indexed="41"/>
      </font>
    </dxf>
    <dxf>
      <font>
        <b/>
        <i val="0"/>
        <condense val="0"/>
        <extend val="0"/>
        <color indexed="10"/>
      </font>
    </dxf>
    <dxf>
      <font>
        <b/>
        <i val="0"/>
        <condense val="0"/>
        <extend val="0"/>
        <color indexed="10"/>
      </font>
    </dxf>
    <dxf>
      <font>
        <b val="0"/>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condense val="0"/>
        <extend val="0"/>
        <color indexed="56"/>
      </font>
    </dxf>
    <dxf>
      <font>
        <b/>
        <i val="0"/>
        <condense val="0"/>
        <extend val="0"/>
        <color indexed="56"/>
      </font>
    </dxf>
    <dxf>
      <font>
        <b/>
        <i val="0"/>
        <condense val="0"/>
        <extend val="0"/>
        <color indexed="10"/>
      </font>
    </dxf>
    <dxf>
      <font>
        <b/>
        <i val="0"/>
        <condense val="0"/>
        <extend val="0"/>
        <color indexed="62"/>
      </font>
    </dxf>
    <dxf>
      <font>
        <b/>
        <i/>
        <condense val="0"/>
        <extend val="0"/>
        <color indexed="10"/>
      </font>
    </dxf>
    <dxf>
      <font>
        <strike/>
        <condense val="0"/>
        <extend val="0"/>
        <color indexed="20"/>
      </font>
      <fill>
        <patternFill>
          <bgColor indexed="20"/>
        </patternFill>
      </fill>
      <border>
        <left/>
        <right/>
        <top/>
        <bottom/>
      </border>
    </dxf>
    <dxf>
      <font>
        <strike/>
        <condense val="0"/>
        <extend val="0"/>
        <color indexed="10"/>
      </font>
      <fill>
        <patternFill>
          <bgColor indexed="20"/>
        </patternFill>
      </fill>
      <border>
        <left/>
        <right/>
        <top/>
        <bottom/>
      </border>
    </dxf>
    <dxf>
      <font>
        <condense val="0"/>
        <extend val="0"/>
        <color indexed="23"/>
      </font>
      <fill>
        <patternFill>
          <bgColor indexed="20"/>
        </patternFill>
      </fill>
      <border>
        <left/>
        <right/>
        <top/>
        <bottom/>
      </border>
    </dxf>
    <dxf>
      <font>
        <b val="0"/>
        <i val="0"/>
        <color theme="3"/>
      </font>
    </dxf>
    <dxf>
      <font>
        <b/>
        <i/>
        <strike val="0"/>
        <condense val="0"/>
        <extend val="0"/>
        <color indexed="56"/>
      </font>
    </dxf>
    <dxf>
      <font>
        <b/>
        <i val="0"/>
        <condense val="0"/>
        <extend val="0"/>
        <color indexed="18"/>
      </font>
    </dxf>
    <dxf>
      <font>
        <condense val="0"/>
        <extend val="0"/>
        <color indexed="20"/>
      </font>
      <fill>
        <patternFill>
          <bgColor indexed="20"/>
        </patternFill>
      </fill>
      <border>
        <left/>
        <right/>
        <top/>
        <bottom/>
      </border>
    </dxf>
    <dxf>
      <font>
        <b/>
        <i val="0"/>
        <condense val="0"/>
        <extend val="0"/>
        <color indexed="18"/>
      </font>
    </dxf>
    <dxf>
      <font>
        <b/>
        <i val="0"/>
        <condense val="0"/>
        <extend val="0"/>
        <color indexed="18"/>
      </font>
    </dxf>
    <dxf>
      <font>
        <b/>
        <i/>
        <condense val="0"/>
        <extend val="0"/>
        <color indexed="9"/>
      </font>
      <fill>
        <patternFill>
          <bgColor indexed="10"/>
        </patternFill>
      </fill>
    </dxf>
    <dxf>
      <font>
        <b val="0"/>
        <i val="0"/>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condense val="0"/>
        <extend val="0"/>
        <color indexed="9"/>
      </font>
      <fill>
        <patternFill>
          <bgColor indexed="10"/>
        </patternFill>
      </fill>
    </dxf>
    <dxf>
      <font>
        <strike/>
        <condense val="0"/>
        <extend val="0"/>
        <color indexed="10"/>
      </font>
      <fill>
        <patternFill>
          <bgColor indexed="20"/>
        </patternFill>
      </fill>
    </dxf>
    <dxf>
      <font>
        <strike/>
        <condense val="0"/>
        <extend val="0"/>
        <color indexed="10"/>
      </font>
    </dxf>
    <dxf>
      <font>
        <strike/>
        <condense val="0"/>
        <extend val="0"/>
        <color indexed="10"/>
      </font>
      <fill>
        <patternFill>
          <bgColor indexed="20"/>
        </patternFill>
      </fill>
    </dxf>
    <dxf>
      <font>
        <b/>
        <i val="0"/>
        <condense val="0"/>
        <extend val="0"/>
        <color indexed="62"/>
      </font>
    </dxf>
    <dxf>
      <font>
        <strike/>
        <condense val="0"/>
        <extend val="0"/>
        <color indexed="10"/>
      </font>
    </dxf>
    <dxf>
      <font>
        <strike/>
        <condense val="0"/>
        <extend val="0"/>
        <color indexed="55"/>
      </font>
      <fill>
        <patternFill>
          <bgColor indexed="20"/>
        </patternFill>
      </fill>
    </dxf>
    <dxf>
      <font>
        <strike/>
        <condense val="0"/>
        <extend val="0"/>
        <color indexed="55"/>
      </font>
      <fill>
        <patternFill>
          <bgColor indexed="20"/>
        </patternFill>
      </fill>
    </dxf>
    <dxf>
      <font>
        <condense val="0"/>
        <extend val="0"/>
        <color indexed="9"/>
      </font>
      <fill>
        <patternFill>
          <bgColor indexed="10"/>
        </patternFill>
      </fill>
    </dxf>
    <dxf>
      <font>
        <b val="0"/>
        <i/>
        <strike/>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b val="0"/>
        <i/>
        <strike/>
        <condense val="0"/>
        <extend val="0"/>
        <color indexed="10"/>
      </font>
    </dxf>
    <dxf>
      <font>
        <b val="0"/>
        <i/>
        <strike/>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ill>
        <patternFill>
          <bgColor indexed="20"/>
        </patternFill>
      </fill>
    </dxf>
    <dxf>
      <fill>
        <patternFill>
          <bgColor indexed="20"/>
        </patternFill>
      </fill>
    </dxf>
    <dxf>
      <font>
        <b/>
        <i val="0"/>
        <condense val="0"/>
        <extend val="0"/>
        <color indexed="10"/>
      </font>
    </dxf>
    <dxf>
      <font>
        <b/>
        <i val="0"/>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strike/>
        <condense val="0"/>
        <extend val="0"/>
        <color indexed="10"/>
      </font>
      <fill>
        <patternFill>
          <bgColor indexed="20"/>
        </patternFill>
      </fill>
    </dxf>
    <dxf>
      <font>
        <condense val="0"/>
        <extend val="0"/>
        <color indexed="41"/>
      </font>
    </dxf>
    <dxf>
      <font>
        <condense val="0"/>
        <extend val="0"/>
        <color indexed="41"/>
      </font>
    </dxf>
    <dxf>
      <font>
        <condense val="0"/>
        <extend val="0"/>
        <color indexed="9"/>
      </font>
      <fill>
        <patternFill>
          <bgColor indexed="10"/>
        </patternFill>
      </fill>
    </dxf>
    <dxf>
      <font>
        <condense val="0"/>
        <extend val="0"/>
        <color indexed="22"/>
      </font>
      <fill>
        <patternFill>
          <bgColor indexed="20"/>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2"/>
      </font>
      <fill>
        <patternFill>
          <bgColor indexed="20"/>
        </patternFill>
      </fill>
      <border>
        <left/>
        <right/>
        <top/>
        <bottom/>
      </border>
    </dxf>
    <dxf>
      <font>
        <color rgb="FFE6E6E6"/>
      </font>
      <fill>
        <patternFill>
          <bgColor rgb="FFE6E6E6"/>
        </patternFill>
      </fill>
      <border>
        <left/>
        <right/>
        <top/>
        <bottom/>
      </border>
    </dxf>
    <dxf>
      <font>
        <color rgb="FFE6E6E6"/>
      </font>
      <fill>
        <patternFill>
          <bgColor rgb="FFE6E6E6"/>
        </patternFill>
      </fill>
      <border>
        <left/>
        <right/>
        <top/>
        <bottom/>
        <vertical/>
        <horizontal/>
      </border>
    </dxf>
    <dxf>
      <font>
        <color rgb="FFE6E6E6"/>
      </font>
      <fill>
        <patternFill>
          <bgColor rgb="FFE6E6E6"/>
        </patternFill>
      </fill>
      <border>
        <left/>
        <right/>
        <top/>
        <bottom/>
        <vertical/>
        <horizontal/>
      </border>
    </dxf>
    <dxf>
      <font>
        <color rgb="FFE6E6E6"/>
      </font>
      <fill>
        <patternFill>
          <bgColor rgb="FFE6E6E6"/>
        </patternFill>
      </fill>
      <border>
        <left/>
        <right/>
        <top/>
        <bottom/>
        <vertical/>
        <horizontal/>
      </border>
    </dxf>
    <dxf>
      <font>
        <strike val="0"/>
        <color rgb="FFE6E6E6"/>
      </font>
      <fill>
        <patternFill>
          <bgColor rgb="FFE6E6E6"/>
        </patternFill>
      </fill>
      <border>
        <left/>
        <right/>
        <top/>
        <bottom/>
        <vertical/>
        <horizontal/>
      </border>
    </dxf>
    <dxf>
      <font>
        <b/>
        <i val="0"/>
        <color auto="1"/>
      </font>
    </dxf>
    <dxf>
      <font>
        <b/>
        <i val="0"/>
        <color auto="1"/>
      </font>
    </dxf>
    <dxf>
      <font>
        <condense val="0"/>
        <extend val="0"/>
        <color indexed="20"/>
      </font>
      <fill>
        <patternFill>
          <bgColor indexed="20"/>
        </patternFill>
      </fill>
      <border>
        <left/>
        <right/>
        <top/>
        <bottom/>
      </border>
    </dxf>
    <dxf>
      <font>
        <condense val="0"/>
        <extend val="0"/>
        <color indexed="43"/>
      </font>
      <fill>
        <patternFill>
          <bgColor indexed="41"/>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41"/>
      </font>
      <fill>
        <patternFill>
          <bgColor indexed="41"/>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i val="0"/>
        <condense val="0"/>
        <extend val="0"/>
        <color indexed="60"/>
      </font>
    </dxf>
    <dxf>
      <font>
        <b/>
        <i val="0"/>
        <condense val="0"/>
        <extend val="0"/>
        <color indexed="60"/>
      </font>
    </dxf>
    <dxf>
      <font>
        <condense val="0"/>
        <extend val="0"/>
        <color indexed="6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i val="0"/>
        <condense val="0"/>
        <extend val="0"/>
        <color indexed="60"/>
      </font>
    </dxf>
    <dxf>
      <font>
        <b/>
        <i val="0"/>
        <condense val="0"/>
        <extend val="0"/>
        <color indexed="60"/>
      </font>
    </dxf>
    <dxf>
      <font>
        <condense val="0"/>
        <extend val="0"/>
        <color indexed="20"/>
      </font>
      <fill>
        <patternFill>
          <bgColor indexed="20"/>
        </patternFill>
      </fill>
      <border>
        <left/>
        <right/>
        <top/>
        <bottom/>
      </border>
    </dxf>
    <dxf>
      <font>
        <b/>
        <i val="0"/>
        <strike val="0"/>
        <color auto="1"/>
      </font>
    </dxf>
    <dxf>
      <font>
        <b/>
        <i val="0"/>
        <condense val="0"/>
        <extend val="0"/>
        <color indexed="61"/>
      </font>
    </dxf>
    <dxf>
      <font>
        <b/>
        <i val="0"/>
        <condense val="0"/>
        <extend val="0"/>
        <color indexed="61"/>
      </font>
    </dxf>
    <dxf>
      <font>
        <b/>
        <i val="0"/>
        <condense val="0"/>
        <extend val="0"/>
        <color indexed="61"/>
      </font>
    </dxf>
    <dxf>
      <font>
        <b/>
        <i val="0"/>
        <condense val="0"/>
        <extend val="0"/>
        <color indexed="61"/>
      </font>
    </dxf>
    <dxf>
      <font>
        <b/>
        <i val="0"/>
        <condense val="0"/>
        <extend val="0"/>
        <color indexed="61"/>
      </font>
    </dxf>
    <dxf>
      <font>
        <condense val="0"/>
        <extend val="0"/>
        <color indexed="20"/>
      </font>
    </dxf>
    <dxf>
      <font>
        <b/>
        <i/>
        <strike/>
        <condense val="0"/>
        <extend val="0"/>
        <color indexed="10"/>
      </font>
    </dxf>
    <dxf>
      <font>
        <condense val="0"/>
        <extend val="0"/>
        <color indexed="9"/>
      </font>
    </dxf>
    <dxf>
      <font>
        <b/>
        <i val="0"/>
        <condense val="0"/>
        <extend val="0"/>
        <color indexed="37"/>
      </font>
    </dxf>
    <dxf>
      <font>
        <b/>
        <i/>
        <strike val="0"/>
        <condense val="0"/>
        <extend val="0"/>
        <color indexed="58"/>
      </font>
    </dxf>
    <dxf>
      <font>
        <condense val="0"/>
        <extend val="0"/>
        <color indexed="55"/>
      </font>
    </dxf>
    <dxf>
      <font>
        <strike val="0"/>
        <color rgb="FF969696"/>
      </font>
    </dxf>
    <dxf>
      <font>
        <b/>
        <i val="0"/>
        <strike val="0"/>
        <color rgb="FFC00000"/>
      </font>
    </dxf>
    <dxf>
      <font>
        <b/>
        <i/>
        <color rgb="FF003300"/>
      </font>
    </dxf>
    <dxf>
      <font>
        <b/>
        <i val="0"/>
        <strike val="0"/>
        <color rgb="FFC00000"/>
      </font>
    </dxf>
    <dxf>
      <font>
        <strike val="0"/>
        <color rgb="FF969696"/>
      </font>
    </dxf>
    <dxf>
      <font>
        <strike val="0"/>
        <color rgb="FF969696"/>
      </font>
    </dxf>
    <dxf>
      <font>
        <b/>
        <i val="0"/>
        <strike val="0"/>
        <color rgb="FFC00000"/>
      </font>
    </dxf>
    <dxf>
      <font>
        <color rgb="FF969696"/>
      </font>
    </dxf>
    <dxf>
      <font>
        <b/>
        <i val="0"/>
        <color rgb="FFC00000"/>
      </font>
    </dxf>
    <dxf>
      <font>
        <b/>
        <i val="0"/>
        <color rgb="FFC00000"/>
      </font>
    </dxf>
    <dxf>
      <font>
        <b/>
        <i/>
        <strike val="0"/>
        <condense val="0"/>
        <extend val="0"/>
        <color indexed="58"/>
      </font>
    </dxf>
    <dxf>
      <font>
        <condense val="0"/>
        <extend val="0"/>
        <color indexed="55"/>
      </font>
    </dxf>
    <dxf>
      <font>
        <b/>
        <i val="0"/>
        <color theme="6" tint="-0.499984740745262"/>
      </font>
    </dxf>
    <dxf>
      <font>
        <color rgb="FF969696"/>
      </font>
    </dxf>
    <dxf>
      <font>
        <b/>
        <i val="0"/>
        <color rgb="FFC00000"/>
      </font>
    </dxf>
    <dxf>
      <font>
        <color rgb="FF969696"/>
      </font>
    </dxf>
    <dxf>
      <font>
        <color theme="6" tint="-0.499984740745262"/>
      </font>
    </dxf>
    <dxf>
      <font>
        <b/>
        <i val="0"/>
        <color rgb="FFC00000"/>
      </font>
    </dxf>
    <dxf>
      <font>
        <b/>
        <i val="0"/>
        <condense val="0"/>
        <extend val="0"/>
        <color indexed="37"/>
      </font>
    </dxf>
    <dxf>
      <font>
        <b/>
        <i val="0"/>
        <condense val="0"/>
        <extend val="0"/>
        <color indexed="37"/>
      </font>
    </dxf>
    <dxf>
      <font>
        <condense val="0"/>
        <extend val="0"/>
        <color indexed="55"/>
      </font>
    </dxf>
    <dxf>
      <font>
        <b/>
        <i/>
        <strike val="0"/>
        <condense val="0"/>
        <extend val="0"/>
        <color indexed="58"/>
      </font>
    </dxf>
    <dxf>
      <font>
        <condense val="0"/>
        <extend val="0"/>
        <color indexed="55"/>
      </font>
    </dxf>
    <dxf>
      <font>
        <b/>
        <i/>
        <strike val="0"/>
        <condense val="0"/>
        <extend val="0"/>
        <color indexed="58"/>
      </font>
    </dxf>
    <dxf>
      <font>
        <b/>
        <i val="0"/>
        <condense val="0"/>
        <extend val="0"/>
        <color indexed="37"/>
      </font>
    </dxf>
    <dxf>
      <font>
        <b/>
        <i/>
        <strike val="0"/>
        <condense val="0"/>
        <extend val="0"/>
        <color indexed="58"/>
      </font>
    </dxf>
    <dxf>
      <font>
        <condense val="0"/>
        <extend val="0"/>
        <color indexed="55"/>
      </font>
    </dxf>
    <dxf>
      <font>
        <condense val="0"/>
        <extend val="0"/>
        <color indexed="55"/>
      </font>
    </dxf>
    <dxf>
      <font>
        <b/>
        <i val="0"/>
        <condense val="0"/>
        <extend val="0"/>
        <color indexed="37"/>
      </font>
    </dxf>
    <dxf>
      <font>
        <b/>
        <i/>
        <strike val="0"/>
        <condense val="0"/>
        <extend val="0"/>
        <color indexed="58"/>
      </font>
    </dxf>
    <dxf>
      <font>
        <b/>
        <i val="0"/>
        <strike val="0"/>
        <condense val="0"/>
        <extend val="0"/>
        <color indexed="37"/>
      </font>
    </dxf>
    <dxf>
      <font>
        <condense val="0"/>
        <extend val="0"/>
        <color indexed="55"/>
      </font>
    </dxf>
    <dxf>
      <font>
        <b/>
        <i val="0"/>
        <condense val="0"/>
        <extend val="0"/>
        <color indexed="37"/>
      </font>
    </dxf>
    <dxf>
      <font>
        <condense val="0"/>
        <extend val="0"/>
        <color indexed="55"/>
      </font>
    </dxf>
    <dxf>
      <font>
        <b/>
        <i/>
        <strike val="0"/>
        <condense val="0"/>
        <extend val="0"/>
        <color indexed="58"/>
      </font>
    </dxf>
    <dxf>
      <font>
        <condense val="0"/>
        <extend val="0"/>
        <color indexed="55"/>
      </font>
    </dxf>
    <dxf>
      <font>
        <b/>
        <i/>
        <strike val="0"/>
        <condense val="0"/>
        <extend val="0"/>
        <color indexed="58"/>
      </font>
    </dxf>
    <dxf>
      <font>
        <b/>
        <i val="0"/>
        <condense val="0"/>
        <extend val="0"/>
        <color indexed="37"/>
      </font>
    </dxf>
    <dxf>
      <font>
        <b/>
        <i val="0"/>
        <condense val="0"/>
        <extend val="0"/>
        <color indexed="37"/>
      </font>
    </dxf>
    <dxf>
      <font>
        <condense val="0"/>
        <extend val="0"/>
        <color indexed="55"/>
      </font>
    </dxf>
    <dxf>
      <font>
        <b/>
        <i/>
        <strike val="0"/>
        <condense val="0"/>
        <extend val="0"/>
        <color indexed="58"/>
      </font>
    </dxf>
    <dxf>
      <font>
        <b/>
        <i val="0"/>
        <strike val="0"/>
        <condense val="0"/>
        <extend val="0"/>
        <color indexed="37"/>
      </font>
    </dxf>
    <dxf>
      <font>
        <b val="0"/>
        <i/>
        <strike/>
        <condense val="0"/>
        <extend val="0"/>
        <color indexed="55"/>
      </font>
    </dxf>
    <dxf>
      <font>
        <b/>
        <i val="0"/>
        <condense val="0"/>
        <extend val="0"/>
        <color indexed="37"/>
      </font>
    </dxf>
    <dxf>
      <font>
        <b/>
        <i/>
        <strike val="0"/>
        <condense val="0"/>
        <extend val="0"/>
        <color indexed="58"/>
      </font>
    </dxf>
    <dxf>
      <font>
        <condense val="0"/>
        <extend val="0"/>
        <color indexed="55"/>
      </font>
    </dxf>
    <dxf>
      <font>
        <b/>
        <i val="0"/>
        <condense val="0"/>
        <extend val="0"/>
        <color indexed="37"/>
      </font>
    </dxf>
    <dxf>
      <font>
        <b/>
        <i/>
        <strike val="0"/>
        <condense val="0"/>
        <extend val="0"/>
        <color indexed="58"/>
      </font>
    </dxf>
    <dxf>
      <font>
        <condense val="0"/>
        <extend val="0"/>
        <color indexed="55"/>
      </font>
    </dxf>
    <dxf>
      <font>
        <b val="0"/>
        <i val="0"/>
        <condense val="0"/>
        <extend val="0"/>
        <color indexed="22"/>
      </font>
    </dxf>
    <dxf>
      <font>
        <b/>
        <i val="0"/>
        <color rgb="FFC00000"/>
      </font>
    </dxf>
    <dxf>
      <font>
        <b/>
        <i val="0"/>
        <color rgb="FFC00000"/>
      </font>
    </dxf>
    <dxf>
      <font>
        <color rgb="FFBFBFBF"/>
      </font>
    </dxf>
    <dxf>
      <font>
        <b/>
        <i val="0"/>
        <color rgb="FFC00000"/>
      </font>
    </dxf>
    <dxf>
      <font>
        <color theme="0" tint="-0.24994659260841701"/>
      </font>
    </dxf>
    <dxf>
      <font>
        <b/>
        <i val="0"/>
        <color rgb="FFC00000"/>
      </font>
    </dxf>
    <dxf>
      <font>
        <color theme="0" tint="-0.24994659260841701"/>
      </font>
    </dxf>
    <dxf>
      <font>
        <color theme="0" tint="-0.24994659260841701"/>
      </font>
    </dxf>
    <dxf>
      <font>
        <b/>
        <i val="0"/>
        <color rgb="FFC00000"/>
      </font>
    </dxf>
    <dxf>
      <font>
        <b/>
        <i val="0"/>
        <color rgb="FFC00000"/>
      </font>
    </dxf>
    <dxf>
      <font>
        <b val="0"/>
        <i val="0"/>
        <condense val="0"/>
        <extend val="0"/>
        <color indexed="22"/>
      </font>
    </dxf>
    <dxf>
      <font>
        <b/>
        <i val="0"/>
        <color rgb="FFC00000"/>
      </font>
    </dxf>
    <dxf>
      <font>
        <b/>
        <i val="0"/>
        <color rgb="FFC00000"/>
      </font>
    </dxf>
    <dxf>
      <font>
        <b val="0"/>
        <i val="0"/>
        <condense val="0"/>
        <extend val="0"/>
        <color indexed="22"/>
      </font>
    </dxf>
    <dxf>
      <font>
        <b val="0"/>
        <i val="0"/>
        <condense val="0"/>
        <extend val="0"/>
        <color indexed="22"/>
      </font>
    </dxf>
    <dxf>
      <font>
        <b/>
        <i val="0"/>
        <color rgb="FFC00000"/>
      </font>
    </dxf>
    <dxf>
      <font>
        <b/>
        <i val="0"/>
        <color rgb="FFC00000"/>
      </font>
    </dxf>
    <dxf>
      <font>
        <b val="0"/>
        <i val="0"/>
        <condense val="0"/>
        <extend val="0"/>
        <color indexed="22"/>
      </font>
    </dxf>
    <dxf>
      <font>
        <b val="0"/>
        <i val="0"/>
        <condense val="0"/>
        <extend val="0"/>
        <color indexed="22"/>
      </font>
    </dxf>
    <dxf>
      <font>
        <b/>
        <i val="0"/>
        <color rgb="FFC00000"/>
      </font>
    </dxf>
    <dxf>
      <font>
        <b val="0"/>
        <i val="0"/>
        <condense val="0"/>
        <extend val="0"/>
        <color indexed="22"/>
      </font>
    </dxf>
    <dxf>
      <font>
        <b/>
        <i val="0"/>
        <color rgb="FFC00000"/>
      </font>
    </dxf>
    <dxf>
      <font>
        <b/>
        <i val="0"/>
        <color rgb="FFC00000"/>
      </font>
    </dxf>
    <dxf>
      <font>
        <b val="0"/>
        <i val="0"/>
        <condense val="0"/>
        <extend val="0"/>
        <color indexed="22"/>
      </font>
    </dxf>
    <dxf>
      <font>
        <b/>
        <i val="0"/>
        <color rgb="FFC00000"/>
      </font>
    </dxf>
    <dxf>
      <font>
        <b val="0"/>
        <i val="0"/>
        <condense val="0"/>
        <extend val="0"/>
        <color indexed="22"/>
      </font>
    </dxf>
    <dxf>
      <font>
        <b val="0"/>
        <i val="0"/>
        <condense val="0"/>
        <extend val="0"/>
        <color indexed="22"/>
      </font>
    </dxf>
    <dxf>
      <font>
        <b/>
        <i val="0"/>
        <color rgb="FFC00000"/>
      </font>
    </dxf>
    <dxf>
      <font>
        <b/>
        <i val="0"/>
        <color rgb="FFC00000"/>
      </font>
    </dxf>
    <dxf>
      <font>
        <b val="0"/>
        <i val="0"/>
        <condense val="0"/>
        <extend val="0"/>
        <color indexed="22"/>
      </font>
    </dxf>
    <dxf>
      <font>
        <b/>
        <i val="0"/>
        <color rgb="FFC00000"/>
      </font>
    </dxf>
    <dxf>
      <font>
        <b/>
        <i val="0"/>
        <color rgb="FFC00000"/>
      </font>
    </dxf>
    <dxf>
      <font>
        <color rgb="FFBFBFBF"/>
      </font>
    </dxf>
    <dxf>
      <font>
        <strike val="0"/>
        <color rgb="FFBFBFBF"/>
      </font>
    </dxf>
    <dxf>
      <font>
        <b/>
        <i val="0"/>
        <strike val="0"/>
        <color rgb="FFC00000"/>
      </font>
    </dxf>
    <dxf>
      <font>
        <b/>
        <i val="0"/>
        <color rgb="FFC00000"/>
      </font>
    </dxf>
    <dxf>
      <font>
        <b/>
        <i val="0"/>
        <strike val="0"/>
        <color rgb="FFC00000"/>
      </font>
    </dxf>
    <dxf>
      <font>
        <strike val="0"/>
        <color rgb="FFBFBFBF"/>
      </font>
    </dxf>
    <dxf>
      <font>
        <color rgb="FFBFBFBF"/>
      </font>
    </dxf>
    <dxf>
      <font>
        <b/>
        <i val="0"/>
        <color rgb="FFC00000"/>
      </font>
    </dxf>
    <dxf>
      <font>
        <b/>
        <i val="0"/>
        <color rgb="FFC00000"/>
      </font>
    </dxf>
    <dxf>
      <font>
        <b val="0"/>
        <i val="0"/>
        <color theme="0" tint="-0.24994659260841701"/>
      </font>
    </dxf>
    <dxf>
      <font>
        <b/>
        <i val="0"/>
        <color rgb="FFC00000"/>
      </font>
    </dxf>
    <dxf>
      <font>
        <b val="0"/>
        <i val="0"/>
        <color theme="0" tint="-0.24994659260841701"/>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i val="0"/>
        <color rgb="FFC00000"/>
      </font>
    </dxf>
    <dxf>
      <font>
        <b val="0"/>
        <i val="0"/>
        <color theme="0" tint="-0.24994659260841701"/>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i val="0"/>
        <color rgb="FFC00000"/>
      </font>
    </dxf>
    <dxf>
      <font>
        <b val="0"/>
        <i val="0"/>
        <color theme="0" tint="-0.24994659260841701"/>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10"/>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F315A"/>
      <rgbColor rgb="00EFD9E0"/>
      <rgbColor rgb="00FFCCCC"/>
      <rgbColor rgb="0000FFFF"/>
      <rgbColor rgb="00800000"/>
      <rgbColor rgb="00008000"/>
      <rgbColor rgb="00000080"/>
      <rgbColor rgb="00808000"/>
      <rgbColor rgb="00E6E6E6"/>
      <rgbColor rgb="00008080"/>
      <rgbColor rgb="00C0C0C0"/>
      <rgbColor rgb="00808080"/>
      <rgbColor rgb="009999FF"/>
      <rgbColor rgb="00993366"/>
      <rgbColor rgb="00FFCC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FD9E0"/>
      <rgbColor rgb="00EFD9E0"/>
      <rgbColor rgb="00EFD9E0"/>
      <rgbColor rgb="0099CCFF"/>
      <rgbColor rgb="00CC3300"/>
      <rgbColor rgb="00CC99FF"/>
      <rgbColor rgb="00FBDEBB"/>
      <rgbColor rgb="003366FF"/>
      <rgbColor rgb="00E6E6E6"/>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33399"/>
      <color rgb="FFC00000"/>
      <color rgb="FF003300"/>
      <color rgb="FF969696"/>
      <color rgb="FFBFBFBF"/>
      <color rgb="FF000000"/>
      <color rgb="FFEFD9E0"/>
      <color rgb="FFE6B8B7"/>
      <color rgb="FF17B8B7"/>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eetMetadata" Target="metadata.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microsoft.com/office/2017/06/relationships/rdRichValue" Target="richData/rdrichvalue.xml"/><Relationship Id="rId14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microsoft.com/office/2017/06/relationships/rdRichValueStructure" Target="richData/rdrichvaluestructure.xml"/><Relationship Id="rId14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microsoft.com/office/2017/06/relationships/rdRichValueTypes" Target="richData/rdRichValueTyp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28575</xdr:rowOff>
    </xdr:from>
    <xdr:to>
      <xdr:col>1</xdr:col>
      <xdr:colOff>514350</xdr:colOff>
      <xdr:row>2</xdr:row>
      <xdr:rowOff>295275</xdr:rowOff>
    </xdr:to>
    <xdr:sp macro="" textlink="">
      <xdr:nvSpPr>
        <xdr:cNvPr id="120833" name="Picture 1">
          <a:extLst>
            <a:ext uri="{FF2B5EF4-FFF2-40B4-BE49-F238E27FC236}">
              <a16:creationId xmlns:a16="http://schemas.microsoft.com/office/drawing/2014/main" id="{00000000-0008-0000-0000-000001D80100}"/>
            </a:ext>
          </a:extLst>
        </xdr:cNvPr>
        <xdr:cNvSpPr>
          <a:spLocks noChangeAspect="1" noChangeArrowheads="1"/>
        </xdr:cNvSpPr>
      </xdr:nvSpPr>
      <xdr:spPr bwMode="auto">
        <a:xfrm>
          <a:off x="200025" y="190500"/>
          <a:ext cx="485775" cy="590550"/>
        </a:xfrm>
        <a:prstGeom prst="rect">
          <a:avLst/>
        </a:prstGeom>
        <a:solidFill>
          <a:srgbClr val="D497AC">
            <a:alpha val="0"/>
          </a:srgbClr>
        </a:solidFill>
        <a:ln w="12700">
          <a:solidFill>
            <a:srgbClr val="339966"/>
          </a:solidFill>
          <a:miter lim="800000"/>
          <a:headEnd/>
          <a:tailEnd/>
        </a:ln>
      </xdr:spPr>
    </xdr:sp>
    <xdr:clientData/>
  </xdr:twoCellAnchor>
  <xdr:twoCellAnchor>
    <xdr:from>
      <xdr:col>1</xdr:col>
      <xdr:colOff>28575</xdr:colOff>
      <xdr:row>0</xdr:row>
      <xdr:rowOff>152400</xdr:rowOff>
    </xdr:from>
    <xdr:to>
      <xdr:col>1</xdr:col>
      <xdr:colOff>619125</xdr:colOff>
      <xdr:row>2</xdr:row>
      <xdr:rowOff>323850</xdr:rowOff>
    </xdr:to>
    <xdr:sp macro="" textlink="">
      <xdr:nvSpPr>
        <xdr:cNvPr id="120834" name="Picture 3">
          <a:extLst>
            <a:ext uri="{FF2B5EF4-FFF2-40B4-BE49-F238E27FC236}">
              <a16:creationId xmlns:a16="http://schemas.microsoft.com/office/drawing/2014/main" id="{00000000-0008-0000-0000-000002D80100}"/>
            </a:ext>
          </a:extLst>
        </xdr:cNvPr>
        <xdr:cNvSpPr>
          <a:spLocks noChangeAspect="1" noChangeArrowheads="1"/>
        </xdr:cNvSpPr>
      </xdr:nvSpPr>
      <xdr:spPr bwMode="auto">
        <a:xfrm>
          <a:off x="200025" y="152400"/>
          <a:ext cx="590550" cy="657225"/>
        </a:xfrm>
        <a:prstGeom prst="rect">
          <a:avLst/>
        </a:prstGeom>
        <a:solidFill>
          <a:srgbClr val="D497AC"/>
        </a:solidFill>
        <a:ln w="12700">
          <a:solidFill>
            <a:srgbClr val="339966"/>
          </a:solidFill>
          <a:miter lim="800000"/>
          <a:headEnd/>
          <a:tailEnd/>
        </a:ln>
      </xdr:spPr>
    </xdr:sp>
    <xdr:clientData/>
  </xdr:twoCellAnchor>
  <xdr:twoCellAnchor>
    <xdr:from>
      <xdr:col>1</xdr:col>
      <xdr:colOff>19050</xdr:colOff>
      <xdr:row>1</xdr:row>
      <xdr:rowOff>38100</xdr:rowOff>
    </xdr:from>
    <xdr:to>
      <xdr:col>1</xdr:col>
      <xdr:colOff>609600</xdr:colOff>
      <xdr:row>3</xdr:row>
      <xdr:rowOff>9525</xdr:rowOff>
    </xdr:to>
    <xdr:pic>
      <xdr:nvPicPr>
        <xdr:cNvPr id="120835" name="Picture 3">
          <a:extLst>
            <a:ext uri="{FF2B5EF4-FFF2-40B4-BE49-F238E27FC236}">
              <a16:creationId xmlns:a16="http://schemas.microsoft.com/office/drawing/2014/main" id="{00000000-0008-0000-0000-000003D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0" y="200025"/>
          <a:ext cx="590550" cy="619125"/>
        </a:xfrm>
        <a:prstGeom prst="rect">
          <a:avLst/>
        </a:prstGeom>
        <a:solidFill>
          <a:srgbClr val="D497AC"/>
        </a:solidFill>
        <a:ln w="12700">
          <a:solidFill>
            <a:srgbClr val="339966"/>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17</xdr:row>
      <xdr:rowOff>0</xdr:rowOff>
    </xdr:from>
    <xdr:to>
      <xdr:col>5</xdr:col>
      <xdr:colOff>0</xdr:colOff>
      <xdr:row>33</xdr:row>
      <xdr:rowOff>0</xdr:rowOff>
    </xdr:to>
    <xdr:sp macro="" textlink="">
      <xdr:nvSpPr>
        <xdr:cNvPr id="121857" name="Rectangle 1">
          <a:extLst>
            <a:ext uri="{FF2B5EF4-FFF2-40B4-BE49-F238E27FC236}">
              <a16:creationId xmlns:a16="http://schemas.microsoft.com/office/drawing/2014/main" id="{00000000-0008-0000-0900-000001DC0100}"/>
            </a:ext>
          </a:extLst>
        </xdr:cNvPr>
        <xdr:cNvSpPr>
          <a:spLocks noChangeArrowheads="1"/>
        </xdr:cNvSpPr>
      </xdr:nvSpPr>
      <xdr:spPr bwMode="auto">
        <a:xfrm>
          <a:off x="2466975" y="3495675"/>
          <a:ext cx="1790700" cy="2590800"/>
        </a:xfrm>
        <a:prstGeom prst="rect">
          <a:avLst/>
        </a:prstGeom>
        <a:no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0</xdr:colOff>
      <xdr:row>0</xdr:row>
      <xdr:rowOff>0</xdr:rowOff>
    </xdr:to>
    <xdr:sp macro="" textlink="">
      <xdr:nvSpPr>
        <xdr:cNvPr id="73322" name="Rectangle 1">
          <a:extLst>
            <a:ext uri="{FF2B5EF4-FFF2-40B4-BE49-F238E27FC236}">
              <a16:creationId xmlns:a16="http://schemas.microsoft.com/office/drawing/2014/main" id="{00000000-0008-0000-6000-00006A1E0100}"/>
            </a:ext>
          </a:extLst>
        </xdr:cNvPr>
        <xdr:cNvSpPr>
          <a:spLocks noChangeArrowheads="1"/>
        </xdr:cNvSpPr>
      </xdr:nvSpPr>
      <xdr:spPr bwMode="auto">
        <a:xfrm>
          <a:off x="0" y="0"/>
          <a:ext cx="10810875" cy="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9</xdr:col>
      <xdr:colOff>12700</xdr:colOff>
      <xdr:row>1</xdr:row>
      <xdr:rowOff>6350</xdr:rowOff>
    </xdr:to>
    <xdr:pic>
      <xdr:nvPicPr>
        <xdr:cNvPr id="2" name="Picture 8" descr="trans">
          <a:extLst>
            <a:ext uri="{FF2B5EF4-FFF2-40B4-BE49-F238E27FC236}">
              <a16:creationId xmlns:a16="http://schemas.microsoft.com/office/drawing/2014/main" id="{00000000-0008-0000-6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3" name="Picture 9" descr="trans">
          <a:extLst>
            <a:ext uri="{FF2B5EF4-FFF2-40B4-BE49-F238E27FC236}">
              <a16:creationId xmlns:a16="http://schemas.microsoft.com/office/drawing/2014/main" id="{00000000-0008-0000-6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4" name="Picture 10" descr="trans">
          <a:extLst>
            <a:ext uri="{FF2B5EF4-FFF2-40B4-BE49-F238E27FC236}">
              <a16:creationId xmlns:a16="http://schemas.microsoft.com/office/drawing/2014/main" id="{00000000-0008-0000-6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5" name="Picture 11" descr="trans">
          <a:extLst>
            <a:ext uri="{FF2B5EF4-FFF2-40B4-BE49-F238E27FC236}">
              <a16:creationId xmlns:a16="http://schemas.microsoft.com/office/drawing/2014/main" id="{00000000-0008-0000-6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6" name="Picture 12" descr="trans">
          <a:extLst>
            <a:ext uri="{FF2B5EF4-FFF2-40B4-BE49-F238E27FC236}">
              <a16:creationId xmlns:a16="http://schemas.microsoft.com/office/drawing/2014/main" id="{00000000-0008-0000-6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7" name="Picture 13" descr="trans">
          <a:extLst>
            <a:ext uri="{FF2B5EF4-FFF2-40B4-BE49-F238E27FC236}">
              <a16:creationId xmlns:a16="http://schemas.microsoft.com/office/drawing/2014/main" id="{00000000-0008-0000-6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 name="Picture 14" descr="trans">
          <a:extLst>
            <a:ext uri="{FF2B5EF4-FFF2-40B4-BE49-F238E27FC236}">
              <a16:creationId xmlns:a16="http://schemas.microsoft.com/office/drawing/2014/main" id="{00000000-0008-0000-64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 name="Picture 15" descr="trans">
          <a:extLst>
            <a:ext uri="{FF2B5EF4-FFF2-40B4-BE49-F238E27FC236}">
              <a16:creationId xmlns:a16="http://schemas.microsoft.com/office/drawing/2014/main" id="{00000000-0008-0000-6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0" name="Picture 16" descr="trans">
          <a:extLst>
            <a:ext uri="{FF2B5EF4-FFF2-40B4-BE49-F238E27FC236}">
              <a16:creationId xmlns:a16="http://schemas.microsoft.com/office/drawing/2014/main" id="{00000000-0008-0000-64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1" name="Picture 17" descr="trans">
          <a:extLst>
            <a:ext uri="{FF2B5EF4-FFF2-40B4-BE49-F238E27FC236}">
              <a16:creationId xmlns:a16="http://schemas.microsoft.com/office/drawing/2014/main" id="{00000000-0008-0000-6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 name="Picture 18" descr="trans">
          <a:extLst>
            <a:ext uri="{FF2B5EF4-FFF2-40B4-BE49-F238E27FC236}">
              <a16:creationId xmlns:a16="http://schemas.microsoft.com/office/drawing/2014/main" id="{00000000-0008-0000-64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 name="Picture 19" descr="trans">
          <a:extLst>
            <a:ext uri="{FF2B5EF4-FFF2-40B4-BE49-F238E27FC236}">
              <a16:creationId xmlns:a16="http://schemas.microsoft.com/office/drawing/2014/main" id="{00000000-0008-0000-6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 name="Picture 20" descr="trans">
          <a:extLst>
            <a:ext uri="{FF2B5EF4-FFF2-40B4-BE49-F238E27FC236}">
              <a16:creationId xmlns:a16="http://schemas.microsoft.com/office/drawing/2014/main" id="{00000000-0008-0000-64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 name="Picture 21" descr="trans">
          <a:extLst>
            <a:ext uri="{FF2B5EF4-FFF2-40B4-BE49-F238E27FC236}">
              <a16:creationId xmlns:a16="http://schemas.microsoft.com/office/drawing/2014/main" id="{00000000-0008-0000-6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 name="Picture 22" descr="trans">
          <a:extLst>
            <a:ext uri="{FF2B5EF4-FFF2-40B4-BE49-F238E27FC236}">
              <a16:creationId xmlns:a16="http://schemas.microsoft.com/office/drawing/2014/main" id="{00000000-0008-0000-64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 name="Picture 23" descr="trans">
          <a:extLst>
            <a:ext uri="{FF2B5EF4-FFF2-40B4-BE49-F238E27FC236}">
              <a16:creationId xmlns:a16="http://schemas.microsoft.com/office/drawing/2014/main" id="{00000000-0008-0000-6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8" name="Picture 24" descr="trans">
          <a:extLst>
            <a:ext uri="{FF2B5EF4-FFF2-40B4-BE49-F238E27FC236}">
              <a16:creationId xmlns:a16="http://schemas.microsoft.com/office/drawing/2014/main" id="{00000000-0008-0000-6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9" name="Picture 25" descr="trans">
          <a:extLst>
            <a:ext uri="{FF2B5EF4-FFF2-40B4-BE49-F238E27FC236}">
              <a16:creationId xmlns:a16="http://schemas.microsoft.com/office/drawing/2014/main" id="{00000000-0008-0000-6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0" name="Picture 26" descr="trans">
          <a:extLst>
            <a:ext uri="{FF2B5EF4-FFF2-40B4-BE49-F238E27FC236}">
              <a16:creationId xmlns:a16="http://schemas.microsoft.com/office/drawing/2014/main" id="{00000000-0008-0000-6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1" name="Picture 27" descr="trans">
          <a:extLst>
            <a:ext uri="{FF2B5EF4-FFF2-40B4-BE49-F238E27FC236}">
              <a16:creationId xmlns:a16="http://schemas.microsoft.com/office/drawing/2014/main" id="{00000000-0008-0000-6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2" name="Picture 28" descr="trans">
          <a:extLst>
            <a:ext uri="{FF2B5EF4-FFF2-40B4-BE49-F238E27FC236}">
              <a16:creationId xmlns:a16="http://schemas.microsoft.com/office/drawing/2014/main" id="{00000000-0008-0000-64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3" name="Picture 29" descr="trans">
          <a:extLst>
            <a:ext uri="{FF2B5EF4-FFF2-40B4-BE49-F238E27FC236}">
              <a16:creationId xmlns:a16="http://schemas.microsoft.com/office/drawing/2014/main" id="{00000000-0008-0000-6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4" name="Picture 30" descr="trans">
          <a:extLst>
            <a:ext uri="{FF2B5EF4-FFF2-40B4-BE49-F238E27FC236}">
              <a16:creationId xmlns:a16="http://schemas.microsoft.com/office/drawing/2014/main" id="{00000000-0008-0000-6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5" name="Picture 31" descr="trans">
          <a:extLst>
            <a:ext uri="{FF2B5EF4-FFF2-40B4-BE49-F238E27FC236}">
              <a16:creationId xmlns:a16="http://schemas.microsoft.com/office/drawing/2014/main" id="{00000000-0008-0000-6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6" name="Picture 32" descr="trans">
          <a:extLst>
            <a:ext uri="{FF2B5EF4-FFF2-40B4-BE49-F238E27FC236}">
              <a16:creationId xmlns:a16="http://schemas.microsoft.com/office/drawing/2014/main" id="{00000000-0008-0000-64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7" name="Picture 33" descr="trans">
          <a:extLst>
            <a:ext uri="{FF2B5EF4-FFF2-40B4-BE49-F238E27FC236}">
              <a16:creationId xmlns:a16="http://schemas.microsoft.com/office/drawing/2014/main" id="{00000000-0008-0000-64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8" name="Picture 34" descr="trans">
          <a:extLst>
            <a:ext uri="{FF2B5EF4-FFF2-40B4-BE49-F238E27FC236}">
              <a16:creationId xmlns:a16="http://schemas.microsoft.com/office/drawing/2014/main" id="{00000000-0008-0000-64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9" name="Picture 35" descr="trans">
          <a:extLst>
            <a:ext uri="{FF2B5EF4-FFF2-40B4-BE49-F238E27FC236}">
              <a16:creationId xmlns:a16="http://schemas.microsoft.com/office/drawing/2014/main" id="{00000000-0008-0000-64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0" name="Picture 36" descr="trans">
          <a:extLst>
            <a:ext uri="{FF2B5EF4-FFF2-40B4-BE49-F238E27FC236}">
              <a16:creationId xmlns:a16="http://schemas.microsoft.com/office/drawing/2014/main" id="{00000000-0008-0000-6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1" name="Picture 37" descr="trans">
          <a:extLst>
            <a:ext uri="{FF2B5EF4-FFF2-40B4-BE49-F238E27FC236}">
              <a16:creationId xmlns:a16="http://schemas.microsoft.com/office/drawing/2014/main" id="{00000000-0008-0000-64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2" name="Picture 38" descr="trans">
          <a:extLst>
            <a:ext uri="{FF2B5EF4-FFF2-40B4-BE49-F238E27FC236}">
              <a16:creationId xmlns:a16="http://schemas.microsoft.com/office/drawing/2014/main" id="{00000000-0008-0000-64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3" name="Picture 39" descr="trans">
          <a:extLst>
            <a:ext uri="{FF2B5EF4-FFF2-40B4-BE49-F238E27FC236}">
              <a16:creationId xmlns:a16="http://schemas.microsoft.com/office/drawing/2014/main" id="{00000000-0008-0000-64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4" name="Picture 40" descr="trans">
          <a:extLst>
            <a:ext uri="{FF2B5EF4-FFF2-40B4-BE49-F238E27FC236}">
              <a16:creationId xmlns:a16="http://schemas.microsoft.com/office/drawing/2014/main" id="{00000000-0008-0000-6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5" name="Picture 41" descr="trans">
          <a:extLst>
            <a:ext uri="{FF2B5EF4-FFF2-40B4-BE49-F238E27FC236}">
              <a16:creationId xmlns:a16="http://schemas.microsoft.com/office/drawing/2014/main" id="{00000000-0008-0000-64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6" name="Picture 42" descr="trans">
          <a:extLst>
            <a:ext uri="{FF2B5EF4-FFF2-40B4-BE49-F238E27FC236}">
              <a16:creationId xmlns:a16="http://schemas.microsoft.com/office/drawing/2014/main" id="{00000000-0008-0000-6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7" name="Picture 43" descr="trans">
          <a:extLst>
            <a:ext uri="{FF2B5EF4-FFF2-40B4-BE49-F238E27FC236}">
              <a16:creationId xmlns:a16="http://schemas.microsoft.com/office/drawing/2014/main" id="{00000000-0008-0000-64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8" name="Picture 44" descr="trans">
          <a:extLst>
            <a:ext uri="{FF2B5EF4-FFF2-40B4-BE49-F238E27FC236}">
              <a16:creationId xmlns:a16="http://schemas.microsoft.com/office/drawing/2014/main" id="{00000000-0008-0000-6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9" name="Picture 45" descr="trans">
          <a:extLst>
            <a:ext uri="{FF2B5EF4-FFF2-40B4-BE49-F238E27FC236}">
              <a16:creationId xmlns:a16="http://schemas.microsoft.com/office/drawing/2014/main" id="{00000000-0008-0000-64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0" name="Picture 46" descr="trans">
          <a:extLst>
            <a:ext uri="{FF2B5EF4-FFF2-40B4-BE49-F238E27FC236}">
              <a16:creationId xmlns:a16="http://schemas.microsoft.com/office/drawing/2014/main" id="{00000000-0008-0000-64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1" name="Picture 47" descr="trans">
          <a:extLst>
            <a:ext uri="{FF2B5EF4-FFF2-40B4-BE49-F238E27FC236}">
              <a16:creationId xmlns:a16="http://schemas.microsoft.com/office/drawing/2014/main" id="{00000000-0008-0000-64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2" name="Picture 48" descr="trans">
          <a:extLst>
            <a:ext uri="{FF2B5EF4-FFF2-40B4-BE49-F238E27FC236}">
              <a16:creationId xmlns:a16="http://schemas.microsoft.com/office/drawing/2014/main" id="{00000000-0008-0000-6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3" name="Picture 49" descr="trans">
          <a:extLst>
            <a:ext uri="{FF2B5EF4-FFF2-40B4-BE49-F238E27FC236}">
              <a16:creationId xmlns:a16="http://schemas.microsoft.com/office/drawing/2014/main" id="{00000000-0008-0000-64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4" name="Picture 50" descr="trans">
          <a:extLst>
            <a:ext uri="{FF2B5EF4-FFF2-40B4-BE49-F238E27FC236}">
              <a16:creationId xmlns:a16="http://schemas.microsoft.com/office/drawing/2014/main" id="{00000000-0008-0000-64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5" name="Picture 51" descr="trans">
          <a:extLst>
            <a:ext uri="{FF2B5EF4-FFF2-40B4-BE49-F238E27FC236}">
              <a16:creationId xmlns:a16="http://schemas.microsoft.com/office/drawing/2014/main" id="{00000000-0008-0000-6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6" name="Picture 52" descr="trans">
          <a:extLst>
            <a:ext uri="{FF2B5EF4-FFF2-40B4-BE49-F238E27FC236}">
              <a16:creationId xmlns:a16="http://schemas.microsoft.com/office/drawing/2014/main" id="{00000000-0008-0000-64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7" name="Picture 53" descr="trans">
          <a:extLst>
            <a:ext uri="{FF2B5EF4-FFF2-40B4-BE49-F238E27FC236}">
              <a16:creationId xmlns:a16="http://schemas.microsoft.com/office/drawing/2014/main" id="{00000000-0008-0000-64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8" name="Picture 54" descr="trans">
          <a:extLst>
            <a:ext uri="{FF2B5EF4-FFF2-40B4-BE49-F238E27FC236}">
              <a16:creationId xmlns:a16="http://schemas.microsoft.com/office/drawing/2014/main" id="{00000000-0008-0000-64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9" name="Picture 55" descr="trans">
          <a:extLst>
            <a:ext uri="{FF2B5EF4-FFF2-40B4-BE49-F238E27FC236}">
              <a16:creationId xmlns:a16="http://schemas.microsoft.com/office/drawing/2014/main" id="{00000000-0008-0000-64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0" name="Picture 56" descr="trans">
          <a:extLst>
            <a:ext uri="{FF2B5EF4-FFF2-40B4-BE49-F238E27FC236}">
              <a16:creationId xmlns:a16="http://schemas.microsoft.com/office/drawing/2014/main" id="{00000000-0008-0000-64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1" name="Picture 57" descr="trans">
          <a:extLst>
            <a:ext uri="{FF2B5EF4-FFF2-40B4-BE49-F238E27FC236}">
              <a16:creationId xmlns:a16="http://schemas.microsoft.com/office/drawing/2014/main" id="{00000000-0008-0000-6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2" name="Picture 58" descr="trans">
          <a:extLst>
            <a:ext uri="{FF2B5EF4-FFF2-40B4-BE49-F238E27FC236}">
              <a16:creationId xmlns:a16="http://schemas.microsoft.com/office/drawing/2014/main" id="{00000000-0008-0000-64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3" name="Picture 59" descr="trans">
          <a:extLst>
            <a:ext uri="{FF2B5EF4-FFF2-40B4-BE49-F238E27FC236}">
              <a16:creationId xmlns:a16="http://schemas.microsoft.com/office/drawing/2014/main" id="{00000000-0008-0000-64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4" name="Picture 60" descr="trans">
          <a:extLst>
            <a:ext uri="{FF2B5EF4-FFF2-40B4-BE49-F238E27FC236}">
              <a16:creationId xmlns:a16="http://schemas.microsoft.com/office/drawing/2014/main" id="{00000000-0008-0000-64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5" name="Picture 61" descr="trans">
          <a:extLst>
            <a:ext uri="{FF2B5EF4-FFF2-40B4-BE49-F238E27FC236}">
              <a16:creationId xmlns:a16="http://schemas.microsoft.com/office/drawing/2014/main" id="{00000000-0008-0000-6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6" name="Picture 62" descr="trans">
          <a:extLst>
            <a:ext uri="{FF2B5EF4-FFF2-40B4-BE49-F238E27FC236}">
              <a16:creationId xmlns:a16="http://schemas.microsoft.com/office/drawing/2014/main" id="{00000000-0008-0000-64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7" name="Picture 63" descr="trans">
          <a:extLst>
            <a:ext uri="{FF2B5EF4-FFF2-40B4-BE49-F238E27FC236}">
              <a16:creationId xmlns:a16="http://schemas.microsoft.com/office/drawing/2014/main" id="{00000000-0008-0000-6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8" name="Picture 64" descr="trans">
          <a:extLst>
            <a:ext uri="{FF2B5EF4-FFF2-40B4-BE49-F238E27FC236}">
              <a16:creationId xmlns:a16="http://schemas.microsoft.com/office/drawing/2014/main" id="{00000000-0008-0000-64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9" name="Picture 65" descr="trans">
          <a:extLst>
            <a:ext uri="{FF2B5EF4-FFF2-40B4-BE49-F238E27FC236}">
              <a16:creationId xmlns:a16="http://schemas.microsoft.com/office/drawing/2014/main" id="{00000000-0008-0000-64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0" name="Picture 66" descr="trans">
          <a:extLst>
            <a:ext uri="{FF2B5EF4-FFF2-40B4-BE49-F238E27FC236}">
              <a16:creationId xmlns:a16="http://schemas.microsoft.com/office/drawing/2014/main" id="{00000000-0008-0000-64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1" name="Picture 67" descr="trans">
          <a:extLst>
            <a:ext uri="{FF2B5EF4-FFF2-40B4-BE49-F238E27FC236}">
              <a16:creationId xmlns:a16="http://schemas.microsoft.com/office/drawing/2014/main" id="{00000000-0008-0000-6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2" name="Picture 68" descr="trans">
          <a:extLst>
            <a:ext uri="{FF2B5EF4-FFF2-40B4-BE49-F238E27FC236}">
              <a16:creationId xmlns:a16="http://schemas.microsoft.com/office/drawing/2014/main" id="{00000000-0008-0000-64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3" name="Picture 69" descr="trans">
          <a:extLst>
            <a:ext uri="{FF2B5EF4-FFF2-40B4-BE49-F238E27FC236}">
              <a16:creationId xmlns:a16="http://schemas.microsoft.com/office/drawing/2014/main" id="{00000000-0008-0000-64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4" name="Picture 70" descr="trans">
          <a:extLst>
            <a:ext uri="{FF2B5EF4-FFF2-40B4-BE49-F238E27FC236}">
              <a16:creationId xmlns:a16="http://schemas.microsoft.com/office/drawing/2014/main" id="{00000000-0008-0000-64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5" name="Picture 71" descr="trans">
          <a:extLst>
            <a:ext uri="{FF2B5EF4-FFF2-40B4-BE49-F238E27FC236}">
              <a16:creationId xmlns:a16="http://schemas.microsoft.com/office/drawing/2014/main" id="{00000000-0008-0000-6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6" name="Picture 72" descr="trans">
          <a:extLst>
            <a:ext uri="{FF2B5EF4-FFF2-40B4-BE49-F238E27FC236}">
              <a16:creationId xmlns:a16="http://schemas.microsoft.com/office/drawing/2014/main" id="{00000000-0008-0000-64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7" name="Picture 73" descr="trans">
          <a:extLst>
            <a:ext uri="{FF2B5EF4-FFF2-40B4-BE49-F238E27FC236}">
              <a16:creationId xmlns:a16="http://schemas.microsoft.com/office/drawing/2014/main" id="{00000000-0008-0000-64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8" name="Picture 74" descr="trans">
          <a:extLst>
            <a:ext uri="{FF2B5EF4-FFF2-40B4-BE49-F238E27FC236}">
              <a16:creationId xmlns:a16="http://schemas.microsoft.com/office/drawing/2014/main" id="{00000000-0008-0000-64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9" name="Picture 75" descr="trans">
          <a:extLst>
            <a:ext uri="{FF2B5EF4-FFF2-40B4-BE49-F238E27FC236}">
              <a16:creationId xmlns:a16="http://schemas.microsoft.com/office/drawing/2014/main" id="{00000000-0008-0000-6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0" name="Picture 76" descr="trans">
          <a:extLst>
            <a:ext uri="{FF2B5EF4-FFF2-40B4-BE49-F238E27FC236}">
              <a16:creationId xmlns:a16="http://schemas.microsoft.com/office/drawing/2014/main" id="{00000000-0008-0000-6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1" name="Picture 77" descr="trans">
          <a:extLst>
            <a:ext uri="{FF2B5EF4-FFF2-40B4-BE49-F238E27FC236}">
              <a16:creationId xmlns:a16="http://schemas.microsoft.com/office/drawing/2014/main" id="{00000000-0008-0000-6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2" name="Picture 78" descr="trans">
          <a:extLst>
            <a:ext uri="{FF2B5EF4-FFF2-40B4-BE49-F238E27FC236}">
              <a16:creationId xmlns:a16="http://schemas.microsoft.com/office/drawing/2014/main" id="{00000000-0008-0000-6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3" name="Picture 79" descr="trans">
          <a:extLst>
            <a:ext uri="{FF2B5EF4-FFF2-40B4-BE49-F238E27FC236}">
              <a16:creationId xmlns:a16="http://schemas.microsoft.com/office/drawing/2014/main" id="{00000000-0008-0000-6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4" name="Picture 80" descr="trans">
          <a:extLst>
            <a:ext uri="{FF2B5EF4-FFF2-40B4-BE49-F238E27FC236}">
              <a16:creationId xmlns:a16="http://schemas.microsoft.com/office/drawing/2014/main" id="{00000000-0008-0000-6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5" name="Picture 81" descr="trans">
          <a:extLst>
            <a:ext uri="{FF2B5EF4-FFF2-40B4-BE49-F238E27FC236}">
              <a16:creationId xmlns:a16="http://schemas.microsoft.com/office/drawing/2014/main" id="{00000000-0008-0000-6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6" name="Picture 82" descr="trans">
          <a:extLst>
            <a:ext uri="{FF2B5EF4-FFF2-40B4-BE49-F238E27FC236}">
              <a16:creationId xmlns:a16="http://schemas.microsoft.com/office/drawing/2014/main" id="{00000000-0008-0000-6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7" name="Picture 83" descr="trans">
          <a:extLst>
            <a:ext uri="{FF2B5EF4-FFF2-40B4-BE49-F238E27FC236}">
              <a16:creationId xmlns:a16="http://schemas.microsoft.com/office/drawing/2014/main" id="{00000000-0008-0000-6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8" name="Picture 120" descr="trans">
          <a:extLst>
            <a:ext uri="{FF2B5EF4-FFF2-40B4-BE49-F238E27FC236}">
              <a16:creationId xmlns:a16="http://schemas.microsoft.com/office/drawing/2014/main" id="{00000000-0008-0000-64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9" name="Picture 121" descr="trans">
          <a:extLst>
            <a:ext uri="{FF2B5EF4-FFF2-40B4-BE49-F238E27FC236}">
              <a16:creationId xmlns:a16="http://schemas.microsoft.com/office/drawing/2014/main" id="{00000000-0008-0000-6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0" name="Picture 122" descr="trans">
          <a:extLst>
            <a:ext uri="{FF2B5EF4-FFF2-40B4-BE49-F238E27FC236}">
              <a16:creationId xmlns:a16="http://schemas.microsoft.com/office/drawing/2014/main" id="{00000000-0008-0000-64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1" name="Picture 123" descr="trans">
          <a:extLst>
            <a:ext uri="{FF2B5EF4-FFF2-40B4-BE49-F238E27FC236}">
              <a16:creationId xmlns:a16="http://schemas.microsoft.com/office/drawing/2014/main" id="{00000000-0008-0000-6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2" name="Picture 124" descr="trans">
          <a:extLst>
            <a:ext uri="{FF2B5EF4-FFF2-40B4-BE49-F238E27FC236}">
              <a16:creationId xmlns:a16="http://schemas.microsoft.com/office/drawing/2014/main" id="{00000000-0008-0000-64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3" name="Picture 125" descr="trans">
          <a:extLst>
            <a:ext uri="{FF2B5EF4-FFF2-40B4-BE49-F238E27FC236}">
              <a16:creationId xmlns:a16="http://schemas.microsoft.com/office/drawing/2014/main" id="{00000000-0008-0000-6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4" name="Picture 126" descr="trans">
          <a:extLst>
            <a:ext uri="{FF2B5EF4-FFF2-40B4-BE49-F238E27FC236}">
              <a16:creationId xmlns:a16="http://schemas.microsoft.com/office/drawing/2014/main" id="{00000000-0008-0000-6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5" name="Picture 127" descr="trans">
          <a:extLst>
            <a:ext uri="{FF2B5EF4-FFF2-40B4-BE49-F238E27FC236}">
              <a16:creationId xmlns:a16="http://schemas.microsoft.com/office/drawing/2014/main" id="{00000000-0008-0000-6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6" name="Picture 128" descr="trans">
          <a:extLst>
            <a:ext uri="{FF2B5EF4-FFF2-40B4-BE49-F238E27FC236}">
              <a16:creationId xmlns:a16="http://schemas.microsoft.com/office/drawing/2014/main" id="{00000000-0008-0000-64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7" name="Picture 133" descr="trans">
          <a:extLst>
            <a:ext uri="{FF2B5EF4-FFF2-40B4-BE49-F238E27FC236}">
              <a16:creationId xmlns:a16="http://schemas.microsoft.com/office/drawing/2014/main" id="{00000000-0008-0000-6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8" name="Picture 134" descr="trans">
          <a:extLst>
            <a:ext uri="{FF2B5EF4-FFF2-40B4-BE49-F238E27FC236}">
              <a16:creationId xmlns:a16="http://schemas.microsoft.com/office/drawing/2014/main" id="{00000000-0008-0000-6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9" name="Picture 135" descr="trans">
          <a:extLst>
            <a:ext uri="{FF2B5EF4-FFF2-40B4-BE49-F238E27FC236}">
              <a16:creationId xmlns:a16="http://schemas.microsoft.com/office/drawing/2014/main" id="{00000000-0008-0000-6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0" name="Picture 136" descr="trans">
          <a:extLst>
            <a:ext uri="{FF2B5EF4-FFF2-40B4-BE49-F238E27FC236}">
              <a16:creationId xmlns:a16="http://schemas.microsoft.com/office/drawing/2014/main" id="{00000000-0008-0000-64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1" name="Picture 137" descr="trans">
          <a:extLst>
            <a:ext uri="{FF2B5EF4-FFF2-40B4-BE49-F238E27FC236}">
              <a16:creationId xmlns:a16="http://schemas.microsoft.com/office/drawing/2014/main" id="{00000000-0008-0000-6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2" name="Picture 138" descr="trans">
          <a:extLst>
            <a:ext uri="{FF2B5EF4-FFF2-40B4-BE49-F238E27FC236}">
              <a16:creationId xmlns:a16="http://schemas.microsoft.com/office/drawing/2014/main" id="{00000000-0008-0000-64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3" name="Picture 139" descr="trans">
          <a:extLst>
            <a:ext uri="{FF2B5EF4-FFF2-40B4-BE49-F238E27FC236}">
              <a16:creationId xmlns:a16="http://schemas.microsoft.com/office/drawing/2014/main" id="{00000000-0008-0000-64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4" name="Picture 140" descr="trans">
          <a:extLst>
            <a:ext uri="{FF2B5EF4-FFF2-40B4-BE49-F238E27FC236}">
              <a16:creationId xmlns:a16="http://schemas.microsoft.com/office/drawing/2014/main" id="{00000000-0008-0000-64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5" name="Picture 141" descr="trans">
          <a:extLst>
            <a:ext uri="{FF2B5EF4-FFF2-40B4-BE49-F238E27FC236}">
              <a16:creationId xmlns:a16="http://schemas.microsoft.com/office/drawing/2014/main" id="{00000000-0008-0000-64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6" name="Picture 142" descr="trans">
          <a:extLst>
            <a:ext uri="{FF2B5EF4-FFF2-40B4-BE49-F238E27FC236}">
              <a16:creationId xmlns:a16="http://schemas.microsoft.com/office/drawing/2014/main" id="{00000000-0008-0000-64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7" name="Picture 143" descr="trans">
          <a:extLst>
            <a:ext uri="{FF2B5EF4-FFF2-40B4-BE49-F238E27FC236}">
              <a16:creationId xmlns:a16="http://schemas.microsoft.com/office/drawing/2014/main" id="{00000000-0008-0000-6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8" name="Picture 144" descr="trans">
          <a:extLst>
            <a:ext uri="{FF2B5EF4-FFF2-40B4-BE49-F238E27FC236}">
              <a16:creationId xmlns:a16="http://schemas.microsoft.com/office/drawing/2014/main" id="{00000000-0008-0000-64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9" name="Picture 145" descr="trans">
          <a:extLst>
            <a:ext uri="{FF2B5EF4-FFF2-40B4-BE49-F238E27FC236}">
              <a16:creationId xmlns:a16="http://schemas.microsoft.com/office/drawing/2014/main" id="{00000000-0008-0000-6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0" name="Picture 146" descr="trans">
          <a:extLst>
            <a:ext uri="{FF2B5EF4-FFF2-40B4-BE49-F238E27FC236}">
              <a16:creationId xmlns:a16="http://schemas.microsoft.com/office/drawing/2014/main" id="{00000000-0008-0000-64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1" name="Picture 147" descr="trans">
          <a:extLst>
            <a:ext uri="{FF2B5EF4-FFF2-40B4-BE49-F238E27FC236}">
              <a16:creationId xmlns:a16="http://schemas.microsoft.com/office/drawing/2014/main" id="{00000000-0008-0000-6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2" name="Picture 148" descr="trans">
          <a:extLst>
            <a:ext uri="{FF2B5EF4-FFF2-40B4-BE49-F238E27FC236}">
              <a16:creationId xmlns:a16="http://schemas.microsoft.com/office/drawing/2014/main" id="{00000000-0008-0000-64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3" name="Picture 149" descr="trans">
          <a:extLst>
            <a:ext uri="{FF2B5EF4-FFF2-40B4-BE49-F238E27FC236}">
              <a16:creationId xmlns:a16="http://schemas.microsoft.com/office/drawing/2014/main" id="{00000000-0008-0000-64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4" name="Picture 150" descr="trans">
          <a:extLst>
            <a:ext uri="{FF2B5EF4-FFF2-40B4-BE49-F238E27FC236}">
              <a16:creationId xmlns:a16="http://schemas.microsoft.com/office/drawing/2014/main" id="{00000000-0008-0000-64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5" name="Picture 151" descr="trans">
          <a:extLst>
            <a:ext uri="{FF2B5EF4-FFF2-40B4-BE49-F238E27FC236}">
              <a16:creationId xmlns:a16="http://schemas.microsoft.com/office/drawing/2014/main" id="{00000000-0008-0000-64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6" name="Picture 152" descr="trans">
          <a:extLst>
            <a:ext uri="{FF2B5EF4-FFF2-40B4-BE49-F238E27FC236}">
              <a16:creationId xmlns:a16="http://schemas.microsoft.com/office/drawing/2014/main" id="{00000000-0008-0000-64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7" name="Picture 153" descr="trans">
          <a:extLst>
            <a:ext uri="{FF2B5EF4-FFF2-40B4-BE49-F238E27FC236}">
              <a16:creationId xmlns:a16="http://schemas.microsoft.com/office/drawing/2014/main" id="{00000000-0008-0000-6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8" name="Picture 154" descr="trans">
          <a:extLst>
            <a:ext uri="{FF2B5EF4-FFF2-40B4-BE49-F238E27FC236}">
              <a16:creationId xmlns:a16="http://schemas.microsoft.com/office/drawing/2014/main" id="{00000000-0008-0000-64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9" name="Picture 155" descr="trans">
          <a:extLst>
            <a:ext uri="{FF2B5EF4-FFF2-40B4-BE49-F238E27FC236}">
              <a16:creationId xmlns:a16="http://schemas.microsoft.com/office/drawing/2014/main" id="{00000000-0008-0000-64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0" name="Picture 156" descr="trans">
          <a:extLst>
            <a:ext uri="{FF2B5EF4-FFF2-40B4-BE49-F238E27FC236}">
              <a16:creationId xmlns:a16="http://schemas.microsoft.com/office/drawing/2014/main" id="{00000000-0008-0000-64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1" name="Picture 157" descr="trans">
          <a:extLst>
            <a:ext uri="{FF2B5EF4-FFF2-40B4-BE49-F238E27FC236}">
              <a16:creationId xmlns:a16="http://schemas.microsoft.com/office/drawing/2014/main" id="{00000000-0008-0000-64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2" name="Picture 158" descr="trans">
          <a:extLst>
            <a:ext uri="{FF2B5EF4-FFF2-40B4-BE49-F238E27FC236}">
              <a16:creationId xmlns:a16="http://schemas.microsoft.com/office/drawing/2014/main" id="{00000000-0008-0000-64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3" name="Picture 159" descr="trans">
          <a:extLst>
            <a:ext uri="{FF2B5EF4-FFF2-40B4-BE49-F238E27FC236}">
              <a16:creationId xmlns:a16="http://schemas.microsoft.com/office/drawing/2014/main" id="{00000000-0008-0000-6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4" name="Picture 160" descr="trans">
          <a:extLst>
            <a:ext uri="{FF2B5EF4-FFF2-40B4-BE49-F238E27FC236}">
              <a16:creationId xmlns:a16="http://schemas.microsoft.com/office/drawing/2014/main" id="{00000000-0008-0000-64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5" name="Picture 161" descr="trans">
          <a:extLst>
            <a:ext uri="{FF2B5EF4-FFF2-40B4-BE49-F238E27FC236}">
              <a16:creationId xmlns:a16="http://schemas.microsoft.com/office/drawing/2014/main" id="{00000000-0008-0000-6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6" name="Picture 162" descr="trans">
          <a:extLst>
            <a:ext uri="{FF2B5EF4-FFF2-40B4-BE49-F238E27FC236}">
              <a16:creationId xmlns:a16="http://schemas.microsoft.com/office/drawing/2014/main" id="{00000000-0008-0000-64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7" name="Picture 163" descr="trans">
          <a:extLst>
            <a:ext uri="{FF2B5EF4-FFF2-40B4-BE49-F238E27FC236}">
              <a16:creationId xmlns:a16="http://schemas.microsoft.com/office/drawing/2014/main" id="{00000000-0008-0000-64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8" name="Picture 164" descr="trans">
          <a:extLst>
            <a:ext uri="{FF2B5EF4-FFF2-40B4-BE49-F238E27FC236}">
              <a16:creationId xmlns:a16="http://schemas.microsoft.com/office/drawing/2014/main" id="{00000000-0008-0000-64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9" name="Picture 165" descr="trans">
          <a:extLst>
            <a:ext uri="{FF2B5EF4-FFF2-40B4-BE49-F238E27FC236}">
              <a16:creationId xmlns:a16="http://schemas.microsoft.com/office/drawing/2014/main" id="{00000000-0008-0000-64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0" name="Picture 166" descr="trans">
          <a:extLst>
            <a:ext uri="{FF2B5EF4-FFF2-40B4-BE49-F238E27FC236}">
              <a16:creationId xmlns:a16="http://schemas.microsoft.com/office/drawing/2014/main" id="{00000000-0008-0000-64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1" name="Picture 167" descr="trans">
          <a:extLst>
            <a:ext uri="{FF2B5EF4-FFF2-40B4-BE49-F238E27FC236}">
              <a16:creationId xmlns:a16="http://schemas.microsoft.com/office/drawing/2014/main" id="{00000000-0008-0000-64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2" name="Picture 168" descr="trans">
          <a:extLst>
            <a:ext uri="{FF2B5EF4-FFF2-40B4-BE49-F238E27FC236}">
              <a16:creationId xmlns:a16="http://schemas.microsoft.com/office/drawing/2014/main" id="{00000000-0008-0000-64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3" name="Picture 169" descr="trans">
          <a:extLst>
            <a:ext uri="{FF2B5EF4-FFF2-40B4-BE49-F238E27FC236}">
              <a16:creationId xmlns:a16="http://schemas.microsoft.com/office/drawing/2014/main" id="{00000000-0008-0000-64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4" name="Picture 170" descr="trans">
          <a:extLst>
            <a:ext uri="{FF2B5EF4-FFF2-40B4-BE49-F238E27FC236}">
              <a16:creationId xmlns:a16="http://schemas.microsoft.com/office/drawing/2014/main" id="{00000000-0008-0000-64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5" name="Picture 171" descr="trans">
          <a:extLst>
            <a:ext uri="{FF2B5EF4-FFF2-40B4-BE49-F238E27FC236}">
              <a16:creationId xmlns:a16="http://schemas.microsoft.com/office/drawing/2014/main" id="{00000000-0008-0000-64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6" name="Picture 172" descr="trans">
          <a:extLst>
            <a:ext uri="{FF2B5EF4-FFF2-40B4-BE49-F238E27FC236}">
              <a16:creationId xmlns:a16="http://schemas.microsoft.com/office/drawing/2014/main" id="{00000000-0008-0000-64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7" name="Picture 173" descr="trans">
          <a:extLst>
            <a:ext uri="{FF2B5EF4-FFF2-40B4-BE49-F238E27FC236}">
              <a16:creationId xmlns:a16="http://schemas.microsoft.com/office/drawing/2014/main" id="{00000000-0008-0000-64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8" name="Picture 174" descr="trans">
          <a:extLst>
            <a:ext uri="{FF2B5EF4-FFF2-40B4-BE49-F238E27FC236}">
              <a16:creationId xmlns:a16="http://schemas.microsoft.com/office/drawing/2014/main" id="{00000000-0008-0000-64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9" name="Picture 175" descr="trans">
          <a:extLst>
            <a:ext uri="{FF2B5EF4-FFF2-40B4-BE49-F238E27FC236}">
              <a16:creationId xmlns:a16="http://schemas.microsoft.com/office/drawing/2014/main" id="{00000000-0008-0000-64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0" name="Picture 176" descr="trans">
          <a:extLst>
            <a:ext uri="{FF2B5EF4-FFF2-40B4-BE49-F238E27FC236}">
              <a16:creationId xmlns:a16="http://schemas.microsoft.com/office/drawing/2014/main" id="{00000000-0008-0000-64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1" name="Picture 177" descr="trans">
          <a:extLst>
            <a:ext uri="{FF2B5EF4-FFF2-40B4-BE49-F238E27FC236}">
              <a16:creationId xmlns:a16="http://schemas.microsoft.com/office/drawing/2014/main" id="{00000000-0008-0000-64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2" name="Picture 178" descr="trans">
          <a:extLst>
            <a:ext uri="{FF2B5EF4-FFF2-40B4-BE49-F238E27FC236}">
              <a16:creationId xmlns:a16="http://schemas.microsoft.com/office/drawing/2014/main" id="{00000000-0008-0000-64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3" name="Picture 179" descr="trans">
          <a:extLst>
            <a:ext uri="{FF2B5EF4-FFF2-40B4-BE49-F238E27FC236}">
              <a16:creationId xmlns:a16="http://schemas.microsoft.com/office/drawing/2014/main" id="{00000000-0008-0000-64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4" name="Picture 180" descr="trans">
          <a:extLst>
            <a:ext uri="{FF2B5EF4-FFF2-40B4-BE49-F238E27FC236}">
              <a16:creationId xmlns:a16="http://schemas.microsoft.com/office/drawing/2014/main" id="{00000000-0008-0000-64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5" name="Picture 181" descr="trans">
          <a:extLst>
            <a:ext uri="{FF2B5EF4-FFF2-40B4-BE49-F238E27FC236}">
              <a16:creationId xmlns:a16="http://schemas.microsoft.com/office/drawing/2014/main" id="{00000000-0008-0000-64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6" name="Picture 182" descr="trans">
          <a:extLst>
            <a:ext uri="{FF2B5EF4-FFF2-40B4-BE49-F238E27FC236}">
              <a16:creationId xmlns:a16="http://schemas.microsoft.com/office/drawing/2014/main" id="{00000000-0008-0000-64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7" name="Picture 183" descr="trans">
          <a:extLst>
            <a:ext uri="{FF2B5EF4-FFF2-40B4-BE49-F238E27FC236}">
              <a16:creationId xmlns:a16="http://schemas.microsoft.com/office/drawing/2014/main" id="{00000000-0008-0000-64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8" name="Picture 184" descr="trans">
          <a:extLst>
            <a:ext uri="{FF2B5EF4-FFF2-40B4-BE49-F238E27FC236}">
              <a16:creationId xmlns:a16="http://schemas.microsoft.com/office/drawing/2014/main" id="{00000000-0008-0000-6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9" name="Picture 185" descr="trans">
          <a:extLst>
            <a:ext uri="{FF2B5EF4-FFF2-40B4-BE49-F238E27FC236}">
              <a16:creationId xmlns:a16="http://schemas.microsoft.com/office/drawing/2014/main" id="{00000000-0008-0000-64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0" name="Picture 186" descr="trans">
          <a:extLst>
            <a:ext uri="{FF2B5EF4-FFF2-40B4-BE49-F238E27FC236}">
              <a16:creationId xmlns:a16="http://schemas.microsoft.com/office/drawing/2014/main" id="{00000000-0008-0000-6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1" name="Picture 187" descr="trans">
          <a:extLst>
            <a:ext uri="{FF2B5EF4-FFF2-40B4-BE49-F238E27FC236}">
              <a16:creationId xmlns:a16="http://schemas.microsoft.com/office/drawing/2014/main" id="{00000000-0008-0000-64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2" name="Picture 188" descr="trans">
          <a:extLst>
            <a:ext uri="{FF2B5EF4-FFF2-40B4-BE49-F238E27FC236}">
              <a16:creationId xmlns:a16="http://schemas.microsoft.com/office/drawing/2014/main" id="{00000000-0008-0000-64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3" name="Picture 189" descr="trans">
          <a:extLst>
            <a:ext uri="{FF2B5EF4-FFF2-40B4-BE49-F238E27FC236}">
              <a16:creationId xmlns:a16="http://schemas.microsoft.com/office/drawing/2014/main" id="{00000000-0008-0000-6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4" name="Picture 190" descr="trans">
          <a:extLst>
            <a:ext uri="{FF2B5EF4-FFF2-40B4-BE49-F238E27FC236}">
              <a16:creationId xmlns:a16="http://schemas.microsoft.com/office/drawing/2014/main" id="{00000000-0008-0000-6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5" name="Picture 191" descr="trans">
          <a:extLst>
            <a:ext uri="{FF2B5EF4-FFF2-40B4-BE49-F238E27FC236}">
              <a16:creationId xmlns:a16="http://schemas.microsoft.com/office/drawing/2014/main" id="{00000000-0008-0000-64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6" name="Picture 192" descr="trans">
          <a:extLst>
            <a:ext uri="{FF2B5EF4-FFF2-40B4-BE49-F238E27FC236}">
              <a16:creationId xmlns:a16="http://schemas.microsoft.com/office/drawing/2014/main" id="{00000000-0008-0000-64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7" name="Picture 193" descr="trans">
          <a:extLst>
            <a:ext uri="{FF2B5EF4-FFF2-40B4-BE49-F238E27FC236}">
              <a16:creationId xmlns:a16="http://schemas.microsoft.com/office/drawing/2014/main" id="{00000000-0008-0000-64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8" name="Picture 194" descr="trans">
          <a:extLst>
            <a:ext uri="{FF2B5EF4-FFF2-40B4-BE49-F238E27FC236}">
              <a16:creationId xmlns:a16="http://schemas.microsoft.com/office/drawing/2014/main" id="{00000000-0008-0000-6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9" name="Picture 195" descr="trans">
          <a:extLst>
            <a:ext uri="{FF2B5EF4-FFF2-40B4-BE49-F238E27FC236}">
              <a16:creationId xmlns:a16="http://schemas.microsoft.com/office/drawing/2014/main" id="{00000000-0008-0000-64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0" name="Picture 196" descr="trans">
          <a:extLst>
            <a:ext uri="{FF2B5EF4-FFF2-40B4-BE49-F238E27FC236}">
              <a16:creationId xmlns:a16="http://schemas.microsoft.com/office/drawing/2014/main" id="{00000000-0008-0000-6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1" name="Picture 197" descr="trans">
          <a:extLst>
            <a:ext uri="{FF2B5EF4-FFF2-40B4-BE49-F238E27FC236}">
              <a16:creationId xmlns:a16="http://schemas.microsoft.com/office/drawing/2014/main" id="{00000000-0008-0000-64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2" name="Picture 198" descr="trans">
          <a:extLst>
            <a:ext uri="{FF2B5EF4-FFF2-40B4-BE49-F238E27FC236}">
              <a16:creationId xmlns:a16="http://schemas.microsoft.com/office/drawing/2014/main" id="{00000000-0008-0000-64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3" name="Picture 199" descr="trans">
          <a:extLst>
            <a:ext uri="{FF2B5EF4-FFF2-40B4-BE49-F238E27FC236}">
              <a16:creationId xmlns:a16="http://schemas.microsoft.com/office/drawing/2014/main" id="{00000000-0008-0000-64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4" name="Picture 200" descr="trans">
          <a:extLst>
            <a:ext uri="{FF2B5EF4-FFF2-40B4-BE49-F238E27FC236}">
              <a16:creationId xmlns:a16="http://schemas.microsoft.com/office/drawing/2014/main" id="{00000000-0008-0000-6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5" name="Picture 201" descr="trans">
          <a:extLst>
            <a:ext uri="{FF2B5EF4-FFF2-40B4-BE49-F238E27FC236}">
              <a16:creationId xmlns:a16="http://schemas.microsoft.com/office/drawing/2014/main" id="{00000000-0008-0000-64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6" name="Picture 202" descr="trans">
          <a:extLst>
            <a:ext uri="{FF2B5EF4-FFF2-40B4-BE49-F238E27FC236}">
              <a16:creationId xmlns:a16="http://schemas.microsoft.com/office/drawing/2014/main" id="{00000000-0008-0000-64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7" name="Picture 203" descr="trans">
          <a:extLst>
            <a:ext uri="{FF2B5EF4-FFF2-40B4-BE49-F238E27FC236}">
              <a16:creationId xmlns:a16="http://schemas.microsoft.com/office/drawing/2014/main" id="{00000000-0008-0000-64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8" name="Picture 204" descr="trans">
          <a:extLst>
            <a:ext uri="{FF2B5EF4-FFF2-40B4-BE49-F238E27FC236}">
              <a16:creationId xmlns:a16="http://schemas.microsoft.com/office/drawing/2014/main" id="{00000000-0008-0000-6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9" name="Picture 205" descr="trans">
          <a:extLst>
            <a:ext uri="{FF2B5EF4-FFF2-40B4-BE49-F238E27FC236}">
              <a16:creationId xmlns:a16="http://schemas.microsoft.com/office/drawing/2014/main" id="{00000000-0008-0000-64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0" name="Picture 206" descr="trans">
          <a:extLst>
            <a:ext uri="{FF2B5EF4-FFF2-40B4-BE49-F238E27FC236}">
              <a16:creationId xmlns:a16="http://schemas.microsoft.com/office/drawing/2014/main" id="{00000000-0008-0000-6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1" name="Picture 207" descr="trans">
          <a:extLst>
            <a:ext uri="{FF2B5EF4-FFF2-40B4-BE49-F238E27FC236}">
              <a16:creationId xmlns:a16="http://schemas.microsoft.com/office/drawing/2014/main" id="{00000000-0008-0000-64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2" name="Picture 208" descr="trans">
          <a:extLst>
            <a:ext uri="{FF2B5EF4-FFF2-40B4-BE49-F238E27FC236}">
              <a16:creationId xmlns:a16="http://schemas.microsoft.com/office/drawing/2014/main" id="{00000000-0008-0000-64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3" name="Picture 209" descr="trans">
          <a:extLst>
            <a:ext uri="{FF2B5EF4-FFF2-40B4-BE49-F238E27FC236}">
              <a16:creationId xmlns:a16="http://schemas.microsoft.com/office/drawing/2014/main" id="{00000000-0008-0000-64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4" name="Picture 210" descr="trans">
          <a:extLst>
            <a:ext uri="{FF2B5EF4-FFF2-40B4-BE49-F238E27FC236}">
              <a16:creationId xmlns:a16="http://schemas.microsoft.com/office/drawing/2014/main" id="{00000000-0008-0000-64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5" name="Picture 211" descr="trans">
          <a:extLst>
            <a:ext uri="{FF2B5EF4-FFF2-40B4-BE49-F238E27FC236}">
              <a16:creationId xmlns:a16="http://schemas.microsoft.com/office/drawing/2014/main" id="{00000000-0008-0000-64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6" name="Picture 212" descr="trans">
          <a:extLst>
            <a:ext uri="{FF2B5EF4-FFF2-40B4-BE49-F238E27FC236}">
              <a16:creationId xmlns:a16="http://schemas.microsoft.com/office/drawing/2014/main" id="{00000000-0008-0000-64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7" name="Picture 213" descr="trans">
          <a:extLst>
            <a:ext uri="{FF2B5EF4-FFF2-40B4-BE49-F238E27FC236}">
              <a16:creationId xmlns:a16="http://schemas.microsoft.com/office/drawing/2014/main" id="{00000000-0008-0000-64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8" name="Picture 214" descr="trans">
          <a:extLst>
            <a:ext uri="{FF2B5EF4-FFF2-40B4-BE49-F238E27FC236}">
              <a16:creationId xmlns:a16="http://schemas.microsoft.com/office/drawing/2014/main" id="{00000000-0008-0000-6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9" name="Picture 215" descr="trans">
          <a:extLst>
            <a:ext uri="{FF2B5EF4-FFF2-40B4-BE49-F238E27FC236}">
              <a16:creationId xmlns:a16="http://schemas.microsoft.com/office/drawing/2014/main" id="{00000000-0008-0000-64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0" name="Picture 216" descr="trans">
          <a:extLst>
            <a:ext uri="{FF2B5EF4-FFF2-40B4-BE49-F238E27FC236}">
              <a16:creationId xmlns:a16="http://schemas.microsoft.com/office/drawing/2014/main" id="{00000000-0008-0000-64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1" name="Picture 217" descr="trans">
          <a:extLst>
            <a:ext uri="{FF2B5EF4-FFF2-40B4-BE49-F238E27FC236}">
              <a16:creationId xmlns:a16="http://schemas.microsoft.com/office/drawing/2014/main" id="{00000000-0008-0000-64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2" name="Picture 218" descr="trans">
          <a:extLst>
            <a:ext uri="{FF2B5EF4-FFF2-40B4-BE49-F238E27FC236}">
              <a16:creationId xmlns:a16="http://schemas.microsoft.com/office/drawing/2014/main" id="{00000000-0008-0000-6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3" name="Picture 219" descr="trans">
          <a:extLst>
            <a:ext uri="{FF2B5EF4-FFF2-40B4-BE49-F238E27FC236}">
              <a16:creationId xmlns:a16="http://schemas.microsoft.com/office/drawing/2014/main" id="{00000000-0008-0000-64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4" name="Picture 220" descr="trans">
          <a:extLst>
            <a:ext uri="{FF2B5EF4-FFF2-40B4-BE49-F238E27FC236}">
              <a16:creationId xmlns:a16="http://schemas.microsoft.com/office/drawing/2014/main" id="{00000000-0008-0000-64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5" name="Picture 221" descr="trans">
          <a:extLst>
            <a:ext uri="{FF2B5EF4-FFF2-40B4-BE49-F238E27FC236}">
              <a16:creationId xmlns:a16="http://schemas.microsoft.com/office/drawing/2014/main" id="{00000000-0008-0000-64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6" name="Picture 222" descr="trans">
          <a:extLst>
            <a:ext uri="{FF2B5EF4-FFF2-40B4-BE49-F238E27FC236}">
              <a16:creationId xmlns:a16="http://schemas.microsoft.com/office/drawing/2014/main" id="{00000000-0008-0000-64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7" name="Picture 223" descr="trans">
          <a:extLst>
            <a:ext uri="{FF2B5EF4-FFF2-40B4-BE49-F238E27FC236}">
              <a16:creationId xmlns:a16="http://schemas.microsoft.com/office/drawing/2014/main" id="{00000000-0008-0000-64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8" name="Picture 224" descr="trans">
          <a:extLst>
            <a:ext uri="{FF2B5EF4-FFF2-40B4-BE49-F238E27FC236}">
              <a16:creationId xmlns:a16="http://schemas.microsoft.com/office/drawing/2014/main" id="{00000000-0008-0000-64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9" name="Picture 225" descr="trans">
          <a:extLst>
            <a:ext uri="{FF2B5EF4-FFF2-40B4-BE49-F238E27FC236}">
              <a16:creationId xmlns:a16="http://schemas.microsoft.com/office/drawing/2014/main" id="{00000000-0008-0000-64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0" name="Picture 226" descr="trans">
          <a:extLst>
            <a:ext uri="{FF2B5EF4-FFF2-40B4-BE49-F238E27FC236}">
              <a16:creationId xmlns:a16="http://schemas.microsoft.com/office/drawing/2014/main" id="{00000000-0008-0000-6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1" name="Picture 227" descr="trans">
          <a:extLst>
            <a:ext uri="{FF2B5EF4-FFF2-40B4-BE49-F238E27FC236}">
              <a16:creationId xmlns:a16="http://schemas.microsoft.com/office/drawing/2014/main" id="{00000000-0008-0000-64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2" name="Picture 228" descr="trans">
          <a:extLst>
            <a:ext uri="{FF2B5EF4-FFF2-40B4-BE49-F238E27FC236}">
              <a16:creationId xmlns:a16="http://schemas.microsoft.com/office/drawing/2014/main" id="{00000000-0008-0000-64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3" name="Picture 229" descr="trans">
          <a:extLst>
            <a:ext uri="{FF2B5EF4-FFF2-40B4-BE49-F238E27FC236}">
              <a16:creationId xmlns:a16="http://schemas.microsoft.com/office/drawing/2014/main" id="{00000000-0008-0000-64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4" name="Picture 230" descr="trans">
          <a:extLst>
            <a:ext uri="{FF2B5EF4-FFF2-40B4-BE49-F238E27FC236}">
              <a16:creationId xmlns:a16="http://schemas.microsoft.com/office/drawing/2014/main" id="{00000000-0008-0000-64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5" name="Picture 231" descr="trans">
          <a:extLst>
            <a:ext uri="{FF2B5EF4-FFF2-40B4-BE49-F238E27FC236}">
              <a16:creationId xmlns:a16="http://schemas.microsoft.com/office/drawing/2014/main" id="{00000000-0008-0000-64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6" name="Picture 232" descr="trans">
          <a:extLst>
            <a:ext uri="{FF2B5EF4-FFF2-40B4-BE49-F238E27FC236}">
              <a16:creationId xmlns:a16="http://schemas.microsoft.com/office/drawing/2014/main" id="{00000000-0008-0000-64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
    <v>2</v>
    <v>3</v>
    <v>5</v>
  </rv>
  <rv s="0">
    <v/>
    <v>2</v>
    <v>4</v>
    <v>5</v>
  </rv>
  <rv s="1">
    <v>2</v>
    <v>1</v>
    <v>1</v>
    <v>9</v>
  </rv>
  <rv s="2">
    <v>2</v>
    <v>1</v>
    <v>4</v>
  </rv>
</rvData>
</file>

<file path=xl/richData/rdrichvaluestructure.xml><?xml version="1.0" encoding="utf-8"?>
<rvStructures xmlns="http://schemas.microsoft.com/office/spreadsheetml/2017/richdata" count="3">
  <s t="_error">
    <k n="argument" t="s"/>
    <k n="errorType" t="i"/>
    <k n="ptg" t="i"/>
    <k n="subType" t="i"/>
  </s>
  <s t="_error">
    <k n="errorType" t="i"/>
    <k n="iftab" t="i"/>
    <k n="propagated" t="b"/>
    <k n="ptg" t="i"/>
  </s>
  <s t="_error">
    <k n="errorType" t="i"/>
    <k n="propagated" t="b"/>
    <k n="pt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4" Type="http://schemas.openxmlformats.org/officeDocument/2006/relationships/comments" Target="../comments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4" Type="http://schemas.openxmlformats.org/officeDocument/2006/relationships/comments" Target="../comments10.xm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4" Type="http://schemas.openxmlformats.org/officeDocument/2006/relationships/comments" Target="../comments11.xm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4" Type="http://schemas.openxmlformats.org/officeDocument/2006/relationships/comments" Target="../comments12.xm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4" Type="http://schemas.openxmlformats.org/officeDocument/2006/relationships/comments" Target="../comments13.x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4" Type="http://schemas.openxmlformats.org/officeDocument/2006/relationships/comments" Target="../comments14.xm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4" Type="http://schemas.openxmlformats.org/officeDocument/2006/relationships/comments" Target="../comments15.xm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4" Type="http://schemas.openxmlformats.org/officeDocument/2006/relationships/comments" Target="../comments16.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 Id="rId4" Type="http://schemas.openxmlformats.org/officeDocument/2006/relationships/comments" Target="../comments17.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4" Type="http://schemas.openxmlformats.org/officeDocument/2006/relationships/comments" Target="../comments18.xm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5.bin"/><Relationship Id="rId1" Type="http://schemas.openxmlformats.org/officeDocument/2006/relationships/printerSettings" Target="../printerSettings/printerSettings10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4" Type="http://schemas.openxmlformats.org/officeDocument/2006/relationships/comments" Target="../comments19.xm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comments" Target="../comments20.xm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4" Type="http://schemas.openxmlformats.org/officeDocument/2006/relationships/comments" Target="../comments21.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 Id="rId4" Type="http://schemas.openxmlformats.org/officeDocument/2006/relationships/comments" Target="../comments22.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2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134.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35.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136.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37.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138.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3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4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48.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149.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150.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15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156.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157.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15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160.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06.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163.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09.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166.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16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13.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170.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17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24.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125.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126.xml.rels><?xml version="1.0" encoding="UTF-8" standalone="yes"?>
<Relationships xmlns="http://schemas.openxmlformats.org/package/2006/relationships"><Relationship Id="rId3" Type="http://schemas.openxmlformats.org/officeDocument/2006/relationships/printerSettings" Target="../printerSettings/printerSettings182.bin"/><Relationship Id="rId2" Type="http://schemas.openxmlformats.org/officeDocument/2006/relationships/hyperlink" Target="https://cfr.gov.mt/en/inlandrevenue/tcu/Pages/EU-List-of-non-cooperative-jurisdictions.aspx" TargetMode="External"/><Relationship Id="rId1" Type="http://schemas.openxmlformats.org/officeDocument/2006/relationships/printerSettings" Target="../printerSettings/printerSettings181.bin"/><Relationship Id="rId5" Type="http://schemas.openxmlformats.org/officeDocument/2006/relationships/comments" Target="../comments46.xml"/><Relationship Id="rId4" Type="http://schemas.openxmlformats.org/officeDocument/2006/relationships/vmlDrawing" Target="../drawings/vmlDrawing46.vml"/></Relationships>
</file>

<file path=xl/worksheets/_rels/sheet127.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printerSettings" Target="../printerSettings/printerSettings184.bin"/><Relationship Id="rId1" Type="http://schemas.openxmlformats.org/officeDocument/2006/relationships/printerSettings" Target="../printerSettings/printerSettings183.bin"/><Relationship Id="rId4" Type="http://schemas.openxmlformats.org/officeDocument/2006/relationships/comments" Target="../comments47.xml"/></Relationships>
</file>

<file path=xl/worksheets/_rels/sheet128.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printerSettings" Target="../printerSettings/printerSettings186.bin"/><Relationship Id="rId1" Type="http://schemas.openxmlformats.org/officeDocument/2006/relationships/printerSettings" Target="../printerSettings/printerSettings185.bin"/><Relationship Id="rId4" Type="http://schemas.openxmlformats.org/officeDocument/2006/relationships/comments" Target="../comments48.xml"/></Relationships>
</file>

<file path=xl/worksheets/_rels/sheet129.xml.rels><?xml version="1.0" encoding="UTF-8" standalone="yes"?>
<Relationships xmlns="http://schemas.openxmlformats.org/package/2006/relationships"><Relationship Id="rId2" Type="http://schemas.openxmlformats.org/officeDocument/2006/relationships/printerSettings" Target="../printerSettings/printerSettings188.bin"/><Relationship Id="rId1" Type="http://schemas.openxmlformats.org/officeDocument/2006/relationships/printerSettings" Target="../printerSettings/printerSettings187.bin"/></Relationships>
</file>

<file path=xl/worksheets/_rels/sheet13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90.bin"/><Relationship Id="rId1" Type="http://schemas.openxmlformats.org/officeDocument/2006/relationships/printerSettings" Target="../printerSettings/printerSettings189.bin"/><Relationship Id="rId5" Type="http://schemas.openxmlformats.org/officeDocument/2006/relationships/comments" Target="../comments49.xml"/><Relationship Id="rId4" Type="http://schemas.openxmlformats.org/officeDocument/2006/relationships/vmlDrawing" Target="../drawings/vmlDrawing49.vml"/></Relationships>
</file>

<file path=xl/worksheets/_rels/sheet131.xml.rels><?xml version="1.0" encoding="UTF-8" standalone="yes"?>
<Relationships xmlns="http://schemas.openxmlformats.org/package/2006/relationships"><Relationship Id="rId2" Type="http://schemas.openxmlformats.org/officeDocument/2006/relationships/printerSettings" Target="../printerSettings/printerSettings192.bin"/><Relationship Id="rId1" Type="http://schemas.openxmlformats.org/officeDocument/2006/relationships/printerSettings" Target="../printerSettings/printerSettings191.bin"/></Relationships>
</file>

<file path=xl/worksheets/_rels/sheet132.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printerSettings" Target="../printerSettings/printerSettings194.bin"/><Relationship Id="rId1" Type="http://schemas.openxmlformats.org/officeDocument/2006/relationships/printerSettings" Target="../printerSettings/printerSettings193.bin"/><Relationship Id="rId4" Type="http://schemas.openxmlformats.org/officeDocument/2006/relationships/comments" Target="../comments50.xml"/></Relationships>
</file>

<file path=xl/worksheets/_rels/sheet133.xml.rels><?xml version="1.0" encoding="UTF-8" standalone="yes"?>
<Relationships xmlns="http://schemas.openxmlformats.org/package/2006/relationships"><Relationship Id="rId3" Type="http://schemas.openxmlformats.org/officeDocument/2006/relationships/vmlDrawing" Target="../drawings/vmlDrawing51.vml"/><Relationship Id="rId2" Type="http://schemas.openxmlformats.org/officeDocument/2006/relationships/printerSettings" Target="../printerSettings/printerSettings196.bin"/><Relationship Id="rId1" Type="http://schemas.openxmlformats.org/officeDocument/2006/relationships/printerSettings" Target="../printerSettings/printerSettings195.bin"/><Relationship Id="rId4" Type="http://schemas.openxmlformats.org/officeDocument/2006/relationships/comments" Target="../comments51.xml"/></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7.bin"/></Relationships>
</file>

<file path=xl/worksheets/_rels/sheet135.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19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XFD57"/>
  <sheetViews>
    <sheetView showGridLines="0" zoomScale="130" zoomScaleNormal="130" workbookViewId="0">
      <selection activeCell="B5" sqref="B5"/>
    </sheetView>
  </sheetViews>
  <sheetFormatPr defaultColWidth="0" defaultRowHeight="12.75" customHeight="1" zeroHeight="1" x14ac:dyDescent="0.2"/>
  <cols>
    <col min="1" max="1" width="2.5703125" style="28" customWidth="1"/>
    <col min="2" max="2" width="124.5703125" style="246" customWidth="1"/>
    <col min="3" max="3" width="2.28515625" style="28" customWidth="1"/>
    <col min="4" max="16384" width="0" style="28" hidden="1"/>
  </cols>
  <sheetData>
    <row r="1" spans="2:72" x14ac:dyDescent="0.2">
      <c r="B1" s="28"/>
      <c r="D1" s="28" t="str">
        <f>IF(fisc&lt;&gt;0,"Electronic filing is mandatory!!","")</f>
      </c>
    </row>
    <row r="2" spans="2:72" ht="25.5" x14ac:dyDescent="0.2">
      <c r="B2" s="4282" t="s">
        <v>10619</v>
      </c>
      <c r="C2" s="244"/>
      <c r="D2" s="141" t="s">
        <v>6633</v>
      </c>
      <c r="E2" s="244"/>
      <c r="F2" s="244"/>
      <c r="G2" s="244"/>
      <c r="H2" s="244"/>
      <c r="I2" s="244"/>
      <c r="J2" s="244"/>
      <c r="K2" s="244"/>
      <c r="L2" s="244"/>
      <c r="M2" s="244"/>
      <c r="N2" s="244"/>
      <c r="O2" s="244"/>
      <c r="P2" s="244"/>
      <c r="Q2" s="244"/>
      <c r="R2" s="244"/>
    </row>
    <row r="3" spans="2:72" ht="25.5" x14ac:dyDescent="0.2">
      <c r="B3" s="4283"/>
      <c r="C3" s="244"/>
      <c r="D3" s="141" t="s">
        <v>3244</v>
      </c>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row>
    <row r="4" spans="2:72" ht="6" customHeight="1" x14ac:dyDescent="0.2">
      <c r="B4" s="28"/>
    </row>
    <row r="5" spans="2:72" ht="48" customHeight="1" x14ac:dyDescent="0.2">
      <c r="B5" s="1719" t="str">
        <f>"NOTES ON USING THE COMPANY TAX RETURN FOR Y/A "&amp;ya&amp;"                                                                                           [VERSION CONTROL - " &amp;_ver1</f>
        <v>NOTES ON USING THE COMPANY TAX RETURN FOR Y/A 2025                                                                                           [VERSION CONTROL - TA2_e-CO_2025_Ver 1.1]</v>
      </c>
      <c r="D5" s="28" t="str">
        <f>F7&amp;"_e-CO_"&amp;ya&amp;"_Ver 1.1"</f>
        <v>TA2_e-CO_2025_Ver 1.1</v>
      </c>
      <c r="F5" s="30" t="s">
        <v>4203</v>
      </c>
      <c r="H5" s="28" t="str">
        <f>""</f>
        <v/>
      </c>
      <c r="S5" s="28" t="str">
        <f>ver&amp;"]"</f>
        <v>TA2_e-CO_2025_Ver 1.1]</v>
      </c>
    </row>
    <row r="6" spans="2:72" ht="36" x14ac:dyDescent="0.2">
      <c r="B6" s="1961" t="s">
        <v>10173</v>
      </c>
      <c r="D6" s="2951" t="s">
        <v>8838</v>
      </c>
    </row>
    <row r="7" spans="2:72" ht="7.5" customHeight="1" x14ac:dyDescent="0.2">
      <c r="F7" s="28" t="str">
        <f>IF(rafind=1,"TA2","AF2")</f>
      </c>
    </row>
    <row r="8" spans="2:72" ht="24.75" customHeight="1" x14ac:dyDescent="0.2">
      <c r="B8" s="1719" t="s">
        <v>5686</v>
      </c>
      <c r="D8" s="1736" t="s">
        <v>10574</v>
      </c>
    </row>
    <row r="9" spans="2:72" ht="36" x14ac:dyDescent="0.2">
      <c r="B9" s="1705" t="s">
        <v>4841</v>
      </c>
      <c r="D9" s="1705"/>
    </row>
    <row r="10" spans="2:72" ht="5.25" customHeight="1" x14ac:dyDescent="0.25">
      <c r="B10" s="1704"/>
    </row>
    <row r="11" spans="2:72" ht="18" x14ac:dyDescent="0.25">
      <c r="B11" s="1704" t="s">
        <v>10578</v>
      </c>
    </row>
    <row r="12" spans="2:72" ht="4.5" customHeight="1" x14ac:dyDescent="0.25">
      <c r="B12" s="1704"/>
    </row>
    <row r="13" spans="2:72" ht="87" customHeight="1" x14ac:dyDescent="0.2">
      <c r="B13" s="1705" t="s">
        <v>3335</v>
      </c>
    </row>
    <row r="14" spans="2:72" ht="6.75" customHeight="1" x14ac:dyDescent="0.25">
      <c r="B14" s="1704"/>
    </row>
    <row r="15" spans="2:72" ht="18" x14ac:dyDescent="0.25">
      <c r="B15" s="2949" t="s">
        <v>798</v>
      </c>
    </row>
    <row r="16" spans="2:72" ht="144" x14ac:dyDescent="0.2">
      <c r="B16" s="2950" t="s">
        <v>10577</v>
      </c>
    </row>
    <row r="17" spans="2:2" ht="6.75" customHeight="1" x14ac:dyDescent="0.25">
      <c r="B17" s="1704"/>
    </row>
    <row r="18" spans="2:2" ht="18" x14ac:dyDescent="0.25">
      <c r="B18" s="1704" t="s">
        <v>6970</v>
      </c>
    </row>
    <row r="19" spans="2:2" ht="3.75" customHeight="1" x14ac:dyDescent="0.25">
      <c r="B19" s="1704"/>
    </row>
    <row r="20" spans="2:2" ht="18" hidden="1" x14ac:dyDescent="0.2">
      <c r="B20" s="1720"/>
    </row>
    <row r="21" spans="2:2" ht="6.75" hidden="1" customHeight="1" x14ac:dyDescent="0.25">
      <c r="B21" s="1704"/>
    </row>
    <row r="22" spans="2:2" ht="18" x14ac:dyDescent="0.25">
      <c r="B22" s="1704" t="s">
        <v>5494</v>
      </c>
    </row>
    <row r="23" spans="2:2" ht="7.5" customHeight="1" x14ac:dyDescent="0.25">
      <c r="B23" s="1704"/>
    </row>
    <row r="24" spans="2:2" ht="36" x14ac:dyDescent="0.2">
      <c r="B24" s="1705" t="s">
        <v>3832</v>
      </c>
    </row>
    <row r="25" spans="2:2" ht="7.5" customHeight="1" x14ac:dyDescent="0.25">
      <c r="B25" s="1704"/>
    </row>
    <row r="26" spans="2:2" ht="36" x14ac:dyDescent="0.2">
      <c r="B26" s="1705" t="s">
        <v>1481</v>
      </c>
    </row>
    <row r="27" spans="2:2" ht="18" x14ac:dyDescent="0.25">
      <c r="B27" s="1704"/>
    </row>
    <row r="28" spans="2:2" ht="18" x14ac:dyDescent="0.25">
      <c r="B28" s="1704" t="s">
        <v>3833</v>
      </c>
    </row>
    <row r="29" spans="2:2" ht="6" customHeight="1" x14ac:dyDescent="0.25">
      <c r="B29" s="1704"/>
    </row>
    <row r="30" spans="2:2" ht="18" x14ac:dyDescent="0.25">
      <c r="B30" s="1704" t="s">
        <v>797</v>
      </c>
    </row>
    <row r="31" spans="2:2" ht="6" customHeight="1" x14ac:dyDescent="0.25">
      <c r="B31" s="1704"/>
    </row>
    <row r="32" spans="2:2" ht="90" x14ac:dyDescent="0.2">
      <c r="B32" s="1705" t="s">
        <v>3557</v>
      </c>
    </row>
    <row r="33" spans="1:2" ht="6" customHeight="1" x14ac:dyDescent="0.25">
      <c r="B33" s="1704"/>
    </row>
    <row r="34" spans="1:2" ht="72" x14ac:dyDescent="0.2">
      <c r="B34" s="1705" t="s">
        <v>4</v>
      </c>
    </row>
    <row r="35" spans="1:2" ht="7.5" customHeight="1" x14ac:dyDescent="0.25">
      <c r="B35" s="1704"/>
    </row>
    <row r="36" spans="1:2" ht="126" x14ac:dyDescent="0.2">
      <c r="B36" s="1705" t="s">
        <v>6509</v>
      </c>
    </row>
    <row r="37" spans="1:2" ht="4.5" customHeight="1" x14ac:dyDescent="0.25">
      <c r="B37" s="1704"/>
    </row>
    <row r="38" spans="1:2" ht="18" x14ac:dyDescent="0.25">
      <c r="B38" s="1704" t="s">
        <v>1482</v>
      </c>
    </row>
    <row r="39" spans="1:2" ht="5.25" customHeight="1" x14ac:dyDescent="0.25">
      <c r="B39" s="1704"/>
    </row>
    <row r="40" spans="1:2" ht="90" x14ac:dyDescent="0.2">
      <c r="B40" s="1705" t="s">
        <v>4840</v>
      </c>
    </row>
    <row r="41" spans="1:2" ht="18" x14ac:dyDescent="0.25">
      <c r="B41" s="1704"/>
    </row>
    <row r="42" spans="1:2" ht="18" x14ac:dyDescent="0.25">
      <c r="B42" s="1704" t="s">
        <v>6944</v>
      </c>
    </row>
    <row r="43" spans="1:2" ht="90" x14ac:dyDescent="0.2">
      <c r="B43" s="1705" t="s">
        <v>3761</v>
      </c>
    </row>
    <row r="44" spans="1:2" ht="6.75" customHeight="1" x14ac:dyDescent="0.25">
      <c r="A44" s="1548"/>
      <c r="B44" s="1704"/>
    </row>
    <row r="45" spans="1:2" ht="18" x14ac:dyDescent="0.25">
      <c r="A45" s="1548"/>
      <c r="B45" s="1704" t="s">
        <v>6945</v>
      </c>
    </row>
    <row r="46" spans="1:2" ht="18" x14ac:dyDescent="0.25">
      <c r="A46" s="1548"/>
      <c r="B46" s="1704" t="s">
        <v>3764</v>
      </c>
    </row>
    <row r="47" spans="1:2" ht="6.75" customHeight="1" x14ac:dyDescent="0.25">
      <c r="A47" s="1548"/>
      <c r="B47" s="1704"/>
    </row>
    <row r="48" spans="1:2" ht="54" x14ac:dyDescent="0.2">
      <c r="A48" s="1548"/>
      <c r="B48" s="1705" t="s">
        <v>2537</v>
      </c>
    </row>
    <row r="49" spans="1:256 16383:16384" ht="6.75" customHeight="1" x14ac:dyDescent="0.25">
      <c r="A49" s="1548"/>
      <c r="B49" s="1704"/>
      <c r="XFC49" s="1760" t="s">
        <v>9105</v>
      </c>
      <c r="XFD49" s="74">
        <v>43556</v>
      </c>
    </row>
    <row r="50" spans="1:256 16383:16384" ht="72" hidden="1" x14ac:dyDescent="0.2">
      <c r="A50" s="1548"/>
      <c r="B50" s="1705" t="s">
        <v>5607</v>
      </c>
    </row>
    <row r="51" spans="1:256 16383:16384" ht="18" hidden="1" x14ac:dyDescent="0.25">
      <c r="A51" s="1548"/>
      <c r="B51" s="1704" t="s">
        <v>5899</v>
      </c>
    </row>
    <row r="52" spans="1:256 16383:16384" ht="18" hidden="1" x14ac:dyDescent="0.25">
      <c r="A52" s="1548"/>
      <c r="B52" s="1704" t="s">
        <v>5898</v>
      </c>
    </row>
    <row r="53" spans="1:256 16383:16384" ht="36" hidden="1" x14ac:dyDescent="0.2">
      <c r="A53" s="1548"/>
      <c r="B53" s="1705" t="s">
        <v>6073</v>
      </c>
      <c r="IV53" s="1724">
        <v>41696</v>
      </c>
    </row>
    <row r="54" spans="1:256 16383:16384" x14ac:dyDescent="0.2">
      <c r="A54" s="1548"/>
      <c r="B54" s="139" t="str">
        <f>ver</f>
        <v>TA2_e-CO_2025_Ver 1.1</v>
      </c>
      <c r="IV54" s="29" t="s">
        <v>6797</v>
      </c>
    </row>
    <row r="55" spans="1:256 16383:16384" hidden="1" x14ac:dyDescent="0.2">
      <c r="A55" s="1548"/>
      <c r="B55" s="28"/>
    </row>
    <row r="56" spans="1:256 16383:16384" ht="12.75" hidden="1" customHeight="1" x14ac:dyDescent="0.2">
      <c r="A56" s="1548"/>
    </row>
    <row r="57" spans="1:256 16383:16384" ht="12.75" hidden="1" customHeight="1" x14ac:dyDescent="0.2">
      <c r="A57" s="1548"/>
    </row>
  </sheetData>
  <sheetProtection algorithmName="SHA-512" hashValue="Sr7TEi0+wF3w0DWsKL7HAF9btOlWb2qBUMtm9EIv5q8MPWi0zNY8Bt9+zgTyr+NeEX4zm5D+SUq47fg/HqCLHw==" saltValue="Xpje8eCE+jF/Y6pHeeDFmw==" spinCount="100000" sheet="1" objects="1" scenarios="1"/>
  <customSheetViews>
    <customSheetView guid="{99B5278F-6EA9-4B1A-8623-27A4DF4AD5E4}" scale="85" showGridLines="0" fitToPage="1" hiddenRows="1" hiddenColumns="1">
      <selection sqref="A1:IV65536"/>
      <pageMargins left="0.76" right="0.35" top="0.17" bottom="0.17" header="0.5" footer="0.5"/>
      <pageSetup paperSize="9" scale="66" orientation="portrait" horizontalDpi="300" verticalDpi="300" r:id="rId1"/>
      <headerFooter alignWithMargins="0"/>
    </customSheetView>
  </customSheetViews>
  <mergeCells count="1">
    <mergeCell ref="B2:B3"/>
  </mergeCells>
  <phoneticPr fontId="0" type="noConversion"/>
  <hyperlinks>
    <hyperlink ref="D6" location="Notes!B16" display="CfR - Malta  (Disclaimer in NOTES page)" xr:uid="{00000000-0004-0000-0000-000000000000}"/>
  </hyperlinks>
  <pageMargins left="0.76" right="0.35" top="0.17" bottom="0.17" header="0.5" footer="0.5"/>
  <pageSetup paperSize="9" scale="61"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F72"/>
  <sheetViews>
    <sheetView showGridLines="0" zoomScale="85" zoomScaleNormal="85" workbookViewId="0">
      <pane xSplit="5" ySplit="5" topLeftCell="F57" activePane="bottomRight" state="frozen"/>
      <selection activeCell="D4" sqref="D4"/>
      <selection pane="topRight" activeCell="D4" sqref="D4"/>
      <selection pane="bottomLeft" activeCell="D4" sqref="D4"/>
      <selection pane="bottomRight" activeCell="N59" sqref="N59:S59"/>
    </sheetView>
  </sheetViews>
  <sheetFormatPr defaultColWidth="0" defaultRowHeight="12.75" zeroHeight="1" x14ac:dyDescent="0.2"/>
  <cols>
    <col min="1" max="1" width="3.28515625" style="28" customWidth="1"/>
    <col min="2" max="2" width="2.7109375" style="28" customWidth="1"/>
    <col min="3" max="3" width="1.7109375" style="28" customWidth="1"/>
    <col min="4" max="4" width="1" style="28" customWidth="1"/>
    <col min="5" max="5" width="0.42578125" style="28" customWidth="1"/>
    <col min="6" max="6" width="2.7109375" style="28" customWidth="1"/>
    <col min="7" max="10" width="3.28515625" style="28" customWidth="1"/>
    <col min="11" max="11" width="7" style="28" customWidth="1"/>
    <col min="12" max="12" width="1.28515625" style="28" customWidth="1"/>
    <col min="13" max="16" width="3.28515625" style="28" customWidth="1"/>
    <col min="17" max="17" width="6.28515625" style="28" bestFit="1" customWidth="1"/>
    <col min="18" max="20" width="3.28515625" style="28" customWidth="1"/>
    <col min="21" max="21" width="1.28515625" style="28" customWidth="1"/>
    <col min="22" max="22" width="12" style="28" customWidth="1"/>
    <col min="23" max="30" width="3.28515625" style="28" customWidth="1"/>
    <col min="31" max="31" width="3.42578125" style="28" customWidth="1"/>
    <col min="32" max="32" width="0.7109375" style="28" customWidth="1"/>
    <col min="33" max="34" width="3.28515625" style="28" hidden="1" customWidth="1"/>
    <col min="35" max="35" width="10.28515625" style="28" hidden="1" customWidth="1"/>
    <col min="36" max="36" width="14.42578125" style="28" hidden="1" customWidth="1"/>
    <col min="37" max="38" width="10.28515625" style="28" hidden="1" customWidth="1"/>
    <col min="39" max="41" width="3.28515625" style="28" hidden="1" customWidth="1"/>
    <col min="42" max="42" width="16.7109375" style="28" hidden="1" customWidth="1"/>
    <col min="43" max="53" width="3.28515625" style="28" hidden="1" customWidth="1"/>
    <col min="54" max="54" width="6.7109375" style="28" hidden="1" customWidth="1"/>
    <col min="55" max="55" width="8.28515625" style="28" hidden="1" customWidth="1"/>
    <col min="56" max="56" width="9.7109375" style="28" hidden="1" customWidth="1"/>
    <col min="57" max="57" width="10.7109375" style="28" hidden="1" customWidth="1"/>
    <col min="58" max="61" width="3.28515625" style="28" hidden="1" customWidth="1"/>
    <col min="62" max="63" width="12" style="28" hidden="1" customWidth="1"/>
    <col min="64" max="64" width="13" style="28" hidden="1" customWidth="1"/>
    <col min="65" max="74" width="3.28515625" style="28" hidden="1" customWidth="1"/>
    <col min="75" max="78" width="10.7109375" style="28" hidden="1" customWidth="1"/>
    <col min="79" max="110" width="10.7109375" style="142" hidden="1" customWidth="1"/>
    <col min="111" max="16384" width="9.28515625" style="142" hidden="1"/>
  </cols>
  <sheetData>
    <row r="1" spans="1:110" ht="3.75" customHeight="1" x14ac:dyDescent="0.2">
      <c r="A1" s="4332" t="str">
        <f>IF(AL2=1,CY2,IF(AL2=2,CZ2,DC2))</f>
      </c>
      <c r="B1" s="4332"/>
      <c r="C1" s="4332"/>
      <c r="D1" s="4269"/>
      <c r="E1" s="2"/>
      <c r="F1" s="4333" t="str">
        <f>IF(AL2=1,DA2,IF(AL2=2,DF2,DD2))</f>
      </c>
      <c r="G1" s="4333"/>
      <c r="H1" s="4333"/>
      <c r="I1" s="4333"/>
      <c r="J1" s="4333"/>
      <c r="K1" s="4333"/>
      <c r="L1" s="4333"/>
      <c r="M1" s="4333"/>
      <c r="N1" s="4333"/>
      <c r="O1" s="4333"/>
      <c r="P1" s="4333"/>
      <c r="Q1" s="4333"/>
      <c r="R1" s="3"/>
      <c r="S1" s="3"/>
      <c r="T1" s="3"/>
      <c r="U1" s="3"/>
      <c r="V1" s="3"/>
      <c r="W1" s="3"/>
      <c r="X1" s="3"/>
      <c r="Y1" s="3"/>
      <c r="Z1" s="3"/>
      <c r="AA1" s="3"/>
      <c r="AB1" s="3"/>
      <c r="AC1" s="3"/>
      <c r="AD1" s="3"/>
      <c r="AE1" s="3"/>
    </row>
    <row r="2" spans="1:110" ht="22.5" customHeight="1" x14ac:dyDescent="0.2">
      <c r="A2" s="4332"/>
      <c r="B2" s="4332"/>
      <c r="C2" s="4332"/>
      <c r="D2" s="4269"/>
      <c r="E2" s="2"/>
      <c r="F2" s="4333"/>
      <c r="G2" s="4333"/>
      <c r="H2" s="4333"/>
      <c r="I2" s="4333"/>
      <c r="J2" s="4333"/>
      <c r="K2" s="4333"/>
      <c r="L2" s="4333"/>
      <c r="M2" s="4333"/>
      <c r="N2" s="4333"/>
      <c r="O2" s="4333"/>
      <c r="P2" s="4333"/>
      <c r="Q2" s="4333"/>
      <c r="R2" s="3"/>
      <c r="S2" s="3"/>
      <c r="T2" s="3"/>
      <c r="U2" s="3"/>
      <c r="V2" s="4320" t="str">
        <f>ver</f>
        <v>TA2_e-CO_2025_Ver 1.1</v>
      </c>
      <c r="W2" s="4321"/>
      <c r="X2" s="4321"/>
      <c r="Y2" s="4321"/>
      <c r="Z2" s="4321"/>
      <c r="AA2" s="4321"/>
      <c r="AB2" s="4321"/>
      <c r="AC2" s="4321"/>
      <c r="AD2" s="4321"/>
      <c r="AE2" s="4322"/>
      <c r="AJ2" s="28" t="str">
        <f>"Ref:  "&amp;reg</f>
      </c>
      <c r="AK2" s="28" t="s">
        <v>6313</v>
      </c>
      <c r="AL2" s="28">
        <v>1</v>
      </c>
      <c r="BB2" t="s">
        <v>4145</v>
      </c>
      <c r="CA2" s="247">
        <v>0</v>
      </c>
      <c r="CB2" s="142" t="s">
        <v>428</v>
      </c>
      <c r="CY2" s="142" t="s">
        <v>280</v>
      </c>
      <c r="CZ2" s="142" t="s">
        <v>6218</v>
      </c>
      <c r="DA2" s="142" t="s">
        <v>1821</v>
      </c>
      <c r="DC2" s="142" t="s">
        <v>6314</v>
      </c>
      <c r="DD2" s="142" t="s">
        <v>6315</v>
      </c>
      <c r="DF2" s="142" t="s">
        <v>6216</v>
      </c>
    </row>
    <row r="3" spans="1:110" ht="6.75" customHeight="1" x14ac:dyDescent="0.2">
      <c r="A3" s="4332"/>
      <c r="B3" s="4332"/>
      <c r="C3" s="4332"/>
      <c r="D3" s="4269"/>
      <c r="E3" s="2"/>
      <c r="F3" s="4334" t="str">
        <f>IF(AL2=1,DA3,IF(AL2=2,DF3,DD3))</f>
      </c>
      <c r="G3" s="4334"/>
      <c r="H3" s="4334"/>
      <c r="I3" s="4334"/>
      <c r="J3" s="4334"/>
      <c r="K3" s="4334"/>
      <c r="L3" s="4334"/>
      <c r="M3" s="4334"/>
      <c r="N3" s="4334"/>
      <c r="O3" s="4334"/>
      <c r="P3" s="4334"/>
      <c r="Q3" s="4334"/>
      <c r="R3" s="4334"/>
      <c r="S3" s="4334"/>
      <c r="T3" s="3"/>
      <c r="U3" s="3"/>
      <c r="V3" s="3"/>
      <c r="W3" s="3"/>
      <c r="X3" s="3"/>
      <c r="Y3" s="3"/>
      <c r="Z3" s="3"/>
      <c r="AA3" s="3"/>
      <c r="AB3" s="3"/>
      <c r="AC3" s="3"/>
      <c r="AD3" s="3"/>
      <c r="AE3" s="3"/>
      <c r="AJ3" s="28" t="str">
        <f>"Name: "&amp; NM</f>
      </c>
      <c r="BB3" s="28" t="s">
        <v>1822</v>
      </c>
      <c r="DA3" s="142" t="s">
        <v>1823</v>
      </c>
      <c r="DD3" s="142" t="s">
        <v>6316</v>
      </c>
      <c r="DF3" s="142" t="s">
        <v>6217</v>
      </c>
    </row>
    <row r="4" spans="1:110" ht="25.5" customHeight="1" x14ac:dyDescent="0.2">
      <c r="A4" s="4335" t="str">
        <f>IF(AL2=1,CY4,IF(AL2=2,CZ4,"Only"))</f>
        <v xml:space="preserve">  TA2</v>
      </c>
      <c r="B4" s="4335"/>
      <c r="C4" s="4335"/>
      <c r="D4" s="4269"/>
      <c r="E4" s="2"/>
      <c r="F4" s="4334"/>
      <c r="G4" s="4334"/>
      <c r="H4" s="4334"/>
      <c r="I4" s="4334"/>
      <c r="J4" s="4334"/>
      <c r="K4" s="4334"/>
      <c r="L4" s="4334"/>
      <c r="M4" s="4334"/>
      <c r="N4" s="4334"/>
      <c r="O4" s="4334"/>
      <c r="P4" s="4334"/>
      <c r="Q4" s="4334"/>
      <c r="R4" s="4334"/>
      <c r="S4" s="4334"/>
      <c r="T4" s="3"/>
      <c r="U4" s="3"/>
      <c r="V4" s="4323" t="str">
        <f>IF(tr=1,"TRUST","")</f>
        <v/>
      </c>
      <c r="W4" s="4324"/>
      <c r="X4" s="4324"/>
      <c r="Y4" s="4324"/>
      <c r="Z4" s="4324"/>
      <c r="AA4" s="4324"/>
      <c r="AB4" s="4324"/>
      <c r="AC4" s="4324"/>
      <c r="AD4" s="4324"/>
      <c r="AE4" s="4325"/>
      <c r="AJ4" s="28" t="str">
        <f>"Name: "&amp; NM</f>
      </c>
      <c r="BB4" s="28" t="s">
        <v>1824</v>
      </c>
      <c r="CY4" s="142" t="s">
        <v>1825</v>
      </c>
      <c r="CZ4" s="142" t="s">
        <v>6219</v>
      </c>
    </row>
    <row r="5" spans="1:110" ht="48.75" customHeight="1" x14ac:dyDescent="0.2">
      <c r="A5" s="4342" t="s">
        <v>10564</v>
      </c>
      <c r="B5" s="4342"/>
      <c r="C5" s="4342"/>
      <c r="D5" s="4269"/>
      <c r="E5" s="2"/>
      <c r="F5" s="4287" t="s">
        <v>4767</v>
      </c>
      <c r="G5" s="4287"/>
      <c r="H5" s="4287"/>
      <c r="I5" s="4287"/>
      <c r="J5" s="4287"/>
      <c r="K5" s="4287"/>
      <c r="L5" s="4287"/>
      <c r="M5" s="4287"/>
      <c r="N5" s="4287"/>
      <c r="O5" s="4287"/>
      <c r="P5" s="4287"/>
      <c r="Q5" s="4287"/>
      <c r="R5" s="4287"/>
      <c r="S5" s="4287"/>
      <c r="T5" s="4287"/>
      <c r="U5" s="4"/>
      <c r="V5" s="4326"/>
      <c r="W5" s="4327"/>
      <c r="X5" s="4327"/>
      <c r="Y5" s="4327"/>
      <c r="Z5" s="4327"/>
      <c r="AA5" s="4327"/>
      <c r="AB5" s="4327"/>
      <c r="AC5" s="4327"/>
      <c r="AD5" s="4327"/>
      <c r="AE5" s="4328"/>
      <c r="BB5" s="28" t="s">
        <v>3175</v>
      </c>
    </row>
    <row r="6" spans="1:110" ht="15" x14ac:dyDescent="0.2">
      <c r="A6" s="4342"/>
      <c r="B6" s="4342"/>
      <c r="C6" s="4342"/>
      <c r="D6" s="4269"/>
      <c r="E6" s="2"/>
      <c r="F6" s="4329" t="str">
        <f>IF(dts&lt;&gt;3,"NO FIELD IN THIS PART CAN BE LEFT BLANK!","")</f>
        <v/>
      </c>
      <c r="G6" s="4330"/>
      <c r="H6" s="4330"/>
      <c r="I6" s="4330"/>
      <c r="J6" s="4330"/>
      <c r="K6" s="4330"/>
      <c r="L6" s="4330"/>
      <c r="M6" s="4330"/>
      <c r="N6" s="4330"/>
      <c r="O6" s="4330"/>
      <c r="P6" s="4330"/>
      <c r="Q6" s="4330"/>
      <c r="R6" s="4330"/>
      <c r="S6" s="4330"/>
      <c r="T6" s="4330"/>
      <c r="U6" s="4330"/>
      <c r="V6" s="4330"/>
      <c r="W6" s="4330"/>
      <c r="X6" s="4330"/>
      <c r="Y6" s="4330"/>
      <c r="Z6" s="4330"/>
      <c r="AA6" s="4330"/>
      <c r="AB6" s="4330"/>
      <c r="AC6" s="4330"/>
      <c r="AD6" s="4330"/>
      <c r="AE6" s="4331"/>
      <c r="BB6" s="1736" t="s">
        <v>7335</v>
      </c>
    </row>
    <row r="7" spans="1:110" ht="3.75" customHeight="1" x14ac:dyDescent="0.2">
      <c r="A7" s="4342"/>
      <c r="B7" s="4342"/>
      <c r="C7" s="4342"/>
      <c r="D7" s="4269"/>
      <c r="E7" s="2"/>
      <c r="F7" s="5"/>
      <c r="G7" s="2"/>
      <c r="H7" s="2"/>
      <c r="I7" s="2"/>
      <c r="J7" s="2"/>
      <c r="K7" s="2"/>
      <c r="L7" s="2"/>
      <c r="M7" s="2"/>
      <c r="N7" s="2"/>
      <c r="O7" s="2"/>
      <c r="P7" s="2"/>
      <c r="Q7" s="2"/>
      <c r="R7" s="2"/>
      <c r="S7" s="2"/>
      <c r="T7" s="2"/>
      <c r="U7" s="3"/>
      <c r="V7" s="3"/>
      <c r="W7" s="3"/>
      <c r="X7" s="3"/>
      <c r="Y7" s="3"/>
      <c r="Z7" s="3"/>
      <c r="AA7" s="3"/>
      <c r="AB7" s="3"/>
      <c r="AC7" s="3"/>
      <c r="AD7" s="3"/>
      <c r="AE7" s="6"/>
      <c r="BB7" s="28" t="s">
        <v>2214</v>
      </c>
    </row>
    <row r="8" spans="1:110" x14ac:dyDescent="0.2">
      <c r="A8" s="4342"/>
      <c r="B8" s="4342"/>
      <c r="C8" s="4342"/>
      <c r="D8" s="4269"/>
      <c r="E8" s="2"/>
      <c r="F8" s="113" t="s">
        <v>4593</v>
      </c>
      <c r="G8" s="2"/>
      <c r="H8" s="2"/>
      <c r="I8" s="2"/>
      <c r="J8" s="2"/>
      <c r="K8" s="2"/>
      <c r="L8" s="4290">
        <f>AG8</f>
      </c>
      <c r="M8" s="4291"/>
      <c r="N8" s="4291"/>
      <c r="O8" s="4292"/>
      <c r="P8" s="2"/>
      <c r="Q8" s="249" t="str">
        <f>efile</f>
      </c>
      <c r="R8" s="2"/>
      <c r="S8" s="2"/>
      <c r="T8" s="2"/>
      <c r="U8" s="3"/>
      <c r="V8" s="7"/>
      <c r="W8" s="3"/>
      <c r="X8" s="3"/>
      <c r="Y8" s="3"/>
      <c r="Z8" s="3"/>
      <c r="AA8" s="3"/>
      <c r="AB8" s="3"/>
      <c r="AC8" s="3"/>
      <c r="AD8" s="3"/>
      <c r="AE8" s="6"/>
      <c r="AG8" s="2288"/>
      <c r="AH8" s="71"/>
      <c r="AI8" s="2289">
        <f>AG8</f>
      </c>
      <c r="AJ8" s="2290" t="s">
        <v>7838</v>
      </c>
      <c r="AP8" s="28">
        <f>IF(37-MOD(MID(L8,1,1)*27+MID(L8,2,1)*32+MID(L8,3,1)*16+MID(L8,4,1)*8+MID(L8,5,1)*4+MID(L8,6,1)*2+MID(L8,7,1)*1,37)&lt;&gt;VALUE(RIGHT(L8,2)),0,1)</f>
      </c>
      <c r="BB8" t="s">
        <v>4146</v>
      </c>
      <c r="BE8" s="28">
        <f>IF(ISBLANK(L8),0,1)</f>
      </c>
    </row>
    <row r="9" spans="1:110" ht="4.1500000000000004" customHeight="1" x14ac:dyDescent="0.2">
      <c r="A9" s="4342"/>
      <c r="B9" s="4342"/>
      <c r="C9" s="4342"/>
      <c r="D9" s="4269"/>
      <c r="E9" s="2"/>
      <c r="F9" s="5"/>
      <c r="G9" s="2"/>
      <c r="H9" s="2"/>
      <c r="I9" s="2"/>
      <c r="J9" s="2"/>
      <c r="K9" s="2"/>
      <c r="L9" s="2"/>
      <c r="M9" s="2"/>
      <c r="N9" s="2"/>
      <c r="O9" s="2"/>
      <c r="P9" s="2"/>
      <c r="Q9" s="2"/>
      <c r="R9" s="2"/>
      <c r="S9" s="2"/>
      <c r="T9" s="2"/>
      <c r="U9" s="3"/>
      <c r="V9" s="3"/>
      <c r="W9" s="3"/>
      <c r="X9" s="3"/>
      <c r="Y9" s="3"/>
      <c r="Z9" s="3"/>
      <c r="AA9" s="3"/>
      <c r="AB9" s="3"/>
      <c r="AC9" s="3"/>
      <c r="AD9" s="3"/>
      <c r="AE9" s="6"/>
      <c r="BB9" s="28" t="s">
        <v>4591</v>
      </c>
    </row>
    <row r="10" spans="1:110" x14ac:dyDescent="0.2">
      <c r="A10" s="4342"/>
      <c r="B10" s="4342"/>
      <c r="C10" s="4342"/>
      <c r="D10" s="4269"/>
      <c r="E10" s="2"/>
      <c r="F10" s="113" t="s">
        <v>657</v>
      </c>
      <c r="G10" s="2"/>
      <c r="H10" s="2"/>
      <c r="I10" s="2"/>
      <c r="J10" s="2"/>
      <c r="K10" s="2"/>
      <c r="L10" s="4293"/>
      <c r="M10" s="4294"/>
      <c r="N10" s="4294"/>
      <c r="O10" s="4294"/>
      <c r="P10" s="4294"/>
      <c r="Q10" s="4294"/>
      <c r="R10" s="4294"/>
      <c r="S10" s="4294"/>
      <c r="T10" s="4294"/>
      <c r="U10" s="4294"/>
      <c r="V10" s="4294"/>
      <c r="W10" s="4294"/>
      <c r="X10" s="4294"/>
      <c r="Y10" s="4294"/>
      <c r="Z10" s="4294"/>
      <c r="AA10" s="4294"/>
      <c r="AB10" s="4294"/>
      <c r="AC10" s="4295"/>
      <c r="AD10" s="3"/>
      <c r="AE10" s="6"/>
      <c r="BB10" s="28" t="s">
        <v>4592</v>
      </c>
      <c r="BE10" s="28">
        <f>IF(ISBLANK(L10),0,1)</f>
      </c>
    </row>
    <row r="11" spans="1:110" ht="4.1500000000000004" customHeight="1" x14ac:dyDescent="0.2">
      <c r="A11" s="4342"/>
      <c r="B11" s="4342"/>
      <c r="C11" s="4342"/>
      <c r="D11" s="4269"/>
      <c r="E11" s="2"/>
      <c r="F11" s="5"/>
      <c r="G11" s="2"/>
      <c r="H11" s="2"/>
      <c r="I11" s="2"/>
      <c r="J11" s="2"/>
      <c r="K11" s="2"/>
      <c r="L11" s="2"/>
      <c r="M11" s="2"/>
      <c r="N11" s="2"/>
      <c r="O11" s="2"/>
      <c r="P11" s="2"/>
      <c r="Q11" s="2"/>
      <c r="R11" s="2"/>
      <c r="S11" s="2"/>
      <c r="T11" s="2"/>
      <c r="U11" s="3"/>
      <c r="V11" s="3"/>
      <c r="W11" s="3"/>
      <c r="X11" s="3"/>
      <c r="Y11" s="3"/>
      <c r="Z11" s="3"/>
      <c r="AA11" s="3"/>
      <c r="AB11" s="3"/>
      <c r="AC11" s="3"/>
      <c r="AD11" s="3"/>
      <c r="AE11" s="6"/>
      <c r="BB11" t="s">
        <v>4147</v>
      </c>
    </row>
    <row r="12" spans="1:110" x14ac:dyDescent="0.2">
      <c r="A12" s="4342"/>
      <c r="B12" s="4342"/>
      <c r="C12" s="4342"/>
      <c r="D12" s="4269"/>
      <c r="E12" s="2"/>
      <c r="F12" s="113" t="s">
        <v>5164</v>
      </c>
      <c r="G12" s="2"/>
      <c r="H12" s="2"/>
      <c r="I12" s="2"/>
      <c r="J12" s="2"/>
      <c r="K12" s="2"/>
      <c r="L12" s="4284">
        <v>2025</v>
      </c>
      <c r="M12" s="4285"/>
      <c r="N12" s="4286"/>
      <c r="O12" s="2"/>
      <c r="P12" s="2"/>
      <c r="Q12" s="2"/>
      <c r="R12" s="2"/>
      <c r="S12" s="2"/>
      <c r="T12" s="2"/>
      <c r="U12" s="3"/>
      <c r="V12" s="7"/>
      <c r="W12" s="4275"/>
      <c r="X12" s="4275"/>
      <c r="Y12" s="4275"/>
      <c r="Z12" s="4275"/>
      <c r="AA12" s="4275"/>
      <c r="AB12" s="4275"/>
      <c r="AC12" s="4275"/>
      <c r="AD12" s="4275"/>
      <c r="AE12" s="4289"/>
      <c r="BB12" s="28" t="s">
        <v>4594</v>
      </c>
      <c r="BE12" s="28">
        <f>IF(ISBLANK(ya),0,1)</f>
      </c>
    </row>
    <row r="13" spans="1:110" ht="4.1500000000000004" customHeight="1" x14ac:dyDescent="0.2">
      <c r="A13" s="4342"/>
      <c r="B13" s="4342"/>
      <c r="C13" s="4342"/>
      <c r="D13" s="4269"/>
      <c r="E13" s="2"/>
      <c r="F13" s="5"/>
      <c r="G13" s="2"/>
      <c r="H13" s="2"/>
      <c r="I13" s="2"/>
      <c r="J13" s="2"/>
      <c r="K13" s="2"/>
      <c r="L13" s="2"/>
      <c r="M13" s="2"/>
      <c r="N13" s="2"/>
      <c r="O13" s="2"/>
      <c r="P13" s="2"/>
      <c r="Q13" s="2"/>
      <c r="R13" s="2"/>
      <c r="S13" s="2"/>
      <c r="T13" s="2"/>
      <c r="U13" s="3"/>
      <c r="V13" s="3"/>
      <c r="W13" s="3"/>
      <c r="X13" s="3"/>
      <c r="Y13" s="3"/>
      <c r="Z13" s="3"/>
      <c r="AA13" s="3"/>
      <c r="AB13" s="3"/>
      <c r="AC13" s="3"/>
      <c r="AD13" s="3"/>
      <c r="AE13" s="6"/>
      <c r="BB13" s="28" t="s">
        <v>656</v>
      </c>
    </row>
    <row r="14" spans="1:110" x14ac:dyDescent="0.2">
      <c r="A14" s="4342"/>
      <c r="B14" s="4342"/>
      <c r="C14" s="4342"/>
      <c r="D14" s="4269"/>
      <c r="E14" s="2"/>
      <c r="F14" s="113" t="s">
        <v>56</v>
      </c>
      <c r="G14" s="2"/>
      <c r="H14" s="2"/>
      <c r="I14" s="2"/>
      <c r="J14" s="2"/>
      <c r="K14" s="2"/>
      <c r="L14" s="4296">
        <f>IF(ISBLANK(L12),"",ya-1)</f>
      </c>
      <c r="M14" s="4297"/>
      <c r="N14" s="4298"/>
      <c r="O14" s="2"/>
      <c r="P14" s="2"/>
      <c r="Q14" s="2"/>
      <c r="R14" s="2"/>
      <c r="S14" s="2"/>
      <c r="T14" s="2"/>
      <c r="U14" s="3"/>
      <c r="V14" s="3"/>
      <c r="W14" s="3"/>
      <c r="X14" s="3"/>
      <c r="Y14" s="3"/>
      <c r="Z14" s="3"/>
      <c r="AA14" s="3"/>
      <c r="AB14" s="3"/>
      <c r="AC14" s="3"/>
      <c r="AD14" s="3"/>
      <c r="AE14" s="6"/>
      <c r="BB14" s="28" t="s">
        <v>658</v>
      </c>
      <c r="BE14" s="28">
        <f>SUM(BE8,BE10,BE12)</f>
      </c>
    </row>
    <row r="15" spans="1:110" ht="4.1500000000000004" customHeight="1" x14ac:dyDescent="0.2">
      <c r="A15" s="4342"/>
      <c r="B15" s="4342"/>
      <c r="C15" s="4342"/>
      <c r="D15" s="4269"/>
      <c r="E15" s="2"/>
      <c r="F15" s="5"/>
      <c r="G15" s="2"/>
      <c r="H15" s="2"/>
      <c r="I15" s="2"/>
      <c r="J15" s="2"/>
      <c r="K15" s="2"/>
      <c r="L15" s="2"/>
      <c r="M15" s="2"/>
      <c r="N15" s="2"/>
      <c r="O15" s="2"/>
      <c r="P15" s="2"/>
      <c r="Q15" s="2"/>
      <c r="R15" s="2"/>
      <c r="S15" s="2"/>
      <c r="T15" s="2"/>
      <c r="U15" s="3"/>
      <c r="V15" s="3"/>
      <c r="W15" s="3"/>
      <c r="X15" s="3"/>
      <c r="Y15" s="3"/>
      <c r="Z15" s="3"/>
      <c r="AA15" s="3"/>
      <c r="AB15" s="3"/>
      <c r="AC15" s="3"/>
      <c r="AD15" s="3"/>
      <c r="AE15" s="6"/>
      <c r="BB15" s="28" t="s">
        <v>398</v>
      </c>
    </row>
    <row r="16" spans="1:110" ht="4.5" customHeight="1" x14ac:dyDescent="0.2">
      <c r="A16" s="4342"/>
      <c r="B16" s="4342"/>
      <c r="C16" s="4342"/>
      <c r="D16" s="4269"/>
      <c r="E16" s="2"/>
      <c r="F16" s="5"/>
      <c r="G16" s="2"/>
      <c r="H16" s="2"/>
      <c r="I16" s="2"/>
      <c r="J16" s="2"/>
      <c r="K16" s="2"/>
      <c r="L16" s="2"/>
      <c r="M16" s="2"/>
      <c r="N16" s="2"/>
      <c r="O16" s="2"/>
      <c r="P16" s="2"/>
      <c r="Q16" s="2"/>
      <c r="R16" s="2"/>
      <c r="S16" s="2"/>
      <c r="T16" s="2"/>
      <c r="U16" s="3"/>
      <c r="V16" s="7"/>
      <c r="W16" s="4275"/>
      <c r="X16" s="4275"/>
      <c r="Y16" s="4275"/>
      <c r="Z16" s="4275"/>
      <c r="AA16" s="4275"/>
      <c r="AB16" s="4275"/>
      <c r="AC16" s="4275"/>
      <c r="AD16" s="4275"/>
      <c r="AE16" s="4289"/>
      <c r="BB16" s="28" t="s">
        <v>399</v>
      </c>
    </row>
    <row r="17" spans="1:54" ht="4.1500000000000004" customHeight="1" x14ac:dyDescent="0.2">
      <c r="A17" s="4342"/>
      <c r="B17" s="4342"/>
      <c r="C17" s="4342"/>
      <c r="D17" s="4269"/>
      <c r="E17" s="2"/>
      <c r="F17" s="5"/>
      <c r="G17" s="2"/>
      <c r="H17" s="2"/>
      <c r="I17" s="2"/>
      <c r="J17" s="2"/>
      <c r="K17" s="2"/>
      <c r="L17" s="2"/>
      <c r="M17" s="2"/>
      <c r="N17" s="2"/>
      <c r="O17" s="2"/>
      <c r="P17" s="2"/>
      <c r="Q17" s="2"/>
      <c r="R17" s="2"/>
      <c r="S17" s="2"/>
      <c r="T17" s="2"/>
      <c r="U17" s="3"/>
      <c r="V17" s="3"/>
      <c r="W17" s="3"/>
      <c r="X17" s="3"/>
      <c r="Y17" s="3"/>
      <c r="Z17" s="3"/>
      <c r="AA17" s="3"/>
      <c r="AB17" s="3"/>
      <c r="AC17" s="3"/>
      <c r="AD17" s="3"/>
      <c r="AE17" s="6"/>
      <c r="BB17" t="s">
        <v>4148</v>
      </c>
    </row>
    <row r="18" spans="1:54" ht="15.75" customHeight="1" x14ac:dyDescent="0.2">
      <c r="A18" s="4342"/>
      <c r="B18" s="4342"/>
      <c r="C18" s="4342"/>
      <c r="D18" s="4269"/>
      <c r="E18" s="2"/>
      <c r="F18" s="4308" t="s">
        <v>2998</v>
      </c>
      <c r="G18" s="4309"/>
      <c r="H18" s="4309"/>
      <c r="I18" s="4309"/>
      <c r="J18" s="4309"/>
      <c r="K18" s="4309"/>
      <c r="L18" s="4309"/>
      <c r="M18" s="4309"/>
      <c r="N18" s="4309"/>
      <c r="O18" s="4309"/>
      <c r="P18" s="4309"/>
      <c r="Q18" s="4309"/>
      <c r="R18" s="4309"/>
      <c r="S18" s="4309"/>
      <c r="T18" s="4309"/>
      <c r="U18" s="4309"/>
      <c r="V18" s="4309"/>
      <c r="W18" s="4309"/>
      <c r="X18" s="4309"/>
      <c r="Y18" s="4309"/>
      <c r="Z18" s="4309"/>
      <c r="AA18" s="4309"/>
      <c r="AB18" s="4309"/>
      <c r="AC18" s="4309"/>
      <c r="AD18" s="4309"/>
      <c r="AE18" s="4310"/>
      <c r="BB18" t="s">
        <v>4149</v>
      </c>
    </row>
    <row r="19" spans="1:54" ht="4.1500000000000004" customHeight="1" x14ac:dyDescent="0.2">
      <c r="A19" s="4342"/>
      <c r="B19" s="4342"/>
      <c r="C19" s="4342"/>
      <c r="D19" s="4269"/>
      <c r="E19" s="2"/>
      <c r="F19" s="4311"/>
      <c r="G19" s="4312"/>
      <c r="H19" s="4312"/>
      <c r="I19" s="4312"/>
      <c r="J19" s="4312"/>
      <c r="K19" s="4312"/>
      <c r="L19" s="4312"/>
      <c r="M19" s="4312"/>
      <c r="N19" s="4312"/>
      <c r="O19" s="4312"/>
      <c r="P19" s="4312"/>
      <c r="Q19" s="4312"/>
      <c r="R19" s="4312"/>
      <c r="S19" s="4312"/>
      <c r="T19" s="4312"/>
      <c r="U19" s="4312"/>
      <c r="V19" s="4312"/>
      <c r="W19" s="4312"/>
      <c r="X19" s="4312"/>
      <c r="Y19" s="4312"/>
      <c r="Z19" s="4312"/>
      <c r="AA19" s="4312"/>
      <c r="AB19" s="4312"/>
      <c r="AC19" s="4312"/>
      <c r="AD19" s="4312"/>
      <c r="AE19" s="4313"/>
      <c r="BB19" s="28" t="s">
        <v>948</v>
      </c>
    </row>
    <row r="20" spans="1:54" x14ac:dyDescent="0.2">
      <c r="A20" s="4342"/>
      <c r="B20" s="4342"/>
      <c r="C20" s="4342"/>
      <c r="D20" s="4269"/>
      <c r="E20" s="2"/>
      <c r="F20" s="4311"/>
      <c r="G20" s="4312"/>
      <c r="H20" s="4312"/>
      <c r="I20" s="4312"/>
      <c r="J20" s="4312"/>
      <c r="K20" s="4312"/>
      <c r="L20" s="4312"/>
      <c r="M20" s="4312"/>
      <c r="N20" s="4312"/>
      <c r="O20" s="4312"/>
      <c r="P20" s="4312"/>
      <c r="Q20" s="4312"/>
      <c r="R20" s="4312"/>
      <c r="S20" s="4312"/>
      <c r="T20" s="4312"/>
      <c r="U20" s="4312"/>
      <c r="V20" s="4312"/>
      <c r="W20" s="4312"/>
      <c r="X20" s="4312"/>
      <c r="Y20" s="4312"/>
      <c r="Z20" s="4312"/>
      <c r="AA20" s="4312"/>
      <c r="AB20" s="4312"/>
      <c r="AC20" s="4312"/>
      <c r="AD20" s="4312"/>
      <c r="AE20" s="4313"/>
      <c r="BB20" s="28" t="s">
        <v>949</v>
      </c>
    </row>
    <row r="21" spans="1:54" ht="6.75" customHeight="1" x14ac:dyDescent="0.2">
      <c r="A21" s="4342"/>
      <c r="B21" s="4342"/>
      <c r="C21" s="4342"/>
      <c r="D21" s="4269"/>
      <c r="E21" s="2"/>
      <c r="F21" s="4314"/>
      <c r="G21" s="4315"/>
      <c r="H21" s="4315"/>
      <c r="I21" s="4315"/>
      <c r="J21" s="4315"/>
      <c r="K21" s="4315"/>
      <c r="L21" s="4315"/>
      <c r="M21" s="4315"/>
      <c r="N21" s="4315"/>
      <c r="O21" s="4315"/>
      <c r="P21" s="4315"/>
      <c r="Q21" s="4315"/>
      <c r="R21" s="4315"/>
      <c r="S21" s="4315"/>
      <c r="T21" s="4315"/>
      <c r="U21" s="4315"/>
      <c r="V21" s="4315"/>
      <c r="W21" s="4315"/>
      <c r="X21" s="4315"/>
      <c r="Y21" s="4315"/>
      <c r="Z21" s="4315"/>
      <c r="AA21" s="4315"/>
      <c r="AB21" s="4315"/>
      <c r="AC21" s="4315"/>
      <c r="AD21" s="4315"/>
      <c r="AE21" s="4316"/>
      <c r="BB21" s="28" t="s">
        <v>950</v>
      </c>
    </row>
    <row r="22" spans="1:54" ht="3" customHeight="1" x14ac:dyDescent="0.2">
      <c r="A22" s="4342"/>
      <c r="B22" s="4342"/>
      <c r="C22" s="4342"/>
      <c r="D22" s="4269"/>
      <c r="E22" s="2"/>
      <c r="BB22" s="28" t="s">
        <v>3334</v>
      </c>
    </row>
    <row r="23" spans="1:54" ht="13.15" customHeight="1" x14ac:dyDescent="0.2">
      <c r="A23" s="4342"/>
      <c r="B23" s="4342"/>
      <c r="C23" s="4342"/>
      <c r="D23" s="4269"/>
      <c r="E23" s="2"/>
      <c r="F23" s="1573">
        <v>1</v>
      </c>
      <c r="G23" s="4349" t="s">
        <v>193</v>
      </c>
      <c r="H23" s="4349"/>
      <c r="I23" s="4349"/>
      <c r="J23" s="4349"/>
      <c r="K23" s="4349"/>
      <c r="L23" s="4349"/>
      <c r="M23" s="4349"/>
      <c r="N23" s="4349"/>
      <c r="O23" s="4349"/>
      <c r="P23" s="4349"/>
      <c r="Q23" s="4349"/>
      <c r="R23" s="4349"/>
      <c r="S23" s="4349"/>
      <c r="T23" s="4349"/>
      <c r="U23" s="4349"/>
      <c r="V23" s="4349"/>
      <c r="W23" s="4349"/>
      <c r="X23" s="4349"/>
      <c r="Y23" s="4349"/>
      <c r="Z23" s="4349"/>
      <c r="AA23" s="4349"/>
      <c r="AB23" s="4349"/>
      <c r="AC23" s="4349"/>
      <c r="AD23" s="4349"/>
      <c r="AE23" s="1574"/>
      <c r="BB23" s="28" t="s">
        <v>5742</v>
      </c>
    </row>
    <row r="24" spans="1:54" ht="16.5" customHeight="1" x14ac:dyDescent="0.2">
      <c r="A24" s="4342"/>
      <c r="B24" s="4342"/>
      <c r="C24" s="4342"/>
      <c r="D24" s="4269"/>
      <c r="E24" s="2"/>
      <c r="F24" s="1575"/>
      <c r="G24" s="4299"/>
      <c r="H24" s="4299"/>
      <c r="I24" s="4299"/>
      <c r="J24" s="4299"/>
      <c r="K24" s="4299"/>
      <c r="L24" s="4299"/>
      <c r="M24" s="4299"/>
      <c r="N24" s="4299"/>
      <c r="O24" s="4299"/>
      <c r="P24" s="4299"/>
      <c r="Q24" s="4299"/>
      <c r="R24" s="4299"/>
      <c r="S24" s="4299"/>
      <c r="T24" s="4299"/>
      <c r="U24" s="4299"/>
      <c r="V24" s="4299"/>
      <c r="W24" s="4299"/>
      <c r="X24" s="4299"/>
      <c r="Y24" s="4299"/>
      <c r="Z24" s="4299"/>
      <c r="AA24" s="4299"/>
      <c r="AB24" s="4299"/>
      <c r="AC24" s="4299"/>
      <c r="AD24" s="4299"/>
      <c r="AE24" s="876"/>
      <c r="BB24" s="1736" t="s">
        <v>9243</v>
      </c>
    </row>
    <row r="25" spans="1:54" ht="4.5" customHeight="1" x14ac:dyDescent="0.2">
      <c r="A25" s="4342"/>
      <c r="B25" s="4342"/>
      <c r="C25" s="4342"/>
      <c r="D25" s="4269"/>
      <c r="E25" s="2"/>
      <c r="F25" s="1575"/>
      <c r="G25" s="1549"/>
      <c r="H25" s="1549"/>
      <c r="I25" s="1549"/>
      <c r="J25" s="1549"/>
      <c r="K25" s="1549"/>
      <c r="L25" s="1549"/>
      <c r="M25" s="1549"/>
      <c r="N25" s="1549"/>
      <c r="O25" s="1549"/>
      <c r="P25" s="1549"/>
      <c r="Q25" s="1549"/>
      <c r="R25" s="1549"/>
      <c r="S25" s="1549"/>
      <c r="T25" s="1549"/>
      <c r="U25" s="1549"/>
      <c r="V25" s="1549"/>
      <c r="W25" s="1549"/>
      <c r="X25" s="1549"/>
      <c r="Y25" s="1549"/>
      <c r="Z25" s="1549"/>
      <c r="AA25" s="1549"/>
      <c r="AB25" s="1549"/>
      <c r="AC25" s="1549"/>
      <c r="AD25" s="1549"/>
      <c r="AE25" s="876"/>
      <c r="BB25" s="1736" t="s">
        <v>8348</v>
      </c>
    </row>
    <row r="26" spans="1:54" ht="13.15" customHeight="1" x14ac:dyDescent="0.2">
      <c r="A26" s="4342"/>
      <c r="B26" s="4342"/>
      <c r="C26" s="4342"/>
      <c r="D26" s="4269"/>
      <c r="E26" s="2"/>
      <c r="F26" s="1575">
        <v>2</v>
      </c>
      <c r="G26" s="4299" t="s">
        <v>9895</v>
      </c>
      <c r="H26" s="4299"/>
      <c r="I26" s="4299"/>
      <c r="J26" s="4299"/>
      <c r="K26" s="4299"/>
      <c r="L26" s="4299"/>
      <c r="M26" s="4299"/>
      <c r="N26" s="4299"/>
      <c r="O26" s="4299"/>
      <c r="P26" s="4299"/>
      <c r="Q26" s="4299"/>
      <c r="R26" s="4299"/>
      <c r="S26" s="4299"/>
      <c r="T26" s="4299"/>
      <c r="U26" s="4299"/>
      <c r="V26" s="4299"/>
      <c r="W26" s="4299"/>
      <c r="X26" s="4299"/>
      <c r="Y26" s="4299"/>
      <c r="Z26" s="4299"/>
      <c r="AA26" s="4299"/>
      <c r="AB26" s="4299"/>
      <c r="AC26" s="4299"/>
      <c r="AD26" s="4299"/>
      <c r="AE26" s="876"/>
      <c r="BB26" s="3571" t="s">
        <v>8053</v>
      </c>
    </row>
    <row r="27" spans="1:54" ht="16.5" customHeight="1" x14ac:dyDescent="0.2">
      <c r="A27" s="4342"/>
      <c r="B27" s="4342"/>
      <c r="C27" s="4342"/>
      <c r="D27" s="4269"/>
      <c r="E27" s="2"/>
      <c r="F27" s="1575"/>
      <c r="G27" s="4299"/>
      <c r="H27" s="4299"/>
      <c r="I27" s="4299"/>
      <c r="J27" s="4299"/>
      <c r="K27" s="4299"/>
      <c r="L27" s="4299"/>
      <c r="M27" s="4299"/>
      <c r="N27" s="4299"/>
      <c r="O27" s="4299"/>
      <c r="P27" s="4299"/>
      <c r="Q27" s="4299"/>
      <c r="R27" s="4299"/>
      <c r="S27" s="4299"/>
      <c r="T27" s="4299"/>
      <c r="U27" s="4299"/>
      <c r="V27" s="4299"/>
      <c r="W27" s="4299"/>
      <c r="X27" s="4299"/>
      <c r="Y27" s="4299"/>
      <c r="Z27" s="4299"/>
      <c r="AA27" s="4299"/>
      <c r="AB27" s="4299"/>
      <c r="AC27" s="4299"/>
      <c r="AD27" s="4299"/>
      <c r="AE27" s="876"/>
      <c r="BB27" s="3571" t="s">
        <v>8055</v>
      </c>
    </row>
    <row r="28" spans="1:54" ht="5.25" customHeight="1" x14ac:dyDescent="0.2">
      <c r="A28" s="4342"/>
      <c r="B28" s="4342"/>
      <c r="C28" s="4342"/>
      <c r="D28" s="4269"/>
      <c r="E28" s="2"/>
      <c r="F28" s="1575"/>
      <c r="G28" s="1549"/>
      <c r="H28" s="1549"/>
      <c r="I28" s="1549"/>
      <c r="J28" s="1549"/>
      <c r="K28" s="1549"/>
      <c r="L28" s="1549"/>
      <c r="M28" s="1549"/>
      <c r="N28" s="1549"/>
      <c r="O28" s="1549"/>
      <c r="P28" s="1549"/>
      <c r="Q28" s="1549"/>
      <c r="R28" s="1549"/>
      <c r="S28" s="1549"/>
      <c r="T28" s="1549"/>
      <c r="U28" s="1549"/>
      <c r="V28" s="1549"/>
      <c r="W28" s="1549"/>
      <c r="X28" s="1549"/>
      <c r="Y28" s="1549"/>
      <c r="Z28" s="1549"/>
      <c r="AA28" s="1549"/>
      <c r="AB28" s="1549"/>
      <c r="AC28" s="1549"/>
      <c r="AD28" s="1549"/>
      <c r="AE28" s="876"/>
      <c r="BB28" s="28" t="s">
        <v>10212</v>
      </c>
    </row>
    <row r="29" spans="1:54" ht="13.15" customHeight="1" x14ac:dyDescent="0.2">
      <c r="A29" s="4342"/>
      <c r="B29" s="4342"/>
      <c r="C29" s="4342"/>
      <c r="D29" s="4269"/>
      <c r="E29" s="2"/>
      <c r="F29" s="1575">
        <v>3</v>
      </c>
      <c r="G29" s="4299" t="s">
        <v>5215</v>
      </c>
      <c r="H29" s="4299"/>
      <c r="I29" s="4299"/>
      <c r="J29" s="4299"/>
      <c r="K29" s="4299"/>
      <c r="L29" s="4299"/>
      <c r="M29" s="4299"/>
      <c r="N29" s="4299"/>
      <c r="O29" s="4299"/>
      <c r="P29" s="4299"/>
      <c r="Q29" s="4299"/>
      <c r="R29" s="4299"/>
      <c r="S29" s="4299"/>
      <c r="T29" s="4299"/>
      <c r="U29" s="4299"/>
      <c r="V29" s="4299"/>
      <c r="W29" s="4299"/>
      <c r="X29" s="4299"/>
      <c r="Y29" s="4299"/>
      <c r="Z29" s="4299"/>
      <c r="AA29" s="4299"/>
      <c r="AB29" s="4299"/>
      <c r="AC29" s="4299"/>
      <c r="AD29" s="4299"/>
      <c r="AE29" s="876"/>
      <c r="BB29" s="28" t="s">
        <v>10216</v>
      </c>
    </row>
    <row r="30" spans="1:54" ht="16.5" customHeight="1" x14ac:dyDescent="0.2">
      <c r="A30" s="4342"/>
      <c r="B30" s="4342"/>
      <c r="C30" s="4342"/>
      <c r="D30" s="4269"/>
      <c r="E30" s="2"/>
      <c r="F30" s="1575"/>
      <c r="G30" s="4299"/>
      <c r="H30" s="4299"/>
      <c r="I30" s="4299"/>
      <c r="J30" s="4299"/>
      <c r="K30" s="4299"/>
      <c r="L30" s="4299"/>
      <c r="M30" s="4299"/>
      <c r="N30" s="4299"/>
      <c r="O30" s="4299"/>
      <c r="P30" s="4299"/>
      <c r="Q30" s="4299"/>
      <c r="R30" s="4299"/>
      <c r="S30" s="4299"/>
      <c r="T30" s="4299"/>
      <c r="U30" s="4299"/>
      <c r="V30" s="4299"/>
      <c r="W30" s="4299"/>
      <c r="X30" s="4299"/>
      <c r="Y30" s="4299"/>
      <c r="Z30" s="4299"/>
      <c r="AA30" s="4299"/>
      <c r="AB30" s="4299"/>
      <c r="AC30" s="4299"/>
      <c r="AD30" s="4299"/>
      <c r="AE30" s="876"/>
      <c r="BB30" s="1736" t="s">
        <v>10219</v>
      </c>
    </row>
    <row r="31" spans="1:54" ht="5.25" customHeight="1" x14ac:dyDescent="0.2">
      <c r="A31" s="4342"/>
      <c r="B31" s="4342"/>
      <c r="C31" s="4342"/>
      <c r="D31" s="4269"/>
      <c r="E31" s="2"/>
      <c r="F31" s="1575"/>
      <c r="G31" s="1549"/>
      <c r="H31" s="1549"/>
      <c r="I31" s="1549"/>
      <c r="J31" s="1549"/>
      <c r="K31" s="1549"/>
      <c r="L31" s="1549"/>
      <c r="M31" s="1549"/>
      <c r="N31" s="1549"/>
      <c r="O31" s="1549"/>
      <c r="P31" s="1549"/>
      <c r="Q31" s="1549"/>
      <c r="R31" s="1549"/>
      <c r="S31" s="1549"/>
      <c r="T31" s="1549"/>
      <c r="U31" s="1549"/>
      <c r="V31" s="1549"/>
      <c r="W31" s="1549"/>
      <c r="X31" s="1549"/>
      <c r="Y31" s="1549"/>
      <c r="Z31" s="1549"/>
      <c r="AA31" s="1549"/>
      <c r="AB31" s="1549"/>
      <c r="AC31" s="1549"/>
      <c r="AD31" s="1549"/>
      <c r="AE31" s="876"/>
      <c r="BB31" s="1736" t="s">
        <v>10220</v>
      </c>
    </row>
    <row r="32" spans="1:54" ht="21.75" customHeight="1" x14ac:dyDescent="0.2">
      <c r="A32" s="4342"/>
      <c r="B32" s="4342"/>
      <c r="C32" s="4342"/>
      <c r="D32" s="4269"/>
      <c r="E32" s="2"/>
      <c r="F32" s="1575">
        <v>4</v>
      </c>
      <c r="G32" s="4299" t="s">
        <v>2149</v>
      </c>
      <c r="H32" s="4299"/>
      <c r="I32" s="4299"/>
      <c r="J32" s="4299"/>
      <c r="K32" s="4299"/>
      <c r="L32" s="4299"/>
      <c r="M32" s="4299"/>
      <c r="N32" s="4299"/>
      <c r="O32" s="4299"/>
      <c r="P32" s="4299"/>
      <c r="Q32" s="4299"/>
      <c r="R32" s="4299"/>
      <c r="S32" s="4299"/>
      <c r="T32" s="4299"/>
      <c r="U32" s="4299"/>
      <c r="V32" s="4299"/>
      <c r="W32" s="4299"/>
      <c r="X32" s="4299"/>
      <c r="Y32" s="4299"/>
      <c r="Z32" s="4299"/>
      <c r="AA32" s="4299"/>
      <c r="AB32" s="4299"/>
      <c r="AC32" s="4299"/>
      <c r="AD32" s="4299"/>
      <c r="AE32" s="876"/>
      <c r="BB32" s="1736" t="s">
        <v>10537</v>
      </c>
    </row>
    <row r="33" spans="1:63" ht="18.75" customHeight="1" x14ac:dyDescent="0.2">
      <c r="A33" s="4342"/>
      <c r="B33" s="4342"/>
      <c r="C33" s="4342"/>
      <c r="D33" s="4269"/>
      <c r="E33" s="2"/>
      <c r="F33" s="1575">
        <v>5</v>
      </c>
      <c r="G33" s="4299" t="s">
        <v>10518</v>
      </c>
      <c r="H33" s="4299"/>
      <c r="I33" s="4299"/>
      <c r="J33" s="4299"/>
      <c r="K33" s="4299"/>
      <c r="L33" s="4299"/>
      <c r="M33" s="4299"/>
      <c r="N33" s="4299"/>
      <c r="O33" s="4299"/>
      <c r="P33" s="4299"/>
      <c r="Q33" s="4299"/>
      <c r="R33" s="4299"/>
      <c r="S33" s="4299"/>
      <c r="T33" s="4299"/>
      <c r="U33" s="4299"/>
      <c r="V33" s="4299"/>
      <c r="W33" s="4299"/>
      <c r="X33" s="4299"/>
      <c r="Y33" s="4299"/>
      <c r="Z33" s="4299"/>
      <c r="AA33" s="4299"/>
      <c r="AB33" s="4299"/>
      <c r="AC33" s="4299"/>
      <c r="AD33" s="4299"/>
      <c r="AE33" s="876"/>
      <c r="BB33" s="28" t="s">
        <v>10771</v>
      </c>
    </row>
    <row r="34" spans="1:63" ht="5.25" customHeight="1" x14ac:dyDescent="0.2">
      <c r="A34" s="4342"/>
      <c r="B34" s="4342"/>
      <c r="C34" s="4342"/>
      <c r="D34" s="4269"/>
      <c r="E34" s="2"/>
      <c r="F34" s="1575"/>
      <c r="G34" s="1549"/>
      <c r="H34" s="1549"/>
      <c r="I34" s="1549"/>
      <c r="J34" s="1549"/>
      <c r="K34" s="1549"/>
      <c r="L34" s="1549"/>
      <c r="M34" s="1549"/>
      <c r="N34" s="1549"/>
      <c r="O34" s="1549"/>
      <c r="P34" s="1549"/>
      <c r="Q34" s="1549"/>
      <c r="R34" s="1549"/>
      <c r="S34" s="1549"/>
      <c r="T34" s="1549"/>
      <c r="U34" s="1549"/>
      <c r="V34" s="1549"/>
      <c r="W34" s="1549"/>
      <c r="X34" s="1549"/>
      <c r="Y34" s="1549"/>
      <c r="Z34" s="1549"/>
      <c r="AA34" s="1549"/>
      <c r="AB34" s="1549"/>
      <c r="AC34" s="1549"/>
      <c r="AD34" s="1549"/>
      <c r="AE34" s="876"/>
    </row>
    <row r="35" spans="1:63" ht="18" customHeight="1" x14ac:dyDescent="0.2">
      <c r="A35" s="4342"/>
      <c r="B35" s="4342"/>
      <c r="C35" s="4342"/>
      <c r="D35" s="4269"/>
      <c r="E35" s="2"/>
      <c r="F35" s="1575">
        <v>6</v>
      </c>
      <c r="G35" s="4299" t="s">
        <v>1884</v>
      </c>
      <c r="H35" s="4299"/>
      <c r="I35" s="4299"/>
      <c r="J35" s="4299"/>
      <c r="K35" s="4299"/>
      <c r="L35" s="4299"/>
      <c r="M35" s="4299"/>
      <c r="N35" s="4299"/>
      <c r="O35" s="4299"/>
      <c r="P35" s="4299"/>
      <c r="Q35" s="4299"/>
      <c r="R35" s="4299"/>
      <c r="S35" s="4299"/>
      <c r="T35" s="4299"/>
      <c r="U35" s="4299"/>
      <c r="V35" s="4299"/>
      <c r="W35" s="4299"/>
      <c r="X35" s="4299"/>
      <c r="Y35" s="4299"/>
      <c r="Z35" s="4299"/>
      <c r="AA35" s="4299"/>
      <c r="AB35" s="4299"/>
      <c r="AC35" s="4299"/>
      <c r="AD35" s="4299"/>
      <c r="AE35" s="876"/>
    </row>
    <row r="36" spans="1:63" ht="2.25" customHeight="1" x14ac:dyDescent="0.2">
      <c r="A36" s="4342"/>
      <c r="B36" s="4342"/>
      <c r="C36" s="4342"/>
      <c r="D36" s="4269"/>
      <c r="E36" s="2"/>
      <c r="F36" s="1575"/>
      <c r="G36" s="1549"/>
      <c r="H36" s="1549"/>
      <c r="I36" s="1549"/>
      <c r="J36" s="1549"/>
      <c r="K36" s="1549"/>
      <c r="L36" s="1549"/>
      <c r="M36" s="1549"/>
      <c r="N36" s="1549"/>
      <c r="O36" s="1549"/>
      <c r="P36" s="1549"/>
      <c r="Q36" s="1549"/>
      <c r="R36" s="1549"/>
      <c r="S36" s="1549"/>
      <c r="T36" s="1549"/>
      <c r="U36" s="1549"/>
      <c r="V36" s="1549"/>
      <c r="W36" s="1549"/>
      <c r="X36" s="1549"/>
      <c r="Y36" s="1549"/>
      <c r="Z36" s="1549"/>
      <c r="AA36" s="1549"/>
      <c r="AB36" s="1549"/>
      <c r="AC36" s="1549"/>
      <c r="AD36" s="1549"/>
      <c r="AE36" s="876"/>
    </row>
    <row r="37" spans="1:63" ht="13.15" customHeight="1" x14ac:dyDescent="0.2">
      <c r="A37" s="4342"/>
      <c r="B37" s="4342"/>
      <c r="C37" s="4342"/>
      <c r="D37" s="4269"/>
      <c r="E37" s="2"/>
      <c r="F37" s="1575">
        <v>7</v>
      </c>
      <c r="G37" s="4299" t="s">
        <v>5208</v>
      </c>
      <c r="H37" s="4299"/>
      <c r="I37" s="4299"/>
      <c r="J37" s="4299"/>
      <c r="K37" s="4299"/>
      <c r="L37" s="4299"/>
      <c r="M37" s="4299"/>
      <c r="N37" s="4299"/>
      <c r="O37" s="4299"/>
      <c r="P37" s="4299"/>
      <c r="Q37" s="4299"/>
      <c r="R37" s="4299"/>
      <c r="S37" s="4299"/>
      <c r="T37" s="4299"/>
      <c r="U37" s="4299"/>
      <c r="V37" s="4299"/>
      <c r="W37" s="4299"/>
      <c r="X37" s="4299"/>
      <c r="Y37" s="4299"/>
      <c r="Z37" s="4299"/>
      <c r="AA37" s="4299"/>
      <c r="AB37" s="4299"/>
      <c r="AC37" s="4299"/>
      <c r="AD37" s="4299"/>
      <c r="AE37" s="876"/>
    </row>
    <row r="38" spans="1:63" ht="15" customHeight="1" x14ac:dyDescent="0.2">
      <c r="A38" s="4342"/>
      <c r="B38" s="4342"/>
      <c r="C38" s="4342"/>
      <c r="D38" s="4269"/>
      <c r="E38" s="2"/>
      <c r="F38" s="1575"/>
      <c r="G38" s="4299"/>
      <c r="H38" s="4299"/>
      <c r="I38" s="4299"/>
      <c r="J38" s="4299"/>
      <c r="K38" s="4299"/>
      <c r="L38" s="4299"/>
      <c r="M38" s="4299"/>
      <c r="N38" s="4299"/>
      <c r="O38" s="4299"/>
      <c r="P38" s="4299"/>
      <c r="Q38" s="4299"/>
      <c r="R38" s="4299"/>
      <c r="S38" s="4299"/>
      <c r="T38" s="4299"/>
      <c r="U38" s="4299"/>
      <c r="V38" s="4299"/>
      <c r="W38" s="4299"/>
      <c r="X38" s="4299"/>
      <c r="Y38" s="4299"/>
      <c r="Z38" s="4299"/>
      <c r="AA38" s="4299"/>
      <c r="AB38" s="4299"/>
      <c r="AC38" s="4299"/>
      <c r="AD38" s="4299"/>
      <c r="AE38" s="876"/>
    </row>
    <row r="39" spans="1:63" ht="13.15" customHeight="1" x14ac:dyDescent="0.2">
      <c r="A39" s="4342"/>
      <c r="B39" s="4342"/>
      <c r="C39" s="4342"/>
      <c r="D39" s="4269"/>
      <c r="E39" s="2"/>
      <c r="F39" s="1575">
        <v>8</v>
      </c>
      <c r="G39" s="4299" t="s">
        <v>10566</v>
      </c>
      <c r="H39" s="4299"/>
      <c r="I39" s="4299"/>
      <c r="J39" s="4299"/>
      <c r="K39" s="4299"/>
      <c r="L39" s="4299"/>
      <c r="M39" s="4299"/>
      <c r="N39" s="4299"/>
      <c r="O39" s="4299"/>
      <c r="P39" s="4299"/>
      <c r="Q39" s="4299"/>
      <c r="R39" s="4299"/>
      <c r="S39" s="4299"/>
      <c r="T39" s="4299"/>
      <c r="U39" s="4299"/>
      <c r="V39" s="4299"/>
      <c r="W39" s="4299"/>
      <c r="X39" s="4299"/>
      <c r="Y39" s="4299"/>
      <c r="Z39" s="4299"/>
      <c r="AA39" s="4299"/>
      <c r="AB39" s="4299"/>
      <c r="AC39" s="4299"/>
      <c r="AD39" s="4299"/>
      <c r="AE39" s="876"/>
    </row>
    <row r="40" spans="1:63" ht="15" customHeight="1" x14ac:dyDescent="0.2">
      <c r="A40" s="4342"/>
      <c r="B40" s="4342"/>
      <c r="C40" s="4342"/>
      <c r="D40" s="4269"/>
      <c r="E40" s="2"/>
      <c r="F40" s="1575"/>
      <c r="G40" s="4299"/>
      <c r="H40" s="4299"/>
      <c r="I40" s="4299"/>
      <c r="J40" s="4299"/>
      <c r="K40" s="4299"/>
      <c r="L40" s="4299"/>
      <c r="M40" s="4299"/>
      <c r="N40" s="4299"/>
      <c r="O40" s="4299"/>
      <c r="P40" s="4299"/>
      <c r="Q40" s="4299"/>
      <c r="R40" s="4299"/>
      <c r="S40" s="4299"/>
      <c r="T40" s="4299"/>
      <c r="U40" s="4299"/>
      <c r="V40" s="4299"/>
      <c r="W40" s="4299"/>
      <c r="X40" s="4299"/>
      <c r="Y40" s="4299"/>
      <c r="Z40" s="4299"/>
      <c r="AA40" s="4299"/>
      <c r="AB40" s="4299"/>
      <c r="AC40" s="4299"/>
      <c r="AD40" s="4299"/>
      <c r="AE40" s="876"/>
    </row>
    <row r="41" spans="1:63" ht="4.5" customHeight="1" x14ac:dyDescent="0.2">
      <c r="A41" s="4342"/>
      <c r="B41" s="4342"/>
      <c r="C41" s="4342"/>
      <c r="D41" s="4269"/>
      <c r="E41" s="2"/>
      <c r="F41" s="1575"/>
      <c r="G41" s="1549"/>
      <c r="H41" s="1549"/>
      <c r="I41" s="1549"/>
      <c r="J41" s="1549"/>
      <c r="K41" s="1549"/>
      <c r="L41" s="1549"/>
      <c r="M41" s="1549"/>
      <c r="N41" s="1549"/>
      <c r="O41" s="1549"/>
      <c r="P41" s="1549"/>
      <c r="Q41" s="1549"/>
      <c r="R41" s="1549"/>
      <c r="S41" s="1549"/>
      <c r="T41" s="1549"/>
      <c r="U41" s="1549"/>
      <c r="V41" s="1549"/>
      <c r="W41" s="1549"/>
      <c r="X41" s="1549"/>
      <c r="Y41" s="1549"/>
      <c r="Z41" s="1549"/>
      <c r="AA41" s="1549"/>
      <c r="AB41" s="1549"/>
      <c r="AC41" s="1549"/>
      <c r="AD41" s="1549"/>
      <c r="AE41" s="876"/>
    </row>
    <row r="42" spans="1:63" ht="38.25" customHeight="1" x14ac:dyDescent="0.2">
      <c r="A42" s="4342"/>
      <c r="B42" s="4342"/>
      <c r="C42" s="4342"/>
      <c r="D42" s="4269"/>
      <c r="E42" s="2"/>
      <c r="F42" s="1575">
        <v>9</v>
      </c>
      <c r="G42" s="4299" t="s">
        <v>1777</v>
      </c>
      <c r="H42" s="4299"/>
      <c r="I42" s="4299"/>
      <c r="J42" s="4299"/>
      <c r="K42" s="4299"/>
      <c r="L42" s="4299"/>
      <c r="M42" s="4299"/>
      <c r="N42" s="4299"/>
      <c r="O42" s="4299"/>
      <c r="P42" s="4299"/>
      <c r="Q42" s="4299"/>
      <c r="R42" s="4299"/>
      <c r="S42" s="4299"/>
      <c r="T42" s="4299"/>
      <c r="U42" s="4299"/>
      <c r="V42" s="4299"/>
      <c r="W42" s="4299"/>
      <c r="X42" s="4299"/>
      <c r="Y42" s="4299"/>
      <c r="Z42" s="4299"/>
      <c r="AA42" s="4299"/>
      <c r="AB42" s="4299"/>
      <c r="AC42" s="4299"/>
      <c r="AD42" s="4299"/>
      <c r="AE42" s="876"/>
    </row>
    <row r="43" spans="1:63" ht="15.75" customHeight="1" x14ac:dyDescent="0.2">
      <c r="A43" s="4342"/>
      <c r="B43" s="4342"/>
      <c r="C43" s="4342"/>
      <c r="D43" s="4269"/>
      <c r="E43" s="2"/>
      <c r="F43" s="188"/>
      <c r="G43" s="1576" t="s">
        <v>10632</v>
      </c>
      <c r="H43" s="1576"/>
      <c r="I43" s="1576"/>
      <c r="J43" s="1576"/>
      <c r="K43" s="1576"/>
      <c r="L43" s="1576"/>
      <c r="M43" s="1576"/>
      <c r="N43" s="1576"/>
      <c r="O43" s="1576"/>
      <c r="P43" s="1576"/>
      <c r="Q43" s="1576"/>
      <c r="R43" s="1576"/>
      <c r="S43" s="1577"/>
      <c r="T43" s="1577"/>
      <c r="U43" s="1577"/>
      <c r="V43" s="1577"/>
      <c r="W43" s="1577"/>
      <c r="X43" s="1577"/>
      <c r="Y43" s="1577"/>
      <c r="Z43" s="1577"/>
      <c r="AA43" s="1577"/>
      <c r="AB43" s="1577"/>
      <c r="AC43" s="1577"/>
      <c r="AD43" s="1577"/>
      <c r="AE43" s="876"/>
    </row>
    <row r="44" spans="1:63" ht="6" customHeight="1" x14ac:dyDescent="0.2">
      <c r="A44" s="4342"/>
      <c r="B44" s="4342"/>
      <c r="C44" s="4342"/>
      <c r="D44" s="4269"/>
      <c r="E44" s="2"/>
      <c r="F44" s="1578"/>
      <c r="G44" s="1579"/>
      <c r="H44" s="1579"/>
      <c r="I44" s="1579"/>
      <c r="J44" s="1579"/>
      <c r="K44" s="1579"/>
      <c r="L44" s="1579"/>
      <c r="M44" s="1579"/>
      <c r="N44" s="1579"/>
      <c r="O44" s="1579"/>
      <c r="P44" s="1579"/>
      <c r="Q44" s="1579"/>
      <c r="R44" s="1579"/>
      <c r="S44" s="1579"/>
      <c r="T44" s="1579"/>
      <c r="U44" s="1579"/>
      <c r="V44" s="1579"/>
      <c r="W44" s="1579"/>
      <c r="X44" s="1579"/>
      <c r="Y44" s="1579"/>
      <c r="Z44" s="1579"/>
      <c r="AA44" s="1579"/>
      <c r="AB44" s="1579"/>
      <c r="AC44" s="1579"/>
      <c r="AD44" s="1579"/>
      <c r="AE44" s="1580"/>
    </row>
    <row r="45" spans="1:63" ht="3" customHeight="1" x14ac:dyDescent="0.25">
      <c r="A45" s="4342"/>
      <c r="B45" s="4342"/>
      <c r="C45" s="4342"/>
      <c r="D45" s="4269"/>
      <c r="E45" s="2"/>
      <c r="BB45" s="1950"/>
    </row>
    <row r="46" spans="1:63" ht="15" x14ac:dyDescent="0.2">
      <c r="A46" s="4342"/>
      <c r="B46" s="4342"/>
      <c r="C46" s="4342"/>
      <c r="D46" s="4269"/>
      <c r="E46" s="2"/>
      <c r="F46" s="4339" t="s">
        <v>9896</v>
      </c>
      <c r="G46" s="4340"/>
      <c r="H46" s="4340"/>
      <c r="I46" s="4340"/>
      <c r="J46" s="4340"/>
      <c r="K46" s="4340"/>
      <c r="L46" s="4340"/>
      <c r="M46" s="4340"/>
      <c r="N46" s="4340"/>
      <c r="O46" s="4340"/>
      <c r="P46" s="4340"/>
      <c r="Q46" s="4340"/>
      <c r="R46" s="4340"/>
      <c r="S46" s="4340"/>
      <c r="T46" s="4340"/>
      <c r="U46" s="4340"/>
      <c r="V46" s="4340"/>
      <c r="W46" s="4340"/>
      <c r="X46" s="4340"/>
      <c r="Y46" s="4340"/>
      <c r="Z46" s="4340"/>
      <c r="AA46" s="4340"/>
      <c r="AB46" s="4340"/>
      <c r="AC46" s="4340"/>
      <c r="AD46" s="4340"/>
      <c r="AE46" s="4341"/>
      <c r="BB46"/>
    </row>
    <row r="47" spans="1:63" ht="7.5" customHeight="1" x14ac:dyDescent="0.25">
      <c r="A47" s="4342"/>
      <c r="B47" s="4342"/>
      <c r="C47" s="4342"/>
      <c r="D47" s="4269"/>
      <c r="E47" s="2"/>
      <c r="F47" s="16"/>
      <c r="G47" s="17"/>
      <c r="H47" s="17"/>
      <c r="I47" s="17"/>
      <c r="J47" s="17"/>
      <c r="K47" s="17"/>
      <c r="L47" s="17"/>
      <c r="M47" s="17"/>
      <c r="N47" s="17"/>
      <c r="O47" s="17"/>
      <c r="P47" s="17"/>
      <c r="Q47" s="17"/>
      <c r="R47" s="17"/>
      <c r="S47" s="17"/>
      <c r="T47" s="17"/>
      <c r="U47" s="17"/>
      <c r="V47" s="17"/>
      <c r="W47" s="17"/>
      <c r="X47" s="17"/>
      <c r="Y47" s="17"/>
      <c r="Z47" s="17"/>
      <c r="AA47" s="17"/>
      <c r="AB47" s="17"/>
      <c r="AC47" s="17"/>
      <c r="AD47" s="17"/>
      <c r="AE47" s="6"/>
      <c r="BB47" s="1736"/>
      <c r="BC47" s="1951"/>
      <c r="BD47" s="1951"/>
    </row>
    <row r="48" spans="1:63" ht="15" x14ac:dyDescent="0.25">
      <c r="A48" s="4342"/>
      <c r="B48" s="4342"/>
      <c r="C48" s="4342"/>
      <c r="D48" s="4269"/>
      <c r="E48" s="2"/>
      <c r="F48" s="255">
        <v>1</v>
      </c>
      <c r="G48" s="256" t="s">
        <v>3149</v>
      </c>
      <c r="H48" s="257"/>
      <c r="I48" s="257"/>
      <c r="J48" s="18"/>
      <c r="K48" s="19"/>
      <c r="L48" s="17"/>
      <c r="M48" s="20"/>
      <c r="N48" s="4302"/>
      <c r="O48" s="4303"/>
      <c r="P48" s="4303"/>
      <c r="Q48" s="4303"/>
      <c r="R48" s="4304"/>
      <c r="S48" s="17"/>
      <c r="T48" s="258">
        <v>2</v>
      </c>
      <c r="U48" s="21"/>
      <c r="V48" s="259" t="s">
        <v>3150</v>
      </c>
      <c r="W48" s="4317"/>
      <c r="X48" s="4318"/>
      <c r="Y48" s="4318"/>
      <c r="Z48" s="4318"/>
      <c r="AA48" s="4318"/>
      <c r="AB48" s="4318"/>
      <c r="AC48" s="4318"/>
      <c r="AD48" s="4319"/>
      <c r="AE48" s="6"/>
      <c r="BB48" s="1736"/>
      <c r="BC48" s="1952"/>
      <c r="BD48" s="1950"/>
      <c r="BJ48" s="28" t="e">
        <f>VLOOKUP(cur,er_ya1,3,FALSE)</f>
      </c>
      <c r="BK48" s="28" t="e">
        <f>ROUND(BJ48,1)</f>
      </c>
    </row>
    <row r="49" spans="1:56" ht="4.5" customHeight="1" x14ac:dyDescent="0.2">
      <c r="A49" s="4342"/>
      <c r="B49" s="4342"/>
      <c r="C49" s="4342"/>
      <c r="D49" s="4269"/>
      <c r="E49" s="2"/>
      <c r="F49" s="22"/>
      <c r="G49" s="20"/>
      <c r="H49" s="20"/>
      <c r="I49" s="20"/>
      <c r="J49" s="20"/>
      <c r="K49" s="20"/>
      <c r="L49" s="20"/>
      <c r="M49" s="20"/>
      <c r="N49" s="20"/>
      <c r="O49" s="20"/>
      <c r="P49" s="20"/>
      <c r="Q49" s="20"/>
      <c r="R49" s="20"/>
      <c r="S49" s="20"/>
      <c r="T49" s="20"/>
      <c r="U49" s="20"/>
      <c r="V49" s="20"/>
      <c r="W49" s="20"/>
      <c r="X49" s="3"/>
      <c r="Y49" s="3"/>
      <c r="Z49" s="3"/>
      <c r="AA49" s="3"/>
      <c r="AB49" s="3"/>
      <c r="AC49" s="3"/>
      <c r="AD49" s="3"/>
      <c r="AE49" s="6"/>
      <c r="BB49" s="1736"/>
      <c r="BC49" s="1952"/>
      <c r="BD49" s="1952"/>
    </row>
    <row r="50" spans="1:56" x14ac:dyDescent="0.2">
      <c r="A50" s="4342"/>
      <c r="B50" s="4342"/>
      <c r="C50" s="4342"/>
      <c r="D50" s="4269"/>
      <c r="E50" s="2"/>
      <c r="F50" s="255">
        <v>3</v>
      </c>
      <c r="G50" s="256" t="s">
        <v>3151</v>
      </c>
      <c r="H50" s="257"/>
      <c r="I50" s="257"/>
      <c r="J50" s="23"/>
      <c r="K50" s="24"/>
      <c r="L50" s="20"/>
      <c r="M50" s="20"/>
      <c r="N50" s="4336"/>
      <c r="O50" s="4337"/>
      <c r="P50" s="4337"/>
      <c r="Q50" s="4337"/>
      <c r="R50" s="4337"/>
      <c r="S50" s="4337"/>
      <c r="T50" s="4337"/>
      <c r="U50" s="4337"/>
      <c r="V50" s="4337"/>
      <c r="W50" s="4337"/>
      <c r="X50" s="4337"/>
      <c r="Y50" s="4337"/>
      <c r="Z50" s="4337"/>
      <c r="AA50" s="4337"/>
      <c r="AB50" s="4337"/>
      <c r="AC50" s="4337"/>
      <c r="AD50" s="4338"/>
      <c r="AE50" s="6"/>
      <c r="BB50" s="1736"/>
      <c r="BC50" s="1952"/>
      <c r="BD50" s="1952"/>
    </row>
    <row r="51" spans="1:56" ht="5.25" customHeight="1" x14ac:dyDescent="0.2">
      <c r="A51" s="4342"/>
      <c r="B51" s="4342"/>
      <c r="C51" s="4342"/>
      <c r="D51" s="4269"/>
      <c r="E51" s="2"/>
      <c r="F51" s="22"/>
      <c r="G51" s="20"/>
      <c r="H51" s="20"/>
      <c r="I51" s="20"/>
      <c r="J51" s="20"/>
      <c r="K51" s="20"/>
      <c r="L51" s="20"/>
      <c r="M51" s="20"/>
      <c r="N51" s="20"/>
      <c r="O51" s="20"/>
      <c r="P51" s="20"/>
      <c r="Q51" s="20"/>
      <c r="R51" s="20"/>
      <c r="S51" s="20"/>
      <c r="T51" s="20"/>
      <c r="U51" s="20"/>
      <c r="V51" s="20"/>
      <c r="W51" s="20"/>
      <c r="X51" s="3"/>
      <c r="Y51" s="3"/>
      <c r="Z51" s="3"/>
      <c r="AA51" s="3"/>
      <c r="AB51" s="3"/>
      <c r="AC51" s="3"/>
      <c r="AD51" s="3"/>
      <c r="AE51" s="6"/>
      <c r="BB51"/>
      <c r="BC51" s="1952"/>
      <c r="BD51" s="1952"/>
    </row>
    <row r="52" spans="1:56" x14ac:dyDescent="0.2">
      <c r="A52" s="4342"/>
      <c r="B52" s="4342"/>
      <c r="C52" s="4342"/>
      <c r="D52" s="4269"/>
      <c r="E52" s="2"/>
      <c r="F52" s="260">
        <v>4</v>
      </c>
      <c r="G52" s="4300" t="s">
        <v>3152</v>
      </c>
      <c r="H52" s="4301"/>
      <c r="I52" s="4301"/>
      <c r="J52" s="4301"/>
      <c r="K52" s="25"/>
      <c r="L52" s="26"/>
      <c r="M52" s="20"/>
      <c r="N52" s="4350"/>
      <c r="O52" s="4351"/>
      <c r="P52" s="4351"/>
      <c r="Q52" s="4351"/>
      <c r="R52" s="4351"/>
      <c r="S52" s="4351"/>
      <c r="T52" s="4351"/>
      <c r="U52" s="4351"/>
      <c r="V52" s="4351"/>
      <c r="W52" s="4351"/>
      <c r="X52" s="4351"/>
      <c r="Y52" s="4351"/>
      <c r="Z52" s="4351"/>
      <c r="AA52" s="4351"/>
      <c r="AB52" s="4351"/>
      <c r="AC52" s="4351"/>
      <c r="AD52" s="4352"/>
      <c r="AE52" s="6"/>
      <c r="BB52" s="1736"/>
      <c r="BC52" s="1952"/>
      <c r="BD52" s="1952"/>
    </row>
    <row r="53" spans="1:56" ht="26.25" customHeight="1" x14ac:dyDescent="0.25">
      <c r="A53" s="4342"/>
      <c r="B53" s="4342"/>
      <c r="C53" s="4342"/>
      <c r="D53" s="4269"/>
      <c r="E53" s="2"/>
      <c r="F53" s="22"/>
      <c r="G53" s="4305" t="s">
        <v>5211</v>
      </c>
      <c r="H53" s="4306"/>
      <c r="I53" s="4306"/>
      <c r="J53" s="4306"/>
      <c r="K53" s="4306"/>
      <c r="L53" s="4307"/>
      <c r="M53" s="261"/>
      <c r="N53" s="4353"/>
      <c r="O53" s="4354"/>
      <c r="P53" s="4354"/>
      <c r="Q53" s="4354"/>
      <c r="R53" s="4354"/>
      <c r="S53" s="4354"/>
      <c r="T53" s="4354"/>
      <c r="U53" s="4354"/>
      <c r="V53" s="4354"/>
      <c r="W53" s="4354"/>
      <c r="X53" s="4354"/>
      <c r="Y53" s="4354"/>
      <c r="Z53" s="4354"/>
      <c r="AA53" s="4354"/>
      <c r="AB53" s="4354"/>
      <c r="AC53" s="4354"/>
      <c r="AD53" s="4355"/>
      <c r="AE53" s="6"/>
      <c r="BB53" s="1736"/>
      <c r="BC53" s="1952"/>
      <c r="BD53" s="1950"/>
    </row>
    <row r="54" spans="1:56" ht="3" customHeight="1" x14ac:dyDescent="0.2">
      <c r="A54" s="4342"/>
      <c r="B54" s="4342"/>
      <c r="C54" s="4342"/>
      <c r="D54" s="4269"/>
      <c r="E54" s="2"/>
      <c r="F54" s="22"/>
      <c r="G54" s="262"/>
      <c r="H54" s="262"/>
      <c r="I54" s="262"/>
      <c r="J54" s="262"/>
      <c r="K54" s="262"/>
      <c r="L54" s="262"/>
      <c r="M54" s="261"/>
      <c r="N54" s="263"/>
      <c r="O54" s="20"/>
      <c r="P54" s="20"/>
      <c r="Q54" s="20"/>
      <c r="R54" s="20"/>
      <c r="S54" s="20"/>
      <c r="T54" s="20"/>
      <c r="U54" s="20"/>
      <c r="V54" s="20"/>
      <c r="W54" s="20"/>
      <c r="X54" s="3"/>
      <c r="Y54" s="3"/>
      <c r="Z54" s="3"/>
      <c r="AA54" s="3"/>
      <c r="AB54" s="3"/>
      <c r="AC54" s="3"/>
      <c r="AD54" s="3"/>
      <c r="AE54" s="6"/>
      <c r="BB54"/>
      <c r="BC54" s="1952"/>
      <c r="BD54" s="1952"/>
    </row>
    <row r="55" spans="1:56" x14ac:dyDescent="0.2">
      <c r="A55" s="4342"/>
      <c r="B55" s="4342"/>
      <c r="C55" s="4342"/>
      <c r="D55" s="4269"/>
      <c r="E55" s="2"/>
      <c r="F55" s="22"/>
      <c r="G55" s="20"/>
      <c r="H55" s="20"/>
      <c r="I55" s="20"/>
      <c r="J55" s="3"/>
      <c r="K55" s="3"/>
      <c r="L55" s="3"/>
      <c r="M55" s="3"/>
      <c r="N55" s="4366" t="s">
        <v>5212</v>
      </c>
      <c r="O55" s="4367"/>
      <c r="P55" s="4367"/>
      <c r="Q55" s="4368"/>
      <c r="R55" s="4369"/>
      <c r="S55" s="4370"/>
      <c r="T55" s="4370"/>
      <c r="U55" s="4371"/>
      <c r="V55" s="3"/>
      <c r="W55" s="4366" t="s">
        <v>5213</v>
      </c>
      <c r="X55" s="4367"/>
      <c r="Y55" s="4367"/>
      <c r="Z55" s="4368"/>
      <c r="AA55" s="4369"/>
      <c r="AB55" s="4370"/>
      <c r="AC55" s="4370"/>
      <c r="AD55" s="4371"/>
      <c r="AE55" s="6"/>
      <c r="BB55" s="1736"/>
      <c r="BC55" s="1952"/>
      <c r="BD55" s="1952"/>
    </row>
    <row r="56" spans="1:56" ht="3" customHeight="1" x14ac:dyDescent="0.2">
      <c r="A56" s="4342"/>
      <c r="B56" s="4342"/>
      <c r="C56" s="4342"/>
      <c r="D56" s="4269"/>
      <c r="E56" s="2"/>
      <c r="F56" s="22"/>
      <c r="G56" s="20"/>
      <c r="H56" s="20"/>
      <c r="I56" s="20"/>
      <c r="J56" s="20"/>
      <c r="K56" s="20"/>
      <c r="L56" s="20"/>
      <c r="M56" s="20"/>
      <c r="N56" s="20"/>
      <c r="O56" s="20"/>
      <c r="P56" s="20"/>
      <c r="Q56" s="20"/>
      <c r="R56" s="20"/>
      <c r="S56" s="20"/>
      <c r="T56" s="20"/>
      <c r="U56" s="20"/>
      <c r="V56" s="20"/>
      <c r="W56" s="20"/>
      <c r="X56" s="3"/>
      <c r="Y56" s="3"/>
      <c r="Z56" s="3"/>
      <c r="AA56" s="3"/>
      <c r="AB56" s="3"/>
      <c r="AC56" s="3"/>
      <c r="AD56" s="3"/>
      <c r="AE56" s="6"/>
      <c r="BB56" s="1736"/>
      <c r="BC56" s="1952"/>
      <c r="BD56" s="1952"/>
    </row>
    <row r="57" spans="1:56" ht="12.75" customHeight="1" x14ac:dyDescent="0.2">
      <c r="A57" s="4342"/>
      <c r="B57" s="4342"/>
      <c r="C57" s="4342"/>
      <c r="D57" s="4269"/>
      <c r="E57" s="2"/>
      <c r="F57" s="260">
        <v>5</v>
      </c>
      <c r="G57" s="4372" t="s">
        <v>2540</v>
      </c>
      <c r="H57" s="4373"/>
      <c r="I57" s="4373"/>
      <c r="J57" s="4373"/>
      <c r="K57" s="4374"/>
      <c r="L57" s="3"/>
      <c r="M57" s="4288" t="s">
        <v>657</v>
      </c>
      <c r="N57" s="4288"/>
      <c r="O57" s="4288"/>
      <c r="P57" s="4288"/>
      <c r="Q57" s="4288"/>
      <c r="R57" s="4288"/>
      <c r="S57" s="4288"/>
      <c r="T57" s="4344" t="s">
        <v>3152</v>
      </c>
      <c r="U57" s="4344"/>
      <c r="V57" s="4344"/>
      <c r="W57" s="4344"/>
      <c r="X57" s="4344"/>
      <c r="Y57" s="4344"/>
      <c r="Z57" s="4344"/>
      <c r="AA57" s="4344"/>
      <c r="AB57" s="4344"/>
      <c r="AC57" s="4344"/>
      <c r="AD57" s="4345"/>
      <c r="AE57" s="6"/>
      <c r="BB57" s="1736"/>
      <c r="BC57" s="1952"/>
      <c r="BD57" s="1952"/>
    </row>
    <row r="58" spans="1:56" x14ac:dyDescent="0.2">
      <c r="A58" s="4342"/>
      <c r="B58" s="4342"/>
      <c r="C58" s="4342"/>
      <c r="D58" s="4269"/>
      <c r="E58" s="2"/>
      <c r="F58" s="265"/>
      <c r="G58" s="4375"/>
      <c r="H58" s="4376"/>
      <c r="I58" s="4376"/>
      <c r="J58" s="4376"/>
      <c r="K58" s="4377"/>
      <c r="L58" s="3"/>
      <c r="M58" s="266">
        <v>1</v>
      </c>
      <c r="N58" s="4317"/>
      <c r="O58" s="4318"/>
      <c r="P58" s="4318"/>
      <c r="Q58" s="4318"/>
      <c r="R58" s="4318"/>
      <c r="S58" s="4319"/>
      <c r="T58" s="266">
        <v>1</v>
      </c>
      <c r="U58" s="4346"/>
      <c r="V58" s="4347"/>
      <c r="W58" s="4347"/>
      <c r="X58" s="4347"/>
      <c r="Y58" s="4347"/>
      <c r="Z58" s="4347"/>
      <c r="AA58" s="4347"/>
      <c r="AB58" s="4347"/>
      <c r="AC58" s="4347"/>
      <c r="AD58" s="4348"/>
      <c r="AE58" s="6"/>
      <c r="BB58" s="1736"/>
      <c r="BC58" s="1952"/>
      <c r="BD58" s="1952"/>
    </row>
    <row r="59" spans="1:56" ht="15" x14ac:dyDescent="0.25">
      <c r="A59" s="4342"/>
      <c r="B59" s="4342"/>
      <c r="C59" s="4342"/>
      <c r="D59" s="4269"/>
      <c r="E59" s="2"/>
      <c r="F59" s="265"/>
      <c r="G59" s="4375"/>
      <c r="H59" s="4376"/>
      <c r="I59" s="4376"/>
      <c r="J59" s="4376"/>
      <c r="K59" s="4377"/>
      <c r="L59" s="3"/>
      <c r="M59" s="266">
        <v>2</v>
      </c>
      <c r="N59" s="4317"/>
      <c r="O59" s="4318"/>
      <c r="P59" s="4318"/>
      <c r="Q59" s="4318"/>
      <c r="R59" s="4318"/>
      <c r="S59" s="4319"/>
      <c r="T59" s="266">
        <v>2</v>
      </c>
      <c r="U59" s="4346"/>
      <c r="V59" s="4347"/>
      <c r="W59" s="4347"/>
      <c r="X59" s="4347"/>
      <c r="Y59" s="4347"/>
      <c r="Z59" s="4347"/>
      <c r="AA59" s="4347"/>
      <c r="AB59" s="4347"/>
      <c r="AC59" s="4347"/>
      <c r="AD59" s="4348"/>
      <c r="AE59" s="6"/>
      <c r="BB59" s="1736"/>
      <c r="BC59" s="1952"/>
      <c r="BD59" s="1950"/>
    </row>
    <row r="60" spans="1:56" x14ac:dyDescent="0.2">
      <c r="A60" s="4269"/>
      <c r="B60" s="4269"/>
      <c r="C60" s="4269"/>
      <c r="D60" s="4269"/>
      <c r="E60" s="2"/>
      <c r="F60" s="22"/>
      <c r="G60" s="4375"/>
      <c r="H60" s="4376"/>
      <c r="I60" s="4376"/>
      <c r="J60" s="4376"/>
      <c r="K60" s="4377"/>
      <c r="L60" s="3"/>
      <c r="M60" s="266">
        <v>3</v>
      </c>
      <c r="N60" s="4317"/>
      <c r="O60" s="4318"/>
      <c r="P60" s="4318"/>
      <c r="Q60" s="4318"/>
      <c r="R60" s="4318"/>
      <c r="S60" s="4319"/>
      <c r="T60" s="266">
        <v>3</v>
      </c>
      <c r="U60" s="4346"/>
      <c r="V60" s="4347"/>
      <c r="W60" s="4347"/>
      <c r="X60" s="4347"/>
      <c r="Y60" s="4347"/>
      <c r="Z60" s="4347"/>
      <c r="AA60" s="4347"/>
      <c r="AB60" s="4347"/>
      <c r="AC60" s="4347"/>
      <c r="AD60" s="4348"/>
      <c r="AE60" s="6"/>
      <c r="BB60"/>
      <c r="BC60" s="1952"/>
      <c r="BD60" s="1952"/>
    </row>
    <row r="61" spans="1:56" x14ac:dyDescent="0.2">
      <c r="A61" s="4269"/>
      <c r="B61" s="4269"/>
      <c r="C61" s="4269"/>
      <c r="D61" s="4269"/>
      <c r="E61" s="2"/>
      <c r="F61" s="22"/>
      <c r="G61" s="4378"/>
      <c r="H61" s="4379"/>
      <c r="I61" s="4379"/>
      <c r="J61" s="4379"/>
      <c r="K61" s="4380"/>
      <c r="L61" s="3"/>
      <c r="M61" s="266">
        <v>4</v>
      </c>
      <c r="N61" s="4317"/>
      <c r="O61" s="4318"/>
      <c r="P61" s="4318"/>
      <c r="Q61" s="4318"/>
      <c r="R61" s="4318"/>
      <c r="S61" s="4319"/>
      <c r="T61" s="266">
        <v>4</v>
      </c>
      <c r="U61" s="4346"/>
      <c r="V61" s="4347"/>
      <c r="W61" s="4347"/>
      <c r="X61" s="4347"/>
      <c r="Y61" s="4347"/>
      <c r="Z61" s="4347"/>
      <c r="AA61" s="4347"/>
      <c r="AB61" s="4347"/>
      <c r="AC61" s="4347"/>
      <c r="AD61" s="4348"/>
      <c r="AE61" s="6"/>
      <c r="BB61"/>
      <c r="BC61" s="1952"/>
      <c r="BD61" s="1952"/>
    </row>
    <row r="62" spans="1:56" ht="15" x14ac:dyDescent="0.25">
      <c r="A62" s="4269"/>
      <c r="B62" s="4269"/>
      <c r="C62" s="4269"/>
      <c r="D62" s="4269"/>
      <c r="E62" s="2"/>
      <c r="F62" s="22"/>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6"/>
      <c r="BB62" s="1736"/>
      <c r="BC62" s="1952"/>
      <c r="BD62" s="1950"/>
    </row>
    <row r="63" spans="1:56" ht="15" customHeight="1" x14ac:dyDescent="0.2">
      <c r="A63" s="4269"/>
      <c r="B63" s="4269"/>
      <c r="C63" s="4269"/>
      <c r="D63" s="4269"/>
      <c r="E63" s="2"/>
      <c r="F63" s="255">
        <v>6</v>
      </c>
      <c r="G63" s="4343" t="s">
        <v>5214</v>
      </c>
      <c r="H63" s="4344"/>
      <c r="I63" s="4344"/>
      <c r="J63" s="4344"/>
      <c r="K63" s="4345"/>
      <c r="L63" s="20"/>
      <c r="M63" s="20"/>
      <c r="N63" s="20"/>
      <c r="O63" s="20"/>
      <c r="P63" s="20"/>
      <c r="Q63" s="20"/>
      <c r="R63" s="20"/>
      <c r="S63" s="20"/>
      <c r="T63" s="20"/>
      <c r="U63" s="20"/>
      <c r="V63" s="20"/>
      <c r="W63" s="20"/>
      <c r="X63" s="3"/>
      <c r="Y63" s="3"/>
      <c r="Z63" s="3"/>
      <c r="AA63" s="3"/>
      <c r="AB63" s="3"/>
      <c r="AC63" s="3"/>
      <c r="AD63" s="3"/>
      <c r="AE63" s="6"/>
      <c r="BB63" s="1736"/>
      <c r="BC63" s="1952"/>
      <c r="BD63" s="1952"/>
    </row>
    <row r="64" spans="1:56" ht="24.75" customHeight="1" x14ac:dyDescent="0.2">
      <c r="A64" s="4269"/>
      <c r="B64" s="4269"/>
      <c r="C64" s="4269"/>
      <c r="D64" s="4269"/>
      <c r="E64" s="2"/>
      <c r="F64" s="11"/>
      <c r="G64" s="4365" t="s">
        <v>10568</v>
      </c>
      <c r="H64" s="4365"/>
      <c r="I64" s="4365"/>
      <c r="J64" s="4365"/>
      <c r="K64" s="4365"/>
      <c r="L64" s="4365"/>
      <c r="M64" s="4365"/>
      <c r="N64" s="4365"/>
      <c r="O64" s="4365"/>
      <c r="P64" s="4365"/>
      <c r="Q64" s="4365"/>
      <c r="R64" s="4365"/>
      <c r="S64" s="4365"/>
      <c r="T64" s="4365"/>
      <c r="U64" s="4365"/>
      <c r="V64" s="4365"/>
      <c r="W64" s="4365"/>
      <c r="X64" s="4365"/>
      <c r="Y64" s="4365"/>
      <c r="Z64" s="4365"/>
      <c r="AA64" s="4365"/>
      <c r="AB64" s="4365"/>
      <c r="AC64" s="4365"/>
      <c r="AD64" s="4365"/>
      <c r="AE64" s="6"/>
      <c r="BB64" s="1736"/>
      <c r="BC64" s="1952"/>
      <c r="BD64" s="1952"/>
    </row>
    <row r="65" spans="1:56" x14ac:dyDescent="0.2">
      <c r="A65" s="4269"/>
      <c r="B65" s="4269"/>
      <c r="C65" s="4269"/>
      <c r="D65" s="4269"/>
      <c r="E65" s="2"/>
      <c r="F65" s="11"/>
      <c r="G65" s="4384" t="s">
        <v>6934</v>
      </c>
      <c r="H65" s="4384"/>
      <c r="I65" s="4384"/>
      <c r="J65" s="4384"/>
      <c r="K65" s="4384"/>
      <c r="L65" s="4384"/>
      <c r="M65" s="4385" t="s">
        <v>6935</v>
      </c>
      <c r="N65" s="4385"/>
      <c r="O65" s="4385"/>
      <c r="P65" s="4385"/>
      <c r="Q65" s="4385"/>
      <c r="R65" s="4385"/>
      <c r="S65" s="4385" t="s">
        <v>6936</v>
      </c>
      <c r="T65" s="4385"/>
      <c r="U65" s="4385"/>
      <c r="V65" s="4385"/>
      <c r="W65" s="4385"/>
      <c r="X65" s="4385"/>
      <c r="Y65" s="4385" t="s">
        <v>6937</v>
      </c>
      <c r="Z65" s="4385"/>
      <c r="AA65" s="4385"/>
      <c r="AB65" s="4385"/>
      <c r="AC65" s="4385"/>
      <c r="AD65" s="4385"/>
      <c r="AE65" s="6"/>
      <c r="BB65" s="1736"/>
      <c r="BC65" s="1952"/>
      <c r="BD65" s="1952"/>
    </row>
    <row r="66" spans="1:56" x14ac:dyDescent="0.2">
      <c r="A66" s="3"/>
      <c r="B66" s="3"/>
      <c r="C66" s="3"/>
      <c r="D66" s="3"/>
      <c r="E66" s="3"/>
      <c r="F66" s="11"/>
      <c r="G66" s="4381"/>
      <c r="H66" s="4382"/>
      <c r="I66" s="4382"/>
      <c r="J66" s="4382"/>
      <c r="K66" s="4382"/>
      <c r="L66" s="4383"/>
      <c r="M66" s="4381"/>
      <c r="N66" s="4382"/>
      <c r="O66" s="4382"/>
      <c r="P66" s="4382"/>
      <c r="Q66" s="4382"/>
      <c r="R66" s="4383"/>
      <c r="S66" s="4369">
        <v>0</v>
      </c>
      <c r="T66" s="4370"/>
      <c r="U66" s="4370"/>
      <c r="V66" s="4370"/>
      <c r="W66" s="4370"/>
      <c r="X66" s="4371"/>
      <c r="Y66" s="4381"/>
      <c r="Z66" s="4382"/>
      <c r="AA66" s="4382"/>
      <c r="AB66" s="4382"/>
      <c r="AC66" s="4382"/>
      <c r="AD66" s="4383"/>
      <c r="AE66" s="6"/>
      <c r="AI66" s="74">
        <f>DATE(ya-3,1,1)</f>
      </c>
      <c r="AJ66" s="74">
        <f>DATE(ya-1,12,31)</f>
      </c>
      <c r="AK66" s="74">
        <f>DATE(ya-2,1,1)</f>
      </c>
      <c r="AL66" s="74">
        <f>DATE(ya-1,12,31)</f>
      </c>
      <c r="BB66" s="1736"/>
      <c r="BC66" s="1952"/>
      <c r="BD66" s="1952"/>
    </row>
    <row r="67" spans="1:56" x14ac:dyDescent="0.2">
      <c r="A67" s="3"/>
      <c r="B67" s="3"/>
      <c r="C67" s="3"/>
      <c r="D67" s="3"/>
      <c r="E67" s="3"/>
      <c r="F67" s="11"/>
      <c r="G67" s="27"/>
      <c r="H67" s="27"/>
      <c r="I67" s="27"/>
      <c r="J67" s="27"/>
      <c r="K67" s="27"/>
      <c r="L67" s="27"/>
      <c r="M67" s="3"/>
      <c r="N67" s="3"/>
      <c r="O67" s="3"/>
      <c r="P67" s="3"/>
      <c r="Q67" s="3"/>
      <c r="R67" s="3"/>
      <c r="S67" s="3"/>
      <c r="T67" s="3"/>
      <c r="U67" s="3"/>
      <c r="V67" s="3"/>
      <c r="W67" s="3"/>
      <c r="X67" s="3"/>
      <c r="Y67" s="4359" t="s">
        <v>2818</v>
      </c>
      <c r="Z67" s="4359"/>
      <c r="AA67" s="4359"/>
      <c r="AB67" s="4359"/>
      <c r="AC67" s="4359"/>
      <c r="AD67" s="4359"/>
      <c r="AE67" s="6"/>
      <c r="BB67" s="1736"/>
      <c r="BC67" s="1952"/>
      <c r="BD67" s="1952"/>
    </row>
    <row r="68" spans="1:56" ht="15" customHeight="1" x14ac:dyDescent="0.2">
      <c r="A68" s="3"/>
      <c r="B68" s="3"/>
      <c r="C68" s="3"/>
      <c r="D68" s="3"/>
      <c r="E68" s="3"/>
      <c r="F68" s="255">
        <v>7</v>
      </c>
      <c r="G68" s="4343" t="s">
        <v>6938</v>
      </c>
      <c r="H68" s="4344"/>
      <c r="I68" s="4344"/>
      <c r="J68" s="4344"/>
      <c r="K68" s="4344"/>
      <c r="L68" s="4345"/>
      <c r="M68" s="3"/>
      <c r="N68" s="3"/>
      <c r="O68" s="3"/>
      <c r="P68" s="3"/>
      <c r="Q68" s="3"/>
      <c r="R68" s="3"/>
      <c r="S68" s="3"/>
      <c r="T68" s="3"/>
      <c r="U68" s="3"/>
      <c r="V68" s="3"/>
      <c r="W68" s="3"/>
      <c r="X68" s="3"/>
      <c r="Y68" s="3"/>
      <c r="Z68" s="4360" t="str">
        <f>IF(dts&lt;&gt;3,"",IF(Z70&lt;&gt;"","","Choose Currency !"))</f>
        <v/>
      </c>
      <c r="AA68" s="4360"/>
      <c r="AB68" s="4360"/>
      <c r="AC68" s="4360"/>
      <c r="AD68" s="4360"/>
      <c r="AE68" s="6"/>
      <c r="BC68" s="1952"/>
      <c r="BD68" s="1952"/>
    </row>
    <row r="69" spans="1:56" ht="15" customHeight="1" x14ac:dyDescent="0.2">
      <c r="A69" s="3"/>
      <c r="B69" s="3"/>
      <c r="C69" s="3"/>
      <c r="D69" s="3"/>
      <c r="E69" s="3"/>
      <c r="F69" s="11"/>
      <c r="G69" s="4361" t="s">
        <v>4641</v>
      </c>
      <c r="H69" s="4361"/>
      <c r="I69" s="4361"/>
      <c r="J69" s="4361"/>
      <c r="K69" s="4361"/>
      <c r="L69" s="4361"/>
      <c r="M69" s="4361"/>
      <c r="N69" s="4361"/>
      <c r="O69" s="4361"/>
      <c r="P69" s="4361"/>
      <c r="Q69" s="4361"/>
      <c r="R69" s="4361"/>
      <c r="S69" s="4361"/>
      <c r="T69" s="4361"/>
      <c r="U69" s="4361"/>
      <c r="V69" s="4361"/>
      <c r="W69" s="4361"/>
      <c r="X69" s="4361"/>
      <c r="Y69" s="270"/>
      <c r="Z69" s="4362" t="s">
        <v>6938</v>
      </c>
      <c r="AA69" s="4363"/>
      <c r="AB69" s="4363"/>
      <c r="AC69" s="4363"/>
      <c r="AD69" s="4364"/>
      <c r="AE69" s="6"/>
      <c r="BC69" s="1952"/>
      <c r="BD69" s="1952"/>
    </row>
    <row r="70" spans="1:56" x14ac:dyDescent="0.2">
      <c r="A70" s="3"/>
      <c r="B70" s="3"/>
      <c r="C70" s="3"/>
      <c r="D70" s="3"/>
      <c r="E70" s="3"/>
      <c r="F70" s="11"/>
      <c r="G70" s="4361" t="s">
        <v>4639</v>
      </c>
      <c r="H70" s="4361"/>
      <c r="I70" s="4361"/>
      <c r="J70" s="4361"/>
      <c r="K70" s="4361"/>
      <c r="L70" s="4361"/>
      <c r="M70" s="4361"/>
      <c r="N70" s="4361"/>
      <c r="O70" s="4361"/>
      <c r="P70" s="4361"/>
      <c r="Q70" s="4361"/>
      <c r="R70" s="4361"/>
      <c r="S70" s="4361"/>
      <c r="T70" s="4361"/>
      <c r="U70" s="272"/>
      <c r="V70" s="272"/>
      <c r="W70" s="272"/>
      <c r="X70" s="272"/>
      <c r="Y70" s="599" t="str">
        <f>IF($Z$68="","",re)</f>
        <v/>
      </c>
      <c r="Z70" s="4356" t="s">
        <v>4591</v>
      </c>
      <c r="AA70" s="4357"/>
      <c r="AB70" s="4357"/>
      <c r="AC70" s="4357"/>
      <c r="AD70" s="4358"/>
      <c r="AE70" s="6"/>
    </row>
    <row r="71" spans="1:56" x14ac:dyDescent="0.2">
      <c r="A71" s="3"/>
      <c r="B71" s="3"/>
      <c r="C71" s="3"/>
      <c r="D71" s="3"/>
      <c r="E71" s="3"/>
      <c r="F71" s="13"/>
      <c r="G71" s="14"/>
      <c r="H71" s="14"/>
      <c r="I71" s="14"/>
      <c r="J71" s="14"/>
      <c r="K71" s="14"/>
      <c r="L71" s="14"/>
      <c r="M71" s="14"/>
      <c r="N71" s="14"/>
      <c r="O71" s="14"/>
      <c r="P71" s="14"/>
      <c r="Q71" s="14"/>
      <c r="R71" s="14"/>
      <c r="S71" s="14"/>
      <c r="T71" s="14"/>
      <c r="U71" s="14"/>
      <c r="V71" s="14"/>
      <c r="W71" s="14"/>
      <c r="X71" s="14"/>
      <c r="Y71" s="14"/>
      <c r="Z71" s="14"/>
      <c r="AA71" s="14"/>
      <c r="AB71" s="14"/>
      <c r="AC71" s="14"/>
      <c r="AD71" s="14"/>
      <c r="AE71" s="15"/>
    </row>
    <row r="72" spans="1:56" x14ac:dyDescent="0.2"/>
  </sheetData>
  <sheetProtection algorithmName="SHA-512" hashValue="HvmHlQ02UBgKJwORjO6Os6p3c3CEyIa9U33WHaSDy9jxAoR4/1GcoJwC5P2RcuctPn92kKvHFOf+X/xKLa5wGw==" saltValue="WJ/zwjvZEDRqgb7gjTvPqg==" spinCount="100000" sheet="1" objects="1" scenarios="1"/>
  <sortState xmlns:xlrd2="http://schemas.microsoft.com/office/spreadsheetml/2017/richdata2" ref="BB3:BB23">
    <sortCondition ref="BB2"/>
  </sortState>
  <customSheetViews>
    <customSheetView guid="{99B5278F-6EA9-4B1A-8623-27A4DF4AD5E4}" showGridLines="0" fitToPage="1" hiddenRows="1" hiddenColumns="1">
      <pane xSplit="5" ySplit="5" topLeftCell="F6" activePane="bottomRight" state="frozen"/>
      <selection pane="bottomRight" activeCell="L10" sqref="L10:AC10"/>
      <pageMargins left="0.11811023622047245" right="0.19685039370078741" top="0.19685039370078741" bottom="0.57999999999999996" header="0.19685039370078741" footer="0.59055118110236227"/>
      <pageSetup paperSize="9" scale="91" orientation="portrait" horizontalDpi="300" verticalDpi="300" r:id="rId1"/>
      <headerFooter alignWithMargins="0">
        <oddFooter>&amp;LIRD - Malta&amp;Rpage 1</oddFooter>
      </headerFooter>
    </customSheetView>
  </customSheetViews>
  <mergeCells count="66">
    <mergeCell ref="Y66:AD66"/>
    <mergeCell ref="M66:R66"/>
    <mergeCell ref="G66:L66"/>
    <mergeCell ref="S66:X66"/>
    <mergeCell ref="G65:L65"/>
    <mergeCell ref="S65:X65"/>
    <mergeCell ref="M65:R65"/>
    <mergeCell ref="Y65:AD65"/>
    <mergeCell ref="U59:AD59"/>
    <mergeCell ref="U61:AD61"/>
    <mergeCell ref="N60:S60"/>
    <mergeCell ref="N55:Q55"/>
    <mergeCell ref="G57:K61"/>
    <mergeCell ref="N52:AD53"/>
    <mergeCell ref="Z70:AD70"/>
    <mergeCell ref="Y67:AD67"/>
    <mergeCell ref="G68:L68"/>
    <mergeCell ref="Z68:AD68"/>
    <mergeCell ref="G70:T70"/>
    <mergeCell ref="Z69:AD69"/>
    <mergeCell ref="G69:X69"/>
    <mergeCell ref="G64:AD64"/>
    <mergeCell ref="N58:S58"/>
    <mergeCell ref="N59:S59"/>
    <mergeCell ref="W55:Z55"/>
    <mergeCell ref="U58:AD58"/>
    <mergeCell ref="R55:U55"/>
    <mergeCell ref="AA55:AD55"/>
    <mergeCell ref="T57:AD57"/>
    <mergeCell ref="G32:AD32"/>
    <mergeCell ref="G42:AD42"/>
    <mergeCell ref="G37:AD38"/>
    <mergeCell ref="G23:AD24"/>
    <mergeCell ref="G33:AD33"/>
    <mergeCell ref="V2:AE2"/>
    <mergeCell ref="V4:AE5"/>
    <mergeCell ref="F6:AE6"/>
    <mergeCell ref="A1:C3"/>
    <mergeCell ref="D1:D65"/>
    <mergeCell ref="F1:Q2"/>
    <mergeCell ref="F3:S4"/>
    <mergeCell ref="A4:C4"/>
    <mergeCell ref="N50:AD50"/>
    <mergeCell ref="F46:AE46"/>
    <mergeCell ref="A5:C59"/>
    <mergeCell ref="A60:C65"/>
    <mergeCell ref="G26:AD27"/>
    <mergeCell ref="N61:S61"/>
    <mergeCell ref="G63:K63"/>
    <mergeCell ref="U60:AD60"/>
    <mergeCell ref="L12:N12"/>
    <mergeCell ref="F5:T5"/>
    <mergeCell ref="M57:S57"/>
    <mergeCell ref="W12:AE12"/>
    <mergeCell ref="L8:O8"/>
    <mergeCell ref="L10:AC10"/>
    <mergeCell ref="W16:AE16"/>
    <mergeCell ref="L14:N14"/>
    <mergeCell ref="G29:AD30"/>
    <mergeCell ref="G52:J52"/>
    <mergeCell ref="N48:R48"/>
    <mergeCell ref="G53:L53"/>
    <mergeCell ref="G35:AD35"/>
    <mergeCell ref="F18:AE21"/>
    <mergeCell ref="G39:AD40"/>
    <mergeCell ref="W48:AD48"/>
  </mergeCells>
  <phoneticPr fontId="0" type="noConversion"/>
  <conditionalFormatting sqref="F6:AE6">
    <cfRule type="cellIs" dxfId="1076" priority="2" stopIfTrue="1" operator="notEqual">
      <formula>$A$80</formula>
    </cfRule>
  </conditionalFormatting>
  <conditionalFormatting sqref="Q8:X8">
    <cfRule type="expression" dxfId="1075" priority="3" stopIfTrue="1">
      <formula>fisc&gt;0</formula>
    </cfRule>
  </conditionalFormatting>
  <conditionalFormatting sqref="Z68:AD68">
    <cfRule type="cellIs" dxfId="1074" priority="1" stopIfTrue="1" operator="notEqual">
      <formula>$A$79</formula>
    </cfRule>
  </conditionalFormatting>
  <dataValidations count="9">
    <dataValidation type="custom" allowBlank="1" showInputMessage="1" showErrorMessage="1" errorTitle="INCORRECT REFERENCE NUMBER" error="Please enter the correct 9 digit tax registration number!" sqref="AH8:AJ8" xr:uid="{00000000-0002-0000-0100-000000000000}">
      <formula1>BL8&lt;&gt;0</formula1>
    </dataValidation>
    <dataValidation type="custom" allowBlank="1" showInputMessage="1" showErrorMessage="1" errorTitle="INCORRECT REFERENCE NUMBER" error="Please enter the correct 9 digit tax registration number!" sqref="AG8" xr:uid="{00000000-0002-0000-0100-000001000000}">
      <formula1>AP8&lt;&gt;0</formula1>
    </dataValidation>
    <dataValidation type="date" allowBlank="1" showInputMessage="1" showErrorMessage="1" errorTitle="Accounting date" error="Please enter date format dd/mm/yyyy!" sqref="G66:L66" xr:uid="{00000000-0002-0000-0100-000002000000}">
      <formula1>AI66</formula1>
      <formula2>AJ66</formula2>
    </dataValidation>
    <dataValidation type="date" allowBlank="1" showInputMessage="1" showErrorMessage="1" errorTitle="Accounting date" error="Please enter date format dd/mm/yyyy!" sqref="M66:R66" xr:uid="{00000000-0002-0000-0100-000003000000}">
      <formula1>AK66</formula1>
      <formula2>AL66</formula2>
    </dataValidation>
    <dataValidation type="custom" allowBlank="1" showInputMessage="1" showErrorMessage="1" sqref="L8:O8" xr:uid="{00000000-0002-0000-0100-000004000000}">
      <formula1>AP8&lt;&gt;0</formula1>
    </dataValidation>
    <dataValidation type="whole" operator="greaterThanOrEqual" allowBlank="1" showInputMessage="1" showErrorMessage="1" errorTitle="YEAR OF ASSESSMENT" error="Please enter a four digit number.  Y/A cannot be less than 2002! " sqref="L12:N12" xr:uid="{00000000-0002-0000-0100-000005000000}">
      <formula1>2002</formula1>
    </dataValidation>
    <dataValidation type="textLength" operator="lessThanOrEqual" allowBlank="1" showInputMessage="1" showErrorMessage="1" errorTitle="Permit number" error="Check!" sqref="S66:X66" xr:uid="{00000000-0002-0000-0100-000007000000}">
      <formula1>10</formula1>
    </dataValidation>
    <dataValidation type="date" allowBlank="1" showInputMessage="1" showErrorMessage="1" errorTitle="Date" error="Date format dd/mm/yyyy!_x000a_Cannot be a future date!" sqref="Y66:AD66" xr:uid="{00000000-0002-0000-0100-000008000000}">
      <formula1>17533</formula1>
      <formula2>TODAY()</formula2>
    </dataValidation>
    <dataValidation type="list" allowBlank="1" showInputMessage="1" showErrorMessage="1" errorTitle="Dropdown list" error="Choose an item from the list!_x000a_" sqref="Z70:AD70" xr:uid="{00000000-0002-0000-0100-000006000000}">
      <formula1>$BB$1:$BB$33</formula1>
    </dataValidation>
  </dataValidations>
  <pageMargins left="0.11811023622047245" right="0.19685039370078741" top="0.19685039370078741" bottom="0.59055118110236227" header="0.19685039370078741" footer="0.59055118110236227"/>
  <pageSetup paperSize="9" scale="91" orientation="portrait" r:id="rId2"/>
  <headerFooter alignWithMargins="0">
    <oddFooter>&amp;LCfR - Malta&amp;Rpage 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A276"/>
  <sheetViews>
    <sheetView showGridLines="0" topLeftCell="B1" zoomScaleNormal="100" workbookViewId="0">
      <pane ySplit="6" topLeftCell="A140" activePane="bottomLeft" state="frozen"/>
      <selection activeCell="C42" sqref="C42:F42"/>
      <selection pane="bottomLeft" activeCell="D13" sqref="D13"/>
    </sheetView>
  </sheetViews>
  <sheetFormatPr defaultColWidth="0" defaultRowHeight="12.75" x14ac:dyDescent="0.2"/>
  <cols>
    <col min="1" max="1" width="2.42578125" style="28" hidden="1" customWidth="1"/>
    <col min="2" max="2" width="11.42578125" style="28" customWidth="1"/>
    <col min="3" max="3" width="23" style="28" bestFit="1" customWidth="1"/>
    <col min="4" max="4" width="90.28515625" style="28" customWidth="1"/>
    <col min="5" max="5" width="8" style="29" bestFit="1" customWidth="1"/>
    <col min="6" max="6" width="0.28515625" style="66" customWidth="1"/>
    <col min="7" max="7" width="13.28515625" style="66" hidden="1" customWidth="1"/>
    <col min="8" max="8" width="14.5703125" style="66" hidden="1" customWidth="1"/>
    <col min="9" max="9" width="16.28515625" style="66" hidden="1" customWidth="1"/>
    <col min="10" max="10" width="5.42578125" style="66" hidden="1" customWidth="1"/>
    <col min="11" max="11" width="8.7109375" style="66" hidden="1" customWidth="1"/>
    <col min="12" max="17" width="0.28515625" style="66" hidden="1" customWidth="1"/>
    <col min="18" max="18" width="4.5703125" style="66" hidden="1" customWidth="1"/>
    <col min="19" max="19" width="0.28515625" style="66" hidden="1" customWidth="1"/>
    <col min="20" max="20" width="37.5703125" style="66" hidden="1" customWidth="1"/>
    <col min="21" max="21" width="30.7109375" style="66" hidden="1" customWidth="1"/>
    <col min="22" max="16384" width="0.28515625" style="66" hidden="1"/>
  </cols>
  <sheetData>
    <row r="1" spans="1:79" s="28" customFormat="1" ht="15.75" customHeight="1" x14ac:dyDescent="0.2">
      <c r="A1" s="66"/>
      <c r="B1" s="4386" t="str">
        <f>_ref1</f>
      </c>
      <c r="C1" s="4387"/>
      <c r="D1" s="4387"/>
      <c r="E1" s="1550" t="str">
        <f>_YA1</f>
      </c>
      <c r="G1" s="28">
        <f>E17</f>
      </c>
      <c r="K1" s="28" t="s">
        <v>4455</v>
      </c>
      <c r="R1" s="142"/>
      <c r="T1" s="28" t="s">
        <v>4456</v>
      </c>
      <c r="AK1" s="66"/>
      <c r="AL1" s="66"/>
      <c r="AM1" s="66"/>
      <c r="AN1" s="66"/>
      <c r="AO1" s="66"/>
      <c r="AP1" s="66"/>
      <c r="AQ1" s="66"/>
      <c r="AR1" s="66"/>
      <c r="AS1" s="66"/>
      <c r="AT1" s="66"/>
      <c r="AU1" s="66"/>
      <c r="AV1" s="66"/>
      <c r="AW1" s="66"/>
      <c r="AX1" s="66"/>
      <c r="AY1" s="66"/>
      <c r="AZ1" s="66"/>
      <c r="BA1" s="66"/>
    </row>
    <row r="2" spans="1:79" s="28" customFormat="1" ht="3.75" customHeight="1" x14ac:dyDescent="0.2">
      <c r="A2" s="66"/>
      <c r="B2" s="1551"/>
      <c r="C2" s="1552"/>
      <c r="D2" s="1553"/>
      <c r="E2" s="1554"/>
      <c r="R2" s="142" t="s">
        <v>4457</v>
      </c>
      <c r="T2" s="28" t="s">
        <v>2305</v>
      </c>
      <c r="Z2" s="66"/>
      <c r="AK2" s="66"/>
      <c r="AL2" s="66"/>
      <c r="AM2" s="66"/>
      <c r="AN2" s="66"/>
      <c r="AO2" s="66"/>
      <c r="AP2" s="66"/>
      <c r="AQ2" s="66"/>
      <c r="AR2" s="66"/>
      <c r="AS2" s="66"/>
      <c r="AT2" s="66"/>
      <c r="AU2" s="66"/>
      <c r="AV2" s="66"/>
      <c r="AW2" s="66"/>
      <c r="AX2" s="66"/>
      <c r="AY2" s="66"/>
      <c r="AZ2" s="66"/>
      <c r="BA2" s="66"/>
    </row>
    <row r="3" spans="1:79" s="28" customFormat="1" ht="6" hidden="1" customHeight="1" x14ac:dyDescent="0.2">
      <c r="A3" s="66"/>
      <c r="B3" s="1555"/>
      <c r="C3" s="4388"/>
      <c r="D3" s="4388"/>
      <c r="E3" s="1555"/>
      <c r="R3" s="142" t="s">
        <v>1736</v>
      </c>
      <c r="T3" s="28" t="s">
        <v>1737</v>
      </c>
      <c r="AK3" s="66"/>
      <c r="AL3" s="66"/>
      <c r="AM3" s="66"/>
      <c r="AN3" s="66"/>
      <c r="AO3" s="66"/>
      <c r="AP3" s="66"/>
      <c r="AQ3" s="66"/>
      <c r="AR3" s="66"/>
      <c r="AS3" s="66"/>
      <c r="AT3" s="66"/>
      <c r="AU3" s="66"/>
      <c r="AV3" s="66"/>
      <c r="AW3" s="66"/>
      <c r="AX3" s="66"/>
      <c r="AY3" s="66"/>
      <c r="AZ3" s="66"/>
      <c r="BA3" s="66"/>
      <c r="CA3" s="28" t="s">
        <v>4547</v>
      </c>
    </row>
    <row r="4" spans="1:79" s="28" customFormat="1" ht="9" hidden="1" customHeight="1" x14ac:dyDescent="0.2">
      <c r="A4" s="1556"/>
      <c r="B4" s="1556"/>
      <c r="C4" s="1556"/>
      <c r="D4" s="1556"/>
      <c r="E4" s="1557"/>
      <c r="T4" s="28" t="s">
        <v>3390</v>
      </c>
      <c r="U4" s="28" t="s">
        <v>219</v>
      </c>
      <c r="AK4" s="66"/>
      <c r="AL4" s="66"/>
      <c r="AM4" s="66"/>
      <c r="AN4" s="66"/>
      <c r="AO4" s="66"/>
      <c r="AP4" s="66"/>
      <c r="AQ4" s="66"/>
      <c r="AR4" s="66"/>
      <c r="AS4" s="66"/>
      <c r="AT4" s="66"/>
      <c r="AU4" s="66"/>
      <c r="AV4" s="66"/>
      <c r="AW4" s="66"/>
      <c r="AX4" s="66"/>
      <c r="AY4" s="66"/>
      <c r="AZ4" s="66"/>
      <c r="BA4" s="66"/>
    </row>
    <row r="5" spans="1:79" s="28" customFormat="1" ht="3" customHeight="1" x14ac:dyDescent="0.2">
      <c r="A5" s="66"/>
      <c r="B5" s="1557"/>
      <c r="C5" s="1557"/>
      <c r="D5" s="1556"/>
      <c r="E5" s="1557"/>
      <c r="AK5" s="66"/>
      <c r="AL5" s="66"/>
      <c r="AM5" s="66"/>
      <c r="AN5" s="66"/>
      <c r="AO5" s="66"/>
      <c r="AP5" s="66"/>
      <c r="AQ5" s="66"/>
      <c r="AR5" s="66"/>
      <c r="AS5" s="66"/>
      <c r="AT5" s="66"/>
      <c r="AU5" s="66"/>
      <c r="AV5" s="66"/>
      <c r="AW5" s="66"/>
      <c r="AX5" s="66"/>
      <c r="AY5" s="66"/>
      <c r="AZ5" s="66"/>
      <c r="BA5" s="66"/>
    </row>
    <row r="6" spans="1:79" s="28" customFormat="1" ht="66" customHeight="1" x14ac:dyDescent="0.2">
      <c r="A6" s="66"/>
      <c r="B6" s="1557"/>
      <c r="C6" s="4388" t="s">
        <v>10579</v>
      </c>
      <c r="D6" s="4388"/>
      <c r="E6" s="1557"/>
      <c r="G6" s="28" t="s">
        <v>6842</v>
      </c>
      <c r="I6" s="28" t="s">
        <v>295</v>
      </c>
      <c r="J6" s="28" t="s">
        <v>296</v>
      </c>
      <c r="K6" s="28" t="s">
        <v>297</v>
      </c>
      <c r="AK6" s="66"/>
      <c r="AL6" s="66"/>
      <c r="AM6" s="66"/>
      <c r="AN6" s="66"/>
      <c r="AO6" s="66"/>
      <c r="AP6" s="66"/>
      <c r="AQ6" s="66"/>
      <c r="AR6" s="66"/>
      <c r="AS6" s="66"/>
      <c r="AT6" s="66"/>
      <c r="AU6" s="66"/>
      <c r="AV6" s="66"/>
      <c r="AW6" s="66"/>
      <c r="AX6" s="66"/>
      <c r="AY6" s="66"/>
      <c r="AZ6" s="66"/>
      <c r="BA6" s="66"/>
    </row>
    <row r="7" spans="1:79" s="28" customFormat="1" ht="18" x14ac:dyDescent="0.25">
      <c r="A7" s="66"/>
      <c r="B7" s="1558"/>
      <c r="C7" s="1559">
        <f t="shared" ref="C7:C70" si="0">IF(E7=0,0,IF(E7=1,1,IF(E7=100,"x")))</f>
      </c>
      <c r="D7" s="145" t="s">
        <v>518</v>
      </c>
      <c r="E7" s="1568">
        <f>B_Sheet!G272</f>
      </c>
      <c r="G7" s="28">
        <f>B_Sheet!I3</f>
      </c>
      <c r="I7" s="28" t="s">
        <v>298</v>
      </c>
      <c r="J7" s="28">
        <v>6</v>
      </c>
      <c r="K7" s="28">
        <v>261</v>
      </c>
      <c r="AJ7" s="28" t="s">
        <v>1738</v>
      </c>
      <c r="AK7" s="66"/>
      <c r="AL7" s="66"/>
      <c r="AM7" s="66"/>
      <c r="AN7" s="66"/>
      <c r="AO7" s="66"/>
      <c r="AP7" s="66"/>
      <c r="AQ7" s="66"/>
      <c r="AR7" s="66"/>
      <c r="AS7" s="66"/>
      <c r="AT7" s="66"/>
      <c r="AU7" s="66"/>
      <c r="AV7" s="66"/>
      <c r="AW7" s="66"/>
      <c r="AX7" s="66"/>
      <c r="AY7" s="66"/>
      <c r="AZ7" s="66"/>
      <c r="BA7" s="66"/>
    </row>
    <row r="8" spans="1:79" s="28" customFormat="1" ht="18" x14ac:dyDescent="0.25">
      <c r="A8" s="66"/>
      <c r="B8" s="1558"/>
      <c r="C8" s="1559">
        <f t="shared" si="0"/>
        <v>1</v>
      </c>
      <c r="D8" s="145" t="s">
        <v>519</v>
      </c>
      <c r="E8" s="1568">
        <f>Income!P298</f>
      </c>
      <c r="I8" s="28" t="s">
        <v>3708</v>
      </c>
      <c r="J8" s="28">
        <v>6</v>
      </c>
      <c r="K8" s="28">
        <v>288</v>
      </c>
      <c r="AJ8" s="28" t="s">
        <v>5614</v>
      </c>
      <c r="AK8" s="66"/>
      <c r="AL8" s="66"/>
      <c r="AM8" s="66"/>
      <c r="AN8" s="66"/>
      <c r="AO8" s="66"/>
      <c r="AP8" s="66"/>
      <c r="AQ8" s="66"/>
      <c r="AR8" s="66"/>
      <c r="AS8" s="66"/>
      <c r="AT8" s="66"/>
      <c r="AU8" s="66"/>
      <c r="AV8" s="66"/>
      <c r="AW8" s="66"/>
      <c r="AX8" s="66"/>
      <c r="AY8" s="66"/>
      <c r="AZ8" s="66"/>
      <c r="BA8" s="66"/>
    </row>
    <row r="9" spans="1:79" s="28" customFormat="1" ht="18" x14ac:dyDescent="0.25">
      <c r="A9" s="66"/>
      <c r="B9" s="1558" t="s">
        <v>5615</v>
      </c>
      <c r="C9" s="1559">
        <f t="shared" si="0"/>
        <v>0</v>
      </c>
      <c r="D9" s="145" t="s">
        <v>3454</v>
      </c>
      <c r="E9" s="1568">
        <f>'TRA1'!I60</f>
      </c>
      <c r="F9" s="28">
        <f>E9</f>
      </c>
      <c r="I9" s="28" t="s">
        <v>299</v>
      </c>
      <c r="J9" s="28">
        <v>231</v>
      </c>
      <c r="K9" s="28">
        <v>274</v>
      </c>
      <c r="AK9" s="66"/>
      <c r="AL9" s="66"/>
      <c r="AM9" s="66"/>
      <c r="AN9" s="66"/>
      <c r="AO9" s="66"/>
      <c r="AP9" s="66"/>
      <c r="AQ9" s="66"/>
      <c r="AR9" s="66"/>
      <c r="AS9" s="66"/>
      <c r="AT9" s="66"/>
      <c r="AU9" s="66"/>
      <c r="AV9" s="66"/>
      <c r="AW9" s="66"/>
      <c r="AX9" s="66"/>
      <c r="AY9" s="66"/>
      <c r="AZ9" s="66"/>
      <c r="BA9" s="66"/>
    </row>
    <row r="10" spans="1:79" s="28" customFormat="1" ht="18" x14ac:dyDescent="0.25">
      <c r="A10" s="66"/>
      <c r="B10" s="1558" t="s">
        <v>5616</v>
      </c>
      <c r="C10" s="1559">
        <f t="shared" si="0"/>
        <v>0</v>
      </c>
      <c r="D10" s="145" t="s">
        <v>5617</v>
      </c>
      <c r="E10" s="1568">
        <f>'TRA2'!K55</f>
      </c>
      <c r="F10" s="28">
        <f>E10</f>
      </c>
      <c r="H10" s="28" t="s">
        <v>300</v>
      </c>
      <c r="I10" s="28" t="s">
        <v>300</v>
      </c>
      <c r="J10" s="28">
        <v>278</v>
      </c>
      <c r="K10" s="28">
        <v>300</v>
      </c>
      <c r="AK10" s="66"/>
      <c r="AL10" s="66"/>
      <c r="AM10" s="66"/>
      <c r="AN10" s="66"/>
      <c r="AO10" s="66"/>
      <c r="AP10" s="66"/>
      <c r="AQ10" s="66"/>
      <c r="AR10" s="66"/>
      <c r="AS10" s="66"/>
      <c r="AT10" s="66"/>
      <c r="AU10" s="66"/>
      <c r="AV10" s="66"/>
      <c r="AW10" s="66"/>
      <c r="AX10" s="66"/>
      <c r="AY10" s="66"/>
      <c r="AZ10" s="66"/>
      <c r="BA10" s="66"/>
    </row>
    <row r="11" spans="1:79" s="28" customFormat="1" ht="18" x14ac:dyDescent="0.25">
      <c r="A11" s="66"/>
      <c r="B11" s="1558" t="s">
        <v>5618</v>
      </c>
      <c r="C11" s="1559">
        <f t="shared" si="0"/>
        <v>0</v>
      </c>
      <c r="D11" s="145" t="s">
        <v>5619</v>
      </c>
      <c r="E11" s="1568">
        <f>'TRA3'!J35</f>
      </c>
      <c r="F11" s="28">
        <f>E11</f>
      </c>
      <c r="I11" s="28" t="s">
        <v>301</v>
      </c>
      <c r="J11" s="28">
        <v>304</v>
      </c>
      <c r="K11" s="28">
        <v>330</v>
      </c>
      <c r="AK11" s="66"/>
      <c r="AL11" s="66"/>
      <c r="AM11" s="66"/>
      <c r="AN11" s="66"/>
      <c r="AO11" s="66"/>
      <c r="AP11" s="66"/>
      <c r="AQ11" s="66"/>
      <c r="AR11" s="66"/>
      <c r="AS11" s="66"/>
      <c r="AT11" s="66"/>
      <c r="AU11" s="66"/>
      <c r="AV11" s="66"/>
      <c r="AW11" s="66"/>
      <c r="AX11" s="66"/>
      <c r="AY11" s="66"/>
      <c r="AZ11" s="66"/>
      <c r="BA11" s="66"/>
    </row>
    <row r="12" spans="1:79" s="28" customFormat="1" ht="18" x14ac:dyDescent="0.25">
      <c r="A12" s="66"/>
      <c r="B12" s="1558" t="s">
        <v>5620</v>
      </c>
      <c r="C12" s="1559">
        <f t="shared" si="0"/>
        <v>0</v>
      </c>
      <c r="D12" s="145" t="str">
        <f t="shared" ref="D12:D22" si="1">IF(G12=1,BA12&amp;warn,BA12)</f>
      </c>
      <c r="E12" s="1568">
        <f>'TRA4'!N106</f>
      </c>
      <c r="G12" s="28">
        <f>'TRA4'!R108</f>
      </c>
      <c r="I12" s="28" t="s">
        <v>302</v>
      </c>
      <c r="J12" s="28">
        <v>334</v>
      </c>
      <c r="K12" s="28">
        <v>368</v>
      </c>
      <c r="AK12" s="66"/>
      <c r="AL12" s="66"/>
      <c r="AM12" s="66"/>
      <c r="AN12" s="66"/>
      <c r="AO12" s="66"/>
      <c r="AP12" s="66"/>
      <c r="AQ12" s="66"/>
      <c r="AR12" s="66"/>
      <c r="AS12" s="66"/>
      <c r="AT12" s="66"/>
      <c r="AU12" s="66"/>
      <c r="AV12" s="66"/>
      <c r="AW12" s="66"/>
      <c r="AX12" s="66"/>
      <c r="AY12" s="66"/>
      <c r="AZ12" s="66"/>
      <c r="BA12" s="142" t="s">
        <v>5621</v>
      </c>
    </row>
    <row r="13" spans="1:79" s="28" customFormat="1" ht="18" x14ac:dyDescent="0.25">
      <c r="A13" s="66"/>
      <c r="B13" s="1558" t="s">
        <v>5622</v>
      </c>
      <c r="C13" s="1559">
        <f t="shared" si="0"/>
        <v>1</v>
      </c>
      <c r="D13" s="145" t="str">
        <f t="shared" si="1"/>
        <v xml:space="preserve">ITA - Capital allowances </v>
      </c>
      <c r="E13" s="1568">
        <f>'TRA5'!S307</f>
      </c>
      <c r="G13" s="28">
        <f>'TRA5'!S309</f>
      </c>
      <c r="H13" s="28" t="s">
        <v>303</v>
      </c>
      <c r="I13" s="28" t="s">
        <v>303</v>
      </c>
      <c r="J13" s="28">
        <v>372</v>
      </c>
      <c r="K13" s="28">
        <v>491</v>
      </c>
      <c r="AK13" s="66"/>
      <c r="AL13" s="66"/>
      <c r="AM13" s="66"/>
      <c r="AN13" s="66"/>
      <c r="AO13" s="66"/>
      <c r="AP13" s="66"/>
      <c r="AQ13" s="66"/>
      <c r="AR13" s="66"/>
      <c r="AS13" s="66"/>
      <c r="AT13" s="66"/>
      <c r="AU13" s="66"/>
      <c r="AV13" s="66"/>
      <c r="AW13" s="66"/>
      <c r="AX13" s="66"/>
      <c r="AY13" s="66"/>
      <c r="AZ13" s="66"/>
      <c r="BA13" s="142" t="s">
        <v>5623</v>
      </c>
    </row>
    <row r="14" spans="1:79" s="28" customFormat="1" ht="18" x14ac:dyDescent="0.25">
      <c r="A14" s="66"/>
      <c r="B14" s="1558" t="s">
        <v>5624</v>
      </c>
      <c r="C14" s="1559">
        <f t="shared" si="0"/>
        <v>0</v>
      </c>
      <c r="D14" s="145" t="str">
        <f t="shared" si="1"/>
        <v>BPA [Article 7] - Investment Allowance</v>
      </c>
      <c r="E14" s="1568">
        <f>'TRA6'!L48</f>
      </c>
      <c r="F14" s="28">
        <f>E14</f>
      </c>
      <c r="I14" s="28" t="s">
        <v>304</v>
      </c>
      <c r="J14" s="28">
        <v>495</v>
      </c>
      <c r="K14" s="28">
        <v>523</v>
      </c>
      <c r="AK14" s="66"/>
      <c r="AL14" s="66"/>
      <c r="AM14" s="66"/>
      <c r="AN14" s="66"/>
      <c r="AO14" s="66"/>
      <c r="AP14" s="66"/>
      <c r="AQ14" s="66"/>
      <c r="AR14" s="66"/>
      <c r="AS14" s="66"/>
      <c r="AT14" s="66"/>
      <c r="AU14" s="66"/>
      <c r="AV14" s="66"/>
      <c r="AW14" s="66"/>
      <c r="AX14" s="66"/>
      <c r="AY14" s="66"/>
      <c r="AZ14" s="66"/>
      <c r="BA14" s="142" t="s">
        <v>5625</v>
      </c>
    </row>
    <row r="15" spans="1:79" s="28" customFormat="1" ht="18" x14ac:dyDescent="0.25">
      <c r="A15" s="66"/>
      <c r="B15" s="1558" t="s">
        <v>5626</v>
      </c>
      <c r="C15" s="1559">
        <f t="shared" si="0"/>
        <v>0</v>
      </c>
      <c r="D15" s="145" t="str">
        <f t="shared" si="1"/>
        <v>BPA [Article 8] - Accelerated Depreciation</v>
      </c>
      <c r="E15" s="1568">
        <f>'TRA7'!P23</f>
      </c>
      <c r="F15" s="28">
        <f>E15</f>
      </c>
      <c r="G15" s="28">
        <f>'TRA7'!P25</f>
      </c>
      <c r="H15" s="28" t="s">
        <v>305</v>
      </c>
      <c r="I15" s="28" t="s">
        <v>305</v>
      </c>
      <c r="J15" s="28">
        <v>527</v>
      </c>
      <c r="K15" s="28">
        <v>534</v>
      </c>
      <c r="AK15" s="66"/>
      <c r="AL15" s="66"/>
      <c r="AM15" s="66"/>
      <c r="AN15" s="66"/>
      <c r="AO15" s="66"/>
      <c r="AP15" s="66"/>
      <c r="AQ15" s="66"/>
      <c r="AR15" s="66"/>
      <c r="AS15" s="66"/>
      <c r="AT15" s="66"/>
      <c r="AU15" s="66"/>
      <c r="AV15" s="66"/>
      <c r="AW15" s="66"/>
      <c r="AX15" s="66"/>
      <c r="AY15" s="66"/>
      <c r="AZ15" s="66"/>
      <c r="BA15" s="142" t="s">
        <v>4637</v>
      </c>
    </row>
    <row r="16" spans="1:79" s="28" customFormat="1" ht="18" x14ac:dyDescent="0.25">
      <c r="A16" s="66"/>
      <c r="B16" s="1558" t="s">
        <v>1501</v>
      </c>
      <c r="C16" s="1559">
        <f t="shared" si="0"/>
        <v>0</v>
      </c>
      <c r="D16" s="145" t="str">
        <f t="shared" si="1"/>
        <v>ITA - Dividend(s)</v>
      </c>
      <c r="E16" s="1568">
        <f>'TRA8'!N105</f>
      </c>
      <c r="F16" s="32">
        <f>'TRA8'!C90</f>
      </c>
      <c r="G16" s="28">
        <f>'TRA8'!R3</f>
      </c>
      <c r="H16" s="28" t="s">
        <v>306</v>
      </c>
      <c r="I16" s="28" t="s">
        <v>306</v>
      </c>
      <c r="J16" s="28">
        <v>538</v>
      </c>
      <c r="K16" s="28">
        <v>570</v>
      </c>
      <c r="AK16" s="66"/>
      <c r="AL16" s="66"/>
      <c r="AM16" s="66"/>
      <c r="AN16" s="66"/>
      <c r="AO16" s="66"/>
      <c r="AP16" s="66"/>
      <c r="AQ16" s="66"/>
      <c r="AR16" s="66"/>
      <c r="AS16" s="66"/>
      <c r="AT16" s="66"/>
      <c r="AU16" s="66"/>
      <c r="AV16" s="66"/>
      <c r="AW16" s="66"/>
      <c r="AX16" s="66"/>
      <c r="AY16" s="66"/>
      <c r="AZ16" s="66"/>
      <c r="BA16" s="28" t="s">
        <v>1502</v>
      </c>
    </row>
    <row r="17" spans="1:53" s="28" customFormat="1" ht="18" x14ac:dyDescent="0.25">
      <c r="A17" s="66"/>
      <c r="B17" s="1558" t="s">
        <v>1503</v>
      </c>
      <c r="C17" s="1559">
        <f t="shared" si="0"/>
        <v>0</v>
      </c>
      <c r="D17" s="145" t="s">
        <v>9355</v>
      </c>
      <c r="E17" s="1568">
        <f>TRA9_14!I27</f>
      </c>
      <c r="F17" s="28">
        <v>10000</v>
      </c>
      <c r="I17" s="28" t="s">
        <v>307</v>
      </c>
      <c r="J17" s="28" t="str">
        <f>IF(AND(L17=0,SUM(M19:O19)&gt;0),re,IF(L17=0,"",IF(L17&lt;4,"All Details!",IF(N17&gt;1,"Multiple Tax Accounts!",""))))</f>
        <v/>
      </c>
      <c r="K17" s="28">
        <v>586</v>
      </c>
      <c r="AK17" s="66"/>
      <c r="AL17" s="66"/>
      <c r="AM17" s="66"/>
      <c r="AN17" s="66"/>
      <c r="AO17" s="66"/>
      <c r="AP17" s="66"/>
      <c r="AQ17" s="66"/>
      <c r="AR17" s="66"/>
      <c r="AS17" s="66"/>
      <c r="AT17" s="66"/>
      <c r="AU17" s="66"/>
      <c r="AV17" s="66"/>
      <c r="AW17" s="66"/>
      <c r="AX17" s="66"/>
      <c r="AY17" s="66"/>
      <c r="AZ17" s="66"/>
      <c r="BA17" s="28" t="s">
        <v>1504</v>
      </c>
    </row>
    <row r="18" spans="1:53" s="28" customFormat="1" ht="18" x14ac:dyDescent="0.25">
      <c r="A18" s="66"/>
      <c r="B18" s="1558" t="s">
        <v>1505</v>
      </c>
      <c r="C18" s="1559">
        <f t="shared" si="0"/>
        <v>0</v>
      </c>
      <c r="D18" s="145" t="str">
        <f t="shared" si="1"/>
        <v>ITA - Discounts or premiums</v>
      </c>
      <c r="E18" s="1568">
        <f>TRA9_14!I57</f>
      </c>
      <c r="G18" s="28">
        <f>TRA9_14!J57</f>
      </c>
      <c r="H18" s="28" t="s">
        <v>308</v>
      </c>
      <c r="I18" s="28" t="s">
        <v>307</v>
      </c>
      <c r="J18" s="28">
        <v>587</v>
      </c>
      <c r="K18" s="28">
        <v>597</v>
      </c>
      <c r="AK18" s="66"/>
      <c r="AL18" s="66"/>
      <c r="AM18" s="66"/>
      <c r="AN18" s="66"/>
      <c r="AO18" s="66"/>
      <c r="AP18" s="66"/>
      <c r="AQ18" s="66"/>
      <c r="AR18" s="66"/>
      <c r="AS18" s="66"/>
      <c r="AT18" s="66"/>
      <c r="AU18" s="66"/>
      <c r="AV18" s="66"/>
      <c r="AW18" s="66"/>
      <c r="AX18" s="66"/>
      <c r="AY18" s="66"/>
      <c r="AZ18" s="66"/>
      <c r="BA18" s="28" t="s">
        <v>1506</v>
      </c>
    </row>
    <row r="19" spans="1:53" s="28" customFormat="1" ht="18" x14ac:dyDescent="0.25">
      <c r="A19" s="66"/>
      <c r="B19" s="1558" t="s">
        <v>1507</v>
      </c>
      <c r="C19" s="1559">
        <f t="shared" si="0"/>
        <v>0</v>
      </c>
      <c r="D19" s="145" t="str">
        <f t="shared" si="1"/>
        <v>ITA - Income from Rent(s)</v>
      </c>
      <c r="E19" s="1568">
        <f>TRA9_14!I79</f>
      </c>
      <c r="G19" s="28">
        <f>TRA9_14!I80</f>
      </c>
      <c r="I19" s="28" t="s">
        <v>307</v>
      </c>
      <c r="J19" s="28">
        <v>598</v>
      </c>
      <c r="K19" s="28">
        <v>609</v>
      </c>
      <c r="AK19" s="66"/>
      <c r="AL19" s="66"/>
      <c r="AM19" s="66"/>
      <c r="AN19" s="66"/>
      <c r="AO19" s="66"/>
      <c r="AP19" s="66"/>
      <c r="AQ19" s="66"/>
      <c r="AR19" s="66"/>
      <c r="AS19" s="66"/>
      <c r="AT19" s="66"/>
      <c r="AU19" s="66"/>
      <c r="AV19" s="66"/>
      <c r="AW19" s="66"/>
      <c r="AX19" s="66"/>
      <c r="AY19" s="66"/>
      <c r="AZ19" s="66"/>
      <c r="BA19" s="28" t="s">
        <v>1508</v>
      </c>
    </row>
    <row r="20" spans="1:53" s="28" customFormat="1" ht="18" x14ac:dyDescent="0.25">
      <c r="A20" s="66"/>
      <c r="B20" s="1558" t="s">
        <v>1509</v>
      </c>
      <c r="C20" s="1559">
        <f t="shared" si="0"/>
        <v>0</v>
      </c>
      <c r="D20" s="145" t="str">
        <f t="shared" si="1"/>
        <v>ITA - Income from Ground Rent(s)</v>
      </c>
      <c r="E20" s="1568">
        <f>TRA9_14!I103</f>
      </c>
      <c r="G20" s="28">
        <f>TRA9_14!I104</f>
      </c>
      <c r="I20" s="28" t="s">
        <v>307</v>
      </c>
      <c r="J20" s="28">
        <v>610</v>
      </c>
      <c r="K20" s="28">
        <v>618</v>
      </c>
      <c r="AK20" s="66"/>
      <c r="AL20" s="66"/>
      <c r="AM20" s="66"/>
      <c r="AN20" s="66"/>
      <c r="AO20" s="66"/>
      <c r="AP20" s="66"/>
      <c r="AQ20" s="66"/>
      <c r="AR20" s="66"/>
      <c r="AS20" s="66"/>
      <c r="AT20" s="66"/>
      <c r="AU20" s="66"/>
      <c r="AV20" s="66"/>
      <c r="AW20" s="66"/>
      <c r="AX20" s="66"/>
      <c r="AY20" s="66"/>
      <c r="AZ20" s="66"/>
      <c r="BA20" s="28" t="s">
        <v>3416</v>
      </c>
    </row>
    <row r="21" spans="1:53" s="28" customFormat="1" ht="18" x14ac:dyDescent="0.25">
      <c r="A21" s="66"/>
      <c r="B21" s="1558" t="s">
        <v>3091</v>
      </c>
      <c r="C21" s="1559">
        <f t="shared" si="0"/>
        <v>0</v>
      </c>
      <c r="D21" s="145" t="str">
        <f t="shared" si="1"/>
        <v>ITA - Income from Royalties, etc.</v>
      </c>
      <c r="E21" s="1568">
        <f>TRA9_14!I127</f>
      </c>
      <c r="G21" s="28">
        <f>TRA9_14!I128</f>
      </c>
      <c r="H21" s="28" t="s">
        <v>309</v>
      </c>
      <c r="I21" s="28" t="s">
        <v>307</v>
      </c>
      <c r="J21" s="28">
        <v>619</v>
      </c>
      <c r="K21" s="28">
        <v>628</v>
      </c>
      <c r="AK21" s="66"/>
      <c r="AL21" s="66"/>
      <c r="AM21" s="66"/>
      <c r="AN21" s="66"/>
      <c r="AO21" s="66"/>
      <c r="AP21" s="66"/>
      <c r="AQ21" s="66"/>
      <c r="AR21" s="66"/>
      <c r="AS21" s="66"/>
      <c r="AT21" s="66"/>
      <c r="AU21" s="66"/>
      <c r="AV21" s="66"/>
      <c r="AW21" s="66"/>
      <c r="AX21" s="66"/>
      <c r="AY21" s="66"/>
      <c r="AZ21" s="66"/>
      <c r="BA21" s="28" t="s">
        <v>3285</v>
      </c>
    </row>
    <row r="22" spans="1:53" s="28" customFormat="1" ht="18" x14ac:dyDescent="0.25">
      <c r="A22" s="66"/>
      <c r="B22" s="1558" t="s">
        <v>3286</v>
      </c>
      <c r="C22" s="1559">
        <f t="shared" si="0"/>
        <v>0</v>
      </c>
      <c r="D22" s="145" t="str">
        <f t="shared" si="1"/>
        <v>ITA - Other income</v>
      </c>
      <c r="E22" s="1568">
        <f>TRA9_14!I153</f>
      </c>
      <c r="G22" s="28">
        <f>TRA9_14!I154</f>
      </c>
      <c r="I22" s="28" t="s">
        <v>307</v>
      </c>
      <c r="J22" s="28">
        <v>629</v>
      </c>
      <c r="K22" s="28">
        <v>641</v>
      </c>
      <c r="AK22" s="66"/>
      <c r="AL22" s="66"/>
      <c r="AM22" s="66"/>
      <c r="AN22" s="66"/>
      <c r="AO22" s="66"/>
      <c r="AP22" s="66"/>
      <c r="AQ22" s="66"/>
      <c r="AR22" s="66"/>
      <c r="AS22" s="66"/>
      <c r="AT22" s="66"/>
      <c r="AU22" s="66"/>
      <c r="AV22" s="66"/>
      <c r="AW22" s="66"/>
      <c r="AX22" s="66"/>
      <c r="AY22" s="66"/>
      <c r="AZ22" s="66"/>
      <c r="BA22" s="28" t="s">
        <v>3287</v>
      </c>
    </row>
    <row r="23" spans="1:53" s="28" customFormat="1" ht="18" x14ac:dyDescent="0.25">
      <c r="A23" s="66"/>
      <c r="B23" s="1558" t="s">
        <v>3288</v>
      </c>
      <c r="C23" s="1559">
        <f t="shared" si="0"/>
        <v>0</v>
      </c>
      <c r="D23" s="145" t="s">
        <v>46</v>
      </c>
      <c r="E23" s="1568">
        <f>'TRA15'!K92</f>
      </c>
      <c r="I23" s="28" t="s">
        <v>310</v>
      </c>
      <c r="J23" s="28">
        <v>644</v>
      </c>
      <c r="K23" s="28">
        <v>651</v>
      </c>
      <c r="AK23" s="66"/>
      <c r="AL23" s="66"/>
      <c r="AM23" s="66"/>
      <c r="AN23" s="66"/>
      <c r="AO23" s="66"/>
      <c r="AP23" s="66"/>
      <c r="AQ23" s="66"/>
      <c r="AR23" s="66"/>
      <c r="AS23" s="66"/>
      <c r="AT23" s="66"/>
      <c r="AU23" s="66"/>
      <c r="AV23" s="66"/>
      <c r="AW23" s="66"/>
      <c r="AX23" s="66"/>
      <c r="AY23" s="66"/>
      <c r="AZ23" s="66"/>
      <c r="BA23" s="66"/>
    </row>
    <row r="24" spans="1:53" s="28" customFormat="1" ht="18" x14ac:dyDescent="0.25">
      <c r="A24" s="66"/>
      <c r="B24" s="1558" t="s">
        <v>47</v>
      </c>
      <c r="C24" s="1559">
        <f t="shared" si="0"/>
        <v>0</v>
      </c>
      <c r="D24" s="145" t="s">
        <v>961</v>
      </c>
      <c r="E24" s="1568">
        <f>'TRA16'!K1036</f>
      </c>
      <c r="I24" s="28" t="s">
        <v>311</v>
      </c>
      <c r="J24" s="28">
        <v>656</v>
      </c>
      <c r="K24" s="28">
        <v>748</v>
      </c>
      <c r="AK24" s="66"/>
      <c r="AL24" s="66"/>
      <c r="AM24" s="66"/>
      <c r="AN24" s="66"/>
      <c r="AO24" s="66"/>
      <c r="AP24" s="66"/>
      <c r="AQ24" s="66"/>
      <c r="AR24" s="66"/>
      <c r="AS24" s="66"/>
      <c r="AT24" s="66"/>
      <c r="AU24" s="66"/>
      <c r="AV24" s="66"/>
      <c r="AW24" s="66"/>
      <c r="AX24" s="66"/>
      <c r="AY24" s="66"/>
      <c r="AZ24" s="66"/>
      <c r="BA24" s="66"/>
    </row>
    <row r="25" spans="1:53" s="28" customFormat="1" ht="18" x14ac:dyDescent="0.25">
      <c r="A25" s="66"/>
      <c r="B25" s="1558" t="s">
        <v>1025</v>
      </c>
      <c r="C25" s="1559">
        <f t="shared" si="0"/>
        <v>0</v>
      </c>
      <c r="D25" s="145" t="s">
        <v>4076</v>
      </c>
      <c r="E25" s="1568">
        <f>'TRA17'!Q680</f>
      </c>
      <c r="H25" s="28" t="s">
        <v>312</v>
      </c>
      <c r="I25" s="28" t="s">
        <v>312</v>
      </c>
      <c r="J25" s="28">
        <v>751</v>
      </c>
      <c r="K25" s="28">
        <v>777</v>
      </c>
      <c r="AK25" s="66"/>
      <c r="AL25" s="66"/>
      <c r="AM25" s="66"/>
      <c r="AN25" s="66"/>
      <c r="AO25" s="66"/>
      <c r="AP25" s="66"/>
      <c r="AQ25" s="66"/>
      <c r="AR25" s="66"/>
      <c r="AS25" s="66"/>
      <c r="AT25" s="66"/>
      <c r="AU25" s="66"/>
      <c r="AV25" s="66"/>
      <c r="AW25" s="66"/>
      <c r="AX25" s="66"/>
      <c r="AY25" s="66"/>
      <c r="AZ25" s="66"/>
      <c r="BA25" s="66"/>
    </row>
    <row r="26" spans="1:53" s="28" customFormat="1" ht="18" x14ac:dyDescent="0.25">
      <c r="A26" s="66"/>
      <c r="B26" s="1558" t="s">
        <v>1026</v>
      </c>
      <c r="C26" s="1559">
        <f t="shared" si="0"/>
        <v>0</v>
      </c>
      <c r="D26" s="145" t="str">
        <f>IF(G26=1,BA26&amp;warn,BA26)</f>
      </c>
      <c r="E26" s="1569">
        <f>'TRA18'!L64</f>
      </c>
      <c r="F26" s="28">
        <f>E26</f>
      </c>
      <c r="G26" s="28">
        <f>'TRA18'!L73</f>
      </c>
      <c r="H26" s="28" t="s">
        <v>313</v>
      </c>
      <c r="I26" s="28" t="s">
        <v>313</v>
      </c>
      <c r="J26" s="28">
        <v>779</v>
      </c>
      <c r="K26" s="28">
        <v>805</v>
      </c>
      <c r="AK26" s="66"/>
      <c r="AL26" s="66"/>
      <c r="AM26" s="66"/>
      <c r="AN26" s="66"/>
      <c r="AO26" s="66"/>
      <c r="AP26" s="66"/>
      <c r="AQ26" s="66"/>
      <c r="AR26" s="66"/>
      <c r="AS26" s="66"/>
      <c r="AT26" s="66"/>
      <c r="AU26" s="66"/>
      <c r="AV26" s="66"/>
      <c r="AW26" s="66"/>
      <c r="AX26" s="66"/>
      <c r="AY26" s="66"/>
      <c r="AZ26" s="66"/>
      <c r="BA26" s="28" t="s">
        <v>3189</v>
      </c>
    </row>
    <row r="27" spans="1:53" s="28" customFormat="1" ht="18" x14ac:dyDescent="0.25">
      <c r="A27" s="66"/>
      <c r="B27" s="1558" t="s">
        <v>3190</v>
      </c>
      <c r="C27" s="1559">
        <f t="shared" si="0"/>
        <v>0</v>
      </c>
      <c r="D27" s="145" t="str">
        <f>IF(G27=1,BA27&amp;warn,BA27)</f>
      </c>
      <c r="E27" s="1570">
        <f>'TRA19'!R40</f>
      </c>
      <c r="G27" s="28">
        <f>'TRA19'!P36</f>
      </c>
      <c r="H27" s="28" t="s">
        <v>314</v>
      </c>
      <c r="I27" s="28" t="s">
        <v>314</v>
      </c>
      <c r="J27" s="28">
        <v>808</v>
      </c>
      <c r="K27" s="28">
        <v>827</v>
      </c>
      <c r="AK27" s="66"/>
      <c r="AL27" s="66"/>
      <c r="AM27" s="66"/>
      <c r="AN27" s="66"/>
      <c r="AO27" s="66"/>
      <c r="AP27" s="66"/>
      <c r="AQ27" s="66"/>
      <c r="AR27" s="66"/>
      <c r="AS27" s="66"/>
      <c r="AT27" s="66"/>
      <c r="AU27" s="66"/>
      <c r="AV27" s="66"/>
      <c r="AW27" s="66"/>
      <c r="AX27" s="66"/>
      <c r="AY27" s="66"/>
      <c r="AZ27" s="66"/>
      <c r="BA27" s="28" t="s">
        <v>3191</v>
      </c>
    </row>
    <row r="28" spans="1:53" s="28" customFormat="1" ht="18" x14ac:dyDescent="0.25">
      <c r="A28" s="66"/>
      <c r="B28" s="1558" t="s">
        <v>1689</v>
      </c>
      <c r="C28" s="1559">
        <f t="shared" si="0"/>
        <v>0</v>
      </c>
      <c r="D28" s="145" t="str">
        <f>IF(G28=1,BA28&amp;warn,BA28)</f>
      </c>
      <c r="E28" s="1568">
        <f>'TRA20'!R52</f>
      </c>
      <c r="G28" s="28">
        <v>0</v>
      </c>
      <c r="H28" s="28" t="s">
        <v>315</v>
      </c>
      <c r="I28" s="28" t="s">
        <v>315</v>
      </c>
      <c r="J28" s="28">
        <v>831</v>
      </c>
      <c r="K28" s="28">
        <v>853</v>
      </c>
      <c r="AK28" s="66"/>
      <c r="AL28" s="66"/>
      <c r="AM28" s="66"/>
      <c r="AN28" s="66"/>
      <c r="AO28" s="66"/>
      <c r="AP28" s="66"/>
      <c r="AQ28" s="66"/>
      <c r="AR28" s="66"/>
      <c r="AS28" s="66"/>
      <c r="AT28" s="66"/>
      <c r="AU28" s="66"/>
      <c r="AV28" s="66"/>
      <c r="AW28" s="66"/>
      <c r="AX28" s="66"/>
      <c r="AY28" s="66"/>
      <c r="AZ28" s="66"/>
      <c r="BA28" s="142" t="s">
        <v>433</v>
      </c>
    </row>
    <row r="29" spans="1:53" s="28" customFormat="1" ht="18" hidden="1" x14ac:dyDescent="0.25">
      <c r="A29" s="66"/>
      <c r="B29" s="1560" t="s">
        <v>5687</v>
      </c>
      <c r="C29" s="1559">
        <f t="shared" si="0"/>
        <v>0</v>
      </c>
      <c r="D29" s="1561" t="s">
        <v>2429</v>
      </c>
      <c r="E29" s="1569">
        <v>0</v>
      </c>
      <c r="AK29" s="66"/>
      <c r="AL29" s="66"/>
      <c r="AM29" s="66"/>
      <c r="AN29" s="66"/>
      <c r="AO29" s="66"/>
      <c r="AP29" s="66"/>
      <c r="AQ29" s="66"/>
      <c r="AR29" s="66"/>
      <c r="AS29" s="66"/>
      <c r="AT29" s="66"/>
      <c r="AU29" s="66"/>
      <c r="AV29" s="66"/>
      <c r="AW29" s="66"/>
      <c r="AX29" s="66"/>
      <c r="AY29" s="66"/>
      <c r="AZ29" s="66"/>
      <c r="BA29" s="66"/>
    </row>
    <row r="30" spans="1:53" s="28" customFormat="1" ht="18" hidden="1" x14ac:dyDescent="0.25">
      <c r="A30" s="66"/>
      <c r="B30" s="1560" t="s">
        <v>2428</v>
      </c>
      <c r="C30" s="1559">
        <f t="shared" si="0"/>
        <v>0</v>
      </c>
      <c r="D30" s="1561" t="s">
        <v>2430</v>
      </c>
      <c r="E30" s="1569">
        <v>0</v>
      </c>
      <c r="AK30" s="66"/>
      <c r="AL30" s="66"/>
      <c r="AM30" s="66"/>
      <c r="AN30" s="66"/>
      <c r="AO30" s="66"/>
      <c r="AP30" s="66"/>
      <c r="AQ30" s="66"/>
      <c r="AR30" s="66"/>
      <c r="AS30" s="66"/>
      <c r="AT30" s="66"/>
      <c r="AU30" s="66"/>
      <c r="AV30" s="66"/>
      <c r="AW30" s="66"/>
      <c r="AX30" s="66"/>
      <c r="AY30" s="66"/>
      <c r="AZ30" s="66"/>
      <c r="BA30" s="66"/>
    </row>
    <row r="31" spans="1:53" s="28" customFormat="1" ht="18" x14ac:dyDescent="0.25">
      <c r="A31" s="66"/>
      <c r="B31" s="1558" t="s">
        <v>1029</v>
      </c>
      <c r="C31" s="1559">
        <f t="shared" si="0"/>
        <v>0</v>
      </c>
      <c r="D31" s="145" t="s">
        <v>6969</v>
      </c>
      <c r="E31" s="1569">
        <f>TRA23_24!N42</f>
      </c>
      <c r="F31" s="28">
        <f t="shared" ref="F31:F37" si="2">E31</f>
      </c>
      <c r="H31" s="28" t="s">
        <v>316</v>
      </c>
      <c r="I31" s="28" t="s">
        <v>317</v>
      </c>
      <c r="J31" s="28">
        <v>857</v>
      </c>
      <c r="K31" s="28">
        <v>874</v>
      </c>
      <c r="AK31" s="66"/>
      <c r="AL31" s="66"/>
      <c r="AM31" s="66"/>
      <c r="AN31" s="66"/>
      <c r="AO31" s="66"/>
      <c r="AP31" s="66"/>
      <c r="AQ31" s="66"/>
      <c r="AR31" s="66"/>
      <c r="AS31" s="66"/>
      <c r="AT31" s="66"/>
      <c r="AU31" s="66"/>
      <c r="AV31" s="66"/>
      <c r="AW31" s="66"/>
      <c r="AX31" s="66"/>
      <c r="AY31" s="66"/>
      <c r="AZ31" s="66"/>
      <c r="BA31" s="66"/>
    </row>
    <row r="32" spans="1:53" s="28" customFormat="1" ht="18" x14ac:dyDescent="0.25">
      <c r="A32" s="66"/>
      <c r="B32" s="1558" t="s">
        <v>1690</v>
      </c>
      <c r="C32" s="1559">
        <f t="shared" si="0"/>
        <v>0</v>
      </c>
      <c r="D32" s="145" t="s">
        <v>6968</v>
      </c>
      <c r="E32" s="1569">
        <f>TRA23_24!O42</f>
      </c>
      <c r="F32" s="28">
        <f t="shared" si="2"/>
        <v>0</v>
      </c>
      <c r="G32" s="28">
        <v>100</v>
      </c>
      <c r="H32" s="28" t="s">
        <v>6527</v>
      </c>
      <c r="I32" s="28" t="s">
        <v>317</v>
      </c>
      <c r="J32" s="28">
        <v>857</v>
      </c>
      <c r="K32" s="28">
        <v>874</v>
      </c>
      <c r="AK32" s="66"/>
      <c r="AL32" s="66"/>
      <c r="AM32" s="66"/>
      <c r="AN32" s="66"/>
      <c r="AO32" s="66"/>
      <c r="AP32" s="66"/>
      <c r="AQ32" s="66"/>
      <c r="AR32" s="66"/>
      <c r="AS32" s="66"/>
      <c r="AT32" s="66"/>
      <c r="AU32" s="66"/>
      <c r="AV32" s="66"/>
      <c r="AW32" s="66"/>
      <c r="AX32" s="66"/>
      <c r="AY32" s="66"/>
      <c r="AZ32" s="66"/>
      <c r="BA32" s="66"/>
    </row>
    <row r="33" spans="1:53" s="28" customFormat="1" ht="18" hidden="1" x14ac:dyDescent="0.25">
      <c r="A33" s="66"/>
      <c r="B33" s="1558" t="s">
        <v>1691</v>
      </c>
      <c r="C33" s="1559">
        <f t="shared" si="0"/>
        <v>0</v>
      </c>
      <c r="D33" s="1548" t="s">
        <v>1692</v>
      </c>
      <c r="E33" s="1569"/>
      <c r="AK33" s="66"/>
      <c r="AL33" s="66"/>
      <c r="AM33" s="66"/>
      <c r="AN33" s="66"/>
      <c r="AO33" s="66"/>
      <c r="AP33" s="66"/>
      <c r="AQ33" s="66"/>
      <c r="AR33" s="66"/>
      <c r="AS33" s="66"/>
      <c r="AT33" s="66"/>
      <c r="AU33" s="66"/>
      <c r="AV33" s="66"/>
      <c r="AW33" s="66"/>
      <c r="AX33" s="66"/>
      <c r="AY33" s="66"/>
      <c r="AZ33" s="66"/>
      <c r="BA33" s="28" t="s">
        <v>1692</v>
      </c>
    </row>
    <row r="34" spans="1:53" s="28" customFormat="1" ht="18" hidden="1" x14ac:dyDescent="0.25">
      <c r="A34" s="66"/>
      <c r="B34" s="1558" t="s">
        <v>1693</v>
      </c>
      <c r="C34" s="1559">
        <f t="shared" si="0"/>
        <v>0</v>
      </c>
      <c r="D34" s="1548" t="s">
        <v>1695</v>
      </c>
      <c r="E34" s="1569"/>
      <c r="AK34" s="66"/>
      <c r="AL34" s="66"/>
      <c r="AM34" s="66"/>
      <c r="AN34" s="66"/>
      <c r="AO34" s="66"/>
      <c r="AP34" s="66"/>
      <c r="AQ34" s="66"/>
      <c r="AR34" s="66"/>
      <c r="AS34" s="66"/>
      <c r="AT34" s="66"/>
      <c r="AU34" s="66"/>
      <c r="AV34" s="66"/>
      <c r="AW34" s="66"/>
      <c r="AX34" s="66"/>
      <c r="AY34" s="66"/>
      <c r="AZ34" s="66"/>
      <c r="BA34" s="66"/>
    </row>
    <row r="35" spans="1:53" s="28" customFormat="1" ht="18" x14ac:dyDescent="0.25">
      <c r="A35" s="66"/>
      <c r="B35" s="1558" t="s">
        <v>1049</v>
      </c>
      <c r="C35" s="1559">
        <f t="shared" si="0"/>
        <v>0</v>
      </c>
      <c r="D35" s="145" t="s">
        <v>3193</v>
      </c>
      <c r="E35" s="1569">
        <f>TRA27_28!M49</f>
      </c>
      <c r="F35" s="28">
        <f t="shared" si="2"/>
        <v>0</v>
      </c>
      <c r="H35" s="28" t="s">
        <v>211</v>
      </c>
      <c r="I35" s="28" t="s">
        <v>6526</v>
      </c>
      <c r="J35" s="28">
        <v>877</v>
      </c>
      <c r="K35" s="28">
        <v>909</v>
      </c>
      <c r="AK35" s="66"/>
      <c r="AL35" s="66"/>
      <c r="AM35" s="66"/>
      <c r="AN35" s="66"/>
      <c r="AO35" s="66"/>
      <c r="AP35" s="66"/>
      <c r="AQ35" s="66"/>
      <c r="AR35" s="66"/>
      <c r="AS35" s="66"/>
      <c r="AT35" s="66"/>
      <c r="AU35" s="66"/>
      <c r="AV35" s="66"/>
      <c r="AW35" s="66"/>
      <c r="AX35" s="66"/>
      <c r="AY35" s="66"/>
      <c r="AZ35" s="66"/>
      <c r="BA35" s="66"/>
    </row>
    <row r="36" spans="1:53" s="28" customFormat="1" ht="18" x14ac:dyDescent="0.25">
      <c r="A36" s="66"/>
      <c r="B36" s="1558" t="s">
        <v>5888</v>
      </c>
      <c r="C36" s="1559">
        <f t="shared" si="0"/>
        <v>0</v>
      </c>
      <c r="D36" s="145" t="s">
        <v>3194</v>
      </c>
      <c r="E36" s="1569">
        <f>TRA27_28!M50</f>
      </c>
      <c r="F36" s="28">
        <f t="shared" si="2"/>
        <v>0</v>
      </c>
      <c r="H36" s="28" t="s">
        <v>1051</v>
      </c>
      <c r="I36" s="28" t="s">
        <v>6526</v>
      </c>
      <c r="J36" s="28">
        <v>877</v>
      </c>
      <c r="K36" s="28">
        <v>909</v>
      </c>
      <c r="AK36" s="66"/>
      <c r="AL36" s="66"/>
      <c r="AM36" s="66"/>
      <c r="AN36" s="66"/>
      <c r="AO36" s="66"/>
      <c r="AP36" s="66"/>
      <c r="AQ36" s="66"/>
      <c r="AR36" s="66"/>
      <c r="AS36" s="66"/>
      <c r="AT36" s="66"/>
      <c r="AU36" s="66"/>
      <c r="AV36" s="66"/>
      <c r="AW36" s="66"/>
      <c r="AX36" s="66"/>
      <c r="AY36" s="66"/>
      <c r="AZ36" s="66"/>
      <c r="BA36" s="66"/>
    </row>
    <row r="37" spans="1:53" s="28" customFormat="1" ht="18" x14ac:dyDescent="0.25">
      <c r="A37" s="66"/>
      <c r="B37" s="1558" t="s">
        <v>1050</v>
      </c>
      <c r="C37" s="1559">
        <f t="shared" si="0"/>
        <v>0</v>
      </c>
      <c r="D37" s="145" t="str">
        <f>IF(G37=1,BA37&amp;warn,BA37)</f>
      </c>
      <c r="E37" s="1571">
        <f>'TRA29'!J115</f>
      </c>
      <c r="F37" s="73">
        <f t="shared" si="2"/>
        <v>0</v>
      </c>
      <c r="G37" s="28">
        <v>2000</v>
      </c>
      <c r="H37" s="28" t="s">
        <v>212</v>
      </c>
      <c r="I37" s="28" t="s">
        <v>212</v>
      </c>
      <c r="J37" s="28">
        <v>913</v>
      </c>
      <c r="K37" s="28">
        <v>920</v>
      </c>
      <c r="AK37" s="66"/>
      <c r="AL37" s="66"/>
      <c r="AM37" s="66"/>
      <c r="AN37" s="66"/>
      <c r="AO37" s="66"/>
      <c r="AP37" s="66"/>
      <c r="AQ37" s="66"/>
      <c r="AR37" s="66"/>
      <c r="AS37" s="66"/>
      <c r="AT37" s="66"/>
      <c r="AU37" s="66"/>
      <c r="AV37" s="66"/>
      <c r="AW37" s="66"/>
      <c r="AX37" s="66"/>
      <c r="AY37" s="66"/>
      <c r="AZ37" s="66"/>
      <c r="BA37" s="28" t="s">
        <v>2309</v>
      </c>
    </row>
    <row r="38" spans="1:53" s="28" customFormat="1" ht="18" x14ac:dyDescent="0.25">
      <c r="A38" s="66"/>
      <c r="B38" s="1558" t="s">
        <v>2310</v>
      </c>
      <c r="C38" s="1559">
        <f t="shared" si="0"/>
        <v>0</v>
      </c>
      <c r="D38" s="145" t="str">
        <f>IF(G38=1,BA38&amp;warn,BA38)</f>
      </c>
      <c r="E38" s="1571">
        <f>'TRA30'!P29</f>
      </c>
      <c r="G38" s="28">
        <f>IF('TRA30'!H25="",0,1)</f>
      </c>
      <c r="H38" s="28" t="s">
        <v>213</v>
      </c>
      <c r="I38" s="28" t="s">
        <v>213</v>
      </c>
      <c r="J38" s="28">
        <v>925</v>
      </c>
      <c r="K38" s="28">
        <v>936</v>
      </c>
      <c r="AK38" s="66"/>
      <c r="AL38" s="66"/>
      <c r="AM38" s="66"/>
      <c r="AN38" s="66"/>
      <c r="AO38" s="66"/>
      <c r="AP38" s="66"/>
      <c r="AQ38" s="66"/>
      <c r="AR38" s="66"/>
      <c r="AS38" s="66"/>
      <c r="AT38" s="66"/>
      <c r="AU38" s="66"/>
      <c r="AV38" s="66"/>
      <c r="AW38" s="66"/>
      <c r="AX38" s="66"/>
      <c r="AY38" s="66"/>
      <c r="AZ38" s="66"/>
      <c r="BA38" s="142" t="s">
        <v>2311</v>
      </c>
    </row>
    <row r="39" spans="1:53" s="28" customFormat="1" ht="18" x14ac:dyDescent="0.25">
      <c r="A39" s="66"/>
      <c r="B39" s="1558" t="s">
        <v>2312</v>
      </c>
      <c r="C39" s="1559">
        <f t="shared" si="0"/>
        <v>1</v>
      </c>
      <c r="D39" s="145" t="s">
        <v>2313</v>
      </c>
      <c r="E39" s="1571">
        <f>'TRA31'!K168</f>
      </c>
      <c r="H39" s="28" t="s">
        <v>214</v>
      </c>
      <c r="I39" s="28" t="s">
        <v>214</v>
      </c>
      <c r="J39" s="28">
        <v>940</v>
      </c>
      <c r="K39" s="28">
        <v>992</v>
      </c>
      <c r="AK39" s="66"/>
      <c r="AL39" s="66"/>
      <c r="AM39" s="66"/>
      <c r="AN39" s="66"/>
      <c r="AO39" s="66"/>
      <c r="AP39" s="66"/>
      <c r="AQ39" s="66"/>
      <c r="AR39" s="66"/>
      <c r="AS39" s="66"/>
      <c r="AT39" s="66"/>
      <c r="AU39" s="66"/>
      <c r="AV39" s="66"/>
      <c r="AW39" s="66"/>
      <c r="AX39" s="66"/>
      <c r="AY39" s="66"/>
      <c r="AZ39" s="66"/>
      <c r="BA39" s="66"/>
    </row>
    <row r="40" spans="1:53" s="28" customFormat="1" ht="18" hidden="1" x14ac:dyDescent="0.25">
      <c r="A40" s="66"/>
      <c r="B40" s="1558" t="s">
        <v>1694</v>
      </c>
      <c r="C40" s="1559">
        <f t="shared" si="0"/>
        <v>0</v>
      </c>
      <c r="D40" s="1548" t="s">
        <v>3539</v>
      </c>
      <c r="E40" s="1571">
        <v>0</v>
      </c>
      <c r="AK40" s="66"/>
      <c r="AL40" s="66"/>
      <c r="AM40" s="66"/>
      <c r="AN40" s="66"/>
      <c r="AO40" s="66"/>
      <c r="AP40" s="66"/>
      <c r="AQ40" s="66"/>
      <c r="AR40" s="66"/>
      <c r="AS40" s="66"/>
      <c r="AT40" s="66"/>
      <c r="AU40" s="66"/>
      <c r="AV40" s="66"/>
      <c r="AW40" s="66"/>
      <c r="AX40" s="66"/>
      <c r="AY40" s="66"/>
      <c r="AZ40" s="66"/>
      <c r="BA40" s="66"/>
    </row>
    <row r="41" spans="1:53" s="28" customFormat="1" ht="18" x14ac:dyDescent="0.25">
      <c r="A41" s="66"/>
      <c r="B41" s="1558" t="s">
        <v>6951</v>
      </c>
      <c r="C41" s="1559">
        <f t="shared" si="0"/>
        <v>0</v>
      </c>
      <c r="D41" s="145" t="s">
        <v>2095</v>
      </c>
      <c r="E41" s="1571">
        <f>'TRA33'!L32</f>
      </c>
      <c r="F41" s="73">
        <f>E41</f>
      </c>
      <c r="H41" s="28" t="s">
        <v>215</v>
      </c>
      <c r="I41" s="28" t="s">
        <v>215</v>
      </c>
      <c r="J41" s="28">
        <v>996</v>
      </c>
      <c r="K41" s="28">
        <v>1012</v>
      </c>
      <c r="AK41" s="66"/>
      <c r="AL41" s="66"/>
      <c r="AM41" s="66"/>
      <c r="AN41" s="66"/>
      <c r="AO41" s="66"/>
      <c r="AP41" s="66"/>
      <c r="AQ41" s="66"/>
      <c r="AR41" s="66"/>
      <c r="AS41" s="66"/>
      <c r="AT41" s="66"/>
      <c r="AU41" s="66"/>
      <c r="AV41" s="66"/>
      <c r="AW41" s="66"/>
      <c r="AX41" s="66"/>
      <c r="AY41" s="66"/>
      <c r="AZ41" s="66"/>
      <c r="BA41" s="66"/>
    </row>
    <row r="42" spans="1:53" s="28" customFormat="1" ht="18" x14ac:dyDescent="0.25">
      <c r="A42" s="66"/>
      <c r="B42" s="1558" t="s">
        <v>2536</v>
      </c>
      <c r="C42" s="1559">
        <f t="shared" si="0"/>
        <v>0</v>
      </c>
      <c r="D42" s="145" t="s">
        <v>3232</v>
      </c>
      <c r="E42" s="1571">
        <f>'TRA34'!J54</f>
      </c>
      <c r="F42" s="73">
        <f>E42</f>
      </c>
      <c r="H42" s="28" t="s">
        <v>1576</v>
      </c>
      <c r="I42" s="28" t="s">
        <v>1576</v>
      </c>
      <c r="J42" s="28">
        <v>1016</v>
      </c>
      <c r="K42" s="28">
        <v>1036</v>
      </c>
      <c r="AK42" s="66"/>
      <c r="AL42" s="66"/>
      <c r="AM42" s="66"/>
      <c r="AN42" s="66"/>
      <c r="AO42" s="66"/>
      <c r="AP42" s="66"/>
      <c r="AQ42" s="66"/>
      <c r="AR42" s="66"/>
      <c r="AS42" s="66"/>
      <c r="AT42" s="66"/>
      <c r="AU42" s="66"/>
      <c r="AV42" s="66"/>
      <c r="AW42" s="66"/>
      <c r="AX42" s="66"/>
      <c r="AY42" s="66"/>
      <c r="AZ42" s="66"/>
      <c r="BA42" s="66"/>
    </row>
    <row r="43" spans="1:53" s="28" customFormat="1" ht="18" x14ac:dyDescent="0.25">
      <c r="A43" s="66"/>
      <c r="B43" s="1558" t="s">
        <v>951</v>
      </c>
      <c r="C43" s="1559">
        <f t="shared" si="0"/>
        <v>0</v>
      </c>
      <c r="D43" s="145" t="s">
        <v>3182</v>
      </c>
      <c r="E43" s="1571">
        <f>'TRA35'!O61</f>
      </c>
      <c r="F43" s="73">
        <f>E43</f>
      </c>
      <c r="H43" s="28" t="s">
        <v>6821</v>
      </c>
      <c r="I43" s="28" t="s">
        <v>6821</v>
      </c>
      <c r="J43" s="28">
        <v>1038</v>
      </c>
      <c r="K43" s="28">
        <v>1052</v>
      </c>
      <c r="AK43" s="66"/>
      <c r="AL43" s="66"/>
      <c r="AM43" s="66"/>
      <c r="AN43" s="66"/>
      <c r="AO43" s="66"/>
      <c r="AP43" s="66"/>
      <c r="AQ43" s="66"/>
      <c r="AR43" s="66"/>
      <c r="AS43" s="66"/>
      <c r="AT43" s="66"/>
      <c r="AU43" s="66"/>
      <c r="AV43" s="66"/>
      <c r="AW43" s="66"/>
      <c r="AX43" s="66"/>
      <c r="AY43" s="66"/>
      <c r="AZ43" s="66"/>
      <c r="BA43" s="66"/>
    </row>
    <row r="44" spans="1:53" s="28" customFormat="1" ht="18" hidden="1" x14ac:dyDescent="0.25">
      <c r="A44" s="66"/>
      <c r="B44" s="1558" t="s">
        <v>3321</v>
      </c>
      <c r="C44" s="1559">
        <f t="shared" si="0"/>
        <v>0</v>
      </c>
      <c r="D44" s="145" t="s">
        <v>3322</v>
      </c>
      <c r="E44" s="1571">
        <f>'TRA36'!J77</f>
      </c>
      <c r="F44" s="73">
        <f>E44</f>
      </c>
      <c r="H44" s="28" t="s">
        <v>1052</v>
      </c>
      <c r="I44" s="28" t="s">
        <v>1052</v>
      </c>
      <c r="J44" s="28">
        <v>1056</v>
      </c>
      <c r="K44" s="28">
        <v>1087</v>
      </c>
      <c r="AK44" s="66"/>
      <c r="AL44" s="66"/>
      <c r="AM44" s="66"/>
      <c r="AN44" s="66"/>
      <c r="AO44" s="66"/>
      <c r="AP44" s="66"/>
      <c r="AQ44" s="66"/>
      <c r="AR44" s="66"/>
      <c r="AS44" s="66"/>
      <c r="AT44" s="66"/>
      <c r="AU44" s="66"/>
      <c r="AV44" s="66"/>
      <c r="AW44" s="66"/>
      <c r="AX44" s="66"/>
      <c r="AY44" s="66"/>
      <c r="AZ44" s="66"/>
      <c r="BA44" s="66"/>
    </row>
    <row r="45" spans="1:53" s="28" customFormat="1" ht="18" x14ac:dyDescent="0.25">
      <c r="A45" s="66"/>
      <c r="B45" s="1558" t="s">
        <v>1778</v>
      </c>
      <c r="C45" s="1559">
        <f t="shared" si="0"/>
        <v>0</v>
      </c>
      <c r="D45" s="145" t="s">
        <v>1779</v>
      </c>
      <c r="E45" s="1571">
        <f>'TRA37'!J41</f>
      </c>
      <c r="F45" s="73">
        <f>E45</f>
      </c>
      <c r="H45" s="28" t="s">
        <v>1053</v>
      </c>
      <c r="I45" s="28" t="s">
        <v>1053</v>
      </c>
      <c r="J45" s="28">
        <v>1091</v>
      </c>
      <c r="K45" s="28">
        <v>1110</v>
      </c>
      <c r="AK45" s="66"/>
      <c r="AL45" s="66"/>
      <c r="AM45" s="66"/>
      <c r="AN45" s="66"/>
      <c r="AO45" s="66"/>
      <c r="AP45" s="66"/>
      <c r="AQ45" s="66"/>
      <c r="AR45" s="66"/>
      <c r="AS45" s="66"/>
      <c r="AT45" s="66"/>
      <c r="AU45" s="66"/>
      <c r="AV45" s="66"/>
      <c r="AW45" s="66"/>
      <c r="AX45" s="66"/>
      <c r="AY45" s="66"/>
      <c r="AZ45" s="66"/>
      <c r="BA45" s="66"/>
    </row>
    <row r="46" spans="1:53" s="28" customFormat="1" ht="18" hidden="1" x14ac:dyDescent="0.25">
      <c r="A46" s="66"/>
      <c r="B46" s="1562" t="s">
        <v>1780</v>
      </c>
      <c r="C46" s="1559">
        <f t="shared" si="0"/>
        <v>0</v>
      </c>
      <c r="D46" s="1563" t="s">
        <v>5526</v>
      </c>
      <c r="E46" s="1571"/>
      <c r="F46" s="131"/>
      <c r="AK46" s="66"/>
      <c r="AL46" s="66"/>
      <c r="AM46" s="66"/>
      <c r="AN46" s="66"/>
      <c r="AO46" s="66"/>
      <c r="AP46" s="66"/>
      <c r="AQ46" s="66"/>
      <c r="AR46" s="66"/>
      <c r="AS46" s="66"/>
      <c r="AT46" s="66"/>
      <c r="AU46" s="66"/>
      <c r="AV46" s="66"/>
      <c r="AW46" s="66"/>
      <c r="AX46" s="66"/>
      <c r="AY46" s="66"/>
      <c r="AZ46" s="66"/>
      <c r="BA46" s="66"/>
    </row>
    <row r="47" spans="1:53" s="28" customFormat="1" ht="18" x14ac:dyDescent="0.25">
      <c r="A47" s="66"/>
      <c r="B47" s="1558" t="s">
        <v>1895</v>
      </c>
      <c r="C47" s="1559">
        <f t="shared" si="0"/>
        <v>0</v>
      </c>
      <c r="D47" s="145" t="s">
        <v>1896</v>
      </c>
      <c r="E47" s="1571">
        <f>'TRA39'!K58</f>
      </c>
      <c r="G47" s="32">
        <f>'TRA39'!Q55</f>
      </c>
      <c r="H47" s="28" t="s">
        <v>1054</v>
      </c>
      <c r="I47" s="28" t="s">
        <v>1054</v>
      </c>
      <c r="J47" s="28">
        <v>1113</v>
      </c>
      <c r="K47" s="28">
        <v>1154</v>
      </c>
      <c r="AK47" s="66"/>
      <c r="AL47" s="66"/>
      <c r="AM47" s="66"/>
      <c r="AN47" s="66"/>
      <c r="AO47" s="66"/>
      <c r="AP47" s="66"/>
      <c r="AQ47" s="66"/>
      <c r="AR47" s="66"/>
      <c r="AS47" s="66"/>
      <c r="AT47" s="66"/>
      <c r="AU47" s="66"/>
      <c r="AV47" s="66"/>
      <c r="AW47" s="66"/>
      <c r="AX47" s="66"/>
      <c r="AY47" s="66"/>
      <c r="AZ47" s="66"/>
      <c r="BA47" s="66"/>
    </row>
    <row r="48" spans="1:53" s="28" customFormat="1" ht="18" x14ac:dyDescent="0.25">
      <c r="A48" s="66"/>
      <c r="B48" s="1558" t="s">
        <v>5271</v>
      </c>
      <c r="C48" s="1559">
        <f t="shared" si="0"/>
        <v>0</v>
      </c>
      <c r="D48" s="145" t="s">
        <v>6373</v>
      </c>
      <c r="E48" s="1571">
        <f>'TRA40'!H36</f>
      </c>
      <c r="H48" s="28" t="s">
        <v>1055</v>
      </c>
      <c r="I48" s="28" t="s">
        <v>1055</v>
      </c>
      <c r="J48" s="28">
        <v>1158</v>
      </c>
      <c r="K48" s="28">
        <v>1178</v>
      </c>
      <c r="AK48" s="66"/>
      <c r="AL48" s="66"/>
      <c r="AM48" s="66"/>
      <c r="AN48" s="66"/>
      <c r="AO48" s="66"/>
      <c r="AP48" s="66"/>
      <c r="AQ48" s="66"/>
      <c r="AR48" s="66"/>
      <c r="AS48" s="66"/>
      <c r="AT48" s="66"/>
      <c r="AU48" s="66"/>
      <c r="AV48" s="66"/>
      <c r="AW48" s="66"/>
      <c r="AX48" s="66"/>
      <c r="AY48" s="66"/>
      <c r="AZ48" s="66"/>
      <c r="BA48" s="66"/>
    </row>
    <row r="49" spans="1:53" s="28" customFormat="1" ht="18" x14ac:dyDescent="0.25">
      <c r="A49" s="66"/>
      <c r="B49" s="1558" t="s">
        <v>200</v>
      </c>
      <c r="C49" s="1559">
        <f t="shared" si="0"/>
        <v>0</v>
      </c>
      <c r="D49" s="145" t="s">
        <v>2820</v>
      </c>
      <c r="E49" s="1571">
        <f>'TRA41'!N47</f>
      </c>
      <c r="F49" s="73">
        <f>E49</f>
      </c>
      <c r="H49" s="28" t="s">
        <v>5347</v>
      </c>
      <c r="I49" s="28" t="s">
        <v>5347</v>
      </c>
      <c r="J49" s="28">
        <v>1182</v>
      </c>
      <c r="K49" s="28">
        <v>1201</v>
      </c>
      <c r="AK49" s="66"/>
      <c r="AL49" s="66"/>
      <c r="AM49" s="66"/>
      <c r="AN49" s="66"/>
      <c r="AO49" s="66"/>
      <c r="AP49" s="66"/>
      <c r="AQ49" s="66"/>
      <c r="AR49" s="66"/>
      <c r="AS49" s="66"/>
      <c r="AT49" s="66"/>
      <c r="AU49" s="66"/>
      <c r="AV49" s="66"/>
      <c r="AW49" s="66"/>
      <c r="AX49" s="66"/>
      <c r="AY49" s="66"/>
      <c r="AZ49" s="66"/>
      <c r="BA49" s="66"/>
    </row>
    <row r="50" spans="1:53" s="28" customFormat="1" ht="18" hidden="1" x14ac:dyDescent="0.25">
      <c r="A50" s="66"/>
      <c r="B50" s="2060" t="s">
        <v>2988</v>
      </c>
      <c r="C50" s="1559">
        <f t="shared" si="0"/>
        <v>0</v>
      </c>
      <c r="D50" s="1649" t="s">
        <v>3554</v>
      </c>
      <c r="E50" s="1571">
        <f>'TRA42'!L61</f>
      </c>
      <c r="F50" s="2061">
        <v>0</v>
      </c>
      <c r="H50" s="28" t="s">
        <v>6042</v>
      </c>
      <c r="I50" s="28" t="s">
        <v>6042</v>
      </c>
      <c r="J50" s="28">
        <v>1205</v>
      </c>
      <c r="K50" s="28">
        <v>1241</v>
      </c>
      <c r="AK50" s="66"/>
      <c r="AL50" s="66"/>
      <c r="AM50" s="66"/>
      <c r="AN50" s="66"/>
      <c r="AO50" s="66"/>
      <c r="AP50" s="66"/>
      <c r="AQ50" s="66"/>
      <c r="AR50" s="66"/>
      <c r="AS50" s="66"/>
      <c r="AT50" s="66"/>
      <c r="AU50" s="66"/>
      <c r="AV50" s="66"/>
      <c r="AW50" s="66"/>
      <c r="AX50" s="66"/>
      <c r="AY50" s="66"/>
      <c r="AZ50" s="66"/>
      <c r="BA50" s="66"/>
    </row>
    <row r="51" spans="1:53" s="28" customFormat="1" ht="18" hidden="1" x14ac:dyDescent="0.25">
      <c r="A51" s="66"/>
      <c r="B51" s="1562" t="s">
        <v>2989</v>
      </c>
      <c r="C51" s="1559">
        <f t="shared" si="0"/>
        <v>0</v>
      </c>
      <c r="D51" s="1563" t="s">
        <v>4976</v>
      </c>
      <c r="E51" s="1571"/>
      <c r="F51" s="73"/>
      <c r="AK51" s="66"/>
      <c r="AL51" s="66"/>
      <c r="AM51" s="66"/>
      <c r="AN51" s="66"/>
      <c r="AO51" s="66"/>
      <c r="AP51" s="66"/>
      <c r="AQ51" s="66"/>
      <c r="AR51" s="66"/>
      <c r="AS51" s="66"/>
      <c r="AT51" s="66"/>
      <c r="AU51" s="66"/>
      <c r="AV51" s="66"/>
      <c r="AW51" s="66"/>
      <c r="AX51" s="66"/>
      <c r="AY51" s="66"/>
      <c r="AZ51" s="66"/>
      <c r="BA51" s="66"/>
    </row>
    <row r="52" spans="1:53" s="28" customFormat="1" ht="18" hidden="1" x14ac:dyDescent="0.25">
      <c r="A52" s="66"/>
      <c r="B52" s="1562" t="s">
        <v>2990</v>
      </c>
      <c r="C52" s="1559">
        <f t="shared" si="0"/>
        <v>0</v>
      </c>
      <c r="D52" s="1563" t="s">
        <v>4977</v>
      </c>
      <c r="E52" s="1571"/>
      <c r="F52" s="73"/>
      <c r="AK52" s="66"/>
      <c r="AL52" s="66"/>
      <c r="AM52" s="66"/>
      <c r="AN52" s="66"/>
      <c r="AO52" s="66"/>
      <c r="AP52" s="66"/>
      <c r="AQ52" s="66"/>
      <c r="AR52" s="66"/>
      <c r="AS52" s="66"/>
      <c r="AT52" s="66"/>
      <c r="AU52" s="66"/>
      <c r="AV52" s="66"/>
      <c r="AW52" s="66"/>
      <c r="AX52" s="66"/>
      <c r="AY52" s="66"/>
      <c r="AZ52" s="66"/>
      <c r="BA52" s="66"/>
    </row>
    <row r="53" spans="1:53" s="28" customFormat="1" ht="18" hidden="1" x14ac:dyDescent="0.25">
      <c r="A53" s="66"/>
      <c r="B53" s="1562" t="s">
        <v>2991</v>
      </c>
      <c r="C53" s="1559">
        <f t="shared" si="0"/>
        <v>0</v>
      </c>
      <c r="D53" s="1563" t="s">
        <v>4978</v>
      </c>
      <c r="E53" s="1571"/>
      <c r="F53" s="73"/>
      <c r="AK53" s="66"/>
      <c r="AL53" s="66"/>
      <c r="AM53" s="66"/>
      <c r="AN53" s="66"/>
      <c r="AO53" s="66"/>
      <c r="AP53" s="66"/>
      <c r="AQ53" s="66"/>
      <c r="AR53" s="66"/>
      <c r="AS53" s="66"/>
      <c r="AT53" s="66"/>
      <c r="AU53" s="66"/>
      <c r="AV53" s="66"/>
      <c r="AW53" s="66"/>
      <c r="AX53" s="66"/>
      <c r="AY53" s="66"/>
      <c r="AZ53" s="66"/>
      <c r="BA53" s="66"/>
    </row>
    <row r="54" spans="1:53" s="28" customFormat="1" ht="18" hidden="1" x14ac:dyDescent="0.25">
      <c r="A54" s="66"/>
      <c r="B54" s="1562" t="s">
        <v>2992</v>
      </c>
      <c r="C54" s="1559">
        <f t="shared" si="0"/>
        <v>0</v>
      </c>
      <c r="D54" s="1563" t="s">
        <v>4132</v>
      </c>
      <c r="E54" s="1571"/>
      <c r="F54" s="73"/>
      <c r="AK54" s="66"/>
      <c r="AL54" s="66"/>
      <c r="AM54" s="66"/>
      <c r="AN54" s="66"/>
      <c r="AO54" s="66"/>
      <c r="AP54" s="66"/>
      <c r="AQ54" s="66"/>
      <c r="AR54" s="66"/>
      <c r="AS54" s="66"/>
      <c r="AT54" s="66"/>
      <c r="AU54" s="66"/>
      <c r="AV54" s="66"/>
      <c r="AW54" s="66"/>
      <c r="AX54" s="66"/>
      <c r="AY54" s="66"/>
      <c r="AZ54" s="66"/>
      <c r="BA54" s="66"/>
    </row>
    <row r="55" spans="1:53" s="28" customFormat="1" ht="18" hidden="1" x14ac:dyDescent="0.25">
      <c r="A55" s="66"/>
      <c r="B55" s="1564" t="s">
        <v>2993</v>
      </c>
      <c r="C55" s="1559">
        <f t="shared" si="0"/>
        <v>0</v>
      </c>
      <c r="D55" s="1565" t="s">
        <v>6133</v>
      </c>
      <c r="E55" s="1571"/>
      <c r="F55" s="73">
        <f>E55</f>
      </c>
      <c r="H55" s="28" t="s">
        <v>23</v>
      </c>
      <c r="I55" s="28" t="s">
        <v>23</v>
      </c>
      <c r="J55" s="28">
        <v>1245</v>
      </c>
      <c r="K55" s="28">
        <v>1276</v>
      </c>
      <c r="AK55" s="66"/>
      <c r="AL55" s="66"/>
      <c r="AM55" s="66"/>
      <c r="AN55" s="66"/>
      <c r="AO55" s="66"/>
      <c r="AP55" s="66"/>
      <c r="AQ55" s="66"/>
      <c r="AR55" s="66"/>
      <c r="AS55" s="66"/>
      <c r="AT55" s="66"/>
      <c r="AU55" s="66"/>
      <c r="AV55" s="66"/>
      <c r="AW55" s="66"/>
      <c r="AX55" s="66"/>
      <c r="AY55" s="66"/>
      <c r="AZ55" s="66"/>
      <c r="BA55" s="66"/>
    </row>
    <row r="56" spans="1:53" s="1736" customFormat="1" ht="18" hidden="1" x14ac:dyDescent="0.25">
      <c r="A56" s="66"/>
      <c r="B56" s="2062" t="s">
        <v>2994</v>
      </c>
      <c r="C56" s="1559">
        <f t="shared" si="0"/>
        <v>0</v>
      </c>
      <c r="D56" s="1649" t="s">
        <v>50</v>
      </c>
      <c r="E56" s="1571">
        <v>0</v>
      </c>
      <c r="F56" s="1762">
        <f>E56</f>
      </c>
      <c r="H56" s="1736" t="s">
        <v>24</v>
      </c>
      <c r="I56" s="1736" t="s">
        <v>24</v>
      </c>
      <c r="J56" s="1736">
        <v>1280</v>
      </c>
      <c r="K56" s="1736">
        <v>1320</v>
      </c>
      <c r="AK56" s="66"/>
      <c r="AL56" s="66"/>
      <c r="AM56" s="66"/>
      <c r="AN56" s="66"/>
      <c r="AO56" s="66"/>
      <c r="AP56" s="66"/>
      <c r="AQ56" s="66"/>
      <c r="AR56" s="66"/>
      <c r="AS56" s="66"/>
      <c r="AT56" s="66"/>
      <c r="AU56" s="66"/>
      <c r="AV56" s="66"/>
      <c r="AW56" s="66"/>
      <c r="AX56" s="66"/>
      <c r="AY56" s="66"/>
      <c r="AZ56" s="66"/>
      <c r="BA56" s="66"/>
    </row>
    <row r="57" spans="1:53" s="28" customFormat="1" ht="18" hidden="1" x14ac:dyDescent="0.25">
      <c r="A57" s="66"/>
      <c r="B57" s="2062" t="s">
        <v>2995</v>
      </c>
      <c r="C57" s="1559">
        <f t="shared" si="0"/>
        <v>0</v>
      </c>
      <c r="D57" s="1649" t="s">
        <v>102</v>
      </c>
      <c r="E57" s="1571">
        <f>'TRA49'!O186</f>
      </c>
      <c r="F57" s="73">
        <f>E57</f>
      </c>
      <c r="G57" s="28">
        <f>'TRA49'!O4</f>
      </c>
      <c r="H57" s="28" t="s">
        <v>25</v>
      </c>
      <c r="I57" s="28" t="s">
        <v>25</v>
      </c>
      <c r="J57" s="28">
        <v>1324</v>
      </c>
      <c r="K57" s="28">
        <v>1417</v>
      </c>
      <c r="AK57" s="66"/>
      <c r="AL57" s="66"/>
      <c r="AM57" s="66"/>
      <c r="AN57" s="66"/>
      <c r="AO57" s="66"/>
      <c r="AP57" s="66"/>
      <c r="AQ57" s="66"/>
      <c r="AR57" s="66"/>
      <c r="AS57" s="66"/>
      <c r="AT57" s="66"/>
      <c r="AU57" s="66"/>
      <c r="AV57" s="66"/>
      <c r="AW57" s="66"/>
      <c r="AX57" s="66"/>
      <c r="AY57" s="66"/>
      <c r="AZ57" s="66"/>
      <c r="BA57" s="142" t="s">
        <v>102</v>
      </c>
    </row>
    <row r="58" spans="1:53" s="28" customFormat="1" ht="18" hidden="1" x14ac:dyDescent="0.25">
      <c r="A58" s="66"/>
      <c r="B58" s="1562" t="s">
        <v>2996</v>
      </c>
      <c r="C58" s="1559">
        <f t="shared" si="0"/>
        <v>0</v>
      </c>
      <c r="D58" s="1563" t="s">
        <v>103</v>
      </c>
      <c r="E58" s="1571"/>
      <c r="F58" s="73"/>
      <c r="AK58" s="66"/>
      <c r="AL58" s="66"/>
      <c r="AM58" s="66"/>
      <c r="AN58" s="66"/>
      <c r="AO58" s="66"/>
      <c r="AP58" s="66"/>
      <c r="AQ58" s="66"/>
      <c r="AR58" s="66"/>
      <c r="AS58" s="66"/>
      <c r="AT58" s="66"/>
      <c r="AU58" s="66"/>
      <c r="AV58" s="66"/>
      <c r="AW58" s="66"/>
      <c r="AX58" s="66"/>
      <c r="AY58" s="66"/>
      <c r="AZ58" s="66"/>
      <c r="BA58" s="66"/>
    </row>
    <row r="59" spans="1:53" s="28" customFormat="1" ht="18" hidden="1" customHeight="1" x14ac:dyDescent="0.25">
      <c r="A59" s="66"/>
      <c r="B59" s="1564" t="s">
        <v>2997</v>
      </c>
      <c r="C59" s="1559">
        <f t="shared" si="0"/>
        <v>0</v>
      </c>
      <c r="D59" s="1649" t="s">
        <v>3223</v>
      </c>
      <c r="E59" s="1571"/>
      <c r="F59" s="73">
        <f>E59</f>
      </c>
      <c r="H59" s="28" t="s">
        <v>26</v>
      </c>
      <c r="I59" s="28" t="s">
        <v>26</v>
      </c>
      <c r="J59" s="28">
        <v>1421</v>
      </c>
      <c r="K59" s="28">
        <v>1463</v>
      </c>
      <c r="AK59" s="66"/>
      <c r="AL59" s="66"/>
      <c r="AM59" s="66"/>
      <c r="AN59" s="66"/>
      <c r="AO59" s="66"/>
      <c r="AP59" s="66"/>
      <c r="AQ59" s="66"/>
      <c r="AR59" s="66"/>
      <c r="AS59" s="66"/>
      <c r="AT59" s="66"/>
      <c r="AU59" s="66"/>
      <c r="AV59" s="66"/>
      <c r="AW59" s="66"/>
      <c r="AX59" s="66"/>
      <c r="AY59" s="66"/>
      <c r="AZ59" s="66"/>
      <c r="BA59" s="66"/>
    </row>
    <row r="60" spans="1:53" s="28" customFormat="1" ht="18" x14ac:dyDescent="0.25">
      <c r="A60" s="66"/>
      <c r="B60" s="1558" t="s">
        <v>2497</v>
      </c>
      <c r="C60" s="1559">
        <f t="shared" si="0"/>
        <v>0</v>
      </c>
      <c r="D60" s="145" t="s">
        <v>6930</v>
      </c>
      <c r="E60" s="1571">
        <f>'TRA52'!J55</f>
      </c>
      <c r="F60" s="73"/>
      <c r="H60" s="28" t="s">
        <v>27</v>
      </c>
      <c r="I60" s="28" t="s">
        <v>27</v>
      </c>
      <c r="J60" s="28">
        <v>1467</v>
      </c>
      <c r="K60" s="28">
        <v>1497</v>
      </c>
      <c r="AK60" s="66"/>
      <c r="AL60" s="66"/>
      <c r="AM60" s="66"/>
      <c r="AN60" s="66"/>
      <c r="AO60" s="66"/>
      <c r="AP60" s="66"/>
      <c r="AQ60" s="66"/>
      <c r="AR60" s="66"/>
      <c r="AS60" s="66"/>
      <c r="AT60" s="66"/>
      <c r="AU60" s="66"/>
      <c r="AV60" s="66"/>
      <c r="AW60" s="66"/>
      <c r="AX60" s="66"/>
      <c r="AY60" s="66"/>
      <c r="AZ60" s="66"/>
      <c r="BA60" s="66"/>
    </row>
    <row r="61" spans="1:53" s="28" customFormat="1" ht="18" x14ac:dyDescent="0.25">
      <c r="A61" s="66"/>
      <c r="B61" s="1558" t="s">
        <v>2498</v>
      </c>
      <c r="C61" s="1559">
        <f t="shared" si="0"/>
        <v>0</v>
      </c>
      <c r="D61" s="145" t="str">
        <f>IF(G61=1,BA61&amp;warn,BA61)</f>
      </c>
      <c r="E61" s="1571">
        <f>'TRA53'!T107</f>
      </c>
      <c r="F61" s="73"/>
      <c r="G61" s="28">
        <f>IF('TRA53'!AG104&lt;&gt;0,1,0)</f>
      </c>
      <c r="H61" s="28" t="s">
        <v>28</v>
      </c>
      <c r="I61" s="28" t="s">
        <v>28</v>
      </c>
      <c r="J61" s="28">
        <v>1501</v>
      </c>
      <c r="K61" s="28">
        <v>1530</v>
      </c>
      <c r="AK61" s="66"/>
      <c r="AL61" s="66"/>
      <c r="AM61" s="66"/>
      <c r="AN61" s="66"/>
      <c r="AO61" s="66"/>
      <c r="AP61" s="66"/>
      <c r="AQ61" s="66"/>
      <c r="AR61" s="66"/>
      <c r="AS61" s="66"/>
      <c r="AT61" s="66"/>
      <c r="AU61" s="66"/>
      <c r="AV61" s="66"/>
      <c r="AW61" s="66"/>
      <c r="AX61" s="66"/>
      <c r="AY61" s="66"/>
      <c r="AZ61" s="66"/>
      <c r="BA61" s="1634" t="s">
        <v>7408</v>
      </c>
    </row>
    <row r="62" spans="1:53" s="28" customFormat="1" ht="18" x14ac:dyDescent="0.25">
      <c r="A62" s="66"/>
      <c r="B62" s="1558" t="s">
        <v>5389</v>
      </c>
      <c r="C62" s="1559">
        <f t="shared" si="0"/>
        <v>0</v>
      </c>
      <c r="D62" s="145" t="str">
        <f>IF(G62=1,BA62&amp;warn,BA62)</f>
      </c>
      <c r="E62" s="1571">
        <f>'TRA54'!J252</f>
      </c>
      <c r="F62" s="73">
        <f>E62</f>
      </c>
      <c r="G62" s="28">
        <f>IF('TRA54'!AC45=0,0,1)</f>
      </c>
      <c r="H62" s="30" t="s">
        <v>2274</v>
      </c>
      <c r="I62" s="30" t="s">
        <v>2274</v>
      </c>
      <c r="J62" s="28">
        <v>1534</v>
      </c>
      <c r="K62" s="28">
        <v>1551</v>
      </c>
      <c r="AK62" s="66"/>
      <c r="AL62" s="66"/>
      <c r="AM62" s="66"/>
      <c r="AN62" s="66"/>
      <c r="AO62" s="66"/>
      <c r="AP62" s="66"/>
      <c r="AQ62" s="66"/>
      <c r="AR62" s="66"/>
      <c r="AS62" s="66"/>
      <c r="AT62" s="66"/>
      <c r="AU62" s="66"/>
      <c r="AV62" s="66"/>
      <c r="AW62" s="66"/>
      <c r="AX62" s="66"/>
      <c r="AY62" s="66"/>
      <c r="AZ62" s="66"/>
      <c r="BA62" s="142" t="s">
        <v>3568</v>
      </c>
    </row>
    <row r="63" spans="1:53" s="28" customFormat="1" ht="18" x14ac:dyDescent="0.25">
      <c r="A63" s="66"/>
      <c r="B63" s="1558" t="s">
        <v>3344</v>
      </c>
      <c r="C63" s="1559">
        <f t="shared" si="0"/>
        <v>0</v>
      </c>
      <c r="D63" s="145" t="str">
        <f>IF(G63=1,BA63&amp;warn,BA63)</f>
      </c>
      <c r="E63" s="1571">
        <f>'TRA55'!G18</f>
      </c>
      <c r="F63" s="73"/>
      <c r="G63" s="28">
        <f>IF('TRA55'!AJ16=0,0,1)</f>
      </c>
      <c r="H63" s="30" t="s">
        <v>6466</v>
      </c>
      <c r="I63" s="30" t="s">
        <v>6466</v>
      </c>
      <c r="J63" s="28">
        <v>1555</v>
      </c>
      <c r="K63" s="28">
        <v>1563</v>
      </c>
      <c r="AK63" s="66"/>
      <c r="AL63" s="66"/>
      <c r="AM63" s="66"/>
      <c r="AN63" s="66"/>
      <c r="AO63" s="66"/>
      <c r="AP63" s="66"/>
      <c r="AQ63" s="66"/>
      <c r="AR63" s="66"/>
      <c r="AS63" s="66"/>
      <c r="AT63" s="66"/>
      <c r="AU63" s="66"/>
      <c r="AV63" s="66"/>
      <c r="AW63" s="66"/>
      <c r="AX63" s="66"/>
      <c r="AY63" s="66"/>
      <c r="AZ63" s="66"/>
      <c r="BA63" s="142" t="s">
        <v>3580</v>
      </c>
    </row>
    <row r="64" spans="1:53" s="28" customFormat="1" ht="18" x14ac:dyDescent="0.25">
      <c r="A64" s="66"/>
      <c r="B64" s="1558" t="s">
        <v>210</v>
      </c>
      <c r="C64" s="1559">
        <f t="shared" si="0"/>
        <v>0</v>
      </c>
      <c r="D64" s="145" t="s">
        <v>4761</v>
      </c>
      <c r="E64" s="1571">
        <f>'TRA56'!M33</f>
      </c>
      <c r="F64" s="73"/>
      <c r="G64" s="28">
        <f>IF('TRA56'!T31=0,0,1)</f>
      </c>
      <c r="H64" s="28" t="s">
        <v>5048</v>
      </c>
      <c r="I64" s="28" t="s">
        <v>5048</v>
      </c>
      <c r="J64" s="28">
        <v>1567</v>
      </c>
      <c r="K64" s="28">
        <v>1584</v>
      </c>
      <c r="AK64" s="66"/>
      <c r="AL64" s="66"/>
      <c r="AM64" s="66"/>
      <c r="AN64" s="66"/>
      <c r="AO64" s="66"/>
      <c r="AP64" s="66"/>
      <c r="AQ64" s="66"/>
      <c r="AR64" s="66"/>
      <c r="AS64" s="66"/>
      <c r="AT64" s="66"/>
      <c r="AU64" s="66"/>
      <c r="AV64" s="66"/>
      <c r="AW64" s="66"/>
      <c r="AX64" s="66"/>
      <c r="AY64" s="66"/>
      <c r="AZ64" s="66"/>
      <c r="BA64" s="66"/>
    </row>
    <row r="65" spans="1:53" s="28" customFormat="1" ht="18" x14ac:dyDescent="0.25">
      <c r="A65" s="66"/>
      <c r="B65" s="1558" t="s">
        <v>6171</v>
      </c>
      <c r="C65" s="1559">
        <f t="shared" si="0"/>
        <v>0</v>
      </c>
      <c r="D65" s="145" t="s">
        <v>4762</v>
      </c>
      <c r="E65" s="1571">
        <f>'TRA57'!M33</f>
      </c>
      <c r="F65" s="73"/>
      <c r="G65" s="28">
        <f>IF('TRA57'!T31=0,0,1)</f>
      </c>
      <c r="H65" s="28" t="s">
        <v>5049</v>
      </c>
      <c r="I65" s="28" t="s">
        <v>5049</v>
      </c>
      <c r="J65" s="28">
        <v>1588</v>
      </c>
      <c r="K65" s="28">
        <v>1605</v>
      </c>
      <c r="AK65" s="66"/>
      <c r="AL65" s="66"/>
      <c r="AM65" s="66"/>
      <c r="AN65" s="66"/>
      <c r="AO65" s="66"/>
      <c r="AP65" s="66"/>
      <c r="AQ65" s="66"/>
      <c r="AR65" s="66"/>
      <c r="AS65" s="66"/>
      <c r="AT65" s="66"/>
      <c r="AU65" s="66"/>
      <c r="AV65" s="66"/>
      <c r="AW65" s="66"/>
      <c r="AX65" s="66"/>
      <c r="AY65" s="66"/>
      <c r="AZ65" s="66"/>
      <c r="BA65" s="66"/>
    </row>
    <row r="66" spans="1:53" s="28" customFormat="1" ht="18" x14ac:dyDescent="0.25">
      <c r="A66" s="66"/>
      <c r="B66" s="1558" t="s">
        <v>6172</v>
      </c>
      <c r="C66" s="1559">
        <f t="shared" si="0"/>
        <v>0</v>
      </c>
      <c r="D66" s="145" t="s">
        <v>4763</v>
      </c>
      <c r="E66" s="1571">
        <f>'TRA58'!M33</f>
      </c>
      <c r="F66" s="73"/>
      <c r="G66" s="28">
        <f>IF('TRA58'!T31=0,0,1)</f>
      </c>
      <c r="H66" s="28" t="s">
        <v>5050</v>
      </c>
      <c r="I66" s="28" t="s">
        <v>5050</v>
      </c>
      <c r="J66" s="28">
        <v>1609</v>
      </c>
      <c r="K66" s="28">
        <v>1626</v>
      </c>
      <c r="AK66" s="66"/>
      <c r="AL66" s="66"/>
      <c r="AM66" s="66"/>
      <c r="AN66" s="66"/>
      <c r="AO66" s="66"/>
      <c r="AP66" s="66"/>
      <c r="AQ66" s="66"/>
      <c r="AR66" s="66"/>
      <c r="AS66" s="66"/>
      <c r="AT66" s="66"/>
      <c r="AU66" s="66"/>
      <c r="AV66" s="66"/>
      <c r="AW66" s="66"/>
      <c r="AX66" s="66"/>
      <c r="AY66" s="66"/>
      <c r="AZ66" s="66"/>
      <c r="BA66" s="66"/>
    </row>
    <row r="67" spans="1:53" s="28" customFormat="1" ht="18" hidden="1" x14ac:dyDescent="0.25">
      <c r="A67" s="66"/>
      <c r="B67" s="1566" t="s">
        <v>6173</v>
      </c>
      <c r="C67" s="1559">
        <f t="shared" si="0"/>
        <v>0</v>
      </c>
      <c r="D67" s="1567" t="s">
        <v>1953</v>
      </c>
      <c r="E67" s="1571"/>
      <c r="F67" s="73"/>
      <c r="H67" s="1187"/>
      <c r="I67" s="1187"/>
      <c r="AK67" s="66"/>
      <c r="AL67" s="66"/>
      <c r="AM67" s="66"/>
      <c r="AN67" s="66"/>
      <c r="AO67" s="66"/>
      <c r="AP67" s="66"/>
      <c r="AQ67" s="66"/>
      <c r="AR67" s="66"/>
      <c r="AS67" s="66"/>
      <c r="AT67" s="66"/>
      <c r="AU67" s="66"/>
      <c r="AV67" s="66"/>
      <c r="AW67" s="66"/>
      <c r="AX67" s="66"/>
      <c r="AY67" s="66"/>
      <c r="AZ67" s="66"/>
      <c r="BA67" s="142" t="s">
        <v>1953</v>
      </c>
    </row>
    <row r="68" spans="1:53" s="28" customFormat="1" ht="18" x14ac:dyDescent="0.25">
      <c r="A68" s="66"/>
      <c r="B68" s="1558" t="s">
        <v>3130</v>
      </c>
      <c r="C68" s="1559">
        <f t="shared" si="0"/>
        <v>0</v>
      </c>
      <c r="D68" s="145" t="str">
        <f>IF(G68=1,BA68&amp;warn,BA68)</f>
      </c>
      <c r="E68" s="1571">
        <f>'TRA60'!L65</f>
      </c>
      <c r="F68" s="73"/>
      <c r="G68" s="28">
        <f>'TRA60'!N7</f>
      </c>
      <c r="H68" s="28" t="s">
        <v>5139</v>
      </c>
      <c r="I68" s="28" t="s">
        <v>5139</v>
      </c>
      <c r="J68" s="28">
        <v>1628</v>
      </c>
      <c r="K68" s="28">
        <v>1652</v>
      </c>
      <c r="AK68" s="66"/>
      <c r="AL68" s="66"/>
      <c r="AM68" s="66"/>
      <c r="AN68" s="66"/>
      <c r="AO68" s="66"/>
      <c r="AP68" s="66"/>
      <c r="AQ68" s="66"/>
      <c r="AR68" s="66"/>
      <c r="AS68" s="66"/>
      <c r="AT68" s="66"/>
      <c r="AU68" s="66"/>
      <c r="AV68" s="66"/>
      <c r="AW68" s="66"/>
      <c r="AX68" s="66"/>
      <c r="AY68" s="66"/>
      <c r="AZ68" s="66"/>
      <c r="BA68" s="142" t="s">
        <v>4497</v>
      </c>
    </row>
    <row r="69" spans="1:53" s="28" customFormat="1" ht="18" x14ac:dyDescent="0.25">
      <c r="A69" s="66"/>
      <c r="B69" s="1558" t="s">
        <v>6131</v>
      </c>
      <c r="C69" s="1559">
        <f t="shared" si="0"/>
        <v>1</v>
      </c>
      <c r="D69" s="145" t="s">
        <v>6929</v>
      </c>
      <c r="E69" s="1571">
        <f>TRA61_FTA!L54</f>
      </c>
      <c r="F69" s="73"/>
      <c r="H69" s="1187" t="s">
        <v>4250</v>
      </c>
      <c r="I69" s="1187" t="s">
        <v>4517</v>
      </c>
      <c r="J69" s="28">
        <v>1654</v>
      </c>
      <c r="K69" s="28">
        <v>1670</v>
      </c>
      <c r="AK69" s="66"/>
      <c r="AL69" s="66"/>
      <c r="AM69" s="66"/>
      <c r="AN69" s="66"/>
      <c r="AO69" s="66"/>
      <c r="AP69" s="66"/>
      <c r="AQ69" s="66"/>
      <c r="AR69" s="66"/>
      <c r="AS69" s="66"/>
      <c r="AT69" s="66"/>
      <c r="AU69" s="66"/>
      <c r="AV69" s="66"/>
      <c r="AW69" s="66"/>
      <c r="AX69" s="66"/>
      <c r="AY69" s="66"/>
      <c r="AZ69" s="66"/>
      <c r="BA69" s="142" t="s">
        <v>6929</v>
      </c>
    </row>
    <row r="70" spans="1:53" s="28" customFormat="1" ht="18" x14ac:dyDescent="0.25">
      <c r="A70" s="66"/>
      <c r="B70" s="1558" t="s">
        <v>2665</v>
      </c>
      <c r="C70" s="1559">
        <f t="shared" si="0"/>
        <v>1</v>
      </c>
      <c r="D70" s="145" t="str">
        <f>IF(G70=1,BA70&amp;warn,BA70)</f>
      </c>
      <c r="E70" s="1571">
        <f>TRA62_IPA!I89</f>
      </c>
      <c r="F70" s="73"/>
      <c r="G70" s="28">
        <f>IF(TRA62_IPA!H5=TRA62_IPA!BB5,1,0)</f>
      </c>
      <c r="H70" s="1187" t="s">
        <v>4251</v>
      </c>
      <c r="I70" s="1187" t="s">
        <v>4518</v>
      </c>
      <c r="J70" s="28">
        <v>2121</v>
      </c>
      <c r="K70" s="28">
        <v>2162</v>
      </c>
      <c r="AK70" s="66"/>
      <c r="AL70" s="66"/>
      <c r="AM70" s="66"/>
      <c r="AN70" s="66"/>
      <c r="AO70" s="66"/>
      <c r="AP70" s="66"/>
      <c r="AQ70" s="66"/>
      <c r="AR70" s="66"/>
      <c r="AS70" s="66"/>
      <c r="AT70" s="66"/>
      <c r="AU70" s="66"/>
      <c r="AV70" s="66"/>
      <c r="AW70" s="66"/>
      <c r="AX70" s="66"/>
      <c r="AY70" s="66"/>
      <c r="AZ70" s="66"/>
      <c r="BA70" s="142" t="s">
        <v>143</v>
      </c>
    </row>
    <row r="71" spans="1:53" s="28" customFormat="1" ht="18" x14ac:dyDescent="0.25">
      <c r="A71" s="66"/>
      <c r="B71" s="1558" t="s">
        <v>2708</v>
      </c>
      <c r="C71" s="1559">
        <f t="shared" ref="C71:C153" si="3">IF(E71=0,0,IF(E71=1,1,IF(E71=100,"x")))</f>
      </c>
      <c r="D71" s="145" t="str">
        <f>IF(G71=1,BA71&amp;warn,BA71)</f>
      </c>
      <c r="E71" s="1571">
        <f>TRA62A_IPA!F92</f>
      </c>
      <c r="F71" s="73"/>
      <c r="H71" s="1187" t="s">
        <v>6331</v>
      </c>
      <c r="I71" s="28" t="s">
        <v>2003</v>
      </c>
      <c r="J71" s="28">
        <v>2165</v>
      </c>
      <c r="K71" s="28">
        <v>2200</v>
      </c>
      <c r="BA71" s="142" t="s">
        <v>6166</v>
      </c>
    </row>
    <row r="72" spans="1:53" s="28" customFormat="1" ht="18" x14ac:dyDescent="0.25">
      <c r="A72" s="66"/>
      <c r="B72" s="1558" t="s">
        <v>1037</v>
      </c>
      <c r="C72" s="1559">
        <f t="shared" si="3"/>
        <v>1</v>
      </c>
      <c r="D72" s="145" t="str">
        <f>IF(G72=1,BA72&amp;warn,BA72)</f>
      </c>
      <c r="E72" s="1571">
        <f>TRA63_MTA_FIA!R57</f>
      </c>
      <c r="F72" s="73"/>
      <c r="G72" s="28">
        <f>IF(TRA63_MTA_FIA!BA54=0,0,1)</f>
      </c>
      <c r="H72" s="1187" t="s">
        <v>4252</v>
      </c>
      <c r="I72" s="1187" t="s">
        <v>4519</v>
      </c>
      <c r="J72" s="28">
        <v>1709</v>
      </c>
      <c r="K72" s="28">
        <v>1734</v>
      </c>
      <c r="AK72" s="66"/>
      <c r="AL72" s="66"/>
      <c r="AM72" s="66"/>
      <c r="AN72" s="66"/>
      <c r="AO72" s="66"/>
      <c r="AP72" s="66"/>
      <c r="AQ72" s="66"/>
      <c r="AR72" s="66"/>
      <c r="AS72" s="66"/>
      <c r="AT72" s="66"/>
      <c r="AU72" s="66"/>
      <c r="AV72" s="66"/>
      <c r="AW72" s="66"/>
      <c r="AX72" s="66"/>
      <c r="AY72" s="66"/>
      <c r="AZ72" s="66"/>
      <c r="BA72" s="142" t="s">
        <v>3477</v>
      </c>
    </row>
    <row r="73" spans="1:53" s="28" customFormat="1" ht="18" x14ac:dyDescent="0.25">
      <c r="A73" s="66"/>
      <c r="B73" s="1558" t="s">
        <v>3567</v>
      </c>
      <c r="C73" s="1559">
        <f t="shared" si="3"/>
        <v>0</v>
      </c>
      <c r="D73" s="145" t="str">
        <f>IF(G73=1,BA73&amp;warn,BA73)</f>
      </c>
      <c r="E73" s="1571">
        <f>'TRA65'!L59</f>
      </c>
      <c r="F73" s="73">
        <f>E73</f>
      </c>
      <c r="G73" s="28">
        <f>IF('TRA65'!M58&gt;0,1,0)</f>
      </c>
      <c r="H73" s="28" t="s">
        <v>5051</v>
      </c>
      <c r="I73" s="28" t="s">
        <v>5051</v>
      </c>
      <c r="J73" s="28">
        <v>1737</v>
      </c>
      <c r="K73" s="28">
        <v>1758</v>
      </c>
      <c r="AK73" s="66"/>
      <c r="AL73" s="66"/>
      <c r="AM73" s="66"/>
      <c r="AN73" s="66"/>
      <c r="AO73" s="66"/>
      <c r="AP73" s="66"/>
      <c r="AQ73" s="66"/>
      <c r="AR73" s="66"/>
      <c r="AS73" s="66"/>
      <c r="AT73" s="66"/>
      <c r="AU73" s="66"/>
      <c r="AV73" s="66"/>
      <c r="AW73" s="66"/>
      <c r="AX73" s="66"/>
      <c r="AY73" s="66"/>
      <c r="AZ73" s="66"/>
      <c r="BA73" s="142" t="s">
        <v>1579</v>
      </c>
    </row>
    <row r="74" spans="1:53" s="28" customFormat="1" ht="18" hidden="1" x14ac:dyDescent="0.25">
      <c r="A74" s="66"/>
      <c r="B74" s="1558" t="s">
        <v>320</v>
      </c>
      <c r="C74" s="1559">
        <f t="shared" si="3"/>
        <v>0</v>
      </c>
      <c r="D74" s="145" t="s">
        <v>7716</v>
      </c>
      <c r="E74" s="1571">
        <f>'TRA66'!N67</f>
      </c>
      <c r="F74" s="73"/>
      <c r="G74" s="28">
        <f>'TRA66'!S11</f>
      </c>
      <c r="H74" s="28" t="s">
        <v>123</v>
      </c>
      <c r="I74" s="28" t="s">
        <v>123</v>
      </c>
      <c r="J74" s="28">
        <v>1762</v>
      </c>
      <c r="K74" s="28">
        <v>1776</v>
      </c>
      <c r="AK74" s="66"/>
      <c r="AL74" s="66"/>
      <c r="AM74" s="66"/>
      <c r="AN74" s="66"/>
      <c r="AO74" s="66"/>
      <c r="AP74" s="66"/>
      <c r="AQ74" s="66"/>
      <c r="AR74" s="66"/>
      <c r="AS74" s="66"/>
      <c r="AT74" s="66"/>
      <c r="AU74" s="66"/>
      <c r="AV74" s="66"/>
      <c r="AW74" s="66"/>
      <c r="AX74" s="66"/>
      <c r="AY74" s="66"/>
      <c r="AZ74" s="66"/>
      <c r="BA74" s="142"/>
    </row>
    <row r="75" spans="1:53" s="28" customFormat="1" ht="18" hidden="1" x14ac:dyDescent="0.25">
      <c r="A75" s="66"/>
      <c r="B75" s="1558" t="s">
        <v>3919</v>
      </c>
      <c r="C75" s="1559">
        <f t="shared" si="3"/>
        <v>0</v>
      </c>
      <c r="D75" s="145" t="s">
        <v>3909</v>
      </c>
      <c r="E75" s="1571">
        <f>'TRA67'!G32</f>
      </c>
      <c r="F75" s="73"/>
      <c r="H75" s="28" t="s">
        <v>2697</v>
      </c>
      <c r="I75" s="28" t="s">
        <v>2697</v>
      </c>
      <c r="J75" s="28">
        <v>1779</v>
      </c>
      <c r="K75" s="28">
        <v>1788</v>
      </c>
      <c r="AK75" s="66"/>
      <c r="AL75" s="66"/>
      <c r="AM75" s="66"/>
      <c r="AN75" s="66"/>
      <c r="AO75" s="66"/>
      <c r="AP75" s="66"/>
      <c r="AQ75" s="66"/>
      <c r="AR75" s="66"/>
      <c r="AS75" s="66"/>
      <c r="AT75" s="66"/>
      <c r="AU75" s="66"/>
      <c r="AV75" s="66"/>
      <c r="AW75" s="66"/>
      <c r="AX75" s="66"/>
      <c r="AY75" s="66"/>
      <c r="AZ75" s="66"/>
      <c r="BA75" s="142"/>
    </row>
    <row r="76" spans="1:53" s="28" customFormat="1" ht="18" x14ac:dyDescent="0.25">
      <c r="A76" s="66"/>
      <c r="B76" s="1558" t="s">
        <v>5658</v>
      </c>
      <c r="C76" s="1559">
        <f t="shared" si="3"/>
        <v>0</v>
      </c>
      <c r="D76" s="145" t="s">
        <v>5660</v>
      </c>
      <c r="E76" s="1571">
        <f>'TRA68'!K32</f>
      </c>
      <c r="F76" s="73"/>
      <c r="H76" s="28" t="s">
        <v>2698</v>
      </c>
      <c r="I76" s="28" t="s">
        <v>2698</v>
      </c>
      <c r="J76" s="28">
        <v>1790</v>
      </c>
      <c r="K76" s="28">
        <v>1803</v>
      </c>
      <c r="AK76" s="66"/>
      <c r="AL76" s="66"/>
      <c r="AM76" s="66"/>
      <c r="AN76" s="66"/>
      <c r="AO76" s="66"/>
      <c r="AP76" s="66"/>
      <c r="AQ76" s="66"/>
      <c r="AR76" s="66"/>
      <c r="AS76" s="66"/>
      <c r="AT76" s="66"/>
      <c r="AU76" s="66"/>
      <c r="AV76" s="66"/>
      <c r="AW76" s="66"/>
      <c r="AX76" s="66"/>
      <c r="AY76" s="66"/>
      <c r="AZ76" s="66"/>
      <c r="BA76" s="142"/>
    </row>
    <row r="77" spans="1:53" s="28" customFormat="1" ht="18" x14ac:dyDescent="0.25">
      <c r="A77" s="66"/>
      <c r="B77" s="1558" t="s">
        <v>5488</v>
      </c>
      <c r="C77" s="1559">
        <f t="shared" si="3"/>
        <v>0</v>
      </c>
      <c r="D77" s="145" t="s">
        <v>5087</v>
      </c>
      <c r="E77" s="1571">
        <f>'TRA69'!J46</f>
      </c>
      <c r="F77" s="73"/>
      <c r="H77" s="28" t="s">
        <v>2699</v>
      </c>
      <c r="I77" s="28" t="s">
        <v>2699</v>
      </c>
      <c r="J77" s="28">
        <v>1806</v>
      </c>
      <c r="K77" s="28">
        <v>1817</v>
      </c>
      <c r="AK77" s="66"/>
      <c r="AL77" s="66"/>
      <c r="AM77" s="66"/>
      <c r="AN77" s="66"/>
      <c r="AO77" s="66"/>
      <c r="AP77" s="66"/>
      <c r="AQ77" s="66"/>
      <c r="AR77" s="66"/>
      <c r="AS77" s="66"/>
      <c r="AT77" s="66"/>
      <c r="AU77" s="66"/>
      <c r="AV77" s="66"/>
      <c r="AW77" s="66"/>
      <c r="AX77" s="66"/>
      <c r="AY77" s="66"/>
      <c r="AZ77" s="66"/>
      <c r="BA77" s="142"/>
    </row>
    <row r="78" spans="1:53" s="28" customFormat="1" ht="18" x14ac:dyDescent="0.25">
      <c r="A78" s="66"/>
      <c r="B78" s="1558" t="s">
        <v>2621</v>
      </c>
      <c r="C78" s="1559">
        <f t="shared" si="3"/>
        <v>0</v>
      </c>
      <c r="D78" s="145" t="s">
        <v>5751</v>
      </c>
      <c r="E78" s="1571">
        <f>'TRA70'!J50</f>
      </c>
      <c r="F78" s="73"/>
      <c r="H78" s="28" t="s">
        <v>2700</v>
      </c>
      <c r="I78" s="28" t="s">
        <v>2700</v>
      </c>
      <c r="J78" s="28">
        <v>1820</v>
      </c>
      <c r="K78" s="28">
        <v>1834</v>
      </c>
      <c r="AK78" s="66"/>
      <c r="AL78" s="66"/>
      <c r="AM78" s="66"/>
      <c r="AN78" s="66"/>
      <c r="AO78" s="66"/>
      <c r="AP78" s="66"/>
      <c r="AQ78" s="66"/>
      <c r="AR78" s="66"/>
      <c r="AS78" s="66"/>
      <c r="AT78" s="66"/>
      <c r="AU78" s="66"/>
      <c r="AV78" s="66"/>
      <c r="AW78" s="66"/>
      <c r="AX78" s="66"/>
      <c r="AY78" s="66"/>
      <c r="AZ78" s="66"/>
      <c r="BA78" s="142"/>
    </row>
    <row r="79" spans="1:53" s="28" customFormat="1" ht="18" hidden="1" x14ac:dyDescent="0.25">
      <c r="A79" s="66"/>
      <c r="B79" s="2381" t="s">
        <v>5633</v>
      </c>
      <c r="C79" s="1559">
        <f t="shared" si="3"/>
        <v>0</v>
      </c>
      <c r="D79" s="2382" t="s">
        <v>727</v>
      </c>
      <c r="E79" s="2383">
        <v>0</v>
      </c>
      <c r="F79" s="73"/>
      <c r="H79" s="28" t="s">
        <v>2701</v>
      </c>
      <c r="I79" s="28" t="s">
        <v>2701</v>
      </c>
      <c r="J79" s="28">
        <v>1837</v>
      </c>
      <c r="K79" s="28">
        <v>1851</v>
      </c>
      <c r="AK79" s="66"/>
      <c r="AL79" s="66"/>
      <c r="AM79" s="66"/>
      <c r="AN79" s="66"/>
      <c r="AO79" s="66"/>
      <c r="AP79" s="66"/>
      <c r="AQ79" s="66"/>
      <c r="AR79" s="66"/>
      <c r="AS79" s="66"/>
      <c r="AT79" s="66"/>
      <c r="AU79" s="66"/>
      <c r="AV79" s="66"/>
      <c r="AW79" s="66"/>
      <c r="AX79" s="66"/>
      <c r="AY79" s="66"/>
      <c r="AZ79" s="66"/>
      <c r="BA79" s="142"/>
    </row>
    <row r="80" spans="1:53" s="28" customFormat="1" ht="18" hidden="1" x14ac:dyDescent="0.25">
      <c r="A80" s="66"/>
      <c r="B80" s="2063" t="s">
        <v>1679</v>
      </c>
      <c r="C80" s="1559">
        <f t="shared" si="3"/>
        <v>0</v>
      </c>
      <c r="D80" s="1649" t="s">
        <v>1681</v>
      </c>
      <c r="E80" s="1571">
        <f>'TRA72'!G39</f>
      </c>
      <c r="F80" s="73"/>
      <c r="G80" s="28">
        <f>'TRA72'!H19</f>
      </c>
      <c r="H80" s="28" t="s">
        <v>5372</v>
      </c>
      <c r="I80" s="28" t="s">
        <v>5372</v>
      </c>
      <c r="J80" s="28">
        <v>2067</v>
      </c>
      <c r="K80" s="28">
        <v>2079</v>
      </c>
      <c r="AK80" s="66"/>
      <c r="AL80" s="66"/>
      <c r="AM80" s="66"/>
      <c r="AN80" s="66"/>
      <c r="AO80" s="66"/>
      <c r="AP80" s="66"/>
      <c r="AQ80" s="66"/>
      <c r="AR80" s="66"/>
      <c r="AS80" s="66"/>
      <c r="AT80" s="66"/>
      <c r="AU80" s="66"/>
      <c r="AV80" s="66"/>
      <c r="AW80" s="66"/>
      <c r="AX80" s="66"/>
      <c r="AY80" s="66"/>
      <c r="AZ80" s="66"/>
      <c r="BA80" s="142" t="s">
        <v>1681</v>
      </c>
    </row>
    <row r="81" spans="1:53" s="28" customFormat="1" ht="18" x14ac:dyDescent="0.25">
      <c r="A81" s="66"/>
      <c r="B81" s="1558" t="s">
        <v>6228</v>
      </c>
      <c r="C81" s="1559">
        <f t="shared" si="3"/>
        <v>0</v>
      </c>
      <c r="D81" s="145" t="s">
        <v>6230</v>
      </c>
      <c r="E81" s="1571">
        <f>'TRA73'!K124</f>
      </c>
      <c r="F81" s="73"/>
      <c r="H81" s="28" t="s">
        <v>2004</v>
      </c>
      <c r="I81" s="28" t="s">
        <v>2004</v>
      </c>
      <c r="J81" s="28">
        <v>2082</v>
      </c>
      <c r="K81" s="28">
        <v>2096</v>
      </c>
      <c r="AK81" s="66"/>
      <c r="AL81" s="66"/>
      <c r="AM81" s="66"/>
      <c r="AN81" s="66"/>
      <c r="AO81" s="66"/>
      <c r="AP81" s="66"/>
      <c r="AQ81" s="66"/>
      <c r="AR81" s="66"/>
      <c r="AS81" s="66"/>
      <c r="AT81" s="66"/>
      <c r="AU81" s="66"/>
      <c r="AV81" s="66"/>
      <c r="AW81" s="66"/>
      <c r="AX81" s="66"/>
      <c r="AY81" s="66"/>
      <c r="AZ81" s="66"/>
      <c r="BA81" s="142"/>
    </row>
    <row r="82" spans="1:53" s="28" customFormat="1" ht="18" x14ac:dyDescent="0.25">
      <c r="A82" s="66"/>
      <c r="B82" s="1558" t="s">
        <v>6232</v>
      </c>
      <c r="C82" s="1559">
        <f t="shared" si="3"/>
        <v>0</v>
      </c>
      <c r="D82" s="145" t="s">
        <v>3351</v>
      </c>
      <c r="E82" s="1571">
        <f>'TRA74'!K38</f>
      </c>
      <c r="F82" s="73"/>
      <c r="H82" s="28" t="s">
        <v>2005</v>
      </c>
      <c r="I82" s="28" t="s">
        <v>2005</v>
      </c>
      <c r="J82" s="28">
        <v>2099</v>
      </c>
      <c r="K82" s="28">
        <v>2118</v>
      </c>
      <c r="AK82" s="66"/>
      <c r="AL82" s="66"/>
      <c r="AM82" s="66"/>
      <c r="AN82" s="66"/>
      <c r="AO82" s="66"/>
      <c r="AP82" s="66"/>
      <c r="AQ82" s="66"/>
      <c r="AR82" s="66"/>
      <c r="AS82" s="66"/>
      <c r="AT82" s="66"/>
      <c r="AU82" s="66"/>
      <c r="AV82" s="66"/>
      <c r="AW82" s="66"/>
      <c r="AX82" s="66"/>
      <c r="AY82" s="66"/>
      <c r="AZ82" s="66"/>
      <c r="BA82" s="142"/>
    </row>
    <row r="83" spans="1:53" s="28" customFormat="1" ht="18" x14ac:dyDescent="0.25">
      <c r="A83" s="66"/>
      <c r="B83" s="1558" t="s">
        <v>2761</v>
      </c>
      <c r="C83" s="1559">
        <f t="shared" si="3"/>
        <v>0</v>
      </c>
      <c r="D83" s="145" t="s">
        <v>2765</v>
      </c>
      <c r="E83" s="1571">
        <f>'TRA75'!I47</f>
      </c>
      <c r="F83" s="73"/>
      <c r="H83" s="28" t="s">
        <v>2081</v>
      </c>
      <c r="I83" s="28" t="s">
        <v>2081</v>
      </c>
      <c r="J83" s="28">
        <v>2213</v>
      </c>
      <c r="K83" s="28">
        <v>2225</v>
      </c>
      <c r="AK83" s="66"/>
      <c r="AL83" s="66"/>
      <c r="AM83" s="66"/>
      <c r="AN83" s="66"/>
      <c r="AO83" s="66"/>
      <c r="AP83" s="66"/>
      <c r="AQ83" s="66"/>
      <c r="AR83" s="66"/>
      <c r="AS83" s="66"/>
      <c r="AT83" s="66"/>
      <c r="AU83" s="66"/>
      <c r="AV83" s="66"/>
      <c r="AW83" s="66"/>
      <c r="AX83" s="66"/>
      <c r="AY83" s="66"/>
      <c r="AZ83" s="66"/>
      <c r="BA83" s="142"/>
    </row>
    <row r="84" spans="1:53" s="28" customFormat="1" ht="18" x14ac:dyDescent="0.25">
      <c r="A84" s="66"/>
      <c r="B84" s="1558" t="s">
        <v>2762</v>
      </c>
      <c r="C84" s="1559">
        <f t="shared" si="3"/>
        <v>0</v>
      </c>
      <c r="D84" s="145" t="s">
        <v>2769</v>
      </c>
      <c r="E84" s="1571">
        <f>'TRA76'!I47</f>
      </c>
      <c r="F84" s="73"/>
      <c r="H84" s="28" t="s">
        <v>2082</v>
      </c>
      <c r="I84" s="28" t="s">
        <v>2082</v>
      </c>
      <c r="J84" s="28">
        <v>2239</v>
      </c>
      <c r="K84" s="28">
        <v>2251</v>
      </c>
      <c r="AK84" s="66"/>
      <c r="AL84" s="66"/>
      <c r="AM84" s="66"/>
      <c r="AN84" s="66"/>
      <c r="AO84" s="66"/>
      <c r="AP84" s="66"/>
      <c r="AQ84" s="66"/>
      <c r="AR84" s="66"/>
      <c r="AS84" s="66"/>
      <c r="AT84" s="66"/>
      <c r="AU84" s="66"/>
      <c r="AV84" s="66"/>
      <c r="AW84" s="66"/>
      <c r="AX84" s="66"/>
      <c r="AY84" s="66"/>
      <c r="AZ84" s="66"/>
      <c r="BA84" s="142"/>
    </row>
    <row r="85" spans="1:53" s="28" customFormat="1" ht="18" x14ac:dyDescent="0.25">
      <c r="A85" s="66"/>
      <c r="B85" s="1558" t="s">
        <v>2763</v>
      </c>
      <c r="C85" s="1559">
        <f t="shared" si="3"/>
        <v>0</v>
      </c>
      <c r="D85" s="145" t="s">
        <v>4218</v>
      </c>
      <c r="E85" s="1571">
        <f>'TRA77'!Q51</f>
      </c>
      <c r="F85" s="73"/>
      <c r="H85" s="28" t="s">
        <v>2083</v>
      </c>
      <c r="I85" s="28" t="s">
        <v>2083</v>
      </c>
      <c r="J85" s="28">
        <v>2261</v>
      </c>
      <c r="K85" s="28">
        <v>2272</v>
      </c>
      <c r="AK85" s="66"/>
      <c r="AL85" s="66"/>
      <c r="AM85" s="66"/>
      <c r="AN85" s="66"/>
      <c r="AO85" s="66"/>
      <c r="AP85" s="66"/>
      <c r="AQ85" s="66"/>
      <c r="AR85" s="66"/>
      <c r="AS85" s="66"/>
      <c r="AT85" s="66"/>
      <c r="AU85" s="66"/>
      <c r="AV85" s="66"/>
      <c r="AW85" s="66"/>
      <c r="AX85" s="66"/>
      <c r="AY85" s="66"/>
      <c r="AZ85" s="66"/>
      <c r="BA85" s="142"/>
    </row>
    <row r="86" spans="1:53" s="28" customFormat="1" ht="18" hidden="1" x14ac:dyDescent="0.25">
      <c r="A86" s="66"/>
      <c r="B86" s="2064" t="s">
        <v>2764</v>
      </c>
      <c r="C86" s="1559">
        <f t="shared" si="3"/>
        <v>0</v>
      </c>
      <c r="D86" s="2065" t="s">
        <v>4445</v>
      </c>
      <c r="E86" s="1571">
        <f>'TRA78'!I38</f>
      </c>
      <c r="F86" s="73"/>
      <c r="H86" s="28" t="s">
        <v>1308</v>
      </c>
      <c r="I86" s="28" t="s">
        <v>1308</v>
      </c>
      <c r="J86" s="28">
        <v>2290</v>
      </c>
      <c r="K86" s="28">
        <v>2297</v>
      </c>
      <c r="AK86" s="66"/>
      <c r="AL86" s="66"/>
      <c r="AM86" s="66"/>
      <c r="AN86" s="66"/>
      <c r="AO86" s="66"/>
      <c r="AP86" s="66"/>
      <c r="AQ86" s="66"/>
      <c r="AR86" s="66"/>
      <c r="AS86" s="66"/>
      <c r="AT86" s="66"/>
      <c r="AU86" s="66"/>
      <c r="AV86" s="66"/>
      <c r="AW86" s="66"/>
      <c r="AX86" s="66"/>
      <c r="AY86" s="66"/>
      <c r="AZ86" s="66"/>
      <c r="BA86" s="142"/>
    </row>
    <row r="87" spans="1:53" s="28" customFormat="1" ht="18" x14ac:dyDescent="0.25">
      <c r="A87" s="66"/>
      <c r="B87" s="1558" t="s">
        <v>3207</v>
      </c>
      <c r="C87" s="1559">
        <f t="shared" si="3"/>
        <v>0</v>
      </c>
      <c r="D87" s="145" t="s">
        <v>758</v>
      </c>
      <c r="E87" s="1571">
        <f>'TRA79'!L30</f>
      </c>
      <c r="F87" s="73"/>
      <c r="H87" s="28" t="s">
        <v>1309</v>
      </c>
      <c r="I87" s="28" t="s">
        <v>1309</v>
      </c>
      <c r="J87" s="28">
        <v>2310</v>
      </c>
      <c r="K87" s="28">
        <v>2320</v>
      </c>
      <c r="AK87" s="66"/>
      <c r="AL87" s="66"/>
      <c r="AM87" s="66"/>
      <c r="AN87" s="66"/>
      <c r="AO87" s="66"/>
      <c r="AP87" s="66"/>
      <c r="AQ87" s="66"/>
      <c r="AR87" s="66"/>
      <c r="AS87" s="66"/>
      <c r="AT87" s="66"/>
      <c r="AU87" s="66"/>
      <c r="AV87" s="66"/>
      <c r="AW87" s="66"/>
      <c r="AX87" s="66"/>
      <c r="AY87" s="66"/>
      <c r="AZ87" s="66"/>
      <c r="BA87" s="142"/>
    </row>
    <row r="88" spans="1:53" s="28" customFormat="1" ht="18" hidden="1" x14ac:dyDescent="0.25">
      <c r="A88" s="66"/>
      <c r="B88" s="2064" t="s">
        <v>759</v>
      </c>
      <c r="C88" s="1559">
        <f t="shared" si="3"/>
        <v>0</v>
      </c>
      <c r="D88" s="2065" t="s">
        <v>761</v>
      </c>
      <c r="E88" s="1571">
        <f>'TRA80'!L43</f>
      </c>
      <c r="F88" s="73"/>
      <c r="H88" s="28" t="s">
        <v>1310</v>
      </c>
      <c r="I88" s="28" t="s">
        <v>1310</v>
      </c>
      <c r="J88" s="28">
        <v>2330</v>
      </c>
      <c r="K88" s="28">
        <v>2344</v>
      </c>
      <c r="AK88" s="66"/>
      <c r="AL88" s="66"/>
      <c r="AM88" s="66"/>
      <c r="AN88" s="66"/>
      <c r="AO88" s="66"/>
      <c r="AP88" s="66"/>
      <c r="AQ88" s="66"/>
      <c r="AR88" s="66"/>
      <c r="AS88" s="66"/>
      <c r="AT88" s="66"/>
      <c r="AU88" s="66"/>
      <c r="AV88" s="66"/>
      <c r="AW88" s="66"/>
      <c r="AX88" s="66"/>
      <c r="AY88" s="66"/>
      <c r="AZ88" s="66"/>
      <c r="BA88" s="142"/>
    </row>
    <row r="89" spans="1:53" s="28" customFormat="1" ht="18" hidden="1" x14ac:dyDescent="0.25">
      <c r="A89" s="66"/>
      <c r="B89" s="2381" t="s">
        <v>760</v>
      </c>
      <c r="C89" s="1559">
        <f t="shared" si="3"/>
        <v>0</v>
      </c>
      <c r="D89" s="2382" t="s">
        <v>3352</v>
      </c>
      <c r="E89" s="2383">
        <v>0</v>
      </c>
      <c r="F89" s="73"/>
      <c r="H89" s="28" t="s">
        <v>1311</v>
      </c>
      <c r="I89" s="28" t="s">
        <v>1311</v>
      </c>
      <c r="J89" s="28">
        <v>2360</v>
      </c>
      <c r="K89" s="28">
        <v>2369</v>
      </c>
      <c r="AK89" s="66"/>
      <c r="AL89" s="66"/>
      <c r="AM89" s="66"/>
      <c r="AN89" s="66"/>
      <c r="AO89" s="66"/>
      <c r="AP89" s="66"/>
      <c r="AQ89" s="66"/>
      <c r="AR89" s="66"/>
      <c r="AS89" s="66"/>
      <c r="AT89" s="66"/>
      <c r="AU89" s="66"/>
      <c r="AV89" s="66"/>
      <c r="AW89" s="66"/>
      <c r="AX89" s="66"/>
      <c r="AY89" s="66"/>
      <c r="AZ89" s="66"/>
      <c r="BA89" s="142"/>
    </row>
    <row r="90" spans="1:53" s="1023" customFormat="1" ht="18" x14ac:dyDescent="0.25">
      <c r="A90" s="1511"/>
      <c r="B90" s="1558" t="s">
        <v>3354</v>
      </c>
      <c r="C90" s="1559">
        <f t="shared" si="3"/>
        <v>0</v>
      </c>
      <c r="D90" s="145" t="s">
        <v>3353</v>
      </c>
      <c r="E90" s="1572">
        <f>'TRA82'!L791</f>
      </c>
      <c r="F90" s="1512"/>
      <c r="H90" s="1023" t="s">
        <v>1312</v>
      </c>
      <c r="I90" s="1023" t="s">
        <v>1312</v>
      </c>
      <c r="J90" s="1023">
        <v>2380</v>
      </c>
      <c r="K90" s="1023">
        <v>2427</v>
      </c>
      <c r="AK90" s="1511"/>
      <c r="AL90" s="1511"/>
      <c r="AM90" s="1511"/>
      <c r="AN90" s="1511"/>
      <c r="AO90" s="1511"/>
      <c r="AP90" s="1511"/>
      <c r="AQ90" s="1511"/>
      <c r="AR90" s="1511"/>
      <c r="AS90" s="1511"/>
      <c r="AT90" s="1511"/>
      <c r="AU90" s="1511"/>
      <c r="AV90" s="1511"/>
      <c r="AW90" s="1511"/>
      <c r="AX90" s="1511"/>
      <c r="AY90" s="1511"/>
      <c r="AZ90" s="1511"/>
      <c r="BA90" s="1513"/>
    </row>
    <row r="91" spans="1:53" s="1023" customFormat="1" ht="18" x14ac:dyDescent="0.25">
      <c r="A91" s="1511"/>
      <c r="B91" s="1558" t="s">
        <v>6988</v>
      </c>
      <c r="C91" s="1559">
        <f t="shared" si="3"/>
        <v>0</v>
      </c>
      <c r="D91" s="145" t="s">
        <v>7729</v>
      </c>
      <c r="E91" s="1572">
        <f>'TRA83'!M99</f>
      </c>
      <c r="F91" s="1512"/>
      <c r="AK91" s="1511"/>
      <c r="AL91" s="1511"/>
      <c r="AM91" s="1511"/>
      <c r="AN91" s="1511"/>
      <c r="AO91" s="1511"/>
      <c r="AP91" s="1511"/>
      <c r="AQ91" s="1511"/>
      <c r="AR91" s="1511"/>
      <c r="AS91" s="1511"/>
      <c r="AT91" s="1511"/>
      <c r="AU91" s="1511"/>
      <c r="AV91" s="1511"/>
      <c r="AW91" s="1511"/>
      <c r="AX91" s="1511"/>
      <c r="AY91" s="1511"/>
      <c r="AZ91" s="1511"/>
      <c r="BA91" s="1513"/>
    </row>
    <row r="92" spans="1:53" s="1023" customFormat="1" ht="18" x14ac:dyDescent="0.25">
      <c r="A92" s="1511"/>
      <c r="B92" s="1558" t="s">
        <v>7002</v>
      </c>
      <c r="C92" s="1559">
        <f t="shared" si="3"/>
        <v>0</v>
      </c>
      <c r="D92" s="145" t="s">
        <v>7186</v>
      </c>
      <c r="E92" s="1572">
        <f>'TRA84'!L69</f>
      </c>
      <c r="F92" s="1512"/>
      <c r="AK92" s="1511"/>
      <c r="AL92" s="1511"/>
      <c r="AM92" s="1511"/>
      <c r="AN92" s="1511"/>
      <c r="AO92" s="1511"/>
      <c r="AP92" s="1511"/>
      <c r="AQ92" s="1511"/>
      <c r="AR92" s="1511"/>
      <c r="AS92" s="1511"/>
      <c r="AT92" s="1511"/>
      <c r="AU92" s="1511"/>
      <c r="AV92" s="1511"/>
      <c r="AW92" s="1511"/>
      <c r="AX92" s="1511"/>
      <c r="AY92" s="1511"/>
      <c r="AZ92" s="1511"/>
      <c r="BA92" s="1513"/>
    </row>
    <row r="93" spans="1:53" s="1023" customFormat="1" ht="18" x14ac:dyDescent="0.25">
      <c r="A93" s="1511"/>
      <c r="B93" s="1558" t="s">
        <v>7018</v>
      </c>
      <c r="C93" s="1559">
        <f t="shared" si="3"/>
        <v>0</v>
      </c>
      <c r="D93" s="145" t="s">
        <v>7187</v>
      </c>
      <c r="E93" s="1572">
        <f>'TRA85'!P70</f>
      </c>
      <c r="F93" s="1512"/>
      <c r="AK93" s="1511"/>
      <c r="AL93" s="1511"/>
      <c r="AM93" s="1511"/>
      <c r="AN93" s="1511"/>
      <c r="AO93" s="1511"/>
      <c r="AP93" s="1511"/>
      <c r="AQ93" s="1511"/>
      <c r="AR93" s="1511"/>
      <c r="AS93" s="1511"/>
      <c r="AT93" s="1511"/>
      <c r="AU93" s="1511"/>
      <c r="AV93" s="1511"/>
      <c r="AW93" s="1511"/>
      <c r="AX93" s="1511"/>
      <c r="AY93" s="1511"/>
      <c r="AZ93" s="1511"/>
      <c r="BA93" s="1513"/>
    </row>
    <row r="94" spans="1:53" s="1023" customFormat="1" ht="18" x14ac:dyDescent="0.25">
      <c r="A94" s="1511"/>
      <c r="B94" s="1558" t="s">
        <v>7171</v>
      </c>
      <c r="C94" s="1559">
        <f t="shared" si="3"/>
        <v>0</v>
      </c>
      <c r="D94" s="145" t="s">
        <v>7172</v>
      </c>
      <c r="E94" s="1572">
        <f>'TRA86'!P436</f>
      </c>
      <c r="F94" s="1512"/>
      <c r="AK94" s="1511"/>
      <c r="AL94" s="1511"/>
      <c r="AM94" s="1511"/>
      <c r="AN94" s="1511"/>
      <c r="AO94" s="1511"/>
      <c r="AP94" s="1511"/>
      <c r="AQ94" s="1511"/>
      <c r="AR94" s="1511"/>
      <c r="AS94" s="1511"/>
      <c r="AT94" s="1511"/>
      <c r="AU94" s="1511"/>
      <c r="AV94" s="1511"/>
      <c r="AW94" s="1511"/>
      <c r="AX94" s="1511"/>
      <c r="AY94" s="1511"/>
      <c r="AZ94" s="1511"/>
      <c r="BA94" s="1513"/>
    </row>
    <row r="95" spans="1:53" s="1023" customFormat="1" ht="18" x14ac:dyDescent="0.25">
      <c r="A95" s="1511"/>
      <c r="B95" s="1558" t="s">
        <v>7087</v>
      </c>
      <c r="C95" s="1559">
        <f t="shared" si="3"/>
        <v>0</v>
      </c>
      <c r="D95" s="145" t="s">
        <v>10149</v>
      </c>
      <c r="E95" s="1572">
        <f>'TRA87'!K27</f>
      </c>
      <c r="F95" s="1512"/>
      <c r="AK95" s="1511"/>
      <c r="AL95" s="1511"/>
      <c r="AM95" s="1511"/>
      <c r="AN95" s="1511"/>
      <c r="AO95" s="1511"/>
      <c r="AP95" s="1511"/>
      <c r="AQ95" s="1511"/>
      <c r="AR95" s="1511"/>
      <c r="AS95" s="1511"/>
      <c r="AT95" s="1511"/>
      <c r="AU95" s="1511"/>
      <c r="AV95" s="1511"/>
      <c r="AW95" s="1511"/>
      <c r="AX95" s="1511"/>
      <c r="AY95" s="1511"/>
      <c r="AZ95" s="1511"/>
      <c r="BA95" s="1513"/>
    </row>
    <row r="96" spans="1:53" s="1023" customFormat="1" ht="18" x14ac:dyDescent="0.25">
      <c r="A96" s="1511"/>
      <c r="B96" s="1558" t="s">
        <v>7103</v>
      </c>
      <c r="C96" s="1559">
        <f t="shared" si="3"/>
        <v>0</v>
      </c>
      <c r="D96" s="145" t="s">
        <v>7402</v>
      </c>
      <c r="E96" s="1572">
        <f>'TRA88'!M209</f>
      </c>
      <c r="F96" s="1512"/>
      <c r="AK96" s="1511"/>
      <c r="AL96" s="1511"/>
      <c r="AM96" s="1511"/>
      <c r="AN96" s="1511"/>
      <c r="AO96" s="1511"/>
      <c r="AP96" s="1511"/>
      <c r="AQ96" s="1511"/>
      <c r="AR96" s="1511"/>
      <c r="AS96" s="1511"/>
      <c r="AT96" s="1511"/>
      <c r="AU96" s="1511"/>
      <c r="AV96" s="1511"/>
      <c r="AW96" s="1511"/>
      <c r="AX96" s="1511"/>
      <c r="AY96" s="1511"/>
      <c r="AZ96" s="1511"/>
      <c r="BA96" s="1513"/>
    </row>
    <row r="97" spans="1:53" s="1023" customFormat="1" ht="18" x14ac:dyDescent="0.25">
      <c r="A97" s="1511"/>
      <c r="B97" s="1558" t="s">
        <v>7386</v>
      </c>
      <c r="C97" s="1559">
        <f t="shared" si="3"/>
        <v>0</v>
      </c>
      <c r="D97" s="145" t="s">
        <v>7403</v>
      </c>
      <c r="E97" s="1572">
        <f>'TRA89'!S88</f>
      </c>
      <c r="F97" s="1512"/>
      <c r="AK97" s="1511"/>
      <c r="AL97" s="1511"/>
      <c r="AM97" s="1511"/>
      <c r="AN97" s="1511"/>
      <c r="AO97" s="1511"/>
      <c r="AP97" s="1511"/>
      <c r="AQ97" s="1511"/>
      <c r="AR97" s="1511"/>
      <c r="AS97" s="1511"/>
      <c r="AT97" s="1511"/>
      <c r="AU97" s="1511"/>
      <c r="AV97" s="1511"/>
      <c r="AW97" s="1511"/>
      <c r="AX97" s="1511"/>
      <c r="AY97" s="1511"/>
      <c r="AZ97" s="1511"/>
      <c r="BA97" s="1513"/>
    </row>
    <row r="98" spans="1:53" s="1023" customFormat="1" ht="18" x14ac:dyDescent="0.25">
      <c r="A98" s="1511"/>
      <c r="B98" s="1558" t="s">
        <v>7440</v>
      </c>
      <c r="C98" s="1559">
        <f t="shared" si="3"/>
        <v>0</v>
      </c>
      <c r="D98" s="145" t="s">
        <v>7441</v>
      </c>
      <c r="E98" s="1572">
        <f>'TRA90'!H45</f>
      </c>
      <c r="F98" s="1512"/>
      <c r="AK98" s="1511"/>
      <c r="AL98" s="1511"/>
      <c r="AM98" s="1511"/>
      <c r="AN98" s="1511"/>
      <c r="AO98" s="1511"/>
      <c r="AP98" s="1511"/>
      <c r="AQ98" s="1511"/>
      <c r="AR98" s="1511"/>
      <c r="AS98" s="1511"/>
      <c r="AT98" s="1511"/>
      <c r="AU98" s="1511"/>
      <c r="AV98" s="1511"/>
      <c r="AW98" s="1511"/>
      <c r="AX98" s="1511"/>
      <c r="AY98" s="1511"/>
      <c r="AZ98" s="1511"/>
      <c r="BA98" s="1513"/>
    </row>
    <row r="99" spans="1:53" s="1023" customFormat="1" ht="18" x14ac:dyDescent="0.25">
      <c r="A99" s="1511"/>
      <c r="B99" s="1558" t="s">
        <v>7454</v>
      </c>
      <c r="C99" s="1559">
        <f t="shared" si="3"/>
        <v>0</v>
      </c>
      <c r="D99" s="145" t="s">
        <v>7460</v>
      </c>
      <c r="E99" s="1572">
        <f>'TRA91'!M47</f>
      </c>
      <c r="F99" s="1512"/>
      <c r="AK99" s="1511"/>
      <c r="AL99" s="1511"/>
      <c r="AM99" s="1511"/>
      <c r="AN99" s="1511"/>
      <c r="AO99" s="1511"/>
      <c r="AP99" s="1511"/>
      <c r="AQ99" s="1511"/>
      <c r="AR99" s="1511"/>
      <c r="AS99" s="1511"/>
      <c r="AT99" s="1511"/>
      <c r="AU99" s="1511"/>
      <c r="AV99" s="1511"/>
      <c r="AW99" s="1511"/>
      <c r="AX99" s="1511"/>
      <c r="AY99" s="1511"/>
      <c r="AZ99" s="1511"/>
      <c r="BA99" s="1513"/>
    </row>
    <row r="100" spans="1:53" s="1023" customFormat="1" ht="18" x14ac:dyDescent="0.25">
      <c r="A100" s="1511"/>
      <c r="B100" s="1558" t="s">
        <v>7800</v>
      </c>
      <c r="C100" s="1559">
        <f t="shared" si="3"/>
        <v>0</v>
      </c>
      <c r="D100" s="145" t="s">
        <v>7795</v>
      </c>
      <c r="E100" s="1572">
        <f>'TRA92'!M48</f>
      </c>
      <c r="F100" s="1512"/>
      <c r="AK100" s="1511"/>
      <c r="AL100" s="1511"/>
      <c r="AM100" s="1511"/>
      <c r="AN100" s="1511"/>
      <c r="AO100" s="1511"/>
      <c r="AP100" s="1511"/>
      <c r="AQ100" s="1511"/>
      <c r="AR100" s="1511"/>
      <c r="AS100" s="1511"/>
      <c r="AT100" s="1511"/>
      <c r="AU100" s="1511"/>
      <c r="AV100" s="1511"/>
      <c r="AW100" s="1511"/>
      <c r="AX100" s="1511"/>
      <c r="AY100" s="1511"/>
      <c r="AZ100" s="1511"/>
      <c r="BA100" s="1513"/>
    </row>
    <row r="101" spans="1:53" s="1023" customFormat="1" ht="18" hidden="1" x14ac:dyDescent="0.25">
      <c r="A101" s="1511"/>
      <c r="B101" s="1558" t="s">
        <v>7765</v>
      </c>
      <c r="C101" s="1559">
        <f t="shared" si="3"/>
        <v>0</v>
      </c>
      <c r="D101" s="145" t="s">
        <v>7796</v>
      </c>
      <c r="E101" s="2669">
        <f>'TRA93'!L44</f>
      </c>
      <c r="F101" s="1512"/>
      <c r="AK101" s="1511"/>
      <c r="AL101" s="1511"/>
      <c r="AM101" s="1511"/>
      <c r="AN101" s="1511"/>
      <c r="AO101" s="1511"/>
      <c r="AP101" s="1511"/>
      <c r="AQ101" s="1511"/>
      <c r="AR101" s="1511"/>
      <c r="AS101" s="1511"/>
      <c r="AT101" s="1511"/>
      <c r="AU101" s="1511"/>
      <c r="AV101" s="1511"/>
      <c r="AW101" s="1511"/>
      <c r="AX101" s="1511"/>
      <c r="AY101" s="1511"/>
      <c r="AZ101" s="1511"/>
      <c r="BA101" s="1513"/>
    </row>
    <row r="102" spans="1:53" s="1023" customFormat="1" ht="18" x14ac:dyDescent="0.25">
      <c r="A102" s="1511"/>
      <c r="B102" s="1558" t="s">
        <v>7768</v>
      </c>
      <c r="C102" s="1559">
        <f t="shared" si="3"/>
        <v>0</v>
      </c>
      <c r="D102" s="145" t="s">
        <v>7799</v>
      </c>
      <c r="E102" s="1572">
        <f>'TRA94'!L36</f>
      </c>
      <c r="F102" s="1512"/>
      <c r="AK102" s="1511"/>
      <c r="AL102" s="1511"/>
      <c r="AM102" s="1511"/>
      <c r="AN102" s="1511"/>
      <c r="AO102" s="1511"/>
      <c r="AP102" s="1511"/>
      <c r="AQ102" s="1511"/>
      <c r="AR102" s="1511"/>
      <c r="AS102" s="1511"/>
      <c r="AT102" s="1511"/>
      <c r="AU102" s="1511"/>
      <c r="AV102" s="1511"/>
      <c r="AW102" s="1511"/>
      <c r="AX102" s="1511"/>
      <c r="AY102" s="1511"/>
      <c r="AZ102" s="1511"/>
      <c r="BA102" s="1513"/>
    </row>
    <row r="103" spans="1:53" s="1023" customFormat="1" ht="18" hidden="1" x14ac:dyDescent="0.25">
      <c r="A103" s="1511"/>
      <c r="B103" s="1558" t="s">
        <v>7991</v>
      </c>
      <c r="C103" s="1559">
        <f t="shared" si="3"/>
        <v>0</v>
      </c>
      <c r="D103" s="145" t="s">
        <v>8373</v>
      </c>
      <c r="E103" s="1572">
        <f>'TRA95'!P44</f>
      </c>
      <c r="F103" s="1512"/>
      <c r="G103" s="1023">
        <f>'TRA95'!Q40</f>
      </c>
      <c r="AK103" s="1511"/>
      <c r="AL103" s="1511"/>
      <c r="AM103" s="1511"/>
      <c r="AN103" s="1511"/>
      <c r="AO103" s="1511"/>
      <c r="AP103" s="1511"/>
      <c r="AQ103" s="1511"/>
      <c r="AR103" s="1511"/>
      <c r="AS103" s="1511"/>
      <c r="AT103" s="1511"/>
      <c r="AU103" s="1511"/>
      <c r="AV103" s="1511"/>
      <c r="AW103" s="1511"/>
      <c r="AX103" s="1511"/>
      <c r="AY103" s="1511"/>
      <c r="AZ103" s="1511"/>
      <c r="BA103" s="1513"/>
    </row>
    <row r="104" spans="1:53" s="1023" customFormat="1" ht="18" x14ac:dyDescent="0.25">
      <c r="A104" s="1511"/>
      <c r="B104" s="1558" t="s">
        <v>7992</v>
      </c>
      <c r="C104" s="1559">
        <f t="shared" si="3"/>
        <v>0</v>
      </c>
      <c r="D104" s="145" t="s">
        <v>10152</v>
      </c>
      <c r="E104" s="1572">
        <f>'TRA96'!L91</f>
      </c>
      <c r="F104" s="1512"/>
      <c r="G104" s="1023">
        <f>'TRA96'!M91</f>
      </c>
      <c r="AK104" s="1511"/>
      <c r="AL104" s="1511"/>
      <c r="AM104" s="1511"/>
      <c r="AN104" s="1511"/>
      <c r="AO104" s="1511"/>
      <c r="AP104" s="1511"/>
      <c r="AQ104" s="1511"/>
      <c r="AR104" s="1511"/>
      <c r="AS104" s="1511"/>
      <c r="AT104" s="1511"/>
      <c r="AU104" s="1511"/>
      <c r="AV104" s="1511"/>
      <c r="AW104" s="1511"/>
      <c r="AX104" s="1511"/>
      <c r="AY104" s="1511"/>
      <c r="AZ104" s="1511"/>
      <c r="BA104" s="1513"/>
    </row>
    <row r="105" spans="1:53" s="1023" customFormat="1" ht="18" x14ac:dyDescent="0.25">
      <c r="A105" s="1511"/>
      <c r="B105" s="1558" t="s">
        <v>7993</v>
      </c>
      <c r="C105" s="1559">
        <f t="shared" si="3"/>
        <v>0</v>
      </c>
      <c r="D105" s="145" t="s">
        <v>8110</v>
      </c>
      <c r="E105" s="1572">
        <f>'TRA97'!K49</f>
      </c>
      <c r="F105" s="1512"/>
      <c r="AK105" s="1511"/>
      <c r="AL105" s="1511"/>
      <c r="AM105" s="1511"/>
      <c r="AN105" s="1511"/>
      <c r="AO105" s="1511"/>
      <c r="AP105" s="1511"/>
      <c r="AQ105" s="1511"/>
      <c r="AR105" s="1511"/>
      <c r="AS105" s="1511"/>
      <c r="AT105" s="1511"/>
      <c r="AU105" s="1511"/>
      <c r="AV105" s="1511"/>
      <c r="AW105" s="1511"/>
      <c r="AX105" s="1511"/>
      <c r="AY105" s="1511"/>
      <c r="AZ105" s="1511"/>
      <c r="BA105" s="1513"/>
    </row>
    <row r="106" spans="1:53" s="1023" customFormat="1" ht="18" x14ac:dyDescent="0.25">
      <c r="A106" s="1511"/>
      <c r="B106" s="1558" t="s">
        <v>7994</v>
      </c>
      <c r="C106" s="1559">
        <f t="shared" si="3"/>
        <v>0</v>
      </c>
      <c r="D106" s="145" t="s">
        <v>8197</v>
      </c>
      <c r="E106" s="1572">
        <f>'TRA98'!L43</f>
      </c>
      <c r="F106" s="1512"/>
      <c r="AK106" s="1511"/>
      <c r="AL106" s="1511"/>
      <c r="AM106" s="1511"/>
      <c r="AN106" s="1511"/>
      <c r="AO106" s="1511"/>
      <c r="AP106" s="1511"/>
      <c r="AQ106" s="1511"/>
      <c r="AR106" s="1511"/>
      <c r="AS106" s="1511"/>
      <c r="AT106" s="1511"/>
      <c r="AU106" s="1511"/>
      <c r="AV106" s="1511"/>
      <c r="AW106" s="1511"/>
      <c r="AX106" s="1511"/>
      <c r="AY106" s="1511"/>
      <c r="AZ106" s="1511"/>
      <c r="BA106" s="1513"/>
    </row>
    <row r="107" spans="1:53" s="1023" customFormat="1" ht="18" x14ac:dyDescent="0.25">
      <c r="A107" s="1511"/>
      <c r="B107" s="1558" t="s">
        <v>7995</v>
      </c>
      <c r="C107" s="1559">
        <f t="shared" si="3"/>
        <v>0</v>
      </c>
      <c r="D107" s="145" t="s">
        <v>8213</v>
      </c>
      <c r="E107" s="1572">
        <f>'TRA99'!L35</f>
      </c>
      <c r="F107" s="1512"/>
      <c r="AK107" s="1511"/>
      <c r="AL107" s="1511"/>
      <c r="AM107" s="1511"/>
      <c r="AN107" s="1511"/>
      <c r="AO107" s="1511"/>
      <c r="AP107" s="1511"/>
      <c r="AQ107" s="1511"/>
      <c r="AR107" s="1511"/>
      <c r="AS107" s="1511"/>
      <c r="AT107" s="1511"/>
      <c r="AU107" s="1511"/>
      <c r="AV107" s="1511"/>
      <c r="AW107" s="1511"/>
      <c r="AX107" s="1511"/>
      <c r="AY107" s="1511"/>
      <c r="AZ107" s="1511"/>
      <c r="BA107" s="1513"/>
    </row>
    <row r="108" spans="1:53" s="1023" customFormat="1" ht="18" x14ac:dyDescent="0.25">
      <c r="A108" s="1511"/>
      <c r="B108" s="1558" t="s">
        <v>7996</v>
      </c>
      <c r="C108" s="1559">
        <f t="shared" si="3"/>
        <v>0</v>
      </c>
      <c r="D108" s="145" t="s">
        <v>8341</v>
      </c>
      <c r="E108" s="2669">
        <f>'TRA100'!O150</f>
      </c>
      <c r="F108" s="1512"/>
      <c r="AK108" s="1511"/>
      <c r="AL108" s="1511"/>
      <c r="AM108" s="1511"/>
      <c r="AN108" s="1511"/>
      <c r="AO108" s="1511"/>
      <c r="AP108" s="1511"/>
      <c r="AQ108" s="1511"/>
      <c r="AR108" s="1511"/>
      <c r="AS108" s="1511"/>
      <c r="AT108" s="1511"/>
      <c r="AU108" s="1511"/>
      <c r="AV108" s="1511"/>
      <c r="AW108" s="1511"/>
      <c r="AX108" s="1511"/>
      <c r="AY108" s="1511"/>
      <c r="AZ108" s="1511"/>
      <c r="BA108" s="1513"/>
    </row>
    <row r="109" spans="1:53" s="1023" customFormat="1" ht="18" x14ac:dyDescent="0.25">
      <c r="A109" s="1511"/>
      <c r="B109" s="1558" t="s">
        <v>9107</v>
      </c>
      <c r="C109" s="1559">
        <f>IF(E109=0,0,IF(E109=1,1,IF(E109=100,"x")))</f>
      </c>
      <c r="D109" s="145" t="s">
        <v>9108</v>
      </c>
      <c r="E109" s="2669">
        <f>TRA100A!M121</f>
      </c>
      <c r="F109" s="1512"/>
      <c r="AK109" s="1511"/>
      <c r="AL109" s="1511"/>
      <c r="AM109" s="1511"/>
      <c r="AN109" s="1511"/>
      <c r="AO109" s="1511"/>
      <c r="AP109" s="1511"/>
      <c r="AQ109" s="1511"/>
      <c r="AR109" s="1511"/>
      <c r="AS109" s="1511"/>
      <c r="AT109" s="1511"/>
      <c r="AU109" s="1511"/>
      <c r="AV109" s="1511"/>
      <c r="AW109" s="1511"/>
      <c r="AX109" s="1511"/>
      <c r="AY109" s="1511"/>
      <c r="AZ109" s="1511"/>
      <c r="BA109" s="1513"/>
    </row>
    <row r="110" spans="1:53" s="1023" customFormat="1" ht="18" x14ac:dyDescent="0.25">
      <c r="A110" s="1511"/>
      <c r="B110" s="1558" t="s">
        <v>7997</v>
      </c>
      <c r="C110" s="1559">
        <f t="shared" si="3"/>
        <v>0</v>
      </c>
      <c r="D110" s="145" t="s">
        <v>8312</v>
      </c>
      <c r="E110" s="2750">
        <f>'TRA101'!N20</f>
      </c>
      <c r="F110" s="2670"/>
      <c r="G110" s="1776"/>
      <c r="AK110" s="1511"/>
      <c r="AL110" s="1511"/>
      <c r="AM110" s="1511"/>
      <c r="AN110" s="1511"/>
      <c r="AO110" s="1511"/>
      <c r="AP110" s="1511"/>
      <c r="AQ110" s="1511"/>
      <c r="AR110" s="1511"/>
      <c r="AS110" s="1511"/>
      <c r="AT110" s="1511"/>
      <c r="AU110" s="1511"/>
      <c r="AV110" s="1511"/>
      <c r="AW110" s="1511"/>
      <c r="AX110" s="1511"/>
      <c r="AY110" s="1511"/>
      <c r="AZ110" s="1511"/>
      <c r="BA110" s="1513"/>
    </row>
    <row r="111" spans="1:53" s="1023" customFormat="1" ht="18" x14ac:dyDescent="0.25">
      <c r="A111" s="1511"/>
      <c r="B111" s="1558" t="s">
        <v>7998</v>
      </c>
      <c r="C111" s="1559">
        <f t="shared" si="3"/>
        <v>0</v>
      </c>
      <c r="D111" s="145" t="s">
        <v>8304</v>
      </c>
      <c r="E111" s="2750">
        <f>'TRA102'!M50</f>
      </c>
      <c r="F111" s="2670"/>
      <c r="G111" s="1776"/>
      <c r="AK111" s="1511"/>
      <c r="AL111" s="1511"/>
      <c r="AM111" s="1511"/>
      <c r="AN111" s="1511"/>
      <c r="AO111" s="1511"/>
      <c r="AP111" s="1511"/>
      <c r="AQ111" s="1511"/>
      <c r="AR111" s="1511"/>
      <c r="AS111" s="1511"/>
      <c r="AT111" s="1511"/>
      <c r="AU111" s="1511"/>
      <c r="AV111" s="1511"/>
      <c r="AW111" s="1511"/>
      <c r="AX111" s="1511"/>
      <c r="AY111" s="1511"/>
      <c r="AZ111" s="1511"/>
      <c r="BA111" s="1513"/>
    </row>
    <row r="112" spans="1:53" s="1023" customFormat="1" ht="18" hidden="1" x14ac:dyDescent="0.25">
      <c r="A112" s="1511"/>
      <c r="B112" s="1558" t="s">
        <v>8295</v>
      </c>
      <c r="C112" s="1559">
        <f t="shared" si="3"/>
        <v>0</v>
      </c>
      <c r="D112" s="145" t="s">
        <v>8305</v>
      </c>
      <c r="E112" s="2750">
        <f>'TRA103'!I34</f>
      </c>
      <c r="F112" s="2670"/>
      <c r="G112" s="1776"/>
      <c r="AK112" s="1511"/>
      <c r="AL112" s="1511"/>
      <c r="AM112" s="1511"/>
      <c r="AN112" s="1511"/>
      <c r="AO112" s="1511"/>
      <c r="AP112" s="1511"/>
      <c r="AQ112" s="1511"/>
      <c r="AR112" s="1511"/>
      <c r="AS112" s="1511"/>
      <c r="AT112" s="1511"/>
      <c r="AU112" s="1511"/>
      <c r="AV112" s="1511"/>
      <c r="AW112" s="1511"/>
      <c r="AX112" s="1511"/>
      <c r="AY112" s="1511"/>
      <c r="AZ112" s="1511"/>
      <c r="BA112" s="1513"/>
    </row>
    <row r="113" spans="1:53" s="1023" customFormat="1" ht="18" x14ac:dyDescent="0.25">
      <c r="A113" s="1511"/>
      <c r="B113" s="1558" t="s">
        <v>8303</v>
      </c>
      <c r="C113" s="1559">
        <f t="shared" si="3"/>
        <v>0</v>
      </c>
      <c r="D113" s="145" t="s">
        <v>8311</v>
      </c>
      <c r="E113" s="2750">
        <f>'TRA104'!N47</f>
      </c>
      <c r="F113" s="2670"/>
      <c r="G113" s="1776"/>
      <c r="AK113" s="1511"/>
      <c r="AL113" s="1511"/>
      <c r="AM113" s="1511"/>
      <c r="AN113" s="1511"/>
      <c r="AO113" s="1511"/>
      <c r="AP113" s="1511"/>
      <c r="AQ113" s="1511"/>
      <c r="AR113" s="1511"/>
      <c r="AS113" s="1511"/>
      <c r="AT113" s="1511"/>
      <c r="AU113" s="1511"/>
      <c r="AV113" s="1511"/>
      <c r="AW113" s="1511"/>
      <c r="AX113" s="1511"/>
      <c r="AY113" s="1511"/>
      <c r="AZ113" s="1511"/>
      <c r="BA113" s="1513"/>
    </row>
    <row r="114" spans="1:53" s="1023" customFormat="1" ht="18" hidden="1" x14ac:dyDescent="0.25">
      <c r="A114" s="1511"/>
      <c r="B114" s="1558" t="s">
        <v>8309</v>
      </c>
      <c r="C114" s="1559">
        <f t="shared" si="3"/>
        <v>0</v>
      </c>
      <c r="D114" s="145" t="s">
        <v>8310</v>
      </c>
      <c r="E114" s="2750">
        <f>'TRA105'!N35</f>
      </c>
      <c r="F114" s="2670"/>
      <c r="G114" s="1776"/>
      <c r="AK114" s="1511"/>
      <c r="AL114" s="1511"/>
      <c r="AM114" s="1511"/>
      <c r="AN114" s="1511"/>
      <c r="AO114" s="1511"/>
      <c r="AP114" s="1511"/>
      <c r="AQ114" s="1511"/>
      <c r="AR114" s="1511"/>
      <c r="AS114" s="1511"/>
      <c r="AT114" s="1511"/>
      <c r="AU114" s="1511"/>
      <c r="AV114" s="1511"/>
      <c r="AW114" s="1511"/>
      <c r="AX114" s="1511"/>
      <c r="AY114" s="1511"/>
      <c r="AZ114" s="1511"/>
      <c r="BA114" s="1513"/>
    </row>
    <row r="115" spans="1:53" s="1023" customFormat="1" ht="18" hidden="1" x14ac:dyDescent="0.25">
      <c r="A115" s="1511"/>
      <c r="B115" s="1558" t="s">
        <v>8677</v>
      </c>
      <c r="C115" s="1559">
        <f t="shared" si="3"/>
        <v>0</v>
      </c>
      <c r="D115" s="145" t="s">
        <v>8680</v>
      </c>
      <c r="E115" s="1572">
        <f>'TRA106'!K32</f>
      </c>
      <c r="F115" s="1512"/>
      <c r="AK115" s="1511"/>
      <c r="AL115" s="1511"/>
      <c r="AM115" s="1511"/>
      <c r="AN115" s="1511"/>
      <c r="AO115" s="1511"/>
      <c r="AP115" s="1511"/>
      <c r="AQ115" s="1511"/>
      <c r="AR115" s="1511"/>
      <c r="AS115" s="1511"/>
      <c r="AT115" s="1511"/>
      <c r="AU115" s="1511"/>
      <c r="AV115" s="1511"/>
      <c r="AW115" s="1511"/>
      <c r="AX115" s="1511"/>
      <c r="AY115" s="1511"/>
      <c r="AZ115" s="1511"/>
      <c r="BA115" s="1513"/>
    </row>
    <row r="116" spans="1:53" s="1023" customFormat="1" ht="18" x14ac:dyDescent="0.25">
      <c r="A116" s="1511"/>
      <c r="B116" s="1558" t="s">
        <v>8732</v>
      </c>
      <c r="C116" s="1559">
        <f>IF(E116=0,0,IF(E116=1,1,IF(E116=100,"x")))</f>
      </c>
      <c r="D116" s="145" t="s">
        <v>8737</v>
      </c>
      <c r="E116" s="1572">
        <f>'TRA107'!R36</f>
      </c>
      <c r="F116" s="1512"/>
      <c r="AK116" s="1511"/>
      <c r="AL116" s="1511"/>
      <c r="AM116" s="1511"/>
      <c r="AN116" s="1511"/>
      <c r="AO116" s="1511"/>
      <c r="AP116" s="1511"/>
      <c r="AQ116" s="1511"/>
      <c r="AR116" s="1511"/>
      <c r="AS116" s="1511"/>
      <c r="AT116" s="1511"/>
      <c r="AU116" s="1511"/>
      <c r="AV116" s="1511"/>
      <c r="AW116" s="1511"/>
      <c r="AX116" s="1511"/>
      <c r="AY116" s="1511"/>
      <c r="AZ116" s="1511"/>
      <c r="BA116" s="1513"/>
    </row>
    <row r="117" spans="1:53" s="1023" customFormat="1" ht="18" x14ac:dyDescent="0.25">
      <c r="A117" s="1511"/>
      <c r="B117" s="1558" t="s">
        <v>8733</v>
      </c>
      <c r="C117" s="1559">
        <f>IF(E117=0,0,IF(E117=1,1,IF(E117=100,"x")))</f>
      </c>
      <c r="D117" s="145" t="s">
        <v>8735</v>
      </c>
      <c r="E117" s="1572">
        <f>'TRA108'!N41</f>
      </c>
      <c r="F117" s="1512"/>
      <c r="AK117" s="1511"/>
      <c r="AL117" s="1511"/>
      <c r="AM117" s="1511"/>
      <c r="AN117" s="1511"/>
      <c r="AO117" s="1511"/>
      <c r="AP117" s="1511"/>
      <c r="AQ117" s="1511"/>
      <c r="AR117" s="1511"/>
      <c r="AS117" s="1511"/>
      <c r="AT117" s="1511"/>
      <c r="AU117" s="1511"/>
      <c r="AV117" s="1511"/>
      <c r="AW117" s="1511"/>
      <c r="AX117" s="1511"/>
      <c r="AY117" s="1511"/>
      <c r="AZ117" s="1511"/>
      <c r="BA117" s="1513"/>
    </row>
    <row r="118" spans="1:53" s="1023" customFormat="1" ht="18" x14ac:dyDescent="0.25">
      <c r="A118" s="1511"/>
      <c r="B118" s="1558" t="s">
        <v>8734</v>
      </c>
      <c r="C118" s="1559">
        <f>IF(E118=0,0,IF(E118=1,1,IF(E118=100,"x")))</f>
      </c>
      <c r="D118" s="145" t="s">
        <v>8736</v>
      </c>
      <c r="E118" s="1572">
        <f>'TRA109'!L44</f>
      </c>
      <c r="F118" s="1512"/>
      <c r="AK118" s="1511"/>
      <c r="AL118" s="1511"/>
      <c r="AM118" s="1511"/>
      <c r="AN118" s="1511"/>
      <c r="AO118" s="1511"/>
      <c r="AP118" s="1511"/>
      <c r="AQ118" s="1511"/>
      <c r="AR118" s="1511"/>
      <c r="AS118" s="1511"/>
      <c r="AT118" s="1511"/>
      <c r="AU118" s="1511"/>
      <c r="AV118" s="1511"/>
      <c r="AW118" s="1511"/>
      <c r="AX118" s="1511"/>
      <c r="AY118" s="1511"/>
      <c r="AZ118" s="1511"/>
      <c r="BA118" s="1513"/>
    </row>
    <row r="119" spans="1:53" s="1023" customFormat="1" ht="18" x14ac:dyDescent="0.25">
      <c r="A119" s="1511"/>
      <c r="B119" s="1558" t="s">
        <v>8876</v>
      </c>
      <c r="C119" s="1559">
        <f>IF(E119=0,0,IF(E119=1,1,IF(E119=100,"x")))</f>
      </c>
      <c r="D119" s="145" t="s">
        <v>8856</v>
      </c>
      <c r="E119" s="1572">
        <f>'TRA110'!N248</f>
      </c>
      <c r="F119" s="1512"/>
      <c r="AK119" s="1511"/>
      <c r="AL119" s="1511"/>
      <c r="AM119" s="1511"/>
      <c r="AN119" s="1511"/>
      <c r="AO119" s="1511"/>
      <c r="AP119" s="1511"/>
      <c r="AQ119" s="1511"/>
      <c r="AR119" s="1511"/>
      <c r="AS119" s="1511"/>
      <c r="AT119" s="1511"/>
      <c r="AU119" s="1511"/>
      <c r="AV119" s="1511"/>
      <c r="AW119" s="1511"/>
      <c r="AX119" s="1511"/>
      <c r="AY119" s="1511"/>
      <c r="AZ119" s="1511"/>
      <c r="BA119" s="1513"/>
    </row>
    <row r="120" spans="1:53" s="1023" customFormat="1" ht="18" x14ac:dyDescent="0.25">
      <c r="A120" s="1511"/>
      <c r="B120" s="1558" t="s">
        <v>9193</v>
      </c>
      <c r="C120" s="1559">
        <f>IF(E120=0,0,IF(E120=1,1,IF(E120=100,"x")))</f>
      </c>
      <c r="D120" s="145" t="s">
        <v>10131</v>
      </c>
      <c r="E120" s="1572">
        <f>'TRA111'!R96</f>
      </c>
      <c r="F120" s="1512"/>
      <c r="AK120" s="1511"/>
      <c r="AL120" s="1511"/>
      <c r="AM120" s="1511"/>
      <c r="AN120" s="1511"/>
      <c r="AO120" s="1511"/>
      <c r="AP120" s="1511"/>
      <c r="AQ120" s="1511"/>
      <c r="AR120" s="1511"/>
      <c r="AS120" s="1511"/>
      <c r="AT120" s="1511"/>
      <c r="AU120" s="1511"/>
      <c r="AV120" s="1511"/>
      <c r="AW120" s="1511"/>
      <c r="AX120" s="1511"/>
      <c r="AY120" s="1511"/>
      <c r="AZ120" s="1511"/>
      <c r="BA120" s="1513"/>
    </row>
    <row r="121" spans="1:53" s="1023" customFormat="1" ht="18" x14ac:dyDescent="0.25">
      <c r="A121" s="1511"/>
      <c r="B121" s="1558" t="s">
        <v>9206</v>
      </c>
      <c r="C121" s="1559">
        <f t="shared" ref="C121:C133" si="4">IF(E121=0,0,IF(E121=1,1,IF(E121=100,"x")))</f>
      </c>
      <c r="D121" s="145" t="s">
        <v>10132</v>
      </c>
      <c r="E121" s="1572">
        <f>'TRA112'!O480</f>
      </c>
      <c r="F121" s="1512"/>
      <c r="AK121" s="1511"/>
      <c r="AL121" s="1511"/>
      <c r="AM121" s="1511"/>
      <c r="AN121" s="1511"/>
      <c r="AO121" s="1511"/>
      <c r="AP121" s="1511"/>
      <c r="AQ121" s="1511"/>
      <c r="AR121" s="1511"/>
      <c r="AS121" s="1511"/>
      <c r="AT121" s="1511"/>
      <c r="AU121" s="1511"/>
      <c r="AV121" s="1511"/>
      <c r="AW121" s="1511"/>
      <c r="AX121" s="1511"/>
      <c r="AY121" s="1511"/>
      <c r="AZ121" s="1511"/>
      <c r="BA121" s="1513"/>
    </row>
    <row r="122" spans="1:53" s="1023" customFormat="1" ht="18" x14ac:dyDescent="0.25">
      <c r="A122" s="1511"/>
      <c r="B122" s="1558" t="s">
        <v>9234</v>
      </c>
      <c r="C122" s="1559">
        <f t="shared" si="4"/>
        <v>0</v>
      </c>
      <c r="D122" s="145" t="s">
        <v>9262</v>
      </c>
      <c r="E122" s="1572">
        <f>'TRA113'!Q78</f>
      </c>
      <c r="F122" s="1512"/>
      <c r="AK122" s="1511"/>
      <c r="AL122" s="1511"/>
      <c r="AM122" s="1511"/>
      <c r="AN122" s="1511"/>
      <c r="AO122" s="1511"/>
      <c r="AP122" s="1511"/>
      <c r="AQ122" s="1511"/>
      <c r="AR122" s="1511"/>
      <c r="AS122" s="1511"/>
      <c r="AT122" s="1511"/>
      <c r="AU122" s="1511"/>
      <c r="AV122" s="1511"/>
      <c r="AW122" s="1511"/>
      <c r="AX122" s="1511"/>
      <c r="AY122" s="1511"/>
      <c r="AZ122" s="1511"/>
      <c r="BA122" s="1513"/>
    </row>
    <row r="123" spans="1:53" s="1023" customFormat="1" ht="18" hidden="1" x14ac:dyDescent="0.25">
      <c r="A123" s="1511"/>
      <c r="B123" s="1558" t="s">
        <v>9238</v>
      </c>
      <c r="C123" s="1559">
        <f t="shared" si="4"/>
        <v>0</v>
      </c>
      <c r="D123" s="145" t="s">
        <v>9240</v>
      </c>
      <c r="E123" s="1572">
        <f>'TRA114'!M136</f>
      </c>
      <c r="F123" s="1512"/>
      <c r="AK123" s="1511"/>
      <c r="AL123" s="1511"/>
      <c r="AM123" s="1511"/>
      <c r="AN123" s="1511"/>
      <c r="AO123" s="1511"/>
      <c r="AP123" s="1511"/>
      <c r="AQ123" s="1511"/>
      <c r="AR123" s="1511"/>
      <c r="AS123" s="1511"/>
      <c r="AT123" s="1511"/>
      <c r="AU123" s="1511"/>
      <c r="AV123" s="1511"/>
      <c r="AW123" s="1511"/>
      <c r="AX123" s="1511"/>
      <c r="AY123" s="1511"/>
      <c r="AZ123" s="1511"/>
      <c r="BA123" s="1513"/>
    </row>
    <row r="124" spans="1:53" s="1023" customFormat="1" ht="18" x14ac:dyDescent="0.25">
      <c r="A124" s="1511"/>
      <c r="B124" s="1558" t="s">
        <v>9239</v>
      </c>
      <c r="C124" s="1559">
        <f t="shared" si="4"/>
        <v>0</v>
      </c>
      <c r="D124" s="145" t="s">
        <v>9242</v>
      </c>
      <c r="E124" s="1572">
        <f>'TRA115'!L185</f>
      </c>
      <c r="F124" s="1512"/>
      <c r="AK124" s="1511"/>
      <c r="AL124" s="1511"/>
      <c r="AM124" s="1511"/>
      <c r="AN124" s="1511"/>
      <c r="AO124" s="1511"/>
      <c r="AP124" s="1511"/>
      <c r="AQ124" s="1511"/>
      <c r="AR124" s="1511"/>
      <c r="AS124" s="1511"/>
      <c r="AT124" s="1511"/>
      <c r="AU124" s="1511"/>
      <c r="AV124" s="1511"/>
      <c r="AW124" s="1511"/>
      <c r="AX124" s="1511"/>
      <c r="AY124" s="1511"/>
      <c r="AZ124" s="1511"/>
      <c r="BA124" s="1513"/>
    </row>
    <row r="125" spans="1:53" s="1023" customFormat="1" ht="18" x14ac:dyDescent="0.25">
      <c r="A125" s="1511"/>
      <c r="B125" s="1558" t="s">
        <v>10059</v>
      </c>
      <c r="C125" s="1559">
        <f>IF(E125=0,0,IF(E125=1,1,IF(E125=100,"x")))</f>
      </c>
      <c r="D125" s="145" t="s">
        <v>10130</v>
      </c>
      <c r="E125" s="1572">
        <f>'TRA116'!O88</f>
      </c>
      <c r="F125" s="1512"/>
      <c r="AK125" s="1511"/>
      <c r="AL125" s="1511"/>
      <c r="AM125" s="1511"/>
      <c r="AN125" s="1511"/>
      <c r="AO125" s="1511"/>
      <c r="AP125" s="1511"/>
      <c r="AQ125" s="1511"/>
      <c r="AR125" s="1511"/>
      <c r="AS125" s="1511"/>
      <c r="AT125" s="1511"/>
      <c r="AU125" s="1511"/>
      <c r="AV125" s="1511"/>
      <c r="AW125" s="1511"/>
      <c r="AX125" s="1511"/>
      <c r="AY125" s="1511"/>
      <c r="AZ125" s="1511"/>
      <c r="BA125" s="1513"/>
    </row>
    <row r="126" spans="1:53" s="1023" customFormat="1" ht="18" x14ac:dyDescent="0.25">
      <c r="A126" s="1511"/>
      <c r="B126" s="1558" t="s">
        <v>10092</v>
      </c>
      <c r="C126" s="1559">
        <f>IF(E126=0,0,IF(E126=1,1,IF(E126=100,"x")))</f>
      </c>
      <c r="D126" s="145" t="s">
        <v>10129</v>
      </c>
      <c r="E126" s="1572">
        <f>'TRA117'!P400</f>
      </c>
      <c r="F126" s="1512"/>
      <c r="AK126" s="1511"/>
      <c r="AL126" s="1511"/>
      <c r="AM126" s="1511"/>
      <c r="AN126" s="1511"/>
      <c r="AO126" s="1511"/>
      <c r="AP126" s="1511"/>
      <c r="AQ126" s="1511"/>
      <c r="AR126" s="1511"/>
      <c r="AS126" s="1511"/>
      <c r="AT126" s="1511"/>
      <c r="AU126" s="1511"/>
      <c r="AV126" s="1511"/>
      <c r="AW126" s="1511"/>
      <c r="AX126" s="1511"/>
      <c r="AY126" s="1511"/>
      <c r="AZ126" s="1511"/>
      <c r="BA126" s="1513"/>
    </row>
    <row r="127" spans="1:53" s="1023" customFormat="1" ht="18" x14ac:dyDescent="0.25">
      <c r="A127" s="1511"/>
      <c r="B127" s="1558" t="s">
        <v>10102</v>
      </c>
      <c r="C127" s="1559">
        <f t="shared" si="4"/>
        <v>0</v>
      </c>
      <c r="D127" s="145" t="s">
        <v>10133</v>
      </c>
      <c r="E127" s="1572">
        <f>'TRA118'!J114</f>
      </c>
      <c r="F127" s="1512"/>
      <c r="AK127" s="1511"/>
      <c r="AL127" s="1511"/>
      <c r="AM127" s="1511"/>
      <c r="AN127" s="1511"/>
      <c r="AO127" s="1511"/>
      <c r="AP127" s="1511"/>
      <c r="AQ127" s="1511"/>
      <c r="AR127" s="1511"/>
      <c r="AS127" s="1511"/>
      <c r="AT127" s="1511"/>
      <c r="AU127" s="1511"/>
      <c r="AV127" s="1511"/>
      <c r="AW127" s="1511"/>
      <c r="AX127" s="1511"/>
      <c r="AY127" s="1511"/>
      <c r="AZ127" s="1511"/>
      <c r="BA127" s="1513"/>
    </row>
    <row r="128" spans="1:53" s="1023" customFormat="1" ht="18" x14ac:dyDescent="0.25">
      <c r="A128" s="1511"/>
      <c r="B128" s="1558" t="s">
        <v>10116</v>
      </c>
      <c r="C128" s="1559">
        <f t="shared" si="4"/>
        <v>0</v>
      </c>
      <c r="D128" s="145" t="s">
        <v>10526</v>
      </c>
      <c r="E128" s="1572">
        <f>'TRA119'!Q68</f>
      </c>
      <c r="F128" s="1512"/>
      <c r="AK128" s="1511"/>
      <c r="AL128" s="1511"/>
      <c r="AM128" s="1511"/>
      <c r="AN128" s="1511"/>
      <c r="AO128" s="1511"/>
      <c r="AP128" s="1511"/>
      <c r="AQ128" s="1511"/>
      <c r="AR128" s="1511"/>
      <c r="AS128" s="1511"/>
      <c r="AT128" s="1511"/>
      <c r="AU128" s="1511"/>
      <c r="AV128" s="1511"/>
      <c r="AW128" s="1511"/>
      <c r="AX128" s="1511"/>
      <c r="AY128" s="1511"/>
      <c r="AZ128" s="1511"/>
      <c r="BA128" s="1513"/>
    </row>
    <row r="129" spans="1:53" s="1023" customFormat="1" ht="18" x14ac:dyDescent="0.25">
      <c r="A129" s="1511"/>
      <c r="B129" s="1558" t="s">
        <v>10120</v>
      </c>
      <c r="C129" s="1559">
        <f t="shared" si="4"/>
        <v>0</v>
      </c>
      <c r="D129" s="145" t="s">
        <v>10524</v>
      </c>
      <c r="E129" s="1572">
        <f>'TRA120'!M24</f>
      </c>
      <c r="F129" s="1512"/>
      <c r="AK129" s="1511"/>
      <c r="AL129" s="1511"/>
      <c r="AM129" s="1511"/>
      <c r="AN129" s="1511"/>
      <c r="AO129" s="1511"/>
      <c r="AP129" s="1511"/>
      <c r="AQ129" s="1511"/>
      <c r="AR129" s="1511"/>
      <c r="AS129" s="1511"/>
      <c r="AT129" s="1511"/>
      <c r="AU129" s="1511"/>
      <c r="AV129" s="1511"/>
      <c r="AW129" s="1511"/>
      <c r="AX129" s="1511"/>
      <c r="AY129" s="1511"/>
      <c r="AZ129" s="1511"/>
      <c r="BA129" s="1513"/>
    </row>
    <row r="130" spans="1:53" s="1023" customFormat="1" ht="18" x14ac:dyDescent="0.25">
      <c r="A130" s="1511"/>
      <c r="B130" s="1558" t="s">
        <v>10128</v>
      </c>
      <c r="C130" s="1559">
        <f t="shared" si="4"/>
        <v>0</v>
      </c>
      <c r="D130" s="145" t="s">
        <v>10134</v>
      </c>
      <c r="E130" s="1572">
        <f>'TRA121'!M71</f>
      </c>
      <c r="F130" s="1512"/>
      <c r="AK130" s="1511"/>
      <c r="AL130" s="1511"/>
      <c r="AM130" s="1511"/>
      <c r="AN130" s="1511"/>
      <c r="AO130" s="1511"/>
      <c r="AP130" s="1511"/>
      <c r="AQ130" s="1511"/>
      <c r="AR130" s="1511"/>
      <c r="AS130" s="1511"/>
      <c r="AT130" s="1511"/>
      <c r="AU130" s="1511"/>
      <c r="AV130" s="1511"/>
      <c r="AW130" s="1511"/>
      <c r="AX130" s="1511"/>
      <c r="AY130" s="1511"/>
      <c r="AZ130" s="1511"/>
      <c r="BA130" s="1513"/>
    </row>
    <row r="131" spans="1:53" s="1023" customFormat="1" ht="18" x14ac:dyDescent="0.25">
      <c r="A131" s="1511"/>
      <c r="B131" s="1558" t="s">
        <v>10254</v>
      </c>
      <c r="C131" s="1559">
        <f t="shared" si="4"/>
        <v>0</v>
      </c>
      <c r="D131" s="145" t="s">
        <v>10255</v>
      </c>
      <c r="E131" s="1572">
        <f>'TRA122'!M47</f>
      </c>
      <c r="F131" s="1512"/>
      <c r="AK131" s="1511"/>
      <c r="AL131" s="1511"/>
      <c r="AM131" s="1511"/>
      <c r="AN131" s="1511"/>
      <c r="AO131" s="1511"/>
      <c r="AP131" s="1511"/>
      <c r="AQ131" s="1511"/>
      <c r="AR131" s="1511"/>
      <c r="AS131" s="1511"/>
      <c r="AT131" s="1511"/>
      <c r="AU131" s="1511"/>
      <c r="AV131" s="1511"/>
      <c r="AW131" s="1511"/>
      <c r="AX131" s="1511"/>
      <c r="AY131" s="1511"/>
      <c r="AZ131" s="1511"/>
      <c r="BA131" s="1513"/>
    </row>
    <row r="132" spans="1:53" s="1023" customFormat="1" ht="18" x14ac:dyDescent="0.25">
      <c r="A132" s="1511"/>
      <c r="B132" s="1558" t="s">
        <v>10303</v>
      </c>
      <c r="C132" s="1559">
        <f t="shared" si="4"/>
        <v>0</v>
      </c>
      <c r="D132" s="145" t="s">
        <v>10304</v>
      </c>
      <c r="E132" s="1572">
        <f>'TRA123'!P261</f>
      </c>
      <c r="F132" s="1512"/>
      <c r="AK132" s="1511"/>
      <c r="AL132" s="1511"/>
      <c r="AM132" s="1511"/>
      <c r="AN132" s="1511"/>
      <c r="AO132" s="1511"/>
      <c r="AP132" s="1511"/>
      <c r="AQ132" s="1511"/>
      <c r="AR132" s="1511"/>
      <c r="AS132" s="1511"/>
      <c r="AT132" s="1511"/>
      <c r="AU132" s="1511"/>
      <c r="AV132" s="1511"/>
      <c r="AW132" s="1511"/>
      <c r="AX132" s="1511"/>
      <c r="AY132" s="1511"/>
      <c r="AZ132" s="1511"/>
      <c r="BA132" s="1513"/>
    </row>
    <row r="133" spans="1:53" s="1023" customFormat="1" ht="18" x14ac:dyDescent="0.25">
      <c r="A133" s="1511"/>
      <c r="B133" s="1558" t="s">
        <v>10314</v>
      </c>
      <c r="C133" s="1559">
        <f t="shared" si="4"/>
        <v>0</v>
      </c>
      <c r="D133" s="3974" t="s">
        <v>10367</v>
      </c>
      <c r="E133" s="1572">
        <f>'TRA124'!K196</f>
      </c>
      <c r="F133" s="1512"/>
      <c r="AK133" s="1511"/>
      <c r="AL133" s="1511"/>
      <c r="AM133" s="1511"/>
      <c r="AN133" s="1511"/>
      <c r="AO133" s="1511"/>
      <c r="AP133" s="1511"/>
      <c r="AQ133" s="1511"/>
      <c r="AR133" s="1511"/>
      <c r="AS133" s="1511"/>
      <c r="AT133" s="1511"/>
      <c r="AU133" s="1511"/>
      <c r="AV133" s="1511"/>
      <c r="AW133" s="1511"/>
      <c r="AX133" s="1511"/>
      <c r="AY133" s="1511"/>
      <c r="AZ133" s="1511"/>
      <c r="BA133" s="1513"/>
    </row>
    <row r="134" spans="1:53" s="1023" customFormat="1" ht="18" hidden="1" x14ac:dyDescent="0.25">
      <c r="A134" s="1511"/>
      <c r="B134" s="1558" t="s">
        <v>10351</v>
      </c>
      <c r="C134" s="1559">
        <f t="shared" ref="C134:C140" si="5">IF(E134=0,0,IF(E134=1,1,IF(E134=100,"x")))</f>
      </c>
      <c r="D134" s="145" t="s">
        <v>10453</v>
      </c>
      <c r="E134" s="1572">
        <f>'TRA125'!P174</f>
      </c>
      <c r="F134" s="1512"/>
      <c r="AK134" s="1511"/>
      <c r="AL134" s="1511"/>
      <c r="AM134" s="1511"/>
      <c r="AN134" s="1511"/>
      <c r="AO134" s="1511"/>
      <c r="AP134" s="1511"/>
      <c r="AQ134" s="1511"/>
      <c r="AR134" s="1511"/>
      <c r="AS134" s="1511"/>
      <c r="AT134" s="1511"/>
      <c r="AU134" s="1511"/>
      <c r="AV134" s="1511"/>
      <c r="AW134" s="1511"/>
      <c r="AX134" s="1511"/>
      <c r="AY134" s="1511"/>
      <c r="AZ134" s="1511"/>
      <c r="BA134" s="1513"/>
    </row>
    <row r="135" spans="1:53" s="1023" customFormat="1" ht="18" x14ac:dyDescent="0.25">
      <c r="A135" s="1511"/>
      <c r="B135" s="1558" t="s">
        <v>10473</v>
      </c>
      <c r="C135" s="1559">
        <f t="shared" si="5"/>
        <v>0</v>
      </c>
      <c r="D135" s="145" t="s">
        <v>10474</v>
      </c>
      <c r="E135" s="1572">
        <f>'TRA126'!M91</f>
      </c>
      <c r="F135" s="1512"/>
      <c r="AK135" s="1511"/>
      <c r="AL135" s="1511"/>
      <c r="AM135" s="1511"/>
      <c r="AN135" s="1511"/>
      <c r="AO135" s="1511"/>
      <c r="AP135" s="1511"/>
      <c r="AQ135" s="1511"/>
      <c r="AR135" s="1511"/>
      <c r="AS135" s="1511"/>
      <c r="AT135" s="1511"/>
      <c r="AU135" s="1511"/>
      <c r="AV135" s="1511"/>
      <c r="AW135" s="1511"/>
      <c r="AX135" s="1511"/>
      <c r="AY135" s="1511"/>
      <c r="AZ135" s="1511"/>
      <c r="BA135" s="1513"/>
    </row>
    <row r="136" spans="1:53" s="1023" customFormat="1" ht="18" x14ac:dyDescent="0.25">
      <c r="A136" s="1511"/>
      <c r="B136" s="1558" t="s">
        <v>10477</v>
      </c>
      <c r="C136" s="1559">
        <f t="shared" si="5"/>
        <v>0</v>
      </c>
      <c r="D136" s="145" t="s">
        <v>10478</v>
      </c>
      <c r="E136" s="1572">
        <f>'TRA127'!M93</f>
      </c>
      <c r="F136" s="1512"/>
      <c r="AK136" s="1511"/>
      <c r="AL136" s="1511"/>
      <c r="AM136" s="1511"/>
      <c r="AN136" s="1511"/>
      <c r="AO136" s="1511"/>
      <c r="AP136" s="1511"/>
      <c r="AQ136" s="1511"/>
      <c r="AR136" s="1511"/>
      <c r="AS136" s="1511"/>
      <c r="AT136" s="1511"/>
      <c r="AU136" s="1511"/>
      <c r="AV136" s="1511"/>
      <c r="AW136" s="1511"/>
      <c r="AX136" s="1511"/>
      <c r="AY136" s="1511"/>
      <c r="AZ136" s="1511"/>
      <c r="BA136" s="1513"/>
    </row>
    <row r="137" spans="1:53" s="1023" customFormat="1" ht="18" x14ac:dyDescent="0.25">
      <c r="A137" s="1511"/>
      <c r="B137" s="1558" t="s">
        <v>10481</v>
      </c>
      <c r="C137" s="1559">
        <f t="shared" si="5"/>
        <v>0</v>
      </c>
      <c r="D137" s="145" t="s">
        <v>10480</v>
      </c>
      <c r="E137" s="1572">
        <f>'TRA128'!M91</f>
      </c>
      <c r="F137" s="1512"/>
      <c r="AK137" s="1511"/>
      <c r="AL137" s="1511"/>
      <c r="AM137" s="1511"/>
      <c r="AN137" s="1511"/>
      <c r="AO137" s="1511"/>
      <c r="AP137" s="1511"/>
      <c r="AQ137" s="1511"/>
      <c r="AR137" s="1511"/>
      <c r="AS137" s="1511"/>
      <c r="AT137" s="1511"/>
      <c r="AU137" s="1511"/>
      <c r="AV137" s="1511"/>
      <c r="AW137" s="1511"/>
      <c r="AX137" s="1511"/>
      <c r="AY137" s="1511"/>
      <c r="AZ137" s="1511"/>
      <c r="BA137" s="1513"/>
    </row>
    <row r="138" spans="1:53" s="1023" customFormat="1" ht="18" hidden="1" x14ac:dyDescent="0.25">
      <c r="A138" s="1511"/>
      <c r="B138" s="1558" t="s">
        <v>10493</v>
      </c>
      <c r="C138" s="1559">
        <f t="shared" si="5"/>
        <v>0</v>
      </c>
      <c r="D138" s="145" t="s">
        <v>10492</v>
      </c>
      <c r="E138" s="1572">
        <f>'TRA129'!L40</f>
      </c>
      <c r="F138" s="1512"/>
      <c r="AK138" s="1511"/>
      <c r="AL138" s="1511"/>
      <c r="AM138" s="1511"/>
      <c r="AN138" s="1511"/>
      <c r="AO138" s="1511"/>
      <c r="AP138" s="1511"/>
      <c r="AQ138" s="1511"/>
      <c r="AR138" s="1511"/>
      <c r="AS138" s="1511"/>
      <c r="AT138" s="1511"/>
      <c r="AU138" s="1511"/>
      <c r="AV138" s="1511"/>
      <c r="AW138" s="1511"/>
      <c r="AX138" s="1511"/>
      <c r="AY138" s="1511"/>
      <c r="AZ138" s="1511"/>
      <c r="BA138" s="1513"/>
    </row>
    <row r="139" spans="1:53" s="1023" customFormat="1" ht="18" x14ac:dyDescent="0.25">
      <c r="A139" s="1511"/>
      <c r="B139" s="1558" t="s">
        <v>10522</v>
      </c>
      <c r="C139" s="1559">
        <f t="shared" si="5"/>
        <v>0</v>
      </c>
      <c r="D139" s="3974" t="s">
        <v>10521</v>
      </c>
      <c r="E139" s="1572">
        <f>'TRA130'!M89</f>
      </c>
      <c r="F139" s="1512"/>
      <c r="AK139" s="1511"/>
      <c r="AL139" s="1511"/>
      <c r="AM139" s="1511"/>
      <c r="AN139" s="1511"/>
      <c r="AO139" s="1511"/>
      <c r="AP139" s="1511"/>
      <c r="AQ139" s="1511"/>
      <c r="AR139" s="1511"/>
      <c r="AS139" s="1511"/>
      <c r="AT139" s="1511"/>
      <c r="AU139" s="1511"/>
      <c r="AV139" s="1511"/>
      <c r="AW139" s="1511"/>
      <c r="AX139" s="1511"/>
      <c r="AY139" s="1511"/>
      <c r="AZ139" s="1511"/>
      <c r="BA139" s="1513"/>
    </row>
    <row r="140" spans="1:53" s="1023" customFormat="1" ht="18" x14ac:dyDescent="0.25">
      <c r="A140" s="1511"/>
      <c r="B140" s="4197" t="s">
        <v>10643</v>
      </c>
      <c r="C140" s="1559">
        <f t="shared" si="5"/>
        <v>0</v>
      </c>
      <c r="D140" s="4198" t="s">
        <v>10667</v>
      </c>
      <c r="E140" s="1572">
        <f>'TRA131'!M89</f>
      </c>
      <c r="F140" s="1512"/>
      <c r="AK140" s="1511"/>
      <c r="AL140" s="1511"/>
      <c r="AM140" s="1511"/>
      <c r="AN140" s="1511"/>
      <c r="AO140" s="1511"/>
      <c r="AP140" s="1511"/>
      <c r="AQ140" s="1511"/>
      <c r="AR140" s="1511"/>
      <c r="AS140" s="1511"/>
      <c r="AT140" s="1511"/>
      <c r="AU140" s="1511"/>
      <c r="AV140" s="1511"/>
      <c r="AW140" s="1511"/>
      <c r="AX140" s="1511"/>
      <c r="AY140" s="1511"/>
      <c r="AZ140" s="1511"/>
      <c r="BA140" s="1513"/>
    </row>
    <row r="141" spans="1:53" s="1023" customFormat="1" ht="18" x14ac:dyDescent="0.25">
      <c r="A141" s="1511"/>
      <c r="B141" s="4197" t="s">
        <v>10648</v>
      </c>
      <c r="C141" s="4094">
        <f>IF(E141=0,0,IF(E141=1,1,IF(E141=100,"x")))</f>
      </c>
      <c r="D141" s="4198" t="s">
        <v>10668</v>
      </c>
      <c r="E141" s="1572">
        <f>'TRA132'!N89</f>
      </c>
      <c r="F141" s="1512"/>
      <c r="AK141" s="1511"/>
      <c r="AL141" s="1511"/>
      <c r="AM141" s="1511"/>
      <c r="AN141" s="1511"/>
      <c r="AO141" s="1511"/>
      <c r="AP141" s="1511"/>
      <c r="AQ141" s="1511"/>
      <c r="AR141" s="1511"/>
      <c r="AS141" s="1511"/>
      <c r="AT141" s="1511"/>
      <c r="AU141" s="1511"/>
      <c r="AV141" s="1511"/>
      <c r="AW141" s="1511"/>
      <c r="AX141" s="1511"/>
      <c r="AY141" s="1511"/>
      <c r="AZ141" s="1511"/>
      <c r="BA141" s="1513"/>
    </row>
    <row r="142" spans="1:53" s="1023" customFormat="1" ht="18" x14ac:dyDescent="0.25">
      <c r="A142" s="1511"/>
      <c r="B142" s="1558" t="s">
        <v>10651</v>
      </c>
      <c r="C142" s="1559">
        <f>IF(E142=0,0,IF(E142=1,1,IF(E142=100,"x")))</f>
      </c>
      <c r="D142" s="4198" t="s">
        <v>10669</v>
      </c>
      <c r="E142" s="1572">
        <f>'TRA133'!M89</f>
      </c>
      <c r="F142" s="1512"/>
      <c r="AK142" s="1511"/>
      <c r="AL142" s="1511"/>
      <c r="AM142" s="1511"/>
      <c r="AN142" s="1511"/>
      <c r="AO142" s="1511"/>
      <c r="AP142" s="1511"/>
      <c r="AQ142" s="1511"/>
      <c r="AR142" s="1511"/>
      <c r="AS142" s="1511"/>
      <c r="AT142" s="1511"/>
      <c r="AU142" s="1511"/>
      <c r="AV142" s="1511"/>
      <c r="AW142" s="1511"/>
      <c r="AX142" s="1511"/>
      <c r="AY142" s="1511"/>
      <c r="AZ142" s="1511"/>
      <c r="BA142" s="1513"/>
    </row>
    <row r="143" spans="1:53" s="1023" customFormat="1" ht="18" x14ac:dyDescent="0.25">
      <c r="A143" s="1511"/>
      <c r="B143" s="1558" t="s">
        <v>10665</v>
      </c>
      <c r="C143" s="1559">
        <f>IF(E143=0,0,IF(E143=1,1,IF(E143=100,"x")))</f>
      </c>
      <c r="D143" s="4198" t="s">
        <v>10666</v>
      </c>
      <c r="E143" s="1572">
        <f>'TRA134'!N54</f>
      </c>
      <c r="F143" s="1512"/>
      <c r="AK143" s="1511"/>
      <c r="AL143" s="1511"/>
      <c r="AM143" s="1511"/>
      <c r="AN143" s="1511"/>
      <c r="AO143" s="1511"/>
      <c r="AP143" s="1511"/>
      <c r="AQ143" s="1511"/>
      <c r="AR143" s="1511"/>
      <c r="AS143" s="1511"/>
      <c r="AT143" s="1511"/>
      <c r="AU143" s="1511"/>
      <c r="AV143" s="1511"/>
      <c r="AW143" s="1511"/>
      <c r="AX143" s="1511"/>
      <c r="AY143" s="1511"/>
      <c r="AZ143" s="1511"/>
      <c r="BA143" s="1513"/>
    </row>
    <row r="144" spans="1:53" s="1023" customFormat="1" ht="18" hidden="1" x14ac:dyDescent="0.25">
      <c r="A144" s="1511"/>
      <c r="B144" s="1558" t="s">
        <v>10710</v>
      </c>
      <c r="C144" s="1559">
        <f>IF(E144=0,0,IF(E144=1,1,IF(E144=100,"x")))</f>
      </c>
      <c r="D144" s="4198" t="s">
        <v>10711</v>
      </c>
      <c r="E144" s="1572">
        <f>'TRA135'!P97</f>
      </c>
      <c r="F144" s="1512"/>
      <c r="AK144" s="1511"/>
      <c r="AL144" s="1511"/>
      <c r="AM144" s="1511"/>
      <c r="AN144" s="1511"/>
      <c r="AO144" s="1511"/>
      <c r="AP144" s="1511"/>
      <c r="AQ144" s="1511"/>
      <c r="AR144" s="1511"/>
      <c r="AS144" s="1511"/>
      <c r="AT144" s="1511"/>
      <c r="AU144" s="1511"/>
      <c r="AV144" s="1511"/>
      <c r="AW144" s="1511"/>
      <c r="AX144" s="1511"/>
      <c r="AY144" s="1511"/>
      <c r="AZ144" s="1511"/>
      <c r="BA144" s="1513"/>
    </row>
    <row r="145" spans="1:53" s="1023" customFormat="1" ht="18" hidden="1" x14ac:dyDescent="0.25">
      <c r="A145" s="1511"/>
      <c r="B145" s="4197" t="s">
        <v>10745</v>
      </c>
      <c r="C145" s="1559">
        <f>IF(E145=0,0,IF(E145=1,1,IF(E145=100,"x")))</f>
      </c>
      <c r="D145" s="4198" t="s">
        <v>10748</v>
      </c>
      <c r="E145" s="1572">
        <f>'TRA136'!L325</f>
      </c>
      <c r="F145" s="1512"/>
      <c r="G145" s="1023">
        <f>'TRA136'!O325</f>
      </c>
      <c r="AK145" s="1511"/>
      <c r="AL145" s="1511"/>
      <c r="AM145" s="1511"/>
      <c r="AN145" s="1511"/>
      <c r="AO145" s="1511"/>
      <c r="AP145" s="1511"/>
      <c r="AQ145" s="1511"/>
      <c r="AR145" s="1511"/>
      <c r="AS145" s="1511"/>
      <c r="AT145" s="1511"/>
      <c r="AU145" s="1511"/>
      <c r="AV145" s="1511"/>
      <c r="AW145" s="1511"/>
      <c r="AX145" s="1511"/>
      <c r="AY145" s="1511"/>
      <c r="AZ145" s="1511"/>
      <c r="BA145" s="1513"/>
    </row>
    <row r="146" spans="1:53" s="28" customFormat="1" ht="18" x14ac:dyDescent="0.25">
      <c r="A146" s="66"/>
      <c r="B146" s="1558" t="s">
        <v>2314</v>
      </c>
      <c r="C146" s="1559">
        <f t="shared" si="3"/>
        <v>1</v>
      </c>
      <c r="D146" s="145" t="s">
        <v>2315</v>
      </c>
      <c r="E146" s="1568">
        <f>IF(dts&lt;&gt;3,100,IF('p1'!Z70="",100,1))</f>
      </c>
      <c r="H146" s="28" t="s">
        <v>6822</v>
      </c>
      <c r="I146" s="28" t="s">
        <v>6822</v>
      </c>
      <c r="J146" s="28">
        <v>2</v>
      </c>
      <c r="K146" s="28">
        <v>13</v>
      </c>
      <c r="AK146" s="66"/>
      <c r="AL146" s="66"/>
      <c r="AM146" s="66"/>
      <c r="AN146" s="66"/>
      <c r="AO146" s="66"/>
      <c r="AP146" s="66"/>
      <c r="AQ146" s="66"/>
      <c r="AR146" s="66"/>
      <c r="AS146" s="66"/>
      <c r="AT146" s="66"/>
      <c r="AU146" s="66"/>
      <c r="AV146" s="66"/>
      <c r="AW146" s="66"/>
      <c r="AX146" s="66"/>
      <c r="AY146" s="66"/>
      <c r="AZ146" s="66"/>
      <c r="BA146" s="142" t="s">
        <v>2315</v>
      </c>
    </row>
    <row r="147" spans="1:53" s="28" customFormat="1" ht="18" x14ac:dyDescent="0.25">
      <c r="A147" s="66"/>
      <c r="B147" s="1558" t="s">
        <v>2316</v>
      </c>
      <c r="C147" s="1559">
        <f t="shared" si="3"/>
        <v>1</v>
      </c>
      <c r="D147" s="145" t="str">
        <f>IF(G147=1,BA147&amp;warn1,BA147)</f>
      </c>
      <c r="E147" s="1568">
        <f>'p2'!T97</f>
      </c>
      <c r="G147" s="28">
        <f>IF('p2'!N65=0,0,1)</f>
      </c>
      <c r="H147" s="28" t="s">
        <v>6823</v>
      </c>
      <c r="I147" s="28" t="s">
        <v>6823</v>
      </c>
      <c r="J147" s="28">
        <v>17</v>
      </c>
      <c r="K147" s="28">
        <v>63</v>
      </c>
      <c r="AK147" s="66"/>
      <c r="AL147" s="66"/>
      <c r="AM147" s="66"/>
      <c r="AN147" s="66"/>
      <c r="AO147" s="66"/>
      <c r="AP147" s="66"/>
      <c r="AQ147" s="66"/>
      <c r="AR147" s="66"/>
      <c r="AS147" s="66"/>
      <c r="AT147" s="66"/>
      <c r="AU147" s="66"/>
      <c r="AV147" s="66"/>
      <c r="AW147" s="66"/>
      <c r="AX147" s="66"/>
      <c r="AY147" s="66"/>
      <c r="AZ147" s="66"/>
      <c r="BA147" s="142" t="s">
        <v>443</v>
      </c>
    </row>
    <row r="148" spans="1:53" s="28" customFormat="1" ht="18" x14ac:dyDescent="0.25">
      <c r="A148" s="66"/>
      <c r="B148" s="1558" t="s">
        <v>444</v>
      </c>
      <c r="C148" s="1559">
        <f t="shared" si="3"/>
        <v>1</v>
      </c>
      <c r="D148" s="145" t="str">
        <f t="shared" ref="D148:D153" si="6">IF(G148=1,BA148&amp;warn1,BA148)</f>
      </c>
      <c r="E148" s="1570">
        <f>'p3'!$L$100</f>
      </c>
      <c r="G148" s="28">
        <f>IF('p3'!J101="",0,1)</f>
      </c>
      <c r="H148" s="28" t="s">
        <v>6824</v>
      </c>
      <c r="I148" s="28" t="s">
        <v>6824</v>
      </c>
      <c r="J148" s="28">
        <v>68</v>
      </c>
      <c r="K148" s="28">
        <v>106</v>
      </c>
      <c r="AK148" s="66"/>
      <c r="AL148" s="66"/>
      <c r="AM148" s="66"/>
      <c r="AN148" s="66"/>
      <c r="AO148" s="66"/>
      <c r="AP148" s="66"/>
      <c r="AQ148" s="66"/>
      <c r="AR148" s="66"/>
      <c r="AS148" s="66"/>
      <c r="AT148" s="66"/>
      <c r="AU148" s="66"/>
      <c r="AV148" s="66"/>
      <c r="AW148" s="66"/>
      <c r="AX148" s="66"/>
      <c r="AY148" s="66"/>
      <c r="AZ148" s="66"/>
      <c r="BA148" s="142" t="s">
        <v>445</v>
      </c>
    </row>
    <row r="149" spans="1:53" s="28" customFormat="1" ht="18" x14ac:dyDescent="0.25">
      <c r="A149" s="66"/>
      <c r="B149" s="1558" t="s">
        <v>446</v>
      </c>
      <c r="C149" s="1559">
        <f t="shared" si="3"/>
        <v>1</v>
      </c>
      <c r="D149" s="145" t="str">
        <f t="shared" si="6"/>
        <v>Computation of Chargeable income</v>
      </c>
      <c r="E149" s="1568">
        <f>IF('p4'!$U$63&gt;0,100,1)</f>
      </c>
      <c r="G149" s="28">
        <f>IF(OR('p4'!J48&lt;&gt;"",'p4'!C48&lt;&gt;""),1,0)</f>
      </c>
      <c r="H149" s="28" t="s">
        <v>6825</v>
      </c>
      <c r="I149" s="28" t="s">
        <v>6825</v>
      </c>
      <c r="J149" s="28">
        <v>110</v>
      </c>
      <c r="K149" s="28">
        <v>140</v>
      </c>
      <c r="AK149" s="66"/>
      <c r="AL149" s="66"/>
      <c r="AM149" s="66"/>
      <c r="AN149" s="66"/>
      <c r="AO149" s="66"/>
      <c r="AP149" s="66"/>
      <c r="AQ149" s="66"/>
      <c r="AR149" s="66"/>
      <c r="AS149" s="66"/>
      <c r="AT149" s="66"/>
      <c r="AU149" s="66"/>
      <c r="AV149" s="66"/>
      <c r="AW149" s="66"/>
      <c r="AX149" s="66"/>
      <c r="AY149" s="66"/>
      <c r="AZ149" s="66"/>
      <c r="BA149" s="142" t="s">
        <v>447</v>
      </c>
    </row>
    <row r="150" spans="1:53" s="28" customFormat="1" ht="18" x14ac:dyDescent="0.25">
      <c r="A150" s="66"/>
      <c r="B150" s="1558" t="s">
        <v>970</v>
      </c>
      <c r="C150" s="1559">
        <f t="shared" si="3"/>
        <v>1</v>
      </c>
      <c r="D150" s="145" t="str">
        <f t="shared" si="6"/>
        <v>Self-Assessment Computation</v>
      </c>
      <c r="E150" s="1568">
        <f>IF('p5'!K50&gt;0,100,1)</f>
      </c>
      <c r="G150" s="28">
        <f>IF(AND('p5'!I35&lt;&gt;"",'p5'!I35&lt;&gt;reo),1,IF('p5'!K19=1,1,IF('p5'!J63&lt;&gt;0,1,0)))</f>
      </c>
      <c r="H150" s="28" t="s">
        <v>6826</v>
      </c>
      <c r="I150" s="28" t="s">
        <v>6826</v>
      </c>
      <c r="J150" s="28">
        <v>144</v>
      </c>
      <c r="K150" s="28">
        <v>163</v>
      </c>
      <c r="AK150" s="66"/>
      <c r="AL150" s="66"/>
      <c r="AM150" s="66"/>
      <c r="AN150" s="66"/>
      <c r="AO150" s="66"/>
      <c r="AP150" s="66"/>
      <c r="AQ150" s="66"/>
      <c r="AR150" s="66"/>
      <c r="AS150" s="66"/>
      <c r="AT150" s="66"/>
      <c r="AU150" s="66"/>
      <c r="AV150" s="66"/>
      <c r="AW150" s="66"/>
      <c r="AX150" s="66"/>
      <c r="AY150" s="66"/>
      <c r="AZ150" s="66"/>
      <c r="BA150" s="142" t="s">
        <v>971</v>
      </c>
    </row>
    <row r="151" spans="1:53" s="28" customFormat="1" ht="18" x14ac:dyDescent="0.25">
      <c r="A151" s="66"/>
      <c r="B151" s="1558" t="s">
        <v>972</v>
      </c>
      <c r="C151" s="1559">
        <f t="shared" si="3"/>
        <v>1</v>
      </c>
      <c r="D151" s="145" t="str">
        <f t="shared" si="6"/>
        <v>Record of Retained Profits and Distributions</v>
      </c>
      <c r="E151" s="1568">
        <f>'p6'!AA110</f>
      </c>
      <c r="G151" s="28">
        <f>'p6'!AA60</f>
      </c>
      <c r="H151" s="28" t="s">
        <v>6827</v>
      </c>
      <c r="I151" s="28" t="s">
        <v>6827</v>
      </c>
      <c r="J151" s="28">
        <v>166</v>
      </c>
      <c r="K151" s="28">
        <v>199</v>
      </c>
      <c r="AK151" s="66"/>
      <c r="AL151" s="66"/>
      <c r="AM151" s="66"/>
      <c r="AN151" s="66"/>
      <c r="AO151" s="66"/>
      <c r="AP151" s="66"/>
      <c r="AQ151" s="66"/>
      <c r="AR151" s="66"/>
      <c r="AS151" s="66"/>
      <c r="AT151" s="66"/>
      <c r="AU151" s="66"/>
      <c r="AV151" s="66"/>
      <c r="AW151" s="66"/>
      <c r="AX151" s="66"/>
      <c r="AY151" s="66"/>
      <c r="AZ151" s="66"/>
      <c r="BA151" s="142" t="s">
        <v>1056</v>
      </c>
    </row>
    <row r="152" spans="1:53" s="28" customFormat="1" ht="18" x14ac:dyDescent="0.25">
      <c r="A152" s="66"/>
      <c r="B152" s="1558" t="s">
        <v>1057</v>
      </c>
      <c r="C152" s="1559">
        <f t="shared" si="3"/>
        <v>1</v>
      </c>
      <c r="D152" s="145" t="str">
        <f t="shared" si="6"/>
        <v>Details of Company Set-up</v>
      </c>
      <c r="E152" s="1568">
        <f>'p7'!AF119</f>
      </c>
      <c r="G152" s="28">
        <f>IF('p7'!B86&lt;&gt;"",1,0)</f>
      </c>
      <c r="H152" s="28" t="s">
        <v>6828</v>
      </c>
      <c r="I152" s="28" t="s">
        <v>6828</v>
      </c>
      <c r="J152" s="28">
        <v>1992</v>
      </c>
      <c r="K152" s="28">
        <v>2064</v>
      </c>
      <c r="AK152" s="66"/>
      <c r="AL152" s="66"/>
      <c r="AM152" s="66"/>
      <c r="AN152" s="66"/>
      <c r="AO152" s="66"/>
      <c r="AP152" s="66"/>
      <c r="AQ152" s="66"/>
      <c r="AR152" s="66"/>
      <c r="AS152" s="66"/>
      <c r="AT152" s="66"/>
      <c r="AU152" s="66"/>
      <c r="AV152" s="66"/>
      <c r="AW152" s="66"/>
      <c r="AX152" s="66"/>
      <c r="AY152" s="66"/>
      <c r="AZ152" s="66"/>
      <c r="BA152" s="142" t="s">
        <v>279</v>
      </c>
    </row>
    <row r="153" spans="1:53" s="28" customFormat="1" ht="20.25" customHeight="1" x14ac:dyDescent="0.25">
      <c r="A153" s="66"/>
      <c r="B153" s="1558" t="s">
        <v>2290</v>
      </c>
      <c r="C153" s="1559">
        <f t="shared" si="3"/>
        <v>1</v>
      </c>
      <c r="D153" s="145" t="str">
        <f t="shared" si="6"/>
        <v>Supplementary Information and Declaration</v>
      </c>
      <c r="E153" s="1568">
        <f>'p8'!X52</f>
      </c>
      <c r="F153" s="30">
        <f>SUM(F7:F152)</f>
      </c>
      <c r="H153" s="28" t="s">
        <v>6829</v>
      </c>
      <c r="I153" s="28" t="s">
        <v>6829</v>
      </c>
      <c r="J153" s="28">
        <v>205</v>
      </c>
      <c r="K153" s="28">
        <v>227</v>
      </c>
      <c r="AK153" s="66"/>
      <c r="AL153" s="66"/>
      <c r="AM153" s="66"/>
      <c r="AN153" s="66"/>
      <c r="AO153" s="66"/>
      <c r="AP153" s="66"/>
      <c r="AQ153" s="66"/>
      <c r="AR153" s="66"/>
      <c r="AS153" s="66"/>
      <c r="AT153" s="66"/>
      <c r="AU153" s="66"/>
      <c r="AV153" s="66"/>
      <c r="AW153" s="66"/>
      <c r="AX153" s="66"/>
      <c r="AY153" s="66"/>
      <c r="AZ153" s="66"/>
      <c r="BA153" s="142" t="s">
        <v>3829</v>
      </c>
    </row>
    <row r="154" spans="1:53" x14ac:dyDescent="0.2">
      <c r="E154" s="1569">
        <v>1</v>
      </c>
      <c r="F154" s="28"/>
      <c r="G154" s="28"/>
      <c r="H154" s="30" t="s">
        <v>6468</v>
      </c>
      <c r="I154" s="30" t="s">
        <v>6467</v>
      </c>
      <c r="J154" s="30">
        <v>1954</v>
      </c>
      <c r="K154" s="30">
        <v>1989</v>
      </c>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row>
    <row r="155" spans="1:53" x14ac:dyDescent="0.2">
      <c r="E155" s="29">
        <f>SUM(E8:E153)</f>
      </c>
      <c r="G155" s="29">
        <f>SUM(G8:G153)</f>
      </c>
    </row>
    <row r="156" spans="1:53" x14ac:dyDescent="0.2">
      <c r="A156" s="30"/>
    </row>
    <row r="266" spans="2:3" hidden="1" x14ac:dyDescent="0.2">
      <c r="B266" s="28" t="s">
        <v>3481</v>
      </c>
      <c r="C266" s="28" t="s">
        <v>5063</v>
      </c>
    </row>
    <row r="267" spans="2:3" hidden="1" x14ac:dyDescent="0.2">
      <c r="B267" s="28" t="s">
        <v>3482</v>
      </c>
      <c r="C267" s="28" t="s">
        <v>3338</v>
      </c>
    </row>
    <row r="268" spans="2:3" hidden="1" x14ac:dyDescent="0.2">
      <c r="B268" s="28" t="s">
        <v>3339</v>
      </c>
      <c r="C268" s="28" t="s">
        <v>5807</v>
      </c>
    </row>
    <row r="269" spans="2:3" hidden="1" x14ac:dyDescent="0.2">
      <c r="B269" s="28" t="s">
        <v>5808</v>
      </c>
      <c r="C269" s="28" t="s">
        <v>3475</v>
      </c>
    </row>
    <row r="270" spans="2:3" hidden="1" x14ac:dyDescent="0.2">
      <c r="B270" s="28" t="s">
        <v>3476</v>
      </c>
      <c r="C270" s="28" t="s">
        <v>4811</v>
      </c>
    </row>
    <row r="271" spans="2:3" hidden="1" x14ac:dyDescent="0.2">
      <c r="B271" s="28" t="s">
        <v>3069</v>
      </c>
      <c r="C271" s="28" t="s">
        <v>3070</v>
      </c>
    </row>
    <row r="272" spans="2:3" hidden="1" x14ac:dyDescent="0.2">
      <c r="B272" s="28" t="s">
        <v>3071</v>
      </c>
      <c r="C272" s="28" t="s">
        <v>3072</v>
      </c>
    </row>
    <row r="273" spans="2:3" hidden="1" x14ac:dyDescent="0.2">
      <c r="B273" s="28" t="s">
        <v>3073</v>
      </c>
      <c r="C273" s="28" t="s">
        <v>3074</v>
      </c>
    </row>
    <row r="274" spans="2:3" hidden="1" x14ac:dyDescent="0.2">
      <c r="B274" s="28" t="s">
        <v>3075</v>
      </c>
      <c r="C274" s="28" t="s">
        <v>3076</v>
      </c>
    </row>
    <row r="275" spans="2:3" hidden="1" x14ac:dyDescent="0.2">
      <c r="B275" s="28" t="s">
        <v>3077</v>
      </c>
      <c r="C275" s="28" t="s">
        <v>3076</v>
      </c>
    </row>
    <row r="276" spans="2:3" hidden="1" x14ac:dyDescent="0.2">
      <c r="B276" s="28" t="s">
        <v>3078</v>
      </c>
      <c r="C276" s="28" t="s">
        <v>3079</v>
      </c>
    </row>
  </sheetData>
  <sheetProtection algorithmName="SHA-512" hashValue="uO3FIPMKykspp47j17OUZcmy6QN08mQWPrR3/Ix/BJVA2acsCnuMiKP92wkmeWy5sgROIHb5jFvxKWB9QmrHzg==" saltValue="dLlot5uUKGvUPLgHyhYa5A==" spinCount="100000" sheet="1" objects="1" scenarios="1"/>
  <customSheetViews>
    <customSheetView guid="{99B5278F-6EA9-4B1A-8623-27A4DF4AD5E4}" showGridLines="0" fitToPage="1" hiddenRows="1">
      <pane ySplit="6" topLeftCell="A79" activePane="bottomLeft" state="frozen"/>
      <selection pane="bottomLeft" activeCell="D88" sqref="D88"/>
      <pageMargins left="0.49" right="0.45" top="0.74" bottom="0.55000000000000004" header="0.5" footer="0.5"/>
      <pageSetup paperSize="9" scale="87" fitToHeight="2" orientation="portrait" r:id="rId1"/>
      <headerFooter alignWithMargins="0"/>
    </customSheetView>
  </customSheetViews>
  <mergeCells count="3">
    <mergeCell ref="B1:D1"/>
    <mergeCell ref="C6:D6"/>
    <mergeCell ref="C3:D3"/>
  </mergeCells>
  <phoneticPr fontId="0" type="noConversion"/>
  <conditionalFormatting sqref="B7:B28">
    <cfRule type="expression" dxfId="1073" priority="1123">
      <formula>$E7=0</formula>
    </cfRule>
  </conditionalFormatting>
  <conditionalFormatting sqref="B9:B28">
    <cfRule type="expression" dxfId="1072" priority="1122">
      <formula>$E9=100</formula>
    </cfRule>
  </conditionalFormatting>
  <conditionalFormatting sqref="B31:B32">
    <cfRule type="expression" dxfId="1071" priority="1118">
      <formula>$E31=100</formula>
    </cfRule>
    <cfRule type="expression" dxfId="1070" priority="1119">
      <formula>$E31=0</formula>
    </cfRule>
  </conditionalFormatting>
  <conditionalFormatting sqref="B35:B39">
    <cfRule type="expression" dxfId="1069" priority="1108">
      <formula>$E35=100</formula>
    </cfRule>
    <cfRule type="expression" dxfId="1068" priority="1109">
      <formula>$E35=0</formula>
    </cfRule>
  </conditionalFormatting>
  <conditionalFormatting sqref="B41:B45">
    <cfRule type="expression" dxfId="1067" priority="1096">
      <formula>$E41=100</formula>
    </cfRule>
    <cfRule type="expression" dxfId="1066" priority="1097">
      <formula>$E41=0</formula>
    </cfRule>
  </conditionalFormatting>
  <conditionalFormatting sqref="B47:B49">
    <cfRule type="expression" dxfId="1065" priority="1091">
      <formula>$E47=0</formula>
    </cfRule>
    <cfRule type="expression" dxfId="1064" priority="1090">
      <formula>$E47=100</formula>
    </cfRule>
  </conditionalFormatting>
  <conditionalFormatting sqref="B60:B66">
    <cfRule type="expression" dxfId="1063" priority="1074">
      <formula>$E60=100</formula>
    </cfRule>
    <cfRule type="expression" dxfId="1062" priority="1075">
      <formula>$E60=0</formula>
    </cfRule>
  </conditionalFormatting>
  <conditionalFormatting sqref="B68:B78">
    <cfRule type="expression" dxfId="1061" priority="1052">
      <formula>$E68=100</formula>
    </cfRule>
    <cfRule type="expression" dxfId="1060" priority="1053">
      <formula>$E68=0</formula>
    </cfRule>
  </conditionalFormatting>
  <conditionalFormatting sqref="B81:B85">
    <cfRule type="expression" dxfId="1059" priority="1042">
      <formula>$E81=100</formula>
    </cfRule>
    <cfRule type="expression" dxfId="1058" priority="1043">
      <formula>$E81=0</formula>
    </cfRule>
  </conditionalFormatting>
  <conditionalFormatting sqref="B87">
    <cfRule type="expression" dxfId="1057" priority="1041">
      <formula>$E87=0</formula>
    </cfRule>
    <cfRule type="expression" dxfId="1056" priority="1040">
      <formula>$E87=100</formula>
    </cfRule>
  </conditionalFormatting>
  <conditionalFormatting sqref="B90:B141">
    <cfRule type="expression" dxfId="1055" priority="87">
      <formula>$E90=0</formula>
    </cfRule>
    <cfRule type="expression" dxfId="1054" priority="86">
      <formula>$E90=100</formula>
    </cfRule>
  </conditionalFormatting>
  <conditionalFormatting sqref="B142">
    <cfRule type="expression" dxfId="1053" priority="25">
      <formula>$E$142=100</formula>
    </cfRule>
    <cfRule type="expression" dxfId="1052" priority="24">
      <formula>$E$142=0</formula>
    </cfRule>
  </conditionalFormatting>
  <conditionalFormatting sqref="B145">
    <cfRule type="expression" dxfId="1051" priority="3">
      <formula>$E$145=0</formula>
    </cfRule>
    <cfRule type="expression" dxfId="1050" priority="4">
      <formula>$E$145=100</formula>
    </cfRule>
  </conditionalFormatting>
  <conditionalFormatting sqref="B146:B153">
    <cfRule type="expression" dxfId="1049" priority="951">
      <formula>$E146=100</formula>
    </cfRule>
  </conditionalFormatting>
  <conditionalFormatting sqref="B143:C143">
    <cfRule type="expression" dxfId="1048" priority="27">
      <formula>$E$143=100</formula>
    </cfRule>
    <cfRule type="expression" dxfId="1047" priority="26">
      <formula>$E$143=0</formula>
    </cfRule>
  </conditionalFormatting>
  <conditionalFormatting sqref="B144:C144">
    <cfRule type="expression" dxfId="1046" priority="32">
      <formula>$E$144=0</formula>
    </cfRule>
    <cfRule type="expression" dxfId="1045" priority="33">
      <formula>$E$144=100</formula>
    </cfRule>
  </conditionalFormatting>
  <conditionalFormatting sqref="C7">
    <cfRule type="expression" dxfId="1044" priority="2963" stopIfTrue="1">
      <formula>$E$7=100</formula>
    </cfRule>
  </conditionalFormatting>
  <conditionalFormatting sqref="C7:C28">
    <cfRule type="expression" dxfId="1043" priority="351" stopIfTrue="1">
      <formula>$E7=0</formula>
    </cfRule>
  </conditionalFormatting>
  <conditionalFormatting sqref="C8:C28">
    <cfRule type="expression" dxfId="1042" priority="352" stopIfTrue="1">
      <formula>E8=100</formula>
    </cfRule>
  </conditionalFormatting>
  <conditionalFormatting sqref="C31:C32">
    <cfRule type="expression" dxfId="1041" priority="348" stopIfTrue="1">
      <formula>E31=100</formula>
    </cfRule>
    <cfRule type="expression" dxfId="1040" priority="347" stopIfTrue="1">
      <formula>$E31=0</formula>
    </cfRule>
  </conditionalFormatting>
  <conditionalFormatting sqref="C35:C39">
    <cfRule type="expression" dxfId="1039" priority="337" stopIfTrue="1">
      <formula>$E35=0</formula>
    </cfRule>
    <cfRule type="expression" dxfId="1038" priority="338" stopIfTrue="1">
      <formula>E35=100</formula>
    </cfRule>
  </conditionalFormatting>
  <conditionalFormatting sqref="C41:C45">
    <cfRule type="expression" dxfId="1037" priority="327" stopIfTrue="1">
      <formula>$E41=0</formula>
    </cfRule>
    <cfRule type="expression" dxfId="1036" priority="328" stopIfTrue="1">
      <formula>E41=100</formula>
    </cfRule>
  </conditionalFormatting>
  <conditionalFormatting sqref="C47:C49">
    <cfRule type="expression" dxfId="1035" priority="322" stopIfTrue="1">
      <formula>E47=100</formula>
    </cfRule>
    <cfRule type="expression" dxfId="1034" priority="321" stopIfTrue="1">
      <formula>$E47=0</formula>
    </cfRule>
  </conditionalFormatting>
  <conditionalFormatting sqref="C60:C66">
    <cfRule type="expression" dxfId="1033" priority="308" stopIfTrue="1">
      <formula>E60=100</formula>
    </cfRule>
    <cfRule type="expression" dxfId="1032" priority="307" stopIfTrue="1">
      <formula>$E60=0</formula>
    </cfRule>
  </conditionalFormatting>
  <conditionalFormatting sqref="C68:C78">
    <cfRule type="expression" dxfId="1031" priority="285" stopIfTrue="1">
      <formula>$E68=0</formula>
    </cfRule>
    <cfRule type="expression" dxfId="1030" priority="286" stopIfTrue="1">
      <formula>E68=100</formula>
    </cfRule>
  </conditionalFormatting>
  <conditionalFormatting sqref="C81:C85">
    <cfRule type="expression" dxfId="1029" priority="276" stopIfTrue="1">
      <formula>E81=100</formula>
    </cfRule>
    <cfRule type="expression" dxfId="1028" priority="275" stopIfTrue="1">
      <formula>$E81=0</formula>
    </cfRule>
  </conditionalFormatting>
  <conditionalFormatting sqref="C87">
    <cfRule type="expression" dxfId="1027" priority="273" stopIfTrue="1">
      <formula>$E87=0</formula>
    </cfRule>
    <cfRule type="expression" dxfId="1026" priority="274" stopIfTrue="1">
      <formula>E87=100</formula>
    </cfRule>
  </conditionalFormatting>
  <conditionalFormatting sqref="C90:C138">
    <cfRule type="expression" dxfId="1025" priority="94" stopIfTrue="1">
      <formula>E90=100</formula>
    </cfRule>
  </conditionalFormatting>
  <conditionalFormatting sqref="C90:C139">
    <cfRule type="expression" dxfId="1024" priority="91" stopIfTrue="1">
      <formula>$E90=0</formula>
    </cfRule>
  </conditionalFormatting>
  <conditionalFormatting sqref="C139">
    <cfRule type="expression" dxfId="1023" priority="92" stopIfTrue="1">
      <formula>$E$139=100</formula>
    </cfRule>
  </conditionalFormatting>
  <conditionalFormatting sqref="C140">
    <cfRule type="expression" dxfId="1022" priority="56">
      <formula>$E$140=100</formula>
    </cfRule>
    <cfRule type="expression" dxfId="1021" priority="55">
      <formula>$E$140=0</formula>
    </cfRule>
  </conditionalFormatting>
  <conditionalFormatting sqref="C141">
    <cfRule type="expression" dxfId="1020" priority="57">
      <formula>$E$141=0</formula>
    </cfRule>
    <cfRule type="expression" dxfId="1019" priority="58">
      <formula>$E$141=100</formula>
    </cfRule>
  </conditionalFormatting>
  <conditionalFormatting sqref="C142">
    <cfRule type="expression" dxfId="1018" priority="44">
      <formula>$E$142=0</formula>
    </cfRule>
    <cfRule type="expression" dxfId="1017" priority="45">
      <formula>$E$142=100</formula>
    </cfRule>
  </conditionalFormatting>
  <conditionalFormatting sqref="C145">
    <cfRule type="expression" dxfId="1016" priority="5">
      <formula>$E$145=0</formula>
    </cfRule>
    <cfRule type="expression" dxfId="1015" priority="6">
      <formula>$E$145=100</formula>
    </cfRule>
  </conditionalFormatting>
  <conditionalFormatting sqref="C146:C153">
    <cfRule type="expression" dxfId="1014" priority="176" stopIfTrue="1">
      <formula>E146=100</formula>
    </cfRule>
    <cfRule type="expression" dxfId="1013" priority="175" stopIfTrue="1">
      <formula>$E146=0</formula>
    </cfRule>
  </conditionalFormatting>
  <conditionalFormatting sqref="D7:D28">
    <cfRule type="expression" dxfId="1012" priority="701" stopIfTrue="1">
      <formula>$E7=0</formula>
    </cfRule>
    <cfRule type="expression" dxfId="1011" priority="700" stopIfTrue="1">
      <formula>$G7=1</formula>
    </cfRule>
    <cfRule type="expression" dxfId="1010" priority="699" stopIfTrue="1">
      <formula>$E7=100</formula>
    </cfRule>
  </conditionalFormatting>
  <conditionalFormatting sqref="D31:D32">
    <cfRule type="expression" dxfId="1009" priority="695" stopIfTrue="1">
      <formula>$E31=0</formula>
    </cfRule>
    <cfRule type="expression" dxfId="1008" priority="694" stopIfTrue="1">
      <formula>$G31=1</formula>
    </cfRule>
    <cfRule type="expression" dxfId="1007" priority="693" stopIfTrue="1">
      <formula>$E31=100</formula>
    </cfRule>
  </conditionalFormatting>
  <conditionalFormatting sqref="D33:D34 D40">
    <cfRule type="expression" dxfId="1006" priority="2973" stopIfTrue="1">
      <formula>$E33=0</formula>
    </cfRule>
    <cfRule type="expression" dxfId="1005" priority="2974" stopIfTrue="1">
      <formula>$E33=100</formula>
    </cfRule>
  </conditionalFormatting>
  <conditionalFormatting sqref="D35:D39">
    <cfRule type="expression" dxfId="1004" priority="679" stopIfTrue="1">
      <formula>$G35=1</formula>
    </cfRule>
    <cfRule type="expression" dxfId="1003" priority="680" stopIfTrue="1">
      <formula>$E35=0</formula>
    </cfRule>
    <cfRule type="expression" dxfId="1002" priority="678" stopIfTrue="1">
      <formula>$E35=100</formula>
    </cfRule>
  </conditionalFormatting>
  <conditionalFormatting sqref="D41:D45">
    <cfRule type="expression" dxfId="1001" priority="663" stopIfTrue="1">
      <formula>$E41=100</formula>
    </cfRule>
    <cfRule type="expression" dxfId="1000" priority="664" stopIfTrue="1">
      <formula>$G41=1</formula>
    </cfRule>
    <cfRule type="expression" dxfId="999" priority="665" stopIfTrue="1">
      <formula>$E41=0</formula>
    </cfRule>
  </conditionalFormatting>
  <conditionalFormatting sqref="D47:D49">
    <cfRule type="expression" dxfId="998" priority="655" stopIfTrue="1">
      <formula>$G47=1</formula>
    </cfRule>
    <cfRule type="expression" dxfId="997" priority="656" stopIfTrue="1">
      <formula>$E47=0</formula>
    </cfRule>
    <cfRule type="expression" dxfId="996" priority="654" stopIfTrue="1">
      <formula>$E47=100</formula>
    </cfRule>
  </conditionalFormatting>
  <conditionalFormatting sqref="D56">
    <cfRule type="expression" dxfId="995" priority="2899" stopIfTrue="1">
      <formula>$E56=0</formula>
    </cfRule>
    <cfRule type="expression" dxfId="994" priority="2900" stopIfTrue="1">
      <formula>$E56=100</formula>
    </cfRule>
  </conditionalFormatting>
  <conditionalFormatting sqref="D60:D66">
    <cfRule type="expression" dxfId="993" priority="634" stopIfTrue="1">
      <formula>$G60=1</formula>
    </cfRule>
    <cfRule type="expression" dxfId="992" priority="633" stopIfTrue="1">
      <formula>$E60=100</formula>
    </cfRule>
    <cfRule type="expression" dxfId="991" priority="635" stopIfTrue="1">
      <formula>$E60=0</formula>
    </cfRule>
  </conditionalFormatting>
  <conditionalFormatting sqref="D68:D138">
    <cfRule type="expression" dxfId="990" priority="79" stopIfTrue="1">
      <formula>$E68=0</formula>
    </cfRule>
    <cfRule type="expression" dxfId="989" priority="78" stopIfTrue="1">
      <formula>$G68=1</formula>
    </cfRule>
    <cfRule type="expression" dxfId="988" priority="77" stopIfTrue="1">
      <formula>$E68=100</formula>
    </cfRule>
  </conditionalFormatting>
  <conditionalFormatting sqref="D88">
    <cfRule type="expression" dxfId="987" priority="2905" stopIfTrue="1">
      <formula>$G88=1</formula>
    </cfRule>
    <cfRule type="expression" dxfId="986" priority="2906" stopIfTrue="1">
      <formula>$E88=0</formula>
    </cfRule>
    <cfRule type="expression" dxfId="985" priority="2929" stopIfTrue="1">
      <formula>$G88=1</formula>
    </cfRule>
    <cfRule type="expression" dxfId="984" priority="2930" stopIfTrue="1">
      <formula>$E88=0</formula>
    </cfRule>
    <cfRule type="expression" dxfId="983" priority="2928" stopIfTrue="1">
      <formula>$E88=100</formula>
    </cfRule>
    <cfRule type="expression" dxfId="982" priority="2904" stopIfTrue="1">
      <formula>$E88=100</formula>
    </cfRule>
  </conditionalFormatting>
  <conditionalFormatting sqref="D139">
    <cfRule type="expression" dxfId="981" priority="51">
      <formula>$E$139=100</formula>
    </cfRule>
    <cfRule type="expression" dxfId="980" priority="49">
      <formula>$G$139=1</formula>
    </cfRule>
    <cfRule type="expression" dxfId="979" priority="50">
      <formula>$E$139=0</formula>
    </cfRule>
  </conditionalFormatting>
  <conditionalFormatting sqref="D140">
    <cfRule type="expression" dxfId="978" priority="54">
      <formula>$E$140=100</formula>
    </cfRule>
    <cfRule type="expression" dxfId="977" priority="53">
      <formula>$E$140=0</formula>
    </cfRule>
    <cfRule type="expression" dxfId="976" priority="52">
      <formula>$G$140=1</formula>
    </cfRule>
  </conditionalFormatting>
  <conditionalFormatting sqref="D141">
    <cfRule type="expression" dxfId="975" priority="76" stopIfTrue="1">
      <formula>$E141=0</formula>
    </cfRule>
    <cfRule type="expression" dxfId="974" priority="75" stopIfTrue="1">
      <formula>$G141=1</formula>
    </cfRule>
    <cfRule type="expression" dxfId="973" priority="74" stopIfTrue="1">
      <formula>$E141=100</formula>
    </cfRule>
  </conditionalFormatting>
  <conditionalFormatting sqref="D142">
    <cfRule type="expression" dxfId="972" priority="43">
      <formula>$E$142=100</formula>
    </cfRule>
    <cfRule type="expression" dxfId="971" priority="42">
      <formula>$E$142=0</formula>
    </cfRule>
  </conditionalFormatting>
  <conditionalFormatting sqref="D143">
    <cfRule type="expression" dxfId="970" priority="37">
      <formula>$E$143=100</formula>
    </cfRule>
    <cfRule type="expression" dxfId="969" priority="36">
      <formula>$E$143=0</formula>
    </cfRule>
  </conditionalFormatting>
  <conditionalFormatting sqref="D144">
    <cfRule type="expression" dxfId="968" priority="13">
      <formula>$E$144=0</formula>
    </cfRule>
    <cfRule type="expression" dxfId="967" priority="12">
      <formula>$E$144=100</formula>
    </cfRule>
  </conditionalFormatting>
  <conditionalFormatting sqref="D145">
    <cfRule type="expression" dxfId="966" priority="2">
      <formula>$G$145=1</formula>
    </cfRule>
    <cfRule type="expression" dxfId="965" priority="8">
      <formula>$E$145=100</formula>
    </cfRule>
    <cfRule type="expression" dxfId="964" priority="7">
      <formula>$E$145=0</formula>
    </cfRule>
  </conditionalFormatting>
  <conditionalFormatting sqref="D146:D153">
    <cfRule type="expression" dxfId="963" priority="431" stopIfTrue="1">
      <formula>$E146=0</formula>
    </cfRule>
    <cfRule type="expression" dxfId="962" priority="430" stopIfTrue="1">
      <formula>$G146=1</formula>
    </cfRule>
    <cfRule type="expression" dxfId="961" priority="429" stopIfTrue="1">
      <formula>$E146=100</formula>
    </cfRule>
  </conditionalFormatting>
  <conditionalFormatting sqref="E1:E2">
    <cfRule type="cellIs" dxfId="960" priority="2968" stopIfTrue="1" operator="equal">
      <formula>0</formula>
    </cfRule>
  </conditionalFormatting>
  <conditionalFormatting sqref="E146:E152">
    <cfRule type="cellIs" dxfId="959" priority="2969" stopIfTrue="1" operator="equal">
      <formula>$R$3</formula>
    </cfRule>
    <cfRule type="cellIs" dxfId="958" priority="2970" stopIfTrue="1" operator="equal">
      <formula>0</formula>
    </cfRule>
  </conditionalFormatting>
  <hyperlinks>
    <hyperlink ref="BA37" location="TRA29!A1" display="TRA29!A1" xr:uid="{00000000-0004-0000-0200-000000000000}"/>
    <hyperlink ref="BA28" location="TRA20!A1" display="TRA20!A1" xr:uid="{00000000-0004-0000-0200-000001000000}"/>
    <hyperlink ref="BA67" location="TRA59!A1" display="ITA - LN 93 OF 2007 - Deductions (Euro related expenditure) Rules,2007" xr:uid="{00000000-0004-0000-0200-000002000000}"/>
    <hyperlink ref="BA38" location="TRA30!A1" display="TRA30!A1" xr:uid="{00000000-0004-0000-0200-000003000000}"/>
    <hyperlink ref="BA147" location="'p2'!C1" display="'p2'!C1" xr:uid="{00000000-0004-0000-0200-000004000000}"/>
    <hyperlink ref="BA148" location="'p3'!b3" display="'p3'!b3" xr:uid="{00000000-0004-0000-0200-000005000000}"/>
    <hyperlink ref="BA146" location="'p1'!L10" display="'p1'!L10" xr:uid="{00000000-0004-0000-0200-000006000000}"/>
    <hyperlink ref="BA149" location="'p4'!C1" display="'p4'!C1" xr:uid="{00000000-0004-0000-0200-000007000000}"/>
    <hyperlink ref="BA151" location="'p6'!C2" display="'p6'!C2" xr:uid="{00000000-0004-0000-0200-000008000000}"/>
    <hyperlink ref="BA150" location="'p5'!C2" display="'p5'!C2" xr:uid="{00000000-0004-0000-0200-000009000000}"/>
    <hyperlink ref="BA153" location="'p8'!C2" display="'p8'!C2" xr:uid="{00000000-0004-0000-0200-00000A000000}"/>
    <hyperlink ref="BA69" location="TRA61_FTA!A1" display="Allocation to the Final Tax Account" xr:uid="{00000000-0004-0000-0200-00000B000000}"/>
    <hyperlink ref="BA72" location="TRA63_MTA_FIA!A1" display="Allocation to the Maltese Taxed Account AND Foreign Income Account" xr:uid="{00000000-0004-0000-0200-00000C000000}"/>
    <hyperlink ref="BA152" location="'p7'!A1" display="'p7'!A1" xr:uid="{00000000-0004-0000-0200-00000D000000}"/>
    <hyperlink ref="D149" location="'p4'!J59" display="'p4'!J59" xr:uid="{00000000-0004-0000-0200-00000E000000}"/>
    <hyperlink ref="BA61" location="TRA53!A1" display="ITA - Art 5A -Transfer of Immovable Property subject to 12% Final Withholding Tax" xr:uid="{00000000-0004-0000-0200-00000F000000}"/>
    <hyperlink ref="BA62" location="TRA54!A1" display="MEA - LN 68 of 2008 - Investment Aid Regulations" xr:uid="{00000000-0004-0000-0200-000010000000}"/>
    <hyperlink ref="BA63" location="TRA55!A1" display="Apportionment of Accomodation Income to the IPA" xr:uid="{00000000-0004-0000-0200-000011000000}"/>
    <hyperlink ref="BA68" location="TRA60!B2" display="Profit adjustment [supplementing page 3 of the tax return]" xr:uid="{00000000-0004-0000-0200-000012000000}"/>
    <hyperlink ref="BA57" location="TRA43_49!B3" display="ITA - LN 335 of 2005  -  Deductions and Tax Credit [Wages and Tuition Expenses] " xr:uid="{00000000-0004-0000-0200-000013000000}"/>
    <hyperlink ref="BA73" location="TRA54!A1" display="MEA - LN 68 of 2008 - Investment Aid Regulations" xr:uid="{00000000-0004-0000-0200-000014000000}"/>
    <hyperlink ref="BA71" location="TRA62_IPA!A1" display="TRA62_IPA!A1" xr:uid="{00000000-0004-0000-0200-000015000000}"/>
    <hyperlink ref="D150:D153" location="'p4'!J59" display="'p4'!J59" xr:uid="{00000000-0004-0000-0200-000016000000}"/>
    <hyperlink ref="D114" location="'TRA105'!A1" display="ME Act - LN 167 of 2017 - Catering Capacity Building Regulations, 2017" xr:uid="{00000000-0004-0000-0200-000017000000}"/>
    <hyperlink ref="D113" location="'TRA104'!A1" display="ME Act - LN 166 of 2017 - Research and Development Activities Regulations, 2017 - R&amp;D 2014 - 2020" xr:uid="{00000000-0004-0000-0200-000018000000}"/>
    <hyperlink ref="D112" location="'TRA103'!A1" display="ME Act - LN 166 of 2017 - Research and Development Activities Regulations, 2017 - Rule 6" xr:uid="{00000000-0004-0000-0200-000019000000}"/>
    <hyperlink ref="D111" location="'TRA102'!A1" display="ME Act - LN 166 of 2017 - Research and Development Activities Regulations, 2017 - Rule 4" xr:uid="{00000000-0004-0000-0200-00001A000000}"/>
    <hyperlink ref="D110" location="'TRA101'!A1" display="ME Act - LN 166 of 2017 - Tax Credit for Research and Development and Innovation Regulations, 2017" xr:uid="{00000000-0004-0000-0200-00001B000000}"/>
    <hyperlink ref="D108" location="'TRA100'!A1" display="ITA - LN   of 201? - Notional Interest Deduction Rules" xr:uid="{00000000-0004-0000-0200-00001C000000}"/>
    <hyperlink ref="D107" location="'TRA99'!A1" display="ITMA - Article 19(4)(a) and LN 306 of 2017 - Audit report waiver and Deduction Rules" xr:uid="{00000000-0004-0000-0200-00001D000000}"/>
    <hyperlink ref="D106" location="'TRA98'!A1" display="ITA  -  LN 274 of 2017  -  Deduction (Embellishment project) Rules " xr:uid="{00000000-0004-0000-0200-00001E000000}"/>
    <hyperlink ref="D105" location="'TRA97'!A1" display="ITA - Article 31E- Rental of property to another person for at least seven years (Housing Authority Scheme)" xr:uid="{00000000-0004-0000-0200-00001F000000}"/>
    <hyperlink ref="D104" location="'TRA96'!A1" display="ITA - LN 228 of 2017 - Voluntary Occupational Pension Scheme Rules, 2017 " xr:uid="{00000000-0004-0000-0200-000020000000}"/>
    <hyperlink ref="D103" location="'TRA95'!A1" display="ITA - LN       of 2017 - Deduction for Transportation Cost of Employees Rules, 2017" xr:uid="{00000000-0004-0000-0200-000021000000}"/>
    <hyperlink ref="D102" location="'TRA94'!A1" display="ME Act - LN 194 of 2016 - Enterprise Support Incentives (Amendment) (No.2) Regulations, 2016 - Rule 20" xr:uid="{00000000-0004-0000-0200-000022000000}"/>
    <hyperlink ref="D101" location="'TRA93'!A1" display="ME Act - LN179 of 2016 - Investment Aid for High Efficiency Cogeneration Regulations, 2016" xr:uid="{00000000-0004-0000-0200-000023000000}"/>
    <hyperlink ref="D100" location="'TRA92'!A1" display="ME Act - LN178 of 2016 - Assistance for Knowledge Transfer Regulations, 2016" xr:uid="{00000000-0004-0000-0200-000024000000}"/>
    <hyperlink ref="D99" location="'TRA91'!A1" display="ME Act - LN 38 of 2015 - Assistance for Research and Development and Innovation (Amendments) Rules, 2015" xr:uid="{00000000-0004-0000-0200-000025000000}"/>
    <hyperlink ref="D98" location="'TRA90'!A1" display="ME Act - LN 118 of 2015 (Rule 17) - Tax Credit for Qualifying Certifications" xr:uid="{00000000-0004-0000-0200-000026000000}"/>
    <hyperlink ref="D97" location="'TRA89'!A1" display="ITA - Article 27G - Transfers of property by a company that has issued debt securities to the public" xr:uid="{00000000-0004-0000-0200-000027000000}"/>
    <hyperlink ref="D96" location="'TRA88'!A1" display="'TRA88'!A1" xr:uid="{00000000-0004-0000-0200-000028000000}"/>
    <hyperlink ref="D95" location="'TRA87'!A1" display="ITA  -  LN 412 of 2014 - Donations (Community Chest Fund) Rules, 2014" xr:uid="{00000000-0004-0000-0200-000029000000}"/>
    <hyperlink ref="D94" location="'TRA86'!A1" display="ME Act - Investment Aid Regulations 2014 - 2020" xr:uid="{00000000-0004-0000-0200-00002A000000}"/>
    <hyperlink ref="D92" location="'TRA84'!A1" display="ITA  -  LN 179 of 2014  - Deduction (Apprentices and Work Placements) Rules, 2014" xr:uid="{00000000-0004-0000-0200-00002B000000}"/>
    <hyperlink ref="D93" location="'TRA85'!A1" display="ITA  -  LN 180 of 2014  - Deduction (Mature Workers) Rules, 2014" xr:uid="{00000000-0004-0000-0200-00002C000000}"/>
    <hyperlink ref="D91" location="'TRA83'!A1" display="ITA - Article 31D - Rental income from letting of residential tenements" xr:uid="{00000000-0004-0000-0200-00002D000000}"/>
    <hyperlink ref="D90" location="TRA82!A1" display="Wages Reconciliation" xr:uid="{00000000-0004-0000-0200-00002E000000}"/>
    <hyperlink ref="D89" location="TRA81!A1" display="ME Act - LN 456 of 2012 (Rule 14)  - Tax Credit for digital applications development" xr:uid="{00000000-0004-0000-0200-00002F000000}"/>
    <hyperlink ref="D87" location="TRA79!A1" display="ITA  -  LN 23 of 2013 - Donations (Creativity Trust) Rules, 2013" xr:uid="{00000000-0004-0000-0200-000030000000}"/>
    <hyperlink ref="D85" location="TRA77!A1" display="ITA - Art 31B - Taxation of rental income on Housing Authority subsidised rent" xr:uid="{00000000-0004-0000-0200-000031000000}"/>
    <hyperlink ref="D84" location="TRA76!A1" display="ITA - Art 31A - Taxation of rental income on Housing Authority subsidised rent" xr:uid="{00000000-0004-0000-0200-000032000000}"/>
    <hyperlink ref="D83" location="TRA75!A1" display="ITA - Art 31A - Taxation of rental income from Housing Authority" xr:uid="{00000000-0004-0000-0200-000033000000}"/>
    <hyperlink ref="D82" location="TRA74!A1" display="ITA  -  LN 324 of 2011Securitisation Transactions (Deductions) Rules, 2011" xr:uid="{00000000-0004-0000-0200-000034000000}"/>
    <hyperlink ref="D81" location="TRA73!A1" display="ITA  -  LN 13 of 2011 - Deductions (Electric Vehicles) Rules, 2011" xr:uid="{00000000-0004-0000-0200-000035000000}"/>
    <hyperlink ref="D71" location="TRA62A_IPA!A1" display="TRA62A_IPA!A1" xr:uid="{00000000-0004-0000-0200-000036000000}"/>
    <hyperlink ref="D79" location="TRA71!A1" display="ME Act - LN 107 of 2010 - Tax Credit for Micro Enterprises" xr:uid="{00000000-0004-0000-0200-000037000000}"/>
    <hyperlink ref="D78" location="TRA70!A1" display="ITA - LN 428 of 2010 - Deduction (Workplace Accessibity) Rules, 2010" xr:uid="{00000000-0004-0000-0200-000038000000}"/>
    <hyperlink ref="D77" location="TRA69!A1" display="ITA - LN 430 of 2010 - Deduction (Chldcare Facilities at the Workplace) Rules, 2010" xr:uid="{00000000-0004-0000-0200-000039000000}"/>
    <hyperlink ref="D76" location="TRA68!A1" display="ITA - LN 187 of 2010 - Donations (University research, Innovation &amp; Development) Rules, 2010" xr:uid="{00000000-0004-0000-0200-00003A000000}"/>
    <hyperlink ref="D75" location="TRA67!A1" display="TRA67!A1" xr:uid="{00000000-0004-0000-0200-00003B000000}"/>
    <hyperlink ref="D74" location="TRA66!A1" display="ITA - LN    of 2010 - Deduction (Pharmacy of your choice) Rules, 2010" xr:uid="{00000000-0004-0000-0200-00003C000000}"/>
    <hyperlink ref="D73" location="TRA65!A1" display="TRA65!A1" xr:uid="{00000000-0004-0000-0200-00003D000000}"/>
    <hyperlink ref="D66" location="TRA58!A1" display="ITA - LN 139 of 2008 Donations (Sports and Culture) Rules, 2008 [Artiste]" xr:uid="{00000000-0004-0000-0200-00003E000000}"/>
    <hyperlink ref="D65" location="TRA57!A1" display="ITA - LN 139 of 2008 Donations (Sports and Culture) Rules, 2008 [Culture]" xr:uid="{00000000-0004-0000-0200-00003F000000}"/>
    <hyperlink ref="D64" location="TRA56!A1" display="ITA - LN 139 of 2008 Donations (Sports and Culture) Rules, 2008" xr:uid="{00000000-0004-0000-0200-000040000000}"/>
    <hyperlink ref="D13" location="TRA5!A1" display="TRA5!A1" xr:uid="{00000000-0004-0000-0200-000041000000}"/>
    <hyperlink ref="D12" location="TRA4!A1" display="TRA4!A1" xr:uid="{00000000-0004-0000-0200-000042000000}"/>
    <hyperlink ref="D72" location="TRA63_MTA_FIA!A1" display="TRA63_MTA_FIA!A1" xr:uid="{00000000-0004-0000-0200-000043000000}"/>
    <hyperlink ref="D68" location="TRA60!A1" display="TRA60!A1" xr:uid="{00000000-0004-0000-0200-000044000000}"/>
    <hyperlink ref="D63" location="TRA55!A1" display="TRA55!A1" xr:uid="{00000000-0004-0000-0200-000045000000}"/>
    <hyperlink ref="D62" location="TRA54!A1" display="TRA54!A1" xr:uid="{00000000-0004-0000-0200-000046000000}"/>
    <hyperlink ref="D61" location="TRA53!A1" display="TRA53!A1" xr:uid="{00000000-0004-0000-0200-000047000000}"/>
    <hyperlink ref="D70" location="TRA62_IPA!A1" display="TRA62_IPA!A1" xr:uid="{00000000-0004-0000-0200-000048000000}"/>
    <hyperlink ref="D148" location="'p3'!A1" display="'p3'!A1" xr:uid="{00000000-0004-0000-0200-000049000000}"/>
    <hyperlink ref="D147" location="'p2'!A1" display="'p2'!A1" xr:uid="{00000000-0004-0000-0200-00004A000000}"/>
    <hyperlink ref="D38" location="TRA30!C3" display="TRA30!C3" xr:uid="{00000000-0004-0000-0200-00004B000000}"/>
    <hyperlink ref="D26" location="TRA18!A1" display="TRA18!A1" xr:uid="{00000000-0004-0000-0200-00004C000000}"/>
    <hyperlink ref="D28" location="TRA20!A1" display="TRA20!A1" xr:uid="{00000000-0004-0000-0200-00004D000000}"/>
    <hyperlink ref="D22" location="TRA9_14!A128" display="TRA9_14!A128" xr:uid="{00000000-0004-0000-0200-00004E000000}"/>
    <hyperlink ref="D15" location="TRA7!A1" display="TRA7!A1" xr:uid="{00000000-0004-0000-0200-00004F000000}"/>
    <hyperlink ref="D18" location="TRA9_14!A59" display="TRA9_14!A59" xr:uid="{00000000-0004-0000-0200-000050000000}"/>
    <hyperlink ref="D27" location="TRA19!A1" display="TRA19!A1" xr:uid="{00000000-0004-0000-0200-000051000000}"/>
    <hyperlink ref="D37" location="TRA29!C3" display="TRA29!C3" xr:uid="{00000000-0004-0000-0200-000052000000}"/>
    <hyperlink ref="D17" location="TRA9_14!A1" display="TRA9_14!A1" xr:uid="{00000000-0004-0000-0200-000053000000}"/>
    <hyperlink ref="D21" location="TRA9_14!A121" display="TRA9_14!A121" xr:uid="{00000000-0004-0000-0200-000054000000}"/>
    <hyperlink ref="D20" location="TRA9_14!A98" display="TRA9_14!A98" xr:uid="{00000000-0004-0000-0200-000055000000}"/>
    <hyperlink ref="D19" location="TRA9_14!A76" display="TRA9_14!A76" xr:uid="{00000000-0004-0000-0200-000056000000}"/>
    <hyperlink ref="D14" location="TRA6!A1" display="TRA6!A1" xr:uid="{00000000-0004-0000-0200-000057000000}"/>
    <hyperlink ref="D69" location="TRA61_FTA!A1" display="Allocation to the Final Tax Account" xr:uid="{00000000-0004-0000-0200-000058000000}"/>
    <hyperlink ref="D60" location="TRA52!B2" display="ITA - LN ?? of 2006 - Deductions (National Heritage)" xr:uid="{00000000-0004-0000-0200-000059000000}"/>
    <hyperlink ref="D49" location="TRA41!A1" display="TRA41!A1" xr:uid="{00000000-0004-0000-0200-00005A000000}"/>
    <hyperlink ref="D36" location="TRA27_28!A1" display="TRA27_28!A1" xr:uid="{00000000-0004-0000-0200-00005B000000}"/>
    <hyperlink ref="D32" location="TRA23_24!A1" display="TRA23_24!A1" xr:uid="{00000000-0004-0000-0200-00005C000000}"/>
    <hyperlink ref="D48" location="TRA40!A1" display="TRA40!A1" xr:uid="{00000000-0004-0000-0200-00005D000000}"/>
    <hyperlink ref="D47" location="TRA39!A1" display="TRA39!A1" xr:uid="{00000000-0004-0000-0200-00005E000000}"/>
    <hyperlink ref="D45" location="TRA37!A1" display="TRA37!A1" xr:uid="{00000000-0004-0000-0200-00005F000000}"/>
    <hyperlink ref="D44" location="TRA36!A1" display="TRA36!A1" xr:uid="{00000000-0004-0000-0200-000060000000}"/>
    <hyperlink ref="D42" location="TRA34!A1" display="TRA34!A1" xr:uid="{00000000-0004-0000-0200-000061000000}"/>
    <hyperlink ref="D43" location="TRA35!A1" display="TRA35!A1" xr:uid="{00000000-0004-0000-0200-000062000000}"/>
    <hyperlink ref="D41" location="TRA33!A1" display="TRA33!A1" xr:uid="{00000000-0004-0000-0200-000063000000}"/>
    <hyperlink ref="D7" location="B_Sheet!A1" display="B_Sheet!A1" xr:uid="{00000000-0004-0000-0200-000064000000}"/>
    <hyperlink ref="D8" location="Income!A1" display="Income!A1" xr:uid="{00000000-0004-0000-0200-000065000000}"/>
    <hyperlink ref="D146" location="'p1'!L10" display="'p1'!L10" xr:uid="{00000000-0004-0000-0200-000066000000}"/>
    <hyperlink ref="D39" location="TRA31!A1" display="TRA31!A1" xr:uid="{00000000-0004-0000-0200-000067000000}"/>
    <hyperlink ref="D35" location="TRA27_28!A1" display="TRA27_28!A1" xr:uid="{00000000-0004-0000-0200-000068000000}"/>
    <hyperlink ref="D31" location="TRA23_24!A1" display="TRA23_24!A1" xr:uid="{00000000-0004-0000-0200-000069000000}"/>
    <hyperlink ref="D25" location="TRA17!A1" display="TRA17!A1" xr:uid="{00000000-0004-0000-0200-00006A000000}"/>
    <hyperlink ref="D24" location="TRA16!A1" display="TRA16!A1" xr:uid="{00000000-0004-0000-0200-00006B000000}"/>
    <hyperlink ref="D23" location="TRA15!A1" display="TRA15!A1" xr:uid="{00000000-0004-0000-0200-00006C000000}"/>
    <hyperlink ref="D9" location="TRA1!A1" display="TRA1!A1" xr:uid="{00000000-0004-0000-0200-00006D000000}"/>
    <hyperlink ref="D10" location="TRA2!A1" display="TRA2!A1" xr:uid="{00000000-0004-0000-0200-00006E000000}"/>
    <hyperlink ref="D11" location="TRA3!A1" display="TRA3!A1" xr:uid="{00000000-0004-0000-0200-00006F000000}"/>
    <hyperlink ref="D16" location="TRA8!C3" display="TRA8!C3" xr:uid="{00000000-0004-0000-0200-000070000000}"/>
    <hyperlink ref="D150" location="'p5'!A1" display="'p5'!A1" xr:uid="{00000000-0004-0000-0200-000071000000}"/>
    <hyperlink ref="D151" location="'p6'!A1" display="'p6'!A1" xr:uid="{00000000-0004-0000-0200-000072000000}"/>
    <hyperlink ref="D152" location="'p7'!A1" display="'p7'!A1" xr:uid="{00000000-0004-0000-0200-000073000000}"/>
    <hyperlink ref="D153" location="'p8'!A1" display="'p8'!A1" xr:uid="{00000000-0004-0000-0200-000074000000}"/>
    <hyperlink ref="D115" location="'TRA106'!A1" display="ITA  -  LN   of 2018  -  Tax Credit (Construction Waste Recycling) Rules, 2018" xr:uid="{00000000-0004-0000-0200-000075000000}"/>
    <hyperlink ref="D116" location="'TRA107'!A1" display="ITA  -  LN 209 of 2018  -  Tax Credit (Construction Waste Recycling) Rules, 2018" xr:uid="{00000000-0004-0000-0200-000076000000}"/>
    <hyperlink ref="D117" location="'TRA108'!A1" display="ME Act - LN 120 of 2018  -  Tax Credits Supporting the Refusrbishment of Hotels and Restaurants" xr:uid="{00000000-0004-0000-0200-000077000000}"/>
    <hyperlink ref="D118" location="'TRA109'!A1" display="ME Act - LN 122 of 2018  -  Investment Aid for Energy Efficiency Regulations, 2018" xr:uid="{00000000-0004-0000-0200-000078000000}"/>
    <hyperlink ref="D119" location="'TRA110'!A1" display="Nexus with any of the jurisdictions listed in the EU List of Non-Cooperative Tax Jurisdictions" xr:uid="{00000000-0004-0000-0200-000079000000}"/>
    <hyperlink ref="D109" location="TRA100A!A1" display="ITA - LN 37 of 2018 - Notional Interest Deduction Rules (Workings)" xr:uid="{00000000-0004-0000-0200-00007A000000}"/>
    <hyperlink ref="D120" location="'TRA111'!A1" display="SL 123.187 - European Union Anti-Tax Avoidance Directives Implementation Regulations, 2018 - Rule 4" xr:uid="{00000000-0004-0000-0200-00007B000000}"/>
    <hyperlink ref="D121" location="'TRA112'!A1" display="SL 123.187 - European Union Anti-Tax Avoidance Directives Implementation Regulations, 2018 - Rule 7" xr:uid="{00000000-0004-0000-0200-00007C000000}"/>
    <hyperlink ref="D123" location="'TRA114'!A1" display="ME Act - LN 69 of 2019  - Tax Credits Supporting the Development of Video Games with a Cultural Dimension " xr:uid="{00000000-0004-0000-0200-00007D000000}"/>
    <hyperlink ref="D124" location="'TRA115'!A1" display="ME Act - LN 15 of 2019 - Skills Development Regulations" xr:uid="{00000000-0004-0000-0200-00007E000000}"/>
    <hyperlink ref="D122" location="'TRA113'!A1" display="ITA - Article 14(1)(p) and LN 208 of 2019 - Patent Box Regime (Deduction) Rules, 2019 " xr:uid="{00000000-0004-0000-0200-00007F000000}"/>
    <hyperlink ref="D125" location="'TRA116'!A1" display="SL 123.187 - European Union Anti-Tax Avoidance Directives Implementation Regulations, 2018 -  Reg 5" xr:uid="{00000000-0004-0000-0200-000080000000}"/>
    <hyperlink ref="D126" location="'TRA117'!A1" display="SL 123.187 - European Union Anti-Tax Avoidance Directives Implementation Regulations, 2018  - Reg 9" xr:uid="{00000000-0004-0000-0200-000081000000}"/>
    <hyperlink ref="D127" location="'TRA118'!A1" display="SL 123.127 - Cooperation with Other Jurisdictions on Tax Matters Regulations - Reg 13(7)" xr:uid="{00000000-0004-0000-0200-000082000000}"/>
    <hyperlink ref="D128" location="'TRA119'!A1" display="ITA - Article 5A - Assignments of rights acquired under a Promise of Sale Agreement Rules, 2020 " xr:uid="{00000000-0004-0000-0200-000083000000}"/>
    <hyperlink ref="D129" location="'TRA120'!A1" display="ITA - S.L. 123.197 - Tax Exemption (Construction Waste Recycling) (2020-2023) Rules" xr:uid="{00000000-0004-0000-0200-000084000000}"/>
    <hyperlink ref="D130" location="'TRA121'!A1" display="ME Act - SL 463.25 - Business Advisory Services Regulations" xr:uid="{00000000-0004-0000-0200-000085000000}"/>
    <hyperlink ref="D131" location="'TRA122'!A1" display="ME Act - SL 463.38 - Business Development 2021" xr:uid="{00000000-0004-0000-0200-000086000000}"/>
    <hyperlink ref="B131" location="'TRA122'!A1" display="TRA 122" xr:uid="{00000000-0004-0000-0200-000087000000}"/>
    <hyperlink ref="B132" location="'TRA123'!A1" display="TRA 123" xr:uid="{00000000-0004-0000-0200-000088000000}"/>
    <hyperlink ref="D132" location="'TRA123'!A1" display="ME Act - SL 463.40 - Investment Aid Regulations 2021" xr:uid="{00000000-0004-0000-0200-000089000000}"/>
    <hyperlink ref="B133" location="'TRA124'!A1" display="TRA 124" xr:uid="{00000000-0004-0000-0200-00008A000000}"/>
    <hyperlink ref="D133" location="'TRA124'!A1" display="ITA - Foreign source income or capital gains falling under sub-paragraphs (i) or (ii) of the proviso to article 4(1)(g) " xr:uid="{00000000-0004-0000-0200-00008B000000}"/>
    <hyperlink ref="B134" location="'TRA125'!A1" display="TRA 125" xr:uid="{00000000-0004-0000-0200-00008C000000}"/>
    <hyperlink ref="D134" location="'TRA125'!A1" display="ITA - S.L. 123.XXX - Group Deductions (Income Tax) Rules, 2022" xr:uid="{00000000-0004-0000-0200-00008D000000}"/>
    <hyperlink ref="B135" location="'TRA126'!A1" display="TRA 126" xr:uid="{580072D0-C0CA-43A6-83D1-3AED311BA02B}"/>
    <hyperlink ref="B136" location="'TRA127'!A1" display="TRA 127" xr:uid="{440CF68F-0F77-4607-BC99-F6EF987F1059}"/>
    <hyperlink ref="B137" location="'TRA128'!A1" display="TRA 128" xr:uid="{763B5ADD-2DC3-4E8D-880B-D4774D42B404}"/>
    <hyperlink ref="B138" location="'TRA129'!A1" display="TRA 129" xr:uid="{8FAFB07E-0888-4C66-822B-045164443D92}"/>
    <hyperlink ref="D135" location="'TRA126'!A1" display="ME Act - SL 463.45 - Smart and Sustainable Investment Grant Regulations" xr:uid="{014A0015-E396-460F-8B60-4F359CFB6B5E}"/>
    <hyperlink ref="D136" location="'TRA127'!A1" display="ME Act - SL 463.46 - Invest Regulations " xr:uid="{B90FCB35-1171-4614-8B49-AA93852E83DD}"/>
    <hyperlink ref="D137" location="'TRA128'!A1" display="ME Act - SL 463.35 - Research and Development Regulations" xr:uid="{FC395207-37F9-4DDE-A790-929A08A97611}"/>
    <hyperlink ref="D138" location="'TRA129'!A1" display="ITA - SL 123.206 - Tax Credit (Malta International Airport plc) (COVID-19 Damage Compensation) Rules" xr:uid="{46F717EB-62E0-4C74-8704-D1E2330389A1}"/>
    <hyperlink ref="B122" location="'TRA113'!A1" display="TRA 113" xr:uid="{A7AF23B4-257C-4D9A-9876-472A5B16F5A0}"/>
    <hyperlink ref="B139" location="'TRA130'!A1" display="TRA 130" xr:uid="{E47794B0-38DE-4777-96DD-D841CB7D8026}"/>
    <hyperlink ref="D139" location="'TRA130'!A1" display="SL 463.47 - Support for Reducing the Environmental Impact of Construction Activities Regulations" xr:uid="{D29A8E82-A2CE-412C-89C6-420D309332A3}"/>
    <hyperlink ref="B140" location="'TRA131'!A1" display="TRA 131" xr:uid="{55C227C6-B5E9-45EB-9306-9B4F114DD991}"/>
    <hyperlink ref="B141" location="'TRA132'!A1" display="TRA 132" xr:uid="{4BD06C16-4E88-43D3-9B18-26259B4CE58C}"/>
    <hyperlink ref="B142" location="'TRA133'!A1" display="TRA 133" xr:uid="{547C6C9E-F77F-457A-98D0-74C13FB450B0}"/>
    <hyperlink ref="B143" location="'TRA134'!A1" display="TRA 134" xr:uid="{64B54415-707F-488A-A04D-EC678175E020}"/>
    <hyperlink ref="B144" location="'TRA135'!A1" display="TRA 135" xr:uid="{618E86D9-6D8B-45E4-9914-A324453D86D5}"/>
    <hyperlink ref="B145" location="'TRA136'!A1" display="TRA 136" xr:uid="{30373C3A-81B1-4E47-88D1-F7EAF1579256}"/>
    <hyperlink ref="D140" location="'TRA131'!A1" display="ME Act - SL 463.33 - Rent Subsidy Regulations" xr:uid="{EED30FDA-1BE3-432D-AF18-0A1A1414FF58}"/>
    <hyperlink ref="D141" location="'TRA132'!A1" display="ME Act - SL 463.56 - Green Mobility Regulations" xr:uid="{476FFF42-C9DA-4008-8D23-345C1B24B7D3}"/>
    <hyperlink ref="D142" location="'TRA133'!A1" display="ME Act - SL 463.57 - Business Development (2024) Regulations" xr:uid="{1C0F1A9F-C9BB-4AC5-ACC9-A9466865E84A}"/>
    <hyperlink ref="D143" location="'TRA134'!A1" display="SL 123.214 - Donations to Voluntary Organisations Rules" xr:uid="{CEE2AA34-816B-48D2-AE5C-01D3C214CCDC}"/>
    <hyperlink ref="D144" location="'TRA135'!A1" display="SL 123.207 - Transfer Pricing Rules" xr:uid="{4D05E3EE-70A8-42DF-87A6-FA77ECF7A3CD}"/>
    <hyperlink ref="D145" location="'TRA136'!A1" display="SL XXX.XXX - Top-Up Tax Regulations" xr:uid="{2DB19FAC-A283-498D-95A4-01A9187FFAE3}"/>
  </hyperlinks>
  <pageMargins left="0.47244094488188981" right="0.43307086614173229" top="0.17" bottom="0.23" header="0.17" footer="0.17"/>
  <pageSetup paperSize="9" scale="70" fitToHeight="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5">
    <pageSetUpPr autoPageBreaks="0"/>
  </sheetPr>
  <dimension ref="A1:CB275"/>
  <sheetViews>
    <sheetView showGridLines="0" topLeftCell="A252" workbookViewId="0">
      <selection activeCell="E258" sqref="E258"/>
    </sheetView>
  </sheetViews>
  <sheetFormatPr defaultColWidth="9.28515625" defaultRowHeight="12.75" customHeight="1" zeroHeight="1" x14ac:dyDescent="0.2"/>
  <cols>
    <col min="1" max="1" width="0.7109375" style="28" customWidth="1"/>
    <col min="2" max="2" width="66.28515625" style="28" bestFit="1" customWidth="1"/>
    <col min="3" max="3" width="5.7109375" style="28" customWidth="1"/>
    <col min="4" max="4" width="11" style="28" customWidth="1"/>
    <col min="5" max="5" width="13.42578125" style="28" customWidth="1"/>
    <col min="6" max="6" width="13.5703125" style="28" customWidth="1"/>
    <col min="7" max="37" width="9.28515625" style="28" hidden="1" customWidth="1"/>
    <col min="38" max="38" width="3" style="28" hidden="1" customWidth="1"/>
    <col min="39" max="52" width="9.28515625" style="28" hidden="1" customWidth="1"/>
    <col min="53" max="53" width="10.28515625" style="28" hidden="1" customWidth="1"/>
    <col min="54" max="78" width="9.28515625" style="28" customWidth="1"/>
    <col min="79" max="16384" width="9.28515625" style="142"/>
  </cols>
  <sheetData>
    <row r="1" spans="1:79" ht="15" x14ac:dyDescent="0.2">
      <c r="A1" s="1518" t="s">
        <v>3694</v>
      </c>
      <c r="B1" s="1581" t="s">
        <v>365</v>
      </c>
      <c r="C1" s="62"/>
      <c r="D1" s="62"/>
      <c r="E1" s="62"/>
      <c r="BA1" s="74">
        <f>IF('p1'!M66="",DATE(ya-1,12,31),'p1'!M66)</f>
      </c>
    </row>
    <row r="2" spans="1:79" x14ac:dyDescent="0.2">
      <c r="A2" s="1582">
        <v>1</v>
      </c>
      <c r="B2" s="28" t="str">
        <f>_ref1</f>
      </c>
      <c r="C2" s="40"/>
      <c r="D2" s="40"/>
      <c r="E2" s="139" t="str">
        <f>_YA1</f>
      </c>
      <c r="AY2" s="28">
        <f>IF(AZ2&lt;&gt;BA2,1,0)</f>
      </c>
      <c r="AZ2" s="281">
        <f>C4</f>
      </c>
      <c r="BA2" s="28">
        <f>DAY(BA1)</f>
      </c>
    </row>
    <row r="3" spans="1:79" ht="15" x14ac:dyDescent="0.2">
      <c r="A3" s="1582">
        <v>0</v>
      </c>
      <c r="B3" s="1583"/>
      <c r="C3" s="2091" t="str">
        <f>IF(AND(C4="",D4=""),"",IF(AY4&lt;&gt;0,"Accounting year end does not match MTCA records! Please Rectify.",""))</f>
        <v/>
      </c>
      <c r="D3" s="40"/>
      <c r="E3" s="139"/>
      <c r="I3" s="28">
        <f>IF(C3="",0,1)</f>
      </c>
      <c r="AY3" s="28">
        <f>IF(AZ3&lt;&gt;BA3,1,0)</f>
      </c>
      <c r="AZ3" s="28">
        <f>VLOOKUP(D4,AM6:AN17,2,FALSE)</f>
      </c>
      <c r="BA3" s="28">
        <f>MONTH(BA1)</f>
      </c>
    </row>
    <row r="4" spans="1:79" ht="15" x14ac:dyDescent="0.2">
      <c r="A4" s="1">
        <v>1</v>
      </c>
      <c r="B4" s="273" t="s">
        <v>4226</v>
      </c>
      <c r="C4" s="274">
        <v>31</v>
      </c>
      <c r="D4" s="275" t="s">
        <v>57</v>
      </c>
      <c r="E4" s="276">
        <f>ya-1</f>
      </c>
      <c r="F4" s="61" t="str">
        <f>IF(ISBLANK(C4),H4,IF(ISBLANK(D4),H4,""))</f>
        <v/>
      </c>
      <c r="G4" s="28">
        <f>IF(F4="",0,1)</f>
      </c>
      <c r="H4" s="1736" t="s">
        <v>5065</v>
      </c>
      <c r="AY4" s="28">
        <f>SUM(AY2:AY3)</f>
      </c>
    </row>
    <row r="5" spans="1:79" x14ac:dyDescent="0.2">
      <c r="A5" s="1">
        <v>0</v>
      </c>
      <c r="B5" s="277" t="s">
        <v>2307</v>
      </c>
      <c r="C5" s="278" t="s">
        <v>1005</v>
      </c>
      <c r="D5" s="2"/>
      <c r="E5" s="279" t="s">
        <v>1006</v>
      </c>
      <c r="F5" s="3"/>
    </row>
    <row r="6" spans="1:79" x14ac:dyDescent="0.2">
      <c r="A6" s="1">
        <f>COUNT(E6)</f>
      </c>
      <c r="B6" s="1584" t="s">
        <v>1007</v>
      </c>
      <c r="C6" s="1585">
        <v>1000</v>
      </c>
      <c r="D6" s="2"/>
      <c r="E6" s="280"/>
      <c r="F6" s="4014" t="str">
        <f>IF(E6&lt;0,"Negative amount!","")</f>
        <v/>
      </c>
      <c r="H6" s="28">
        <f t="shared" ref="H6:H15" si="0">IF(F6="",0,1)</f>
      </c>
      <c r="Z6" s="28">
        <f>IF(A6=1,SUM($A$6:$A6),0)</f>
      </c>
      <c r="AL6" s="281">
        <v>1</v>
      </c>
      <c r="AM6" s="28" t="s">
        <v>573</v>
      </c>
      <c r="AN6" s="281">
        <v>1</v>
      </c>
    </row>
    <row r="7" spans="1:79" x14ac:dyDescent="0.2">
      <c r="A7" s="1">
        <f t="shared" ref="A7:A70" si="1">COUNT(E7)</f>
      </c>
      <c r="B7" s="1586" t="s">
        <v>5752</v>
      </c>
      <c r="C7" s="1585">
        <v>1001</v>
      </c>
      <c r="D7" s="2"/>
      <c r="E7" s="280"/>
      <c r="F7" s="4014" t="str">
        <f>IF(E7&gt;0,"Positive amount!","")</f>
        <v/>
      </c>
      <c r="H7" s="28">
        <f t="shared" si="0"/>
        <v>0</v>
      </c>
      <c r="Z7" s="28">
        <f>IF(A7=1,SUM($A$6:$A7),0)</f>
      </c>
      <c r="AL7" s="281">
        <v>2</v>
      </c>
      <c r="AM7" s="28" t="s">
        <v>3143</v>
      </c>
      <c r="AN7" s="281">
        <v>2</v>
      </c>
    </row>
    <row r="8" spans="1:79" x14ac:dyDescent="0.2">
      <c r="A8" s="1">
        <f t="shared" si="1"/>
        <v>0</v>
      </c>
      <c r="B8" s="1586" t="s">
        <v>5753</v>
      </c>
      <c r="C8" s="1585">
        <v>1002</v>
      </c>
      <c r="D8" s="2"/>
      <c r="E8" s="280"/>
      <c r="F8" s="4014" t="str">
        <f>IF(E8&lt;0,"Negative amount!","")</f>
        <v/>
      </c>
      <c r="H8" s="28">
        <f t="shared" si="0"/>
        <v>0</v>
      </c>
      <c r="Z8" s="28">
        <f>IF(A8=1,SUM($A$6:$A8),0)</f>
      </c>
      <c r="AL8" s="281">
        <v>3</v>
      </c>
      <c r="AM8" s="28" t="s">
        <v>3144</v>
      </c>
      <c r="AN8" s="281">
        <v>3</v>
      </c>
    </row>
    <row r="9" spans="1:79" x14ac:dyDescent="0.2">
      <c r="A9" s="1">
        <f t="shared" si="1"/>
        <v>0</v>
      </c>
      <c r="B9" s="1586" t="s">
        <v>4676</v>
      </c>
      <c r="C9" s="1585">
        <v>1003</v>
      </c>
      <c r="D9" s="2"/>
      <c r="E9" s="280"/>
      <c r="F9" s="4014" t="str">
        <f>IF(E9&gt;0,"Positive amount!","")</f>
        <v/>
      </c>
      <c r="H9" s="28">
        <f t="shared" si="0"/>
        <v>0</v>
      </c>
      <c r="Z9" s="28">
        <f>IF(A9=1,SUM($A$6:$A9),0)</f>
      </c>
      <c r="AL9" s="281">
        <v>4</v>
      </c>
      <c r="AM9" s="28" t="s">
        <v>3145</v>
      </c>
      <c r="AN9" s="281">
        <v>4</v>
      </c>
    </row>
    <row r="10" spans="1:79" x14ac:dyDescent="0.2">
      <c r="A10" s="1">
        <f t="shared" si="1"/>
        <v>0</v>
      </c>
      <c r="B10" s="1586" t="s">
        <v>5490</v>
      </c>
      <c r="C10" s="1585">
        <v>1004</v>
      </c>
      <c r="D10" s="2"/>
      <c r="E10" s="280"/>
      <c r="F10" s="4014" t="str">
        <f>IF(E10&lt;0,"Negative amount!","")</f>
        <v/>
      </c>
      <c r="H10" s="28">
        <f t="shared" si="0"/>
        <v>0</v>
      </c>
      <c r="Z10" s="28">
        <f>IF(A10=1,SUM($A$6:$A10),0)</f>
      </c>
      <c r="AL10" s="281">
        <v>5</v>
      </c>
      <c r="AM10" s="28" t="s">
        <v>3146</v>
      </c>
      <c r="AN10" s="281">
        <v>5</v>
      </c>
    </row>
    <row r="11" spans="1:79" x14ac:dyDescent="0.2">
      <c r="A11" s="1">
        <f t="shared" si="1"/>
        <v>0</v>
      </c>
      <c r="B11" s="1586" t="s">
        <v>5491</v>
      </c>
      <c r="C11" s="1585">
        <v>1005</v>
      </c>
      <c r="D11" s="2"/>
      <c r="E11" s="280"/>
      <c r="F11" s="4014" t="str">
        <f>IF(E11&gt;0,"Positive amount!","")</f>
        <v/>
      </c>
      <c r="H11" s="28">
        <f t="shared" si="0"/>
        <v>0</v>
      </c>
      <c r="Z11" s="28">
        <f>IF(A11=1,SUM($A$6:$A11),0)</f>
      </c>
      <c r="AL11" s="281">
        <v>6</v>
      </c>
      <c r="AM11" s="28" t="s">
        <v>3147</v>
      </c>
      <c r="AN11" s="281">
        <v>6</v>
      </c>
    </row>
    <row r="12" spans="1:79" x14ac:dyDescent="0.2">
      <c r="A12" s="1">
        <f t="shared" si="1"/>
        <v>1</v>
      </c>
      <c r="B12" s="1586" t="s">
        <v>5492</v>
      </c>
      <c r="C12" s="1585">
        <v>1006</v>
      </c>
      <c r="D12" s="2"/>
      <c r="E12" s="280"/>
      <c r="F12" s="4014" t="str">
        <f>IF(E12&lt;0,"Negative amount!","")</f>
        <v/>
      </c>
      <c r="H12" s="28">
        <f t="shared" si="0"/>
        <v>0</v>
      </c>
      <c r="Z12" s="28">
        <f>IF(A12=1,SUM($A$6:$A12),0)</f>
      </c>
      <c r="AL12" s="281">
        <v>7</v>
      </c>
      <c r="AM12" s="28" t="s">
        <v>4115</v>
      </c>
      <c r="AN12" s="281">
        <v>7</v>
      </c>
    </row>
    <row r="13" spans="1:79" x14ac:dyDescent="0.2">
      <c r="A13" s="1">
        <f t="shared" si="1"/>
        <v>1</v>
      </c>
      <c r="B13" s="1586" t="s">
        <v>2289</v>
      </c>
      <c r="C13" s="1585">
        <v>1007</v>
      </c>
      <c r="D13" s="2"/>
      <c r="E13" s="280"/>
      <c r="F13" s="4014" t="str">
        <f>IF(E13&gt;0,"Positive amount!","")</f>
        <v/>
      </c>
      <c r="H13" s="28">
        <f t="shared" si="0"/>
        <v>0</v>
      </c>
      <c r="Z13" s="28">
        <f>IF(A13=1,SUM($A$6:$A13),0)</f>
      </c>
      <c r="AL13" s="281">
        <v>8</v>
      </c>
      <c r="AM13" s="28" t="s">
        <v>4116</v>
      </c>
      <c r="AN13" s="281">
        <v>8</v>
      </c>
    </row>
    <row r="14" spans="1:79" x14ac:dyDescent="0.2">
      <c r="A14" s="1">
        <f t="shared" si="1"/>
        <v>0</v>
      </c>
      <c r="B14" s="1586" t="s">
        <v>4197</v>
      </c>
      <c r="C14" s="1585">
        <v>1008</v>
      </c>
      <c r="D14" s="2"/>
      <c r="E14" s="280"/>
      <c r="F14" s="4014" t="str">
        <f>IF(E14&lt;0,"Negative amount!","")</f>
        <v/>
      </c>
      <c r="H14" s="28">
        <f t="shared" si="0"/>
        <v>0</v>
      </c>
      <c r="Z14" s="28">
        <f>IF(A14=1,SUM($A$6:$A14),0)</f>
      </c>
      <c r="AL14" s="281">
        <v>9</v>
      </c>
      <c r="AM14" s="28" t="s">
        <v>4117</v>
      </c>
      <c r="AN14" s="281">
        <v>9</v>
      </c>
    </row>
    <row r="15" spans="1:79" x14ac:dyDescent="0.2">
      <c r="A15" s="1">
        <f t="shared" si="1"/>
        <v>0</v>
      </c>
      <c r="B15" s="1586" t="s">
        <v>4198</v>
      </c>
      <c r="C15" s="1585">
        <v>1009</v>
      </c>
      <c r="D15" s="2"/>
      <c r="E15" s="280"/>
      <c r="F15" s="4014" t="str">
        <f>IF(E15&gt;0,"Positive amount!","")</f>
        <v/>
      </c>
      <c r="H15" s="28">
        <f t="shared" si="0"/>
        <v>0</v>
      </c>
      <c r="Z15" s="28">
        <f>IF(A15=1,SUM($A$6:$A15),0)</f>
      </c>
      <c r="AL15" s="281">
        <v>10</v>
      </c>
      <c r="AM15" s="28" t="s">
        <v>4118</v>
      </c>
      <c r="AN15" s="281">
        <v>10</v>
      </c>
    </row>
    <row r="16" spans="1:79" x14ac:dyDescent="0.2">
      <c r="A16" s="1">
        <v>1</v>
      </c>
      <c r="B16" s="1587" t="s">
        <v>4199</v>
      </c>
      <c r="C16" s="1588">
        <v>1198</v>
      </c>
      <c r="D16" s="2"/>
      <c r="E16" s="282">
        <f>SUM(E6,E8,E10,E12,E14)</f>
      </c>
      <c r="F16" s="3"/>
      <c r="Y16" s="28">
        <v>1</v>
      </c>
      <c r="Z16" s="28">
        <f>IF(A16=1,SUM($A$6:$A16),0)</f>
      </c>
      <c r="AL16" s="281">
        <v>11</v>
      </c>
      <c r="AM16" s="28" t="s">
        <v>4119</v>
      </c>
      <c r="AN16" s="281">
        <v>11</v>
      </c>
      <c r="CA16" s="142">
        <v>1</v>
      </c>
    </row>
    <row r="17" spans="1:79" x14ac:dyDescent="0.2">
      <c r="A17" s="1">
        <v>1</v>
      </c>
      <c r="B17" s="1587" t="s">
        <v>2192</v>
      </c>
      <c r="C17" s="1588">
        <v>1199</v>
      </c>
      <c r="D17" s="2"/>
      <c r="E17" s="282">
        <f>SUM(E7,E9,E11,E13,E15)</f>
      </c>
      <c r="F17" s="3"/>
      <c r="Y17" s="28">
        <v>1</v>
      </c>
      <c r="Z17" s="28">
        <f>IF(A17=1,SUM($A$6:$A17),0)</f>
      </c>
      <c r="AL17" s="281">
        <v>12</v>
      </c>
      <c r="AM17" s="28" t="s">
        <v>57</v>
      </c>
      <c r="AN17" s="281">
        <v>12</v>
      </c>
      <c r="CA17" s="142">
        <v>1</v>
      </c>
    </row>
    <row r="18" spans="1:79" x14ac:dyDescent="0.2">
      <c r="A18" s="1">
        <f t="shared" si="1"/>
        <v>0</v>
      </c>
      <c r="B18" s="1589" t="s">
        <v>5067</v>
      </c>
      <c r="C18" s="1585">
        <v>1200</v>
      </c>
      <c r="D18" s="2"/>
      <c r="E18" s="280"/>
      <c r="F18" s="4014" t="str">
        <f>IF(E18&lt;0,"Negative amount!","")</f>
        <v/>
      </c>
      <c r="H18" s="28">
        <f t="shared" ref="H18:H49" si="2">IF(F18="",0,1)</f>
      </c>
      <c r="Z18" s="28">
        <f>IF(A18=1,SUM($A$6:$A18),0)</f>
      </c>
      <c r="AL18" s="281">
        <v>13</v>
      </c>
    </row>
    <row r="19" spans="1:79" x14ac:dyDescent="0.2">
      <c r="A19" s="1">
        <f t="shared" si="1"/>
        <v>0</v>
      </c>
      <c r="B19" s="1586" t="s">
        <v>5068</v>
      </c>
      <c r="C19" s="1585">
        <v>1201</v>
      </c>
      <c r="D19" s="2"/>
      <c r="E19" s="280"/>
      <c r="F19" s="4014" t="str">
        <f>IF(E19&gt;0,"Positive amount!","")</f>
        <v/>
      </c>
      <c r="H19" s="28">
        <f t="shared" si="2"/>
        <v>0</v>
      </c>
      <c r="Z19" s="28">
        <f>IF(A19=1,SUM($A$6:$A19),0)</f>
      </c>
      <c r="AL19" s="281">
        <v>14</v>
      </c>
    </row>
    <row r="20" spans="1:79" x14ac:dyDescent="0.2">
      <c r="A20" s="1">
        <f t="shared" si="1"/>
        <v>0</v>
      </c>
      <c r="B20" s="1590" t="s">
        <v>6655</v>
      </c>
      <c r="C20" s="1585">
        <v>1202</v>
      </c>
      <c r="D20" s="2"/>
      <c r="E20" s="280"/>
      <c r="F20" s="4014" t="str">
        <f>IF(E20&lt;0,"Negative amount!","")</f>
        <v/>
      </c>
      <c r="H20" s="28">
        <f t="shared" si="2"/>
        <v>0</v>
      </c>
      <c r="Z20" s="28">
        <f>IF(A20=1,SUM($A$6:$A20),0)</f>
      </c>
      <c r="AL20" s="281">
        <v>15</v>
      </c>
    </row>
    <row r="21" spans="1:79" x14ac:dyDescent="0.2">
      <c r="A21" s="1">
        <f t="shared" si="1"/>
        <v>0</v>
      </c>
      <c r="B21" s="1590" t="s">
        <v>6060</v>
      </c>
      <c r="C21" s="1585">
        <v>1203</v>
      </c>
      <c r="D21" s="2"/>
      <c r="E21" s="280"/>
      <c r="F21" s="4014" t="str">
        <f>IF(E21&gt;0,"Positive amount!","")</f>
        <v/>
      </c>
      <c r="H21" s="28">
        <f t="shared" si="2"/>
        <v>0</v>
      </c>
      <c r="Z21" s="28">
        <f>IF(A21=1,SUM($A$6:$A21),0)</f>
      </c>
      <c r="AL21" s="281">
        <v>16</v>
      </c>
    </row>
    <row r="22" spans="1:79" x14ac:dyDescent="0.2">
      <c r="A22" s="1">
        <f t="shared" si="1"/>
        <v>0</v>
      </c>
      <c r="B22" s="1590" t="s">
        <v>6634</v>
      </c>
      <c r="C22" s="1585">
        <v>1204</v>
      </c>
      <c r="D22" s="2"/>
      <c r="E22" s="280"/>
      <c r="F22" s="4014" t="str">
        <f>IF(E22&lt;0,"Negative amount!","")</f>
        <v/>
      </c>
      <c r="H22" s="28">
        <f t="shared" si="2"/>
        <v>0</v>
      </c>
      <c r="Z22" s="28">
        <f>IF(A22=1,SUM($A$6:$A22),0)</f>
      </c>
      <c r="AL22" s="281">
        <v>17</v>
      </c>
    </row>
    <row r="23" spans="1:79" x14ac:dyDescent="0.2">
      <c r="A23" s="1">
        <f t="shared" si="1"/>
        <v>0</v>
      </c>
      <c r="B23" s="1590" t="s">
        <v>2748</v>
      </c>
      <c r="C23" s="1585">
        <v>1205</v>
      </c>
      <c r="D23" s="2"/>
      <c r="E23" s="280"/>
      <c r="F23" s="4014" t="str">
        <f>IF(E23&gt;0,"Positive amount!","")</f>
        <v/>
      </c>
      <c r="H23" s="28">
        <f t="shared" si="2"/>
        <v>0</v>
      </c>
      <c r="Z23" s="28">
        <f>IF(A23=1,SUM($A$6:$A23),0)</f>
      </c>
      <c r="AL23" s="281">
        <v>18</v>
      </c>
    </row>
    <row r="24" spans="1:79" x14ac:dyDescent="0.2">
      <c r="A24" s="1">
        <f t="shared" si="1"/>
        <v>0</v>
      </c>
      <c r="B24" s="1590" t="s">
        <v>2749</v>
      </c>
      <c r="C24" s="1585">
        <v>1206</v>
      </c>
      <c r="D24" s="2"/>
      <c r="E24" s="280"/>
      <c r="F24" s="4014" t="str">
        <f>IF(E24&lt;0,"Negative amount!","")</f>
        <v/>
      </c>
      <c r="H24" s="28">
        <f t="shared" si="2"/>
        <v>0</v>
      </c>
      <c r="Z24" s="28">
        <f>IF(A24=1,SUM($A$6:$A24),0)</f>
      </c>
      <c r="AL24" s="281">
        <v>19</v>
      </c>
    </row>
    <row r="25" spans="1:79" x14ac:dyDescent="0.2">
      <c r="A25" s="1">
        <f t="shared" si="1"/>
        <v>0</v>
      </c>
      <c r="B25" s="1590" t="s">
        <v>3716</v>
      </c>
      <c r="C25" s="1585">
        <v>1207</v>
      </c>
      <c r="D25" s="2"/>
      <c r="E25" s="280"/>
      <c r="F25" s="4014" t="str">
        <f>IF(E25&gt;0,"Positive amount!","")</f>
        <v/>
      </c>
      <c r="H25" s="28">
        <f t="shared" si="2"/>
        <v>0</v>
      </c>
      <c r="Z25" s="28">
        <f>IF(A25=1,SUM($A$6:$A25),0)</f>
      </c>
      <c r="AL25" s="281">
        <v>20</v>
      </c>
    </row>
    <row r="26" spans="1:79" x14ac:dyDescent="0.2">
      <c r="A26" s="1">
        <f t="shared" si="1"/>
        <v>0</v>
      </c>
      <c r="B26" s="1590" t="s">
        <v>2653</v>
      </c>
      <c r="C26" s="1585">
        <v>1208</v>
      </c>
      <c r="D26" s="2"/>
      <c r="E26" s="280"/>
      <c r="F26" s="4014" t="str">
        <f>IF(E26&lt;0,"Negative amount!","")</f>
        <v/>
      </c>
      <c r="H26" s="28">
        <f t="shared" si="2"/>
        <v>0</v>
      </c>
      <c r="Z26" s="28">
        <f>IF(A26=1,SUM($A$6:$A26),0)</f>
      </c>
      <c r="AL26" s="281">
        <v>21</v>
      </c>
    </row>
    <row r="27" spans="1:79" x14ac:dyDescent="0.2">
      <c r="A27" s="1">
        <f t="shared" si="1"/>
        <v>0</v>
      </c>
      <c r="B27" s="1590" t="s">
        <v>1558</v>
      </c>
      <c r="C27" s="1585">
        <v>1209</v>
      </c>
      <c r="D27" s="2"/>
      <c r="E27" s="280"/>
      <c r="F27" s="4014" t="str">
        <f>IF(E27&gt;0,"Positive amount!","")</f>
        <v/>
      </c>
      <c r="H27" s="28">
        <f t="shared" si="2"/>
        <v>0</v>
      </c>
      <c r="Z27" s="28">
        <f>IF(A27=1,SUM($A$6:$A27),0)</f>
      </c>
      <c r="AL27" s="281">
        <v>22</v>
      </c>
    </row>
    <row r="28" spans="1:79" x14ac:dyDescent="0.2">
      <c r="A28" s="1">
        <f t="shared" si="1"/>
        <v>0</v>
      </c>
      <c r="B28" s="1590" t="s">
        <v>1559</v>
      </c>
      <c r="C28" s="1585">
        <v>1210</v>
      </c>
      <c r="D28" s="2"/>
      <c r="E28" s="280"/>
      <c r="F28" s="4014" t="str">
        <f>IF(E28&lt;0,"Negative amount!","")</f>
        <v/>
      </c>
      <c r="H28" s="28">
        <f t="shared" si="2"/>
        <v>0</v>
      </c>
      <c r="Z28" s="28">
        <f>IF(A28=1,SUM($A$6:$A28),0)</f>
      </c>
      <c r="AL28" s="281">
        <v>23</v>
      </c>
    </row>
    <row r="29" spans="1:79" x14ac:dyDescent="0.2">
      <c r="A29" s="1">
        <f t="shared" si="1"/>
        <v>0</v>
      </c>
      <c r="B29" s="1591" t="s">
        <v>1560</v>
      </c>
      <c r="C29" s="1585">
        <v>1300</v>
      </c>
      <c r="D29" s="2"/>
      <c r="E29" s="280"/>
      <c r="F29" s="4014" t="str">
        <f>IF(E29&lt;0,"Negative amount!","")</f>
        <v/>
      </c>
      <c r="H29" s="28">
        <f t="shared" si="2"/>
        <v>0</v>
      </c>
      <c r="Z29" s="28">
        <f>IF(A29=1,SUM($A$6:$A29),0)</f>
      </c>
      <c r="AL29" s="281">
        <v>24</v>
      </c>
    </row>
    <row r="30" spans="1:79" x14ac:dyDescent="0.2">
      <c r="A30" s="1">
        <f t="shared" si="1"/>
        <v>0</v>
      </c>
      <c r="B30" s="1586" t="s">
        <v>4974</v>
      </c>
      <c r="C30" s="1585">
        <v>1301</v>
      </c>
      <c r="D30" s="2"/>
      <c r="E30" s="280"/>
      <c r="F30" s="4014" t="str">
        <f>IF(E30&gt;0,"Positive amount!","")</f>
        <v/>
      </c>
      <c r="H30" s="28">
        <f t="shared" si="2"/>
        <v>0</v>
      </c>
      <c r="Z30" s="28">
        <f>IF(A30=1,SUM($A$6:$A30),0)</f>
      </c>
      <c r="AL30" s="281">
        <v>25</v>
      </c>
    </row>
    <row r="31" spans="1:79" x14ac:dyDescent="0.2">
      <c r="A31" s="1">
        <f t="shared" si="1"/>
        <v>0</v>
      </c>
      <c r="B31" s="1590" t="s">
        <v>550</v>
      </c>
      <c r="C31" s="1585">
        <v>1302</v>
      </c>
      <c r="D31" s="2"/>
      <c r="E31" s="280"/>
      <c r="F31" s="4014" t="str">
        <f>IF(E31&lt;0,"Negative amount!","")</f>
        <v/>
      </c>
      <c r="H31" s="28">
        <f t="shared" si="2"/>
        <v>0</v>
      </c>
      <c r="Z31" s="28">
        <f>IF(A31=1,SUM($A$6:$A31),0)</f>
      </c>
      <c r="AL31" s="281">
        <v>26</v>
      </c>
    </row>
    <row r="32" spans="1:79" x14ac:dyDescent="0.2">
      <c r="A32" s="1">
        <f t="shared" si="1"/>
        <v>0</v>
      </c>
      <c r="B32" s="1590" t="s">
        <v>218</v>
      </c>
      <c r="C32" s="1585">
        <v>1303</v>
      </c>
      <c r="D32" s="2"/>
      <c r="E32" s="280"/>
      <c r="F32" s="4014" t="str">
        <f>IF(E32&gt;0,"Positive amount!","")</f>
        <v/>
      </c>
      <c r="H32" s="28">
        <f t="shared" si="2"/>
        <v>0</v>
      </c>
      <c r="Z32" s="28">
        <f>IF(A32=1,SUM($A$6:$A32),0)</f>
      </c>
      <c r="AL32" s="281">
        <v>27</v>
      </c>
    </row>
    <row r="33" spans="1:38" x14ac:dyDescent="0.2">
      <c r="A33" s="1">
        <f t="shared" si="1"/>
        <v>0</v>
      </c>
      <c r="B33" s="1590" t="s">
        <v>1136</v>
      </c>
      <c r="C33" s="1585">
        <v>1304</v>
      </c>
      <c r="D33" s="2"/>
      <c r="E33" s="280"/>
      <c r="F33" s="4014" t="str">
        <f>IF(E33&lt;0,"Negative amount!","")</f>
        <v/>
      </c>
      <c r="H33" s="28">
        <f t="shared" si="2"/>
        <v>0</v>
      </c>
      <c r="Z33" s="28">
        <f>IF(A33=1,SUM($A$6:$A33),0)</f>
      </c>
      <c r="AL33" s="281">
        <v>28</v>
      </c>
    </row>
    <row r="34" spans="1:38" x14ac:dyDescent="0.2">
      <c r="A34" s="1">
        <f t="shared" si="1"/>
        <v>0</v>
      </c>
      <c r="B34" s="1590" t="s">
        <v>10461</v>
      </c>
      <c r="C34" s="1585">
        <v>1305</v>
      </c>
      <c r="D34" s="2"/>
      <c r="E34" s="280"/>
      <c r="F34" s="4014" t="str">
        <f>IF(E34&gt;0,"Positive amount!","")</f>
        <v/>
      </c>
      <c r="H34" s="28">
        <f t="shared" si="2"/>
        <v>0</v>
      </c>
      <c r="Z34" s="28">
        <f>IF(A34=1,SUM($A$6:$A34),0)</f>
      </c>
      <c r="AL34" s="281">
        <v>29</v>
      </c>
    </row>
    <row r="35" spans="1:38" x14ac:dyDescent="0.2">
      <c r="A35" s="1">
        <f t="shared" si="1"/>
        <v>0</v>
      </c>
      <c r="B35" s="1590" t="s">
        <v>1138</v>
      </c>
      <c r="C35" s="1585">
        <v>1306</v>
      </c>
      <c r="D35" s="2"/>
      <c r="E35" s="280"/>
      <c r="F35" s="4014" t="str">
        <f>IF(E35&lt;0,"Negative amount!","")</f>
        <v/>
      </c>
      <c r="H35" s="28">
        <f t="shared" si="2"/>
        <v>0</v>
      </c>
      <c r="Z35" s="28">
        <f>IF(A35=1,SUM($A$6:$A35),0)</f>
      </c>
      <c r="AL35" s="281">
        <v>30</v>
      </c>
    </row>
    <row r="36" spans="1:38" x14ac:dyDescent="0.2">
      <c r="A36" s="1">
        <f t="shared" si="1"/>
        <v>0</v>
      </c>
      <c r="B36" s="1590" t="s">
        <v>1139</v>
      </c>
      <c r="C36" s="1585">
        <v>1307</v>
      </c>
      <c r="D36" s="2"/>
      <c r="E36" s="280"/>
      <c r="F36" s="4014" t="str">
        <f>IF(E36&gt;0,"Positive amount!","")</f>
        <v/>
      </c>
      <c r="H36" s="28">
        <f t="shared" si="2"/>
        <v>0</v>
      </c>
      <c r="Z36" s="28">
        <f>IF(A36=1,SUM($A$6:$A36),0)</f>
      </c>
      <c r="AL36" s="281">
        <v>31</v>
      </c>
    </row>
    <row r="37" spans="1:38" x14ac:dyDescent="0.2">
      <c r="A37" s="1">
        <f t="shared" si="1"/>
        <v>0</v>
      </c>
      <c r="B37" s="1589" t="s">
        <v>1140</v>
      </c>
      <c r="C37" s="1585">
        <v>1350</v>
      </c>
      <c r="D37" s="2"/>
      <c r="E37" s="280"/>
      <c r="F37" s="4014" t="str">
        <f>IF(E37&lt;0,"Negative amount!","")</f>
        <v/>
      </c>
      <c r="H37" s="28">
        <f t="shared" si="2"/>
        <v>0</v>
      </c>
      <c r="Z37" s="28">
        <f>IF(A37=1,SUM($A$6:$A37),0)</f>
      </c>
    </row>
    <row r="38" spans="1:38" x14ac:dyDescent="0.2">
      <c r="A38" s="1">
        <f t="shared" si="1"/>
        <v>0</v>
      </c>
      <c r="B38" s="1590" t="s">
        <v>794</v>
      </c>
      <c r="C38" s="1585">
        <v>1351</v>
      </c>
      <c r="D38" s="2"/>
      <c r="E38" s="280"/>
      <c r="F38" s="4014" t="str">
        <f>IF(E38&gt;0,"Positive amount!","")</f>
        <v/>
      </c>
      <c r="H38" s="28">
        <f t="shared" si="2"/>
        <v>0</v>
      </c>
      <c r="Z38" s="28">
        <f>IF(A38=1,SUM($A$6:$A38),0)</f>
      </c>
    </row>
    <row r="39" spans="1:38" x14ac:dyDescent="0.2">
      <c r="A39" s="1">
        <f t="shared" si="1"/>
        <v>0</v>
      </c>
      <c r="B39" s="1590" t="s">
        <v>795</v>
      </c>
      <c r="C39" s="1585">
        <v>1352</v>
      </c>
      <c r="D39" s="2"/>
      <c r="E39" s="280"/>
      <c r="F39" s="4014" t="str">
        <f>IF(E39&lt;0,"Negative amount!","")</f>
        <v/>
      </c>
      <c r="H39" s="28">
        <f t="shared" si="2"/>
        <v>0</v>
      </c>
      <c r="Z39" s="28">
        <f>IF(A39=1,SUM($A$6:$A39),0)</f>
      </c>
    </row>
    <row r="40" spans="1:38" x14ac:dyDescent="0.2">
      <c r="A40" s="1">
        <f t="shared" si="1"/>
        <v>0</v>
      </c>
      <c r="B40" s="1590" t="s">
        <v>796</v>
      </c>
      <c r="C40" s="1585">
        <v>1353</v>
      </c>
      <c r="D40" s="2"/>
      <c r="E40" s="280"/>
      <c r="F40" s="4014" t="str">
        <f>IF(E40&gt;0,"Positive amount!","")</f>
        <v/>
      </c>
      <c r="H40" s="28">
        <f t="shared" si="2"/>
        <v>0</v>
      </c>
      <c r="Z40" s="28">
        <f>IF(A40=1,SUM($A$6:$A40),0)</f>
      </c>
    </row>
    <row r="41" spans="1:38" x14ac:dyDescent="0.2">
      <c r="A41" s="1">
        <f t="shared" si="1"/>
        <v>0</v>
      </c>
      <c r="B41" s="1590" t="s">
        <v>5443</v>
      </c>
      <c r="C41" s="1585">
        <v>1354</v>
      </c>
      <c r="D41" s="2"/>
      <c r="E41" s="280"/>
      <c r="F41" s="4014" t="str">
        <f>IF(E41&lt;0,"Negative amount!","")</f>
        <v/>
      </c>
      <c r="H41" s="28">
        <f t="shared" si="2"/>
        <v>0</v>
      </c>
      <c r="Z41" s="28">
        <f>IF(A41=1,SUM($A$6:$A41),0)</f>
      </c>
    </row>
    <row r="42" spans="1:38" x14ac:dyDescent="0.2">
      <c r="A42" s="1">
        <f t="shared" si="1"/>
        <v>0</v>
      </c>
      <c r="B42" s="1590" t="s">
        <v>3633</v>
      </c>
      <c r="C42" s="1585">
        <v>1355</v>
      </c>
      <c r="D42" s="2"/>
      <c r="E42" s="280"/>
      <c r="F42" s="4014" t="str">
        <f>IF(E42&gt;0,"Positive amount!","")</f>
        <v/>
      </c>
      <c r="H42" s="28">
        <f t="shared" si="2"/>
        <v>0</v>
      </c>
      <c r="Z42" s="28">
        <f>IF(A42=1,SUM($A$6:$A42),0)</f>
      </c>
    </row>
    <row r="43" spans="1:38" x14ac:dyDescent="0.2">
      <c r="A43" s="1">
        <f t="shared" si="1"/>
        <v>0</v>
      </c>
      <c r="B43" s="1590" t="s">
        <v>3634</v>
      </c>
      <c r="C43" s="1585">
        <v>1356</v>
      </c>
      <c r="D43" s="2"/>
      <c r="E43" s="280"/>
      <c r="F43" s="4014" t="str">
        <f>IF(E43&lt;0,"Negative amount!","")</f>
        <v/>
      </c>
      <c r="H43" s="28">
        <f t="shared" si="2"/>
        <v>0</v>
      </c>
      <c r="Z43" s="28">
        <f>IF(A43=1,SUM($A$6:$A43),0)</f>
      </c>
    </row>
    <row r="44" spans="1:38" x14ac:dyDescent="0.2">
      <c r="A44" s="1">
        <f t="shared" si="1"/>
        <v>0</v>
      </c>
      <c r="B44" s="1590" t="s">
        <v>1925</v>
      </c>
      <c r="C44" s="1585">
        <v>1357</v>
      </c>
      <c r="D44" s="2"/>
      <c r="E44" s="280"/>
      <c r="F44" s="4014" t="str">
        <f>IF(E44&gt;0,"Positive amount!","")</f>
        <v/>
      </c>
      <c r="H44" s="28">
        <f t="shared" si="2"/>
        <v>0</v>
      </c>
      <c r="Z44" s="28">
        <f>IF(A44=1,SUM($A$6:$A44),0)</f>
      </c>
    </row>
    <row r="45" spans="1:38" x14ac:dyDescent="0.2">
      <c r="A45" s="1">
        <f t="shared" si="1"/>
        <v>0</v>
      </c>
      <c r="B45" s="1590" t="s">
        <v>1926</v>
      </c>
      <c r="C45" s="1585">
        <v>1358</v>
      </c>
      <c r="D45" s="2"/>
      <c r="E45" s="280"/>
      <c r="F45" s="4014" t="str">
        <f>IF(E45&lt;0,"Negative amount!","")</f>
        <v/>
      </c>
      <c r="H45" s="28">
        <f t="shared" si="2"/>
        <v>0</v>
      </c>
      <c r="Z45" s="28">
        <f>IF(A45=1,SUM($A$6:$A45),0)</f>
      </c>
    </row>
    <row r="46" spans="1:38" x14ac:dyDescent="0.2">
      <c r="A46" s="1">
        <f t="shared" si="1"/>
        <v>0</v>
      </c>
      <c r="B46" s="1590" t="s">
        <v>3595</v>
      </c>
      <c r="C46" s="1585">
        <v>1359</v>
      </c>
      <c r="D46" s="2"/>
      <c r="E46" s="280"/>
      <c r="F46" s="4014" t="str">
        <f>IF(E46&gt;0,"Positive amount!","")</f>
        <v/>
      </c>
      <c r="H46" s="28">
        <f t="shared" si="2"/>
        <v>0</v>
      </c>
      <c r="Z46" s="28">
        <f>IF(A46=1,SUM($A$6:$A46),0)</f>
      </c>
    </row>
    <row r="47" spans="1:38" x14ac:dyDescent="0.2">
      <c r="A47" s="1">
        <f t="shared" si="1"/>
        <v>0</v>
      </c>
      <c r="B47" s="1591" t="s">
        <v>6635</v>
      </c>
      <c r="C47" s="1585">
        <v>1360</v>
      </c>
      <c r="D47" s="2"/>
      <c r="E47" s="280"/>
      <c r="F47" s="4014" t="str">
        <f>IF(E47&lt;0,"Negative amount!","")</f>
        <v/>
      </c>
      <c r="H47" s="28">
        <f t="shared" si="2"/>
        <v>0</v>
      </c>
      <c r="Z47" s="28">
        <f>IF(A47=1,SUM($A$6:$A47),0)</f>
      </c>
    </row>
    <row r="48" spans="1:38" x14ac:dyDescent="0.2">
      <c r="A48" s="1">
        <f t="shared" si="1"/>
        <v>0</v>
      </c>
      <c r="B48" s="1590" t="s">
        <v>3457</v>
      </c>
      <c r="C48" s="1585">
        <v>1361</v>
      </c>
      <c r="D48" s="2"/>
      <c r="E48" s="280"/>
      <c r="F48" s="4014" t="str">
        <f>IF(E48&gt;0,"Positive amount!","")</f>
        <v/>
      </c>
      <c r="H48" s="28">
        <f t="shared" si="2"/>
        <v>0</v>
      </c>
      <c r="Z48" s="28">
        <f>IF(A48=1,SUM($A$6:$A48),0)</f>
      </c>
    </row>
    <row r="49" spans="1:26" x14ac:dyDescent="0.2">
      <c r="A49" s="1">
        <f t="shared" si="1"/>
        <v>0</v>
      </c>
      <c r="B49" s="1591" t="s">
        <v>6636</v>
      </c>
      <c r="C49" s="1585">
        <v>1362</v>
      </c>
      <c r="D49" s="2"/>
      <c r="E49" s="280"/>
      <c r="F49" s="4014" t="str">
        <f>IF(E49&lt;0,"Negative amount!","")</f>
        <v/>
      </c>
      <c r="H49" s="28">
        <f t="shared" si="2"/>
        <v>0</v>
      </c>
      <c r="Z49" s="28">
        <f>IF(A49=1,SUM($A$6:$A49),0)</f>
      </c>
    </row>
    <row r="50" spans="1:26" x14ac:dyDescent="0.2">
      <c r="A50" s="1">
        <f t="shared" si="1"/>
        <v>0</v>
      </c>
      <c r="B50" s="1591" t="s">
        <v>4214</v>
      </c>
      <c r="C50" s="1585">
        <v>1363</v>
      </c>
      <c r="D50" s="2"/>
      <c r="E50" s="280"/>
      <c r="F50" s="4014" t="str">
        <f>IF(E50&gt;0,"Positive amount!","")</f>
        <v/>
      </c>
      <c r="H50" s="28">
        <f t="shared" ref="H50:H81" si="3">IF(F50="",0,1)</f>
      </c>
      <c r="Z50" s="28">
        <f>IF(A50=1,SUM($A$6:$A50),0)</f>
      </c>
    </row>
    <row r="51" spans="1:26" x14ac:dyDescent="0.2">
      <c r="A51" s="1">
        <f t="shared" si="1"/>
        <v>0</v>
      </c>
      <c r="B51" s="1591" t="s">
        <v>5770</v>
      </c>
      <c r="C51" s="1585">
        <v>1364</v>
      </c>
      <c r="D51" s="2"/>
      <c r="E51" s="280"/>
      <c r="F51" s="4014" t="str">
        <f>IF(E51&lt;0,"Negative amount!","")</f>
        <v/>
      </c>
      <c r="H51" s="28">
        <f t="shared" si="3"/>
        <v>0</v>
      </c>
      <c r="Z51" s="28">
        <f>IF(A51=1,SUM($A$6:$A51),0)</f>
      </c>
    </row>
    <row r="52" spans="1:26" x14ac:dyDescent="0.2">
      <c r="A52" s="1">
        <f t="shared" si="1"/>
        <v>0</v>
      </c>
      <c r="B52" s="1591" t="s">
        <v>4215</v>
      </c>
      <c r="C52" s="1585">
        <v>1365</v>
      </c>
      <c r="D52" s="2"/>
      <c r="E52" s="280"/>
      <c r="F52" s="4014" t="str">
        <f>IF(E52&gt;0,"Positive amount!","")</f>
        <v/>
      </c>
      <c r="H52" s="28">
        <f t="shared" si="3"/>
        <v>0</v>
      </c>
      <c r="Z52" s="28">
        <f>IF(A52=1,SUM($A$6:$A52),0)</f>
      </c>
    </row>
    <row r="53" spans="1:26" x14ac:dyDescent="0.2">
      <c r="A53" s="1">
        <f t="shared" si="1"/>
        <v>0</v>
      </c>
      <c r="B53" s="1591" t="s">
        <v>1044</v>
      </c>
      <c r="C53" s="1585">
        <v>1366</v>
      </c>
      <c r="D53" s="2"/>
      <c r="E53" s="280"/>
      <c r="F53" s="4014" t="str">
        <f>IF(E53&lt;0,"Negative amount!","")</f>
        <v/>
      </c>
      <c r="H53" s="28">
        <f t="shared" si="3"/>
        <v>0</v>
      </c>
      <c r="Z53" s="28">
        <f>IF(A53=1,SUM($A$6:$A53),0)</f>
      </c>
    </row>
    <row r="54" spans="1:26" x14ac:dyDescent="0.2">
      <c r="A54" s="1">
        <f t="shared" si="1"/>
        <v>0</v>
      </c>
      <c r="B54" s="1591" t="s">
        <v>5414</v>
      </c>
      <c r="C54" s="1585">
        <v>1367</v>
      </c>
      <c r="D54" s="2"/>
      <c r="E54" s="280"/>
      <c r="F54" s="4014" t="str">
        <f>IF(E54&gt;0,"Positive amount!","")</f>
        <v/>
      </c>
      <c r="H54" s="28">
        <f t="shared" si="3"/>
        <v>0</v>
      </c>
      <c r="Z54" s="28">
        <f>IF(A54=1,SUM($A$6:$A54),0)</f>
      </c>
    </row>
    <row r="55" spans="1:26" x14ac:dyDescent="0.2">
      <c r="A55" s="1">
        <f t="shared" si="1"/>
        <v>0</v>
      </c>
      <c r="B55" s="1591" t="s">
        <v>1045</v>
      </c>
      <c r="C55" s="1585">
        <v>1368</v>
      </c>
      <c r="D55" s="2"/>
      <c r="E55" s="280"/>
      <c r="F55" s="4014" t="str">
        <f>IF(E55&lt;0,"Negative amount!","")</f>
        <v/>
      </c>
      <c r="H55" s="28">
        <f t="shared" si="3"/>
        <v>0</v>
      </c>
      <c r="Z55" s="28">
        <f>IF(A55=1,SUM($A$6:$A55),0)</f>
      </c>
    </row>
    <row r="56" spans="1:26" x14ac:dyDescent="0.2">
      <c r="A56" s="1">
        <f t="shared" si="1"/>
        <v>0</v>
      </c>
      <c r="B56" s="1591" t="s">
        <v>2595</v>
      </c>
      <c r="C56" s="1585">
        <v>1369</v>
      </c>
      <c r="D56" s="2"/>
      <c r="E56" s="280"/>
      <c r="F56" s="4014" t="str">
        <f>IF(E56&gt;0,"Positive amount!","")</f>
        <v/>
      </c>
      <c r="H56" s="28">
        <f t="shared" si="3"/>
        <v>0</v>
      </c>
      <c r="Z56" s="28">
        <f>IF(A56=1,SUM($A$6:$A56),0)</f>
      </c>
    </row>
    <row r="57" spans="1:26" x14ac:dyDescent="0.2">
      <c r="A57" s="1">
        <f t="shared" si="1"/>
        <v>0</v>
      </c>
      <c r="B57" s="1591" t="s">
        <v>1046</v>
      </c>
      <c r="C57" s="1585">
        <v>1370</v>
      </c>
      <c r="D57" s="2"/>
      <c r="E57" s="280"/>
      <c r="F57" s="4014" t="str">
        <f>IF(E57&lt;0,"Negative amount!","")</f>
        <v/>
      </c>
      <c r="H57" s="28">
        <f t="shared" si="3"/>
        <v>0</v>
      </c>
      <c r="Z57" s="28">
        <f>IF(A57=1,SUM($A$6:$A57),0)</f>
      </c>
    </row>
    <row r="58" spans="1:26" x14ac:dyDescent="0.2">
      <c r="A58" s="1">
        <f t="shared" si="1"/>
        <v>0</v>
      </c>
      <c r="B58" s="1591" t="s">
        <v>5401</v>
      </c>
      <c r="C58" s="1585">
        <v>1371</v>
      </c>
      <c r="D58" s="2"/>
      <c r="E58" s="280"/>
      <c r="F58" s="4014" t="str">
        <f>IF(E58&gt;0,"Positive amount!","")</f>
        <v/>
      </c>
      <c r="H58" s="28">
        <f t="shared" si="3"/>
        <v>0</v>
      </c>
      <c r="Z58" s="28">
        <f>IF(A58=1,SUM($A$6:$A58),0)</f>
      </c>
    </row>
    <row r="59" spans="1:26" x14ac:dyDescent="0.2">
      <c r="A59" s="1">
        <f t="shared" si="1"/>
        <v>0</v>
      </c>
      <c r="B59" s="1591" t="s">
        <v>6425</v>
      </c>
      <c r="C59" s="1585">
        <v>1372</v>
      </c>
      <c r="D59" s="2"/>
      <c r="E59" s="280"/>
      <c r="F59" s="4014" t="str">
        <f>IF(E59&lt;0,"Negative amount!","")</f>
        <v/>
      </c>
      <c r="H59" s="28">
        <f t="shared" si="3"/>
        <v>0</v>
      </c>
      <c r="Z59" s="28">
        <f>IF(A59=1,SUM($A$6:$A59),0)</f>
      </c>
    </row>
    <row r="60" spans="1:26" x14ac:dyDescent="0.2">
      <c r="A60" s="1">
        <f t="shared" si="1"/>
        <v>0</v>
      </c>
      <c r="B60" s="1591" t="s">
        <v>5402</v>
      </c>
      <c r="C60" s="1585">
        <v>1373</v>
      </c>
      <c r="D60" s="2"/>
      <c r="E60" s="280"/>
      <c r="F60" s="4014" t="str">
        <f>IF(E60&gt;0,"Positive amount!","")</f>
        <v/>
      </c>
      <c r="H60" s="28">
        <f t="shared" si="3"/>
        <v>0</v>
      </c>
      <c r="Z60" s="28">
        <f>IF(A60=1,SUM($A$6:$A60),0)</f>
      </c>
    </row>
    <row r="61" spans="1:26" x14ac:dyDescent="0.2">
      <c r="A61" s="1">
        <f t="shared" si="1"/>
        <v>0</v>
      </c>
      <c r="B61" s="1591" t="s">
        <v>4467</v>
      </c>
      <c r="C61" s="1585">
        <v>1374</v>
      </c>
      <c r="D61" s="2"/>
      <c r="E61" s="280"/>
      <c r="F61" s="4014" t="str">
        <f>IF(E61&lt;0,"Negative amount!","")</f>
        <v/>
      </c>
      <c r="H61" s="28">
        <f t="shared" si="3"/>
        <v>0</v>
      </c>
      <c r="Z61" s="28">
        <f>IF(A61=1,SUM($A$6:$A61),0)</f>
      </c>
    </row>
    <row r="62" spans="1:26" x14ac:dyDescent="0.2">
      <c r="A62" s="1">
        <f t="shared" si="1"/>
        <v>0</v>
      </c>
      <c r="B62" s="1591" t="s">
        <v>615</v>
      </c>
      <c r="C62" s="1585">
        <v>1375</v>
      </c>
      <c r="D62" s="2"/>
      <c r="E62" s="280"/>
      <c r="F62" s="4014" t="str">
        <f>IF(E62&gt;0,"Positive amount!","")</f>
        <v/>
      </c>
      <c r="H62" s="28">
        <f t="shared" si="3"/>
        <v>0</v>
      </c>
      <c r="Z62" s="28">
        <f>IF(A62=1,SUM($A$6:$A62),0)</f>
      </c>
    </row>
    <row r="63" spans="1:26" x14ac:dyDescent="0.2">
      <c r="A63" s="1">
        <f t="shared" si="1"/>
        <v>0</v>
      </c>
      <c r="B63" s="1591" t="s">
        <v>6532</v>
      </c>
      <c r="C63" s="1585">
        <v>1376</v>
      </c>
      <c r="D63" s="2"/>
      <c r="E63" s="280"/>
      <c r="F63" s="4014" t="str">
        <f>IF(E63&lt;0,"Negative amount!","")</f>
        <v/>
      </c>
      <c r="H63" s="28">
        <f t="shared" si="3"/>
        <v>0</v>
      </c>
      <c r="Z63" s="28">
        <f>IF(A63=1,SUM($A$6:$A63),0)</f>
      </c>
    </row>
    <row r="64" spans="1:26" x14ac:dyDescent="0.2">
      <c r="A64" s="1">
        <f t="shared" si="1"/>
        <v>0</v>
      </c>
      <c r="B64" s="1590" t="s">
        <v>3922</v>
      </c>
      <c r="C64" s="1585">
        <v>1377</v>
      </c>
      <c r="D64" s="2"/>
      <c r="E64" s="280"/>
      <c r="F64" s="4014" t="str">
        <f>IF(E64&gt;0,"Positive amount!","")</f>
        <v/>
      </c>
      <c r="H64" s="28">
        <f t="shared" si="3"/>
        <v>0</v>
      </c>
      <c r="Z64" s="28">
        <f>IF(A64=1,SUM($A$6:$A64),0)</f>
      </c>
    </row>
    <row r="65" spans="1:26" x14ac:dyDescent="0.2">
      <c r="A65" s="1">
        <f t="shared" si="1"/>
        <v>0</v>
      </c>
      <c r="B65" s="1590" t="s">
        <v>3923</v>
      </c>
      <c r="C65" s="1585">
        <v>1378</v>
      </c>
      <c r="D65" s="2"/>
      <c r="E65" s="280"/>
      <c r="F65" s="4014" t="str">
        <f>IF(E65&lt;0,"Negative amount!","")</f>
        <v/>
      </c>
      <c r="H65" s="28">
        <f t="shared" si="3"/>
        <v>0</v>
      </c>
      <c r="Z65" s="28">
        <f>IF(A65=1,SUM($A$6:$A65),0)</f>
      </c>
    </row>
    <row r="66" spans="1:26" x14ac:dyDescent="0.2">
      <c r="A66" s="1">
        <f t="shared" si="1"/>
        <v>0</v>
      </c>
      <c r="B66" s="1590" t="s">
        <v>3924</v>
      </c>
      <c r="C66" s="1585">
        <v>1379</v>
      </c>
      <c r="D66" s="2"/>
      <c r="E66" s="280"/>
      <c r="F66" s="4014" t="str">
        <f>IF(E66&gt;0,"Positive amount!","")</f>
        <v/>
      </c>
      <c r="G66" s="74">
        <v>45078</v>
      </c>
      <c r="H66" s="28">
        <f t="shared" si="3"/>
        <v>0</v>
      </c>
      <c r="M66" s="74">
        <v>45443</v>
      </c>
      <c r="Z66" s="28">
        <f>IF(A66=1,SUM($A$6:$A66),0)</f>
      </c>
    </row>
    <row r="67" spans="1:26" x14ac:dyDescent="0.2">
      <c r="A67" s="1">
        <f t="shared" si="1"/>
        <v>0</v>
      </c>
      <c r="B67" s="1591" t="s">
        <v>6533</v>
      </c>
      <c r="C67" s="1585">
        <v>1380</v>
      </c>
      <c r="D67" s="2"/>
      <c r="E67" s="280"/>
      <c r="F67" s="4014" t="str">
        <f>IF(E67&lt;0,"Negative amount!","")</f>
        <v/>
      </c>
      <c r="H67" s="28">
        <f t="shared" si="3"/>
        <v>0</v>
      </c>
      <c r="Z67" s="28">
        <f>IF(A67=1,SUM($A$6:$A67),0)</f>
      </c>
    </row>
    <row r="68" spans="1:26" x14ac:dyDescent="0.2">
      <c r="A68" s="1">
        <f t="shared" si="1"/>
        <v>0</v>
      </c>
      <c r="B68" s="1590" t="s">
        <v>6280</v>
      </c>
      <c r="C68" s="1585">
        <v>1381</v>
      </c>
      <c r="D68" s="2"/>
      <c r="E68" s="280"/>
      <c r="F68" s="4014" t="str">
        <f>IF(E68&gt;0,"Positive amount!","")</f>
        <v/>
      </c>
      <c r="H68" s="28">
        <f t="shared" si="3"/>
        <v>0</v>
      </c>
      <c r="Z68" s="28">
        <f>IF(A68=1,SUM($A$6:$A68),0)</f>
      </c>
    </row>
    <row r="69" spans="1:26" x14ac:dyDescent="0.2">
      <c r="A69" s="1">
        <f t="shared" si="1"/>
        <v>0</v>
      </c>
      <c r="B69" s="1590" t="s">
        <v>6281</v>
      </c>
      <c r="C69" s="1585">
        <v>1382</v>
      </c>
      <c r="D69" s="2"/>
      <c r="E69" s="280"/>
      <c r="F69" s="4014" t="str">
        <f>IF(E69&lt;0,"Negative amount!","")</f>
        <v/>
      </c>
      <c r="H69" s="28">
        <f t="shared" si="3"/>
        <v>0</v>
      </c>
      <c r="Z69" s="28">
        <f>IF(A69=1,SUM($A$6:$A69),0)</f>
      </c>
    </row>
    <row r="70" spans="1:26" x14ac:dyDescent="0.2">
      <c r="A70" s="1">
        <f t="shared" si="1"/>
        <v>0</v>
      </c>
      <c r="B70" s="1590" t="s">
        <v>135</v>
      </c>
      <c r="C70" s="1585">
        <v>1383</v>
      </c>
      <c r="D70" s="2"/>
      <c r="E70" s="280"/>
      <c r="F70" s="4014" t="str">
        <f>IF(E70&gt;0,"Positive amount!","")</f>
        <v/>
      </c>
      <c r="H70" s="28">
        <f t="shared" si="3"/>
        <v>0</v>
      </c>
      <c r="Z70" s="28">
        <f>IF(A70=1,SUM($A$6:$A70),0)</f>
      </c>
    </row>
    <row r="71" spans="1:26" x14ac:dyDescent="0.2">
      <c r="A71" s="1">
        <f t="shared" ref="A71:A134" si="4">COUNT(E71)</f>
      </c>
      <c r="B71" s="1590" t="s">
        <v>6534</v>
      </c>
      <c r="C71" s="1585">
        <v>1384</v>
      </c>
      <c r="D71" s="2"/>
      <c r="E71" s="280"/>
      <c r="F71" s="4014" t="str">
        <f>IF(E71&lt;0,"Negative amount!","")</f>
        <v/>
      </c>
      <c r="H71" s="28">
        <f t="shared" si="3"/>
        <v>0</v>
      </c>
      <c r="Z71" s="28">
        <f>IF(A71=1,SUM($A$6:$A71),0)</f>
      </c>
    </row>
    <row r="72" spans="1:26" x14ac:dyDescent="0.2">
      <c r="A72" s="1">
        <f t="shared" si="4"/>
        <v>0</v>
      </c>
      <c r="B72" s="1590" t="s">
        <v>136</v>
      </c>
      <c r="C72" s="1585">
        <v>1385</v>
      </c>
      <c r="D72" s="2"/>
      <c r="E72" s="280"/>
      <c r="F72" s="4014" t="str">
        <f>IF(E72&gt;0,"Positive amount!","")</f>
        <v/>
      </c>
      <c r="H72" s="28">
        <f t="shared" si="3"/>
        <v>0</v>
      </c>
      <c r="Z72" s="28">
        <f>IF(A72=1,SUM($A$6:$A72),0)</f>
      </c>
    </row>
    <row r="73" spans="1:26" x14ac:dyDescent="0.2">
      <c r="A73" s="1">
        <f t="shared" si="4"/>
        <v>0</v>
      </c>
      <c r="B73" s="1590" t="s">
        <v>4998</v>
      </c>
      <c r="C73" s="1585">
        <v>1386</v>
      </c>
      <c r="D73" s="2"/>
      <c r="E73" s="280"/>
      <c r="F73" s="4014" t="str">
        <f>IF(E73&lt;0,"Negative amount!","")</f>
        <v/>
      </c>
      <c r="H73" s="28">
        <f t="shared" si="3"/>
        <v>0</v>
      </c>
      <c r="Z73" s="28">
        <f>IF(A73=1,SUM($A$6:$A73),0)</f>
      </c>
    </row>
    <row r="74" spans="1:26" x14ac:dyDescent="0.2">
      <c r="A74" s="1">
        <f t="shared" si="4"/>
        <v>0</v>
      </c>
      <c r="B74" s="1590" t="s">
        <v>4999</v>
      </c>
      <c r="C74" s="1585">
        <v>1387</v>
      </c>
      <c r="D74" s="2"/>
      <c r="E74" s="280"/>
      <c r="F74" s="4014" t="str">
        <f>IF(E74&lt;0,"Negative amount!","")</f>
        <v/>
      </c>
      <c r="H74" s="28">
        <f t="shared" si="3"/>
        <v>0</v>
      </c>
      <c r="Z74" s="28">
        <f>IF(A74=1,SUM($A$6:$A74),0)</f>
      </c>
    </row>
    <row r="75" spans="1:26" x14ac:dyDescent="0.2">
      <c r="A75" s="1">
        <f t="shared" si="4"/>
        <v>0</v>
      </c>
      <c r="B75" s="1590" t="s">
        <v>4075</v>
      </c>
      <c r="C75" s="1585">
        <v>1388</v>
      </c>
      <c r="D75" s="2"/>
      <c r="E75" s="280"/>
      <c r="F75" s="4014" t="str">
        <f>IF(E75&gt;0,"Positive amount!","")</f>
        <v/>
      </c>
      <c r="H75" s="28">
        <f t="shared" si="3"/>
        <v>0</v>
      </c>
      <c r="Z75" s="28">
        <f>IF(A75=1,SUM($A$6:$A75),0)</f>
      </c>
    </row>
    <row r="76" spans="1:26" x14ac:dyDescent="0.2">
      <c r="A76" s="1">
        <f t="shared" si="4"/>
        <v>1</v>
      </c>
      <c r="B76" s="1591" t="s">
        <v>6535</v>
      </c>
      <c r="C76" s="1585">
        <v>1389</v>
      </c>
      <c r="D76" s="2"/>
      <c r="E76" s="280">
        <f>7575+1385</f>
      </c>
      <c r="F76" s="4014" t="str">
        <f>IF(E76&lt;0,"Negative amount!","")</f>
        <v/>
      </c>
      <c r="H76" s="28">
        <f t="shared" si="3"/>
        <v>0</v>
      </c>
      <c r="Z76" s="28">
        <f>IF(A76=1,SUM($A$6:$A76),0)</f>
      </c>
    </row>
    <row r="77" spans="1:26" x14ac:dyDescent="0.2">
      <c r="A77" s="1">
        <f t="shared" si="4"/>
        <v>1</v>
      </c>
      <c r="B77" s="1590" t="s">
        <v>1390</v>
      </c>
      <c r="C77" s="1585">
        <v>1390</v>
      </c>
      <c r="D77" s="2"/>
      <c r="E77" s="280">
        <f>-4484-1385</f>
      </c>
      <c r="F77" s="4014" t="str">
        <f>IF(E77&gt;0,"Positive amount!","")</f>
        <v/>
      </c>
      <c r="H77" s="28">
        <f t="shared" si="3"/>
        <v>0</v>
      </c>
      <c r="Z77" s="28">
        <f>IF(A77=1,SUM($A$6:$A77),0)</f>
      </c>
    </row>
    <row r="78" spans="1:26" x14ac:dyDescent="0.2">
      <c r="A78" s="1">
        <f t="shared" si="4"/>
        <v>1</v>
      </c>
      <c r="B78" s="1590" t="s">
        <v>528</v>
      </c>
      <c r="C78" s="1585">
        <v>1391</v>
      </c>
      <c r="D78" s="2"/>
      <c r="E78" s="280"/>
      <c r="F78" s="4014" t="str">
        <f>IF(E78&lt;0,"Negative amount!","")</f>
        <v/>
      </c>
      <c r="H78" s="28">
        <f t="shared" si="3"/>
        <v>0</v>
      </c>
      <c r="Z78" s="28">
        <f>IF(A78=1,SUM($A$6:$A78),0)</f>
      </c>
    </row>
    <row r="79" spans="1:26" x14ac:dyDescent="0.2">
      <c r="A79" s="1">
        <f t="shared" si="4"/>
        <v>1</v>
      </c>
      <c r="B79" s="1590" t="s">
        <v>4219</v>
      </c>
      <c r="C79" s="1585">
        <v>1392</v>
      </c>
      <c r="D79" s="2"/>
      <c r="E79" s="280"/>
      <c r="F79" s="4014" t="str">
        <f>IF(E79&gt;0,"Positive amount!","")</f>
        <v/>
      </c>
      <c r="H79" s="28">
        <f t="shared" si="3"/>
        <v>0</v>
      </c>
      <c r="Z79" s="28">
        <f>IF(A79=1,SUM($A$6:$A79),0)</f>
      </c>
    </row>
    <row r="80" spans="1:26" x14ac:dyDescent="0.2">
      <c r="A80" s="1">
        <f t="shared" si="4"/>
        <v>1</v>
      </c>
      <c r="B80" s="1591" t="s">
        <v>1898</v>
      </c>
      <c r="C80" s="1585">
        <v>1393</v>
      </c>
      <c r="D80" s="2"/>
      <c r="E80" s="280"/>
      <c r="F80" s="4014" t="str">
        <f>IF(E80&lt;0,"Negative amount!","")</f>
        <v/>
      </c>
      <c r="H80" s="28">
        <f t="shared" si="3"/>
        <v>0</v>
      </c>
      <c r="Z80" s="28">
        <f>IF(A80=1,SUM($A$6:$A80),0)</f>
      </c>
    </row>
    <row r="81" spans="1:26" x14ac:dyDescent="0.2">
      <c r="A81" s="1">
        <f t="shared" si="4"/>
        <v>1</v>
      </c>
      <c r="B81" s="1590" t="s">
        <v>722</v>
      </c>
      <c r="C81" s="1585">
        <v>1394</v>
      </c>
      <c r="D81" s="2"/>
      <c r="E81" s="280"/>
      <c r="F81" s="4014" t="str">
        <f>IF(E81&gt;0,"Positive amount!","")</f>
        <v/>
      </c>
      <c r="H81" s="28">
        <f t="shared" si="3"/>
        <v>0</v>
      </c>
      <c r="Z81" s="28">
        <f>IF(A81=1,SUM($A$6:$A81),0)</f>
      </c>
    </row>
    <row r="82" spans="1:26" x14ac:dyDescent="0.2">
      <c r="A82" s="1">
        <f t="shared" si="4"/>
        <v>0</v>
      </c>
      <c r="B82" s="1590" t="s">
        <v>1899</v>
      </c>
      <c r="C82" s="1585">
        <v>1395</v>
      </c>
      <c r="D82" s="2"/>
      <c r="E82" s="280"/>
      <c r="F82" s="4014" t="str">
        <f>IF(E82&lt;0,"Negative amount!","")</f>
        <v/>
      </c>
      <c r="H82" s="28">
        <f t="shared" ref="H82:H98" si="5">IF(F82="",0,1)</f>
      </c>
      <c r="Z82" s="28">
        <f>IF(A82=1,SUM($A$6:$A82),0)</f>
      </c>
    </row>
    <row r="83" spans="1:26" x14ac:dyDescent="0.2">
      <c r="A83" s="1">
        <f t="shared" si="4"/>
        <v>0</v>
      </c>
      <c r="B83" s="1590" t="s">
        <v>6607</v>
      </c>
      <c r="C83" s="1585">
        <v>1396</v>
      </c>
      <c r="D83" s="2"/>
      <c r="E83" s="280"/>
      <c r="F83" s="4014" t="str">
        <f>IF(E83&gt;0,"Positive amount!","")</f>
        <v/>
      </c>
      <c r="H83" s="28">
        <f t="shared" si="5"/>
        <v>0</v>
      </c>
      <c r="Z83" s="28">
        <f>IF(A83=1,SUM($A$6:$A83),0)</f>
      </c>
    </row>
    <row r="84" spans="1:26" x14ac:dyDescent="0.2">
      <c r="A84" s="1">
        <f t="shared" si="4"/>
        <v>0</v>
      </c>
      <c r="B84" s="1590" t="s">
        <v>1900</v>
      </c>
      <c r="C84" s="1585">
        <v>1397</v>
      </c>
      <c r="D84" s="2"/>
      <c r="E84" s="280"/>
      <c r="F84" s="4014" t="str">
        <f>IF(E84&lt;0,"Negative amount!","")</f>
        <v/>
      </c>
      <c r="H84" s="28">
        <f t="shared" si="5"/>
        <v>0</v>
      </c>
      <c r="Z84" s="28">
        <f>IF(A84=1,SUM($A$6:$A84),0)</f>
      </c>
    </row>
    <row r="85" spans="1:26" x14ac:dyDescent="0.2">
      <c r="A85" s="1">
        <f t="shared" si="4"/>
        <v>0</v>
      </c>
      <c r="B85" s="1590" t="s">
        <v>994</v>
      </c>
      <c r="C85" s="1585">
        <v>1398</v>
      </c>
      <c r="D85" s="2"/>
      <c r="E85" s="280"/>
      <c r="F85" s="4014" t="str">
        <f>IF(E85&gt;0,"Positive amount!","")</f>
        <v/>
      </c>
      <c r="H85" s="28">
        <f t="shared" si="5"/>
        <v>0</v>
      </c>
      <c r="Z85" s="28">
        <f>IF(A85=1,SUM($A$6:$A85),0)</f>
      </c>
    </row>
    <row r="86" spans="1:26" x14ac:dyDescent="0.2">
      <c r="A86" s="1">
        <f t="shared" si="4"/>
        <v>0</v>
      </c>
      <c r="B86" s="1589" t="s">
        <v>995</v>
      </c>
      <c r="C86" s="1585">
        <v>1600</v>
      </c>
      <c r="D86" s="2"/>
      <c r="E86" s="280"/>
      <c r="F86" s="4014" t="str">
        <f>IF(E86&lt;0,"Negative amount!","")</f>
        <v/>
      </c>
      <c r="H86" s="28">
        <f t="shared" si="5"/>
        <v>0</v>
      </c>
      <c r="Z86" s="28">
        <f>IF(A86=1,SUM($A$6:$A86),0)</f>
      </c>
    </row>
    <row r="87" spans="1:26" x14ac:dyDescent="0.2">
      <c r="A87" s="1">
        <f t="shared" si="4"/>
        <v>0</v>
      </c>
      <c r="B87" s="1590" t="s">
        <v>996</v>
      </c>
      <c r="C87" s="1585">
        <v>1601</v>
      </c>
      <c r="D87" s="2"/>
      <c r="E87" s="280"/>
      <c r="F87" s="4014" t="str">
        <f>IF(E87&gt;0,"Positive amount!","")</f>
        <v/>
      </c>
      <c r="H87" s="28">
        <f t="shared" si="5"/>
        <v>0</v>
      </c>
      <c r="Z87" s="28">
        <f>IF(A87=1,SUM($A$6:$A87),0)</f>
      </c>
    </row>
    <row r="88" spans="1:26" x14ac:dyDescent="0.2">
      <c r="A88" s="1">
        <f t="shared" si="4"/>
        <v>0</v>
      </c>
      <c r="B88" s="1590" t="s">
        <v>2223</v>
      </c>
      <c r="C88" s="1585">
        <v>1602</v>
      </c>
      <c r="D88" s="2"/>
      <c r="E88" s="280"/>
      <c r="F88" s="4014" t="str">
        <f>IF(E88&lt;0,"Negative amount!","")</f>
        <v/>
      </c>
      <c r="H88" s="28">
        <f t="shared" si="5"/>
        <v>0</v>
      </c>
      <c r="Z88" s="28">
        <f>IF(A88=1,SUM($A$6:$A88),0)</f>
      </c>
    </row>
    <row r="89" spans="1:26" x14ac:dyDescent="0.2">
      <c r="A89" s="1">
        <f t="shared" si="4"/>
        <v>0</v>
      </c>
      <c r="B89" s="1590" t="s">
        <v>5997</v>
      </c>
      <c r="C89" s="1585">
        <v>1603</v>
      </c>
      <c r="D89" s="2"/>
      <c r="E89" s="280"/>
      <c r="F89" s="4014" t="str">
        <f>IF(E89&gt;0,"Positive amount!","")</f>
        <v/>
      </c>
      <c r="H89" s="28">
        <f t="shared" si="5"/>
        <v>0</v>
      </c>
      <c r="Z89" s="28">
        <f>IF(A89=1,SUM($A$6:$A89),0)</f>
      </c>
    </row>
    <row r="90" spans="1:26" x14ac:dyDescent="0.2">
      <c r="A90" s="1">
        <f t="shared" si="4"/>
        <v>0</v>
      </c>
      <c r="B90" s="1590" t="s">
        <v>5998</v>
      </c>
      <c r="C90" s="1585">
        <v>1604</v>
      </c>
      <c r="D90" s="2"/>
      <c r="E90" s="280"/>
      <c r="F90" s="4014" t="str">
        <f>IF(E90&lt;0,"Negative amount!","")</f>
        <v/>
      </c>
      <c r="H90" s="28">
        <f t="shared" si="5"/>
        <v>0</v>
      </c>
      <c r="Z90" s="28">
        <f>IF(A90=1,SUM($A$6:$A90),0)</f>
      </c>
    </row>
    <row r="91" spans="1:26" x14ac:dyDescent="0.2">
      <c r="A91" s="1">
        <f t="shared" si="4"/>
        <v>0</v>
      </c>
      <c r="B91" s="1590" t="s">
        <v>5345</v>
      </c>
      <c r="C91" s="1585">
        <v>1605</v>
      </c>
      <c r="D91" s="2"/>
      <c r="E91" s="280"/>
      <c r="F91" s="4014" t="str">
        <f>IF(E91&gt;0,"Positive amount!","")</f>
        <v/>
      </c>
      <c r="H91" s="28">
        <f t="shared" si="5"/>
        <v>0</v>
      </c>
      <c r="Z91" s="28">
        <f>IF(A91=1,SUM($A$6:$A91),0)</f>
      </c>
    </row>
    <row r="92" spans="1:26" x14ac:dyDescent="0.2">
      <c r="A92" s="1">
        <f t="shared" si="4"/>
        <v>0</v>
      </c>
      <c r="B92" s="1590" t="s">
        <v>5346</v>
      </c>
      <c r="C92" s="1585">
        <v>1606</v>
      </c>
      <c r="D92" s="2"/>
      <c r="E92" s="280"/>
      <c r="F92" s="4014" t="str">
        <f>IF(E92&lt;0,"Negative amount!","")</f>
        <v/>
      </c>
      <c r="H92" s="28">
        <f t="shared" si="5"/>
        <v>0</v>
      </c>
      <c r="Z92" s="28">
        <f>IF(A92=1,SUM($A$6:$A92),0)</f>
      </c>
    </row>
    <row r="93" spans="1:26" x14ac:dyDescent="0.2">
      <c r="A93" s="1">
        <f t="shared" si="4"/>
        <v>0</v>
      </c>
      <c r="B93" s="1590" t="s">
        <v>5684</v>
      </c>
      <c r="C93" s="1585">
        <v>1607</v>
      </c>
      <c r="D93" s="2"/>
      <c r="E93" s="280"/>
      <c r="F93" s="4014" t="str">
        <f>IF(E93&gt;0,"Positive amount!","")</f>
        <v/>
      </c>
      <c r="H93" s="28">
        <f t="shared" si="5"/>
        <v>0</v>
      </c>
      <c r="Z93" s="28">
        <f>IF(A93=1,SUM($A$6:$A93),0)</f>
      </c>
    </row>
    <row r="94" spans="1:26" x14ac:dyDescent="0.2">
      <c r="A94" s="1">
        <f t="shared" si="4"/>
        <v>0</v>
      </c>
      <c r="B94" s="1590" t="s">
        <v>5685</v>
      </c>
      <c r="C94" s="1585">
        <v>1608</v>
      </c>
      <c r="D94" s="2"/>
      <c r="E94" s="280"/>
      <c r="F94" s="4014" t="str">
        <f>IF(E94&lt;0,"Negative amount!","")</f>
        <v/>
      </c>
      <c r="H94" s="28">
        <f t="shared" si="5"/>
        <v>0</v>
      </c>
      <c r="Z94" s="28">
        <f>IF(A94=1,SUM($A$6:$A94),0)</f>
      </c>
    </row>
    <row r="95" spans="1:26" x14ac:dyDescent="0.2">
      <c r="A95" s="1">
        <f t="shared" si="4"/>
        <v>0</v>
      </c>
      <c r="B95" s="1590" t="s">
        <v>5510</v>
      </c>
      <c r="C95" s="1585">
        <v>1609</v>
      </c>
      <c r="D95" s="2"/>
      <c r="E95" s="280"/>
      <c r="F95" s="4014" t="str">
        <f>IF(E95&gt;0,"Positive amount!","")</f>
        <v/>
      </c>
      <c r="H95" s="28">
        <f t="shared" si="5"/>
        <v>0</v>
      </c>
      <c r="Z95" s="28">
        <f>IF(A95=1,SUM($A$6:$A95),0)</f>
      </c>
    </row>
    <row r="96" spans="1:26" x14ac:dyDescent="0.2">
      <c r="A96" s="1">
        <f t="shared" si="4"/>
        <v>0</v>
      </c>
      <c r="B96" s="1590" t="s">
        <v>4355</v>
      </c>
      <c r="C96" s="1585">
        <v>1610</v>
      </c>
      <c r="D96" s="2"/>
      <c r="E96" s="280"/>
      <c r="F96" s="4014" t="str">
        <f>IF(E96&lt;0,"Negative amount!","")</f>
        <v/>
      </c>
      <c r="H96" s="28">
        <f t="shared" si="5"/>
        <v>0</v>
      </c>
      <c r="Z96" s="28">
        <f>IF(A96=1,SUM($A$6:$A96),0)</f>
      </c>
    </row>
    <row r="97" spans="1:79" x14ac:dyDescent="0.2">
      <c r="A97" s="1">
        <f t="shared" si="4"/>
        <v>0</v>
      </c>
      <c r="B97" s="1590" t="s">
        <v>3271</v>
      </c>
      <c r="C97" s="1585">
        <v>1611</v>
      </c>
      <c r="D97" s="2"/>
      <c r="E97" s="280"/>
      <c r="F97" s="4014" t="str">
        <f>IF(E97&gt;0,"Positive amount!","")</f>
        <v/>
      </c>
      <c r="H97" s="28">
        <f t="shared" si="5"/>
        <v>0</v>
      </c>
      <c r="Z97" s="28">
        <f>IF(A97=1,SUM($A$6:$A97),0)</f>
      </c>
    </row>
    <row r="98" spans="1:79" x14ac:dyDescent="0.2">
      <c r="A98" s="1">
        <f t="shared" si="4"/>
        <v>0</v>
      </c>
      <c r="B98" s="1590" t="s">
        <v>2121</v>
      </c>
      <c r="C98" s="1585">
        <v>1612</v>
      </c>
      <c r="D98" s="2"/>
      <c r="E98" s="280"/>
      <c r="F98" s="4014" t="str">
        <f>IF(E98&lt;0,"Negative amount!","")</f>
        <v/>
      </c>
      <c r="H98" s="28">
        <f t="shared" si="5"/>
        <v>0</v>
      </c>
      <c r="Z98" s="28">
        <f>IF(A98=1,SUM($A$6:$A98),0)</f>
      </c>
    </row>
    <row r="99" spans="1:79" x14ac:dyDescent="0.2">
      <c r="A99" s="1">
        <v>1</v>
      </c>
      <c r="B99" s="1587" t="s">
        <v>944</v>
      </c>
      <c r="C99" s="1588">
        <v>1698</v>
      </c>
      <c r="D99" s="2"/>
      <c r="E99" s="282">
        <f>SUM(E98,E96,E94,E92,E90,E88,E86,E84,E82,E80,E78,E76,E74,E73,E71,E69,E67,E65,E63,E61,E59,E57,E55,E53,E51,E49,E47,E45,E43,E41)+SUM(E39,E37,E35,E33,E31,E29,E28,E26,E24,E22,E20,E18)</f>
      </c>
      <c r="F99" s="3"/>
      <c r="H99" s="28">
        <f>SUM(H6:H98)</f>
      </c>
      <c r="Y99" s="28">
        <v>1</v>
      </c>
      <c r="Z99" s="28">
        <f>IF(A99=1,SUM($A$6:$A99),0)</f>
      </c>
      <c r="CA99" s="142">
        <v>1</v>
      </c>
    </row>
    <row r="100" spans="1:79" x14ac:dyDescent="0.2">
      <c r="A100" s="1">
        <v>1</v>
      </c>
      <c r="B100" s="1587" t="s">
        <v>3183</v>
      </c>
      <c r="C100" s="1588">
        <v>1699</v>
      </c>
      <c r="D100" s="2"/>
      <c r="E100" s="282">
        <f>SUM(E97,E95,E93,E91,E89,E87,E85,E83,E81,E79,E77,E75,E72,E70,E68,E66,E64,E62,E60,E58,E56,E54,E52,E50,E48,E46,E44,E42)+SUM(E40,E38,E36,E34,E32,E30,E27,E25,E23,E21,E19)</f>
      </c>
      <c r="F100" s="3"/>
      <c r="Y100" s="28">
        <v>1</v>
      </c>
      <c r="Z100" s="28">
        <f>IF(A100=1,SUM($A$6:$A100),0)</f>
      </c>
      <c r="CA100" s="142">
        <v>1</v>
      </c>
    </row>
    <row r="101" spans="1:79" x14ac:dyDescent="0.2">
      <c r="A101" s="1">
        <f t="shared" si="4"/>
        <v>0</v>
      </c>
      <c r="B101" s="1591" t="s">
        <v>6639</v>
      </c>
      <c r="C101" s="1585">
        <v>1700</v>
      </c>
      <c r="D101" s="2"/>
      <c r="E101" s="280"/>
      <c r="F101" s="3"/>
      <c r="Z101" s="28">
        <f>IF(A101=1,SUM($A$6:$A101),0)</f>
      </c>
    </row>
    <row r="102" spans="1:79" x14ac:dyDescent="0.2">
      <c r="A102" s="1">
        <f t="shared" si="4"/>
        <v>0</v>
      </c>
      <c r="B102" s="1590" t="s">
        <v>6640</v>
      </c>
      <c r="C102" s="1585">
        <v>1701</v>
      </c>
      <c r="D102" s="2"/>
      <c r="E102" s="280"/>
      <c r="F102" s="3"/>
      <c r="Z102" s="28">
        <f>IF(A102=1,SUM($A$6:$A102),0)</f>
      </c>
    </row>
    <row r="103" spans="1:79" x14ac:dyDescent="0.2">
      <c r="A103" s="1">
        <f t="shared" si="4"/>
        <v>0</v>
      </c>
      <c r="B103" s="1590" t="s">
        <v>2217</v>
      </c>
      <c r="C103" s="1585">
        <v>1702</v>
      </c>
      <c r="D103" s="2"/>
      <c r="E103" s="280"/>
      <c r="F103" s="3"/>
      <c r="Z103" s="28">
        <f>IF(A103=1,SUM($A$6:$A103),0)</f>
      </c>
    </row>
    <row r="104" spans="1:79" x14ac:dyDescent="0.2">
      <c r="A104" s="1">
        <f t="shared" si="4"/>
        <v>0</v>
      </c>
      <c r="B104" s="1590" t="s">
        <v>4479</v>
      </c>
      <c r="C104" s="1585">
        <v>1703</v>
      </c>
      <c r="D104" s="2"/>
      <c r="E104" s="280"/>
      <c r="F104" s="3"/>
      <c r="Z104" s="28">
        <f>IF(A104=1,SUM($A$6:$A104),0)</f>
      </c>
    </row>
    <row r="105" spans="1:79" x14ac:dyDescent="0.2">
      <c r="A105" s="1">
        <f t="shared" si="4"/>
        <v>0</v>
      </c>
      <c r="B105" s="1589" t="s">
        <v>2122</v>
      </c>
      <c r="C105" s="1585">
        <v>1715</v>
      </c>
      <c r="D105" s="2"/>
      <c r="E105" s="280"/>
      <c r="F105" s="3"/>
      <c r="Z105" s="28">
        <f>IF(A105=1,SUM($A$6:$A105),0)</f>
      </c>
    </row>
    <row r="106" spans="1:79" x14ac:dyDescent="0.2">
      <c r="A106" s="1">
        <f t="shared" si="4"/>
        <v>0</v>
      </c>
      <c r="B106" s="1589" t="s">
        <v>4965</v>
      </c>
      <c r="C106" s="1585">
        <v>1720</v>
      </c>
      <c r="D106" s="2"/>
      <c r="E106" s="280"/>
      <c r="F106" s="3"/>
      <c r="Z106" s="28">
        <f>IF(A106=1,SUM($A$6:$A106),0)</f>
      </c>
    </row>
    <row r="107" spans="1:79" x14ac:dyDescent="0.2">
      <c r="A107" s="1">
        <f t="shared" si="4"/>
        <v>0</v>
      </c>
      <c r="B107" s="1590" t="s">
        <v>5719</v>
      </c>
      <c r="C107" s="1585">
        <v>1730</v>
      </c>
      <c r="D107" s="2"/>
      <c r="E107" s="280"/>
      <c r="F107" s="3"/>
      <c r="Z107" s="28">
        <f>IF(A107=1,SUM($A$6:$A107),0)</f>
      </c>
    </row>
    <row r="108" spans="1:79" x14ac:dyDescent="0.2">
      <c r="A108" s="1">
        <f t="shared" si="4"/>
        <v>0</v>
      </c>
      <c r="B108" s="1591" t="s">
        <v>5720</v>
      </c>
      <c r="C108" s="1585">
        <v>1731</v>
      </c>
      <c r="D108" s="2"/>
      <c r="E108" s="280"/>
      <c r="F108" s="3"/>
      <c r="Z108" s="28">
        <f>IF(A108=1,SUM($A$6:$A108),0)</f>
      </c>
    </row>
    <row r="109" spans="1:79" x14ac:dyDescent="0.2">
      <c r="A109" s="1">
        <f t="shared" si="4"/>
        <v>0</v>
      </c>
      <c r="B109" s="1591" t="s">
        <v>3619</v>
      </c>
      <c r="C109" s="1585">
        <v>1732</v>
      </c>
      <c r="D109" s="2"/>
      <c r="E109" s="280"/>
      <c r="F109" s="3"/>
      <c r="Z109" s="28">
        <f>IF(A109=1,SUM($A$6:$A109),0)</f>
      </c>
    </row>
    <row r="110" spans="1:79" x14ac:dyDescent="0.2">
      <c r="A110" s="1">
        <f t="shared" si="4"/>
        <v>0</v>
      </c>
      <c r="B110" s="1590" t="s">
        <v>3620</v>
      </c>
      <c r="C110" s="1585">
        <v>1733</v>
      </c>
      <c r="D110" s="2"/>
      <c r="E110" s="280"/>
      <c r="F110" s="3"/>
      <c r="Z110" s="28">
        <f>IF(A110=1,SUM($A$6:$A110),0)</f>
      </c>
    </row>
    <row r="111" spans="1:79" x14ac:dyDescent="0.2">
      <c r="A111" s="1">
        <f t="shared" si="4"/>
        <v>0</v>
      </c>
      <c r="B111" s="1591" t="s">
        <v>3343</v>
      </c>
      <c r="C111" s="1585">
        <v>1734</v>
      </c>
      <c r="D111" s="2"/>
      <c r="E111" s="280"/>
      <c r="F111" s="3"/>
      <c r="Z111" s="28">
        <f>IF(A111=1,SUM($A$6:$A111),0)</f>
      </c>
    </row>
    <row r="112" spans="1:79" x14ac:dyDescent="0.2">
      <c r="A112" s="1">
        <f t="shared" si="4"/>
        <v>0</v>
      </c>
      <c r="B112" s="1591" t="s">
        <v>4679</v>
      </c>
      <c r="C112" s="1585">
        <v>1735</v>
      </c>
      <c r="D112" s="2"/>
      <c r="E112" s="280"/>
      <c r="F112" s="3"/>
      <c r="Z112" s="28">
        <f>IF(A112=1,SUM($A$6:$A112),0)</f>
      </c>
    </row>
    <row r="113" spans="1:26" x14ac:dyDescent="0.2">
      <c r="A113" s="1">
        <f t="shared" si="4"/>
        <v>0</v>
      </c>
      <c r="B113" s="1590" t="s">
        <v>6075</v>
      </c>
      <c r="C113" s="1585">
        <v>1736</v>
      </c>
      <c r="D113" s="2"/>
      <c r="E113" s="280"/>
      <c r="F113" s="3"/>
      <c r="Z113" s="28">
        <f>IF(A113=1,SUM($A$6:$A113),0)</f>
      </c>
    </row>
    <row r="114" spans="1:26" x14ac:dyDescent="0.2">
      <c r="A114" s="1">
        <f t="shared" si="4"/>
        <v>0</v>
      </c>
      <c r="B114" s="1590" t="s">
        <v>10613</v>
      </c>
      <c r="C114" s="1585">
        <v>1740</v>
      </c>
      <c r="D114" s="2"/>
      <c r="E114" s="280"/>
      <c r="F114" s="3"/>
      <c r="Z114" s="28">
        <f>IF(A114=1,SUM($A$6:$A114),0)</f>
      </c>
    </row>
    <row r="115" spans="1:26" x14ac:dyDescent="0.2">
      <c r="A115" s="1">
        <f t="shared" si="4"/>
        <v>0</v>
      </c>
      <c r="B115" s="1590" t="s">
        <v>6076</v>
      </c>
      <c r="C115" s="1585">
        <v>1750</v>
      </c>
      <c r="D115" s="2"/>
      <c r="E115" s="280"/>
      <c r="F115" s="3"/>
      <c r="Z115" s="28">
        <f>IF(A115=1,SUM($A$6:$A115),0)</f>
      </c>
    </row>
    <row r="116" spans="1:26" x14ac:dyDescent="0.2">
      <c r="A116" s="1">
        <f t="shared" si="4"/>
        <v>0</v>
      </c>
      <c r="B116" s="1591" t="s">
        <v>5635</v>
      </c>
      <c r="C116" s="1585">
        <v>1760</v>
      </c>
      <c r="D116" s="2"/>
      <c r="E116" s="280"/>
      <c r="F116" s="3"/>
      <c r="Z116" s="28">
        <f>IF(A116=1,SUM($A$6:$A116),0)</f>
      </c>
    </row>
    <row r="117" spans="1:26" x14ac:dyDescent="0.2">
      <c r="A117" s="1">
        <f t="shared" si="4"/>
        <v>0</v>
      </c>
      <c r="B117" s="1590" t="s">
        <v>4220</v>
      </c>
      <c r="C117" s="1585">
        <v>1761</v>
      </c>
      <c r="D117" s="2"/>
      <c r="E117" s="280"/>
      <c r="F117" s="3"/>
      <c r="Z117" s="28">
        <f>IF(A117=1,SUM($A$6:$A117),0)</f>
      </c>
    </row>
    <row r="118" spans="1:26" x14ac:dyDescent="0.2">
      <c r="A118" s="1">
        <f t="shared" si="4"/>
        <v>0</v>
      </c>
      <c r="B118" s="1591" t="s">
        <v>4221</v>
      </c>
      <c r="C118" s="1585">
        <v>1762</v>
      </c>
      <c r="D118" s="2"/>
      <c r="E118" s="280"/>
      <c r="F118" s="3"/>
      <c r="Z118" s="28">
        <f>IF(A118=1,SUM($A$6:$A118),0)</f>
      </c>
    </row>
    <row r="119" spans="1:26" x14ac:dyDescent="0.2">
      <c r="A119" s="1">
        <f t="shared" si="4"/>
        <v>0</v>
      </c>
      <c r="B119" s="1591" t="s">
        <v>4222</v>
      </c>
      <c r="C119" s="1585">
        <v>1763</v>
      </c>
      <c r="D119" s="2"/>
      <c r="E119" s="280"/>
      <c r="F119" s="3"/>
      <c r="Z119" s="28">
        <f>IF(A119=1,SUM($A$6:$A119),0)</f>
      </c>
    </row>
    <row r="120" spans="1:26" x14ac:dyDescent="0.2">
      <c r="A120" s="1">
        <f t="shared" si="4"/>
        <v>0</v>
      </c>
      <c r="B120" s="1591" t="s">
        <v>4223</v>
      </c>
      <c r="C120" s="1585">
        <v>1764</v>
      </c>
      <c r="D120" s="2"/>
      <c r="E120" s="280"/>
      <c r="F120" s="3"/>
      <c r="Z120" s="28">
        <f>IF(A120=1,SUM($A$6:$A120),0)</f>
      </c>
    </row>
    <row r="121" spans="1:26" x14ac:dyDescent="0.2">
      <c r="A121" s="1">
        <f t="shared" si="4"/>
        <v>0</v>
      </c>
      <c r="B121" s="1589" t="s">
        <v>4224</v>
      </c>
      <c r="C121" s="1585">
        <v>1765</v>
      </c>
      <c r="D121" s="2"/>
      <c r="E121" s="280"/>
      <c r="F121" s="3"/>
      <c r="Z121" s="28">
        <f>IF(A121=1,SUM($A$6:$A121),0)</f>
      </c>
    </row>
    <row r="122" spans="1:26" x14ac:dyDescent="0.2">
      <c r="A122" s="1">
        <f t="shared" si="4"/>
        <v>0</v>
      </c>
      <c r="B122" s="1591" t="s">
        <v>6476</v>
      </c>
      <c r="C122" s="1585">
        <v>1766</v>
      </c>
      <c r="D122" s="2"/>
      <c r="E122" s="280"/>
      <c r="F122" s="3"/>
      <c r="Z122" s="28">
        <f>IF(A122=1,SUM($A$6:$A122),0)</f>
      </c>
    </row>
    <row r="123" spans="1:26" x14ac:dyDescent="0.2">
      <c r="A123" s="1">
        <f t="shared" si="4"/>
        <v>0</v>
      </c>
      <c r="B123" s="1590" t="s">
        <v>3027</v>
      </c>
      <c r="C123" s="1585">
        <v>1767</v>
      </c>
      <c r="D123" s="2"/>
      <c r="E123" s="280"/>
      <c r="F123" s="3"/>
      <c r="Z123" s="28">
        <f>IF(A123=1,SUM($A$6:$A123),0)</f>
      </c>
    </row>
    <row r="124" spans="1:26" x14ac:dyDescent="0.2">
      <c r="A124" s="1">
        <f t="shared" si="4"/>
        <v>0</v>
      </c>
      <c r="B124" s="1591" t="s">
        <v>53</v>
      </c>
      <c r="C124" s="1585">
        <v>1768</v>
      </c>
      <c r="D124" s="2"/>
      <c r="E124" s="280"/>
      <c r="F124" s="3"/>
      <c r="Z124" s="28">
        <f>IF(A124=1,SUM($A$6:$A124),0)</f>
      </c>
    </row>
    <row r="125" spans="1:26" x14ac:dyDescent="0.2">
      <c r="A125" s="1">
        <f t="shared" si="4"/>
        <v>0</v>
      </c>
      <c r="B125" s="1591" t="s">
        <v>54</v>
      </c>
      <c r="C125" s="1585">
        <v>1769</v>
      </c>
      <c r="D125" s="2"/>
      <c r="E125" s="280"/>
      <c r="F125" s="3"/>
      <c r="Z125" s="28">
        <f>IF(A125=1,SUM($A$6:$A125),0)</f>
      </c>
    </row>
    <row r="126" spans="1:26" x14ac:dyDescent="0.2">
      <c r="A126" s="1">
        <f t="shared" si="4"/>
        <v>0</v>
      </c>
      <c r="B126" s="1591" t="s">
        <v>55</v>
      </c>
      <c r="C126" s="1585">
        <v>1770</v>
      </c>
      <c r="D126" s="2"/>
      <c r="E126" s="280"/>
      <c r="F126" s="3"/>
      <c r="Z126" s="28">
        <f>IF(A126=1,SUM($A$6:$A126),0)</f>
      </c>
    </row>
    <row r="127" spans="1:26" x14ac:dyDescent="0.2">
      <c r="A127" s="1">
        <f t="shared" si="4"/>
        <v>0</v>
      </c>
      <c r="B127" s="1591" t="s">
        <v>1141</v>
      </c>
      <c r="C127" s="1585">
        <v>1800</v>
      </c>
      <c r="D127" s="2"/>
      <c r="E127" s="280"/>
      <c r="F127" s="3"/>
      <c r="Z127" s="28">
        <f>IF(A127=1,SUM($A$6:$A127),0)</f>
      </c>
    </row>
    <row r="128" spans="1:26" x14ac:dyDescent="0.2">
      <c r="A128" s="1">
        <f t="shared" si="4"/>
        <v>0</v>
      </c>
      <c r="B128" s="1590" t="s">
        <v>3760</v>
      </c>
      <c r="C128" s="1585">
        <v>1801</v>
      </c>
      <c r="D128" s="2"/>
      <c r="E128" s="280"/>
      <c r="F128" s="3"/>
      <c r="Z128" s="28">
        <f>IF(A128=1,SUM($A$6:$A128),0)</f>
      </c>
    </row>
    <row r="129" spans="1:79" x14ac:dyDescent="0.2">
      <c r="A129" s="1">
        <f t="shared" si="4"/>
        <v>1</v>
      </c>
      <c r="B129" s="1590" t="s">
        <v>4247</v>
      </c>
      <c r="C129" s="1585">
        <v>1802</v>
      </c>
      <c r="D129" s="2"/>
      <c r="E129" s="280"/>
      <c r="F129" s="3"/>
      <c r="Z129" s="28">
        <f>IF(A129=1,SUM($A$6:$A129),0)</f>
      </c>
    </row>
    <row r="130" spans="1:79" x14ac:dyDescent="0.2">
      <c r="A130" s="1">
        <f t="shared" si="4"/>
        <v>0</v>
      </c>
      <c r="B130" s="1590" t="s">
        <v>5627</v>
      </c>
      <c r="C130" s="1585">
        <v>1803</v>
      </c>
      <c r="D130" s="2"/>
      <c r="E130" s="280"/>
      <c r="F130" s="3"/>
      <c r="Z130" s="28">
        <f>IF(A130=1,SUM($A$6:$A130),0)</f>
      </c>
    </row>
    <row r="131" spans="1:79" x14ac:dyDescent="0.2">
      <c r="A131" s="1">
        <v>1</v>
      </c>
      <c r="B131" s="1587" t="s">
        <v>5628</v>
      </c>
      <c r="C131" s="1588">
        <v>1998</v>
      </c>
      <c r="D131" s="2"/>
      <c r="E131" s="282">
        <f>SUM(E101:E130)</f>
      </c>
      <c r="F131" s="3"/>
      <c r="Y131" s="28">
        <v>1</v>
      </c>
      <c r="Z131" s="28">
        <f>IF(A131=1,SUM($A$6:$A131),0)</f>
      </c>
      <c r="CA131" s="142">
        <v>1</v>
      </c>
    </row>
    <row r="132" spans="1:79" x14ac:dyDescent="0.2">
      <c r="A132" s="1">
        <v>1</v>
      </c>
      <c r="B132" s="1587" t="s">
        <v>5629</v>
      </c>
      <c r="C132" s="1588">
        <v>1999</v>
      </c>
      <c r="D132" s="2"/>
      <c r="E132" s="282">
        <f>SUM(E131,E99:E100,E16:E17)</f>
      </c>
      <c r="F132" s="3"/>
      <c r="Y132" s="28">
        <v>1</v>
      </c>
      <c r="Z132" s="28">
        <f>IF(A132=1,SUM($A$6:$A132),0)</f>
      </c>
      <c r="CA132" s="142">
        <v>1</v>
      </c>
    </row>
    <row r="133" spans="1:79" x14ac:dyDescent="0.2">
      <c r="A133" s="1">
        <f t="shared" si="4"/>
        <v>0</v>
      </c>
      <c r="B133" s="1592" t="s">
        <v>5630</v>
      </c>
      <c r="C133" s="1585">
        <v>2000</v>
      </c>
      <c r="D133" s="2"/>
      <c r="E133" s="280"/>
      <c r="F133" s="3"/>
      <c r="Z133" s="28">
        <f>IF(A133=1,SUM($A$6:$A133),0)</f>
      </c>
    </row>
    <row r="134" spans="1:79" x14ac:dyDescent="0.2">
      <c r="A134" s="1">
        <f t="shared" si="4"/>
        <v>0</v>
      </c>
      <c r="B134" s="1590" t="s">
        <v>5631</v>
      </c>
      <c r="C134" s="1585">
        <v>2001</v>
      </c>
      <c r="D134" s="2"/>
      <c r="E134" s="280"/>
      <c r="F134" s="3"/>
      <c r="Z134" s="28">
        <f>IF(A134=1,SUM($A$6:$A134),0)</f>
      </c>
    </row>
    <row r="135" spans="1:79" x14ac:dyDescent="0.2">
      <c r="A135" s="1">
        <f t="shared" ref="A135:A198" si="6">COUNT(E135)</f>
      </c>
      <c r="B135" s="1590" t="s">
        <v>5632</v>
      </c>
      <c r="C135" s="1585">
        <v>2002</v>
      </c>
      <c r="D135" s="2"/>
      <c r="E135" s="280"/>
      <c r="F135" s="3"/>
      <c r="Z135" s="28">
        <f>IF(A135=1,SUM($A$6:$A135),0)</f>
      </c>
    </row>
    <row r="136" spans="1:79" x14ac:dyDescent="0.2">
      <c r="A136" s="1">
        <f t="shared" si="6"/>
        <v>0</v>
      </c>
      <c r="B136" s="1590" t="s">
        <v>2006</v>
      </c>
      <c r="C136" s="1585">
        <v>2003</v>
      </c>
      <c r="D136" s="2"/>
      <c r="E136" s="280"/>
      <c r="F136" s="3"/>
      <c r="Z136" s="28">
        <f>IF(A136=1,SUM($A$6:$A136),0)</f>
      </c>
    </row>
    <row r="137" spans="1:79" x14ac:dyDescent="0.2">
      <c r="A137" s="1">
        <f t="shared" si="6"/>
        <v>0</v>
      </c>
      <c r="B137" s="1590" t="s">
        <v>3374</v>
      </c>
      <c r="C137" s="1585">
        <v>2004</v>
      </c>
      <c r="D137" s="2"/>
      <c r="E137" s="280"/>
      <c r="F137" s="3"/>
      <c r="Z137" s="28">
        <f>IF(A137=1,SUM($A$6:$A137),0)</f>
      </c>
    </row>
    <row r="138" spans="1:79" x14ac:dyDescent="0.2">
      <c r="A138" s="1">
        <f t="shared" si="6"/>
        <v>0</v>
      </c>
      <c r="B138" s="1590" t="s">
        <v>3375</v>
      </c>
      <c r="C138" s="1585">
        <v>2005</v>
      </c>
      <c r="D138" s="2"/>
      <c r="E138" s="280"/>
      <c r="F138" s="3"/>
      <c r="Z138" s="28">
        <f>IF(A138=1,SUM($A$6:$A138),0)</f>
      </c>
    </row>
    <row r="139" spans="1:79" x14ac:dyDescent="0.2">
      <c r="A139" s="1">
        <f t="shared" si="6"/>
        <v>0</v>
      </c>
      <c r="B139" s="1590" t="s">
        <v>1935</v>
      </c>
      <c r="C139" s="1585">
        <v>2006</v>
      </c>
      <c r="D139" s="2"/>
      <c r="E139" s="280"/>
      <c r="F139" s="3"/>
      <c r="Z139" s="28">
        <f>IF(A139=1,SUM($A$6:$A139),0)</f>
      </c>
    </row>
    <row r="140" spans="1:79" x14ac:dyDescent="0.2">
      <c r="A140" s="1">
        <f t="shared" si="6"/>
        <v>0</v>
      </c>
      <c r="B140" s="1590" t="s">
        <v>4175</v>
      </c>
      <c r="C140" s="1585">
        <v>2007</v>
      </c>
      <c r="D140" s="2"/>
      <c r="E140" s="280"/>
      <c r="F140" s="3"/>
      <c r="Z140" s="28">
        <f>IF(A140=1,SUM($A$6:$A140),0)</f>
      </c>
    </row>
    <row r="141" spans="1:79" x14ac:dyDescent="0.2">
      <c r="A141" s="1">
        <f t="shared" si="6"/>
        <v>0</v>
      </c>
      <c r="B141" s="1589" t="s">
        <v>4176</v>
      </c>
      <c r="C141" s="1585">
        <v>2050</v>
      </c>
      <c r="D141" s="2"/>
      <c r="E141" s="280"/>
      <c r="F141" s="3"/>
      <c r="Z141" s="28">
        <f>IF(A141=1,SUM($A$6:$A141),0)</f>
      </c>
    </row>
    <row r="142" spans="1:79" x14ac:dyDescent="0.2">
      <c r="A142" s="1">
        <f t="shared" si="6"/>
        <v>0</v>
      </c>
      <c r="B142" s="1591" t="s">
        <v>437</v>
      </c>
      <c r="C142" s="1585">
        <v>2051</v>
      </c>
      <c r="D142" s="2"/>
      <c r="E142" s="280"/>
      <c r="F142" s="3"/>
      <c r="Z142" s="28">
        <f>IF(A142=1,SUM($A$6:$A142),0)</f>
      </c>
    </row>
    <row r="143" spans="1:79" x14ac:dyDescent="0.2">
      <c r="A143" s="1">
        <f t="shared" si="6"/>
        <v>1</v>
      </c>
      <c r="B143" s="1590" t="s">
        <v>438</v>
      </c>
      <c r="C143" s="1585">
        <v>2052</v>
      </c>
      <c r="D143" s="2"/>
      <c r="E143" s="280">
        <f>13911</f>
      </c>
      <c r="F143" s="3"/>
      <c r="Z143" s="28">
        <f>IF(A143=1,SUM($A$6:$A143),0)</f>
      </c>
    </row>
    <row r="144" spans="1:79" x14ac:dyDescent="0.2">
      <c r="A144" s="1">
        <f t="shared" si="6"/>
        <v>0</v>
      </c>
      <c r="B144" s="1590" t="s">
        <v>5244</v>
      </c>
      <c r="C144" s="1585">
        <v>2053</v>
      </c>
      <c r="D144" s="2"/>
      <c r="E144" s="280"/>
      <c r="F144" s="3"/>
      <c r="Z144" s="28">
        <f>IF(A144=1,SUM($A$6:$A144),0)</f>
      </c>
    </row>
    <row r="145" spans="1:26" x14ac:dyDescent="0.2">
      <c r="A145" s="1">
        <f t="shared" si="6"/>
        <v>0</v>
      </c>
      <c r="B145" s="1590" t="s">
        <v>6296</v>
      </c>
      <c r="C145" s="1585">
        <v>2054</v>
      </c>
      <c r="D145" s="2"/>
      <c r="E145" s="280"/>
      <c r="F145" s="3"/>
      <c r="Z145" s="28">
        <f>IF(A145=1,SUM($A$6:$A145),0)</f>
      </c>
    </row>
    <row r="146" spans="1:26" x14ac:dyDescent="0.2">
      <c r="A146" s="1">
        <f t="shared" si="6"/>
        <v>0</v>
      </c>
      <c r="B146" s="1590" t="s">
        <v>2368</v>
      </c>
      <c r="C146" s="1585">
        <v>2055</v>
      </c>
      <c r="D146" s="2"/>
      <c r="E146" s="280"/>
      <c r="F146" s="3"/>
      <c r="Z146" s="28">
        <f>IF(A146=1,SUM($A$6:$A146),0)</f>
      </c>
    </row>
    <row r="147" spans="1:26" x14ac:dyDescent="0.2">
      <c r="A147" s="1">
        <f t="shared" si="6"/>
        <v>0</v>
      </c>
      <c r="B147" s="1590" t="s">
        <v>4451</v>
      </c>
      <c r="C147" s="1585">
        <v>2056</v>
      </c>
      <c r="D147" s="2"/>
      <c r="E147" s="280"/>
      <c r="F147" s="3"/>
      <c r="Z147" s="28">
        <f>IF(A147=1,SUM($A$6:$A147),0)</f>
      </c>
    </row>
    <row r="148" spans="1:26" x14ac:dyDescent="0.2">
      <c r="A148" s="1">
        <f t="shared" si="6"/>
        <v>0</v>
      </c>
      <c r="B148" s="1590" t="s">
        <v>4452</v>
      </c>
      <c r="C148" s="1585">
        <v>2057</v>
      </c>
      <c r="D148" s="2"/>
      <c r="E148" s="280"/>
      <c r="F148" s="3"/>
      <c r="Z148" s="28">
        <f>IF(A148=1,SUM($A$6:$A148),0)</f>
      </c>
    </row>
    <row r="149" spans="1:26" x14ac:dyDescent="0.2">
      <c r="A149" s="1">
        <f t="shared" si="6"/>
        <v>0</v>
      </c>
      <c r="B149" s="1590" t="s">
        <v>4453</v>
      </c>
      <c r="C149" s="1585">
        <v>2058</v>
      </c>
      <c r="D149" s="2"/>
      <c r="E149" s="280"/>
      <c r="F149" s="3"/>
      <c r="Z149" s="28">
        <f>IF(A149=1,SUM($A$6:$A149),0)</f>
      </c>
    </row>
    <row r="150" spans="1:26" x14ac:dyDescent="0.2">
      <c r="A150" s="1">
        <f t="shared" si="6"/>
        <v>0</v>
      </c>
      <c r="B150" s="1590" t="s">
        <v>6282</v>
      </c>
      <c r="C150" s="1585">
        <v>2059</v>
      </c>
      <c r="D150" s="2"/>
      <c r="E150" s="280"/>
      <c r="F150" s="3"/>
      <c r="Z150" s="28">
        <f>IF(A150=1,SUM($A$6:$A150),0)</f>
      </c>
    </row>
    <row r="151" spans="1:26" x14ac:dyDescent="0.2">
      <c r="A151" s="1">
        <f t="shared" si="6"/>
        <v>0</v>
      </c>
      <c r="B151" s="1590" t="s">
        <v>439</v>
      </c>
      <c r="C151" s="1585">
        <v>2060</v>
      </c>
      <c r="D151" s="2"/>
      <c r="E151" s="280"/>
      <c r="F151" s="3"/>
      <c r="Z151" s="28">
        <f>IF(A151=1,SUM($A$6:$A151),0)</f>
      </c>
    </row>
    <row r="152" spans="1:26" x14ac:dyDescent="0.2">
      <c r="A152" s="1">
        <f t="shared" si="6"/>
        <v>0</v>
      </c>
      <c r="B152" s="1591" t="s">
        <v>828</v>
      </c>
      <c r="C152" s="1585">
        <v>2100</v>
      </c>
      <c r="D152" s="2"/>
      <c r="E152" s="280"/>
      <c r="F152" s="3"/>
      <c r="Z152" s="28">
        <f>IF(A152=1,SUM($A$6:$A152),0)</f>
      </c>
    </row>
    <row r="153" spans="1:26" x14ac:dyDescent="0.2">
      <c r="A153" s="1">
        <f t="shared" si="6"/>
        <v>0</v>
      </c>
      <c r="B153" s="1591" t="s">
        <v>1916</v>
      </c>
      <c r="C153" s="1585">
        <v>2101</v>
      </c>
      <c r="D153" s="2"/>
      <c r="E153" s="280"/>
      <c r="F153" s="3"/>
      <c r="Z153" s="28">
        <f>IF(A153=1,SUM($A$6:$A153),0)</f>
      </c>
    </row>
    <row r="154" spans="1:26" x14ac:dyDescent="0.2">
      <c r="A154" s="1">
        <f t="shared" si="6"/>
        <v>0</v>
      </c>
      <c r="B154" s="1591" t="s">
        <v>1712</v>
      </c>
      <c r="C154" s="1585">
        <v>2102</v>
      </c>
      <c r="D154" s="2"/>
      <c r="E154" s="280"/>
      <c r="F154" s="3"/>
      <c r="Z154" s="28">
        <f>IF(A154=1,SUM($A$6:$A154),0)</f>
      </c>
    </row>
    <row r="155" spans="1:26" x14ac:dyDescent="0.2">
      <c r="A155" s="1">
        <f t="shared" si="6"/>
        <v>0</v>
      </c>
      <c r="B155" s="1591" t="s">
        <v>11</v>
      </c>
      <c r="C155" s="1585">
        <v>2103</v>
      </c>
      <c r="D155" s="2"/>
      <c r="E155" s="280"/>
      <c r="F155" s="3"/>
      <c r="Z155" s="28">
        <f>IF(A155=1,SUM($A$6:$A155),0)</f>
      </c>
    </row>
    <row r="156" spans="1:26" x14ac:dyDescent="0.2">
      <c r="A156" s="1">
        <f t="shared" si="6"/>
        <v>0</v>
      </c>
      <c r="B156" s="1591" t="s">
        <v>2116</v>
      </c>
      <c r="C156" s="1585">
        <v>2104</v>
      </c>
      <c r="D156" s="2"/>
      <c r="E156" s="280"/>
      <c r="F156" s="3"/>
      <c r="Z156" s="28">
        <f>IF(A156=1,SUM($A$6:$A156),0)</f>
      </c>
    </row>
    <row r="157" spans="1:26" x14ac:dyDescent="0.2">
      <c r="A157" s="1">
        <f t="shared" si="6"/>
        <v>0</v>
      </c>
      <c r="B157" s="1591" t="s">
        <v>2117</v>
      </c>
      <c r="C157" s="1585">
        <v>2105</v>
      </c>
      <c r="D157" s="2"/>
      <c r="E157" s="280"/>
      <c r="F157" s="3"/>
      <c r="Z157" s="28">
        <f>IF(A157=1,SUM($A$6:$A157),0)</f>
      </c>
    </row>
    <row r="158" spans="1:26" x14ac:dyDescent="0.2">
      <c r="A158" s="1">
        <f t="shared" si="6"/>
        <v>0</v>
      </c>
      <c r="B158" s="1591" t="s">
        <v>2118</v>
      </c>
      <c r="C158" s="1585">
        <v>2106</v>
      </c>
      <c r="D158" s="2"/>
      <c r="E158" s="280"/>
      <c r="F158" s="3"/>
      <c r="Z158" s="28">
        <f>IF(A158=1,SUM($A$6:$A158),0)</f>
      </c>
    </row>
    <row r="159" spans="1:26" x14ac:dyDescent="0.2">
      <c r="A159" s="1">
        <f t="shared" si="6"/>
        <v>0</v>
      </c>
      <c r="B159" s="1591" t="s">
        <v>10614</v>
      </c>
      <c r="C159" s="1585">
        <v>2130</v>
      </c>
      <c r="D159" s="2"/>
      <c r="E159" s="280"/>
      <c r="F159" s="3"/>
      <c r="Z159" s="28">
        <f>IF(A159=1,SUM($A$6:$A159),0)</f>
      </c>
    </row>
    <row r="160" spans="1:26" x14ac:dyDescent="0.2">
      <c r="A160" s="1">
        <f t="shared" si="6"/>
        <v>0</v>
      </c>
      <c r="B160" s="1591" t="s">
        <v>2008</v>
      </c>
      <c r="C160" s="1585">
        <v>2140</v>
      </c>
      <c r="D160" s="2"/>
      <c r="E160" s="280"/>
      <c r="F160" s="3"/>
      <c r="Z160" s="28">
        <f>IF(A160=1,SUM($A$6:$A160),0)</f>
      </c>
    </row>
    <row r="161" spans="1:80" x14ac:dyDescent="0.2">
      <c r="A161" s="1">
        <f t="shared" si="6"/>
        <v>1</v>
      </c>
      <c r="B161" s="1589" t="s">
        <v>6878</v>
      </c>
      <c r="C161" s="1585">
        <v>2150</v>
      </c>
      <c r="D161" s="2"/>
      <c r="E161" s="280"/>
      <c r="F161" s="3"/>
      <c r="Z161" s="28">
        <f>IF(A161=1,SUM($A$6:$A161),0)</f>
      </c>
    </row>
    <row r="162" spans="1:80" x14ac:dyDescent="0.2">
      <c r="A162" s="1">
        <f t="shared" si="6"/>
        <v>0</v>
      </c>
      <c r="B162" s="1590" t="s">
        <v>3113</v>
      </c>
      <c r="C162" s="1585">
        <v>2151</v>
      </c>
      <c r="D162" s="2"/>
      <c r="E162" s="280"/>
      <c r="F162" s="3"/>
      <c r="Z162" s="28">
        <f>IF(A162=1,SUM($A$6:$A162),0)</f>
      </c>
    </row>
    <row r="163" spans="1:80" x14ac:dyDescent="0.2">
      <c r="A163" s="1">
        <f t="shared" si="6"/>
        <v>0</v>
      </c>
      <c r="B163" s="1590" t="s">
        <v>3114</v>
      </c>
      <c r="C163" s="1585">
        <v>2152</v>
      </c>
      <c r="D163" s="2"/>
      <c r="E163" s="280"/>
      <c r="F163" s="3"/>
      <c r="Z163" s="28">
        <f>IF(A163=1,SUM($A$6:$A163),0)</f>
      </c>
    </row>
    <row r="164" spans="1:80" x14ac:dyDescent="0.2">
      <c r="A164" s="1">
        <f t="shared" si="6"/>
        <v>0</v>
      </c>
      <c r="B164" s="1590" t="s">
        <v>3115</v>
      </c>
      <c r="C164" s="1585">
        <v>2153</v>
      </c>
      <c r="D164" s="2"/>
      <c r="E164" s="280"/>
      <c r="F164" s="3"/>
      <c r="Z164" s="28">
        <f>IF(A164=1,SUM($A$6:$A164),0)</f>
      </c>
    </row>
    <row r="165" spans="1:80" x14ac:dyDescent="0.2">
      <c r="A165" s="1">
        <f t="shared" si="6"/>
        <v>0</v>
      </c>
      <c r="B165" s="1590" t="s">
        <v>3116</v>
      </c>
      <c r="C165" s="1585">
        <v>2154</v>
      </c>
      <c r="D165" s="2"/>
      <c r="E165" s="280"/>
      <c r="F165" s="3"/>
      <c r="Z165" s="28">
        <f>IF(A165=1,SUM($A$6:$A165),0)</f>
      </c>
    </row>
    <row r="166" spans="1:80" x14ac:dyDescent="0.2">
      <c r="A166" s="1">
        <f t="shared" si="6"/>
        <v>0</v>
      </c>
      <c r="B166" s="1589" t="s">
        <v>3117</v>
      </c>
      <c r="C166" s="1585">
        <v>2155</v>
      </c>
      <c r="D166" s="2"/>
      <c r="E166" s="280"/>
      <c r="F166" s="3"/>
      <c r="Z166" s="28">
        <f>IF(A166=1,SUM($A$6:$A166),0)</f>
      </c>
    </row>
    <row r="167" spans="1:80" x14ac:dyDescent="0.2">
      <c r="A167" s="1">
        <f t="shared" si="6"/>
        <v>0</v>
      </c>
      <c r="B167" s="1591" t="s">
        <v>3118</v>
      </c>
      <c r="C167" s="1585">
        <v>2200</v>
      </c>
      <c r="D167" s="2"/>
      <c r="E167" s="280"/>
      <c r="F167" s="3"/>
      <c r="Z167" s="28">
        <f>IF(A167=1,SUM($A$6:$A167),0)</f>
      </c>
    </row>
    <row r="168" spans="1:80" x14ac:dyDescent="0.2">
      <c r="A168" s="1">
        <f t="shared" si="6"/>
        <v>0</v>
      </c>
      <c r="B168" s="1591" t="s">
        <v>3119</v>
      </c>
      <c r="C168" s="1585">
        <v>2201</v>
      </c>
      <c r="D168" s="2"/>
      <c r="E168" s="280"/>
      <c r="F168" s="3"/>
      <c r="Z168" s="28">
        <f>IF(A168=1,SUM($A$6:$A168),0)</f>
      </c>
    </row>
    <row r="169" spans="1:80" x14ac:dyDescent="0.2">
      <c r="A169" s="1">
        <f t="shared" si="6"/>
        <v>0</v>
      </c>
      <c r="B169" s="1590" t="s">
        <v>4136</v>
      </c>
      <c r="C169" s="1585">
        <v>2202</v>
      </c>
      <c r="D169" s="2"/>
      <c r="E169" s="280"/>
      <c r="F169" s="3"/>
      <c r="Z169" s="28">
        <f>IF(A169=1,SUM($A$6:$A169),0)</f>
      </c>
    </row>
    <row r="170" spans="1:80" x14ac:dyDescent="0.2">
      <c r="A170" s="1">
        <f t="shared" si="6"/>
        <v>0</v>
      </c>
      <c r="B170" s="1590" t="s">
        <v>4137</v>
      </c>
      <c r="C170" s="1585">
        <v>2203</v>
      </c>
      <c r="D170" s="2"/>
      <c r="E170" s="280"/>
      <c r="F170" s="3"/>
      <c r="Z170" s="28">
        <f>IF(A170=1,SUM($A$6:$A170),0)</f>
      </c>
    </row>
    <row r="171" spans="1:80" x14ac:dyDescent="0.2">
      <c r="A171" s="1">
        <f t="shared" si="6"/>
        <v>0</v>
      </c>
      <c r="B171" s="1590" t="s">
        <v>147</v>
      </c>
      <c r="C171" s="1585">
        <v>2204</v>
      </c>
      <c r="D171" s="2"/>
      <c r="E171" s="280"/>
      <c r="F171" s="3"/>
      <c r="Z171" s="28">
        <f>IF(A171=1,SUM($A$6:$A171),0)</f>
      </c>
    </row>
    <row r="172" spans="1:80" x14ac:dyDescent="0.2">
      <c r="A172" s="1">
        <f t="shared" si="6"/>
        <v>1</v>
      </c>
      <c r="B172" s="1590" t="s">
        <v>148</v>
      </c>
      <c r="C172" s="1585">
        <v>2205</v>
      </c>
      <c r="D172" s="2"/>
      <c r="E172" s="280"/>
      <c r="F172" s="3"/>
      <c r="Z172" s="28">
        <f>IF(A172=1,SUM($A$6:$A172),0)</f>
      </c>
    </row>
    <row r="173" spans="1:80" x14ac:dyDescent="0.2">
      <c r="A173" s="1">
        <v>1</v>
      </c>
      <c r="B173" s="1593" t="s">
        <v>600</v>
      </c>
      <c r="C173" s="1588">
        <v>2298</v>
      </c>
      <c r="D173" s="2"/>
      <c r="E173" s="282">
        <f>SUM(E133:E172)</f>
      </c>
      <c r="F173" s="3"/>
      <c r="Y173" s="28">
        <v>1</v>
      </c>
      <c r="Z173" s="28">
        <f>IF(A173=1,SUM($A$6:$A173),0)</f>
      </c>
      <c r="CA173" s="142">
        <v>1</v>
      </c>
    </row>
    <row r="174" spans="1:80" x14ac:dyDescent="0.2">
      <c r="A174" s="1">
        <v>1</v>
      </c>
      <c r="B174" s="1594" t="s">
        <v>601</v>
      </c>
      <c r="C174" s="1595">
        <v>2299</v>
      </c>
      <c r="D174" s="283" t="str">
        <f>IF(ISBLANK(E174),man,IF(E174&lt;&gt;E175,"Check!",""))</f>
        <v/>
      </c>
      <c r="E174" s="280">
        <f>E175</f>
      </c>
      <c r="F174" s="283"/>
      <c r="G174" s="28">
        <f>IF(D174="",0,1)</f>
      </c>
      <c r="H174" s="44">
        <f>SUM(I174:J174)</f>
      </c>
      <c r="I174" s="32">
        <f>IF(E174&gt;0,E174,0)</f>
      </c>
      <c r="J174" s="32">
        <f>IF(E174&lt;0,E174,0)</f>
      </c>
      <c r="K174" s="44"/>
      <c r="L174" s="32"/>
      <c r="M174" s="32"/>
      <c r="Y174" s="28">
        <v>1</v>
      </c>
      <c r="Z174" s="28">
        <f>IF(A174=1,SUM($A$6:$A174),0)</f>
      </c>
      <c r="CA174" s="142">
        <v>1</v>
      </c>
      <c r="CB174" s="142">
        <v>1</v>
      </c>
    </row>
    <row r="175" spans="1:80" x14ac:dyDescent="0.2">
      <c r="A175" s="1">
        <v>0</v>
      </c>
      <c r="B175" s="1596" t="str">
        <f>IF(tr=1,"MUST REFLECT ALL ASSETS HELD IN TRUST","")</f>
        <v/>
      </c>
      <c r="C175" s="1597"/>
      <c r="D175" s="2"/>
      <c r="E175" s="284">
        <f>SUM(E173,E132)</f>
      </c>
      <c r="F175" s="283"/>
      <c r="H175" s="44"/>
      <c r="I175" s="32"/>
      <c r="J175" s="32"/>
      <c r="K175" s="44"/>
      <c r="L175" s="32"/>
      <c r="M175" s="32"/>
      <c r="Z175" s="28">
        <f>IF(A175=1,SUM($A$6:$A175),0)</f>
      </c>
    </row>
    <row r="176" spans="1:80" x14ac:dyDescent="0.2">
      <c r="A176" s="1">
        <f t="shared" si="6"/>
        <v>0</v>
      </c>
      <c r="B176" s="1586" t="s">
        <v>602</v>
      </c>
      <c r="C176" s="1585">
        <v>3000</v>
      </c>
      <c r="D176" s="2"/>
      <c r="E176" s="280"/>
      <c r="F176" s="3"/>
      <c r="H176" s="28">
        <f>IF(H174&gt;0,H174,H174*-1)</f>
      </c>
      <c r="Z176" s="28">
        <f>IF(A176=1,SUM($A$6:$A176),0)</f>
      </c>
    </row>
    <row r="177" spans="1:26" x14ac:dyDescent="0.2">
      <c r="A177" s="1">
        <f t="shared" si="6"/>
        <v>0</v>
      </c>
      <c r="B177" s="1586" t="s">
        <v>603</v>
      </c>
      <c r="C177" s="1585">
        <v>3020</v>
      </c>
      <c r="D177" s="2"/>
      <c r="E177" s="280"/>
      <c r="F177" s="3"/>
      <c r="Z177" s="28">
        <f>IF(A177=1,SUM($A$6:$A177),0)</f>
      </c>
    </row>
    <row r="178" spans="1:26" x14ac:dyDescent="0.2">
      <c r="A178" s="1">
        <f t="shared" si="6"/>
        <v>0</v>
      </c>
      <c r="B178" s="1586" t="s">
        <v>2503</v>
      </c>
      <c r="C178" s="1585">
        <v>3021</v>
      </c>
      <c r="D178" s="2"/>
      <c r="E178" s="280"/>
      <c r="F178" s="3"/>
      <c r="Z178" s="28">
        <f>IF(A178=1,SUM($A$6:$A178),0)</f>
      </c>
    </row>
    <row r="179" spans="1:26" x14ac:dyDescent="0.2">
      <c r="A179" s="1">
        <f t="shared" si="6"/>
        <v>0</v>
      </c>
      <c r="B179" s="1586" t="s">
        <v>2627</v>
      </c>
      <c r="C179" s="1585">
        <v>3022</v>
      </c>
      <c r="D179" s="2"/>
      <c r="E179" s="280"/>
      <c r="F179" s="3"/>
      <c r="Z179" s="28">
        <f>IF(A179=1,SUM($A$6:$A179),0)</f>
      </c>
    </row>
    <row r="180" spans="1:26" x14ac:dyDescent="0.2">
      <c r="A180" s="1">
        <f t="shared" si="6"/>
        <v>0</v>
      </c>
      <c r="B180" s="1586" t="s">
        <v>1593</v>
      </c>
      <c r="C180" s="1585">
        <v>3023</v>
      </c>
      <c r="D180" s="2"/>
      <c r="E180" s="280"/>
      <c r="F180" s="3"/>
      <c r="Z180" s="28">
        <f>IF(A180=1,SUM($A$6:$A180),0)</f>
      </c>
    </row>
    <row r="181" spans="1:26" x14ac:dyDescent="0.2">
      <c r="A181" s="1">
        <f t="shared" si="6"/>
        <v>0</v>
      </c>
      <c r="B181" s="1586" t="s">
        <v>1566</v>
      </c>
      <c r="C181" s="1585">
        <v>3024</v>
      </c>
      <c r="D181" s="2"/>
      <c r="E181" s="280"/>
      <c r="F181" s="3"/>
      <c r="Z181" s="28">
        <f>IF(A181=1,SUM($A$6:$A181),0)</f>
      </c>
    </row>
    <row r="182" spans="1:26" x14ac:dyDescent="0.2">
      <c r="A182" s="1">
        <f t="shared" si="6"/>
        <v>0</v>
      </c>
      <c r="B182" s="1591" t="s">
        <v>4958</v>
      </c>
      <c r="C182" s="1585">
        <v>3040</v>
      </c>
      <c r="D182" s="2"/>
      <c r="E182" s="280"/>
      <c r="F182" s="3"/>
      <c r="Z182" s="28">
        <f>IF(A182=1,SUM($A$6:$A182),0)</f>
      </c>
    </row>
    <row r="183" spans="1:26" x14ac:dyDescent="0.2">
      <c r="A183" s="1">
        <f t="shared" si="6"/>
        <v>0</v>
      </c>
      <c r="B183" s="1591" t="s">
        <v>4959</v>
      </c>
      <c r="C183" s="1585">
        <v>3050</v>
      </c>
      <c r="D183" s="2"/>
      <c r="E183" s="280"/>
      <c r="F183" s="3"/>
      <c r="Z183" s="28">
        <f>IF(A183=1,SUM($A$6:$A183),0)</f>
      </c>
    </row>
    <row r="184" spans="1:26" x14ac:dyDescent="0.2">
      <c r="A184" s="1">
        <f t="shared" si="6"/>
        <v>0</v>
      </c>
      <c r="B184" s="1584" t="s">
        <v>6081</v>
      </c>
      <c r="C184" s="1585">
        <v>3080</v>
      </c>
      <c r="D184" s="2"/>
      <c r="E184" s="280"/>
      <c r="F184" s="3"/>
      <c r="Z184" s="28">
        <f>IF(A184=1,SUM($A$6:$A184),0)</f>
      </c>
    </row>
    <row r="185" spans="1:26" x14ac:dyDescent="0.2">
      <c r="A185" s="1">
        <f t="shared" si="6"/>
        <v>1</v>
      </c>
      <c r="B185" s="1584" t="s">
        <v>4482</v>
      </c>
      <c r="C185" s="1585">
        <v>3100</v>
      </c>
      <c r="D185" s="2"/>
      <c r="E185" s="280"/>
      <c r="F185" s="3"/>
      <c r="Z185" s="28">
        <f>IF(A185=1,SUM($A$6:$A185),0)</f>
      </c>
    </row>
    <row r="186" spans="1:26" x14ac:dyDescent="0.2">
      <c r="A186" s="1">
        <f t="shared" si="6"/>
        <v>1</v>
      </c>
      <c r="B186" s="1586" t="s">
        <v>4483</v>
      </c>
      <c r="C186" s="1585">
        <v>3101</v>
      </c>
      <c r="D186" s="2"/>
      <c r="E186" s="280"/>
      <c r="F186" s="3"/>
      <c r="Z186" s="28">
        <f>IF(A186=1,SUM($A$6:$A186),0)</f>
      </c>
    </row>
    <row r="187" spans="1:26" x14ac:dyDescent="0.2">
      <c r="A187" s="1">
        <f t="shared" si="6"/>
        <v>0</v>
      </c>
      <c r="B187" s="1586" t="s">
        <v>4484</v>
      </c>
      <c r="C187" s="1585">
        <v>3102</v>
      </c>
      <c r="D187" s="2"/>
      <c r="E187" s="280"/>
      <c r="F187" s="3"/>
      <c r="Z187" s="28">
        <f>IF(A187=1,SUM($A$6:$A187),0)</f>
      </c>
    </row>
    <row r="188" spans="1:26" x14ac:dyDescent="0.2">
      <c r="A188" s="1">
        <f t="shared" si="6"/>
        <v>0</v>
      </c>
      <c r="B188" s="1586" t="s">
        <v>4485</v>
      </c>
      <c r="C188" s="1585">
        <v>3103</v>
      </c>
      <c r="D188" s="2"/>
      <c r="E188" s="280"/>
      <c r="F188" s="3"/>
      <c r="Z188" s="28">
        <f>IF(A188=1,SUM($A$6:$A188),0)</f>
      </c>
    </row>
    <row r="189" spans="1:26" x14ac:dyDescent="0.2">
      <c r="A189" s="1">
        <f t="shared" si="6"/>
        <v>0</v>
      </c>
      <c r="B189" s="1586" t="s">
        <v>4486</v>
      </c>
      <c r="C189" s="1585">
        <v>3104</v>
      </c>
      <c r="D189" s="2"/>
      <c r="E189" s="280"/>
      <c r="F189" s="3"/>
      <c r="Z189" s="28">
        <f>IF(A189=1,SUM($A$6:$A189),0)</f>
      </c>
    </row>
    <row r="190" spans="1:26" x14ac:dyDescent="0.2">
      <c r="A190" s="1">
        <f t="shared" si="6"/>
        <v>0</v>
      </c>
      <c r="B190" s="1586" t="s">
        <v>4487</v>
      </c>
      <c r="C190" s="1585">
        <v>3105</v>
      </c>
      <c r="D190" s="2"/>
      <c r="E190" s="280"/>
      <c r="F190" s="3"/>
      <c r="Z190" s="28">
        <f>IF(A190=1,SUM($A$6:$A190),0)</f>
      </c>
    </row>
    <row r="191" spans="1:26" x14ac:dyDescent="0.2">
      <c r="A191" s="1">
        <f t="shared" si="6"/>
        <v>0</v>
      </c>
      <c r="B191" s="1586" t="s">
        <v>4488</v>
      </c>
      <c r="C191" s="1585">
        <v>3106</v>
      </c>
      <c r="D191" s="2"/>
      <c r="E191" s="280"/>
      <c r="F191" s="3"/>
      <c r="Z191" s="28">
        <f>IF(A191=1,SUM($A$6:$A191),0)</f>
      </c>
    </row>
    <row r="192" spans="1:26" x14ac:dyDescent="0.2">
      <c r="A192" s="1">
        <f t="shared" si="6"/>
        <v>0</v>
      </c>
      <c r="B192" s="1586" t="s">
        <v>4489</v>
      </c>
      <c r="C192" s="1585">
        <v>3107</v>
      </c>
      <c r="D192" s="2"/>
      <c r="E192" s="280"/>
      <c r="F192" s="3"/>
      <c r="Z192" s="28">
        <f>IF(A192=1,SUM($A$6:$A192),0)</f>
      </c>
    </row>
    <row r="193" spans="1:26" x14ac:dyDescent="0.2">
      <c r="A193" s="1">
        <f t="shared" si="6"/>
        <v>0</v>
      </c>
      <c r="B193" s="1586" t="s">
        <v>2434</v>
      </c>
      <c r="C193" s="1585">
        <v>3108</v>
      </c>
      <c r="D193" s="2"/>
      <c r="E193" s="280"/>
      <c r="F193" s="3"/>
      <c r="Z193" s="28">
        <f>IF(A193=1,SUM($A$6:$A193),0)</f>
      </c>
    </row>
    <row r="194" spans="1:26" x14ac:dyDescent="0.2">
      <c r="A194" s="1">
        <f t="shared" si="6"/>
        <v>0</v>
      </c>
      <c r="B194" s="1586" t="s">
        <v>2435</v>
      </c>
      <c r="C194" s="1585">
        <v>3200</v>
      </c>
      <c r="D194" s="2"/>
      <c r="E194" s="280"/>
      <c r="F194" s="3"/>
      <c r="Z194" s="28">
        <f>IF(A194=1,SUM($A$6:$A194),0)</f>
      </c>
    </row>
    <row r="195" spans="1:26" x14ac:dyDescent="0.2">
      <c r="A195" s="1">
        <f t="shared" si="6"/>
        <v>0</v>
      </c>
      <c r="B195" s="1584" t="s">
        <v>2436</v>
      </c>
      <c r="C195" s="1585">
        <v>3201</v>
      </c>
      <c r="D195" s="2"/>
      <c r="E195" s="280"/>
      <c r="F195" s="3"/>
      <c r="Z195" s="28">
        <f>IF(A195=1,SUM($A$6:$A195),0)</f>
      </c>
    </row>
    <row r="196" spans="1:26" x14ac:dyDescent="0.2">
      <c r="A196" s="1">
        <f t="shared" si="6"/>
        <v>1</v>
      </c>
      <c r="B196" s="1584" t="s">
        <v>5394</v>
      </c>
      <c r="C196" s="1585">
        <v>3202</v>
      </c>
      <c r="D196" s="2"/>
      <c r="E196" s="280"/>
      <c r="F196" s="3"/>
      <c r="Z196" s="28">
        <f>IF(A196=1,SUM($A$6:$A196),0)</f>
      </c>
    </row>
    <row r="197" spans="1:26" x14ac:dyDescent="0.2">
      <c r="A197" s="1">
        <f t="shared" si="6"/>
        <v>1</v>
      </c>
      <c r="B197" s="1584" t="s">
        <v>5395</v>
      </c>
      <c r="C197" s="1585">
        <v>3203</v>
      </c>
      <c r="D197" s="2"/>
      <c r="E197" s="280"/>
      <c r="F197" s="3"/>
      <c r="Z197" s="28">
        <f>IF(A197=1,SUM($A$6:$A197),0)</f>
      </c>
    </row>
    <row r="198" spans="1:26" x14ac:dyDescent="0.2">
      <c r="A198" s="1">
        <f t="shared" si="6"/>
        <v>0</v>
      </c>
      <c r="B198" s="1584" t="s">
        <v>5396</v>
      </c>
      <c r="C198" s="1585">
        <v>3204</v>
      </c>
      <c r="D198" s="2"/>
      <c r="E198" s="280"/>
      <c r="F198" s="3"/>
      <c r="Z198" s="28">
        <f>IF(A198=1,SUM($A$6:$A198),0)</f>
      </c>
    </row>
    <row r="199" spans="1:26" x14ac:dyDescent="0.2">
      <c r="A199" s="1">
        <f t="shared" ref="A199:A259" si="7">COUNT(E199)</f>
      </c>
      <c r="B199" s="1584" t="s">
        <v>6713</v>
      </c>
      <c r="C199" s="1585">
        <v>3205</v>
      </c>
      <c r="D199" s="2"/>
      <c r="E199" s="280"/>
      <c r="F199" s="3"/>
      <c r="Z199" s="28">
        <f>IF(A199=1,SUM($A$6:$A199),0)</f>
      </c>
    </row>
    <row r="200" spans="1:26" x14ac:dyDescent="0.2">
      <c r="A200" s="1">
        <f t="shared" si="7"/>
        <v>0</v>
      </c>
      <c r="B200" s="1584" t="s">
        <v>6714</v>
      </c>
      <c r="C200" s="1585">
        <v>3206</v>
      </c>
      <c r="D200" s="2"/>
      <c r="E200" s="280"/>
      <c r="F200" s="3"/>
      <c r="Z200" s="28">
        <f>IF(A200=1,SUM($A$6:$A200),0)</f>
      </c>
    </row>
    <row r="201" spans="1:26" x14ac:dyDescent="0.2">
      <c r="A201" s="1">
        <f t="shared" si="7"/>
        <v>0</v>
      </c>
      <c r="B201" s="1584" t="s">
        <v>789</v>
      </c>
      <c r="C201" s="1585">
        <v>3300</v>
      </c>
      <c r="D201" s="2"/>
      <c r="E201" s="280"/>
      <c r="F201" s="3"/>
      <c r="Z201" s="28">
        <f>IF(A201=1,SUM($A$6:$A201),0)</f>
      </c>
    </row>
    <row r="202" spans="1:26" x14ac:dyDescent="0.2">
      <c r="A202" s="1">
        <f t="shared" si="7"/>
        <v>0</v>
      </c>
      <c r="B202" s="1586" t="s">
        <v>790</v>
      </c>
      <c r="C202" s="1585">
        <v>3301</v>
      </c>
      <c r="D202" s="2"/>
      <c r="E202" s="280"/>
      <c r="F202" s="3"/>
      <c r="Z202" s="28">
        <f>IF(A202=1,SUM($A$6:$A202),0)</f>
      </c>
    </row>
    <row r="203" spans="1:26" x14ac:dyDescent="0.2">
      <c r="A203" s="1">
        <f t="shared" si="7"/>
        <v>0</v>
      </c>
      <c r="B203" s="1586" t="s">
        <v>467</v>
      </c>
      <c r="C203" s="1585">
        <v>3302</v>
      </c>
      <c r="D203" s="2"/>
      <c r="E203" s="280"/>
      <c r="F203" s="3"/>
      <c r="Z203" s="28">
        <f>IF(A203=1,SUM($A$6:$A203),0)</f>
      </c>
    </row>
    <row r="204" spans="1:26" x14ac:dyDescent="0.2">
      <c r="A204" s="1">
        <f t="shared" si="7"/>
        <v>0</v>
      </c>
      <c r="B204" s="1586" t="s">
        <v>1765</v>
      </c>
      <c r="C204" s="1585">
        <v>3303</v>
      </c>
      <c r="D204" s="2"/>
      <c r="E204" s="280"/>
      <c r="F204" s="3"/>
      <c r="Z204" s="28">
        <f>IF(A204=1,SUM($A$6:$A204),0)</f>
      </c>
    </row>
    <row r="205" spans="1:26" x14ac:dyDescent="0.2">
      <c r="A205" s="1">
        <f t="shared" si="7"/>
        <v>0</v>
      </c>
      <c r="B205" s="1586" t="s">
        <v>1766</v>
      </c>
      <c r="C205" s="1585">
        <v>3304</v>
      </c>
      <c r="D205" s="2"/>
      <c r="E205" s="280"/>
      <c r="F205" s="3"/>
      <c r="Z205" s="28">
        <f>IF(A205=1,SUM($A$6:$A205),0)</f>
      </c>
    </row>
    <row r="206" spans="1:26" x14ac:dyDescent="0.2">
      <c r="A206" s="1">
        <f t="shared" si="7"/>
        <v>0</v>
      </c>
      <c r="B206" s="1586" t="s">
        <v>6578</v>
      </c>
      <c r="C206" s="1585">
        <v>3305</v>
      </c>
      <c r="D206" s="2"/>
      <c r="E206" s="280"/>
      <c r="F206" s="3"/>
      <c r="Z206" s="28">
        <f>IF(A206=1,SUM($A$6:$A206),0)</f>
      </c>
    </row>
    <row r="207" spans="1:26" x14ac:dyDescent="0.2">
      <c r="A207" s="1">
        <f t="shared" si="7"/>
        <v>0</v>
      </c>
      <c r="B207" s="1586" t="s">
        <v>6579</v>
      </c>
      <c r="C207" s="1585">
        <v>3306</v>
      </c>
      <c r="D207" s="2"/>
      <c r="E207" s="280"/>
      <c r="F207" s="3"/>
      <c r="Z207" s="28">
        <f>IF(A207=1,SUM($A$6:$A207),0)</f>
      </c>
    </row>
    <row r="208" spans="1:26" x14ac:dyDescent="0.2">
      <c r="A208" s="1">
        <f t="shared" si="7"/>
        <v>0</v>
      </c>
      <c r="B208" s="1586" t="s">
        <v>973</v>
      </c>
      <c r="C208" s="1585">
        <v>3370</v>
      </c>
      <c r="D208" s="2"/>
      <c r="E208" s="280"/>
      <c r="F208" s="3"/>
      <c r="Z208" s="28">
        <f>IF(A208=1,SUM($A$6:$A208),0)</f>
      </c>
    </row>
    <row r="209" spans="1:79" x14ac:dyDescent="0.2">
      <c r="A209" s="1">
        <f t="shared" si="7"/>
        <v>0</v>
      </c>
      <c r="B209" s="1586" t="s">
        <v>974</v>
      </c>
      <c r="C209" s="1585">
        <v>3380</v>
      </c>
      <c r="D209" s="2"/>
      <c r="E209" s="280"/>
      <c r="F209" s="3"/>
      <c r="Z209" s="28">
        <f>IF(A209=1,SUM($A$6:$A209),0)</f>
      </c>
    </row>
    <row r="210" spans="1:79" x14ac:dyDescent="0.2">
      <c r="A210" s="1">
        <f t="shared" si="7"/>
        <v>0</v>
      </c>
      <c r="B210" s="1586" t="s">
        <v>10615</v>
      </c>
      <c r="C210" s="1585">
        <v>3390</v>
      </c>
      <c r="D210" s="2"/>
      <c r="E210" s="280"/>
      <c r="F210" s="3"/>
      <c r="Z210" s="28">
        <f>IF(A210=1,SUM($A$6:$A210),0)</f>
      </c>
    </row>
    <row r="211" spans="1:79" x14ac:dyDescent="0.2">
      <c r="A211" s="1">
        <f t="shared" si="7"/>
        <v>0</v>
      </c>
      <c r="B211" s="1584" t="s">
        <v>4275</v>
      </c>
      <c r="C211" s="1585">
        <v>3400</v>
      </c>
      <c r="D211" s="2"/>
      <c r="E211" s="280"/>
      <c r="F211" s="3"/>
      <c r="Z211" s="28">
        <f>IF(A211=1,SUM($A$6:$A211),0)</f>
      </c>
    </row>
    <row r="212" spans="1:79" x14ac:dyDescent="0.2">
      <c r="A212" s="1">
        <f t="shared" si="7"/>
        <v>0</v>
      </c>
      <c r="B212" s="1586" t="s">
        <v>4276</v>
      </c>
      <c r="C212" s="1585">
        <v>3401</v>
      </c>
      <c r="D212" s="2"/>
      <c r="E212" s="280"/>
      <c r="F212" s="3"/>
      <c r="Z212" s="28">
        <f>IF(A212=1,SUM($A$6:$A212),0)</f>
      </c>
    </row>
    <row r="213" spans="1:79" x14ac:dyDescent="0.2">
      <c r="A213" s="1">
        <f t="shared" si="7"/>
        <v>0</v>
      </c>
      <c r="B213" s="1586" t="s">
        <v>4277</v>
      </c>
      <c r="C213" s="1585">
        <v>3402</v>
      </c>
      <c r="D213" s="2"/>
      <c r="E213" s="280"/>
      <c r="F213" s="3"/>
      <c r="Z213" s="28">
        <f>IF(A213=1,SUM($A$6:$A213),0)</f>
      </c>
    </row>
    <row r="214" spans="1:79" x14ac:dyDescent="0.2">
      <c r="A214" s="1">
        <f t="shared" si="7"/>
        <v>0</v>
      </c>
      <c r="B214" s="1586" t="s">
        <v>4278</v>
      </c>
      <c r="C214" s="1585">
        <v>3403</v>
      </c>
      <c r="D214" s="2"/>
      <c r="E214" s="280"/>
      <c r="F214" s="3"/>
      <c r="Z214" s="28">
        <f>IF(A214=1,SUM($A$6:$A214),0)</f>
      </c>
    </row>
    <row r="215" spans="1:79" x14ac:dyDescent="0.2">
      <c r="A215" s="1">
        <f t="shared" si="7"/>
        <v>0</v>
      </c>
      <c r="B215" s="1586" t="s">
        <v>3237</v>
      </c>
      <c r="C215" s="1585">
        <v>3404</v>
      </c>
      <c r="D215" s="2"/>
      <c r="E215" s="280"/>
      <c r="F215" s="3"/>
      <c r="Z215" s="28">
        <f>IF(A215=1,SUM($A$6:$A215),0)</f>
      </c>
    </row>
    <row r="216" spans="1:79" x14ac:dyDescent="0.2">
      <c r="A216" s="1">
        <f t="shared" si="7"/>
        <v>0</v>
      </c>
      <c r="B216" s="1586" t="s">
        <v>695</v>
      </c>
      <c r="C216" s="1585">
        <v>3405</v>
      </c>
      <c r="D216" s="2"/>
      <c r="E216" s="280"/>
      <c r="F216" s="3"/>
      <c r="Z216" s="28">
        <f>IF(A216=1,SUM($A$6:$A216),0)</f>
      </c>
    </row>
    <row r="217" spans="1:79" x14ac:dyDescent="0.2">
      <c r="A217" s="1">
        <v>1</v>
      </c>
      <c r="B217" s="1593" t="s">
        <v>696</v>
      </c>
      <c r="C217" s="1588">
        <v>3499</v>
      </c>
      <c r="D217" s="2"/>
      <c r="E217" s="282">
        <f>SUM(E176:E216)</f>
      </c>
      <c r="F217" s="3"/>
      <c r="Y217" s="28">
        <v>1</v>
      </c>
      <c r="Z217" s="28">
        <f>IF(A217=1,SUM($A$6:$A217),0)</f>
      </c>
      <c r="CA217" s="142">
        <v>1</v>
      </c>
    </row>
    <row r="218" spans="1:79" x14ac:dyDescent="0.2">
      <c r="A218" s="1">
        <f t="shared" si="7"/>
        <v>0</v>
      </c>
      <c r="B218" s="1584" t="s">
        <v>697</v>
      </c>
      <c r="C218" s="1585">
        <v>3500</v>
      </c>
      <c r="D218" s="2"/>
      <c r="E218" s="280"/>
      <c r="F218" s="3"/>
      <c r="Z218" s="28">
        <f>IF(A218=1,SUM($A$6:$A218),0)</f>
      </c>
    </row>
    <row r="219" spans="1:79" x14ac:dyDescent="0.2">
      <c r="A219" s="1">
        <f t="shared" si="7"/>
        <v>0</v>
      </c>
      <c r="B219" s="1586" t="s">
        <v>4462</v>
      </c>
      <c r="C219" s="1585">
        <v>3501</v>
      </c>
      <c r="D219" s="2"/>
      <c r="E219" s="280"/>
      <c r="F219" s="3"/>
      <c r="Z219" s="28">
        <f>IF(A219=1,SUM($A$6:$A219),0)</f>
      </c>
    </row>
    <row r="220" spans="1:79" x14ac:dyDescent="0.2">
      <c r="A220" s="1">
        <f t="shared" si="7"/>
        <v>0</v>
      </c>
      <c r="B220" s="1586" t="s">
        <v>4463</v>
      </c>
      <c r="C220" s="1585">
        <v>3502</v>
      </c>
      <c r="D220" s="2"/>
      <c r="E220" s="280"/>
      <c r="F220" s="3"/>
      <c r="Z220" s="28">
        <f>IF(A220=1,SUM($A$6:$A220),0)</f>
      </c>
    </row>
    <row r="221" spans="1:79" x14ac:dyDescent="0.2">
      <c r="A221" s="1">
        <f t="shared" si="7"/>
        <v>0</v>
      </c>
      <c r="B221" s="1586" t="s">
        <v>4464</v>
      </c>
      <c r="C221" s="1585">
        <v>3503</v>
      </c>
      <c r="D221" s="2"/>
      <c r="E221" s="280"/>
      <c r="F221" s="3"/>
      <c r="Z221" s="28">
        <f>IF(A221=1,SUM($A$6:$A221),0)</f>
      </c>
    </row>
    <row r="222" spans="1:79" x14ac:dyDescent="0.2">
      <c r="A222" s="1">
        <f t="shared" si="7"/>
        <v>0</v>
      </c>
      <c r="B222" s="1586" t="s">
        <v>10616</v>
      </c>
      <c r="C222" s="1585">
        <v>3504</v>
      </c>
      <c r="D222" s="2"/>
      <c r="E222" s="280"/>
      <c r="F222" s="3"/>
      <c r="Z222" s="28">
        <f>IF(A222=1,SUM($A$6:$A222),0)</f>
      </c>
    </row>
    <row r="223" spans="1:79" x14ac:dyDescent="0.2">
      <c r="A223" s="1">
        <f t="shared" si="7"/>
        <v>0</v>
      </c>
      <c r="B223" s="1591" t="s">
        <v>6202</v>
      </c>
      <c r="C223" s="1585">
        <v>3520</v>
      </c>
      <c r="D223" s="2"/>
      <c r="E223" s="280"/>
      <c r="F223" s="3"/>
      <c r="Z223" s="28">
        <f>IF(A223=1,SUM($A$6:$A223),0)</f>
      </c>
    </row>
    <row r="224" spans="1:79" x14ac:dyDescent="0.2">
      <c r="A224" s="1">
        <f t="shared" si="7"/>
        <v>0</v>
      </c>
      <c r="B224" s="1586" t="s">
        <v>100</v>
      </c>
      <c r="C224" s="1585">
        <v>3530</v>
      </c>
      <c r="D224" s="2"/>
      <c r="E224" s="280"/>
      <c r="F224" s="3"/>
      <c r="Z224" s="28">
        <f>IF(A224=1,SUM($A$6:$A224),0)</f>
      </c>
    </row>
    <row r="225" spans="1:80" x14ac:dyDescent="0.2">
      <c r="A225" s="1">
        <f t="shared" si="7"/>
        <v>0</v>
      </c>
      <c r="B225" s="1586" t="s">
        <v>101</v>
      </c>
      <c r="C225" s="1585">
        <v>3540</v>
      </c>
      <c r="D225" s="2"/>
      <c r="E225" s="280"/>
      <c r="F225" s="3"/>
      <c r="Z225" s="28">
        <f>IF(A225=1,SUM($A$6:$A225),0)</f>
      </c>
    </row>
    <row r="226" spans="1:80" x14ac:dyDescent="0.2">
      <c r="A226" s="1">
        <f t="shared" si="7"/>
        <v>1</v>
      </c>
      <c r="B226" s="1584" t="s">
        <v>793</v>
      </c>
      <c r="C226" s="1585">
        <v>3550</v>
      </c>
      <c r="D226" s="2"/>
      <c r="E226" s="280"/>
      <c r="F226" s="3"/>
      <c r="Z226" s="28">
        <f>IF(A226=1,SUM($A$6:$A226),0)</f>
      </c>
    </row>
    <row r="227" spans="1:80" x14ac:dyDescent="0.2">
      <c r="A227" s="1">
        <f t="shared" si="7"/>
        <v>0</v>
      </c>
      <c r="B227" s="1586" t="s">
        <v>468</v>
      </c>
      <c r="C227" s="1585">
        <v>3551</v>
      </c>
      <c r="D227" s="2"/>
      <c r="E227" s="280"/>
      <c r="F227" s="3"/>
      <c r="Z227" s="28">
        <f>IF(A227=1,SUM($A$6:$A227),0)</f>
      </c>
    </row>
    <row r="228" spans="1:80" x14ac:dyDescent="0.2">
      <c r="A228" s="1">
        <f t="shared" si="7"/>
        <v>0</v>
      </c>
      <c r="B228" s="1586" t="s">
        <v>6021</v>
      </c>
      <c r="C228" s="1585">
        <v>3552</v>
      </c>
      <c r="D228" s="2"/>
      <c r="E228" s="280"/>
      <c r="F228" s="3"/>
      <c r="Z228" s="28">
        <f>IF(A228=1,SUM($A$6:$A228),0)</f>
      </c>
    </row>
    <row r="229" spans="1:80" x14ac:dyDescent="0.2">
      <c r="A229" s="1">
        <f t="shared" si="7"/>
        <v>0</v>
      </c>
      <c r="B229" s="1586" t="s">
        <v>6022</v>
      </c>
      <c r="C229" s="1585">
        <v>3553</v>
      </c>
      <c r="D229" s="2"/>
      <c r="E229" s="280"/>
      <c r="F229" s="3"/>
      <c r="Z229" s="28">
        <f>IF(A229=1,SUM($A$6:$A229),0)</f>
      </c>
    </row>
    <row r="230" spans="1:80" x14ac:dyDescent="0.2">
      <c r="A230" s="1">
        <f t="shared" si="7"/>
        <v>0</v>
      </c>
      <c r="B230" s="1586" t="s">
        <v>6</v>
      </c>
      <c r="C230" s="1585">
        <v>3554</v>
      </c>
      <c r="D230" s="2"/>
      <c r="E230" s="280"/>
      <c r="F230" s="3"/>
      <c r="Z230" s="28">
        <f>IF(A230=1,SUM($A$6:$A230),0)</f>
      </c>
    </row>
    <row r="231" spans="1:80" x14ac:dyDescent="0.2">
      <c r="A231" s="1">
        <f t="shared" si="7"/>
        <v>0</v>
      </c>
      <c r="B231" s="1586" t="s">
        <v>3830</v>
      </c>
      <c r="C231" s="1585">
        <v>3555</v>
      </c>
      <c r="D231" s="2"/>
      <c r="E231" s="280"/>
      <c r="F231" s="3"/>
      <c r="Z231" s="28">
        <f>IF(A231=1,SUM($A$6:$A231),0)</f>
      </c>
    </row>
    <row r="232" spans="1:80" x14ac:dyDescent="0.2">
      <c r="A232" s="1">
        <f t="shared" si="7"/>
        <v>0</v>
      </c>
      <c r="B232" s="1584" t="s">
        <v>4601</v>
      </c>
      <c r="C232" s="1585">
        <v>3570</v>
      </c>
      <c r="D232" s="2"/>
      <c r="E232" s="280"/>
      <c r="F232" s="3"/>
      <c r="Z232" s="28">
        <f>IF(A232=1,SUM($A$6:$A232),0)</f>
      </c>
    </row>
    <row r="233" spans="1:80" x14ac:dyDescent="0.2">
      <c r="A233" s="1">
        <f t="shared" si="7"/>
        <v>0</v>
      </c>
      <c r="B233" s="1586" t="s">
        <v>2202</v>
      </c>
      <c r="C233" s="1585">
        <v>3580</v>
      </c>
      <c r="D233" s="2"/>
      <c r="E233" s="280"/>
      <c r="F233" s="3"/>
      <c r="Z233" s="28">
        <f>IF(A233=1,SUM($A$6:$A233),0)</f>
      </c>
    </row>
    <row r="234" spans="1:80" x14ac:dyDescent="0.2">
      <c r="A234" s="1">
        <f t="shared" si="7"/>
        <v>0</v>
      </c>
      <c r="B234" s="1584" t="s">
        <v>6155</v>
      </c>
      <c r="C234" s="1585">
        <v>3600</v>
      </c>
      <c r="D234" s="2"/>
      <c r="E234" s="280"/>
      <c r="F234" s="3"/>
      <c r="Z234" s="28">
        <f>IF(A234=1,SUM($A$6:$A234),0)</f>
      </c>
    </row>
    <row r="235" spans="1:80" x14ac:dyDescent="0.2">
      <c r="A235" s="1">
        <f t="shared" si="7"/>
        <v>0</v>
      </c>
      <c r="B235" s="1586" t="s">
        <v>6156</v>
      </c>
      <c r="C235" s="1585">
        <v>3601</v>
      </c>
      <c r="D235" s="2"/>
      <c r="E235" s="280"/>
      <c r="F235" s="3"/>
      <c r="Z235" s="28">
        <f>IF(A235=1,SUM($A$6:$A235),0)</f>
      </c>
    </row>
    <row r="236" spans="1:80" x14ac:dyDescent="0.2">
      <c r="A236" s="1">
        <f t="shared" si="7"/>
        <v>0</v>
      </c>
      <c r="B236" s="1586" t="s">
        <v>6157</v>
      </c>
      <c r="C236" s="1585">
        <v>3602</v>
      </c>
      <c r="D236" s="2"/>
      <c r="E236" s="280"/>
      <c r="F236" s="3"/>
      <c r="Z236" s="28">
        <f>IF(A236=1,SUM($A$6:$A236),0)</f>
      </c>
    </row>
    <row r="237" spans="1:80" x14ac:dyDescent="0.2">
      <c r="A237" s="1">
        <f t="shared" si="7"/>
        <v>0</v>
      </c>
      <c r="B237" s="1586" t="s">
        <v>6158</v>
      </c>
      <c r="C237" s="1585">
        <v>3603</v>
      </c>
      <c r="D237" s="2"/>
      <c r="E237" s="280"/>
      <c r="F237" s="3"/>
      <c r="Z237" s="28">
        <f>IF(A237=1,SUM($A$6:$A237),0)</f>
      </c>
    </row>
    <row r="238" spans="1:80" x14ac:dyDescent="0.2">
      <c r="A238" s="1">
        <f t="shared" si="7"/>
        <v>0</v>
      </c>
      <c r="B238" s="1586" t="s">
        <v>6159</v>
      </c>
      <c r="C238" s="1585">
        <v>3604</v>
      </c>
      <c r="D238" s="2"/>
      <c r="E238" s="280"/>
      <c r="F238" s="3"/>
      <c r="Z238" s="28">
        <f>IF(A238=1,SUM($A$6:$A238),0)</f>
      </c>
    </row>
    <row r="239" spans="1:80" x14ac:dyDescent="0.2">
      <c r="A239" s="1">
        <v>1</v>
      </c>
      <c r="B239" s="1587" t="s">
        <v>6160</v>
      </c>
      <c r="C239" s="1588">
        <v>3798</v>
      </c>
      <c r="D239" s="2"/>
      <c r="E239" s="282">
        <f>SUM(E218:E238)</f>
      </c>
      <c r="F239" s="3"/>
      <c r="Y239" s="28">
        <v>1</v>
      </c>
      <c r="Z239" s="28">
        <f>IF(A239=1,SUM($A$6:$A239),0)</f>
      </c>
      <c r="CA239" s="142">
        <v>1</v>
      </c>
    </row>
    <row r="240" spans="1:80" x14ac:dyDescent="0.2">
      <c r="A240" s="1">
        <v>1</v>
      </c>
      <c r="B240" s="1598" t="s">
        <v>6161</v>
      </c>
      <c r="C240" s="1595">
        <v>3799</v>
      </c>
      <c r="D240" s="283" t="str">
        <f>IF(tr=1,"",IF(ISBLANK(E240),man,IF(E240&lt;&gt;E241,"Check!","")))</f>
        <v/>
      </c>
      <c r="E240" s="280">
        <f>E241</f>
      </c>
      <c r="F240" s="283"/>
      <c r="G240" s="28">
        <f>IF(D240="",0,1)</f>
      </c>
      <c r="H240" s="44">
        <f>SUM(I240:J240)</f>
      </c>
      <c r="I240" s="32">
        <f>IF(E240&gt;0,E240,0)</f>
      </c>
      <c r="J240" s="32">
        <f>IF(E240&lt;0,E240,0)</f>
      </c>
      <c r="K240" s="44"/>
      <c r="L240" s="32"/>
      <c r="M240" s="32"/>
      <c r="Y240" s="28">
        <v>1</v>
      </c>
      <c r="Z240" s="28">
        <f>IF(A240=1,SUM($A$6:$A240),0)</f>
      </c>
      <c r="CA240" s="142">
        <v>1</v>
      </c>
      <c r="CB240" s="142">
        <v>1</v>
      </c>
    </row>
    <row r="241" spans="1:79" x14ac:dyDescent="0.2">
      <c r="A241" s="1">
        <v>0</v>
      </c>
      <c r="B241" s="1599"/>
      <c r="C241" s="1597"/>
      <c r="D241" s="2"/>
      <c r="E241" s="284">
        <f>SUM(E239,E217)</f>
      </c>
      <c r="F241" s="283"/>
      <c r="H241" s="44"/>
      <c r="I241" s="32"/>
      <c r="J241" s="32"/>
      <c r="K241" s="44"/>
      <c r="L241" s="32"/>
      <c r="M241" s="32"/>
      <c r="Z241" s="28">
        <f>IF(A241=1,SUM($A$6:$A241),0)</f>
      </c>
    </row>
    <row r="242" spans="1:79" x14ac:dyDescent="0.2">
      <c r="A242" s="1">
        <f t="shared" si="7"/>
        <v>0</v>
      </c>
      <c r="B242" s="1589" t="s">
        <v>6162</v>
      </c>
      <c r="C242" s="1585">
        <v>3800</v>
      </c>
      <c r="D242" s="2"/>
      <c r="E242" s="280"/>
      <c r="F242" s="3"/>
      <c r="H242" s="28">
        <f>IF(H240&gt;0,H240,H240*-1)</f>
      </c>
      <c r="Z242" s="28">
        <f>IF(A242=1,SUM($A$6:$A242),0)</f>
      </c>
    </row>
    <row r="243" spans="1:79" x14ac:dyDescent="0.2">
      <c r="A243" s="1">
        <f t="shared" si="7"/>
        <v>1</v>
      </c>
      <c r="B243" s="1591" t="s">
        <v>6107</v>
      </c>
      <c r="C243" s="1585">
        <v>3801</v>
      </c>
      <c r="D243" s="2"/>
      <c r="E243" s="280"/>
      <c r="F243" s="3"/>
      <c r="Z243" s="28">
        <f>IF(A243=1,SUM($A$6:$A243),0)</f>
      </c>
    </row>
    <row r="244" spans="1:79" x14ac:dyDescent="0.2">
      <c r="A244" s="1">
        <f t="shared" si="7"/>
        <v>0</v>
      </c>
      <c r="B244" s="1591" t="s">
        <v>3239</v>
      </c>
      <c r="C244" s="1585">
        <v>3802</v>
      </c>
      <c r="D244" s="2"/>
      <c r="E244" s="280"/>
      <c r="F244" s="3"/>
      <c r="Z244" s="28">
        <f>IF(A244=1,SUM($A$6:$A244),0)</f>
      </c>
    </row>
    <row r="245" spans="1:79" x14ac:dyDescent="0.2">
      <c r="A245" s="1">
        <f t="shared" si="7"/>
        <v>0</v>
      </c>
      <c r="B245" s="1591" t="s">
        <v>3240</v>
      </c>
      <c r="C245" s="1585">
        <v>3803</v>
      </c>
      <c r="D245" s="2"/>
      <c r="E245" s="280"/>
      <c r="F245" s="3"/>
      <c r="Z245" s="28">
        <f>IF(A245=1,SUM($A$6:$A245),0)</f>
      </c>
    </row>
    <row r="246" spans="1:79" x14ac:dyDescent="0.2">
      <c r="A246" s="1">
        <f t="shared" si="7"/>
        <v>0</v>
      </c>
      <c r="B246" s="1591" t="s">
        <v>3241</v>
      </c>
      <c r="C246" s="1585">
        <v>3804</v>
      </c>
      <c r="D246" s="2"/>
      <c r="E246" s="280"/>
      <c r="F246" s="3"/>
      <c r="Z246" s="28">
        <f>IF(A246=1,SUM($A$6:$A246),0)</f>
      </c>
    </row>
    <row r="247" spans="1:79" x14ac:dyDescent="0.2">
      <c r="A247" s="1">
        <f t="shared" si="7"/>
        <v>0</v>
      </c>
      <c r="B247" s="1591" t="s">
        <v>6596</v>
      </c>
      <c r="C247" s="1585">
        <v>3805</v>
      </c>
      <c r="D247" s="2"/>
      <c r="E247" s="280"/>
      <c r="F247" s="3"/>
      <c r="Z247" s="28">
        <f>IF(A247=1,SUM($A$6:$A247),0)</f>
      </c>
    </row>
    <row r="248" spans="1:79" x14ac:dyDescent="0.2">
      <c r="A248" s="1">
        <f t="shared" si="7"/>
        <v>0</v>
      </c>
      <c r="B248" s="1591" t="s">
        <v>4253</v>
      </c>
      <c r="C248" s="1585">
        <v>3806</v>
      </c>
      <c r="D248" s="2"/>
      <c r="E248" s="280"/>
      <c r="F248" s="3"/>
      <c r="Z248" s="28">
        <f>IF(A248=1,SUM($A$6:$A248),0)</f>
      </c>
    </row>
    <row r="249" spans="1:79" x14ac:dyDescent="0.2">
      <c r="A249" s="1">
        <f t="shared" si="7"/>
        <v>0</v>
      </c>
      <c r="B249" s="1591" t="s">
        <v>4254</v>
      </c>
      <c r="C249" s="1585">
        <v>3807</v>
      </c>
      <c r="D249" s="2"/>
      <c r="E249" s="280"/>
      <c r="F249" s="3"/>
      <c r="Z249" s="28">
        <f>IF(A249=1,SUM($A$6:$A249),0)</f>
      </c>
    </row>
    <row r="250" spans="1:79" x14ac:dyDescent="0.2">
      <c r="A250" s="1">
        <f t="shared" si="7"/>
        <v>0</v>
      </c>
      <c r="B250" s="1591" t="s">
        <v>9970</v>
      </c>
      <c r="C250" s="1585">
        <v>3808</v>
      </c>
      <c r="D250" s="2"/>
      <c r="E250" s="280"/>
      <c r="F250" s="3"/>
      <c r="Z250" s="28">
        <f>IF(A250=1,SUM($A$6:$A250),0)</f>
      </c>
    </row>
    <row r="251" spans="1:79" x14ac:dyDescent="0.2">
      <c r="A251" s="1">
        <v>1</v>
      </c>
      <c r="B251" s="1593" t="s">
        <v>3952</v>
      </c>
      <c r="C251" s="1588">
        <v>3890</v>
      </c>
      <c r="D251" s="2"/>
      <c r="E251" s="282">
        <f>SUM(E242:E250)</f>
      </c>
      <c r="F251" s="3"/>
      <c r="Y251" s="28">
        <v>1</v>
      </c>
      <c r="Z251" s="28">
        <f>IF(A251=1,SUM($A$6:$A251),0)</f>
      </c>
      <c r="CA251" s="142">
        <v>1</v>
      </c>
    </row>
    <row r="252" spans="1:79" x14ac:dyDescent="0.2">
      <c r="A252" s="1">
        <f t="shared" si="7"/>
        <v>0</v>
      </c>
      <c r="B252" s="1584" t="s">
        <v>3953</v>
      </c>
      <c r="C252" s="1585">
        <v>3900</v>
      </c>
      <c r="D252" s="2"/>
      <c r="E252" s="280"/>
      <c r="F252" s="3"/>
      <c r="Z252" s="28">
        <f>IF(A252=1,SUM($A$6:$A252),0)</f>
      </c>
    </row>
    <row r="253" spans="1:79" x14ac:dyDescent="0.2">
      <c r="A253" s="1">
        <f t="shared" si="7"/>
        <v>0</v>
      </c>
      <c r="B253" s="1586" t="s">
        <v>3954</v>
      </c>
      <c r="C253" s="1585">
        <v>3901</v>
      </c>
      <c r="D253" s="2"/>
      <c r="E253" s="280"/>
      <c r="F253" s="3"/>
      <c r="Z253" s="28">
        <f>IF(A253=1,SUM($A$6:$A253),0)</f>
      </c>
    </row>
    <row r="254" spans="1:79" x14ac:dyDescent="0.2">
      <c r="A254" s="1">
        <f t="shared" si="7"/>
        <v>0</v>
      </c>
      <c r="B254" s="1586" t="s">
        <v>2373</v>
      </c>
      <c r="C254" s="1585">
        <v>3902</v>
      </c>
      <c r="D254" s="2"/>
      <c r="E254" s="280"/>
      <c r="F254" s="3"/>
      <c r="Z254" s="28">
        <f>IF(A254=1,SUM($A$6:$A254),0)</f>
      </c>
    </row>
    <row r="255" spans="1:79" x14ac:dyDescent="0.2">
      <c r="A255" s="1">
        <f t="shared" si="7"/>
        <v>0</v>
      </c>
      <c r="B255" s="1591" t="s">
        <v>3825</v>
      </c>
      <c r="C255" s="1585">
        <v>3903</v>
      </c>
      <c r="D255" s="2"/>
      <c r="E255" s="280"/>
      <c r="F255" s="3"/>
      <c r="Z255" s="28">
        <f>IF(A255=1,SUM($A$6:$A255),0)</f>
      </c>
    </row>
    <row r="256" spans="1:79" x14ac:dyDescent="0.2">
      <c r="A256" s="1">
        <f t="shared" si="7"/>
        <v>0</v>
      </c>
      <c r="B256" s="1591" t="s">
        <v>3762</v>
      </c>
      <c r="C256" s="1585">
        <v>3904</v>
      </c>
      <c r="D256" s="2"/>
      <c r="E256" s="280"/>
      <c r="F256" s="3"/>
      <c r="Z256" s="28">
        <f>IF(A256=1,SUM($A$6:$A256),0)</f>
      </c>
    </row>
    <row r="257" spans="1:80" x14ac:dyDescent="0.2">
      <c r="A257" s="1">
        <f t="shared" si="7"/>
        <v>1</v>
      </c>
      <c r="B257" s="1589" t="s">
        <v>3763</v>
      </c>
      <c r="C257" s="1585">
        <v>3905</v>
      </c>
      <c r="D257" s="2"/>
      <c r="E257" s="280"/>
      <c r="F257" s="3"/>
      <c r="Z257" s="28">
        <f>IF(A257=1,SUM($A$6:$A257),0)</f>
      </c>
    </row>
    <row r="258" spans="1:80" x14ac:dyDescent="0.2">
      <c r="A258" s="1">
        <f t="shared" si="7"/>
        <v>1</v>
      </c>
      <c r="B258" s="1589" t="s">
        <v>5605</v>
      </c>
      <c r="C258" s="1585">
        <v>3906</v>
      </c>
      <c r="D258" s="2"/>
      <c r="E258" s="280"/>
      <c r="F258" s="3"/>
      <c r="Z258" s="28">
        <f>IF(A258=1,SUM($A$6:$A258),0)</f>
      </c>
    </row>
    <row r="259" spans="1:80" x14ac:dyDescent="0.2">
      <c r="A259" s="1">
        <f t="shared" si="7"/>
        <v>0</v>
      </c>
      <c r="B259" s="1591" t="s">
        <v>9971</v>
      </c>
      <c r="C259" s="1585">
        <v>3907</v>
      </c>
      <c r="D259" s="2"/>
      <c r="E259" s="280"/>
      <c r="F259" s="3"/>
      <c r="H259" s="84">
        <f>SUM(E252:E259)</f>
      </c>
      <c r="Z259" s="28">
        <f>IF(A259=1,SUM($A$6:$A259),0)</f>
      </c>
    </row>
    <row r="260" spans="1:80" x14ac:dyDescent="0.2">
      <c r="A260" s="1">
        <v>1</v>
      </c>
      <c r="B260" s="1600" t="s">
        <v>5606</v>
      </c>
      <c r="C260" s="1588">
        <v>3950</v>
      </c>
      <c r="D260" s="2"/>
      <c r="E260" s="285">
        <f>H259</f>
      </c>
      <c r="F260" s="3"/>
      <c r="H260" s="28">
        <f>H259*-1</f>
      </c>
      <c r="Y260" s="28">
        <v>1</v>
      </c>
      <c r="Z260" s="28">
        <f>IF(A260=1,SUM($A$6:$A260),0)</f>
      </c>
      <c r="CA260" s="142">
        <v>1</v>
      </c>
    </row>
    <row r="261" spans="1:80" x14ac:dyDescent="0.2">
      <c r="A261" s="1">
        <v>1</v>
      </c>
      <c r="B261" s="1601" t="s">
        <v>850</v>
      </c>
      <c r="C261" s="1602">
        <v>3998</v>
      </c>
      <c r="D261" s="283" t="str">
        <f>IF(tr=1,"",IF(ISBLANK(E261),man,IF(E261&lt;&gt;E262,"Check!","")))</f>
        <v/>
      </c>
      <c r="E261" s="280">
        <f>E262</f>
      </c>
      <c r="F261" s="283"/>
      <c r="G261" s="28">
        <f>IF(D261="",0,1)</f>
      </c>
      <c r="H261" s="44">
        <f>SUM(I261:J261)</f>
      </c>
      <c r="I261" s="32">
        <f>IF(E261&gt;0,E261,0)</f>
      </c>
      <c r="J261" s="32">
        <f>IF(E261&lt;0,E261,0)</f>
      </c>
      <c r="K261" s="44"/>
      <c r="L261" s="32"/>
      <c r="M261" s="32"/>
      <c r="Y261" s="28">
        <v>1</v>
      </c>
      <c r="Z261" s="28">
        <f>IF(A261=1,SUM($A$6:$A261),0)</f>
      </c>
      <c r="CA261" s="142">
        <v>1</v>
      </c>
      <c r="CB261" s="142">
        <v>1</v>
      </c>
    </row>
    <row r="262" spans="1:80" x14ac:dyDescent="0.2">
      <c r="A262" s="1">
        <v>0</v>
      </c>
      <c r="B262" s="1599"/>
      <c r="C262" s="1597"/>
      <c r="D262" s="2"/>
      <c r="E262" s="284">
        <f>SUM(E260,E251)</f>
      </c>
      <c r="F262" s="283"/>
      <c r="H262" s="44"/>
      <c r="I262" s="32"/>
      <c r="J262" s="32"/>
      <c r="K262" s="44"/>
      <c r="L262" s="32"/>
      <c r="M262" s="32"/>
      <c r="Z262" s="28">
        <f>IF(A262=1,SUM($A$6:$A262),0)</f>
      </c>
    </row>
    <row r="263" spans="1:80" x14ac:dyDescent="0.2">
      <c r="A263" s="1">
        <v>1</v>
      </c>
      <c r="B263" s="1603" t="s">
        <v>4665</v>
      </c>
      <c r="C263" s="1604">
        <v>3999</v>
      </c>
      <c r="D263" s="2"/>
      <c r="E263" s="282">
        <f>E262+E241</f>
      </c>
      <c r="F263" s="3"/>
      <c r="H263" s="28">
        <f>IF(H261&gt;0,H261,H261*-1)</f>
      </c>
      <c r="Y263" s="28">
        <v>1</v>
      </c>
      <c r="Z263" s="28">
        <f>IF(A263=1,SUM($A$6:$A263),0)</f>
      </c>
      <c r="CA263" s="142">
        <v>1</v>
      </c>
    </row>
    <row r="264" spans="1:80" x14ac:dyDescent="0.2">
      <c r="A264" s="1">
        <v>0</v>
      </c>
      <c r="C264" s="40"/>
      <c r="D264" s="40"/>
    </row>
    <row r="265" spans="1:80" x14ac:dyDescent="0.2">
      <c r="A265" s="1">
        <v>0</v>
      </c>
      <c r="C265" s="1605"/>
      <c r="D265" s="40"/>
    </row>
    <row r="266" spans="1:80" x14ac:dyDescent="0.2">
      <c r="A266" s="1">
        <v>1</v>
      </c>
      <c r="B266" s="28" t="s">
        <v>4666</v>
      </c>
      <c r="C266" s="1606"/>
      <c r="D266" s="1606"/>
      <c r="E266" s="173"/>
      <c r="G266" s="28">
        <f>SUM(G261,G240,G174,H99)</f>
      </c>
    </row>
    <row r="267" spans="1:80" x14ac:dyDescent="0.2">
      <c r="A267" s="1">
        <v>1</v>
      </c>
      <c r="B267" s="4389" t="s">
        <v>1564</v>
      </c>
      <c r="C267" s="4389"/>
      <c r="D267" s="286" t="str">
        <f>IF(G266=0,"Yes","No")</f>
      </c>
      <c r="E267" s="173"/>
    </row>
    <row r="268" spans="1:80" x14ac:dyDescent="0.2">
      <c r="A268" s="1">
        <v>1</v>
      </c>
      <c r="B268" s="4389" t="s">
        <v>4667</v>
      </c>
      <c r="C268" s="4389"/>
      <c r="D268" s="1606"/>
      <c r="E268" s="286" t="str">
        <f>IF(G268=0,"Yes","No")</f>
      </c>
      <c r="G268" s="84">
        <f>IF(tr=1,0,E175+(E241+E262))</f>
      </c>
      <c r="I268" s="84"/>
    </row>
    <row r="269" spans="1:80" x14ac:dyDescent="0.2">
      <c r="A269" s="1">
        <v>1</v>
      </c>
      <c r="B269" s="4389" t="s">
        <v>2561</v>
      </c>
      <c r="C269" s="4389"/>
      <c r="E269" s="286" t="str">
        <f>IF(G4=1,"No","Yes")</f>
      </c>
    </row>
    <row r="270" spans="1:80" x14ac:dyDescent="0.2">
      <c r="A270" s="1518"/>
      <c r="C270" s="40"/>
      <c r="D270" s="40"/>
      <c r="G270" s="84">
        <f>G266+G268+G4</f>
      </c>
    </row>
    <row r="271" spans="1:80" x14ac:dyDescent="0.2">
      <c r="A271" s="1518"/>
      <c r="C271" s="40"/>
      <c r="D271" s="40"/>
    </row>
    <row r="272" spans="1:80" x14ac:dyDescent="0.2">
      <c r="A272" s="1518"/>
      <c r="C272" s="1336"/>
      <c r="D272" s="1336"/>
      <c r="E272" s="1336"/>
      <c r="F272" s="1336"/>
      <c r="G272" s="30">
        <f>IF(AND('p2'!G22="y",tr=0),0,IF(G270&lt;&gt;0,100,1))</f>
      </c>
    </row>
    <row r="273" spans="1:4" x14ac:dyDescent="0.2">
      <c r="A273" s="1518"/>
      <c r="C273" s="40"/>
      <c r="D273" s="40"/>
    </row>
    <row r="275" spans="1:4" ht="12.75" customHeight="1" x14ac:dyDescent="0.2"/>
  </sheetData>
  <sheetProtection algorithmName="SHA-512" hashValue="c5uXKnX+mloXmc0+O/7mUcKa+yE2Ai8V20fZBzA71KYTlGEkjaOGsEfgoixpnkTDHU9X366Is4pT6/j85bqh0g==" saltValue="woGBSfyIRuJkhXgkFkXdbQ==" spinCount="100000" sheet="1" objects="1" scenarios="1"/>
  <customSheetViews>
    <customSheetView guid="{99B5278F-6EA9-4B1A-8623-27A4DF4AD5E4}" showGridLines="0" hiddenRows="1" hiddenColumns="1">
      <selection activeCell="C4" sqref="C4"/>
      <pageMargins left="0.13" right="0.14000000000000001" top="0.38" bottom="0.97" header="0.19" footer="0.51181102362204722"/>
      <printOptions horizontalCentered="1"/>
      <pageSetup paperSize="9" orientation="portrait" horizontalDpi="300" verticalDpi="300" r:id="rId1"/>
      <headerFooter alignWithMargins="0">
        <oddHeader>&amp;LIRD - Malta&amp;R&amp;P</oddHeader>
        <oddFooter>&amp;LName &amp;CSignature&amp;RDate</oddFooter>
      </headerFooter>
    </customSheetView>
  </customSheetViews>
  <mergeCells count="3">
    <mergeCell ref="B267:C267"/>
    <mergeCell ref="B268:C268"/>
    <mergeCell ref="B269:C269"/>
  </mergeCells>
  <phoneticPr fontId="0" type="noConversion"/>
  <conditionalFormatting sqref="B268:C268">
    <cfRule type="expression" dxfId="957" priority="2" stopIfTrue="1">
      <formula>G268&lt;&gt;0</formula>
    </cfRule>
    <cfRule type="expression" dxfId="956" priority="3" stopIfTrue="1">
      <formula>+I268&lt;&gt;0</formula>
    </cfRule>
  </conditionalFormatting>
  <conditionalFormatting sqref="B269:C269 E269">
    <cfRule type="expression" dxfId="955" priority="6" stopIfTrue="1">
      <formula>$G4&lt;&gt;0</formula>
    </cfRule>
  </conditionalFormatting>
  <conditionalFormatting sqref="B267:D267">
    <cfRule type="expression" dxfId="954" priority="1" stopIfTrue="1">
      <formula>$G266&lt;&gt;0</formula>
    </cfRule>
  </conditionalFormatting>
  <conditionalFormatting sqref="E268">
    <cfRule type="expression" dxfId="953" priority="4" stopIfTrue="1">
      <formula>G268&lt;&gt;0</formula>
    </cfRule>
  </conditionalFormatting>
  <dataValidations count="2">
    <dataValidation type="list" allowBlank="1" showInputMessage="1" showErrorMessage="1" errorTitle="Choose Day from Dropdown list! " sqref="C4" xr:uid="{00000000-0002-0000-0300-000000000000}">
      <formula1>$AL$5:$AL$36</formula1>
    </dataValidation>
    <dataValidation type="list" allowBlank="1" showInputMessage="1" showErrorMessage="1" errorTitle="Choose Month from Dropdown list!" sqref="D4" xr:uid="{00000000-0002-0000-0300-000001000000}">
      <formula1>$AM$5:$AM$17</formula1>
    </dataValidation>
  </dataValidations>
  <hyperlinks>
    <hyperlink ref="B1" location="Index!A1" display="Index!A1" xr:uid="{00000000-0004-0000-0300-000000000000}"/>
  </hyperlinks>
  <printOptions horizontalCentered="1"/>
  <pageMargins left="0.11811023622047245" right="0.15748031496062992" top="0.39370078740157483" bottom="0.98425196850393704" header="0.19685039370078741" footer="0.51181102362204722"/>
  <pageSetup paperSize="9" orientation="portrait" r:id="rId2"/>
  <headerFooter alignWithMargins="0">
    <oddHeader>&amp;LIRD - Malta&amp;R&amp;P</oddHeader>
    <oddFooter>&amp;LName &amp;CSignature&amp;RDate</oddFooter>
  </headerFooter>
  <ignoredErrors>
    <ignoredError sqref="F7 F9 F11 F13 F19 F21 F23 F25 F27 F30 F32 F34 F36 F38 F40 F42 F44 F46 F48 F50 F52 F54 F56 F58 F60 F62 F64 F66 F68 F70 F72 F75 F77 F79 F81 F83 F85 F87 F89 F91 F93 F95 F9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3"/>
  <dimension ref="A1:G265"/>
  <sheetViews>
    <sheetView topLeftCell="A11" workbookViewId="0">
      <selection activeCell="B40" sqref="B40"/>
    </sheetView>
  </sheetViews>
  <sheetFormatPr defaultColWidth="0" defaultRowHeight="12.75" zeroHeight="1" x14ac:dyDescent="0.2"/>
  <cols>
    <col min="1" max="1" width="9.28515625" customWidth="1"/>
    <col min="2" max="2" width="62.28515625" customWidth="1"/>
    <col min="3" max="6" width="9.28515625" customWidth="1"/>
    <col min="7" max="16384" width="9.28515625" hidden="1"/>
  </cols>
  <sheetData>
    <row r="1" spans="1:7" x14ac:dyDescent="0.2">
      <c r="A1" s="3"/>
      <c r="B1" s="3"/>
      <c r="C1" s="3"/>
      <c r="D1" s="3"/>
      <c r="E1" s="3"/>
      <c r="F1" s="3"/>
    </row>
    <row r="2" spans="1:7" x14ac:dyDescent="0.2">
      <c r="A2" s="3"/>
      <c r="B2" s="3"/>
      <c r="C2" s="3"/>
      <c r="D2" s="3"/>
      <c r="E2" s="3"/>
      <c r="F2" s="3"/>
    </row>
    <row r="3" spans="1:7" x14ac:dyDescent="0.2">
      <c r="A3" s="3"/>
      <c r="B3" s="3"/>
      <c r="C3" s="3"/>
      <c r="D3" s="3"/>
      <c r="E3" s="3"/>
      <c r="F3" s="3"/>
    </row>
    <row r="4" spans="1:7" ht="15" x14ac:dyDescent="0.2">
      <c r="A4" s="3"/>
      <c r="B4" s="1969" t="str">
        <f>B_Sheet!B4</f>
        <v xml:space="preserve">Balance Sheet as at </v>
      </c>
      <c r="C4" s="1968" t="str">
        <f>B_Sheet!C4&amp;" "&amp;B_Sheet!D4&amp;" "&amp;B_Sheet!E4</f>
      </c>
      <c r="D4" s="1968"/>
      <c r="E4" s="3"/>
      <c r="F4" s="3"/>
    </row>
    <row r="5" spans="1:7" ht="15" x14ac:dyDescent="0.2">
      <c r="A5" s="3"/>
      <c r="B5" s="1968" t="s">
        <v>2307</v>
      </c>
      <c r="C5" s="1968" t="s">
        <v>1005</v>
      </c>
      <c r="D5" s="1968" t="s">
        <v>7333</v>
      </c>
      <c r="E5" s="3"/>
      <c r="F5" s="3"/>
    </row>
    <row r="6" spans="1:7" x14ac:dyDescent="0.2">
      <c r="A6" s="3"/>
      <c r="B6" s="1962" t="str">
        <f>IF(ROW() -5&lt;= MAX(B_Sheet!$Z$6:$Z$263),INDEX(B_Sheet!$B$6:$Z$263,MATCH(ROW()-5,B_Sheet!$Z$6:$Z$263,0),1),"")</f>
      </c>
      <c r="C6" s="1962">
        <f>IF(ROW() -5&lt;= MAX(B_Sheet!$Z$6:$Z$263),INDEX(B_Sheet!$B$6:$Z$263,MATCH(ROW()-5,B_Sheet!$Z$6:$Z$263,0),2),"")</f>
      </c>
      <c r="D6" s="1962">
        <f>IF(ROW() -5&lt;= MAX(B_Sheet!$Z$6:$Z$263),INDEX(B_Sheet!$B$6:$Z$263,MATCH(ROW()-5,B_Sheet!$Z$6:$Z$263,0),4),"")</f>
      </c>
      <c r="E6" s="3"/>
      <c r="F6" s="3"/>
      <c r="G6">
        <f>IF(ROW()-5&lt;=MAX(B_Sheet!$Z$6:$Z$263),INDEX(B_Sheet!$B$6:$Z$263,MATCH(ROW()-5,B_Sheet!$Z$6:$Z$263,0),24),"")</f>
      </c>
    </row>
    <row r="7" spans="1:7" x14ac:dyDescent="0.2">
      <c r="A7" s="3"/>
      <c r="B7" s="1962" t="str">
        <f>IF(ROW() -5&lt;= MAX(B_Sheet!$Z$6:$Z$263),INDEX(B_Sheet!$B$6:$Z$263,MATCH(ROW()-5,B_Sheet!$Z$6:$Z$263,0),1),"")</f>
      </c>
      <c r="C7" s="1962">
        <f>IF(ROW() -5&lt;= MAX(B_Sheet!$Z$6:$Z$263),INDEX(B_Sheet!$B$6:$Z$263,MATCH(ROW()-5,B_Sheet!$Z$6:$Z$263,0),2),"")</f>
      </c>
      <c r="D7" s="1962">
        <f>IF(ROW() -5&lt;= MAX(B_Sheet!$Z$6:$Z$263),INDEX(B_Sheet!$B$6:$Z$263,MATCH(ROW()-5,B_Sheet!$Z$6:$Z$263,0),4),"")</f>
      </c>
      <c r="E7" s="3"/>
      <c r="F7" s="3"/>
      <c r="G7">
        <f>IF(ROW()-5&lt;=MAX(B_Sheet!$Z$6:$Z$263),INDEX(B_Sheet!$B$6:$Z$263,MATCH(ROW()-5,B_Sheet!$Z$6:$Z$263,0),24),"")</f>
      </c>
    </row>
    <row r="8" spans="1:7" x14ac:dyDescent="0.2">
      <c r="A8" s="3"/>
      <c r="B8" s="1962" t="str">
        <f>IF(ROW() -5&lt;= MAX(B_Sheet!$Z$6:$Z$263),INDEX(B_Sheet!$B$6:$Z$263,MATCH(ROW()-5,B_Sheet!$Z$6:$Z$263,0),1),"")</f>
      </c>
      <c r="C8" s="1962">
        <f>IF(ROW() -5&lt;= MAX(B_Sheet!$Z$6:$Z$263),INDEX(B_Sheet!$B$6:$Z$263,MATCH(ROW()-5,B_Sheet!$Z$6:$Z$263,0),2),"")</f>
      </c>
      <c r="D8" s="1962">
        <f>IF(ROW() -5&lt;= MAX(B_Sheet!$Z$6:$Z$263),INDEX(B_Sheet!$B$6:$Z$263,MATCH(ROW()-5,B_Sheet!$Z$6:$Z$263,0),4),"")</f>
      </c>
      <c r="E8" s="3"/>
      <c r="F8" s="3"/>
      <c r="G8">
        <f>IF(ROW()-5&lt;=MAX(B_Sheet!$Z$6:$Z$263),INDEX(B_Sheet!$B$6:$Z$263,MATCH(ROW()-5,B_Sheet!$Z$6:$Z$263,0),24),"")</f>
      </c>
    </row>
    <row r="9" spans="1:7" x14ac:dyDescent="0.2">
      <c r="A9" s="3"/>
      <c r="B9" s="1962" t="str">
        <f>IF(ROW() -5&lt;= MAX(B_Sheet!$Z$6:$Z$263),INDEX(B_Sheet!$B$6:$Z$263,MATCH(ROW()-5,B_Sheet!$Z$6:$Z$263,0),1),"")</f>
      </c>
      <c r="C9" s="1962">
        <f>IF(ROW() -5&lt;= MAX(B_Sheet!$Z$6:$Z$263),INDEX(B_Sheet!$B$6:$Z$263,MATCH(ROW()-5,B_Sheet!$Z$6:$Z$263,0),2),"")</f>
      </c>
      <c r="D9" s="1962">
        <f>IF(ROW() -5&lt;= MAX(B_Sheet!$Z$6:$Z$263),INDEX(B_Sheet!$B$6:$Z$263,MATCH(ROW()-5,B_Sheet!$Z$6:$Z$263,0),4),"")</f>
      </c>
      <c r="E9" s="3"/>
      <c r="F9" s="3"/>
      <c r="G9">
        <f>IF(ROW()-5&lt;=MAX(B_Sheet!$Z$6:$Z$263),INDEX(B_Sheet!$B$6:$Z$263,MATCH(ROW()-5,B_Sheet!$Z$6:$Z$263,0),24),"")</f>
      </c>
    </row>
    <row r="10" spans="1:7" x14ac:dyDescent="0.2">
      <c r="A10" s="3"/>
      <c r="B10" s="1962" t="str">
        <f>IF(ROW() -5&lt;= MAX(B_Sheet!$Z$6:$Z$263),INDEX(B_Sheet!$B$6:$Z$263,MATCH(ROW()-5,B_Sheet!$Z$6:$Z$263,0),1),"")</f>
      </c>
      <c r="C10" s="1962">
        <f>IF(ROW() -5&lt;= MAX(B_Sheet!$Z$6:$Z$263),INDEX(B_Sheet!$B$6:$Z$263,MATCH(ROW()-5,B_Sheet!$Z$6:$Z$263,0),2),"")</f>
      </c>
      <c r="D10" s="1962">
        <f>IF(ROW() -5&lt;= MAX(B_Sheet!$Z$6:$Z$263),INDEX(B_Sheet!$B$6:$Z$263,MATCH(ROW()-5,B_Sheet!$Z$6:$Z$263,0),4),"")</f>
      </c>
      <c r="E10" s="3"/>
      <c r="F10" s="3"/>
      <c r="G10">
        <f>IF(ROW()-5&lt;=MAX(B_Sheet!$Z$6:$Z$263),INDEX(B_Sheet!$B$6:$Z$263,MATCH(ROW()-5,B_Sheet!$Z$6:$Z$263,0),24),"")</f>
      </c>
    </row>
    <row r="11" spans="1:7" x14ac:dyDescent="0.2">
      <c r="A11" s="3"/>
      <c r="B11" s="1962" t="str">
        <f>IF(ROW() -5&lt;= MAX(B_Sheet!$Z$6:$Z$263),INDEX(B_Sheet!$B$6:$Z$263,MATCH(ROW()-5,B_Sheet!$Z$6:$Z$263,0),1),"")</f>
      </c>
      <c r="C11" s="1962">
        <f>IF(ROW() -5&lt;= MAX(B_Sheet!$Z$6:$Z$263),INDEX(B_Sheet!$B$6:$Z$263,MATCH(ROW()-5,B_Sheet!$Z$6:$Z$263,0),2),"")</f>
      </c>
      <c r="D11" s="1962">
        <f>IF(ROW() -5&lt;= MAX(B_Sheet!$Z$6:$Z$263),INDEX(B_Sheet!$B$6:$Z$263,MATCH(ROW()-5,B_Sheet!$Z$6:$Z$263,0),4),"")</f>
      </c>
      <c r="E11" s="3"/>
      <c r="F11" s="3"/>
      <c r="G11">
        <f>IF(ROW()-5&lt;=MAX(B_Sheet!$Z$6:$Z$263),INDEX(B_Sheet!$B$6:$Z$263,MATCH(ROW()-5,B_Sheet!$Z$6:$Z$263,0),24),"")</f>
      </c>
    </row>
    <row r="12" spans="1:7" x14ac:dyDescent="0.2">
      <c r="A12" s="3"/>
      <c r="B12" s="1962" t="str">
        <f>IF(ROW() -5&lt;= MAX(B_Sheet!$Z$6:$Z$263),INDEX(B_Sheet!$B$6:$Z$263,MATCH(ROW()-5,B_Sheet!$Z$6:$Z$263,0),1),"")</f>
      </c>
      <c r="C12" s="1962">
        <f>IF(ROW() -5&lt;= MAX(B_Sheet!$Z$6:$Z$263),INDEX(B_Sheet!$B$6:$Z$263,MATCH(ROW()-5,B_Sheet!$Z$6:$Z$263,0),2),"")</f>
      </c>
      <c r="D12" s="1962">
        <f>IF(ROW() -5&lt;= MAX(B_Sheet!$Z$6:$Z$263),INDEX(B_Sheet!$B$6:$Z$263,MATCH(ROW()-5,B_Sheet!$Z$6:$Z$263,0),4),"")</f>
      </c>
      <c r="E12" s="3"/>
      <c r="F12" s="3"/>
      <c r="G12">
        <f>IF(ROW()-5&lt;=MAX(B_Sheet!$Z$6:$Z$263),INDEX(B_Sheet!$B$6:$Z$263,MATCH(ROW()-5,B_Sheet!$Z$6:$Z$263,0),24),"")</f>
      </c>
    </row>
    <row r="13" spans="1:7" x14ac:dyDescent="0.2">
      <c r="A13" s="3"/>
      <c r="B13" s="1962" t="str">
        <f>IF(ROW() -5&lt;= MAX(B_Sheet!$Z$6:$Z$263),INDEX(B_Sheet!$B$6:$Z$263,MATCH(ROW()-5,B_Sheet!$Z$6:$Z$263,0),1),"")</f>
      </c>
      <c r="C13" s="1962">
        <f>IF(ROW() -5&lt;= MAX(B_Sheet!$Z$6:$Z$263),INDEX(B_Sheet!$B$6:$Z$263,MATCH(ROW()-5,B_Sheet!$Z$6:$Z$263,0),2),"")</f>
      </c>
      <c r="D13" s="1962">
        <f>IF(ROW() -5&lt;= MAX(B_Sheet!$Z$6:$Z$263),INDEX(B_Sheet!$B$6:$Z$263,MATCH(ROW()-5,B_Sheet!$Z$6:$Z$263,0),4),"")</f>
      </c>
      <c r="E13" s="3"/>
      <c r="F13" s="3"/>
      <c r="G13">
        <f>IF(ROW()-5&lt;=MAX(B_Sheet!$Z$6:$Z$263),INDEX(B_Sheet!$B$6:$Z$263,MATCH(ROW()-5,B_Sheet!$Z$6:$Z$263,0),24),"")</f>
      </c>
    </row>
    <row r="14" spans="1:7" x14ac:dyDescent="0.2">
      <c r="A14" s="3"/>
      <c r="B14" s="1962" t="str">
        <f>IF(ROW() -5&lt;= MAX(B_Sheet!$Z$6:$Z$263),INDEX(B_Sheet!$B$6:$Z$263,MATCH(ROW()-5,B_Sheet!$Z$6:$Z$263,0),1),"")</f>
      </c>
      <c r="C14" s="1962">
        <f>IF(ROW() -5&lt;= MAX(B_Sheet!$Z$6:$Z$263),INDEX(B_Sheet!$B$6:$Z$263,MATCH(ROW()-5,B_Sheet!$Z$6:$Z$263,0),2),"")</f>
      </c>
      <c r="D14" s="1962">
        <f>IF(ROW() -5&lt;= MAX(B_Sheet!$Z$6:$Z$263),INDEX(B_Sheet!$B$6:$Z$263,MATCH(ROW()-5,B_Sheet!$Z$6:$Z$263,0),4),"")</f>
      </c>
      <c r="E14" s="3"/>
      <c r="F14" s="3"/>
      <c r="G14">
        <f>IF(ROW()-5&lt;=MAX(B_Sheet!$Z$6:$Z$263),INDEX(B_Sheet!$B$6:$Z$263,MATCH(ROW()-5,B_Sheet!$Z$6:$Z$263,0),24),"")</f>
      </c>
    </row>
    <row r="15" spans="1:7" x14ac:dyDescent="0.2">
      <c r="A15" s="3"/>
      <c r="B15" s="1962" t="str">
        <f>IF(ROW() -5&lt;= MAX(B_Sheet!$Z$6:$Z$263),INDEX(B_Sheet!$B$6:$Z$263,MATCH(ROW()-5,B_Sheet!$Z$6:$Z$263,0),1),"")</f>
      </c>
      <c r="C15" s="1962">
        <f>IF(ROW() -5&lt;= MAX(B_Sheet!$Z$6:$Z$263),INDEX(B_Sheet!$B$6:$Z$263,MATCH(ROW()-5,B_Sheet!$Z$6:$Z$263,0),2),"")</f>
      </c>
      <c r="D15" s="1962">
        <f>IF(ROW() -5&lt;= MAX(B_Sheet!$Z$6:$Z$263),INDEX(B_Sheet!$B$6:$Z$263,MATCH(ROW()-5,B_Sheet!$Z$6:$Z$263,0),4),"")</f>
      </c>
      <c r="E15" s="3"/>
      <c r="F15" s="3"/>
      <c r="G15">
        <f>IF(ROW()-5&lt;=MAX(B_Sheet!$Z$6:$Z$263),INDEX(B_Sheet!$B$6:$Z$263,MATCH(ROW()-5,B_Sheet!$Z$6:$Z$263,0),24),"")</f>
      </c>
    </row>
    <row r="16" spans="1:7" x14ac:dyDescent="0.2">
      <c r="A16" s="3"/>
      <c r="B16" s="1962" t="str">
        <f>IF(ROW() -5&lt;= MAX(B_Sheet!$Z$6:$Z$263),INDEX(B_Sheet!$B$6:$Z$263,MATCH(ROW()-5,B_Sheet!$Z$6:$Z$263,0),1),"")</f>
      </c>
      <c r="C16" s="1962">
        <f>IF(ROW() -5&lt;= MAX(B_Sheet!$Z$6:$Z$263),INDEX(B_Sheet!$B$6:$Z$263,MATCH(ROW()-5,B_Sheet!$Z$6:$Z$263,0),2),"")</f>
      </c>
      <c r="D16" s="1962">
        <f>IF(ROW() -5&lt;= MAX(B_Sheet!$Z$6:$Z$263),INDEX(B_Sheet!$B$6:$Z$263,MATCH(ROW()-5,B_Sheet!$Z$6:$Z$263,0),4),"")</f>
      </c>
      <c r="E16" s="3"/>
      <c r="F16" s="3"/>
      <c r="G16">
        <f>IF(ROW()-5&lt;=MAX(B_Sheet!$Z$6:$Z$263),INDEX(B_Sheet!$B$6:$Z$263,MATCH(ROW()-5,B_Sheet!$Z$6:$Z$263,0),24),"")</f>
      </c>
    </row>
    <row r="17" spans="1:7" x14ac:dyDescent="0.2">
      <c r="A17" s="3"/>
      <c r="B17" s="1962" t="str">
        <f>IF(ROW() -5&lt;= MAX(B_Sheet!$Z$6:$Z$263),INDEX(B_Sheet!$B$6:$Z$263,MATCH(ROW()-5,B_Sheet!$Z$6:$Z$263,0),1),"")</f>
      </c>
      <c r="C17" s="1962">
        <f>IF(ROW() -5&lt;= MAX(B_Sheet!$Z$6:$Z$263),INDEX(B_Sheet!$B$6:$Z$263,MATCH(ROW()-5,B_Sheet!$Z$6:$Z$263,0),2),"")</f>
      </c>
      <c r="D17" s="1962">
        <f>IF(ROW() -5&lt;= MAX(B_Sheet!$Z$6:$Z$263),INDEX(B_Sheet!$B$6:$Z$263,MATCH(ROW()-5,B_Sheet!$Z$6:$Z$263,0),4),"")</f>
      </c>
      <c r="E17" s="3"/>
      <c r="F17" s="3"/>
      <c r="G17">
        <f>IF(ROW()-5&lt;=MAX(B_Sheet!$Z$6:$Z$263),INDEX(B_Sheet!$B$6:$Z$263,MATCH(ROW()-5,B_Sheet!$Z$6:$Z$263,0),24),"")</f>
      </c>
    </row>
    <row r="18" spans="1:7" x14ac:dyDescent="0.2">
      <c r="A18" s="3"/>
      <c r="B18" s="1962" t="str">
        <f>IF(ROW() -5&lt;= MAX(B_Sheet!$Z$6:$Z$263),INDEX(B_Sheet!$B$6:$Z$263,MATCH(ROW()-5,B_Sheet!$Z$6:$Z$263,0),1),"")</f>
      </c>
      <c r="C18" s="1962">
        <f>IF(ROW() -5&lt;= MAX(B_Sheet!$Z$6:$Z$263),INDEX(B_Sheet!$B$6:$Z$263,MATCH(ROW()-5,B_Sheet!$Z$6:$Z$263,0),2),"")</f>
      </c>
      <c r="D18" s="1962">
        <f>IF(ROW() -5&lt;= MAX(B_Sheet!$Z$6:$Z$263),INDEX(B_Sheet!$B$6:$Z$263,MATCH(ROW()-5,B_Sheet!$Z$6:$Z$263,0),4),"")</f>
      </c>
      <c r="E18" s="3"/>
      <c r="F18" s="3"/>
      <c r="G18">
        <f>IF(ROW()-5&lt;=MAX(B_Sheet!$Z$6:$Z$263),INDEX(B_Sheet!$B$6:$Z$263,MATCH(ROW()-5,B_Sheet!$Z$6:$Z$263,0),24),"")</f>
      </c>
    </row>
    <row r="19" spans="1:7" x14ac:dyDescent="0.2">
      <c r="A19" s="3"/>
      <c r="B19" s="1962" t="str">
        <f>IF(ROW() -5&lt;= MAX(B_Sheet!$Z$6:$Z$263),INDEX(B_Sheet!$B$6:$Z$263,MATCH(ROW()-5,B_Sheet!$Z$6:$Z$263,0),1),"")</f>
      </c>
      <c r="C19" s="1962">
        <f>IF(ROW() -5&lt;= MAX(B_Sheet!$Z$6:$Z$263),INDEX(B_Sheet!$B$6:$Z$263,MATCH(ROW()-5,B_Sheet!$Z$6:$Z$263,0),2),"")</f>
      </c>
      <c r="D19" s="1962">
        <f>IF(ROW() -5&lt;= MAX(B_Sheet!$Z$6:$Z$263),INDEX(B_Sheet!$B$6:$Z$263,MATCH(ROW()-5,B_Sheet!$Z$6:$Z$263,0),4),"")</f>
      </c>
      <c r="E19" s="3"/>
      <c r="F19" s="3"/>
      <c r="G19">
        <f>IF(ROW()-5&lt;=MAX(B_Sheet!$Z$6:$Z$263),INDEX(B_Sheet!$B$6:$Z$263,MATCH(ROW()-5,B_Sheet!$Z$6:$Z$263,0),24),"")</f>
      </c>
    </row>
    <row r="20" spans="1:7" x14ac:dyDescent="0.2">
      <c r="A20" s="3"/>
      <c r="B20" s="1962" t="str">
        <f>IF(ROW() -5&lt;= MAX(B_Sheet!$Z$6:$Z$263),INDEX(B_Sheet!$B$6:$Z$263,MATCH(ROW()-5,B_Sheet!$Z$6:$Z$263,0),1),"")</f>
      </c>
      <c r="C20" s="1962">
        <f>IF(ROW() -5&lt;= MAX(B_Sheet!$Z$6:$Z$263),INDEX(B_Sheet!$B$6:$Z$263,MATCH(ROW()-5,B_Sheet!$Z$6:$Z$263,0),2),"")</f>
      </c>
      <c r="D20" s="1962">
        <f>IF(ROW() -5&lt;= MAX(B_Sheet!$Z$6:$Z$263),INDEX(B_Sheet!$B$6:$Z$263,MATCH(ROW()-5,B_Sheet!$Z$6:$Z$263,0),4),"")</f>
      </c>
      <c r="E20" s="3"/>
      <c r="F20" s="3"/>
      <c r="G20">
        <f>IF(ROW()-5&lt;=MAX(B_Sheet!$Z$6:$Z$263),INDEX(B_Sheet!$B$6:$Z$263,MATCH(ROW()-5,B_Sheet!$Z$6:$Z$263,0),24),"")</f>
      </c>
    </row>
    <row r="21" spans="1:7" x14ac:dyDescent="0.2">
      <c r="A21" s="3"/>
      <c r="B21" s="1962" t="str">
        <f>IF(ROW() -5&lt;= MAX(B_Sheet!$Z$6:$Z$263),INDEX(B_Sheet!$B$6:$Z$263,MATCH(ROW()-5,B_Sheet!$Z$6:$Z$263,0),1),"")</f>
      </c>
      <c r="C21" s="1962">
        <f>IF(ROW() -5&lt;= MAX(B_Sheet!$Z$6:$Z$263),INDEX(B_Sheet!$B$6:$Z$263,MATCH(ROW()-5,B_Sheet!$Z$6:$Z$263,0),2),"")</f>
      </c>
      <c r="D21" s="1962">
        <f>IF(ROW() -5&lt;= MAX(B_Sheet!$Z$6:$Z$263),INDEX(B_Sheet!$B$6:$Z$263,MATCH(ROW()-5,B_Sheet!$Z$6:$Z$263,0),4),"")</f>
      </c>
      <c r="E21" s="3"/>
      <c r="F21" s="3"/>
      <c r="G21">
        <f>IF(ROW()-5&lt;=MAX(B_Sheet!$Z$6:$Z$263),INDEX(B_Sheet!$B$6:$Z$263,MATCH(ROW()-5,B_Sheet!$Z$6:$Z$263,0),24),"")</f>
      </c>
    </row>
    <row r="22" spans="1:7" x14ac:dyDescent="0.2">
      <c r="A22" s="3"/>
      <c r="B22" s="1962" t="str">
        <f>IF(ROW() -5&lt;= MAX(B_Sheet!$Z$6:$Z$263),INDEX(B_Sheet!$B$6:$Z$263,MATCH(ROW()-5,B_Sheet!$Z$6:$Z$263,0),1),"")</f>
      </c>
      <c r="C22" s="1962">
        <f>IF(ROW() -5&lt;= MAX(B_Sheet!$Z$6:$Z$263),INDEX(B_Sheet!$B$6:$Z$263,MATCH(ROW()-5,B_Sheet!$Z$6:$Z$263,0),2),"")</f>
      </c>
      <c r="D22" s="1962">
        <f>IF(ROW() -5&lt;= MAX(B_Sheet!$Z$6:$Z$263),INDEX(B_Sheet!$B$6:$Z$263,MATCH(ROW()-5,B_Sheet!$Z$6:$Z$263,0),4),"")</f>
      </c>
      <c r="E22" s="3"/>
      <c r="F22" s="3"/>
      <c r="G22">
        <f>IF(ROW()-5&lt;=MAX(B_Sheet!$Z$6:$Z$263),INDEX(B_Sheet!$B$6:$Z$263,MATCH(ROW()-5,B_Sheet!$Z$6:$Z$263,0),24),"")</f>
      </c>
    </row>
    <row r="23" spans="1:7" x14ac:dyDescent="0.2">
      <c r="A23" s="3"/>
      <c r="B23" s="1962" t="str">
        <f>IF(ROW() -5&lt;= MAX(B_Sheet!$Z$6:$Z$263),INDEX(B_Sheet!$B$6:$Z$263,MATCH(ROW()-5,B_Sheet!$Z$6:$Z$263,0),1),"")</f>
        <v xml:space="preserve">Prepaid expenses, advances, tender deposits, etc.. </v>
      </c>
      <c r="C23" s="1962">
        <f>IF(ROW() -5&lt;= MAX(B_Sheet!$Z$6:$Z$263),INDEX(B_Sheet!$B$6:$Z$263,MATCH(ROW()-5,B_Sheet!$Z$6:$Z$263,0),2),"")</f>
      </c>
      <c r="D23" s="1962">
        <f>IF(ROW() -5&lt;= MAX(B_Sheet!$Z$6:$Z$263),INDEX(B_Sheet!$B$6:$Z$263,MATCH(ROW()-5,B_Sheet!$Z$6:$Z$263,0),4),"")</f>
      </c>
      <c r="E23" s="3"/>
      <c r="F23" s="3"/>
      <c r="G23">
        <f>IF(ROW()-5&lt;=MAX(B_Sheet!$Z$6:$Z$263),INDEX(B_Sheet!$B$6:$Z$263,MATCH(ROW()-5,B_Sheet!$Z$6:$Z$263,0),24),"")</f>
      </c>
    </row>
    <row r="24" spans="1:7" x14ac:dyDescent="0.2">
      <c r="A24" s="3"/>
      <c r="B24" s="1962" t="str">
        <f>IF(ROW() -5&lt;= MAX(B_Sheet!$Z$6:$Z$263),INDEX(B_Sheet!$B$6:$Z$263,MATCH(ROW()-5,B_Sheet!$Z$6:$Z$263,0),1),"")</f>
      </c>
      <c r="C24" s="1962">
        <f>IF(ROW() -5&lt;= MAX(B_Sheet!$Z$6:$Z$263),INDEX(B_Sheet!$B$6:$Z$263,MATCH(ROW()-5,B_Sheet!$Z$6:$Z$263,0),2),"")</f>
      </c>
      <c r="D24" s="1962">
        <f>IF(ROW() -5&lt;= MAX(B_Sheet!$Z$6:$Z$263),INDEX(B_Sheet!$B$6:$Z$263,MATCH(ROW()-5,B_Sheet!$Z$6:$Z$263,0),4),"")</f>
      </c>
      <c r="E24" s="3"/>
      <c r="F24" s="3"/>
      <c r="G24">
        <f>IF(ROW()-5&lt;=MAX(B_Sheet!$Z$6:$Z$263),INDEX(B_Sheet!$B$6:$Z$263,MATCH(ROW()-5,B_Sheet!$Z$6:$Z$263,0),24),"")</f>
      </c>
    </row>
    <row r="25" spans="1:7" x14ac:dyDescent="0.2">
      <c r="A25" s="3"/>
      <c r="B25" s="1962" t="str">
        <f>IF(ROW() -5&lt;= MAX(B_Sheet!$Z$6:$Z$263),INDEX(B_Sheet!$B$6:$Z$263,MATCH(ROW()-5,B_Sheet!$Z$6:$Z$263,0),1),"")</f>
      </c>
      <c r="C25" s="1962">
        <f>IF(ROW() -5&lt;= MAX(B_Sheet!$Z$6:$Z$263),INDEX(B_Sheet!$B$6:$Z$263,MATCH(ROW()-5,B_Sheet!$Z$6:$Z$263,0),2),"")</f>
      </c>
      <c r="D25" s="1962">
        <f>IF(ROW() -5&lt;= MAX(B_Sheet!$Z$6:$Z$263),INDEX(B_Sheet!$B$6:$Z$263,MATCH(ROW()-5,B_Sheet!$Z$6:$Z$263,0),4),"")</f>
      </c>
      <c r="E25" s="3"/>
      <c r="F25" s="3"/>
      <c r="G25">
        <f>IF(ROW()-5&lt;=MAX(B_Sheet!$Z$6:$Z$263),INDEX(B_Sheet!$B$6:$Z$263,MATCH(ROW()-5,B_Sheet!$Z$6:$Z$263,0),24),"")</f>
      </c>
    </row>
    <row r="26" spans="1:7" x14ac:dyDescent="0.2">
      <c r="A26" s="3"/>
      <c r="B26" s="1962" t="str">
        <f>IF(ROW() -5&lt;= MAX(B_Sheet!$Z$6:$Z$263),INDEX(B_Sheet!$B$6:$Z$263,MATCH(ROW()-5,B_Sheet!$Z$6:$Z$263,0),1),"")</f>
      </c>
      <c r="C26" s="1962">
        <f>IF(ROW() -5&lt;= MAX(B_Sheet!$Z$6:$Z$263),INDEX(B_Sheet!$B$6:$Z$263,MATCH(ROW()-5,B_Sheet!$Z$6:$Z$263,0),2),"")</f>
      </c>
      <c r="D26" s="1962">
        <f>IF(ROW() -5&lt;= MAX(B_Sheet!$Z$6:$Z$263),INDEX(B_Sheet!$B$6:$Z$263,MATCH(ROW()-5,B_Sheet!$Z$6:$Z$263,0),4),"")</f>
      </c>
      <c r="E26" s="3"/>
      <c r="F26" s="3"/>
      <c r="G26">
        <f>IF(ROW()-5&lt;=MAX(B_Sheet!$Z$6:$Z$263),INDEX(B_Sheet!$B$6:$Z$263,MATCH(ROW()-5,B_Sheet!$Z$6:$Z$263,0),24),"")</f>
      </c>
    </row>
    <row r="27" spans="1:7" x14ac:dyDescent="0.2">
      <c r="A27" s="3"/>
      <c r="B27" s="1962" t="str">
        <f>IF(ROW() -5&lt;= MAX(B_Sheet!$Z$6:$Z$263),INDEX(B_Sheet!$B$6:$Z$263,MATCH(ROW()-5,B_Sheet!$Z$6:$Z$263,0),1),"")</f>
      </c>
      <c r="C27" s="1962">
        <f>IF(ROW() -5&lt;= MAX(B_Sheet!$Z$6:$Z$263),INDEX(B_Sheet!$B$6:$Z$263,MATCH(ROW()-5,B_Sheet!$Z$6:$Z$263,0),2),"")</f>
      </c>
      <c r="D27" s="1962">
        <f>IF(ROW() -5&lt;= MAX(B_Sheet!$Z$6:$Z$263),INDEX(B_Sheet!$B$6:$Z$263,MATCH(ROW()-5,B_Sheet!$Z$6:$Z$263,0),4),"")</f>
      </c>
      <c r="E27" s="3"/>
      <c r="F27" s="3"/>
      <c r="G27">
        <f>IF(ROW()-5&lt;=MAX(B_Sheet!$Z$6:$Z$263),INDEX(B_Sheet!$B$6:$Z$263,MATCH(ROW()-5,B_Sheet!$Z$6:$Z$263,0),24),"")</f>
      </c>
    </row>
    <row r="28" spans="1:7" x14ac:dyDescent="0.2">
      <c r="A28" s="3"/>
      <c r="B28" s="1962" t="str">
        <f>IF(ROW() -5&lt;= MAX(B_Sheet!$Z$6:$Z$263),INDEX(B_Sheet!$B$6:$Z$263,MATCH(ROW()-5,B_Sheet!$Z$6:$Z$263,0),1),"")</f>
      </c>
      <c r="C28" s="1962">
        <f>IF(ROW() -5&lt;= MAX(B_Sheet!$Z$6:$Z$263),INDEX(B_Sheet!$B$6:$Z$263,MATCH(ROW()-5,B_Sheet!$Z$6:$Z$263,0),2),"")</f>
      </c>
      <c r="D28" s="1962">
        <f>IF(ROW() -5&lt;= MAX(B_Sheet!$Z$6:$Z$263),INDEX(B_Sheet!$B$6:$Z$263,MATCH(ROW()-5,B_Sheet!$Z$6:$Z$263,0),4),"")</f>
      </c>
      <c r="E28" s="3"/>
      <c r="F28" s="3"/>
      <c r="G28">
        <f>IF(ROW()-5&lt;=MAX(B_Sheet!$Z$6:$Z$263),INDEX(B_Sheet!$B$6:$Z$263,MATCH(ROW()-5,B_Sheet!$Z$6:$Z$263,0),24),"")</f>
      </c>
    </row>
    <row r="29" spans="1:7" x14ac:dyDescent="0.2">
      <c r="A29" s="3"/>
      <c r="B29" s="1962" t="str">
        <f>IF(ROW() -5&lt;= MAX(B_Sheet!$Z$6:$Z$263),INDEX(B_Sheet!$B$6:$Z$263,MATCH(ROW()-5,B_Sheet!$Z$6:$Z$263,0),1),"")</f>
      </c>
      <c r="C29" s="1962">
        <f>IF(ROW() -5&lt;= MAX(B_Sheet!$Z$6:$Z$263),INDEX(B_Sheet!$B$6:$Z$263,MATCH(ROW()-5,B_Sheet!$Z$6:$Z$263,0),2),"")</f>
      </c>
      <c r="D29" s="1962">
        <f>IF(ROW() -5&lt;= MAX(B_Sheet!$Z$6:$Z$263),INDEX(B_Sheet!$B$6:$Z$263,MATCH(ROW()-5,B_Sheet!$Z$6:$Z$263,0),4),"")</f>
      </c>
      <c r="E29" s="3"/>
      <c r="F29" s="3"/>
      <c r="G29">
        <f>IF(ROW()-5&lt;=MAX(B_Sheet!$Z$6:$Z$263),INDEX(B_Sheet!$B$6:$Z$263,MATCH(ROW()-5,B_Sheet!$Z$6:$Z$263,0),24),"")</f>
      </c>
    </row>
    <row r="30" spans="1:7" x14ac:dyDescent="0.2">
      <c r="A30" s="3"/>
      <c r="B30" s="1962" t="str">
        <f>IF(ROW() -5&lt;= MAX(B_Sheet!$Z$6:$Z$263),INDEX(B_Sheet!$B$6:$Z$263,MATCH(ROW()-5,B_Sheet!$Z$6:$Z$263,0),1),"")</f>
      </c>
      <c r="C30" s="1962">
        <f>IF(ROW() -5&lt;= MAX(B_Sheet!$Z$6:$Z$263),INDEX(B_Sheet!$B$6:$Z$263,MATCH(ROW()-5,B_Sheet!$Z$6:$Z$263,0),2),"")</f>
      </c>
      <c r="D30" s="1962">
        <f>IF(ROW() -5&lt;= MAX(B_Sheet!$Z$6:$Z$263),INDEX(B_Sheet!$B$6:$Z$263,MATCH(ROW()-5,B_Sheet!$Z$6:$Z$263,0),4),"")</f>
      </c>
      <c r="E30" s="3"/>
      <c r="F30" s="3"/>
      <c r="G30">
        <f>IF(ROW()-5&lt;=MAX(B_Sheet!$Z$6:$Z$263),INDEX(B_Sheet!$B$6:$Z$263,MATCH(ROW()-5,B_Sheet!$Z$6:$Z$263,0),24),"")</f>
      </c>
    </row>
    <row r="31" spans="1:7" x14ac:dyDescent="0.2">
      <c r="A31" s="3"/>
      <c r="B31" s="1962" t="str">
        <f>IF(ROW() -5&lt;= MAX(B_Sheet!$Z$6:$Z$263),INDEX(B_Sheet!$B$6:$Z$263,MATCH(ROW()-5,B_Sheet!$Z$6:$Z$263,0),1),"")</f>
      </c>
      <c r="C31" s="1962">
        <f>IF(ROW() -5&lt;= MAX(B_Sheet!$Z$6:$Z$263),INDEX(B_Sheet!$B$6:$Z$263,MATCH(ROW()-5,B_Sheet!$Z$6:$Z$263,0),2),"")</f>
      </c>
      <c r="D31" s="1962">
        <f>IF(ROW() -5&lt;= MAX(B_Sheet!$Z$6:$Z$263),INDEX(B_Sheet!$B$6:$Z$263,MATCH(ROW()-5,B_Sheet!$Z$6:$Z$263,0),4),"")</f>
      </c>
      <c r="E31" s="3"/>
      <c r="F31" s="3"/>
      <c r="G31">
        <f>IF(ROW()-5&lt;=MAX(B_Sheet!$Z$6:$Z$263),INDEX(B_Sheet!$B$6:$Z$263,MATCH(ROW()-5,B_Sheet!$Z$6:$Z$263,0),24),"")</f>
      </c>
    </row>
    <row r="32" spans="1:7" x14ac:dyDescent="0.2">
      <c r="A32" s="3"/>
      <c r="B32" s="1962" t="str">
        <f>IF(ROW() -5&lt;= MAX(B_Sheet!$Z$6:$Z$263),INDEX(B_Sheet!$B$6:$Z$263,MATCH(ROW()-5,B_Sheet!$Z$6:$Z$263,0),1),"")</f>
      </c>
      <c r="C32" s="1962">
        <f>IF(ROW() -5&lt;= MAX(B_Sheet!$Z$6:$Z$263),INDEX(B_Sheet!$B$6:$Z$263,MATCH(ROW()-5,B_Sheet!$Z$6:$Z$263,0),2),"")</f>
      </c>
      <c r="D32" s="1962">
        <f>IF(ROW() -5&lt;= MAX(B_Sheet!$Z$6:$Z$263),INDEX(B_Sheet!$B$6:$Z$263,MATCH(ROW()-5,B_Sheet!$Z$6:$Z$263,0),4),"")</f>
      </c>
      <c r="E32" s="3"/>
      <c r="F32" s="3"/>
      <c r="G32">
        <f>IF(ROW()-5&lt;=MAX(B_Sheet!$Z$6:$Z$263),INDEX(B_Sheet!$B$6:$Z$263,MATCH(ROW()-5,B_Sheet!$Z$6:$Z$263,0),24),"")</f>
      </c>
    </row>
    <row r="33" spans="1:7" x14ac:dyDescent="0.2">
      <c r="A33" s="3"/>
      <c r="B33" s="1962" t="str">
        <f>IF(ROW() -5&lt;= MAX(B_Sheet!$Z$6:$Z$263),INDEX(B_Sheet!$B$6:$Z$263,MATCH(ROW()-5,B_Sheet!$Z$6:$Z$263,0),1),"")</f>
      </c>
      <c r="C33" s="1962">
        <f>IF(ROW() -5&lt;= MAX(B_Sheet!$Z$6:$Z$263),INDEX(B_Sheet!$B$6:$Z$263,MATCH(ROW()-5,B_Sheet!$Z$6:$Z$263,0),2),"")</f>
      </c>
      <c r="D33" s="1962">
        <f>IF(ROW() -5&lt;= MAX(B_Sheet!$Z$6:$Z$263),INDEX(B_Sheet!$B$6:$Z$263,MATCH(ROW()-5,B_Sheet!$Z$6:$Z$263,0),4),"")</f>
      </c>
      <c r="E33" s="3"/>
      <c r="F33" s="3"/>
      <c r="G33">
        <f>IF(ROW()-5&lt;=MAX(B_Sheet!$Z$6:$Z$263),INDEX(B_Sheet!$B$6:$Z$263,MATCH(ROW()-5,B_Sheet!$Z$6:$Z$263,0),24),"")</f>
      </c>
    </row>
    <row r="34" spans="1:7" x14ac:dyDescent="0.2">
      <c r="A34" s="3"/>
      <c r="B34" s="1962" t="str">
        <f>IF(ROW() -5&lt;= MAX(B_Sheet!$Z$6:$Z$263),INDEX(B_Sheet!$B$6:$Z$263,MATCH(ROW()-5,B_Sheet!$Z$6:$Z$263,0),1),"")</f>
      </c>
      <c r="C34" s="1962">
        <f>IF(ROW() -5&lt;= MAX(B_Sheet!$Z$6:$Z$263),INDEX(B_Sheet!$B$6:$Z$263,MATCH(ROW()-5,B_Sheet!$Z$6:$Z$263,0),2),"")</f>
      </c>
      <c r="D34" s="1962">
        <f>IF(ROW() -5&lt;= MAX(B_Sheet!$Z$6:$Z$263),INDEX(B_Sheet!$B$6:$Z$263,MATCH(ROW()-5,B_Sheet!$Z$6:$Z$263,0),4),"")</f>
      </c>
      <c r="E34" s="3"/>
      <c r="F34" s="3"/>
      <c r="G34">
        <f>IF(ROW()-5&lt;=MAX(B_Sheet!$Z$6:$Z$263),INDEX(B_Sheet!$B$6:$Z$263,MATCH(ROW()-5,B_Sheet!$Z$6:$Z$263,0),24),"")</f>
      </c>
    </row>
    <row r="35" spans="1:7" x14ac:dyDescent="0.2">
      <c r="A35" s="3"/>
      <c r="B35" s="1962" t="str">
        <f>IF(ROW() -5&lt;= MAX(B_Sheet!$Z$6:$Z$263),INDEX(B_Sheet!$B$6:$Z$263,MATCH(ROW()-5,B_Sheet!$Z$6:$Z$263,0),1),"")</f>
      </c>
      <c r="C35" s="1962">
        <f>IF(ROW() -5&lt;= MAX(B_Sheet!$Z$6:$Z$263),INDEX(B_Sheet!$B$6:$Z$263,MATCH(ROW()-5,B_Sheet!$Z$6:$Z$263,0),2),"")</f>
      </c>
      <c r="D35" s="1962">
        <f>IF(ROW() -5&lt;= MAX(B_Sheet!$Z$6:$Z$263),INDEX(B_Sheet!$B$6:$Z$263,MATCH(ROW()-5,B_Sheet!$Z$6:$Z$263,0),4),"")</f>
      </c>
      <c r="E35" s="3"/>
      <c r="F35" s="3"/>
      <c r="G35">
        <f>IF(ROW()-5&lt;=MAX(B_Sheet!$Z$6:$Z$263),INDEX(B_Sheet!$B$6:$Z$263,MATCH(ROW()-5,B_Sheet!$Z$6:$Z$263,0),24),"")</f>
      </c>
    </row>
    <row r="36" spans="1:7" x14ac:dyDescent="0.2">
      <c r="A36" s="3"/>
      <c r="B36" s="1962" t="str">
        <f>IF(ROW() -5&lt;= MAX(B_Sheet!$Z$6:$Z$263),INDEX(B_Sheet!$B$6:$Z$263,MATCH(ROW()-5,B_Sheet!$Z$6:$Z$263,0),1),"")</f>
      </c>
      <c r="C36" s="1962">
        <f>IF(ROW() -5&lt;= MAX(B_Sheet!$Z$6:$Z$263),INDEX(B_Sheet!$B$6:$Z$263,MATCH(ROW()-5,B_Sheet!$Z$6:$Z$263,0),2),"")</f>
      </c>
      <c r="D36" s="1962">
        <f>IF(ROW() -5&lt;= MAX(B_Sheet!$Z$6:$Z$263),INDEX(B_Sheet!$B$6:$Z$263,MATCH(ROW()-5,B_Sheet!$Z$6:$Z$263,0),4),"")</f>
      </c>
      <c r="E36" s="3"/>
      <c r="F36" s="3"/>
      <c r="G36">
        <f>IF(ROW()-5&lt;=MAX(B_Sheet!$Z$6:$Z$263),INDEX(B_Sheet!$B$6:$Z$263,MATCH(ROW()-5,B_Sheet!$Z$6:$Z$263,0),24),"")</f>
      </c>
    </row>
    <row r="37" spans="1:7" x14ac:dyDescent="0.2">
      <c r="A37" s="3"/>
      <c r="B37" s="1962" t="str">
        <f>IF(ROW() -5&lt;= MAX(B_Sheet!$Z$6:$Z$263),INDEX(B_Sheet!$B$6:$Z$263,MATCH(ROW()-5,B_Sheet!$Z$6:$Z$263,0),1),"")</f>
      </c>
      <c r="C37" s="1962">
        <f>IF(ROW() -5&lt;= MAX(B_Sheet!$Z$6:$Z$263),INDEX(B_Sheet!$B$6:$Z$263,MATCH(ROW()-5,B_Sheet!$Z$6:$Z$263,0),2),"")</f>
      </c>
      <c r="D37" s="1962">
        <f>IF(ROW() -5&lt;= MAX(B_Sheet!$Z$6:$Z$263),INDEX(B_Sheet!$B$6:$Z$263,MATCH(ROW()-5,B_Sheet!$Z$6:$Z$263,0),4),"")</f>
      </c>
      <c r="E37" s="3"/>
      <c r="F37" s="3"/>
      <c r="G37">
        <f>IF(ROW()-5&lt;=MAX(B_Sheet!$Z$6:$Z$263),INDEX(B_Sheet!$B$6:$Z$263,MATCH(ROW()-5,B_Sheet!$Z$6:$Z$263,0),24),"")</f>
      </c>
    </row>
    <row r="38" spans="1:7" x14ac:dyDescent="0.2">
      <c r="A38" s="3"/>
      <c r="B38" s="1962" t="str">
        <f>IF(ROW() -5&lt;= MAX(B_Sheet!$Z$6:$Z$263),INDEX(B_Sheet!$B$6:$Z$263,MATCH(ROW()-5,B_Sheet!$Z$6:$Z$263,0),1),"")</f>
      </c>
      <c r="C38" s="1962">
        <f>IF(ROW() -5&lt;= MAX(B_Sheet!$Z$6:$Z$263),INDEX(B_Sheet!$B$6:$Z$263,MATCH(ROW()-5,B_Sheet!$Z$6:$Z$263,0),2),"")</f>
      </c>
      <c r="D38" s="1962">
        <f>IF(ROW() -5&lt;= MAX(B_Sheet!$Z$6:$Z$263),INDEX(B_Sheet!$B$6:$Z$263,MATCH(ROW()-5,B_Sheet!$Z$6:$Z$263,0),4),"")</f>
      </c>
      <c r="E38" s="3"/>
      <c r="F38" s="3"/>
      <c r="G38">
        <f>IF(ROW()-5&lt;=MAX(B_Sheet!$Z$6:$Z$263),INDEX(B_Sheet!$B$6:$Z$263,MATCH(ROW()-5,B_Sheet!$Z$6:$Z$263,0),24),"")</f>
      </c>
    </row>
    <row r="39" spans="1:7" x14ac:dyDescent="0.2">
      <c r="A39" s="3"/>
      <c r="B39" s="1962" t="str">
        <f>IF(ROW() -5&lt;= MAX(B_Sheet!$Z$6:$Z$263),INDEX(B_Sheet!$B$6:$Z$263,MATCH(ROW()-5,B_Sheet!$Z$6:$Z$263,0),1),"")</f>
      </c>
      <c r="C39" s="1962">
        <f>IF(ROW() -5&lt;= MAX(B_Sheet!$Z$6:$Z$263),INDEX(B_Sheet!$B$6:$Z$263,MATCH(ROW()-5,B_Sheet!$Z$6:$Z$263,0),2),"")</f>
      </c>
      <c r="D39" s="1962">
        <f>IF(ROW() -5&lt;= MAX(B_Sheet!$Z$6:$Z$263),INDEX(B_Sheet!$B$6:$Z$263,MATCH(ROW()-5,B_Sheet!$Z$6:$Z$263,0),4),"")</f>
      </c>
      <c r="E39" s="3"/>
      <c r="F39" s="3"/>
      <c r="G39">
        <f>IF(ROW()-5&lt;=MAX(B_Sheet!$Z$6:$Z$263),INDEX(B_Sheet!$B$6:$Z$263,MATCH(ROW()-5,B_Sheet!$Z$6:$Z$263,0),24),"")</f>
      </c>
    </row>
    <row r="40" spans="1:7" x14ac:dyDescent="0.2">
      <c r="A40" s="3"/>
      <c r="B40" s="1962" t="str">
        <f>IF(ROW() -5&lt;= MAX(B_Sheet!$Z$6:$Z$263),INDEX(B_Sheet!$B$6:$Z$263,MATCH(ROW()-5,B_Sheet!$Z$6:$Z$263,0),1),"")</f>
      </c>
      <c r="C40" s="1962">
        <f>IF(ROW() -5&lt;= MAX(B_Sheet!$Z$6:$Z$263),INDEX(B_Sheet!$B$6:$Z$263,MATCH(ROW()-5,B_Sheet!$Z$6:$Z$263,0),2),"")</f>
      </c>
      <c r="D40" s="1962">
        <f>IF(ROW() -5&lt;= MAX(B_Sheet!$Z$6:$Z$263),INDEX(B_Sheet!$B$6:$Z$263,MATCH(ROW()-5,B_Sheet!$Z$6:$Z$263,0),4),"")</f>
      </c>
      <c r="E40" s="3"/>
      <c r="F40" s="3"/>
      <c r="G40">
        <f>IF(ROW()-5&lt;=MAX(B_Sheet!$Z$6:$Z$263),INDEX(B_Sheet!$B$6:$Z$263,MATCH(ROW()-5,B_Sheet!$Z$6:$Z$263,0),24),"")</f>
      </c>
    </row>
    <row r="41" spans="1:7" x14ac:dyDescent="0.2">
      <c r="A41" s="3"/>
      <c r="B41" s="1962" t="str">
        <f>IF(ROW() -5&lt;= MAX(B_Sheet!$Z$6:$Z$263),INDEX(B_Sheet!$B$6:$Z$263,MATCH(ROW()-5,B_Sheet!$Z$6:$Z$263,0),1),"")</f>
        <v/>
      </c>
      <c r="C41" s="1962" t="str">
        <f>IF(ROW() -5&lt;= MAX(B_Sheet!$Z$6:$Z$263),INDEX(B_Sheet!$B$6:$Z$263,MATCH(ROW()-5,B_Sheet!$Z$6:$Z$263,0),2),"")</f>
        <v/>
      </c>
      <c r="D41" s="1962" t="str">
        <f>IF(ROW() -5&lt;= MAX(B_Sheet!$Z$6:$Z$263),INDEX(B_Sheet!$B$6:$Z$263,MATCH(ROW()-5,B_Sheet!$Z$6:$Z$263,0),4),"")</f>
        <v/>
      </c>
      <c r="E41" s="3"/>
      <c r="F41" s="3"/>
      <c r="G41" t="str">
        <f>IF(ROW()-5&lt;=MAX(B_Sheet!$Z$6:$Z$263),INDEX(B_Sheet!$B$6:$Z$263,MATCH(ROW()-5,B_Sheet!$Z$6:$Z$263,0),24),"")</f>
        <v/>
      </c>
    </row>
    <row r="42" spans="1:7" x14ac:dyDescent="0.2">
      <c r="A42" s="3"/>
      <c r="B42" s="1962" t="str">
        <f>IF(ROW() -5&lt;= MAX(B_Sheet!$Z$6:$Z$263),INDEX(B_Sheet!$B$6:$Z$263,MATCH(ROW()-5,B_Sheet!$Z$6:$Z$263,0),1),"")</f>
        <v/>
      </c>
      <c r="C42" s="1962" t="str">
        <f>IF(ROW() -5&lt;= MAX(B_Sheet!$Z$6:$Z$263),INDEX(B_Sheet!$B$6:$Z$263,MATCH(ROW()-5,B_Sheet!$Z$6:$Z$263,0),2),"")</f>
        <v/>
      </c>
      <c r="D42" s="1962" t="str">
        <f>IF(ROW() -5&lt;= MAX(B_Sheet!$Z$6:$Z$263),INDEX(B_Sheet!$B$6:$Z$263,MATCH(ROW()-5,B_Sheet!$Z$6:$Z$263,0),4),"")</f>
        <v/>
      </c>
      <c r="E42" s="3"/>
      <c r="F42" s="3"/>
      <c r="G42" t="str">
        <f>IF(ROW()-5&lt;=MAX(B_Sheet!$Z$6:$Z$263),INDEX(B_Sheet!$B$6:$Z$263,MATCH(ROW()-5,B_Sheet!$Z$6:$Z$263,0),24),"")</f>
        <v/>
      </c>
    </row>
    <row r="43" spans="1:7" x14ac:dyDescent="0.2">
      <c r="A43" s="3"/>
      <c r="B43" s="1962" t="str">
        <f>IF(ROW() -5&lt;= MAX(B_Sheet!$Z$6:$Z$263),INDEX(B_Sheet!$B$6:$Z$263,MATCH(ROW()-5,B_Sheet!$Z$6:$Z$263,0),1),"")</f>
        <v/>
      </c>
      <c r="C43" s="1962" t="str">
        <f>IF(ROW() -5&lt;= MAX(B_Sheet!$Z$6:$Z$263),INDEX(B_Sheet!$B$6:$Z$263,MATCH(ROW()-5,B_Sheet!$Z$6:$Z$263,0),2),"")</f>
        <v/>
      </c>
      <c r="D43" s="1962" t="str">
        <f>IF(ROW() -5&lt;= MAX(B_Sheet!$Z$6:$Z$263),INDEX(B_Sheet!$B$6:$Z$263,MATCH(ROW()-5,B_Sheet!$Z$6:$Z$263,0),4),"")</f>
        <v/>
      </c>
      <c r="E43" s="3"/>
      <c r="F43" s="3"/>
      <c r="G43" t="str">
        <f>IF(ROW()-5&lt;=MAX(B_Sheet!$Z$6:$Z$263),INDEX(B_Sheet!$B$6:$Z$263,MATCH(ROW()-5,B_Sheet!$Z$6:$Z$263,0),24),"")</f>
        <v/>
      </c>
    </row>
    <row r="44" spans="1:7" x14ac:dyDescent="0.2">
      <c r="A44" s="3"/>
      <c r="B44" s="1962" t="str">
        <f>IF(ROW() -5&lt;= MAX(B_Sheet!$Z$6:$Z$263),INDEX(B_Sheet!$B$6:$Z$263,MATCH(ROW()-5,B_Sheet!$Z$6:$Z$263,0),1),"")</f>
        <v/>
      </c>
      <c r="C44" s="1962" t="str">
        <f>IF(ROW() -5&lt;= MAX(B_Sheet!$Z$6:$Z$263),INDEX(B_Sheet!$B$6:$Z$263,MATCH(ROW()-5,B_Sheet!$Z$6:$Z$263,0),2),"")</f>
        <v/>
      </c>
      <c r="D44" s="1962" t="str">
        <f>IF(ROW() -5&lt;= MAX(B_Sheet!$Z$6:$Z$263),INDEX(B_Sheet!$B$6:$Z$263,MATCH(ROW()-5,B_Sheet!$Z$6:$Z$263,0),4),"")</f>
        <v/>
      </c>
      <c r="E44" s="3"/>
      <c r="F44" s="3"/>
      <c r="G44" t="str">
        <f>IF(ROW()-5&lt;=MAX(B_Sheet!$Z$6:$Z$263),INDEX(B_Sheet!$B$6:$Z$263,MATCH(ROW()-5,B_Sheet!$Z$6:$Z$263,0),24),"")</f>
        <v/>
      </c>
    </row>
    <row r="45" spans="1:7" x14ac:dyDescent="0.2">
      <c r="A45" s="3"/>
      <c r="B45" s="1962" t="str">
        <f>IF(ROW() -5&lt;= MAX(B_Sheet!$Z$6:$Z$263),INDEX(B_Sheet!$B$6:$Z$263,MATCH(ROW()-5,B_Sheet!$Z$6:$Z$263,0),1),"")</f>
        <v/>
      </c>
      <c r="C45" s="1962" t="str">
        <f>IF(ROW() -5&lt;= MAX(B_Sheet!$Z$6:$Z$263),INDEX(B_Sheet!$B$6:$Z$263,MATCH(ROW()-5,B_Sheet!$Z$6:$Z$263,0),2),"")</f>
        <v/>
      </c>
      <c r="D45" s="1962" t="str">
        <f>IF(ROW() -5&lt;= MAX(B_Sheet!$Z$6:$Z$263),INDEX(B_Sheet!$B$6:$Z$263,MATCH(ROW()-5,B_Sheet!$Z$6:$Z$263,0),4),"")</f>
        <v/>
      </c>
      <c r="E45" s="3"/>
      <c r="F45" s="3"/>
      <c r="G45" t="str">
        <f>IF(ROW()-5&lt;=MAX(B_Sheet!$Z$6:$Z$263),INDEX(B_Sheet!$B$6:$Z$263,MATCH(ROW()-5,B_Sheet!$Z$6:$Z$263,0),24),"")</f>
        <v/>
      </c>
    </row>
    <row r="46" spans="1:7" x14ac:dyDescent="0.2">
      <c r="A46" s="3"/>
      <c r="B46" s="1962" t="str">
        <f>IF(ROW() -5&lt;= MAX(B_Sheet!$Z$6:$Z$263),INDEX(B_Sheet!$B$6:$Z$263,MATCH(ROW()-5,B_Sheet!$Z$6:$Z$263,0),1),"")</f>
        <v/>
      </c>
      <c r="C46" s="1962" t="str">
        <f>IF(ROW() -5&lt;= MAX(B_Sheet!$Z$6:$Z$263),INDEX(B_Sheet!$B$6:$Z$263,MATCH(ROW()-5,B_Sheet!$Z$6:$Z$263,0),2),"")</f>
        <v/>
      </c>
      <c r="D46" s="1962" t="str">
        <f>IF(ROW() -5&lt;= MAX(B_Sheet!$Z$6:$Z$263),INDEX(B_Sheet!$B$6:$Z$263,MATCH(ROW()-5,B_Sheet!$Z$6:$Z$263,0),4),"")</f>
        <v/>
      </c>
      <c r="E46" s="3"/>
      <c r="F46" s="3"/>
      <c r="G46" t="str">
        <f>IF(ROW()-5&lt;=MAX(B_Sheet!$Z$6:$Z$263),INDEX(B_Sheet!$B$6:$Z$263,MATCH(ROW()-5,B_Sheet!$Z$6:$Z$263,0),24),"")</f>
        <v/>
      </c>
    </row>
    <row r="47" spans="1:7" x14ac:dyDescent="0.2">
      <c r="A47" s="3"/>
      <c r="B47" s="1962" t="str">
        <f>IF(ROW() -5&lt;= MAX(B_Sheet!$Z$6:$Z$263),INDEX(B_Sheet!$B$6:$Z$263,MATCH(ROW()-5,B_Sheet!$Z$6:$Z$263,0),1),"")</f>
        <v/>
      </c>
      <c r="C47" s="1962" t="str">
        <f>IF(ROW() -5&lt;= MAX(B_Sheet!$Z$6:$Z$263),INDEX(B_Sheet!$B$6:$Z$263,MATCH(ROW()-5,B_Sheet!$Z$6:$Z$263,0),2),"")</f>
        <v/>
      </c>
      <c r="D47" s="1962" t="str">
        <f>IF(ROW() -5&lt;= MAX(B_Sheet!$Z$6:$Z$263),INDEX(B_Sheet!$B$6:$Z$263,MATCH(ROW()-5,B_Sheet!$Z$6:$Z$263,0),4),"")</f>
        <v/>
      </c>
      <c r="E47" s="3"/>
      <c r="F47" s="3"/>
      <c r="G47" t="str">
        <f>IF(ROW()-5&lt;=MAX(B_Sheet!$Z$6:$Z$263),INDEX(B_Sheet!$B$6:$Z$263,MATCH(ROW()-5,B_Sheet!$Z$6:$Z$263,0),24),"")</f>
        <v/>
      </c>
    </row>
    <row r="48" spans="1:7" x14ac:dyDescent="0.2">
      <c r="A48" s="3"/>
      <c r="B48" s="1962" t="str">
        <f>IF(ROW() -5&lt;= MAX(B_Sheet!$Z$6:$Z$263),INDEX(B_Sheet!$B$6:$Z$263,MATCH(ROW()-5,B_Sheet!$Z$6:$Z$263,0),1),"")</f>
        <v/>
      </c>
      <c r="C48" s="1962" t="str">
        <f>IF(ROW() -5&lt;= MAX(B_Sheet!$Z$6:$Z$263),INDEX(B_Sheet!$B$6:$Z$263,MATCH(ROW()-5,B_Sheet!$Z$6:$Z$263,0),2),"")</f>
        <v/>
      </c>
      <c r="D48" s="1962" t="str">
        <f>IF(ROW() -5&lt;= MAX(B_Sheet!$Z$6:$Z$263),INDEX(B_Sheet!$B$6:$Z$263,MATCH(ROW()-5,B_Sheet!$Z$6:$Z$263,0),4),"")</f>
        <v/>
      </c>
      <c r="E48" s="3"/>
      <c r="F48" s="3"/>
      <c r="G48" t="str">
        <f>IF(ROW()-5&lt;=MAX(B_Sheet!$Z$6:$Z$263),INDEX(B_Sheet!$B$6:$Z$263,MATCH(ROW()-5,B_Sheet!$Z$6:$Z$263,0),24),"")</f>
        <v/>
      </c>
    </row>
    <row r="49" spans="1:7" x14ac:dyDescent="0.2">
      <c r="A49" s="3"/>
      <c r="B49" s="1962" t="str">
        <f>IF(ROW() -5&lt;= MAX(B_Sheet!$Z$6:$Z$263),INDEX(B_Sheet!$B$6:$Z$263,MATCH(ROW()-5,B_Sheet!$Z$6:$Z$263,0),1),"")</f>
        <v/>
      </c>
      <c r="C49" s="1962" t="str">
        <f>IF(ROW() -5&lt;= MAX(B_Sheet!$Z$6:$Z$263),INDEX(B_Sheet!$B$6:$Z$263,MATCH(ROW()-5,B_Sheet!$Z$6:$Z$263,0),2),"")</f>
        <v/>
      </c>
      <c r="D49" s="1962" t="str">
        <f>IF(ROW() -5&lt;= MAX(B_Sheet!$Z$6:$Z$263),INDEX(B_Sheet!$B$6:$Z$263,MATCH(ROW()-5,B_Sheet!$Z$6:$Z$263,0),4),"")</f>
        <v/>
      </c>
      <c r="E49" s="3"/>
      <c r="F49" s="3"/>
      <c r="G49" t="str">
        <f>IF(ROW()-5&lt;=MAX(B_Sheet!$Z$6:$Z$263),INDEX(B_Sheet!$B$6:$Z$263,MATCH(ROW()-5,B_Sheet!$Z$6:$Z$263,0),24),"")</f>
        <v/>
      </c>
    </row>
    <row r="50" spans="1:7" x14ac:dyDescent="0.2">
      <c r="A50" s="3"/>
      <c r="B50" s="1962" t="str">
        <f>IF(ROW() -5&lt;= MAX(B_Sheet!$Z$6:$Z$263),INDEX(B_Sheet!$B$6:$Z$263,MATCH(ROW()-5,B_Sheet!$Z$6:$Z$263,0),1),"")</f>
        <v/>
      </c>
      <c r="C50" s="1962" t="str">
        <f>IF(ROW() -5&lt;= MAX(B_Sheet!$Z$6:$Z$263),INDEX(B_Sheet!$B$6:$Z$263,MATCH(ROW()-5,B_Sheet!$Z$6:$Z$263,0),2),"")</f>
        <v/>
      </c>
      <c r="D50" s="1962" t="str">
        <f>IF(ROW() -5&lt;= MAX(B_Sheet!$Z$6:$Z$263),INDEX(B_Sheet!$B$6:$Z$263,MATCH(ROW()-5,B_Sheet!$Z$6:$Z$263,0),4),"")</f>
        <v/>
      </c>
      <c r="E50" s="3"/>
      <c r="F50" s="3"/>
      <c r="G50" t="str">
        <f>IF(ROW()-5&lt;=MAX(B_Sheet!$Z$6:$Z$263),INDEX(B_Sheet!$B$6:$Z$263,MATCH(ROW()-5,B_Sheet!$Z$6:$Z$263,0),24),"")</f>
        <v/>
      </c>
    </row>
    <row r="51" spans="1:7" x14ac:dyDescent="0.2">
      <c r="A51" s="3"/>
      <c r="B51" s="1962" t="str">
        <f>IF(ROW() -5&lt;= MAX(B_Sheet!$Z$6:$Z$263),INDEX(B_Sheet!$B$6:$Z$263,MATCH(ROW()-5,B_Sheet!$Z$6:$Z$263,0),1),"")</f>
        <v/>
      </c>
      <c r="C51" s="1962" t="str">
        <f>IF(ROW() -5&lt;= MAX(B_Sheet!$Z$6:$Z$263),INDEX(B_Sheet!$B$6:$Z$263,MATCH(ROW()-5,B_Sheet!$Z$6:$Z$263,0),2),"")</f>
        <v/>
      </c>
      <c r="D51" s="1962" t="str">
        <f>IF(ROW() -5&lt;= MAX(B_Sheet!$Z$6:$Z$263),INDEX(B_Sheet!$B$6:$Z$263,MATCH(ROW()-5,B_Sheet!$Z$6:$Z$263,0),4),"")</f>
        <v/>
      </c>
      <c r="E51" s="3"/>
      <c r="F51" s="3"/>
      <c r="G51" t="str">
        <f>IF(ROW()-5&lt;=MAX(B_Sheet!$Z$6:$Z$263),INDEX(B_Sheet!$B$6:$Z$263,MATCH(ROW()-5,B_Sheet!$Z$6:$Z$263,0),24),"")</f>
        <v/>
      </c>
    </row>
    <row r="52" spans="1:7" x14ac:dyDescent="0.2">
      <c r="A52" s="3"/>
      <c r="B52" s="1962" t="str">
        <f>IF(ROW() -5&lt;= MAX(B_Sheet!$Z$6:$Z$263),INDEX(B_Sheet!$B$6:$Z$263,MATCH(ROW()-5,B_Sheet!$Z$6:$Z$263,0),1),"")</f>
        <v/>
      </c>
      <c r="C52" s="1962" t="str">
        <f>IF(ROW() -5&lt;= MAX(B_Sheet!$Z$6:$Z$263),INDEX(B_Sheet!$B$6:$Z$263,MATCH(ROW()-5,B_Sheet!$Z$6:$Z$263,0),2),"")</f>
        <v/>
      </c>
      <c r="D52" s="1962" t="str">
        <f>IF(ROW() -5&lt;= MAX(B_Sheet!$Z$6:$Z$263),INDEX(B_Sheet!$B$6:$Z$263,MATCH(ROW()-5,B_Sheet!$Z$6:$Z$263,0),4),"")</f>
        <v/>
      </c>
      <c r="E52" s="3"/>
      <c r="F52" s="3"/>
      <c r="G52" t="str">
        <f>IF(ROW()-5&lt;=MAX(B_Sheet!$Z$6:$Z$263),INDEX(B_Sheet!$B$6:$Z$263,MATCH(ROW()-5,B_Sheet!$Z$6:$Z$263,0),24),"")</f>
        <v/>
      </c>
    </row>
    <row r="53" spans="1:7" x14ac:dyDescent="0.2">
      <c r="A53" s="3"/>
      <c r="B53" s="1962" t="str">
        <f>IF(ROW() -5&lt;= MAX(B_Sheet!$Z$6:$Z$263),INDEX(B_Sheet!$B$6:$Z$263,MATCH(ROW()-5,B_Sheet!$Z$6:$Z$263,0),1),"")</f>
        <v/>
      </c>
      <c r="C53" s="1962" t="str">
        <f>IF(ROW() -5&lt;= MAX(B_Sheet!$Z$6:$Z$263),INDEX(B_Sheet!$B$6:$Z$263,MATCH(ROW()-5,B_Sheet!$Z$6:$Z$263,0),2),"")</f>
        <v/>
      </c>
      <c r="D53" s="1962" t="str">
        <f>IF(ROW() -5&lt;= MAX(B_Sheet!$Z$6:$Z$263),INDEX(B_Sheet!$B$6:$Z$263,MATCH(ROW()-5,B_Sheet!$Z$6:$Z$263,0),4),"")</f>
        <v/>
      </c>
      <c r="E53" s="3"/>
      <c r="F53" s="3"/>
      <c r="G53" t="str">
        <f>IF(ROW()-5&lt;=MAX(B_Sheet!$Z$6:$Z$263),INDEX(B_Sheet!$B$6:$Z$263,MATCH(ROW()-5,B_Sheet!$Z$6:$Z$263,0),24),"")</f>
        <v/>
      </c>
    </row>
    <row r="54" spans="1:7" x14ac:dyDescent="0.2">
      <c r="A54" s="3"/>
      <c r="B54" s="1962" t="str">
        <f>IF(ROW() -5&lt;= MAX(B_Sheet!$Z$6:$Z$263),INDEX(B_Sheet!$B$6:$Z$263,MATCH(ROW()-5,B_Sheet!$Z$6:$Z$263,0),1),"")</f>
        <v/>
      </c>
      <c r="C54" s="1962" t="str">
        <f>IF(ROW() -5&lt;= MAX(B_Sheet!$Z$6:$Z$263),INDEX(B_Sheet!$B$6:$Z$263,MATCH(ROW()-5,B_Sheet!$Z$6:$Z$263,0),2),"")</f>
        <v/>
      </c>
      <c r="D54" s="1962" t="str">
        <f>IF(ROW() -5&lt;= MAX(B_Sheet!$Z$6:$Z$263),INDEX(B_Sheet!$B$6:$Z$263,MATCH(ROW()-5,B_Sheet!$Z$6:$Z$263,0),4),"")</f>
        <v/>
      </c>
      <c r="E54" s="3"/>
      <c r="F54" s="3"/>
      <c r="G54" t="str">
        <f>IF(ROW()-5&lt;=MAX(B_Sheet!$Z$6:$Z$263),INDEX(B_Sheet!$B$6:$Z$263,MATCH(ROW()-5,B_Sheet!$Z$6:$Z$263,0),24),"")</f>
        <v/>
      </c>
    </row>
    <row r="55" spans="1:7" x14ac:dyDescent="0.2">
      <c r="A55" s="3"/>
      <c r="B55" s="1962" t="str">
        <f>IF(ROW() -5&lt;= MAX(B_Sheet!$Z$6:$Z$263),INDEX(B_Sheet!$B$6:$Z$263,MATCH(ROW()-5,B_Sheet!$Z$6:$Z$263,0),1),"")</f>
        <v/>
      </c>
      <c r="C55" s="1962" t="str">
        <f>IF(ROW() -5&lt;= MAX(B_Sheet!$Z$6:$Z$263),INDEX(B_Sheet!$B$6:$Z$263,MATCH(ROW()-5,B_Sheet!$Z$6:$Z$263,0),2),"")</f>
        <v/>
      </c>
      <c r="D55" s="1962" t="str">
        <f>IF(ROW() -5&lt;= MAX(B_Sheet!$Z$6:$Z$263),INDEX(B_Sheet!$B$6:$Z$263,MATCH(ROW()-5,B_Sheet!$Z$6:$Z$263,0),4),"")</f>
        <v/>
      </c>
      <c r="E55" s="3"/>
      <c r="F55" s="3"/>
      <c r="G55" t="str">
        <f>IF(ROW()-5&lt;=MAX(B_Sheet!$Z$6:$Z$263),INDEX(B_Sheet!$B$6:$Z$263,MATCH(ROW()-5,B_Sheet!$Z$6:$Z$263,0),24),"")</f>
        <v/>
      </c>
    </row>
    <row r="56" spans="1:7" x14ac:dyDescent="0.2">
      <c r="A56" s="3"/>
      <c r="B56" s="1962" t="str">
        <f>IF(ROW() -5&lt;= MAX(B_Sheet!$Z$6:$Z$263),INDEX(B_Sheet!$B$6:$Z$263,MATCH(ROW()-5,B_Sheet!$Z$6:$Z$263,0),1),"")</f>
        <v/>
      </c>
      <c r="C56" s="1962" t="str">
        <f>IF(ROW() -5&lt;= MAX(B_Sheet!$Z$6:$Z$263),INDEX(B_Sheet!$B$6:$Z$263,MATCH(ROW()-5,B_Sheet!$Z$6:$Z$263,0),2),"")</f>
        <v/>
      </c>
      <c r="D56" s="1962" t="str">
        <f>IF(ROW() -5&lt;= MAX(B_Sheet!$Z$6:$Z$263),INDEX(B_Sheet!$B$6:$Z$263,MATCH(ROW()-5,B_Sheet!$Z$6:$Z$263,0),4),"")</f>
        <v/>
      </c>
      <c r="E56" s="3"/>
      <c r="F56" s="3"/>
      <c r="G56" t="str">
        <f>IF(ROW()-5&lt;=MAX(B_Sheet!$Z$6:$Z$263),INDEX(B_Sheet!$B$6:$Z$263,MATCH(ROW()-5,B_Sheet!$Z$6:$Z$263,0),24),"")</f>
        <v/>
      </c>
    </row>
    <row r="57" spans="1:7" x14ac:dyDescent="0.2">
      <c r="A57" s="3"/>
      <c r="B57" s="1962" t="str">
        <f>IF(ROW() -5&lt;= MAX(B_Sheet!$Z$6:$Z$263),INDEX(B_Sheet!$B$6:$Z$263,MATCH(ROW()-5,B_Sheet!$Z$6:$Z$263,0),1),"")</f>
        <v/>
      </c>
      <c r="C57" s="1962" t="str">
        <f>IF(ROW() -5&lt;= MAX(B_Sheet!$Z$6:$Z$263),INDEX(B_Sheet!$B$6:$Z$263,MATCH(ROW()-5,B_Sheet!$Z$6:$Z$263,0),2),"")</f>
        <v/>
      </c>
      <c r="D57" s="1962" t="str">
        <f>IF(ROW() -5&lt;= MAX(B_Sheet!$Z$6:$Z$263),INDEX(B_Sheet!$B$6:$Z$263,MATCH(ROW()-5,B_Sheet!$Z$6:$Z$263,0),4),"")</f>
        <v/>
      </c>
      <c r="E57" s="3"/>
      <c r="F57" s="3"/>
      <c r="G57" t="str">
        <f>IF(ROW()-5&lt;=MAX(B_Sheet!$Z$6:$Z$263),INDEX(B_Sheet!$B$6:$Z$263,MATCH(ROW()-5,B_Sheet!$Z$6:$Z$263,0),24),"")</f>
        <v/>
      </c>
    </row>
    <row r="58" spans="1:7" x14ac:dyDescent="0.2">
      <c r="A58" s="3"/>
      <c r="B58" s="1962" t="str">
        <f>IF(ROW() -5&lt;= MAX(B_Sheet!$Z$6:$Z$263),INDEX(B_Sheet!$B$6:$Z$263,MATCH(ROW()-5,B_Sheet!$Z$6:$Z$263,0),1),"")</f>
        <v/>
      </c>
      <c r="C58" s="1962" t="str">
        <f>IF(ROW() -5&lt;= MAX(B_Sheet!$Z$6:$Z$263),INDEX(B_Sheet!$B$6:$Z$263,MATCH(ROW()-5,B_Sheet!$Z$6:$Z$263,0),2),"")</f>
        <v/>
      </c>
      <c r="D58" s="1962" t="str">
        <f>IF(ROW() -5&lt;= MAX(B_Sheet!$Z$6:$Z$263),INDEX(B_Sheet!$B$6:$Z$263,MATCH(ROW()-5,B_Sheet!$Z$6:$Z$263,0),4),"")</f>
        <v/>
      </c>
      <c r="E58" s="3"/>
      <c r="F58" s="3"/>
      <c r="G58" t="str">
        <f>IF(ROW()-5&lt;=MAX(B_Sheet!$Z$6:$Z$263),INDEX(B_Sheet!$B$6:$Z$263,MATCH(ROW()-5,B_Sheet!$Z$6:$Z$263,0),24),"")</f>
        <v/>
      </c>
    </row>
    <row r="59" spans="1:7" x14ac:dyDescent="0.2">
      <c r="A59" s="3"/>
      <c r="B59" s="1962" t="str">
        <f>IF(ROW() -5&lt;= MAX(B_Sheet!$Z$6:$Z$263),INDEX(B_Sheet!$B$6:$Z$263,MATCH(ROW()-5,B_Sheet!$Z$6:$Z$263,0),1),"")</f>
        <v/>
      </c>
      <c r="C59" s="1962" t="str">
        <f>IF(ROW() -5&lt;= MAX(B_Sheet!$Z$6:$Z$263),INDEX(B_Sheet!$B$6:$Z$263,MATCH(ROW()-5,B_Sheet!$Z$6:$Z$263,0),2),"")</f>
        <v/>
      </c>
      <c r="D59" s="1962" t="str">
        <f>IF(ROW() -5&lt;= MAX(B_Sheet!$Z$6:$Z$263),INDEX(B_Sheet!$B$6:$Z$263,MATCH(ROW()-5,B_Sheet!$Z$6:$Z$263,0),4),"")</f>
        <v/>
      </c>
      <c r="E59" s="3"/>
      <c r="F59" s="3"/>
      <c r="G59" t="str">
        <f>IF(ROW()-5&lt;=MAX(B_Sheet!$Z$6:$Z$263),INDEX(B_Sheet!$B$6:$Z$263,MATCH(ROW()-5,B_Sheet!$Z$6:$Z$263,0),24),"")</f>
        <v/>
      </c>
    </row>
    <row r="60" spans="1:7" x14ac:dyDescent="0.2">
      <c r="A60" s="3"/>
      <c r="B60" s="1962" t="str">
        <f>IF(ROW() -5&lt;= MAX(B_Sheet!$Z$6:$Z$263),INDEX(B_Sheet!$B$6:$Z$263,MATCH(ROW()-5,B_Sheet!$Z$6:$Z$263,0),1),"")</f>
        <v/>
      </c>
      <c r="C60" s="1962" t="str">
        <f>IF(ROW() -5&lt;= MAX(B_Sheet!$Z$6:$Z$263),INDEX(B_Sheet!$B$6:$Z$263,MATCH(ROW()-5,B_Sheet!$Z$6:$Z$263,0),2),"")</f>
        <v/>
      </c>
      <c r="D60" s="1962" t="str">
        <f>IF(ROW() -5&lt;= MAX(B_Sheet!$Z$6:$Z$263),INDEX(B_Sheet!$B$6:$Z$263,MATCH(ROW()-5,B_Sheet!$Z$6:$Z$263,0),4),"")</f>
        <v/>
      </c>
      <c r="E60" s="3"/>
      <c r="F60" s="3"/>
      <c r="G60" t="str">
        <f>IF(ROW()-5&lt;=MAX(B_Sheet!$Z$6:$Z$263),INDEX(B_Sheet!$B$6:$Z$263,MATCH(ROW()-5,B_Sheet!$Z$6:$Z$263,0),24),"")</f>
        <v/>
      </c>
    </row>
    <row r="61" spans="1:7" x14ac:dyDescent="0.2">
      <c r="A61" s="3"/>
      <c r="B61" s="1962" t="str">
        <f>IF(ROW() -5&lt;= MAX(B_Sheet!$Z$6:$Z$263),INDEX(B_Sheet!$B$6:$Z$263,MATCH(ROW()-5,B_Sheet!$Z$6:$Z$263,0),1),"")</f>
        <v/>
      </c>
      <c r="C61" s="1962" t="str">
        <f>IF(ROW() -5&lt;= MAX(B_Sheet!$Z$6:$Z$263),INDEX(B_Sheet!$B$6:$Z$263,MATCH(ROW()-5,B_Sheet!$Z$6:$Z$263,0),2),"")</f>
        <v/>
      </c>
      <c r="D61" s="1962" t="str">
        <f>IF(ROW() -5&lt;= MAX(B_Sheet!$Z$6:$Z$263),INDEX(B_Sheet!$B$6:$Z$263,MATCH(ROW()-5,B_Sheet!$Z$6:$Z$263,0),4),"")</f>
        <v/>
      </c>
      <c r="E61" s="3"/>
      <c r="F61" s="3"/>
      <c r="G61" t="str">
        <f>IF(ROW()-5&lt;=MAX(B_Sheet!$Z$6:$Z$263),INDEX(B_Sheet!$B$6:$Z$263,MATCH(ROW()-5,B_Sheet!$Z$6:$Z$263,0),24),"")</f>
        <v/>
      </c>
    </row>
    <row r="62" spans="1:7" x14ac:dyDescent="0.2">
      <c r="A62" s="3"/>
      <c r="B62" s="1962" t="str">
        <f>IF(ROW() -5&lt;= MAX(B_Sheet!$Z$6:$Z$263),INDEX(B_Sheet!$B$6:$Z$263,MATCH(ROW()-5,B_Sheet!$Z$6:$Z$263,0),1),"")</f>
        <v/>
      </c>
      <c r="C62" s="1962" t="str">
        <f>IF(ROW() -5&lt;= MAX(B_Sheet!$Z$6:$Z$263),INDEX(B_Sheet!$B$6:$Z$263,MATCH(ROW()-5,B_Sheet!$Z$6:$Z$263,0),2),"")</f>
        <v/>
      </c>
      <c r="D62" s="1962" t="str">
        <f>IF(ROW() -5&lt;= MAX(B_Sheet!$Z$6:$Z$263),INDEX(B_Sheet!$B$6:$Z$263,MATCH(ROW()-5,B_Sheet!$Z$6:$Z$263,0),4),"")</f>
        <v/>
      </c>
      <c r="E62" s="3"/>
      <c r="F62" s="3"/>
      <c r="G62" t="str">
        <f>IF(ROW()-5&lt;=MAX(B_Sheet!$Z$6:$Z$263),INDEX(B_Sheet!$B$6:$Z$263,MATCH(ROW()-5,B_Sheet!$Z$6:$Z$263,0),24),"")</f>
        <v/>
      </c>
    </row>
    <row r="63" spans="1:7" x14ac:dyDescent="0.2">
      <c r="A63" s="3"/>
      <c r="B63" s="1962" t="str">
        <f>IF(ROW() -5&lt;= MAX(B_Sheet!$Z$6:$Z$263),INDEX(B_Sheet!$B$6:$Z$263,MATCH(ROW()-5,B_Sheet!$Z$6:$Z$263,0),1),"")</f>
        <v/>
      </c>
      <c r="C63" s="1962" t="str">
        <f>IF(ROW() -5&lt;= MAX(B_Sheet!$Z$6:$Z$263),INDEX(B_Sheet!$B$6:$Z$263,MATCH(ROW()-5,B_Sheet!$Z$6:$Z$263,0),2),"")</f>
        <v/>
      </c>
      <c r="D63" s="1962" t="str">
        <f>IF(ROW() -5&lt;= MAX(B_Sheet!$Z$6:$Z$263),INDEX(B_Sheet!$B$6:$Z$263,MATCH(ROW()-5,B_Sheet!$Z$6:$Z$263,0),4),"")</f>
        <v/>
      </c>
      <c r="E63" s="3"/>
      <c r="F63" s="3"/>
      <c r="G63" t="str">
        <f>IF(ROW()-5&lt;=MAX(B_Sheet!$Z$6:$Z$263),INDEX(B_Sheet!$B$6:$Z$263,MATCH(ROW()-5,B_Sheet!$Z$6:$Z$263,0),24),"")</f>
        <v/>
      </c>
    </row>
    <row r="64" spans="1:7" x14ac:dyDescent="0.2">
      <c r="A64" s="3"/>
      <c r="B64" s="1962" t="str">
        <f>IF(ROW() -5&lt;= MAX(B_Sheet!$Z$6:$Z$263),INDEX(B_Sheet!$B$6:$Z$263,MATCH(ROW()-5,B_Sheet!$Z$6:$Z$263,0),1),"")</f>
        <v/>
      </c>
      <c r="C64" s="1962" t="str">
        <f>IF(ROW() -5&lt;= MAX(B_Sheet!$Z$6:$Z$263),INDEX(B_Sheet!$B$6:$Z$263,MATCH(ROW()-5,B_Sheet!$Z$6:$Z$263,0),2),"")</f>
        <v/>
      </c>
      <c r="D64" s="1962" t="str">
        <f>IF(ROW() -5&lt;= MAX(B_Sheet!$Z$6:$Z$263),INDEX(B_Sheet!$B$6:$Z$263,MATCH(ROW()-5,B_Sheet!$Z$6:$Z$263,0),4),"")</f>
        <v/>
      </c>
      <c r="E64" s="3"/>
      <c r="F64" s="3"/>
      <c r="G64" t="str">
        <f>IF(ROW()-5&lt;=MAX(B_Sheet!$Z$6:$Z$263),INDEX(B_Sheet!$B$6:$Z$263,MATCH(ROW()-5,B_Sheet!$Z$6:$Z$263,0),24),"")</f>
        <v/>
      </c>
    </row>
    <row r="65" spans="1:7" x14ac:dyDescent="0.2">
      <c r="A65" s="3"/>
      <c r="B65" s="1962" t="str">
        <f>IF(ROW() -5&lt;= MAX(B_Sheet!$Z$6:$Z$263),INDEX(B_Sheet!$B$6:$Z$263,MATCH(ROW()-5,B_Sheet!$Z$6:$Z$263,0),1),"")</f>
        <v/>
      </c>
      <c r="C65" s="1962" t="str">
        <f>IF(ROW() -5&lt;= MAX(B_Sheet!$Z$6:$Z$263),INDEX(B_Sheet!$B$6:$Z$263,MATCH(ROW()-5,B_Sheet!$Z$6:$Z$263,0),2),"")</f>
        <v/>
      </c>
      <c r="D65" s="1962" t="str">
        <f>IF(ROW() -5&lt;= MAX(B_Sheet!$Z$6:$Z$263),INDEX(B_Sheet!$B$6:$Z$263,MATCH(ROW()-5,B_Sheet!$Z$6:$Z$263,0),4),"")</f>
        <v/>
      </c>
      <c r="E65" s="3"/>
      <c r="F65" s="3"/>
      <c r="G65" t="str">
        <f>IF(ROW()-5&lt;=MAX(B_Sheet!$Z$6:$Z$263),INDEX(B_Sheet!$B$6:$Z$263,MATCH(ROW()-5,B_Sheet!$Z$6:$Z$263,0),24),"")</f>
        <v/>
      </c>
    </row>
    <row r="66" spans="1:7" x14ac:dyDescent="0.2">
      <c r="A66" s="3"/>
      <c r="B66" s="1962" t="str">
        <f>IF(ROW() -5&lt;= MAX(B_Sheet!$Z$6:$Z$263),INDEX(B_Sheet!$B$6:$Z$263,MATCH(ROW()-5,B_Sheet!$Z$6:$Z$263,0),1),"")</f>
        <v/>
      </c>
      <c r="C66" s="1962" t="str">
        <f>IF(ROW() -5&lt;= MAX(B_Sheet!$Z$6:$Z$263),INDEX(B_Sheet!$B$6:$Z$263,MATCH(ROW()-5,B_Sheet!$Z$6:$Z$263,0),2),"")</f>
        <v/>
      </c>
      <c r="D66" s="1962" t="str">
        <f>IF(ROW() -5&lt;= MAX(B_Sheet!$Z$6:$Z$263),INDEX(B_Sheet!$B$6:$Z$263,MATCH(ROW()-5,B_Sheet!$Z$6:$Z$263,0),4),"")</f>
        <v/>
      </c>
      <c r="E66" s="3"/>
      <c r="F66" s="3"/>
      <c r="G66" t="str">
        <f>IF(ROW()-5&lt;=MAX(B_Sheet!$Z$6:$Z$263),INDEX(B_Sheet!$B$6:$Z$263,MATCH(ROW()-5,B_Sheet!$Z$6:$Z$263,0),24),"")</f>
        <v/>
      </c>
    </row>
    <row r="67" spans="1:7" x14ac:dyDescent="0.2">
      <c r="A67" s="3"/>
      <c r="B67" s="1962" t="str">
        <f>IF(ROW() -5&lt;= MAX(B_Sheet!$Z$6:$Z$263),INDEX(B_Sheet!$B$6:$Z$263,MATCH(ROW()-5,B_Sheet!$Z$6:$Z$263,0),1),"")</f>
        <v/>
      </c>
      <c r="C67" s="1962" t="str">
        <f>IF(ROW() -5&lt;= MAX(B_Sheet!$Z$6:$Z$263),INDEX(B_Sheet!$B$6:$Z$263,MATCH(ROW()-5,B_Sheet!$Z$6:$Z$263,0),2),"")</f>
        <v/>
      </c>
      <c r="D67" s="1962" t="str">
        <f>IF(ROW() -5&lt;= MAX(B_Sheet!$Z$6:$Z$263),INDEX(B_Sheet!$B$6:$Z$263,MATCH(ROW()-5,B_Sheet!$Z$6:$Z$263,0),4),"")</f>
        <v/>
      </c>
      <c r="E67" s="3"/>
      <c r="F67" s="3"/>
      <c r="G67" t="str">
        <f>IF(ROW()-5&lt;=MAX(B_Sheet!$Z$6:$Z$263),INDEX(B_Sheet!$B$6:$Z$263,MATCH(ROW()-5,B_Sheet!$Z$6:$Z$263,0),24),"")</f>
        <v/>
      </c>
    </row>
    <row r="68" spans="1:7" x14ac:dyDescent="0.2">
      <c r="A68" s="3"/>
      <c r="B68" s="1962" t="str">
        <f>IF(ROW() -5&lt;= MAX(B_Sheet!$Z$6:$Z$263),INDEX(B_Sheet!$B$6:$Z$263,MATCH(ROW()-5,B_Sheet!$Z$6:$Z$263,0),1),"")</f>
        <v/>
      </c>
      <c r="C68" s="1962" t="str">
        <f>IF(ROW() -5&lt;= MAX(B_Sheet!$Z$6:$Z$263),INDEX(B_Sheet!$B$6:$Z$263,MATCH(ROW()-5,B_Sheet!$Z$6:$Z$263,0),2),"")</f>
        <v/>
      </c>
      <c r="D68" s="1962" t="str">
        <f>IF(ROW() -5&lt;= MAX(B_Sheet!$Z$6:$Z$263),INDEX(B_Sheet!$B$6:$Z$263,MATCH(ROW()-5,B_Sheet!$Z$6:$Z$263,0),4),"")</f>
        <v/>
      </c>
      <c r="E68" s="3"/>
      <c r="F68" s="3"/>
      <c r="G68" t="str">
        <f>IF(ROW()-5&lt;=MAX(B_Sheet!$Z$6:$Z$263),INDEX(B_Sheet!$B$6:$Z$263,MATCH(ROW()-5,B_Sheet!$Z$6:$Z$263,0),24),"")</f>
        <v/>
      </c>
    </row>
    <row r="69" spans="1:7" x14ac:dyDescent="0.2">
      <c r="A69" s="3"/>
      <c r="B69" s="1962" t="str">
        <f>IF(ROW() -5&lt;= MAX(B_Sheet!$Z$6:$Z$263),INDEX(B_Sheet!$B$6:$Z$263,MATCH(ROW()-5,B_Sheet!$Z$6:$Z$263,0),1),"")</f>
        <v/>
      </c>
      <c r="C69" s="1962" t="str">
        <f>IF(ROW() -5&lt;= MAX(B_Sheet!$Z$6:$Z$263),INDEX(B_Sheet!$B$6:$Z$263,MATCH(ROW()-5,B_Sheet!$Z$6:$Z$263,0),2),"")</f>
        <v/>
      </c>
      <c r="D69" s="1962" t="str">
        <f>IF(ROW() -5&lt;= MAX(B_Sheet!$Z$6:$Z$263),INDEX(B_Sheet!$B$6:$Z$263,MATCH(ROW()-5,B_Sheet!$Z$6:$Z$263,0),4),"")</f>
        <v/>
      </c>
      <c r="E69" s="3"/>
      <c r="F69" s="3"/>
      <c r="G69" t="str">
        <f>IF(ROW()-5&lt;=MAX(B_Sheet!$Z$6:$Z$263),INDEX(B_Sheet!$B$6:$Z$263,MATCH(ROW()-5,B_Sheet!$Z$6:$Z$263,0),24),"")</f>
        <v/>
      </c>
    </row>
    <row r="70" spans="1:7" x14ac:dyDescent="0.2">
      <c r="A70" s="3"/>
      <c r="B70" s="1962" t="str">
        <f>IF(ROW() -5&lt;= MAX(B_Sheet!$Z$6:$Z$263),INDEX(B_Sheet!$B$6:$Z$263,MATCH(ROW()-5,B_Sheet!$Z$6:$Z$263,0),1),"")</f>
        <v/>
      </c>
      <c r="C70" s="1962" t="str">
        <f>IF(ROW() -5&lt;= MAX(B_Sheet!$Z$6:$Z$263),INDEX(B_Sheet!$B$6:$Z$263,MATCH(ROW()-5,B_Sheet!$Z$6:$Z$263,0),2),"")</f>
        <v/>
      </c>
      <c r="D70" s="1962" t="str">
        <f>IF(ROW() -5&lt;= MAX(B_Sheet!$Z$6:$Z$263),INDEX(B_Sheet!$B$6:$Z$263,MATCH(ROW()-5,B_Sheet!$Z$6:$Z$263,0),4),"")</f>
        <v/>
      </c>
      <c r="E70" s="3"/>
      <c r="F70" s="3"/>
      <c r="G70" t="str">
        <f>IF(ROW()-5&lt;=MAX(B_Sheet!$Z$6:$Z$263),INDEX(B_Sheet!$B$6:$Z$263,MATCH(ROW()-5,B_Sheet!$Z$6:$Z$263,0),24),"")</f>
        <v/>
      </c>
    </row>
    <row r="71" spans="1:7" x14ac:dyDescent="0.2">
      <c r="A71" s="3"/>
      <c r="B71" s="1962" t="str">
        <f>IF(ROW() -5&lt;= MAX(B_Sheet!$Z$6:$Z$263),INDEX(B_Sheet!$B$6:$Z$263,MATCH(ROW()-5,B_Sheet!$Z$6:$Z$263,0),1),"")</f>
        <v/>
      </c>
      <c r="C71" s="1962" t="str">
        <f>IF(ROW() -5&lt;= MAX(B_Sheet!$Z$6:$Z$263),INDEX(B_Sheet!$B$6:$Z$263,MATCH(ROW()-5,B_Sheet!$Z$6:$Z$263,0),2),"")</f>
        <v/>
      </c>
      <c r="D71" s="1962" t="str">
        <f>IF(ROW() -5&lt;= MAX(B_Sheet!$Z$6:$Z$263),INDEX(B_Sheet!$B$6:$Z$263,MATCH(ROW()-5,B_Sheet!$Z$6:$Z$263,0),4),"")</f>
        <v/>
      </c>
      <c r="E71" s="3"/>
      <c r="F71" s="3"/>
      <c r="G71" t="str">
        <f>IF(ROW()-5&lt;=MAX(B_Sheet!$Z$6:$Z$263),INDEX(B_Sheet!$B$6:$Z$263,MATCH(ROW()-5,B_Sheet!$Z$6:$Z$263,0),24),"")</f>
        <v/>
      </c>
    </row>
    <row r="72" spans="1:7" x14ac:dyDescent="0.2">
      <c r="A72" s="3"/>
      <c r="B72" s="1962" t="str">
        <f>IF(ROW() -5&lt;= MAX(B_Sheet!$Z$6:$Z$263),INDEX(B_Sheet!$B$6:$Z$263,MATCH(ROW()-5,B_Sheet!$Z$6:$Z$263,0),1),"")</f>
        <v/>
      </c>
      <c r="C72" s="1962" t="str">
        <f>IF(ROW() -5&lt;= MAX(B_Sheet!$Z$6:$Z$263),INDEX(B_Sheet!$B$6:$Z$263,MATCH(ROW()-5,B_Sheet!$Z$6:$Z$263,0),2),"")</f>
        <v/>
      </c>
      <c r="D72" s="1962" t="str">
        <f>IF(ROW() -5&lt;= MAX(B_Sheet!$Z$6:$Z$263),INDEX(B_Sheet!$B$6:$Z$263,MATCH(ROW()-5,B_Sheet!$Z$6:$Z$263,0),4),"")</f>
        <v/>
      </c>
      <c r="E72" s="3"/>
      <c r="F72" s="3"/>
      <c r="G72" t="str">
        <f>IF(ROW()-5&lt;=MAX(B_Sheet!$Z$6:$Z$263),INDEX(B_Sheet!$B$6:$Z$263,MATCH(ROW()-5,B_Sheet!$Z$6:$Z$263,0),24),"")</f>
        <v/>
      </c>
    </row>
    <row r="73" spans="1:7" x14ac:dyDescent="0.2">
      <c r="A73" s="3"/>
      <c r="B73" s="1962" t="str">
        <f>IF(ROW() -5&lt;= MAX(B_Sheet!$Z$6:$Z$263),INDEX(B_Sheet!$B$6:$Z$263,MATCH(ROW()-5,B_Sheet!$Z$6:$Z$263,0),1),"")</f>
        <v/>
      </c>
      <c r="C73" s="1962" t="str">
        <f>IF(ROW() -5&lt;= MAX(B_Sheet!$Z$6:$Z$263),INDEX(B_Sheet!$B$6:$Z$263,MATCH(ROW()-5,B_Sheet!$Z$6:$Z$263,0),2),"")</f>
        <v/>
      </c>
      <c r="D73" s="1962" t="str">
        <f>IF(ROW() -5&lt;= MAX(B_Sheet!$Z$6:$Z$263),INDEX(B_Sheet!$B$6:$Z$263,MATCH(ROW()-5,B_Sheet!$Z$6:$Z$263,0),4),"")</f>
        <v/>
      </c>
      <c r="E73" s="3"/>
      <c r="F73" s="3"/>
      <c r="G73" t="str">
        <f>IF(ROW()-5&lt;=MAX(B_Sheet!$Z$6:$Z$263),INDEX(B_Sheet!$B$6:$Z$263,MATCH(ROW()-5,B_Sheet!$Z$6:$Z$263,0),24),"")</f>
        <v/>
      </c>
    </row>
    <row r="74" spans="1:7" x14ac:dyDescent="0.2">
      <c r="A74" s="3"/>
      <c r="B74" s="1962" t="str">
        <f>IF(ROW() -5&lt;= MAX(B_Sheet!$Z$6:$Z$263),INDEX(B_Sheet!$B$6:$Z$263,MATCH(ROW()-5,B_Sheet!$Z$6:$Z$263,0),1),"")</f>
        <v/>
      </c>
      <c r="C74" s="1962" t="str">
        <f>IF(ROW() -5&lt;= MAX(B_Sheet!$Z$6:$Z$263),INDEX(B_Sheet!$B$6:$Z$263,MATCH(ROW()-5,B_Sheet!$Z$6:$Z$263,0),2),"")</f>
        <v/>
      </c>
      <c r="D74" s="1962" t="str">
        <f>IF(ROW() -5&lt;= MAX(B_Sheet!$Z$6:$Z$263),INDEX(B_Sheet!$B$6:$Z$263,MATCH(ROW()-5,B_Sheet!$Z$6:$Z$263,0),4),"")</f>
        <v/>
      </c>
      <c r="E74" s="3"/>
      <c r="F74" s="3"/>
      <c r="G74" t="str">
        <f>IF(ROW()-5&lt;=MAX(B_Sheet!$Z$6:$Z$263),INDEX(B_Sheet!$B$6:$Z$263,MATCH(ROW()-5,B_Sheet!$Z$6:$Z$263,0),24),"")</f>
        <v/>
      </c>
    </row>
    <row r="75" spans="1:7" x14ac:dyDescent="0.2">
      <c r="A75" s="3"/>
      <c r="B75" s="1962" t="str">
        <f>IF(ROW() -5&lt;= MAX(B_Sheet!$Z$6:$Z$263),INDEX(B_Sheet!$B$6:$Z$263,MATCH(ROW()-5,B_Sheet!$Z$6:$Z$263,0),1),"")</f>
        <v/>
      </c>
      <c r="C75" s="1962" t="str">
        <f>IF(ROW() -5&lt;= MAX(B_Sheet!$Z$6:$Z$263),INDEX(B_Sheet!$B$6:$Z$263,MATCH(ROW()-5,B_Sheet!$Z$6:$Z$263,0),2),"")</f>
        <v/>
      </c>
      <c r="D75" s="1962" t="str">
        <f>IF(ROW() -5&lt;= MAX(B_Sheet!$Z$6:$Z$263),INDEX(B_Sheet!$B$6:$Z$263,MATCH(ROW()-5,B_Sheet!$Z$6:$Z$263,0),4),"")</f>
        <v/>
      </c>
      <c r="E75" s="3"/>
      <c r="F75" s="3"/>
      <c r="G75" t="str">
        <f>IF(ROW()-5&lt;=MAX(B_Sheet!$Z$6:$Z$263),INDEX(B_Sheet!$B$6:$Z$263,MATCH(ROW()-5,B_Sheet!$Z$6:$Z$263,0),24),"")</f>
        <v/>
      </c>
    </row>
    <row r="76" spans="1:7" x14ac:dyDescent="0.2">
      <c r="A76" s="3"/>
      <c r="B76" s="1962" t="str">
        <f>IF(ROW() -5&lt;= MAX(B_Sheet!$Z$6:$Z$263),INDEX(B_Sheet!$B$6:$Z$263,MATCH(ROW()-5,B_Sheet!$Z$6:$Z$263,0),1),"")</f>
        <v/>
      </c>
      <c r="C76" s="1962" t="str">
        <f>IF(ROW() -5&lt;= MAX(B_Sheet!$Z$6:$Z$263),INDEX(B_Sheet!$B$6:$Z$263,MATCH(ROW()-5,B_Sheet!$Z$6:$Z$263,0),2),"")</f>
        <v/>
      </c>
      <c r="D76" s="1962" t="str">
        <f>IF(ROW() -5&lt;= MAX(B_Sheet!$Z$6:$Z$263),INDEX(B_Sheet!$B$6:$Z$263,MATCH(ROW()-5,B_Sheet!$Z$6:$Z$263,0),4),"")</f>
        <v/>
      </c>
      <c r="E76" s="3"/>
      <c r="F76" s="3"/>
      <c r="G76" t="str">
        <f>IF(ROW()-5&lt;=MAX(B_Sheet!$Z$6:$Z$263),INDEX(B_Sheet!$B$6:$Z$263,MATCH(ROW()-5,B_Sheet!$Z$6:$Z$263,0),24),"")</f>
        <v/>
      </c>
    </row>
    <row r="77" spans="1:7" x14ac:dyDescent="0.2">
      <c r="A77" s="3"/>
      <c r="B77" s="1962" t="str">
        <f>IF(ROW() -5&lt;= MAX(B_Sheet!$Z$6:$Z$263),INDEX(B_Sheet!$B$6:$Z$263,MATCH(ROW()-5,B_Sheet!$Z$6:$Z$263,0),1),"")</f>
        <v/>
      </c>
      <c r="C77" s="1962" t="str">
        <f>IF(ROW() -5&lt;= MAX(B_Sheet!$Z$6:$Z$263),INDEX(B_Sheet!$B$6:$Z$263,MATCH(ROW()-5,B_Sheet!$Z$6:$Z$263,0),2),"")</f>
        <v/>
      </c>
      <c r="D77" s="1962" t="str">
        <f>IF(ROW() -5&lt;= MAX(B_Sheet!$Z$6:$Z$263),INDEX(B_Sheet!$B$6:$Z$263,MATCH(ROW()-5,B_Sheet!$Z$6:$Z$263,0),4),"")</f>
        <v/>
      </c>
      <c r="E77" s="3"/>
      <c r="F77" s="3"/>
      <c r="G77" t="str">
        <f>IF(ROW()-5&lt;=MAX(B_Sheet!$Z$6:$Z$263),INDEX(B_Sheet!$B$6:$Z$263,MATCH(ROW()-5,B_Sheet!$Z$6:$Z$263,0),24),"")</f>
        <v/>
      </c>
    </row>
    <row r="78" spans="1:7" x14ac:dyDescent="0.2">
      <c r="A78" s="3"/>
      <c r="B78" s="1962" t="str">
        <f>IF(ROW() -5&lt;= MAX(B_Sheet!$Z$6:$Z$263),INDEX(B_Sheet!$B$6:$Z$263,MATCH(ROW()-5,B_Sheet!$Z$6:$Z$263,0),1),"")</f>
        <v/>
      </c>
      <c r="C78" s="1962" t="str">
        <f>IF(ROW() -5&lt;= MAX(B_Sheet!$Z$6:$Z$263),INDEX(B_Sheet!$B$6:$Z$263,MATCH(ROW()-5,B_Sheet!$Z$6:$Z$263,0),2),"")</f>
        <v/>
      </c>
      <c r="D78" s="1962" t="str">
        <f>IF(ROW() -5&lt;= MAX(B_Sheet!$Z$6:$Z$263),INDEX(B_Sheet!$B$6:$Z$263,MATCH(ROW()-5,B_Sheet!$Z$6:$Z$263,0),4),"")</f>
        <v/>
      </c>
      <c r="E78" s="3"/>
      <c r="F78" s="3"/>
      <c r="G78" t="str">
        <f>IF(ROW()-5&lt;=MAX(B_Sheet!$Z$6:$Z$263),INDEX(B_Sheet!$B$6:$Z$263,MATCH(ROW()-5,B_Sheet!$Z$6:$Z$263,0),24),"")</f>
        <v/>
      </c>
    </row>
    <row r="79" spans="1:7" x14ac:dyDescent="0.2">
      <c r="A79" s="3"/>
      <c r="B79" s="1962" t="str">
        <f>IF(ROW() -5&lt;= MAX(B_Sheet!$Z$6:$Z$263),INDEX(B_Sheet!$B$6:$Z$263,MATCH(ROW()-5,B_Sheet!$Z$6:$Z$263,0),1),"")</f>
        <v/>
      </c>
      <c r="C79" s="1962" t="str">
        <f>IF(ROW() -5&lt;= MAX(B_Sheet!$Z$6:$Z$263),INDEX(B_Sheet!$B$6:$Z$263,MATCH(ROW()-5,B_Sheet!$Z$6:$Z$263,0),2),"")</f>
        <v/>
      </c>
      <c r="D79" s="1962" t="str">
        <f>IF(ROW() -5&lt;= MAX(B_Sheet!$Z$6:$Z$263),INDEX(B_Sheet!$B$6:$Z$263,MATCH(ROW()-5,B_Sheet!$Z$6:$Z$263,0),4),"")</f>
        <v/>
      </c>
      <c r="E79" s="3"/>
      <c r="F79" s="3"/>
      <c r="G79" t="str">
        <f>IF(ROW()-5&lt;=MAX(B_Sheet!$Z$6:$Z$263),INDEX(B_Sheet!$B$6:$Z$263,MATCH(ROW()-5,B_Sheet!$Z$6:$Z$263,0),24),"")</f>
        <v/>
      </c>
    </row>
    <row r="80" spans="1:7" x14ac:dyDescent="0.2">
      <c r="A80" s="3"/>
      <c r="B80" s="1962" t="str">
        <f>IF(ROW() -5&lt;= MAX(B_Sheet!$Z$6:$Z$263),INDEX(B_Sheet!$B$6:$Z$263,MATCH(ROW()-5,B_Sheet!$Z$6:$Z$263,0),1),"")</f>
        <v/>
      </c>
      <c r="C80" s="1962" t="str">
        <f>IF(ROW() -5&lt;= MAX(B_Sheet!$Z$6:$Z$263),INDEX(B_Sheet!$B$6:$Z$263,MATCH(ROW()-5,B_Sheet!$Z$6:$Z$263,0),2),"")</f>
        <v/>
      </c>
      <c r="D80" s="1962" t="str">
        <f>IF(ROW() -5&lt;= MAX(B_Sheet!$Z$6:$Z$263),INDEX(B_Sheet!$B$6:$Z$263,MATCH(ROW()-5,B_Sheet!$Z$6:$Z$263,0),4),"")</f>
        <v/>
      </c>
      <c r="E80" s="3"/>
      <c r="F80" s="3"/>
      <c r="G80" t="str">
        <f>IF(ROW()-5&lt;=MAX(B_Sheet!$Z$6:$Z$263),INDEX(B_Sheet!$B$6:$Z$263,MATCH(ROW()-5,B_Sheet!$Z$6:$Z$263,0),24),"")</f>
        <v/>
      </c>
    </row>
    <row r="81" spans="1:7" x14ac:dyDescent="0.2">
      <c r="A81" s="3"/>
      <c r="B81" s="1962" t="str">
        <f>IF(ROW() -5&lt;= MAX(B_Sheet!$Z$6:$Z$263),INDEX(B_Sheet!$B$6:$Z$263,MATCH(ROW()-5,B_Sheet!$Z$6:$Z$263,0),1),"")</f>
        <v/>
      </c>
      <c r="C81" s="1962" t="str">
        <f>IF(ROW() -5&lt;= MAX(B_Sheet!$Z$6:$Z$263),INDEX(B_Sheet!$B$6:$Z$263,MATCH(ROW()-5,B_Sheet!$Z$6:$Z$263,0),2),"")</f>
        <v/>
      </c>
      <c r="D81" s="1962" t="str">
        <f>IF(ROW() -5&lt;= MAX(B_Sheet!$Z$6:$Z$263),INDEX(B_Sheet!$B$6:$Z$263,MATCH(ROW()-5,B_Sheet!$Z$6:$Z$263,0),4),"")</f>
        <v/>
      </c>
      <c r="E81" s="3"/>
      <c r="F81" s="3"/>
      <c r="G81" t="str">
        <f>IF(ROW()-5&lt;=MAX(B_Sheet!$Z$6:$Z$263),INDEX(B_Sheet!$B$6:$Z$263,MATCH(ROW()-5,B_Sheet!$Z$6:$Z$263,0),24),"")</f>
        <v/>
      </c>
    </row>
    <row r="82" spans="1:7" x14ac:dyDescent="0.2">
      <c r="A82" s="3"/>
      <c r="B82" s="1962" t="str">
        <f>IF(ROW() -5&lt;= MAX(B_Sheet!$Z$6:$Z$263),INDEX(B_Sheet!$B$6:$Z$263,MATCH(ROW()-5,B_Sheet!$Z$6:$Z$263,0),1),"")</f>
        <v/>
      </c>
      <c r="C82" s="1962" t="str">
        <f>IF(ROW() -5&lt;= MAX(B_Sheet!$Z$6:$Z$263),INDEX(B_Sheet!$B$6:$Z$263,MATCH(ROW()-5,B_Sheet!$Z$6:$Z$263,0),2),"")</f>
        <v/>
      </c>
      <c r="D82" s="1962" t="str">
        <f>IF(ROW() -5&lt;= MAX(B_Sheet!$Z$6:$Z$263),INDEX(B_Sheet!$B$6:$Z$263,MATCH(ROW()-5,B_Sheet!$Z$6:$Z$263,0),4),"")</f>
        <v/>
      </c>
      <c r="E82" s="3"/>
      <c r="F82" s="3"/>
      <c r="G82" t="str">
        <f>IF(ROW()-5&lt;=MAX(B_Sheet!$Z$6:$Z$263),INDEX(B_Sheet!$B$6:$Z$263,MATCH(ROW()-5,B_Sheet!$Z$6:$Z$263,0),24),"")</f>
        <v/>
      </c>
    </row>
    <row r="83" spans="1:7" x14ac:dyDescent="0.2">
      <c r="A83" s="3"/>
      <c r="B83" s="1962" t="str">
        <f>IF(ROW() -5&lt;= MAX(B_Sheet!$Z$6:$Z$263),INDEX(B_Sheet!$B$6:$Z$263,MATCH(ROW()-5,B_Sheet!$Z$6:$Z$263,0),1),"")</f>
        <v/>
      </c>
      <c r="C83" s="1962" t="str">
        <f>IF(ROW() -5&lt;= MAX(B_Sheet!$Z$6:$Z$263),INDEX(B_Sheet!$B$6:$Z$263,MATCH(ROW()-5,B_Sheet!$Z$6:$Z$263,0),2),"")</f>
        <v/>
      </c>
      <c r="D83" s="1962" t="str">
        <f>IF(ROW() -5&lt;= MAX(B_Sheet!$Z$6:$Z$263),INDEX(B_Sheet!$B$6:$Z$263,MATCH(ROW()-5,B_Sheet!$Z$6:$Z$263,0),4),"")</f>
        <v/>
      </c>
      <c r="E83" s="3"/>
      <c r="F83" s="3"/>
      <c r="G83" t="str">
        <f>IF(ROW()-5&lt;=MAX(B_Sheet!$Z$6:$Z$263),INDEX(B_Sheet!$B$6:$Z$263,MATCH(ROW()-5,B_Sheet!$Z$6:$Z$263,0),24),"")</f>
        <v/>
      </c>
    </row>
    <row r="84" spans="1:7" x14ac:dyDescent="0.2">
      <c r="A84" s="3"/>
      <c r="B84" s="1962" t="str">
        <f>IF(ROW() -5&lt;= MAX(B_Sheet!$Z$6:$Z$263),INDEX(B_Sheet!$B$6:$Z$263,MATCH(ROW()-5,B_Sheet!$Z$6:$Z$263,0),1),"")</f>
        <v/>
      </c>
      <c r="C84" s="1962" t="str">
        <f>IF(ROW() -5&lt;= MAX(B_Sheet!$Z$6:$Z$263),INDEX(B_Sheet!$B$6:$Z$263,MATCH(ROW()-5,B_Sheet!$Z$6:$Z$263,0),2),"")</f>
        <v/>
      </c>
      <c r="D84" s="1962" t="str">
        <f>IF(ROW() -5&lt;= MAX(B_Sheet!$Z$6:$Z$263),INDEX(B_Sheet!$B$6:$Z$263,MATCH(ROW()-5,B_Sheet!$Z$6:$Z$263,0),4),"")</f>
        <v/>
      </c>
      <c r="E84" s="3"/>
      <c r="F84" s="3"/>
      <c r="G84" t="str">
        <f>IF(ROW()-5&lt;=MAX(B_Sheet!$Z$6:$Z$263),INDEX(B_Sheet!$B$6:$Z$263,MATCH(ROW()-5,B_Sheet!$Z$6:$Z$263,0),24),"")</f>
        <v/>
      </c>
    </row>
    <row r="85" spans="1:7" x14ac:dyDescent="0.2">
      <c r="A85" s="3"/>
      <c r="B85" s="1962" t="str">
        <f>IF(ROW() -5&lt;= MAX(B_Sheet!$Z$6:$Z$263),INDEX(B_Sheet!$B$6:$Z$263,MATCH(ROW()-5,B_Sheet!$Z$6:$Z$263,0),1),"")</f>
        <v/>
      </c>
      <c r="C85" s="1962" t="str">
        <f>IF(ROW() -5&lt;= MAX(B_Sheet!$Z$6:$Z$263),INDEX(B_Sheet!$B$6:$Z$263,MATCH(ROW()-5,B_Sheet!$Z$6:$Z$263,0),2),"")</f>
        <v/>
      </c>
      <c r="D85" s="1962" t="str">
        <f>IF(ROW() -5&lt;= MAX(B_Sheet!$Z$6:$Z$263),INDEX(B_Sheet!$B$6:$Z$263,MATCH(ROW()-5,B_Sheet!$Z$6:$Z$263,0),4),"")</f>
        <v/>
      </c>
      <c r="E85" s="3"/>
      <c r="F85" s="3"/>
      <c r="G85" t="str">
        <f>IF(ROW()-5&lt;=MAX(B_Sheet!$Z$6:$Z$263),INDEX(B_Sheet!$B$6:$Z$263,MATCH(ROW()-5,B_Sheet!$Z$6:$Z$263,0),24),"")</f>
        <v/>
      </c>
    </row>
    <row r="86" spans="1:7" x14ac:dyDescent="0.2">
      <c r="A86" s="3"/>
      <c r="B86" s="1962" t="str">
        <f>IF(ROW() -5&lt;= MAX(B_Sheet!$Z$6:$Z$263),INDEX(B_Sheet!$B$6:$Z$263,MATCH(ROW()-5,B_Sheet!$Z$6:$Z$263,0),1),"")</f>
        <v/>
      </c>
      <c r="C86" s="1962" t="str">
        <f>IF(ROW() -5&lt;= MAX(B_Sheet!$Z$6:$Z$263),INDEX(B_Sheet!$B$6:$Z$263,MATCH(ROW()-5,B_Sheet!$Z$6:$Z$263,0),2),"")</f>
        <v/>
      </c>
      <c r="D86" s="1962" t="str">
        <f>IF(ROW() -5&lt;= MAX(B_Sheet!$Z$6:$Z$263),INDEX(B_Sheet!$B$6:$Z$263,MATCH(ROW()-5,B_Sheet!$Z$6:$Z$263,0),4),"")</f>
        <v/>
      </c>
      <c r="E86" s="3"/>
      <c r="F86" s="3"/>
      <c r="G86" t="str">
        <f>IF(ROW()-5&lt;=MAX(B_Sheet!$Z$6:$Z$263),INDEX(B_Sheet!$B$6:$Z$263,MATCH(ROW()-5,B_Sheet!$Z$6:$Z$263,0),24),"")</f>
        <v/>
      </c>
    </row>
    <row r="87" spans="1:7" x14ac:dyDescent="0.2">
      <c r="A87" s="3"/>
      <c r="B87" s="1962" t="str">
        <f>IF(ROW() -5&lt;= MAX(B_Sheet!$Z$6:$Z$263),INDEX(B_Sheet!$B$6:$Z$263,MATCH(ROW()-5,B_Sheet!$Z$6:$Z$263,0),1),"")</f>
        <v/>
      </c>
      <c r="C87" s="1962" t="str">
        <f>IF(ROW() -5&lt;= MAX(B_Sheet!$Z$6:$Z$263),INDEX(B_Sheet!$B$6:$Z$263,MATCH(ROW()-5,B_Sheet!$Z$6:$Z$263,0),2),"")</f>
        <v/>
      </c>
      <c r="D87" s="1962" t="str">
        <f>IF(ROW() -5&lt;= MAX(B_Sheet!$Z$6:$Z$263),INDEX(B_Sheet!$B$6:$Z$263,MATCH(ROW()-5,B_Sheet!$Z$6:$Z$263,0),4),"")</f>
        <v/>
      </c>
      <c r="E87" s="3"/>
      <c r="F87" s="3"/>
      <c r="G87" t="str">
        <f>IF(ROW()-5&lt;=MAX(B_Sheet!$Z$6:$Z$263),INDEX(B_Sheet!$B$6:$Z$263,MATCH(ROW()-5,B_Sheet!$Z$6:$Z$263,0),24),"")</f>
        <v/>
      </c>
    </row>
    <row r="88" spans="1:7" x14ac:dyDescent="0.2">
      <c r="A88" s="3"/>
      <c r="B88" s="1962" t="str">
        <f>IF(ROW() -5&lt;= MAX(B_Sheet!$Z$6:$Z$263),INDEX(B_Sheet!$B$6:$Z$263,MATCH(ROW()-5,B_Sheet!$Z$6:$Z$263,0),1),"")</f>
        <v/>
      </c>
      <c r="C88" s="1962" t="str">
        <f>IF(ROW() -5&lt;= MAX(B_Sheet!$Z$6:$Z$263),INDEX(B_Sheet!$B$6:$Z$263,MATCH(ROW()-5,B_Sheet!$Z$6:$Z$263,0),2),"")</f>
        <v/>
      </c>
      <c r="D88" s="1962" t="str">
        <f>IF(ROW() -5&lt;= MAX(B_Sheet!$Z$6:$Z$263),INDEX(B_Sheet!$B$6:$Z$263,MATCH(ROW()-5,B_Sheet!$Z$6:$Z$263,0),4),"")</f>
        <v/>
      </c>
      <c r="E88" s="3"/>
      <c r="F88" s="3"/>
      <c r="G88" t="str">
        <f>IF(ROW()-5&lt;=MAX(B_Sheet!$Z$6:$Z$263),INDEX(B_Sheet!$B$6:$Z$263,MATCH(ROW()-5,B_Sheet!$Z$6:$Z$263,0),24),"")</f>
        <v/>
      </c>
    </row>
    <row r="89" spans="1:7" x14ac:dyDescent="0.2">
      <c r="A89" s="3"/>
      <c r="B89" s="1962" t="str">
        <f>IF(ROW() -5&lt;= MAX(B_Sheet!$Z$6:$Z$263),INDEX(B_Sheet!$B$6:$Z$263,MATCH(ROW()-5,B_Sheet!$Z$6:$Z$263,0),1),"")</f>
        <v/>
      </c>
      <c r="C89" s="1962" t="str">
        <f>IF(ROW() -5&lt;= MAX(B_Sheet!$Z$6:$Z$263),INDEX(B_Sheet!$B$6:$Z$263,MATCH(ROW()-5,B_Sheet!$Z$6:$Z$263,0),2),"")</f>
        <v/>
      </c>
      <c r="D89" s="1962" t="str">
        <f>IF(ROW() -5&lt;= MAX(B_Sheet!$Z$6:$Z$263),INDEX(B_Sheet!$B$6:$Z$263,MATCH(ROW()-5,B_Sheet!$Z$6:$Z$263,0),4),"")</f>
        <v/>
      </c>
      <c r="E89" s="3"/>
      <c r="F89" s="3"/>
      <c r="G89" t="str">
        <f>IF(ROW()-5&lt;=MAX(B_Sheet!$Z$6:$Z$263),INDEX(B_Sheet!$B$6:$Z$263,MATCH(ROW()-5,B_Sheet!$Z$6:$Z$263,0),24),"")</f>
        <v/>
      </c>
    </row>
    <row r="90" spans="1:7" x14ac:dyDescent="0.2">
      <c r="A90" s="3"/>
      <c r="B90" s="1962" t="str">
        <f>IF(ROW() -5&lt;= MAX(B_Sheet!$Z$6:$Z$263),INDEX(B_Sheet!$B$6:$Z$263,MATCH(ROW()-5,B_Sheet!$Z$6:$Z$263,0),1),"")</f>
        <v/>
      </c>
      <c r="C90" s="1962" t="str">
        <f>IF(ROW() -5&lt;= MAX(B_Sheet!$Z$6:$Z$263),INDEX(B_Sheet!$B$6:$Z$263,MATCH(ROW()-5,B_Sheet!$Z$6:$Z$263,0),2),"")</f>
        <v/>
      </c>
      <c r="D90" s="1962" t="str">
        <f>IF(ROW() -5&lt;= MAX(B_Sheet!$Z$6:$Z$263),INDEX(B_Sheet!$B$6:$Z$263,MATCH(ROW()-5,B_Sheet!$Z$6:$Z$263,0),4),"")</f>
        <v/>
      </c>
      <c r="E90" s="3"/>
      <c r="F90" s="3"/>
      <c r="G90" t="str">
        <f>IF(ROW()-5&lt;=MAX(B_Sheet!$Z$6:$Z$263),INDEX(B_Sheet!$B$6:$Z$263,MATCH(ROW()-5,B_Sheet!$Z$6:$Z$263,0),24),"")</f>
        <v/>
      </c>
    </row>
    <row r="91" spans="1:7" x14ac:dyDescent="0.2">
      <c r="A91" s="3"/>
      <c r="B91" s="1962" t="str">
        <f>IF(ROW() -5&lt;= MAX(B_Sheet!$Z$6:$Z$263),INDEX(B_Sheet!$B$6:$Z$263,MATCH(ROW()-5,B_Sheet!$Z$6:$Z$263,0),1),"")</f>
        <v/>
      </c>
      <c r="C91" s="1962" t="str">
        <f>IF(ROW() -5&lt;= MAX(B_Sheet!$Z$6:$Z$263),INDEX(B_Sheet!$B$6:$Z$263,MATCH(ROW()-5,B_Sheet!$Z$6:$Z$263,0),2),"")</f>
        <v/>
      </c>
      <c r="D91" s="1962" t="str">
        <f>IF(ROW() -5&lt;= MAX(B_Sheet!$Z$6:$Z$263),INDEX(B_Sheet!$B$6:$Z$263,MATCH(ROW()-5,B_Sheet!$Z$6:$Z$263,0),4),"")</f>
        <v/>
      </c>
      <c r="E91" s="3"/>
      <c r="F91" s="3"/>
      <c r="G91" t="str">
        <f>IF(ROW()-5&lt;=MAX(B_Sheet!$Z$6:$Z$263),INDEX(B_Sheet!$B$6:$Z$263,MATCH(ROW()-5,B_Sheet!$Z$6:$Z$263,0),24),"")</f>
        <v/>
      </c>
    </row>
    <row r="92" spans="1:7" x14ac:dyDescent="0.2">
      <c r="A92" s="3"/>
      <c r="B92" s="1962" t="str">
        <f>IF(ROW() -5&lt;= MAX(B_Sheet!$Z$6:$Z$263),INDEX(B_Sheet!$B$6:$Z$263,MATCH(ROW()-5,B_Sheet!$Z$6:$Z$263,0),1),"")</f>
        <v/>
      </c>
      <c r="C92" s="1962" t="str">
        <f>IF(ROW() -5&lt;= MAX(B_Sheet!$Z$6:$Z$263),INDEX(B_Sheet!$B$6:$Z$263,MATCH(ROW()-5,B_Sheet!$Z$6:$Z$263,0),2),"")</f>
        <v/>
      </c>
      <c r="D92" s="1962" t="str">
        <f>IF(ROW() -5&lt;= MAX(B_Sheet!$Z$6:$Z$263),INDEX(B_Sheet!$B$6:$Z$263,MATCH(ROW()-5,B_Sheet!$Z$6:$Z$263,0),4),"")</f>
        <v/>
      </c>
      <c r="E92" s="3"/>
      <c r="F92" s="3"/>
      <c r="G92" t="str">
        <f>IF(ROW()-5&lt;=MAX(B_Sheet!$Z$6:$Z$263),INDEX(B_Sheet!$B$6:$Z$263,MATCH(ROW()-5,B_Sheet!$Z$6:$Z$263,0),24),"")</f>
        <v/>
      </c>
    </row>
    <row r="93" spans="1:7" x14ac:dyDescent="0.2">
      <c r="A93" s="3"/>
      <c r="B93" s="1962" t="str">
        <f>IF(ROW() -5&lt;= MAX(B_Sheet!$Z$6:$Z$263),INDEX(B_Sheet!$B$6:$Z$263,MATCH(ROW()-5,B_Sheet!$Z$6:$Z$263,0),1),"")</f>
        <v/>
      </c>
      <c r="C93" s="1962" t="str">
        <f>IF(ROW() -5&lt;= MAX(B_Sheet!$Z$6:$Z$263),INDEX(B_Sheet!$B$6:$Z$263,MATCH(ROW()-5,B_Sheet!$Z$6:$Z$263,0),2),"")</f>
        <v/>
      </c>
      <c r="D93" s="1962" t="str">
        <f>IF(ROW() -5&lt;= MAX(B_Sheet!$Z$6:$Z$263),INDEX(B_Sheet!$B$6:$Z$263,MATCH(ROW()-5,B_Sheet!$Z$6:$Z$263,0),4),"")</f>
        <v/>
      </c>
      <c r="E93" s="3"/>
      <c r="F93" s="3"/>
      <c r="G93" t="str">
        <f>IF(ROW()-5&lt;=MAX(B_Sheet!$Z$6:$Z$263),INDEX(B_Sheet!$B$6:$Z$263,MATCH(ROW()-5,B_Sheet!$Z$6:$Z$263,0),24),"")</f>
        <v/>
      </c>
    </row>
    <row r="94" spans="1:7" x14ac:dyDescent="0.2">
      <c r="A94" s="3"/>
      <c r="B94" s="1962" t="str">
        <f>IF(ROW() -5&lt;= MAX(B_Sheet!$Z$6:$Z$263),INDEX(B_Sheet!$B$6:$Z$263,MATCH(ROW()-5,B_Sheet!$Z$6:$Z$263,0),1),"")</f>
        <v/>
      </c>
      <c r="C94" s="1962" t="str">
        <f>IF(ROW() -5&lt;= MAX(B_Sheet!$Z$6:$Z$263),INDEX(B_Sheet!$B$6:$Z$263,MATCH(ROW()-5,B_Sheet!$Z$6:$Z$263,0),2),"")</f>
        <v/>
      </c>
      <c r="D94" s="1962" t="str">
        <f>IF(ROW() -5&lt;= MAX(B_Sheet!$Z$6:$Z$263),INDEX(B_Sheet!$B$6:$Z$263,MATCH(ROW()-5,B_Sheet!$Z$6:$Z$263,0),4),"")</f>
        <v/>
      </c>
      <c r="E94" s="3"/>
      <c r="F94" s="3"/>
      <c r="G94" t="str">
        <f>IF(ROW()-5&lt;=MAX(B_Sheet!$Z$6:$Z$263),INDEX(B_Sheet!$B$6:$Z$263,MATCH(ROW()-5,B_Sheet!$Z$6:$Z$263,0),24),"")</f>
        <v/>
      </c>
    </row>
    <row r="95" spans="1:7" x14ac:dyDescent="0.2">
      <c r="A95" s="3"/>
      <c r="B95" s="1962" t="str">
        <f>IF(ROW() -5&lt;= MAX(B_Sheet!$Z$6:$Z$263),INDEX(B_Sheet!$B$6:$Z$263,MATCH(ROW()-5,B_Sheet!$Z$6:$Z$263,0),1),"")</f>
        <v/>
      </c>
      <c r="C95" s="1962" t="str">
        <f>IF(ROW() -5&lt;= MAX(B_Sheet!$Z$6:$Z$263),INDEX(B_Sheet!$B$6:$Z$263,MATCH(ROW()-5,B_Sheet!$Z$6:$Z$263,0),2),"")</f>
        <v/>
      </c>
      <c r="D95" s="1962" t="str">
        <f>IF(ROW() -5&lt;= MAX(B_Sheet!$Z$6:$Z$263),INDEX(B_Sheet!$B$6:$Z$263,MATCH(ROW()-5,B_Sheet!$Z$6:$Z$263,0),4),"")</f>
        <v/>
      </c>
      <c r="E95" s="3"/>
      <c r="F95" s="3"/>
      <c r="G95" t="str">
        <f>IF(ROW()-5&lt;=MAX(B_Sheet!$Z$6:$Z$263),INDEX(B_Sheet!$B$6:$Z$263,MATCH(ROW()-5,B_Sheet!$Z$6:$Z$263,0),24),"")</f>
        <v/>
      </c>
    </row>
    <row r="96" spans="1:7" x14ac:dyDescent="0.2">
      <c r="A96" s="3"/>
      <c r="B96" s="1962" t="str">
        <f>IF(ROW() -5&lt;= MAX(B_Sheet!$Z$6:$Z$263),INDEX(B_Sheet!$B$6:$Z$263,MATCH(ROW()-5,B_Sheet!$Z$6:$Z$263,0),1),"")</f>
        <v/>
      </c>
      <c r="C96" s="1962" t="str">
        <f>IF(ROW() -5&lt;= MAX(B_Sheet!$Z$6:$Z$263),INDEX(B_Sheet!$B$6:$Z$263,MATCH(ROW()-5,B_Sheet!$Z$6:$Z$263,0),2),"")</f>
        <v/>
      </c>
      <c r="D96" s="1962" t="str">
        <f>IF(ROW() -5&lt;= MAX(B_Sheet!$Z$6:$Z$263),INDEX(B_Sheet!$B$6:$Z$263,MATCH(ROW()-5,B_Sheet!$Z$6:$Z$263,0),4),"")</f>
        <v/>
      </c>
      <c r="E96" s="3"/>
      <c r="F96" s="3"/>
      <c r="G96" t="str">
        <f>IF(ROW()-5&lt;=MAX(B_Sheet!$Z$6:$Z$263),INDEX(B_Sheet!$B$6:$Z$263,MATCH(ROW()-5,B_Sheet!$Z$6:$Z$263,0),24),"")</f>
        <v/>
      </c>
    </row>
    <row r="97" spans="1:7" x14ac:dyDescent="0.2">
      <c r="A97" s="3"/>
      <c r="B97" s="1962" t="str">
        <f>IF(ROW() -5&lt;= MAX(B_Sheet!$Z$6:$Z$263),INDEX(B_Sheet!$B$6:$Z$263,MATCH(ROW()-5,B_Sheet!$Z$6:$Z$263,0),1),"")</f>
        <v/>
      </c>
      <c r="C97" s="1962" t="str">
        <f>IF(ROW() -5&lt;= MAX(B_Sheet!$Z$6:$Z$263),INDEX(B_Sheet!$B$6:$Z$263,MATCH(ROW()-5,B_Sheet!$Z$6:$Z$263,0),2),"")</f>
        <v/>
      </c>
      <c r="D97" s="1962" t="str">
        <f>IF(ROW() -5&lt;= MAX(B_Sheet!$Z$6:$Z$263),INDEX(B_Sheet!$B$6:$Z$263,MATCH(ROW()-5,B_Sheet!$Z$6:$Z$263,0),4),"")</f>
        <v/>
      </c>
      <c r="E97" s="3"/>
      <c r="F97" s="3"/>
      <c r="G97" t="str">
        <f>IF(ROW()-5&lt;=MAX(B_Sheet!$Z$6:$Z$263),INDEX(B_Sheet!$B$6:$Z$263,MATCH(ROW()-5,B_Sheet!$Z$6:$Z$263,0),24),"")</f>
        <v/>
      </c>
    </row>
    <row r="98" spans="1:7" x14ac:dyDescent="0.2">
      <c r="A98" s="3"/>
      <c r="B98" s="1962" t="str">
        <f>IF(ROW() -5&lt;= MAX(B_Sheet!$Z$6:$Z$263),INDEX(B_Sheet!$B$6:$Z$263,MATCH(ROW()-5,B_Sheet!$Z$6:$Z$263,0),1),"")</f>
        <v/>
      </c>
      <c r="C98" s="1962" t="str">
        <f>IF(ROW() -5&lt;= MAX(B_Sheet!$Z$6:$Z$263),INDEX(B_Sheet!$B$6:$Z$263,MATCH(ROW()-5,B_Sheet!$Z$6:$Z$263,0),2),"")</f>
        <v/>
      </c>
      <c r="D98" s="1962" t="str">
        <f>IF(ROW() -5&lt;= MAX(B_Sheet!$Z$6:$Z$263),INDEX(B_Sheet!$B$6:$Z$263,MATCH(ROW()-5,B_Sheet!$Z$6:$Z$263,0),4),"")</f>
        <v/>
      </c>
      <c r="E98" s="3"/>
      <c r="F98" s="3"/>
      <c r="G98" t="str">
        <f>IF(ROW()-5&lt;=MAX(B_Sheet!$Z$6:$Z$263),INDEX(B_Sheet!$B$6:$Z$263,MATCH(ROW()-5,B_Sheet!$Z$6:$Z$263,0),24),"")</f>
        <v/>
      </c>
    </row>
    <row r="99" spans="1:7" x14ac:dyDescent="0.2">
      <c r="A99" s="3"/>
      <c r="B99" s="1962" t="str">
        <f>IF(ROW() -5&lt;= MAX(B_Sheet!$Z$6:$Z$263),INDEX(B_Sheet!$B$6:$Z$263,MATCH(ROW()-5,B_Sheet!$Z$6:$Z$263,0),1),"")</f>
        <v/>
      </c>
      <c r="C99" s="1962" t="str">
        <f>IF(ROW() -5&lt;= MAX(B_Sheet!$Z$6:$Z$263),INDEX(B_Sheet!$B$6:$Z$263,MATCH(ROW()-5,B_Sheet!$Z$6:$Z$263,0),2),"")</f>
        <v/>
      </c>
      <c r="D99" s="1962" t="str">
        <f>IF(ROW() -5&lt;= MAX(B_Sheet!$Z$6:$Z$263),INDEX(B_Sheet!$B$6:$Z$263,MATCH(ROW()-5,B_Sheet!$Z$6:$Z$263,0),4),"")</f>
        <v/>
      </c>
      <c r="E99" s="3"/>
      <c r="F99" s="3"/>
      <c r="G99" t="str">
        <f>IF(ROW()-5&lt;=MAX(B_Sheet!$Z$6:$Z$263),INDEX(B_Sheet!$B$6:$Z$263,MATCH(ROW()-5,B_Sheet!$Z$6:$Z$263,0),24),"")</f>
        <v/>
      </c>
    </row>
    <row r="100" spans="1:7" x14ac:dyDescent="0.2">
      <c r="A100" s="3"/>
      <c r="B100" s="1962" t="str">
        <f>IF(ROW() -5&lt;= MAX(B_Sheet!$Z$6:$Z$263),INDEX(B_Sheet!$B$6:$Z$263,MATCH(ROW()-5,B_Sheet!$Z$6:$Z$263,0),1),"")</f>
        <v/>
      </c>
      <c r="C100" s="1962" t="str">
        <f>IF(ROW() -5&lt;= MAX(B_Sheet!$Z$6:$Z$263),INDEX(B_Sheet!$B$6:$Z$263,MATCH(ROW()-5,B_Sheet!$Z$6:$Z$263,0),2),"")</f>
        <v/>
      </c>
      <c r="D100" s="1962" t="str">
        <f>IF(ROW() -5&lt;= MAX(B_Sheet!$Z$6:$Z$263),INDEX(B_Sheet!$B$6:$Z$263,MATCH(ROW()-5,B_Sheet!$Z$6:$Z$263,0),4),"")</f>
        <v/>
      </c>
      <c r="E100" s="3"/>
      <c r="F100" s="3"/>
      <c r="G100" t="str">
        <f>IF(ROW()-5&lt;=MAX(B_Sheet!$Z$6:$Z$263),INDEX(B_Sheet!$B$6:$Z$263,MATCH(ROW()-5,B_Sheet!$Z$6:$Z$263,0),24),"")</f>
        <v/>
      </c>
    </row>
    <row r="101" spans="1:7" x14ac:dyDescent="0.2">
      <c r="A101" s="3"/>
      <c r="B101" s="1962" t="str">
        <f>IF(ROW() -5&lt;= MAX(B_Sheet!$Z$6:$Z$263),INDEX(B_Sheet!$B$6:$Z$263,MATCH(ROW()-5,B_Sheet!$Z$6:$Z$263,0),1),"")</f>
        <v/>
      </c>
      <c r="C101" s="1962" t="str">
        <f>IF(ROW() -5&lt;= MAX(B_Sheet!$Z$6:$Z$263),INDEX(B_Sheet!$B$6:$Z$263,MATCH(ROW()-5,B_Sheet!$Z$6:$Z$263,0),2),"")</f>
        <v/>
      </c>
      <c r="D101" s="1962" t="str">
        <f>IF(ROW() -5&lt;= MAX(B_Sheet!$Z$6:$Z$263),INDEX(B_Sheet!$B$6:$Z$263,MATCH(ROW()-5,B_Sheet!$Z$6:$Z$263,0),4),"")</f>
        <v/>
      </c>
      <c r="E101" s="3"/>
      <c r="F101" s="3"/>
      <c r="G101" t="str">
        <f>IF(ROW()-5&lt;=MAX(B_Sheet!$Z$6:$Z$263),INDEX(B_Sheet!$B$6:$Z$263,MATCH(ROW()-5,B_Sheet!$Z$6:$Z$263,0),24),"")</f>
        <v/>
      </c>
    </row>
    <row r="102" spans="1:7" x14ac:dyDescent="0.2">
      <c r="A102" s="3"/>
      <c r="B102" s="1962" t="str">
        <f>IF(ROW() -5&lt;= MAX(B_Sheet!$Z$6:$Z$263),INDEX(B_Sheet!$B$6:$Z$263,MATCH(ROW()-5,B_Sheet!$Z$6:$Z$263,0),1),"")</f>
        <v/>
      </c>
      <c r="C102" s="1962" t="str">
        <f>IF(ROW() -5&lt;= MAX(B_Sheet!$Z$6:$Z$263),INDEX(B_Sheet!$B$6:$Z$263,MATCH(ROW()-5,B_Sheet!$Z$6:$Z$263,0),2),"")</f>
        <v/>
      </c>
      <c r="D102" s="1962" t="str">
        <f>IF(ROW() -5&lt;= MAX(B_Sheet!$Z$6:$Z$263),INDEX(B_Sheet!$B$6:$Z$263,MATCH(ROW()-5,B_Sheet!$Z$6:$Z$263,0),4),"")</f>
        <v/>
      </c>
      <c r="E102" s="3"/>
      <c r="F102" s="3"/>
      <c r="G102" t="str">
        <f>IF(ROW()-5&lt;=MAX(B_Sheet!$Z$6:$Z$263),INDEX(B_Sheet!$B$6:$Z$263,MATCH(ROW()-5,B_Sheet!$Z$6:$Z$263,0),24),"")</f>
        <v/>
      </c>
    </row>
    <row r="103" spans="1:7" x14ac:dyDescent="0.2">
      <c r="A103" s="3"/>
      <c r="B103" s="1962" t="str">
        <f>IF(ROW() -5&lt;= MAX(B_Sheet!$Z$6:$Z$263),INDEX(B_Sheet!$B$6:$Z$263,MATCH(ROW()-5,B_Sheet!$Z$6:$Z$263,0),1),"")</f>
        <v/>
      </c>
      <c r="C103" s="1962" t="str">
        <f>IF(ROW() -5&lt;= MAX(B_Sheet!$Z$6:$Z$263),INDEX(B_Sheet!$B$6:$Z$263,MATCH(ROW()-5,B_Sheet!$Z$6:$Z$263,0),2),"")</f>
        <v/>
      </c>
      <c r="D103" s="1962" t="str">
        <f>IF(ROW() -5&lt;= MAX(B_Sheet!$Z$6:$Z$263),INDEX(B_Sheet!$B$6:$Z$263,MATCH(ROW()-5,B_Sheet!$Z$6:$Z$263,0),4),"")</f>
        <v/>
      </c>
      <c r="E103" s="3"/>
      <c r="F103" s="3"/>
      <c r="G103" t="str">
        <f>IF(ROW()-5&lt;=MAX(B_Sheet!$Z$6:$Z$263),INDEX(B_Sheet!$B$6:$Z$263,MATCH(ROW()-5,B_Sheet!$Z$6:$Z$263,0),24),"")</f>
        <v/>
      </c>
    </row>
    <row r="104" spans="1:7" x14ac:dyDescent="0.2">
      <c r="A104" s="3"/>
      <c r="B104" s="1962" t="str">
        <f>IF(ROW() -5&lt;= MAX(B_Sheet!$Z$6:$Z$263),INDEX(B_Sheet!$B$6:$Z$263,MATCH(ROW()-5,B_Sheet!$Z$6:$Z$263,0),1),"")</f>
        <v/>
      </c>
      <c r="C104" s="1962" t="str">
        <f>IF(ROW() -5&lt;= MAX(B_Sheet!$Z$6:$Z$263),INDEX(B_Sheet!$B$6:$Z$263,MATCH(ROW()-5,B_Sheet!$Z$6:$Z$263,0),2),"")</f>
        <v/>
      </c>
      <c r="D104" s="1962" t="str">
        <f>IF(ROW() -5&lt;= MAX(B_Sheet!$Z$6:$Z$263),INDEX(B_Sheet!$B$6:$Z$263,MATCH(ROW()-5,B_Sheet!$Z$6:$Z$263,0),4),"")</f>
        <v/>
      </c>
      <c r="E104" s="3"/>
      <c r="F104" s="3"/>
      <c r="G104" t="str">
        <f>IF(ROW()-5&lt;=MAX(B_Sheet!$Z$6:$Z$263),INDEX(B_Sheet!$B$6:$Z$263,MATCH(ROW()-5,B_Sheet!$Z$6:$Z$263,0),24),"")</f>
        <v/>
      </c>
    </row>
    <row r="105" spans="1:7" x14ac:dyDescent="0.2">
      <c r="A105" s="3"/>
      <c r="B105" s="1962" t="str">
        <f>IF(ROW() -5&lt;= MAX(B_Sheet!$Z$6:$Z$263),INDEX(B_Sheet!$B$6:$Z$263,MATCH(ROW()-5,B_Sheet!$Z$6:$Z$263,0),1),"")</f>
        <v/>
      </c>
      <c r="C105" s="1962" t="str">
        <f>IF(ROW() -5&lt;= MAX(B_Sheet!$Z$6:$Z$263),INDEX(B_Sheet!$B$6:$Z$263,MATCH(ROW()-5,B_Sheet!$Z$6:$Z$263,0),2),"")</f>
        <v/>
      </c>
      <c r="D105" s="1962" t="str">
        <f>IF(ROW() -5&lt;= MAX(B_Sheet!$Z$6:$Z$263),INDEX(B_Sheet!$B$6:$Z$263,MATCH(ROW()-5,B_Sheet!$Z$6:$Z$263,0),4),"")</f>
        <v/>
      </c>
      <c r="E105" s="3"/>
      <c r="F105" s="3"/>
      <c r="G105" t="str">
        <f>IF(ROW()-5&lt;=MAX(B_Sheet!$Z$6:$Z$263),INDEX(B_Sheet!$B$6:$Z$263,MATCH(ROW()-5,B_Sheet!$Z$6:$Z$263,0),24),"")</f>
        <v/>
      </c>
    </row>
    <row r="106" spans="1:7" x14ac:dyDescent="0.2">
      <c r="A106" s="3"/>
      <c r="B106" s="1962" t="str">
        <f>IF(ROW() -5&lt;= MAX(B_Sheet!$Z$6:$Z$263),INDEX(B_Sheet!$B$6:$Z$263,MATCH(ROW()-5,B_Sheet!$Z$6:$Z$263,0),1),"")</f>
        <v/>
      </c>
      <c r="C106" s="1962" t="str">
        <f>IF(ROW() -5&lt;= MAX(B_Sheet!$Z$6:$Z$263),INDEX(B_Sheet!$B$6:$Z$263,MATCH(ROW()-5,B_Sheet!$Z$6:$Z$263,0),2),"")</f>
        <v/>
      </c>
      <c r="D106" s="1962" t="str">
        <f>IF(ROW() -5&lt;= MAX(B_Sheet!$Z$6:$Z$263),INDEX(B_Sheet!$B$6:$Z$263,MATCH(ROW()-5,B_Sheet!$Z$6:$Z$263,0),4),"")</f>
        <v/>
      </c>
      <c r="E106" s="3"/>
      <c r="F106" s="3"/>
      <c r="G106" t="str">
        <f>IF(ROW()-5&lt;=MAX(B_Sheet!$Z$6:$Z$263),INDEX(B_Sheet!$B$6:$Z$263,MATCH(ROW()-5,B_Sheet!$Z$6:$Z$263,0),24),"")</f>
        <v/>
      </c>
    </row>
    <row r="107" spans="1:7" x14ac:dyDescent="0.2">
      <c r="A107" s="3"/>
      <c r="B107" s="1962" t="str">
        <f>IF(ROW() -5&lt;= MAX(B_Sheet!$Z$6:$Z$263),INDEX(B_Sheet!$B$6:$Z$263,MATCH(ROW()-5,B_Sheet!$Z$6:$Z$263,0),1),"")</f>
        <v/>
      </c>
      <c r="C107" s="1962" t="str">
        <f>IF(ROW() -5&lt;= MAX(B_Sheet!$Z$6:$Z$263),INDEX(B_Sheet!$B$6:$Z$263,MATCH(ROW()-5,B_Sheet!$Z$6:$Z$263,0),2),"")</f>
        <v/>
      </c>
      <c r="D107" s="1962" t="str">
        <f>IF(ROW() -5&lt;= MAX(B_Sheet!$Z$6:$Z$263),INDEX(B_Sheet!$B$6:$Z$263,MATCH(ROW()-5,B_Sheet!$Z$6:$Z$263,0),4),"")</f>
        <v/>
      </c>
      <c r="E107" s="3"/>
      <c r="F107" s="3"/>
      <c r="G107" t="str">
        <f>IF(ROW()-5&lt;=MAX(B_Sheet!$Z$6:$Z$263),INDEX(B_Sheet!$B$6:$Z$263,MATCH(ROW()-5,B_Sheet!$Z$6:$Z$263,0),24),"")</f>
        <v/>
      </c>
    </row>
    <row r="108" spans="1:7" x14ac:dyDescent="0.2">
      <c r="A108" s="3"/>
      <c r="B108" s="1962" t="str">
        <f>IF(ROW() -5&lt;= MAX(B_Sheet!$Z$6:$Z$263),INDEX(B_Sheet!$B$6:$Z$263,MATCH(ROW()-5,B_Sheet!$Z$6:$Z$263,0),1),"")</f>
        <v/>
      </c>
      <c r="C108" s="1962" t="str">
        <f>IF(ROW() -5&lt;= MAX(B_Sheet!$Z$6:$Z$263),INDEX(B_Sheet!$B$6:$Z$263,MATCH(ROW()-5,B_Sheet!$Z$6:$Z$263,0),2),"")</f>
        <v/>
      </c>
      <c r="D108" s="1962" t="str">
        <f>IF(ROW() -5&lt;= MAX(B_Sheet!$Z$6:$Z$263),INDEX(B_Sheet!$B$6:$Z$263,MATCH(ROW()-5,B_Sheet!$Z$6:$Z$263,0),4),"")</f>
        <v/>
      </c>
      <c r="E108" s="3"/>
      <c r="F108" s="3"/>
      <c r="G108" t="str">
        <f>IF(ROW()-5&lt;=MAX(B_Sheet!$Z$6:$Z$263),INDEX(B_Sheet!$B$6:$Z$263,MATCH(ROW()-5,B_Sheet!$Z$6:$Z$263,0),24),"")</f>
        <v/>
      </c>
    </row>
    <row r="109" spans="1:7" x14ac:dyDescent="0.2">
      <c r="A109" s="3"/>
      <c r="B109" s="1962" t="str">
        <f>IF(ROW() -5&lt;= MAX(B_Sheet!$Z$6:$Z$263),INDEX(B_Sheet!$B$6:$Z$263,MATCH(ROW()-5,B_Sheet!$Z$6:$Z$263,0),1),"")</f>
        <v/>
      </c>
      <c r="C109" s="1962" t="str">
        <f>IF(ROW() -5&lt;= MAX(B_Sheet!$Z$6:$Z$263),INDEX(B_Sheet!$B$6:$Z$263,MATCH(ROW()-5,B_Sheet!$Z$6:$Z$263,0),2),"")</f>
        <v/>
      </c>
      <c r="D109" s="1962" t="str">
        <f>IF(ROW() -5&lt;= MAX(B_Sheet!$Z$6:$Z$263),INDEX(B_Sheet!$B$6:$Z$263,MATCH(ROW()-5,B_Sheet!$Z$6:$Z$263,0),4),"")</f>
        <v/>
      </c>
      <c r="E109" s="3"/>
      <c r="F109" s="3"/>
      <c r="G109" t="str">
        <f>IF(ROW()-5&lt;=MAX(B_Sheet!$Z$6:$Z$263),INDEX(B_Sheet!$B$6:$Z$263,MATCH(ROW()-5,B_Sheet!$Z$6:$Z$263,0),24),"")</f>
        <v/>
      </c>
    </row>
    <row r="110" spans="1:7" x14ac:dyDescent="0.2">
      <c r="A110" s="3"/>
      <c r="B110" s="1962" t="str">
        <f>IF(ROW() -5&lt;= MAX(B_Sheet!$Z$6:$Z$263),INDEX(B_Sheet!$B$6:$Z$263,MATCH(ROW()-5,B_Sheet!$Z$6:$Z$263,0),1),"")</f>
        <v/>
      </c>
      <c r="C110" s="1962" t="str">
        <f>IF(ROW() -5&lt;= MAX(B_Sheet!$Z$6:$Z$263),INDEX(B_Sheet!$B$6:$Z$263,MATCH(ROW()-5,B_Sheet!$Z$6:$Z$263,0),2),"")</f>
        <v/>
      </c>
      <c r="D110" s="1962" t="str">
        <f>IF(ROW() -5&lt;= MAX(B_Sheet!$Z$6:$Z$263),INDEX(B_Sheet!$B$6:$Z$263,MATCH(ROW()-5,B_Sheet!$Z$6:$Z$263,0),4),"")</f>
        <v/>
      </c>
      <c r="E110" s="3"/>
      <c r="F110" s="3"/>
      <c r="G110" t="str">
        <f>IF(ROW()-5&lt;=MAX(B_Sheet!$Z$6:$Z$263),INDEX(B_Sheet!$B$6:$Z$263,MATCH(ROW()-5,B_Sheet!$Z$6:$Z$263,0),24),"")</f>
        <v/>
      </c>
    </row>
    <row r="111" spans="1:7" x14ac:dyDescent="0.2">
      <c r="A111" s="3"/>
      <c r="B111" s="1962" t="str">
        <f>IF(ROW() -5&lt;= MAX(B_Sheet!$Z$6:$Z$263),INDEX(B_Sheet!$B$6:$Z$263,MATCH(ROW()-5,B_Sheet!$Z$6:$Z$263,0),1),"")</f>
        <v/>
      </c>
      <c r="C111" s="1962" t="str">
        <f>IF(ROW() -5&lt;= MAX(B_Sheet!$Z$6:$Z$263),INDEX(B_Sheet!$B$6:$Z$263,MATCH(ROW()-5,B_Sheet!$Z$6:$Z$263,0),2),"")</f>
        <v/>
      </c>
      <c r="D111" s="1962" t="str">
        <f>IF(ROW() -5&lt;= MAX(B_Sheet!$Z$6:$Z$263),INDEX(B_Sheet!$B$6:$Z$263,MATCH(ROW()-5,B_Sheet!$Z$6:$Z$263,0),4),"")</f>
        <v/>
      </c>
      <c r="E111" s="3"/>
      <c r="F111" s="3"/>
      <c r="G111" t="str">
        <f>IF(ROW()-5&lt;=MAX(B_Sheet!$Z$6:$Z$263),INDEX(B_Sheet!$B$6:$Z$263,MATCH(ROW()-5,B_Sheet!$Z$6:$Z$263,0),24),"")</f>
        <v/>
      </c>
    </row>
    <row r="112" spans="1:7" x14ac:dyDescent="0.2">
      <c r="A112" s="3"/>
      <c r="B112" s="1962" t="str">
        <f>IF(ROW() -5&lt;= MAX(B_Sheet!$Z$6:$Z$263),INDEX(B_Sheet!$B$6:$Z$263,MATCH(ROW()-5,B_Sheet!$Z$6:$Z$263,0),1),"")</f>
        <v/>
      </c>
      <c r="C112" s="1962" t="str">
        <f>IF(ROW() -5&lt;= MAX(B_Sheet!$Z$6:$Z$263),INDEX(B_Sheet!$B$6:$Z$263,MATCH(ROW()-5,B_Sheet!$Z$6:$Z$263,0),2),"")</f>
        <v/>
      </c>
      <c r="D112" s="1962" t="str">
        <f>IF(ROW() -5&lt;= MAX(B_Sheet!$Z$6:$Z$263),INDEX(B_Sheet!$B$6:$Z$263,MATCH(ROW()-5,B_Sheet!$Z$6:$Z$263,0),4),"")</f>
        <v/>
      </c>
      <c r="E112" s="3"/>
      <c r="F112" s="3"/>
      <c r="G112" t="str">
        <f>IF(ROW()-5&lt;=MAX(B_Sheet!$Z$6:$Z$263),INDEX(B_Sheet!$B$6:$Z$263,MATCH(ROW()-5,B_Sheet!$Z$6:$Z$263,0),24),"")</f>
        <v/>
      </c>
    </row>
    <row r="113" spans="1:7" x14ac:dyDescent="0.2">
      <c r="A113" s="3"/>
      <c r="B113" s="1962" t="str">
        <f>IF(ROW() -5&lt;= MAX(B_Sheet!$Z$6:$Z$263),INDEX(B_Sheet!$B$6:$Z$263,MATCH(ROW()-5,B_Sheet!$Z$6:$Z$263,0),1),"")</f>
        <v/>
      </c>
      <c r="C113" s="1962" t="str">
        <f>IF(ROW() -5&lt;= MAX(B_Sheet!$Z$6:$Z$263),INDEX(B_Sheet!$B$6:$Z$263,MATCH(ROW()-5,B_Sheet!$Z$6:$Z$263,0),2),"")</f>
        <v/>
      </c>
      <c r="D113" s="1962" t="str">
        <f>IF(ROW() -5&lt;= MAX(B_Sheet!$Z$6:$Z$263),INDEX(B_Sheet!$B$6:$Z$263,MATCH(ROW()-5,B_Sheet!$Z$6:$Z$263,0),4),"")</f>
        <v/>
      </c>
      <c r="E113" s="3"/>
      <c r="F113" s="3"/>
      <c r="G113" t="str">
        <f>IF(ROW()-5&lt;=MAX(B_Sheet!$Z$6:$Z$263),INDEX(B_Sheet!$B$6:$Z$263,MATCH(ROW()-5,B_Sheet!$Z$6:$Z$263,0),24),"")</f>
        <v/>
      </c>
    </row>
    <row r="114" spans="1:7" x14ac:dyDescent="0.2">
      <c r="A114" s="3"/>
      <c r="B114" s="1962" t="str">
        <f>IF(ROW() -5&lt;= MAX(B_Sheet!$Z$6:$Z$263),INDEX(B_Sheet!$B$6:$Z$263,MATCH(ROW()-5,B_Sheet!$Z$6:$Z$263,0),1),"")</f>
        <v/>
      </c>
      <c r="C114" s="1962" t="str">
        <f>IF(ROW() -5&lt;= MAX(B_Sheet!$Z$6:$Z$263),INDEX(B_Sheet!$B$6:$Z$263,MATCH(ROW()-5,B_Sheet!$Z$6:$Z$263,0),2),"")</f>
        <v/>
      </c>
      <c r="D114" s="1962" t="str">
        <f>IF(ROW() -5&lt;= MAX(B_Sheet!$Z$6:$Z$263),INDEX(B_Sheet!$B$6:$Z$263,MATCH(ROW()-5,B_Sheet!$Z$6:$Z$263,0),4),"")</f>
        <v/>
      </c>
      <c r="E114" s="3"/>
      <c r="F114" s="3"/>
      <c r="G114" t="str">
        <f>IF(ROW()-5&lt;=MAX(B_Sheet!$Z$6:$Z$263),INDEX(B_Sheet!$B$6:$Z$263,MATCH(ROW()-5,B_Sheet!$Z$6:$Z$263,0),24),"")</f>
        <v/>
      </c>
    </row>
    <row r="115" spans="1:7" x14ac:dyDescent="0.2">
      <c r="A115" s="3"/>
      <c r="B115" s="1962" t="str">
        <f>IF(ROW() -5&lt;= MAX(B_Sheet!$Z$6:$Z$263),INDEX(B_Sheet!$B$6:$Z$263,MATCH(ROW()-5,B_Sheet!$Z$6:$Z$263,0),1),"")</f>
        <v/>
      </c>
      <c r="C115" s="1962" t="str">
        <f>IF(ROW() -5&lt;= MAX(B_Sheet!$Z$6:$Z$263),INDEX(B_Sheet!$B$6:$Z$263,MATCH(ROW()-5,B_Sheet!$Z$6:$Z$263,0),2),"")</f>
        <v/>
      </c>
      <c r="D115" s="1962" t="str">
        <f>IF(ROW() -5&lt;= MAX(B_Sheet!$Z$6:$Z$263),INDEX(B_Sheet!$B$6:$Z$263,MATCH(ROW()-5,B_Sheet!$Z$6:$Z$263,0),4),"")</f>
        <v/>
      </c>
      <c r="E115" s="3"/>
      <c r="F115" s="3"/>
      <c r="G115" t="str">
        <f>IF(ROW()-5&lt;=MAX(B_Sheet!$Z$6:$Z$263),INDEX(B_Sheet!$B$6:$Z$263,MATCH(ROW()-5,B_Sheet!$Z$6:$Z$263,0),24),"")</f>
        <v/>
      </c>
    </row>
    <row r="116" spans="1:7" x14ac:dyDescent="0.2">
      <c r="A116" s="3"/>
      <c r="B116" s="1962" t="str">
        <f>IF(ROW() -5&lt;= MAX(B_Sheet!$Z$6:$Z$263),INDEX(B_Sheet!$B$6:$Z$263,MATCH(ROW()-5,B_Sheet!$Z$6:$Z$263,0),1),"")</f>
        <v/>
      </c>
      <c r="C116" s="1962" t="str">
        <f>IF(ROW() -5&lt;= MAX(B_Sheet!$Z$6:$Z$263),INDEX(B_Sheet!$B$6:$Z$263,MATCH(ROW()-5,B_Sheet!$Z$6:$Z$263,0),2),"")</f>
        <v/>
      </c>
      <c r="D116" s="1962" t="str">
        <f>IF(ROW() -5&lt;= MAX(B_Sheet!$Z$6:$Z$263),INDEX(B_Sheet!$B$6:$Z$263,MATCH(ROW()-5,B_Sheet!$Z$6:$Z$263,0),4),"")</f>
        <v/>
      </c>
      <c r="E116" s="3"/>
      <c r="F116" s="3"/>
      <c r="G116" t="str">
        <f>IF(ROW()-5&lt;=MAX(B_Sheet!$Z$6:$Z$263),INDEX(B_Sheet!$B$6:$Z$263,MATCH(ROW()-5,B_Sheet!$Z$6:$Z$263,0),24),"")</f>
        <v/>
      </c>
    </row>
    <row r="117" spans="1:7" x14ac:dyDescent="0.2">
      <c r="A117" s="3"/>
      <c r="B117" s="1962" t="str">
        <f>IF(ROW() -5&lt;= MAX(B_Sheet!$Z$6:$Z$263),INDEX(B_Sheet!$B$6:$Z$263,MATCH(ROW()-5,B_Sheet!$Z$6:$Z$263,0),1),"")</f>
        <v/>
      </c>
      <c r="C117" s="1962" t="str">
        <f>IF(ROW() -5&lt;= MAX(B_Sheet!$Z$6:$Z$263),INDEX(B_Sheet!$B$6:$Z$263,MATCH(ROW()-5,B_Sheet!$Z$6:$Z$263,0),2),"")</f>
        <v/>
      </c>
      <c r="D117" s="1962" t="str">
        <f>IF(ROW() -5&lt;= MAX(B_Sheet!$Z$6:$Z$263),INDEX(B_Sheet!$B$6:$Z$263,MATCH(ROW()-5,B_Sheet!$Z$6:$Z$263,0),4),"")</f>
        <v/>
      </c>
      <c r="E117" s="3"/>
      <c r="F117" s="3"/>
      <c r="G117" t="str">
        <f>IF(ROW()-5&lt;=MAX(B_Sheet!$Z$6:$Z$263),INDEX(B_Sheet!$B$6:$Z$263,MATCH(ROW()-5,B_Sheet!$Z$6:$Z$263,0),24),"")</f>
        <v/>
      </c>
    </row>
    <row r="118" spans="1:7" x14ac:dyDescent="0.2">
      <c r="A118" s="3"/>
      <c r="B118" s="1962" t="str">
        <f>IF(ROW() -5&lt;= MAX(B_Sheet!$Z$6:$Z$263),INDEX(B_Sheet!$B$6:$Z$263,MATCH(ROW()-5,B_Sheet!$Z$6:$Z$263,0),1),"")</f>
        <v/>
      </c>
      <c r="C118" s="1962" t="str">
        <f>IF(ROW() -5&lt;= MAX(B_Sheet!$Z$6:$Z$263),INDEX(B_Sheet!$B$6:$Z$263,MATCH(ROW()-5,B_Sheet!$Z$6:$Z$263,0),2),"")</f>
        <v/>
      </c>
      <c r="D118" s="1962" t="str">
        <f>IF(ROW() -5&lt;= MAX(B_Sheet!$Z$6:$Z$263),INDEX(B_Sheet!$B$6:$Z$263,MATCH(ROW()-5,B_Sheet!$Z$6:$Z$263,0),4),"")</f>
        <v/>
      </c>
      <c r="E118" s="3"/>
      <c r="F118" s="3"/>
      <c r="G118" t="str">
        <f>IF(ROW()-5&lt;=MAX(B_Sheet!$Z$6:$Z$263),INDEX(B_Sheet!$B$6:$Z$263,MATCH(ROW()-5,B_Sheet!$Z$6:$Z$263,0),24),"")</f>
        <v/>
      </c>
    </row>
    <row r="119" spans="1:7" x14ac:dyDescent="0.2">
      <c r="A119" s="3"/>
      <c r="B119" s="1962" t="str">
        <f>IF(ROW() -5&lt;= MAX(B_Sheet!$Z$6:$Z$263),INDEX(B_Sheet!$B$6:$Z$263,MATCH(ROW()-5,B_Sheet!$Z$6:$Z$263,0),1),"")</f>
        <v/>
      </c>
      <c r="C119" s="1962" t="str">
        <f>IF(ROW() -5&lt;= MAX(B_Sheet!$Z$6:$Z$263),INDEX(B_Sheet!$B$6:$Z$263,MATCH(ROW()-5,B_Sheet!$Z$6:$Z$263,0),2),"")</f>
        <v/>
      </c>
      <c r="D119" s="1962" t="str">
        <f>IF(ROW() -5&lt;= MAX(B_Sheet!$Z$6:$Z$263),INDEX(B_Sheet!$B$6:$Z$263,MATCH(ROW()-5,B_Sheet!$Z$6:$Z$263,0),4),"")</f>
        <v/>
      </c>
      <c r="E119" s="3"/>
      <c r="F119" s="3"/>
      <c r="G119" t="str">
        <f>IF(ROW()-5&lt;=MAX(B_Sheet!$Z$6:$Z$263),INDEX(B_Sheet!$B$6:$Z$263,MATCH(ROW()-5,B_Sheet!$Z$6:$Z$263,0),24),"")</f>
        <v/>
      </c>
    </row>
    <row r="120" spans="1:7" x14ac:dyDescent="0.2">
      <c r="A120" s="3"/>
      <c r="B120" s="1962" t="str">
        <f>IF(ROW() -5&lt;= MAX(B_Sheet!$Z$6:$Z$263),INDEX(B_Sheet!$B$6:$Z$263,MATCH(ROW()-5,B_Sheet!$Z$6:$Z$263,0),1),"")</f>
        <v/>
      </c>
      <c r="C120" s="1962" t="str">
        <f>IF(ROW() -5&lt;= MAX(B_Sheet!$Z$6:$Z$263),INDEX(B_Sheet!$B$6:$Z$263,MATCH(ROW()-5,B_Sheet!$Z$6:$Z$263,0),2),"")</f>
        <v/>
      </c>
      <c r="D120" s="1962" t="str">
        <f>IF(ROW() -5&lt;= MAX(B_Sheet!$Z$6:$Z$263),INDEX(B_Sheet!$B$6:$Z$263,MATCH(ROW()-5,B_Sheet!$Z$6:$Z$263,0),4),"")</f>
        <v/>
      </c>
      <c r="E120" s="3"/>
      <c r="F120" s="3"/>
      <c r="G120" t="str">
        <f>IF(ROW()-5&lt;=MAX(B_Sheet!$Z$6:$Z$263),INDEX(B_Sheet!$B$6:$Z$263,MATCH(ROW()-5,B_Sheet!$Z$6:$Z$263,0),24),"")</f>
        <v/>
      </c>
    </row>
    <row r="121" spans="1:7" x14ac:dyDescent="0.2">
      <c r="A121" s="3"/>
      <c r="B121" s="1962" t="str">
        <f>IF(ROW() -5&lt;= MAX(B_Sheet!$Z$6:$Z$263),INDEX(B_Sheet!$B$6:$Z$263,MATCH(ROW()-5,B_Sheet!$Z$6:$Z$263,0),1),"")</f>
        <v/>
      </c>
      <c r="C121" s="1962" t="str">
        <f>IF(ROW() -5&lt;= MAX(B_Sheet!$Z$6:$Z$263),INDEX(B_Sheet!$B$6:$Z$263,MATCH(ROW()-5,B_Sheet!$Z$6:$Z$263,0),2),"")</f>
        <v/>
      </c>
      <c r="D121" s="1962" t="str">
        <f>IF(ROW() -5&lt;= MAX(B_Sheet!$Z$6:$Z$263),INDEX(B_Sheet!$B$6:$Z$263,MATCH(ROW()-5,B_Sheet!$Z$6:$Z$263,0),4),"")</f>
        <v/>
      </c>
      <c r="E121" s="3"/>
      <c r="F121" s="3"/>
      <c r="G121" t="str">
        <f>IF(ROW()-5&lt;=MAX(B_Sheet!$Z$6:$Z$263),INDEX(B_Sheet!$B$6:$Z$263,MATCH(ROW()-5,B_Sheet!$Z$6:$Z$263,0),24),"")</f>
        <v/>
      </c>
    </row>
    <row r="122" spans="1:7" x14ac:dyDescent="0.2">
      <c r="A122" s="3"/>
      <c r="B122" s="1962" t="str">
        <f>IF(ROW() -5&lt;= MAX(B_Sheet!$Z$6:$Z$263),INDEX(B_Sheet!$B$6:$Z$263,MATCH(ROW()-5,B_Sheet!$Z$6:$Z$263,0),1),"")</f>
        <v/>
      </c>
      <c r="C122" s="1962" t="str">
        <f>IF(ROW() -5&lt;= MAX(B_Sheet!$Z$6:$Z$263),INDEX(B_Sheet!$B$6:$Z$263,MATCH(ROW()-5,B_Sheet!$Z$6:$Z$263,0),2),"")</f>
        <v/>
      </c>
      <c r="D122" s="1962" t="str">
        <f>IF(ROW() -5&lt;= MAX(B_Sheet!$Z$6:$Z$263),INDEX(B_Sheet!$B$6:$Z$263,MATCH(ROW()-5,B_Sheet!$Z$6:$Z$263,0),4),"")</f>
        <v/>
      </c>
      <c r="E122" s="3"/>
      <c r="F122" s="3"/>
      <c r="G122" t="str">
        <f>IF(ROW()-5&lt;=MAX(B_Sheet!$Z$6:$Z$263),INDEX(B_Sheet!$B$6:$Z$263,MATCH(ROW()-5,B_Sheet!$Z$6:$Z$263,0),24),"")</f>
        <v/>
      </c>
    </row>
    <row r="123" spans="1:7" x14ac:dyDescent="0.2">
      <c r="A123" s="3"/>
      <c r="B123" s="1962" t="str">
        <f>IF(ROW() -5&lt;= MAX(B_Sheet!$Z$6:$Z$263),INDEX(B_Sheet!$B$6:$Z$263,MATCH(ROW()-5,B_Sheet!$Z$6:$Z$263,0),1),"")</f>
        <v/>
      </c>
      <c r="C123" s="1962" t="str">
        <f>IF(ROW() -5&lt;= MAX(B_Sheet!$Z$6:$Z$263),INDEX(B_Sheet!$B$6:$Z$263,MATCH(ROW()-5,B_Sheet!$Z$6:$Z$263,0),2),"")</f>
        <v/>
      </c>
      <c r="D123" s="1962" t="str">
        <f>IF(ROW() -5&lt;= MAX(B_Sheet!$Z$6:$Z$263),INDEX(B_Sheet!$B$6:$Z$263,MATCH(ROW()-5,B_Sheet!$Z$6:$Z$263,0),4),"")</f>
        <v/>
      </c>
      <c r="E123" s="3"/>
      <c r="F123" s="3"/>
      <c r="G123" t="str">
        <f>IF(ROW()-5&lt;=MAX(B_Sheet!$Z$6:$Z$263),INDEX(B_Sheet!$B$6:$Z$263,MATCH(ROW()-5,B_Sheet!$Z$6:$Z$263,0),24),"")</f>
        <v/>
      </c>
    </row>
    <row r="124" spans="1:7" x14ac:dyDescent="0.2">
      <c r="A124" s="3"/>
      <c r="B124" s="1962" t="str">
        <f>IF(ROW() -5&lt;= MAX(B_Sheet!$Z$6:$Z$263),INDEX(B_Sheet!$B$6:$Z$263,MATCH(ROW()-5,B_Sheet!$Z$6:$Z$263,0),1),"")</f>
        <v/>
      </c>
      <c r="C124" s="1962" t="str">
        <f>IF(ROW() -5&lt;= MAX(B_Sheet!$Z$6:$Z$263),INDEX(B_Sheet!$B$6:$Z$263,MATCH(ROW()-5,B_Sheet!$Z$6:$Z$263,0),2),"")</f>
        <v/>
      </c>
      <c r="D124" s="1962" t="str">
        <f>IF(ROW() -5&lt;= MAX(B_Sheet!$Z$6:$Z$263),INDEX(B_Sheet!$B$6:$Z$263,MATCH(ROW()-5,B_Sheet!$Z$6:$Z$263,0),4),"")</f>
        <v/>
      </c>
      <c r="E124" s="3"/>
      <c r="F124" s="3"/>
      <c r="G124" t="str">
        <f>IF(ROW()-5&lt;=MAX(B_Sheet!$Z$6:$Z$263),INDEX(B_Sheet!$B$6:$Z$263,MATCH(ROW()-5,B_Sheet!$Z$6:$Z$263,0),24),"")</f>
        <v/>
      </c>
    </row>
    <row r="125" spans="1:7" x14ac:dyDescent="0.2">
      <c r="A125" s="3"/>
      <c r="B125" s="1962" t="str">
        <f>IF(ROW() -5&lt;= MAX(B_Sheet!$Z$6:$Z$263),INDEX(B_Sheet!$B$6:$Z$263,MATCH(ROW()-5,B_Sheet!$Z$6:$Z$263,0),1),"")</f>
        <v/>
      </c>
      <c r="C125" s="1962" t="str">
        <f>IF(ROW() -5&lt;= MAX(B_Sheet!$Z$6:$Z$263),INDEX(B_Sheet!$B$6:$Z$263,MATCH(ROW()-5,B_Sheet!$Z$6:$Z$263,0),2),"")</f>
        <v/>
      </c>
      <c r="D125" s="1962" t="str">
        <f>IF(ROW() -5&lt;= MAX(B_Sheet!$Z$6:$Z$263),INDEX(B_Sheet!$B$6:$Z$263,MATCH(ROW()-5,B_Sheet!$Z$6:$Z$263,0),4),"")</f>
        <v/>
      </c>
      <c r="E125" s="3"/>
      <c r="F125" s="3"/>
      <c r="G125" t="str">
        <f>IF(ROW()-5&lt;=MAX(B_Sheet!$Z$6:$Z$263),INDEX(B_Sheet!$B$6:$Z$263,MATCH(ROW()-5,B_Sheet!$Z$6:$Z$263,0),24),"")</f>
        <v/>
      </c>
    </row>
    <row r="126" spans="1:7" x14ac:dyDescent="0.2">
      <c r="A126" s="3"/>
      <c r="B126" s="1962" t="str">
        <f>IF(ROW() -5&lt;= MAX(B_Sheet!$Z$6:$Z$263),INDEX(B_Sheet!$B$6:$Z$263,MATCH(ROW()-5,B_Sheet!$Z$6:$Z$263,0),1),"")</f>
        <v/>
      </c>
      <c r="C126" s="1962" t="str">
        <f>IF(ROW() -5&lt;= MAX(B_Sheet!$Z$6:$Z$263),INDEX(B_Sheet!$B$6:$Z$263,MATCH(ROW()-5,B_Sheet!$Z$6:$Z$263,0),2),"")</f>
        <v/>
      </c>
      <c r="D126" s="1962" t="str">
        <f>IF(ROW() -5&lt;= MAX(B_Sheet!$Z$6:$Z$263),INDEX(B_Sheet!$B$6:$Z$263,MATCH(ROW()-5,B_Sheet!$Z$6:$Z$263,0),4),"")</f>
        <v/>
      </c>
      <c r="E126" s="3"/>
      <c r="F126" s="3"/>
      <c r="G126" t="str">
        <f>IF(ROW()-5&lt;=MAX(B_Sheet!$Z$6:$Z$263),INDEX(B_Sheet!$B$6:$Z$263,MATCH(ROW()-5,B_Sheet!$Z$6:$Z$263,0),24),"")</f>
        <v/>
      </c>
    </row>
    <row r="127" spans="1:7" x14ac:dyDescent="0.2">
      <c r="A127" s="3"/>
      <c r="B127" s="1962" t="str">
        <f>IF(ROW() -5&lt;= MAX(B_Sheet!$Z$6:$Z$263),INDEX(B_Sheet!$B$6:$Z$263,MATCH(ROW()-5,B_Sheet!$Z$6:$Z$263,0),1),"")</f>
        <v/>
      </c>
      <c r="C127" s="1962" t="str">
        <f>IF(ROW() -5&lt;= MAX(B_Sheet!$Z$6:$Z$263),INDEX(B_Sheet!$B$6:$Z$263,MATCH(ROW()-5,B_Sheet!$Z$6:$Z$263,0),2),"")</f>
        <v/>
      </c>
      <c r="D127" s="1962" t="str">
        <f>IF(ROW() -5&lt;= MAX(B_Sheet!$Z$6:$Z$263),INDEX(B_Sheet!$B$6:$Z$263,MATCH(ROW()-5,B_Sheet!$Z$6:$Z$263,0),4),"")</f>
        <v/>
      </c>
      <c r="E127" s="3"/>
      <c r="F127" s="3"/>
      <c r="G127" t="str">
        <f>IF(ROW()-5&lt;=MAX(B_Sheet!$Z$6:$Z$263),INDEX(B_Sheet!$B$6:$Z$263,MATCH(ROW()-5,B_Sheet!$Z$6:$Z$263,0),24),"")</f>
        <v/>
      </c>
    </row>
    <row r="128" spans="1:7" x14ac:dyDescent="0.2">
      <c r="A128" s="3"/>
      <c r="B128" s="1962" t="str">
        <f>IF(ROW() -5&lt;= MAX(B_Sheet!$Z$6:$Z$263),INDEX(B_Sheet!$B$6:$Z$263,MATCH(ROW()-5,B_Sheet!$Z$6:$Z$263,0),1),"")</f>
        <v/>
      </c>
      <c r="C128" s="1962" t="str">
        <f>IF(ROW() -5&lt;= MAX(B_Sheet!$Z$6:$Z$263),INDEX(B_Sheet!$B$6:$Z$263,MATCH(ROW()-5,B_Sheet!$Z$6:$Z$263,0),2),"")</f>
        <v/>
      </c>
      <c r="D128" s="1962" t="str">
        <f>IF(ROW() -5&lt;= MAX(B_Sheet!$Z$6:$Z$263),INDEX(B_Sheet!$B$6:$Z$263,MATCH(ROW()-5,B_Sheet!$Z$6:$Z$263,0),4),"")</f>
        <v/>
      </c>
      <c r="E128" s="3"/>
      <c r="F128" s="3"/>
      <c r="G128" t="str">
        <f>IF(ROW()-5&lt;=MAX(B_Sheet!$Z$6:$Z$263),INDEX(B_Sheet!$B$6:$Z$263,MATCH(ROW()-5,B_Sheet!$Z$6:$Z$263,0),24),"")</f>
        <v/>
      </c>
    </row>
    <row r="129" spans="1:7" x14ac:dyDescent="0.2">
      <c r="A129" s="3"/>
      <c r="B129" s="1962" t="str">
        <f>IF(ROW() -5&lt;= MAX(B_Sheet!$Z$6:$Z$263),INDEX(B_Sheet!$B$6:$Z$263,MATCH(ROW()-5,B_Sheet!$Z$6:$Z$263,0),1),"")</f>
        <v/>
      </c>
      <c r="C129" s="1962" t="str">
        <f>IF(ROW() -5&lt;= MAX(B_Sheet!$Z$6:$Z$263),INDEX(B_Sheet!$B$6:$Z$263,MATCH(ROW()-5,B_Sheet!$Z$6:$Z$263,0),2),"")</f>
        <v/>
      </c>
      <c r="D129" s="1962" t="str">
        <f>IF(ROW() -5&lt;= MAX(B_Sheet!$Z$6:$Z$263),INDEX(B_Sheet!$B$6:$Z$263,MATCH(ROW()-5,B_Sheet!$Z$6:$Z$263,0),4),"")</f>
        <v/>
      </c>
      <c r="E129" s="3"/>
      <c r="F129" s="3"/>
      <c r="G129" t="str">
        <f>IF(ROW()-5&lt;=MAX(B_Sheet!$Z$6:$Z$263),INDEX(B_Sheet!$B$6:$Z$263,MATCH(ROW()-5,B_Sheet!$Z$6:$Z$263,0),24),"")</f>
        <v/>
      </c>
    </row>
    <row r="130" spans="1:7" x14ac:dyDescent="0.2">
      <c r="A130" s="3"/>
      <c r="B130" s="1962" t="str">
        <f>IF(ROW() -5&lt;= MAX(B_Sheet!$Z$6:$Z$263),INDEX(B_Sheet!$B$6:$Z$263,MATCH(ROW()-5,B_Sheet!$Z$6:$Z$263,0),1),"")</f>
        <v/>
      </c>
      <c r="C130" s="1962" t="str">
        <f>IF(ROW() -5&lt;= MAX(B_Sheet!$Z$6:$Z$263),INDEX(B_Sheet!$B$6:$Z$263,MATCH(ROW()-5,B_Sheet!$Z$6:$Z$263,0),2),"")</f>
        <v/>
      </c>
      <c r="D130" s="1962" t="str">
        <f>IF(ROW() -5&lt;= MAX(B_Sheet!$Z$6:$Z$263),INDEX(B_Sheet!$B$6:$Z$263,MATCH(ROW()-5,B_Sheet!$Z$6:$Z$263,0),4),"")</f>
        <v/>
      </c>
      <c r="E130" s="3"/>
      <c r="F130" s="3"/>
      <c r="G130" t="str">
        <f>IF(ROW()-5&lt;=MAX(B_Sheet!$Z$6:$Z$263),INDEX(B_Sheet!$B$6:$Z$263,MATCH(ROW()-5,B_Sheet!$Z$6:$Z$263,0),24),"")</f>
        <v/>
      </c>
    </row>
    <row r="131" spans="1:7" x14ac:dyDescent="0.2">
      <c r="A131" s="3"/>
      <c r="B131" s="1962" t="str">
        <f>IF(ROW() -5&lt;= MAX(B_Sheet!$Z$6:$Z$263),INDEX(B_Sheet!$B$6:$Z$263,MATCH(ROW()-5,B_Sheet!$Z$6:$Z$263,0),1),"")</f>
        <v/>
      </c>
      <c r="C131" s="1962" t="str">
        <f>IF(ROW() -5&lt;= MAX(B_Sheet!$Z$6:$Z$263),INDEX(B_Sheet!$B$6:$Z$263,MATCH(ROW()-5,B_Sheet!$Z$6:$Z$263,0),2),"")</f>
        <v/>
      </c>
      <c r="D131" s="1962" t="str">
        <f>IF(ROW() -5&lt;= MAX(B_Sheet!$Z$6:$Z$263),INDEX(B_Sheet!$B$6:$Z$263,MATCH(ROW()-5,B_Sheet!$Z$6:$Z$263,0),4),"")</f>
        <v/>
      </c>
      <c r="E131" s="3"/>
      <c r="F131" s="3"/>
      <c r="G131" t="str">
        <f>IF(ROW()-5&lt;=MAX(B_Sheet!$Z$6:$Z$263),INDEX(B_Sheet!$B$6:$Z$263,MATCH(ROW()-5,B_Sheet!$Z$6:$Z$263,0),24),"")</f>
        <v/>
      </c>
    </row>
    <row r="132" spans="1:7" x14ac:dyDescent="0.2">
      <c r="A132" s="3"/>
      <c r="B132" s="1962" t="str">
        <f>IF(ROW() -5&lt;= MAX(B_Sheet!$Z$6:$Z$263),INDEX(B_Sheet!$B$6:$Z$263,MATCH(ROW()-5,B_Sheet!$Z$6:$Z$263,0),1),"")</f>
        <v/>
      </c>
      <c r="C132" s="1962" t="str">
        <f>IF(ROW() -5&lt;= MAX(B_Sheet!$Z$6:$Z$263),INDEX(B_Sheet!$B$6:$Z$263,MATCH(ROW()-5,B_Sheet!$Z$6:$Z$263,0),2),"")</f>
        <v/>
      </c>
      <c r="D132" s="1962" t="str">
        <f>IF(ROW() -5&lt;= MAX(B_Sheet!$Z$6:$Z$263),INDEX(B_Sheet!$B$6:$Z$263,MATCH(ROW()-5,B_Sheet!$Z$6:$Z$263,0),4),"")</f>
        <v/>
      </c>
      <c r="E132" s="3"/>
      <c r="F132" s="3"/>
      <c r="G132" t="str">
        <f>IF(ROW()-5&lt;=MAX(B_Sheet!$Z$6:$Z$263),INDEX(B_Sheet!$B$6:$Z$263,MATCH(ROW()-5,B_Sheet!$Z$6:$Z$263,0),24),"")</f>
        <v/>
      </c>
    </row>
    <row r="133" spans="1:7" x14ac:dyDescent="0.2">
      <c r="A133" s="3"/>
      <c r="B133" s="1962" t="str">
        <f>IF(ROW() -5&lt;= MAX(B_Sheet!$Z$6:$Z$263),INDEX(B_Sheet!$B$6:$Z$263,MATCH(ROW()-5,B_Sheet!$Z$6:$Z$263,0),1),"")</f>
        <v/>
      </c>
      <c r="C133" s="1962" t="str">
        <f>IF(ROW() -5&lt;= MAX(B_Sheet!$Z$6:$Z$263),INDEX(B_Sheet!$B$6:$Z$263,MATCH(ROW()-5,B_Sheet!$Z$6:$Z$263,0),2),"")</f>
        <v/>
      </c>
      <c r="D133" s="1962" t="str">
        <f>IF(ROW() -5&lt;= MAX(B_Sheet!$Z$6:$Z$263),INDEX(B_Sheet!$B$6:$Z$263,MATCH(ROW()-5,B_Sheet!$Z$6:$Z$263,0),4),"")</f>
        <v/>
      </c>
      <c r="E133" s="3"/>
      <c r="F133" s="3"/>
      <c r="G133" t="str">
        <f>IF(ROW()-5&lt;=MAX(B_Sheet!$Z$6:$Z$263),INDEX(B_Sheet!$B$6:$Z$263,MATCH(ROW()-5,B_Sheet!$Z$6:$Z$263,0),24),"")</f>
        <v/>
      </c>
    </row>
    <row r="134" spans="1:7" x14ac:dyDescent="0.2">
      <c r="A134" s="3"/>
      <c r="B134" s="1962" t="str">
        <f>IF(ROW() -5&lt;= MAX(B_Sheet!$Z$6:$Z$263),INDEX(B_Sheet!$B$6:$Z$263,MATCH(ROW()-5,B_Sheet!$Z$6:$Z$263,0),1),"")</f>
        <v/>
      </c>
      <c r="C134" s="1962" t="str">
        <f>IF(ROW() -5&lt;= MAX(B_Sheet!$Z$6:$Z$263),INDEX(B_Sheet!$B$6:$Z$263,MATCH(ROW()-5,B_Sheet!$Z$6:$Z$263,0),2),"")</f>
        <v/>
      </c>
      <c r="D134" s="1962" t="str">
        <f>IF(ROW() -5&lt;= MAX(B_Sheet!$Z$6:$Z$263),INDEX(B_Sheet!$B$6:$Z$263,MATCH(ROW()-5,B_Sheet!$Z$6:$Z$263,0),4),"")</f>
        <v/>
      </c>
      <c r="E134" s="3"/>
      <c r="F134" s="3"/>
      <c r="G134" t="str">
        <f>IF(ROW()-5&lt;=MAX(B_Sheet!$Z$6:$Z$263),INDEX(B_Sheet!$B$6:$Z$263,MATCH(ROW()-5,B_Sheet!$Z$6:$Z$263,0),24),"")</f>
        <v/>
      </c>
    </row>
    <row r="135" spans="1:7" x14ac:dyDescent="0.2">
      <c r="A135" s="3"/>
      <c r="B135" s="1962" t="str">
        <f>IF(ROW() -5&lt;= MAX(B_Sheet!$Z$6:$Z$263),INDEX(B_Sheet!$B$6:$Z$263,MATCH(ROW()-5,B_Sheet!$Z$6:$Z$263,0),1),"")</f>
        <v/>
      </c>
      <c r="C135" s="1962" t="str">
        <f>IF(ROW() -5&lt;= MAX(B_Sheet!$Z$6:$Z$263),INDEX(B_Sheet!$B$6:$Z$263,MATCH(ROW()-5,B_Sheet!$Z$6:$Z$263,0),2),"")</f>
        <v/>
      </c>
      <c r="D135" s="1962" t="str">
        <f>IF(ROW() -5&lt;= MAX(B_Sheet!$Z$6:$Z$263),INDEX(B_Sheet!$B$6:$Z$263,MATCH(ROW()-5,B_Sheet!$Z$6:$Z$263,0),4),"")</f>
        <v/>
      </c>
      <c r="E135" s="3"/>
      <c r="F135" s="3"/>
      <c r="G135" t="str">
        <f>IF(ROW()-5&lt;=MAX(B_Sheet!$Z$6:$Z$263),INDEX(B_Sheet!$B$6:$Z$263,MATCH(ROW()-5,B_Sheet!$Z$6:$Z$263,0),24),"")</f>
        <v/>
      </c>
    </row>
    <row r="136" spans="1:7" x14ac:dyDescent="0.2">
      <c r="A136" s="3"/>
      <c r="B136" s="1962" t="str">
        <f>IF(ROW() -5&lt;= MAX(B_Sheet!$Z$6:$Z$263),INDEX(B_Sheet!$B$6:$Z$263,MATCH(ROW()-5,B_Sheet!$Z$6:$Z$263,0),1),"")</f>
        <v/>
      </c>
      <c r="C136" s="1962" t="str">
        <f>IF(ROW() -5&lt;= MAX(B_Sheet!$Z$6:$Z$263),INDEX(B_Sheet!$B$6:$Z$263,MATCH(ROW()-5,B_Sheet!$Z$6:$Z$263,0),2),"")</f>
        <v/>
      </c>
      <c r="D136" s="1962" t="str">
        <f>IF(ROW() -5&lt;= MAX(B_Sheet!$Z$6:$Z$263),INDEX(B_Sheet!$B$6:$Z$263,MATCH(ROW()-5,B_Sheet!$Z$6:$Z$263,0),4),"")</f>
        <v/>
      </c>
      <c r="E136" s="3"/>
      <c r="F136" s="3"/>
      <c r="G136" t="str">
        <f>IF(ROW()-5&lt;=MAX(B_Sheet!$Z$6:$Z$263),INDEX(B_Sheet!$B$6:$Z$263,MATCH(ROW()-5,B_Sheet!$Z$6:$Z$263,0),24),"")</f>
        <v/>
      </c>
    </row>
    <row r="137" spans="1:7" x14ac:dyDescent="0.2">
      <c r="A137" s="3"/>
      <c r="B137" s="1962" t="str">
        <f>IF(ROW() -5&lt;= MAX(B_Sheet!$Z$6:$Z$263),INDEX(B_Sheet!$B$6:$Z$263,MATCH(ROW()-5,B_Sheet!$Z$6:$Z$263,0),1),"")</f>
        <v/>
      </c>
      <c r="C137" s="1962" t="str">
        <f>IF(ROW() -5&lt;= MAX(B_Sheet!$Z$6:$Z$263),INDEX(B_Sheet!$B$6:$Z$263,MATCH(ROW()-5,B_Sheet!$Z$6:$Z$263,0),2),"")</f>
        <v/>
      </c>
      <c r="D137" s="1962" t="str">
        <f>IF(ROW() -5&lt;= MAX(B_Sheet!$Z$6:$Z$263),INDEX(B_Sheet!$B$6:$Z$263,MATCH(ROW()-5,B_Sheet!$Z$6:$Z$263,0),4),"")</f>
        <v/>
      </c>
      <c r="E137" s="3"/>
      <c r="F137" s="3"/>
      <c r="G137" t="str">
        <f>IF(ROW()-5&lt;=MAX(B_Sheet!$Z$6:$Z$263),INDEX(B_Sheet!$B$6:$Z$263,MATCH(ROW()-5,B_Sheet!$Z$6:$Z$263,0),24),"")</f>
        <v/>
      </c>
    </row>
    <row r="138" spans="1:7" x14ac:dyDescent="0.2">
      <c r="A138" s="3"/>
      <c r="B138" s="1962" t="str">
        <f>IF(ROW() -5&lt;= MAX(B_Sheet!$Z$6:$Z$263),INDEX(B_Sheet!$B$6:$Z$263,MATCH(ROW()-5,B_Sheet!$Z$6:$Z$263,0),1),"")</f>
        <v/>
      </c>
      <c r="C138" s="1962" t="str">
        <f>IF(ROW() -5&lt;= MAX(B_Sheet!$Z$6:$Z$263),INDEX(B_Sheet!$B$6:$Z$263,MATCH(ROW()-5,B_Sheet!$Z$6:$Z$263,0),2),"")</f>
        <v/>
      </c>
      <c r="D138" s="1962" t="str">
        <f>IF(ROW() -5&lt;= MAX(B_Sheet!$Z$6:$Z$263),INDEX(B_Sheet!$B$6:$Z$263,MATCH(ROW()-5,B_Sheet!$Z$6:$Z$263,0),4),"")</f>
        <v/>
      </c>
      <c r="E138" s="3"/>
      <c r="F138" s="3"/>
      <c r="G138" t="str">
        <f>IF(ROW()-5&lt;=MAX(B_Sheet!$Z$6:$Z$263),INDEX(B_Sheet!$B$6:$Z$263,MATCH(ROW()-5,B_Sheet!$Z$6:$Z$263,0),24),"")</f>
        <v/>
      </c>
    </row>
    <row r="139" spans="1:7" x14ac:dyDescent="0.2">
      <c r="A139" s="3"/>
      <c r="B139" s="1962" t="str">
        <f>IF(ROW() -5&lt;= MAX(B_Sheet!$Z$6:$Z$263),INDEX(B_Sheet!$B$6:$Z$263,MATCH(ROW()-5,B_Sheet!$Z$6:$Z$263,0),1),"")</f>
        <v/>
      </c>
      <c r="C139" s="1962" t="str">
        <f>IF(ROW() -5&lt;= MAX(B_Sheet!$Z$6:$Z$263),INDEX(B_Sheet!$B$6:$Z$263,MATCH(ROW()-5,B_Sheet!$Z$6:$Z$263,0),2),"")</f>
        <v/>
      </c>
      <c r="D139" s="1962" t="str">
        <f>IF(ROW() -5&lt;= MAX(B_Sheet!$Z$6:$Z$263),INDEX(B_Sheet!$B$6:$Z$263,MATCH(ROW()-5,B_Sheet!$Z$6:$Z$263,0),4),"")</f>
        <v/>
      </c>
      <c r="E139" s="3"/>
      <c r="F139" s="3"/>
      <c r="G139" t="str">
        <f>IF(ROW()-5&lt;=MAX(B_Sheet!$Z$6:$Z$263),INDEX(B_Sheet!$B$6:$Z$263,MATCH(ROW()-5,B_Sheet!$Z$6:$Z$263,0),24),"")</f>
        <v/>
      </c>
    </row>
    <row r="140" spans="1:7" x14ac:dyDescent="0.2">
      <c r="A140" s="3"/>
      <c r="B140" s="1962" t="str">
        <f>IF(ROW() -5&lt;= MAX(B_Sheet!$Z$6:$Z$263),INDEX(B_Sheet!$B$6:$Z$263,MATCH(ROW()-5,B_Sheet!$Z$6:$Z$263,0),1),"")</f>
        <v/>
      </c>
      <c r="C140" s="1962" t="str">
        <f>IF(ROW() -5&lt;= MAX(B_Sheet!$Z$6:$Z$263),INDEX(B_Sheet!$B$6:$Z$263,MATCH(ROW()-5,B_Sheet!$Z$6:$Z$263,0),2),"")</f>
        <v/>
      </c>
      <c r="D140" s="1962" t="str">
        <f>IF(ROW() -5&lt;= MAX(B_Sheet!$Z$6:$Z$263),INDEX(B_Sheet!$B$6:$Z$263,MATCH(ROW()-5,B_Sheet!$Z$6:$Z$263,0),4),"")</f>
        <v/>
      </c>
      <c r="E140" s="3"/>
      <c r="F140" s="3"/>
      <c r="G140" t="str">
        <f>IF(ROW()-5&lt;=MAX(B_Sheet!$Z$6:$Z$263),INDEX(B_Sheet!$B$6:$Z$263,MATCH(ROW()-5,B_Sheet!$Z$6:$Z$263,0),24),"")</f>
        <v/>
      </c>
    </row>
    <row r="141" spans="1:7" x14ac:dyDescent="0.2">
      <c r="A141" s="3"/>
      <c r="B141" s="1962" t="str">
        <f>IF(ROW() -5&lt;= MAX(B_Sheet!$Z$6:$Z$263),INDEX(B_Sheet!$B$6:$Z$263,MATCH(ROW()-5,B_Sheet!$Z$6:$Z$263,0),1),"")</f>
        <v/>
      </c>
      <c r="C141" s="1962" t="str">
        <f>IF(ROW() -5&lt;= MAX(B_Sheet!$Z$6:$Z$263),INDEX(B_Sheet!$B$6:$Z$263,MATCH(ROW()-5,B_Sheet!$Z$6:$Z$263,0),2),"")</f>
        <v/>
      </c>
      <c r="D141" s="1962" t="str">
        <f>IF(ROW() -5&lt;= MAX(B_Sheet!$Z$6:$Z$263),INDEX(B_Sheet!$B$6:$Z$263,MATCH(ROW()-5,B_Sheet!$Z$6:$Z$263,0),4),"")</f>
        <v/>
      </c>
      <c r="E141" s="3"/>
      <c r="F141" s="3"/>
      <c r="G141" t="str">
        <f>IF(ROW()-5&lt;=MAX(B_Sheet!$Z$6:$Z$263),INDEX(B_Sheet!$B$6:$Z$263,MATCH(ROW()-5,B_Sheet!$Z$6:$Z$263,0),24),"")</f>
        <v/>
      </c>
    </row>
    <row r="142" spans="1:7" x14ac:dyDescent="0.2">
      <c r="A142" s="3"/>
      <c r="B142" s="1962" t="str">
        <f>IF(ROW() -5&lt;= MAX(B_Sheet!$Z$6:$Z$263),INDEX(B_Sheet!$B$6:$Z$263,MATCH(ROW()-5,B_Sheet!$Z$6:$Z$263,0),1),"")</f>
        <v/>
      </c>
      <c r="C142" s="1962" t="str">
        <f>IF(ROW() -5&lt;= MAX(B_Sheet!$Z$6:$Z$263),INDEX(B_Sheet!$B$6:$Z$263,MATCH(ROW()-5,B_Sheet!$Z$6:$Z$263,0),2),"")</f>
        <v/>
      </c>
      <c r="D142" s="1962" t="str">
        <f>IF(ROW() -5&lt;= MAX(B_Sheet!$Z$6:$Z$263),INDEX(B_Sheet!$B$6:$Z$263,MATCH(ROW()-5,B_Sheet!$Z$6:$Z$263,0),4),"")</f>
        <v/>
      </c>
      <c r="E142" s="3"/>
      <c r="F142" s="3"/>
      <c r="G142" t="str">
        <f>IF(ROW()-5&lt;=MAX(B_Sheet!$Z$6:$Z$263),INDEX(B_Sheet!$B$6:$Z$263,MATCH(ROW()-5,B_Sheet!$Z$6:$Z$263,0),24),"")</f>
        <v/>
      </c>
    </row>
    <row r="143" spans="1:7" x14ac:dyDescent="0.2">
      <c r="A143" s="3"/>
      <c r="B143" s="1962" t="str">
        <f>IF(ROW() -5&lt;= MAX(B_Sheet!$Z$6:$Z$263),INDEX(B_Sheet!$B$6:$Z$263,MATCH(ROW()-5,B_Sheet!$Z$6:$Z$263,0),1),"")</f>
        <v/>
      </c>
      <c r="C143" s="1962" t="str">
        <f>IF(ROW() -5&lt;= MAX(B_Sheet!$Z$6:$Z$263),INDEX(B_Sheet!$B$6:$Z$263,MATCH(ROW()-5,B_Sheet!$Z$6:$Z$263,0),2),"")</f>
        <v/>
      </c>
      <c r="D143" s="1962" t="str">
        <f>IF(ROW() -5&lt;= MAX(B_Sheet!$Z$6:$Z$263),INDEX(B_Sheet!$B$6:$Z$263,MATCH(ROW()-5,B_Sheet!$Z$6:$Z$263,0),4),"")</f>
        <v/>
      </c>
      <c r="E143" s="3"/>
      <c r="F143" s="3"/>
      <c r="G143" t="str">
        <f>IF(ROW()-5&lt;=MAX(B_Sheet!$Z$6:$Z$263),INDEX(B_Sheet!$B$6:$Z$263,MATCH(ROW()-5,B_Sheet!$Z$6:$Z$263,0),24),"")</f>
        <v/>
      </c>
    </row>
    <row r="144" spans="1:7" x14ac:dyDescent="0.2">
      <c r="A144" s="3"/>
      <c r="B144" s="1962" t="str">
        <f>IF(ROW() -5&lt;= MAX(B_Sheet!$Z$6:$Z$263),INDEX(B_Sheet!$B$6:$Z$263,MATCH(ROW()-5,B_Sheet!$Z$6:$Z$263,0),1),"")</f>
        <v/>
      </c>
      <c r="C144" s="1962" t="str">
        <f>IF(ROW() -5&lt;= MAX(B_Sheet!$Z$6:$Z$263),INDEX(B_Sheet!$B$6:$Z$263,MATCH(ROW()-5,B_Sheet!$Z$6:$Z$263,0),2),"")</f>
        <v/>
      </c>
      <c r="D144" s="1962" t="str">
        <f>IF(ROW() -5&lt;= MAX(B_Sheet!$Z$6:$Z$263),INDEX(B_Sheet!$B$6:$Z$263,MATCH(ROW()-5,B_Sheet!$Z$6:$Z$263,0),4),"")</f>
        <v/>
      </c>
      <c r="E144" s="3"/>
      <c r="F144" s="3"/>
      <c r="G144" t="str">
        <f>IF(ROW()-5&lt;=MAX(B_Sheet!$Z$6:$Z$263),INDEX(B_Sheet!$B$6:$Z$263,MATCH(ROW()-5,B_Sheet!$Z$6:$Z$263,0),24),"")</f>
        <v/>
      </c>
    </row>
    <row r="145" spans="1:7" x14ac:dyDescent="0.2">
      <c r="A145" s="3"/>
      <c r="B145" s="1962" t="str">
        <f>IF(ROW() -5&lt;= MAX(B_Sheet!$Z$6:$Z$263),INDEX(B_Sheet!$B$6:$Z$263,MATCH(ROW()-5,B_Sheet!$Z$6:$Z$263,0),1),"")</f>
        <v/>
      </c>
      <c r="C145" s="1962" t="str">
        <f>IF(ROW() -5&lt;= MAX(B_Sheet!$Z$6:$Z$263),INDEX(B_Sheet!$B$6:$Z$263,MATCH(ROW()-5,B_Sheet!$Z$6:$Z$263,0),2),"")</f>
        <v/>
      </c>
      <c r="D145" s="1962" t="str">
        <f>IF(ROW() -5&lt;= MAX(B_Sheet!$Z$6:$Z$263),INDEX(B_Sheet!$B$6:$Z$263,MATCH(ROW()-5,B_Sheet!$Z$6:$Z$263,0),4),"")</f>
        <v/>
      </c>
      <c r="E145" s="3"/>
      <c r="F145" s="3"/>
      <c r="G145" t="str">
        <f>IF(ROW()-5&lt;=MAX(B_Sheet!$Z$6:$Z$263),INDEX(B_Sheet!$B$6:$Z$263,MATCH(ROW()-5,B_Sheet!$Z$6:$Z$263,0),24),"")</f>
        <v/>
      </c>
    </row>
    <row r="146" spans="1:7" x14ac:dyDescent="0.2">
      <c r="A146" s="3"/>
      <c r="B146" s="1962" t="str">
        <f>IF(ROW() -5&lt;= MAX(B_Sheet!$Z$6:$Z$263),INDEX(B_Sheet!$B$6:$Z$263,MATCH(ROW()-5,B_Sheet!$Z$6:$Z$263,0),1),"")</f>
        <v/>
      </c>
      <c r="C146" s="1962" t="str">
        <f>IF(ROW() -5&lt;= MAX(B_Sheet!$Z$6:$Z$263),INDEX(B_Sheet!$B$6:$Z$263,MATCH(ROW()-5,B_Sheet!$Z$6:$Z$263,0),2),"")</f>
        <v/>
      </c>
      <c r="D146" s="1962" t="str">
        <f>IF(ROW() -5&lt;= MAX(B_Sheet!$Z$6:$Z$263),INDEX(B_Sheet!$B$6:$Z$263,MATCH(ROW()-5,B_Sheet!$Z$6:$Z$263,0),4),"")</f>
        <v/>
      </c>
      <c r="E146" s="3"/>
      <c r="F146" s="3"/>
      <c r="G146" t="str">
        <f>IF(ROW()-5&lt;=MAX(B_Sheet!$Z$6:$Z$263),INDEX(B_Sheet!$B$6:$Z$263,MATCH(ROW()-5,B_Sheet!$Z$6:$Z$263,0),24),"")</f>
        <v/>
      </c>
    </row>
    <row r="147" spans="1:7" x14ac:dyDescent="0.2">
      <c r="A147" s="3"/>
      <c r="B147" s="1962" t="str">
        <f>IF(ROW() -5&lt;= MAX(B_Sheet!$Z$6:$Z$263),INDEX(B_Sheet!$B$6:$Z$263,MATCH(ROW()-5,B_Sheet!$Z$6:$Z$263,0),1),"")</f>
        <v/>
      </c>
      <c r="C147" s="1962" t="str">
        <f>IF(ROW() -5&lt;= MAX(B_Sheet!$Z$6:$Z$263),INDEX(B_Sheet!$B$6:$Z$263,MATCH(ROW()-5,B_Sheet!$Z$6:$Z$263,0),2),"")</f>
        <v/>
      </c>
      <c r="D147" s="1962" t="str">
        <f>IF(ROW() -5&lt;= MAX(B_Sheet!$Z$6:$Z$263),INDEX(B_Sheet!$B$6:$Z$263,MATCH(ROW()-5,B_Sheet!$Z$6:$Z$263,0),4),"")</f>
        <v/>
      </c>
      <c r="E147" s="3"/>
      <c r="F147" s="3"/>
      <c r="G147" t="str">
        <f>IF(ROW()-5&lt;=MAX(B_Sheet!$Z$6:$Z$263),INDEX(B_Sheet!$B$6:$Z$263,MATCH(ROW()-5,B_Sheet!$Z$6:$Z$263,0),24),"")</f>
        <v/>
      </c>
    </row>
    <row r="148" spans="1:7" x14ac:dyDescent="0.2">
      <c r="A148" s="3"/>
      <c r="B148" s="1962" t="str">
        <f>IF(ROW() -5&lt;= MAX(B_Sheet!$Z$6:$Z$263),INDEX(B_Sheet!$B$6:$Z$263,MATCH(ROW()-5,B_Sheet!$Z$6:$Z$263,0),1),"")</f>
        <v/>
      </c>
      <c r="C148" s="1962" t="str">
        <f>IF(ROW() -5&lt;= MAX(B_Sheet!$Z$6:$Z$263),INDEX(B_Sheet!$B$6:$Z$263,MATCH(ROW()-5,B_Sheet!$Z$6:$Z$263,0),2),"")</f>
        <v/>
      </c>
      <c r="D148" s="1962" t="str">
        <f>IF(ROW() -5&lt;= MAX(B_Sheet!$Z$6:$Z$263),INDEX(B_Sheet!$B$6:$Z$263,MATCH(ROW()-5,B_Sheet!$Z$6:$Z$263,0),4),"")</f>
        <v/>
      </c>
      <c r="E148" s="3"/>
      <c r="F148" s="3"/>
      <c r="G148" t="str">
        <f>IF(ROW()-5&lt;=MAX(B_Sheet!$Z$6:$Z$263),INDEX(B_Sheet!$B$6:$Z$263,MATCH(ROW()-5,B_Sheet!$Z$6:$Z$263,0),24),"")</f>
        <v/>
      </c>
    </row>
    <row r="149" spans="1:7" x14ac:dyDescent="0.2">
      <c r="A149" s="3"/>
      <c r="B149" s="1962" t="str">
        <f>IF(ROW() -5&lt;= MAX(B_Sheet!$Z$6:$Z$263),INDEX(B_Sheet!$B$6:$Z$263,MATCH(ROW()-5,B_Sheet!$Z$6:$Z$263,0),1),"")</f>
        <v/>
      </c>
      <c r="C149" s="1962" t="str">
        <f>IF(ROW() -5&lt;= MAX(B_Sheet!$Z$6:$Z$263),INDEX(B_Sheet!$B$6:$Z$263,MATCH(ROW()-5,B_Sheet!$Z$6:$Z$263,0),2),"")</f>
        <v/>
      </c>
      <c r="D149" s="1962" t="str">
        <f>IF(ROW() -5&lt;= MAX(B_Sheet!$Z$6:$Z$263),INDEX(B_Sheet!$B$6:$Z$263,MATCH(ROW()-5,B_Sheet!$Z$6:$Z$263,0),4),"")</f>
        <v/>
      </c>
      <c r="E149" s="3"/>
      <c r="F149" s="3"/>
      <c r="G149" t="str">
        <f>IF(ROW()-5&lt;=MAX(B_Sheet!$Z$6:$Z$263),INDEX(B_Sheet!$B$6:$Z$263,MATCH(ROW()-5,B_Sheet!$Z$6:$Z$263,0),24),"")</f>
        <v/>
      </c>
    </row>
    <row r="150" spans="1:7" x14ac:dyDescent="0.2">
      <c r="A150" s="3"/>
      <c r="B150" s="1962" t="str">
        <f>IF(ROW() -5&lt;= MAX(B_Sheet!$Z$6:$Z$263),INDEX(B_Sheet!$B$6:$Z$263,MATCH(ROW()-5,B_Sheet!$Z$6:$Z$263,0),1),"")</f>
        <v/>
      </c>
      <c r="C150" s="1962" t="str">
        <f>IF(ROW() -5&lt;= MAX(B_Sheet!$Z$6:$Z$263),INDEX(B_Sheet!$B$6:$Z$263,MATCH(ROW()-5,B_Sheet!$Z$6:$Z$263,0),2),"")</f>
        <v/>
      </c>
      <c r="D150" s="1962" t="str">
        <f>IF(ROW() -5&lt;= MAX(B_Sheet!$Z$6:$Z$263),INDEX(B_Sheet!$B$6:$Z$263,MATCH(ROW()-5,B_Sheet!$Z$6:$Z$263,0),4),"")</f>
        <v/>
      </c>
      <c r="E150" s="3"/>
      <c r="F150" s="3"/>
      <c r="G150" t="str">
        <f>IF(ROW()-5&lt;=MAX(B_Sheet!$Z$6:$Z$263),INDEX(B_Sheet!$B$6:$Z$263,MATCH(ROW()-5,B_Sheet!$Z$6:$Z$263,0),24),"")</f>
        <v/>
      </c>
    </row>
    <row r="151" spans="1:7" x14ac:dyDescent="0.2">
      <c r="A151" s="3"/>
      <c r="B151" s="1962" t="str">
        <f>IF(ROW() -5&lt;= MAX(B_Sheet!$Z$6:$Z$263),INDEX(B_Sheet!$B$6:$Z$263,MATCH(ROW()-5,B_Sheet!$Z$6:$Z$263,0),1),"")</f>
        <v/>
      </c>
      <c r="C151" s="1962" t="str">
        <f>IF(ROW() -5&lt;= MAX(B_Sheet!$Z$6:$Z$263),INDEX(B_Sheet!$B$6:$Z$263,MATCH(ROW()-5,B_Sheet!$Z$6:$Z$263,0),2),"")</f>
        <v/>
      </c>
      <c r="D151" s="1962" t="str">
        <f>IF(ROW() -5&lt;= MAX(B_Sheet!$Z$6:$Z$263),INDEX(B_Sheet!$B$6:$Z$263,MATCH(ROW()-5,B_Sheet!$Z$6:$Z$263,0),4),"")</f>
        <v/>
      </c>
      <c r="E151" s="3"/>
      <c r="F151" s="3"/>
      <c r="G151" t="str">
        <f>IF(ROW()-5&lt;=MAX(B_Sheet!$Z$6:$Z$263),INDEX(B_Sheet!$B$6:$Z$263,MATCH(ROW()-5,B_Sheet!$Z$6:$Z$263,0),24),"")</f>
        <v/>
      </c>
    </row>
    <row r="152" spans="1:7" x14ac:dyDescent="0.2">
      <c r="A152" s="3"/>
      <c r="B152" s="1962" t="str">
        <f>IF(ROW() -5&lt;= MAX(B_Sheet!$Z$6:$Z$263),INDEX(B_Sheet!$B$6:$Z$263,MATCH(ROW()-5,B_Sheet!$Z$6:$Z$263,0),1),"")</f>
        <v/>
      </c>
      <c r="C152" s="1962" t="str">
        <f>IF(ROW() -5&lt;= MAX(B_Sheet!$Z$6:$Z$263),INDEX(B_Sheet!$B$6:$Z$263,MATCH(ROW()-5,B_Sheet!$Z$6:$Z$263,0),2),"")</f>
        <v/>
      </c>
      <c r="D152" s="1962" t="str">
        <f>IF(ROW() -5&lt;= MAX(B_Sheet!$Z$6:$Z$263),INDEX(B_Sheet!$B$6:$Z$263,MATCH(ROW()-5,B_Sheet!$Z$6:$Z$263,0),4),"")</f>
        <v/>
      </c>
      <c r="E152" s="3"/>
      <c r="F152" s="3"/>
      <c r="G152" t="str">
        <f>IF(ROW()-5&lt;=MAX(B_Sheet!$Z$6:$Z$263),INDEX(B_Sheet!$B$6:$Z$263,MATCH(ROW()-5,B_Sheet!$Z$6:$Z$263,0),24),"")</f>
        <v/>
      </c>
    </row>
    <row r="153" spans="1:7" x14ac:dyDescent="0.2">
      <c r="A153" s="3"/>
      <c r="B153" s="1962" t="str">
        <f>IF(ROW() -5&lt;= MAX(B_Sheet!$Z$6:$Z$263),INDEX(B_Sheet!$B$6:$Z$263,MATCH(ROW()-5,B_Sheet!$Z$6:$Z$263,0),1),"")</f>
        <v/>
      </c>
      <c r="C153" s="1962" t="str">
        <f>IF(ROW() -5&lt;= MAX(B_Sheet!$Z$6:$Z$263),INDEX(B_Sheet!$B$6:$Z$263,MATCH(ROW()-5,B_Sheet!$Z$6:$Z$263,0),2),"")</f>
        <v/>
      </c>
      <c r="D153" s="1962" t="str">
        <f>IF(ROW() -5&lt;= MAX(B_Sheet!$Z$6:$Z$263),INDEX(B_Sheet!$B$6:$Z$263,MATCH(ROW()-5,B_Sheet!$Z$6:$Z$263,0),4),"")</f>
        <v/>
      </c>
      <c r="E153" s="3"/>
      <c r="F153" s="3"/>
      <c r="G153" t="str">
        <f>IF(ROW()-5&lt;=MAX(B_Sheet!$Z$6:$Z$263),INDEX(B_Sheet!$B$6:$Z$263,MATCH(ROW()-5,B_Sheet!$Z$6:$Z$263,0),24),"")</f>
        <v/>
      </c>
    </row>
    <row r="154" spans="1:7" x14ac:dyDescent="0.2">
      <c r="A154" s="3"/>
      <c r="B154" s="1962" t="str">
        <f>IF(ROW() -5&lt;= MAX(B_Sheet!$Z$6:$Z$263),INDEX(B_Sheet!$B$6:$Z$263,MATCH(ROW()-5,B_Sheet!$Z$6:$Z$263,0),1),"")</f>
        <v/>
      </c>
      <c r="C154" s="1962" t="str">
        <f>IF(ROW() -5&lt;= MAX(B_Sheet!$Z$6:$Z$263),INDEX(B_Sheet!$B$6:$Z$263,MATCH(ROW()-5,B_Sheet!$Z$6:$Z$263,0),2),"")</f>
        <v/>
      </c>
      <c r="D154" s="1962" t="str">
        <f>IF(ROW() -5&lt;= MAX(B_Sheet!$Z$6:$Z$263),INDEX(B_Sheet!$B$6:$Z$263,MATCH(ROW()-5,B_Sheet!$Z$6:$Z$263,0),4),"")</f>
        <v/>
      </c>
      <c r="E154" s="3"/>
      <c r="F154" s="3"/>
      <c r="G154" t="str">
        <f>IF(ROW()-5&lt;=MAX(B_Sheet!$Z$6:$Z$263),INDEX(B_Sheet!$B$6:$Z$263,MATCH(ROW()-5,B_Sheet!$Z$6:$Z$263,0),24),"")</f>
        <v/>
      </c>
    </row>
    <row r="155" spans="1:7" x14ac:dyDescent="0.2">
      <c r="A155" s="3"/>
      <c r="B155" s="1962" t="str">
        <f>IF(ROW() -5&lt;= MAX(B_Sheet!$Z$6:$Z$263),INDEX(B_Sheet!$B$6:$Z$263,MATCH(ROW()-5,B_Sheet!$Z$6:$Z$263,0),1),"")</f>
        <v/>
      </c>
      <c r="C155" s="1962" t="str">
        <f>IF(ROW() -5&lt;= MAX(B_Sheet!$Z$6:$Z$263),INDEX(B_Sheet!$B$6:$Z$263,MATCH(ROW()-5,B_Sheet!$Z$6:$Z$263,0),2),"")</f>
        <v/>
      </c>
      <c r="D155" s="1962" t="str">
        <f>IF(ROW() -5&lt;= MAX(B_Sheet!$Z$6:$Z$263),INDEX(B_Sheet!$B$6:$Z$263,MATCH(ROW()-5,B_Sheet!$Z$6:$Z$263,0),4),"")</f>
        <v/>
      </c>
      <c r="E155" s="3"/>
      <c r="F155" s="3"/>
      <c r="G155" t="str">
        <f>IF(ROW()-5&lt;=MAX(B_Sheet!$Z$6:$Z$263),INDEX(B_Sheet!$B$6:$Z$263,MATCH(ROW()-5,B_Sheet!$Z$6:$Z$263,0),24),"")</f>
        <v/>
      </c>
    </row>
    <row r="156" spans="1:7" x14ac:dyDescent="0.2">
      <c r="A156" s="3"/>
      <c r="B156" s="1962" t="str">
        <f>IF(ROW() -5&lt;= MAX(B_Sheet!$Z$6:$Z$263),INDEX(B_Sheet!$B$6:$Z$263,MATCH(ROW()-5,B_Sheet!$Z$6:$Z$263,0),1),"")</f>
        <v/>
      </c>
      <c r="C156" s="1962" t="str">
        <f>IF(ROW() -5&lt;= MAX(B_Sheet!$Z$6:$Z$263),INDEX(B_Sheet!$B$6:$Z$263,MATCH(ROW()-5,B_Sheet!$Z$6:$Z$263,0),2),"")</f>
        <v/>
      </c>
      <c r="D156" s="1962" t="str">
        <f>IF(ROW() -5&lt;= MAX(B_Sheet!$Z$6:$Z$263),INDEX(B_Sheet!$B$6:$Z$263,MATCH(ROW()-5,B_Sheet!$Z$6:$Z$263,0),4),"")</f>
        <v/>
      </c>
      <c r="E156" s="3"/>
      <c r="F156" s="3"/>
      <c r="G156" t="str">
        <f>IF(ROW()-5&lt;=MAX(B_Sheet!$Z$6:$Z$263),INDEX(B_Sheet!$B$6:$Z$263,MATCH(ROW()-5,B_Sheet!$Z$6:$Z$263,0),24),"")</f>
        <v/>
      </c>
    </row>
    <row r="157" spans="1:7" x14ac:dyDescent="0.2">
      <c r="A157" s="3"/>
      <c r="B157" s="1962" t="str">
        <f>IF(ROW() -5&lt;= MAX(B_Sheet!$Z$6:$Z$263),INDEX(B_Sheet!$B$6:$Z$263,MATCH(ROW()-5,B_Sheet!$Z$6:$Z$263,0),1),"")</f>
        <v/>
      </c>
      <c r="C157" s="1962" t="str">
        <f>IF(ROW() -5&lt;= MAX(B_Sheet!$Z$6:$Z$263),INDEX(B_Sheet!$B$6:$Z$263,MATCH(ROW()-5,B_Sheet!$Z$6:$Z$263,0),2),"")</f>
        <v/>
      </c>
      <c r="D157" s="1962" t="str">
        <f>IF(ROW() -5&lt;= MAX(B_Sheet!$Z$6:$Z$263),INDEX(B_Sheet!$B$6:$Z$263,MATCH(ROW()-5,B_Sheet!$Z$6:$Z$263,0),4),"")</f>
        <v/>
      </c>
      <c r="E157" s="3"/>
      <c r="F157" s="3"/>
      <c r="G157" t="str">
        <f>IF(ROW()-5&lt;=MAX(B_Sheet!$Z$6:$Z$263),INDEX(B_Sheet!$B$6:$Z$263,MATCH(ROW()-5,B_Sheet!$Z$6:$Z$263,0),24),"")</f>
        <v/>
      </c>
    </row>
    <row r="158" spans="1:7" x14ac:dyDescent="0.2">
      <c r="A158" s="3"/>
      <c r="B158" s="1962" t="str">
        <f>IF(ROW() -5&lt;= MAX(B_Sheet!$Z$6:$Z$263),INDEX(B_Sheet!$B$6:$Z$263,MATCH(ROW()-5,B_Sheet!$Z$6:$Z$263,0),1),"")</f>
        <v/>
      </c>
      <c r="C158" s="1962" t="str">
        <f>IF(ROW() -5&lt;= MAX(B_Sheet!$Z$6:$Z$263),INDEX(B_Sheet!$B$6:$Z$263,MATCH(ROW()-5,B_Sheet!$Z$6:$Z$263,0),2),"")</f>
        <v/>
      </c>
      <c r="D158" s="1962" t="str">
        <f>IF(ROW() -5&lt;= MAX(B_Sheet!$Z$6:$Z$263),INDEX(B_Sheet!$B$6:$Z$263,MATCH(ROW()-5,B_Sheet!$Z$6:$Z$263,0),4),"")</f>
        <v/>
      </c>
      <c r="E158" s="3"/>
      <c r="F158" s="3"/>
      <c r="G158" t="str">
        <f>IF(ROW()-5&lt;=MAX(B_Sheet!$Z$6:$Z$263),INDEX(B_Sheet!$B$6:$Z$263,MATCH(ROW()-5,B_Sheet!$Z$6:$Z$263,0),24),"")</f>
        <v/>
      </c>
    </row>
    <row r="159" spans="1:7" x14ac:dyDescent="0.2">
      <c r="A159" s="3"/>
      <c r="B159" s="1962" t="str">
        <f>IF(ROW() -5&lt;= MAX(B_Sheet!$Z$6:$Z$263),INDEX(B_Sheet!$B$6:$Z$263,MATCH(ROW()-5,B_Sheet!$Z$6:$Z$263,0),1),"")</f>
        <v/>
      </c>
      <c r="C159" s="1962" t="str">
        <f>IF(ROW() -5&lt;= MAX(B_Sheet!$Z$6:$Z$263),INDEX(B_Sheet!$B$6:$Z$263,MATCH(ROW()-5,B_Sheet!$Z$6:$Z$263,0),2),"")</f>
        <v/>
      </c>
      <c r="D159" s="1962" t="str">
        <f>IF(ROW() -5&lt;= MAX(B_Sheet!$Z$6:$Z$263),INDEX(B_Sheet!$B$6:$Z$263,MATCH(ROW()-5,B_Sheet!$Z$6:$Z$263,0),4),"")</f>
        <v/>
      </c>
      <c r="E159" s="3"/>
      <c r="F159" s="3"/>
      <c r="G159" t="str">
        <f>IF(ROW()-5&lt;=MAX(B_Sheet!$Z$6:$Z$263),INDEX(B_Sheet!$B$6:$Z$263,MATCH(ROW()-5,B_Sheet!$Z$6:$Z$263,0),24),"")</f>
        <v/>
      </c>
    </row>
    <row r="160" spans="1:7" x14ac:dyDescent="0.2">
      <c r="A160" s="3"/>
      <c r="B160" s="1962" t="str">
        <f>IF(ROW() -5&lt;= MAX(B_Sheet!$Z$6:$Z$263),INDEX(B_Sheet!$B$6:$Z$263,MATCH(ROW()-5,B_Sheet!$Z$6:$Z$263,0),1),"")</f>
        <v/>
      </c>
      <c r="C160" s="1962" t="str">
        <f>IF(ROW() -5&lt;= MAX(B_Sheet!$Z$6:$Z$263),INDEX(B_Sheet!$B$6:$Z$263,MATCH(ROW()-5,B_Sheet!$Z$6:$Z$263,0),2),"")</f>
        <v/>
      </c>
      <c r="D160" s="1962" t="str">
        <f>IF(ROW() -5&lt;= MAX(B_Sheet!$Z$6:$Z$263),INDEX(B_Sheet!$B$6:$Z$263,MATCH(ROW()-5,B_Sheet!$Z$6:$Z$263,0),4),"")</f>
        <v/>
      </c>
      <c r="E160" s="3"/>
      <c r="F160" s="3"/>
      <c r="G160" t="str">
        <f>IF(ROW()-5&lt;=MAX(B_Sheet!$Z$6:$Z$263),INDEX(B_Sheet!$B$6:$Z$263,MATCH(ROW()-5,B_Sheet!$Z$6:$Z$263,0),24),"")</f>
        <v/>
      </c>
    </row>
    <row r="161" spans="1:7" x14ac:dyDescent="0.2">
      <c r="A161" s="3"/>
      <c r="B161" s="1962" t="str">
        <f>IF(ROW() -5&lt;= MAX(B_Sheet!$Z$6:$Z$263),INDEX(B_Sheet!$B$6:$Z$263,MATCH(ROW()-5,B_Sheet!$Z$6:$Z$263,0),1),"")</f>
        <v/>
      </c>
      <c r="C161" s="1962" t="str">
        <f>IF(ROW() -5&lt;= MAX(B_Sheet!$Z$6:$Z$263),INDEX(B_Sheet!$B$6:$Z$263,MATCH(ROW()-5,B_Sheet!$Z$6:$Z$263,0),2),"")</f>
        <v/>
      </c>
      <c r="D161" s="1962" t="str">
        <f>IF(ROW() -5&lt;= MAX(B_Sheet!$Z$6:$Z$263),INDEX(B_Sheet!$B$6:$Z$263,MATCH(ROW()-5,B_Sheet!$Z$6:$Z$263,0),4),"")</f>
        <v/>
      </c>
      <c r="E161" s="3"/>
      <c r="F161" s="3"/>
      <c r="G161" t="str">
        <f>IF(ROW()-5&lt;=MAX(B_Sheet!$Z$6:$Z$263),INDEX(B_Sheet!$B$6:$Z$263,MATCH(ROW()-5,B_Sheet!$Z$6:$Z$263,0),24),"")</f>
        <v/>
      </c>
    </row>
    <row r="162" spans="1:7" x14ac:dyDescent="0.2">
      <c r="A162" s="3"/>
      <c r="B162" s="1962" t="str">
        <f>IF(ROW() -5&lt;= MAX(B_Sheet!$Z$6:$Z$263),INDEX(B_Sheet!$B$6:$Z$263,MATCH(ROW()-5,B_Sheet!$Z$6:$Z$263,0),1),"")</f>
        <v/>
      </c>
      <c r="C162" s="1962" t="str">
        <f>IF(ROW() -5&lt;= MAX(B_Sheet!$Z$6:$Z$263),INDEX(B_Sheet!$B$6:$Z$263,MATCH(ROW()-5,B_Sheet!$Z$6:$Z$263,0),2),"")</f>
        <v/>
      </c>
      <c r="D162" s="1962" t="str">
        <f>IF(ROW() -5&lt;= MAX(B_Sheet!$Z$6:$Z$263),INDEX(B_Sheet!$B$6:$Z$263,MATCH(ROW()-5,B_Sheet!$Z$6:$Z$263,0),4),"")</f>
        <v/>
      </c>
      <c r="E162" s="3"/>
      <c r="F162" s="3"/>
      <c r="G162" t="str">
        <f>IF(ROW()-5&lt;=MAX(B_Sheet!$Z$6:$Z$263),INDEX(B_Sheet!$B$6:$Z$263,MATCH(ROW()-5,B_Sheet!$Z$6:$Z$263,0),24),"")</f>
        <v/>
      </c>
    </row>
    <row r="163" spans="1:7" x14ac:dyDescent="0.2">
      <c r="A163" s="3"/>
      <c r="B163" s="1962" t="str">
        <f>IF(ROW() -5&lt;= MAX(B_Sheet!$Z$6:$Z$263),INDEX(B_Sheet!$B$6:$Z$263,MATCH(ROW()-5,B_Sheet!$Z$6:$Z$263,0),1),"")</f>
        <v/>
      </c>
      <c r="C163" s="1962" t="str">
        <f>IF(ROW() -5&lt;= MAX(B_Sheet!$Z$6:$Z$263),INDEX(B_Sheet!$B$6:$Z$263,MATCH(ROW()-5,B_Sheet!$Z$6:$Z$263,0),2),"")</f>
        <v/>
      </c>
      <c r="D163" s="1962" t="str">
        <f>IF(ROW() -5&lt;= MAX(B_Sheet!$Z$6:$Z$263),INDEX(B_Sheet!$B$6:$Z$263,MATCH(ROW()-5,B_Sheet!$Z$6:$Z$263,0),4),"")</f>
        <v/>
      </c>
      <c r="E163" s="3"/>
      <c r="F163" s="3"/>
      <c r="G163" t="str">
        <f>IF(ROW()-5&lt;=MAX(B_Sheet!$Z$6:$Z$263),INDEX(B_Sheet!$B$6:$Z$263,MATCH(ROW()-5,B_Sheet!$Z$6:$Z$263,0),24),"")</f>
        <v/>
      </c>
    </row>
    <row r="164" spans="1:7" x14ac:dyDescent="0.2">
      <c r="A164" s="3"/>
      <c r="B164" s="1962" t="str">
        <f>IF(ROW() -5&lt;= MAX(B_Sheet!$Z$6:$Z$263),INDEX(B_Sheet!$B$6:$Z$263,MATCH(ROW()-5,B_Sheet!$Z$6:$Z$263,0),1),"")</f>
        <v/>
      </c>
      <c r="C164" s="1962" t="str">
        <f>IF(ROW() -5&lt;= MAX(B_Sheet!$Z$6:$Z$263),INDEX(B_Sheet!$B$6:$Z$263,MATCH(ROW()-5,B_Sheet!$Z$6:$Z$263,0),2),"")</f>
        <v/>
      </c>
      <c r="D164" s="1962" t="str">
        <f>IF(ROW() -5&lt;= MAX(B_Sheet!$Z$6:$Z$263),INDEX(B_Sheet!$B$6:$Z$263,MATCH(ROW()-5,B_Sheet!$Z$6:$Z$263,0),4),"")</f>
        <v/>
      </c>
      <c r="E164" s="3"/>
      <c r="F164" s="3"/>
      <c r="G164" t="str">
        <f>IF(ROW()-5&lt;=MAX(B_Sheet!$Z$6:$Z$263),INDEX(B_Sheet!$B$6:$Z$263,MATCH(ROW()-5,B_Sheet!$Z$6:$Z$263,0),24),"")</f>
        <v/>
      </c>
    </row>
    <row r="165" spans="1:7" x14ac:dyDescent="0.2">
      <c r="A165" s="3"/>
      <c r="B165" s="1962" t="str">
        <f>IF(ROW() -5&lt;= MAX(B_Sheet!$Z$6:$Z$263),INDEX(B_Sheet!$B$6:$Z$263,MATCH(ROW()-5,B_Sheet!$Z$6:$Z$263,0),1),"")</f>
        <v/>
      </c>
      <c r="C165" s="1962" t="str">
        <f>IF(ROW() -5&lt;= MAX(B_Sheet!$Z$6:$Z$263),INDEX(B_Sheet!$B$6:$Z$263,MATCH(ROW()-5,B_Sheet!$Z$6:$Z$263,0),2),"")</f>
        <v/>
      </c>
      <c r="D165" s="1962" t="str">
        <f>IF(ROW() -5&lt;= MAX(B_Sheet!$Z$6:$Z$263),INDEX(B_Sheet!$B$6:$Z$263,MATCH(ROW()-5,B_Sheet!$Z$6:$Z$263,0),4),"")</f>
        <v/>
      </c>
      <c r="E165" s="3"/>
      <c r="F165" s="3"/>
      <c r="G165" t="str">
        <f>IF(ROW()-5&lt;=MAX(B_Sheet!$Z$6:$Z$263),INDEX(B_Sheet!$B$6:$Z$263,MATCH(ROW()-5,B_Sheet!$Z$6:$Z$263,0),24),"")</f>
        <v/>
      </c>
    </row>
    <row r="166" spans="1:7" x14ac:dyDescent="0.2">
      <c r="A166" s="3"/>
      <c r="B166" s="1962" t="str">
        <f>IF(ROW() -5&lt;= MAX(B_Sheet!$Z$6:$Z$263),INDEX(B_Sheet!$B$6:$Z$263,MATCH(ROW()-5,B_Sheet!$Z$6:$Z$263,0),1),"")</f>
        <v/>
      </c>
      <c r="C166" s="1962" t="str">
        <f>IF(ROW() -5&lt;= MAX(B_Sheet!$Z$6:$Z$263),INDEX(B_Sheet!$B$6:$Z$263,MATCH(ROW()-5,B_Sheet!$Z$6:$Z$263,0),2),"")</f>
        <v/>
      </c>
      <c r="D166" s="1962" t="str">
        <f>IF(ROW() -5&lt;= MAX(B_Sheet!$Z$6:$Z$263),INDEX(B_Sheet!$B$6:$Z$263,MATCH(ROW()-5,B_Sheet!$Z$6:$Z$263,0),4),"")</f>
        <v/>
      </c>
      <c r="E166" s="3"/>
      <c r="F166" s="3"/>
      <c r="G166" t="str">
        <f>IF(ROW()-5&lt;=MAX(B_Sheet!$Z$6:$Z$263),INDEX(B_Sheet!$B$6:$Z$263,MATCH(ROW()-5,B_Sheet!$Z$6:$Z$263,0),24),"")</f>
        <v/>
      </c>
    </row>
    <row r="167" spans="1:7" x14ac:dyDescent="0.2">
      <c r="A167" s="3"/>
      <c r="B167" s="1962" t="str">
        <f>IF(ROW() -5&lt;= MAX(B_Sheet!$Z$6:$Z$263),INDEX(B_Sheet!$B$6:$Z$263,MATCH(ROW()-5,B_Sheet!$Z$6:$Z$263,0),1),"")</f>
        <v/>
      </c>
      <c r="C167" s="1962" t="str">
        <f>IF(ROW() -5&lt;= MAX(B_Sheet!$Z$6:$Z$263),INDEX(B_Sheet!$B$6:$Z$263,MATCH(ROW()-5,B_Sheet!$Z$6:$Z$263,0),2),"")</f>
        <v/>
      </c>
      <c r="D167" s="1962" t="str">
        <f>IF(ROW() -5&lt;= MAX(B_Sheet!$Z$6:$Z$263),INDEX(B_Sheet!$B$6:$Z$263,MATCH(ROW()-5,B_Sheet!$Z$6:$Z$263,0),4),"")</f>
        <v/>
      </c>
      <c r="E167" s="3"/>
      <c r="F167" s="3"/>
      <c r="G167" t="str">
        <f>IF(ROW()-5&lt;=MAX(B_Sheet!$Z$6:$Z$263),INDEX(B_Sheet!$B$6:$Z$263,MATCH(ROW()-5,B_Sheet!$Z$6:$Z$263,0),24),"")</f>
        <v/>
      </c>
    </row>
    <row r="168" spans="1:7" x14ac:dyDescent="0.2">
      <c r="A168" s="3"/>
      <c r="B168" s="1962" t="str">
        <f>IF(ROW() -5&lt;= MAX(B_Sheet!$Z$6:$Z$263),INDEX(B_Sheet!$B$6:$Z$263,MATCH(ROW()-5,B_Sheet!$Z$6:$Z$263,0),1),"")</f>
        <v/>
      </c>
      <c r="C168" s="1962" t="str">
        <f>IF(ROW() -5&lt;= MAX(B_Sheet!$Z$6:$Z$263),INDEX(B_Sheet!$B$6:$Z$263,MATCH(ROW()-5,B_Sheet!$Z$6:$Z$263,0),2),"")</f>
        <v/>
      </c>
      <c r="D168" s="1962" t="str">
        <f>IF(ROW() -5&lt;= MAX(B_Sheet!$Z$6:$Z$263),INDEX(B_Sheet!$B$6:$Z$263,MATCH(ROW()-5,B_Sheet!$Z$6:$Z$263,0),4),"")</f>
        <v/>
      </c>
      <c r="E168" s="3"/>
      <c r="F168" s="3"/>
      <c r="G168" t="str">
        <f>IF(ROW()-5&lt;=MAX(B_Sheet!$Z$6:$Z$263),INDEX(B_Sheet!$B$6:$Z$263,MATCH(ROW()-5,B_Sheet!$Z$6:$Z$263,0),24),"")</f>
        <v/>
      </c>
    </row>
    <row r="169" spans="1:7" x14ac:dyDescent="0.2">
      <c r="A169" s="3"/>
      <c r="B169" s="1962" t="str">
        <f>IF(ROW() -5&lt;= MAX(B_Sheet!$Z$6:$Z$263),INDEX(B_Sheet!$B$6:$Z$263,MATCH(ROW()-5,B_Sheet!$Z$6:$Z$263,0),1),"")</f>
        <v/>
      </c>
      <c r="C169" s="1962" t="str">
        <f>IF(ROW() -5&lt;= MAX(B_Sheet!$Z$6:$Z$263),INDEX(B_Sheet!$B$6:$Z$263,MATCH(ROW()-5,B_Sheet!$Z$6:$Z$263,0),2),"")</f>
        <v/>
      </c>
      <c r="D169" s="1962" t="str">
        <f>IF(ROW() -5&lt;= MAX(B_Sheet!$Z$6:$Z$263),INDEX(B_Sheet!$B$6:$Z$263,MATCH(ROW()-5,B_Sheet!$Z$6:$Z$263,0),4),"")</f>
        <v/>
      </c>
      <c r="E169" s="3"/>
      <c r="F169" s="3"/>
      <c r="G169" t="str">
        <f>IF(ROW()-5&lt;=MAX(B_Sheet!$Z$6:$Z$263),INDEX(B_Sheet!$B$6:$Z$263,MATCH(ROW()-5,B_Sheet!$Z$6:$Z$263,0),24),"")</f>
        <v/>
      </c>
    </row>
    <row r="170" spans="1:7" x14ac:dyDescent="0.2">
      <c r="A170" s="3"/>
      <c r="B170" s="1962" t="str">
        <f>IF(ROW() -5&lt;= MAX(B_Sheet!$Z$6:$Z$263),INDEX(B_Sheet!$B$6:$Z$263,MATCH(ROW()-5,B_Sheet!$Z$6:$Z$263,0),1),"")</f>
        <v/>
      </c>
      <c r="C170" s="1962" t="str">
        <f>IF(ROW() -5&lt;= MAX(B_Sheet!$Z$6:$Z$263),INDEX(B_Sheet!$B$6:$Z$263,MATCH(ROW()-5,B_Sheet!$Z$6:$Z$263,0),2),"")</f>
        <v/>
      </c>
      <c r="D170" s="1962" t="str">
        <f>IF(ROW() -5&lt;= MAX(B_Sheet!$Z$6:$Z$263),INDEX(B_Sheet!$B$6:$Z$263,MATCH(ROW()-5,B_Sheet!$Z$6:$Z$263,0),4),"")</f>
        <v/>
      </c>
      <c r="E170" s="3"/>
      <c r="F170" s="3"/>
      <c r="G170" t="str">
        <f>IF(ROW()-5&lt;=MAX(B_Sheet!$Z$6:$Z$263),INDEX(B_Sheet!$B$6:$Z$263,MATCH(ROW()-5,B_Sheet!$Z$6:$Z$263,0),24),"")</f>
        <v/>
      </c>
    </row>
    <row r="171" spans="1:7" x14ac:dyDescent="0.2">
      <c r="A171" s="3"/>
      <c r="B171" s="1962" t="str">
        <f>IF(ROW() -5&lt;= MAX(B_Sheet!$Z$6:$Z$263),INDEX(B_Sheet!$B$6:$Z$263,MATCH(ROW()-5,B_Sheet!$Z$6:$Z$263,0),1),"")</f>
        <v/>
      </c>
      <c r="C171" s="1962" t="str">
        <f>IF(ROW() -5&lt;= MAX(B_Sheet!$Z$6:$Z$263),INDEX(B_Sheet!$B$6:$Z$263,MATCH(ROW()-5,B_Sheet!$Z$6:$Z$263,0),2),"")</f>
        <v/>
      </c>
      <c r="D171" s="1962" t="str">
        <f>IF(ROW() -5&lt;= MAX(B_Sheet!$Z$6:$Z$263),INDEX(B_Sheet!$B$6:$Z$263,MATCH(ROW()-5,B_Sheet!$Z$6:$Z$263,0),4),"")</f>
        <v/>
      </c>
      <c r="E171" s="3"/>
      <c r="F171" s="3"/>
      <c r="G171" t="str">
        <f>IF(ROW()-5&lt;=MAX(B_Sheet!$Z$6:$Z$263),INDEX(B_Sheet!$B$6:$Z$263,MATCH(ROW()-5,B_Sheet!$Z$6:$Z$263,0),24),"")</f>
        <v/>
      </c>
    </row>
    <row r="172" spans="1:7" x14ac:dyDescent="0.2">
      <c r="A172" s="3"/>
      <c r="B172" s="1962" t="str">
        <f>IF(ROW() -5&lt;= MAX(B_Sheet!$Z$6:$Z$263),INDEX(B_Sheet!$B$6:$Z$263,MATCH(ROW()-5,B_Sheet!$Z$6:$Z$263,0),1),"")</f>
        <v/>
      </c>
      <c r="C172" s="1962" t="str">
        <f>IF(ROW() -5&lt;= MAX(B_Sheet!$Z$6:$Z$263),INDEX(B_Sheet!$B$6:$Z$263,MATCH(ROW()-5,B_Sheet!$Z$6:$Z$263,0),2),"")</f>
        <v/>
      </c>
      <c r="D172" s="1962" t="str">
        <f>IF(ROW() -5&lt;= MAX(B_Sheet!$Z$6:$Z$263),INDEX(B_Sheet!$B$6:$Z$263,MATCH(ROW()-5,B_Sheet!$Z$6:$Z$263,0),4),"")</f>
        <v/>
      </c>
      <c r="E172" s="3"/>
      <c r="F172" s="3"/>
      <c r="G172" t="str">
        <f>IF(ROW()-5&lt;=MAX(B_Sheet!$Z$6:$Z$263),INDEX(B_Sheet!$B$6:$Z$263,MATCH(ROW()-5,B_Sheet!$Z$6:$Z$263,0),24),"")</f>
        <v/>
      </c>
    </row>
    <row r="173" spans="1:7" x14ac:dyDescent="0.2">
      <c r="A173" s="3"/>
      <c r="B173" s="1962" t="str">
        <f>IF(ROW() -5&lt;= MAX(B_Sheet!$Z$6:$Z$263),INDEX(B_Sheet!$B$6:$Z$263,MATCH(ROW()-5,B_Sheet!$Z$6:$Z$263,0),1),"")</f>
        <v/>
      </c>
      <c r="C173" s="1962" t="str">
        <f>IF(ROW() -5&lt;= MAX(B_Sheet!$Z$6:$Z$263),INDEX(B_Sheet!$B$6:$Z$263,MATCH(ROW()-5,B_Sheet!$Z$6:$Z$263,0),2),"")</f>
        <v/>
      </c>
      <c r="D173" s="1962" t="str">
        <f>IF(ROW() -5&lt;= MAX(B_Sheet!$Z$6:$Z$263),INDEX(B_Sheet!$B$6:$Z$263,MATCH(ROW()-5,B_Sheet!$Z$6:$Z$263,0),4),"")</f>
        <v/>
      </c>
      <c r="E173" s="3"/>
      <c r="F173" s="3"/>
      <c r="G173" t="str">
        <f>IF(ROW()-5&lt;=MAX(B_Sheet!$Z$6:$Z$263),INDEX(B_Sheet!$B$6:$Z$263,MATCH(ROW()-5,B_Sheet!$Z$6:$Z$263,0),24),"")</f>
        <v/>
      </c>
    </row>
    <row r="174" spans="1:7" x14ac:dyDescent="0.2">
      <c r="A174" s="3"/>
      <c r="B174" s="1962" t="str">
        <f>IF(ROW() -5&lt;= MAX(B_Sheet!$Z$6:$Z$263),INDEX(B_Sheet!$B$6:$Z$263,MATCH(ROW()-5,B_Sheet!$Z$6:$Z$263,0),1),"")</f>
        <v/>
      </c>
      <c r="C174" s="1962" t="str">
        <f>IF(ROW() -5&lt;= MAX(B_Sheet!$Z$6:$Z$263),INDEX(B_Sheet!$B$6:$Z$263,MATCH(ROW()-5,B_Sheet!$Z$6:$Z$263,0),2),"")</f>
        <v/>
      </c>
      <c r="D174" s="1962" t="str">
        <f>IF(ROW() -5&lt;= MAX(B_Sheet!$Z$6:$Z$263),INDEX(B_Sheet!$B$6:$Z$263,MATCH(ROW()-5,B_Sheet!$Z$6:$Z$263,0),4),"")</f>
        <v/>
      </c>
      <c r="E174" s="3"/>
      <c r="F174" s="3"/>
      <c r="G174" t="str">
        <f>IF(ROW()-5&lt;=MAX(B_Sheet!$Z$6:$Z$263),INDEX(B_Sheet!$B$6:$Z$263,MATCH(ROW()-5,B_Sheet!$Z$6:$Z$263,0),24),"")</f>
        <v/>
      </c>
    </row>
    <row r="175" spans="1:7" x14ac:dyDescent="0.2">
      <c r="A175" s="3"/>
      <c r="B175" s="1962" t="str">
        <f>IF(ROW() -5&lt;= MAX(B_Sheet!$Z$6:$Z$263),INDEX(B_Sheet!$B$6:$Z$263,MATCH(ROW()-5,B_Sheet!$Z$6:$Z$263,0),1),"")</f>
        <v/>
      </c>
      <c r="C175" s="1962" t="str">
        <f>IF(ROW() -5&lt;= MAX(B_Sheet!$Z$6:$Z$263),INDEX(B_Sheet!$B$6:$Z$263,MATCH(ROW()-5,B_Sheet!$Z$6:$Z$263,0),2),"")</f>
        <v/>
      </c>
      <c r="D175" s="1962" t="str">
        <f>IF(ROW() -5&lt;= MAX(B_Sheet!$Z$6:$Z$263),INDEX(B_Sheet!$B$6:$Z$263,MATCH(ROW()-5,B_Sheet!$Z$6:$Z$263,0),4),"")</f>
        <v/>
      </c>
      <c r="E175" s="3"/>
      <c r="F175" s="3"/>
      <c r="G175" t="str">
        <f>IF(ROW()-5&lt;=MAX(B_Sheet!$Z$6:$Z$263),INDEX(B_Sheet!$B$6:$Z$263,MATCH(ROW()-5,B_Sheet!$Z$6:$Z$263,0),24),"")</f>
        <v/>
      </c>
    </row>
    <row r="176" spans="1:7" x14ac:dyDescent="0.2">
      <c r="A176" s="3"/>
      <c r="B176" s="1962" t="str">
        <f>IF(ROW() -5&lt;= MAX(B_Sheet!$Z$6:$Z$263),INDEX(B_Sheet!$B$6:$Z$263,MATCH(ROW()-5,B_Sheet!$Z$6:$Z$263,0),1),"")</f>
        <v/>
      </c>
      <c r="C176" s="1962" t="str">
        <f>IF(ROW() -5&lt;= MAX(B_Sheet!$Z$6:$Z$263),INDEX(B_Sheet!$B$6:$Z$263,MATCH(ROW()-5,B_Sheet!$Z$6:$Z$263,0),2),"")</f>
        <v/>
      </c>
      <c r="D176" s="1962" t="str">
        <f>IF(ROW() -5&lt;= MAX(B_Sheet!$Z$6:$Z$263),INDEX(B_Sheet!$B$6:$Z$263,MATCH(ROW()-5,B_Sheet!$Z$6:$Z$263,0),4),"")</f>
        <v/>
      </c>
      <c r="E176" s="3"/>
      <c r="F176" s="3"/>
      <c r="G176" t="str">
        <f>IF(ROW()-5&lt;=MAX(B_Sheet!$Z$6:$Z$263),INDEX(B_Sheet!$B$6:$Z$263,MATCH(ROW()-5,B_Sheet!$Z$6:$Z$263,0),24),"")</f>
        <v/>
      </c>
    </row>
    <row r="177" spans="1:7" x14ac:dyDescent="0.2">
      <c r="A177" s="3"/>
      <c r="B177" s="1962" t="str">
        <f>IF(ROW() -5&lt;= MAX(B_Sheet!$Z$6:$Z$263),INDEX(B_Sheet!$B$6:$Z$263,MATCH(ROW()-5,B_Sheet!$Z$6:$Z$263,0),1),"")</f>
        <v/>
      </c>
      <c r="C177" s="1962" t="str">
        <f>IF(ROW() -5&lt;= MAX(B_Sheet!$Z$6:$Z$263),INDEX(B_Sheet!$B$6:$Z$263,MATCH(ROW()-5,B_Sheet!$Z$6:$Z$263,0),2),"")</f>
        <v/>
      </c>
      <c r="D177" s="1962" t="str">
        <f>IF(ROW() -5&lt;= MAX(B_Sheet!$Z$6:$Z$263),INDEX(B_Sheet!$B$6:$Z$263,MATCH(ROW()-5,B_Sheet!$Z$6:$Z$263,0),4),"")</f>
        <v/>
      </c>
      <c r="E177" s="3"/>
      <c r="F177" s="3"/>
      <c r="G177" t="str">
        <f>IF(ROW()-5&lt;=MAX(B_Sheet!$Z$6:$Z$263),INDEX(B_Sheet!$B$6:$Z$263,MATCH(ROW()-5,B_Sheet!$Z$6:$Z$263,0),24),"")</f>
        <v/>
      </c>
    </row>
    <row r="178" spans="1:7" x14ac:dyDescent="0.2">
      <c r="A178" s="3"/>
      <c r="B178" s="1962" t="str">
        <f>IF(ROW() -5&lt;= MAX(B_Sheet!$Z$6:$Z$263),INDEX(B_Sheet!$B$6:$Z$263,MATCH(ROW()-5,B_Sheet!$Z$6:$Z$263,0),1),"")</f>
        <v/>
      </c>
      <c r="C178" s="1962" t="str">
        <f>IF(ROW() -5&lt;= MAX(B_Sheet!$Z$6:$Z$263),INDEX(B_Sheet!$B$6:$Z$263,MATCH(ROW()-5,B_Sheet!$Z$6:$Z$263,0),2),"")</f>
        <v/>
      </c>
      <c r="D178" s="1962" t="str">
        <f>IF(ROW() -5&lt;= MAX(B_Sheet!$Z$6:$Z$263),INDEX(B_Sheet!$B$6:$Z$263,MATCH(ROW()-5,B_Sheet!$Z$6:$Z$263,0),4),"")</f>
        <v/>
      </c>
      <c r="E178" s="3"/>
      <c r="F178" s="3"/>
      <c r="G178" t="str">
        <f>IF(ROW()-5&lt;=MAX(B_Sheet!$Z$6:$Z$263),INDEX(B_Sheet!$B$6:$Z$263,MATCH(ROW()-5,B_Sheet!$Z$6:$Z$263,0),24),"")</f>
        <v/>
      </c>
    </row>
    <row r="179" spans="1:7" x14ac:dyDescent="0.2">
      <c r="A179" s="3"/>
      <c r="B179" s="1962" t="str">
        <f>IF(ROW() -5&lt;= MAX(B_Sheet!$Z$6:$Z$263),INDEX(B_Sheet!$B$6:$Z$263,MATCH(ROW()-5,B_Sheet!$Z$6:$Z$263,0),1),"")</f>
        <v/>
      </c>
      <c r="C179" s="1962" t="str">
        <f>IF(ROW() -5&lt;= MAX(B_Sheet!$Z$6:$Z$263),INDEX(B_Sheet!$B$6:$Z$263,MATCH(ROW()-5,B_Sheet!$Z$6:$Z$263,0),2),"")</f>
        <v/>
      </c>
      <c r="D179" s="1962" t="str">
        <f>IF(ROW() -5&lt;= MAX(B_Sheet!$Z$6:$Z$263),INDEX(B_Sheet!$B$6:$Z$263,MATCH(ROW()-5,B_Sheet!$Z$6:$Z$263,0),4),"")</f>
        <v/>
      </c>
      <c r="E179" s="3"/>
      <c r="F179" s="3"/>
      <c r="G179" t="str">
        <f>IF(ROW()-5&lt;=MAX(B_Sheet!$Z$6:$Z$263),INDEX(B_Sheet!$B$6:$Z$263,MATCH(ROW()-5,B_Sheet!$Z$6:$Z$263,0),24),"")</f>
        <v/>
      </c>
    </row>
    <row r="180" spans="1:7" x14ac:dyDescent="0.2">
      <c r="A180" s="3"/>
      <c r="B180" s="1962" t="str">
        <f>IF(ROW() -5&lt;= MAX(B_Sheet!$Z$6:$Z$263),INDEX(B_Sheet!$B$6:$Z$263,MATCH(ROW()-5,B_Sheet!$Z$6:$Z$263,0),1),"")</f>
        <v/>
      </c>
      <c r="C180" s="1962" t="str">
        <f>IF(ROW() -5&lt;= MAX(B_Sheet!$Z$6:$Z$263),INDEX(B_Sheet!$B$6:$Z$263,MATCH(ROW()-5,B_Sheet!$Z$6:$Z$263,0),2),"")</f>
        <v/>
      </c>
      <c r="D180" s="1962" t="str">
        <f>IF(ROW() -5&lt;= MAX(B_Sheet!$Z$6:$Z$263),INDEX(B_Sheet!$B$6:$Z$263,MATCH(ROW()-5,B_Sheet!$Z$6:$Z$263,0),4),"")</f>
        <v/>
      </c>
      <c r="E180" s="3"/>
      <c r="F180" s="3"/>
      <c r="G180" t="str">
        <f>IF(ROW()-5&lt;=MAX(B_Sheet!$Z$6:$Z$263),INDEX(B_Sheet!$B$6:$Z$263,MATCH(ROW()-5,B_Sheet!$Z$6:$Z$263,0),24),"")</f>
        <v/>
      </c>
    </row>
    <row r="181" spans="1:7" x14ac:dyDescent="0.2">
      <c r="A181" s="3"/>
      <c r="B181" s="1962" t="str">
        <f>IF(ROW() -5&lt;= MAX(B_Sheet!$Z$6:$Z$263),INDEX(B_Sheet!$B$6:$Z$263,MATCH(ROW()-5,B_Sheet!$Z$6:$Z$263,0),1),"")</f>
        <v/>
      </c>
      <c r="C181" s="1962" t="str">
        <f>IF(ROW() -5&lt;= MAX(B_Sheet!$Z$6:$Z$263),INDEX(B_Sheet!$B$6:$Z$263,MATCH(ROW()-5,B_Sheet!$Z$6:$Z$263,0),2),"")</f>
        <v/>
      </c>
      <c r="D181" s="1962" t="str">
        <f>IF(ROW() -5&lt;= MAX(B_Sheet!$Z$6:$Z$263),INDEX(B_Sheet!$B$6:$Z$263,MATCH(ROW()-5,B_Sheet!$Z$6:$Z$263,0),4),"")</f>
        <v/>
      </c>
      <c r="E181" s="3"/>
      <c r="F181" s="3"/>
      <c r="G181" t="str">
        <f>IF(ROW()-5&lt;=MAX(B_Sheet!$Z$6:$Z$263),INDEX(B_Sheet!$B$6:$Z$263,MATCH(ROW()-5,B_Sheet!$Z$6:$Z$263,0),24),"")</f>
        <v/>
      </c>
    </row>
    <row r="182" spans="1:7" x14ac:dyDescent="0.2">
      <c r="A182" s="3"/>
      <c r="B182" s="1962" t="str">
        <f>IF(ROW() -5&lt;= MAX(B_Sheet!$Z$6:$Z$263),INDEX(B_Sheet!$B$6:$Z$263,MATCH(ROW()-5,B_Sheet!$Z$6:$Z$263,0),1),"")</f>
        <v/>
      </c>
      <c r="C182" s="1962" t="str">
        <f>IF(ROW() -5&lt;= MAX(B_Sheet!$Z$6:$Z$263),INDEX(B_Sheet!$B$6:$Z$263,MATCH(ROW()-5,B_Sheet!$Z$6:$Z$263,0),2),"")</f>
        <v/>
      </c>
      <c r="D182" s="1962" t="str">
        <f>IF(ROW() -5&lt;= MAX(B_Sheet!$Z$6:$Z$263),INDEX(B_Sheet!$B$6:$Z$263,MATCH(ROW()-5,B_Sheet!$Z$6:$Z$263,0),4),"")</f>
        <v/>
      </c>
      <c r="E182" s="3"/>
      <c r="F182" s="3"/>
      <c r="G182" t="str">
        <f>IF(ROW()-5&lt;=MAX(B_Sheet!$Z$6:$Z$263),INDEX(B_Sheet!$B$6:$Z$263,MATCH(ROW()-5,B_Sheet!$Z$6:$Z$263,0),24),"")</f>
        <v/>
      </c>
    </row>
    <row r="183" spans="1:7" x14ac:dyDescent="0.2">
      <c r="A183" s="3"/>
      <c r="B183" s="1962" t="str">
        <f>IF(ROW() -5&lt;= MAX(B_Sheet!$Z$6:$Z$263),INDEX(B_Sheet!$B$6:$Z$263,MATCH(ROW()-5,B_Sheet!$Z$6:$Z$263,0),1),"")</f>
        <v/>
      </c>
      <c r="C183" s="1962" t="str">
        <f>IF(ROW() -5&lt;= MAX(B_Sheet!$Z$6:$Z$263),INDEX(B_Sheet!$B$6:$Z$263,MATCH(ROW()-5,B_Sheet!$Z$6:$Z$263,0),2),"")</f>
        <v/>
      </c>
      <c r="D183" s="1962" t="str">
        <f>IF(ROW() -5&lt;= MAX(B_Sheet!$Z$6:$Z$263),INDEX(B_Sheet!$B$6:$Z$263,MATCH(ROW()-5,B_Sheet!$Z$6:$Z$263,0),4),"")</f>
        <v/>
      </c>
      <c r="E183" s="3"/>
      <c r="F183" s="3"/>
      <c r="G183" t="str">
        <f>IF(ROW()-5&lt;=MAX(B_Sheet!$Z$6:$Z$263),INDEX(B_Sheet!$B$6:$Z$263,MATCH(ROW()-5,B_Sheet!$Z$6:$Z$263,0),24),"")</f>
        <v/>
      </c>
    </row>
    <row r="184" spans="1:7" x14ac:dyDescent="0.2">
      <c r="A184" s="3"/>
      <c r="B184" s="1962" t="str">
        <f>IF(ROW() -5&lt;= MAX(B_Sheet!$Z$6:$Z$263),INDEX(B_Sheet!$B$6:$Z$263,MATCH(ROW()-5,B_Sheet!$Z$6:$Z$263,0),1),"")</f>
        <v/>
      </c>
      <c r="C184" s="1962" t="str">
        <f>IF(ROW() -5&lt;= MAX(B_Sheet!$Z$6:$Z$263),INDEX(B_Sheet!$B$6:$Z$263,MATCH(ROW()-5,B_Sheet!$Z$6:$Z$263,0),2),"")</f>
        <v/>
      </c>
      <c r="D184" s="1962" t="str">
        <f>IF(ROW() -5&lt;= MAX(B_Sheet!$Z$6:$Z$263),INDEX(B_Sheet!$B$6:$Z$263,MATCH(ROW()-5,B_Sheet!$Z$6:$Z$263,0),4),"")</f>
        <v/>
      </c>
      <c r="E184" s="3"/>
      <c r="F184" s="3"/>
      <c r="G184" t="str">
        <f>IF(ROW()-5&lt;=MAX(B_Sheet!$Z$6:$Z$263),INDEX(B_Sheet!$B$6:$Z$263,MATCH(ROW()-5,B_Sheet!$Z$6:$Z$263,0),24),"")</f>
        <v/>
      </c>
    </row>
    <row r="185" spans="1:7" x14ac:dyDescent="0.2">
      <c r="A185" s="3"/>
      <c r="B185" s="1962" t="str">
        <f>IF(ROW() -5&lt;= MAX(B_Sheet!$Z$6:$Z$263),INDEX(B_Sheet!$B$6:$Z$263,MATCH(ROW()-5,B_Sheet!$Z$6:$Z$263,0),1),"")</f>
        <v/>
      </c>
      <c r="C185" s="1962" t="str">
        <f>IF(ROW() -5&lt;= MAX(B_Sheet!$Z$6:$Z$263),INDEX(B_Sheet!$B$6:$Z$263,MATCH(ROW()-5,B_Sheet!$Z$6:$Z$263,0),2),"")</f>
        <v/>
      </c>
      <c r="D185" s="1962" t="str">
        <f>IF(ROW() -5&lt;= MAX(B_Sheet!$Z$6:$Z$263),INDEX(B_Sheet!$B$6:$Z$263,MATCH(ROW()-5,B_Sheet!$Z$6:$Z$263,0),4),"")</f>
        <v/>
      </c>
      <c r="E185" s="3"/>
      <c r="F185" s="3"/>
      <c r="G185" t="str">
        <f>IF(ROW()-5&lt;=MAX(B_Sheet!$Z$6:$Z$263),INDEX(B_Sheet!$B$6:$Z$263,MATCH(ROW()-5,B_Sheet!$Z$6:$Z$263,0),24),"")</f>
        <v/>
      </c>
    </row>
    <row r="186" spans="1:7" x14ac:dyDescent="0.2">
      <c r="A186" s="3"/>
      <c r="B186" s="1962" t="str">
        <f>IF(ROW() -5&lt;= MAX(B_Sheet!$Z$6:$Z$263),INDEX(B_Sheet!$B$6:$Z$263,MATCH(ROW()-5,B_Sheet!$Z$6:$Z$263,0),1),"")</f>
        <v/>
      </c>
      <c r="C186" s="1962" t="str">
        <f>IF(ROW() -5&lt;= MAX(B_Sheet!$Z$6:$Z$263),INDEX(B_Sheet!$B$6:$Z$263,MATCH(ROW()-5,B_Sheet!$Z$6:$Z$263,0),2),"")</f>
        <v/>
      </c>
      <c r="D186" s="1962" t="str">
        <f>IF(ROW() -5&lt;= MAX(B_Sheet!$Z$6:$Z$263),INDEX(B_Sheet!$B$6:$Z$263,MATCH(ROW()-5,B_Sheet!$Z$6:$Z$263,0),4),"")</f>
        <v/>
      </c>
      <c r="E186" s="3"/>
      <c r="F186" s="3"/>
      <c r="G186" t="str">
        <f>IF(ROW()-5&lt;=MAX(B_Sheet!$Z$6:$Z$263),INDEX(B_Sheet!$B$6:$Z$263,MATCH(ROW()-5,B_Sheet!$Z$6:$Z$263,0),24),"")</f>
        <v/>
      </c>
    </row>
    <row r="187" spans="1:7" x14ac:dyDescent="0.2">
      <c r="A187" s="3"/>
      <c r="B187" s="1962" t="str">
        <f>IF(ROW() -5&lt;= MAX(B_Sheet!$Z$6:$Z$263),INDEX(B_Sheet!$B$6:$Z$263,MATCH(ROW()-5,B_Sheet!$Z$6:$Z$263,0),1),"")</f>
        <v/>
      </c>
      <c r="C187" s="1962" t="str">
        <f>IF(ROW() -5&lt;= MAX(B_Sheet!$Z$6:$Z$263),INDEX(B_Sheet!$B$6:$Z$263,MATCH(ROW()-5,B_Sheet!$Z$6:$Z$263,0),2),"")</f>
        <v/>
      </c>
      <c r="D187" s="1962" t="str">
        <f>IF(ROW() -5&lt;= MAX(B_Sheet!$Z$6:$Z$263),INDEX(B_Sheet!$B$6:$Z$263,MATCH(ROW()-5,B_Sheet!$Z$6:$Z$263,0),4),"")</f>
        <v/>
      </c>
      <c r="E187" s="3"/>
      <c r="F187" s="3"/>
      <c r="G187" t="str">
        <f>IF(ROW()-5&lt;=MAX(B_Sheet!$Z$6:$Z$263),INDEX(B_Sheet!$B$6:$Z$263,MATCH(ROW()-5,B_Sheet!$Z$6:$Z$263,0),24),"")</f>
        <v/>
      </c>
    </row>
    <row r="188" spans="1:7" x14ac:dyDescent="0.2">
      <c r="A188" s="3"/>
      <c r="B188" s="1962" t="str">
        <f>IF(ROW() -5&lt;= MAX(B_Sheet!$Z$6:$Z$263),INDEX(B_Sheet!$B$6:$Z$263,MATCH(ROW()-5,B_Sheet!$Z$6:$Z$263,0),1),"")</f>
        <v/>
      </c>
      <c r="C188" s="1962" t="str">
        <f>IF(ROW() -5&lt;= MAX(B_Sheet!$Z$6:$Z$263),INDEX(B_Sheet!$B$6:$Z$263,MATCH(ROW()-5,B_Sheet!$Z$6:$Z$263,0),2),"")</f>
        <v/>
      </c>
      <c r="D188" s="1962" t="str">
        <f>IF(ROW() -5&lt;= MAX(B_Sheet!$Z$6:$Z$263),INDEX(B_Sheet!$B$6:$Z$263,MATCH(ROW()-5,B_Sheet!$Z$6:$Z$263,0),4),"")</f>
        <v/>
      </c>
      <c r="E188" s="3"/>
      <c r="F188" s="3"/>
      <c r="G188" t="str">
        <f>IF(ROW()-5&lt;=MAX(B_Sheet!$Z$6:$Z$263),INDEX(B_Sheet!$B$6:$Z$263,MATCH(ROW()-5,B_Sheet!$Z$6:$Z$263,0),24),"")</f>
        <v/>
      </c>
    </row>
    <row r="189" spans="1:7" x14ac:dyDescent="0.2">
      <c r="A189" s="3"/>
      <c r="B189" s="1962" t="str">
        <f>IF(ROW() -5&lt;= MAX(B_Sheet!$Z$6:$Z$263),INDEX(B_Sheet!$B$6:$Z$263,MATCH(ROW()-5,B_Sheet!$Z$6:$Z$263,0),1),"")</f>
        <v/>
      </c>
      <c r="C189" s="1962" t="str">
        <f>IF(ROW() -5&lt;= MAX(B_Sheet!$Z$6:$Z$263),INDEX(B_Sheet!$B$6:$Z$263,MATCH(ROW()-5,B_Sheet!$Z$6:$Z$263,0),2),"")</f>
        <v/>
      </c>
      <c r="D189" s="1962" t="str">
        <f>IF(ROW() -5&lt;= MAX(B_Sheet!$Z$6:$Z$263),INDEX(B_Sheet!$B$6:$Z$263,MATCH(ROW()-5,B_Sheet!$Z$6:$Z$263,0),4),"")</f>
        <v/>
      </c>
      <c r="E189" s="3"/>
      <c r="F189" s="3"/>
      <c r="G189" t="str">
        <f>IF(ROW()-5&lt;=MAX(B_Sheet!$Z$6:$Z$263),INDEX(B_Sheet!$B$6:$Z$263,MATCH(ROW()-5,B_Sheet!$Z$6:$Z$263,0),24),"")</f>
        <v/>
      </c>
    </row>
    <row r="190" spans="1:7" x14ac:dyDescent="0.2">
      <c r="A190" s="3"/>
      <c r="B190" s="1962" t="str">
        <f>IF(ROW() -5&lt;= MAX(B_Sheet!$Z$6:$Z$263),INDEX(B_Sheet!$B$6:$Z$263,MATCH(ROW()-5,B_Sheet!$Z$6:$Z$263,0),1),"")</f>
        <v/>
      </c>
      <c r="C190" s="1962" t="str">
        <f>IF(ROW() -5&lt;= MAX(B_Sheet!$Z$6:$Z$263),INDEX(B_Sheet!$B$6:$Z$263,MATCH(ROW()-5,B_Sheet!$Z$6:$Z$263,0),2),"")</f>
        <v/>
      </c>
      <c r="D190" s="1962" t="str">
        <f>IF(ROW() -5&lt;= MAX(B_Sheet!$Z$6:$Z$263),INDEX(B_Sheet!$B$6:$Z$263,MATCH(ROW()-5,B_Sheet!$Z$6:$Z$263,0),4),"")</f>
        <v/>
      </c>
      <c r="E190" s="3"/>
      <c r="F190" s="3"/>
      <c r="G190" t="str">
        <f>IF(ROW()-5&lt;=MAX(B_Sheet!$Z$6:$Z$263),INDEX(B_Sheet!$B$6:$Z$263,MATCH(ROW()-5,B_Sheet!$Z$6:$Z$263,0),24),"")</f>
        <v/>
      </c>
    </row>
    <row r="191" spans="1:7" x14ac:dyDescent="0.2">
      <c r="A191" s="3"/>
      <c r="B191" s="1962" t="str">
        <f>IF(ROW() -5&lt;= MAX(B_Sheet!$Z$6:$Z$263),INDEX(B_Sheet!$B$6:$Z$263,MATCH(ROW()-5,B_Sheet!$Z$6:$Z$263,0),1),"")</f>
        <v/>
      </c>
      <c r="C191" s="1962" t="str">
        <f>IF(ROW() -5&lt;= MAX(B_Sheet!$Z$6:$Z$263),INDEX(B_Sheet!$B$6:$Z$263,MATCH(ROW()-5,B_Sheet!$Z$6:$Z$263,0),2),"")</f>
        <v/>
      </c>
      <c r="D191" s="1962" t="str">
        <f>IF(ROW() -5&lt;= MAX(B_Sheet!$Z$6:$Z$263),INDEX(B_Sheet!$B$6:$Z$263,MATCH(ROW()-5,B_Sheet!$Z$6:$Z$263,0),4),"")</f>
        <v/>
      </c>
      <c r="E191" s="3"/>
      <c r="F191" s="3"/>
      <c r="G191" t="str">
        <f>IF(ROW()-5&lt;=MAX(B_Sheet!$Z$6:$Z$263),INDEX(B_Sheet!$B$6:$Z$263,MATCH(ROW()-5,B_Sheet!$Z$6:$Z$263,0),24),"")</f>
        <v/>
      </c>
    </row>
    <row r="192" spans="1:7" x14ac:dyDescent="0.2">
      <c r="A192" s="3"/>
      <c r="B192" s="1962" t="str">
        <f>IF(ROW() -5&lt;= MAX(B_Sheet!$Z$6:$Z$263),INDEX(B_Sheet!$B$6:$Z$263,MATCH(ROW()-5,B_Sheet!$Z$6:$Z$263,0),1),"")</f>
        <v/>
      </c>
      <c r="C192" s="1962" t="str">
        <f>IF(ROW() -5&lt;= MAX(B_Sheet!$Z$6:$Z$263),INDEX(B_Sheet!$B$6:$Z$263,MATCH(ROW()-5,B_Sheet!$Z$6:$Z$263,0),2),"")</f>
        <v/>
      </c>
      <c r="D192" s="1962" t="str">
        <f>IF(ROW() -5&lt;= MAX(B_Sheet!$Z$6:$Z$263),INDEX(B_Sheet!$B$6:$Z$263,MATCH(ROW()-5,B_Sheet!$Z$6:$Z$263,0),4),"")</f>
        <v/>
      </c>
      <c r="E192" s="3"/>
      <c r="F192" s="3"/>
      <c r="G192" t="str">
        <f>IF(ROW()-5&lt;=MAX(B_Sheet!$Z$6:$Z$263),INDEX(B_Sheet!$B$6:$Z$263,MATCH(ROW()-5,B_Sheet!$Z$6:$Z$263,0),24),"")</f>
        <v/>
      </c>
    </row>
    <row r="193" spans="1:7" x14ac:dyDescent="0.2">
      <c r="A193" s="3"/>
      <c r="B193" s="1962" t="str">
        <f>IF(ROW() -5&lt;= MAX(B_Sheet!$Z$6:$Z$263),INDEX(B_Sheet!$B$6:$Z$263,MATCH(ROW()-5,B_Sheet!$Z$6:$Z$263,0),1),"")</f>
        <v/>
      </c>
      <c r="C193" s="1962" t="str">
        <f>IF(ROW() -5&lt;= MAX(B_Sheet!$Z$6:$Z$263),INDEX(B_Sheet!$B$6:$Z$263,MATCH(ROW()-5,B_Sheet!$Z$6:$Z$263,0),2),"")</f>
        <v/>
      </c>
      <c r="D193" s="1962" t="str">
        <f>IF(ROW() -5&lt;= MAX(B_Sheet!$Z$6:$Z$263),INDEX(B_Sheet!$B$6:$Z$263,MATCH(ROW()-5,B_Sheet!$Z$6:$Z$263,0),4),"")</f>
        <v/>
      </c>
      <c r="E193" s="3"/>
      <c r="F193" s="3"/>
      <c r="G193" t="str">
        <f>IF(ROW()-5&lt;=MAX(B_Sheet!$Z$6:$Z$263),INDEX(B_Sheet!$B$6:$Z$263,MATCH(ROW()-5,B_Sheet!$Z$6:$Z$263,0),24),"")</f>
        <v/>
      </c>
    </row>
    <row r="194" spans="1:7" x14ac:dyDescent="0.2">
      <c r="A194" s="3"/>
      <c r="B194" s="1962" t="str">
        <f>IF(ROW() -5&lt;= MAX(B_Sheet!$Z$6:$Z$263),INDEX(B_Sheet!$B$6:$Z$263,MATCH(ROW()-5,B_Sheet!$Z$6:$Z$263,0),1),"")</f>
        <v/>
      </c>
      <c r="C194" s="1962" t="str">
        <f>IF(ROW() -5&lt;= MAX(B_Sheet!$Z$6:$Z$263),INDEX(B_Sheet!$B$6:$Z$263,MATCH(ROW()-5,B_Sheet!$Z$6:$Z$263,0),2),"")</f>
        <v/>
      </c>
      <c r="D194" s="1962" t="str">
        <f>IF(ROW() -5&lt;= MAX(B_Sheet!$Z$6:$Z$263),INDEX(B_Sheet!$B$6:$Z$263,MATCH(ROW()-5,B_Sheet!$Z$6:$Z$263,0),4),"")</f>
        <v/>
      </c>
      <c r="E194" s="3"/>
      <c r="F194" s="3"/>
      <c r="G194" t="str">
        <f>IF(ROW()-5&lt;=MAX(B_Sheet!$Z$6:$Z$263),INDEX(B_Sheet!$B$6:$Z$263,MATCH(ROW()-5,B_Sheet!$Z$6:$Z$263,0),24),"")</f>
        <v/>
      </c>
    </row>
    <row r="195" spans="1:7" x14ac:dyDescent="0.2">
      <c r="A195" s="3"/>
      <c r="B195" s="1962" t="str">
        <f>IF(ROW() -5&lt;= MAX(B_Sheet!$Z$6:$Z$263),INDEX(B_Sheet!$B$6:$Z$263,MATCH(ROW()-5,B_Sheet!$Z$6:$Z$263,0),1),"")</f>
        <v/>
      </c>
      <c r="C195" s="1962" t="str">
        <f>IF(ROW() -5&lt;= MAX(B_Sheet!$Z$6:$Z$263),INDEX(B_Sheet!$B$6:$Z$263,MATCH(ROW()-5,B_Sheet!$Z$6:$Z$263,0),2),"")</f>
        <v/>
      </c>
      <c r="D195" s="1962" t="str">
        <f>IF(ROW() -5&lt;= MAX(B_Sheet!$Z$6:$Z$263),INDEX(B_Sheet!$B$6:$Z$263,MATCH(ROW()-5,B_Sheet!$Z$6:$Z$263,0),4),"")</f>
        <v/>
      </c>
      <c r="E195" s="3"/>
      <c r="F195" s="3"/>
      <c r="G195" t="str">
        <f>IF(ROW()-5&lt;=MAX(B_Sheet!$Z$6:$Z$263),INDEX(B_Sheet!$B$6:$Z$263,MATCH(ROW()-5,B_Sheet!$Z$6:$Z$263,0),24),"")</f>
        <v/>
      </c>
    </row>
    <row r="196" spans="1:7" x14ac:dyDescent="0.2">
      <c r="A196" s="3"/>
      <c r="B196" s="1962" t="str">
        <f>IF(ROW() -5&lt;= MAX(B_Sheet!$Z$6:$Z$263),INDEX(B_Sheet!$B$6:$Z$263,MATCH(ROW()-5,B_Sheet!$Z$6:$Z$263,0),1),"")</f>
        <v/>
      </c>
      <c r="C196" s="1962" t="str">
        <f>IF(ROW() -5&lt;= MAX(B_Sheet!$Z$6:$Z$263),INDEX(B_Sheet!$B$6:$Z$263,MATCH(ROW()-5,B_Sheet!$Z$6:$Z$263,0),2),"")</f>
        <v/>
      </c>
      <c r="D196" s="1962" t="str">
        <f>IF(ROW() -5&lt;= MAX(B_Sheet!$Z$6:$Z$263),INDEX(B_Sheet!$B$6:$Z$263,MATCH(ROW()-5,B_Sheet!$Z$6:$Z$263,0),4),"")</f>
        <v/>
      </c>
      <c r="E196" s="3"/>
      <c r="F196" s="3"/>
      <c r="G196" t="str">
        <f>IF(ROW()-5&lt;=MAX(B_Sheet!$Z$6:$Z$263),INDEX(B_Sheet!$B$6:$Z$263,MATCH(ROW()-5,B_Sheet!$Z$6:$Z$263,0),24),"")</f>
        <v/>
      </c>
    </row>
    <row r="197" spans="1:7" x14ac:dyDescent="0.2">
      <c r="A197" s="3"/>
      <c r="B197" s="1962" t="str">
        <f>IF(ROW() -5&lt;= MAX(B_Sheet!$Z$6:$Z$263),INDEX(B_Sheet!$B$6:$Z$263,MATCH(ROW()-5,B_Sheet!$Z$6:$Z$263,0),1),"")</f>
        <v/>
      </c>
      <c r="C197" s="1962" t="str">
        <f>IF(ROW() -5&lt;= MAX(B_Sheet!$Z$6:$Z$263),INDEX(B_Sheet!$B$6:$Z$263,MATCH(ROW()-5,B_Sheet!$Z$6:$Z$263,0),2),"")</f>
        <v/>
      </c>
      <c r="D197" s="1962" t="str">
        <f>IF(ROW() -5&lt;= MAX(B_Sheet!$Z$6:$Z$263),INDEX(B_Sheet!$B$6:$Z$263,MATCH(ROW()-5,B_Sheet!$Z$6:$Z$263,0),4),"")</f>
        <v/>
      </c>
      <c r="E197" s="3"/>
      <c r="F197" s="3"/>
      <c r="G197" t="str">
        <f>IF(ROW()-5&lt;=MAX(B_Sheet!$Z$6:$Z$263),INDEX(B_Sheet!$B$6:$Z$263,MATCH(ROW()-5,B_Sheet!$Z$6:$Z$263,0),24),"")</f>
        <v/>
      </c>
    </row>
    <row r="198" spans="1:7" x14ac:dyDescent="0.2">
      <c r="A198" s="3"/>
      <c r="B198" s="1962" t="str">
        <f>IF(ROW() -5&lt;= MAX(B_Sheet!$Z$6:$Z$263),INDEX(B_Sheet!$B$6:$Z$263,MATCH(ROW()-5,B_Sheet!$Z$6:$Z$263,0),1),"")</f>
        <v/>
      </c>
      <c r="C198" s="1962" t="str">
        <f>IF(ROW() -5&lt;= MAX(B_Sheet!$Z$6:$Z$263),INDEX(B_Sheet!$B$6:$Z$263,MATCH(ROW()-5,B_Sheet!$Z$6:$Z$263,0),2),"")</f>
        <v/>
      </c>
      <c r="D198" s="1962" t="str">
        <f>IF(ROW() -5&lt;= MAX(B_Sheet!$Z$6:$Z$263),INDEX(B_Sheet!$B$6:$Z$263,MATCH(ROW()-5,B_Sheet!$Z$6:$Z$263,0),4),"")</f>
        <v/>
      </c>
      <c r="E198" s="3"/>
      <c r="F198" s="3"/>
      <c r="G198" t="str">
        <f>IF(ROW()-5&lt;=MAX(B_Sheet!$Z$6:$Z$263),INDEX(B_Sheet!$B$6:$Z$263,MATCH(ROW()-5,B_Sheet!$Z$6:$Z$263,0),24),"")</f>
        <v/>
      </c>
    </row>
    <row r="199" spans="1:7" x14ac:dyDescent="0.2">
      <c r="A199" s="3"/>
      <c r="B199" s="1962" t="str">
        <f>IF(ROW() -5&lt;= MAX(B_Sheet!$Z$6:$Z$263),INDEX(B_Sheet!$B$6:$Z$263,MATCH(ROW()-5,B_Sheet!$Z$6:$Z$263,0),1),"")</f>
        <v/>
      </c>
      <c r="C199" s="1962" t="str">
        <f>IF(ROW() -5&lt;= MAX(B_Sheet!$Z$6:$Z$263),INDEX(B_Sheet!$B$6:$Z$263,MATCH(ROW()-5,B_Sheet!$Z$6:$Z$263,0),2),"")</f>
        <v/>
      </c>
      <c r="D199" s="1962" t="str">
        <f>IF(ROW() -5&lt;= MAX(B_Sheet!$Z$6:$Z$263),INDEX(B_Sheet!$B$6:$Z$263,MATCH(ROW()-5,B_Sheet!$Z$6:$Z$263,0),4),"")</f>
        <v/>
      </c>
      <c r="E199" s="3"/>
      <c r="F199" s="3"/>
      <c r="G199" t="str">
        <f>IF(ROW()-5&lt;=MAX(B_Sheet!$Z$6:$Z$263),INDEX(B_Sheet!$B$6:$Z$263,MATCH(ROW()-5,B_Sheet!$Z$6:$Z$263,0),24),"")</f>
        <v/>
      </c>
    </row>
    <row r="200" spans="1:7" x14ac:dyDescent="0.2">
      <c r="A200" s="3"/>
      <c r="B200" s="1962" t="str">
        <f>IF(ROW() -5&lt;= MAX(B_Sheet!$Z$6:$Z$263),INDEX(B_Sheet!$B$6:$Z$263,MATCH(ROW()-5,B_Sheet!$Z$6:$Z$263,0),1),"")</f>
        <v/>
      </c>
      <c r="C200" s="1962" t="str">
        <f>IF(ROW() -5&lt;= MAX(B_Sheet!$Z$6:$Z$263),INDEX(B_Sheet!$B$6:$Z$263,MATCH(ROW()-5,B_Sheet!$Z$6:$Z$263,0),2),"")</f>
        <v/>
      </c>
      <c r="D200" s="1962" t="str">
        <f>IF(ROW() -5&lt;= MAX(B_Sheet!$Z$6:$Z$263),INDEX(B_Sheet!$B$6:$Z$263,MATCH(ROW()-5,B_Sheet!$Z$6:$Z$263,0),4),"")</f>
        <v/>
      </c>
      <c r="E200" s="3"/>
      <c r="F200" s="3"/>
      <c r="G200" t="str">
        <f>IF(ROW()-5&lt;=MAX(B_Sheet!$Z$6:$Z$263),INDEX(B_Sheet!$B$6:$Z$263,MATCH(ROW()-5,B_Sheet!$Z$6:$Z$263,0),24),"")</f>
        <v/>
      </c>
    </row>
    <row r="201" spans="1:7" x14ac:dyDescent="0.2">
      <c r="A201" s="3"/>
      <c r="B201" s="1962" t="str">
        <f>IF(ROW() -5&lt;= MAX(B_Sheet!$Z$6:$Z$263),INDEX(B_Sheet!$B$6:$Z$263,MATCH(ROW()-5,B_Sheet!$Z$6:$Z$263,0),1),"")</f>
        <v/>
      </c>
      <c r="C201" s="1962" t="str">
        <f>IF(ROW() -5&lt;= MAX(B_Sheet!$Z$6:$Z$263),INDEX(B_Sheet!$B$6:$Z$263,MATCH(ROW()-5,B_Sheet!$Z$6:$Z$263,0),2),"")</f>
        <v/>
      </c>
      <c r="D201" s="1962" t="str">
        <f>IF(ROW() -5&lt;= MAX(B_Sheet!$Z$6:$Z$263),INDEX(B_Sheet!$B$6:$Z$263,MATCH(ROW()-5,B_Sheet!$Z$6:$Z$263,0),4),"")</f>
        <v/>
      </c>
      <c r="E201" s="3"/>
      <c r="F201" s="3"/>
      <c r="G201" t="str">
        <f>IF(ROW()-5&lt;=MAX(B_Sheet!$Z$6:$Z$263),INDEX(B_Sheet!$B$6:$Z$263,MATCH(ROW()-5,B_Sheet!$Z$6:$Z$263,0),24),"")</f>
        <v/>
      </c>
    </row>
    <row r="202" spans="1:7" x14ac:dyDescent="0.2">
      <c r="A202" s="3"/>
      <c r="B202" s="1962" t="str">
        <f>IF(ROW() -5&lt;= MAX(B_Sheet!$Z$6:$Z$263),INDEX(B_Sheet!$B$6:$Z$263,MATCH(ROW()-5,B_Sheet!$Z$6:$Z$263,0),1),"")</f>
        <v/>
      </c>
      <c r="C202" s="1962" t="str">
        <f>IF(ROW() -5&lt;= MAX(B_Sheet!$Z$6:$Z$263),INDEX(B_Sheet!$B$6:$Z$263,MATCH(ROW()-5,B_Sheet!$Z$6:$Z$263,0),2),"")</f>
        <v/>
      </c>
      <c r="D202" s="1962" t="str">
        <f>IF(ROW() -5&lt;= MAX(B_Sheet!$Z$6:$Z$263),INDEX(B_Sheet!$B$6:$Z$263,MATCH(ROW()-5,B_Sheet!$Z$6:$Z$263,0),4),"")</f>
        <v/>
      </c>
      <c r="E202" s="3"/>
      <c r="F202" s="3"/>
      <c r="G202" t="str">
        <f>IF(ROW()-5&lt;=MAX(B_Sheet!$Z$6:$Z$263),INDEX(B_Sheet!$B$6:$Z$263,MATCH(ROW()-5,B_Sheet!$Z$6:$Z$263,0),24),"")</f>
        <v/>
      </c>
    </row>
    <row r="203" spans="1:7" x14ac:dyDescent="0.2">
      <c r="A203" s="3"/>
      <c r="B203" s="1962" t="str">
        <f>IF(ROW() -5&lt;= MAX(B_Sheet!$Z$6:$Z$263),INDEX(B_Sheet!$B$6:$Z$263,MATCH(ROW()-5,B_Sheet!$Z$6:$Z$263,0),1),"")</f>
        <v/>
      </c>
      <c r="C203" s="1962" t="str">
        <f>IF(ROW() -5&lt;= MAX(B_Sheet!$Z$6:$Z$263),INDEX(B_Sheet!$B$6:$Z$263,MATCH(ROW()-5,B_Sheet!$Z$6:$Z$263,0),2),"")</f>
        <v/>
      </c>
      <c r="D203" s="1962" t="str">
        <f>IF(ROW() -5&lt;= MAX(B_Sheet!$Z$6:$Z$263),INDEX(B_Sheet!$B$6:$Z$263,MATCH(ROW()-5,B_Sheet!$Z$6:$Z$263,0),4),"")</f>
        <v/>
      </c>
      <c r="E203" s="3"/>
      <c r="F203" s="3"/>
      <c r="G203" t="str">
        <f>IF(ROW()-5&lt;=MAX(B_Sheet!$Z$6:$Z$263),INDEX(B_Sheet!$B$6:$Z$263,MATCH(ROW()-5,B_Sheet!$Z$6:$Z$263,0),24),"")</f>
        <v/>
      </c>
    </row>
    <row r="204" spans="1:7" x14ac:dyDescent="0.2">
      <c r="A204" s="3"/>
      <c r="B204" s="1962" t="str">
        <f>IF(ROW() -5&lt;= MAX(B_Sheet!$Z$6:$Z$263),INDEX(B_Sheet!$B$6:$Z$263,MATCH(ROW()-5,B_Sheet!$Z$6:$Z$263,0),1),"")</f>
        <v/>
      </c>
      <c r="C204" s="1962" t="str">
        <f>IF(ROW() -5&lt;= MAX(B_Sheet!$Z$6:$Z$263),INDEX(B_Sheet!$B$6:$Z$263,MATCH(ROW()-5,B_Sheet!$Z$6:$Z$263,0),2),"")</f>
        <v/>
      </c>
      <c r="D204" s="1962" t="str">
        <f>IF(ROW() -5&lt;= MAX(B_Sheet!$Z$6:$Z$263),INDEX(B_Sheet!$B$6:$Z$263,MATCH(ROW()-5,B_Sheet!$Z$6:$Z$263,0),4),"")</f>
        <v/>
      </c>
      <c r="E204" s="3"/>
      <c r="F204" s="3"/>
      <c r="G204" t="str">
        <f>IF(ROW()-5&lt;=MAX(B_Sheet!$Z$6:$Z$263),INDEX(B_Sheet!$B$6:$Z$263,MATCH(ROW()-5,B_Sheet!$Z$6:$Z$263,0),24),"")</f>
        <v/>
      </c>
    </row>
    <row r="205" spans="1:7" x14ac:dyDescent="0.2">
      <c r="A205" s="3"/>
      <c r="B205" s="1962" t="str">
        <f>IF(ROW() -5&lt;= MAX(B_Sheet!$Z$6:$Z$263),INDEX(B_Sheet!$B$6:$Z$263,MATCH(ROW()-5,B_Sheet!$Z$6:$Z$263,0),1),"")</f>
        <v/>
      </c>
      <c r="C205" s="1962" t="str">
        <f>IF(ROW() -5&lt;= MAX(B_Sheet!$Z$6:$Z$263),INDEX(B_Sheet!$B$6:$Z$263,MATCH(ROW()-5,B_Sheet!$Z$6:$Z$263,0),2),"")</f>
        <v/>
      </c>
      <c r="D205" s="1962" t="str">
        <f>IF(ROW() -5&lt;= MAX(B_Sheet!$Z$6:$Z$263),INDEX(B_Sheet!$B$6:$Z$263,MATCH(ROW()-5,B_Sheet!$Z$6:$Z$263,0),4),"")</f>
        <v/>
      </c>
      <c r="E205" s="3"/>
      <c r="F205" s="3"/>
      <c r="G205" t="str">
        <f>IF(ROW()-5&lt;=MAX(B_Sheet!$Z$6:$Z$263),INDEX(B_Sheet!$B$6:$Z$263,MATCH(ROW()-5,B_Sheet!$Z$6:$Z$263,0),24),"")</f>
        <v/>
      </c>
    </row>
    <row r="206" spans="1:7" x14ac:dyDescent="0.2">
      <c r="A206" s="3"/>
      <c r="B206" s="1962" t="str">
        <f>IF(ROW() -5&lt;= MAX(B_Sheet!$Z$6:$Z$263),INDEX(B_Sheet!$B$6:$Z$263,MATCH(ROW()-5,B_Sheet!$Z$6:$Z$263,0),1),"")</f>
        <v/>
      </c>
      <c r="C206" s="1962" t="str">
        <f>IF(ROW() -5&lt;= MAX(B_Sheet!$Z$6:$Z$263),INDEX(B_Sheet!$B$6:$Z$263,MATCH(ROW()-5,B_Sheet!$Z$6:$Z$263,0),2),"")</f>
        <v/>
      </c>
      <c r="D206" s="1962" t="str">
        <f>IF(ROW() -5&lt;= MAX(B_Sheet!$Z$6:$Z$263),INDEX(B_Sheet!$B$6:$Z$263,MATCH(ROW()-5,B_Sheet!$Z$6:$Z$263,0),4),"")</f>
        <v/>
      </c>
      <c r="E206" s="3"/>
      <c r="F206" s="3"/>
      <c r="G206" t="str">
        <f>IF(ROW()-5&lt;=MAX(B_Sheet!$Z$6:$Z$263),INDEX(B_Sheet!$B$6:$Z$263,MATCH(ROW()-5,B_Sheet!$Z$6:$Z$263,0),24),"")</f>
        <v/>
      </c>
    </row>
    <row r="207" spans="1:7" x14ac:dyDescent="0.2">
      <c r="A207" s="3"/>
      <c r="B207" s="1962" t="str">
        <f>IF(ROW() -5&lt;= MAX(B_Sheet!$Z$6:$Z$263),INDEX(B_Sheet!$B$6:$Z$263,MATCH(ROW()-5,B_Sheet!$Z$6:$Z$263,0),1),"")</f>
        <v/>
      </c>
      <c r="C207" s="1962" t="str">
        <f>IF(ROW() -5&lt;= MAX(B_Sheet!$Z$6:$Z$263),INDEX(B_Sheet!$B$6:$Z$263,MATCH(ROW()-5,B_Sheet!$Z$6:$Z$263,0),2),"")</f>
        <v/>
      </c>
      <c r="D207" s="1962" t="str">
        <f>IF(ROW() -5&lt;= MAX(B_Sheet!$Z$6:$Z$263),INDEX(B_Sheet!$B$6:$Z$263,MATCH(ROW()-5,B_Sheet!$Z$6:$Z$263,0),4),"")</f>
        <v/>
      </c>
      <c r="E207" s="3"/>
      <c r="F207" s="3"/>
      <c r="G207" t="str">
        <f>IF(ROW()-5&lt;=MAX(B_Sheet!$Z$6:$Z$263),INDEX(B_Sheet!$B$6:$Z$263,MATCH(ROW()-5,B_Sheet!$Z$6:$Z$263,0),24),"")</f>
        <v/>
      </c>
    </row>
    <row r="208" spans="1:7" x14ac:dyDescent="0.2">
      <c r="A208" s="3"/>
      <c r="B208" s="1962" t="str">
        <f>IF(ROW() -5&lt;= MAX(B_Sheet!$Z$6:$Z$263),INDEX(B_Sheet!$B$6:$Z$263,MATCH(ROW()-5,B_Sheet!$Z$6:$Z$263,0),1),"")</f>
        <v/>
      </c>
      <c r="C208" s="1962" t="str">
        <f>IF(ROW() -5&lt;= MAX(B_Sheet!$Z$6:$Z$263),INDEX(B_Sheet!$B$6:$Z$263,MATCH(ROW()-5,B_Sheet!$Z$6:$Z$263,0),2),"")</f>
        <v/>
      </c>
      <c r="D208" s="1962" t="str">
        <f>IF(ROW() -5&lt;= MAX(B_Sheet!$Z$6:$Z$263),INDEX(B_Sheet!$B$6:$Z$263,MATCH(ROW()-5,B_Sheet!$Z$6:$Z$263,0),4),"")</f>
        <v/>
      </c>
      <c r="E208" s="3"/>
      <c r="F208" s="3"/>
      <c r="G208" t="str">
        <f>IF(ROW()-5&lt;=MAX(B_Sheet!$Z$6:$Z$263),INDEX(B_Sheet!$B$6:$Z$263,MATCH(ROW()-5,B_Sheet!$Z$6:$Z$263,0),24),"")</f>
        <v/>
      </c>
    </row>
    <row r="209" spans="1:7" x14ac:dyDescent="0.2">
      <c r="A209" s="3"/>
      <c r="B209" s="1962" t="str">
        <f>IF(ROW() -5&lt;= MAX(B_Sheet!$Z$6:$Z$263),INDEX(B_Sheet!$B$6:$Z$263,MATCH(ROW()-5,B_Sheet!$Z$6:$Z$263,0),1),"")</f>
        <v/>
      </c>
      <c r="C209" s="1962" t="str">
        <f>IF(ROW() -5&lt;= MAX(B_Sheet!$Z$6:$Z$263),INDEX(B_Sheet!$B$6:$Z$263,MATCH(ROW()-5,B_Sheet!$Z$6:$Z$263,0),2),"")</f>
        <v/>
      </c>
      <c r="D209" s="1962" t="str">
        <f>IF(ROW() -5&lt;= MAX(B_Sheet!$Z$6:$Z$263),INDEX(B_Sheet!$B$6:$Z$263,MATCH(ROW()-5,B_Sheet!$Z$6:$Z$263,0),4),"")</f>
        <v/>
      </c>
      <c r="E209" s="3"/>
      <c r="F209" s="3"/>
      <c r="G209" t="str">
        <f>IF(ROW()-5&lt;=MAX(B_Sheet!$Z$6:$Z$263),INDEX(B_Sheet!$B$6:$Z$263,MATCH(ROW()-5,B_Sheet!$Z$6:$Z$263,0),24),"")</f>
        <v/>
      </c>
    </row>
    <row r="210" spans="1:7" x14ac:dyDescent="0.2">
      <c r="A210" s="3"/>
      <c r="B210" s="1962" t="str">
        <f>IF(ROW() -5&lt;= MAX(B_Sheet!$Z$6:$Z$263),INDEX(B_Sheet!$B$6:$Z$263,MATCH(ROW()-5,B_Sheet!$Z$6:$Z$263,0),1),"")</f>
        <v/>
      </c>
      <c r="C210" s="1962" t="str">
        <f>IF(ROW() -5&lt;= MAX(B_Sheet!$Z$6:$Z$263),INDEX(B_Sheet!$B$6:$Z$263,MATCH(ROW()-5,B_Sheet!$Z$6:$Z$263,0),2),"")</f>
        <v/>
      </c>
      <c r="D210" s="1962" t="str">
        <f>IF(ROW() -5&lt;= MAX(B_Sheet!$Z$6:$Z$263),INDEX(B_Sheet!$B$6:$Z$263,MATCH(ROW()-5,B_Sheet!$Z$6:$Z$263,0),4),"")</f>
        <v/>
      </c>
      <c r="E210" s="3"/>
      <c r="F210" s="3"/>
      <c r="G210" t="str">
        <f>IF(ROW()-5&lt;=MAX(B_Sheet!$Z$6:$Z$263),INDEX(B_Sheet!$B$6:$Z$263,MATCH(ROW()-5,B_Sheet!$Z$6:$Z$263,0),24),"")</f>
        <v/>
      </c>
    </row>
    <row r="211" spans="1:7" x14ac:dyDescent="0.2">
      <c r="A211" s="3"/>
      <c r="B211" s="1962" t="str">
        <f>IF(ROW() -5&lt;= MAX(B_Sheet!$Z$6:$Z$263),INDEX(B_Sheet!$B$6:$Z$263,MATCH(ROW()-5,B_Sheet!$Z$6:$Z$263,0),1),"")</f>
        <v/>
      </c>
      <c r="C211" s="1962" t="str">
        <f>IF(ROW() -5&lt;= MAX(B_Sheet!$Z$6:$Z$263),INDEX(B_Sheet!$B$6:$Z$263,MATCH(ROW()-5,B_Sheet!$Z$6:$Z$263,0),2),"")</f>
        <v/>
      </c>
      <c r="D211" s="1962" t="str">
        <f>IF(ROW() -5&lt;= MAX(B_Sheet!$Z$6:$Z$263),INDEX(B_Sheet!$B$6:$Z$263,MATCH(ROW()-5,B_Sheet!$Z$6:$Z$263,0),4),"")</f>
        <v/>
      </c>
      <c r="E211" s="3"/>
      <c r="F211" s="3"/>
      <c r="G211" t="str">
        <f>IF(ROW()-5&lt;=MAX(B_Sheet!$Z$6:$Z$263),INDEX(B_Sheet!$B$6:$Z$263,MATCH(ROW()-5,B_Sheet!$Z$6:$Z$263,0),24),"")</f>
        <v/>
      </c>
    </row>
    <row r="212" spans="1:7" x14ac:dyDescent="0.2">
      <c r="A212" s="3"/>
      <c r="B212" s="1962" t="str">
        <f>IF(ROW() -5&lt;= MAX(B_Sheet!$Z$6:$Z$263),INDEX(B_Sheet!$B$6:$Z$263,MATCH(ROW()-5,B_Sheet!$Z$6:$Z$263,0),1),"")</f>
        <v/>
      </c>
      <c r="C212" s="1962" t="str">
        <f>IF(ROW() -5&lt;= MAX(B_Sheet!$Z$6:$Z$263),INDEX(B_Sheet!$B$6:$Z$263,MATCH(ROW()-5,B_Sheet!$Z$6:$Z$263,0),2),"")</f>
        <v/>
      </c>
      <c r="D212" s="1962" t="str">
        <f>IF(ROW() -5&lt;= MAX(B_Sheet!$Z$6:$Z$263),INDEX(B_Sheet!$B$6:$Z$263,MATCH(ROW()-5,B_Sheet!$Z$6:$Z$263,0),4),"")</f>
        <v/>
      </c>
      <c r="E212" s="3"/>
      <c r="F212" s="3"/>
      <c r="G212" t="str">
        <f>IF(ROW()-5&lt;=MAX(B_Sheet!$Z$6:$Z$263),INDEX(B_Sheet!$B$6:$Z$263,MATCH(ROW()-5,B_Sheet!$Z$6:$Z$263,0),24),"")</f>
        <v/>
      </c>
    </row>
    <row r="213" spans="1:7" x14ac:dyDescent="0.2">
      <c r="A213" s="3"/>
      <c r="B213" s="1962" t="str">
        <f>IF(ROW() -5&lt;= MAX(B_Sheet!$Z$6:$Z$263),INDEX(B_Sheet!$B$6:$Z$263,MATCH(ROW()-5,B_Sheet!$Z$6:$Z$263,0),1),"")</f>
        <v/>
      </c>
      <c r="C213" s="1962" t="str">
        <f>IF(ROW() -5&lt;= MAX(B_Sheet!$Z$6:$Z$263),INDEX(B_Sheet!$B$6:$Z$263,MATCH(ROW()-5,B_Sheet!$Z$6:$Z$263,0),2),"")</f>
        <v/>
      </c>
      <c r="D213" s="1962" t="str">
        <f>IF(ROW() -5&lt;= MAX(B_Sheet!$Z$6:$Z$263),INDEX(B_Sheet!$B$6:$Z$263,MATCH(ROW()-5,B_Sheet!$Z$6:$Z$263,0),4),"")</f>
        <v/>
      </c>
      <c r="E213" s="3"/>
      <c r="F213" s="3"/>
      <c r="G213" t="str">
        <f>IF(ROW()-5&lt;=MAX(B_Sheet!$Z$6:$Z$263),INDEX(B_Sheet!$B$6:$Z$263,MATCH(ROW()-5,B_Sheet!$Z$6:$Z$263,0),24),"")</f>
        <v/>
      </c>
    </row>
    <row r="214" spans="1:7" x14ac:dyDescent="0.2">
      <c r="A214" s="3"/>
      <c r="B214" s="1962" t="str">
        <f>IF(ROW() -5&lt;= MAX(B_Sheet!$Z$6:$Z$263),INDEX(B_Sheet!$B$6:$Z$263,MATCH(ROW()-5,B_Sheet!$Z$6:$Z$263,0),1),"")</f>
        <v/>
      </c>
      <c r="C214" s="1962" t="str">
        <f>IF(ROW() -5&lt;= MAX(B_Sheet!$Z$6:$Z$263),INDEX(B_Sheet!$B$6:$Z$263,MATCH(ROW()-5,B_Sheet!$Z$6:$Z$263,0),2),"")</f>
        <v/>
      </c>
      <c r="D214" s="1962" t="str">
        <f>IF(ROW() -5&lt;= MAX(B_Sheet!$Z$6:$Z$263),INDEX(B_Sheet!$B$6:$Z$263,MATCH(ROW()-5,B_Sheet!$Z$6:$Z$263,0),4),"")</f>
        <v/>
      </c>
      <c r="E214" s="3"/>
      <c r="F214" s="3"/>
      <c r="G214" t="str">
        <f>IF(ROW()-5&lt;=MAX(B_Sheet!$Z$6:$Z$263),INDEX(B_Sheet!$B$6:$Z$263,MATCH(ROW()-5,B_Sheet!$Z$6:$Z$263,0),24),"")</f>
        <v/>
      </c>
    </row>
    <row r="215" spans="1:7" x14ac:dyDescent="0.2">
      <c r="A215" s="3"/>
      <c r="B215" s="1962" t="str">
        <f>IF(ROW() -5&lt;= MAX(B_Sheet!$Z$6:$Z$263),INDEX(B_Sheet!$B$6:$Z$263,MATCH(ROW()-5,B_Sheet!$Z$6:$Z$263,0),1),"")</f>
        <v/>
      </c>
      <c r="C215" s="1962" t="str">
        <f>IF(ROW() -5&lt;= MAX(B_Sheet!$Z$6:$Z$263),INDEX(B_Sheet!$B$6:$Z$263,MATCH(ROW()-5,B_Sheet!$Z$6:$Z$263,0),2),"")</f>
        <v/>
      </c>
      <c r="D215" s="1962" t="str">
        <f>IF(ROW() -5&lt;= MAX(B_Sheet!$Z$6:$Z$263),INDEX(B_Sheet!$B$6:$Z$263,MATCH(ROW()-5,B_Sheet!$Z$6:$Z$263,0),4),"")</f>
        <v/>
      </c>
      <c r="E215" s="3"/>
      <c r="F215" s="3"/>
      <c r="G215" t="str">
        <f>IF(ROW()-5&lt;=MAX(B_Sheet!$Z$6:$Z$263),INDEX(B_Sheet!$B$6:$Z$263,MATCH(ROW()-5,B_Sheet!$Z$6:$Z$263,0),24),"")</f>
        <v/>
      </c>
    </row>
    <row r="216" spans="1:7" x14ac:dyDescent="0.2">
      <c r="A216" s="3"/>
      <c r="B216" s="1962" t="str">
        <f>IF(ROW() -5&lt;= MAX(B_Sheet!$Z$6:$Z$263),INDEX(B_Sheet!$B$6:$Z$263,MATCH(ROW()-5,B_Sheet!$Z$6:$Z$263,0),1),"")</f>
        <v/>
      </c>
      <c r="C216" s="1962" t="str">
        <f>IF(ROW() -5&lt;= MAX(B_Sheet!$Z$6:$Z$263),INDEX(B_Sheet!$B$6:$Z$263,MATCH(ROW()-5,B_Sheet!$Z$6:$Z$263,0),2),"")</f>
        <v/>
      </c>
      <c r="D216" s="1962" t="str">
        <f>IF(ROW() -5&lt;= MAX(B_Sheet!$Z$6:$Z$263),INDEX(B_Sheet!$B$6:$Z$263,MATCH(ROW()-5,B_Sheet!$Z$6:$Z$263,0),4),"")</f>
        <v/>
      </c>
      <c r="E216" s="3"/>
      <c r="F216" s="3"/>
      <c r="G216" t="str">
        <f>IF(ROW()-5&lt;=MAX(B_Sheet!$Z$6:$Z$263),INDEX(B_Sheet!$B$6:$Z$263,MATCH(ROW()-5,B_Sheet!$Z$6:$Z$263,0),24),"")</f>
        <v/>
      </c>
    </row>
    <row r="217" spans="1:7" x14ac:dyDescent="0.2">
      <c r="A217" s="3"/>
      <c r="B217" s="1962" t="str">
        <f>IF(ROW() -5&lt;= MAX(B_Sheet!$Z$6:$Z$263),INDEX(B_Sheet!$B$6:$Z$263,MATCH(ROW()-5,B_Sheet!$Z$6:$Z$263,0),1),"")</f>
        <v/>
      </c>
      <c r="C217" s="1962" t="str">
        <f>IF(ROW() -5&lt;= MAX(B_Sheet!$Z$6:$Z$263),INDEX(B_Sheet!$B$6:$Z$263,MATCH(ROW()-5,B_Sheet!$Z$6:$Z$263,0),2),"")</f>
        <v/>
      </c>
      <c r="D217" s="1962" t="str">
        <f>IF(ROW() -5&lt;= MAX(B_Sheet!$Z$6:$Z$263),INDEX(B_Sheet!$B$6:$Z$263,MATCH(ROW()-5,B_Sheet!$Z$6:$Z$263,0),4),"")</f>
        <v/>
      </c>
      <c r="E217" s="3"/>
      <c r="F217" s="3"/>
      <c r="G217" t="str">
        <f>IF(ROW()-5&lt;=MAX(B_Sheet!$Z$6:$Z$263),INDEX(B_Sheet!$B$6:$Z$263,MATCH(ROW()-5,B_Sheet!$Z$6:$Z$263,0),24),"")</f>
        <v/>
      </c>
    </row>
    <row r="218" spans="1:7" x14ac:dyDescent="0.2">
      <c r="A218" s="3"/>
      <c r="B218" s="1962" t="str">
        <f>IF(ROW() -5&lt;= MAX(B_Sheet!$Z$6:$Z$263),INDEX(B_Sheet!$B$6:$Z$263,MATCH(ROW()-5,B_Sheet!$Z$6:$Z$263,0),1),"")</f>
        <v/>
      </c>
      <c r="C218" s="1962" t="str">
        <f>IF(ROW() -5&lt;= MAX(B_Sheet!$Z$6:$Z$263),INDEX(B_Sheet!$B$6:$Z$263,MATCH(ROW()-5,B_Sheet!$Z$6:$Z$263,0),2),"")</f>
        <v/>
      </c>
      <c r="D218" s="1962" t="str">
        <f>IF(ROW() -5&lt;= MAX(B_Sheet!$Z$6:$Z$263),INDEX(B_Sheet!$B$6:$Z$263,MATCH(ROW()-5,B_Sheet!$Z$6:$Z$263,0),4),"")</f>
        <v/>
      </c>
      <c r="E218" s="3"/>
      <c r="F218" s="3"/>
      <c r="G218" t="str">
        <f>IF(ROW()-5&lt;=MAX(B_Sheet!$Z$6:$Z$263),INDEX(B_Sheet!$B$6:$Z$263,MATCH(ROW()-5,B_Sheet!$Z$6:$Z$263,0),24),"")</f>
        <v/>
      </c>
    </row>
    <row r="219" spans="1:7" x14ac:dyDescent="0.2">
      <c r="A219" s="3"/>
      <c r="B219" s="1962" t="str">
        <f>IF(ROW() -5&lt;= MAX(B_Sheet!$Z$6:$Z$263),INDEX(B_Sheet!$B$6:$Z$263,MATCH(ROW()-5,B_Sheet!$Z$6:$Z$263,0),1),"")</f>
        <v/>
      </c>
      <c r="C219" s="1962" t="str">
        <f>IF(ROW() -5&lt;= MAX(B_Sheet!$Z$6:$Z$263),INDEX(B_Sheet!$B$6:$Z$263,MATCH(ROW()-5,B_Sheet!$Z$6:$Z$263,0),2),"")</f>
        <v/>
      </c>
      <c r="D219" s="1962" t="str">
        <f>IF(ROW() -5&lt;= MAX(B_Sheet!$Z$6:$Z$263),INDEX(B_Sheet!$B$6:$Z$263,MATCH(ROW()-5,B_Sheet!$Z$6:$Z$263,0),4),"")</f>
        <v/>
      </c>
      <c r="E219" s="3"/>
      <c r="F219" s="3"/>
      <c r="G219" t="str">
        <f>IF(ROW()-5&lt;=MAX(B_Sheet!$Z$6:$Z$263),INDEX(B_Sheet!$B$6:$Z$263,MATCH(ROW()-5,B_Sheet!$Z$6:$Z$263,0),24),"")</f>
        <v/>
      </c>
    </row>
    <row r="220" spans="1:7" x14ac:dyDescent="0.2">
      <c r="A220" s="3"/>
      <c r="B220" s="1962" t="str">
        <f>IF(ROW() -5&lt;= MAX(B_Sheet!$Z$6:$Z$263),INDEX(B_Sheet!$B$6:$Z$263,MATCH(ROW()-5,B_Sheet!$Z$6:$Z$263,0),1),"")</f>
        <v/>
      </c>
      <c r="C220" s="1962" t="str">
        <f>IF(ROW() -5&lt;= MAX(B_Sheet!$Z$6:$Z$263),INDEX(B_Sheet!$B$6:$Z$263,MATCH(ROW()-5,B_Sheet!$Z$6:$Z$263,0),2),"")</f>
        <v/>
      </c>
      <c r="D220" s="1962" t="str">
        <f>IF(ROW() -5&lt;= MAX(B_Sheet!$Z$6:$Z$263),INDEX(B_Sheet!$B$6:$Z$263,MATCH(ROW()-5,B_Sheet!$Z$6:$Z$263,0),4),"")</f>
        <v/>
      </c>
      <c r="E220" s="3"/>
      <c r="F220" s="3"/>
      <c r="G220" t="str">
        <f>IF(ROW()-5&lt;=MAX(B_Sheet!$Z$6:$Z$263),INDEX(B_Sheet!$B$6:$Z$263,MATCH(ROW()-5,B_Sheet!$Z$6:$Z$263,0),24),"")</f>
        <v/>
      </c>
    </row>
    <row r="221" spans="1:7" x14ac:dyDescent="0.2">
      <c r="A221" s="3"/>
      <c r="B221" s="1962" t="str">
        <f>IF(ROW() -5&lt;= MAX(B_Sheet!$Z$6:$Z$263),INDEX(B_Sheet!$B$6:$Z$263,MATCH(ROW()-5,B_Sheet!$Z$6:$Z$263,0),1),"")</f>
        <v/>
      </c>
      <c r="C221" s="1962" t="str">
        <f>IF(ROW() -5&lt;= MAX(B_Sheet!$Z$6:$Z$263),INDEX(B_Sheet!$B$6:$Z$263,MATCH(ROW()-5,B_Sheet!$Z$6:$Z$263,0),2),"")</f>
        <v/>
      </c>
      <c r="D221" s="1962" t="str">
        <f>IF(ROW() -5&lt;= MAX(B_Sheet!$Z$6:$Z$263),INDEX(B_Sheet!$B$6:$Z$263,MATCH(ROW()-5,B_Sheet!$Z$6:$Z$263,0),4),"")</f>
        <v/>
      </c>
      <c r="E221" s="3"/>
      <c r="F221" s="3"/>
      <c r="G221" t="str">
        <f>IF(ROW()-5&lt;=MAX(B_Sheet!$Z$6:$Z$263),INDEX(B_Sheet!$B$6:$Z$263,MATCH(ROW()-5,B_Sheet!$Z$6:$Z$263,0),24),"")</f>
        <v/>
      </c>
    </row>
    <row r="222" spans="1:7" x14ac:dyDescent="0.2">
      <c r="A222" s="3"/>
      <c r="B222" s="1962" t="str">
        <f>IF(ROW() -5&lt;= MAX(B_Sheet!$Z$6:$Z$263),INDEX(B_Sheet!$B$6:$Z$263,MATCH(ROW()-5,B_Sheet!$Z$6:$Z$263,0),1),"")</f>
        <v/>
      </c>
      <c r="C222" s="1962" t="str">
        <f>IF(ROW() -5&lt;= MAX(B_Sheet!$Z$6:$Z$263),INDEX(B_Sheet!$B$6:$Z$263,MATCH(ROW()-5,B_Sheet!$Z$6:$Z$263,0),2),"")</f>
        <v/>
      </c>
      <c r="D222" s="1962" t="str">
        <f>IF(ROW() -5&lt;= MAX(B_Sheet!$Z$6:$Z$263),INDEX(B_Sheet!$B$6:$Z$263,MATCH(ROW()-5,B_Sheet!$Z$6:$Z$263,0),4),"")</f>
        <v/>
      </c>
      <c r="E222" s="3"/>
      <c r="F222" s="3"/>
      <c r="G222" t="str">
        <f>IF(ROW()-5&lt;=MAX(B_Sheet!$Z$6:$Z$263),INDEX(B_Sheet!$B$6:$Z$263,MATCH(ROW()-5,B_Sheet!$Z$6:$Z$263,0),24),"")</f>
        <v/>
      </c>
    </row>
    <row r="223" spans="1:7" x14ac:dyDescent="0.2">
      <c r="A223" s="3"/>
      <c r="B223" s="1962" t="str">
        <f>IF(ROW() -5&lt;= MAX(B_Sheet!$Z$6:$Z$263),INDEX(B_Sheet!$B$6:$Z$263,MATCH(ROW()-5,B_Sheet!$Z$6:$Z$263,0),1),"")</f>
        <v/>
      </c>
      <c r="C223" s="1962" t="str">
        <f>IF(ROW() -5&lt;= MAX(B_Sheet!$Z$6:$Z$263),INDEX(B_Sheet!$B$6:$Z$263,MATCH(ROW()-5,B_Sheet!$Z$6:$Z$263,0),2),"")</f>
        <v/>
      </c>
      <c r="D223" s="1962" t="str">
        <f>IF(ROW() -5&lt;= MAX(B_Sheet!$Z$6:$Z$263),INDEX(B_Sheet!$B$6:$Z$263,MATCH(ROW()-5,B_Sheet!$Z$6:$Z$263,0),4),"")</f>
        <v/>
      </c>
      <c r="E223" s="3"/>
      <c r="F223" s="3"/>
      <c r="G223" t="str">
        <f>IF(ROW()-5&lt;=MAX(B_Sheet!$Z$6:$Z$263),INDEX(B_Sheet!$B$6:$Z$263,MATCH(ROW()-5,B_Sheet!$Z$6:$Z$263,0),24),"")</f>
        <v/>
      </c>
    </row>
    <row r="224" spans="1:7" x14ac:dyDescent="0.2">
      <c r="A224" s="3"/>
      <c r="B224" s="1962" t="str">
        <f>IF(ROW() -5&lt;= MAX(B_Sheet!$Z$6:$Z$263),INDEX(B_Sheet!$B$6:$Z$263,MATCH(ROW()-5,B_Sheet!$Z$6:$Z$263,0),1),"")</f>
        <v/>
      </c>
      <c r="C224" s="1962" t="str">
        <f>IF(ROW() -5&lt;= MAX(B_Sheet!$Z$6:$Z$263),INDEX(B_Sheet!$B$6:$Z$263,MATCH(ROW()-5,B_Sheet!$Z$6:$Z$263,0),2),"")</f>
        <v/>
      </c>
      <c r="D224" s="1962" t="str">
        <f>IF(ROW() -5&lt;= MAX(B_Sheet!$Z$6:$Z$263),INDEX(B_Sheet!$B$6:$Z$263,MATCH(ROW()-5,B_Sheet!$Z$6:$Z$263,0),4),"")</f>
        <v/>
      </c>
      <c r="E224" s="3"/>
      <c r="F224" s="3"/>
      <c r="G224" t="str">
        <f>IF(ROW()-5&lt;=MAX(B_Sheet!$Z$6:$Z$263),INDEX(B_Sheet!$B$6:$Z$263,MATCH(ROW()-5,B_Sheet!$Z$6:$Z$263,0),24),"")</f>
        <v/>
      </c>
    </row>
    <row r="225" spans="1:7" x14ac:dyDescent="0.2">
      <c r="A225" s="3"/>
      <c r="B225" s="1962" t="str">
        <f>IF(ROW() -5&lt;= MAX(B_Sheet!$Z$6:$Z$263),INDEX(B_Sheet!$B$6:$Z$263,MATCH(ROW()-5,B_Sheet!$Z$6:$Z$263,0),1),"")</f>
        <v/>
      </c>
      <c r="C225" s="1962" t="str">
        <f>IF(ROW() -5&lt;= MAX(B_Sheet!$Z$6:$Z$263),INDEX(B_Sheet!$B$6:$Z$263,MATCH(ROW()-5,B_Sheet!$Z$6:$Z$263,0),2),"")</f>
        <v/>
      </c>
      <c r="D225" s="1962" t="str">
        <f>IF(ROW() -5&lt;= MAX(B_Sheet!$Z$6:$Z$263),INDEX(B_Sheet!$B$6:$Z$263,MATCH(ROW()-5,B_Sheet!$Z$6:$Z$263,0),4),"")</f>
        <v/>
      </c>
      <c r="E225" s="3"/>
      <c r="F225" s="3"/>
      <c r="G225" t="str">
        <f>IF(ROW()-5&lt;=MAX(B_Sheet!$Z$6:$Z$263),INDEX(B_Sheet!$B$6:$Z$263,MATCH(ROW()-5,B_Sheet!$Z$6:$Z$263,0),24),"")</f>
        <v/>
      </c>
    </row>
    <row r="226" spans="1:7" x14ac:dyDescent="0.2">
      <c r="A226" s="3"/>
      <c r="B226" s="1962" t="str">
        <f>IF(ROW() -5&lt;= MAX(B_Sheet!$Z$6:$Z$263),INDEX(B_Sheet!$B$6:$Z$263,MATCH(ROW()-5,B_Sheet!$Z$6:$Z$263,0),1),"")</f>
        <v/>
      </c>
      <c r="C226" s="1962" t="str">
        <f>IF(ROW() -5&lt;= MAX(B_Sheet!$Z$6:$Z$263),INDEX(B_Sheet!$B$6:$Z$263,MATCH(ROW()-5,B_Sheet!$Z$6:$Z$263,0),2),"")</f>
        <v/>
      </c>
      <c r="D226" s="1962" t="str">
        <f>IF(ROW() -5&lt;= MAX(B_Sheet!$Z$6:$Z$263),INDEX(B_Sheet!$B$6:$Z$263,MATCH(ROW()-5,B_Sheet!$Z$6:$Z$263,0),4),"")</f>
        <v/>
      </c>
      <c r="E226" s="3"/>
      <c r="F226" s="3"/>
      <c r="G226" t="str">
        <f>IF(ROW()-5&lt;=MAX(B_Sheet!$Z$6:$Z$263),INDEX(B_Sheet!$B$6:$Z$263,MATCH(ROW()-5,B_Sheet!$Z$6:$Z$263,0),24),"")</f>
        <v/>
      </c>
    </row>
    <row r="227" spans="1:7" x14ac:dyDescent="0.2">
      <c r="A227" s="3"/>
      <c r="B227" s="1962" t="str">
        <f>IF(ROW() -5&lt;= MAX(B_Sheet!$Z$6:$Z$263),INDEX(B_Sheet!$B$6:$Z$263,MATCH(ROW()-5,B_Sheet!$Z$6:$Z$263,0),1),"")</f>
        <v/>
      </c>
      <c r="C227" s="1962" t="str">
        <f>IF(ROW() -5&lt;= MAX(B_Sheet!$Z$6:$Z$263),INDEX(B_Sheet!$B$6:$Z$263,MATCH(ROW()-5,B_Sheet!$Z$6:$Z$263,0),2),"")</f>
        <v/>
      </c>
      <c r="D227" s="1962" t="str">
        <f>IF(ROW() -5&lt;= MAX(B_Sheet!$Z$6:$Z$263),INDEX(B_Sheet!$B$6:$Z$263,MATCH(ROW()-5,B_Sheet!$Z$6:$Z$263,0),4),"")</f>
        <v/>
      </c>
      <c r="E227" s="3"/>
      <c r="F227" s="3"/>
      <c r="G227" t="str">
        <f>IF(ROW()-5&lt;=MAX(B_Sheet!$Z$6:$Z$263),INDEX(B_Sheet!$B$6:$Z$263,MATCH(ROW()-5,B_Sheet!$Z$6:$Z$263,0),24),"")</f>
        <v/>
      </c>
    </row>
    <row r="228" spans="1:7" x14ac:dyDescent="0.2">
      <c r="A228" s="3"/>
      <c r="B228" s="1962" t="str">
        <f>IF(ROW() -5&lt;= MAX(B_Sheet!$Z$6:$Z$263),INDEX(B_Sheet!$B$6:$Z$263,MATCH(ROW()-5,B_Sheet!$Z$6:$Z$263,0),1),"")</f>
        <v/>
      </c>
      <c r="C228" s="1962" t="str">
        <f>IF(ROW() -5&lt;= MAX(B_Sheet!$Z$6:$Z$263),INDEX(B_Sheet!$B$6:$Z$263,MATCH(ROW()-5,B_Sheet!$Z$6:$Z$263,0),2),"")</f>
        <v/>
      </c>
      <c r="D228" s="1962" t="str">
        <f>IF(ROW() -5&lt;= MAX(B_Sheet!$Z$6:$Z$263),INDEX(B_Sheet!$B$6:$Z$263,MATCH(ROW()-5,B_Sheet!$Z$6:$Z$263,0),4),"")</f>
        <v/>
      </c>
      <c r="E228" s="3"/>
      <c r="F228" s="3"/>
      <c r="G228" t="str">
        <f>IF(ROW()-5&lt;=MAX(B_Sheet!$Z$6:$Z$263),INDEX(B_Sheet!$B$6:$Z$263,MATCH(ROW()-5,B_Sheet!$Z$6:$Z$263,0),24),"")</f>
        <v/>
      </c>
    </row>
    <row r="229" spans="1:7" x14ac:dyDescent="0.2">
      <c r="A229" s="3"/>
      <c r="B229" s="1962" t="str">
        <f>IF(ROW() -5&lt;= MAX(B_Sheet!$Z$6:$Z$263),INDEX(B_Sheet!$B$6:$Z$263,MATCH(ROW()-5,B_Sheet!$Z$6:$Z$263,0),1),"")</f>
        <v/>
      </c>
      <c r="C229" s="1962" t="str">
        <f>IF(ROW() -5&lt;= MAX(B_Sheet!$Z$6:$Z$263),INDEX(B_Sheet!$B$6:$Z$263,MATCH(ROW()-5,B_Sheet!$Z$6:$Z$263,0),2),"")</f>
        <v/>
      </c>
      <c r="D229" s="1962" t="str">
        <f>IF(ROW() -5&lt;= MAX(B_Sheet!$Z$6:$Z$263),INDEX(B_Sheet!$B$6:$Z$263,MATCH(ROW()-5,B_Sheet!$Z$6:$Z$263,0),4),"")</f>
        <v/>
      </c>
      <c r="E229" s="3"/>
      <c r="F229" s="3"/>
      <c r="G229" t="str">
        <f>IF(ROW()-5&lt;=MAX(B_Sheet!$Z$6:$Z$263),INDEX(B_Sheet!$B$6:$Z$263,MATCH(ROW()-5,B_Sheet!$Z$6:$Z$263,0),24),"")</f>
        <v/>
      </c>
    </row>
    <row r="230" spans="1:7" x14ac:dyDescent="0.2">
      <c r="A230" s="3"/>
      <c r="B230" s="1962" t="str">
        <f>IF(ROW() -5&lt;= MAX(B_Sheet!$Z$6:$Z$263),INDEX(B_Sheet!$B$6:$Z$263,MATCH(ROW()-5,B_Sheet!$Z$6:$Z$263,0),1),"")</f>
        <v/>
      </c>
      <c r="C230" s="1962" t="str">
        <f>IF(ROW() -5&lt;= MAX(B_Sheet!$Z$6:$Z$263),INDEX(B_Sheet!$B$6:$Z$263,MATCH(ROW()-5,B_Sheet!$Z$6:$Z$263,0),2),"")</f>
        <v/>
      </c>
      <c r="D230" s="1962" t="str">
        <f>IF(ROW() -5&lt;= MAX(B_Sheet!$Z$6:$Z$263),INDEX(B_Sheet!$B$6:$Z$263,MATCH(ROW()-5,B_Sheet!$Z$6:$Z$263,0),4),"")</f>
        <v/>
      </c>
      <c r="E230" s="3"/>
      <c r="F230" s="3"/>
      <c r="G230" t="str">
        <f>IF(ROW()-5&lt;=MAX(B_Sheet!$Z$6:$Z$263),INDEX(B_Sheet!$B$6:$Z$263,MATCH(ROW()-5,B_Sheet!$Z$6:$Z$263,0),24),"")</f>
        <v/>
      </c>
    </row>
    <row r="231" spans="1:7" x14ac:dyDescent="0.2">
      <c r="A231" s="3"/>
      <c r="B231" s="1962" t="str">
        <f>IF(ROW() -5&lt;= MAX(B_Sheet!$Z$6:$Z$263),INDEX(B_Sheet!$B$6:$Z$263,MATCH(ROW()-5,B_Sheet!$Z$6:$Z$263,0),1),"")</f>
        <v/>
      </c>
      <c r="C231" s="1962" t="str">
        <f>IF(ROW() -5&lt;= MAX(B_Sheet!$Z$6:$Z$263),INDEX(B_Sheet!$B$6:$Z$263,MATCH(ROW()-5,B_Sheet!$Z$6:$Z$263,0),2),"")</f>
        <v/>
      </c>
      <c r="D231" s="1962" t="str">
        <f>IF(ROW() -5&lt;= MAX(B_Sheet!$Z$6:$Z$263),INDEX(B_Sheet!$B$6:$Z$263,MATCH(ROW()-5,B_Sheet!$Z$6:$Z$263,0),4),"")</f>
        <v/>
      </c>
      <c r="E231" s="3"/>
      <c r="F231" s="3"/>
      <c r="G231" t="str">
        <f>IF(ROW()-5&lt;=MAX(B_Sheet!$Z$6:$Z$263),INDEX(B_Sheet!$B$6:$Z$263,MATCH(ROW()-5,B_Sheet!$Z$6:$Z$263,0),24),"")</f>
        <v/>
      </c>
    </row>
    <row r="232" spans="1:7" x14ac:dyDescent="0.2">
      <c r="A232" s="3"/>
      <c r="B232" s="1962" t="str">
        <f>IF(ROW() -5&lt;= MAX(B_Sheet!$Z$6:$Z$263),INDEX(B_Sheet!$B$6:$Z$263,MATCH(ROW()-5,B_Sheet!$Z$6:$Z$263,0),1),"")</f>
        <v/>
      </c>
      <c r="C232" s="1962" t="str">
        <f>IF(ROW() -5&lt;= MAX(B_Sheet!$Z$6:$Z$263),INDEX(B_Sheet!$B$6:$Z$263,MATCH(ROW()-5,B_Sheet!$Z$6:$Z$263,0),2),"")</f>
        <v/>
      </c>
      <c r="D232" s="1962" t="str">
        <f>IF(ROW() -5&lt;= MAX(B_Sheet!$Z$6:$Z$263),INDEX(B_Sheet!$B$6:$Z$263,MATCH(ROW()-5,B_Sheet!$Z$6:$Z$263,0),4),"")</f>
        <v/>
      </c>
      <c r="E232" s="3"/>
      <c r="F232" s="3"/>
      <c r="G232" t="str">
        <f>IF(ROW()-5&lt;=MAX(B_Sheet!$Z$6:$Z$263),INDEX(B_Sheet!$B$6:$Z$263,MATCH(ROW()-5,B_Sheet!$Z$6:$Z$263,0),24),"")</f>
        <v/>
      </c>
    </row>
    <row r="233" spans="1:7" x14ac:dyDescent="0.2">
      <c r="A233" s="3"/>
      <c r="B233" s="1962" t="str">
        <f>IF(ROW() -5&lt;= MAX(B_Sheet!$Z$6:$Z$263),INDEX(B_Sheet!$B$6:$Z$263,MATCH(ROW()-5,B_Sheet!$Z$6:$Z$263,0),1),"")</f>
        <v/>
      </c>
      <c r="C233" s="1962" t="str">
        <f>IF(ROW() -5&lt;= MAX(B_Sheet!$Z$6:$Z$263),INDEX(B_Sheet!$B$6:$Z$263,MATCH(ROW()-5,B_Sheet!$Z$6:$Z$263,0),2),"")</f>
        <v/>
      </c>
      <c r="D233" s="1962" t="str">
        <f>IF(ROW() -5&lt;= MAX(B_Sheet!$Z$6:$Z$263),INDEX(B_Sheet!$B$6:$Z$263,MATCH(ROW()-5,B_Sheet!$Z$6:$Z$263,0),4),"")</f>
        <v/>
      </c>
      <c r="E233" s="3"/>
      <c r="F233" s="3"/>
      <c r="G233" t="str">
        <f>IF(ROW()-5&lt;=MAX(B_Sheet!$Z$6:$Z$263),INDEX(B_Sheet!$B$6:$Z$263,MATCH(ROW()-5,B_Sheet!$Z$6:$Z$263,0),24),"")</f>
        <v/>
      </c>
    </row>
    <row r="234" spans="1:7" x14ac:dyDescent="0.2">
      <c r="A234" s="3"/>
      <c r="B234" s="1962" t="str">
        <f>IF(ROW() -5&lt;= MAX(B_Sheet!$Z$6:$Z$263),INDEX(B_Sheet!$B$6:$Z$263,MATCH(ROW()-5,B_Sheet!$Z$6:$Z$263,0),1),"")</f>
        <v/>
      </c>
      <c r="C234" s="1962" t="str">
        <f>IF(ROW() -5&lt;= MAX(B_Sheet!$Z$6:$Z$263),INDEX(B_Sheet!$B$6:$Z$263,MATCH(ROW()-5,B_Sheet!$Z$6:$Z$263,0),2),"")</f>
        <v/>
      </c>
      <c r="D234" s="1962" t="str">
        <f>IF(ROW() -5&lt;= MAX(B_Sheet!$Z$6:$Z$263),INDEX(B_Sheet!$B$6:$Z$263,MATCH(ROW()-5,B_Sheet!$Z$6:$Z$263,0),4),"")</f>
        <v/>
      </c>
      <c r="E234" s="3"/>
      <c r="F234" s="3"/>
      <c r="G234" t="str">
        <f>IF(ROW()-5&lt;=MAX(B_Sheet!$Z$6:$Z$263),INDEX(B_Sheet!$B$6:$Z$263,MATCH(ROW()-5,B_Sheet!$Z$6:$Z$263,0),24),"")</f>
        <v/>
      </c>
    </row>
    <row r="235" spans="1:7" x14ac:dyDescent="0.2">
      <c r="A235" s="3"/>
      <c r="B235" s="1962" t="str">
        <f>IF(ROW() -5&lt;= MAX(B_Sheet!$Z$6:$Z$263),INDEX(B_Sheet!$B$6:$Z$263,MATCH(ROW()-5,B_Sheet!$Z$6:$Z$263,0),1),"")</f>
        <v/>
      </c>
      <c r="C235" s="1962" t="str">
        <f>IF(ROW() -5&lt;= MAX(B_Sheet!$Z$6:$Z$263),INDEX(B_Sheet!$B$6:$Z$263,MATCH(ROW()-5,B_Sheet!$Z$6:$Z$263,0),2),"")</f>
        <v/>
      </c>
      <c r="D235" s="1962" t="str">
        <f>IF(ROW() -5&lt;= MAX(B_Sheet!$Z$6:$Z$263),INDEX(B_Sheet!$B$6:$Z$263,MATCH(ROW()-5,B_Sheet!$Z$6:$Z$263,0),4),"")</f>
        <v/>
      </c>
      <c r="E235" s="3"/>
      <c r="F235" s="3"/>
      <c r="G235" t="str">
        <f>IF(ROW()-5&lt;=MAX(B_Sheet!$Z$6:$Z$263),INDEX(B_Sheet!$B$6:$Z$263,MATCH(ROW()-5,B_Sheet!$Z$6:$Z$263,0),24),"")</f>
        <v/>
      </c>
    </row>
    <row r="236" spans="1:7" x14ac:dyDescent="0.2">
      <c r="A236" s="3"/>
      <c r="B236" s="1962" t="str">
        <f>IF(ROW() -5&lt;= MAX(B_Sheet!$Z$6:$Z$263),INDEX(B_Sheet!$B$6:$Z$263,MATCH(ROW()-5,B_Sheet!$Z$6:$Z$263,0),1),"")</f>
        <v/>
      </c>
      <c r="C236" s="1962" t="str">
        <f>IF(ROW() -5&lt;= MAX(B_Sheet!$Z$6:$Z$263),INDEX(B_Sheet!$B$6:$Z$263,MATCH(ROW()-5,B_Sheet!$Z$6:$Z$263,0),2),"")</f>
        <v/>
      </c>
      <c r="D236" s="1962" t="str">
        <f>IF(ROW() -5&lt;= MAX(B_Sheet!$Z$6:$Z$263),INDEX(B_Sheet!$B$6:$Z$263,MATCH(ROW()-5,B_Sheet!$Z$6:$Z$263,0),4),"")</f>
        <v/>
      </c>
      <c r="E236" s="3"/>
      <c r="F236" s="3"/>
      <c r="G236" t="str">
        <f>IF(ROW()-5&lt;=MAX(B_Sheet!$Z$6:$Z$263),INDEX(B_Sheet!$B$6:$Z$263,MATCH(ROW()-5,B_Sheet!$Z$6:$Z$263,0),24),"")</f>
        <v/>
      </c>
    </row>
    <row r="237" spans="1:7" x14ac:dyDescent="0.2">
      <c r="A237" s="3"/>
      <c r="B237" s="1962" t="str">
        <f>IF(ROW() -5&lt;= MAX(B_Sheet!$Z$6:$Z$263),INDEX(B_Sheet!$B$6:$Z$263,MATCH(ROW()-5,B_Sheet!$Z$6:$Z$263,0),1),"")</f>
        <v/>
      </c>
      <c r="C237" s="1962" t="str">
        <f>IF(ROW() -5&lt;= MAX(B_Sheet!$Z$6:$Z$263),INDEX(B_Sheet!$B$6:$Z$263,MATCH(ROW()-5,B_Sheet!$Z$6:$Z$263,0),2),"")</f>
        <v/>
      </c>
      <c r="D237" s="1962" t="str">
        <f>IF(ROW() -5&lt;= MAX(B_Sheet!$Z$6:$Z$263),INDEX(B_Sheet!$B$6:$Z$263,MATCH(ROW()-5,B_Sheet!$Z$6:$Z$263,0),4),"")</f>
        <v/>
      </c>
      <c r="E237" s="3"/>
      <c r="F237" s="3"/>
      <c r="G237" t="str">
        <f>IF(ROW()-5&lt;=MAX(B_Sheet!$Z$6:$Z$263),INDEX(B_Sheet!$B$6:$Z$263,MATCH(ROW()-5,B_Sheet!$Z$6:$Z$263,0),24),"")</f>
        <v/>
      </c>
    </row>
    <row r="238" spans="1:7" x14ac:dyDescent="0.2">
      <c r="A238" s="3"/>
      <c r="B238" s="1962" t="str">
        <f>IF(ROW() -5&lt;= MAX(B_Sheet!$Z$6:$Z$263),INDEX(B_Sheet!$B$6:$Z$263,MATCH(ROW()-5,B_Sheet!$Z$6:$Z$263,0),1),"")</f>
        <v/>
      </c>
      <c r="C238" s="1962" t="str">
        <f>IF(ROW() -5&lt;= MAX(B_Sheet!$Z$6:$Z$263),INDEX(B_Sheet!$B$6:$Z$263,MATCH(ROW()-5,B_Sheet!$Z$6:$Z$263,0),2),"")</f>
        <v/>
      </c>
      <c r="D238" s="1962" t="str">
        <f>IF(ROW() -5&lt;= MAX(B_Sheet!$Z$6:$Z$263),INDEX(B_Sheet!$B$6:$Z$263,MATCH(ROW()-5,B_Sheet!$Z$6:$Z$263,0),4),"")</f>
        <v/>
      </c>
      <c r="E238" s="3"/>
      <c r="F238" s="3"/>
      <c r="G238" t="str">
        <f>IF(ROW()-5&lt;=MAX(B_Sheet!$Z$6:$Z$263),INDEX(B_Sheet!$B$6:$Z$263,MATCH(ROW()-5,B_Sheet!$Z$6:$Z$263,0),24),"")</f>
        <v/>
      </c>
    </row>
    <row r="239" spans="1:7" x14ac:dyDescent="0.2">
      <c r="A239" s="3"/>
      <c r="B239" s="1962" t="str">
        <f>IF(ROW() -5&lt;= MAX(B_Sheet!$Z$6:$Z$263),INDEX(B_Sheet!$B$6:$Z$263,MATCH(ROW()-5,B_Sheet!$Z$6:$Z$263,0),1),"")</f>
        <v/>
      </c>
      <c r="C239" s="1962" t="str">
        <f>IF(ROW() -5&lt;= MAX(B_Sheet!$Z$6:$Z$263),INDEX(B_Sheet!$B$6:$Z$263,MATCH(ROW()-5,B_Sheet!$Z$6:$Z$263,0),2),"")</f>
        <v/>
      </c>
      <c r="D239" s="1962" t="str">
        <f>IF(ROW() -5&lt;= MAX(B_Sheet!$Z$6:$Z$263),INDEX(B_Sheet!$B$6:$Z$263,MATCH(ROW()-5,B_Sheet!$Z$6:$Z$263,0),4),"")</f>
        <v/>
      </c>
      <c r="E239" s="3"/>
      <c r="F239" s="3"/>
      <c r="G239" t="str">
        <f>IF(ROW()-5&lt;=MAX(B_Sheet!$Z$6:$Z$263),INDEX(B_Sheet!$B$6:$Z$263,MATCH(ROW()-5,B_Sheet!$Z$6:$Z$263,0),24),"")</f>
        <v/>
      </c>
    </row>
    <row r="240" spans="1:7" x14ac:dyDescent="0.2">
      <c r="A240" s="3"/>
      <c r="B240" s="1962" t="str">
        <f>IF(ROW() -5&lt;= MAX(B_Sheet!$Z$6:$Z$263),INDEX(B_Sheet!$B$6:$Z$263,MATCH(ROW()-5,B_Sheet!$Z$6:$Z$263,0),1),"")</f>
        <v/>
      </c>
      <c r="C240" s="1962" t="str">
        <f>IF(ROW() -5&lt;= MAX(B_Sheet!$Z$6:$Z$263),INDEX(B_Sheet!$B$6:$Z$263,MATCH(ROW()-5,B_Sheet!$Z$6:$Z$263,0),2),"")</f>
        <v/>
      </c>
      <c r="D240" s="1962" t="str">
        <f>IF(ROW() -5&lt;= MAX(B_Sheet!$Z$6:$Z$263),INDEX(B_Sheet!$B$6:$Z$263,MATCH(ROW()-5,B_Sheet!$Z$6:$Z$263,0),4),"")</f>
        <v/>
      </c>
      <c r="E240" s="3"/>
      <c r="F240" s="3"/>
      <c r="G240" t="str">
        <f>IF(ROW()-5&lt;=MAX(B_Sheet!$Z$6:$Z$263),INDEX(B_Sheet!$B$6:$Z$263,MATCH(ROW()-5,B_Sheet!$Z$6:$Z$263,0),24),"")</f>
        <v/>
      </c>
    </row>
    <row r="241" spans="1:7" x14ac:dyDescent="0.2">
      <c r="A241" s="3"/>
      <c r="B241" s="1962" t="str">
        <f>IF(ROW() -5&lt;= MAX(B_Sheet!$Z$6:$Z$263),INDEX(B_Sheet!$B$6:$Z$263,MATCH(ROW()-5,B_Sheet!$Z$6:$Z$263,0),1),"")</f>
        <v/>
      </c>
      <c r="C241" s="1962" t="str">
        <f>IF(ROW() -5&lt;= MAX(B_Sheet!$Z$6:$Z$263),INDEX(B_Sheet!$B$6:$Z$263,MATCH(ROW()-5,B_Sheet!$Z$6:$Z$263,0),2),"")</f>
        <v/>
      </c>
      <c r="D241" s="1962" t="str">
        <f>IF(ROW() -5&lt;= MAX(B_Sheet!$Z$6:$Z$263),INDEX(B_Sheet!$B$6:$Z$263,MATCH(ROW()-5,B_Sheet!$Z$6:$Z$263,0),4),"")</f>
        <v/>
      </c>
      <c r="E241" s="3"/>
      <c r="F241" s="3"/>
      <c r="G241" t="str">
        <f>IF(ROW()-5&lt;=MAX(B_Sheet!$Z$6:$Z$263),INDEX(B_Sheet!$B$6:$Z$263,MATCH(ROW()-5,B_Sheet!$Z$6:$Z$263,0),24),"")</f>
        <v/>
      </c>
    </row>
    <row r="242" spans="1:7" x14ac:dyDescent="0.2">
      <c r="A242" s="3"/>
      <c r="B242" s="1962" t="str">
        <f>IF(ROW() -5&lt;= MAX(B_Sheet!$Z$6:$Z$263),INDEX(B_Sheet!$B$6:$Z$263,MATCH(ROW()-5,B_Sheet!$Z$6:$Z$263,0),1),"")</f>
        <v/>
      </c>
      <c r="C242" s="1962" t="str">
        <f>IF(ROW() -5&lt;= MAX(B_Sheet!$Z$6:$Z$263),INDEX(B_Sheet!$B$6:$Z$263,MATCH(ROW()-5,B_Sheet!$Z$6:$Z$263,0),2),"")</f>
        <v/>
      </c>
      <c r="D242" s="1962" t="str">
        <f>IF(ROW() -5&lt;= MAX(B_Sheet!$Z$6:$Z$263),INDEX(B_Sheet!$B$6:$Z$263,MATCH(ROW()-5,B_Sheet!$Z$6:$Z$263,0),4),"")</f>
        <v/>
      </c>
      <c r="E242" s="3"/>
      <c r="F242" s="3"/>
      <c r="G242" t="str">
        <f>IF(ROW()-5&lt;=MAX(B_Sheet!$Z$6:$Z$263),INDEX(B_Sheet!$B$6:$Z$263,MATCH(ROW()-5,B_Sheet!$Z$6:$Z$263,0),24),"")</f>
        <v/>
      </c>
    </row>
    <row r="243" spans="1:7" x14ac:dyDescent="0.2">
      <c r="A243" s="3"/>
      <c r="B243" s="1962" t="str">
        <f>IF(ROW() -5&lt;= MAX(B_Sheet!$Z$6:$Z$263),INDEX(B_Sheet!$B$6:$Z$263,MATCH(ROW()-5,B_Sheet!$Z$6:$Z$263,0),1),"")</f>
        <v/>
      </c>
      <c r="C243" s="1962" t="str">
        <f>IF(ROW() -5&lt;= MAX(B_Sheet!$Z$6:$Z$263),INDEX(B_Sheet!$B$6:$Z$263,MATCH(ROW()-5,B_Sheet!$Z$6:$Z$263,0),2),"")</f>
        <v/>
      </c>
      <c r="D243" s="1962" t="str">
        <f>IF(ROW() -5&lt;= MAX(B_Sheet!$Z$6:$Z$263),INDEX(B_Sheet!$B$6:$Z$263,MATCH(ROW()-5,B_Sheet!$Z$6:$Z$263,0),4),"")</f>
        <v/>
      </c>
      <c r="E243" s="3"/>
      <c r="F243" s="3"/>
      <c r="G243" t="str">
        <f>IF(ROW()-5&lt;=MAX(B_Sheet!$Z$6:$Z$263),INDEX(B_Sheet!$B$6:$Z$263,MATCH(ROW()-5,B_Sheet!$Z$6:$Z$263,0),24),"")</f>
        <v/>
      </c>
    </row>
    <row r="244" spans="1:7" x14ac:dyDescent="0.2">
      <c r="A244" s="3"/>
      <c r="B244" s="1962" t="str">
        <f>IF(ROW() -5&lt;= MAX(B_Sheet!$Z$6:$Z$263),INDEX(B_Sheet!$B$6:$Z$263,MATCH(ROW()-5,B_Sheet!$Z$6:$Z$263,0),1),"")</f>
        <v/>
      </c>
      <c r="C244" s="1962" t="str">
        <f>IF(ROW() -5&lt;= MAX(B_Sheet!$Z$6:$Z$263),INDEX(B_Sheet!$B$6:$Z$263,MATCH(ROW()-5,B_Sheet!$Z$6:$Z$263,0),2),"")</f>
        <v/>
      </c>
      <c r="D244" s="1962" t="str">
        <f>IF(ROW() -5&lt;= MAX(B_Sheet!$Z$6:$Z$263),INDEX(B_Sheet!$B$6:$Z$263,MATCH(ROW()-5,B_Sheet!$Z$6:$Z$263,0),4),"")</f>
        <v/>
      </c>
      <c r="E244" s="3"/>
      <c r="F244" s="3"/>
      <c r="G244" t="str">
        <f>IF(ROW()-5&lt;=MAX(B_Sheet!$Z$6:$Z$263),INDEX(B_Sheet!$B$6:$Z$263,MATCH(ROW()-5,B_Sheet!$Z$6:$Z$263,0),24),"")</f>
        <v/>
      </c>
    </row>
    <row r="245" spans="1:7" x14ac:dyDescent="0.2">
      <c r="A245" s="3"/>
      <c r="B245" s="1962" t="str">
        <f>IF(ROW() -5&lt;= MAX(B_Sheet!$Z$6:$Z$263),INDEX(B_Sheet!$B$6:$Z$263,MATCH(ROW()-5,B_Sheet!$Z$6:$Z$263,0),1),"")</f>
        <v/>
      </c>
      <c r="C245" s="1962" t="str">
        <f>IF(ROW() -5&lt;= MAX(B_Sheet!$Z$6:$Z$263),INDEX(B_Sheet!$B$6:$Z$263,MATCH(ROW()-5,B_Sheet!$Z$6:$Z$263,0),2),"")</f>
        <v/>
      </c>
      <c r="D245" s="1962" t="str">
        <f>IF(ROW() -5&lt;= MAX(B_Sheet!$Z$6:$Z$263),INDEX(B_Sheet!$B$6:$Z$263,MATCH(ROW()-5,B_Sheet!$Z$6:$Z$263,0),4),"")</f>
        <v/>
      </c>
      <c r="E245" s="3"/>
      <c r="F245" s="3"/>
      <c r="G245" t="str">
        <f>IF(ROW()-5&lt;=MAX(B_Sheet!$Z$6:$Z$263),INDEX(B_Sheet!$B$6:$Z$263,MATCH(ROW()-5,B_Sheet!$Z$6:$Z$263,0),24),"")</f>
        <v/>
      </c>
    </row>
    <row r="246" spans="1:7" x14ac:dyDescent="0.2">
      <c r="A246" s="3"/>
      <c r="B246" s="1962" t="str">
        <f>IF(ROW() -5&lt;= MAX(B_Sheet!$Z$6:$Z$263),INDEX(B_Sheet!$B$6:$Z$263,MATCH(ROW()-5,B_Sheet!$Z$6:$Z$263,0),1),"")</f>
        <v/>
      </c>
      <c r="C246" s="1962" t="str">
        <f>IF(ROW() -5&lt;= MAX(B_Sheet!$Z$6:$Z$263),INDEX(B_Sheet!$B$6:$Z$263,MATCH(ROW()-5,B_Sheet!$Z$6:$Z$263,0),2),"")</f>
        <v/>
      </c>
      <c r="D246" s="1962" t="str">
        <f>IF(ROW() -5&lt;= MAX(B_Sheet!$Z$6:$Z$263),INDEX(B_Sheet!$B$6:$Z$263,MATCH(ROW()-5,B_Sheet!$Z$6:$Z$263,0),4),"")</f>
        <v/>
      </c>
      <c r="E246" s="3"/>
      <c r="F246" s="3"/>
      <c r="G246" t="str">
        <f>IF(ROW()-5&lt;=MAX(B_Sheet!$Z$6:$Z$263),INDEX(B_Sheet!$B$6:$Z$263,MATCH(ROW()-5,B_Sheet!$Z$6:$Z$263,0),24),"")</f>
        <v/>
      </c>
    </row>
    <row r="247" spans="1:7" x14ac:dyDescent="0.2">
      <c r="A247" s="3"/>
      <c r="B247" s="1962" t="str">
        <f>IF(ROW() -5&lt;= MAX(B_Sheet!$Z$6:$Z$263),INDEX(B_Sheet!$B$6:$Z$263,MATCH(ROW()-5,B_Sheet!$Z$6:$Z$263,0),1),"")</f>
        <v/>
      </c>
      <c r="C247" s="1962" t="str">
        <f>IF(ROW() -5&lt;= MAX(B_Sheet!$Z$6:$Z$263),INDEX(B_Sheet!$B$6:$Z$263,MATCH(ROW()-5,B_Sheet!$Z$6:$Z$263,0),2),"")</f>
        <v/>
      </c>
      <c r="D247" s="1962" t="str">
        <f>IF(ROW() -5&lt;= MAX(B_Sheet!$Z$6:$Z$263),INDEX(B_Sheet!$B$6:$Z$263,MATCH(ROW()-5,B_Sheet!$Z$6:$Z$263,0),4),"")</f>
        <v/>
      </c>
      <c r="E247" s="3"/>
      <c r="F247" s="3"/>
      <c r="G247" t="str">
        <f>IF(ROW()-5&lt;=MAX(B_Sheet!$Z$6:$Z$263),INDEX(B_Sheet!$B$6:$Z$263,MATCH(ROW()-5,B_Sheet!$Z$6:$Z$263,0),24),"")</f>
        <v/>
      </c>
    </row>
    <row r="248" spans="1:7" x14ac:dyDescent="0.2">
      <c r="A248" s="3"/>
      <c r="B248" s="1962" t="str">
        <f>IF(ROW() -5&lt;= MAX(B_Sheet!$Z$6:$Z$263),INDEX(B_Sheet!$B$6:$Z$263,MATCH(ROW()-5,B_Sheet!$Z$6:$Z$263,0),1),"")</f>
        <v/>
      </c>
      <c r="C248" s="1962" t="str">
        <f>IF(ROW() -5&lt;= MAX(B_Sheet!$Z$6:$Z$263),INDEX(B_Sheet!$B$6:$Z$263,MATCH(ROW()-5,B_Sheet!$Z$6:$Z$263,0),2),"")</f>
        <v/>
      </c>
      <c r="D248" s="1962" t="str">
        <f>IF(ROW() -5&lt;= MAX(B_Sheet!$Z$6:$Z$263),INDEX(B_Sheet!$B$6:$Z$263,MATCH(ROW()-5,B_Sheet!$Z$6:$Z$263,0),4),"")</f>
        <v/>
      </c>
      <c r="E248" s="3"/>
      <c r="F248" s="3"/>
      <c r="G248" t="str">
        <f>IF(ROW()-5&lt;=MAX(B_Sheet!$Z$6:$Z$263),INDEX(B_Sheet!$B$6:$Z$263,MATCH(ROW()-5,B_Sheet!$Z$6:$Z$263,0),24),"")</f>
        <v/>
      </c>
    </row>
    <row r="249" spans="1:7" x14ac:dyDescent="0.2">
      <c r="A249" s="3"/>
      <c r="B249" s="1962" t="str">
        <f>IF(ROW() -5&lt;= MAX(B_Sheet!$Z$6:$Z$263),INDEX(B_Sheet!$B$6:$Z$263,MATCH(ROW()-5,B_Sheet!$Z$6:$Z$263,0),1),"")</f>
        <v/>
      </c>
      <c r="C249" s="1962" t="str">
        <f>IF(ROW() -5&lt;= MAX(B_Sheet!$Z$6:$Z$263),INDEX(B_Sheet!$B$6:$Z$263,MATCH(ROW()-5,B_Sheet!$Z$6:$Z$263,0),2),"")</f>
        <v/>
      </c>
      <c r="D249" s="1962" t="str">
        <f>IF(ROW() -5&lt;= MAX(B_Sheet!$Z$6:$Z$263),INDEX(B_Sheet!$B$6:$Z$263,MATCH(ROW()-5,B_Sheet!$Z$6:$Z$263,0),4),"")</f>
        <v/>
      </c>
      <c r="E249" s="3"/>
      <c r="F249" s="3"/>
      <c r="G249" t="str">
        <f>IF(ROW()-5&lt;=MAX(B_Sheet!$Z$6:$Z$263),INDEX(B_Sheet!$B$6:$Z$263,MATCH(ROW()-5,B_Sheet!$Z$6:$Z$263,0),24),"")</f>
        <v/>
      </c>
    </row>
    <row r="250" spans="1:7" x14ac:dyDescent="0.2">
      <c r="A250" s="3"/>
      <c r="B250" s="1962" t="str">
        <f>IF(ROW() -5&lt;= MAX(B_Sheet!$Z$6:$Z$263),INDEX(B_Sheet!$B$6:$Z$263,MATCH(ROW()-5,B_Sheet!$Z$6:$Z$263,0),1),"")</f>
        <v/>
      </c>
      <c r="C250" s="1962" t="str">
        <f>IF(ROW() -5&lt;= MAX(B_Sheet!$Z$6:$Z$263),INDEX(B_Sheet!$B$6:$Z$263,MATCH(ROW()-5,B_Sheet!$Z$6:$Z$263,0),2),"")</f>
        <v/>
      </c>
      <c r="D250" s="1962" t="str">
        <f>IF(ROW() -5&lt;= MAX(B_Sheet!$Z$6:$Z$263),INDEX(B_Sheet!$B$6:$Z$263,MATCH(ROW()-5,B_Sheet!$Z$6:$Z$263,0),4),"")</f>
        <v/>
      </c>
      <c r="E250" s="3"/>
      <c r="F250" s="3"/>
      <c r="G250" t="str">
        <f>IF(ROW()-5&lt;=MAX(B_Sheet!$Z$6:$Z$263),INDEX(B_Sheet!$B$6:$Z$263,MATCH(ROW()-5,B_Sheet!$Z$6:$Z$263,0),24),"")</f>
        <v/>
      </c>
    </row>
    <row r="251" spans="1:7" x14ac:dyDescent="0.2">
      <c r="A251" s="3"/>
      <c r="B251" s="1962" t="str">
        <f>IF(ROW() -5&lt;= MAX(B_Sheet!$Z$6:$Z$263),INDEX(B_Sheet!$B$6:$Z$263,MATCH(ROW()-5,B_Sheet!$Z$6:$Z$263,0),1),"")</f>
        <v/>
      </c>
      <c r="C251" s="1962" t="str">
        <f>IF(ROW() -5&lt;= MAX(B_Sheet!$Z$6:$Z$263),INDEX(B_Sheet!$B$6:$Z$263,MATCH(ROW()-5,B_Sheet!$Z$6:$Z$263,0),2),"")</f>
        <v/>
      </c>
      <c r="D251" s="1962" t="str">
        <f>IF(ROW() -5&lt;= MAX(B_Sheet!$Z$6:$Z$263),INDEX(B_Sheet!$B$6:$Z$263,MATCH(ROW()-5,B_Sheet!$Z$6:$Z$263,0),4),"")</f>
        <v/>
      </c>
      <c r="E251" s="3"/>
      <c r="F251" s="3"/>
      <c r="G251" t="str">
        <f>IF(ROW()-5&lt;=MAX(B_Sheet!$Z$6:$Z$263),INDEX(B_Sheet!$B$6:$Z$263,MATCH(ROW()-5,B_Sheet!$Z$6:$Z$263,0),24),"")</f>
        <v/>
      </c>
    </row>
    <row r="252" spans="1:7" x14ac:dyDescent="0.2">
      <c r="A252" s="3"/>
      <c r="B252" s="1962" t="str">
        <f>IF(ROW() -5&lt;= MAX(B_Sheet!$Z$6:$Z$263),INDEX(B_Sheet!$B$6:$Z$263,MATCH(ROW()-5,B_Sheet!$Z$6:$Z$263,0),1),"")</f>
        <v/>
      </c>
      <c r="C252" s="1962" t="str">
        <f>IF(ROW() -5&lt;= MAX(B_Sheet!$Z$6:$Z$263),INDEX(B_Sheet!$B$6:$Z$263,MATCH(ROW()-5,B_Sheet!$Z$6:$Z$263,0),2),"")</f>
        <v/>
      </c>
      <c r="D252" s="1962" t="str">
        <f>IF(ROW() -5&lt;= MAX(B_Sheet!$Z$6:$Z$263),INDEX(B_Sheet!$B$6:$Z$263,MATCH(ROW()-5,B_Sheet!$Z$6:$Z$263,0),4),"")</f>
        <v/>
      </c>
      <c r="E252" s="3"/>
      <c r="F252" s="3"/>
      <c r="G252" t="str">
        <f>IF(ROW()-5&lt;=MAX(B_Sheet!$Z$6:$Z$263),INDEX(B_Sheet!$B$6:$Z$263,MATCH(ROW()-5,B_Sheet!$Z$6:$Z$263,0),24),"")</f>
        <v/>
      </c>
    </row>
    <row r="253" spans="1:7" x14ac:dyDescent="0.2">
      <c r="A253" s="3"/>
      <c r="B253" s="1962" t="str">
        <f>IF(ROW() -5&lt;= MAX(B_Sheet!$Z$6:$Z$263),INDEX(B_Sheet!$B$6:$Z$263,MATCH(ROW()-5,B_Sheet!$Z$6:$Z$263,0),1),"")</f>
        <v/>
      </c>
      <c r="C253" s="1962" t="str">
        <f>IF(ROW() -5&lt;= MAX(B_Sheet!$Z$6:$Z$263),INDEX(B_Sheet!$B$6:$Z$263,MATCH(ROW()-5,B_Sheet!$Z$6:$Z$263,0),2),"")</f>
        <v/>
      </c>
      <c r="D253" s="1962" t="str">
        <f>IF(ROW() -5&lt;= MAX(B_Sheet!$Z$6:$Z$263),INDEX(B_Sheet!$B$6:$Z$263,MATCH(ROW()-5,B_Sheet!$Z$6:$Z$263,0),4),"")</f>
        <v/>
      </c>
      <c r="E253" s="3"/>
      <c r="F253" s="3"/>
      <c r="G253" t="str">
        <f>IF(ROW()-5&lt;=MAX(B_Sheet!$Z$6:$Z$263),INDEX(B_Sheet!$B$6:$Z$263,MATCH(ROW()-5,B_Sheet!$Z$6:$Z$263,0),24),"")</f>
        <v/>
      </c>
    </row>
    <row r="254" spans="1:7" x14ac:dyDescent="0.2">
      <c r="A254" s="3"/>
      <c r="B254" s="1962" t="str">
        <f>IF(ROW() -5&lt;= MAX(B_Sheet!$Z$6:$Z$263),INDEX(B_Sheet!$B$6:$Z$263,MATCH(ROW()-5,B_Sheet!$Z$6:$Z$263,0),1),"")</f>
        <v/>
      </c>
      <c r="C254" s="1962" t="str">
        <f>IF(ROW() -5&lt;= MAX(B_Sheet!$Z$6:$Z$263),INDEX(B_Sheet!$B$6:$Z$263,MATCH(ROW()-5,B_Sheet!$Z$6:$Z$263,0),2),"")</f>
        <v/>
      </c>
      <c r="D254" s="1962" t="str">
        <f>IF(ROW() -5&lt;= MAX(B_Sheet!$Z$6:$Z$263),INDEX(B_Sheet!$B$6:$Z$263,MATCH(ROW()-5,B_Sheet!$Z$6:$Z$263,0),4),"")</f>
        <v/>
      </c>
      <c r="E254" s="3"/>
      <c r="F254" s="3"/>
      <c r="G254" t="str">
        <f>IF(ROW()-5&lt;=MAX(B_Sheet!$Z$6:$Z$263),INDEX(B_Sheet!$B$6:$Z$263,MATCH(ROW()-5,B_Sheet!$Z$6:$Z$263,0),24),"")</f>
        <v/>
      </c>
    </row>
    <row r="255" spans="1:7" x14ac:dyDescent="0.2">
      <c r="A255" s="3"/>
      <c r="B255" s="1962" t="str">
        <f>IF(ROW() -5&lt;= MAX(B_Sheet!$Z$6:$Z$263),INDEX(B_Sheet!$B$6:$Z$263,MATCH(ROW()-5,B_Sheet!$Z$6:$Z$263,0),1),"")</f>
        <v/>
      </c>
      <c r="C255" s="1962" t="str">
        <f>IF(ROW() -5&lt;= MAX(B_Sheet!$Z$6:$Z$263),INDEX(B_Sheet!$B$6:$Z$263,MATCH(ROW()-5,B_Sheet!$Z$6:$Z$263,0),2),"")</f>
        <v/>
      </c>
      <c r="D255" s="1962" t="str">
        <f>IF(ROW() -5&lt;= MAX(B_Sheet!$Z$6:$Z$263),INDEX(B_Sheet!$B$6:$Z$263,MATCH(ROW()-5,B_Sheet!$Z$6:$Z$263,0),4),"")</f>
        <v/>
      </c>
      <c r="E255" s="3"/>
      <c r="F255" s="3"/>
      <c r="G255" t="str">
        <f>IF(ROW()-5&lt;=MAX(B_Sheet!$Z$6:$Z$263),INDEX(B_Sheet!$B$6:$Z$263,MATCH(ROW()-5,B_Sheet!$Z$6:$Z$263,0),24),"")</f>
        <v/>
      </c>
    </row>
    <row r="256" spans="1:7" x14ac:dyDescent="0.2">
      <c r="A256" s="3"/>
      <c r="B256" s="1962" t="str">
        <f>IF(ROW() -5&lt;= MAX(B_Sheet!$Z$6:$Z$263),INDEX(B_Sheet!$B$6:$Z$263,MATCH(ROW()-5,B_Sheet!$Z$6:$Z$263,0),1),"")</f>
        <v/>
      </c>
      <c r="C256" s="1962" t="str">
        <f>IF(ROW() -5&lt;= MAX(B_Sheet!$Z$6:$Z$263),INDEX(B_Sheet!$B$6:$Z$263,MATCH(ROW()-5,B_Sheet!$Z$6:$Z$263,0),2),"")</f>
        <v/>
      </c>
      <c r="D256" s="1962" t="str">
        <f>IF(ROW() -5&lt;= MAX(B_Sheet!$Z$6:$Z$263),INDEX(B_Sheet!$B$6:$Z$263,MATCH(ROW()-5,B_Sheet!$Z$6:$Z$263,0),4),"")</f>
        <v/>
      </c>
      <c r="E256" s="3"/>
      <c r="F256" s="3"/>
      <c r="G256" t="str">
        <f>IF(ROW()-5&lt;=MAX(B_Sheet!$Z$6:$Z$263),INDEX(B_Sheet!$B$6:$Z$263,MATCH(ROW()-5,B_Sheet!$Z$6:$Z$263,0),24),"")</f>
        <v/>
      </c>
    </row>
    <row r="257" spans="1:7" x14ac:dyDescent="0.2">
      <c r="A257" s="3"/>
      <c r="B257" s="1962" t="str">
        <f>IF(ROW() -5&lt;= MAX(B_Sheet!$Z$6:$Z$263),INDEX(B_Sheet!$B$6:$Z$263,MATCH(ROW()-5,B_Sheet!$Z$6:$Z$263,0),1),"")</f>
        <v/>
      </c>
      <c r="C257" s="1962" t="str">
        <f>IF(ROW() -5&lt;= MAX(B_Sheet!$Z$6:$Z$263),INDEX(B_Sheet!$B$6:$Z$263,MATCH(ROW()-5,B_Sheet!$Z$6:$Z$263,0),2),"")</f>
        <v/>
      </c>
      <c r="D257" s="1962" t="str">
        <f>IF(ROW() -5&lt;= MAX(B_Sheet!$Z$6:$Z$263),INDEX(B_Sheet!$B$6:$Z$263,MATCH(ROW()-5,B_Sheet!$Z$6:$Z$263,0),4),"")</f>
        <v/>
      </c>
      <c r="E257" s="3"/>
      <c r="F257" s="3"/>
      <c r="G257" t="str">
        <f>IF(ROW()-5&lt;=MAX(B_Sheet!$Z$6:$Z$263),INDEX(B_Sheet!$B$6:$Z$263,MATCH(ROW()-5,B_Sheet!$Z$6:$Z$263,0),24),"")</f>
        <v/>
      </c>
    </row>
    <row r="258" spans="1:7" x14ac:dyDescent="0.2">
      <c r="A258" s="3"/>
      <c r="B258" s="1962" t="str">
        <f>IF(ROW() -5&lt;= MAX(B_Sheet!$Z$6:$Z$263),INDEX(B_Sheet!$B$6:$Z$263,MATCH(ROW()-5,B_Sheet!$Z$6:$Z$263,0),1),"")</f>
        <v/>
      </c>
      <c r="C258" s="1962" t="str">
        <f>IF(ROW() -5&lt;= MAX(B_Sheet!$Z$6:$Z$263),INDEX(B_Sheet!$B$6:$Z$263,MATCH(ROW()-5,B_Sheet!$Z$6:$Z$263,0),2),"")</f>
        <v/>
      </c>
      <c r="D258" s="1962" t="str">
        <f>IF(ROW() -5&lt;= MAX(B_Sheet!$Z$6:$Z$263),INDEX(B_Sheet!$B$6:$Z$263,MATCH(ROW()-5,B_Sheet!$Z$6:$Z$263,0),4),"")</f>
        <v/>
      </c>
      <c r="E258" s="3"/>
      <c r="F258" s="3"/>
      <c r="G258" t="str">
        <f>IF(ROW()-5&lt;=MAX(B_Sheet!$Z$6:$Z$263),INDEX(B_Sheet!$B$6:$Z$263,MATCH(ROW()-5,B_Sheet!$Z$6:$Z$263,0),24),"")</f>
        <v/>
      </c>
    </row>
    <row r="259" spans="1:7" x14ac:dyDescent="0.2">
      <c r="A259" s="3"/>
      <c r="B259" s="1962" t="str">
        <f>IF(ROW() -5&lt;= MAX(B_Sheet!$Z$6:$Z$263),INDEX(B_Sheet!$B$6:$Z$263,MATCH(ROW()-5,B_Sheet!$Z$6:$Z$263,0),1),"")</f>
        <v/>
      </c>
      <c r="C259" s="1962" t="str">
        <f>IF(ROW() -5&lt;= MAX(B_Sheet!$Z$6:$Z$263),INDEX(B_Sheet!$B$6:$Z$263,MATCH(ROW()-5,B_Sheet!$Z$6:$Z$263,0),2),"")</f>
        <v/>
      </c>
      <c r="D259" s="1962" t="str">
        <f>IF(ROW() -5&lt;= MAX(B_Sheet!$Z$6:$Z$263),INDEX(B_Sheet!$B$6:$Z$263,MATCH(ROW()-5,B_Sheet!$Z$6:$Z$263,0),4),"")</f>
        <v/>
      </c>
      <c r="E259" s="3"/>
      <c r="F259" s="3"/>
      <c r="G259" t="str">
        <f>IF(ROW()-5&lt;=MAX(B_Sheet!$Z$6:$Z$263),INDEX(B_Sheet!$B$6:$Z$263,MATCH(ROW()-5,B_Sheet!$Z$6:$Z$263,0),24),"")</f>
        <v/>
      </c>
    </row>
    <row r="260" spans="1:7" x14ac:dyDescent="0.2">
      <c r="A260" s="3"/>
      <c r="B260" s="1962" t="str">
        <f>IF(ROW() -5&lt;= MAX(B_Sheet!$Z$6:$Z$263),INDEX(B_Sheet!$B$6:$Z$263,MATCH(ROW()-5,B_Sheet!$Z$6:$Z$263,0),1),"")</f>
        <v/>
      </c>
      <c r="C260" s="1962" t="str">
        <f>IF(ROW() -5&lt;= MAX(B_Sheet!$Z$6:$Z$263),INDEX(B_Sheet!$B$6:$Z$263,MATCH(ROW()-5,B_Sheet!$Z$6:$Z$263,0),2),"")</f>
        <v/>
      </c>
      <c r="D260" s="1962" t="str">
        <f>IF(ROW() -5&lt;= MAX(B_Sheet!$Z$6:$Z$263),INDEX(B_Sheet!$B$6:$Z$263,MATCH(ROW()-5,B_Sheet!$Z$6:$Z$263,0),4),"")</f>
        <v/>
      </c>
      <c r="E260" s="3"/>
      <c r="F260" s="3"/>
      <c r="G260" t="str">
        <f>IF(ROW()-5&lt;=MAX(B_Sheet!$Z$6:$Z$263),INDEX(B_Sheet!$B$6:$Z$263,MATCH(ROW()-5,B_Sheet!$Z$6:$Z$263,0),24),"")</f>
        <v/>
      </c>
    </row>
    <row r="261" spans="1:7" x14ac:dyDescent="0.2">
      <c r="A261" s="3"/>
      <c r="B261" s="1962" t="str">
        <f>IF(ROW() -5&lt;= MAX(B_Sheet!$Z$6:$Z$263),INDEX(B_Sheet!$B$6:$Z$263,MATCH(ROW()-5,B_Sheet!$Z$6:$Z$263,0),1),"")</f>
        <v/>
      </c>
      <c r="C261" s="1962" t="str">
        <f>IF(ROW() -5&lt;= MAX(B_Sheet!$Z$6:$Z$263),INDEX(B_Sheet!$B$6:$Z$263,MATCH(ROW()-5,B_Sheet!$Z$6:$Z$263,0),2),"")</f>
        <v/>
      </c>
      <c r="D261" s="1962" t="str">
        <f>IF(ROW() -5&lt;= MAX(B_Sheet!$Z$6:$Z$263),INDEX(B_Sheet!$B$6:$Z$263,MATCH(ROW()-5,B_Sheet!$Z$6:$Z$263,0),4),"")</f>
        <v/>
      </c>
      <c r="E261" s="3"/>
      <c r="F261" s="3"/>
      <c r="G261" t="str">
        <f>IF(ROW()-5&lt;=MAX(B_Sheet!$Z$6:$Z$263),INDEX(B_Sheet!$B$6:$Z$263,MATCH(ROW()-5,B_Sheet!$Z$6:$Z$263,0),24),"")</f>
        <v/>
      </c>
    </row>
    <row r="262" spans="1:7" x14ac:dyDescent="0.2">
      <c r="A262" s="3"/>
      <c r="B262" s="3"/>
      <c r="C262" s="3"/>
      <c r="D262" s="3"/>
      <c r="E262" s="3"/>
      <c r="F262" s="3"/>
    </row>
    <row r="263" spans="1:7" x14ac:dyDescent="0.2">
      <c r="A263" s="3"/>
      <c r="B263" s="3"/>
      <c r="C263" s="3"/>
      <c r="D263" s="3"/>
      <c r="E263" s="3"/>
      <c r="F263" s="3"/>
    </row>
    <row r="264" spans="1:7" x14ac:dyDescent="0.2">
      <c r="A264" s="3"/>
      <c r="B264" s="3"/>
      <c r="C264" s="3"/>
      <c r="D264" s="3"/>
      <c r="E264" s="3"/>
      <c r="F264" s="3"/>
    </row>
    <row r="265" spans="1:7" x14ac:dyDescent="0.2">
      <c r="A265" s="3"/>
      <c r="B265" s="3"/>
      <c r="C265" s="3"/>
      <c r="D265" s="3"/>
      <c r="E265" s="3"/>
      <c r="F265" s="3"/>
    </row>
  </sheetData>
  <sheetProtection algorithmName="SHA-512" hashValue="uq1EshphyApyhpp7qZli3eaaejhXdHdgzFAswNFPC4nj9IHVrv0GSH+D8nk17s8OEwcaWH5FzP4uGWtBW8Qcng==" saltValue="ILZqhgVkdilitLqUGYCktA==" spinCount="100000" sheet="1" objects="1" scenarios="1"/>
  <conditionalFormatting sqref="B6:D261">
    <cfRule type="expression" dxfId="952" priority="1">
      <formula>$G6</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2"/>
  <dimension ref="A1:B67"/>
  <sheetViews>
    <sheetView topLeftCell="A4" workbookViewId="0">
      <selection activeCell="B18" sqref="B18"/>
    </sheetView>
  </sheetViews>
  <sheetFormatPr defaultColWidth="9.28515625" defaultRowHeight="12.75" x14ac:dyDescent="0.2"/>
  <cols>
    <col min="1" max="1" width="11.5703125" style="142" customWidth="1"/>
    <col min="2" max="2" width="35.5703125" style="142" bestFit="1" customWidth="1"/>
    <col min="3" max="16384" width="9.28515625" style="142"/>
  </cols>
  <sheetData>
    <row r="1" spans="1:2" x14ac:dyDescent="0.2">
      <c r="A1" s="142" t="s">
        <v>657</v>
      </c>
      <c r="B1" s="251" t="s">
        <v>3768</v>
      </c>
    </row>
    <row r="2" spans="1:2" x14ac:dyDescent="0.2">
      <c r="A2" s="142" t="s">
        <v>2652</v>
      </c>
      <c r="B2" s="1214" t="s">
        <v>3769</v>
      </c>
    </row>
    <row r="3" spans="1:2" x14ac:dyDescent="0.2">
      <c r="A3" s="142" t="s">
        <v>3765</v>
      </c>
      <c r="B3" s="251" t="s">
        <v>3770</v>
      </c>
    </row>
    <row r="4" spans="1:2" x14ac:dyDescent="0.2">
      <c r="A4" s="142" t="s">
        <v>3766</v>
      </c>
      <c r="B4" s="251">
        <f>reg</f>
      </c>
    </row>
    <row r="5" spans="1:2" x14ac:dyDescent="0.2">
      <c r="A5" s="142" t="s">
        <v>3767</v>
      </c>
      <c r="B5" s="251">
        <f>ya</f>
      </c>
    </row>
    <row r="6" spans="1:2" x14ac:dyDescent="0.2">
      <c r="A6" s="142" t="s">
        <v>3771</v>
      </c>
      <c r="B6" s="142">
        <f>IF(Index!E155&lt;&gt;0,1,IF(Index!G155&lt;&gt;0,2,0))</f>
      </c>
    </row>
    <row r="17" spans="1:1" x14ac:dyDescent="0.2">
      <c r="A17" s="1634"/>
    </row>
    <row r="18" spans="1:1" x14ac:dyDescent="0.2">
      <c r="A18" s="1634"/>
    </row>
    <row r="19" spans="1:1" x14ac:dyDescent="0.2">
      <c r="A19" s="1634"/>
    </row>
    <row r="20" spans="1:1" x14ac:dyDescent="0.2">
      <c r="A20" s="1634"/>
    </row>
    <row r="21" spans="1:1" x14ac:dyDescent="0.2">
      <c r="A21" s="1634"/>
    </row>
    <row r="22" spans="1:1" x14ac:dyDescent="0.2">
      <c r="A22" s="1634"/>
    </row>
    <row r="23" spans="1:1" x14ac:dyDescent="0.2">
      <c r="A23" s="1634"/>
    </row>
    <row r="24" spans="1:1" x14ac:dyDescent="0.2">
      <c r="A24" s="1634"/>
    </row>
    <row r="25" spans="1:1" x14ac:dyDescent="0.2">
      <c r="A25" s="1634"/>
    </row>
    <row r="26" spans="1:1" x14ac:dyDescent="0.2">
      <c r="A26" s="1634"/>
    </row>
    <row r="27" spans="1:1" x14ac:dyDescent="0.2">
      <c r="A27" s="1634"/>
    </row>
    <row r="28" spans="1:1" x14ac:dyDescent="0.2">
      <c r="A28" s="1634"/>
    </row>
    <row r="29" spans="1:1" x14ac:dyDescent="0.2">
      <c r="A29" s="1634"/>
    </row>
    <row r="30" spans="1:1" x14ac:dyDescent="0.2">
      <c r="A30" s="1634"/>
    </row>
    <row r="31" spans="1:1" x14ac:dyDescent="0.2">
      <c r="A31" s="1634"/>
    </row>
    <row r="32" spans="1:1" x14ac:dyDescent="0.2">
      <c r="A32" s="1634"/>
    </row>
    <row r="33" spans="1:1" x14ac:dyDescent="0.2">
      <c r="A33" s="1634"/>
    </row>
    <row r="34" spans="1:1" x14ac:dyDescent="0.2">
      <c r="A34" s="1634"/>
    </row>
    <row r="35" spans="1:1" x14ac:dyDescent="0.2">
      <c r="A35" s="1634"/>
    </row>
    <row r="36" spans="1:1" x14ac:dyDescent="0.2">
      <c r="A36" s="1634"/>
    </row>
    <row r="37" spans="1:1" x14ac:dyDescent="0.2">
      <c r="A37" s="1634"/>
    </row>
    <row r="38" spans="1:1" x14ac:dyDescent="0.2">
      <c r="A38" s="1634"/>
    </row>
    <row r="39" spans="1:1" x14ac:dyDescent="0.2">
      <c r="A39" s="1634"/>
    </row>
    <row r="40" spans="1:1" x14ac:dyDescent="0.2">
      <c r="A40" s="1634"/>
    </row>
    <row r="41" spans="1:1" x14ac:dyDescent="0.2">
      <c r="A41" s="1634"/>
    </row>
    <row r="42" spans="1:1" x14ac:dyDescent="0.2">
      <c r="A42" s="1634"/>
    </row>
    <row r="43" spans="1:1" x14ac:dyDescent="0.2">
      <c r="A43" s="1634"/>
    </row>
    <row r="44" spans="1:1" x14ac:dyDescent="0.2">
      <c r="A44" s="1634"/>
    </row>
    <row r="45" spans="1:1" x14ac:dyDescent="0.2">
      <c r="A45" s="1634"/>
    </row>
    <row r="46" spans="1:1" x14ac:dyDescent="0.2">
      <c r="A46" s="1634"/>
    </row>
    <row r="47" spans="1:1" x14ac:dyDescent="0.2">
      <c r="A47" s="1634"/>
    </row>
    <row r="48" spans="1:1" x14ac:dyDescent="0.2">
      <c r="A48" s="1634"/>
    </row>
    <row r="49" spans="1:1" x14ac:dyDescent="0.2">
      <c r="A49" s="1634"/>
    </row>
    <row r="50" spans="1:1" x14ac:dyDescent="0.2">
      <c r="A50" s="1634"/>
    </row>
    <row r="51" spans="1:1" x14ac:dyDescent="0.2">
      <c r="A51" s="1634"/>
    </row>
    <row r="52" spans="1:1" x14ac:dyDescent="0.2">
      <c r="A52" s="1634"/>
    </row>
    <row r="53" spans="1:1" x14ac:dyDescent="0.2">
      <c r="A53" s="1634"/>
    </row>
    <row r="54" spans="1:1" x14ac:dyDescent="0.2">
      <c r="A54" s="1634"/>
    </row>
    <row r="55" spans="1:1" x14ac:dyDescent="0.2">
      <c r="A55" s="1634"/>
    </row>
    <row r="56" spans="1:1" x14ac:dyDescent="0.2">
      <c r="A56" s="1634"/>
    </row>
    <row r="57" spans="1:1" x14ac:dyDescent="0.2">
      <c r="A57" s="1634"/>
    </row>
    <row r="58" spans="1:1" x14ac:dyDescent="0.2">
      <c r="A58" s="1634"/>
    </row>
    <row r="59" spans="1:1" x14ac:dyDescent="0.2">
      <c r="A59" s="1634"/>
    </row>
    <row r="60" spans="1:1" x14ac:dyDescent="0.2">
      <c r="A60" s="1634"/>
    </row>
    <row r="61" spans="1:1" x14ac:dyDescent="0.2">
      <c r="A61" s="1634"/>
    </row>
    <row r="62" spans="1:1" x14ac:dyDescent="0.2">
      <c r="A62" s="1634"/>
    </row>
    <row r="63" spans="1:1" x14ac:dyDescent="0.2">
      <c r="A63" s="1634"/>
    </row>
    <row r="64" spans="1:1" x14ac:dyDescent="0.2">
      <c r="A64" s="1634"/>
    </row>
    <row r="65" spans="1:1" x14ac:dyDescent="0.2">
      <c r="A65" s="1634"/>
    </row>
    <row r="66" spans="1:1" x14ac:dyDescent="0.2">
      <c r="A66" s="1634"/>
    </row>
    <row r="67" spans="1:1" x14ac:dyDescent="0.2">
      <c r="A67" s="1634"/>
    </row>
  </sheetData>
  <customSheetViews>
    <customSheetView guid="{99B5278F-6EA9-4B1A-8623-27A4DF4AD5E4}" state="hidden">
      <pageMargins left="0.7" right="0.7" top="0.75" bottom="0.75" header="0.3" footer="0.3"/>
      <pageSetup paperSize="9" orientation="portrait" horizontalDpi="0" verticalDpi="0" r:id="rId1"/>
    </customSheetView>
  </customSheetViews>
  <phoneticPr fontId="0" type="noConversion"/>
  <pageMargins left="0.7" right="0.7" top="0.75" bottom="0.75" header="0.3" footer="0.3"/>
  <pageSetup paperSize="9" orientation="portrait" r:id="rId2"/>
  <ignoredErrors>
    <ignoredError sqref="B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3"/>
  <dimension ref="A1:D80"/>
  <sheetViews>
    <sheetView workbookViewId="0"/>
  </sheetViews>
  <sheetFormatPr defaultRowHeight="12.75" x14ac:dyDescent="0.2"/>
  <cols>
    <col min="1" max="1" width="11.7109375" bestFit="1" customWidth="1"/>
    <col min="2" max="2" width="11" bestFit="1" customWidth="1"/>
  </cols>
  <sheetData>
    <row r="1" spans="1:4" x14ac:dyDescent="0.2">
      <c r="A1" s="1634" t="s">
        <v>9898</v>
      </c>
      <c r="B1" s="142"/>
      <c r="D1">
        <f>COUNTA(FU)</f>
      </c>
    </row>
    <row r="2" spans="1:4" x14ac:dyDescent="0.2">
      <c r="A2" s="1634" t="s">
        <v>9899</v>
      </c>
      <c r="B2" s="142"/>
    </row>
    <row r="3" spans="1:4" x14ac:dyDescent="0.2">
      <c r="A3" s="1634" t="s">
        <v>9900</v>
      </c>
      <c r="B3" s="142"/>
    </row>
    <row r="4" spans="1:4" x14ac:dyDescent="0.2">
      <c r="A4" s="1634" t="s">
        <v>9901</v>
      </c>
      <c r="B4" s="142"/>
    </row>
    <row r="5" spans="1:4" x14ac:dyDescent="0.2">
      <c r="A5" s="1634" t="s">
        <v>9902</v>
      </c>
      <c r="B5" s="142"/>
    </row>
    <row r="6" spans="1:4" x14ac:dyDescent="0.2">
      <c r="A6" s="1634" t="s">
        <v>9903</v>
      </c>
      <c r="B6" s="142"/>
    </row>
    <row r="7" spans="1:4" x14ac:dyDescent="0.2">
      <c r="A7" s="1634" t="s">
        <v>9904</v>
      </c>
      <c r="B7" s="142"/>
    </row>
    <row r="8" spans="1:4" x14ac:dyDescent="0.2">
      <c r="A8" s="1634" t="s">
        <v>9905</v>
      </c>
      <c r="B8" s="142"/>
    </row>
    <row r="9" spans="1:4" x14ac:dyDescent="0.2">
      <c r="A9" s="1634" t="s">
        <v>9906</v>
      </c>
      <c r="B9" s="142"/>
    </row>
    <row r="10" spans="1:4" x14ac:dyDescent="0.2">
      <c r="A10" s="1634" t="s">
        <v>9907</v>
      </c>
      <c r="B10" s="142"/>
    </row>
    <row r="11" spans="1:4" x14ac:dyDescent="0.2">
      <c r="A11" s="1634" t="s">
        <v>9908</v>
      </c>
      <c r="B11" s="142"/>
    </row>
    <row r="12" spans="1:4" x14ac:dyDescent="0.2">
      <c r="A12" s="1634" t="s">
        <v>9909</v>
      </c>
      <c r="B12" s="142"/>
    </row>
    <row r="13" spans="1:4" x14ac:dyDescent="0.2">
      <c r="A13" s="1634" t="s">
        <v>9910</v>
      </c>
      <c r="B13" s="142"/>
    </row>
    <row r="14" spans="1:4" x14ac:dyDescent="0.2">
      <c r="A14" s="1634" t="s">
        <v>9911</v>
      </c>
      <c r="B14" s="142"/>
    </row>
    <row r="15" spans="1:4" x14ac:dyDescent="0.2">
      <c r="A15" s="1634" t="s">
        <v>9912</v>
      </c>
      <c r="B15" s="142"/>
    </row>
    <row r="16" spans="1:4" x14ac:dyDescent="0.2">
      <c r="A16" s="1634" t="s">
        <v>9913</v>
      </c>
      <c r="B16" s="142"/>
    </row>
    <row r="17" spans="1:2" x14ac:dyDescent="0.2">
      <c r="A17" s="1634" t="s">
        <v>9914</v>
      </c>
      <c r="B17" s="142"/>
    </row>
    <row r="18" spans="1:2" x14ac:dyDescent="0.2">
      <c r="A18" s="1634" t="s">
        <v>9915</v>
      </c>
      <c r="B18" s="142"/>
    </row>
    <row r="19" spans="1:2" x14ac:dyDescent="0.2">
      <c r="A19" s="1634" t="s">
        <v>9916</v>
      </c>
      <c r="B19" s="142"/>
    </row>
    <row r="20" spans="1:2" x14ac:dyDescent="0.2">
      <c r="A20" s="1634" t="s">
        <v>9917</v>
      </c>
      <c r="B20" s="142"/>
    </row>
    <row r="21" spans="1:2" x14ac:dyDescent="0.2">
      <c r="A21" s="1634" t="s">
        <v>9918</v>
      </c>
      <c r="B21" s="142"/>
    </row>
    <row r="22" spans="1:2" x14ac:dyDescent="0.2">
      <c r="A22" s="1634" t="s">
        <v>9919</v>
      </c>
      <c r="B22" s="142"/>
    </row>
    <row r="23" spans="1:2" x14ac:dyDescent="0.2">
      <c r="A23" s="1634" t="s">
        <v>9920</v>
      </c>
      <c r="B23" s="142"/>
    </row>
    <row r="24" spans="1:2" x14ac:dyDescent="0.2">
      <c r="A24" s="1634" t="s">
        <v>9921</v>
      </c>
      <c r="B24" s="142"/>
    </row>
    <row r="25" spans="1:2" x14ac:dyDescent="0.2">
      <c r="A25" s="1634" t="s">
        <v>9922</v>
      </c>
      <c r="B25" s="142"/>
    </row>
    <row r="26" spans="1:2" x14ac:dyDescent="0.2">
      <c r="A26" s="1634" t="s">
        <v>9923</v>
      </c>
      <c r="B26" s="142"/>
    </row>
    <row r="27" spans="1:2" x14ac:dyDescent="0.2">
      <c r="A27" s="1634" t="s">
        <v>9924</v>
      </c>
      <c r="B27" s="142"/>
    </row>
    <row r="28" spans="1:2" x14ac:dyDescent="0.2">
      <c r="A28" s="1634" t="s">
        <v>9925</v>
      </c>
      <c r="B28" s="142"/>
    </row>
    <row r="29" spans="1:2" x14ac:dyDescent="0.2">
      <c r="A29" s="1634" t="s">
        <v>9926</v>
      </c>
      <c r="B29" s="142"/>
    </row>
    <row r="30" spans="1:2" x14ac:dyDescent="0.2">
      <c r="A30" s="1634" t="s">
        <v>9927</v>
      </c>
      <c r="B30" s="142"/>
    </row>
    <row r="31" spans="1:2" x14ac:dyDescent="0.2">
      <c r="A31" s="1634" t="s">
        <v>9928</v>
      </c>
      <c r="B31" s="142"/>
    </row>
    <row r="32" spans="1:2" x14ac:dyDescent="0.2">
      <c r="A32" s="1634" t="s">
        <v>9929</v>
      </c>
      <c r="B32" s="142"/>
    </row>
    <row r="33" spans="1:2" x14ac:dyDescent="0.2">
      <c r="A33" s="1634" t="s">
        <v>9930</v>
      </c>
      <c r="B33" s="142"/>
    </row>
    <row r="34" spans="1:2" x14ac:dyDescent="0.2">
      <c r="A34" s="1634" t="s">
        <v>9931</v>
      </c>
      <c r="B34" s="142"/>
    </row>
    <row r="35" spans="1:2" x14ac:dyDescent="0.2">
      <c r="A35" s="1634" t="s">
        <v>9932</v>
      </c>
      <c r="B35" s="142"/>
    </row>
    <row r="36" spans="1:2" x14ac:dyDescent="0.2">
      <c r="A36" s="1634" t="s">
        <v>9933</v>
      </c>
      <c r="B36" s="142"/>
    </row>
    <row r="37" spans="1:2" x14ac:dyDescent="0.2">
      <c r="A37" s="1634" t="s">
        <v>9934</v>
      </c>
      <c r="B37" s="142"/>
    </row>
    <row r="38" spans="1:2" x14ac:dyDescent="0.2">
      <c r="A38" s="1634" t="s">
        <v>9935</v>
      </c>
      <c r="B38" s="142"/>
    </row>
    <row r="39" spans="1:2" x14ac:dyDescent="0.2">
      <c r="A39" s="1634" t="s">
        <v>9936</v>
      </c>
      <c r="B39" s="142"/>
    </row>
    <row r="40" spans="1:2" x14ac:dyDescent="0.2">
      <c r="A40" s="1634" t="s">
        <v>9937</v>
      </c>
      <c r="B40" s="142"/>
    </row>
    <row r="41" spans="1:2" x14ac:dyDescent="0.2">
      <c r="A41" s="1634" t="s">
        <v>9938</v>
      </c>
      <c r="B41" s="142"/>
    </row>
    <row r="42" spans="1:2" x14ac:dyDescent="0.2">
      <c r="A42" s="1634" t="s">
        <v>9939</v>
      </c>
      <c r="B42" s="142"/>
    </row>
    <row r="43" spans="1:2" x14ac:dyDescent="0.2">
      <c r="A43" s="1634" t="s">
        <v>9940</v>
      </c>
      <c r="B43" s="142"/>
    </row>
    <row r="44" spans="1:2" x14ac:dyDescent="0.2">
      <c r="A44" s="1634" t="s">
        <v>9941</v>
      </c>
      <c r="B44" s="142"/>
    </row>
    <row r="45" spans="1:2" x14ac:dyDescent="0.2">
      <c r="A45" s="1634" t="s">
        <v>9942</v>
      </c>
      <c r="B45" s="142"/>
    </row>
    <row r="46" spans="1:2" x14ac:dyDescent="0.2">
      <c r="A46" s="1634" t="s">
        <v>9943</v>
      </c>
      <c r="B46" s="142"/>
    </row>
    <row r="47" spans="1:2" x14ac:dyDescent="0.2">
      <c r="A47" s="1634" t="s">
        <v>9944</v>
      </c>
      <c r="B47" s="142"/>
    </row>
    <row r="48" spans="1:2" x14ac:dyDescent="0.2">
      <c r="A48" s="1634" t="s">
        <v>9945</v>
      </c>
      <c r="B48" s="142"/>
    </row>
    <row r="49" spans="1:2" x14ac:dyDescent="0.2">
      <c r="A49" s="1634" t="s">
        <v>9946</v>
      </c>
      <c r="B49" s="142"/>
    </row>
    <row r="50" spans="1:2" x14ac:dyDescent="0.2">
      <c r="A50" s="1634" t="s">
        <v>9947</v>
      </c>
      <c r="B50" s="142"/>
    </row>
    <row r="51" spans="1:2" x14ac:dyDescent="0.2">
      <c r="A51" s="1634" t="s">
        <v>9948</v>
      </c>
      <c r="B51" s="142"/>
    </row>
    <row r="52" spans="1:2" x14ac:dyDescent="0.2">
      <c r="A52" s="1634" t="s">
        <v>10583</v>
      </c>
    </row>
    <row r="53" spans="1:2" x14ac:dyDescent="0.2">
      <c r="A53" s="1634" t="s">
        <v>10584</v>
      </c>
    </row>
    <row r="54" spans="1:2" x14ac:dyDescent="0.2">
      <c r="A54" s="1634" t="s">
        <v>10585</v>
      </c>
    </row>
    <row r="55" spans="1:2" x14ac:dyDescent="0.2">
      <c r="A55" s="1634" t="s">
        <v>10586</v>
      </c>
    </row>
    <row r="56" spans="1:2" x14ac:dyDescent="0.2">
      <c r="A56" s="1634" t="s">
        <v>10587</v>
      </c>
    </row>
    <row r="57" spans="1:2" x14ac:dyDescent="0.2">
      <c r="A57" s="1634" t="s">
        <v>10588</v>
      </c>
    </row>
    <row r="58" spans="1:2" x14ac:dyDescent="0.2">
      <c r="A58" s="1634" t="s">
        <v>10589</v>
      </c>
    </row>
    <row r="59" spans="1:2" x14ac:dyDescent="0.2">
      <c r="A59" s="1634" t="s">
        <v>10590</v>
      </c>
    </row>
    <row r="60" spans="1:2" x14ac:dyDescent="0.2">
      <c r="A60" s="1634" t="s">
        <v>10591</v>
      </c>
    </row>
    <row r="61" spans="1:2" x14ac:dyDescent="0.2">
      <c r="A61" s="1634" t="s">
        <v>10592</v>
      </c>
    </row>
    <row r="62" spans="1:2" x14ac:dyDescent="0.2">
      <c r="A62" s="1634" t="s">
        <v>10593</v>
      </c>
    </row>
    <row r="63" spans="1:2" x14ac:dyDescent="0.2">
      <c r="A63" s="1634" t="s">
        <v>10594</v>
      </c>
    </row>
    <row r="64" spans="1:2" x14ac:dyDescent="0.2">
      <c r="A64" s="1634" t="s">
        <v>10595</v>
      </c>
    </row>
    <row r="65" spans="1:1" x14ac:dyDescent="0.2">
      <c r="A65" s="1634" t="s">
        <v>10596</v>
      </c>
    </row>
    <row r="66" spans="1:1" x14ac:dyDescent="0.2">
      <c r="A66" s="1634" t="s">
        <v>10597</v>
      </c>
    </row>
    <row r="67" spans="1:1" x14ac:dyDescent="0.2">
      <c r="A67" s="1634" t="s">
        <v>10598</v>
      </c>
    </row>
    <row r="68" spans="1:1" x14ac:dyDescent="0.2">
      <c r="A68" s="1634" t="s">
        <v>10599</v>
      </c>
    </row>
    <row r="69" spans="1:1" x14ac:dyDescent="0.2">
      <c r="A69" s="1634" t="s">
        <v>10600</v>
      </c>
    </row>
    <row r="70" spans="1:1" x14ac:dyDescent="0.2">
      <c r="A70" s="1634" t="s">
        <v>10601</v>
      </c>
    </row>
    <row r="71" spans="1:1" x14ac:dyDescent="0.2">
      <c r="A71" s="1634" t="s">
        <v>10602</v>
      </c>
    </row>
    <row r="72" spans="1:1" x14ac:dyDescent="0.2">
      <c r="A72" s="1634" t="s">
        <v>10603</v>
      </c>
    </row>
    <row r="73" spans="1:1" x14ac:dyDescent="0.2">
      <c r="A73" s="1634" t="s">
        <v>10604</v>
      </c>
    </row>
    <row r="74" spans="1:1" x14ac:dyDescent="0.2">
      <c r="A74" s="1634" t="s">
        <v>10605</v>
      </c>
    </row>
    <row r="75" spans="1:1" x14ac:dyDescent="0.2">
      <c r="A75" s="1634" t="s">
        <v>10606</v>
      </c>
    </row>
    <row r="76" spans="1:1" x14ac:dyDescent="0.2">
      <c r="A76" s="1634" t="s">
        <v>10607</v>
      </c>
    </row>
    <row r="77" spans="1:1" x14ac:dyDescent="0.2">
      <c r="A77" s="1634" t="s">
        <v>10608</v>
      </c>
    </row>
    <row r="78" spans="1:1" x14ac:dyDescent="0.2">
      <c r="A78" s="1634" t="s">
        <v>10609</v>
      </c>
    </row>
    <row r="79" spans="1:1" x14ac:dyDescent="0.2">
      <c r="A79" s="1634" t="s">
        <v>10610</v>
      </c>
    </row>
    <row r="80" spans="1:1" x14ac:dyDescent="0.2">
      <c r="A80" s="1634" t="s">
        <v>10611</v>
      </c>
    </row>
  </sheetData>
  <phoneticPr fontId="45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0"/>
  <dimension ref="A1:CB305"/>
  <sheetViews>
    <sheetView showGridLines="0" topLeftCell="A168" workbookViewId="0">
      <selection activeCell="E195" sqref="E195"/>
    </sheetView>
  </sheetViews>
  <sheetFormatPr defaultColWidth="0" defaultRowHeight="0" customHeight="1" zeroHeight="1" x14ac:dyDescent="0.2"/>
  <cols>
    <col min="1" max="1" width="0.5703125" style="139" customWidth="1"/>
    <col min="2" max="2" width="61.7109375" style="28" customWidth="1"/>
    <col min="3" max="3" width="5.5703125" style="28" customWidth="1"/>
    <col min="4" max="4" width="11.42578125" style="28" customWidth="1"/>
    <col min="5" max="9" width="13.42578125" style="28" customWidth="1"/>
    <col min="10" max="10" width="0.7109375" hidden="1" customWidth="1"/>
    <col min="11" max="14" width="13.42578125" hidden="1" customWidth="1"/>
    <col min="15" max="15" width="12.7109375" style="28" hidden="1" customWidth="1"/>
    <col min="16" max="78" width="9.28515625" style="28" hidden="1" customWidth="1"/>
    <col min="79" max="16384" width="9.28515625" style="142" hidden="1"/>
  </cols>
  <sheetData>
    <row r="1" spans="1:28" ht="15" x14ac:dyDescent="0.2">
      <c r="A1" s="132" t="s">
        <v>3694</v>
      </c>
      <c r="B1" s="1305" t="s">
        <v>365</v>
      </c>
      <c r="C1" s="194"/>
      <c r="D1" s="194"/>
      <c r="E1" s="194"/>
      <c r="F1" s="194"/>
      <c r="G1" s="194"/>
      <c r="H1" s="194"/>
      <c r="I1" s="194"/>
      <c r="S1" s="28" t="s">
        <v>4227</v>
      </c>
      <c r="AA1" s="28">
        <f>IF(ISBLANK(C297),1,C297)</f>
      </c>
    </row>
    <row r="2" spans="1:28" ht="12.75" x14ac:dyDescent="0.2">
      <c r="A2" s="132">
        <v>1</v>
      </c>
      <c r="B2" s="194"/>
      <c r="C2" s="194"/>
      <c r="D2" s="194"/>
      <c r="E2" s="194"/>
      <c r="F2" s="194"/>
      <c r="G2" s="194"/>
      <c r="H2" s="194"/>
      <c r="I2" s="194"/>
    </row>
    <row r="3" spans="1:28" ht="18" x14ac:dyDescent="0.25">
      <c r="A3" s="132">
        <v>0</v>
      </c>
      <c r="B3" s="287" t="s">
        <v>3555</v>
      </c>
      <c r="C3" s="288">
        <v>1</v>
      </c>
      <c r="D3" s="289" t="str">
        <f>IF(ISBLANK(C3),"REQUIRED!","")</f>
        <v/>
      </c>
      <c r="E3" s="194"/>
      <c r="F3" s="194"/>
      <c r="G3" s="194"/>
      <c r="H3" s="194"/>
      <c r="I3" s="194"/>
      <c r="P3" s="28">
        <f>IF(ISBLANK(C3),1,0)</f>
      </c>
    </row>
    <row r="4" spans="1:28" ht="12.75" x14ac:dyDescent="0.2">
      <c r="A4" s="132">
        <v>1</v>
      </c>
      <c r="B4" s="4390" t="str">
        <f>_ref1</f>
      </c>
      <c r="C4" s="4390"/>
      <c r="D4" s="4390"/>
      <c r="E4" s="290" t="str">
        <f>_YA1</f>
      </c>
      <c r="F4" s="290" t="str">
        <f>_YA1</f>
      </c>
      <c r="G4" s="290" t="str">
        <f t="shared" ref="G4:N4" si="0">_YA1</f>
      </c>
      <c r="H4" s="290" t="str">
        <f t="shared" si="0"/>
        <v>Y/A 2025</v>
      </c>
      <c r="I4" s="290" t="str">
        <f t="shared" si="0"/>
        <v>Y/A 2025</v>
      </c>
      <c r="J4" t="str">
        <f t="shared" si="0"/>
        <v>Y/A 2025</v>
      </c>
      <c r="K4" t="str">
        <f t="shared" si="0"/>
        <v>Y/A 2025</v>
      </c>
      <c r="L4" t="str">
        <f t="shared" si="0"/>
        <v>Y/A 2025</v>
      </c>
      <c r="M4" t="str">
        <f t="shared" si="0"/>
        <v>Y/A 2025</v>
      </c>
      <c r="N4" t="str">
        <f t="shared" si="0"/>
        <v>Y/A 2025</v>
      </c>
      <c r="U4" s="28" t="str">
        <f>B_Sheet!D4</f>
      </c>
      <c r="V4" s="28">
        <f>B_Sheet!E4</f>
      </c>
    </row>
    <row r="5" spans="1:28" ht="12.75" x14ac:dyDescent="0.2">
      <c r="A5" s="1">
        <v>1</v>
      </c>
      <c r="B5" s="4394" t="str">
        <f>"INCOME STATEMENT FOR THE YEAR ENDED "&amp;B_Sheet!C4&amp;" "&amp;B_Sheet!D4&amp;" "&amp;B_Sheet!E4</f>
      </c>
      <c r="C5" s="4394"/>
      <c r="D5" s="4394"/>
      <c r="E5" s="290"/>
      <c r="F5" s="140"/>
      <c r="G5" s="140"/>
      <c r="H5" s="140"/>
      <c r="I5" s="140"/>
      <c r="T5" s="28">
        <f>SUM(U5:V5)</f>
      </c>
      <c r="U5" s="28">
        <f>IF(V4&gt;2002,0,IF(U4="December",1,0))</f>
      </c>
      <c r="V5" s="28">
        <f>IF(V4=2002,1,IF(V4&gt;2002,2,0))</f>
      </c>
    </row>
    <row r="6" spans="1:28" ht="12.75" x14ac:dyDescent="0.2">
      <c r="A6" s="132">
        <v>1</v>
      </c>
      <c r="B6" s="4392" t="s">
        <v>4668</v>
      </c>
      <c r="C6" s="4393">
        <v>4500</v>
      </c>
      <c r="D6" s="4391" t="str">
        <f>IF(O6&lt;&gt;C3,"Descriptions!","")</f>
        <v/>
      </c>
      <c r="E6" s="4401"/>
      <c r="F6" s="4401"/>
      <c r="G6" s="4401"/>
      <c r="H6" s="4401"/>
      <c r="I6" s="4401"/>
      <c r="O6" s="4402">
        <f>IF(tr=1,C3,COUNTA(E6:N6))</f>
      </c>
      <c r="Y6" s="28">
        <v>1</v>
      </c>
      <c r="Z6" s="28">
        <f>IF(A6=1,SUM($A6:$A$6),0)</f>
      </c>
    </row>
    <row r="7" spans="1:28" ht="31.5" customHeight="1" x14ac:dyDescent="0.2">
      <c r="A7" s="132">
        <v>1</v>
      </c>
      <c r="B7" s="4392"/>
      <c r="C7" s="4393"/>
      <c r="D7" s="4391"/>
      <c r="E7" s="4401"/>
      <c r="F7" s="4401"/>
      <c r="G7" s="4401"/>
      <c r="H7" s="4401"/>
      <c r="I7" s="4401"/>
      <c r="O7" s="4402"/>
      <c r="P7" s="28">
        <f>IF(O6&lt;&gt;C3,1,0)</f>
      </c>
      <c r="Y7" s="28">
        <v>1</v>
      </c>
      <c r="Z7" s="28">
        <f>IF(A7=1,SUM($A$6:$A7),0)</f>
      </c>
    </row>
    <row r="8" spans="1:28" ht="12.75" x14ac:dyDescent="0.2">
      <c r="A8" s="132">
        <v>1</v>
      </c>
      <c r="B8" s="4392" t="s">
        <v>4669</v>
      </c>
      <c r="C8" s="4393">
        <v>4501</v>
      </c>
      <c r="D8" s="4391" t="str">
        <f>IF(O8&lt;&gt;C3,"Descriptions!","")</f>
        <v/>
      </c>
      <c r="E8" s="4401"/>
      <c r="F8" s="4401"/>
      <c r="G8" s="4401"/>
      <c r="H8" s="4401"/>
      <c r="I8" s="4401"/>
      <c r="O8" s="4402">
        <f>IF(tr=1,C3,COUNTA(E8:N8))</f>
      </c>
      <c r="Y8" s="28">
        <v>1</v>
      </c>
      <c r="Z8" s="28">
        <f>IF(A8=1,SUM($A$6:$A8),0)</f>
      </c>
    </row>
    <row r="9" spans="1:28" ht="30" customHeight="1" x14ac:dyDescent="0.2">
      <c r="A9" s="132">
        <v>1</v>
      </c>
      <c r="B9" s="4392"/>
      <c r="C9" s="4393"/>
      <c r="D9" s="4391"/>
      <c r="E9" s="4401"/>
      <c r="F9" s="4401"/>
      <c r="G9" s="4401"/>
      <c r="H9" s="4401"/>
      <c r="I9" s="4401"/>
      <c r="O9" s="4402"/>
      <c r="P9" s="28">
        <f>IF(O8&lt;&gt;C3,1,0)</f>
      </c>
      <c r="Y9" s="28">
        <v>1</v>
      </c>
      <c r="Z9" s="28">
        <f>IF(A9=1,SUM($A$6:$A9),0)</f>
      </c>
    </row>
    <row r="10" spans="1:28" ht="12.75" x14ac:dyDescent="0.2">
      <c r="A10" s="132">
        <v>1</v>
      </c>
      <c r="B10" s="323" t="s">
        <v>2733</v>
      </c>
      <c r="C10" s="1129">
        <v>4502</v>
      </c>
      <c r="D10" s="292"/>
      <c r="E10" s="293">
        <f>IF($C$3="","",1)</f>
      </c>
      <c r="F10" s="293" t="str">
        <f t="shared" ref="F10:N10" si="1">IF($C$3=1,"",IF(E10="","",IF(E10+1&gt;$C$3,"",E10+1)))</f>
        <v/>
      </c>
      <c r="G10" s="293" t="str">
        <f t="shared" si="1"/>
        <v/>
      </c>
      <c r="H10" s="293" t="str">
        <f t="shared" si="1"/>
        <v/>
      </c>
      <c r="I10" s="293" t="str">
        <f t="shared" si="1"/>
        <v/>
      </c>
      <c r="J10" t="str">
        <f t="shared" si="1"/>
        <v/>
      </c>
      <c r="K10" t="str">
        <f t="shared" si="1"/>
        <v/>
      </c>
      <c r="L10" t="str">
        <f t="shared" si="1"/>
        <v/>
      </c>
      <c r="M10" t="str">
        <f t="shared" si="1"/>
        <v/>
      </c>
      <c r="N10" t="str">
        <f t="shared" si="1"/>
        <v/>
      </c>
      <c r="Y10" s="28">
        <v>1</v>
      </c>
      <c r="Z10" s="28">
        <f>IF(A10=1,SUM($A$6:$A10),0)</f>
      </c>
    </row>
    <row r="11" spans="1:28" ht="12.75" x14ac:dyDescent="0.2">
      <c r="A11" s="132">
        <v>0</v>
      </c>
      <c r="B11" s="294" t="s">
        <v>2307</v>
      </c>
      <c r="C11" s="295" t="s">
        <v>1005</v>
      </c>
      <c r="D11" s="64"/>
      <c r="E11" s="296" t="s">
        <v>1006</v>
      </c>
      <c r="F11" s="296" t="s">
        <v>1006</v>
      </c>
      <c r="G11" s="296" t="s">
        <v>1006</v>
      </c>
      <c r="H11" s="296" t="s">
        <v>1006</v>
      </c>
      <c r="I11" s="296" t="s">
        <v>1006</v>
      </c>
      <c r="K11" t="s">
        <v>1006</v>
      </c>
      <c r="L11" t="s">
        <v>1006</v>
      </c>
      <c r="M11" t="s">
        <v>1006</v>
      </c>
      <c r="N11" t="s">
        <v>1006</v>
      </c>
      <c r="Z11" s="28">
        <f>IF(A11=1,SUM($A$6:$A11),0)</f>
      </c>
    </row>
    <row r="12" spans="1:28" ht="12.75" x14ac:dyDescent="0.2">
      <c r="A12" s="132">
        <f>IF(OR(E12&lt;&gt;"",F12&lt;&gt;"",G12&lt;&gt;"",H12&lt;&gt;"",I12&lt;&gt;""),1,0)</f>
      </c>
      <c r="B12" s="1607" t="s">
        <v>2734</v>
      </c>
      <c r="C12" s="1585">
        <v>5000</v>
      </c>
      <c r="D12" s="64"/>
      <c r="E12" s="297"/>
      <c r="F12" s="297"/>
      <c r="G12" s="297"/>
      <c r="H12" s="297"/>
      <c r="I12" s="297"/>
      <c r="Z12" s="28">
        <f>IF(A12=1,SUM($A$6:$A12),0)</f>
      </c>
      <c r="AA12" s="28">
        <f>INDEX(activity,AB12,$AA$1)</f>
      </c>
      <c r="AB12" s="28">
        <v>1</v>
      </c>
    </row>
    <row r="13" spans="1:28" ht="12.75" x14ac:dyDescent="0.2">
      <c r="A13" s="132">
        <f t="shared" ref="A13:A76" si="2">IF(OR(E13&lt;&gt;"",F13&lt;&gt;"",G13&lt;&gt;"",H13&lt;&gt;"",I13&lt;&gt;""),1,0)</f>
      </c>
      <c r="B13" s="1608" t="s">
        <v>5485</v>
      </c>
      <c r="C13" s="1585">
        <v>5001</v>
      </c>
      <c r="D13" s="64"/>
      <c r="E13" s="297"/>
      <c r="F13" s="297"/>
      <c r="G13" s="297"/>
      <c r="H13" s="297"/>
      <c r="I13" s="297"/>
      <c r="Z13" s="28">
        <f>IF(A13=1,SUM($A$6:$A13),0)</f>
      </c>
      <c r="AA13" s="28">
        <f t="shared" ref="AA13:AA76" si="3">INDEX(activity,AB13,$AA$1)</f>
      </c>
      <c r="AB13" s="28">
        <v>2</v>
      </c>
    </row>
    <row r="14" spans="1:28" ht="12.75" x14ac:dyDescent="0.2">
      <c r="A14" s="132">
        <f t="shared" si="2"/>
        <v>0</v>
      </c>
      <c r="B14" s="1608" t="s">
        <v>5416</v>
      </c>
      <c r="C14" s="1585">
        <v>5002</v>
      </c>
      <c r="D14" s="64"/>
      <c r="E14" s="297"/>
      <c r="F14" s="297"/>
      <c r="G14" s="297"/>
      <c r="H14" s="297"/>
      <c r="I14" s="297"/>
      <c r="Z14" s="28">
        <f>IF(A14=1,SUM($A$6:$A14),0)</f>
      </c>
      <c r="AA14" s="28">
        <f t="shared" si="3"/>
        <v>0</v>
      </c>
      <c r="AB14" s="28">
        <v>3</v>
      </c>
    </row>
    <row r="15" spans="1:28" ht="12.75" x14ac:dyDescent="0.2">
      <c r="A15" s="132">
        <f t="shared" si="2"/>
        <v>0</v>
      </c>
      <c r="B15" s="1608" t="s">
        <v>5417</v>
      </c>
      <c r="C15" s="1585">
        <v>5003</v>
      </c>
      <c r="D15" s="64"/>
      <c r="E15" s="297"/>
      <c r="F15" s="297"/>
      <c r="G15" s="297"/>
      <c r="H15" s="297"/>
      <c r="I15" s="297"/>
      <c r="Z15" s="28">
        <f>IF(A15=1,SUM($A$6:$A15),0)</f>
      </c>
      <c r="AA15" s="28">
        <f t="shared" si="3"/>
        <v>0</v>
      </c>
      <c r="AB15" s="28">
        <v>4</v>
      </c>
    </row>
    <row r="16" spans="1:28" ht="12.75" x14ac:dyDescent="0.2">
      <c r="A16" s="132">
        <f t="shared" si="2"/>
        <v>0</v>
      </c>
      <c r="B16" s="1608" t="s">
        <v>5418</v>
      </c>
      <c r="C16" s="1585">
        <v>5004</v>
      </c>
      <c r="D16" s="64"/>
      <c r="E16" s="297"/>
      <c r="F16" s="297"/>
      <c r="G16" s="297"/>
      <c r="H16" s="297"/>
      <c r="I16" s="297"/>
      <c r="Z16" s="28">
        <f>IF(A16=1,SUM($A$6:$A16),0)</f>
      </c>
      <c r="AA16" s="28">
        <f t="shared" si="3"/>
        <v>0</v>
      </c>
      <c r="AB16" s="28">
        <v>5</v>
      </c>
    </row>
    <row r="17" spans="1:79" ht="12.75" x14ac:dyDescent="0.2">
      <c r="A17" s="132">
        <f t="shared" si="2"/>
        <v>0</v>
      </c>
      <c r="B17" s="1608" t="s">
        <v>6632</v>
      </c>
      <c r="C17" s="1585">
        <v>5005</v>
      </c>
      <c r="D17" s="64"/>
      <c r="E17" s="297"/>
      <c r="F17" s="297"/>
      <c r="G17" s="297"/>
      <c r="H17" s="297"/>
      <c r="I17" s="297"/>
      <c r="Z17" s="28">
        <f>IF(A17=1,SUM($A$6:$A17),0)</f>
      </c>
      <c r="AA17" s="28">
        <f t="shared" si="3"/>
        <v>0</v>
      </c>
      <c r="AB17" s="28">
        <v>6</v>
      </c>
    </row>
    <row r="18" spans="1:79" ht="12.75" x14ac:dyDescent="0.2">
      <c r="A18" s="132">
        <f t="shared" si="2"/>
        <v>0</v>
      </c>
      <c r="B18" s="1608" t="s">
        <v>4847</v>
      </c>
      <c r="C18" s="1585">
        <v>5006</v>
      </c>
      <c r="D18" s="64"/>
      <c r="E18" s="297"/>
      <c r="F18" s="297"/>
      <c r="G18" s="297"/>
      <c r="H18" s="297"/>
      <c r="I18" s="297"/>
      <c r="Z18" s="28">
        <f>IF(A18=1,SUM($A$6:$A18),0)</f>
      </c>
      <c r="AA18" s="28">
        <f t="shared" si="3"/>
        <v>0</v>
      </c>
      <c r="AB18" s="28">
        <v>7</v>
      </c>
    </row>
    <row r="19" spans="1:79" ht="12.75" x14ac:dyDescent="0.2">
      <c r="A19" s="132">
        <f t="shared" si="2"/>
        <v>0</v>
      </c>
      <c r="B19" s="1608" t="s">
        <v>4848</v>
      </c>
      <c r="C19" s="1585">
        <v>5007</v>
      </c>
      <c r="D19" s="64"/>
      <c r="E19" s="297"/>
      <c r="F19" s="297"/>
      <c r="G19" s="297"/>
      <c r="H19" s="297"/>
      <c r="I19" s="297"/>
      <c r="Z19" s="28">
        <f>IF(A19=1,SUM($A$6:$A19),0)</f>
      </c>
      <c r="AA19" s="28">
        <f t="shared" si="3"/>
        <v>0</v>
      </c>
      <c r="AB19" s="28">
        <v>8</v>
      </c>
    </row>
    <row r="20" spans="1:79" ht="12.75" x14ac:dyDescent="0.2">
      <c r="A20" s="132">
        <f t="shared" si="2"/>
        <v>0</v>
      </c>
      <c r="B20" s="1608" t="s">
        <v>6576</v>
      </c>
      <c r="C20" s="1585">
        <v>5008</v>
      </c>
      <c r="D20" s="64"/>
      <c r="E20" s="297"/>
      <c r="F20" s="297"/>
      <c r="G20" s="297"/>
      <c r="H20" s="297"/>
      <c r="I20" s="297"/>
      <c r="Z20" s="28">
        <f>IF(A20=1,SUM($A$6:$A20),0)</f>
      </c>
      <c r="AA20" s="28">
        <f t="shared" si="3"/>
        <v>0</v>
      </c>
      <c r="AB20" s="28">
        <v>9</v>
      </c>
    </row>
    <row r="21" spans="1:79" ht="12.75" x14ac:dyDescent="0.2">
      <c r="A21" s="132">
        <f t="shared" si="2"/>
        <v>0</v>
      </c>
      <c r="B21" s="1608" t="s">
        <v>6577</v>
      </c>
      <c r="C21" s="1585">
        <v>5009</v>
      </c>
      <c r="D21" s="64"/>
      <c r="E21" s="297"/>
      <c r="F21" s="297"/>
      <c r="G21" s="297"/>
      <c r="H21" s="297"/>
      <c r="I21" s="297"/>
      <c r="Z21" s="28">
        <f>IF(A21=1,SUM($A$6:$A21),0)</f>
      </c>
      <c r="AA21" s="28">
        <f t="shared" si="3"/>
        <v>0</v>
      </c>
      <c r="AB21" s="28">
        <v>10</v>
      </c>
    </row>
    <row r="22" spans="1:79" ht="12.75" x14ac:dyDescent="0.2">
      <c r="A22" s="132">
        <f t="shared" si="2"/>
        <v>0</v>
      </c>
      <c r="B22" s="1608" t="s">
        <v>1914</v>
      </c>
      <c r="C22" s="1585">
        <v>5010</v>
      </c>
      <c r="D22" s="64"/>
      <c r="E22" s="297"/>
      <c r="F22" s="297"/>
      <c r="G22" s="297"/>
      <c r="H22" s="297"/>
      <c r="I22" s="297"/>
      <c r="Z22" s="28">
        <f>IF(A22=1,SUM($A$6:$A22),0)</f>
      </c>
      <c r="AA22" s="28">
        <f t="shared" si="3"/>
        <v>0</v>
      </c>
      <c r="AB22" s="28">
        <v>11</v>
      </c>
    </row>
    <row r="23" spans="1:79" ht="12.75" x14ac:dyDescent="0.2">
      <c r="A23" s="132">
        <f t="shared" si="2"/>
        <v>0</v>
      </c>
      <c r="B23" s="1608" t="s">
        <v>1915</v>
      </c>
      <c r="C23" s="1585">
        <v>5011</v>
      </c>
      <c r="D23" s="64"/>
      <c r="E23" s="297"/>
      <c r="F23" s="297"/>
      <c r="G23" s="297"/>
      <c r="H23" s="297"/>
      <c r="I23" s="297"/>
      <c r="Z23" s="28">
        <f>IF(A23=1,SUM($A$6:$A23),0)</f>
      </c>
      <c r="AA23" s="28">
        <f t="shared" si="3"/>
        <v>0</v>
      </c>
      <c r="AB23" s="28">
        <v>12</v>
      </c>
    </row>
    <row r="24" spans="1:79" ht="12.75" x14ac:dyDescent="0.2">
      <c r="A24" s="132">
        <f t="shared" si="2"/>
        <v>1</v>
      </c>
      <c r="B24" s="1609" t="s">
        <v>3628</v>
      </c>
      <c r="C24" s="1588">
        <v>5099</v>
      </c>
      <c r="D24" s="324"/>
      <c r="E24" s="298">
        <f>SUM(E12:E23)</f>
      </c>
      <c r="F24" s="298">
        <f t="shared" ref="F24:N24" si="4">SUM(F12:F23)</f>
      </c>
      <c r="G24" s="298">
        <f t="shared" si="4"/>
        <v>0</v>
      </c>
      <c r="H24" s="298">
        <f t="shared" si="4"/>
        <v>0</v>
      </c>
      <c r="I24" s="298">
        <f t="shared" si="4"/>
        <v>0</v>
      </c>
      <c r="J24">
        <f t="shared" si="4"/>
        <v>0</v>
      </c>
      <c r="K24">
        <f t="shared" si="4"/>
        <v>0</v>
      </c>
      <c r="L24">
        <f t="shared" si="4"/>
        <v>0</v>
      </c>
      <c r="M24">
        <f t="shared" si="4"/>
        <v>0</v>
      </c>
      <c r="N24">
        <f t="shared" si="4"/>
        <v>0</v>
      </c>
      <c r="Z24" s="28">
        <f>IF(A24=1,SUM($A$6:$A24),0)</f>
      </c>
      <c r="AA24" s="28">
        <f t="shared" si="3"/>
        <v>-681223</v>
      </c>
      <c r="AB24" s="28">
        <v>13</v>
      </c>
      <c r="CA24" s="142">
        <v>1</v>
      </c>
    </row>
    <row r="25" spans="1:79" ht="12.75" x14ac:dyDescent="0.2">
      <c r="A25" s="132">
        <f t="shared" si="2"/>
        <v>0</v>
      </c>
      <c r="B25" s="1610" t="s">
        <v>3629</v>
      </c>
      <c r="C25" s="1585">
        <v>5100</v>
      </c>
      <c r="D25" s="64"/>
      <c r="E25" s="297"/>
      <c r="F25" s="297"/>
      <c r="G25" s="297"/>
      <c r="H25" s="297"/>
      <c r="I25" s="297"/>
      <c r="Z25" s="28">
        <f>IF(A25=1,SUM($A$6:$A25),0)</f>
      </c>
      <c r="AA25" s="28">
        <f t="shared" si="3"/>
        <v>0</v>
      </c>
      <c r="AB25" s="28">
        <v>14</v>
      </c>
      <c r="BA25" s="299">
        <f>SUM(E25:N25)</f>
      </c>
    </row>
    <row r="26" spans="1:79" ht="12.75" x14ac:dyDescent="0.2">
      <c r="A26" s="132">
        <f t="shared" si="2"/>
        <v>0</v>
      </c>
      <c r="B26" s="1610" t="s">
        <v>3630</v>
      </c>
      <c r="C26" s="1585">
        <v>5101</v>
      </c>
      <c r="D26" s="64"/>
      <c r="E26" s="297"/>
      <c r="F26" s="297"/>
      <c r="G26" s="297"/>
      <c r="H26" s="297"/>
      <c r="I26" s="297"/>
      <c r="Z26" s="28">
        <f>IF(A26=1,SUM($A$6:$A26),0)</f>
      </c>
      <c r="AA26" s="28">
        <f t="shared" si="3"/>
        <v>0</v>
      </c>
      <c r="AB26" s="28">
        <v>15</v>
      </c>
      <c r="BA26" s="299">
        <f t="shared" ref="BA26:BA37" si="5">SUM(E26:N26)</f>
      </c>
    </row>
    <row r="27" spans="1:79" ht="12.75" x14ac:dyDescent="0.2">
      <c r="A27" s="132">
        <f t="shared" si="2"/>
        <v>0</v>
      </c>
      <c r="B27" s="1610" t="s">
        <v>5525</v>
      </c>
      <c r="C27" s="1585">
        <v>5102</v>
      </c>
      <c r="D27" s="64"/>
      <c r="E27" s="297"/>
      <c r="F27" s="297"/>
      <c r="G27" s="297"/>
      <c r="H27" s="297"/>
      <c r="I27" s="297"/>
      <c r="Z27" s="28">
        <f>IF(A27=1,SUM($A$6:$A27),0)</f>
      </c>
      <c r="AA27" s="28">
        <f t="shared" si="3"/>
        <v>0</v>
      </c>
      <c r="AB27" s="28">
        <v>16</v>
      </c>
      <c r="BA27" s="299">
        <f t="shared" si="5"/>
        <v>0</v>
      </c>
    </row>
    <row r="28" spans="1:79" ht="12.75" x14ac:dyDescent="0.2">
      <c r="A28" s="132">
        <f t="shared" si="2"/>
        <v>0</v>
      </c>
      <c r="B28" s="1610" t="s">
        <v>5179</v>
      </c>
      <c r="C28" s="1585">
        <v>5103</v>
      </c>
      <c r="D28" s="64"/>
      <c r="E28" s="297"/>
      <c r="F28" s="297"/>
      <c r="G28" s="297"/>
      <c r="H28" s="297"/>
      <c r="I28" s="297"/>
      <c r="Z28" s="28">
        <f>IF(A28=1,SUM($A$6:$A28),0)</f>
      </c>
      <c r="AA28" s="28">
        <f t="shared" si="3"/>
        <v>0</v>
      </c>
      <c r="AB28" s="28">
        <v>17</v>
      </c>
      <c r="BA28" s="299">
        <f t="shared" si="5"/>
        <v>0</v>
      </c>
    </row>
    <row r="29" spans="1:79" ht="12.75" x14ac:dyDescent="0.2">
      <c r="A29" s="132">
        <f t="shared" si="2"/>
        <v>0</v>
      </c>
      <c r="B29" s="1610" t="s">
        <v>5180</v>
      </c>
      <c r="C29" s="1585">
        <v>5104</v>
      </c>
      <c r="D29" s="64"/>
      <c r="E29" s="297"/>
      <c r="F29" s="297"/>
      <c r="G29" s="297"/>
      <c r="H29" s="297"/>
      <c r="I29" s="297"/>
      <c r="Z29" s="28">
        <f>IF(A29=1,SUM($A$6:$A29),0)</f>
      </c>
      <c r="AA29" s="28">
        <f t="shared" si="3"/>
        <v>0</v>
      </c>
      <c r="AB29" s="28">
        <v>18</v>
      </c>
      <c r="BA29" s="299">
        <f t="shared" si="5"/>
        <v>0</v>
      </c>
    </row>
    <row r="30" spans="1:79" ht="12.75" x14ac:dyDescent="0.2">
      <c r="A30" s="132">
        <f t="shared" si="2"/>
        <v>0</v>
      </c>
      <c r="B30" s="1610" t="s">
        <v>3787</v>
      </c>
      <c r="C30" s="1585">
        <v>5105</v>
      </c>
      <c r="D30" s="64"/>
      <c r="E30" s="297"/>
      <c r="F30" s="297"/>
      <c r="G30" s="297"/>
      <c r="H30" s="297"/>
      <c r="I30" s="297"/>
      <c r="Z30" s="28">
        <f>IF(A30=1,SUM($A$6:$A30),0)</f>
      </c>
      <c r="AA30" s="28">
        <f t="shared" si="3"/>
        <v>0</v>
      </c>
      <c r="AB30" s="28">
        <v>19</v>
      </c>
      <c r="BA30" s="299">
        <f t="shared" si="5"/>
        <v>0</v>
      </c>
    </row>
    <row r="31" spans="1:79" ht="12.75" x14ac:dyDescent="0.2">
      <c r="A31" s="132">
        <f t="shared" si="2"/>
        <v>0</v>
      </c>
      <c r="B31" s="1610" t="s">
        <v>3788</v>
      </c>
      <c r="C31" s="1585">
        <v>5106</v>
      </c>
      <c r="D31" s="64"/>
      <c r="E31" s="297"/>
      <c r="F31" s="297"/>
      <c r="G31" s="297"/>
      <c r="H31" s="297"/>
      <c r="I31" s="297"/>
      <c r="Z31" s="28">
        <f>IF(A31=1,SUM($A$6:$A31),0)</f>
      </c>
      <c r="AA31" s="28">
        <f t="shared" si="3"/>
        <v>0</v>
      </c>
      <c r="AB31" s="28">
        <v>20</v>
      </c>
      <c r="BA31" s="299">
        <f t="shared" si="5"/>
        <v>0</v>
      </c>
    </row>
    <row r="32" spans="1:79" ht="12.75" x14ac:dyDescent="0.2">
      <c r="A32" s="132">
        <f t="shared" si="2"/>
        <v>0</v>
      </c>
      <c r="B32" s="1611" t="s">
        <v>5699</v>
      </c>
      <c r="C32" s="1585">
        <v>5107</v>
      </c>
      <c r="D32" s="64"/>
      <c r="E32" s="297"/>
      <c r="F32" s="297"/>
      <c r="G32" s="297"/>
      <c r="H32" s="297"/>
      <c r="I32" s="297"/>
      <c r="Z32" s="28">
        <f>IF(A32=1,SUM($A$6:$A32),0)</f>
      </c>
      <c r="AA32" s="28">
        <f t="shared" si="3"/>
        <v>0</v>
      </c>
      <c r="AB32" s="28">
        <v>21</v>
      </c>
      <c r="BA32" s="299">
        <f t="shared" si="5"/>
        <v>0</v>
      </c>
      <c r="BD32" s="299">
        <f>BA32</f>
      </c>
    </row>
    <row r="33" spans="1:57" ht="12.75" x14ac:dyDescent="0.2">
      <c r="A33" s="132">
        <f t="shared" si="2"/>
        <v>0</v>
      </c>
      <c r="B33" s="1610" t="s">
        <v>2381</v>
      </c>
      <c r="C33" s="1585">
        <v>5108</v>
      </c>
      <c r="D33" s="64"/>
      <c r="E33" s="297"/>
      <c r="F33" s="297"/>
      <c r="G33" s="297"/>
      <c r="H33" s="297"/>
      <c r="I33" s="297"/>
      <c r="Z33" s="28">
        <f>IF(A33=1,SUM($A$6:$A33),0)</f>
      </c>
      <c r="AA33" s="28">
        <f t="shared" si="3"/>
        <v>0</v>
      </c>
      <c r="AB33" s="28">
        <v>22</v>
      </c>
      <c r="BA33" s="299">
        <f t="shared" si="5"/>
        <v>0</v>
      </c>
      <c r="BD33" s="299">
        <f>BA33</f>
      </c>
    </row>
    <row r="34" spans="1:57" ht="12.75" x14ac:dyDescent="0.2">
      <c r="A34" s="132">
        <f t="shared" si="2"/>
        <v>0</v>
      </c>
      <c r="B34" s="1610" t="s">
        <v>2441</v>
      </c>
      <c r="C34" s="1585">
        <v>5109</v>
      </c>
      <c r="D34" s="64"/>
      <c r="E34" s="297"/>
      <c r="F34" s="297"/>
      <c r="G34" s="297"/>
      <c r="H34" s="297"/>
      <c r="I34" s="297"/>
      <c r="Z34" s="28">
        <f>IF(A34=1,SUM($A$6:$A34),0)</f>
      </c>
      <c r="AA34" s="28">
        <f t="shared" si="3"/>
        <v>0</v>
      </c>
      <c r="AB34" s="28">
        <v>23</v>
      </c>
      <c r="BA34" s="299">
        <f t="shared" si="5"/>
        <v>0</v>
      </c>
      <c r="BD34" s="299">
        <f>BA34</f>
      </c>
    </row>
    <row r="35" spans="1:57" ht="12.75" x14ac:dyDescent="0.2">
      <c r="A35" s="132">
        <f t="shared" si="2"/>
        <v>0</v>
      </c>
      <c r="B35" s="1610" t="s">
        <v>2442</v>
      </c>
      <c r="C35" s="1585">
        <v>5110</v>
      </c>
      <c r="D35" s="64"/>
      <c r="E35" s="297"/>
      <c r="F35" s="297"/>
      <c r="G35" s="297"/>
      <c r="H35" s="297"/>
      <c r="I35" s="297"/>
      <c r="Z35" s="28">
        <f>IF(A35=1,SUM($A$6:$A35),0)</f>
      </c>
      <c r="AA35" s="28">
        <f t="shared" si="3"/>
        <v>0</v>
      </c>
      <c r="AB35" s="28">
        <v>24</v>
      </c>
      <c r="BA35" s="299">
        <f t="shared" si="5"/>
        <v>0</v>
      </c>
      <c r="BB35" s="300">
        <f>SUM(BA25:BA35)</f>
      </c>
      <c r="BD35" s="299">
        <f>BA35</f>
      </c>
    </row>
    <row r="36" spans="1:57" ht="12.75" x14ac:dyDescent="0.2">
      <c r="A36" s="132">
        <f t="shared" si="2"/>
        <v>0</v>
      </c>
      <c r="B36" s="1610" t="s">
        <v>2443</v>
      </c>
      <c r="C36" s="1585">
        <v>5111</v>
      </c>
      <c r="D36" s="64"/>
      <c r="E36" s="297"/>
      <c r="F36" s="297"/>
      <c r="G36" s="297"/>
      <c r="H36" s="297"/>
      <c r="I36" s="297"/>
      <c r="Z36" s="28">
        <f>IF(A36=1,SUM($A$6:$A36),0)</f>
      </c>
      <c r="AA36" s="28">
        <f t="shared" si="3"/>
        <v>0</v>
      </c>
      <c r="AB36" s="28">
        <v>25</v>
      </c>
      <c r="BA36" s="299">
        <f t="shared" si="5"/>
        <v>0</v>
      </c>
      <c r="BD36" s="299">
        <f>BA59</f>
      </c>
      <c r="BE36" s="299">
        <f>SUM(BD32:BD36)</f>
      </c>
    </row>
    <row r="37" spans="1:57" ht="12.75" x14ac:dyDescent="0.2">
      <c r="A37" s="132">
        <f t="shared" si="2"/>
        <v>0</v>
      </c>
      <c r="B37" s="1610" t="s">
        <v>5397</v>
      </c>
      <c r="C37" s="1585">
        <v>5112</v>
      </c>
      <c r="D37" s="64"/>
      <c r="E37" s="297"/>
      <c r="F37" s="297"/>
      <c r="G37" s="297"/>
      <c r="H37" s="297"/>
      <c r="I37" s="297"/>
      <c r="Z37" s="28">
        <f>IF(A37=1,SUM($A$6:$A37),0)</f>
      </c>
      <c r="AA37" s="28">
        <f t="shared" si="3"/>
        <v>0</v>
      </c>
      <c r="AB37" s="28">
        <v>26</v>
      </c>
      <c r="BA37" s="299">
        <f t="shared" si="5"/>
        <v>0</v>
      </c>
      <c r="BB37" s="300">
        <f>BA37+BA36</f>
      </c>
    </row>
    <row r="38" spans="1:57" ht="12.75" x14ac:dyDescent="0.2">
      <c r="A38" s="132">
        <f t="shared" si="2"/>
        <v>0</v>
      </c>
      <c r="B38" s="1610" t="s">
        <v>1906</v>
      </c>
      <c r="C38" s="1585">
        <v>5190</v>
      </c>
      <c r="D38" s="64"/>
      <c r="E38" s="297"/>
      <c r="F38" s="297"/>
      <c r="G38" s="297"/>
      <c r="H38" s="297"/>
      <c r="I38" s="297"/>
      <c r="Z38" s="28">
        <f>IF(A38=1,SUM($A$6:$A38),0)</f>
      </c>
      <c r="AA38" s="28">
        <f t="shared" si="3"/>
        <v>0</v>
      </c>
      <c r="AB38" s="28">
        <v>27</v>
      </c>
    </row>
    <row r="39" spans="1:57" ht="12.75" x14ac:dyDescent="0.2">
      <c r="A39" s="132">
        <f t="shared" si="2"/>
        <v>0</v>
      </c>
      <c r="B39" s="1610" t="s">
        <v>1907</v>
      </c>
      <c r="C39" s="1585">
        <v>5191</v>
      </c>
      <c r="D39" s="64"/>
      <c r="E39" s="297"/>
      <c r="F39" s="297"/>
      <c r="G39" s="297"/>
      <c r="H39" s="297"/>
      <c r="I39" s="297"/>
      <c r="Z39" s="28">
        <f>IF(A39=1,SUM($A$6:$A39),0)</f>
      </c>
      <c r="AA39" s="28">
        <f t="shared" si="3"/>
        <v>0</v>
      </c>
      <c r="AB39" s="28">
        <v>28</v>
      </c>
    </row>
    <row r="40" spans="1:57" ht="12.75" x14ac:dyDescent="0.2">
      <c r="A40" s="132">
        <f t="shared" si="2"/>
        <v>0</v>
      </c>
      <c r="B40" s="1610" t="s">
        <v>1908</v>
      </c>
      <c r="C40" s="1585">
        <v>5200</v>
      </c>
      <c r="D40" s="64"/>
      <c r="E40" s="297"/>
      <c r="F40" s="297"/>
      <c r="G40" s="297"/>
      <c r="H40" s="297"/>
      <c r="I40" s="297"/>
      <c r="Z40" s="28">
        <f>IF(A40=1,SUM($A$6:$A40),0)</f>
      </c>
      <c r="AA40" s="28">
        <f t="shared" si="3"/>
        <v>0</v>
      </c>
      <c r="AB40" s="28">
        <v>29</v>
      </c>
      <c r="BA40" s="299">
        <f>SUM(E40:N40)</f>
      </c>
    </row>
    <row r="41" spans="1:57" ht="12.75" x14ac:dyDescent="0.2">
      <c r="A41" s="132">
        <f t="shared" si="2"/>
        <v>0</v>
      </c>
      <c r="B41" s="1610" t="s">
        <v>1909</v>
      </c>
      <c r="C41" s="1585">
        <v>5201</v>
      </c>
      <c r="D41" s="64"/>
      <c r="E41" s="297"/>
      <c r="F41" s="297"/>
      <c r="G41" s="297"/>
      <c r="H41" s="297"/>
      <c r="I41" s="297"/>
      <c r="Z41" s="28">
        <f>IF(A41=1,SUM($A$6:$A41),0)</f>
      </c>
      <c r="AA41" s="28">
        <f t="shared" si="3"/>
        <v>0</v>
      </c>
      <c r="AB41" s="28">
        <v>30</v>
      </c>
      <c r="BA41" s="299">
        <f>SUM(E41:N41)</f>
      </c>
      <c r="BB41" s="300">
        <f>SUM(BA40:BA41)</f>
      </c>
    </row>
    <row r="42" spans="1:57" ht="12.75" x14ac:dyDescent="0.2">
      <c r="A42" s="132">
        <f t="shared" si="2"/>
        <v>0</v>
      </c>
      <c r="B42" s="1610" t="s">
        <v>1910</v>
      </c>
      <c r="C42" s="1585">
        <v>5202</v>
      </c>
      <c r="D42" s="64"/>
      <c r="E42" s="297"/>
      <c r="F42" s="297"/>
      <c r="G42" s="297"/>
      <c r="H42" s="297"/>
      <c r="I42" s="297"/>
      <c r="Z42" s="28">
        <f>IF(A42=1,SUM($A$6:$A42),0)</f>
      </c>
      <c r="AA42" s="28">
        <f t="shared" si="3"/>
        <v>0</v>
      </c>
      <c r="AB42" s="28">
        <v>31</v>
      </c>
      <c r="BA42" s="299">
        <f>SUM(E42:N42)</f>
      </c>
      <c r="BB42" s="300">
        <f>BA42</f>
      </c>
    </row>
    <row r="43" spans="1:57" ht="12.75" x14ac:dyDescent="0.2">
      <c r="A43" s="132">
        <f t="shared" si="2"/>
        <v>0</v>
      </c>
      <c r="B43" s="1610" t="s">
        <v>1911</v>
      </c>
      <c r="C43" s="1585">
        <v>5203</v>
      </c>
      <c r="D43" s="64"/>
      <c r="E43" s="297"/>
      <c r="F43" s="297"/>
      <c r="G43" s="297"/>
      <c r="H43" s="297"/>
      <c r="I43" s="297"/>
      <c r="Z43" s="28">
        <f>IF(A43=1,SUM($A$6:$A43),0)</f>
      </c>
      <c r="AA43" s="28">
        <f t="shared" si="3"/>
        <v>0</v>
      </c>
      <c r="AB43" s="28">
        <v>32</v>
      </c>
    </row>
    <row r="44" spans="1:57" ht="12.75" x14ac:dyDescent="0.2">
      <c r="A44" s="132">
        <f t="shared" si="2"/>
        <v>0</v>
      </c>
      <c r="B44" s="1610" t="s">
        <v>1912</v>
      </c>
      <c r="C44" s="1585">
        <v>5204</v>
      </c>
      <c r="D44" s="64"/>
      <c r="E44" s="297"/>
      <c r="F44" s="297"/>
      <c r="G44" s="297"/>
      <c r="H44" s="297"/>
      <c r="I44" s="297"/>
      <c r="Z44" s="28">
        <f>IF(A44=1,SUM($A$6:$A44),0)</f>
      </c>
      <c r="AA44" s="28">
        <f t="shared" si="3"/>
        <v>0</v>
      </c>
      <c r="AB44" s="28">
        <v>33</v>
      </c>
    </row>
    <row r="45" spans="1:57" ht="12.75" x14ac:dyDescent="0.2">
      <c r="A45" s="132">
        <f t="shared" si="2"/>
        <v>0</v>
      </c>
      <c r="B45" s="1610" t="s">
        <v>616</v>
      </c>
      <c r="C45" s="1585">
        <v>5250</v>
      </c>
      <c r="D45" s="64"/>
      <c r="E45" s="297"/>
      <c r="F45" s="297"/>
      <c r="G45" s="297"/>
      <c r="H45" s="297"/>
      <c r="I45" s="297"/>
      <c r="Z45" s="28">
        <f>IF(A45=1,SUM($A$6:$A45),0)</f>
      </c>
      <c r="AA45" s="28">
        <f t="shared" si="3"/>
        <v>0</v>
      </c>
      <c r="AB45" s="28">
        <v>34</v>
      </c>
    </row>
    <row r="46" spans="1:57" ht="12.75" x14ac:dyDescent="0.2">
      <c r="A46" s="132">
        <f t="shared" si="2"/>
        <v>0</v>
      </c>
      <c r="B46" s="1610" t="s">
        <v>617</v>
      </c>
      <c r="C46" s="1585">
        <v>5251</v>
      </c>
      <c r="D46" s="64"/>
      <c r="E46" s="297"/>
      <c r="F46" s="297"/>
      <c r="G46" s="297"/>
      <c r="H46" s="297"/>
      <c r="I46" s="297"/>
      <c r="Z46" s="28">
        <f>IF(A46=1,SUM($A$6:$A46),0)</f>
      </c>
      <c r="AA46" s="28">
        <f t="shared" si="3"/>
        <v>0</v>
      </c>
      <c r="AB46" s="28">
        <v>35</v>
      </c>
    </row>
    <row r="47" spans="1:57" ht="12.75" x14ac:dyDescent="0.2">
      <c r="A47" s="132">
        <f t="shared" si="2"/>
        <v>0</v>
      </c>
      <c r="B47" s="1610" t="s">
        <v>1913</v>
      </c>
      <c r="C47" s="1585">
        <v>5252</v>
      </c>
      <c r="D47" s="64"/>
      <c r="E47" s="297"/>
      <c r="F47" s="297"/>
      <c r="G47" s="297"/>
      <c r="H47" s="297"/>
      <c r="I47" s="297"/>
      <c r="Z47" s="28">
        <f>IF(A47=1,SUM($A$6:$A47),0)</f>
      </c>
      <c r="AA47" s="28">
        <f t="shared" si="3"/>
        <v>0</v>
      </c>
      <c r="AB47" s="28">
        <v>36</v>
      </c>
    </row>
    <row r="48" spans="1:57" ht="12.75" x14ac:dyDescent="0.2">
      <c r="A48" s="132">
        <f t="shared" si="2"/>
        <v>0</v>
      </c>
      <c r="B48" s="1610" t="s">
        <v>5398</v>
      </c>
      <c r="C48" s="1585">
        <v>5253</v>
      </c>
      <c r="D48" s="64"/>
      <c r="E48" s="297"/>
      <c r="F48" s="297"/>
      <c r="G48" s="297"/>
      <c r="H48" s="297"/>
      <c r="I48" s="297"/>
      <c r="Z48" s="28">
        <f>IF(A48=1,SUM($A$6:$A48),0)</f>
      </c>
      <c r="AA48" s="28">
        <f t="shared" si="3"/>
        <v>0</v>
      </c>
      <c r="AB48" s="28">
        <v>37</v>
      </c>
    </row>
    <row r="49" spans="1:54" ht="12.75" x14ac:dyDescent="0.2">
      <c r="A49" s="132">
        <f t="shared" si="2"/>
        <v>0</v>
      </c>
      <c r="B49" s="1610" t="s">
        <v>5399</v>
      </c>
      <c r="C49" s="1585">
        <v>5280</v>
      </c>
      <c r="D49" s="64"/>
      <c r="E49" s="297"/>
      <c r="F49" s="297"/>
      <c r="G49" s="297"/>
      <c r="H49" s="297"/>
      <c r="I49" s="297"/>
      <c r="Z49" s="28">
        <f>IF(A49=1,SUM($A$6:$A49),0)</f>
      </c>
      <c r="AA49" s="28">
        <f t="shared" si="3"/>
        <v>0</v>
      </c>
      <c r="AB49" s="28">
        <v>38</v>
      </c>
    </row>
    <row r="50" spans="1:54" ht="12.75" x14ac:dyDescent="0.2">
      <c r="A50" s="132">
        <f t="shared" si="2"/>
        <v>0</v>
      </c>
      <c r="B50" s="1610" t="s">
        <v>5400</v>
      </c>
      <c r="C50" s="1585">
        <v>5281</v>
      </c>
      <c r="D50" s="64"/>
      <c r="E50" s="297"/>
      <c r="F50" s="297"/>
      <c r="G50" s="297"/>
      <c r="H50" s="297"/>
      <c r="I50" s="297"/>
      <c r="Z50" s="28">
        <f>IF(A50=1,SUM($A$6:$A50),0)</f>
      </c>
      <c r="AA50" s="28">
        <f t="shared" si="3"/>
        <v>0</v>
      </c>
      <c r="AB50" s="28">
        <v>39</v>
      </c>
    </row>
    <row r="51" spans="1:54" ht="12.75" x14ac:dyDescent="0.2">
      <c r="A51" s="132">
        <f t="shared" si="2"/>
        <v>0</v>
      </c>
      <c r="B51" s="1610" t="s">
        <v>3324</v>
      </c>
      <c r="C51" s="1585">
        <v>5282</v>
      </c>
      <c r="D51" s="64"/>
      <c r="E51" s="297"/>
      <c r="F51" s="297"/>
      <c r="G51" s="297"/>
      <c r="H51" s="297"/>
      <c r="I51" s="297"/>
      <c r="Z51" s="28">
        <f>IF(A51=1,SUM($A$6:$A51),0)</f>
      </c>
      <c r="AA51" s="28">
        <f t="shared" si="3"/>
        <v>0</v>
      </c>
      <c r="AB51" s="28">
        <v>40</v>
      </c>
    </row>
    <row r="52" spans="1:54" ht="12.75" x14ac:dyDescent="0.2">
      <c r="A52" s="132">
        <f t="shared" si="2"/>
        <v>0</v>
      </c>
      <c r="B52" s="1610" t="s">
        <v>2986</v>
      </c>
      <c r="C52" s="1585">
        <v>5283</v>
      </c>
      <c r="D52" s="64"/>
      <c r="E52" s="297"/>
      <c r="F52" s="297"/>
      <c r="G52" s="297"/>
      <c r="H52" s="297"/>
      <c r="I52" s="297"/>
      <c r="Z52" s="28">
        <f>IF(A52=1,SUM($A$6:$A52),0)</f>
      </c>
      <c r="AA52" s="28">
        <f t="shared" si="3"/>
        <v>0</v>
      </c>
      <c r="AB52" s="28">
        <v>41</v>
      </c>
    </row>
    <row r="53" spans="1:54" ht="12.75" x14ac:dyDescent="0.2">
      <c r="A53" s="132">
        <f t="shared" si="2"/>
        <v>0</v>
      </c>
      <c r="B53" s="1610" t="s">
        <v>3427</v>
      </c>
      <c r="C53" s="1585">
        <v>5284</v>
      </c>
      <c r="D53" s="64"/>
      <c r="E53" s="297"/>
      <c r="F53" s="297"/>
      <c r="G53" s="297"/>
      <c r="H53" s="297"/>
      <c r="I53" s="297"/>
      <c r="Z53" s="28">
        <f>IF(A53=1,SUM($A$6:$A53),0)</f>
      </c>
      <c r="AA53" s="28">
        <f t="shared" si="3"/>
        <v>0</v>
      </c>
      <c r="AB53" s="28">
        <v>42</v>
      </c>
    </row>
    <row r="54" spans="1:54" ht="12.75" x14ac:dyDescent="0.2">
      <c r="A54" s="132">
        <f t="shared" si="2"/>
        <v>1</v>
      </c>
      <c r="B54" s="1610" t="s">
        <v>3428</v>
      </c>
      <c r="C54" s="1585">
        <v>5300</v>
      </c>
      <c r="D54" s="64"/>
      <c r="E54" s="297"/>
      <c r="F54" s="297"/>
      <c r="G54" s="297"/>
      <c r="H54" s="297"/>
      <c r="I54" s="297"/>
      <c r="Z54" s="28">
        <f>IF(A54=1,SUM($A$6:$A54),0)</f>
      </c>
      <c r="AA54" s="28">
        <f t="shared" si="3"/>
        <v>-53618</v>
      </c>
      <c r="AB54" s="28">
        <v>43</v>
      </c>
    </row>
    <row r="55" spans="1:54" ht="12.75" x14ac:dyDescent="0.2">
      <c r="A55" s="132">
        <f t="shared" si="2"/>
        <v>0</v>
      </c>
      <c r="B55" s="1610" t="s">
        <v>5537</v>
      </c>
      <c r="C55" s="1585">
        <v>5301</v>
      </c>
      <c r="D55" s="64"/>
      <c r="E55" s="297"/>
      <c r="F55" s="297"/>
      <c r="G55" s="297"/>
      <c r="H55" s="297"/>
      <c r="I55" s="297"/>
      <c r="Z55" s="28">
        <f>IF(A55=1,SUM($A$6:$A55),0)</f>
      </c>
      <c r="AA55" s="28">
        <f t="shared" si="3"/>
        <v>0</v>
      </c>
      <c r="AB55" s="28">
        <v>44</v>
      </c>
    </row>
    <row r="56" spans="1:54" ht="12.75" x14ac:dyDescent="0.2">
      <c r="A56" s="132">
        <f t="shared" si="2"/>
        <v>0</v>
      </c>
      <c r="B56" s="1610" t="s">
        <v>5538</v>
      </c>
      <c r="C56" s="1585">
        <v>5302</v>
      </c>
      <c r="D56" s="64"/>
      <c r="E56" s="297"/>
      <c r="F56" s="297"/>
      <c r="G56" s="297"/>
      <c r="H56" s="297"/>
      <c r="I56" s="297"/>
      <c r="Z56" s="28">
        <f>IF(A56=1,SUM($A$6:$A56),0)</f>
      </c>
      <c r="AA56" s="28">
        <f t="shared" si="3"/>
        <v>0</v>
      </c>
      <c r="AB56" s="28">
        <v>45</v>
      </c>
    </row>
    <row r="57" spans="1:54" ht="12.75" x14ac:dyDescent="0.2">
      <c r="A57" s="132">
        <f t="shared" si="2"/>
        <v>0</v>
      </c>
      <c r="B57" s="1610" t="s">
        <v>5539</v>
      </c>
      <c r="C57" s="1585">
        <v>5303</v>
      </c>
      <c r="D57" s="64"/>
      <c r="E57" s="297"/>
      <c r="F57" s="297"/>
      <c r="G57" s="297"/>
      <c r="H57" s="297"/>
      <c r="I57" s="297"/>
      <c r="Z57" s="28">
        <f>IF(A57=1,SUM($A$6:$A57),0)</f>
      </c>
      <c r="AA57" s="28">
        <f t="shared" si="3"/>
        <v>0</v>
      </c>
      <c r="AB57" s="28">
        <v>46</v>
      </c>
    </row>
    <row r="58" spans="1:54" ht="12.75" x14ac:dyDescent="0.2">
      <c r="A58" s="132">
        <f t="shared" si="2"/>
        <v>0</v>
      </c>
      <c r="B58" s="1610" t="s">
        <v>5540</v>
      </c>
      <c r="C58" s="1585">
        <v>5304</v>
      </c>
      <c r="D58" s="64"/>
      <c r="E58" s="297"/>
      <c r="F58" s="297"/>
      <c r="G58" s="297"/>
      <c r="H58" s="297"/>
      <c r="I58" s="297"/>
      <c r="Z58" s="28">
        <f>IF(A58=1,SUM($A$6:$A58),0)</f>
      </c>
      <c r="AA58" s="28">
        <f t="shared" si="3"/>
        <v>0</v>
      </c>
      <c r="AB58" s="28">
        <v>47</v>
      </c>
    </row>
    <row r="59" spans="1:54" ht="12.75" x14ac:dyDescent="0.2">
      <c r="A59" s="132">
        <f t="shared" si="2"/>
        <v>0</v>
      </c>
      <c r="B59" s="1610" t="s">
        <v>5541</v>
      </c>
      <c r="C59" s="1585">
        <v>5305</v>
      </c>
      <c r="D59" s="64"/>
      <c r="E59" s="297"/>
      <c r="F59" s="297"/>
      <c r="G59" s="297"/>
      <c r="H59" s="297"/>
      <c r="I59" s="297"/>
      <c r="Z59" s="28">
        <f>IF(A59=1,SUM($A$6:$A59),0)</f>
      </c>
      <c r="AA59" s="28">
        <f t="shared" si="3"/>
        <v>0</v>
      </c>
      <c r="AB59" s="28">
        <v>48</v>
      </c>
      <c r="BA59" s="299">
        <f>SUM(E59:N59)</f>
      </c>
      <c r="BB59" s="300">
        <f>BA59</f>
      </c>
    </row>
    <row r="60" spans="1:54" ht="12.75" x14ac:dyDescent="0.2">
      <c r="A60" s="132">
        <f t="shared" si="2"/>
        <v>0</v>
      </c>
      <c r="B60" s="1610" t="s">
        <v>5542</v>
      </c>
      <c r="C60" s="1585">
        <v>5306</v>
      </c>
      <c r="D60" s="64"/>
      <c r="E60" s="297"/>
      <c r="F60" s="297"/>
      <c r="G60" s="297"/>
      <c r="H60" s="297"/>
      <c r="I60" s="297"/>
      <c r="Z60" s="28">
        <f>IF(A60=1,SUM($A$6:$A60),0)</f>
      </c>
      <c r="AA60" s="28">
        <f t="shared" si="3"/>
        <v>0</v>
      </c>
      <c r="AB60" s="28">
        <v>49</v>
      </c>
    </row>
    <row r="61" spans="1:54" ht="12.75" x14ac:dyDescent="0.2">
      <c r="A61" s="132">
        <f t="shared" si="2"/>
        <v>0</v>
      </c>
      <c r="B61" s="1610" t="s">
        <v>5543</v>
      </c>
      <c r="C61" s="1585">
        <v>5307</v>
      </c>
      <c r="D61" s="64"/>
      <c r="E61" s="297"/>
      <c r="F61" s="297"/>
      <c r="G61" s="297"/>
      <c r="H61" s="297"/>
      <c r="I61" s="297"/>
      <c r="Z61" s="28">
        <f>IF(A61=1,SUM($A$6:$A61),0)</f>
      </c>
      <c r="AA61" s="28">
        <f t="shared" si="3"/>
        <v>0</v>
      </c>
      <c r="AB61" s="28">
        <v>50</v>
      </c>
    </row>
    <row r="62" spans="1:54" ht="12.75" x14ac:dyDescent="0.2">
      <c r="A62" s="132">
        <f t="shared" si="2"/>
        <v>0</v>
      </c>
      <c r="B62" s="1610" t="s">
        <v>5544</v>
      </c>
      <c r="C62" s="1585">
        <v>5308</v>
      </c>
      <c r="D62" s="64"/>
      <c r="E62" s="297"/>
      <c r="F62" s="297"/>
      <c r="G62" s="297"/>
      <c r="H62" s="297"/>
      <c r="I62" s="297"/>
      <c r="Z62" s="28">
        <f>IF(A62=1,SUM($A$6:$A62),0)</f>
      </c>
      <c r="AA62" s="28">
        <f t="shared" si="3"/>
        <v>0</v>
      </c>
      <c r="AB62" s="28">
        <v>51</v>
      </c>
    </row>
    <row r="63" spans="1:54" ht="12.75" x14ac:dyDescent="0.2">
      <c r="A63" s="132">
        <f t="shared" si="2"/>
        <v>0</v>
      </c>
      <c r="B63" s="1610" t="s">
        <v>9</v>
      </c>
      <c r="C63" s="1585">
        <v>5309</v>
      </c>
      <c r="D63" s="64"/>
      <c r="E63" s="297"/>
      <c r="F63" s="297"/>
      <c r="G63" s="297"/>
      <c r="H63" s="297"/>
      <c r="I63" s="297"/>
      <c r="Z63" s="28">
        <f>IF(A63=1,SUM($A$6:$A63),0)</f>
      </c>
      <c r="AA63" s="28">
        <f t="shared" si="3"/>
        <v>0</v>
      </c>
      <c r="AB63" s="28">
        <v>52</v>
      </c>
    </row>
    <row r="64" spans="1:54" ht="12.75" x14ac:dyDescent="0.2">
      <c r="A64" s="132">
        <f t="shared" si="2"/>
        <v>0</v>
      </c>
      <c r="B64" s="1610" t="s">
        <v>457</v>
      </c>
      <c r="C64" s="1585">
        <v>5310</v>
      </c>
      <c r="D64" s="64"/>
      <c r="E64" s="297"/>
      <c r="F64" s="297"/>
      <c r="G64" s="297"/>
      <c r="H64" s="297"/>
      <c r="I64" s="297"/>
      <c r="Z64" s="28">
        <f>IF(A64=1,SUM($A$6:$A64),0)</f>
      </c>
      <c r="AA64" s="28">
        <f t="shared" si="3"/>
        <v>0</v>
      </c>
      <c r="AB64" s="28">
        <v>53</v>
      </c>
    </row>
    <row r="65" spans="1:80" ht="12.75" x14ac:dyDescent="0.2">
      <c r="A65" s="132">
        <f t="shared" si="2"/>
        <v>0</v>
      </c>
      <c r="B65" s="1610" t="s">
        <v>458</v>
      </c>
      <c r="C65" s="1585">
        <v>5311</v>
      </c>
      <c r="D65" s="64"/>
      <c r="E65" s="297"/>
      <c r="F65" s="297"/>
      <c r="G65" s="297"/>
      <c r="H65" s="297"/>
      <c r="I65" s="297"/>
      <c r="W65" s="2081">
        <f>SUM(E65:I65)</f>
      </c>
      <c r="Z65" s="28">
        <f>IF(A65=1,SUM($A$6:$A65),0)</f>
      </c>
      <c r="AA65" s="28">
        <f t="shared" si="3"/>
        <v>0</v>
      </c>
      <c r="AB65" s="28">
        <v>54</v>
      </c>
    </row>
    <row r="66" spans="1:80" ht="12.75" x14ac:dyDescent="0.2">
      <c r="A66" s="132">
        <f t="shared" si="2"/>
        <v>1</v>
      </c>
      <c r="B66" s="1612" t="s">
        <v>459</v>
      </c>
      <c r="C66" s="1588">
        <v>5498</v>
      </c>
      <c r="D66" s="324"/>
      <c r="E66" s="298">
        <f>SUM(E25:E65)</f>
      </c>
      <c r="F66" s="298">
        <f t="shared" ref="F66:N66" si="6">SUM(F25:F65)</f>
      </c>
      <c r="G66" s="298">
        <f t="shared" si="6"/>
        <v>0</v>
      </c>
      <c r="H66" s="298">
        <f t="shared" si="6"/>
        <v>0</v>
      </c>
      <c r="I66" s="298">
        <f t="shared" si="6"/>
        <v>0</v>
      </c>
      <c r="J66">
        <f t="shared" si="6"/>
        <v>0</v>
      </c>
      <c r="K66">
        <f t="shared" si="6"/>
        <v>0</v>
      </c>
      <c r="L66">
        <f t="shared" si="6"/>
        <v>0</v>
      </c>
      <c r="M66">
        <f t="shared" si="6"/>
        <v>0</v>
      </c>
      <c r="N66">
        <f t="shared" si="6"/>
        <v>0</v>
      </c>
      <c r="Z66" s="28">
        <f>IF(A66=1,SUM($A$6:$A66),0)</f>
      </c>
      <c r="AA66" s="28">
        <f t="shared" si="3"/>
        <v>-53618</v>
      </c>
      <c r="AB66" s="28">
        <v>55</v>
      </c>
      <c r="CA66" s="142">
        <v>1</v>
      </c>
    </row>
    <row r="67" spans="1:80" ht="12.75" x14ac:dyDescent="0.2">
      <c r="A67" s="132">
        <v>1</v>
      </c>
      <c r="B67" s="1613" t="s">
        <v>460</v>
      </c>
      <c r="C67" s="1614">
        <v>5499</v>
      </c>
      <c r="D67" s="301" t="str">
        <f>IF(O67&lt;&gt;$C$3,man,IF(Q67&lt;&gt;Q68,"Check!",""))</f>
        <v/>
      </c>
      <c r="E67" s="297">
        <f>E68</f>
      </c>
      <c r="F67" s="297"/>
      <c r="G67" s="297"/>
      <c r="H67" s="297"/>
      <c r="I67" s="297"/>
      <c r="O67" s="28">
        <f>COUNT(E67:N67)</f>
      </c>
      <c r="P67" s="28">
        <f>IF(D67&lt;&gt;"",1,0)</f>
      </c>
      <c r="Q67" s="84">
        <f>SUM(E67:N67)</f>
      </c>
      <c r="Y67" s="28">
        <v>1</v>
      </c>
      <c r="Z67" s="28">
        <f>IF(A67=1,SUM($A$6:$A67),0)</f>
      </c>
      <c r="AA67" s="28">
        <f t="shared" si="3"/>
        <v>-734841</v>
      </c>
      <c r="AB67" s="28">
        <v>56</v>
      </c>
      <c r="CA67" s="142">
        <v>1</v>
      </c>
      <c r="CB67" s="142">
        <v>1</v>
      </c>
    </row>
    <row r="68" spans="1:80" ht="12.75" x14ac:dyDescent="0.2">
      <c r="A68" s="132">
        <v>0</v>
      </c>
      <c r="B68" s="1615"/>
      <c r="C68" s="1616"/>
      <c r="D68" s="302"/>
      <c r="E68" s="303">
        <f>E66+E24</f>
      </c>
      <c r="F68" s="303">
        <f t="shared" ref="F68:N68" si="7">F66+F24</f>
      </c>
      <c r="G68" s="303">
        <f t="shared" si="7"/>
        <v>0</v>
      </c>
      <c r="H68" s="303">
        <f t="shared" si="7"/>
        <v>0</v>
      </c>
      <c r="I68" s="303">
        <f t="shared" si="7"/>
        <v>0</v>
      </c>
      <c r="J68">
        <f t="shared" si="7"/>
        <v>0</v>
      </c>
      <c r="K68">
        <f t="shared" si="7"/>
        <v>0</v>
      </c>
      <c r="L68">
        <f t="shared" si="7"/>
        <v>0</v>
      </c>
      <c r="M68">
        <f t="shared" si="7"/>
        <v>0</v>
      </c>
      <c r="N68">
        <f t="shared" si="7"/>
        <v>0</v>
      </c>
      <c r="Q68" s="84">
        <f>SUM(E68:N68)</f>
      </c>
      <c r="Z68" s="28">
        <f>IF(A68=1,SUM($A$6:$A68),0)</f>
      </c>
      <c r="AA68" s="28">
        <f t="shared" si="3"/>
        <v>-734841</v>
      </c>
      <c r="AB68" s="28">
        <v>57</v>
      </c>
    </row>
    <row r="69" spans="1:80" ht="12.75" x14ac:dyDescent="0.2">
      <c r="A69" s="132">
        <f t="shared" si="2"/>
        <v>0</v>
      </c>
      <c r="B69" s="1610" t="s">
        <v>461</v>
      </c>
      <c r="C69" s="1585">
        <v>5500</v>
      </c>
      <c r="D69" s="64"/>
      <c r="E69" s="297"/>
      <c r="F69" s="297"/>
      <c r="G69" s="297"/>
      <c r="H69" s="297"/>
      <c r="I69" s="297"/>
      <c r="Z69" s="28">
        <f>IF(A69=1,SUM($A$6:$A69),0)</f>
      </c>
      <c r="AA69" s="28">
        <f t="shared" si="3"/>
        <v>0</v>
      </c>
      <c r="AB69" s="28">
        <v>58</v>
      </c>
    </row>
    <row r="70" spans="1:80" ht="12.75" x14ac:dyDescent="0.2">
      <c r="A70" s="132">
        <f t="shared" si="2"/>
        <v>0</v>
      </c>
      <c r="B70" s="1610" t="s">
        <v>462</v>
      </c>
      <c r="C70" s="1585">
        <v>5501</v>
      </c>
      <c r="D70" s="64"/>
      <c r="E70" s="297"/>
      <c r="F70" s="297"/>
      <c r="G70" s="297"/>
      <c r="H70" s="297"/>
      <c r="I70" s="297"/>
      <c r="Z70" s="28">
        <f>IF(A70=1,SUM($A$6:$A70),0)</f>
      </c>
      <c r="AA70" s="28">
        <f t="shared" si="3"/>
        <v>0</v>
      </c>
      <c r="AB70" s="28">
        <v>59</v>
      </c>
    </row>
    <row r="71" spans="1:80" ht="12.75" x14ac:dyDescent="0.2">
      <c r="A71" s="132">
        <f t="shared" si="2"/>
        <v>0</v>
      </c>
      <c r="B71" s="1610" t="s">
        <v>2388</v>
      </c>
      <c r="C71" s="1585">
        <v>5502</v>
      </c>
      <c r="D71" s="64"/>
      <c r="E71" s="297"/>
      <c r="F71" s="297"/>
      <c r="G71" s="297"/>
      <c r="H71" s="297"/>
      <c r="I71" s="297"/>
      <c r="Z71" s="28">
        <f>IF(A71=1,SUM($A$6:$A71),0)</f>
      </c>
      <c r="AA71" s="28">
        <f t="shared" si="3"/>
        <v>0</v>
      </c>
      <c r="AB71" s="28">
        <v>60</v>
      </c>
    </row>
    <row r="72" spans="1:80" ht="12.75" x14ac:dyDescent="0.2">
      <c r="A72" s="132">
        <f t="shared" si="2"/>
        <v>0</v>
      </c>
      <c r="B72" s="1610" t="s">
        <v>3067</v>
      </c>
      <c r="C72" s="1585">
        <v>5503</v>
      </c>
      <c r="D72" s="64"/>
      <c r="E72" s="297"/>
      <c r="F72" s="297"/>
      <c r="G72" s="297"/>
      <c r="H72" s="297"/>
      <c r="I72" s="297"/>
      <c r="Z72" s="28">
        <f>IF(A72=1,SUM($A$6:$A72),0)</f>
      </c>
      <c r="AA72" s="28">
        <f t="shared" si="3"/>
        <v>0</v>
      </c>
      <c r="AB72" s="28">
        <v>61</v>
      </c>
    </row>
    <row r="73" spans="1:80" ht="12.75" x14ac:dyDescent="0.2">
      <c r="A73" s="132">
        <f t="shared" si="2"/>
        <v>0</v>
      </c>
      <c r="B73" s="1610" t="s">
        <v>3068</v>
      </c>
      <c r="C73" s="1585">
        <v>5504</v>
      </c>
      <c r="D73" s="64"/>
      <c r="E73" s="297"/>
      <c r="F73" s="297"/>
      <c r="G73" s="297"/>
      <c r="H73" s="297"/>
      <c r="I73" s="297"/>
      <c r="Z73" s="28">
        <f>IF(A73=1,SUM($A$6:$A73),0)</f>
      </c>
      <c r="AA73" s="28">
        <f t="shared" si="3"/>
        <v>0</v>
      </c>
      <c r="AB73" s="28">
        <v>62</v>
      </c>
    </row>
    <row r="74" spans="1:80" ht="12.75" x14ac:dyDescent="0.2">
      <c r="A74" s="132">
        <f t="shared" si="2"/>
        <v>0</v>
      </c>
      <c r="B74" s="1610" t="s">
        <v>2134</v>
      </c>
      <c r="C74" s="1585">
        <v>5550</v>
      </c>
      <c r="D74" s="64"/>
      <c r="E74" s="297"/>
      <c r="F74" s="297"/>
      <c r="G74" s="297"/>
      <c r="H74" s="297"/>
      <c r="I74" s="297"/>
      <c r="Z74" s="28">
        <f>IF(A74=1,SUM($A$6:$A74),0)</f>
      </c>
      <c r="AA74" s="28">
        <f t="shared" si="3"/>
        <v>0</v>
      </c>
      <c r="AB74" s="28">
        <v>63</v>
      </c>
    </row>
    <row r="75" spans="1:80" ht="12.75" x14ac:dyDescent="0.2">
      <c r="A75" s="132">
        <f t="shared" si="2"/>
        <v>0</v>
      </c>
      <c r="B75" s="1610" t="s">
        <v>5130</v>
      </c>
      <c r="C75" s="1585">
        <v>5551</v>
      </c>
      <c r="D75" s="64"/>
      <c r="E75" s="297"/>
      <c r="F75" s="297"/>
      <c r="G75" s="297"/>
      <c r="H75" s="297"/>
      <c r="I75" s="297"/>
      <c r="Z75" s="28">
        <f>IF(A75=1,SUM($A$6:$A75),0)</f>
      </c>
      <c r="AA75" s="28">
        <f t="shared" si="3"/>
        <v>0</v>
      </c>
      <c r="AB75" s="28">
        <v>64</v>
      </c>
    </row>
    <row r="76" spans="1:80" ht="12.75" x14ac:dyDescent="0.2">
      <c r="A76" s="132">
        <f t="shared" si="2"/>
        <v>0</v>
      </c>
      <c r="B76" s="1610" t="s">
        <v>6843</v>
      </c>
      <c r="C76" s="1585">
        <v>5552</v>
      </c>
      <c r="D76" s="64"/>
      <c r="E76" s="297"/>
      <c r="F76" s="297"/>
      <c r="G76" s="297"/>
      <c r="H76" s="297"/>
      <c r="I76" s="297"/>
      <c r="Z76" s="28">
        <f>IF(A76=1,SUM($A$6:$A76),0)</f>
      </c>
      <c r="AA76" s="28">
        <f t="shared" si="3"/>
        <v>0</v>
      </c>
      <c r="AB76" s="28">
        <v>65</v>
      </c>
    </row>
    <row r="77" spans="1:80" ht="12.75" x14ac:dyDescent="0.2">
      <c r="A77" s="132">
        <f t="shared" ref="A77:A140" si="8">IF(OR(E77&lt;&gt;"",F77&lt;&gt;"",G77&lt;&gt;"",H77&lt;&gt;"",I77&lt;&gt;""),1,0)</f>
      </c>
      <c r="B77" s="1610" t="s">
        <v>6844</v>
      </c>
      <c r="C77" s="1585">
        <v>5553</v>
      </c>
      <c r="D77" s="64"/>
      <c r="E77" s="297"/>
      <c r="F77" s="297"/>
      <c r="G77" s="297"/>
      <c r="H77" s="297"/>
      <c r="I77" s="297"/>
      <c r="Z77" s="28">
        <f>IF(A77=1,SUM($A$6:$A77),0)</f>
      </c>
      <c r="AA77" s="28">
        <f t="shared" ref="AA77:AA140" si="9">INDEX(activity,AB77,$AA$1)</f>
      </c>
      <c r="AB77" s="28">
        <v>66</v>
      </c>
    </row>
    <row r="78" spans="1:80" ht="12.75" x14ac:dyDescent="0.2">
      <c r="A78" s="132">
        <f t="shared" si="8"/>
        <v>0</v>
      </c>
      <c r="B78" s="1610" t="s">
        <v>3326</v>
      </c>
      <c r="C78" s="1585">
        <v>5554</v>
      </c>
      <c r="D78" s="64"/>
      <c r="E78" s="297"/>
      <c r="F78" s="297"/>
      <c r="G78" s="297"/>
      <c r="H78" s="297"/>
      <c r="I78" s="297"/>
      <c r="Z78" s="28">
        <f>IF(A78=1,SUM($A$6:$A78),0)</f>
      </c>
      <c r="AA78" s="28">
        <f t="shared" si="9"/>
        <v>0</v>
      </c>
      <c r="AB78" s="28">
        <v>67</v>
      </c>
    </row>
    <row r="79" spans="1:80" ht="12.75" x14ac:dyDescent="0.2">
      <c r="A79" s="132">
        <f t="shared" si="8"/>
        <v>0</v>
      </c>
      <c r="B79" s="1610" t="s">
        <v>3327</v>
      </c>
      <c r="C79" s="1585">
        <v>5555</v>
      </c>
      <c r="D79" s="64"/>
      <c r="E79" s="297"/>
      <c r="F79" s="297"/>
      <c r="G79" s="297"/>
      <c r="H79" s="297"/>
      <c r="I79" s="297"/>
      <c r="Z79" s="28">
        <f>IF(A79=1,SUM($A$6:$A79),0)</f>
      </c>
      <c r="AA79" s="28">
        <f t="shared" si="9"/>
        <v>0</v>
      </c>
      <c r="AB79" s="28">
        <v>68</v>
      </c>
    </row>
    <row r="80" spans="1:80" ht="12.75" x14ac:dyDescent="0.2">
      <c r="A80" s="132">
        <f t="shared" si="8"/>
        <v>0</v>
      </c>
      <c r="B80" s="1610" t="s">
        <v>4602</v>
      </c>
      <c r="C80" s="1585">
        <v>5556</v>
      </c>
      <c r="D80" s="64"/>
      <c r="E80" s="297"/>
      <c r="F80" s="297"/>
      <c r="G80" s="297"/>
      <c r="H80" s="297"/>
      <c r="I80" s="297"/>
      <c r="Z80" s="28">
        <f>IF(A80=1,SUM($A$6:$A80),0)</f>
      </c>
      <c r="AA80" s="28">
        <f t="shared" si="9"/>
        <v>0</v>
      </c>
      <c r="AB80" s="28">
        <v>69</v>
      </c>
    </row>
    <row r="81" spans="1:55" ht="12.75" x14ac:dyDescent="0.2">
      <c r="A81" s="132">
        <f t="shared" si="8"/>
        <v>0</v>
      </c>
      <c r="B81" s="1610" t="s">
        <v>4675</v>
      </c>
      <c r="C81" s="1585">
        <v>5557</v>
      </c>
      <c r="D81" s="64"/>
      <c r="E81" s="297"/>
      <c r="F81" s="297"/>
      <c r="G81" s="297"/>
      <c r="H81" s="297"/>
      <c r="I81" s="297"/>
      <c r="Z81" s="28">
        <f>IF(A81=1,SUM($A$6:$A81),0)</f>
      </c>
      <c r="AA81" s="28">
        <f t="shared" si="9"/>
        <v>0</v>
      </c>
      <c r="AB81" s="28">
        <v>70</v>
      </c>
    </row>
    <row r="82" spans="1:55" ht="12.75" x14ac:dyDescent="0.2">
      <c r="A82" s="132">
        <f t="shared" si="8"/>
        <v>0</v>
      </c>
      <c r="B82" s="1610" t="s">
        <v>2203</v>
      </c>
      <c r="C82" s="1585">
        <v>5600</v>
      </c>
      <c r="D82" s="64"/>
      <c r="E82" s="297"/>
      <c r="F82" s="297"/>
      <c r="G82" s="297"/>
      <c r="H82" s="297"/>
      <c r="I82" s="297"/>
      <c r="Z82" s="28">
        <f>IF(A82=1,SUM($A$6:$A82),0)</f>
      </c>
      <c r="AA82" s="28">
        <f t="shared" si="9"/>
        <v>0</v>
      </c>
      <c r="AB82" s="28">
        <v>71</v>
      </c>
    </row>
    <row r="83" spans="1:55" ht="12.75" x14ac:dyDescent="0.2">
      <c r="A83" s="132">
        <f t="shared" si="8"/>
        <v>0</v>
      </c>
      <c r="B83" s="1610" t="s">
        <v>2204</v>
      </c>
      <c r="C83" s="1585">
        <v>5601</v>
      </c>
      <c r="D83" s="64"/>
      <c r="E83" s="297"/>
      <c r="F83" s="297"/>
      <c r="G83" s="297"/>
      <c r="H83" s="297"/>
      <c r="I83" s="297"/>
      <c r="Z83" s="28">
        <f>IF(A83=1,SUM($A$6:$A83),0)</f>
      </c>
      <c r="AA83" s="28">
        <f t="shared" si="9"/>
        <v>0</v>
      </c>
      <c r="AB83" s="28">
        <v>72</v>
      </c>
      <c r="BA83" s="299">
        <f>SUM(E83:N83)</f>
      </c>
    </row>
    <row r="84" spans="1:55" ht="12.75" x14ac:dyDescent="0.2">
      <c r="A84" s="132">
        <f t="shared" si="8"/>
        <v>0</v>
      </c>
      <c r="B84" s="1610" t="s">
        <v>2205</v>
      </c>
      <c r="C84" s="1585">
        <v>5602</v>
      </c>
      <c r="D84" s="64"/>
      <c r="E84" s="297"/>
      <c r="F84" s="297"/>
      <c r="G84" s="297"/>
      <c r="H84" s="297"/>
      <c r="I84" s="297"/>
      <c r="Z84" s="28">
        <f>IF(A84=1,SUM($A$6:$A84),0)</f>
      </c>
      <c r="AA84" s="28">
        <f t="shared" si="9"/>
        <v>0</v>
      </c>
      <c r="AB84" s="28">
        <v>73</v>
      </c>
    </row>
    <row r="85" spans="1:55" ht="12.75" x14ac:dyDescent="0.2">
      <c r="A85" s="132">
        <f t="shared" si="8"/>
        <v>0</v>
      </c>
      <c r="B85" s="1611" t="s">
        <v>5415</v>
      </c>
      <c r="C85" s="1585">
        <v>5603</v>
      </c>
      <c r="D85" s="64"/>
      <c r="E85" s="297"/>
      <c r="F85" s="297"/>
      <c r="G85" s="297"/>
      <c r="H85" s="297"/>
      <c r="I85" s="297"/>
      <c r="Z85" s="28">
        <f>IF(A85=1,SUM($A$6:$A85),0)</f>
      </c>
      <c r="AA85" s="28">
        <f t="shared" si="9"/>
        <v>0</v>
      </c>
      <c r="AB85" s="28">
        <v>74</v>
      </c>
    </row>
    <row r="86" spans="1:55" ht="12.75" x14ac:dyDescent="0.2">
      <c r="A86" s="132">
        <f t="shared" si="8"/>
        <v>0</v>
      </c>
      <c r="B86" s="1611" t="s">
        <v>3300</v>
      </c>
      <c r="C86" s="1585">
        <v>5604</v>
      </c>
      <c r="D86" s="64"/>
      <c r="E86" s="297"/>
      <c r="F86" s="297"/>
      <c r="G86" s="297"/>
      <c r="H86" s="297"/>
      <c r="I86" s="297"/>
      <c r="Z86" s="28">
        <f>IF(A86=1,SUM($A$6:$A86),0)</f>
      </c>
      <c r="AA86" s="28">
        <f t="shared" si="9"/>
        <v>0</v>
      </c>
      <c r="AB86" s="28">
        <v>75</v>
      </c>
    </row>
    <row r="87" spans="1:55" ht="12.75" x14ac:dyDescent="0.2">
      <c r="A87" s="132">
        <f t="shared" si="8"/>
        <v>0</v>
      </c>
      <c r="B87" s="1610" t="s">
        <v>427</v>
      </c>
      <c r="C87" s="1585">
        <v>5605</v>
      </c>
      <c r="D87" s="64"/>
      <c r="E87" s="297"/>
      <c r="F87" s="297"/>
      <c r="G87" s="297"/>
      <c r="H87" s="297"/>
      <c r="I87" s="297"/>
      <c r="Z87" s="28">
        <f>IF(A87=1,SUM($A$6:$A87),0)</f>
      </c>
      <c r="AA87" s="28">
        <f t="shared" si="9"/>
        <v>0</v>
      </c>
      <c r="AB87" s="28">
        <v>76</v>
      </c>
    </row>
    <row r="88" spans="1:55" ht="12.75" x14ac:dyDescent="0.2">
      <c r="A88" s="132">
        <f t="shared" si="8"/>
        <v>0</v>
      </c>
      <c r="B88" s="1610" t="s">
        <v>4702</v>
      </c>
      <c r="C88" s="1585">
        <v>5606</v>
      </c>
      <c r="D88" s="64"/>
      <c r="E88" s="297"/>
      <c r="F88" s="297"/>
      <c r="G88" s="297"/>
      <c r="H88" s="297"/>
      <c r="I88" s="297"/>
      <c r="Z88" s="28">
        <f>IF(A88=1,SUM($A$6:$A88),0)</f>
      </c>
      <c r="AA88" s="28">
        <f t="shared" si="9"/>
        <v>0</v>
      </c>
      <c r="AB88" s="28">
        <v>77</v>
      </c>
    </row>
    <row r="89" spans="1:55" ht="12.75" x14ac:dyDescent="0.2">
      <c r="A89" s="132">
        <f t="shared" si="8"/>
        <v>0</v>
      </c>
      <c r="B89" s="1610" t="s">
        <v>4703</v>
      </c>
      <c r="C89" s="1585">
        <v>5607</v>
      </c>
      <c r="D89" s="64"/>
      <c r="E89" s="297"/>
      <c r="F89" s="297"/>
      <c r="G89" s="297"/>
      <c r="H89" s="297"/>
      <c r="I89" s="297"/>
      <c r="Z89" s="28">
        <f>IF(A89=1,SUM($A$6:$A89),0)</f>
      </c>
      <c r="AA89" s="28">
        <f t="shared" si="9"/>
        <v>0</v>
      </c>
      <c r="AB89" s="28">
        <v>78</v>
      </c>
    </row>
    <row r="90" spans="1:55" ht="12.75" x14ac:dyDescent="0.2">
      <c r="A90" s="132">
        <f t="shared" si="8"/>
        <v>0</v>
      </c>
      <c r="B90" s="1611" t="s">
        <v>3192</v>
      </c>
      <c r="C90" s="1585">
        <v>5608</v>
      </c>
      <c r="D90" s="64"/>
      <c r="E90" s="297"/>
      <c r="F90" s="297"/>
      <c r="G90" s="297"/>
      <c r="H90" s="297"/>
      <c r="I90" s="297"/>
      <c r="Z90" s="28">
        <f>IF(A90=1,SUM($A$6:$A90),0)</f>
      </c>
      <c r="AA90" s="28">
        <f t="shared" si="9"/>
        <v>0</v>
      </c>
      <c r="AB90" s="28">
        <v>79</v>
      </c>
      <c r="BB90" s="304">
        <f>SUM(E90:N90)</f>
      </c>
    </row>
    <row r="91" spans="1:55" ht="12.75" x14ac:dyDescent="0.2">
      <c r="A91" s="132">
        <f t="shared" si="8"/>
        <v>0</v>
      </c>
      <c r="B91" s="1611" t="s">
        <v>400</v>
      </c>
      <c r="C91" s="1585">
        <v>5609</v>
      </c>
      <c r="D91" s="64"/>
      <c r="E91" s="297"/>
      <c r="F91" s="297"/>
      <c r="G91" s="297"/>
      <c r="H91" s="297"/>
      <c r="I91" s="297"/>
      <c r="Z91" s="28">
        <f>IF(A91=1,SUM($A$6:$A91),0)</f>
      </c>
      <c r="AA91" s="28">
        <f t="shared" si="9"/>
        <v>0</v>
      </c>
      <c r="AB91" s="28">
        <v>80</v>
      </c>
      <c r="BB91" s="304">
        <f>SUM(E91:N91)</f>
      </c>
    </row>
    <row r="92" spans="1:55" ht="12.75" x14ac:dyDescent="0.2">
      <c r="A92" s="132">
        <f t="shared" si="8"/>
        <v>0</v>
      </c>
      <c r="B92" s="1611" t="s">
        <v>401</v>
      </c>
      <c r="C92" s="1585">
        <v>5610</v>
      </c>
      <c r="D92" s="64"/>
      <c r="E92" s="297"/>
      <c r="F92" s="297"/>
      <c r="G92" s="297"/>
      <c r="H92" s="297"/>
      <c r="I92" s="297"/>
      <c r="Z92" s="28">
        <f>IF(A92=1,SUM($A$6:$A92),0)</f>
      </c>
      <c r="AA92" s="28">
        <f t="shared" si="9"/>
        <v>0</v>
      </c>
      <c r="AB92" s="28">
        <v>81</v>
      </c>
      <c r="BB92" s="304">
        <f>SUM(E92:N92)</f>
      </c>
      <c r="BC92" s="299"/>
    </row>
    <row r="93" spans="1:55" ht="12.75" x14ac:dyDescent="0.2">
      <c r="A93" s="132">
        <f t="shared" si="8"/>
        <v>0</v>
      </c>
      <c r="B93" s="1610" t="s">
        <v>221</v>
      </c>
      <c r="C93" s="1585">
        <v>5611</v>
      </c>
      <c r="D93" s="64"/>
      <c r="E93" s="297"/>
      <c r="F93" s="297"/>
      <c r="G93" s="297"/>
      <c r="H93" s="297"/>
      <c r="I93" s="297"/>
      <c r="Z93" s="28">
        <f>IF(A93=1,SUM($A$6:$A93),0)</f>
      </c>
      <c r="AA93" s="28">
        <f t="shared" si="9"/>
        <v>0</v>
      </c>
      <c r="AB93" s="28">
        <v>82</v>
      </c>
    </row>
    <row r="94" spans="1:55" ht="12.75" x14ac:dyDescent="0.2">
      <c r="A94" s="132">
        <f t="shared" si="8"/>
        <v>0</v>
      </c>
      <c r="B94" s="1610" t="s">
        <v>222</v>
      </c>
      <c r="C94" s="1585">
        <v>5700</v>
      </c>
      <c r="D94" s="64"/>
      <c r="E94" s="297"/>
      <c r="F94" s="297"/>
      <c r="G94" s="297"/>
      <c r="H94" s="297"/>
      <c r="I94" s="297"/>
      <c r="Z94" s="28">
        <f>IF(A94=1,SUM($A$6:$A94),0)</f>
      </c>
      <c r="AA94" s="28">
        <f t="shared" si="9"/>
        <v>0</v>
      </c>
      <c r="AB94" s="28">
        <v>83</v>
      </c>
    </row>
    <row r="95" spans="1:55" ht="12.75" x14ac:dyDescent="0.2">
      <c r="A95" s="132">
        <f t="shared" si="8"/>
        <v>0</v>
      </c>
      <c r="B95" s="1610" t="s">
        <v>58</v>
      </c>
      <c r="C95" s="1585">
        <v>5701</v>
      </c>
      <c r="D95" s="64"/>
      <c r="E95" s="297"/>
      <c r="F95" s="297"/>
      <c r="G95" s="297"/>
      <c r="H95" s="297"/>
      <c r="I95" s="297"/>
      <c r="Z95" s="28">
        <f>IF(A95=1,SUM($A$6:$A95),0)</f>
      </c>
      <c r="AA95" s="28">
        <f t="shared" si="9"/>
        <v>0</v>
      </c>
      <c r="AB95" s="28">
        <v>84</v>
      </c>
    </row>
    <row r="96" spans="1:55" ht="12.75" x14ac:dyDescent="0.2">
      <c r="A96" s="132">
        <f t="shared" si="8"/>
        <v>0</v>
      </c>
      <c r="B96" s="1610" t="s">
        <v>5531</v>
      </c>
      <c r="C96" s="1585">
        <v>5702</v>
      </c>
      <c r="D96" s="64"/>
      <c r="E96" s="297"/>
      <c r="F96" s="297"/>
      <c r="G96" s="297"/>
      <c r="H96" s="297"/>
      <c r="I96" s="297"/>
      <c r="Z96" s="28">
        <f>IF(A96=1,SUM($A$6:$A96),0)</f>
      </c>
      <c r="AA96" s="28">
        <f t="shared" si="9"/>
        <v>0</v>
      </c>
      <c r="AB96" s="28">
        <v>85</v>
      </c>
    </row>
    <row r="97" spans="1:80" ht="12.75" x14ac:dyDescent="0.2">
      <c r="A97" s="132">
        <f t="shared" si="8"/>
        <v>0</v>
      </c>
      <c r="B97" s="1610" t="s">
        <v>4194</v>
      </c>
      <c r="C97" s="1585">
        <v>5703</v>
      </c>
      <c r="D97" s="64"/>
      <c r="E97" s="297"/>
      <c r="F97" s="297"/>
      <c r="G97" s="297"/>
      <c r="H97" s="297"/>
      <c r="I97" s="297"/>
      <c r="Z97" s="28">
        <f>IF(A97=1,SUM($A$6:$A97),0)</f>
      </c>
      <c r="AA97" s="28">
        <f t="shared" si="9"/>
        <v>0</v>
      </c>
      <c r="AB97" s="28">
        <v>86</v>
      </c>
    </row>
    <row r="98" spans="1:80" ht="12.75" x14ac:dyDescent="0.2">
      <c r="A98" s="132">
        <f t="shared" si="8"/>
        <v>0</v>
      </c>
      <c r="B98" s="1611" t="s">
        <v>3221</v>
      </c>
      <c r="C98" s="1585">
        <v>5704</v>
      </c>
      <c r="D98" s="64"/>
      <c r="E98" s="297"/>
      <c r="F98" s="297"/>
      <c r="G98" s="297"/>
      <c r="H98" s="297"/>
      <c r="I98" s="297"/>
      <c r="Z98" s="28">
        <f>IF(A98=1,SUM($A$6:$A98),0)</f>
      </c>
      <c r="AA98" s="28">
        <f t="shared" si="9"/>
        <v>0</v>
      </c>
      <c r="AB98" s="28">
        <v>87</v>
      </c>
    </row>
    <row r="99" spans="1:80" ht="12.75" x14ac:dyDescent="0.2">
      <c r="A99" s="132">
        <f t="shared" si="8"/>
        <v>1</v>
      </c>
      <c r="B99" s="1613" t="s">
        <v>20</v>
      </c>
      <c r="C99" s="1614">
        <v>5998</v>
      </c>
      <c r="D99" s="301" t="str">
        <f>IF(O99&lt;&gt;$C$3,man,IF(Q99&lt;&gt;Q100,"Check!",""))</f>
        <v/>
      </c>
      <c r="E99" s="297">
        <f>E100</f>
      </c>
      <c r="F99" s="297"/>
      <c r="G99" s="297"/>
      <c r="H99" s="297"/>
      <c r="I99" s="297"/>
      <c r="O99" s="28">
        <f>COUNT(E99:N99)</f>
      </c>
      <c r="P99" s="28">
        <f>IF(D99&lt;&gt;"",1,0)</f>
      </c>
      <c r="Q99" s="84">
        <f>SUM(E99:N99)</f>
      </c>
      <c r="Y99" s="28">
        <v>1</v>
      </c>
      <c r="Z99" s="28">
        <f>IF(A99=1,SUM($A$6:$A99),0)</f>
      </c>
      <c r="AA99" s="28">
        <f t="shared" si="9"/>
        <v>0</v>
      </c>
      <c r="AB99" s="28">
        <v>88</v>
      </c>
      <c r="CA99" s="142">
        <v>1</v>
      </c>
      <c r="CB99" s="142">
        <v>1</v>
      </c>
    </row>
    <row r="100" spans="1:80" ht="12.75" x14ac:dyDescent="0.2">
      <c r="A100" s="132">
        <v>0</v>
      </c>
      <c r="B100" s="1615"/>
      <c r="C100" s="1616"/>
      <c r="D100" s="302"/>
      <c r="E100" s="303">
        <f>SUM(E69:E98)</f>
      </c>
      <c r="F100" s="303">
        <f t="shared" ref="F100:N100" si="10">SUM(F69:F98)</f>
      </c>
      <c r="G100" s="303">
        <f t="shared" si="10"/>
        <v>0</v>
      </c>
      <c r="H100" s="303">
        <f t="shared" si="10"/>
        <v>0</v>
      </c>
      <c r="I100" s="303">
        <f t="shared" si="10"/>
        <v>0</v>
      </c>
      <c r="J100">
        <f t="shared" si="10"/>
        <v>0</v>
      </c>
      <c r="K100">
        <f t="shared" si="10"/>
        <v>0</v>
      </c>
      <c r="L100">
        <f t="shared" si="10"/>
        <v>0</v>
      </c>
      <c r="M100">
        <f t="shared" si="10"/>
        <v>0</v>
      </c>
      <c r="N100">
        <f t="shared" si="10"/>
        <v>0</v>
      </c>
      <c r="Q100" s="84">
        <f>SUM(E100:N100)</f>
      </c>
      <c r="Z100" s="28">
        <f>IF(A100=1,SUM($A$6:$A100),0)</f>
      </c>
      <c r="AA100" s="28">
        <f t="shared" si="9"/>
        <v>0</v>
      </c>
      <c r="AB100" s="28">
        <v>89</v>
      </c>
    </row>
    <row r="101" spans="1:80" ht="12.75" x14ac:dyDescent="0.2">
      <c r="A101" s="132">
        <f t="shared" si="8"/>
        <v>0</v>
      </c>
      <c r="B101" s="1617" t="s">
        <v>6566</v>
      </c>
      <c r="C101" s="1588">
        <v>5999</v>
      </c>
      <c r="D101" s="324"/>
      <c r="E101" s="297"/>
      <c r="F101" s="297"/>
      <c r="G101" s="297"/>
      <c r="H101" s="297"/>
      <c r="I101" s="297"/>
      <c r="Z101" s="28">
        <f>IF(A101=1,SUM($A$6:$A101),0)</f>
      </c>
      <c r="AA101" s="28">
        <f t="shared" si="9"/>
        <v>0</v>
      </c>
      <c r="AB101" s="28">
        <v>90</v>
      </c>
    </row>
    <row r="102" spans="1:80" ht="12.75" x14ac:dyDescent="0.2">
      <c r="A102" s="132">
        <f t="shared" si="8"/>
        <v>0</v>
      </c>
      <c r="B102" s="1610" t="s">
        <v>6567</v>
      </c>
      <c r="C102" s="1585">
        <v>6000</v>
      </c>
      <c r="D102" s="64"/>
      <c r="E102" s="297"/>
      <c r="F102" s="297"/>
      <c r="G102" s="297"/>
      <c r="H102" s="297"/>
      <c r="I102" s="297"/>
      <c r="Z102" s="28">
        <f>IF(A102=1,SUM($A$6:$A102),0)</f>
      </c>
      <c r="AA102" s="28">
        <f t="shared" si="9"/>
        <v>0</v>
      </c>
      <c r="AB102" s="28">
        <v>91</v>
      </c>
    </row>
    <row r="103" spans="1:80" ht="12.75" x14ac:dyDescent="0.2">
      <c r="A103" s="132">
        <f t="shared" si="8"/>
        <v>1</v>
      </c>
      <c r="B103" s="1610" t="s">
        <v>6568</v>
      </c>
      <c r="C103" s="1585">
        <v>6001</v>
      </c>
      <c r="D103" s="64"/>
      <c r="E103" s="297"/>
      <c r="F103" s="297"/>
      <c r="G103" s="297"/>
      <c r="H103" s="297"/>
      <c r="I103" s="297"/>
      <c r="Z103" s="28">
        <f>IF(A103=1,SUM($A$6:$A103),0)</f>
      </c>
      <c r="AA103" s="28">
        <f t="shared" si="9"/>
        <v>152403</v>
      </c>
      <c r="AB103" s="28">
        <v>92</v>
      </c>
    </row>
    <row r="104" spans="1:80" ht="12.75" x14ac:dyDescent="0.2">
      <c r="A104" s="132">
        <f t="shared" si="8"/>
        <v>0</v>
      </c>
      <c r="B104" s="1610" t="s">
        <v>6569</v>
      </c>
      <c r="C104" s="1585">
        <v>6002</v>
      </c>
      <c r="D104" s="64"/>
      <c r="E104" s="297"/>
      <c r="F104" s="297"/>
      <c r="G104" s="297"/>
      <c r="H104" s="297"/>
      <c r="I104" s="297"/>
      <c r="Z104" s="28">
        <f>IF(A104=1,SUM($A$6:$A104),0)</f>
      </c>
      <c r="AA104" s="28">
        <f t="shared" si="9"/>
        <v>0</v>
      </c>
      <c r="AB104" s="28">
        <v>93</v>
      </c>
    </row>
    <row r="105" spans="1:80" ht="12.75" x14ac:dyDescent="0.2">
      <c r="A105" s="132">
        <f t="shared" si="8"/>
        <v>1</v>
      </c>
      <c r="B105" s="1610" t="s">
        <v>6570</v>
      </c>
      <c r="C105" s="1585">
        <v>6003</v>
      </c>
      <c r="D105" s="64"/>
      <c r="E105" s="297">
        <f>4640+1353</f>
      </c>
      <c r="F105" s="297"/>
      <c r="G105" s="297"/>
      <c r="H105" s="297"/>
      <c r="I105" s="297"/>
      <c r="Z105" s="28">
        <f>IF(A105=1,SUM($A$6:$A105),0)</f>
      </c>
      <c r="AA105" s="28">
        <f t="shared" si="9"/>
        <v>5993</v>
      </c>
      <c r="AB105" s="28">
        <v>94</v>
      </c>
    </row>
    <row r="106" spans="1:80" ht="12.75" x14ac:dyDescent="0.2">
      <c r="A106" s="132">
        <f t="shared" si="8"/>
        <v>0</v>
      </c>
      <c r="B106" s="1610" t="s">
        <v>6571</v>
      </c>
      <c r="C106" s="1585">
        <v>6004</v>
      </c>
      <c r="D106" s="64"/>
      <c r="E106" s="297"/>
      <c r="F106" s="297"/>
      <c r="G106" s="297"/>
      <c r="H106" s="297"/>
      <c r="I106" s="297"/>
      <c r="Z106" s="28">
        <f>IF(A106=1,SUM($A$6:$A106),0)</f>
      </c>
      <c r="AA106" s="28">
        <f t="shared" si="9"/>
        <v>0</v>
      </c>
      <c r="AB106" s="28">
        <v>95</v>
      </c>
    </row>
    <row r="107" spans="1:80" ht="12.75" x14ac:dyDescent="0.2">
      <c r="A107" s="132">
        <f t="shared" si="8"/>
        <v>1</v>
      </c>
      <c r="B107" s="1610" t="s">
        <v>2086</v>
      </c>
      <c r="C107" s="1585">
        <v>6020</v>
      </c>
      <c r="D107" s="64"/>
      <c r="E107" s="297">
        <f>186003+781</f>
      </c>
      <c r="F107" s="297"/>
      <c r="G107" s="297"/>
      <c r="H107" s="297"/>
      <c r="I107" s="297"/>
      <c r="Z107" s="28">
        <f>IF(A107=1,SUM($A$6:$A107),0)</f>
      </c>
      <c r="AA107" s="28">
        <f t="shared" si="9"/>
        <v>186784</v>
      </c>
      <c r="AB107" s="28">
        <v>96</v>
      </c>
      <c r="BA107" s="299">
        <f>SUM(E107:N107)</f>
      </c>
    </row>
    <row r="108" spans="1:80" ht="12.75" x14ac:dyDescent="0.2">
      <c r="A108" s="132">
        <f t="shared" si="8"/>
        <v>0</v>
      </c>
      <c r="B108" s="1610" t="s">
        <v>2087</v>
      </c>
      <c r="C108" s="1585">
        <v>6021</v>
      </c>
      <c r="D108" s="64"/>
      <c r="E108" s="297"/>
      <c r="F108" s="297"/>
      <c r="G108" s="297"/>
      <c r="H108" s="297"/>
      <c r="I108" s="297"/>
      <c r="Z108" s="28">
        <f>IF(A108=1,SUM($A$6:$A108),0)</f>
      </c>
      <c r="AA108" s="28">
        <f t="shared" si="9"/>
        <v>0</v>
      </c>
      <c r="AB108" s="28">
        <v>97</v>
      </c>
      <c r="BA108" s="299">
        <f t="shared" ref="BA108:BA123" si="11">SUM(E108:N108)</f>
      </c>
    </row>
    <row r="109" spans="1:80" ht="12.75" x14ac:dyDescent="0.2">
      <c r="A109" s="132">
        <f t="shared" si="8"/>
        <v>0</v>
      </c>
      <c r="B109" s="1610" t="s">
        <v>4140</v>
      </c>
      <c r="C109" s="1585">
        <v>6022</v>
      </c>
      <c r="D109" s="64"/>
      <c r="E109" s="297"/>
      <c r="F109" s="297"/>
      <c r="G109" s="297"/>
      <c r="H109" s="297"/>
      <c r="I109" s="297"/>
      <c r="Z109" s="28">
        <f>IF(A109=1,SUM($A$6:$A109),0)</f>
      </c>
      <c r="AA109" s="28">
        <f t="shared" si="9"/>
        <v>0</v>
      </c>
      <c r="AB109" s="28">
        <v>98</v>
      </c>
      <c r="BA109" s="299">
        <f t="shared" si="11"/>
        <v>0</v>
      </c>
    </row>
    <row r="110" spans="1:80" ht="12.75" x14ac:dyDescent="0.2">
      <c r="A110" s="132">
        <f t="shared" si="8"/>
        <v>0</v>
      </c>
      <c r="B110" s="1610" t="s">
        <v>5201</v>
      </c>
      <c r="C110" s="1585">
        <v>6023</v>
      </c>
      <c r="D110" s="64"/>
      <c r="E110" s="297"/>
      <c r="F110" s="297"/>
      <c r="G110" s="297"/>
      <c r="H110" s="297"/>
      <c r="I110" s="297"/>
      <c r="Z110" s="28">
        <f>IF(A110=1,SUM($A$6:$A110),0)</f>
      </c>
      <c r="AA110" s="28">
        <f t="shared" si="9"/>
        <v>0</v>
      </c>
      <c r="AB110" s="28">
        <v>99</v>
      </c>
      <c r="BA110" s="299">
        <f t="shared" si="11"/>
        <v>0</v>
      </c>
    </row>
    <row r="111" spans="1:80" ht="12.75" x14ac:dyDescent="0.2">
      <c r="A111" s="132">
        <f t="shared" si="8"/>
        <v>0</v>
      </c>
      <c r="B111" s="1610" t="s">
        <v>2273</v>
      </c>
      <c r="C111" s="1585">
        <v>6024</v>
      </c>
      <c r="D111" s="64"/>
      <c r="E111" s="297"/>
      <c r="F111" s="297"/>
      <c r="G111" s="297"/>
      <c r="H111" s="297"/>
      <c r="I111" s="297"/>
      <c r="Z111" s="28">
        <f>IF(A111=1,SUM($A$6:$A111),0)</f>
      </c>
      <c r="AA111" s="28">
        <f t="shared" si="9"/>
        <v>0</v>
      </c>
      <c r="AB111" s="28">
        <v>100</v>
      </c>
      <c r="BA111" s="299">
        <f t="shared" si="11"/>
        <v>0</v>
      </c>
    </row>
    <row r="112" spans="1:80" ht="12.75" x14ac:dyDescent="0.2">
      <c r="A112" s="132">
        <f t="shared" si="8"/>
        <v>1</v>
      </c>
      <c r="B112" s="1610" t="s">
        <v>3623</v>
      </c>
      <c r="C112" s="1585">
        <v>6025</v>
      </c>
      <c r="D112" s="64"/>
      <c r="E112" s="297"/>
      <c r="F112" s="297"/>
      <c r="G112" s="297"/>
      <c r="H112" s="297"/>
      <c r="I112" s="297"/>
      <c r="Z112" s="28">
        <f>IF(A112=1,SUM($A$6:$A112),0)</f>
      </c>
      <c r="AA112" s="28">
        <f t="shared" si="9"/>
        <v>109822</v>
      </c>
      <c r="AB112" s="28">
        <v>101</v>
      </c>
      <c r="BA112" s="299">
        <f t="shared" si="11"/>
        <v>109822</v>
      </c>
    </row>
    <row r="113" spans="1:53" ht="12.75" x14ac:dyDescent="0.2">
      <c r="A113" s="132">
        <f t="shared" si="8"/>
        <v>0</v>
      </c>
      <c r="B113" s="1610" t="s">
        <v>5486</v>
      </c>
      <c r="C113" s="1585">
        <v>6026</v>
      </c>
      <c r="D113" s="64"/>
      <c r="E113" s="297"/>
      <c r="F113" s="297"/>
      <c r="G113" s="297"/>
      <c r="H113" s="297"/>
      <c r="I113" s="297"/>
      <c r="Z113" s="28">
        <f>IF(A113=1,SUM($A$6:$A113),0)</f>
      </c>
      <c r="AA113" s="28">
        <f t="shared" si="9"/>
        <v>0</v>
      </c>
      <c r="AB113" s="28">
        <v>102</v>
      </c>
      <c r="BA113" s="299">
        <f t="shared" si="11"/>
        <v>0</v>
      </c>
    </row>
    <row r="114" spans="1:53" ht="12.75" x14ac:dyDescent="0.2">
      <c r="A114" s="132">
        <f t="shared" si="8"/>
        <v>0</v>
      </c>
      <c r="B114" s="1610" t="s">
        <v>3624</v>
      </c>
      <c r="C114" s="1585">
        <v>6027</v>
      </c>
      <c r="D114" s="64"/>
      <c r="E114" s="297"/>
      <c r="F114" s="297"/>
      <c r="G114" s="297"/>
      <c r="H114" s="297"/>
      <c r="I114" s="297"/>
      <c r="Z114" s="28">
        <f>IF(A114=1,SUM($A$6:$A114),0)</f>
      </c>
      <c r="AA114" s="28">
        <f t="shared" si="9"/>
        <v>0</v>
      </c>
      <c r="AB114" s="28">
        <v>103</v>
      </c>
      <c r="BA114" s="299">
        <f t="shared" si="11"/>
        <v>0</v>
      </c>
    </row>
    <row r="115" spans="1:53" ht="12.75" x14ac:dyDescent="0.2">
      <c r="A115" s="132">
        <f t="shared" si="8"/>
        <v>0</v>
      </c>
      <c r="B115" s="1610" t="s">
        <v>5509</v>
      </c>
      <c r="C115" s="1585">
        <v>6028</v>
      </c>
      <c r="D115" s="64"/>
      <c r="E115" s="297"/>
      <c r="F115" s="297"/>
      <c r="G115" s="297"/>
      <c r="H115" s="297"/>
      <c r="I115" s="297"/>
      <c r="Z115" s="28">
        <f>IF(A115=1,SUM($A$6:$A115),0)</f>
      </c>
      <c r="AA115" s="28">
        <f t="shared" si="9"/>
        <v>0</v>
      </c>
      <c r="AB115" s="28">
        <v>104</v>
      </c>
      <c r="BA115" s="299">
        <f t="shared" si="11"/>
        <v>0</v>
      </c>
    </row>
    <row r="116" spans="1:53" ht="12.75" x14ac:dyDescent="0.2">
      <c r="A116" s="132">
        <f t="shared" si="8"/>
        <v>0</v>
      </c>
      <c r="B116" s="1610" t="s">
        <v>2240</v>
      </c>
      <c r="C116" s="1585">
        <v>6029</v>
      </c>
      <c r="D116" s="64"/>
      <c r="E116" s="297"/>
      <c r="F116" s="297"/>
      <c r="G116" s="297"/>
      <c r="H116" s="297"/>
      <c r="I116" s="297"/>
      <c r="Z116" s="28">
        <f>IF(A116=1,SUM($A$6:$A116),0)</f>
      </c>
      <c r="AA116" s="28">
        <f t="shared" si="9"/>
        <v>0</v>
      </c>
      <c r="AB116" s="28">
        <v>105</v>
      </c>
      <c r="BA116" s="299"/>
    </row>
    <row r="117" spans="1:53" ht="12.75" x14ac:dyDescent="0.2">
      <c r="A117" s="132">
        <f t="shared" si="8"/>
        <v>0</v>
      </c>
      <c r="B117" s="1610" t="s">
        <v>2241</v>
      </c>
      <c r="C117" s="1585">
        <v>6030</v>
      </c>
      <c r="D117" s="64"/>
      <c r="E117" s="297"/>
      <c r="F117" s="297"/>
      <c r="G117" s="297"/>
      <c r="H117" s="297"/>
      <c r="I117" s="297"/>
      <c r="Z117" s="28">
        <f>IF(A117=1,SUM($A$6:$A117),0)</f>
      </c>
      <c r="AA117" s="28">
        <f t="shared" si="9"/>
        <v>0</v>
      </c>
      <c r="AB117" s="28">
        <v>106</v>
      </c>
      <c r="BA117" s="299"/>
    </row>
    <row r="118" spans="1:53" ht="12.75" x14ac:dyDescent="0.2">
      <c r="A118" s="132">
        <f t="shared" si="8"/>
        <v>0</v>
      </c>
      <c r="B118" s="1610" t="s">
        <v>1186</v>
      </c>
      <c r="C118" s="1585">
        <v>6031</v>
      </c>
      <c r="D118" s="64"/>
      <c r="E118" s="297"/>
      <c r="F118" s="297"/>
      <c r="G118" s="297"/>
      <c r="H118" s="297"/>
      <c r="I118" s="297"/>
      <c r="Z118" s="28">
        <f>IF(A118=1,SUM($A$6:$A118),0)</f>
      </c>
      <c r="AA118" s="28">
        <f t="shared" si="9"/>
        <v>0</v>
      </c>
      <c r="AB118" s="28">
        <v>107</v>
      </c>
      <c r="BA118" s="299">
        <f t="shared" si="11"/>
        <v>0</v>
      </c>
    </row>
    <row r="119" spans="1:53" ht="12.75" x14ac:dyDescent="0.2">
      <c r="A119" s="132">
        <f t="shared" si="8"/>
        <v>1</v>
      </c>
      <c r="B119" s="1610" t="s">
        <v>1187</v>
      </c>
      <c r="C119" s="1585">
        <v>6032</v>
      </c>
      <c r="D119" s="64"/>
      <c r="E119" s="297"/>
      <c r="F119" s="297"/>
      <c r="G119" s="297"/>
      <c r="H119" s="297"/>
      <c r="I119" s="297"/>
      <c r="Z119" s="28">
        <f>IF(A119=1,SUM($A$6:$A119),0)</f>
      </c>
      <c r="AA119" s="28">
        <f t="shared" si="9"/>
        <v>2528</v>
      </c>
      <c r="AB119" s="28">
        <v>108</v>
      </c>
      <c r="BA119" s="299">
        <f t="shared" si="11"/>
        <v>2528</v>
      </c>
    </row>
    <row r="120" spans="1:53" ht="12.75" x14ac:dyDescent="0.2">
      <c r="A120" s="132">
        <f t="shared" si="8"/>
        <v>0</v>
      </c>
      <c r="B120" s="1610" t="s">
        <v>1188</v>
      </c>
      <c r="C120" s="1585">
        <v>6033</v>
      </c>
      <c r="D120" s="64"/>
      <c r="E120" s="297"/>
      <c r="F120" s="297"/>
      <c r="G120" s="297"/>
      <c r="H120" s="297"/>
      <c r="I120" s="297"/>
      <c r="Z120" s="28">
        <f>IF(A120=1,SUM($A$6:$A120),0)</f>
      </c>
      <c r="AA120" s="28">
        <f t="shared" si="9"/>
        <v>0</v>
      </c>
      <c r="AB120" s="28">
        <v>109</v>
      </c>
      <c r="BA120" s="299">
        <f t="shared" si="11"/>
        <v>0</v>
      </c>
    </row>
    <row r="121" spans="1:53" ht="12.75" x14ac:dyDescent="0.2">
      <c r="A121" s="132">
        <f t="shared" si="8"/>
        <v>0</v>
      </c>
      <c r="B121" s="1610" t="s">
        <v>1189</v>
      </c>
      <c r="C121" s="1585">
        <v>6034</v>
      </c>
      <c r="D121" s="64"/>
      <c r="E121" s="297"/>
      <c r="F121" s="297"/>
      <c r="G121" s="297"/>
      <c r="H121" s="297"/>
      <c r="I121" s="297"/>
      <c r="Z121" s="28">
        <f>IF(A121=1,SUM($A$6:$A121),0)</f>
      </c>
      <c r="AA121" s="28">
        <f t="shared" si="9"/>
        <v>0</v>
      </c>
      <c r="AB121" s="28">
        <v>110</v>
      </c>
      <c r="BA121" s="299">
        <f t="shared" si="11"/>
        <v>0</v>
      </c>
    </row>
    <row r="122" spans="1:53" ht="12.75" x14ac:dyDescent="0.2">
      <c r="A122" s="132">
        <f t="shared" si="8"/>
        <v>0</v>
      </c>
      <c r="B122" s="1610" t="s">
        <v>2654</v>
      </c>
      <c r="C122" s="1585">
        <v>6035</v>
      </c>
      <c r="D122" s="64"/>
      <c r="E122" s="297"/>
      <c r="F122" s="297"/>
      <c r="G122" s="297"/>
      <c r="H122" s="297"/>
      <c r="I122" s="297"/>
      <c r="Z122" s="28">
        <f>IF(A122=1,SUM($A$6:$A122),0)</f>
      </c>
      <c r="AA122" s="28">
        <f t="shared" si="9"/>
        <v>0</v>
      </c>
      <c r="AB122" s="28">
        <v>111</v>
      </c>
      <c r="BA122" s="299">
        <f t="shared" si="11"/>
        <v>0</v>
      </c>
    </row>
    <row r="123" spans="1:53" ht="12.75" x14ac:dyDescent="0.2">
      <c r="A123" s="132">
        <f t="shared" si="8"/>
        <v>0</v>
      </c>
      <c r="B123" s="1610" t="s">
        <v>5129</v>
      </c>
      <c r="C123" s="1585">
        <v>6036</v>
      </c>
      <c r="D123" s="64"/>
      <c r="E123" s="297"/>
      <c r="F123" s="297"/>
      <c r="G123" s="297"/>
      <c r="H123" s="297"/>
      <c r="I123" s="297"/>
      <c r="Z123" s="28">
        <f>IF(A123=1,SUM($A$6:$A123),0)</f>
      </c>
      <c r="AA123" s="28">
        <f t="shared" si="9"/>
        <v>0</v>
      </c>
      <c r="AB123" s="28">
        <v>112</v>
      </c>
      <c r="BA123" s="299">
        <f t="shared" si="11"/>
        <v>0</v>
      </c>
    </row>
    <row r="124" spans="1:53" ht="12.75" x14ac:dyDescent="0.2">
      <c r="A124" s="132">
        <f t="shared" si="8"/>
        <v>1</v>
      </c>
      <c r="B124" s="1610" t="s">
        <v>356</v>
      </c>
      <c r="C124" s="1585">
        <v>6037</v>
      </c>
      <c r="D124" s="64"/>
      <c r="E124" s="297"/>
      <c r="F124" s="297"/>
      <c r="G124" s="297"/>
      <c r="H124" s="297"/>
      <c r="I124" s="297"/>
      <c r="Z124" s="28">
        <f>IF(A124=1,SUM($A$6:$A124),0)</f>
      </c>
      <c r="AA124" s="28">
        <f t="shared" si="9"/>
        <v>165</v>
      </c>
      <c r="AB124" s="28">
        <v>113</v>
      </c>
      <c r="BA124" s="299"/>
    </row>
    <row r="125" spans="1:53" ht="12.75" x14ac:dyDescent="0.2">
      <c r="A125" s="132">
        <f t="shared" si="8"/>
        <v>1</v>
      </c>
      <c r="B125" s="1610" t="s">
        <v>3718</v>
      </c>
      <c r="C125" s="1585">
        <v>6099</v>
      </c>
      <c r="D125" s="64"/>
      <c r="E125" s="297">
        <f>65742+5793+84034</f>
      </c>
      <c r="F125" s="297"/>
      <c r="G125" s="297"/>
      <c r="H125" s="297"/>
      <c r="I125" s="297"/>
      <c r="Z125" s="28">
        <f>IF(A125=1,SUM($A$6:$A125),0)</f>
      </c>
      <c r="AA125" s="28">
        <f t="shared" si="9"/>
        <v>155569</v>
      </c>
      <c r="AB125" s="28">
        <v>114</v>
      </c>
      <c r="BA125" s="300">
        <f>SUM(BA83:BA124)</f>
      </c>
    </row>
    <row r="126" spans="1:53" ht="12.75" x14ac:dyDescent="0.2">
      <c r="A126" s="132">
        <f t="shared" si="8"/>
        <v>1</v>
      </c>
      <c r="B126" s="1610" t="s">
        <v>3719</v>
      </c>
      <c r="C126" s="1585">
        <v>6100</v>
      </c>
      <c r="D126" s="64"/>
      <c r="E126" s="297">
        <f>1786+9120</f>
      </c>
      <c r="F126" s="297"/>
      <c r="G126" s="297"/>
      <c r="H126" s="297"/>
      <c r="I126" s="297"/>
      <c r="Z126" s="28">
        <f>IF(A126=1,SUM($A$6:$A126),0)</f>
      </c>
      <c r="AA126" s="28">
        <f t="shared" si="9"/>
        <v>10906</v>
      </c>
      <c r="AB126" s="28">
        <v>115</v>
      </c>
    </row>
    <row r="127" spans="1:53" ht="12.75" x14ac:dyDescent="0.2">
      <c r="A127" s="132">
        <f t="shared" si="8"/>
        <v>0</v>
      </c>
      <c r="B127" s="1610" t="s">
        <v>5090</v>
      </c>
      <c r="C127" s="1585">
        <v>6101</v>
      </c>
      <c r="D127" s="64"/>
      <c r="E127" s="297"/>
      <c r="F127" s="297"/>
      <c r="G127" s="297"/>
      <c r="H127" s="297"/>
      <c r="I127" s="297"/>
      <c r="Z127" s="28">
        <f>IF(A127=1,SUM($A$6:$A127),0)</f>
      </c>
      <c r="AA127" s="28">
        <f t="shared" si="9"/>
        <v>0</v>
      </c>
      <c r="AB127" s="28">
        <v>116</v>
      </c>
    </row>
    <row r="128" spans="1:53" ht="12.75" x14ac:dyDescent="0.2">
      <c r="A128" s="132">
        <f t="shared" si="8"/>
        <v>0</v>
      </c>
      <c r="B128" s="1610" t="s">
        <v>5091</v>
      </c>
      <c r="C128" s="1585">
        <v>6120</v>
      </c>
      <c r="D128" s="64"/>
      <c r="E128" s="297"/>
      <c r="F128" s="297"/>
      <c r="G128" s="297"/>
      <c r="H128" s="297"/>
      <c r="I128" s="297"/>
      <c r="Z128" s="28">
        <f>IF(A128=1,SUM($A$6:$A128),0)</f>
      </c>
      <c r="AA128" s="28">
        <f t="shared" si="9"/>
        <v>0</v>
      </c>
      <c r="AB128" s="28">
        <v>117</v>
      </c>
    </row>
    <row r="129" spans="1:28" ht="12.75" x14ac:dyDescent="0.2">
      <c r="A129" s="132">
        <f t="shared" si="8"/>
        <v>0</v>
      </c>
      <c r="B129" s="1610" t="s">
        <v>3835</v>
      </c>
      <c r="C129" s="1585">
        <v>6121</v>
      </c>
      <c r="D129" s="64"/>
      <c r="E129" s="297"/>
      <c r="F129" s="297"/>
      <c r="G129" s="297"/>
      <c r="H129" s="297"/>
      <c r="I129" s="297"/>
      <c r="Z129" s="28">
        <f>IF(A129=1,SUM($A$6:$A129),0)</f>
      </c>
      <c r="AA129" s="28">
        <f t="shared" si="9"/>
        <v>0</v>
      </c>
      <c r="AB129" s="28">
        <v>118</v>
      </c>
    </row>
    <row r="130" spans="1:28" ht="12.75" x14ac:dyDescent="0.2">
      <c r="A130" s="132">
        <f t="shared" si="8"/>
        <v>0</v>
      </c>
      <c r="B130" s="1610" t="s">
        <v>4588</v>
      </c>
      <c r="C130" s="1585">
        <v>6122</v>
      </c>
      <c r="D130" s="64"/>
      <c r="E130" s="297"/>
      <c r="F130" s="297"/>
      <c r="G130" s="297"/>
      <c r="H130" s="297"/>
      <c r="I130" s="297"/>
      <c r="Z130" s="28">
        <f>IF(A130=1,SUM($A$6:$A130),0)</f>
      </c>
      <c r="AA130" s="28">
        <f t="shared" si="9"/>
        <v>0</v>
      </c>
      <c r="AB130" s="28">
        <v>119</v>
      </c>
    </row>
    <row r="131" spans="1:28" ht="12.75" x14ac:dyDescent="0.2">
      <c r="A131" s="132">
        <f t="shared" si="8"/>
        <v>1</v>
      </c>
      <c r="B131" s="1617" t="s">
        <v>4589</v>
      </c>
      <c r="C131" s="1585">
        <v>6140</v>
      </c>
      <c r="D131" s="64"/>
      <c r="E131" s="297"/>
      <c r="F131" s="297"/>
      <c r="G131" s="297"/>
      <c r="H131" s="297"/>
      <c r="I131" s="297"/>
      <c r="Z131" s="28">
        <f>IF(A131=1,SUM($A$6:$A131),0)</f>
      </c>
      <c r="AA131" s="28">
        <f t="shared" si="9"/>
        <v>3175</v>
      </c>
      <c r="AB131" s="28">
        <v>120</v>
      </c>
    </row>
    <row r="132" spans="1:28" ht="12.75" x14ac:dyDescent="0.2">
      <c r="A132" s="132">
        <f t="shared" si="8"/>
        <v>1</v>
      </c>
      <c r="B132" s="1610" t="s">
        <v>4590</v>
      </c>
      <c r="C132" s="1585">
        <v>6141</v>
      </c>
      <c r="D132" s="64"/>
      <c r="E132" s="297"/>
      <c r="F132" s="297"/>
      <c r="G132" s="297"/>
      <c r="H132" s="297"/>
      <c r="I132" s="297"/>
      <c r="Z132" s="28">
        <f>IF(A132=1,SUM($A$6:$A132),0)</f>
      </c>
      <c r="AA132" s="28">
        <f t="shared" si="9"/>
        <v>448</v>
      </c>
      <c r="AB132" s="28">
        <v>121</v>
      </c>
    </row>
    <row r="133" spans="1:28" ht="12.75" x14ac:dyDescent="0.2">
      <c r="A133" s="132">
        <f t="shared" si="8"/>
        <v>0</v>
      </c>
      <c r="B133" s="1610" t="s">
        <v>3184</v>
      </c>
      <c r="C133" s="1585">
        <v>6142</v>
      </c>
      <c r="D133" s="64"/>
      <c r="E133" s="297"/>
      <c r="F133" s="297"/>
      <c r="G133" s="297"/>
      <c r="H133" s="297"/>
      <c r="I133" s="297"/>
      <c r="Z133" s="28">
        <f>IF(A133=1,SUM($A$6:$A133),0)</f>
      </c>
      <c r="AA133" s="28">
        <f t="shared" si="9"/>
        <v>0</v>
      </c>
      <c r="AB133" s="28">
        <v>122</v>
      </c>
    </row>
    <row r="134" spans="1:28" ht="12.75" x14ac:dyDescent="0.2">
      <c r="A134" s="132">
        <f t="shared" si="8"/>
        <v>0</v>
      </c>
      <c r="B134" s="1610" t="s">
        <v>3185</v>
      </c>
      <c r="C134" s="1585">
        <v>6143</v>
      </c>
      <c r="D134" s="64"/>
      <c r="E134" s="297"/>
      <c r="F134" s="297"/>
      <c r="G134" s="297"/>
      <c r="H134" s="297"/>
      <c r="I134" s="297"/>
      <c r="Z134" s="28">
        <f>IF(A134=1,SUM($A$6:$A134),0)</f>
      </c>
      <c r="AA134" s="28">
        <f t="shared" si="9"/>
        <v>0</v>
      </c>
      <c r="AB134" s="28">
        <v>123</v>
      </c>
    </row>
    <row r="135" spans="1:28" ht="12.75" x14ac:dyDescent="0.2">
      <c r="A135" s="132">
        <f t="shared" si="8"/>
        <v>1</v>
      </c>
      <c r="B135" s="1610" t="s">
        <v>3186</v>
      </c>
      <c r="C135" s="1585">
        <v>6170</v>
      </c>
      <c r="D135" s="64"/>
      <c r="E135" s="297"/>
      <c r="F135" s="297"/>
      <c r="G135" s="297"/>
      <c r="H135" s="297"/>
      <c r="I135" s="297"/>
      <c r="Z135" s="28">
        <f>IF(A135=1,SUM($A$6:$A135),0)</f>
      </c>
      <c r="AA135" s="28">
        <f t="shared" si="9"/>
        <v>7111</v>
      </c>
      <c r="AB135" s="28">
        <v>124</v>
      </c>
    </row>
    <row r="136" spans="1:28" ht="12.75" x14ac:dyDescent="0.2">
      <c r="A136" s="132">
        <f t="shared" si="8"/>
        <v>1</v>
      </c>
      <c r="B136" s="1610" t="s">
        <v>3969</v>
      </c>
      <c r="C136" s="1585">
        <v>6171</v>
      </c>
      <c r="D136" s="64"/>
      <c r="E136" s="297"/>
      <c r="F136" s="297"/>
      <c r="G136" s="297"/>
      <c r="H136" s="297"/>
      <c r="I136" s="297"/>
      <c r="Z136" s="28">
        <f>IF(A136=1,SUM($A$6:$A136),0)</f>
      </c>
      <c r="AA136" s="28">
        <f t="shared" si="9"/>
        <v>1719</v>
      </c>
      <c r="AB136" s="28">
        <v>125</v>
      </c>
    </row>
    <row r="137" spans="1:28" ht="12.75" x14ac:dyDescent="0.2">
      <c r="A137" s="132">
        <f t="shared" si="8"/>
        <v>1</v>
      </c>
      <c r="B137" s="1610" t="s">
        <v>3970</v>
      </c>
      <c r="C137" s="1585">
        <v>6172</v>
      </c>
      <c r="D137" s="64"/>
      <c r="E137" s="297"/>
      <c r="F137" s="297"/>
      <c r="G137" s="297"/>
      <c r="H137" s="297"/>
      <c r="I137" s="297"/>
      <c r="Z137" s="28">
        <f>IF(A137=1,SUM($A$6:$A137),0)</f>
      </c>
      <c r="AA137" s="28">
        <f t="shared" si="9"/>
        <v>7905</v>
      </c>
      <c r="AB137" s="28">
        <v>126</v>
      </c>
    </row>
    <row r="138" spans="1:28" ht="12.75" x14ac:dyDescent="0.2">
      <c r="A138" s="132">
        <f t="shared" si="8"/>
        <v>1</v>
      </c>
      <c r="B138" s="1610" t="s">
        <v>3971</v>
      </c>
      <c r="C138" s="1585">
        <v>6173</v>
      </c>
      <c r="D138" s="64"/>
      <c r="E138" s="297"/>
      <c r="F138" s="297"/>
      <c r="G138" s="297"/>
      <c r="H138" s="297"/>
      <c r="I138" s="297"/>
      <c r="Z138" s="28">
        <f>IF(A138=1,SUM($A$6:$A138),0)</f>
      </c>
      <c r="AA138" s="28">
        <f t="shared" si="9"/>
        <v>1300</v>
      </c>
      <c r="AB138" s="28">
        <v>127</v>
      </c>
    </row>
    <row r="139" spans="1:28" ht="12.75" x14ac:dyDescent="0.2">
      <c r="A139" s="132">
        <f t="shared" si="8"/>
        <v>0</v>
      </c>
      <c r="B139" s="1610" t="s">
        <v>5543</v>
      </c>
      <c r="C139" s="1585">
        <v>6174</v>
      </c>
      <c r="D139" s="64"/>
      <c r="E139" s="297"/>
      <c r="F139" s="297"/>
      <c r="G139" s="297"/>
      <c r="H139" s="297"/>
      <c r="I139" s="297"/>
      <c r="Z139" s="28">
        <f>IF(A139=1,SUM($A$6:$A139),0)</f>
      </c>
      <c r="AA139" s="28">
        <f t="shared" si="9"/>
        <v>0</v>
      </c>
      <c r="AB139" s="28">
        <v>128</v>
      </c>
    </row>
    <row r="140" spans="1:28" ht="12.75" x14ac:dyDescent="0.2">
      <c r="A140" s="132">
        <f t="shared" si="8"/>
        <v>0</v>
      </c>
      <c r="B140" s="1610" t="s">
        <v>3972</v>
      </c>
      <c r="C140" s="1585">
        <v>6175</v>
      </c>
      <c r="D140" s="64"/>
      <c r="E140" s="297"/>
      <c r="F140" s="297"/>
      <c r="G140" s="297"/>
      <c r="H140" s="297"/>
      <c r="I140" s="297"/>
      <c r="Z140" s="28">
        <f>IF(A140=1,SUM($A$6:$A140),0)</f>
      </c>
      <c r="AA140" s="28">
        <f t="shared" si="9"/>
        <v>0</v>
      </c>
      <c r="AB140" s="28">
        <v>129</v>
      </c>
    </row>
    <row r="141" spans="1:28" ht="12.75" x14ac:dyDescent="0.2">
      <c r="A141" s="132">
        <f t="shared" ref="A141:A204" si="12">IF(OR(E141&lt;&gt;"",F141&lt;&gt;"",G141&lt;&gt;"",H141&lt;&gt;"",I141&lt;&gt;""),1,0)</f>
      </c>
      <c r="B141" s="1610" t="s">
        <v>3973</v>
      </c>
      <c r="C141" s="1585">
        <v>6176</v>
      </c>
      <c r="D141" s="64"/>
      <c r="E141" s="297"/>
      <c r="F141" s="297"/>
      <c r="G141" s="297"/>
      <c r="H141" s="297"/>
      <c r="I141" s="297"/>
      <c r="Z141" s="28">
        <f>IF(A141=1,SUM($A$6:$A141),0)</f>
      </c>
      <c r="AA141" s="28">
        <f t="shared" ref="AA141:AA204" si="13">INDEX(activity,AB141,$AA$1)</f>
      </c>
      <c r="AB141" s="28">
        <v>130</v>
      </c>
    </row>
    <row r="142" spans="1:28" ht="12.75" x14ac:dyDescent="0.2">
      <c r="A142" s="132">
        <f t="shared" si="12"/>
        <v>0</v>
      </c>
      <c r="B142" s="1610" t="s">
        <v>3974</v>
      </c>
      <c r="C142" s="1585">
        <v>6177</v>
      </c>
      <c r="D142" s="64"/>
      <c r="E142" s="297"/>
      <c r="F142" s="297"/>
      <c r="G142" s="297"/>
      <c r="H142" s="297"/>
      <c r="I142" s="297"/>
      <c r="Z142" s="28">
        <f>IF(A142=1,SUM($A$6:$A142),0)</f>
      </c>
      <c r="AA142" s="28">
        <f t="shared" si="13"/>
        <v>0</v>
      </c>
      <c r="AB142" s="28">
        <v>131</v>
      </c>
    </row>
    <row r="143" spans="1:28" ht="12.75" x14ac:dyDescent="0.2">
      <c r="A143" s="132">
        <f t="shared" si="12"/>
        <v>0</v>
      </c>
      <c r="B143" s="1618" t="s">
        <v>5542</v>
      </c>
      <c r="C143" s="1585">
        <v>6178</v>
      </c>
      <c r="D143" s="64"/>
      <c r="E143" s="297"/>
      <c r="F143" s="297"/>
      <c r="G143" s="297"/>
      <c r="H143" s="297"/>
      <c r="I143" s="297"/>
      <c r="Z143" s="28">
        <f>IF(A143=1,SUM($A$6:$A143),0)</f>
      </c>
      <c r="AA143" s="28">
        <f t="shared" si="13"/>
        <v>0</v>
      </c>
      <c r="AB143" s="28">
        <v>132</v>
      </c>
    </row>
    <row r="144" spans="1:28" ht="12.75" x14ac:dyDescent="0.2">
      <c r="A144" s="132">
        <f t="shared" si="12"/>
        <v>0</v>
      </c>
      <c r="B144" s="1610" t="s">
        <v>3975</v>
      </c>
      <c r="C144" s="1585">
        <v>6179</v>
      </c>
      <c r="D144" s="64"/>
      <c r="E144" s="297"/>
      <c r="F144" s="297"/>
      <c r="G144" s="297"/>
      <c r="H144" s="297"/>
      <c r="I144" s="297"/>
      <c r="Z144" s="28">
        <f>IF(A144=1,SUM($A$6:$A144),0)</f>
      </c>
      <c r="AA144" s="28">
        <f t="shared" si="13"/>
        <v>0</v>
      </c>
      <c r="AB144" s="28">
        <v>133</v>
      </c>
    </row>
    <row r="145" spans="1:28" ht="12.75" x14ac:dyDescent="0.2">
      <c r="A145" s="132">
        <f t="shared" si="12"/>
        <v>0</v>
      </c>
      <c r="B145" s="1610" t="s">
        <v>2729</v>
      </c>
      <c r="C145" s="1585">
        <v>6180</v>
      </c>
      <c r="D145" s="64"/>
      <c r="E145" s="297"/>
      <c r="F145" s="297"/>
      <c r="G145" s="297"/>
      <c r="H145" s="297"/>
      <c r="I145" s="297"/>
      <c r="Z145" s="28">
        <f>IF(A145=1,SUM($A$6:$A145),0)</f>
      </c>
      <c r="AA145" s="28">
        <f t="shared" si="13"/>
        <v>0</v>
      </c>
      <c r="AB145" s="28">
        <v>134</v>
      </c>
    </row>
    <row r="146" spans="1:28" ht="12.75" x14ac:dyDescent="0.2">
      <c r="A146" s="132">
        <f t="shared" si="12"/>
        <v>0</v>
      </c>
      <c r="B146" s="1610" t="s">
        <v>873</v>
      </c>
      <c r="C146" s="1585">
        <v>6200</v>
      </c>
      <c r="D146" s="64"/>
      <c r="E146" s="297"/>
      <c r="F146" s="297"/>
      <c r="G146" s="297"/>
      <c r="H146" s="297"/>
      <c r="I146" s="297"/>
      <c r="Z146" s="28">
        <f>IF(A146=1,SUM($A$6:$A146),0)</f>
      </c>
      <c r="AA146" s="28">
        <f t="shared" si="13"/>
        <v>0</v>
      </c>
      <c r="AB146" s="28">
        <v>135</v>
      </c>
    </row>
    <row r="147" spans="1:28" ht="12.75" x14ac:dyDescent="0.2">
      <c r="A147" s="132">
        <f t="shared" si="12"/>
        <v>1</v>
      </c>
      <c r="B147" s="1611" t="s">
        <v>874</v>
      </c>
      <c r="C147" s="1585">
        <v>6201</v>
      </c>
      <c r="D147" s="64"/>
      <c r="E147" s="297">
        <f>20001+2756</f>
      </c>
      <c r="F147" s="297"/>
      <c r="G147" s="297"/>
      <c r="H147" s="297"/>
      <c r="I147" s="297"/>
      <c r="Z147" s="28">
        <f>IF(A147=1,SUM($A$6:$A147),0)</f>
      </c>
      <c r="AA147" s="28">
        <f t="shared" si="13"/>
        <v>22757</v>
      </c>
      <c r="AB147" s="28">
        <v>136</v>
      </c>
    </row>
    <row r="148" spans="1:28" ht="12.75" x14ac:dyDescent="0.2">
      <c r="A148" s="132">
        <f t="shared" si="12"/>
        <v>0</v>
      </c>
      <c r="B148" s="1610" t="s">
        <v>875</v>
      </c>
      <c r="C148" s="1585">
        <v>6202</v>
      </c>
      <c r="D148" s="64"/>
      <c r="E148" s="297"/>
      <c r="F148" s="297"/>
      <c r="G148" s="297"/>
      <c r="H148" s="297"/>
      <c r="I148" s="297"/>
      <c r="Z148" s="28">
        <f>IF(A148=1,SUM($A$6:$A148),0)</f>
      </c>
      <c r="AA148" s="28">
        <f t="shared" si="13"/>
        <v>0</v>
      </c>
      <c r="AB148" s="28">
        <v>137</v>
      </c>
    </row>
    <row r="149" spans="1:28" ht="12.75" x14ac:dyDescent="0.2">
      <c r="A149" s="132">
        <f t="shared" si="12"/>
        <v>1</v>
      </c>
      <c r="B149" s="1610" t="s">
        <v>6628</v>
      </c>
      <c r="C149" s="1585">
        <v>6203</v>
      </c>
      <c r="D149" s="64"/>
      <c r="E149" s="297"/>
      <c r="F149" s="297"/>
      <c r="G149" s="297"/>
      <c r="H149" s="297"/>
      <c r="I149" s="297"/>
      <c r="Z149" s="28">
        <f>IF(A149=1,SUM($A$6:$A149),0)</f>
      </c>
      <c r="AA149" s="28">
        <f t="shared" si="13"/>
        <v>566</v>
      </c>
      <c r="AB149" s="28">
        <v>138</v>
      </c>
    </row>
    <row r="150" spans="1:28" ht="12.75" x14ac:dyDescent="0.2">
      <c r="A150" s="132">
        <f t="shared" si="12"/>
        <v>0</v>
      </c>
      <c r="B150" s="1610" t="s">
        <v>4583</v>
      </c>
      <c r="C150" s="1585">
        <v>6204</v>
      </c>
      <c r="D150" s="64"/>
      <c r="E150" s="297"/>
      <c r="F150" s="297"/>
      <c r="G150" s="297"/>
      <c r="H150" s="297"/>
      <c r="I150" s="297"/>
      <c r="Z150" s="28">
        <f>IF(A150=1,SUM($A$6:$A150),0)</f>
      </c>
      <c r="AA150" s="28">
        <f t="shared" si="13"/>
        <v>0</v>
      </c>
      <c r="AB150" s="28">
        <v>139</v>
      </c>
    </row>
    <row r="151" spans="1:28" ht="12.75" x14ac:dyDescent="0.2">
      <c r="A151" s="132">
        <f t="shared" si="12"/>
        <v>1</v>
      </c>
      <c r="B151" s="1610" t="s">
        <v>4584</v>
      </c>
      <c r="C151" s="1585">
        <v>6220</v>
      </c>
      <c r="D151" s="64"/>
      <c r="E151" s="297"/>
      <c r="F151" s="297"/>
      <c r="G151" s="297"/>
      <c r="H151" s="297"/>
      <c r="I151" s="297"/>
      <c r="Z151" s="28">
        <f>IF(A151=1,SUM($A$6:$A151),0)</f>
      </c>
      <c r="AA151" s="28">
        <f t="shared" si="13"/>
        <v>11111</v>
      </c>
      <c r="AB151" s="28">
        <v>140</v>
      </c>
    </row>
    <row r="152" spans="1:28" ht="12.75" x14ac:dyDescent="0.2">
      <c r="A152" s="132">
        <f t="shared" si="12"/>
        <v>0</v>
      </c>
      <c r="B152" s="1610" t="s">
        <v>4585</v>
      </c>
      <c r="C152" s="1585">
        <v>6221</v>
      </c>
      <c r="D152" s="64"/>
      <c r="E152" s="297"/>
      <c r="F152" s="297"/>
      <c r="G152" s="297"/>
      <c r="H152" s="297"/>
      <c r="I152" s="297"/>
      <c r="Z152" s="28">
        <f>IF(A152=1,SUM($A$6:$A152),0)</f>
      </c>
      <c r="AA152" s="28">
        <f t="shared" si="13"/>
        <v>0</v>
      </c>
      <c r="AB152" s="28">
        <v>141</v>
      </c>
    </row>
    <row r="153" spans="1:28" ht="12.75" x14ac:dyDescent="0.2">
      <c r="A153" s="132">
        <f t="shared" si="12"/>
        <v>0</v>
      </c>
      <c r="B153" s="1610" t="s">
        <v>4586</v>
      </c>
      <c r="C153" s="1585">
        <v>6222</v>
      </c>
      <c r="D153" s="64"/>
      <c r="E153" s="297"/>
      <c r="F153" s="297"/>
      <c r="G153" s="297"/>
      <c r="H153" s="297"/>
      <c r="I153" s="297"/>
      <c r="Z153" s="28">
        <f>IF(A153=1,SUM($A$6:$A153),0)</f>
      </c>
      <c r="AA153" s="28">
        <f t="shared" si="13"/>
        <v>0</v>
      </c>
      <c r="AB153" s="28">
        <v>142</v>
      </c>
    </row>
    <row r="154" spans="1:28" ht="12.75" x14ac:dyDescent="0.2">
      <c r="A154" s="132">
        <f t="shared" si="12"/>
        <v>0</v>
      </c>
      <c r="B154" s="1610" t="s">
        <v>4587</v>
      </c>
      <c r="C154" s="1585">
        <v>6223</v>
      </c>
      <c r="D154" s="64"/>
      <c r="E154" s="297"/>
      <c r="F154" s="297"/>
      <c r="G154" s="297"/>
      <c r="H154" s="297"/>
      <c r="I154" s="297"/>
      <c r="Z154" s="28">
        <f>IF(A154=1,SUM($A$6:$A154),0)</f>
      </c>
      <c r="AA154" s="28">
        <f t="shared" si="13"/>
        <v>0</v>
      </c>
      <c r="AB154" s="28">
        <v>143</v>
      </c>
    </row>
    <row r="155" spans="1:28" ht="12.75" x14ac:dyDescent="0.2">
      <c r="A155" s="132">
        <f t="shared" si="12"/>
        <v>0</v>
      </c>
      <c r="B155" s="1610" t="s">
        <v>1562</v>
      </c>
      <c r="C155" s="1585">
        <v>6224</v>
      </c>
      <c r="D155" s="64"/>
      <c r="E155" s="297"/>
      <c r="F155" s="297"/>
      <c r="G155" s="297"/>
      <c r="H155" s="297"/>
      <c r="I155" s="297"/>
      <c r="Z155" s="28">
        <f>IF(A155=1,SUM($A$6:$A155),0)</f>
      </c>
      <c r="AA155" s="28">
        <f t="shared" si="13"/>
        <v>0</v>
      </c>
      <c r="AB155" s="28">
        <v>144</v>
      </c>
    </row>
    <row r="156" spans="1:28" ht="12.75" x14ac:dyDescent="0.2">
      <c r="A156" s="132">
        <f t="shared" si="12"/>
        <v>0</v>
      </c>
      <c r="B156" s="1610" t="s">
        <v>1563</v>
      </c>
      <c r="C156" s="1585">
        <v>6225</v>
      </c>
      <c r="D156" s="64"/>
      <c r="E156" s="297"/>
      <c r="F156" s="297"/>
      <c r="G156" s="297"/>
      <c r="H156" s="297"/>
      <c r="I156" s="297"/>
      <c r="Z156" s="28">
        <f>IF(A156=1,SUM($A$6:$A156),0)</f>
      </c>
      <c r="AA156" s="28">
        <f t="shared" si="13"/>
        <v>0</v>
      </c>
      <c r="AB156" s="28">
        <v>145</v>
      </c>
    </row>
    <row r="157" spans="1:28" ht="12.75" x14ac:dyDescent="0.2">
      <c r="A157" s="132">
        <f t="shared" si="12"/>
        <v>0</v>
      </c>
      <c r="B157" s="1610" t="s">
        <v>5980</v>
      </c>
      <c r="C157" s="1585">
        <v>6226</v>
      </c>
      <c r="D157" s="64"/>
      <c r="E157" s="297"/>
      <c r="F157" s="297"/>
      <c r="G157" s="297"/>
      <c r="H157" s="297"/>
      <c r="I157" s="297"/>
      <c r="Z157" s="28">
        <f>IF(A157=1,SUM($A$6:$A157),0)</f>
      </c>
      <c r="AA157" s="28">
        <f t="shared" si="13"/>
        <v>0</v>
      </c>
      <c r="AB157" s="28">
        <v>146</v>
      </c>
    </row>
    <row r="158" spans="1:28" ht="12.75" x14ac:dyDescent="0.2">
      <c r="A158" s="132">
        <f t="shared" si="12"/>
        <v>0</v>
      </c>
      <c r="B158" s="1610" t="s">
        <v>5981</v>
      </c>
      <c r="C158" s="1585">
        <v>6227</v>
      </c>
      <c r="D158" s="64"/>
      <c r="E158" s="297"/>
      <c r="F158" s="297"/>
      <c r="G158" s="297"/>
      <c r="H158" s="297"/>
      <c r="I158" s="297"/>
      <c r="Z158" s="28">
        <f>IF(A158=1,SUM($A$6:$A158),0)</f>
      </c>
      <c r="AA158" s="28">
        <f t="shared" si="13"/>
        <v>0</v>
      </c>
      <c r="AB158" s="28">
        <v>147</v>
      </c>
    </row>
    <row r="159" spans="1:28" ht="12.75" x14ac:dyDescent="0.2">
      <c r="A159" s="132">
        <f t="shared" si="12"/>
        <v>0</v>
      </c>
      <c r="B159" s="1610" t="s">
        <v>5982</v>
      </c>
      <c r="C159" s="1585">
        <v>6228</v>
      </c>
      <c r="D159" s="64"/>
      <c r="E159" s="297"/>
      <c r="F159" s="297"/>
      <c r="G159" s="297"/>
      <c r="H159" s="297"/>
      <c r="I159" s="297"/>
      <c r="Z159" s="28">
        <f>IF(A159=1,SUM($A$6:$A159),0)</f>
      </c>
      <c r="AA159" s="28">
        <f t="shared" si="13"/>
        <v>0</v>
      </c>
      <c r="AB159" s="28">
        <v>148</v>
      </c>
    </row>
    <row r="160" spans="1:28" ht="12.75" x14ac:dyDescent="0.2">
      <c r="A160" s="132">
        <f t="shared" si="12"/>
        <v>1</v>
      </c>
      <c r="B160" s="1610" t="s">
        <v>5983</v>
      </c>
      <c r="C160" s="1585">
        <v>6250</v>
      </c>
      <c r="D160" s="64"/>
      <c r="E160" s="297"/>
      <c r="F160" s="297"/>
      <c r="G160" s="297"/>
      <c r="H160" s="297"/>
      <c r="I160" s="297"/>
      <c r="Z160" s="28">
        <f>IF(A160=1,SUM($A$6:$A160),0)</f>
      </c>
      <c r="AA160" s="28">
        <f t="shared" si="13"/>
        <v>1704</v>
      </c>
      <c r="AB160" s="28">
        <v>149</v>
      </c>
    </row>
    <row r="161" spans="1:28" ht="12.75" x14ac:dyDescent="0.2">
      <c r="A161" s="132">
        <f t="shared" si="12"/>
        <v>0</v>
      </c>
      <c r="B161" s="1610" t="s">
        <v>3342</v>
      </c>
      <c r="C161" s="1585">
        <v>6251</v>
      </c>
      <c r="D161" s="64"/>
      <c r="E161" s="297"/>
      <c r="F161" s="297"/>
      <c r="G161" s="297"/>
      <c r="H161" s="297"/>
      <c r="I161" s="297"/>
      <c r="Z161" s="28">
        <f>IF(A161=1,SUM($A$6:$A161),0)</f>
      </c>
      <c r="AA161" s="28">
        <f t="shared" si="13"/>
        <v>0</v>
      </c>
      <c r="AB161" s="28">
        <v>150</v>
      </c>
    </row>
    <row r="162" spans="1:28" ht="12.75" x14ac:dyDescent="0.2">
      <c r="A162" s="132">
        <f t="shared" si="12"/>
        <v>0</v>
      </c>
      <c r="B162" s="1610" t="s">
        <v>3814</v>
      </c>
      <c r="C162" s="1585">
        <v>6252</v>
      </c>
      <c r="D162" s="64"/>
      <c r="E162" s="297"/>
      <c r="F162" s="297"/>
      <c r="G162" s="297"/>
      <c r="H162" s="297"/>
      <c r="I162" s="297"/>
      <c r="Z162" s="28">
        <f>IF(A162=1,SUM($A$6:$A162),0)</f>
      </c>
      <c r="AA162" s="28">
        <f t="shared" si="13"/>
        <v>0</v>
      </c>
      <c r="AB162" s="28">
        <v>151</v>
      </c>
    </row>
    <row r="163" spans="1:28" ht="12.75" x14ac:dyDescent="0.2">
      <c r="A163" s="132">
        <f t="shared" si="12"/>
        <v>0</v>
      </c>
      <c r="B163" s="1610" t="s">
        <v>3815</v>
      </c>
      <c r="C163" s="1585">
        <v>6253</v>
      </c>
      <c r="D163" s="64"/>
      <c r="E163" s="297"/>
      <c r="F163" s="297"/>
      <c r="G163" s="297"/>
      <c r="H163" s="297"/>
      <c r="I163" s="297"/>
      <c r="Z163" s="28">
        <f>IF(A163=1,SUM($A$6:$A163),0)</f>
      </c>
      <c r="AA163" s="28">
        <f t="shared" si="13"/>
        <v>0</v>
      </c>
      <c r="AB163" s="28">
        <v>152</v>
      </c>
    </row>
    <row r="164" spans="1:28" ht="12.75" x14ac:dyDescent="0.2">
      <c r="A164" s="132">
        <f t="shared" si="12"/>
        <v>0</v>
      </c>
      <c r="B164" s="1610" t="s">
        <v>5724</v>
      </c>
      <c r="C164" s="1585">
        <v>6254</v>
      </c>
      <c r="D164" s="64"/>
      <c r="E164" s="297"/>
      <c r="F164" s="297"/>
      <c r="G164" s="297"/>
      <c r="H164" s="297"/>
      <c r="I164" s="297"/>
      <c r="Z164" s="28">
        <f>IF(A164=1,SUM($A$6:$A164),0)</f>
      </c>
      <c r="AA164" s="28">
        <f t="shared" si="13"/>
        <v>0</v>
      </c>
      <c r="AB164" s="28">
        <v>153</v>
      </c>
    </row>
    <row r="165" spans="1:28" ht="12.75" x14ac:dyDescent="0.2">
      <c r="A165" s="132">
        <f t="shared" si="12"/>
        <v>0</v>
      </c>
      <c r="B165" s="1610" t="s">
        <v>5725</v>
      </c>
      <c r="C165" s="1585">
        <v>6255</v>
      </c>
      <c r="D165" s="64"/>
      <c r="E165" s="297"/>
      <c r="F165" s="297"/>
      <c r="G165" s="297"/>
      <c r="H165" s="297"/>
      <c r="I165" s="297"/>
      <c r="Z165" s="28">
        <f>IF(A165=1,SUM($A$6:$A165),0)</f>
      </c>
      <c r="AA165" s="28">
        <f t="shared" si="13"/>
        <v>0</v>
      </c>
      <c r="AB165" s="28">
        <v>154</v>
      </c>
    </row>
    <row r="166" spans="1:28" ht="12.75" x14ac:dyDescent="0.2">
      <c r="A166" s="132">
        <f t="shared" si="12"/>
        <v>0</v>
      </c>
      <c r="B166" s="1610" t="s">
        <v>5726</v>
      </c>
      <c r="C166" s="1585">
        <v>6290</v>
      </c>
      <c r="D166" s="64"/>
      <c r="E166" s="297"/>
      <c r="F166" s="297"/>
      <c r="G166" s="297"/>
      <c r="H166" s="297"/>
      <c r="I166" s="297"/>
      <c r="Z166" s="28">
        <f>IF(A166=1,SUM($A$6:$A166),0)</f>
      </c>
      <c r="AA166" s="28">
        <f t="shared" si="13"/>
        <v>0</v>
      </c>
      <c r="AB166" s="28">
        <v>155</v>
      </c>
    </row>
    <row r="167" spans="1:28" ht="12.75" x14ac:dyDescent="0.2">
      <c r="A167" s="132">
        <f t="shared" si="12"/>
        <v>0</v>
      </c>
      <c r="B167" s="1610" t="s">
        <v>2291</v>
      </c>
      <c r="C167" s="1585">
        <v>6291</v>
      </c>
      <c r="D167" s="64"/>
      <c r="E167" s="297"/>
      <c r="F167" s="297"/>
      <c r="G167" s="297"/>
      <c r="H167" s="297"/>
      <c r="I167" s="297"/>
      <c r="Z167" s="28">
        <f>IF(A167=1,SUM($A$6:$A167),0)</f>
      </c>
      <c r="AA167" s="28">
        <f t="shared" si="13"/>
        <v>0</v>
      </c>
      <c r="AB167" s="28">
        <v>156</v>
      </c>
    </row>
    <row r="168" spans="1:28" ht="12.75" x14ac:dyDescent="0.2">
      <c r="A168" s="132">
        <f t="shared" si="12"/>
        <v>0</v>
      </c>
      <c r="B168" s="1610" t="s">
        <v>2292</v>
      </c>
      <c r="C168" s="1585">
        <v>6292</v>
      </c>
      <c r="D168" s="64"/>
      <c r="E168" s="297"/>
      <c r="F168" s="297"/>
      <c r="G168" s="297"/>
      <c r="H168" s="297"/>
      <c r="I168" s="297"/>
      <c r="Z168" s="28">
        <f>IF(A168=1,SUM($A$6:$A168),0)</f>
      </c>
      <c r="AA168" s="28">
        <f t="shared" si="13"/>
        <v>0</v>
      </c>
      <c r="AB168" s="28">
        <v>157</v>
      </c>
    </row>
    <row r="169" spans="1:28" ht="12.75" x14ac:dyDescent="0.2">
      <c r="A169" s="132">
        <f t="shared" si="12"/>
        <v>0</v>
      </c>
      <c r="B169" s="1610" t="s">
        <v>6964</v>
      </c>
      <c r="C169" s="1585">
        <v>6293</v>
      </c>
      <c r="D169" s="64"/>
      <c r="E169" s="297"/>
      <c r="F169" s="297"/>
      <c r="G169" s="297"/>
      <c r="H169" s="297"/>
      <c r="I169" s="297"/>
      <c r="Z169" s="28">
        <f>IF(A169=1,SUM($A$6:$A169),0)</f>
      </c>
      <c r="AA169" s="28">
        <f t="shared" si="13"/>
        <v>0</v>
      </c>
      <c r="AB169" s="28">
        <v>158</v>
      </c>
    </row>
    <row r="170" spans="1:28" ht="12.75" x14ac:dyDescent="0.2">
      <c r="A170" s="132">
        <f t="shared" si="12"/>
        <v>0</v>
      </c>
      <c r="B170" s="1610" t="s">
        <v>6965</v>
      </c>
      <c r="C170" s="1585">
        <v>6294</v>
      </c>
      <c r="D170" s="64"/>
      <c r="E170" s="297"/>
      <c r="F170" s="297"/>
      <c r="G170" s="297"/>
      <c r="H170" s="297"/>
      <c r="I170" s="297"/>
      <c r="Z170" s="28">
        <f>IF(A170=1,SUM($A$6:$A170),0)</f>
      </c>
      <c r="AA170" s="28">
        <f t="shared" si="13"/>
        <v>0</v>
      </c>
      <c r="AB170" s="28">
        <v>159</v>
      </c>
    </row>
    <row r="171" spans="1:28" ht="12.75" x14ac:dyDescent="0.2">
      <c r="A171" s="132">
        <f t="shared" si="12"/>
        <v>1</v>
      </c>
      <c r="B171" s="1610" t="s">
        <v>2243</v>
      </c>
      <c r="C171" s="1585">
        <v>6295</v>
      </c>
      <c r="D171" s="64"/>
      <c r="E171" s="297"/>
      <c r="F171" s="297"/>
      <c r="G171" s="297"/>
      <c r="H171" s="297"/>
      <c r="I171" s="297"/>
      <c r="Z171" s="28">
        <f>IF(A171=1,SUM($A$6:$A171),0)</f>
      </c>
      <c r="AA171" s="28">
        <f t="shared" si="13"/>
        <v>9133</v>
      </c>
      <c r="AB171" s="28">
        <v>160</v>
      </c>
    </row>
    <row r="172" spans="1:28" ht="12.75" x14ac:dyDescent="0.2">
      <c r="A172" s="132">
        <f t="shared" si="12"/>
        <v>0</v>
      </c>
      <c r="B172" s="1610" t="s">
        <v>2244</v>
      </c>
      <c r="C172" s="1585">
        <v>6310</v>
      </c>
      <c r="D172" s="64"/>
      <c r="E172" s="297"/>
      <c r="F172" s="297"/>
      <c r="G172" s="297"/>
      <c r="H172" s="297"/>
      <c r="I172" s="297"/>
      <c r="Z172" s="28">
        <f>IF(A172=1,SUM($A$6:$A172),0)</f>
      </c>
      <c r="AA172" s="28">
        <f t="shared" si="13"/>
        <v>0</v>
      </c>
      <c r="AB172" s="28">
        <v>161</v>
      </c>
    </row>
    <row r="173" spans="1:28" ht="12.75" x14ac:dyDescent="0.2">
      <c r="A173" s="132">
        <f t="shared" si="12"/>
        <v>1</v>
      </c>
      <c r="B173" s="1610" t="s">
        <v>1561</v>
      </c>
      <c r="C173" s="1585">
        <v>6311</v>
      </c>
      <c r="D173" s="64"/>
      <c r="E173" s="297"/>
      <c r="F173" s="297"/>
      <c r="G173" s="297"/>
      <c r="H173" s="297"/>
      <c r="I173" s="297"/>
      <c r="Z173" s="28">
        <f>IF(A173=1,SUM($A$6:$A173),0)</f>
      </c>
      <c r="AA173" s="28">
        <f t="shared" si="13"/>
        <v>836</v>
      </c>
      <c r="AB173" s="28">
        <v>162</v>
      </c>
    </row>
    <row r="174" spans="1:28" ht="12.75" x14ac:dyDescent="0.2">
      <c r="A174" s="132">
        <f t="shared" si="12"/>
        <v>0</v>
      </c>
      <c r="B174" s="1610" t="s">
        <v>6497</v>
      </c>
      <c r="C174" s="1585">
        <v>6312</v>
      </c>
      <c r="D174" s="64"/>
      <c r="E174" s="297"/>
      <c r="F174" s="297"/>
      <c r="G174" s="297"/>
      <c r="H174" s="297"/>
      <c r="I174" s="297"/>
      <c r="Z174" s="28">
        <f>IF(A174=1,SUM($A$6:$A174),0)</f>
      </c>
      <c r="AA174" s="28">
        <f t="shared" si="13"/>
        <v>0</v>
      </c>
      <c r="AB174" s="28">
        <v>163</v>
      </c>
    </row>
    <row r="175" spans="1:28" ht="12.75" x14ac:dyDescent="0.2">
      <c r="A175" s="132">
        <f t="shared" si="12"/>
        <v>1</v>
      </c>
      <c r="B175" s="1610" t="s">
        <v>6498</v>
      </c>
      <c r="C175" s="1585">
        <v>6313</v>
      </c>
      <c r="D175" s="64"/>
      <c r="E175" s="297"/>
      <c r="F175" s="297"/>
      <c r="G175" s="297"/>
      <c r="H175" s="297"/>
      <c r="I175" s="297"/>
      <c r="Z175" s="28">
        <f>IF(A175=1,SUM($A$6:$A175),0)</f>
      </c>
      <c r="AA175" s="28">
        <f t="shared" si="13"/>
        <v>30840</v>
      </c>
      <c r="AB175" s="28">
        <v>164</v>
      </c>
    </row>
    <row r="176" spans="1:28" ht="12.75" x14ac:dyDescent="0.2">
      <c r="A176" s="132">
        <f t="shared" si="12"/>
        <v>0</v>
      </c>
      <c r="B176" s="1610" t="s">
        <v>3284</v>
      </c>
      <c r="C176" s="1585">
        <v>6314</v>
      </c>
      <c r="D176" s="64"/>
      <c r="E176" s="297"/>
      <c r="F176" s="297"/>
      <c r="G176" s="297"/>
      <c r="H176" s="297"/>
      <c r="I176" s="297"/>
      <c r="Z176" s="28">
        <f>IF(A176=1,SUM($A$6:$A176),0)</f>
      </c>
      <c r="AA176" s="28">
        <f t="shared" si="13"/>
        <v>0</v>
      </c>
      <c r="AB176" s="28">
        <v>165</v>
      </c>
    </row>
    <row r="177" spans="1:55" ht="12.75" x14ac:dyDescent="0.2">
      <c r="A177" s="132">
        <f t="shared" si="12"/>
        <v>0</v>
      </c>
      <c r="B177" s="1610" t="s">
        <v>3365</v>
      </c>
      <c r="C177" s="1585">
        <v>6340</v>
      </c>
      <c r="D177" s="64"/>
      <c r="E177" s="297"/>
      <c r="F177" s="297"/>
      <c r="G177" s="297"/>
      <c r="H177" s="297"/>
      <c r="I177" s="297"/>
      <c r="Z177" s="28">
        <f>IF(A177=1,SUM($A$6:$A177),0)</f>
      </c>
      <c r="AA177" s="28">
        <f t="shared" si="13"/>
        <v>0</v>
      </c>
      <c r="AB177" s="28">
        <v>166</v>
      </c>
    </row>
    <row r="178" spans="1:55" ht="12.75" x14ac:dyDescent="0.2">
      <c r="A178" s="132">
        <f t="shared" si="12"/>
        <v>0</v>
      </c>
      <c r="B178" s="1610" t="s">
        <v>3366</v>
      </c>
      <c r="C178" s="1585">
        <v>6341</v>
      </c>
      <c r="D178" s="64"/>
      <c r="E178" s="297"/>
      <c r="F178" s="297"/>
      <c r="G178" s="297"/>
      <c r="H178" s="297"/>
      <c r="I178" s="297"/>
      <c r="Z178" s="28">
        <f>IF(A178=1,SUM($A$6:$A178),0)</f>
      </c>
      <c r="AA178" s="28">
        <f t="shared" si="13"/>
        <v>0</v>
      </c>
      <c r="AB178" s="28">
        <v>167</v>
      </c>
    </row>
    <row r="179" spans="1:55" ht="12.75" x14ac:dyDescent="0.2">
      <c r="A179" s="132">
        <f t="shared" si="12"/>
        <v>0</v>
      </c>
      <c r="B179" s="1610" t="s">
        <v>3367</v>
      </c>
      <c r="C179" s="1585">
        <v>6342</v>
      </c>
      <c r="D179" s="64"/>
      <c r="E179" s="297"/>
      <c r="F179" s="297"/>
      <c r="G179" s="297"/>
      <c r="H179" s="297"/>
      <c r="I179" s="297"/>
      <c r="Z179" s="28">
        <f>IF(A179=1,SUM($A$6:$A179),0)</f>
      </c>
      <c r="AA179" s="28">
        <f t="shared" si="13"/>
        <v>0</v>
      </c>
      <c r="AB179" s="28">
        <v>168</v>
      </c>
    </row>
    <row r="180" spans="1:55" ht="12.75" x14ac:dyDescent="0.2">
      <c r="A180" s="132">
        <f t="shared" si="12"/>
        <v>0</v>
      </c>
      <c r="B180" s="1610" t="s">
        <v>2658</v>
      </c>
      <c r="C180" s="1585">
        <v>6343</v>
      </c>
      <c r="D180" s="64"/>
      <c r="E180" s="297"/>
      <c r="F180" s="297"/>
      <c r="G180" s="297"/>
      <c r="H180" s="297"/>
      <c r="I180" s="297"/>
      <c r="Z180" s="28">
        <f>IF(A180=1,SUM($A$6:$A180),0)</f>
      </c>
      <c r="AA180" s="28">
        <f t="shared" si="13"/>
        <v>0</v>
      </c>
      <c r="AB180" s="28">
        <v>169</v>
      </c>
    </row>
    <row r="181" spans="1:55" ht="12.75" x14ac:dyDescent="0.2">
      <c r="A181" s="132">
        <f t="shared" si="12"/>
        <v>0</v>
      </c>
      <c r="B181" s="1610" t="s">
        <v>10612</v>
      </c>
      <c r="C181" s="1585">
        <v>6344</v>
      </c>
      <c r="D181" s="64"/>
      <c r="E181" s="297"/>
      <c r="F181" s="297"/>
      <c r="G181" s="297"/>
      <c r="H181" s="297"/>
      <c r="I181" s="297"/>
      <c r="Z181" s="28">
        <f>IF(A181=1,SUM($A$6:$A181),0)</f>
      </c>
      <c r="AA181" s="28">
        <f t="shared" si="13"/>
        <v>0</v>
      </c>
      <c r="AB181" s="28">
        <v>170</v>
      </c>
    </row>
    <row r="182" spans="1:55" ht="12.75" x14ac:dyDescent="0.2">
      <c r="A182" s="132">
        <f t="shared" si="12"/>
        <v>1</v>
      </c>
      <c r="B182" s="1610" t="s">
        <v>2458</v>
      </c>
      <c r="C182" s="1585">
        <v>6345</v>
      </c>
      <c r="D182" s="64"/>
      <c r="E182" s="297"/>
      <c r="F182" s="297"/>
      <c r="G182" s="297"/>
      <c r="H182" s="297"/>
      <c r="I182" s="297"/>
      <c r="Z182" s="28">
        <f>IF(A182=1,SUM($A$6:$A182),0)</f>
      </c>
      <c r="AA182" s="28">
        <f t="shared" si="13"/>
        <v>3891</v>
      </c>
      <c r="AB182" s="28">
        <v>171</v>
      </c>
    </row>
    <row r="183" spans="1:55" ht="12.75" x14ac:dyDescent="0.2">
      <c r="A183" s="132">
        <f t="shared" si="12"/>
        <v>1</v>
      </c>
      <c r="B183" s="1610" t="s">
        <v>2459</v>
      </c>
      <c r="C183" s="1585">
        <v>6346</v>
      </c>
      <c r="D183" s="64"/>
      <c r="E183" s="297">
        <f>45+50</f>
      </c>
      <c r="F183" s="297"/>
      <c r="G183" s="297"/>
      <c r="H183" s="297"/>
      <c r="I183" s="297"/>
      <c r="Z183" s="28">
        <f>IF(A183=1,SUM($A$6:$A183),0)</f>
      </c>
      <c r="AA183" s="28">
        <f t="shared" si="13"/>
        <v>95</v>
      </c>
      <c r="AB183" s="28">
        <v>172</v>
      </c>
    </row>
    <row r="184" spans="1:55" ht="12.75" x14ac:dyDescent="0.2">
      <c r="A184" s="132">
        <f t="shared" si="12"/>
        <v>1</v>
      </c>
      <c r="B184" s="1610" t="s">
        <v>2460</v>
      </c>
      <c r="C184" s="1585">
        <v>6347</v>
      </c>
      <c r="D184" s="64"/>
      <c r="E184" s="297"/>
      <c r="F184" s="297"/>
      <c r="G184" s="297"/>
      <c r="H184" s="297"/>
      <c r="I184" s="297"/>
      <c r="Z184" s="28">
        <f>IF(A184=1,SUM($A$6:$A184),0)</f>
      </c>
      <c r="AA184" s="28">
        <f t="shared" si="13"/>
        <v>15994</v>
      </c>
      <c r="AB184" s="28">
        <v>173</v>
      </c>
    </row>
    <row r="185" spans="1:55" ht="12.75" x14ac:dyDescent="0.2">
      <c r="A185" s="132">
        <f t="shared" si="12"/>
        <v>0</v>
      </c>
      <c r="B185" s="1610" t="s">
        <v>2461</v>
      </c>
      <c r="C185" s="1585">
        <v>6348</v>
      </c>
      <c r="D185" s="64"/>
      <c r="E185" s="297"/>
      <c r="F185" s="297"/>
      <c r="G185" s="297"/>
      <c r="H185" s="297"/>
      <c r="I185" s="297"/>
      <c r="Z185" s="28">
        <f>IF(A185=1,SUM($A$6:$A185),0)</f>
      </c>
      <c r="AA185" s="28">
        <f t="shared" si="13"/>
        <v>0</v>
      </c>
      <c r="AB185" s="28">
        <v>174</v>
      </c>
    </row>
    <row r="186" spans="1:55" ht="12.75" x14ac:dyDescent="0.2">
      <c r="A186" s="132">
        <f t="shared" si="12"/>
        <v>0</v>
      </c>
      <c r="B186" s="1610" t="s">
        <v>2462</v>
      </c>
      <c r="C186" s="1585">
        <v>6380</v>
      </c>
      <c r="D186" s="64"/>
      <c r="E186" s="297"/>
      <c r="F186" s="297"/>
      <c r="G186" s="297"/>
      <c r="H186" s="297"/>
      <c r="I186" s="297"/>
      <c r="Z186" s="28">
        <f>IF(A186=1,SUM($A$6:$A186),0)</f>
      </c>
      <c r="AA186" s="28">
        <f t="shared" si="13"/>
        <v>0</v>
      </c>
      <c r="AB186" s="28">
        <v>175</v>
      </c>
    </row>
    <row r="187" spans="1:55" ht="12.75" x14ac:dyDescent="0.2">
      <c r="A187" s="132">
        <f t="shared" si="12"/>
        <v>1</v>
      </c>
      <c r="B187" s="1610" t="s">
        <v>2463</v>
      </c>
      <c r="C187" s="1585">
        <v>6381</v>
      </c>
      <c r="D187" s="64"/>
      <c r="E187" s="297"/>
      <c r="F187" s="297"/>
      <c r="G187" s="297"/>
      <c r="H187" s="297"/>
      <c r="I187" s="297"/>
      <c r="Z187" s="28">
        <f>IF(A187=1,SUM($A$6:$A187),0)</f>
      </c>
      <c r="AA187" s="28">
        <f t="shared" si="13"/>
        <v>-185</v>
      </c>
      <c r="AB187" s="28">
        <v>176</v>
      </c>
    </row>
    <row r="188" spans="1:55" ht="12.75" x14ac:dyDescent="0.2">
      <c r="A188" s="132">
        <f t="shared" si="12"/>
        <v>0</v>
      </c>
      <c r="B188" s="1610" t="s">
        <v>3110</v>
      </c>
      <c r="C188" s="1585">
        <v>6382</v>
      </c>
      <c r="D188" s="64"/>
      <c r="E188" s="297"/>
      <c r="F188" s="297"/>
      <c r="G188" s="297"/>
      <c r="H188" s="297"/>
      <c r="I188" s="297"/>
      <c r="Z188" s="28">
        <f>IF(A188=1,SUM($A$6:$A188),0)</f>
      </c>
      <c r="AA188" s="28">
        <f t="shared" si="13"/>
        <v>0</v>
      </c>
      <c r="AB188" s="28">
        <v>177</v>
      </c>
    </row>
    <row r="189" spans="1:55" ht="12.75" x14ac:dyDescent="0.2">
      <c r="A189" s="132">
        <f t="shared" si="12"/>
        <v>0</v>
      </c>
      <c r="B189" s="1610" t="s">
        <v>3111</v>
      </c>
      <c r="C189" s="1585">
        <v>6383</v>
      </c>
      <c r="D189" s="64"/>
      <c r="E189" s="297"/>
      <c r="F189" s="297"/>
      <c r="G189" s="297"/>
      <c r="H189" s="297"/>
      <c r="I189" s="297"/>
      <c r="Z189" s="28">
        <f>IF(A189=1,SUM($A$6:$A189),0)</f>
      </c>
      <c r="AA189" s="28">
        <f t="shared" si="13"/>
        <v>0</v>
      </c>
      <c r="AB189" s="28">
        <v>178</v>
      </c>
    </row>
    <row r="190" spans="1:55" ht="12.75" x14ac:dyDescent="0.2">
      <c r="A190" s="132">
        <f t="shared" si="12"/>
        <v>0</v>
      </c>
      <c r="B190" s="1610" t="s">
        <v>3112</v>
      </c>
      <c r="C190" s="1585">
        <v>6384</v>
      </c>
      <c r="D190" s="64"/>
      <c r="E190" s="297"/>
      <c r="F190" s="297"/>
      <c r="G190" s="297"/>
      <c r="H190" s="297"/>
      <c r="I190" s="297"/>
      <c r="Z190" s="28">
        <f>IF(A190=1,SUM($A$6:$A190),0)</f>
      </c>
      <c r="AA190" s="28">
        <f t="shared" si="13"/>
        <v>0</v>
      </c>
      <c r="AB190" s="28">
        <v>179</v>
      </c>
    </row>
    <row r="191" spans="1:55" ht="12.75" x14ac:dyDescent="0.2">
      <c r="A191" s="132">
        <f t="shared" si="12"/>
        <v>0</v>
      </c>
      <c r="B191" s="1610" t="s">
        <v>6186</v>
      </c>
      <c r="C191" s="1585">
        <v>6385</v>
      </c>
      <c r="D191" s="64"/>
      <c r="E191" s="297"/>
      <c r="F191" s="297"/>
      <c r="G191" s="297"/>
      <c r="H191" s="297"/>
      <c r="I191" s="297"/>
      <c r="Z191" s="28">
        <f>IF(A191=1,SUM($A$6:$A191),0)</f>
      </c>
      <c r="AA191" s="28">
        <f t="shared" si="13"/>
        <v>0</v>
      </c>
      <c r="AB191" s="28">
        <v>180</v>
      </c>
    </row>
    <row r="192" spans="1:55" ht="12.75" x14ac:dyDescent="0.2">
      <c r="A192" s="132">
        <f t="shared" si="12"/>
        <v>0</v>
      </c>
      <c r="B192" s="1610" t="s">
        <v>5487</v>
      </c>
      <c r="C192" s="1585">
        <v>6400</v>
      </c>
      <c r="D192" s="64"/>
      <c r="E192" s="297"/>
      <c r="F192" s="297"/>
      <c r="G192" s="297"/>
      <c r="H192" s="297"/>
      <c r="I192" s="297"/>
      <c r="Z192" s="28">
        <f>IF(A192=1,SUM($A$6:$A192),0)</f>
      </c>
      <c r="AA192" s="28">
        <f t="shared" si="13"/>
        <v>0</v>
      </c>
      <c r="AB192" s="28">
        <v>181</v>
      </c>
      <c r="BC192" s="304">
        <f>SUM(E192:N192)</f>
      </c>
    </row>
    <row r="193" spans="1:56" ht="12.75" x14ac:dyDescent="0.2">
      <c r="A193" s="132">
        <f t="shared" si="12"/>
        <v>0</v>
      </c>
      <c r="B193" s="1611" t="s">
        <v>5595</v>
      </c>
      <c r="C193" s="1585">
        <v>6401</v>
      </c>
      <c r="D193" s="64"/>
      <c r="E193" s="297"/>
      <c r="F193" s="297"/>
      <c r="G193" s="297"/>
      <c r="H193" s="297"/>
      <c r="I193" s="297"/>
      <c r="Z193" s="28">
        <f>IF(A193=1,SUM($A$6:$A193),0)</f>
      </c>
      <c r="AA193" s="28">
        <f t="shared" si="13"/>
        <v>0</v>
      </c>
      <c r="AB193" s="28">
        <v>182</v>
      </c>
      <c r="BC193" s="304">
        <f>SUM(E193:N193)</f>
      </c>
    </row>
    <row r="194" spans="1:56" ht="12.75" x14ac:dyDescent="0.2">
      <c r="A194" s="132">
        <f t="shared" si="12"/>
        <v>0</v>
      </c>
      <c r="B194" s="1611" t="s">
        <v>3948</v>
      </c>
      <c r="C194" s="1585">
        <v>6402</v>
      </c>
      <c r="D194" s="64"/>
      <c r="E194" s="297"/>
      <c r="F194" s="297"/>
      <c r="G194" s="297"/>
      <c r="H194" s="297"/>
      <c r="I194" s="297"/>
      <c r="Z194" s="28">
        <f>IF(A194=1,SUM($A$6:$A194),0)</f>
      </c>
      <c r="AA194" s="28">
        <f t="shared" si="13"/>
        <v>0</v>
      </c>
      <c r="AB194" s="28">
        <v>183</v>
      </c>
      <c r="BC194" s="304">
        <f>SUM(E194:N194)</f>
      </c>
    </row>
    <row r="195" spans="1:56" ht="12.75" x14ac:dyDescent="0.2">
      <c r="A195" s="132">
        <f t="shared" si="12"/>
        <v>1</v>
      </c>
      <c r="B195" s="1611" t="s">
        <v>6661</v>
      </c>
      <c r="C195" s="1585">
        <v>6403</v>
      </c>
      <c r="D195" s="64"/>
      <c r="E195" s="297"/>
      <c r="F195" s="297"/>
      <c r="G195" s="297"/>
      <c r="H195" s="297"/>
      <c r="I195" s="297"/>
      <c r="Z195" s="28">
        <f>IF(A195=1,SUM($A$6:$A195),0)</f>
      </c>
      <c r="AA195" s="28">
        <f t="shared" si="13"/>
        <v>29</v>
      </c>
      <c r="AB195" s="28">
        <v>184</v>
      </c>
      <c r="BC195" s="304">
        <f>SUM(E195:N195)</f>
      </c>
    </row>
    <row r="196" spans="1:56" ht="12.75" x14ac:dyDescent="0.2">
      <c r="A196" s="132">
        <f t="shared" si="12"/>
        <v>0</v>
      </c>
      <c r="B196" s="1611" t="s">
        <v>2563</v>
      </c>
      <c r="C196" s="1585">
        <v>6404</v>
      </c>
      <c r="D196" s="64"/>
      <c r="E196" s="297"/>
      <c r="F196" s="297"/>
      <c r="G196" s="297"/>
      <c r="H196" s="297"/>
      <c r="I196" s="297"/>
      <c r="Z196" s="28">
        <f>IF(A196=1,SUM($A$6:$A196),0)</f>
      </c>
      <c r="AA196" s="28">
        <f t="shared" si="13"/>
        <v>0</v>
      </c>
      <c r="AB196" s="28">
        <v>185</v>
      </c>
      <c r="BC196" s="304">
        <f>SUM(E196:N196)</f>
      </c>
      <c r="BD196" s="299">
        <f>SUM(BC192:BC196)</f>
      </c>
    </row>
    <row r="197" spans="1:56" ht="12.75" x14ac:dyDescent="0.2">
      <c r="A197" s="132">
        <f t="shared" si="12"/>
        <v>0</v>
      </c>
      <c r="B197" s="1611" t="s">
        <v>99</v>
      </c>
      <c r="C197" s="1585">
        <v>6410</v>
      </c>
      <c r="D197" s="64"/>
      <c r="E197" s="297"/>
      <c r="F197" s="297"/>
      <c r="G197" s="297"/>
      <c r="H197" s="297"/>
      <c r="I197" s="297"/>
      <c r="Z197" s="28">
        <f>IF(A197=1,SUM($A$6:$A197),0)</f>
      </c>
      <c r="AA197" s="28">
        <f t="shared" si="13"/>
        <v>0</v>
      </c>
      <c r="AB197" s="28">
        <v>186</v>
      </c>
      <c r="BB197" s="304">
        <f>SUM(E197:N197)</f>
      </c>
    </row>
    <row r="198" spans="1:56" ht="12.75" x14ac:dyDescent="0.2">
      <c r="A198" s="132">
        <f t="shared" si="12"/>
        <v>0</v>
      </c>
      <c r="B198" s="1611" t="s">
        <v>31</v>
      </c>
      <c r="C198" s="1585">
        <v>6411</v>
      </c>
      <c r="D198" s="64"/>
      <c r="E198" s="297"/>
      <c r="F198" s="297"/>
      <c r="G198" s="297"/>
      <c r="H198" s="297"/>
      <c r="I198" s="297"/>
      <c r="Z198" s="28">
        <f>IF(A198=1,SUM($A$6:$A198),0)</f>
      </c>
      <c r="AA198" s="28">
        <f t="shared" si="13"/>
        <v>0</v>
      </c>
      <c r="AB198" s="28">
        <v>187</v>
      </c>
      <c r="BB198" s="304">
        <f t="shared" ref="BB198:BB232" si="14">SUM(E198:N198)</f>
      </c>
    </row>
    <row r="199" spans="1:56" ht="12.75" x14ac:dyDescent="0.2">
      <c r="A199" s="132">
        <f t="shared" si="12"/>
        <v>0</v>
      </c>
      <c r="B199" s="1611" t="s">
        <v>32</v>
      </c>
      <c r="C199" s="1585">
        <v>6412</v>
      </c>
      <c r="D199" s="64"/>
      <c r="E199" s="297"/>
      <c r="F199" s="297"/>
      <c r="G199" s="297"/>
      <c r="H199" s="297"/>
      <c r="I199" s="297"/>
      <c r="Z199" s="28">
        <f>IF(A199=1,SUM($A$6:$A199),0)</f>
      </c>
      <c r="AA199" s="28">
        <f t="shared" si="13"/>
        <v>0</v>
      </c>
      <c r="AB199" s="28">
        <v>188</v>
      </c>
      <c r="BB199" s="304">
        <f t="shared" si="14"/>
        <v>0</v>
      </c>
    </row>
    <row r="200" spans="1:56" ht="12.75" x14ac:dyDescent="0.2">
      <c r="A200" s="132">
        <f t="shared" si="12"/>
        <v>0</v>
      </c>
      <c r="B200" s="1611" t="s">
        <v>5467</v>
      </c>
      <c r="C200" s="1585">
        <v>6413</v>
      </c>
      <c r="D200" s="64"/>
      <c r="E200" s="297"/>
      <c r="F200" s="297"/>
      <c r="G200" s="297"/>
      <c r="H200" s="297"/>
      <c r="I200" s="297"/>
      <c r="Z200" s="28">
        <f>IF(A200=1,SUM($A$6:$A200),0)</f>
      </c>
      <c r="AA200" s="28">
        <f t="shared" si="13"/>
        <v>0</v>
      </c>
      <c r="AB200" s="28">
        <v>189</v>
      </c>
      <c r="BB200" s="304">
        <f t="shared" si="14"/>
        <v>0</v>
      </c>
    </row>
    <row r="201" spans="1:56" ht="12.75" x14ac:dyDescent="0.2">
      <c r="A201" s="132">
        <f t="shared" si="12"/>
        <v>0</v>
      </c>
      <c r="B201" s="1611" t="s">
        <v>4448</v>
      </c>
      <c r="C201" s="1585">
        <v>6420</v>
      </c>
      <c r="D201" s="64"/>
      <c r="E201" s="297"/>
      <c r="F201" s="297"/>
      <c r="G201" s="297"/>
      <c r="H201" s="297"/>
      <c r="I201" s="297"/>
      <c r="Z201" s="28">
        <f>IF(A201=1,SUM($A$6:$A201),0)</f>
      </c>
      <c r="AA201" s="28">
        <f t="shared" si="13"/>
        <v>0</v>
      </c>
      <c r="AB201" s="28">
        <v>190</v>
      </c>
      <c r="BB201" s="304">
        <f t="shared" si="14"/>
        <v>0</v>
      </c>
    </row>
    <row r="202" spans="1:56" ht="12.75" x14ac:dyDescent="0.2">
      <c r="A202" s="132">
        <f t="shared" si="12"/>
        <v>0</v>
      </c>
      <c r="B202" s="1611" t="s">
        <v>6212</v>
      </c>
      <c r="C202" s="1585">
        <v>6421</v>
      </c>
      <c r="D202" s="64"/>
      <c r="E202" s="297"/>
      <c r="F202" s="297"/>
      <c r="G202" s="297"/>
      <c r="H202" s="297"/>
      <c r="I202" s="297"/>
      <c r="Z202" s="28">
        <f>IF(A202=1,SUM($A$6:$A202),0)</f>
      </c>
      <c r="AA202" s="28">
        <f t="shared" si="13"/>
        <v>0</v>
      </c>
      <c r="AB202" s="28">
        <v>191</v>
      </c>
      <c r="BB202" s="304">
        <f t="shared" si="14"/>
        <v>0</v>
      </c>
    </row>
    <row r="203" spans="1:56" ht="12.75" x14ac:dyDescent="0.2">
      <c r="A203" s="132">
        <f t="shared" si="12"/>
        <v>0</v>
      </c>
      <c r="B203" s="1611" t="s">
        <v>1818</v>
      </c>
      <c r="C203" s="1585">
        <v>6422</v>
      </c>
      <c r="D203" s="64"/>
      <c r="E203" s="297"/>
      <c r="F203" s="297"/>
      <c r="G203" s="297"/>
      <c r="H203" s="297"/>
      <c r="I203" s="297"/>
      <c r="Z203" s="28">
        <f>IF(A203=1,SUM($A$6:$A203),0)</f>
      </c>
      <c r="AA203" s="28">
        <f t="shared" si="13"/>
        <v>0</v>
      </c>
      <c r="AB203" s="28">
        <v>192</v>
      </c>
      <c r="BB203" s="304">
        <f t="shared" si="14"/>
        <v>0</v>
      </c>
    </row>
    <row r="204" spans="1:56" ht="12.75" x14ac:dyDescent="0.2">
      <c r="A204" s="132">
        <f t="shared" si="12"/>
        <v>0</v>
      </c>
      <c r="B204" s="1611" t="s">
        <v>1819</v>
      </c>
      <c r="C204" s="1585">
        <v>6423</v>
      </c>
      <c r="D204" s="64"/>
      <c r="E204" s="297"/>
      <c r="F204" s="297"/>
      <c r="G204" s="297"/>
      <c r="H204" s="297"/>
      <c r="I204" s="297"/>
      <c r="Z204" s="28">
        <f>IF(A204=1,SUM($A$6:$A204),0)</f>
      </c>
      <c r="AA204" s="28">
        <f t="shared" si="13"/>
        <v>0</v>
      </c>
      <c r="AB204" s="28">
        <v>193</v>
      </c>
      <c r="BB204" s="304">
        <f t="shared" si="14"/>
        <v>0</v>
      </c>
    </row>
    <row r="205" spans="1:56" ht="12.75" x14ac:dyDescent="0.2">
      <c r="A205" s="132">
        <f t="shared" ref="A205:A268" si="15">IF(OR(E205&lt;&gt;"",F205&lt;&gt;"",G205&lt;&gt;"",H205&lt;&gt;"",I205&lt;&gt;""),1,0)</f>
      </c>
      <c r="B205" s="1610" t="s">
        <v>1755</v>
      </c>
      <c r="C205" s="1585">
        <v>6430</v>
      </c>
      <c r="D205" s="64"/>
      <c r="E205" s="297"/>
      <c r="F205" s="297"/>
      <c r="G205" s="297"/>
      <c r="H205" s="297"/>
      <c r="I205" s="297"/>
      <c r="Z205" s="28">
        <f>IF(A205=1,SUM($A$6:$A205),0)</f>
      </c>
      <c r="AA205" s="28">
        <f t="shared" ref="AA205:AA263" si="16">INDEX(activity,AB205,$AA$1)</f>
      </c>
      <c r="AB205" s="28">
        <v>194</v>
      </c>
      <c r="BB205" s="304">
        <f t="shared" si="14"/>
        <v>0</v>
      </c>
    </row>
    <row r="206" spans="1:56" ht="12.75" x14ac:dyDescent="0.2">
      <c r="A206" s="132">
        <f t="shared" si="15"/>
        <v>0</v>
      </c>
      <c r="B206" s="1611" t="s">
        <v>1756</v>
      </c>
      <c r="C206" s="1585">
        <v>6431</v>
      </c>
      <c r="D206" s="64"/>
      <c r="E206" s="297"/>
      <c r="F206" s="297"/>
      <c r="G206" s="297"/>
      <c r="H206" s="297"/>
      <c r="I206" s="297"/>
      <c r="Z206" s="28">
        <f>IF(A206=1,SUM($A$6:$A206),0)</f>
      </c>
      <c r="AA206" s="28">
        <f t="shared" si="16"/>
        <v>0</v>
      </c>
      <c r="AB206" s="28">
        <v>195</v>
      </c>
      <c r="BB206" s="304">
        <f t="shared" si="14"/>
        <v>0</v>
      </c>
    </row>
    <row r="207" spans="1:56" ht="12.75" x14ac:dyDescent="0.2">
      <c r="A207" s="132">
        <f t="shared" si="15"/>
        <v>0</v>
      </c>
      <c r="B207" s="1611" t="s">
        <v>1757</v>
      </c>
      <c r="C207" s="1585">
        <v>6432</v>
      </c>
      <c r="D207" s="64"/>
      <c r="E207" s="297"/>
      <c r="F207" s="297"/>
      <c r="G207" s="297"/>
      <c r="H207" s="297"/>
      <c r="I207" s="297"/>
      <c r="Z207" s="28">
        <f>IF(A207=1,SUM($A$6:$A207),0)</f>
      </c>
      <c r="AA207" s="28">
        <f t="shared" si="16"/>
        <v>0</v>
      </c>
      <c r="AB207" s="28">
        <v>196</v>
      </c>
      <c r="BB207" s="304">
        <f t="shared" si="14"/>
        <v>0</v>
      </c>
    </row>
    <row r="208" spans="1:56" ht="12.75" x14ac:dyDescent="0.2">
      <c r="A208" s="132">
        <f t="shared" si="15"/>
        <v>0</v>
      </c>
      <c r="B208" s="1611" t="s">
        <v>1758</v>
      </c>
      <c r="C208" s="1585">
        <v>6433</v>
      </c>
      <c r="D208" s="64"/>
      <c r="E208" s="297"/>
      <c r="F208" s="297"/>
      <c r="G208" s="297"/>
      <c r="H208" s="297"/>
      <c r="I208" s="297"/>
      <c r="Z208" s="28">
        <f>IF(A208=1,SUM($A$6:$A208),0)</f>
      </c>
      <c r="AA208" s="28">
        <f t="shared" si="16"/>
        <v>0</v>
      </c>
      <c r="AB208" s="28">
        <v>197</v>
      </c>
      <c r="BB208" s="304">
        <f t="shared" si="14"/>
        <v>0</v>
      </c>
    </row>
    <row r="209" spans="1:54" ht="12.75" x14ac:dyDescent="0.2">
      <c r="A209" s="132">
        <f t="shared" si="15"/>
        <v>0</v>
      </c>
      <c r="B209" s="1611" t="s">
        <v>5459</v>
      </c>
      <c r="C209" s="1585">
        <v>6434</v>
      </c>
      <c r="D209" s="64"/>
      <c r="E209" s="297"/>
      <c r="F209" s="297"/>
      <c r="G209" s="297"/>
      <c r="H209" s="297"/>
      <c r="I209" s="297"/>
      <c r="Z209" s="28">
        <f>IF(A209=1,SUM($A$6:$A209),0)</f>
      </c>
      <c r="AA209" s="28">
        <f t="shared" si="16"/>
        <v>0</v>
      </c>
      <c r="AB209" s="28">
        <v>198</v>
      </c>
      <c r="BB209" s="304">
        <f t="shared" si="14"/>
        <v>0</v>
      </c>
    </row>
    <row r="210" spans="1:54" ht="12.75" x14ac:dyDescent="0.2">
      <c r="A210" s="132">
        <f t="shared" si="15"/>
        <v>0</v>
      </c>
      <c r="B210" s="1611" t="s">
        <v>5460</v>
      </c>
      <c r="C210" s="1585">
        <v>6435</v>
      </c>
      <c r="D210" s="64"/>
      <c r="E210" s="297"/>
      <c r="F210" s="297"/>
      <c r="G210" s="297"/>
      <c r="H210" s="297"/>
      <c r="I210" s="297"/>
      <c r="Z210" s="28">
        <f>IF(A210=1,SUM($A$6:$A210),0)</f>
      </c>
      <c r="AA210" s="28">
        <f t="shared" si="16"/>
        <v>0</v>
      </c>
      <c r="AB210" s="28">
        <v>199</v>
      </c>
      <c r="BB210" s="304">
        <f t="shared" si="14"/>
        <v>0</v>
      </c>
    </row>
    <row r="211" spans="1:54" ht="12.75" x14ac:dyDescent="0.2">
      <c r="A211" s="132">
        <f t="shared" si="15"/>
        <v>0</v>
      </c>
      <c r="B211" s="1611" t="s">
        <v>5461</v>
      </c>
      <c r="C211" s="1585">
        <v>6436</v>
      </c>
      <c r="D211" s="64"/>
      <c r="E211" s="297"/>
      <c r="F211" s="297"/>
      <c r="G211" s="297"/>
      <c r="H211" s="297"/>
      <c r="I211" s="297"/>
      <c r="Z211" s="28">
        <f>IF(A211=1,SUM($A$6:$A211),0)</f>
      </c>
      <c r="AA211" s="28">
        <f t="shared" si="16"/>
        <v>0</v>
      </c>
      <c r="AB211" s="28">
        <v>200</v>
      </c>
      <c r="BB211" s="304">
        <f t="shared" si="14"/>
        <v>0</v>
      </c>
    </row>
    <row r="212" spans="1:54" ht="12.75" x14ac:dyDescent="0.2">
      <c r="A212" s="132">
        <f t="shared" si="15"/>
        <v>0</v>
      </c>
      <c r="B212" s="1611" t="s">
        <v>5462</v>
      </c>
      <c r="C212" s="1585">
        <v>6437</v>
      </c>
      <c r="D212" s="64"/>
      <c r="E212" s="297"/>
      <c r="F212" s="297"/>
      <c r="G212" s="297"/>
      <c r="H212" s="297"/>
      <c r="I212" s="297"/>
      <c r="Z212" s="28">
        <f>IF(A212=1,SUM($A$6:$A212),0)</f>
      </c>
      <c r="AA212" s="28">
        <f t="shared" si="16"/>
        <v>0</v>
      </c>
      <c r="AB212" s="28">
        <v>201</v>
      </c>
      <c r="BB212" s="304">
        <f t="shared" si="14"/>
        <v>0</v>
      </c>
    </row>
    <row r="213" spans="1:54" ht="12.75" x14ac:dyDescent="0.2">
      <c r="A213" s="132">
        <f t="shared" si="15"/>
        <v>0</v>
      </c>
      <c r="B213" s="1611" t="s">
        <v>5463</v>
      </c>
      <c r="C213" s="1585">
        <v>6438</v>
      </c>
      <c r="D213" s="64"/>
      <c r="E213" s="297"/>
      <c r="F213" s="297"/>
      <c r="G213" s="297"/>
      <c r="H213" s="297"/>
      <c r="I213" s="297"/>
      <c r="Z213" s="28">
        <f>IF(A213=1,SUM($A$6:$A213),0)</f>
      </c>
      <c r="AA213" s="28">
        <f t="shared" si="16"/>
        <v>0</v>
      </c>
      <c r="AB213" s="28">
        <v>202</v>
      </c>
      <c r="BB213" s="304">
        <f t="shared" si="14"/>
        <v>0</v>
      </c>
    </row>
    <row r="214" spans="1:54" ht="12.75" x14ac:dyDescent="0.2">
      <c r="A214" s="132">
        <f t="shared" si="15"/>
        <v>0</v>
      </c>
      <c r="B214" s="1611" t="s">
        <v>6283</v>
      </c>
      <c r="C214" s="1585">
        <v>6439</v>
      </c>
      <c r="D214" s="64"/>
      <c r="E214" s="297"/>
      <c r="F214" s="297"/>
      <c r="G214" s="297"/>
      <c r="H214" s="297"/>
      <c r="I214" s="297"/>
      <c r="Z214" s="28">
        <f>IF(A214=1,SUM($A$6:$A214),0)</f>
      </c>
      <c r="AA214" s="28">
        <f t="shared" si="16"/>
        <v>0</v>
      </c>
      <c r="AB214" s="28">
        <v>203</v>
      </c>
      <c r="BB214" s="304">
        <f t="shared" si="14"/>
        <v>0</v>
      </c>
    </row>
    <row r="215" spans="1:54" ht="12.75" x14ac:dyDescent="0.2">
      <c r="A215" s="132">
        <f t="shared" si="15"/>
        <v>0</v>
      </c>
      <c r="B215" s="1611" t="s">
        <v>2486</v>
      </c>
      <c r="C215" s="1585">
        <v>6440</v>
      </c>
      <c r="D215" s="64"/>
      <c r="E215" s="297"/>
      <c r="F215" s="297"/>
      <c r="G215" s="297"/>
      <c r="H215" s="297"/>
      <c r="I215" s="297"/>
      <c r="Z215" s="28">
        <f>IF(A215=1,SUM($A$6:$A215),0)</f>
      </c>
      <c r="AA215" s="28">
        <f t="shared" si="16"/>
        <v>0</v>
      </c>
      <c r="AB215" s="28">
        <v>204</v>
      </c>
      <c r="BB215" s="304">
        <f t="shared" si="14"/>
        <v>0</v>
      </c>
    </row>
    <row r="216" spans="1:54" ht="12.75" x14ac:dyDescent="0.2">
      <c r="A216" s="132">
        <f t="shared" si="15"/>
        <v>0</v>
      </c>
      <c r="B216" s="1611" t="s">
        <v>2659</v>
      </c>
      <c r="C216" s="1585">
        <v>6441</v>
      </c>
      <c r="D216" s="64"/>
      <c r="E216" s="297"/>
      <c r="F216" s="297"/>
      <c r="G216" s="297"/>
      <c r="H216" s="297"/>
      <c r="I216" s="297"/>
      <c r="Z216" s="28">
        <f>IF(A216=1,SUM($A$6:$A216),0)</f>
      </c>
      <c r="AA216" s="28">
        <f t="shared" si="16"/>
        <v>0</v>
      </c>
      <c r="AB216" s="28">
        <v>205</v>
      </c>
      <c r="BB216" s="304">
        <f t="shared" si="14"/>
        <v>0</v>
      </c>
    </row>
    <row r="217" spans="1:54" ht="12.75" x14ac:dyDescent="0.2">
      <c r="A217" s="132">
        <f t="shared" si="15"/>
        <v>0</v>
      </c>
      <c r="B217" s="1611" t="s">
        <v>3065</v>
      </c>
      <c r="C217" s="1585">
        <v>6442</v>
      </c>
      <c r="D217" s="64"/>
      <c r="E217" s="297"/>
      <c r="F217" s="297"/>
      <c r="G217" s="297"/>
      <c r="H217" s="297"/>
      <c r="I217" s="297"/>
      <c r="Z217" s="28">
        <f>IF(A217=1,SUM($A$6:$A217),0)</f>
      </c>
      <c r="AA217" s="28">
        <f t="shared" si="16"/>
        <v>0</v>
      </c>
      <c r="AB217" s="28">
        <v>206</v>
      </c>
      <c r="BB217" s="304">
        <f t="shared" si="14"/>
        <v>0</v>
      </c>
    </row>
    <row r="218" spans="1:54" ht="12.75" x14ac:dyDescent="0.2">
      <c r="A218" s="132">
        <f t="shared" si="15"/>
        <v>0</v>
      </c>
      <c r="B218" s="1611" t="s">
        <v>6715</v>
      </c>
      <c r="C218" s="1585">
        <v>6443</v>
      </c>
      <c r="D218" s="64"/>
      <c r="E218" s="297"/>
      <c r="F218" s="297"/>
      <c r="G218" s="297"/>
      <c r="H218" s="297"/>
      <c r="I218" s="297"/>
      <c r="Z218" s="28">
        <f>IF(A218=1,SUM($A$6:$A218),0)</f>
      </c>
      <c r="AA218" s="28">
        <f t="shared" si="16"/>
        <v>0</v>
      </c>
      <c r="AB218" s="28">
        <v>207</v>
      </c>
      <c r="BB218" s="304">
        <f t="shared" si="14"/>
        <v>0</v>
      </c>
    </row>
    <row r="219" spans="1:54" ht="12.75" x14ac:dyDescent="0.2">
      <c r="A219" s="132">
        <f t="shared" si="15"/>
        <v>0</v>
      </c>
      <c r="B219" s="1611" t="s">
        <v>988</v>
      </c>
      <c r="C219" s="1585">
        <v>6444</v>
      </c>
      <c r="D219" s="64"/>
      <c r="E219" s="297"/>
      <c r="F219" s="297"/>
      <c r="G219" s="297"/>
      <c r="H219" s="297"/>
      <c r="I219" s="297"/>
      <c r="Z219" s="28">
        <f>IF(A219=1,SUM($A$6:$A219),0)</f>
      </c>
      <c r="AA219" s="28">
        <f t="shared" si="16"/>
        <v>0</v>
      </c>
      <c r="AB219" s="28">
        <v>208</v>
      </c>
      <c r="BB219" s="304">
        <f t="shared" si="14"/>
        <v>0</v>
      </c>
    </row>
    <row r="220" spans="1:54" ht="12.75" x14ac:dyDescent="0.2">
      <c r="A220" s="132">
        <f t="shared" si="15"/>
        <v>0</v>
      </c>
      <c r="B220" s="1611" t="s">
        <v>989</v>
      </c>
      <c r="C220" s="1585">
        <v>6445</v>
      </c>
      <c r="D220" s="64"/>
      <c r="E220" s="297"/>
      <c r="F220" s="297"/>
      <c r="G220" s="297"/>
      <c r="H220" s="297"/>
      <c r="I220" s="297"/>
      <c r="Z220" s="28">
        <f>IF(A220=1,SUM($A$6:$A220),0)</f>
      </c>
      <c r="AA220" s="28">
        <f t="shared" si="16"/>
        <v>0</v>
      </c>
      <c r="AB220" s="28">
        <v>209</v>
      </c>
      <c r="BB220" s="304">
        <f t="shared" si="14"/>
        <v>0</v>
      </c>
    </row>
    <row r="221" spans="1:54" ht="12.75" x14ac:dyDescent="0.2">
      <c r="A221" s="132">
        <f t="shared" si="15"/>
        <v>0</v>
      </c>
      <c r="B221" s="1611" t="s">
        <v>990</v>
      </c>
      <c r="C221" s="1585">
        <v>6446</v>
      </c>
      <c r="D221" s="64"/>
      <c r="E221" s="297"/>
      <c r="F221" s="297"/>
      <c r="G221" s="297"/>
      <c r="H221" s="297"/>
      <c r="I221" s="297"/>
      <c r="Z221" s="28">
        <f>IF(A221=1,SUM($A$6:$A221),0)</f>
      </c>
      <c r="AA221" s="28">
        <f t="shared" si="16"/>
        <v>0</v>
      </c>
      <c r="AB221" s="28">
        <v>210</v>
      </c>
      <c r="BB221" s="304">
        <f t="shared" si="14"/>
        <v>0</v>
      </c>
    </row>
    <row r="222" spans="1:54" ht="12.75" x14ac:dyDescent="0.2">
      <c r="A222" s="132">
        <f t="shared" si="15"/>
        <v>0</v>
      </c>
      <c r="B222" s="1611" t="s">
        <v>991</v>
      </c>
      <c r="C222" s="1585">
        <v>6447</v>
      </c>
      <c r="D222" s="64"/>
      <c r="E222" s="297"/>
      <c r="F222" s="297"/>
      <c r="G222" s="297"/>
      <c r="H222" s="297"/>
      <c r="I222" s="297"/>
      <c r="Z222" s="28">
        <f>IF(A222=1,SUM($A$6:$A222),0)</f>
      </c>
      <c r="AA222" s="28">
        <f t="shared" si="16"/>
        <v>0</v>
      </c>
      <c r="AB222" s="28">
        <v>211</v>
      </c>
      <c r="BB222" s="304">
        <f t="shared" si="14"/>
        <v>0</v>
      </c>
    </row>
    <row r="223" spans="1:54" ht="12.75" x14ac:dyDescent="0.2">
      <c r="A223" s="132">
        <f t="shared" si="15"/>
        <v>1</v>
      </c>
      <c r="B223" s="1611" t="s">
        <v>5600</v>
      </c>
      <c r="C223" s="1585">
        <v>6448</v>
      </c>
      <c r="D223" s="64"/>
      <c r="E223" s="297"/>
      <c r="F223" s="297"/>
      <c r="G223" s="297"/>
      <c r="H223" s="297"/>
      <c r="I223" s="297"/>
      <c r="Z223" s="28">
        <f>IF(A223=1,SUM($A$6:$A223),0)</f>
      </c>
      <c r="AA223" s="28">
        <f t="shared" si="16"/>
        <v>1722</v>
      </c>
      <c r="AB223" s="28">
        <v>212</v>
      </c>
      <c r="BB223" s="304">
        <f t="shared" si="14"/>
        <v>1722</v>
      </c>
    </row>
    <row r="224" spans="1:54" ht="12.75" x14ac:dyDescent="0.2">
      <c r="A224" s="132">
        <f t="shared" si="15"/>
        <v>1</v>
      </c>
      <c r="B224" s="1611" t="s">
        <v>5601</v>
      </c>
      <c r="C224" s="1585">
        <v>6449</v>
      </c>
      <c r="D224" s="64"/>
      <c r="E224" s="297">
        <f>21635+36164</f>
      </c>
      <c r="F224" s="297"/>
      <c r="G224" s="297"/>
      <c r="H224" s="297"/>
      <c r="I224" s="297"/>
      <c r="Z224" s="28">
        <f>IF(A224=1,SUM($A$6:$A224),0)</f>
      </c>
      <c r="AA224" s="28">
        <f t="shared" si="16"/>
        <v>57799</v>
      </c>
      <c r="AB224" s="28">
        <v>213</v>
      </c>
      <c r="BB224" s="304">
        <f t="shared" si="14"/>
        <v>57799</v>
      </c>
    </row>
    <row r="225" spans="1:55" ht="12.75" x14ac:dyDescent="0.2">
      <c r="A225" s="132">
        <f t="shared" si="15"/>
        <v>1</v>
      </c>
      <c r="B225" s="1611" t="s">
        <v>3675</v>
      </c>
      <c r="C225" s="1585">
        <v>6450</v>
      </c>
      <c r="D225" s="64"/>
      <c r="E225" s="297"/>
      <c r="F225" s="297"/>
      <c r="G225" s="297"/>
      <c r="H225" s="297"/>
      <c r="I225" s="297"/>
      <c r="Z225" s="28">
        <f>IF(A225=1,SUM($A$6:$A225),0)</f>
      </c>
      <c r="AA225" s="28">
        <f t="shared" si="16"/>
        <v>110</v>
      </c>
      <c r="AB225" s="28">
        <v>214</v>
      </c>
      <c r="BB225" s="304">
        <f t="shared" si="14"/>
        <v>110</v>
      </c>
    </row>
    <row r="226" spans="1:55" ht="12.75" x14ac:dyDescent="0.2">
      <c r="A226" s="132">
        <f t="shared" si="15"/>
        <v>0</v>
      </c>
      <c r="B226" s="1611" t="s">
        <v>1943</v>
      </c>
      <c r="C226" s="1585">
        <v>6451</v>
      </c>
      <c r="D226" s="64"/>
      <c r="E226" s="297"/>
      <c r="F226" s="297"/>
      <c r="G226" s="297"/>
      <c r="H226" s="297"/>
      <c r="I226" s="297"/>
      <c r="Z226" s="28">
        <f>IF(A226=1,SUM($A$6:$A226),0)</f>
      </c>
      <c r="AA226" s="28">
        <f t="shared" si="16"/>
        <v>0</v>
      </c>
      <c r="AB226" s="28">
        <v>215</v>
      </c>
      <c r="BB226" s="304">
        <f t="shared" si="14"/>
        <v>0</v>
      </c>
    </row>
    <row r="227" spans="1:55" ht="12.75" x14ac:dyDescent="0.2">
      <c r="A227" s="132">
        <f t="shared" si="15"/>
        <v>0</v>
      </c>
      <c r="B227" s="1611" t="s">
        <v>1944</v>
      </c>
      <c r="C227" s="1585">
        <v>6452</v>
      </c>
      <c r="D227" s="64"/>
      <c r="E227" s="297"/>
      <c r="F227" s="297"/>
      <c r="G227" s="297"/>
      <c r="H227" s="297"/>
      <c r="I227" s="297"/>
      <c r="Z227" s="28">
        <f>IF(A227=1,SUM($A$6:$A227),0)</f>
      </c>
      <c r="AA227" s="28">
        <f t="shared" si="16"/>
        <v>0</v>
      </c>
      <c r="AB227" s="28">
        <v>216</v>
      </c>
      <c r="BB227" s="304">
        <f t="shared" si="14"/>
        <v>0</v>
      </c>
    </row>
    <row r="228" spans="1:55" ht="12.75" x14ac:dyDescent="0.2">
      <c r="A228" s="132">
        <f t="shared" si="15"/>
        <v>0</v>
      </c>
      <c r="B228" s="1611" t="s">
        <v>1945</v>
      </c>
      <c r="C228" s="1585">
        <v>6453</v>
      </c>
      <c r="D228" s="64"/>
      <c r="E228" s="297"/>
      <c r="F228" s="297"/>
      <c r="G228" s="297"/>
      <c r="H228" s="297"/>
      <c r="I228" s="297"/>
      <c r="Z228" s="28">
        <f>IF(A228=1,SUM($A$6:$A228),0)</f>
      </c>
      <c r="AA228" s="28">
        <f t="shared" si="16"/>
        <v>0</v>
      </c>
      <c r="AB228" s="28">
        <v>217</v>
      </c>
      <c r="BB228" s="304">
        <f t="shared" si="14"/>
        <v>0</v>
      </c>
    </row>
    <row r="229" spans="1:55" ht="12.75" x14ac:dyDescent="0.2">
      <c r="A229" s="132">
        <f t="shared" si="15"/>
        <v>0</v>
      </c>
      <c r="B229" s="1611" t="s">
        <v>4193</v>
      </c>
      <c r="C229" s="1585">
        <v>6454</v>
      </c>
      <c r="D229" s="64"/>
      <c r="E229" s="297"/>
      <c r="F229" s="297"/>
      <c r="G229" s="297"/>
      <c r="H229" s="297"/>
      <c r="I229" s="297"/>
      <c r="Z229" s="28">
        <f>IF(A229=1,SUM($A$6:$A229),0)</f>
      </c>
      <c r="AA229" s="28">
        <f t="shared" si="16"/>
        <v>0</v>
      </c>
      <c r="AB229" s="28">
        <v>218</v>
      </c>
      <c r="BB229" s="304">
        <f t="shared" si="14"/>
        <v>0</v>
      </c>
    </row>
    <row r="230" spans="1:55" ht="12.75" x14ac:dyDescent="0.2">
      <c r="A230" s="132">
        <f t="shared" si="15"/>
        <v>0</v>
      </c>
      <c r="B230" s="1611" t="s">
        <v>4986</v>
      </c>
      <c r="C230" s="1585">
        <v>6455</v>
      </c>
      <c r="D230" s="64"/>
      <c r="E230" s="297"/>
      <c r="F230" s="297"/>
      <c r="G230" s="297"/>
      <c r="H230" s="297"/>
      <c r="I230" s="297"/>
      <c r="Z230" s="28">
        <f>IF(A230=1,SUM($A$6:$A230),0)</f>
      </c>
      <c r="AA230" s="28">
        <f t="shared" si="16"/>
        <v>0</v>
      </c>
      <c r="AB230" s="28">
        <v>219</v>
      </c>
      <c r="BB230" s="304">
        <f t="shared" si="14"/>
        <v>0</v>
      </c>
    </row>
    <row r="231" spans="1:55" ht="12.75" x14ac:dyDescent="0.2">
      <c r="A231" s="132">
        <f t="shared" si="15"/>
        <v>0</v>
      </c>
      <c r="B231" s="1611" t="s">
        <v>2826</v>
      </c>
      <c r="C231" s="1585">
        <v>6456</v>
      </c>
      <c r="D231" s="64"/>
      <c r="E231" s="297"/>
      <c r="F231" s="297"/>
      <c r="G231" s="297"/>
      <c r="H231" s="297"/>
      <c r="I231" s="297"/>
      <c r="Z231" s="28">
        <f>IF(A231=1,SUM($A$6:$A231),0)</f>
      </c>
      <c r="AA231" s="28">
        <f t="shared" si="16"/>
        <v>0</v>
      </c>
      <c r="AB231" s="28">
        <v>220</v>
      </c>
      <c r="BB231" s="304">
        <f t="shared" si="14"/>
        <v>0</v>
      </c>
    </row>
    <row r="232" spans="1:55" ht="12.75" x14ac:dyDescent="0.2">
      <c r="A232" s="132">
        <f t="shared" si="15"/>
        <v>0</v>
      </c>
      <c r="B232" s="1611" t="s">
        <v>2827</v>
      </c>
      <c r="C232" s="1585">
        <v>6457</v>
      </c>
      <c r="D232" s="64"/>
      <c r="E232" s="297"/>
      <c r="F232" s="297"/>
      <c r="G232" s="297"/>
      <c r="H232" s="297"/>
      <c r="I232" s="297"/>
      <c r="Z232" s="28">
        <f>IF(A232=1,SUM($A$6:$A232),0)</f>
      </c>
      <c r="AA232" s="28">
        <f t="shared" si="16"/>
        <v>0</v>
      </c>
      <c r="AB232" s="28">
        <v>221</v>
      </c>
      <c r="BB232" s="304">
        <f t="shared" si="14"/>
        <v>0</v>
      </c>
      <c r="BC232" s="300">
        <f>SUM(BB90:BB232)</f>
      </c>
    </row>
    <row r="233" spans="1:55" ht="12.75" x14ac:dyDescent="0.2">
      <c r="A233" s="132">
        <f t="shared" si="15"/>
        <v>1</v>
      </c>
      <c r="B233" s="1610" t="s">
        <v>2828</v>
      </c>
      <c r="C233" s="1585">
        <v>6600</v>
      </c>
      <c r="D233" s="64"/>
      <c r="E233" s="297"/>
      <c r="F233" s="297"/>
      <c r="G233" s="297"/>
      <c r="H233" s="297"/>
      <c r="I233" s="297"/>
      <c r="Z233" s="28">
        <f>IF(A233=1,SUM($A$6:$A233),0)</f>
      </c>
      <c r="AA233" s="28">
        <f t="shared" si="16"/>
        <v>2377</v>
      </c>
      <c r="AB233" s="28">
        <v>222</v>
      </c>
    </row>
    <row r="234" spans="1:55" ht="12.75" x14ac:dyDescent="0.2">
      <c r="A234" s="132">
        <f t="shared" si="15"/>
        <v>0</v>
      </c>
      <c r="B234" s="1610" t="s">
        <v>1515</v>
      </c>
      <c r="C234" s="1585">
        <v>6601</v>
      </c>
      <c r="D234" s="64"/>
      <c r="E234" s="297"/>
      <c r="F234" s="297"/>
      <c r="G234" s="297"/>
      <c r="H234" s="297"/>
      <c r="I234" s="297"/>
      <c r="W234" s="2081">
        <f>SUM(E234:I234)</f>
      </c>
      <c r="Z234" s="28">
        <f>IF(A234=1,SUM($A$6:$A234),0)</f>
      </c>
      <c r="AA234" s="28">
        <f t="shared" si="16"/>
        <v>0</v>
      </c>
      <c r="AB234" s="28">
        <v>223</v>
      </c>
    </row>
    <row r="235" spans="1:55" ht="12.75" x14ac:dyDescent="0.2">
      <c r="A235" s="132">
        <f t="shared" si="15"/>
        <v>0</v>
      </c>
      <c r="B235" s="1610" t="s">
        <v>3558</v>
      </c>
      <c r="C235" s="1585">
        <v>6602</v>
      </c>
      <c r="D235" s="64"/>
      <c r="E235" s="297"/>
      <c r="F235" s="297"/>
      <c r="G235" s="297"/>
      <c r="H235" s="297"/>
      <c r="I235" s="297"/>
      <c r="Z235" s="28">
        <f>IF(A235=1,SUM($A$6:$A235),0)</f>
      </c>
      <c r="AA235" s="28">
        <f t="shared" si="16"/>
        <v>0</v>
      </c>
      <c r="AB235" s="28">
        <v>224</v>
      </c>
    </row>
    <row r="236" spans="1:55" ht="12.75" x14ac:dyDescent="0.2">
      <c r="A236" s="132">
        <f t="shared" si="15"/>
        <v>0</v>
      </c>
      <c r="B236" s="1610" t="s">
        <v>3559</v>
      </c>
      <c r="C236" s="1585">
        <v>6603</v>
      </c>
      <c r="D236" s="64"/>
      <c r="E236" s="297"/>
      <c r="F236" s="297"/>
      <c r="G236" s="297"/>
      <c r="H236" s="297"/>
      <c r="I236" s="297"/>
      <c r="Z236" s="28">
        <f>IF(A236=1,SUM($A$6:$A236),0)</f>
      </c>
      <c r="AA236" s="28">
        <f t="shared" si="16"/>
        <v>0</v>
      </c>
      <c r="AB236" s="28">
        <v>225</v>
      </c>
    </row>
    <row r="237" spans="1:55" ht="12.75" x14ac:dyDescent="0.2">
      <c r="A237" s="132">
        <f t="shared" si="15"/>
        <v>0</v>
      </c>
      <c r="B237" s="1610" t="s">
        <v>3560</v>
      </c>
      <c r="C237" s="1585">
        <v>6604</v>
      </c>
      <c r="D237" s="64"/>
      <c r="E237" s="297"/>
      <c r="F237" s="297"/>
      <c r="G237" s="297"/>
      <c r="H237" s="297"/>
      <c r="I237" s="297"/>
      <c r="Z237" s="28">
        <f>IF(A237=1,SUM($A$6:$A237),0)</f>
      </c>
      <c r="AA237" s="28">
        <f t="shared" si="16"/>
        <v>0</v>
      </c>
      <c r="AB237" s="28">
        <v>226</v>
      </c>
    </row>
    <row r="238" spans="1:55" ht="12.75" x14ac:dyDescent="0.2">
      <c r="A238" s="132">
        <f t="shared" si="15"/>
        <v>0</v>
      </c>
      <c r="B238" s="1610" t="s">
        <v>6710</v>
      </c>
      <c r="C238" s="1585">
        <v>6605</v>
      </c>
      <c r="D238" s="64"/>
      <c r="E238" s="297"/>
      <c r="F238" s="297"/>
      <c r="G238" s="297"/>
      <c r="H238" s="297"/>
      <c r="I238" s="297"/>
      <c r="Z238" s="28">
        <f>IF(A238=1,SUM($A$6:$A238),0)</f>
      </c>
      <c r="AA238" s="28">
        <f t="shared" si="16"/>
        <v>0</v>
      </c>
      <c r="AB238" s="28">
        <v>227</v>
      </c>
    </row>
    <row r="239" spans="1:55" ht="12.75" x14ac:dyDescent="0.2">
      <c r="A239" s="132">
        <f t="shared" si="15"/>
        <v>0</v>
      </c>
      <c r="B239" s="1610" t="s">
        <v>6711</v>
      </c>
      <c r="C239" s="1585">
        <v>6606</v>
      </c>
      <c r="D239" s="64"/>
      <c r="E239" s="297"/>
      <c r="F239" s="297"/>
      <c r="G239" s="297"/>
      <c r="H239" s="297"/>
      <c r="I239" s="297"/>
      <c r="Z239" s="28">
        <f>IF(A239=1,SUM($A$6:$A239),0)</f>
      </c>
      <c r="AA239" s="28">
        <f t="shared" si="16"/>
        <v>0</v>
      </c>
      <c r="AB239" s="28">
        <v>228</v>
      </c>
    </row>
    <row r="240" spans="1:55" ht="12.75" x14ac:dyDescent="0.2">
      <c r="A240" s="132">
        <f t="shared" si="15"/>
        <v>0</v>
      </c>
      <c r="B240" s="1610" t="s">
        <v>6712</v>
      </c>
      <c r="C240" s="1585">
        <v>6607</v>
      </c>
      <c r="D240" s="64"/>
      <c r="E240" s="297"/>
      <c r="F240" s="297"/>
      <c r="G240" s="297"/>
      <c r="H240" s="297"/>
      <c r="I240" s="297"/>
      <c r="Z240" s="28">
        <f>IF(A240=1,SUM($A$6:$A240),0)</f>
      </c>
      <c r="AA240" s="28">
        <f t="shared" si="16"/>
        <v>0</v>
      </c>
      <c r="AB240" s="28">
        <v>229</v>
      </c>
    </row>
    <row r="241" spans="1:28" ht="12.75" x14ac:dyDescent="0.2">
      <c r="A241" s="132">
        <f t="shared" si="15"/>
        <v>0</v>
      </c>
      <c r="B241" s="1610" t="s">
        <v>2512</v>
      </c>
      <c r="C241" s="1585">
        <v>6608</v>
      </c>
      <c r="D241" s="64"/>
      <c r="E241" s="297"/>
      <c r="F241" s="297"/>
      <c r="G241" s="297"/>
      <c r="H241" s="297"/>
      <c r="I241" s="297"/>
      <c r="Z241" s="28">
        <f>IF(A241=1,SUM($A$6:$A241),0)</f>
      </c>
      <c r="AA241" s="28">
        <f t="shared" si="16"/>
        <v>0</v>
      </c>
      <c r="AB241" s="28">
        <v>230</v>
      </c>
    </row>
    <row r="242" spans="1:28" ht="12.75" x14ac:dyDescent="0.2">
      <c r="A242" s="132">
        <f t="shared" si="15"/>
        <v>0</v>
      </c>
      <c r="B242" s="1610" t="s">
        <v>2513</v>
      </c>
      <c r="C242" s="1585">
        <v>6609</v>
      </c>
      <c r="D242" s="64"/>
      <c r="E242" s="297"/>
      <c r="F242" s="297"/>
      <c r="G242" s="297"/>
      <c r="H242" s="297"/>
      <c r="I242" s="297"/>
      <c r="Z242" s="28">
        <f>IF(A242=1,SUM($A$6:$A242),0)</f>
      </c>
      <c r="AA242" s="28">
        <f t="shared" si="16"/>
        <v>0</v>
      </c>
      <c r="AB242" s="28">
        <v>231</v>
      </c>
    </row>
    <row r="243" spans="1:28" ht="12.75" x14ac:dyDescent="0.2">
      <c r="A243" s="132">
        <f t="shared" si="15"/>
        <v>0</v>
      </c>
      <c r="B243" s="1610" t="s">
        <v>2514</v>
      </c>
      <c r="C243" s="1585">
        <v>6610</v>
      </c>
      <c r="D243" s="64"/>
      <c r="E243" s="297"/>
      <c r="F243" s="297"/>
      <c r="G243" s="297"/>
      <c r="H243" s="297"/>
      <c r="I243" s="297"/>
      <c r="Z243" s="28">
        <f>IF(A243=1,SUM($A$6:$A243),0)</f>
      </c>
      <c r="AA243" s="28">
        <f t="shared" si="16"/>
        <v>0</v>
      </c>
      <c r="AB243" s="28">
        <v>232</v>
      </c>
    </row>
    <row r="244" spans="1:28" ht="12.75" x14ac:dyDescent="0.2">
      <c r="A244" s="132">
        <f t="shared" si="15"/>
        <v>0</v>
      </c>
      <c r="B244" s="1610" t="s">
        <v>105</v>
      </c>
      <c r="C244" s="1585">
        <v>6611</v>
      </c>
      <c r="D244" s="64"/>
      <c r="E244" s="297"/>
      <c r="F244" s="297"/>
      <c r="G244" s="297"/>
      <c r="H244" s="297"/>
      <c r="I244" s="297"/>
      <c r="Z244" s="28">
        <f>IF(A244=1,SUM($A$6:$A244),0)</f>
      </c>
      <c r="AA244" s="28">
        <f t="shared" si="16"/>
        <v>0</v>
      </c>
      <c r="AB244" s="28">
        <v>233</v>
      </c>
    </row>
    <row r="245" spans="1:28" ht="12.75" x14ac:dyDescent="0.2">
      <c r="A245" s="132">
        <f t="shared" si="15"/>
        <v>0</v>
      </c>
      <c r="B245" s="1610" t="s">
        <v>106</v>
      </c>
      <c r="C245" s="1585">
        <v>6612</v>
      </c>
      <c r="D245" s="64"/>
      <c r="E245" s="297"/>
      <c r="F245" s="297"/>
      <c r="G245" s="297"/>
      <c r="H245" s="297"/>
      <c r="I245" s="297"/>
      <c r="Z245" s="28">
        <f>IF(A245=1,SUM($A$6:$A245),0)</f>
      </c>
      <c r="AA245" s="28">
        <f t="shared" si="16"/>
        <v>0</v>
      </c>
      <c r="AB245" s="28">
        <v>234</v>
      </c>
    </row>
    <row r="246" spans="1:28" ht="12.75" x14ac:dyDescent="0.2">
      <c r="A246" s="132">
        <f t="shared" si="15"/>
        <v>0</v>
      </c>
      <c r="B246" s="325" t="s">
        <v>4833</v>
      </c>
      <c r="C246" s="1585">
        <v>6613</v>
      </c>
      <c r="D246" s="64"/>
      <c r="E246" s="297"/>
      <c r="F246" s="297"/>
      <c r="G246" s="297"/>
      <c r="H246" s="297"/>
      <c r="I246" s="297"/>
      <c r="Z246" s="28">
        <f>IF(A246=1,SUM($A$6:$A246),0)</f>
      </c>
      <c r="AA246" s="28">
        <f t="shared" si="16"/>
        <v>0</v>
      </c>
      <c r="AB246" s="28">
        <v>235</v>
      </c>
    </row>
    <row r="247" spans="1:28" ht="1.5" customHeight="1" x14ac:dyDescent="0.2">
      <c r="A247" s="132">
        <f t="shared" si="15"/>
        <v>0</v>
      </c>
      <c r="B247" s="1626"/>
      <c r="C247" s="1626"/>
      <c r="D247" s="136"/>
      <c r="E247" s="305"/>
      <c r="F247" s="297"/>
      <c r="G247" s="297"/>
      <c r="H247" s="297"/>
      <c r="I247" s="297"/>
      <c r="Z247" s="28">
        <f>IF(A247=1,SUM($A$6:$A247),0)</f>
      </c>
      <c r="AA247" s="28">
        <f t="shared" si="16"/>
        <v>0</v>
      </c>
      <c r="AB247" s="28">
        <v>236</v>
      </c>
    </row>
    <row r="248" spans="1:28" ht="1.5" customHeight="1" x14ac:dyDescent="0.2">
      <c r="A248" s="132">
        <f t="shared" si="15"/>
        <v>0</v>
      </c>
      <c r="B248" s="1626"/>
      <c r="C248" s="1626"/>
      <c r="D248" s="326"/>
      <c r="E248" s="305"/>
      <c r="F248" s="297"/>
      <c r="G248" s="297"/>
      <c r="H248" s="297"/>
      <c r="I248" s="297"/>
      <c r="Z248" s="28">
        <f>IF(A248=1,SUM($A$6:$A248),0)</f>
      </c>
      <c r="AA248" s="28">
        <f t="shared" si="16"/>
        <v>0</v>
      </c>
      <c r="AB248" s="28">
        <v>237</v>
      </c>
    </row>
    <row r="249" spans="1:28" ht="1.5" customHeight="1" x14ac:dyDescent="0.2">
      <c r="A249" s="132">
        <f t="shared" si="15"/>
        <v>0</v>
      </c>
      <c r="B249" s="1626"/>
      <c r="C249" s="1626"/>
      <c r="D249" s="326"/>
      <c r="E249" s="305"/>
      <c r="F249" s="297"/>
      <c r="G249" s="297"/>
      <c r="H249" s="297"/>
      <c r="I249" s="297"/>
      <c r="Z249" s="28">
        <f>IF(A249=1,SUM($A$6:$A249),0)</f>
      </c>
      <c r="AA249" s="28">
        <f t="shared" si="16"/>
        <v>0</v>
      </c>
      <c r="AB249" s="28">
        <v>238</v>
      </c>
    </row>
    <row r="250" spans="1:28" ht="1.5" customHeight="1" x14ac:dyDescent="0.2">
      <c r="A250" s="132">
        <f t="shared" si="15"/>
        <v>0</v>
      </c>
      <c r="B250" s="1626"/>
      <c r="C250" s="1626"/>
      <c r="D250" s="326"/>
      <c r="E250" s="305"/>
      <c r="F250" s="297"/>
      <c r="G250" s="297"/>
      <c r="H250" s="297"/>
      <c r="I250" s="297"/>
      <c r="Z250" s="28">
        <f>IF(A250=1,SUM($A$6:$A250),0)</f>
      </c>
      <c r="AA250" s="28">
        <f t="shared" si="16"/>
        <v>0</v>
      </c>
      <c r="AB250" s="28">
        <v>239</v>
      </c>
    </row>
    <row r="251" spans="1:28" ht="1.5" customHeight="1" x14ac:dyDescent="0.2">
      <c r="A251" s="132">
        <f t="shared" si="15"/>
        <v>0</v>
      </c>
      <c r="B251" s="1626"/>
      <c r="C251" s="1626"/>
      <c r="D251" s="326"/>
      <c r="E251" s="305"/>
      <c r="F251" s="297"/>
      <c r="G251" s="297"/>
      <c r="H251" s="297"/>
      <c r="I251" s="297"/>
      <c r="Z251" s="28">
        <f>IF(A251=1,SUM($A$6:$A251),0)</f>
      </c>
      <c r="AA251" s="28">
        <f t="shared" si="16"/>
        <v>0</v>
      </c>
      <c r="AB251" s="28">
        <v>240</v>
      </c>
    </row>
    <row r="252" spans="1:28" ht="1.5" customHeight="1" x14ac:dyDescent="0.2">
      <c r="A252" s="132">
        <f t="shared" si="15"/>
        <v>0</v>
      </c>
      <c r="B252" s="1626"/>
      <c r="C252" s="1626"/>
      <c r="D252" s="326"/>
      <c r="E252" s="305"/>
      <c r="F252" s="297"/>
      <c r="G252" s="297"/>
      <c r="H252" s="297"/>
      <c r="I252" s="297"/>
      <c r="Z252" s="28">
        <f>IF(A252=1,SUM($A$6:$A252),0)</f>
      </c>
      <c r="AA252" s="28">
        <f t="shared" si="16"/>
        <v>0</v>
      </c>
      <c r="AB252" s="28">
        <v>241</v>
      </c>
    </row>
    <row r="253" spans="1:28" ht="1.5" customHeight="1" x14ac:dyDescent="0.2">
      <c r="A253" s="132">
        <f t="shared" si="15"/>
        <v>0</v>
      </c>
      <c r="B253" s="1626"/>
      <c r="C253" s="1626"/>
      <c r="D253" s="326"/>
      <c r="E253" s="305"/>
      <c r="F253" s="297"/>
      <c r="G253" s="297"/>
      <c r="H253" s="297"/>
      <c r="I253" s="297"/>
      <c r="Z253" s="28">
        <f>IF(A253=1,SUM($A$6:$A253),0)</f>
      </c>
      <c r="AA253" s="28">
        <f t="shared" si="16"/>
        <v>0</v>
      </c>
      <c r="AB253" s="28">
        <v>242</v>
      </c>
    </row>
    <row r="254" spans="1:28" ht="1.5" customHeight="1" x14ac:dyDescent="0.2">
      <c r="A254" s="132">
        <f t="shared" si="15"/>
        <v>0</v>
      </c>
      <c r="B254" s="1626"/>
      <c r="C254" s="1626"/>
      <c r="D254" s="326"/>
      <c r="E254" s="305"/>
      <c r="F254" s="297"/>
      <c r="G254" s="297"/>
      <c r="H254" s="297"/>
      <c r="I254" s="297"/>
      <c r="Z254" s="28">
        <f>IF(A254=1,SUM($A$6:$A254),0)</f>
      </c>
      <c r="AA254" s="28">
        <f t="shared" si="16"/>
        <v>0</v>
      </c>
      <c r="AB254" s="28">
        <v>243</v>
      </c>
    </row>
    <row r="255" spans="1:28" ht="1.5" customHeight="1" x14ac:dyDescent="0.2">
      <c r="A255" s="132">
        <f t="shared" si="15"/>
        <v>0</v>
      </c>
      <c r="B255" s="1626"/>
      <c r="C255" s="1626"/>
      <c r="D255" s="326"/>
      <c r="E255" s="305"/>
      <c r="F255" s="297"/>
      <c r="G255" s="297"/>
      <c r="H255" s="297"/>
      <c r="I255" s="297"/>
      <c r="Z255" s="28">
        <f>IF(A255=1,SUM($A$6:$A255),0)</f>
      </c>
      <c r="AA255" s="28">
        <f t="shared" si="16"/>
        <v>0</v>
      </c>
      <c r="AB255" s="28">
        <v>244</v>
      </c>
    </row>
    <row r="256" spans="1:28" ht="1.5" customHeight="1" x14ac:dyDescent="0.2">
      <c r="A256" s="132">
        <f t="shared" si="15"/>
        <v>0</v>
      </c>
      <c r="B256" s="1626"/>
      <c r="C256" s="1626"/>
      <c r="D256" s="326"/>
      <c r="E256" s="305"/>
      <c r="F256" s="297"/>
      <c r="G256" s="297"/>
      <c r="H256" s="297"/>
      <c r="I256" s="297"/>
      <c r="Z256" s="28">
        <f>IF(A256=1,SUM($A$6:$A256),0)</f>
      </c>
      <c r="AA256" s="28">
        <f t="shared" si="16"/>
        <v>0</v>
      </c>
      <c r="AB256" s="28">
        <v>245</v>
      </c>
    </row>
    <row r="257" spans="1:80" ht="1.5" customHeight="1" x14ac:dyDescent="0.2">
      <c r="A257" s="132">
        <f t="shared" si="15"/>
        <v>0</v>
      </c>
      <c r="B257" s="1626"/>
      <c r="C257" s="1626"/>
      <c r="D257" s="326"/>
      <c r="E257" s="305"/>
      <c r="F257" s="297"/>
      <c r="G257" s="297"/>
      <c r="H257" s="297"/>
      <c r="I257" s="297"/>
      <c r="Q257" s="84"/>
      <c r="Z257" s="28">
        <f>IF(A257=1,SUM($A$6:$A257),0)</f>
      </c>
      <c r="AA257" s="28">
        <f t="shared" si="16"/>
        <v>0</v>
      </c>
      <c r="AB257" s="28">
        <v>246</v>
      </c>
    </row>
    <row r="258" spans="1:80" ht="1.5" customHeight="1" x14ac:dyDescent="0.2">
      <c r="A258" s="132">
        <v>0</v>
      </c>
      <c r="B258"/>
      <c r="C258"/>
      <c r="D258" s="326"/>
      <c r="E258" s="306">
        <f t="shared" ref="E258:N258" si="17">SUM(E248:E257)</f>
      </c>
      <c r="F258" s="306">
        <f t="shared" si="17"/>
        <v>0</v>
      </c>
      <c r="G258" s="306">
        <f t="shared" si="17"/>
        <v>0</v>
      </c>
      <c r="H258" s="306">
        <f t="shared" si="17"/>
        <v>0</v>
      </c>
      <c r="I258" s="306">
        <f t="shared" si="17"/>
        <v>0</v>
      </c>
      <c r="J258">
        <f t="shared" si="17"/>
        <v>0</v>
      </c>
      <c r="K258">
        <f t="shared" si="17"/>
        <v>0</v>
      </c>
      <c r="L258">
        <f t="shared" si="17"/>
        <v>0</v>
      </c>
      <c r="M258">
        <f t="shared" si="17"/>
        <v>0</v>
      </c>
      <c r="N258">
        <f t="shared" si="17"/>
        <v>0</v>
      </c>
      <c r="Q258" s="84"/>
      <c r="Z258" s="28">
        <f>IF(A258=1,SUM($A$6:$A258),0)</f>
      </c>
      <c r="AA258" s="28">
        <f t="shared" si="16"/>
        <v>0</v>
      </c>
      <c r="AB258" s="28">
        <v>247</v>
      </c>
      <c r="CA258" s="142">
        <v>1</v>
      </c>
    </row>
    <row r="259" spans="1:80" ht="12.75" x14ac:dyDescent="0.2">
      <c r="A259" s="132">
        <v>1</v>
      </c>
      <c r="B259" s="1613" t="s">
        <v>5350</v>
      </c>
      <c r="C259" s="1614">
        <v>6997</v>
      </c>
      <c r="D259" s="301" t="str">
        <f>IF(O259&lt;&gt;$C$3,man,IF(Q259&lt;&gt;Q260,"Check!",""))</f>
        <v/>
      </c>
      <c r="E259" s="297">
        <f>E260</f>
      </c>
      <c r="F259" s="297"/>
      <c r="G259" s="297"/>
      <c r="H259" s="297"/>
      <c r="I259" s="297"/>
      <c r="O259" s="28">
        <f>COUNT(E259:N259)</f>
      </c>
      <c r="P259" s="28">
        <f>IF(D259&lt;&gt;"",1,0)</f>
      </c>
      <c r="Q259" s="84">
        <f>SUM(E259:N259)</f>
      </c>
      <c r="Y259" s="28">
        <v>1</v>
      </c>
      <c r="Z259" s="28">
        <f>IF(A259=1,SUM($A$6:$A259),0)</f>
      </c>
      <c r="AA259" s="28">
        <f t="shared" si="16"/>
        <v>804607</v>
      </c>
      <c r="AB259" s="28">
        <v>248</v>
      </c>
      <c r="CA259" s="142">
        <v>1</v>
      </c>
      <c r="CB259" s="142">
        <v>1</v>
      </c>
    </row>
    <row r="260" spans="1:80" ht="12.75" x14ac:dyDescent="0.2">
      <c r="A260" s="132">
        <v>0</v>
      </c>
      <c r="B260" s="1615"/>
      <c r="C260" s="1619"/>
      <c r="D260" s="307"/>
      <c r="E260" s="303">
        <f>SUM(E102:E247)</f>
      </c>
      <c r="F260" s="303">
        <f t="shared" ref="F260:N260" si="18">SUM(F102:F247)</f>
      </c>
      <c r="G260" s="303">
        <f t="shared" si="18"/>
        <v>0</v>
      </c>
      <c r="H260" s="303">
        <f t="shared" si="18"/>
        <v>0</v>
      </c>
      <c r="I260" s="303">
        <f t="shared" si="18"/>
        <v>0</v>
      </c>
      <c r="J260">
        <f t="shared" si="18"/>
        <v>0</v>
      </c>
      <c r="K260">
        <f t="shared" si="18"/>
        <v>0</v>
      </c>
      <c r="L260">
        <f t="shared" si="18"/>
        <v>0</v>
      </c>
      <c r="M260">
        <f t="shared" si="18"/>
        <v>0</v>
      </c>
      <c r="N260">
        <f t="shared" si="18"/>
        <v>0</v>
      </c>
      <c r="Q260" s="84">
        <f>SUM(E260:N260)</f>
      </c>
      <c r="Z260" s="28">
        <f>IF(A260=1,SUM($A$6:$A260),0)</f>
      </c>
      <c r="AA260" s="28">
        <f t="shared" si="16"/>
        <v>804607</v>
      </c>
      <c r="AB260" s="28">
        <v>249</v>
      </c>
    </row>
    <row r="261" spans="1:80" ht="12.75" x14ac:dyDescent="0.2">
      <c r="A261" s="132">
        <f>IF(OR(E261&lt;&gt;"",F261&lt;&gt;"",G261&lt;&gt;"",H261&lt;&gt;"",I261&lt;&gt;""),1,0)</f>
      </c>
      <c r="B261" s="1620" t="s">
        <v>5351</v>
      </c>
      <c r="C261" s="1588">
        <v>6998</v>
      </c>
      <c r="D261" s="324"/>
      <c r="E261" s="298">
        <f>E260+E100</f>
      </c>
      <c r="F261" s="298">
        <f t="shared" ref="F261:N261" si="19">F260+F100</f>
      </c>
      <c r="G261" s="298">
        <f t="shared" si="19"/>
        <v>0</v>
      </c>
      <c r="H261" s="298">
        <f t="shared" si="19"/>
        <v>0</v>
      </c>
      <c r="I261" s="298">
        <f t="shared" si="19"/>
        <v>0</v>
      </c>
      <c r="J261">
        <f t="shared" si="19"/>
        <v>0</v>
      </c>
      <c r="K261">
        <f t="shared" si="19"/>
        <v>0</v>
      </c>
      <c r="L261">
        <f t="shared" si="19"/>
        <v>0</v>
      </c>
      <c r="M261">
        <f t="shared" si="19"/>
        <v>0</v>
      </c>
      <c r="N261">
        <f t="shared" si="19"/>
        <v>0</v>
      </c>
      <c r="Z261" s="28">
        <f>IF(A261=1,SUM($A$6:$A261),0)</f>
      </c>
      <c r="AA261" s="28">
        <f t="shared" si="16"/>
        <v>804607</v>
      </c>
      <c r="AB261" s="28">
        <v>250</v>
      </c>
      <c r="CA261" s="142">
        <v>1</v>
      </c>
    </row>
    <row r="262" spans="1:80" ht="12.75" x14ac:dyDescent="0.2">
      <c r="A262" s="132">
        <v>1</v>
      </c>
      <c r="B262" s="1613" t="s">
        <v>5352</v>
      </c>
      <c r="C262" s="1614">
        <v>7050</v>
      </c>
      <c r="D262" s="301" t="str">
        <f>IF(O262&lt;&gt;$C$3,man,IF(Q262&lt;&gt;Q263,"Check!",""))</f>
        <v/>
      </c>
      <c r="E262" s="297">
        <f>E263</f>
      </c>
      <c r="F262" s="297"/>
      <c r="G262" s="297"/>
      <c r="H262" s="297"/>
      <c r="I262" s="297"/>
      <c r="O262" s="28">
        <f>COUNT(E262:N262)</f>
      </c>
      <c r="P262" s="28">
        <f>IF(D262&lt;&gt;"",1,0)</f>
      </c>
      <c r="Q262" s="84">
        <f>SUM(E262:N262)</f>
      </c>
      <c r="Y262" s="28">
        <v>1</v>
      </c>
      <c r="Z262" s="28">
        <f>IF(A262=1,SUM($A$6:$A262),0)</f>
      </c>
      <c r="AA262" s="28">
        <f t="shared" si="16"/>
        <v>69766</v>
      </c>
      <c r="AB262" s="28">
        <v>251</v>
      </c>
      <c r="CA262" s="142">
        <v>1</v>
      </c>
      <c r="CB262" s="142">
        <v>1</v>
      </c>
    </row>
    <row r="263" spans="1:80" ht="12.75" x14ac:dyDescent="0.2">
      <c r="A263" s="132">
        <v>0</v>
      </c>
      <c r="B263" s="1615"/>
      <c r="C263" s="1621"/>
      <c r="D263" s="137"/>
      <c r="E263" s="303">
        <f>E261+E68</f>
      </c>
      <c r="F263" s="303">
        <f t="shared" ref="F263:N263" si="20">F261+F68</f>
      </c>
      <c r="G263" s="303">
        <f t="shared" si="20"/>
        <v>0</v>
      </c>
      <c r="H263" s="303">
        <f t="shared" si="20"/>
        <v>0</v>
      </c>
      <c r="I263" s="303">
        <f t="shared" si="20"/>
        <v>0</v>
      </c>
      <c r="J263">
        <f t="shared" si="20"/>
        <v>0</v>
      </c>
      <c r="K263">
        <f t="shared" si="20"/>
        <v>0</v>
      </c>
      <c r="L263">
        <f t="shared" si="20"/>
        <v>0</v>
      </c>
      <c r="M263">
        <f t="shared" si="20"/>
        <v>0</v>
      </c>
      <c r="N263">
        <f t="shared" si="20"/>
        <v>0</v>
      </c>
      <c r="Q263" s="84">
        <f>SUM(E263:N263)</f>
      </c>
      <c r="Z263" s="28">
        <f>IF(A263=1,SUM($A$6:$A263),0)</f>
      </c>
      <c r="AA263" s="28">
        <f t="shared" si="16"/>
        <v>69766</v>
      </c>
      <c r="AB263" s="28">
        <v>252</v>
      </c>
    </row>
    <row r="264" spans="1:80" ht="15" x14ac:dyDescent="0.2">
      <c r="A264" s="132">
        <f t="shared" si="15"/>
        <v>0</v>
      </c>
      <c r="B264" s="4399" t="s">
        <v>5887</v>
      </c>
      <c r="C264" s="4400"/>
      <c r="D264" s="308"/>
      <c r="E264" s="309"/>
      <c r="F264" s="310"/>
      <c r="G264" s="310"/>
      <c r="H264" s="310"/>
      <c r="I264" s="310"/>
      <c r="O264" s="84"/>
      <c r="Y264" s="28">
        <v>1</v>
      </c>
      <c r="Z264" s="28">
        <f>IF(A264=1,SUM($A$6:$A264),0)</f>
      </c>
    </row>
    <row r="265" spans="1:80" ht="12.75" x14ac:dyDescent="0.2">
      <c r="A265" s="132">
        <f t="shared" si="15"/>
        <v>0</v>
      </c>
      <c r="B265" s="1622" t="s">
        <v>5352</v>
      </c>
      <c r="C265" s="1623">
        <v>7050</v>
      </c>
      <c r="D265" s="301" t="str">
        <f>IF(ISBLANK(C3),"",IF(ISBLANK(E265),man,IF(E265&lt;&gt;E266,"Check!","")))</f>
      </c>
      <c r="E265" s="311"/>
      <c r="F265" s="310"/>
      <c r="G265" s="310"/>
      <c r="H265" s="310"/>
      <c r="I265" s="310"/>
      <c r="O265" s="84"/>
      <c r="P265" s="28">
        <f>IF(C3=1,0,IF(D265&lt;&gt;"",1,0))</f>
      </c>
      <c r="Q265" s="84"/>
      <c r="Y265" s="28">
        <v>1</v>
      </c>
      <c r="Z265" s="28">
        <f>IF(A265=1,SUM($A$6:$A265),0)</f>
      </c>
      <c r="CA265" s="142">
        <v>1</v>
      </c>
      <c r="CB265" s="142">
        <v>1</v>
      </c>
    </row>
    <row r="266" spans="1:80" ht="12.75" x14ac:dyDescent="0.2">
      <c r="A266" s="132">
        <v>0</v>
      </c>
      <c r="B266" s="1613"/>
      <c r="C266" s="1624"/>
      <c r="D266" s="307"/>
      <c r="E266" s="312">
        <f>Q263</f>
      </c>
      <c r="F266" s="310"/>
      <c r="G266" s="310"/>
      <c r="H266" s="310"/>
      <c r="I266" s="310"/>
      <c r="O266" s="84"/>
      <c r="Z266" s="28">
        <f>IF(A266=1,SUM($A$6:$A266),0)</f>
      </c>
    </row>
    <row r="267" spans="1:80" ht="12.75" x14ac:dyDescent="0.2">
      <c r="A267" s="132">
        <f t="shared" si="15"/>
        <v>0</v>
      </c>
      <c r="B267" s="1590" t="s">
        <v>5353</v>
      </c>
      <c r="C267" s="1585">
        <v>7060</v>
      </c>
      <c r="D267" s="64"/>
      <c r="E267" s="297"/>
      <c r="F267" s="310"/>
      <c r="G267" s="310"/>
      <c r="H267" s="310"/>
      <c r="I267" s="310"/>
      <c r="O267" s="84">
        <f>COUNT(E267:N267)</f>
      </c>
      <c r="Z267" s="28">
        <f>IF(A267=1,SUM($A$6:$A267),0)</f>
      </c>
    </row>
    <row r="268" spans="1:80" ht="12.75" x14ac:dyDescent="0.2">
      <c r="A268" s="132">
        <f t="shared" si="15"/>
        <v>1</v>
      </c>
      <c r="B268" s="1610" t="s">
        <v>5354</v>
      </c>
      <c r="C268" s="1585">
        <v>7080</v>
      </c>
      <c r="D268" s="64"/>
      <c r="E268" s="297"/>
      <c r="F268" s="310"/>
      <c r="G268" s="310"/>
      <c r="H268" s="310"/>
      <c r="I268" s="310"/>
      <c r="O268" s="84">
        <f t="shared" ref="O268:O289" si="21">COUNT(E268:N268)</f>
      </c>
      <c r="Z268" s="28">
        <f>IF(A268=1,SUM($A$6:$A268),0)</f>
      </c>
    </row>
    <row r="269" spans="1:80" ht="12.75" x14ac:dyDescent="0.2">
      <c r="A269" s="132">
        <f t="shared" ref="A269:A290" si="22">IF(OR(E269&lt;&gt;"",F269&lt;&gt;"",G269&lt;&gt;"",H269&lt;&gt;"",I269&lt;&gt;""),1,0)</f>
      </c>
      <c r="B269" s="1610" t="s">
        <v>5355</v>
      </c>
      <c r="C269" s="1585">
        <v>7100</v>
      </c>
      <c r="D269" s="64"/>
      <c r="E269" s="298">
        <f>SUM(E266:E268)</f>
      </c>
      <c r="F269" s="310"/>
      <c r="G269" s="310"/>
      <c r="H269" s="310"/>
      <c r="I269" s="310"/>
      <c r="O269" s="84">
        <f t="shared" si="21"/>
        <v>1</v>
      </c>
      <c r="Y269" s="28">
        <v>1</v>
      </c>
      <c r="Z269" s="28">
        <f>IF(A269=1,SUM($A$6:$A269),0)</f>
      </c>
      <c r="CA269" s="142">
        <v>1</v>
      </c>
    </row>
    <row r="270" spans="1:80" ht="12.75" x14ac:dyDescent="0.2">
      <c r="A270" s="132">
        <f t="shared" si="22"/>
        <v>0</v>
      </c>
      <c r="B270" s="1617" t="s">
        <v>5356</v>
      </c>
      <c r="C270" s="1585">
        <v>7200</v>
      </c>
      <c r="D270" s="64"/>
      <c r="E270" s="297"/>
      <c r="F270" s="310"/>
      <c r="G270" s="310"/>
      <c r="H270" s="310"/>
      <c r="I270" s="310"/>
      <c r="O270" s="84">
        <f t="shared" si="21"/>
        <v>0</v>
      </c>
      <c r="Z270" s="28">
        <f>IF(A270=1,SUM($A$6:$A270),0)</f>
      </c>
    </row>
    <row r="271" spans="1:80" ht="12.75" x14ac:dyDescent="0.2">
      <c r="A271" s="132">
        <f t="shared" si="22"/>
        <v>0</v>
      </c>
      <c r="B271" s="1610" t="s">
        <v>589</v>
      </c>
      <c r="C271" s="1585">
        <v>7201</v>
      </c>
      <c r="D271" s="64"/>
      <c r="E271" s="297"/>
      <c r="F271" s="310"/>
      <c r="G271" s="310"/>
      <c r="H271" s="310"/>
      <c r="I271" s="310"/>
      <c r="O271" s="84">
        <f t="shared" si="21"/>
        <v>0</v>
      </c>
      <c r="Z271" s="28">
        <f>IF(A271=1,SUM($A$6:$A271),0)</f>
      </c>
    </row>
    <row r="272" spans="1:80" ht="12.75" x14ac:dyDescent="0.2">
      <c r="A272" s="132">
        <f t="shared" si="22"/>
        <v>0</v>
      </c>
      <c r="B272" s="1610" t="s">
        <v>4363</v>
      </c>
      <c r="C272" s="1585">
        <v>7202</v>
      </c>
      <c r="D272" s="64"/>
      <c r="E272" s="297"/>
      <c r="F272" s="310"/>
      <c r="G272" s="310"/>
      <c r="H272" s="310"/>
      <c r="I272" s="310"/>
      <c r="O272" s="84">
        <f t="shared" si="21"/>
        <v>0</v>
      </c>
      <c r="Z272" s="28">
        <f>IF(A272=1,SUM($A$6:$A272),0)</f>
      </c>
    </row>
    <row r="273" spans="1:79" ht="12.75" x14ac:dyDescent="0.2">
      <c r="A273" s="132">
        <f t="shared" si="22"/>
        <v>0</v>
      </c>
      <c r="B273" s="1617" t="s">
        <v>4364</v>
      </c>
      <c r="C273" s="1585">
        <v>7203</v>
      </c>
      <c r="D273" s="64"/>
      <c r="E273" s="297"/>
      <c r="F273" s="310"/>
      <c r="G273" s="310"/>
      <c r="H273" s="310"/>
      <c r="I273" s="310"/>
      <c r="O273" s="84">
        <f t="shared" si="21"/>
        <v>0</v>
      </c>
      <c r="Z273" s="28">
        <f>IF(A273=1,SUM($A$6:$A273),0)</f>
      </c>
    </row>
    <row r="274" spans="1:79" ht="12.75" x14ac:dyDescent="0.2">
      <c r="A274" s="132">
        <f t="shared" si="22"/>
        <v>0</v>
      </c>
      <c r="B274" s="1610" t="s">
        <v>2674</v>
      </c>
      <c r="C274" s="1585">
        <v>7204</v>
      </c>
      <c r="D274" s="64"/>
      <c r="E274" s="297"/>
      <c r="F274" s="310"/>
      <c r="G274" s="310"/>
      <c r="H274" s="310"/>
      <c r="I274" s="310"/>
      <c r="O274" s="84">
        <f t="shared" si="21"/>
        <v>0</v>
      </c>
      <c r="Z274" s="28">
        <f>IF(A274=1,SUM($A$6:$A274),0)</f>
      </c>
    </row>
    <row r="275" spans="1:79" ht="12.75" x14ac:dyDescent="0.2">
      <c r="A275" s="132">
        <f t="shared" si="22"/>
        <v>0</v>
      </c>
      <c r="B275" s="1610" t="s">
        <v>2675</v>
      </c>
      <c r="C275" s="1585">
        <v>7205</v>
      </c>
      <c r="D275" s="64"/>
      <c r="E275" s="297"/>
      <c r="F275" s="310"/>
      <c r="G275" s="310"/>
      <c r="H275" s="310"/>
      <c r="I275" s="310"/>
      <c r="O275" s="84">
        <f t="shared" si="21"/>
        <v>0</v>
      </c>
      <c r="Z275" s="28">
        <f>IF(A275=1,SUM($A$6:$A275),0)</f>
      </c>
    </row>
    <row r="276" spans="1:79" ht="12.75" x14ac:dyDescent="0.2">
      <c r="A276" s="132">
        <f t="shared" si="22"/>
        <v>0</v>
      </c>
      <c r="B276" s="1610" t="s">
        <v>2676</v>
      </c>
      <c r="C276" s="1585">
        <v>7206</v>
      </c>
      <c r="D276" s="64"/>
      <c r="E276" s="297"/>
      <c r="F276" s="310"/>
      <c r="G276" s="310"/>
      <c r="H276" s="310"/>
      <c r="I276" s="310"/>
      <c r="O276" s="84">
        <f t="shared" si="21"/>
        <v>0</v>
      </c>
      <c r="Z276" s="28">
        <f>IF(A276=1,SUM($A$6:$A276),0)</f>
      </c>
    </row>
    <row r="277" spans="1:79" ht="12.75" x14ac:dyDescent="0.2">
      <c r="A277" s="132">
        <f t="shared" si="22"/>
        <v>0</v>
      </c>
      <c r="B277" s="1627" t="s">
        <v>3459</v>
      </c>
      <c r="C277" s="1628">
        <v>7207</v>
      </c>
      <c r="D277" s="64"/>
      <c r="E277" s="313"/>
      <c r="F277" s="310"/>
      <c r="G277" s="310"/>
      <c r="H277" s="310"/>
      <c r="I277" s="310"/>
      <c r="O277" s="84">
        <f t="shared" si="21"/>
        <v>0</v>
      </c>
      <c r="Z277" s="28">
        <f>IF(A277=1,SUM($A$6:$A277),0)</f>
      </c>
    </row>
    <row r="278" spans="1:79" ht="12.75" x14ac:dyDescent="0.2">
      <c r="A278" s="132">
        <f t="shared" si="22"/>
        <v>0</v>
      </c>
      <c r="B278" s="314" t="s">
        <v>4834</v>
      </c>
      <c r="C278" s="315"/>
      <c r="D278" s="315"/>
      <c r="E278" s="316"/>
      <c r="F278" s="310"/>
      <c r="G278" s="310"/>
      <c r="H278" s="310"/>
      <c r="I278" s="310"/>
      <c r="O278" s="84">
        <f t="shared" si="21"/>
        <v>0</v>
      </c>
      <c r="Y278" s="28">
        <v>1</v>
      </c>
      <c r="Z278" s="28">
        <f>IF(A278=1,SUM($A$6:$A278),0)</f>
      </c>
    </row>
    <row r="279" spans="1:79" ht="12.75" x14ac:dyDescent="0.2">
      <c r="A279" s="132">
        <f t="shared" si="22"/>
        <v>1</v>
      </c>
      <c r="B279" s="1625" t="s">
        <v>4209</v>
      </c>
      <c r="C279" s="1604">
        <v>7500</v>
      </c>
      <c r="D279" s="324"/>
      <c r="E279" s="317">
        <f>SUM(E269:E277)</f>
      </c>
      <c r="F279" s="310"/>
      <c r="G279" s="310"/>
      <c r="H279" s="310"/>
      <c r="I279" s="310"/>
      <c r="O279" s="84">
        <f t="shared" si="21"/>
        <v>1</v>
      </c>
      <c r="Y279" s="28">
        <v>1</v>
      </c>
      <c r="Z279" s="28">
        <f>IF(A279=1,SUM($A$6:$A279),0)</f>
      </c>
      <c r="CA279" s="142">
        <v>1</v>
      </c>
    </row>
    <row r="280" spans="1:79" ht="12.75" x14ac:dyDescent="0.2">
      <c r="A280" s="132">
        <f t="shared" si="22"/>
        <v>0</v>
      </c>
      <c r="B280" s="1625" t="s">
        <v>9969</v>
      </c>
      <c r="C280" s="1585">
        <v>7509</v>
      </c>
      <c r="D280" s="324"/>
      <c r="E280" s="297"/>
      <c r="F280" s="310"/>
      <c r="G280" s="310"/>
      <c r="H280" s="310"/>
      <c r="I280" s="310"/>
      <c r="O280" s="84">
        <f t="shared" si="21"/>
        <v>0</v>
      </c>
      <c r="Z280" s="28">
        <f>IF(A280=1,SUM($A$6:$A280),0)</f>
      </c>
    </row>
    <row r="281" spans="1:79" ht="12.75" x14ac:dyDescent="0.2">
      <c r="A281" s="132">
        <f t="shared" si="22"/>
        <v>1</v>
      </c>
      <c r="B281" s="1629" t="s">
        <v>5666</v>
      </c>
      <c r="C281" s="1585">
        <v>7501</v>
      </c>
      <c r="D281" s="64"/>
      <c r="E281" s="297"/>
      <c r="F281" s="310"/>
      <c r="G281" s="310"/>
      <c r="H281" s="310"/>
      <c r="I281" s="310"/>
      <c r="O281" s="84">
        <f t="shared" si="21"/>
        <v>1</v>
      </c>
      <c r="Z281" s="28">
        <f>IF(A281=1,SUM($A$6:$A281),0)</f>
      </c>
    </row>
    <row r="282" spans="1:79" ht="12.75" x14ac:dyDescent="0.2">
      <c r="A282" s="132">
        <f t="shared" si="22"/>
        <v>0</v>
      </c>
      <c r="B282" s="1630" t="s">
        <v>648</v>
      </c>
      <c r="C282" s="1585">
        <v>7502</v>
      </c>
      <c r="D282" s="64"/>
      <c r="E282" s="297"/>
      <c r="F282" s="310"/>
      <c r="G282" s="310"/>
      <c r="H282" s="310"/>
      <c r="I282" s="310"/>
      <c r="O282" s="84">
        <f t="shared" si="21"/>
        <v>0</v>
      </c>
      <c r="Z282" s="28">
        <f>IF(A282=1,SUM($A$6:$A282),0)</f>
      </c>
    </row>
    <row r="283" spans="1:79" ht="12.75" x14ac:dyDescent="0.2">
      <c r="A283" s="132">
        <f t="shared" si="22"/>
        <v>0</v>
      </c>
      <c r="B283" s="1630" t="s">
        <v>4228</v>
      </c>
      <c r="C283" s="1585">
        <v>7503</v>
      </c>
      <c r="D283" s="64"/>
      <c r="E283" s="297"/>
      <c r="F283" s="310"/>
      <c r="G283" s="310"/>
      <c r="H283" s="310"/>
      <c r="I283" s="310"/>
      <c r="O283" s="84">
        <f t="shared" si="21"/>
        <v>0</v>
      </c>
      <c r="Z283" s="28">
        <f>IF(A283=1,SUM($A$6:$A283),0)</f>
      </c>
    </row>
    <row r="284" spans="1:79" ht="12.75" x14ac:dyDescent="0.2">
      <c r="A284" s="132">
        <f t="shared" si="22"/>
        <v>0</v>
      </c>
      <c r="B284" s="1630" t="s">
        <v>6504</v>
      </c>
      <c r="C284" s="1585">
        <v>7504</v>
      </c>
      <c r="D284" s="64"/>
      <c r="E284" s="297"/>
      <c r="F284" s="310"/>
      <c r="G284" s="310"/>
      <c r="H284" s="310"/>
      <c r="I284" s="310"/>
      <c r="O284" s="84">
        <f t="shared" si="21"/>
        <v>0</v>
      </c>
      <c r="Z284" s="28">
        <f>IF(A284=1,SUM($A$6:$A284),0)</f>
      </c>
    </row>
    <row r="285" spans="1:79" ht="12.75" x14ac:dyDescent="0.2">
      <c r="A285" s="132">
        <f t="shared" si="22"/>
        <v>0</v>
      </c>
      <c r="B285" s="1630" t="s">
        <v>4141</v>
      </c>
      <c r="C285" s="1585">
        <v>7505</v>
      </c>
      <c r="D285" s="64"/>
      <c r="E285" s="297"/>
      <c r="F285" s="310"/>
      <c r="G285" s="310"/>
      <c r="H285" s="310"/>
      <c r="I285" s="310"/>
      <c r="O285" s="84">
        <f t="shared" si="21"/>
        <v>0</v>
      </c>
      <c r="Z285" s="28">
        <f>IF(A285=1,SUM($A$6:$A285),0)</f>
      </c>
    </row>
    <row r="286" spans="1:79" ht="12.75" x14ac:dyDescent="0.2">
      <c r="A286" s="132">
        <f t="shared" si="22"/>
        <v>0</v>
      </c>
      <c r="B286" s="1629" t="s">
        <v>4126</v>
      </c>
      <c r="C286" s="1585">
        <v>7506</v>
      </c>
      <c r="D286" s="64"/>
      <c r="E286" s="297"/>
      <c r="F286" s="310"/>
      <c r="G286" s="310"/>
      <c r="H286" s="310"/>
      <c r="I286" s="310"/>
      <c r="O286" s="84">
        <f t="shared" si="21"/>
        <v>0</v>
      </c>
      <c r="Z286" s="28">
        <f>IF(A286=1,SUM($A$6:$A286),0)</f>
      </c>
    </row>
    <row r="287" spans="1:79" ht="12.75" x14ac:dyDescent="0.2">
      <c r="A287" s="132">
        <f t="shared" si="22"/>
        <v>0</v>
      </c>
      <c r="B287" s="1630" t="s">
        <v>1554</v>
      </c>
      <c r="C287" s="1585">
        <v>7507</v>
      </c>
      <c r="D287" s="64"/>
      <c r="E287" s="297"/>
      <c r="F287" s="310"/>
      <c r="G287" s="310"/>
      <c r="H287" s="310"/>
      <c r="I287" s="310"/>
      <c r="O287" s="84">
        <f t="shared" si="21"/>
        <v>0</v>
      </c>
      <c r="Z287" s="28">
        <f>IF(A287=1,SUM($A$6:$A287),0)</f>
      </c>
    </row>
    <row r="288" spans="1:79" ht="12.75" x14ac:dyDescent="0.2">
      <c r="A288" s="132">
        <f t="shared" si="22"/>
        <v>0</v>
      </c>
      <c r="B288" s="1629" t="s">
        <v>1929</v>
      </c>
      <c r="C288" s="1585">
        <v>7508</v>
      </c>
      <c r="D288" s="64"/>
      <c r="E288" s="297"/>
      <c r="F288" s="310"/>
      <c r="G288" s="310"/>
      <c r="H288" s="310"/>
      <c r="I288" s="310"/>
      <c r="O288" s="84">
        <f t="shared" si="21"/>
        <v>0</v>
      </c>
      <c r="Z288" s="28">
        <f>IF(A288=1,SUM($A$6:$A288),0)</f>
      </c>
    </row>
    <row r="289" spans="1:80" ht="12.75" x14ac:dyDescent="0.2">
      <c r="A289" s="132">
        <f t="shared" si="22"/>
        <v>1</v>
      </c>
      <c r="B289" s="1613" t="s">
        <v>2215</v>
      </c>
      <c r="C289" s="1614">
        <v>7600</v>
      </c>
      <c r="D289" s="301" t="str">
        <f>IF(ISBLANK(C3),"",IF(ISBLANK(E289),man,IF(E289&lt;&gt;E290,"Check!","")))</f>
        <v/>
      </c>
      <c r="E289" s="297">
        <f>E290</f>
      </c>
      <c r="F289" s="310"/>
      <c r="G289" s="310"/>
      <c r="H289" s="310"/>
      <c r="I289" s="310"/>
      <c r="O289" s="84">
        <f t="shared" si="21"/>
        <v>1</v>
      </c>
      <c r="P289" s="28">
        <f>IF(D289&lt;&gt;"",1,0)</f>
      </c>
      <c r="Y289" s="28">
        <v>1</v>
      </c>
      <c r="Z289" s="28">
        <f>IF(A289=1,SUM($A$6:$A289),0)</f>
      </c>
      <c r="CA289" s="142">
        <v>1</v>
      </c>
      <c r="CB289" s="142">
        <v>1</v>
      </c>
    </row>
    <row r="290" spans="1:80" ht="12.75" x14ac:dyDescent="0.2">
      <c r="A290" s="132">
        <f t="shared" si="22"/>
        <v>1</v>
      </c>
      <c r="B290" s="1615"/>
      <c r="C290" s="91"/>
      <c r="D290" s="319"/>
      <c r="E290" s="303">
        <f>SUM(E279:E288)</f>
      </c>
      <c r="F290" s="310"/>
      <c r="G290" s="310"/>
      <c r="H290" s="310"/>
      <c r="I290" s="310"/>
    </row>
    <row r="291" spans="1:80" ht="12.75" x14ac:dyDescent="0.2">
      <c r="A291" s="132">
        <f>IF($C$3=1,1,IF($C$297&gt;1,0,1))</f>
      </c>
      <c r="B291" s="860" t="s">
        <v>4666</v>
      </c>
      <c r="C291" s="1631"/>
      <c r="D291" s="126"/>
      <c r="E291" s="126"/>
      <c r="F291" s="127"/>
      <c r="G291" s="127"/>
      <c r="H291" s="127"/>
      <c r="I291" s="127"/>
    </row>
    <row r="292" spans="1:80" ht="12.75" x14ac:dyDescent="0.2">
      <c r="A292" s="132">
        <f>IF($C$3=1,1,IF($C$297&gt;1,0,1))</f>
      </c>
      <c r="B292" s="4389" t="s">
        <v>1564</v>
      </c>
      <c r="C292" s="4389"/>
      <c r="D292" s="286" t="str">
        <f>IF(P292=0,"Yes","No")</f>
      </c>
      <c r="E292" s="127"/>
      <c r="F292" s="127"/>
      <c r="G292" s="127"/>
      <c r="H292" s="127"/>
      <c r="I292" s="127"/>
      <c r="P292" s="28">
        <f>SUM(P289,P265,P262,P259,P99,P67)</f>
      </c>
    </row>
    <row r="293" spans="1:80" ht="12.75" x14ac:dyDescent="0.2">
      <c r="A293" s="132">
        <f>IF($C$3=1,1,IF($C$297&gt;1,0,1))</f>
      </c>
      <c r="B293" s="4389" t="s">
        <v>454</v>
      </c>
      <c r="C293" s="4389"/>
      <c r="D293" s="286" t="str">
        <f>IF(P293=0,"Yes","No")</f>
      </c>
      <c r="E293" s="3"/>
      <c r="F293" s="3"/>
      <c r="G293" s="3"/>
      <c r="H293" s="3"/>
      <c r="I293" s="3"/>
      <c r="P293" s="28">
        <f>Q293+R293</f>
      </c>
      <c r="Q293" s="28">
        <f>IF(C3&gt;1,0,IF(Q263&lt;&gt;E262,1,0))</f>
      </c>
      <c r="R293" s="28">
        <f>IF(C3=1,0,IF(Q263&lt;&gt;E265,1,0))</f>
      </c>
    </row>
    <row r="294" spans="1:80" ht="12.75" x14ac:dyDescent="0.2">
      <c r="A294" s="132">
        <f>IF($C$3=1,1,IF($C$297&gt;1,0,1))</f>
      </c>
      <c r="B294" s="4397" t="s">
        <v>517</v>
      </c>
      <c r="C294" s="4398"/>
      <c r="D294" s="286" t="str">
        <f>IF(P294=0,"Yes","No")</f>
      </c>
      <c r="E294" s="3"/>
      <c r="F294" s="3"/>
      <c r="G294" s="3"/>
      <c r="H294" s="3"/>
      <c r="I294" s="3"/>
      <c r="P294" s="84">
        <f>IF(tr=1,0,Q294-R294)</f>
      </c>
      <c r="Q294" s="28">
        <f>B_Sheet!E257</f>
      </c>
      <c r="R294" s="84">
        <f>E289</f>
      </c>
    </row>
    <row r="295" spans="1:80" ht="12.75" x14ac:dyDescent="0.2">
      <c r="A295" s="132">
        <f>IF($C$3=1,1,IF($C$297&gt;1,0,1))</f>
      </c>
      <c r="B295" s="4395" t="s">
        <v>1565</v>
      </c>
      <c r="C295" s="4396"/>
      <c r="D295" s="320" t="str">
        <f>IF(P295=0,"Yes","No")</f>
      </c>
      <c r="E295" s="3"/>
      <c r="F295" s="3"/>
      <c r="G295" s="3"/>
      <c r="H295" s="3"/>
      <c r="I295" s="3"/>
      <c r="P295" s="84">
        <f>P7+P9</f>
      </c>
    </row>
    <row r="296" spans="1:80" ht="12.75" x14ac:dyDescent="0.2">
      <c r="A296" s="72"/>
      <c r="B296" s="3"/>
      <c r="C296" s="3"/>
      <c r="D296" s="3"/>
      <c r="E296" s="3"/>
      <c r="F296" s="3"/>
      <c r="G296" s="3"/>
      <c r="H296" s="3"/>
      <c r="I296" s="3"/>
      <c r="P296" s="84">
        <f>SUM(P292:P295)</f>
      </c>
    </row>
    <row r="297" spans="1:80" ht="15" x14ac:dyDescent="0.2">
      <c r="A297" s="72"/>
      <c r="B297" s="321" t="s">
        <v>2560</v>
      </c>
      <c r="C297" s="322"/>
      <c r="D297" s="3"/>
      <c r="E297" s="3"/>
      <c r="F297" s="3"/>
      <c r="G297" s="3"/>
      <c r="H297" s="3"/>
      <c r="I297" s="3"/>
      <c r="P297" s="28" t="str">
        <f>TEXT(C297,"")</f>
        <v/>
      </c>
    </row>
    <row r="298" spans="1:80" ht="12.75" x14ac:dyDescent="0.2">
      <c r="A298" s="72"/>
      <c r="B298" s="3"/>
      <c r="C298" s="3"/>
      <c r="D298" s="3"/>
      <c r="E298" s="3"/>
      <c r="F298" s="3"/>
      <c r="G298" s="3"/>
      <c r="H298" s="3"/>
      <c r="I298" s="3"/>
      <c r="P298" s="30">
        <f>IF(AND('p2'!G22="y",tr=0),0,IF(ISBLANK(C3),100,IF(P296&lt;&gt;0,100,1)))</f>
      </c>
    </row>
    <row r="299" spans="1:80" ht="12.75" x14ac:dyDescent="0.2">
      <c r="A299" s="3"/>
      <c r="B299" s="3"/>
      <c r="C299" s="3"/>
      <c r="D299" s="3"/>
      <c r="E299" s="3"/>
      <c r="F299" s="3"/>
      <c r="G299" s="3"/>
      <c r="H299" s="3"/>
      <c r="I299" s="3"/>
    </row>
    <row r="300" spans="1:80" ht="12.75" hidden="1" x14ac:dyDescent="0.2"/>
    <row r="301" spans="1:80" ht="12.75" hidden="1" x14ac:dyDescent="0.2"/>
    <row r="302" spans="1:80" ht="12.75" hidden="1" x14ac:dyDescent="0.2"/>
    <row r="303" spans="1:80" ht="12.75" hidden="1" x14ac:dyDescent="0.2"/>
    <row r="304" spans="1:80" ht="12.75" hidden="1" x14ac:dyDescent="0.2"/>
    <row r="305" ht="12.75" hidden="1" x14ac:dyDescent="0.2"/>
  </sheetData>
  <sheetProtection algorithmName="SHA-512" hashValue="KALg+Dy3+1OY2jK19zHvNEKeMVuK7DdWb3ooBkhG/hpjiL0nQbGct1WroW3hpQtE3hc+WHS758TKse2A1v/n+A==" saltValue="56aWt68lJ91rKdXfrXxeRg==" spinCount="100000" sheet="1" objects="1" scenarios="1"/>
  <customSheetViews>
    <customSheetView guid="{99B5278F-6EA9-4B1A-8623-27A4DF4AD5E4}" showGridLines="0" hiddenRows="1" hiddenColumns="1" topLeftCell="A243">
      <selection activeCell="E263" sqref="E263"/>
      <pageMargins left="0.74803149606299213" right="0.74803149606299213" top="0.43" bottom="0.98425196850393704" header="0.19685039370078741" footer="0.59055118110236227"/>
      <printOptions horizontalCentered="1"/>
      <pageSetup paperSize="9" orientation="portrait" horizontalDpi="300" verticalDpi="300" r:id="rId1"/>
      <headerFooter alignWithMargins="0">
        <oddHeader>&amp;LIRD - Malta&amp;CIncome Statement&amp;R&amp;P</oddHeader>
        <oddFooter>&amp;LName&amp;CSignature&amp;RDate</oddFooter>
      </headerFooter>
    </customSheetView>
  </customSheetViews>
  <mergeCells count="25">
    <mergeCell ref="O8:O9"/>
    <mergeCell ref="O6:O7"/>
    <mergeCell ref="I8:I9"/>
    <mergeCell ref="D8:D9"/>
    <mergeCell ref="H6:H7"/>
    <mergeCell ref="F8:F9"/>
    <mergeCell ref="G6:G7"/>
    <mergeCell ref="F6:F7"/>
    <mergeCell ref="G8:G9"/>
    <mergeCell ref="B8:B9"/>
    <mergeCell ref="C8:C9"/>
    <mergeCell ref="I6:I7"/>
    <mergeCell ref="E6:E7"/>
    <mergeCell ref="E8:E9"/>
    <mergeCell ref="H8:H9"/>
    <mergeCell ref="B295:C295"/>
    <mergeCell ref="B294:C294"/>
    <mergeCell ref="B264:C264"/>
    <mergeCell ref="B292:C292"/>
    <mergeCell ref="B293:C293"/>
    <mergeCell ref="B4:D4"/>
    <mergeCell ref="D6:D7"/>
    <mergeCell ref="B6:B7"/>
    <mergeCell ref="C6:C7"/>
    <mergeCell ref="B5:D5"/>
  </mergeCells>
  <phoneticPr fontId="0" type="noConversion"/>
  <conditionalFormatting sqref="B290:C293">
    <cfRule type="expression" dxfId="951" priority="14" stopIfTrue="1">
      <formula>$C$3=$U$1</formula>
    </cfRule>
  </conditionalFormatting>
  <conditionalFormatting sqref="B292:C293">
    <cfRule type="expression" dxfId="950" priority="15" stopIfTrue="1">
      <formula>P292&lt;&gt;0</formula>
    </cfRule>
  </conditionalFormatting>
  <conditionalFormatting sqref="B294:C295">
    <cfRule type="expression" dxfId="949" priority="21" stopIfTrue="1">
      <formula>P294&lt;&gt;0</formula>
    </cfRule>
    <cfRule type="expression" dxfId="948" priority="22" stopIfTrue="1">
      <formula>tr=1</formula>
    </cfRule>
  </conditionalFormatting>
  <conditionalFormatting sqref="B297:C297 D264:E266">
    <cfRule type="expression" dxfId="947" priority="28" stopIfTrue="1">
      <formula>$C$3=1</formula>
    </cfRule>
  </conditionalFormatting>
  <conditionalFormatting sqref="B297:C297">
    <cfRule type="expression" dxfId="946" priority="27" stopIfTrue="1">
      <formula>$C$3=$U$1</formula>
    </cfRule>
  </conditionalFormatting>
  <conditionalFormatting sqref="B294:D296">
    <cfRule type="expression" dxfId="945" priority="20" stopIfTrue="1">
      <formula>$C$3=$U$1</formula>
    </cfRule>
  </conditionalFormatting>
  <conditionalFormatting sqref="D267:D293">
    <cfRule type="expression" dxfId="944" priority="16" stopIfTrue="1">
      <formula>$C$3=$U$1</formula>
    </cfRule>
  </conditionalFormatting>
  <conditionalFormatting sqref="D292">
    <cfRule type="expression" dxfId="943" priority="17" stopIfTrue="1">
      <formula>P292&lt;&gt;0</formula>
    </cfRule>
  </conditionalFormatting>
  <conditionalFormatting sqref="D293">
    <cfRule type="expression" dxfId="942" priority="19" stopIfTrue="1">
      <formula>P293&lt;&gt;0</formula>
    </cfRule>
  </conditionalFormatting>
  <conditionalFormatting sqref="D294:D295">
    <cfRule type="expression" dxfId="941" priority="24" stopIfTrue="1">
      <formula>P294&lt;&gt;0</formula>
    </cfRule>
    <cfRule type="expression" dxfId="940" priority="25" stopIfTrue="1">
      <formula>tr=1</formula>
    </cfRule>
  </conditionalFormatting>
  <conditionalFormatting sqref="E1:E5">
    <cfRule type="expression" dxfId="939" priority="3" stopIfTrue="1">
      <formula>$C$3=$U$1</formula>
    </cfRule>
  </conditionalFormatting>
  <conditionalFormatting sqref="E4:E5">
    <cfRule type="expression" dxfId="938" priority="4" stopIfTrue="1">
      <formula>E$10=$U$1</formula>
    </cfRule>
    <cfRule type="expression" dxfId="937" priority="5" stopIfTrue="1">
      <formula>$C$297&gt;1</formula>
    </cfRule>
  </conditionalFormatting>
  <conditionalFormatting sqref="E247:E258">
    <cfRule type="expression" dxfId="936" priority="30" stopIfTrue="1">
      <formula>$T$5&gt;1</formula>
    </cfRule>
  </conditionalFormatting>
  <conditionalFormatting sqref="F101 D6:E266 F264:F298 G264:I299 E267:E298 A299:F299">
    <cfRule type="expression" dxfId="935" priority="26" stopIfTrue="1">
      <formula>$C$3=$U$1</formula>
    </cfRule>
  </conditionalFormatting>
  <conditionalFormatting sqref="F1:I263">
    <cfRule type="expression" dxfId="934" priority="1" stopIfTrue="1">
      <formula>$C$3=$U$1</formula>
    </cfRule>
    <cfRule type="expression" dxfId="933" priority="2" stopIfTrue="1">
      <formula>F$10=$U$1</formula>
    </cfRule>
  </conditionalFormatting>
  <conditionalFormatting sqref="F4:I4">
    <cfRule type="expression" dxfId="932" priority="8" stopIfTrue="1">
      <formula>$C$297&lt;&gt;F$10</formula>
    </cfRule>
  </conditionalFormatting>
  <conditionalFormatting sqref="F247:I258">
    <cfRule type="expression" dxfId="931" priority="13" stopIfTrue="1">
      <formula>$T$5&gt;1</formula>
    </cfRule>
  </conditionalFormatting>
  <dataValidations xWindow="409" yWindow="342" count="4">
    <dataValidation errorStyle="warning" allowBlank="1" showInputMessage="1" showErrorMessage="1" sqref="O8 BA93:BA65537 BB90:BC191 BC192:BC65537 D1:N3 C295:C296 AC22:AC65537 B295:B299 D297:D299 A300:N65537 BD1:IV1048576 O10:O11 B6:C10 D6:D8 B12:C290 D10:D290 AC1:AC11 A1:A299 O264:O65537 B1:B4 C298:C299 E10:N10 O1:O6 C1:C2 BA1:BC89 AD1:AZ1048576 BB193:BB65537 P1:AB1048576" xr:uid="{00000000-0002-0000-0700-000000000000}"/>
    <dataValidation type="whole" allowBlank="1" showInputMessage="1" showErrorMessage="1" errorTitle="NUMBER OF ACTIVITIES" error="CANNOT BE LESS THAN 1 OR MORE THAN 5!" sqref="C3" xr:uid="{00000000-0002-0000-0700-000001000000}">
      <formula1>1</formula1>
      <formula2>5</formula2>
    </dataValidation>
    <dataValidation type="textLength" errorStyle="warning" operator="lessThanOrEqual" allowBlank="1" showInputMessage="1" showErrorMessage="1" errorTitle="DESCRIPTION" error="TEXT LENGTH EXCEEDING 39 CHARACTERS IS IGNORED!" sqref="E6:N9" xr:uid="{00000000-0002-0000-0700-000002000000}">
      <formula1>39</formula1>
    </dataValidation>
    <dataValidation type="whole" allowBlank="1" showInputMessage="1" showErrorMessage="1" errorTitle="Number of Activities" error="Must be between 1 and 5!" promptTitle="Activity for printing" prompt="Input a positive number between 1 and 5 to choose the activity to be printed." sqref="C297" xr:uid="{00000000-0002-0000-0700-000003000000}">
      <formula1>1</formula1>
      <formula2>5</formula2>
    </dataValidation>
  </dataValidations>
  <hyperlinks>
    <hyperlink ref="B1" location="Index!A1" display="Index!A1" xr:uid="{00000000-0004-0000-0700-000000000000}"/>
  </hyperlinks>
  <printOptions horizontalCentered="1"/>
  <pageMargins left="0.74803149606299213" right="0.74803149606299213" top="0.43" bottom="0.98425196850393704" header="0.19685039370078741" footer="0.59055118110236227"/>
  <pageSetup paperSize="9" orientation="portrait" r:id="rId2"/>
  <headerFooter alignWithMargins="0">
    <oddHeader>&amp;LIRD - Malta&amp;CIncome Statement&amp;R&amp;P</oddHeader>
    <oddFooter>&amp;LName&amp;CSignature&amp;RDate</oddFooter>
  </headerFooter>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5"/>
  <dimension ref="A1:P291"/>
  <sheetViews>
    <sheetView workbookViewId="0"/>
  </sheetViews>
  <sheetFormatPr defaultColWidth="0" defaultRowHeight="12.75" customHeight="1" zeroHeight="1" x14ac:dyDescent="0.2"/>
  <cols>
    <col min="1" max="1" width="9.28515625" customWidth="1"/>
    <col min="2" max="2" width="62.28515625" customWidth="1"/>
    <col min="3" max="3" width="9.28515625" style="1965" customWidth="1"/>
    <col min="4" max="4" width="14.42578125" customWidth="1"/>
    <col min="5" max="8" width="14.28515625" customWidth="1"/>
    <col min="9" max="10" width="9.28515625" customWidth="1"/>
    <col min="11" max="16384" width="9.28515625" hidden="1"/>
  </cols>
  <sheetData>
    <row r="1" spans="1:16" x14ac:dyDescent="0.2">
      <c r="A1" s="3"/>
      <c r="B1" s="3"/>
      <c r="C1" s="2"/>
      <c r="D1" s="3"/>
      <c r="E1" s="3"/>
      <c r="F1" s="3"/>
      <c r="G1" s="3"/>
      <c r="H1" s="3"/>
      <c r="I1" s="3"/>
      <c r="J1" s="3"/>
      <c r="L1">
        <f>IF(OR(D6&lt;&gt; 0,D8&lt;&gt;0),0,1)</f>
      </c>
      <c r="M1">
        <f>IF(OR(E6&lt;&gt; 0,E8&lt;&gt;0),0,1)</f>
      </c>
      <c r="N1">
        <f>IF(OR(F6&lt;&gt; 0,F8&lt;&gt;0),0,1)</f>
      </c>
      <c r="O1">
        <f>IF(OR(G6&lt;&gt; 0,G8&lt;&gt;0),0,1)</f>
      </c>
      <c r="P1">
        <f>IF(OR(H6&lt;&gt; 0,H8&lt;&gt;0),0,1)</f>
      </c>
    </row>
    <row r="2" spans="1:16" x14ac:dyDescent="0.2">
      <c r="A2" s="3"/>
      <c r="B2" s="3"/>
      <c r="C2" s="2"/>
      <c r="D2" s="3"/>
      <c r="E2" s="3"/>
      <c r="F2" s="3"/>
      <c r="G2" s="3"/>
      <c r="H2" s="3"/>
      <c r="I2" s="3"/>
      <c r="J2" s="3"/>
    </row>
    <row r="3" spans="1:16" x14ac:dyDescent="0.2">
      <c r="A3" s="3"/>
      <c r="B3" s="3"/>
      <c r="C3" s="2"/>
      <c r="D3" s="3"/>
      <c r="E3" s="3"/>
      <c r="F3" s="3"/>
      <c r="G3" s="3"/>
      <c r="H3" s="3"/>
      <c r="I3" s="3"/>
      <c r="J3" s="3"/>
    </row>
    <row r="4" spans="1:16" x14ac:dyDescent="0.2">
      <c r="A4" s="3"/>
      <c r="B4" s="3" t="str">
        <f>Income!B5</f>
      </c>
      <c r="C4" s="2"/>
      <c r="D4" s="3"/>
      <c r="E4" s="3"/>
      <c r="F4" s="3"/>
      <c r="G4" s="3"/>
      <c r="H4" s="3"/>
      <c r="I4" s="3"/>
      <c r="J4" s="3"/>
    </row>
    <row r="5" spans="1:16" x14ac:dyDescent="0.2">
      <c r="A5" s="3"/>
      <c r="B5" s="1966" t="s">
        <v>2307</v>
      </c>
      <c r="C5" s="1967" t="s">
        <v>1005</v>
      </c>
      <c r="D5" s="3"/>
      <c r="E5" s="3"/>
      <c r="F5" s="3"/>
      <c r="G5" s="3"/>
      <c r="H5" s="3"/>
      <c r="I5" s="3"/>
      <c r="J5" s="3"/>
    </row>
    <row r="6" spans="1:16" x14ac:dyDescent="0.2">
      <c r="A6" s="3"/>
      <c r="B6" s="4403" t="str">
        <f>IF(ROW() -5&lt;= MAX(Income!$Z$6:$Z$289),INDEX(Income!$B$6:$Z$289,MATCH(ROW()-5,Income!$Z$6:$Z$289,0),1),"")</f>
      </c>
      <c r="C6" s="4405">
        <f>IF(ROW() -5&lt;= MAX(Income!$Z$6:$Z$289),INDEX(Income!$B$6:$Z$289,MATCH(ROW()-5,Income!$Z$6:$Z$289,0),2),"")</f>
      </c>
      <c r="D6" s="4403" t="str">
        <f>IF(ROW() -5&lt;= MAX(Income!$Z$6:$Z$289),INDEX(Income!$B$6:$Z$289,MATCH(ROW()-5,Income!$Z$6:$Z$289,0),4),"")</f>
      </c>
      <c r="E6" s="4403">
        <f>IF(ROW() -5&lt;= MAX(Income!$Z$6:$Z$289),INDEX(Income!$C$6:$Z$289,MATCH(ROW()-5,Income!$Z$6:$Z$289,0),4),"")</f>
      </c>
      <c r="F6" s="4403">
        <f>IF(ROW() -5&lt;= MAX(Income!$Z$6:$Z$289),INDEX(Income!$D$6:$Z$289,MATCH(ROW()-5,Income!$Z$6:$Z$289,0),4),"")</f>
      </c>
      <c r="G6" s="4403">
        <f>IF(ROW() -5&lt;= MAX(Income!$Z$6:$Z$289),INDEX(Income!$E$6:$Z$289,MATCH(ROW()-5,Income!$Z$6:$Z$289,0),4),"")</f>
      </c>
      <c r="H6" s="4403">
        <f>IF(ROW() -5&lt;= MAX(Income!$Z$6:$Z$289),INDEX(Income!$F$6:$Z$289,MATCH(ROW()-5,Income!$Z$6:$Z$289,0),4),"")</f>
      </c>
      <c r="I6" s="3"/>
      <c r="J6" s="3"/>
      <c r="K6">
        <f>IF(ROW() -5&lt;= MAX(Income!$Z$6:$Z$289),INDEX(Income!$B$6:$Z$289,MATCH(ROW()-5,Income!$Z$6:$Z$289,0),24),"")</f>
      </c>
    </row>
    <row r="7" spans="1:16" x14ac:dyDescent="0.2">
      <c r="A7" s="3"/>
      <c r="B7" s="4404"/>
      <c r="C7" s="4406"/>
      <c r="D7" s="4404"/>
      <c r="E7" s="4404"/>
      <c r="F7" s="4404"/>
      <c r="G7" s="4404"/>
      <c r="H7" s="4404"/>
      <c r="I7" s="3"/>
      <c r="J7" s="3"/>
      <c r="K7">
        <f>IF(ROW() -5&lt;= MAX(Income!$Z$6:$Z$289),INDEX(Income!$B$6:$Z$289,MATCH(ROW()-5,Income!$Z$6:$Z$289,0),24),"")</f>
      </c>
    </row>
    <row r="8" spans="1:16" x14ac:dyDescent="0.2">
      <c r="A8" s="3"/>
      <c r="B8" s="4403" t="str">
        <f>IF(ROW() -5&lt;= MAX(Income!$Z$6:$Z$289),INDEX(Income!$B$6:$Z$289,MATCH(ROW()-5,Income!$Z$6:$Z$289,0),1),"")</f>
      </c>
      <c r="C8" s="4405">
        <f>IF(ROW() -5&lt;= MAX(Income!$Z$6:$Z$289),INDEX(Income!$B$6:$Z$289,MATCH(ROW()-5,Income!$Z$6:$Z$289,0),2),"")</f>
      </c>
      <c r="D8" s="4403" t="str">
        <f>IF(ROW() -5&lt;= MAX(Income!$Z$6:$Z$289),INDEX(Income!$B$6:$Z$289,MATCH(ROW()-5,Income!$Z$6:$Z$289,0),4),"")</f>
      </c>
      <c r="E8" s="4403">
        <f>IF(ROW() -5&lt;= MAX(Income!$Z$6:$Z$289),INDEX(Income!$C$6:$Z$289,MATCH(ROW()-5,Income!$Z$6:$Z$289,0),4),"")</f>
      </c>
      <c r="F8" s="4403">
        <f>IF(ROW() -5&lt;= MAX(Income!$Z$6:$Z$289),INDEX(Income!$D$6:$Z$289,MATCH(ROW()-5,Income!$Z$6:$Z$289,0),4),"")</f>
      </c>
      <c r="G8" s="4403">
        <f>IF(ROW() -5&lt;= MAX(Income!$Z$6:$Z$289),INDEX(Income!$E$6:$Z$289,MATCH(ROW()-5,Income!$Z$6:$Z$289,0),4),"")</f>
      </c>
      <c r="H8" s="4403">
        <f>IF(ROW() -5&lt;= MAX(Income!$Z$6:$Z$289),INDEX(Income!$F$6:$Z$289,MATCH(ROW()-5,Income!$Z$6:$Z$289,0),4),"")</f>
      </c>
      <c r="I8" s="3"/>
      <c r="J8" s="3"/>
      <c r="K8">
        <f>IF(ROW() -5&lt;= MAX(Income!$Z$6:$Z$289),INDEX(Income!$B$6:$Z$289,MATCH(ROW()-5,Income!$Z$6:$Z$289,0),24),"")</f>
      </c>
    </row>
    <row r="9" spans="1:16" x14ac:dyDescent="0.2">
      <c r="A9" s="3"/>
      <c r="B9" s="4404"/>
      <c r="C9" s="4406"/>
      <c r="D9" s="4404"/>
      <c r="E9" s="4404"/>
      <c r="F9" s="4404"/>
      <c r="G9" s="4404"/>
      <c r="H9" s="4404"/>
      <c r="I9" s="3"/>
      <c r="J9" s="3"/>
      <c r="K9">
        <f>IF(ROW() -5&lt;= MAX(Income!$Z$6:$Z$289),INDEX(Income!$B$6:$Z$289,MATCH(ROW()-5,Income!$Z$6:$Z$289,0),24),"")</f>
      </c>
    </row>
    <row r="10" spans="1:16" x14ac:dyDescent="0.2">
      <c r="A10" s="3"/>
      <c r="B10" s="1962" t="str">
        <f>IF(ROW() -5&lt;= MAX(Income!$Z$6:$Z$289),INDEX(Income!$B$6:$Z$289,MATCH(ROW()-5,Income!$Z$6:$Z$289,0),1),"")</f>
      </c>
      <c r="C10" s="1964">
        <f>IF(ROW() -5&lt;= MAX(Income!$Z$6:$Z$289),INDEX(Income!$B$6:$Z$289,MATCH(ROW()-5,Income!$Z$6:$Z$289,0),2),"")</f>
      </c>
      <c r="D10" s="1962">
        <f>IF(ROW() -5&lt;= MAX(Income!$Z$6:$Z$289),INDEX(Income!$B$6:$Z$289,MATCH(ROW()-5,Income!$Z$6:$Z$289,0),4),"")</f>
      </c>
      <c r="E10" s="1962" t="str">
        <f>IF(ROW() -5&lt;= MAX(Income!$Z$6:$Z$289),INDEX(Income!$C$6:$Z$289,MATCH(ROW()-5,Income!$Z$6:$Z$289,0),4),"")</f>
        <v/>
      </c>
      <c r="F10" s="1962" t="str">
        <f>IF(ROW() -5&lt;= MAX(Income!$Z$6:$Z$289),INDEX(Income!$D$6:$Z$289,MATCH(ROW()-5,Income!$Z$6:$Z$289,0),4),"")</f>
        <v/>
      </c>
      <c r="G10" s="1962" t="str">
        <f>IF(ROW() -5&lt;= MAX(Income!$Z$6:$Z$289),INDEX(Income!$E$6:$Z$289,MATCH(ROW()-5,Income!$Z$6:$Z$289,0),4),"")</f>
        <v/>
      </c>
      <c r="H10" s="1962" t="str">
        <f>IF(ROW() -5&lt;= MAX(Income!$Z$6:$Z$289),INDEX(Income!$F$6:$Z$289,MATCH(ROW()-5,Income!$Z$6:$Z$289,0),4),"")</f>
        <v/>
      </c>
      <c r="I10" s="3"/>
      <c r="J10" s="3"/>
      <c r="K10">
        <f>IF(ROW() -5&lt;= MAX(Income!$Z$6:$Z$289),INDEX(Income!$B$6:$Z$289,MATCH(ROW()-5,Income!$Z$6:$Z$289,0),24),"")</f>
      </c>
    </row>
    <row r="11" spans="1:16" x14ac:dyDescent="0.2">
      <c r="A11" s="3"/>
      <c r="B11" s="1962" t="str">
        <f>IF(ROW() -5&lt;= MAX(Income!$Z$6:$Z$289),INDEX(Income!$B$6:$Z$289,MATCH(ROW()-5,Income!$Z$6:$Z$289,0),1),"")</f>
      </c>
      <c r="C11" s="1964">
        <f>IF(ROW() -5&lt;= MAX(Income!$Z$6:$Z$289),INDEX(Income!$B$6:$Z$289,MATCH(ROW()-5,Income!$Z$6:$Z$289,0),2),"")</f>
      </c>
      <c r="D11" s="1962">
        <f>IF(ROW() -5&lt;= MAX(Income!$Z$6:$Z$289),INDEX(Income!$B$6:$Z$289,MATCH(ROW()-5,Income!$Z$6:$Z$289,0),4),"")</f>
      </c>
      <c r="E11" s="1962">
        <f>IF(ROW() -5&lt;= MAX(Income!$Z$6:$Z$289),INDEX(Income!$C$6:$Z$289,MATCH(ROW()-5,Income!$Z$6:$Z$289,0),4),"")</f>
      </c>
      <c r="F11" s="1962">
        <f>IF(ROW() -5&lt;= MAX(Income!$Z$6:$Z$289),INDEX(Income!$D$6:$Z$289,MATCH(ROW()-5,Income!$Z$6:$Z$289,0),4),"")</f>
      </c>
      <c r="G11" s="1962">
        <f>IF(ROW() -5&lt;= MAX(Income!$Z$6:$Z$289),INDEX(Income!$E$6:$Z$289,MATCH(ROW()-5,Income!$Z$6:$Z$289,0),4),"")</f>
      </c>
      <c r="H11" s="1962">
        <f>IF(ROW() -5&lt;= MAX(Income!$Z$6:$Z$289),INDEX(Income!$F$6:$Z$289,MATCH(ROW()-5,Income!$Z$6:$Z$289,0),4),"")</f>
      </c>
      <c r="I11" s="3"/>
      <c r="J11" s="3"/>
      <c r="K11">
        <f>IF(ROW() -5&lt;= MAX(Income!$Z$6:$Z$289),INDEX(Income!$B$6:$Z$289,MATCH(ROW()-5,Income!$Z$6:$Z$289,0),24),"")</f>
      </c>
    </row>
    <row r="12" spans="1:16" x14ac:dyDescent="0.2">
      <c r="A12" s="3"/>
      <c r="B12" s="1962" t="str">
        <f>IF(ROW() -5&lt;= MAX(Income!$Z$6:$Z$289),INDEX(Income!$B$6:$Z$289,MATCH(ROW()-5,Income!$Z$6:$Z$289,0),1),"")</f>
      </c>
      <c r="C12" s="1964">
        <f>IF(ROW() -5&lt;= MAX(Income!$Z$6:$Z$289),INDEX(Income!$B$6:$Z$289,MATCH(ROW()-5,Income!$Z$6:$Z$289,0),2),"")</f>
      </c>
      <c r="D12" s="1962">
        <f>IF(ROW() -5&lt;= MAX(Income!$Z$6:$Z$289),INDEX(Income!$B$6:$Z$289,MATCH(ROW()-5,Income!$Z$6:$Z$289,0),4),"")</f>
      </c>
      <c r="E12" s="1962">
        <f>IF(ROW() -5&lt;= MAX(Income!$Z$6:$Z$289),INDEX(Income!$C$6:$Z$289,MATCH(ROW()-5,Income!$Z$6:$Z$289,0),4),"")</f>
      </c>
      <c r="F12" s="1962">
        <f>IF(ROW() -5&lt;= MAX(Income!$Z$6:$Z$289),INDEX(Income!$D$6:$Z$289,MATCH(ROW()-5,Income!$Z$6:$Z$289,0),4),"")</f>
      </c>
      <c r="G12" s="1962">
        <f>IF(ROW() -5&lt;= MAX(Income!$Z$6:$Z$289),INDEX(Income!$E$6:$Z$289,MATCH(ROW()-5,Income!$Z$6:$Z$289,0),4),"")</f>
      </c>
      <c r="H12" s="1962">
        <f>IF(ROW() -5&lt;= MAX(Income!$Z$6:$Z$289),INDEX(Income!$F$6:$Z$289,MATCH(ROW()-5,Income!$Z$6:$Z$289,0),4),"")</f>
      </c>
      <c r="I12" s="3"/>
      <c r="J12" s="3"/>
      <c r="K12">
        <f>IF(ROW() -5&lt;= MAX(Income!$Z$6:$Z$289),INDEX(Income!$B$6:$Z$289,MATCH(ROW()-5,Income!$Z$6:$Z$289,0),24),"")</f>
      </c>
    </row>
    <row r="13" spans="1:16" x14ac:dyDescent="0.2">
      <c r="A13" s="3"/>
      <c r="B13" s="1962" t="str">
        <f>IF(ROW() -5&lt;= MAX(Income!$Z$6:$Z$289),INDEX(Income!$B$6:$Z$289,MATCH(ROW()-5,Income!$Z$6:$Z$289,0),1),"")</f>
      </c>
      <c r="C13" s="1964">
        <f>IF(ROW() -5&lt;= MAX(Income!$Z$6:$Z$289),INDEX(Income!$B$6:$Z$289,MATCH(ROW()-5,Income!$Z$6:$Z$289,0),2),"")</f>
      </c>
      <c r="D13" s="1962">
        <f>IF(ROW() -5&lt;= MAX(Income!$Z$6:$Z$289),INDEX(Income!$B$6:$Z$289,MATCH(ROW()-5,Income!$Z$6:$Z$289,0),4),"")</f>
      </c>
      <c r="E13" s="1962">
        <f>IF(ROW() -5&lt;= MAX(Income!$Z$6:$Z$289),INDEX(Income!$C$6:$Z$289,MATCH(ROW()-5,Income!$Z$6:$Z$289,0),4),"")</f>
      </c>
      <c r="F13" s="1962">
        <f>IF(ROW() -5&lt;= MAX(Income!$Z$6:$Z$289),INDEX(Income!$D$6:$Z$289,MATCH(ROW()-5,Income!$Z$6:$Z$289,0),4),"")</f>
      </c>
      <c r="G13" s="1962">
        <f>IF(ROW() -5&lt;= MAX(Income!$Z$6:$Z$289),INDEX(Income!$E$6:$Z$289,MATCH(ROW()-5,Income!$Z$6:$Z$289,0),4),"")</f>
      </c>
      <c r="H13" s="1962">
        <f>IF(ROW() -5&lt;= MAX(Income!$Z$6:$Z$289),INDEX(Income!$F$6:$Z$289,MATCH(ROW()-5,Income!$Z$6:$Z$289,0),4),"")</f>
      </c>
      <c r="I13" s="3"/>
      <c r="J13" s="3"/>
      <c r="K13">
        <f>IF(ROW() -5&lt;= MAX(Income!$Z$6:$Z$289),INDEX(Income!$B$6:$Z$289,MATCH(ROW()-5,Income!$Z$6:$Z$289,0),24),"")</f>
      </c>
    </row>
    <row r="14" spans="1:16" x14ac:dyDescent="0.2">
      <c r="A14" s="3"/>
      <c r="B14" s="1962" t="str">
        <f>IF(ROW() -5&lt;= MAX(Income!$Z$6:$Z$289),INDEX(Income!$B$6:$Z$289,MATCH(ROW()-5,Income!$Z$6:$Z$289,0),1),"")</f>
      </c>
      <c r="C14" s="1964">
        <f>IF(ROW() -5&lt;= MAX(Income!$Z$6:$Z$289),INDEX(Income!$B$6:$Z$289,MATCH(ROW()-5,Income!$Z$6:$Z$289,0),2),"")</f>
      </c>
      <c r="D14" s="1962">
        <f>IF(ROW() -5&lt;= MAX(Income!$Z$6:$Z$289),INDEX(Income!$B$6:$Z$289,MATCH(ROW()-5,Income!$Z$6:$Z$289,0),4),"")</f>
      </c>
      <c r="E14" s="1962">
        <f>IF(ROW() -5&lt;= MAX(Income!$Z$6:$Z$289),INDEX(Income!$C$6:$Z$289,MATCH(ROW()-5,Income!$Z$6:$Z$289,0),4),"")</f>
      </c>
      <c r="F14" s="1962">
        <f>IF(ROW() -5&lt;= MAX(Income!$Z$6:$Z$289),INDEX(Income!$D$6:$Z$289,MATCH(ROW()-5,Income!$Z$6:$Z$289,0),4),"")</f>
      </c>
      <c r="G14" s="1962">
        <f>IF(ROW() -5&lt;= MAX(Income!$Z$6:$Z$289),INDEX(Income!$E$6:$Z$289,MATCH(ROW()-5,Income!$Z$6:$Z$289,0),4),"")</f>
      </c>
      <c r="H14" s="1962">
        <f>IF(ROW() -5&lt;= MAX(Income!$Z$6:$Z$289),INDEX(Income!$F$6:$Z$289,MATCH(ROW()-5,Income!$Z$6:$Z$289,0),4),"")</f>
      </c>
      <c r="I14" s="3"/>
      <c r="J14" s="3"/>
      <c r="K14">
        <f>IF(ROW() -5&lt;= MAX(Income!$Z$6:$Z$289),INDEX(Income!$B$6:$Z$289,MATCH(ROW()-5,Income!$Z$6:$Z$289,0),24),"")</f>
      </c>
    </row>
    <row r="15" spans="1:16" x14ac:dyDescent="0.2">
      <c r="A15" s="3"/>
      <c r="B15" s="1962" t="str">
        <f>IF(ROW() -5&lt;= MAX(Income!$Z$6:$Z$289),INDEX(Income!$B$6:$Z$289,MATCH(ROW()-5,Income!$Z$6:$Z$289,0),1),"")</f>
      </c>
      <c r="C15" s="1964">
        <f>IF(ROW() -5&lt;= MAX(Income!$Z$6:$Z$289),INDEX(Income!$B$6:$Z$289,MATCH(ROW()-5,Income!$Z$6:$Z$289,0),2),"")</f>
      </c>
      <c r="D15" s="1962">
        <f>IF(ROW() -5&lt;= MAX(Income!$Z$6:$Z$289),INDEX(Income!$B$6:$Z$289,MATCH(ROW()-5,Income!$Z$6:$Z$289,0),4),"")</f>
      </c>
      <c r="E15" s="1962">
        <f>IF(ROW() -5&lt;= MAX(Income!$Z$6:$Z$289),INDEX(Income!$C$6:$Z$289,MATCH(ROW()-5,Income!$Z$6:$Z$289,0),4),"")</f>
      </c>
      <c r="F15" s="1962">
        <f>IF(ROW() -5&lt;= MAX(Income!$Z$6:$Z$289),INDEX(Income!$D$6:$Z$289,MATCH(ROW()-5,Income!$Z$6:$Z$289,0),4),"")</f>
      </c>
      <c r="G15" s="1962">
        <f>IF(ROW() -5&lt;= MAX(Income!$Z$6:$Z$289),INDEX(Income!$E$6:$Z$289,MATCH(ROW()-5,Income!$Z$6:$Z$289,0),4),"")</f>
      </c>
      <c r="H15" s="1962">
        <f>IF(ROW() -5&lt;= MAX(Income!$Z$6:$Z$289),INDEX(Income!$F$6:$Z$289,MATCH(ROW()-5,Income!$Z$6:$Z$289,0),4),"")</f>
      </c>
      <c r="I15" s="3"/>
      <c r="J15" s="3"/>
      <c r="K15">
        <f>IF(ROW() -5&lt;= MAX(Income!$Z$6:$Z$289),INDEX(Income!$B$6:$Z$289,MATCH(ROW()-5,Income!$Z$6:$Z$289,0),24),"")</f>
      </c>
    </row>
    <row r="16" spans="1:16" x14ac:dyDescent="0.2">
      <c r="A16" s="3"/>
      <c r="B16" s="1962" t="str">
        <f>IF(ROW() -5&lt;= MAX(Income!$Z$6:$Z$289),INDEX(Income!$B$6:$Z$289,MATCH(ROW()-5,Income!$Z$6:$Z$289,0),1),"")</f>
      </c>
      <c r="C16" s="1964">
        <f>IF(ROW() -5&lt;= MAX(Income!$Z$6:$Z$289),INDEX(Income!$B$6:$Z$289,MATCH(ROW()-5,Income!$Z$6:$Z$289,0),2),"")</f>
      </c>
      <c r="D16" s="1962">
        <f>IF(ROW() -5&lt;= MAX(Income!$Z$6:$Z$289),INDEX(Income!$B$6:$Z$289,MATCH(ROW()-5,Income!$Z$6:$Z$289,0),4),"")</f>
      </c>
      <c r="E16" s="1962">
        <f>IF(ROW() -5&lt;= MAX(Income!$Z$6:$Z$289),INDEX(Income!$C$6:$Z$289,MATCH(ROW()-5,Income!$Z$6:$Z$289,0),4),"")</f>
      </c>
      <c r="F16" s="1962">
        <f>IF(ROW() -5&lt;= MAX(Income!$Z$6:$Z$289),INDEX(Income!$D$6:$Z$289,MATCH(ROW()-5,Income!$Z$6:$Z$289,0),4),"")</f>
      </c>
      <c r="G16" s="1962">
        <f>IF(ROW() -5&lt;= MAX(Income!$Z$6:$Z$289),INDEX(Income!$E$6:$Z$289,MATCH(ROW()-5,Income!$Z$6:$Z$289,0),4),"")</f>
      </c>
      <c r="H16" s="1962">
        <f>IF(ROW() -5&lt;= MAX(Income!$Z$6:$Z$289),INDEX(Income!$F$6:$Z$289,MATCH(ROW()-5,Income!$Z$6:$Z$289,0),4),"")</f>
      </c>
      <c r="I16" s="3"/>
      <c r="J16" s="3"/>
      <c r="K16">
        <f>IF(ROW() -5&lt;= MAX(Income!$Z$6:$Z$289),INDEX(Income!$B$6:$Z$289,MATCH(ROW()-5,Income!$Z$6:$Z$289,0),24),"")</f>
      </c>
    </row>
    <row r="17" spans="1:11" x14ac:dyDescent="0.2">
      <c r="A17" s="3"/>
      <c r="B17" s="1962" t="str">
        <f>IF(ROW() -5&lt;= MAX(Income!$Z$6:$Z$289),INDEX(Income!$B$6:$Z$289,MATCH(ROW()-5,Income!$Z$6:$Z$289,0),1),"")</f>
      </c>
      <c r="C17" s="1964">
        <f>IF(ROW() -5&lt;= MAX(Income!$Z$6:$Z$289),INDEX(Income!$B$6:$Z$289,MATCH(ROW()-5,Income!$Z$6:$Z$289,0),2),"")</f>
      </c>
      <c r="D17" s="1962">
        <f>IF(ROW() -5&lt;= MAX(Income!$Z$6:$Z$289),INDEX(Income!$B$6:$Z$289,MATCH(ROW()-5,Income!$Z$6:$Z$289,0),4),"")</f>
      </c>
      <c r="E17" s="1962">
        <f>IF(ROW() -5&lt;= MAX(Income!$Z$6:$Z$289),INDEX(Income!$C$6:$Z$289,MATCH(ROW()-5,Income!$Z$6:$Z$289,0),4),"")</f>
      </c>
      <c r="F17" s="1962">
        <f>IF(ROW() -5&lt;= MAX(Income!$Z$6:$Z$289),INDEX(Income!$D$6:$Z$289,MATCH(ROW()-5,Income!$Z$6:$Z$289,0),4),"")</f>
      </c>
      <c r="G17" s="1962">
        <f>IF(ROW() -5&lt;= MAX(Income!$Z$6:$Z$289),INDEX(Income!$E$6:$Z$289,MATCH(ROW()-5,Income!$Z$6:$Z$289,0),4),"")</f>
      </c>
      <c r="H17" s="1962">
        <f>IF(ROW() -5&lt;= MAX(Income!$Z$6:$Z$289),INDEX(Income!$F$6:$Z$289,MATCH(ROW()-5,Income!$Z$6:$Z$289,0),4),"")</f>
      </c>
      <c r="I17" s="3"/>
      <c r="J17" s="3"/>
      <c r="K17">
        <f>IF(ROW() -5&lt;= MAX(Income!$Z$6:$Z$289),INDEX(Income!$B$6:$Z$289,MATCH(ROW()-5,Income!$Z$6:$Z$289,0),24),"")</f>
      </c>
    </row>
    <row r="18" spans="1:11" x14ac:dyDescent="0.2">
      <c r="A18" s="3"/>
      <c r="B18" s="1962" t="str">
        <f>IF(ROW() -5&lt;= MAX(Income!$Z$6:$Z$289),INDEX(Income!$B$6:$Z$289,MATCH(ROW()-5,Income!$Z$6:$Z$289,0),1),"")</f>
      </c>
      <c r="C18" s="1964">
        <f>IF(ROW() -5&lt;= MAX(Income!$Z$6:$Z$289),INDEX(Income!$B$6:$Z$289,MATCH(ROW()-5,Income!$Z$6:$Z$289,0),2),"")</f>
      </c>
      <c r="D18" s="1962">
        <f>IF(ROW() -5&lt;= MAX(Income!$Z$6:$Z$289),INDEX(Income!$B$6:$Z$289,MATCH(ROW()-5,Income!$Z$6:$Z$289,0),4),"")</f>
      </c>
      <c r="E18" s="1962">
        <f>IF(ROW() -5&lt;= MAX(Income!$Z$6:$Z$289),INDEX(Income!$C$6:$Z$289,MATCH(ROW()-5,Income!$Z$6:$Z$289,0),4),"")</f>
      </c>
      <c r="F18" s="1962">
        <f>IF(ROW() -5&lt;= MAX(Income!$Z$6:$Z$289),INDEX(Income!$D$6:$Z$289,MATCH(ROW()-5,Income!$Z$6:$Z$289,0),4),"")</f>
      </c>
      <c r="G18" s="1962">
        <f>IF(ROW() -5&lt;= MAX(Income!$Z$6:$Z$289),INDEX(Income!$E$6:$Z$289,MATCH(ROW()-5,Income!$Z$6:$Z$289,0),4),"")</f>
      </c>
      <c r="H18" s="1962">
        <f>IF(ROW() -5&lt;= MAX(Income!$Z$6:$Z$289),INDEX(Income!$F$6:$Z$289,MATCH(ROW()-5,Income!$Z$6:$Z$289,0),4),"")</f>
      </c>
      <c r="I18" s="3"/>
      <c r="J18" s="3"/>
      <c r="K18">
        <f>IF(ROW() -5&lt;= MAX(Income!$Z$6:$Z$289),INDEX(Income!$B$6:$Z$289,MATCH(ROW()-5,Income!$Z$6:$Z$289,0),24),"")</f>
      </c>
    </row>
    <row r="19" spans="1:11" x14ac:dyDescent="0.2">
      <c r="A19" s="3"/>
      <c r="B19" s="1962" t="str">
        <f>IF(ROW() -5&lt;= MAX(Income!$Z$6:$Z$289),INDEX(Income!$B$6:$Z$289,MATCH(ROW()-5,Income!$Z$6:$Z$289,0),1),"")</f>
      </c>
      <c r="C19" s="1964">
        <f>IF(ROW() -5&lt;= MAX(Income!$Z$6:$Z$289),INDEX(Income!$B$6:$Z$289,MATCH(ROW()-5,Income!$Z$6:$Z$289,0),2),"")</f>
      </c>
      <c r="D19" s="1962">
        <f>IF(ROW() -5&lt;= MAX(Income!$Z$6:$Z$289),INDEX(Income!$B$6:$Z$289,MATCH(ROW()-5,Income!$Z$6:$Z$289,0),4),"")</f>
      </c>
      <c r="E19" s="1962">
        <f>IF(ROW() -5&lt;= MAX(Income!$Z$6:$Z$289),INDEX(Income!$C$6:$Z$289,MATCH(ROW()-5,Income!$Z$6:$Z$289,0),4),"")</f>
      </c>
      <c r="F19" s="1962">
        <f>IF(ROW() -5&lt;= MAX(Income!$Z$6:$Z$289),INDEX(Income!$D$6:$Z$289,MATCH(ROW()-5,Income!$Z$6:$Z$289,0),4),"")</f>
      </c>
      <c r="G19" s="1962">
        <f>IF(ROW() -5&lt;= MAX(Income!$Z$6:$Z$289),INDEX(Income!$E$6:$Z$289,MATCH(ROW()-5,Income!$Z$6:$Z$289,0),4),"")</f>
      </c>
      <c r="H19" s="1962">
        <f>IF(ROW() -5&lt;= MAX(Income!$Z$6:$Z$289),INDEX(Income!$F$6:$Z$289,MATCH(ROW()-5,Income!$Z$6:$Z$289,0),4),"")</f>
      </c>
      <c r="I19" s="3"/>
      <c r="J19" s="3"/>
      <c r="K19">
        <f>IF(ROW() -5&lt;= MAX(Income!$Z$6:$Z$289),INDEX(Income!$B$6:$Z$289,MATCH(ROW()-5,Income!$Z$6:$Z$289,0),24),"")</f>
      </c>
    </row>
    <row r="20" spans="1:11" x14ac:dyDescent="0.2">
      <c r="A20" s="3"/>
      <c r="B20" s="1962" t="str">
        <f>IF(ROW() -5&lt;= MAX(Income!$Z$6:$Z$289),INDEX(Income!$B$6:$Z$289,MATCH(ROW()-5,Income!$Z$6:$Z$289,0),1),"")</f>
      </c>
      <c r="C20" s="1964">
        <f>IF(ROW() -5&lt;= MAX(Income!$Z$6:$Z$289),INDEX(Income!$B$6:$Z$289,MATCH(ROW()-5,Income!$Z$6:$Z$289,0),2),"")</f>
      </c>
      <c r="D20" s="1962">
        <f>IF(ROW() -5&lt;= MAX(Income!$Z$6:$Z$289),INDEX(Income!$B$6:$Z$289,MATCH(ROW()-5,Income!$Z$6:$Z$289,0),4),"")</f>
      </c>
      <c r="E20" s="1962">
        <f>IF(ROW() -5&lt;= MAX(Income!$Z$6:$Z$289),INDEX(Income!$C$6:$Z$289,MATCH(ROW()-5,Income!$Z$6:$Z$289,0),4),"")</f>
      </c>
      <c r="F20" s="1962">
        <f>IF(ROW() -5&lt;= MAX(Income!$Z$6:$Z$289),INDEX(Income!$D$6:$Z$289,MATCH(ROW()-5,Income!$Z$6:$Z$289,0),4),"")</f>
      </c>
      <c r="G20" s="1962">
        <f>IF(ROW() -5&lt;= MAX(Income!$Z$6:$Z$289),INDEX(Income!$E$6:$Z$289,MATCH(ROW()-5,Income!$Z$6:$Z$289,0),4),"")</f>
      </c>
      <c r="H20" s="1962">
        <f>IF(ROW() -5&lt;= MAX(Income!$Z$6:$Z$289),INDEX(Income!$F$6:$Z$289,MATCH(ROW()-5,Income!$Z$6:$Z$289,0),4),"")</f>
      </c>
      <c r="I20" s="3"/>
      <c r="J20" s="3"/>
      <c r="K20">
        <f>IF(ROW() -5&lt;= MAX(Income!$Z$6:$Z$289),INDEX(Income!$B$6:$Z$289,MATCH(ROW()-5,Income!$Z$6:$Z$289,0),24),"")</f>
      </c>
    </row>
    <row r="21" spans="1:11" x14ac:dyDescent="0.2">
      <c r="A21" s="3"/>
      <c r="B21" s="1962" t="str">
        <f>IF(ROW() -5&lt;= MAX(Income!$Z$6:$Z$289),INDEX(Income!$B$6:$Z$289,MATCH(ROW()-5,Income!$Z$6:$Z$289,0),1),"")</f>
      </c>
      <c r="C21" s="1964">
        <f>IF(ROW() -5&lt;= MAX(Income!$Z$6:$Z$289),INDEX(Income!$B$6:$Z$289,MATCH(ROW()-5,Income!$Z$6:$Z$289,0),2),"")</f>
      </c>
      <c r="D21" s="1962">
        <f>IF(ROW() -5&lt;= MAX(Income!$Z$6:$Z$289),INDEX(Income!$B$6:$Z$289,MATCH(ROW()-5,Income!$Z$6:$Z$289,0),4),"")</f>
      </c>
      <c r="E21" s="1962">
        <f>IF(ROW() -5&lt;= MAX(Income!$Z$6:$Z$289),INDEX(Income!$C$6:$Z$289,MATCH(ROW()-5,Income!$Z$6:$Z$289,0),4),"")</f>
      </c>
      <c r="F21" s="1962">
        <f>IF(ROW() -5&lt;= MAX(Income!$Z$6:$Z$289),INDEX(Income!$D$6:$Z$289,MATCH(ROW()-5,Income!$Z$6:$Z$289,0),4),"")</f>
      </c>
      <c r="G21" s="1962">
        <f>IF(ROW() -5&lt;= MAX(Income!$Z$6:$Z$289),INDEX(Income!$E$6:$Z$289,MATCH(ROW()-5,Income!$Z$6:$Z$289,0),4),"")</f>
      </c>
      <c r="H21" s="1962">
        <f>IF(ROW() -5&lt;= MAX(Income!$Z$6:$Z$289),INDEX(Income!$F$6:$Z$289,MATCH(ROW()-5,Income!$Z$6:$Z$289,0),4),"")</f>
      </c>
      <c r="I21" s="3"/>
      <c r="J21" s="3"/>
      <c r="K21">
        <f>IF(ROW() -5&lt;= MAX(Income!$Z$6:$Z$289),INDEX(Income!$B$6:$Z$289,MATCH(ROW()-5,Income!$Z$6:$Z$289,0),24),"")</f>
      </c>
    </row>
    <row r="22" spans="1:11" x14ac:dyDescent="0.2">
      <c r="A22" s="3"/>
      <c r="B22" s="1962" t="str">
        <f>IF(ROW() -5&lt;= MAX(Income!$Z$6:$Z$289),INDEX(Income!$B$6:$Z$289,MATCH(ROW()-5,Income!$Z$6:$Z$289,0),1),"")</f>
      </c>
      <c r="C22" s="1964">
        <f>IF(ROW() -5&lt;= MAX(Income!$Z$6:$Z$289),INDEX(Income!$B$6:$Z$289,MATCH(ROW()-5,Income!$Z$6:$Z$289,0),2),"")</f>
      </c>
      <c r="D22" s="1962">
        <f>IF(ROW() -5&lt;= MAX(Income!$Z$6:$Z$289),INDEX(Income!$B$6:$Z$289,MATCH(ROW()-5,Income!$Z$6:$Z$289,0),4),"")</f>
      </c>
      <c r="E22" s="1962">
        <f>IF(ROW() -5&lt;= MAX(Income!$Z$6:$Z$289),INDEX(Income!$C$6:$Z$289,MATCH(ROW()-5,Income!$Z$6:$Z$289,0),4),"")</f>
      </c>
      <c r="F22" s="1962">
        <f>IF(ROW() -5&lt;= MAX(Income!$Z$6:$Z$289),INDEX(Income!$D$6:$Z$289,MATCH(ROW()-5,Income!$Z$6:$Z$289,0),4),"")</f>
      </c>
      <c r="G22" s="1962">
        <f>IF(ROW() -5&lt;= MAX(Income!$Z$6:$Z$289),INDEX(Income!$E$6:$Z$289,MATCH(ROW()-5,Income!$Z$6:$Z$289,0),4),"")</f>
      </c>
      <c r="H22" s="1962">
        <f>IF(ROW() -5&lt;= MAX(Income!$Z$6:$Z$289),INDEX(Income!$F$6:$Z$289,MATCH(ROW()-5,Income!$Z$6:$Z$289,0),4),"")</f>
      </c>
      <c r="I22" s="3"/>
      <c r="J22" s="3"/>
      <c r="K22">
        <f>IF(ROW() -5&lt;= MAX(Income!$Z$6:$Z$289),INDEX(Income!$B$6:$Z$289,MATCH(ROW()-5,Income!$Z$6:$Z$289,0),24),"")</f>
      </c>
    </row>
    <row r="23" spans="1:11" x14ac:dyDescent="0.2">
      <c r="A23" s="3"/>
      <c r="B23" s="1962" t="str">
        <f>IF(ROW() -5&lt;= MAX(Income!$Z$6:$Z$289),INDEX(Income!$B$6:$Z$289,MATCH(ROW()-5,Income!$Z$6:$Z$289,0),1),"")</f>
      </c>
      <c r="C23" s="1964">
        <f>IF(ROW() -5&lt;= MAX(Income!$Z$6:$Z$289),INDEX(Income!$B$6:$Z$289,MATCH(ROW()-5,Income!$Z$6:$Z$289,0),2),"")</f>
      </c>
      <c r="D23" s="1962">
        <f>IF(ROW() -5&lt;= MAX(Income!$Z$6:$Z$289),INDEX(Income!$B$6:$Z$289,MATCH(ROW()-5,Income!$Z$6:$Z$289,0),4),"")</f>
      </c>
      <c r="E23" s="1962">
        <f>IF(ROW() -5&lt;= MAX(Income!$Z$6:$Z$289),INDEX(Income!$C$6:$Z$289,MATCH(ROW()-5,Income!$Z$6:$Z$289,0),4),"")</f>
      </c>
      <c r="F23" s="1962">
        <f>IF(ROW() -5&lt;= MAX(Income!$Z$6:$Z$289),INDEX(Income!$D$6:$Z$289,MATCH(ROW()-5,Income!$Z$6:$Z$289,0),4),"")</f>
      </c>
      <c r="G23" s="1962">
        <f>IF(ROW() -5&lt;= MAX(Income!$Z$6:$Z$289),INDEX(Income!$E$6:$Z$289,MATCH(ROW()-5,Income!$Z$6:$Z$289,0),4),"")</f>
      </c>
      <c r="H23" s="1962">
        <f>IF(ROW() -5&lt;= MAX(Income!$Z$6:$Z$289),INDEX(Income!$F$6:$Z$289,MATCH(ROW()-5,Income!$Z$6:$Z$289,0),4),"")</f>
      </c>
      <c r="I23" s="3"/>
      <c r="J23" s="3"/>
      <c r="K23">
        <f>IF(ROW() -5&lt;= MAX(Income!$Z$6:$Z$289),INDEX(Income!$B$6:$Z$289,MATCH(ROW()-5,Income!$Z$6:$Z$289,0),24),"")</f>
      </c>
    </row>
    <row r="24" spans="1:11" x14ac:dyDescent="0.2">
      <c r="A24" s="3"/>
      <c r="B24" s="1962" t="str">
        <f>IF(ROW() -5&lt;= MAX(Income!$Z$6:$Z$289),INDEX(Income!$B$6:$Z$289,MATCH(ROW()-5,Income!$Z$6:$Z$289,0),1),"")</f>
      </c>
      <c r="C24" s="1964">
        <f>IF(ROW() -5&lt;= MAX(Income!$Z$6:$Z$289),INDEX(Income!$B$6:$Z$289,MATCH(ROW()-5,Income!$Z$6:$Z$289,0),2),"")</f>
      </c>
      <c r="D24" s="1962">
        <f>IF(ROW() -5&lt;= MAX(Income!$Z$6:$Z$289),INDEX(Income!$B$6:$Z$289,MATCH(ROW()-5,Income!$Z$6:$Z$289,0),4),"")</f>
      </c>
      <c r="E24" s="1962">
        <f>IF(ROW() -5&lt;= MAX(Income!$Z$6:$Z$289),INDEX(Income!$C$6:$Z$289,MATCH(ROW()-5,Income!$Z$6:$Z$289,0),4),"")</f>
      </c>
      <c r="F24" s="1962">
        <f>IF(ROW() -5&lt;= MAX(Income!$Z$6:$Z$289),INDEX(Income!$D$6:$Z$289,MATCH(ROW()-5,Income!$Z$6:$Z$289,0),4),"")</f>
      </c>
      <c r="G24" s="1962">
        <f>IF(ROW() -5&lt;= MAX(Income!$Z$6:$Z$289),INDEX(Income!$E$6:$Z$289,MATCH(ROW()-5,Income!$Z$6:$Z$289,0),4),"")</f>
      </c>
      <c r="H24" s="1962">
        <f>IF(ROW() -5&lt;= MAX(Income!$Z$6:$Z$289),INDEX(Income!$F$6:$Z$289,MATCH(ROW()-5,Income!$Z$6:$Z$289,0),4),"")</f>
      </c>
      <c r="I24" s="3"/>
      <c r="J24" s="3"/>
      <c r="K24">
        <f>IF(ROW() -5&lt;= MAX(Income!$Z$6:$Z$289),INDEX(Income!$B$6:$Z$289,MATCH(ROW()-5,Income!$Z$6:$Z$289,0),24),"")</f>
      </c>
    </row>
    <row r="25" spans="1:11" x14ac:dyDescent="0.2">
      <c r="A25" s="3"/>
      <c r="B25" s="1962" t="str">
        <f>IF(ROW() -5&lt;= MAX(Income!$Z$6:$Z$289),INDEX(Income!$B$6:$Z$289,MATCH(ROW()-5,Income!$Z$6:$Z$289,0),1),"")</f>
      </c>
      <c r="C25" s="1964">
        <f>IF(ROW() -5&lt;= MAX(Income!$Z$6:$Z$289),INDEX(Income!$B$6:$Z$289,MATCH(ROW()-5,Income!$Z$6:$Z$289,0),2),"")</f>
      </c>
      <c r="D25" s="1962">
        <f>IF(ROW() -5&lt;= MAX(Income!$Z$6:$Z$289),INDEX(Income!$B$6:$Z$289,MATCH(ROW()-5,Income!$Z$6:$Z$289,0),4),"")</f>
      </c>
      <c r="E25" s="1962">
        <f>IF(ROW() -5&lt;= MAX(Income!$Z$6:$Z$289),INDEX(Income!$C$6:$Z$289,MATCH(ROW()-5,Income!$Z$6:$Z$289,0),4),"")</f>
      </c>
      <c r="F25" s="1962">
        <f>IF(ROW() -5&lt;= MAX(Income!$Z$6:$Z$289),INDEX(Income!$D$6:$Z$289,MATCH(ROW()-5,Income!$Z$6:$Z$289,0),4),"")</f>
      </c>
      <c r="G25" s="1962">
        <f>IF(ROW() -5&lt;= MAX(Income!$Z$6:$Z$289),INDEX(Income!$E$6:$Z$289,MATCH(ROW()-5,Income!$Z$6:$Z$289,0),4),"")</f>
      </c>
      <c r="H25" s="1962">
        <f>IF(ROW() -5&lt;= MAX(Income!$Z$6:$Z$289),INDEX(Income!$F$6:$Z$289,MATCH(ROW()-5,Income!$Z$6:$Z$289,0),4),"")</f>
      </c>
      <c r="I25" s="3"/>
      <c r="J25" s="3"/>
      <c r="K25">
        <f>IF(ROW() -5&lt;= MAX(Income!$Z$6:$Z$289),INDEX(Income!$B$6:$Z$289,MATCH(ROW()-5,Income!$Z$6:$Z$289,0),24),"")</f>
      </c>
    </row>
    <row r="26" spans="1:11" x14ac:dyDescent="0.2">
      <c r="A26" s="3"/>
      <c r="B26" s="1962" t="str">
        <f>IF(ROW() -5&lt;= MAX(Income!$Z$6:$Z$289),INDEX(Income!$B$6:$Z$289,MATCH(ROW()-5,Income!$Z$6:$Z$289,0),1),"")</f>
      </c>
      <c r="C26" s="1964">
        <f>IF(ROW() -5&lt;= MAX(Income!$Z$6:$Z$289),INDEX(Income!$B$6:$Z$289,MATCH(ROW()-5,Income!$Z$6:$Z$289,0),2),"")</f>
      </c>
      <c r="D26" s="1962">
        <f>IF(ROW() -5&lt;= MAX(Income!$Z$6:$Z$289),INDEX(Income!$B$6:$Z$289,MATCH(ROW()-5,Income!$Z$6:$Z$289,0),4),"")</f>
      </c>
      <c r="E26" s="1962">
        <f>IF(ROW() -5&lt;= MAX(Income!$Z$6:$Z$289),INDEX(Income!$C$6:$Z$289,MATCH(ROW()-5,Income!$Z$6:$Z$289,0),4),"")</f>
      </c>
      <c r="F26" s="1962">
        <f>IF(ROW() -5&lt;= MAX(Income!$Z$6:$Z$289),INDEX(Income!$D$6:$Z$289,MATCH(ROW()-5,Income!$Z$6:$Z$289,0),4),"")</f>
      </c>
      <c r="G26" s="1962">
        <f>IF(ROW() -5&lt;= MAX(Income!$Z$6:$Z$289),INDEX(Income!$E$6:$Z$289,MATCH(ROW()-5,Income!$Z$6:$Z$289,0),4),"")</f>
      </c>
      <c r="H26" s="1962">
        <f>IF(ROW() -5&lt;= MAX(Income!$Z$6:$Z$289),INDEX(Income!$F$6:$Z$289,MATCH(ROW()-5,Income!$Z$6:$Z$289,0),4),"")</f>
      </c>
      <c r="I26" s="3"/>
      <c r="J26" s="3"/>
      <c r="K26">
        <f>IF(ROW() -5&lt;= MAX(Income!$Z$6:$Z$289),INDEX(Income!$B$6:$Z$289,MATCH(ROW()-5,Income!$Z$6:$Z$289,0),24),"")</f>
      </c>
    </row>
    <row r="27" spans="1:11" x14ac:dyDescent="0.2">
      <c r="A27" s="3"/>
      <c r="B27" s="1962" t="str">
        <f>IF(ROW() -5&lt;= MAX(Income!$Z$6:$Z$289),INDEX(Income!$B$6:$Z$289,MATCH(ROW()-5,Income!$Z$6:$Z$289,0),1),"")</f>
      </c>
      <c r="C27" s="1964">
        <f>IF(ROW() -5&lt;= MAX(Income!$Z$6:$Z$289),INDEX(Income!$B$6:$Z$289,MATCH(ROW()-5,Income!$Z$6:$Z$289,0),2),"")</f>
      </c>
      <c r="D27" s="1962">
        <f>IF(ROW() -5&lt;= MAX(Income!$Z$6:$Z$289),INDEX(Income!$B$6:$Z$289,MATCH(ROW()-5,Income!$Z$6:$Z$289,0),4),"")</f>
      </c>
      <c r="E27" s="1962">
        <f>IF(ROW() -5&lt;= MAX(Income!$Z$6:$Z$289),INDEX(Income!$C$6:$Z$289,MATCH(ROW()-5,Income!$Z$6:$Z$289,0),4),"")</f>
      </c>
      <c r="F27" s="1962">
        <f>IF(ROW() -5&lt;= MAX(Income!$Z$6:$Z$289),INDEX(Income!$D$6:$Z$289,MATCH(ROW()-5,Income!$Z$6:$Z$289,0),4),"")</f>
      </c>
      <c r="G27" s="1962">
        <f>IF(ROW() -5&lt;= MAX(Income!$Z$6:$Z$289),INDEX(Income!$E$6:$Z$289,MATCH(ROW()-5,Income!$Z$6:$Z$289,0),4),"")</f>
      </c>
      <c r="H27" s="1962">
        <f>IF(ROW() -5&lt;= MAX(Income!$Z$6:$Z$289),INDEX(Income!$F$6:$Z$289,MATCH(ROW()-5,Income!$Z$6:$Z$289,0),4),"")</f>
      </c>
      <c r="I27" s="3"/>
      <c r="J27" s="3"/>
      <c r="K27">
        <f>IF(ROW() -5&lt;= MAX(Income!$Z$6:$Z$289),INDEX(Income!$B$6:$Z$289,MATCH(ROW()-5,Income!$Z$6:$Z$289,0),24),"")</f>
      </c>
    </row>
    <row r="28" spans="1:11" x14ac:dyDescent="0.2">
      <c r="A28" s="3"/>
      <c r="B28" s="1962" t="str">
        <f>IF(ROW() -5&lt;= MAX(Income!$Z$6:$Z$289),INDEX(Income!$B$6:$Z$289,MATCH(ROW()-5,Income!$Z$6:$Z$289,0),1),"")</f>
      </c>
      <c r="C28" s="1964">
        <f>IF(ROW() -5&lt;= MAX(Income!$Z$6:$Z$289),INDEX(Income!$B$6:$Z$289,MATCH(ROW()-5,Income!$Z$6:$Z$289,0),2),"")</f>
      </c>
      <c r="D28" s="1962">
        <f>IF(ROW() -5&lt;= MAX(Income!$Z$6:$Z$289),INDEX(Income!$B$6:$Z$289,MATCH(ROW()-5,Income!$Z$6:$Z$289,0),4),"")</f>
      </c>
      <c r="E28" s="1962">
        <f>IF(ROW() -5&lt;= MAX(Income!$Z$6:$Z$289),INDEX(Income!$C$6:$Z$289,MATCH(ROW()-5,Income!$Z$6:$Z$289,0),4),"")</f>
      </c>
      <c r="F28" s="1962">
        <f>IF(ROW() -5&lt;= MAX(Income!$Z$6:$Z$289),INDEX(Income!$D$6:$Z$289,MATCH(ROW()-5,Income!$Z$6:$Z$289,0),4),"")</f>
      </c>
      <c r="G28" s="1962">
        <f>IF(ROW() -5&lt;= MAX(Income!$Z$6:$Z$289),INDEX(Income!$E$6:$Z$289,MATCH(ROW()-5,Income!$Z$6:$Z$289,0),4),"")</f>
      </c>
      <c r="H28" s="1962">
        <f>IF(ROW() -5&lt;= MAX(Income!$Z$6:$Z$289),INDEX(Income!$F$6:$Z$289,MATCH(ROW()-5,Income!$Z$6:$Z$289,0),4),"")</f>
      </c>
      <c r="I28" s="3"/>
      <c r="J28" s="3"/>
      <c r="K28">
        <f>IF(ROW() -5&lt;= MAX(Income!$Z$6:$Z$289),INDEX(Income!$B$6:$Z$289,MATCH(ROW()-5,Income!$Z$6:$Z$289,0),24),"")</f>
      </c>
    </row>
    <row r="29" spans="1:11" x14ac:dyDescent="0.2">
      <c r="A29" s="3"/>
      <c r="B29" s="1962" t="str">
        <f>IF(ROW() -5&lt;= MAX(Income!$Z$6:$Z$289),INDEX(Income!$B$6:$Z$289,MATCH(ROW()-5,Income!$Z$6:$Z$289,0),1),"")</f>
      </c>
      <c r="C29" s="1964">
        <f>IF(ROW() -5&lt;= MAX(Income!$Z$6:$Z$289),INDEX(Income!$B$6:$Z$289,MATCH(ROW()-5,Income!$Z$6:$Z$289,0),2),"")</f>
      </c>
      <c r="D29" s="1962">
        <f>IF(ROW() -5&lt;= MAX(Income!$Z$6:$Z$289),INDEX(Income!$B$6:$Z$289,MATCH(ROW()-5,Income!$Z$6:$Z$289,0),4),"")</f>
      </c>
      <c r="E29" s="1962">
        <f>IF(ROW() -5&lt;= MAX(Income!$Z$6:$Z$289),INDEX(Income!$C$6:$Z$289,MATCH(ROW()-5,Income!$Z$6:$Z$289,0),4),"")</f>
      </c>
      <c r="F29" s="1962">
        <f>IF(ROW() -5&lt;= MAX(Income!$Z$6:$Z$289),INDEX(Income!$D$6:$Z$289,MATCH(ROW()-5,Income!$Z$6:$Z$289,0),4),"")</f>
      </c>
      <c r="G29" s="1962">
        <f>IF(ROW() -5&lt;= MAX(Income!$Z$6:$Z$289),INDEX(Income!$E$6:$Z$289,MATCH(ROW()-5,Income!$Z$6:$Z$289,0),4),"")</f>
      </c>
      <c r="H29" s="1962">
        <f>IF(ROW() -5&lt;= MAX(Income!$Z$6:$Z$289),INDEX(Income!$F$6:$Z$289,MATCH(ROW()-5,Income!$Z$6:$Z$289,0),4),"")</f>
      </c>
      <c r="I29" s="3"/>
      <c r="J29" s="3"/>
      <c r="K29">
        <f>IF(ROW() -5&lt;= MAX(Income!$Z$6:$Z$289),INDEX(Income!$B$6:$Z$289,MATCH(ROW()-5,Income!$Z$6:$Z$289,0),24),"")</f>
      </c>
    </row>
    <row r="30" spans="1:11" x14ac:dyDescent="0.2">
      <c r="A30" s="3"/>
      <c r="B30" s="1962" t="str">
        <f>IF(ROW() -5&lt;= MAX(Income!$Z$6:$Z$289),INDEX(Income!$B$6:$Z$289,MATCH(ROW()-5,Income!$Z$6:$Z$289,0),1),"")</f>
      </c>
      <c r="C30" s="1964">
        <f>IF(ROW() -5&lt;= MAX(Income!$Z$6:$Z$289),INDEX(Income!$B$6:$Z$289,MATCH(ROW()-5,Income!$Z$6:$Z$289,0),2),"")</f>
      </c>
      <c r="D30" s="1962">
        <f>IF(ROW() -5&lt;= MAX(Income!$Z$6:$Z$289),INDEX(Income!$B$6:$Z$289,MATCH(ROW()-5,Income!$Z$6:$Z$289,0),4),"")</f>
      </c>
      <c r="E30" s="1962">
        <f>IF(ROW() -5&lt;= MAX(Income!$Z$6:$Z$289),INDEX(Income!$C$6:$Z$289,MATCH(ROW()-5,Income!$Z$6:$Z$289,0),4),"")</f>
      </c>
      <c r="F30" s="1962">
        <f>IF(ROW() -5&lt;= MAX(Income!$Z$6:$Z$289),INDEX(Income!$D$6:$Z$289,MATCH(ROW()-5,Income!$Z$6:$Z$289,0),4),"")</f>
      </c>
      <c r="G30" s="1962">
        <f>IF(ROW() -5&lt;= MAX(Income!$Z$6:$Z$289),INDEX(Income!$E$6:$Z$289,MATCH(ROW()-5,Income!$Z$6:$Z$289,0),4),"")</f>
      </c>
      <c r="H30" s="1962">
        <f>IF(ROW() -5&lt;= MAX(Income!$Z$6:$Z$289),INDEX(Income!$F$6:$Z$289,MATCH(ROW()-5,Income!$Z$6:$Z$289,0),4),"")</f>
      </c>
      <c r="I30" s="3"/>
      <c r="J30" s="3"/>
      <c r="K30">
        <f>IF(ROW() -5&lt;= MAX(Income!$Z$6:$Z$289),INDEX(Income!$B$6:$Z$289,MATCH(ROW()-5,Income!$Z$6:$Z$289,0),24),"")</f>
      </c>
    </row>
    <row r="31" spans="1:11" x14ac:dyDescent="0.2">
      <c r="A31" s="3"/>
      <c r="B31" s="1962" t="str">
        <f>IF(ROW() -5&lt;= MAX(Income!$Z$6:$Z$289),INDEX(Income!$B$6:$Z$289,MATCH(ROW()-5,Income!$Z$6:$Z$289,0),1),"")</f>
      </c>
      <c r="C31" s="1964">
        <f>IF(ROW() -5&lt;= MAX(Income!$Z$6:$Z$289),INDEX(Income!$B$6:$Z$289,MATCH(ROW()-5,Income!$Z$6:$Z$289,0),2),"")</f>
      </c>
      <c r="D31" s="1962">
        <f>IF(ROW() -5&lt;= MAX(Income!$Z$6:$Z$289),INDEX(Income!$B$6:$Z$289,MATCH(ROW()-5,Income!$Z$6:$Z$289,0),4),"")</f>
      </c>
      <c r="E31" s="1962">
        <f>IF(ROW() -5&lt;= MAX(Income!$Z$6:$Z$289),INDEX(Income!$C$6:$Z$289,MATCH(ROW()-5,Income!$Z$6:$Z$289,0),4),"")</f>
      </c>
      <c r="F31" s="1962">
        <f>IF(ROW() -5&lt;= MAX(Income!$Z$6:$Z$289),INDEX(Income!$D$6:$Z$289,MATCH(ROW()-5,Income!$Z$6:$Z$289,0),4),"")</f>
      </c>
      <c r="G31" s="1962">
        <f>IF(ROW() -5&lt;= MAX(Income!$Z$6:$Z$289),INDEX(Income!$E$6:$Z$289,MATCH(ROW()-5,Income!$Z$6:$Z$289,0),4),"")</f>
      </c>
      <c r="H31" s="1962">
        <f>IF(ROW() -5&lt;= MAX(Income!$Z$6:$Z$289),INDEX(Income!$F$6:$Z$289,MATCH(ROW()-5,Income!$Z$6:$Z$289,0),4),"")</f>
      </c>
      <c r="I31" s="3"/>
      <c r="J31" s="3"/>
      <c r="K31">
        <f>IF(ROW() -5&lt;= MAX(Income!$Z$6:$Z$289),INDEX(Income!$B$6:$Z$289,MATCH(ROW()-5,Income!$Z$6:$Z$289,0),24),"")</f>
      </c>
    </row>
    <row r="32" spans="1:11" x14ac:dyDescent="0.2">
      <c r="A32" s="3"/>
      <c r="B32" s="1962" t="str">
        <f>IF(ROW() -5&lt;= MAX(Income!$Z$6:$Z$289),INDEX(Income!$B$6:$Z$289,MATCH(ROW()-5,Income!$Z$6:$Z$289,0),1),"")</f>
      </c>
      <c r="C32" s="1964">
        <f>IF(ROW() -5&lt;= MAX(Income!$Z$6:$Z$289),INDEX(Income!$B$6:$Z$289,MATCH(ROW()-5,Income!$Z$6:$Z$289,0),2),"")</f>
      </c>
      <c r="D32" s="1962">
        <f>IF(ROW() -5&lt;= MAX(Income!$Z$6:$Z$289),INDEX(Income!$B$6:$Z$289,MATCH(ROW()-5,Income!$Z$6:$Z$289,0),4),"")</f>
      </c>
      <c r="E32" s="1962">
        <f>IF(ROW() -5&lt;= MAX(Income!$Z$6:$Z$289),INDEX(Income!$C$6:$Z$289,MATCH(ROW()-5,Income!$Z$6:$Z$289,0),4),"")</f>
      </c>
      <c r="F32" s="1962">
        <f>IF(ROW() -5&lt;= MAX(Income!$Z$6:$Z$289),INDEX(Income!$D$6:$Z$289,MATCH(ROW()-5,Income!$Z$6:$Z$289,0),4),"")</f>
      </c>
      <c r="G32" s="1962">
        <f>IF(ROW() -5&lt;= MAX(Income!$Z$6:$Z$289),INDEX(Income!$E$6:$Z$289,MATCH(ROW()-5,Income!$Z$6:$Z$289,0),4),"")</f>
      </c>
      <c r="H32" s="1962">
        <f>IF(ROW() -5&lt;= MAX(Income!$Z$6:$Z$289),INDEX(Income!$F$6:$Z$289,MATCH(ROW()-5,Income!$Z$6:$Z$289,0),4),"")</f>
      </c>
      <c r="I32" s="3"/>
      <c r="J32" s="3"/>
      <c r="K32">
        <f>IF(ROW() -5&lt;= MAX(Income!$Z$6:$Z$289),INDEX(Income!$B$6:$Z$289,MATCH(ROW()-5,Income!$Z$6:$Z$289,0),24),"")</f>
      </c>
    </row>
    <row r="33" spans="1:11" x14ac:dyDescent="0.2">
      <c r="A33" s="3"/>
      <c r="B33" s="1962" t="str">
        <f>IF(ROW() -5&lt;= MAX(Income!$Z$6:$Z$289),INDEX(Income!$B$6:$Z$289,MATCH(ROW()-5,Income!$Z$6:$Z$289,0),1),"")</f>
      </c>
      <c r="C33" s="1964">
        <f>IF(ROW() -5&lt;= MAX(Income!$Z$6:$Z$289),INDEX(Income!$B$6:$Z$289,MATCH(ROW()-5,Income!$Z$6:$Z$289,0),2),"")</f>
      </c>
      <c r="D33" s="1962">
        <f>IF(ROW() -5&lt;= MAX(Income!$Z$6:$Z$289),INDEX(Income!$B$6:$Z$289,MATCH(ROW()-5,Income!$Z$6:$Z$289,0),4),"")</f>
      </c>
      <c r="E33" s="1962">
        <f>IF(ROW() -5&lt;= MAX(Income!$Z$6:$Z$289),INDEX(Income!$C$6:$Z$289,MATCH(ROW()-5,Income!$Z$6:$Z$289,0),4),"")</f>
      </c>
      <c r="F33" s="1962">
        <f>IF(ROW() -5&lt;= MAX(Income!$Z$6:$Z$289),INDEX(Income!$D$6:$Z$289,MATCH(ROW()-5,Income!$Z$6:$Z$289,0),4),"")</f>
      </c>
      <c r="G33" s="1962">
        <f>IF(ROW() -5&lt;= MAX(Income!$Z$6:$Z$289),INDEX(Income!$E$6:$Z$289,MATCH(ROW()-5,Income!$Z$6:$Z$289,0),4),"")</f>
      </c>
      <c r="H33" s="1962">
        <f>IF(ROW() -5&lt;= MAX(Income!$Z$6:$Z$289),INDEX(Income!$F$6:$Z$289,MATCH(ROW()-5,Income!$Z$6:$Z$289,0),4),"")</f>
      </c>
      <c r="I33" s="3"/>
      <c r="J33" s="3"/>
      <c r="K33">
        <f>IF(ROW() -5&lt;= MAX(Income!$Z$6:$Z$289),INDEX(Income!$B$6:$Z$289,MATCH(ROW()-5,Income!$Z$6:$Z$289,0),24),"")</f>
      </c>
    </row>
    <row r="34" spans="1:11" x14ac:dyDescent="0.2">
      <c r="A34" s="3"/>
      <c r="B34" s="1962" t="str">
        <f>IF(ROW() -5&lt;= MAX(Income!$Z$6:$Z$289),INDEX(Income!$B$6:$Z$289,MATCH(ROW()-5,Income!$Z$6:$Z$289,0),1),"")</f>
      </c>
      <c r="C34" s="1964">
        <f>IF(ROW() -5&lt;= MAX(Income!$Z$6:$Z$289),INDEX(Income!$B$6:$Z$289,MATCH(ROW()-5,Income!$Z$6:$Z$289,0),2),"")</f>
      </c>
      <c r="D34" s="1962">
        <f>IF(ROW() -5&lt;= MAX(Income!$Z$6:$Z$289),INDEX(Income!$B$6:$Z$289,MATCH(ROW()-5,Income!$Z$6:$Z$289,0),4),"")</f>
      </c>
      <c r="E34" s="1962">
        <f>IF(ROW() -5&lt;= MAX(Income!$Z$6:$Z$289),INDEX(Income!$C$6:$Z$289,MATCH(ROW()-5,Income!$Z$6:$Z$289,0),4),"")</f>
      </c>
      <c r="F34" s="1962">
        <f>IF(ROW() -5&lt;= MAX(Income!$Z$6:$Z$289),INDEX(Income!$D$6:$Z$289,MATCH(ROW()-5,Income!$Z$6:$Z$289,0),4),"")</f>
      </c>
      <c r="G34" s="1962">
        <f>IF(ROW() -5&lt;= MAX(Income!$Z$6:$Z$289),INDEX(Income!$E$6:$Z$289,MATCH(ROW()-5,Income!$Z$6:$Z$289,0),4),"")</f>
      </c>
      <c r="H34" s="1962">
        <f>IF(ROW() -5&lt;= MAX(Income!$Z$6:$Z$289),INDEX(Income!$F$6:$Z$289,MATCH(ROW()-5,Income!$Z$6:$Z$289,0),4),"")</f>
      </c>
      <c r="I34" s="3"/>
      <c r="J34" s="3"/>
      <c r="K34">
        <f>IF(ROW() -5&lt;= MAX(Income!$Z$6:$Z$289),INDEX(Income!$B$6:$Z$289,MATCH(ROW()-5,Income!$Z$6:$Z$289,0),24),"")</f>
      </c>
    </row>
    <row r="35" spans="1:11" x14ac:dyDescent="0.2">
      <c r="A35" s="3"/>
      <c r="B35" s="1962" t="str">
        <f>IF(ROW() -5&lt;= MAX(Income!$Z$6:$Z$289),INDEX(Income!$B$6:$Z$289,MATCH(ROW()-5,Income!$Z$6:$Z$289,0),1),"")</f>
      </c>
      <c r="C35" s="1964">
        <f>IF(ROW() -5&lt;= MAX(Income!$Z$6:$Z$289),INDEX(Income!$B$6:$Z$289,MATCH(ROW()-5,Income!$Z$6:$Z$289,0),2),"")</f>
      </c>
      <c r="D35" s="1962">
        <f>IF(ROW() -5&lt;= MAX(Income!$Z$6:$Z$289),INDEX(Income!$B$6:$Z$289,MATCH(ROW()-5,Income!$Z$6:$Z$289,0),4),"")</f>
      </c>
      <c r="E35" s="1962">
        <f>IF(ROW() -5&lt;= MAX(Income!$Z$6:$Z$289),INDEX(Income!$C$6:$Z$289,MATCH(ROW()-5,Income!$Z$6:$Z$289,0),4),"")</f>
      </c>
      <c r="F35" s="1962">
        <f>IF(ROW() -5&lt;= MAX(Income!$Z$6:$Z$289),INDEX(Income!$D$6:$Z$289,MATCH(ROW()-5,Income!$Z$6:$Z$289,0),4),"")</f>
      </c>
      <c r="G35" s="1962">
        <f>IF(ROW() -5&lt;= MAX(Income!$Z$6:$Z$289),INDEX(Income!$E$6:$Z$289,MATCH(ROW()-5,Income!$Z$6:$Z$289,0),4),"")</f>
      </c>
      <c r="H35" s="1962">
        <f>IF(ROW() -5&lt;= MAX(Income!$Z$6:$Z$289),INDEX(Income!$F$6:$Z$289,MATCH(ROW()-5,Income!$Z$6:$Z$289,0),4),"")</f>
      </c>
      <c r="I35" s="3"/>
      <c r="J35" s="3"/>
      <c r="K35">
        <f>IF(ROW() -5&lt;= MAX(Income!$Z$6:$Z$289),INDEX(Income!$B$6:$Z$289,MATCH(ROW()-5,Income!$Z$6:$Z$289,0),24),"")</f>
      </c>
    </row>
    <row r="36" spans="1:11" x14ac:dyDescent="0.2">
      <c r="A36" s="3"/>
      <c r="B36" s="1962" t="str">
        <f>IF(ROW() -5&lt;= MAX(Income!$Z$6:$Z$289),INDEX(Income!$B$6:$Z$289,MATCH(ROW()-5,Income!$Z$6:$Z$289,0),1),"")</f>
      </c>
      <c r="C36" s="1964">
        <f>IF(ROW() -5&lt;= MAX(Income!$Z$6:$Z$289),INDEX(Income!$B$6:$Z$289,MATCH(ROW()-5,Income!$Z$6:$Z$289,0),2),"")</f>
      </c>
      <c r="D36" s="1962">
        <f>IF(ROW() -5&lt;= MAX(Income!$Z$6:$Z$289),INDEX(Income!$B$6:$Z$289,MATCH(ROW()-5,Income!$Z$6:$Z$289,0),4),"")</f>
      </c>
      <c r="E36" s="1962">
        <f>IF(ROW() -5&lt;= MAX(Income!$Z$6:$Z$289),INDEX(Income!$C$6:$Z$289,MATCH(ROW()-5,Income!$Z$6:$Z$289,0),4),"")</f>
      </c>
      <c r="F36" s="1962">
        <f>IF(ROW() -5&lt;= MAX(Income!$Z$6:$Z$289),INDEX(Income!$D$6:$Z$289,MATCH(ROW()-5,Income!$Z$6:$Z$289,0),4),"")</f>
      </c>
      <c r="G36" s="1962">
        <f>IF(ROW() -5&lt;= MAX(Income!$Z$6:$Z$289),INDEX(Income!$E$6:$Z$289,MATCH(ROW()-5,Income!$Z$6:$Z$289,0),4),"")</f>
      </c>
      <c r="H36" s="1962">
        <f>IF(ROW() -5&lt;= MAX(Income!$Z$6:$Z$289),INDEX(Income!$F$6:$Z$289,MATCH(ROW()-5,Income!$Z$6:$Z$289,0),4),"")</f>
      </c>
      <c r="I36" s="3"/>
      <c r="J36" s="3"/>
      <c r="K36">
        <f>IF(ROW() -5&lt;= MAX(Income!$Z$6:$Z$289),INDEX(Income!$B$6:$Z$289,MATCH(ROW()-5,Income!$Z$6:$Z$289,0),24),"")</f>
      </c>
    </row>
    <row r="37" spans="1:11" x14ac:dyDescent="0.2">
      <c r="A37" s="3"/>
      <c r="B37" s="1962" t="str">
        <f>IF(ROW() -5&lt;= MAX(Income!$Z$6:$Z$289),INDEX(Income!$B$6:$Z$289,MATCH(ROW()-5,Income!$Z$6:$Z$289,0),1),"")</f>
      </c>
      <c r="C37" s="1964">
        <f>IF(ROW() -5&lt;= MAX(Income!$Z$6:$Z$289),INDEX(Income!$B$6:$Z$289,MATCH(ROW()-5,Income!$Z$6:$Z$289,0),2),"")</f>
      </c>
      <c r="D37" s="1962">
        <f>IF(ROW() -5&lt;= MAX(Income!$Z$6:$Z$289),INDEX(Income!$B$6:$Z$289,MATCH(ROW()-5,Income!$Z$6:$Z$289,0),4),"")</f>
      </c>
      <c r="E37" s="1962">
        <f>IF(ROW() -5&lt;= MAX(Income!$Z$6:$Z$289),INDEX(Income!$C$6:$Z$289,MATCH(ROW()-5,Income!$Z$6:$Z$289,0),4),"")</f>
      </c>
      <c r="F37" s="1962">
        <f>IF(ROW() -5&lt;= MAX(Income!$Z$6:$Z$289),INDEX(Income!$D$6:$Z$289,MATCH(ROW()-5,Income!$Z$6:$Z$289,0),4),"")</f>
      </c>
      <c r="G37" s="1962">
        <f>IF(ROW() -5&lt;= MAX(Income!$Z$6:$Z$289),INDEX(Income!$E$6:$Z$289,MATCH(ROW()-5,Income!$Z$6:$Z$289,0),4),"")</f>
      </c>
      <c r="H37" s="1962">
        <f>IF(ROW() -5&lt;= MAX(Income!$Z$6:$Z$289),INDEX(Income!$F$6:$Z$289,MATCH(ROW()-5,Income!$Z$6:$Z$289,0),4),"")</f>
      </c>
      <c r="I37" s="3"/>
      <c r="J37" s="3"/>
      <c r="K37">
        <f>IF(ROW() -5&lt;= MAX(Income!$Z$6:$Z$289),INDEX(Income!$B$6:$Z$289,MATCH(ROW()-5,Income!$Z$6:$Z$289,0),24),"")</f>
      </c>
    </row>
    <row r="38" spans="1:11" x14ac:dyDescent="0.2">
      <c r="A38" s="3"/>
      <c r="B38" s="1962" t="str">
        <f>IF(ROW() -5&lt;= MAX(Income!$Z$6:$Z$289),INDEX(Income!$B$6:$Z$289,MATCH(ROW()-5,Income!$Z$6:$Z$289,0),1),"")</f>
      </c>
      <c r="C38" s="1964">
        <f>IF(ROW() -5&lt;= MAX(Income!$Z$6:$Z$289),INDEX(Income!$B$6:$Z$289,MATCH(ROW()-5,Income!$Z$6:$Z$289,0),2),"")</f>
      </c>
      <c r="D38" s="1962">
        <f>IF(ROW() -5&lt;= MAX(Income!$Z$6:$Z$289),INDEX(Income!$B$6:$Z$289,MATCH(ROW()-5,Income!$Z$6:$Z$289,0),4),"")</f>
      </c>
      <c r="E38" s="1962">
        <f>IF(ROW() -5&lt;= MAX(Income!$Z$6:$Z$289),INDEX(Income!$C$6:$Z$289,MATCH(ROW()-5,Income!$Z$6:$Z$289,0),4),"")</f>
      </c>
      <c r="F38" s="1962">
        <f>IF(ROW() -5&lt;= MAX(Income!$Z$6:$Z$289),INDEX(Income!$D$6:$Z$289,MATCH(ROW()-5,Income!$Z$6:$Z$289,0),4),"")</f>
      </c>
      <c r="G38" s="1962">
        <f>IF(ROW() -5&lt;= MAX(Income!$Z$6:$Z$289),INDEX(Income!$E$6:$Z$289,MATCH(ROW()-5,Income!$Z$6:$Z$289,0),4),"")</f>
      </c>
      <c r="H38" s="1962">
        <f>IF(ROW() -5&lt;= MAX(Income!$Z$6:$Z$289),INDEX(Income!$F$6:$Z$289,MATCH(ROW()-5,Income!$Z$6:$Z$289,0),4),"")</f>
      </c>
      <c r="I38" s="3"/>
      <c r="J38" s="3"/>
      <c r="K38">
        <f>IF(ROW() -5&lt;= MAX(Income!$Z$6:$Z$289),INDEX(Income!$B$6:$Z$289,MATCH(ROW()-5,Income!$Z$6:$Z$289,0),24),"")</f>
      </c>
    </row>
    <row r="39" spans="1:11" x14ac:dyDescent="0.2">
      <c r="A39" s="3"/>
      <c r="B39" s="1962" t="str">
        <f>IF(ROW() -5&lt;= MAX(Income!$Z$6:$Z$289),INDEX(Income!$B$6:$Z$289,MATCH(ROW()-5,Income!$Z$6:$Z$289,0),1),"")</f>
      </c>
      <c r="C39" s="1964">
        <f>IF(ROW() -5&lt;= MAX(Income!$Z$6:$Z$289),INDEX(Income!$B$6:$Z$289,MATCH(ROW()-5,Income!$Z$6:$Z$289,0),2),"")</f>
      </c>
      <c r="D39" s="1962">
        <f>IF(ROW() -5&lt;= MAX(Income!$Z$6:$Z$289),INDEX(Income!$B$6:$Z$289,MATCH(ROW()-5,Income!$Z$6:$Z$289,0),4),"")</f>
      </c>
      <c r="E39" s="1962">
        <f>IF(ROW() -5&lt;= MAX(Income!$Z$6:$Z$289),INDEX(Income!$C$6:$Z$289,MATCH(ROW()-5,Income!$Z$6:$Z$289,0),4),"")</f>
      </c>
      <c r="F39" s="1962">
        <f>IF(ROW() -5&lt;= MAX(Income!$Z$6:$Z$289),INDEX(Income!$D$6:$Z$289,MATCH(ROW()-5,Income!$Z$6:$Z$289,0),4),"")</f>
      </c>
      <c r="G39" s="1962">
        <f>IF(ROW() -5&lt;= MAX(Income!$Z$6:$Z$289),INDEX(Income!$E$6:$Z$289,MATCH(ROW()-5,Income!$Z$6:$Z$289,0),4),"")</f>
      </c>
      <c r="H39" s="1962">
        <f>IF(ROW() -5&lt;= MAX(Income!$Z$6:$Z$289),INDEX(Income!$F$6:$Z$289,MATCH(ROW()-5,Income!$Z$6:$Z$289,0),4),"")</f>
      </c>
      <c r="I39" s="3"/>
      <c r="J39" s="3"/>
      <c r="K39">
        <f>IF(ROW() -5&lt;= MAX(Income!$Z$6:$Z$289),INDEX(Income!$B$6:$Z$289,MATCH(ROW()-5,Income!$Z$6:$Z$289,0),24),"")</f>
      </c>
    </row>
    <row r="40" spans="1:11" x14ac:dyDescent="0.2">
      <c r="A40" s="3"/>
      <c r="B40" s="1962" t="str">
        <f>IF(ROW() -5&lt;= MAX(Income!$Z$6:$Z$289),INDEX(Income!$B$6:$Z$289,MATCH(ROW()-5,Income!$Z$6:$Z$289,0),1),"")</f>
      </c>
      <c r="C40" s="1964">
        <f>IF(ROW() -5&lt;= MAX(Income!$Z$6:$Z$289),INDEX(Income!$B$6:$Z$289,MATCH(ROW()-5,Income!$Z$6:$Z$289,0),2),"")</f>
      </c>
      <c r="D40" s="1962">
        <f>IF(ROW() -5&lt;= MAX(Income!$Z$6:$Z$289),INDEX(Income!$B$6:$Z$289,MATCH(ROW()-5,Income!$Z$6:$Z$289,0),4),"")</f>
      </c>
      <c r="E40" s="1962">
        <f>IF(ROW() -5&lt;= MAX(Income!$Z$6:$Z$289),INDEX(Income!$C$6:$Z$289,MATCH(ROW()-5,Income!$Z$6:$Z$289,0),4),"")</f>
      </c>
      <c r="F40" s="1962">
        <f>IF(ROW() -5&lt;= MAX(Income!$Z$6:$Z$289),INDEX(Income!$D$6:$Z$289,MATCH(ROW()-5,Income!$Z$6:$Z$289,0),4),"")</f>
      </c>
      <c r="G40" s="1962">
        <f>IF(ROW() -5&lt;= MAX(Income!$Z$6:$Z$289),INDEX(Income!$E$6:$Z$289,MATCH(ROW()-5,Income!$Z$6:$Z$289,0),4),"")</f>
      </c>
      <c r="H40" s="1962">
        <f>IF(ROW() -5&lt;= MAX(Income!$Z$6:$Z$289),INDEX(Income!$F$6:$Z$289,MATCH(ROW()-5,Income!$Z$6:$Z$289,0),4),"")</f>
      </c>
      <c r="I40" s="3"/>
      <c r="J40" s="3"/>
      <c r="K40">
        <f>IF(ROW() -5&lt;= MAX(Income!$Z$6:$Z$289),INDEX(Income!$B$6:$Z$289,MATCH(ROW()-5,Income!$Z$6:$Z$289,0),24),"")</f>
      </c>
    </row>
    <row r="41" spans="1:11" x14ac:dyDescent="0.2">
      <c r="A41" s="3"/>
      <c r="B41" s="1962" t="str">
        <f>IF(ROW() -5&lt;= MAX(Income!$Z$6:$Z$289),INDEX(Income!$B$6:$Z$289,MATCH(ROW()-5,Income!$Z$6:$Z$289,0),1),"")</f>
      </c>
      <c r="C41" s="1964">
        <f>IF(ROW() -5&lt;= MAX(Income!$Z$6:$Z$289),INDEX(Income!$B$6:$Z$289,MATCH(ROW()-5,Income!$Z$6:$Z$289,0),2),"")</f>
      </c>
      <c r="D41" s="1962">
        <f>IF(ROW() -5&lt;= MAX(Income!$Z$6:$Z$289),INDEX(Income!$B$6:$Z$289,MATCH(ROW()-5,Income!$Z$6:$Z$289,0),4),"")</f>
      </c>
      <c r="E41" s="1962">
        <f>IF(ROW() -5&lt;= MAX(Income!$Z$6:$Z$289),INDEX(Income!$C$6:$Z$289,MATCH(ROW()-5,Income!$Z$6:$Z$289,0),4),"")</f>
      </c>
      <c r="F41" s="1962">
        <f>IF(ROW() -5&lt;= MAX(Income!$Z$6:$Z$289),INDEX(Income!$D$6:$Z$289,MATCH(ROW()-5,Income!$Z$6:$Z$289,0),4),"")</f>
      </c>
      <c r="G41" s="1962">
        <f>IF(ROW() -5&lt;= MAX(Income!$Z$6:$Z$289),INDEX(Income!$E$6:$Z$289,MATCH(ROW()-5,Income!$Z$6:$Z$289,0),4),"")</f>
      </c>
      <c r="H41" s="1962">
        <f>IF(ROW() -5&lt;= MAX(Income!$Z$6:$Z$289),INDEX(Income!$F$6:$Z$289,MATCH(ROW()-5,Income!$Z$6:$Z$289,0),4),"")</f>
      </c>
      <c r="I41" s="3"/>
      <c r="J41" s="3"/>
      <c r="K41">
        <f>IF(ROW() -5&lt;= MAX(Income!$Z$6:$Z$289),INDEX(Income!$B$6:$Z$289,MATCH(ROW()-5,Income!$Z$6:$Z$289,0),24),"")</f>
      </c>
    </row>
    <row r="42" spans="1:11" x14ac:dyDescent="0.2">
      <c r="A42" s="3"/>
      <c r="B42" s="1962" t="str">
        <f>IF(ROW() -5&lt;= MAX(Income!$Z$6:$Z$289),INDEX(Income!$B$6:$Z$289,MATCH(ROW()-5,Income!$Z$6:$Z$289,0),1),"")</f>
      </c>
      <c r="C42" s="1964">
        <f>IF(ROW() -5&lt;= MAX(Income!$Z$6:$Z$289),INDEX(Income!$B$6:$Z$289,MATCH(ROW()-5,Income!$Z$6:$Z$289,0),2),"")</f>
      </c>
      <c r="D42" s="1962">
        <f>IF(ROW() -5&lt;= MAX(Income!$Z$6:$Z$289),INDEX(Income!$B$6:$Z$289,MATCH(ROW()-5,Income!$Z$6:$Z$289,0),4),"")</f>
      </c>
      <c r="E42" s="1962">
        <f>IF(ROW() -5&lt;= MAX(Income!$Z$6:$Z$289),INDEX(Income!$C$6:$Z$289,MATCH(ROW()-5,Income!$Z$6:$Z$289,0),4),"")</f>
      </c>
      <c r="F42" s="1962">
        <f>IF(ROW() -5&lt;= MAX(Income!$Z$6:$Z$289),INDEX(Income!$D$6:$Z$289,MATCH(ROW()-5,Income!$Z$6:$Z$289,0),4),"")</f>
      </c>
      <c r="G42" s="1962">
        <f>IF(ROW() -5&lt;= MAX(Income!$Z$6:$Z$289),INDEX(Income!$E$6:$Z$289,MATCH(ROW()-5,Income!$Z$6:$Z$289,0),4),"")</f>
      </c>
      <c r="H42" s="1962">
        <f>IF(ROW() -5&lt;= MAX(Income!$Z$6:$Z$289),INDEX(Income!$F$6:$Z$289,MATCH(ROW()-5,Income!$Z$6:$Z$289,0),4),"")</f>
      </c>
      <c r="I42" s="3"/>
      <c r="J42" s="3"/>
      <c r="K42">
        <f>IF(ROW() -5&lt;= MAX(Income!$Z$6:$Z$289),INDEX(Income!$B$6:$Z$289,MATCH(ROW()-5,Income!$Z$6:$Z$289,0),24),"")</f>
      </c>
    </row>
    <row r="43" spans="1:11" x14ac:dyDescent="0.2">
      <c r="A43" s="3"/>
      <c r="B43" s="1962" t="str">
        <f>IF(ROW() -5&lt;= MAX(Income!$Z$6:$Z$289),INDEX(Income!$B$6:$Z$289,MATCH(ROW()-5,Income!$Z$6:$Z$289,0),1),"")</f>
      </c>
      <c r="C43" s="1964">
        <f>IF(ROW() -5&lt;= MAX(Income!$Z$6:$Z$289),INDEX(Income!$B$6:$Z$289,MATCH(ROW()-5,Income!$Z$6:$Z$289,0),2),"")</f>
      </c>
      <c r="D43" s="1962">
        <f>IF(ROW() -5&lt;= MAX(Income!$Z$6:$Z$289),INDEX(Income!$B$6:$Z$289,MATCH(ROW()-5,Income!$Z$6:$Z$289,0),4),"")</f>
      </c>
      <c r="E43" s="1962">
        <f>IF(ROW() -5&lt;= MAX(Income!$Z$6:$Z$289),INDEX(Income!$C$6:$Z$289,MATCH(ROW()-5,Income!$Z$6:$Z$289,0),4),"")</f>
      </c>
      <c r="F43" s="1962">
        <f>IF(ROW() -5&lt;= MAX(Income!$Z$6:$Z$289),INDEX(Income!$D$6:$Z$289,MATCH(ROW()-5,Income!$Z$6:$Z$289,0),4),"")</f>
      </c>
      <c r="G43" s="1962">
        <f>IF(ROW() -5&lt;= MAX(Income!$Z$6:$Z$289),INDEX(Income!$E$6:$Z$289,MATCH(ROW()-5,Income!$Z$6:$Z$289,0),4),"")</f>
      </c>
      <c r="H43" s="1962">
        <f>IF(ROW() -5&lt;= MAX(Income!$Z$6:$Z$289),INDEX(Income!$F$6:$Z$289,MATCH(ROW()-5,Income!$Z$6:$Z$289,0),4),"")</f>
      </c>
      <c r="I43" s="3"/>
      <c r="J43" s="3"/>
      <c r="K43">
        <f>IF(ROW() -5&lt;= MAX(Income!$Z$6:$Z$289),INDEX(Income!$B$6:$Z$289,MATCH(ROW()-5,Income!$Z$6:$Z$289,0),24),"")</f>
      </c>
    </row>
    <row r="44" spans="1:11" x14ac:dyDescent="0.2">
      <c r="A44" s="3"/>
      <c r="B44" s="1962" t="str">
        <f>IF(ROW() -5&lt;= MAX(Income!$Z$6:$Z$289),INDEX(Income!$B$6:$Z$289,MATCH(ROW()-5,Income!$Z$6:$Z$289,0),1),"")</f>
      </c>
      <c r="C44" s="1964">
        <f>IF(ROW() -5&lt;= MAX(Income!$Z$6:$Z$289),INDEX(Income!$B$6:$Z$289,MATCH(ROW()-5,Income!$Z$6:$Z$289,0),2),"")</f>
      </c>
      <c r="D44" s="1962">
        <f>IF(ROW() -5&lt;= MAX(Income!$Z$6:$Z$289),INDEX(Income!$B$6:$Z$289,MATCH(ROW()-5,Income!$Z$6:$Z$289,0),4),"")</f>
      </c>
      <c r="E44" s="1962">
        <f>IF(ROW() -5&lt;= MAX(Income!$Z$6:$Z$289),INDEX(Income!$C$6:$Z$289,MATCH(ROW()-5,Income!$Z$6:$Z$289,0),4),"")</f>
      </c>
      <c r="F44" s="1962">
        <f>IF(ROW() -5&lt;= MAX(Income!$Z$6:$Z$289),INDEX(Income!$D$6:$Z$289,MATCH(ROW()-5,Income!$Z$6:$Z$289,0),4),"")</f>
      </c>
      <c r="G44" s="1962">
        <f>IF(ROW() -5&lt;= MAX(Income!$Z$6:$Z$289),INDEX(Income!$E$6:$Z$289,MATCH(ROW()-5,Income!$Z$6:$Z$289,0),4),"")</f>
      </c>
      <c r="H44" s="1962">
        <f>IF(ROW() -5&lt;= MAX(Income!$Z$6:$Z$289),INDEX(Income!$F$6:$Z$289,MATCH(ROW()-5,Income!$Z$6:$Z$289,0),4),"")</f>
      </c>
      <c r="I44" s="3"/>
      <c r="J44" s="3"/>
      <c r="K44">
        <f>IF(ROW() -5&lt;= MAX(Income!$Z$6:$Z$289),INDEX(Income!$B$6:$Z$289,MATCH(ROW()-5,Income!$Z$6:$Z$289,0),24),"")</f>
      </c>
    </row>
    <row r="45" spans="1:11" x14ac:dyDescent="0.2">
      <c r="A45" s="3"/>
      <c r="B45" s="1962" t="str">
        <f>IF(ROW() -5&lt;= MAX(Income!$Z$6:$Z$289),INDEX(Income!$B$6:$Z$289,MATCH(ROW()-5,Income!$Z$6:$Z$289,0),1),"")</f>
      </c>
      <c r="C45" s="1964">
        <f>IF(ROW() -5&lt;= MAX(Income!$Z$6:$Z$289),INDEX(Income!$B$6:$Z$289,MATCH(ROW()-5,Income!$Z$6:$Z$289,0),2),"")</f>
      </c>
      <c r="D45" s="1962">
        <f>IF(ROW() -5&lt;= MAX(Income!$Z$6:$Z$289),INDEX(Income!$B$6:$Z$289,MATCH(ROW()-5,Income!$Z$6:$Z$289,0),4),"")</f>
      </c>
      <c r="E45" s="1962">
        <f>IF(ROW() -5&lt;= MAX(Income!$Z$6:$Z$289),INDEX(Income!$C$6:$Z$289,MATCH(ROW()-5,Income!$Z$6:$Z$289,0),4),"")</f>
      </c>
      <c r="F45" s="1962">
        <f>IF(ROW() -5&lt;= MAX(Income!$Z$6:$Z$289),INDEX(Income!$D$6:$Z$289,MATCH(ROW()-5,Income!$Z$6:$Z$289,0),4),"")</f>
      </c>
      <c r="G45" s="1962">
        <f>IF(ROW() -5&lt;= MAX(Income!$Z$6:$Z$289),INDEX(Income!$E$6:$Z$289,MATCH(ROW()-5,Income!$Z$6:$Z$289,0),4),"")</f>
      </c>
      <c r="H45" s="1962">
        <f>IF(ROW() -5&lt;= MAX(Income!$Z$6:$Z$289),INDEX(Income!$F$6:$Z$289,MATCH(ROW()-5,Income!$Z$6:$Z$289,0),4),"")</f>
      </c>
      <c r="I45" s="3"/>
      <c r="J45" s="3"/>
      <c r="K45">
        <f>IF(ROW() -5&lt;= MAX(Income!$Z$6:$Z$289),INDEX(Income!$B$6:$Z$289,MATCH(ROW()-5,Income!$Z$6:$Z$289,0),24),"")</f>
      </c>
    </row>
    <row r="46" spans="1:11" x14ac:dyDescent="0.2">
      <c r="A46" s="3"/>
      <c r="B46" s="1962" t="str">
        <f>IF(ROW() -5&lt;= MAX(Income!$Z$6:$Z$289),INDEX(Income!$B$6:$Z$289,MATCH(ROW()-5,Income!$Z$6:$Z$289,0),1),"")</f>
      </c>
      <c r="C46" s="1964">
        <f>IF(ROW() -5&lt;= MAX(Income!$Z$6:$Z$289),INDEX(Income!$B$6:$Z$289,MATCH(ROW()-5,Income!$Z$6:$Z$289,0),2),"")</f>
      </c>
      <c r="D46" s="1962">
        <f>IF(ROW() -5&lt;= MAX(Income!$Z$6:$Z$289),INDEX(Income!$B$6:$Z$289,MATCH(ROW()-5,Income!$Z$6:$Z$289,0),4),"")</f>
      </c>
      <c r="E46" s="1962">
        <f>IF(ROW() -5&lt;= MAX(Income!$Z$6:$Z$289),INDEX(Income!$C$6:$Z$289,MATCH(ROW()-5,Income!$Z$6:$Z$289,0),4),"")</f>
      </c>
      <c r="F46" s="1962">
        <f>IF(ROW() -5&lt;= MAX(Income!$Z$6:$Z$289),INDEX(Income!$D$6:$Z$289,MATCH(ROW()-5,Income!$Z$6:$Z$289,0),4),"")</f>
      </c>
      <c r="G46" s="1962">
        <f>IF(ROW() -5&lt;= MAX(Income!$Z$6:$Z$289),INDEX(Income!$E$6:$Z$289,MATCH(ROW()-5,Income!$Z$6:$Z$289,0),4),"")</f>
      </c>
      <c r="H46" s="1962">
        <f>IF(ROW() -5&lt;= MAX(Income!$Z$6:$Z$289),INDEX(Income!$F$6:$Z$289,MATCH(ROW()-5,Income!$Z$6:$Z$289,0),4),"")</f>
      </c>
      <c r="I46" s="3"/>
      <c r="J46" s="3"/>
      <c r="K46">
        <f>IF(ROW() -5&lt;= MAX(Income!$Z$6:$Z$289),INDEX(Income!$B$6:$Z$289,MATCH(ROW()-5,Income!$Z$6:$Z$289,0),24),"")</f>
      </c>
    </row>
    <row r="47" spans="1:11" x14ac:dyDescent="0.2">
      <c r="A47" s="3"/>
      <c r="B47" s="1962" t="str">
        <f>IF(ROW() -5&lt;= MAX(Income!$Z$6:$Z$289),INDEX(Income!$B$6:$Z$289,MATCH(ROW()-5,Income!$Z$6:$Z$289,0),1),"")</f>
      </c>
      <c r="C47" s="1964">
        <f>IF(ROW() -5&lt;= MAX(Income!$Z$6:$Z$289),INDEX(Income!$B$6:$Z$289,MATCH(ROW()-5,Income!$Z$6:$Z$289,0),2),"")</f>
      </c>
      <c r="D47" s="1962">
        <f>IF(ROW() -5&lt;= MAX(Income!$Z$6:$Z$289),INDEX(Income!$B$6:$Z$289,MATCH(ROW()-5,Income!$Z$6:$Z$289,0),4),"")</f>
      </c>
      <c r="E47" s="1962">
        <f>IF(ROW() -5&lt;= MAX(Income!$Z$6:$Z$289),INDEX(Income!$C$6:$Z$289,MATCH(ROW()-5,Income!$Z$6:$Z$289,0),4),"")</f>
      </c>
      <c r="F47" s="1962">
        <f>IF(ROW() -5&lt;= MAX(Income!$Z$6:$Z$289),INDEX(Income!$D$6:$Z$289,MATCH(ROW()-5,Income!$Z$6:$Z$289,0),4),"")</f>
      </c>
      <c r="G47" s="1962">
        <f>IF(ROW() -5&lt;= MAX(Income!$Z$6:$Z$289),INDEX(Income!$E$6:$Z$289,MATCH(ROW()-5,Income!$Z$6:$Z$289,0),4),"")</f>
      </c>
      <c r="H47" s="1962">
        <f>IF(ROW() -5&lt;= MAX(Income!$Z$6:$Z$289),INDEX(Income!$F$6:$Z$289,MATCH(ROW()-5,Income!$Z$6:$Z$289,0),4),"")</f>
      </c>
      <c r="I47" s="3"/>
      <c r="J47" s="3"/>
      <c r="K47">
        <f>IF(ROW() -5&lt;= MAX(Income!$Z$6:$Z$289),INDEX(Income!$B$6:$Z$289,MATCH(ROW()-5,Income!$Z$6:$Z$289,0),24),"")</f>
      </c>
    </row>
    <row r="48" spans="1:11" x14ac:dyDescent="0.2">
      <c r="A48" s="3"/>
      <c r="B48" s="1962" t="str">
        <f>IF(ROW() -5&lt;= MAX(Income!$Z$6:$Z$289),INDEX(Income!$B$6:$Z$289,MATCH(ROW()-5,Income!$Z$6:$Z$289,0),1),"")</f>
      </c>
      <c r="C48" s="1964">
        <f>IF(ROW() -5&lt;= MAX(Income!$Z$6:$Z$289),INDEX(Income!$B$6:$Z$289,MATCH(ROW()-5,Income!$Z$6:$Z$289,0),2),"")</f>
      </c>
      <c r="D48" s="1962">
        <f>IF(ROW() -5&lt;= MAX(Income!$Z$6:$Z$289),INDEX(Income!$B$6:$Z$289,MATCH(ROW()-5,Income!$Z$6:$Z$289,0),4),"")</f>
      </c>
      <c r="E48" s="1962">
        <f>IF(ROW() -5&lt;= MAX(Income!$Z$6:$Z$289),INDEX(Income!$C$6:$Z$289,MATCH(ROW()-5,Income!$Z$6:$Z$289,0),4),"")</f>
      </c>
      <c r="F48" s="1962">
        <f>IF(ROW() -5&lt;= MAX(Income!$Z$6:$Z$289),INDEX(Income!$D$6:$Z$289,MATCH(ROW()-5,Income!$Z$6:$Z$289,0),4),"")</f>
      </c>
      <c r="G48" s="1962">
        <f>IF(ROW() -5&lt;= MAX(Income!$Z$6:$Z$289),INDEX(Income!$E$6:$Z$289,MATCH(ROW()-5,Income!$Z$6:$Z$289,0),4),"")</f>
      </c>
      <c r="H48" s="1962">
        <f>IF(ROW() -5&lt;= MAX(Income!$Z$6:$Z$289),INDEX(Income!$F$6:$Z$289,MATCH(ROW()-5,Income!$Z$6:$Z$289,0),4),"")</f>
      </c>
      <c r="I48" s="3"/>
      <c r="J48" s="3"/>
      <c r="K48">
        <f>IF(ROW() -5&lt;= MAX(Income!$Z$6:$Z$289),INDEX(Income!$B$6:$Z$289,MATCH(ROW()-5,Income!$Z$6:$Z$289,0),24),"")</f>
      </c>
    </row>
    <row r="49" spans="1:11" x14ac:dyDescent="0.2">
      <c r="A49" s="3"/>
      <c r="B49" s="1962" t="str">
        <f>IF(ROW() -5&lt;= MAX(Income!$Z$6:$Z$289),INDEX(Income!$B$6:$Z$289,MATCH(ROW()-5,Income!$Z$6:$Z$289,0),1),"")</f>
      </c>
      <c r="C49" s="1964">
        <f>IF(ROW() -5&lt;= MAX(Income!$Z$6:$Z$289),INDEX(Income!$B$6:$Z$289,MATCH(ROW()-5,Income!$Z$6:$Z$289,0),2),"")</f>
      </c>
      <c r="D49" s="1962">
        <f>IF(ROW() -5&lt;= MAX(Income!$Z$6:$Z$289),INDEX(Income!$B$6:$Z$289,MATCH(ROW()-5,Income!$Z$6:$Z$289,0),4),"")</f>
      </c>
      <c r="E49" s="1962">
        <f>IF(ROW() -5&lt;= MAX(Income!$Z$6:$Z$289),INDEX(Income!$C$6:$Z$289,MATCH(ROW()-5,Income!$Z$6:$Z$289,0),4),"")</f>
      </c>
      <c r="F49" s="1962">
        <f>IF(ROW() -5&lt;= MAX(Income!$Z$6:$Z$289),INDEX(Income!$D$6:$Z$289,MATCH(ROW()-5,Income!$Z$6:$Z$289,0),4),"")</f>
      </c>
      <c r="G49" s="1962">
        <f>IF(ROW() -5&lt;= MAX(Income!$Z$6:$Z$289),INDEX(Income!$E$6:$Z$289,MATCH(ROW()-5,Income!$Z$6:$Z$289,0),4),"")</f>
      </c>
      <c r="H49" s="1962">
        <f>IF(ROW() -5&lt;= MAX(Income!$Z$6:$Z$289),INDEX(Income!$F$6:$Z$289,MATCH(ROW()-5,Income!$Z$6:$Z$289,0),4),"")</f>
      </c>
      <c r="I49" s="3"/>
      <c r="J49" s="3"/>
      <c r="K49">
        <f>IF(ROW() -5&lt;= MAX(Income!$Z$6:$Z$289),INDEX(Income!$B$6:$Z$289,MATCH(ROW()-5,Income!$Z$6:$Z$289,0),24),"")</f>
      </c>
    </row>
    <row r="50" spans="1:11" x14ac:dyDescent="0.2">
      <c r="A50" s="3"/>
      <c r="B50" s="1962" t="str">
        <f>IF(ROW() -5&lt;= MAX(Income!$Z$6:$Z$289),INDEX(Income!$B$6:$Z$289,MATCH(ROW()-5,Income!$Z$6:$Z$289,0),1),"")</f>
      </c>
      <c r="C50" s="1964">
        <f>IF(ROW() -5&lt;= MAX(Income!$Z$6:$Z$289),INDEX(Income!$B$6:$Z$289,MATCH(ROW()-5,Income!$Z$6:$Z$289,0),2),"")</f>
      </c>
      <c r="D50" s="1962">
        <f>IF(ROW() -5&lt;= MAX(Income!$Z$6:$Z$289),INDEX(Income!$B$6:$Z$289,MATCH(ROW()-5,Income!$Z$6:$Z$289,0),4),"")</f>
      </c>
      <c r="E50" s="1962">
        <f>IF(ROW() -5&lt;= MAX(Income!$Z$6:$Z$289),INDEX(Income!$C$6:$Z$289,MATCH(ROW()-5,Income!$Z$6:$Z$289,0),4),"")</f>
      </c>
      <c r="F50" s="1962">
        <f>IF(ROW() -5&lt;= MAX(Income!$Z$6:$Z$289),INDEX(Income!$D$6:$Z$289,MATCH(ROW()-5,Income!$Z$6:$Z$289,0),4),"")</f>
      </c>
      <c r="G50" s="1962">
        <f>IF(ROW() -5&lt;= MAX(Income!$Z$6:$Z$289),INDEX(Income!$E$6:$Z$289,MATCH(ROW()-5,Income!$Z$6:$Z$289,0),4),"")</f>
      </c>
      <c r="H50" s="1962">
        <f>IF(ROW() -5&lt;= MAX(Income!$Z$6:$Z$289),INDEX(Income!$F$6:$Z$289,MATCH(ROW()-5,Income!$Z$6:$Z$289,0),4),"")</f>
      </c>
      <c r="I50" s="3"/>
      <c r="J50" s="3"/>
      <c r="K50">
        <f>IF(ROW() -5&lt;= MAX(Income!$Z$6:$Z$289),INDEX(Income!$B$6:$Z$289,MATCH(ROW()-5,Income!$Z$6:$Z$289,0),24),"")</f>
      </c>
    </row>
    <row r="51" spans="1:11" x14ac:dyDescent="0.2">
      <c r="A51" s="3"/>
      <c r="B51" s="1962" t="str">
        <f>IF(ROW() -5&lt;= MAX(Income!$Z$6:$Z$289),INDEX(Income!$B$6:$Z$289,MATCH(ROW()-5,Income!$Z$6:$Z$289,0),1),"")</f>
      </c>
      <c r="C51" s="1964">
        <f>IF(ROW() -5&lt;= MAX(Income!$Z$6:$Z$289),INDEX(Income!$B$6:$Z$289,MATCH(ROW()-5,Income!$Z$6:$Z$289,0),2),"")</f>
      </c>
      <c r="D51" s="1962">
        <f>IF(ROW() -5&lt;= MAX(Income!$Z$6:$Z$289),INDEX(Income!$B$6:$Z$289,MATCH(ROW()-5,Income!$Z$6:$Z$289,0),4),"")</f>
      </c>
      <c r="E51" s="1962">
        <f>IF(ROW() -5&lt;= MAX(Income!$Z$6:$Z$289),INDEX(Income!$C$6:$Z$289,MATCH(ROW()-5,Income!$Z$6:$Z$289,0),4),"")</f>
      </c>
      <c r="F51" s="1962">
        <f>IF(ROW() -5&lt;= MAX(Income!$Z$6:$Z$289),INDEX(Income!$D$6:$Z$289,MATCH(ROW()-5,Income!$Z$6:$Z$289,0),4),"")</f>
      </c>
      <c r="G51" s="1962">
        <f>IF(ROW() -5&lt;= MAX(Income!$Z$6:$Z$289),INDEX(Income!$E$6:$Z$289,MATCH(ROW()-5,Income!$Z$6:$Z$289,0),4),"")</f>
      </c>
      <c r="H51" s="1962">
        <f>IF(ROW() -5&lt;= MAX(Income!$Z$6:$Z$289),INDEX(Income!$F$6:$Z$289,MATCH(ROW()-5,Income!$Z$6:$Z$289,0),4),"")</f>
      </c>
      <c r="I51" s="3"/>
      <c r="J51" s="3"/>
      <c r="K51">
        <f>IF(ROW() -5&lt;= MAX(Income!$Z$6:$Z$289),INDEX(Income!$B$6:$Z$289,MATCH(ROW()-5,Income!$Z$6:$Z$289,0),24),"")</f>
      </c>
    </row>
    <row r="52" spans="1:11" x14ac:dyDescent="0.2">
      <c r="A52" s="3"/>
      <c r="B52" s="1962" t="str">
        <f>IF(ROW() -5&lt;= MAX(Income!$Z$6:$Z$289),INDEX(Income!$B$6:$Z$289,MATCH(ROW()-5,Income!$Z$6:$Z$289,0),1),"")</f>
      </c>
      <c r="C52" s="1964">
        <f>IF(ROW() -5&lt;= MAX(Income!$Z$6:$Z$289),INDEX(Income!$B$6:$Z$289,MATCH(ROW()-5,Income!$Z$6:$Z$289,0),2),"")</f>
      </c>
      <c r="D52" s="1962">
        <f>IF(ROW() -5&lt;= MAX(Income!$Z$6:$Z$289),INDEX(Income!$B$6:$Z$289,MATCH(ROW()-5,Income!$Z$6:$Z$289,0),4),"")</f>
      </c>
      <c r="E52" s="1962">
        <f>IF(ROW() -5&lt;= MAX(Income!$Z$6:$Z$289),INDEX(Income!$C$6:$Z$289,MATCH(ROW()-5,Income!$Z$6:$Z$289,0),4),"")</f>
      </c>
      <c r="F52" s="1962">
        <f>IF(ROW() -5&lt;= MAX(Income!$Z$6:$Z$289),INDEX(Income!$D$6:$Z$289,MATCH(ROW()-5,Income!$Z$6:$Z$289,0),4),"")</f>
      </c>
      <c r="G52" s="1962">
        <f>IF(ROW() -5&lt;= MAX(Income!$Z$6:$Z$289),INDEX(Income!$E$6:$Z$289,MATCH(ROW()-5,Income!$Z$6:$Z$289,0),4),"")</f>
      </c>
      <c r="H52" s="1962">
        <f>IF(ROW() -5&lt;= MAX(Income!$Z$6:$Z$289),INDEX(Income!$F$6:$Z$289,MATCH(ROW()-5,Income!$Z$6:$Z$289,0),4),"")</f>
      </c>
      <c r="I52" s="3"/>
      <c r="J52" s="3"/>
      <c r="K52">
        <f>IF(ROW() -5&lt;= MAX(Income!$Z$6:$Z$289),INDEX(Income!$B$6:$Z$289,MATCH(ROW()-5,Income!$Z$6:$Z$289,0),24),"")</f>
      </c>
    </row>
    <row r="53" spans="1:11" x14ac:dyDescent="0.2">
      <c r="A53" s="3"/>
      <c r="B53" s="1962" t="str">
        <f>IF(ROW() -5&lt;= MAX(Income!$Z$6:$Z$289),INDEX(Income!$B$6:$Z$289,MATCH(ROW()-5,Income!$Z$6:$Z$289,0),1),"")</f>
      </c>
      <c r="C53" s="1964">
        <f>IF(ROW() -5&lt;= MAX(Income!$Z$6:$Z$289),INDEX(Income!$B$6:$Z$289,MATCH(ROW()-5,Income!$Z$6:$Z$289,0),2),"")</f>
      </c>
      <c r="D53" s="1962">
        <f>IF(ROW() -5&lt;= MAX(Income!$Z$6:$Z$289),INDEX(Income!$B$6:$Z$289,MATCH(ROW()-5,Income!$Z$6:$Z$289,0),4),"")</f>
      </c>
      <c r="E53" s="1962">
        <f>IF(ROW() -5&lt;= MAX(Income!$Z$6:$Z$289),INDEX(Income!$C$6:$Z$289,MATCH(ROW()-5,Income!$Z$6:$Z$289,0),4),"")</f>
      </c>
      <c r="F53" s="1962">
        <f>IF(ROW() -5&lt;= MAX(Income!$Z$6:$Z$289),INDEX(Income!$D$6:$Z$289,MATCH(ROW()-5,Income!$Z$6:$Z$289,0),4),"")</f>
      </c>
      <c r="G53" s="1962">
        <f>IF(ROW() -5&lt;= MAX(Income!$Z$6:$Z$289),INDEX(Income!$E$6:$Z$289,MATCH(ROW()-5,Income!$Z$6:$Z$289,0),4),"")</f>
      </c>
      <c r="H53" s="1962">
        <f>IF(ROW() -5&lt;= MAX(Income!$Z$6:$Z$289),INDEX(Income!$F$6:$Z$289,MATCH(ROW()-5,Income!$Z$6:$Z$289,0),4),"")</f>
      </c>
      <c r="I53" s="3"/>
      <c r="J53" s="3"/>
      <c r="K53">
        <f>IF(ROW() -5&lt;= MAX(Income!$Z$6:$Z$289),INDEX(Income!$B$6:$Z$289,MATCH(ROW()-5,Income!$Z$6:$Z$289,0),24),"")</f>
      </c>
    </row>
    <row r="54" spans="1:11" x14ac:dyDescent="0.2">
      <c r="A54" s="3"/>
      <c r="B54" s="1962" t="str">
        <f>IF(ROW() -5&lt;= MAX(Income!$Z$6:$Z$289),INDEX(Income!$B$6:$Z$289,MATCH(ROW()-5,Income!$Z$6:$Z$289,0),1),"")</f>
      </c>
      <c r="C54" s="1964">
        <f>IF(ROW() -5&lt;= MAX(Income!$Z$6:$Z$289),INDEX(Income!$B$6:$Z$289,MATCH(ROW()-5,Income!$Z$6:$Z$289,0),2),"")</f>
      </c>
      <c r="D54" s="1962">
        <f>IF(ROW() -5&lt;= MAX(Income!$Z$6:$Z$289),INDEX(Income!$B$6:$Z$289,MATCH(ROW()-5,Income!$Z$6:$Z$289,0),4),"")</f>
      </c>
      <c r="E54" s="1962">
        <f>IF(ROW() -5&lt;= MAX(Income!$Z$6:$Z$289),INDEX(Income!$C$6:$Z$289,MATCH(ROW()-5,Income!$Z$6:$Z$289,0),4),"")</f>
      </c>
      <c r="F54" s="1962">
        <f>IF(ROW() -5&lt;= MAX(Income!$Z$6:$Z$289),INDEX(Income!$D$6:$Z$289,MATCH(ROW()-5,Income!$Z$6:$Z$289,0),4),"")</f>
      </c>
      <c r="G54" s="1962">
        <f>IF(ROW() -5&lt;= MAX(Income!$Z$6:$Z$289),INDEX(Income!$E$6:$Z$289,MATCH(ROW()-5,Income!$Z$6:$Z$289,0),4),"")</f>
      </c>
      <c r="H54" s="1962">
        <f>IF(ROW() -5&lt;= MAX(Income!$Z$6:$Z$289),INDEX(Income!$F$6:$Z$289,MATCH(ROW()-5,Income!$Z$6:$Z$289,0),4),"")</f>
      </c>
      <c r="I54" s="3"/>
      <c r="J54" s="3"/>
      <c r="K54">
        <f>IF(ROW() -5&lt;= MAX(Income!$Z$6:$Z$289),INDEX(Income!$B$6:$Z$289,MATCH(ROW()-5,Income!$Z$6:$Z$289,0),24),"")</f>
      </c>
    </row>
    <row r="55" spans="1:11" x14ac:dyDescent="0.2">
      <c r="A55" s="3"/>
      <c r="B55" s="1962" t="str">
        <f>IF(ROW() -5&lt;= MAX(Income!$Z$6:$Z$289),INDEX(Income!$B$6:$Z$289,MATCH(ROW()-5,Income!$Z$6:$Z$289,0),1),"")</f>
        <v/>
      </c>
      <c r="C55" s="1964" t="str">
        <f>IF(ROW() -5&lt;= MAX(Income!$Z$6:$Z$289),INDEX(Income!$B$6:$Z$289,MATCH(ROW()-5,Income!$Z$6:$Z$289,0),2),"")</f>
        <v/>
      </c>
      <c r="D55" s="1962" t="str">
        <f>IF(ROW() -5&lt;= MAX(Income!$Z$6:$Z$289),INDEX(Income!$B$6:$Z$289,MATCH(ROW()-5,Income!$Z$6:$Z$289,0),4),"")</f>
        <v/>
      </c>
      <c r="E55" s="1962" t="str">
        <f>IF(ROW() -5&lt;= MAX(Income!$Z$6:$Z$289),INDEX(Income!$C$6:$Z$289,MATCH(ROW()-5,Income!$Z$6:$Z$289,0),4),"")</f>
        <v/>
      </c>
      <c r="F55" s="1962" t="str">
        <f>IF(ROW() -5&lt;= MAX(Income!$Z$6:$Z$289),INDEX(Income!$D$6:$Z$289,MATCH(ROW()-5,Income!$Z$6:$Z$289,0),4),"")</f>
        <v/>
      </c>
      <c r="G55" s="1962" t="str">
        <f>IF(ROW() -5&lt;= MAX(Income!$Z$6:$Z$289),INDEX(Income!$E$6:$Z$289,MATCH(ROW()-5,Income!$Z$6:$Z$289,0),4),"")</f>
        <v/>
      </c>
      <c r="H55" s="1962" t="str">
        <f>IF(ROW() -5&lt;= MAX(Income!$Z$6:$Z$289),INDEX(Income!$F$6:$Z$289,MATCH(ROW()-5,Income!$Z$6:$Z$289,0),4),"")</f>
        <v/>
      </c>
      <c r="I55" s="3"/>
      <c r="J55" s="3"/>
      <c r="K55" t="str">
        <f>IF(ROW() -5&lt;= MAX(Income!$Z$6:$Z$289),INDEX(Income!$B$6:$Z$289,MATCH(ROW()-5,Income!$Z$6:$Z$289,0),24),"")</f>
        <v/>
      </c>
    </row>
    <row r="56" spans="1:11" x14ac:dyDescent="0.2">
      <c r="A56" s="3"/>
      <c r="B56" s="1962" t="str">
        <f>IF(ROW() -5&lt;= MAX(Income!$Z$6:$Z$289),INDEX(Income!$B$6:$Z$289,MATCH(ROW()-5,Income!$Z$6:$Z$289,0),1),"")</f>
        <v/>
      </c>
      <c r="C56" s="1964" t="str">
        <f>IF(ROW() -5&lt;= MAX(Income!$Z$6:$Z$289),INDEX(Income!$B$6:$Z$289,MATCH(ROW()-5,Income!$Z$6:$Z$289,0),2),"")</f>
        <v/>
      </c>
      <c r="D56" s="1962" t="str">
        <f>IF(ROW() -5&lt;= MAX(Income!$Z$6:$Z$289),INDEX(Income!$B$6:$Z$289,MATCH(ROW()-5,Income!$Z$6:$Z$289,0),4),"")</f>
        <v/>
      </c>
      <c r="E56" s="1962" t="str">
        <f>IF(ROW() -5&lt;= MAX(Income!$Z$6:$Z$289),INDEX(Income!$C$6:$Z$289,MATCH(ROW()-5,Income!$Z$6:$Z$289,0),4),"")</f>
        <v/>
      </c>
      <c r="F56" s="1962" t="str">
        <f>IF(ROW() -5&lt;= MAX(Income!$Z$6:$Z$289),INDEX(Income!$D$6:$Z$289,MATCH(ROW()-5,Income!$Z$6:$Z$289,0),4),"")</f>
        <v/>
      </c>
      <c r="G56" s="1962" t="str">
        <f>IF(ROW() -5&lt;= MAX(Income!$Z$6:$Z$289),INDEX(Income!$E$6:$Z$289,MATCH(ROW()-5,Income!$Z$6:$Z$289,0),4),"")</f>
        <v/>
      </c>
      <c r="H56" s="1962" t="str">
        <f>IF(ROW() -5&lt;= MAX(Income!$Z$6:$Z$289),INDEX(Income!$F$6:$Z$289,MATCH(ROW()-5,Income!$Z$6:$Z$289,0),4),"")</f>
        <v/>
      </c>
      <c r="I56" s="3"/>
      <c r="J56" s="3"/>
      <c r="K56" t="str">
        <f>IF(ROW() -5&lt;= MAX(Income!$Z$6:$Z$289),INDEX(Income!$B$6:$Z$289,MATCH(ROW()-5,Income!$Z$6:$Z$289,0),24),"")</f>
        <v/>
      </c>
    </row>
    <row r="57" spans="1:11" x14ac:dyDescent="0.2">
      <c r="A57" s="3"/>
      <c r="B57" s="1962" t="str">
        <f>IF(ROW() -5&lt;= MAX(Income!$Z$6:$Z$289),INDEX(Income!$B$6:$Z$289,MATCH(ROW()-5,Income!$Z$6:$Z$289,0),1),"")</f>
        <v/>
      </c>
      <c r="C57" s="1964" t="str">
        <f>IF(ROW() -5&lt;= MAX(Income!$Z$6:$Z$289),INDEX(Income!$B$6:$Z$289,MATCH(ROW()-5,Income!$Z$6:$Z$289,0),2),"")</f>
        <v/>
      </c>
      <c r="D57" s="1962" t="str">
        <f>IF(ROW() -5&lt;= MAX(Income!$Z$6:$Z$289),INDEX(Income!$B$6:$Z$289,MATCH(ROW()-5,Income!$Z$6:$Z$289,0),4),"")</f>
        <v/>
      </c>
      <c r="E57" s="1962" t="str">
        <f>IF(ROW() -5&lt;= MAX(Income!$Z$6:$Z$289),INDEX(Income!$C$6:$Z$289,MATCH(ROW()-5,Income!$Z$6:$Z$289,0),4),"")</f>
        <v/>
      </c>
      <c r="F57" s="1962" t="str">
        <f>IF(ROW() -5&lt;= MAX(Income!$Z$6:$Z$289),INDEX(Income!$D$6:$Z$289,MATCH(ROW()-5,Income!$Z$6:$Z$289,0),4),"")</f>
        <v/>
      </c>
      <c r="G57" s="1962" t="str">
        <f>IF(ROW() -5&lt;= MAX(Income!$Z$6:$Z$289),INDEX(Income!$E$6:$Z$289,MATCH(ROW()-5,Income!$Z$6:$Z$289,0),4),"")</f>
        <v/>
      </c>
      <c r="H57" s="1962" t="str">
        <f>IF(ROW() -5&lt;= MAX(Income!$Z$6:$Z$289),INDEX(Income!$F$6:$Z$289,MATCH(ROW()-5,Income!$Z$6:$Z$289,0),4),"")</f>
        <v/>
      </c>
      <c r="I57" s="3"/>
      <c r="J57" s="3"/>
      <c r="K57" t="str">
        <f>IF(ROW() -5&lt;= MAX(Income!$Z$6:$Z$289),INDEX(Income!$B$6:$Z$289,MATCH(ROW()-5,Income!$Z$6:$Z$289,0),24),"")</f>
        <v/>
      </c>
    </row>
    <row r="58" spans="1:11" x14ac:dyDescent="0.2">
      <c r="A58" s="3"/>
      <c r="B58" s="1962" t="str">
        <f>IF(ROW() -5&lt;= MAX(Income!$Z$6:$Z$289),INDEX(Income!$B$6:$Z$289,MATCH(ROW()-5,Income!$Z$6:$Z$289,0),1),"")</f>
        <v/>
      </c>
      <c r="C58" s="1964" t="str">
        <f>IF(ROW() -5&lt;= MAX(Income!$Z$6:$Z$289),INDEX(Income!$B$6:$Z$289,MATCH(ROW()-5,Income!$Z$6:$Z$289,0),2),"")</f>
        <v/>
      </c>
      <c r="D58" s="1962" t="str">
        <f>IF(ROW() -5&lt;= MAX(Income!$Z$6:$Z$289),INDEX(Income!$B$6:$Z$289,MATCH(ROW()-5,Income!$Z$6:$Z$289,0),4),"")</f>
        <v/>
      </c>
      <c r="E58" s="1962" t="str">
        <f>IF(ROW() -5&lt;= MAX(Income!$Z$6:$Z$289),INDEX(Income!$C$6:$Z$289,MATCH(ROW()-5,Income!$Z$6:$Z$289,0),4),"")</f>
        <v/>
      </c>
      <c r="F58" s="1962" t="str">
        <f>IF(ROW() -5&lt;= MAX(Income!$Z$6:$Z$289),INDEX(Income!$D$6:$Z$289,MATCH(ROW()-5,Income!$Z$6:$Z$289,0),4),"")</f>
        <v/>
      </c>
      <c r="G58" s="1962" t="str">
        <f>IF(ROW() -5&lt;= MAX(Income!$Z$6:$Z$289),INDEX(Income!$E$6:$Z$289,MATCH(ROW()-5,Income!$Z$6:$Z$289,0),4),"")</f>
        <v/>
      </c>
      <c r="H58" s="1962" t="str">
        <f>IF(ROW() -5&lt;= MAX(Income!$Z$6:$Z$289),INDEX(Income!$F$6:$Z$289,MATCH(ROW()-5,Income!$Z$6:$Z$289,0),4),"")</f>
        <v/>
      </c>
      <c r="I58" s="3"/>
      <c r="J58" s="3"/>
      <c r="K58" t="str">
        <f>IF(ROW() -5&lt;= MAX(Income!$Z$6:$Z$289),INDEX(Income!$B$6:$Z$289,MATCH(ROW()-5,Income!$Z$6:$Z$289,0),24),"")</f>
        <v/>
      </c>
    </row>
    <row r="59" spans="1:11" x14ac:dyDescent="0.2">
      <c r="A59" s="3"/>
      <c r="B59" s="1962" t="str">
        <f>IF(ROW() -5&lt;= MAX(Income!$Z$6:$Z$289),INDEX(Income!$B$6:$Z$289,MATCH(ROW()-5,Income!$Z$6:$Z$289,0),1),"")</f>
        <v/>
      </c>
      <c r="C59" s="1964" t="str">
        <f>IF(ROW() -5&lt;= MAX(Income!$Z$6:$Z$289),INDEX(Income!$B$6:$Z$289,MATCH(ROW()-5,Income!$Z$6:$Z$289,0),2),"")</f>
        <v/>
      </c>
      <c r="D59" s="1962" t="str">
        <f>IF(ROW() -5&lt;= MAX(Income!$Z$6:$Z$289),INDEX(Income!$B$6:$Z$289,MATCH(ROW()-5,Income!$Z$6:$Z$289,0),4),"")</f>
        <v/>
      </c>
      <c r="E59" s="1962" t="str">
        <f>IF(ROW() -5&lt;= MAX(Income!$Z$6:$Z$289),INDEX(Income!$C$6:$Z$289,MATCH(ROW()-5,Income!$Z$6:$Z$289,0),4),"")</f>
        <v/>
      </c>
      <c r="F59" s="1962" t="str">
        <f>IF(ROW() -5&lt;= MAX(Income!$Z$6:$Z$289),INDEX(Income!$D$6:$Z$289,MATCH(ROW()-5,Income!$Z$6:$Z$289,0),4),"")</f>
        <v/>
      </c>
      <c r="G59" s="1962" t="str">
        <f>IF(ROW() -5&lt;= MAX(Income!$Z$6:$Z$289),INDEX(Income!$E$6:$Z$289,MATCH(ROW()-5,Income!$Z$6:$Z$289,0),4),"")</f>
        <v/>
      </c>
      <c r="H59" s="1962" t="str">
        <f>IF(ROW() -5&lt;= MAX(Income!$Z$6:$Z$289),INDEX(Income!$F$6:$Z$289,MATCH(ROW()-5,Income!$Z$6:$Z$289,0),4),"")</f>
        <v/>
      </c>
      <c r="I59" s="3"/>
      <c r="J59" s="3"/>
      <c r="K59" t="str">
        <f>IF(ROW() -5&lt;= MAX(Income!$Z$6:$Z$289),INDEX(Income!$B$6:$Z$289,MATCH(ROW()-5,Income!$Z$6:$Z$289,0),24),"")</f>
        <v/>
      </c>
    </row>
    <row r="60" spans="1:11" x14ac:dyDescent="0.2">
      <c r="A60" s="3"/>
      <c r="B60" s="1962" t="str">
        <f>IF(ROW() -5&lt;= MAX(Income!$Z$6:$Z$289),INDEX(Income!$B$6:$Z$289,MATCH(ROW()-5,Income!$Z$6:$Z$289,0),1),"")</f>
        <v/>
      </c>
      <c r="C60" s="1964" t="str">
        <f>IF(ROW() -5&lt;= MAX(Income!$Z$6:$Z$289),INDEX(Income!$B$6:$Z$289,MATCH(ROW()-5,Income!$Z$6:$Z$289,0),2),"")</f>
        <v/>
      </c>
      <c r="D60" s="1962" t="str">
        <f>IF(ROW() -5&lt;= MAX(Income!$Z$6:$Z$289),INDEX(Income!$B$6:$Z$289,MATCH(ROW()-5,Income!$Z$6:$Z$289,0),4),"")</f>
        <v/>
      </c>
      <c r="E60" s="1962" t="str">
        <f>IF(ROW() -5&lt;= MAX(Income!$Z$6:$Z$289),INDEX(Income!$C$6:$Z$289,MATCH(ROW()-5,Income!$Z$6:$Z$289,0),4),"")</f>
        <v/>
      </c>
      <c r="F60" s="1962" t="str">
        <f>IF(ROW() -5&lt;= MAX(Income!$Z$6:$Z$289),INDEX(Income!$D$6:$Z$289,MATCH(ROW()-5,Income!$Z$6:$Z$289,0),4),"")</f>
        <v/>
      </c>
      <c r="G60" s="1962" t="str">
        <f>IF(ROW() -5&lt;= MAX(Income!$Z$6:$Z$289),INDEX(Income!$E$6:$Z$289,MATCH(ROW()-5,Income!$Z$6:$Z$289,0),4),"")</f>
        <v/>
      </c>
      <c r="H60" s="1962" t="str">
        <f>IF(ROW() -5&lt;= MAX(Income!$Z$6:$Z$289),INDEX(Income!$F$6:$Z$289,MATCH(ROW()-5,Income!$Z$6:$Z$289,0),4),"")</f>
        <v/>
      </c>
      <c r="I60" s="3"/>
      <c r="J60" s="3"/>
      <c r="K60" t="str">
        <f>IF(ROW() -5&lt;= MAX(Income!$Z$6:$Z$289),INDEX(Income!$B$6:$Z$289,MATCH(ROW()-5,Income!$Z$6:$Z$289,0),24),"")</f>
        <v/>
      </c>
    </row>
    <row r="61" spans="1:11" x14ac:dyDescent="0.2">
      <c r="A61" s="3"/>
      <c r="B61" s="1962" t="str">
        <f>IF(ROW() -5&lt;= MAX(Income!$Z$6:$Z$289),INDEX(Income!$B$6:$Z$289,MATCH(ROW()-5,Income!$Z$6:$Z$289,0),1),"")</f>
        <v/>
      </c>
      <c r="C61" s="1964" t="str">
        <f>IF(ROW() -5&lt;= MAX(Income!$Z$6:$Z$289),INDEX(Income!$B$6:$Z$289,MATCH(ROW()-5,Income!$Z$6:$Z$289,0),2),"")</f>
        <v/>
      </c>
      <c r="D61" s="1962" t="str">
        <f>IF(ROW() -5&lt;= MAX(Income!$Z$6:$Z$289),INDEX(Income!$B$6:$Z$289,MATCH(ROW()-5,Income!$Z$6:$Z$289,0),4),"")</f>
        <v/>
      </c>
      <c r="E61" s="1962" t="str">
        <f>IF(ROW() -5&lt;= MAX(Income!$Z$6:$Z$289),INDEX(Income!$C$6:$Z$289,MATCH(ROW()-5,Income!$Z$6:$Z$289,0),4),"")</f>
        <v/>
      </c>
      <c r="F61" s="1962" t="str">
        <f>IF(ROW() -5&lt;= MAX(Income!$Z$6:$Z$289),INDEX(Income!$D$6:$Z$289,MATCH(ROW()-5,Income!$Z$6:$Z$289,0),4),"")</f>
        <v/>
      </c>
      <c r="G61" s="1962" t="str">
        <f>IF(ROW() -5&lt;= MAX(Income!$Z$6:$Z$289),INDEX(Income!$E$6:$Z$289,MATCH(ROW()-5,Income!$Z$6:$Z$289,0),4),"")</f>
        <v/>
      </c>
      <c r="H61" s="1962" t="str">
        <f>IF(ROW() -5&lt;= MAX(Income!$Z$6:$Z$289),INDEX(Income!$F$6:$Z$289,MATCH(ROW()-5,Income!$Z$6:$Z$289,0),4),"")</f>
        <v/>
      </c>
      <c r="I61" s="3"/>
      <c r="J61" s="3"/>
      <c r="K61" t="str">
        <f>IF(ROW() -5&lt;= MAX(Income!$Z$6:$Z$289),INDEX(Income!$B$6:$Z$289,MATCH(ROW()-5,Income!$Z$6:$Z$289,0),24),"")</f>
        <v/>
      </c>
    </row>
    <row r="62" spans="1:11" x14ac:dyDescent="0.2">
      <c r="A62" s="3"/>
      <c r="B62" s="1962" t="str">
        <f>IF(ROW() -5&lt;= MAX(Income!$Z$6:$Z$289),INDEX(Income!$B$6:$Z$289,MATCH(ROW()-5,Income!$Z$6:$Z$289,0),1),"")</f>
        <v/>
      </c>
      <c r="C62" s="1964" t="str">
        <f>IF(ROW() -5&lt;= MAX(Income!$Z$6:$Z$289),INDEX(Income!$B$6:$Z$289,MATCH(ROW()-5,Income!$Z$6:$Z$289,0),2),"")</f>
        <v/>
      </c>
      <c r="D62" s="1962" t="str">
        <f>IF(ROW() -5&lt;= MAX(Income!$Z$6:$Z$289),INDEX(Income!$B$6:$Z$289,MATCH(ROW()-5,Income!$Z$6:$Z$289,0),4),"")</f>
        <v/>
      </c>
      <c r="E62" s="1962" t="str">
        <f>IF(ROW() -5&lt;= MAX(Income!$Z$6:$Z$289),INDEX(Income!$C$6:$Z$289,MATCH(ROW()-5,Income!$Z$6:$Z$289,0),4),"")</f>
        <v/>
      </c>
      <c r="F62" s="1962" t="str">
        <f>IF(ROW() -5&lt;= MAX(Income!$Z$6:$Z$289),INDEX(Income!$D$6:$Z$289,MATCH(ROW()-5,Income!$Z$6:$Z$289,0),4),"")</f>
        <v/>
      </c>
      <c r="G62" s="1962" t="str">
        <f>IF(ROW() -5&lt;= MAX(Income!$Z$6:$Z$289),INDEX(Income!$E$6:$Z$289,MATCH(ROW()-5,Income!$Z$6:$Z$289,0),4),"")</f>
        <v/>
      </c>
      <c r="H62" s="1962" t="str">
        <f>IF(ROW() -5&lt;= MAX(Income!$Z$6:$Z$289),INDEX(Income!$F$6:$Z$289,MATCH(ROW()-5,Income!$Z$6:$Z$289,0),4),"")</f>
        <v/>
      </c>
      <c r="I62" s="3"/>
      <c r="J62" s="3"/>
      <c r="K62" t="str">
        <f>IF(ROW() -5&lt;= MAX(Income!$Z$6:$Z$289),INDEX(Income!$B$6:$Z$289,MATCH(ROW()-5,Income!$Z$6:$Z$289,0),24),"")</f>
        <v/>
      </c>
    </row>
    <row r="63" spans="1:11" x14ac:dyDescent="0.2">
      <c r="A63" s="3"/>
      <c r="B63" s="1962" t="str">
        <f>IF(ROW() -5&lt;= MAX(Income!$Z$6:$Z$289),INDEX(Income!$B$6:$Z$289,MATCH(ROW()-5,Income!$Z$6:$Z$289,0),1),"")</f>
        <v/>
      </c>
      <c r="C63" s="1964" t="str">
        <f>IF(ROW() -5&lt;= MAX(Income!$Z$6:$Z$289),INDEX(Income!$B$6:$Z$289,MATCH(ROW()-5,Income!$Z$6:$Z$289,0),2),"")</f>
        <v/>
      </c>
      <c r="D63" s="1962" t="str">
        <f>IF(ROW() -5&lt;= MAX(Income!$Z$6:$Z$289),INDEX(Income!$B$6:$Z$289,MATCH(ROW()-5,Income!$Z$6:$Z$289,0),4),"")</f>
        <v/>
      </c>
      <c r="E63" s="1962" t="str">
        <f>IF(ROW() -5&lt;= MAX(Income!$Z$6:$Z$289),INDEX(Income!$C$6:$Z$289,MATCH(ROW()-5,Income!$Z$6:$Z$289,0),4),"")</f>
        <v/>
      </c>
      <c r="F63" s="1962" t="str">
        <f>IF(ROW() -5&lt;= MAX(Income!$Z$6:$Z$289),INDEX(Income!$D$6:$Z$289,MATCH(ROW()-5,Income!$Z$6:$Z$289,0),4),"")</f>
        <v/>
      </c>
      <c r="G63" s="1962" t="str">
        <f>IF(ROW() -5&lt;= MAX(Income!$Z$6:$Z$289),INDEX(Income!$E$6:$Z$289,MATCH(ROW()-5,Income!$Z$6:$Z$289,0),4),"")</f>
        <v/>
      </c>
      <c r="H63" s="1962" t="str">
        <f>IF(ROW() -5&lt;= MAX(Income!$Z$6:$Z$289),INDEX(Income!$F$6:$Z$289,MATCH(ROW()-5,Income!$Z$6:$Z$289,0),4),"")</f>
        <v/>
      </c>
      <c r="I63" s="3"/>
      <c r="J63" s="3"/>
      <c r="K63" t="str">
        <f>IF(ROW() -5&lt;= MAX(Income!$Z$6:$Z$289),INDEX(Income!$B$6:$Z$289,MATCH(ROW()-5,Income!$Z$6:$Z$289,0),24),"")</f>
        <v/>
      </c>
    </row>
    <row r="64" spans="1:11" x14ac:dyDescent="0.2">
      <c r="A64" s="3"/>
      <c r="B64" s="1962" t="str">
        <f>IF(ROW() -5&lt;= MAX(Income!$Z$6:$Z$289),INDEX(Income!$B$6:$Z$289,MATCH(ROW()-5,Income!$Z$6:$Z$289,0),1),"")</f>
        <v/>
      </c>
      <c r="C64" s="1964" t="str">
        <f>IF(ROW() -5&lt;= MAX(Income!$Z$6:$Z$289),INDEX(Income!$B$6:$Z$289,MATCH(ROW()-5,Income!$Z$6:$Z$289,0),2),"")</f>
        <v/>
      </c>
      <c r="D64" s="1962" t="str">
        <f>IF(ROW() -5&lt;= MAX(Income!$Z$6:$Z$289),INDEX(Income!$B$6:$Z$289,MATCH(ROW()-5,Income!$Z$6:$Z$289,0),4),"")</f>
        <v/>
      </c>
      <c r="E64" s="1962" t="str">
        <f>IF(ROW() -5&lt;= MAX(Income!$Z$6:$Z$289),INDEX(Income!$C$6:$Z$289,MATCH(ROW()-5,Income!$Z$6:$Z$289,0),4),"")</f>
        <v/>
      </c>
      <c r="F64" s="1962" t="str">
        <f>IF(ROW() -5&lt;= MAX(Income!$Z$6:$Z$289),INDEX(Income!$D$6:$Z$289,MATCH(ROW()-5,Income!$Z$6:$Z$289,0),4),"")</f>
        <v/>
      </c>
      <c r="G64" s="1962" t="str">
        <f>IF(ROW() -5&lt;= MAX(Income!$Z$6:$Z$289),INDEX(Income!$E$6:$Z$289,MATCH(ROW()-5,Income!$Z$6:$Z$289,0),4),"")</f>
        <v/>
      </c>
      <c r="H64" s="1962" t="str">
        <f>IF(ROW() -5&lt;= MAX(Income!$Z$6:$Z$289),INDEX(Income!$F$6:$Z$289,MATCH(ROW()-5,Income!$Z$6:$Z$289,0),4),"")</f>
        <v/>
      </c>
      <c r="I64" s="3"/>
      <c r="J64" s="3"/>
      <c r="K64" t="str">
        <f>IF(ROW() -5&lt;= MAX(Income!$Z$6:$Z$289),INDEX(Income!$B$6:$Z$289,MATCH(ROW()-5,Income!$Z$6:$Z$289,0),24),"")</f>
        <v/>
      </c>
    </row>
    <row r="65" spans="1:11" x14ac:dyDescent="0.2">
      <c r="A65" s="3"/>
      <c r="B65" s="1962" t="str">
        <f>IF(ROW() -5&lt;= MAX(Income!$Z$6:$Z$289),INDEX(Income!$B$6:$Z$289,MATCH(ROW()-5,Income!$Z$6:$Z$289,0),1),"")</f>
        <v/>
      </c>
      <c r="C65" s="1964" t="str">
        <f>IF(ROW() -5&lt;= MAX(Income!$Z$6:$Z$289),INDEX(Income!$B$6:$Z$289,MATCH(ROW()-5,Income!$Z$6:$Z$289,0),2),"")</f>
        <v/>
      </c>
      <c r="D65" s="1962" t="str">
        <f>IF(ROW() -5&lt;= MAX(Income!$Z$6:$Z$289),INDEX(Income!$B$6:$Z$289,MATCH(ROW()-5,Income!$Z$6:$Z$289,0),4),"")</f>
        <v/>
      </c>
      <c r="E65" s="1962" t="str">
        <f>IF(ROW() -5&lt;= MAX(Income!$Z$6:$Z$289),INDEX(Income!$C$6:$Z$289,MATCH(ROW()-5,Income!$Z$6:$Z$289,0),4),"")</f>
        <v/>
      </c>
      <c r="F65" s="1962" t="str">
        <f>IF(ROW() -5&lt;= MAX(Income!$Z$6:$Z$289),INDEX(Income!$D$6:$Z$289,MATCH(ROW()-5,Income!$Z$6:$Z$289,0),4),"")</f>
        <v/>
      </c>
      <c r="G65" s="1962" t="str">
        <f>IF(ROW() -5&lt;= MAX(Income!$Z$6:$Z$289),INDEX(Income!$E$6:$Z$289,MATCH(ROW()-5,Income!$Z$6:$Z$289,0),4),"")</f>
        <v/>
      </c>
      <c r="H65" s="1962" t="str">
        <f>IF(ROW() -5&lt;= MAX(Income!$Z$6:$Z$289),INDEX(Income!$F$6:$Z$289,MATCH(ROW()-5,Income!$Z$6:$Z$289,0),4),"")</f>
        <v/>
      </c>
      <c r="I65" s="3"/>
      <c r="J65" s="3"/>
      <c r="K65" t="str">
        <f>IF(ROW() -5&lt;= MAX(Income!$Z$6:$Z$289),INDEX(Income!$B$6:$Z$289,MATCH(ROW()-5,Income!$Z$6:$Z$289,0),24),"")</f>
        <v/>
      </c>
    </row>
    <row r="66" spans="1:11" x14ac:dyDescent="0.2">
      <c r="A66" s="3"/>
      <c r="B66" s="1962" t="str">
        <f>IF(ROW() -5&lt;= MAX(Income!$Z$6:$Z$289),INDEX(Income!$B$6:$Z$289,MATCH(ROW()-5,Income!$Z$6:$Z$289,0),1),"")</f>
        <v/>
      </c>
      <c r="C66" s="1964" t="str">
        <f>IF(ROW() -5&lt;= MAX(Income!$Z$6:$Z$289),INDEX(Income!$B$6:$Z$289,MATCH(ROW()-5,Income!$Z$6:$Z$289,0),2),"")</f>
        <v/>
      </c>
      <c r="D66" s="1962" t="str">
        <f>IF(ROW() -5&lt;= MAX(Income!$Z$6:$Z$289),INDEX(Income!$B$6:$Z$289,MATCH(ROW()-5,Income!$Z$6:$Z$289,0),4),"")</f>
        <v/>
      </c>
      <c r="E66" s="1962" t="str">
        <f>IF(ROW() -5&lt;= MAX(Income!$Z$6:$Z$289),INDEX(Income!$C$6:$Z$289,MATCH(ROW()-5,Income!$Z$6:$Z$289,0),4),"")</f>
        <v/>
      </c>
      <c r="F66" s="1962" t="str">
        <f>IF(ROW() -5&lt;= MAX(Income!$Z$6:$Z$289),INDEX(Income!$D$6:$Z$289,MATCH(ROW()-5,Income!$Z$6:$Z$289,0),4),"")</f>
        <v/>
      </c>
      <c r="G66" s="1962" t="str">
        <f>IF(ROW() -5&lt;= MAX(Income!$Z$6:$Z$289),INDEX(Income!$E$6:$Z$289,MATCH(ROW()-5,Income!$Z$6:$Z$289,0),4),"")</f>
        <v/>
      </c>
      <c r="H66" s="1962" t="str">
        <f>IF(ROW() -5&lt;= MAX(Income!$Z$6:$Z$289),INDEX(Income!$F$6:$Z$289,MATCH(ROW()-5,Income!$Z$6:$Z$289,0),4),"")</f>
        <v/>
      </c>
      <c r="I66" s="3"/>
      <c r="J66" s="3"/>
      <c r="K66" t="str">
        <f>IF(ROW() -5&lt;= MAX(Income!$Z$6:$Z$289),INDEX(Income!$B$6:$Z$289,MATCH(ROW()-5,Income!$Z$6:$Z$289,0),24),"")</f>
        <v/>
      </c>
    </row>
    <row r="67" spans="1:11" x14ac:dyDescent="0.2">
      <c r="A67" s="3"/>
      <c r="B67" s="1962" t="str">
        <f>IF(ROW() -5&lt;= MAX(Income!$Z$6:$Z$289),INDEX(Income!$B$6:$Z$289,MATCH(ROW()-5,Income!$Z$6:$Z$289,0),1),"")</f>
        <v/>
      </c>
      <c r="C67" s="1964" t="str">
        <f>IF(ROW() -5&lt;= MAX(Income!$Z$6:$Z$289),INDEX(Income!$B$6:$Z$289,MATCH(ROW()-5,Income!$Z$6:$Z$289,0),2),"")</f>
        <v/>
      </c>
      <c r="D67" s="1962" t="str">
        <f>IF(ROW() -5&lt;= MAX(Income!$Z$6:$Z$289),INDEX(Income!$B$6:$Z$289,MATCH(ROW()-5,Income!$Z$6:$Z$289,0),4),"")</f>
        <v/>
      </c>
      <c r="E67" s="1962" t="str">
        <f>IF(ROW() -5&lt;= MAX(Income!$Z$6:$Z$289),INDEX(Income!$C$6:$Z$289,MATCH(ROW()-5,Income!$Z$6:$Z$289,0),4),"")</f>
        <v/>
      </c>
      <c r="F67" s="1962" t="str">
        <f>IF(ROW() -5&lt;= MAX(Income!$Z$6:$Z$289),INDEX(Income!$D$6:$Z$289,MATCH(ROW()-5,Income!$Z$6:$Z$289,0),4),"")</f>
        <v/>
      </c>
      <c r="G67" s="1962" t="str">
        <f>IF(ROW() -5&lt;= MAX(Income!$Z$6:$Z$289),INDEX(Income!$E$6:$Z$289,MATCH(ROW()-5,Income!$Z$6:$Z$289,0),4),"")</f>
        <v/>
      </c>
      <c r="H67" s="1962" t="str">
        <f>IF(ROW() -5&lt;= MAX(Income!$Z$6:$Z$289),INDEX(Income!$F$6:$Z$289,MATCH(ROW()-5,Income!$Z$6:$Z$289,0),4),"")</f>
        <v/>
      </c>
      <c r="I67" s="3"/>
      <c r="J67" s="3"/>
      <c r="K67" t="str">
        <f>IF(ROW() -5&lt;= MAX(Income!$Z$6:$Z$289),INDEX(Income!$B$6:$Z$289,MATCH(ROW()-5,Income!$Z$6:$Z$289,0),24),"")</f>
        <v/>
      </c>
    </row>
    <row r="68" spans="1:11" x14ac:dyDescent="0.2">
      <c r="A68" s="3"/>
      <c r="B68" s="1962" t="str">
        <f>IF(ROW() -5&lt;= MAX(Income!$Z$6:$Z$289),INDEX(Income!$B$6:$Z$289,MATCH(ROW()-5,Income!$Z$6:$Z$289,0),1),"")</f>
        <v/>
      </c>
      <c r="C68" s="1964" t="str">
        <f>IF(ROW() -5&lt;= MAX(Income!$Z$6:$Z$289),INDEX(Income!$B$6:$Z$289,MATCH(ROW()-5,Income!$Z$6:$Z$289,0),2),"")</f>
        <v/>
      </c>
      <c r="D68" s="1962" t="str">
        <f>IF(ROW() -5&lt;= MAX(Income!$Z$6:$Z$289),INDEX(Income!$B$6:$Z$289,MATCH(ROW()-5,Income!$Z$6:$Z$289,0),4),"")</f>
        <v/>
      </c>
      <c r="E68" s="1962" t="str">
        <f>IF(ROW() -5&lt;= MAX(Income!$Z$6:$Z$289),INDEX(Income!$C$6:$Z$289,MATCH(ROW()-5,Income!$Z$6:$Z$289,0),4),"")</f>
        <v/>
      </c>
      <c r="F68" s="1962" t="str">
        <f>IF(ROW() -5&lt;= MAX(Income!$Z$6:$Z$289),INDEX(Income!$D$6:$Z$289,MATCH(ROW()-5,Income!$Z$6:$Z$289,0),4),"")</f>
        <v/>
      </c>
      <c r="G68" s="1962" t="str">
        <f>IF(ROW() -5&lt;= MAX(Income!$Z$6:$Z$289),INDEX(Income!$E$6:$Z$289,MATCH(ROW()-5,Income!$Z$6:$Z$289,0),4),"")</f>
        <v/>
      </c>
      <c r="H68" s="1962" t="str">
        <f>IF(ROW() -5&lt;= MAX(Income!$Z$6:$Z$289),INDEX(Income!$F$6:$Z$289,MATCH(ROW()-5,Income!$Z$6:$Z$289,0),4),"")</f>
        <v/>
      </c>
      <c r="I68" s="3"/>
      <c r="J68" s="3"/>
      <c r="K68" t="str">
        <f>IF(ROW() -5&lt;= MAX(Income!$Z$6:$Z$289),INDEX(Income!$B$6:$Z$289,MATCH(ROW()-5,Income!$Z$6:$Z$289,0),24),"")</f>
        <v/>
      </c>
    </row>
    <row r="69" spans="1:11" x14ac:dyDescent="0.2">
      <c r="A69" s="3"/>
      <c r="B69" s="1962" t="str">
        <f>IF(ROW() -5&lt;= MAX(Income!$Z$6:$Z$289),INDEX(Income!$B$6:$Z$289,MATCH(ROW()-5,Income!$Z$6:$Z$289,0),1),"")</f>
        <v/>
      </c>
      <c r="C69" s="1964" t="str">
        <f>IF(ROW() -5&lt;= MAX(Income!$Z$6:$Z$289),INDEX(Income!$B$6:$Z$289,MATCH(ROW()-5,Income!$Z$6:$Z$289,0),2),"")</f>
        <v/>
      </c>
      <c r="D69" s="1962" t="str">
        <f>IF(ROW() -5&lt;= MAX(Income!$Z$6:$Z$289),INDEX(Income!$B$6:$Z$289,MATCH(ROW()-5,Income!$Z$6:$Z$289,0),4),"")</f>
        <v/>
      </c>
      <c r="E69" s="1962" t="str">
        <f>IF(ROW() -5&lt;= MAX(Income!$Z$6:$Z$289),INDEX(Income!$C$6:$Z$289,MATCH(ROW()-5,Income!$Z$6:$Z$289,0),4),"")</f>
        <v/>
      </c>
      <c r="F69" s="1962" t="str">
        <f>IF(ROW() -5&lt;= MAX(Income!$Z$6:$Z$289),INDEX(Income!$D$6:$Z$289,MATCH(ROW()-5,Income!$Z$6:$Z$289,0),4),"")</f>
        <v/>
      </c>
      <c r="G69" s="1962" t="str">
        <f>IF(ROW() -5&lt;= MAX(Income!$Z$6:$Z$289),INDEX(Income!$E$6:$Z$289,MATCH(ROW()-5,Income!$Z$6:$Z$289,0),4),"")</f>
        <v/>
      </c>
      <c r="H69" s="1962" t="str">
        <f>IF(ROW() -5&lt;= MAX(Income!$Z$6:$Z$289),INDEX(Income!$F$6:$Z$289,MATCH(ROW()-5,Income!$Z$6:$Z$289,0),4),"")</f>
        <v/>
      </c>
      <c r="I69" s="3"/>
      <c r="J69" s="3"/>
      <c r="K69" t="str">
        <f>IF(ROW() -5&lt;= MAX(Income!$Z$6:$Z$289),INDEX(Income!$B$6:$Z$289,MATCH(ROW()-5,Income!$Z$6:$Z$289,0),24),"")</f>
        <v/>
      </c>
    </row>
    <row r="70" spans="1:11" x14ac:dyDescent="0.2">
      <c r="A70" s="3"/>
      <c r="B70" s="1962" t="str">
        <f>IF(ROW() -5&lt;= MAX(Income!$Z$6:$Z$289),INDEX(Income!$B$6:$Z$289,MATCH(ROW()-5,Income!$Z$6:$Z$289,0),1),"")</f>
        <v/>
      </c>
      <c r="C70" s="1964" t="str">
        <f>IF(ROW() -5&lt;= MAX(Income!$Z$6:$Z$289),INDEX(Income!$B$6:$Z$289,MATCH(ROW()-5,Income!$Z$6:$Z$289,0),2),"")</f>
        <v/>
      </c>
      <c r="D70" s="1962" t="str">
        <f>IF(ROW() -5&lt;= MAX(Income!$Z$6:$Z$289),INDEX(Income!$B$6:$Z$289,MATCH(ROW()-5,Income!$Z$6:$Z$289,0),4),"")</f>
        <v/>
      </c>
      <c r="E70" s="1962" t="str">
        <f>IF(ROW() -5&lt;= MAX(Income!$Z$6:$Z$289),INDEX(Income!$C$6:$Z$289,MATCH(ROW()-5,Income!$Z$6:$Z$289,0),4),"")</f>
        <v/>
      </c>
      <c r="F70" s="1962" t="str">
        <f>IF(ROW() -5&lt;= MAX(Income!$Z$6:$Z$289),INDEX(Income!$D$6:$Z$289,MATCH(ROW()-5,Income!$Z$6:$Z$289,0),4),"")</f>
        <v/>
      </c>
      <c r="G70" s="1962" t="str">
        <f>IF(ROW() -5&lt;= MAX(Income!$Z$6:$Z$289),INDEX(Income!$E$6:$Z$289,MATCH(ROW()-5,Income!$Z$6:$Z$289,0),4),"")</f>
        <v/>
      </c>
      <c r="H70" s="1962" t="str">
        <f>IF(ROW() -5&lt;= MAX(Income!$Z$6:$Z$289),INDEX(Income!$F$6:$Z$289,MATCH(ROW()-5,Income!$Z$6:$Z$289,0),4),"")</f>
        <v/>
      </c>
      <c r="I70" s="3"/>
      <c r="J70" s="3"/>
      <c r="K70" t="str">
        <f>IF(ROW() -5&lt;= MAX(Income!$Z$6:$Z$289),INDEX(Income!$B$6:$Z$289,MATCH(ROW()-5,Income!$Z$6:$Z$289,0),24),"")</f>
        <v/>
      </c>
    </row>
    <row r="71" spans="1:11" x14ac:dyDescent="0.2">
      <c r="A71" s="3"/>
      <c r="B71" s="1962" t="str">
        <f>IF(ROW() -5&lt;= MAX(Income!$Z$6:$Z$289),INDEX(Income!$B$6:$Z$289,MATCH(ROW()-5,Income!$Z$6:$Z$289,0),1),"")</f>
        <v/>
      </c>
      <c r="C71" s="1964" t="str">
        <f>IF(ROW() -5&lt;= MAX(Income!$Z$6:$Z$289),INDEX(Income!$B$6:$Z$289,MATCH(ROW()-5,Income!$Z$6:$Z$289,0),2),"")</f>
        <v/>
      </c>
      <c r="D71" s="1962" t="str">
        <f>IF(ROW() -5&lt;= MAX(Income!$Z$6:$Z$289),INDEX(Income!$B$6:$Z$289,MATCH(ROW()-5,Income!$Z$6:$Z$289,0),4),"")</f>
        <v/>
      </c>
      <c r="E71" s="1962" t="str">
        <f>IF(ROW() -5&lt;= MAX(Income!$Z$6:$Z$289),INDEX(Income!$C$6:$Z$289,MATCH(ROW()-5,Income!$Z$6:$Z$289,0),4),"")</f>
        <v/>
      </c>
      <c r="F71" s="1962" t="str">
        <f>IF(ROW() -5&lt;= MAX(Income!$Z$6:$Z$289),INDEX(Income!$D$6:$Z$289,MATCH(ROW()-5,Income!$Z$6:$Z$289,0),4),"")</f>
        <v/>
      </c>
      <c r="G71" s="1962" t="str">
        <f>IF(ROW() -5&lt;= MAX(Income!$Z$6:$Z$289),INDEX(Income!$E$6:$Z$289,MATCH(ROW()-5,Income!$Z$6:$Z$289,0),4),"")</f>
        <v/>
      </c>
      <c r="H71" s="1962" t="str">
        <f>IF(ROW() -5&lt;= MAX(Income!$Z$6:$Z$289),INDEX(Income!$F$6:$Z$289,MATCH(ROW()-5,Income!$Z$6:$Z$289,0),4),"")</f>
        <v/>
      </c>
      <c r="I71" s="3"/>
      <c r="J71" s="3"/>
      <c r="K71" t="str">
        <f>IF(ROW() -5&lt;= MAX(Income!$Z$6:$Z$289),INDEX(Income!$B$6:$Z$289,MATCH(ROW()-5,Income!$Z$6:$Z$289,0),24),"")</f>
        <v/>
      </c>
    </row>
    <row r="72" spans="1:11" x14ac:dyDescent="0.2">
      <c r="A72" s="3"/>
      <c r="B72" s="1962" t="str">
        <f>IF(ROW() -5&lt;= MAX(Income!$Z$6:$Z$289),INDEX(Income!$B$6:$Z$289,MATCH(ROW()-5,Income!$Z$6:$Z$289,0),1),"")</f>
        <v/>
      </c>
      <c r="C72" s="1964" t="str">
        <f>IF(ROW() -5&lt;= MAX(Income!$Z$6:$Z$289),INDEX(Income!$B$6:$Z$289,MATCH(ROW()-5,Income!$Z$6:$Z$289,0),2),"")</f>
        <v/>
      </c>
      <c r="D72" s="1962" t="str">
        <f>IF(ROW() -5&lt;= MAX(Income!$Z$6:$Z$289),INDEX(Income!$B$6:$Z$289,MATCH(ROW()-5,Income!$Z$6:$Z$289,0),4),"")</f>
        <v/>
      </c>
      <c r="E72" s="1962" t="str">
        <f>IF(ROW() -5&lt;= MAX(Income!$Z$6:$Z$289),INDEX(Income!$C$6:$Z$289,MATCH(ROW()-5,Income!$Z$6:$Z$289,0),4),"")</f>
        <v/>
      </c>
      <c r="F72" s="1962" t="str">
        <f>IF(ROW() -5&lt;= MAX(Income!$Z$6:$Z$289),INDEX(Income!$D$6:$Z$289,MATCH(ROW()-5,Income!$Z$6:$Z$289,0),4),"")</f>
        <v/>
      </c>
      <c r="G72" s="1962" t="str">
        <f>IF(ROW() -5&lt;= MAX(Income!$Z$6:$Z$289),INDEX(Income!$E$6:$Z$289,MATCH(ROW()-5,Income!$Z$6:$Z$289,0),4),"")</f>
        <v/>
      </c>
      <c r="H72" s="1962" t="str">
        <f>IF(ROW() -5&lt;= MAX(Income!$Z$6:$Z$289),INDEX(Income!$F$6:$Z$289,MATCH(ROW()-5,Income!$Z$6:$Z$289,0),4),"")</f>
        <v/>
      </c>
      <c r="I72" s="3"/>
      <c r="J72" s="3"/>
      <c r="K72" t="str">
        <f>IF(ROW() -5&lt;= MAX(Income!$Z$6:$Z$289),INDEX(Income!$B$6:$Z$289,MATCH(ROW()-5,Income!$Z$6:$Z$289,0),24),"")</f>
        <v/>
      </c>
    </row>
    <row r="73" spans="1:11" x14ac:dyDescent="0.2">
      <c r="A73" s="3"/>
      <c r="B73" s="1962" t="str">
        <f>IF(ROW() -5&lt;= MAX(Income!$Z$6:$Z$289),INDEX(Income!$B$6:$Z$289,MATCH(ROW()-5,Income!$Z$6:$Z$289,0),1),"")</f>
        <v/>
      </c>
      <c r="C73" s="1964" t="str">
        <f>IF(ROW() -5&lt;= MAX(Income!$Z$6:$Z$289),INDEX(Income!$B$6:$Z$289,MATCH(ROW()-5,Income!$Z$6:$Z$289,0),2),"")</f>
        <v/>
      </c>
      <c r="D73" s="1962" t="str">
        <f>IF(ROW() -5&lt;= MAX(Income!$Z$6:$Z$289),INDEX(Income!$B$6:$Z$289,MATCH(ROW()-5,Income!$Z$6:$Z$289,0),4),"")</f>
        <v/>
      </c>
      <c r="E73" s="1962" t="str">
        <f>IF(ROW() -5&lt;= MAX(Income!$Z$6:$Z$289),INDEX(Income!$C$6:$Z$289,MATCH(ROW()-5,Income!$Z$6:$Z$289,0),4),"")</f>
        <v/>
      </c>
      <c r="F73" s="1962" t="str">
        <f>IF(ROW() -5&lt;= MAX(Income!$Z$6:$Z$289),INDEX(Income!$D$6:$Z$289,MATCH(ROW()-5,Income!$Z$6:$Z$289,0),4),"")</f>
        <v/>
      </c>
      <c r="G73" s="1962" t="str">
        <f>IF(ROW() -5&lt;= MAX(Income!$Z$6:$Z$289),INDEX(Income!$E$6:$Z$289,MATCH(ROW()-5,Income!$Z$6:$Z$289,0),4),"")</f>
        <v/>
      </c>
      <c r="H73" s="1962" t="str">
        <f>IF(ROW() -5&lt;= MAX(Income!$Z$6:$Z$289),INDEX(Income!$F$6:$Z$289,MATCH(ROW()-5,Income!$Z$6:$Z$289,0),4),"")</f>
        <v/>
      </c>
      <c r="I73" s="3"/>
      <c r="J73" s="3"/>
      <c r="K73" t="str">
        <f>IF(ROW() -5&lt;= MAX(Income!$Z$6:$Z$289),INDEX(Income!$B$6:$Z$289,MATCH(ROW()-5,Income!$Z$6:$Z$289,0),24),"")</f>
        <v/>
      </c>
    </row>
    <row r="74" spans="1:11" x14ac:dyDescent="0.2">
      <c r="A74" s="3"/>
      <c r="B74" s="1962" t="str">
        <f>IF(ROW() -5&lt;= MAX(Income!$Z$6:$Z$289),INDEX(Income!$B$6:$Z$289,MATCH(ROW()-5,Income!$Z$6:$Z$289,0),1),"")</f>
        <v/>
      </c>
      <c r="C74" s="1964" t="str">
        <f>IF(ROW() -5&lt;= MAX(Income!$Z$6:$Z$289),INDEX(Income!$B$6:$Z$289,MATCH(ROW()-5,Income!$Z$6:$Z$289,0),2),"")</f>
        <v/>
      </c>
      <c r="D74" s="1962" t="str">
        <f>IF(ROW() -5&lt;= MAX(Income!$Z$6:$Z$289),INDEX(Income!$B$6:$Z$289,MATCH(ROW()-5,Income!$Z$6:$Z$289,0),4),"")</f>
        <v/>
      </c>
      <c r="E74" s="1962" t="str">
        <f>IF(ROW() -5&lt;= MAX(Income!$Z$6:$Z$289),INDEX(Income!$C$6:$Z$289,MATCH(ROW()-5,Income!$Z$6:$Z$289,0),4),"")</f>
        <v/>
      </c>
      <c r="F74" s="1962" t="str">
        <f>IF(ROW() -5&lt;= MAX(Income!$Z$6:$Z$289),INDEX(Income!$D$6:$Z$289,MATCH(ROW()-5,Income!$Z$6:$Z$289,0),4),"")</f>
        <v/>
      </c>
      <c r="G74" s="1962" t="str">
        <f>IF(ROW() -5&lt;= MAX(Income!$Z$6:$Z$289),INDEX(Income!$E$6:$Z$289,MATCH(ROW()-5,Income!$Z$6:$Z$289,0),4),"")</f>
        <v/>
      </c>
      <c r="H74" s="1962" t="str">
        <f>IF(ROW() -5&lt;= MAX(Income!$Z$6:$Z$289),INDEX(Income!$F$6:$Z$289,MATCH(ROW()-5,Income!$Z$6:$Z$289,0),4),"")</f>
        <v/>
      </c>
      <c r="I74" s="3"/>
      <c r="J74" s="3"/>
      <c r="K74" t="str">
        <f>IF(ROW() -5&lt;= MAX(Income!$Z$6:$Z$289),INDEX(Income!$B$6:$Z$289,MATCH(ROW()-5,Income!$Z$6:$Z$289,0),24),"")</f>
        <v/>
      </c>
    </row>
    <row r="75" spans="1:11" x14ac:dyDescent="0.2">
      <c r="A75" s="3"/>
      <c r="B75" s="1962" t="str">
        <f>IF(ROW() -5&lt;= MAX(Income!$Z$6:$Z$289),INDEX(Income!$B$6:$Z$289,MATCH(ROW()-5,Income!$Z$6:$Z$289,0),1),"")</f>
        <v/>
      </c>
      <c r="C75" s="1964" t="str">
        <f>IF(ROW() -5&lt;= MAX(Income!$Z$6:$Z$289),INDEX(Income!$B$6:$Z$289,MATCH(ROW()-5,Income!$Z$6:$Z$289,0),2),"")</f>
        <v/>
      </c>
      <c r="D75" s="1962" t="str">
        <f>IF(ROW() -5&lt;= MAX(Income!$Z$6:$Z$289),INDEX(Income!$B$6:$Z$289,MATCH(ROW()-5,Income!$Z$6:$Z$289,0),4),"")</f>
        <v/>
      </c>
      <c r="E75" s="1962" t="str">
        <f>IF(ROW() -5&lt;= MAX(Income!$Z$6:$Z$289),INDEX(Income!$C$6:$Z$289,MATCH(ROW()-5,Income!$Z$6:$Z$289,0),4),"")</f>
        <v/>
      </c>
      <c r="F75" s="1962" t="str">
        <f>IF(ROW() -5&lt;= MAX(Income!$Z$6:$Z$289),INDEX(Income!$D$6:$Z$289,MATCH(ROW()-5,Income!$Z$6:$Z$289,0),4),"")</f>
        <v/>
      </c>
      <c r="G75" s="1962" t="str">
        <f>IF(ROW() -5&lt;= MAX(Income!$Z$6:$Z$289),INDEX(Income!$E$6:$Z$289,MATCH(ROW()-5,Income!$Z$6:$Z$289,0),4),"")</f>
        <v/>
      </c>
      <c r="H75" s="1962" t="str">
        <f>IF(ROW() -5&lt;= MAX(Income!$Z$6:$Z$289),INDEX(Income!$F$6:$Z$289,MATCH(ROW()-5,Income!$Z$6:$Z$289,0),4),"")</f>
        <v/>
      </c>
      <c r="I75" s="3"/>
      <c r="J75" s="3"/>
      <c r="K75" t="str">
        <f>IF(ROW() -5&lt;= MAX(Income!$Z$6:$Z$289),INDEX(Income!$B$6:$Z$289,MATCH(ROW()-5,Income!$Z$6:$Z$289,0),24),"")</f>
        <v/>
      </c>
    </row>
    <row r="76" spans="1:11" x14ac:dyDescent="0.2">
      <c r="A76" s="3"/>
      <c r="B76" s="1962" t="str">
        <f>IF(ROW() -5&lt;= MAX(Income!$Z$6:$Z$289),INDEX(Income!$B$6:$Z$289,MATCH(ROW()-5,Income!$Z$6:$Z$289,0),1),"")</f>
        <v/>
      </c>
      <c r="C76" s="1964" t="str">
        <f>IF(ROW() -5&lt;= MAX(Income!$Z$6:$Z$289),INDEX(Income!$B$6:$Z$289,MATCH(ROW()-5,Income!$Z$6:$Z$289,0),2),"")</f>
        <v/>
      </c>
      <c r="D76" s="1962" t="str">
        <f>IF(ROW() -5&lt;= MAX(Income!$Z$6:$Z$289),INDEX(Income!$B$6:$Z$289,MATCH(ROW()-5,Income!$Z$6:$Z$289,0),4),"")</f>
        <v/>
      </c>
      <c r="E76" s="1962" t="str">
        <f>IF(ROW() -5&lt;= MAX(Income!$Z$6:$Z$289),INDEX(Income!$C$6:$Z$289,MATCH(ROW()-5,Income!$Z$6:$Z$289,0),4),"")</f>
        <v/>
      </c>
      <c r="F76" s="1962" t="str">
        <f>IF(ROW() -5&lt;= MAX(Income!$Z$6:$Z$289),INDEX(Income!$D$6:$Z$289,MATCH(ROW()-5,Income!$Z$6:$Z$289,0),4),"")</f>
        <v/>
      </c>
      <c r="G76" s="1962" t="str">
        <f>IF(ROW() -5&lt;= MAX(Income!$Z$6:$Z$289),INDEX(Income!$E$6:$Z$289,MATCH(ROW()-5,Income!$Z$6:$Z$289,0),4),"")</f>
        <v/>
      </c>
      <c r="H76" s="1962" t="str">
        <f>IF(ROW() -5&lt;= MAX(Income!$Z$6:$Z$289),INDEX(Income!$F$6:$Z$289,MATCH(ROW()-5,Income!$Z$6:$Z$289,0),4),"")</f>
        <v/>
      </c>
      <c r="I76" s="3"/>
      <c r="J76" s="3"/>
      <c r="K76" t="str">
        <f>IF(ROW() -5&lt;= MAX(Income!$Z$6:$Z$289),INDEX(Income!$B$6:$Z$289,MATCH(ROW()-5,Income!$Z$6:$Z$289,0),24),"")</f>
        <v/>
      </c>
    </row>
    <row r="77" spans="1:11" x14ac:dyDescent="0.2">
      <c r="A77" s="3"/>
      <c r="B77" s="1962" t="str">
        <f>IF(ROW() -5&lt;= MAX(Income!$Z$6:$Z$289),INDEX(Income!$B$6:$Z$289,MATCH(ROW()-5,Income!$Z$6:$Z$289,0),1),"")</f>
        <v/>
      </c>
      <c r="C77" s="1964" t="str">
        <f>IF(ROW() -5&lt;= MAX(Income!$Z$6:$Z$289),INDEX(Income!$B$6:$Z$289,MATCH(ROW()-5,Income!$Z$6:$Z$289,0),2),"")</f>
        <v/>
      </c>
      <c r="D77" s="1962" t="str">
        <f>IF(ROW() -5&lt;= MAX(Income!$Z$6:$Z$289),INDEX(Income!$B$6:$Z$289,MATCH(ROW()-5,Income!$Z$6:$Z$289,0),4),"")</f>
        <v/>
      </c>
      <c r="E77" s="1962" t="str">
        <f>IF(ROW() -5&lt;= MAX(Income!$Z$6:$Z$289),INDEX(Income!$C$6:$Z$289,MATCH(ROW()-5,Income!$Z$6:$Z$289,0),4),"")</f>
        <v/>
      </c>
      <c r="F77" s="1962" t="str">
        <f>IF(ROW() -5&lt;= MAX(Income!$Z$6:$Z$289),INDEX(Income!$D$6:$Z$289,MATCH(ROW()-5,Income!$Z$6:$Z$289,0),4),"")</f>
        <v/>
      </c>
      <c r="G77" s="1962" t="str">
        <f>IF(ROW() -5&lt;= MAX(Income!$Z$6:$Z$289),INDEX(Income!$E$6:$Z$289,MATCH(ROW()-5,Income!$Z$6:$Z$289,0),4),"")</f>
        <v/>
      </c>
      <c r="H77" s="1962" t="str">
        <f>IF(ROW() -5&lt;= MAX(Income!$Z$6:$Z$289),INDEX(Income!$F$6:$Z$289,MATCH(ROW()-5,Income!$Z$6:$Z$289,0),4),"")</f>
        <v/>
      </c>
      <c r="I77" s="3"/>
      <c r="J77" s="3"/>
      <c r="K77" t="str">
        <f>IF(ROW() -5&lt;= MAX(Income!$Z$6:$Z$289),INDEX(Income!$B$6:$Z$289,MATCH(ROW()-5,Income!$Z$6:$Z$289,0),24),"")</f>
        <v/>
      </c>
    </row>
    <row r="78" spans="1:11" x14ac:dyDescent="0.2">
      <c r="A78" s="3"/>
      <c r="B78" s="1962" t="str">
        <f>IF(ROW() -5&lt;= MAX(Income!$Z$6:$Z$289),INDEX(Income!$B$6:$Z$289,MATCH(ROW()-5,Income!$Z$6:$Z$289,0),1),"")</f>
        <v/>
      </c>
      <c r="C78" s="1964" t="str">
        <f>IF(ROW() -5&lt;= MAX(Income!$Z$6:$Z$289),INDEX(Income!$B$6:$Z$289,MATCH(ROW()-5,Income!$Z$6:$Z$289,0),2),"")</f>
        <v/>
      </c>
      <c r="D78" s="1962" t="str">
        <f>IF(ROW() -5&lt;= MAX(Income!$Z$6:$Z$289),INDEX(Income!$B$6:$Z$289,MATCH(ROW()-5,Income!$Z$6:$Z$289,0),4),"")</f>
        <v/>
      </c>
      <c r="E78" s="1962" t="str">
        <f>IF(ROW() -5&lt;= MAX(Income!$Z$6:$Z$289),INDEX(Income!$C$6:$Z$289,MATCH(ROW()-5,Income!$Z$6:$Z$289,0),4),"")</f>
        <v/>
      </c>
      <c r="F78" s="1962" t="str">
        <f>IF(ROW() -5&lt;= MAX(Income!$Z$6:$Z$289),INDEX(Income!$D$6:$Z$289,MATCH(ROW()-5,Income!$Z$6:$Z$289,0),4),"")</f>
        <v/>
      </c>
      <c r="G78" s="1962" t="str">
        <f>IF(ROW() -5&lt;= MAX(Income!$Z$6:$Z$289),INDEX(Income!$E$6:$Z$289,MATCH(ROW()-5,Income!$Z$6:$Z$289,0),4),"")</f>
        <v/>
      </c>
      <c r="H78" s="1962" t="str">
        <f>IF(ROW() -5&lt;= MAX(Income!$Z$6:$Z$289),INDEX(Income!$F$6:$Z$289,MATCH(ROW()-5,Income!$Z$6:$Z$289,0),4),"")</f>
        <v/>
      </c>
      <c r="I78" s="3"/>
      <c r="J78" s="3"/>
      <c r="K78" t="str">
        <f>IF(ROW() -5&lt;= MAX(Income!$Z$6:$Z$289),INDEX(Income!$B$6:$Z$289,MATCH(ROW()-5,Income!$Z$6:$Z$289,0),24),"")</f>
        <v/>
      </c>
    </row>
    <row r="79" spans="1:11" x14ac:dyDescent="0.2">
      <c r="A79" s="3"/>
      <c r="B79" s="1962" t="str">
        <f>IF(ROW() -5&lt;= MAX(Income!$Z$6:$Z$289),INDEX(Income!$B$6:$Z$289,MATCH(ROW()-5,Income!$Z$6:$Z$289,0),1),"")</f>
        <v/>
      </c>
      <c r="C79" s="1964" t="str">
        <f>IF(ROW() -5&lt;= MAX(Income!$Z$6:$Z$289),INDEX(Income!$B$6:$Z$289,MATCH(ROW()-5,Income!$Z$6:$Z$289,0),2),"")</f>
        <v/>
      </c>
      <c r="D79" s="1962" t="str">
        <f>IF(ROW() -5&lt;= MAX(Income!$Z$6:$Z$289),INDEX(Income!$B$6:$Z$289,MATCH(ROW()-5,Income!$Z$6:$Z$289,0),4),"")</f>
        <v/>
      </c>
      <c r="E79" s="1962" t="str">
        <f>IF(ROW() -5&lt;= MAX(Income!$Z$6:$Z$289),INDEX(Income!$C$6:$Z$289,MATCH(ROW()-5,Income!$Z$6:$Z$289,0),4),"")</f>
        <v/>
      </c>
      <c r="F79" s="1962" t="str">
        <f>IF(ROW() -5&lt;= MAX(Income!$Z$6:$Z$289),INDEX(Income!$D$6:$Z$289,MATCH(ROW()-5,Income!$Z$6:$Z$289,0),4),"")</f>
        <v/>
      </c>
      <c r="G79" s="1962" t="str">
        <f>IF(ROW() -5&lt;= MAX(Income!$Z$6:$Z$289),INDEX(Income!$E$6:$Z$289,MATCH(ROW()-5,Income!$Z$6:$Z$289,0),4),"")</f>
        <v/>
      </c>
      <c r="H79" s="1962" t="str">
        <f>IF(ROW() -5&lt;= MAX(Income!$Z$6:$Z$289),INDEX(Income!$F$6:$Z$289,MATCH(ROW()-5,Income!$Z$6:$Z$289,0),4),"")</f>
        <v/>
      </c>
      <c r="I79" s="3"/>
      <c r="J79" s="3"/>
      <c r="K79" t="str">
        <f>IF(ROW() -5&lt;= MAX(Income!$Z$6:$Z$289),INDEX(Income!$B$6:$Z$289,MATCH(ROW()-5,Income!$Z$6:$Z$289,0),24),"")</f>
        <v/>
      </c>
    </row>
    <row r="80" spans="1:11" x14ac:dyDescent="0.2">
      <c r="A80" s="3"/>
      <c r="B80" s="1962" t="str">
        <f>IF(ROW() -5&lt;= MAX(Income!$Z$6:$Z$289),INDEX(Income!$B$6:$Z$289,MATCH(ROW()-5,Income!$Z$6:$Z$289,0),1),"")</f>
        <v/>
      </c>
      <c r="C80" s="1964" t="str">
        <f>IF(ROW() -5&lt;= MAX(Income!$Z$6:$Z$289),INDEX(Income!$B$6:$Z$289,MATCH(ROW()-5,Income!$Z$6:$Z$289,0),2),"")</f>
        <v/>
      </c>
      <c r="D80" s="1962" t="str">
        <f>IF(ROW() -5&lt;= MAX(Income!$Z$6:$Z$289),INDEX(Income!$B$6:$Z$289,MATCH(ROW()-5,Income!$Z$6:$Z$289,0),4),"")</f>
        <v/>
      </c>
      <c r="E80" s="1962" t="str">
        <f>IF(ROW() -5&lt;= MAX(Income!$Z$6:$Z$289),INDEX(Income!$C$6:$Z$289,MATCH(ROW()-5,Income!$Z$6:$Z$289,0),4),"")</f>
        <v/>
      </c>
      <c r="F80" s="1962" t="str">
        <f>IF(ROW() -5&lt;= MAX(Income!$Z$6:$Z$289),INDEX(Income!$D$6:$Z$289,MATCH(ROW()-5,Income!$Z$6:$Z$289,0),4),"")</f>
        <v/>
      </c>
      <c r="G80" s="1962" t="str">
        <f>IF(ROW() -5&lt;= MAX(Income!$Z$6:$Z$289),INDEX(Income!$E$6:$Z$289,MATCH(ROW()-5,Income!$Z$6:$Z$289,0),4),"")</f>
        <v/>
      </c>
      <c r="H80" s="1962" t="str">
        <f>IF(ROW() -5&lt;= MAX(Income!$Z$6:$Z$289),INDEX(Income!$F$6:$Z$289,MATCH(ROW()-5,Income!$Z$6:$Z$289,0),4),"")</f>
        <v/>
      </c>
      <c r="I80" s="3"/>
      <c r="J80" s="3"/>
      <c r="K80" t="str">
        <f>IF(ROW() -5&lt;= MAX(Income!$Z$6:$Z$289),INDEX(Income!$B$6:$Z$289,MATCH(ROW()-5,Income!$Z$6:$Z$289,0),24),"")</f>
        <v/>
      </c>
    </row>
    <row r="81" spans="1:11" x14ac:dyDescent="0.2">
      <c r="A81" s="3"/>
      <c r="B81" s="1962" t="str">
        <f>IF(ROW() -5&lt;= MAX(Income!$Z$6:$Z$289),INDEX(Income!$B$6:$Z$289,MATCH(ROW()-5,Income!$Z$6:$Z$289,0),1),"")</f>
        <v/>
      </c>
      <c r="C81" s="1964" t="str">
        <f>IF(ROW() -5&lt;= MAX(Income!$Z$6:$Z$289),INDEX(Income!$B$6:$Z$289,MATCH(ROW()-5,Income!$Z$6:$Z$289,0),2),"")</f>
        <v/>
      </c>
      <c r="D81" s="1962" t="str">
        <f>IF(ROW() -5&lt;= MAX(Income!$Z$6:$Z$289),INDEX(Income!$B$6:$Z$289,MATCH(ROW()-5,Income!$Z$6:$Z$289,0),4),"")</f>
        <v/>
      </c>
      <c r="E81" s="1962" t="str">
        <f>IF(ROW() -5&lt;= MAX(Income!$Z$6:$Z$289),INDEX(Income!$C$6:$Z$289,MATCH(ROW()-5,Income!$Z$6:$Z$289,0),4),"")</f>
        <v/>
      </c>
      <c r="F81" s="1962" t="str">
        <f>IF(ROW() -5&lt;= MAX(Income!$Z$6:$Z$289),INDEX(Income!$D$6:$Z$289,MATCH(ROW()-5,Income!$Z$6:$Z$289,0),4),"")</f>
        <v/>
      </c>
      <c r="G81" s="1962" t="str">
        <f>IF(ROW() -5&lt;= MAX(Income!$Z$6:$Z$289),INDEX(Income!$E$6:$Z$289,MATCH(ROW()-5,Income!$Z$6:$Z$289,0),4),"")</f>
        <v/>
      </c>
      <c r="H81" s="1962" t="str">
        <f>IF(ROW() -5&lt;= MAX(Income!$Z$6:$Z$289),INDEX(Income!$F$6:$Z$289,MATCH(ROW()-5,Income!$Z$6:$Z$289,0),4),"")</f>
        <v/>
      </c>
      <c r="I81" s="3"/>
      <c r="J81" s="3"/>
      <c r="K81" t="str">
        <f>IF(ROW() -5&lt;= MAX(Income!$Z$6:$Z$289),INDEX(Income!$B$6:$Z$289,MATCH(ROW()-5,Income!$Z$6:$Z$289,0),24),"")</f>
        <v/>
      </c>
    </row>
    <row r="82" spans="1:11" x14ac:dyDescent="0.2">
      <c r="A82" s="3"/>
      <c r="B82" s="1962" t="str">
        <f>IF(ROW() -5&lt;= MAX(Income!$Z$6:$Z$289),INDEX(Income!$B$6:$Z$289,MATCH(ROW()-5,Income!$Z$6:$Z$289,0),1),"")</f>
        <v/>
      </c>
      <c r="C82" s="1964" t="str">
        <f>IF(ROW() -5&lt;= MAX(Income!$Z$6:$Z$289),INDEX(Income!$B$6:$Z$289,MATCH(ROW()-5,Income!$Z$6:$Z$289,0),2),"")</f>
        <v/>
      </c>
      <c r="D82" s="1962" t="str">
        <f>IF(ROW() -5&lt;= MAX(Income!$Z$6:$Z$289),INDEX(Income!$B$6:$Z$289,MATCH(ROW()-5,Income!$Z$6:$Z$289,0),4),"")</f>
        <v/>
      </c>
      <c r="E82" s="1962" t="str">
        <f>IF(ROW() -5&lt;= MAX(Income!$Z$6:$Z$289),INDEX(Income!$C$6:$Z$289,MATCH(ROW()-5,Income!$Z$6:$Z$289,0),4),"")</f>
        <v/>
      </c>
      <c r="F82" s="1962" t="str">
        <f>IF(ROW() -5&lt;= MAX(Income!$Z$6:$Z$289),INDEX(Income!$D$6:$Z$289,MATCH(ROW()-5,Income!$Z$6:$Z$289,0),4),"")</f>
        <v/>
      </c>
      <c r="G82" s="1962" t="str">
        <f>IF(ROW() -5&lt;= MAX(Income!$Z$6:$Z$289),INDEX(Income!$E$6:$Z$289,MATCH(ROW()-5,Income!$Z$6:$Z$289,0),4),"")</f>
        <v/>
      </c>
      <c r="H82" s="1962" t="str">
        <f>IF(ROW() -5&lt;= MAX(Income!$Z$6:$Z$289),INDEX(Income!$F$6:$Z$289,MATCH(ROW()-5,Income!$Z$6:$Z$289,0),4),"")</f>
        <v/>
      </c>
      <c r="I82" s="3"/>
      <c r="J82" s="3"/>
      <c r="K82" t="str">
        <f>IF(ROW() -5&lt;= MAX(Income!$Z$6:$Z$289),INDEX(Income!$B$6:$Z$289,MATCH(ROW()-5,Income!$Z$6:$Z$289,0),24),"")</f>
        <v/>
      </c>
    </row>
    <row r="83" spans="1:11" x14ac:dyDescent="0.2">
      <c r="A83" s="3"/>
      <c r="B83" s="1962" t="str">
        <f>IF(ROW() -5&lt;= MAX(Income!$Z$6:$Z$289),INDEX(Income!$B$6:$Z$289,MATCH(ROW()-5,Income!$Z$6:$Z$289,0),1),"")</f>
        <v/>
      </c>
      <c r="C83" s="1964" t="str">
        <f>IF(ROW() -5&lt;= MAX(Income!$Z$6:$Z$289),INDEX(Income!$B$6:$Z$289,MATCH(ROW()-5,Income!$Z$6:$Z$289,0),2),"")</f>
        <v/>
      </c>
      <c r="D83" s="1962" t="str">
        <f>IF(ROW() -5&lt;= MAX(Income!$Z$6:$Z$289),INDEX(Income!$B$6:$Z$289,MATCH(ROW()-5,Income!$Z$6:$Z$289,0),4),"")</f>
        <v/>
      </c>
      <c r="E83" s="1962" t="str">
        <f>IF(ROW() -5&lt;= MAX(Income!$Z$6:$Z$289),INDEX(Income!$C$6:$Z$289,MATCH(ROW()-5,Income!$Z$6:$Z$289,0),4),"")</f>
        <v/>
      </c>
      <c r="F83" s="1962" t="str">
        <f>IF(ROW() -5&lt;= MAX(Income!$Z$6:$Z$289),INDEX(Income!$D$6:$Z$289,MATCH(ROW()-5,Income!$Z$6:$Z$289,0),4),"")</f>
        <v/>
      </c>
      <c r="G83" s="1962" t="str">
        <f>IF(ROW() -5&lt;= MAX(Income!$Z$6:$Z$289),INDEX(Income!$E$6:$Z$289,MATCH(ROW()-5,Income!$Z$6:$Z$289,0),4),"")</f>
        <v/>
      </c>
      <c r="H83" s="1962" t="str">
        <f>IF(ROW() -5&lt;= MAX(Income!$Z$6:$Z$289),INDEX(Income!$F$6:$Z$289,MATCH(ROW()-5,Income!$Z$6:$Z$289,0),4),"")</f>
        <v/>
      </c>
      <c r="I83" s="3"/>
      <c r="J83" s="3"/>
      <c r="K83" t="str">
        <f>IF(ROW() -5&lt;= MAX(Income!$Z$6:$Z$289),INDEX(Income!$B$6:$Z$289,MATCH(ROW()-5,Income!$Z$6:$Z$289,0),24),"")</f>
        <v/>
      </c>
    </row>
    <row r="84" spans="1:11" x14ac:dyDescent="0.2">
      <c r="A84" s="3"/>
      <c r="B84" s="1962" t="str">
        <f>IF(ROW() -5&lt;= MAX(Income!$Z$6:$Z$289),INDEX(Income!$B$6:$Z$289,MATCH(ROW()-5,Income!$Z$6:$Z$289,0),1),"")</f>
        <v/>
      </c>
      <c r="C84" s="1964" t="str">
        <f>IF(ROW() -5&lt;= MAX(Income!$Z$6:$Z$289),INDEX(Income!$B$6:$Z$289,MATCH(ROW()-5,Income!$Z$6:$Z$289,0),2),"")</f>
        <v/>
      </c>
      <c r="D84" s="1962" t="str">
        <f>IF(ROW() -5&lt;= MAX(Income!$Z$6:$Z$289),INDEX(Income!$B$6:$Z$289,MATCH(ROW()-5,Income!$Z$6:$Z$289,0),4),"")</f>
        <v/>
      </c>
      <c r="E84" s="1962" t="str">
        <f>IF(ROW() -5&lt;= MAX(Income!$Z$6:$Z$289),INDEX(Income!$C$6:$Z$289,MATCH(ROW()-5,Income!$Z$6:$Z$289,0),4),"")</f>
        <v/>
      </c>
      <c r="F84" s="1962" t="str">
        <f>IF(ROW() -5&lt;= MAX(Income!$Z$6:$Z$289),INDEX(Income!$D$6:$Z$289,MATCH(ROW()-5,Income!$Z$6:$Z$289,0),4),"")</f>
        <v/>
      </c>
      <c r="G84" s="1962" t="str">
        <f>IF(ROW() -5&lt;= MAX(Income!$Z$6:$Z$289),INDEX(Income!$E$6:$Z$289,MATCH(ROW()-5,Income!$Z$6:$Z$289,0),4),"")</f>
        <v/>
      </c>
      <c r="H84" s="1962" t="str">
        <f>IF(ROW() -5&lt;= MAX(Income!$Z$6:$Z$289),INDEX(Income!$F$6:$Z$289,MATCH(ROW()-5,Income!$Z$6:$Z$289,0),4),"")</f>
        <v/>
      </c>
      <c r="I84" s="3"/>
      <c r="J84" s="3"/>
      <c r="K84" t="str">
        <f>IF(ROW() -5&lt;= MAX(Income!$Z$6:$Z$289),INDEX(Income!$B$6:$Z$289,MATCH(ROW()-5,Income!$Z$6:$Z$289,0),24),"")</f>
        <v/>
      </c>
    </row>
    <row r="85" spans="1:11" x14ac:dyDescent="0.2">
      <c r="A85" s="3"/>
      <c r="B85" s="1962" t="str">
        <f>IF(ROW() -5&lt;= MAX(Income!$Z$6:$Z$289),INDEX(Income!$B$6:$Z$289,MATCH(ROW()-5,Income!$Z$6:$Z$289,0),1),"")</f>
        <v/>
      </c>
      <c r="C85" s="1964" t="str">
        <f>IF(ROW() -5&lt;= MAX(Income!$Z$6:$Z$289),INDEX(Income!$B$6:$Z$289,MATCH(ROW()-5,Income!$Z$6:$Z$289,0),2),"")</f>
        <v/>
      </c>
      <c r="D85" s="1962" t="str">
        <f>IF(ROW() -5&lt;= MAX(Income!$Z$6:$Z$289),INDEX(Income!$B$6:$Z$289,MATCH(ROW()-5,Income!$Z$6:$Z$289,0),4),"")</f>
        <v/>
      </c>
      <c r="E85" s="1962" t="str">
        <f>IF(ROW() -5&lt;= MAX(Income!$Z$6:$Z$289),INDEX(Income!$C$6:$Z$289,MATCH(ROW()-5,Income!$Z$6:$Z$289,0),4),"")</f>
        <v/>
      </c>
      <c r="F85" s="1962" t="str">
        <f>IF(ROW() -5&lt;= MAX(Income!$Z$6:$Z$289),INDEX(Income!$D$6:$Z$289,MATCH(ROW()-5,Income!$Z$6:$Z$289,0),4),"")</f>
        <v/>
      </c>
      <c r="G85" s="1962" t="str">
        <f>IF(ROW() -5&lt;= MAX(Income!$Z$6:$Z$289),INDEX(Income!$E$6:$Z$289,MATCH(ROW()-5,Income!$Z$6:$Z$289,0),4),"")</f>
        <v/>
      </c>
      <c r="H85" s="1962" t="str">
        <f>IF(ROW() -5&lt;= MAX(Income!$Z$6:$Z$289),INDEX(Income!$F$6:$Z$289,MATCH(ROW()-5,Income!$Z$6:$Z$289,0),4),"")</f>
        <v/>
      </c>
      <c r="I85" s="3"/>
      <c r="J85" s="3"/>
      <c r="K85" t="str">
        <f>IF(ROW() -5&lt;= MAX(Income!$Z$6:$Z$289),INDEX(Income!$B$6:$Z$289,MATCH(ROW()-5,Income!$Z$6:$Z$289,0),24),"")</f>
        <v/>
      </c>
    </row>
    <row r="86" spans="1:11" x14ac:dyDescent="0.2">
      <c r="A86" s="3"/>
      <c r="B86" s="1962" t="str">
        <f>IF(ROW() -5&lt;= MAX(Income!$Z$6:$Z$289),INDEX(Income!$B$6:$Z$289,MATCH(ROW()-5,Income!$Z$6:$Z$289,0),1),"")</f>
        <v/>
      </c>
      <c r="C86" s="1964" t="str">
        <f>IF(ROW() -5&lt;= MAX(Income!$Z$6:$Z$289),INDEX(Income!$B$6:$Z$289,MATCH(ROW()-5,Income!$Z$6:$Z$289,0),2),"")</f>
        <v/>
      </c>
      <c r="D86" s="1962" t="str">
        <f>IF(ROW() -5&lt;= MAX(Income!$Z$6:$Z$289),INDEX(Income!$B$6:$Z$289,MATCH(ROW()-5,Income!$Z$6:$Z$289,0),4),"")</f>
        <v/>
      </c>
      <c r="E86" s="1962" t="str">
        <f>IF(ROW() -5&lt;= MAX(Income!$Z$6:$Z$289),INDEX(Income!$C$6:$Z$289,MATCH(ROW()-5,Income!$Z$6:$Z$289,0),4),"")</f>
        <v/>
      </c>
      <c r="F86" s="1962" t="str">
        <f>IF(ROW() -5&lt;= MAX(Income!$Z$6:$Z$289),INDEX(Income!$D$6:$Z$289,MATCH(ROW()-5,Income!$Z$6:$Z$289,0),4),"")</f>
        <v/>
      </c>
      <c r="G86" s="1962" t="str">
        <f>IF(ROW() -5&lt;= MAX(Income!$Z$6:$Z$289),INDEX(Income!$E$6:$Z$289,MATCH(ROW()-5,Income!$Z$6:$Z$289,0),4),"")</f>
        <v/>
      </c>
      <c r="H86" s="1962" t="str">
        <f>IF(ROW() -5&lt;= MAX(Income!$Z$6:$Z$289),INDEX(Income!$F$6:$Z$289,MATCH(ROW()-5,Income!$Z$6:$Z$289,0),4),"")</f>
        <v/>
      </c>
      <c r="I86" s="3"/>
      <c r="J86" s="3"/>
      <c r="K86" t="str">
        <f>IF(ROW() -5&lt;= MAX(Income!$Z$6:$Z$289),INDEX(Income!$B$6:$Z$289,MATCH(ROW()-5,Income!$Z$6:$Z$289,0),24),"")</f>
        <v/>
      </c>
    </row>
    <row r="87" spans="1:11" x14ac:dyDescent="0.2">
      <c r="A87" s="3"/>
      <c r="B87" s="1962" t="str">
        <f>IF(ROW() -5&lt;= MAX(Income!$Z$6:$Z$289),INDEX(Income!$B$6:$Z$289,MATCH(ROW()-5,Income!$Z$6:$Z$289,0),1),"")</f>
        <v/>
      </c>
      <c r="C87" s="1964" t="str">
        <f>IF(ROW() -5&lt;= MAX(Income!$Z$6:$Z$289),INDEX(Income!$B$6:$Z$289,MATCH(ROW()-5,Income!$Z$6:$Z$289,0),2),"")</f>
        <v/>
      </c>
      <c r="D87" s="1962" t="str">
        <f>IF(ROW() -5&lt;= MAX(Income!$Z$6:$Z$289),INDEX(Income!$B$6:$Z$289,MATCH(ROW()-5,Income!$Z$6:$Z$289,0),4),"")</f>
        <v/>
      </c>
      <c r="E87" s="1962" t="str">
        <f>IF(ROW() -5&lt;= MAX(Income!$Z$6:$Z$289),INDEX(Income!$C$6:$Z$289,MATCH(ROW()-5,Income!$Z$6:$Z$289,0),4),"")</f>
        <v/>
      </c>
      <c r="F87" s="1962" t="str">
        <f>IF(ROW() -5&lt;= MAX(Income!$Z$6:$Z$289),INDEX(Income!$D$6:$Z$289,MATCH(ROW()-5,Income!$Z$6:$Z$289,0),4),"")</f>
        <v/>
      </c>
      <c r="G87" s="1962" t="str">
        <f>IF(ROW() -5&lt;= MAX(Income!$Z$6:$Z$289),INDEX(Income!$E$6:$Z$289,MATCH(ROW()-5,Income!$Z$6:$Z$289,0),4),"")</f>
        <v/>
      </c>
      <c r="H87" s="1962" t="str">
        <f>IF(ROW() -5&lt;= MAX(Income!$Z$6:$Z$289),INDEX(Income!$F$6:$Z$289,MATCH(ROW()-5,Income!$Z$6:$Z$289,0),4),"")</f>
        <v/>
      </c>
      <c r="I87" s="3"/>
      <c r="J87" s="3"/>
      <c r="K87" t="str">
        <f>IF(ROW() -5&lt;= MAX(Income!$Z$6:$Z$289),INDEX(Income!$B$6:$Z$289,MATCH(ROW()-5,Income!$Z$6:$Z$289,0),24),"")</f>
        <v/>
      </c>
    </row>
    <row r="88" spans="1:11" x14ac:dyDescent="0.2">
      <c r="A88" s="3"/>
      <c r="B88" s="1962" t="str">
        <f>IF(ROW() -5&lt;= MAX(Income!$Z$6:$Z$289),INDEX(Income!$B$6:$Z$289,MATCH(ROW()-5,Income!$Z$6:$Z$289,0),1),"")</f>
        <v/>
      </c>
      <c r="C88" s="1964" t="str">
        <f>IF(ROW() -5&lt;= MAX(Income!$Z$6:$Z$289),INDEX(Income!$B$6:$Z$289,MATCH(ROW()-5,Income!$Z$6:$Z$289,0),2),"")</f>
        <v/>
      </c>
      <c r="D88" s="1962" t="str">
        <f>IF(ROW() -5&lt;= MAX(Income!$Z$6:$Z$289),INDEX(Income!$B$6:$Z$289,MATCH(ROW()-5,Income!$Z$6:$Z$289,0),4),"")</f>
        <v/>
      </c>
      <c r="E88" s="1962" t="str">
        <f>IF(ROW() -5&lt;= MAX(Income!$Z$6:$Z$289),INDEX(Income!$C$6:$Z$289,MATCH(ROW()-5,Income!$Z$6:$Z$289,0),4),"")</f>
        <v/>
      </c>
      <c r="F88" s="1962" t="str">
        <f>IF(ROW() -5&lt;= MAX(Income!$Z$6:$Z$289),INDEX(Income!$D$6:$Z$289,MATCH(ROW()-5,Income!$Z$6:$Z$289,0),4),"")</f>
        <v/>
      </c>
      <c r="G88" s="1962" t="str">
        <f>IF(ROW() -5&lt;= MAX(Income!$Z$6:$Z$289),INDEX(Income!$E$6:$Z$289,MATCH(ROW()-5,Income!$Z$6:$Z$289,0),4),"")</f>
        <v/>
      </c>
      <c r="H88" s="1962" t="str">
        <f>IF(ROW() -5&lt;= MAX(Income!$Z$6:$Z$289),INDEX(Income!$F$6:$Z$289,MATCH(ROW()-5,Income!$Z$6:$Z$289,0),4),"")</f>
        <v/>
      </c>
      <c r="I88" s="3"/>
      <c r="J88" s="3"/>
      <c r="K88" t="str">
        <f>IF(ROW() -5&lt;= MAX(Income!$Z$6:$Z$289),INDEX(Income!$B$6:$Z$289,MATCH(ROW()-5,Income!$Z$6:$Z$289,0),24),"")</f>
        <v/>
      </c>
    </row>
    <row r="89" spans="1:11" x14ac:dyDescent="0.2">
      <c r="A89" s="3"/>
      <c r="B89" s="1962" t="str">
        <f>IF(ROW() -5&lt;= MAX(Income!$Z$6:$Z$289),INDEX(Income!$B$6:$Z$289,MATCH(ROW()-5,Income!$Z$6:$Z$289,0),1),"")</f>
        <v/>
      </c>
      <c r="C89" s="1964" t="str">
        <f>IF(ROW() -5&lt;= MAX(Income!$Z$6:$Z$289),INDEX(Income!$B$6:$Z$289,MATCH(ROW()-5,Income!$Z$6:$Z$289,0),2),"")</f>
        <v/>
      </c>
      <c r="D89" s="1962" t="str">
        <f>IF(ROW() -5&lt;= MAX(Income!$Z$6:$Z$289),INDEX(Income!$B$6:$Z$289,MATCH(ROW()-5,Income!$Z$6:$Z$289,0),4),"")</f>
        <v/>
      </c>
      <c r="E89" s="1962" t="str">
        <f>IF(ROW() -5&lt;= MAX(Income!$Z$6:$Z$289),INDEX(Income!$C$6:$Z$289,MATCH(ROW()-5,Income!$Z$6:$Z$289,0),4),"")</f>
        <v/>
      </c>
      <c r="F89" s="1962" t="str">
        <f>IF(ROW() -5&lt;= MAX(Income!$Z$6:$Z$289),INDEX(Income!$D$6:$Z$289,MATCH(ROW()-5,Income!$Z$6:$Z$289,0),4),"")</f>
        <v/>
      </c>
      <c r="G89" s="1962" t="str">
        <f>IF(ROW() -5&lt;= MAX(Income!$Z$6:$Z$289),INDEX(Income!$E$6:$Z$289,MATCH(ROW()-5,Income!$Z$6:$Z$289,0),4),"")</f>
        <v/>
      </c>
      <c r="H89" s="1962" t="str">
        <f>IF(ROW() -5&lt;= MAX(Income!$Z$6:$Z$289),INDEX(Income!$F$6:$Z$289,MATCH(ROW()-5,Income!$Z$6:$Z$289,0),4),"")</f>
        <v/>
      </c>
      <c r="I89" s="3"/>
      <c r="J89" s="3"/>
      <c r="K89" t="str">
        <f>IF(ROW() -5&lt;= MAX(Income!$Z$6:$Z$289),INDEX(Income!$B$6:$Z$289,MATCH(ROW()-5,Income!$Z$6:$Z$289,0),24),"")</f>
        <v/>
      </c>
    </row>
    <row r="90" spans="1:11" x14ac:dyDescent="0.2">
      <c r="A90" s="3"/>
      <c r="B90" s="1962" t="str">
        <f>IF(ROW() -5&lt;= MAX(Income!$Z$6:$Z$289),INDEX(Income!$B$6:$Z$289,MATCH(ROW()-5,Income!$Z$6:$Z$289,0),1),"")</f>
        <v/>
      </c>
      <c r="C90" s="1964" t="str">
        <f>IF(ROW() -5&lt;= MAX(Income!$Z$6:$Z$289),INDEX(Income!$B$6:$Z$289,MATCH(ROW()-5,Income!$Z$6:$Z$289,0),2),"")</f>
        <v/>
      </c>
      <c r="D90" s="1962" t="str">
        <f>IF(ROW() -5&lt;= MAX(Income!$Z$6:$Z$289),INDEX(Income!$B$6:$Z$289,MATCH(ROW()-5,Income!$Z$6:$Z$289,0),4),"")</f>
        <v/>
      </c>
      <c r="E90" s="1962" t="str">
        <f>IF(ROW() -5&lt;= MAX(Income!$Z$6:$Z$289),INDEX(Income!$C$6:$Z$289,MATCH(ROW()-5,Income!$Z$6:$Z$289,0),4),"")</f>
        <v/>
      </c>
      <c r="F90" s="1962" t="str">
        <f>IF(ROW() -5&lt;= MAX(Income!$Z$6:$Z$289),INDEX(Income!$D$6:$Z$289,MATCH(ROW()-5,Income!$Z$6:$Z$289,0),4),"")</f>
        <v/>
      </c>
      <c r="G90" s="1962" t="str">
        <f>IF(ROW() -5&lt;= MAX(Income!$Z$6:$Z$289),INDEX(Income!$E$6:$Z$289,MATCH(ROW()-5,Income!$Z$6:$Z$289,0),4),"")</f>
        <v/>
      </c>
      <c r="H90" s="1962" t="str">
        <f>IF(ROW() -5&lt;= MAX(Income!$Z$6:$Z$289),INDEX(Income!$F$6:$Z$289,MATCH(ROW()-5,Income!$Z$6:$Z$289,0),4),"")</f>
        <v/>
      </c>
      <c r="I90" s="3"/>
      <c r="J90" s="3"/>
      <c r="K90" t="str">
        <f>IF(ROW() -5&lt;= MAX(Income!$Z$6:$Z$289),INDEX(Income!$B$6:$Z$289,MATCH(ROW()-5,Income!$Z$6:$Z$289,0),24),"")</f>
        <v/>
      </c>
    </row>
    <row r="91" spans="1:11" x14ac:dyDescent="0.2">
      <c r="A91" s="3"/>
      <c r="B91" s="1962" t="str">
        <f>IF(ROW() -5&lt;= MAX(Income!$Z$6:$Z$289),INDEX(Income!$B$6:$Z$289,MATCH(ROW()-5,Income!$Z$6:$Z$289,0),1),"")</f>
        <v/>
      </c>
      <c r="C91" s="1964" t="str">
        <f>IF(ROW() -5&lt;= MAX(Income!$Z$6:$Z$289),INDEX(Income!$B$6:$Z$289,MATCH(ROW()-5,Income!$Z$6:$Z$289,0),2),"")</f>
        <v/>
      </c>
      <c r="D91" s="1962" t="str">
        <f>IF(ROW() -5&lt;= MAX(Income!$Z$6:$Z$289),INDEX(Income!$B$6:$Z$289,MATCH(ROW()-5,Income!$Z$6:$Z$289,0),4),"")</f>
        <v/>
      </c>
      <c r="E91" s="1962" t="str">
        <f>IF(ROW() -5&lt;= MAX(Income!$Z$6:$Z$289),INDEX(Income!$C$6:$Z$289,MATCH(ROW()-5,Income!$Z$6:$Z$289,0),4),"")</f>
        <v/>
      </c>
      <c r="F91" s="1962" t="str">
        <f>IF(ROW() -5&lt;= MAX(Income!$Z$6:$Z$289),INDEX(Income!$D$6:$Z$289,MATCH(ROW()-5,Income!$Z$6:$Z$289,0),4),"")</f>
        <v/>
      </c>
      <c r="G91" s="1962" t="str">
        <f>IF(ROW() -5&lt;= MAX(Income!$Z$6:$Z$289),INDEX(Income!$E$6:$Z$289,MATCH(ROW()-5,Income!$Z$6:$Z$289,0),4),"")</f>
        <v/>
      </c>
      <c r="H91" s="1962" t="str">
        <f>IF(ROW() -5&lt;= MAX(Income!$Z$6:$Z$289),INDEX(Income!$F$6:$Z$289,MATCH(ROW()-5,Income!$Z$6:$Z$289,0),4),"")</f>
        <v/>
      </c>
      <c r="I91" s="3"/>
      <c r="J91" s="3"/>
      <c r="K91" t="str">
        <f>IF(ROW() -5&lt;= MAX(Income!$Z$6:$Z$289),INDEX(Income!$B$6:$Z$289,MATCH(ROW()-5,Income!$Z$6:$Z$289,0),24),"")</f>
        <v/>
      </c>
    </row>
    <row r="92" spans="1:11" x14ac:dyDescent="0.2">
      <c r="A92" s="3"/>
      <c r="B92" s="1962" t="str">
        <f>IF(ROW() -5&lt;= MAX(Income!$Z$6:$Z$289),INDEX(Income!$B$6:$Z$289,MATCH(ROW()-5,Income!$Z$6:$Z$289,0),1),"")</f>
        <v/>
      </c>
      <c r="C92" s="1964" t="str">
        <f>IF(ROW() -5&lt;= MAX(Income!$Z$6:$Z$289),INDEX(Income!$B$6:$Z$289,MATCH(ROW()-5,Income!$Z$6:$Z$289,0),2),"")</f>
        <v/>
      </c>
      <c r="D92" s="1962" t="str">
        <f>IF(ROW() -5&lt;= MAX(Income!$Z$6:$Z$289),INDEX(Income!$B$6:$Z$289,MATCH(ROW()-5,Income!$Z$6:$Z$289,0),4),"")</f>
        <v/>
      </c>
      <c r="E92" s="1962" t="str">
        <f>IF(ROW() -5&lt;= MAX(Income!$Z$6:$Z$289),INDEX(Income!$C$6:$Z$289,MATCH(ROW()-5,Income!$Z$6:$Z$289,0),4),"")</f>
        <v/>
      </c>
      <c r="F92" s="1962" t="str">
        <f>IF(ROW() -5&lt;= MAX(Income!$Z$6:$Z$289),INDEX(Income!$D$6:$Z$289,MATCH(ROW()-5,Income!$Z$6:$Z$289,0),4),"")</f>
        <v/>
      </c>
      <c r="G92" s="1962" t="str">
        <f>IF(ROW() -5&lt;= MAX(Income!$Z$6:$Z$289),INDEX(Income!$E$6:$Z$289,MATCH(ROW()-5,Income!$Z$6:$Z$289,0),4),"")</f>
        <v/>
      </c>
      <c r="H92" s="1962" t="str">
        <f>IF(ROW() -5&lt;= MAX(Income!$Z$6:$Z$289),INDEX(Income!$F$6:$Z$289,MATCH(ROW()-5,Income!$Z$6:$Z$289,0),4),"")</f>
        <v/>
      </c>
      <c r="I92" s="3"/>
      <c r="J92" s="3"/>
      <c r="K92" t="str">
        <f>IF(ROW() -5&lt;= MAX(Income!$Z$6:$Z$289),INDEX(Income!$B$6:$Z$289,MATCH(ROW()-5,Income!$Z$6:$Z$289,0),24),"")</f>
        <v/>
      </c>
    </row>
    <row r="93" spans="1:11" x14ac:dyDescent="0.2">
      <c r="A93" s="3"/>
      <c r="B93" s="1962" t="str">
        <f>IF(ROW() -5&lt;= MAX(Income!$Z$6:$Z$289),INDEX(Income!$B$6:$Z$289,MATCH(ROW()-5,Income!$Z$6:$Z$289,0),1),"")</f>
        <v/>
      </c>
      <c r="C93" s="1964" t="str">
        <f>IF(ROW() -5&lt;= MAX(Income!$Z$6:$Z$289),INDEX(Income!$B$6:$Z$289,MATCH(ROW()-5,Income!$Z$6:$Z$289,0),2),"")</f>
        <v/>
      </c>
      <c r="D93" s="1962" t="str">
        <f>IF(ROW() -5&lt;= MAX(Income!$Z$6:$Z$289),INDEX(Income!$B$6:$Z$289,MATCH(ROW()-5,Income!$Z$6:$Z$289,0),4),"")</f>
        <v/>
      </c>
      <c r="E93" s="1962" t="str">
        <f>IF(ROW() -5&lt;= MAX(Income!$Z$6:$Z$289),INDEX(Income!$C$6:$Z$289,MATCH(ROW()-5,Income!$Z$6:$Z$289,0),4),"")</f>
        <v/>
      </c>
      <c r="F93" s="1962" t="str">
        <f>IF(ROW() -5&lt;= MAX(Income!$Z$6:$Z$289),INDEX(Income!$D$6:$Z$289,MATCH(ROW()-5,Income!$Z$6:$Z$289,0),4),"")</f>
        <v/>
      </c>
      <c r="G93" s="1962" t="str">
        <f>IF(ROW() -5&lt;= MAX(Income!$Z$6:$Z$289),INDEX(Income!$E$6:$Z$289,MATCH(ROW()-5,Income!$Z$6:$Z$289,0),4),"")</f>
        <v/>
      </c>
      <c r="H93" s="1962" t="str">
        <f>IF(ROW() -5&lt;= MAX(Income!$Z$6:$Z$289),INDEX(Income!$F$6:$Z$289,MATCH(ROW()-5,Income!$Z$6:$Z$289,0),4),"")</f>
        <v/>
      </c>
      <c r="I93" s="3"/>
      <c r="J93" s="3"/>
      <c r="K93" t="str">
        <f>IF(ROW() -5&lt;= MAX(Income!$Z$6:$Z$289),INDEX(Income!$B$6:$Z$289,MATCH(ROW()-5,Income!$Z$6:$Z$289,0),24),"")</f>
        <v/>
      </c>
    </row>
    <row r="94" spans="1:11" x14ac:dyDescent="0.2">
      <c r="A94" s="3"/>
      <c r="B94" s="1962" t="str">
        <f>IF(ROW() -5&lt;= MAX(Income!$Z$6:$Z$289),INDEX(Income!$B$6:$Z$289,MATCH(ROW()-5,Income!$Z$6:$Z$289,0),1),"")</f>
        <v/>
      </c>
      <c r="C94" s="1964" t="str">
        <f>IF(ROW() -5&lt;= MAX(Income!$Z$6:$Z$289),INDEX(Income!$B$6:$Z$289,MATCH(ROW()-5,Income!$Z$6:$Z$289,0),2),"")</f>
        <v/>
      </c>
      <c r="D94" s="1962" t="str">
        <f>IF(ROW() -5&lt;= MAX(Income!$Z$6:$Z$289),INDEX(Income!$B$6:$Z$289,MATCH(ROW()-5,Income!$Z$6:$Z$289,0),4),"")</f>
        <v/>
      </c>
      <c r="E94" s="1962" t="str">
        <f>IF(ROW() -5&lt;= MAX(Income!$Z$6:$Z$289),INDEX(Income!$C$6:$Z$289,MATCH(ROW()-5,Income!$Z$6:$Z$289,0),4),"")</f>
        <v/>
      </c>
      <c r="F94" s="1962" t="str">
        <f>IF(ROW() -5&lt;= MAX(Income!$Z$6:$Z$289),INDEX(Income!$D$6:$Z$289,MATCH(ROW()-5,Income!$Z$6:$Z$289,0),4),"")</f>
        <v/>
      </c>
      <c r="G94" s="1962" t="str">
        <f>IF(ROW() -5&lt;= MAX(Income!$Z$6:$Z$289),INDEX(Income!$E$6:$Z$289,MATCH(ROW()-5,Income!$Z$6:$Z$289,0),4),"")</f>
        <v/>
      </c>
      <c r="H94" s="1962" t="str">
        <f>IF(ROW() -5&lt;= MAX(Income!$Z$6:$Z$289),INDEX(Income!$F$6:$Z$289,MATCH(ROW()-5,Income!$Z$6:$Z$289,0),4),"")</f>
        <v/>
      </c>
      <c r="I94" s="3"/>
      <c r="J94" s="3"/>
      <c r="K94" t="str">
        <f>IF(ROW() -5&lt;= MAX(Income!$Z$6:$Z$289),INDEX(Income!$B$6:$Z$289,MATCH(ROW()-5,Income!$Z$6:$Z$289,0),24),"")</f>
        <v/>
      </c>
    </row>
    <row r="95" spans="1:11" x14ac:dyDescent="0.2">
      <c r="A95" s="3"/>
      <c r="B95" s="1962" t="str">
        <f>IF(ROW() -5&lt;= MAX(Income!$Z$6:$Z$289),INDEX(Income!$B$6:$Z$289,MATCH(ROW()-5,Income!$Z$6:$Z$289,0),1),"")</f>
        <v/>
      </c>
      <c r="C95" s="1964" t="str">
        <f>IF(ROW() -5&lt;= MAX(Income!$Z$6:$Z$289),INDEX(Income!$B$6:$Z$289,MATCH(ROW()-5,Income!$Z$6:$Z$289,0),2),"")</f>
        <v/>
      </c>
      <c r="D95" s="1962" t="str">
        <f>IF(ROW() -5&lt;= MAX(Income!$Z$6:$Z$289),INDEX(Income!$B$6:$Z$289,MATCH(ROW()-5,Income!$Z$6:$Z$289,0),4),"")</f>
        <v/>
      </c>
      <c r="E95" s="1962" t="str">
        <f>IF(ROW() -5&lt;= MAX(Income!$Z$6:$Z$289),INDEX(Income!$C$6:$Z$289,MATCH(ROW()-5,Income!$Z$6:$Z$289,0),4),"")</f>
        <v/>
      </c>
      <c r="F95" s="1962" t="str">
        <f>IF(ROW() -5&lt;= MAX(Income!$Z$6:$Z$289),INDEX(Income!$D$6:$Z$289,MATCH(ROW()-5,Income!$Z$6:$Z$289,0),4),"")</f>
        <v/>
      </c>
      <c r="G95" s="1962" t="str">
        <f>IF(ROW() -5&lt;= MAX(Income!$Z$6:$Z$289),INDEX(Income!$E$6:$Z$289,MATCH(ROW()-5,Income!$Z$6:$Z$289,0),4),"")</f>
        <v/>
      </c>
      <c r="H95" s="1962" t="str">
        <f>IF(ROW() -5&lt;= MAX(Income!$Z$6:$Z$289),INDEX(Income!$F$6:$Z$289,MATCH(ROW()-5,Income!$Z$6:$Z$289,0),4),"")</f>
        <v/>
      </c>
      <c r="I95" s="3"/>
      <c r="J95" s="3"/>
      <c r="K95" t="str">
        <f>IF(ROW() -5&lt;= MAX(Income!$Z$6:$Z$289),INDEX(Income!$B$6:$Z$289,MATCH(ROW()-5,Income!$Z$6:$Z$289,0),24),"")</f>
        <v/>
      </c>
    </row>
    <row r="96" spans="1:11" x14ac:dyDescent="0.2">
      <c r="A96" s="3"/>
      <c r="B96" s="1962" t="str">
        <f>IF(ROW() -5&lt;= MAX(Income!$Z$6:$Z$289),INDEX(Income!$B$6:$Z$289,MATCH(ROW()-5,Income!$Z$6:$Z$289,0),1),"")</f>
        <v/>
      </c>
      <c r="C96" s="1964" t="str">
        <f>IF(ROW() -5&lt;= MAX(Income!$Z$6:$Z$289),INDEX(Income!$B$6:$Z$289,MATCH(ROW()-5,Income!$Z$6:$Z$289,0),2),"")</f>
        <v/>
      </c>
      <c r="D96" s="1962" t="str">
        <f>IF(ROW() -5&lt;= MAX(Income!$Z$6:$Z$289),INDEX(Income!$B$6:$Z$289,MATCH(ROW()-5,Income!$Z$6:$Z$289,0),4),"")</f>
        <v/>
      </c>
      <c r="E96" s="1962" t="str">
        <f>IF(ROW() -5&lt;= MAX(Income!$Z$6:$Z$289),INDEX(Income!$C$6:$Z$289,MATCH(ROW()-5,Income!$Z$6:$Z$289,0),4),"")</f>
        <v/>
      </c>
      <c r="F96" s="1962" t="str">
        <f>IF(ROW() -5&lt;= MAX(Income!$Z$6:$Z$289),INDEX(Income!$D$6:$Z$289,MATCH(ROW()-5,Income!$Z$6:$Z$289,0),4),"")</f>
        <v/>
      </c>
      <c r="G96" s="1962" t="str">
        <f>IF(ROW() -5&lt;= MAX(Income!$Z$6:$Z$289),INDEX(Income!$E$6:$Z$289,MATCH(ROW()-5,Income!$Z$6:$Z$289,0),4),"")</f>
        <v/>
      </c>
      <c r="H96" s="1962" t="str">
        <f>IF(ROW() -5&lt;= MAX(Income!$Z$6:$Z$289),INDEX(Income!$F$6:$Z$289,MATCH(ROW()-5,Income!$Z$6:$Z$289,0),4),"")</f>
        <v/>
      </c>
      <c r="I96" s="3"/>
      <c r="J96" s="3"/>
      <c r="K96" t="str">
        <f>IF(ROW() -5&lt;= MAX(Income!$Z$6:$Z$289),INDEX(Income!$B$6:$Z$289,MATCH(ROW()-5,Income!$Z$6:$Z$289,0),24),"")</f>
        <v/>
      </c>
    </row>
    <row r="97" spans="1:11" x14ac:dyDescent="0.2">
      <c r="A97" s="3"/>
      <c r="B97" s="1962" t="str">
        <f>IF(ROW() -5&lt;= MAX(Income!$Z$6:$Z$289),INDEX(Income!$B$6:$Z$289,MATCH(ROW()-5,Income!$Z$6:$Z$289,0),1),"")</f>
        <v/>
      </c>
      <c r="C97" s="1964" t="str">
        <f>IF(ROW() -5&lt;= MAX(Income!$Z$6:$Z$289),INDEX(Income!$B$6:$Z$289,MATCH(ROW()-5,Income!$Z$6:$Z$289,0),2),"")</f>
        <v/>
      </c>
      <c r="D97" s="1962" t="str">
        <f>IF(ROW() -5&lt;= MAX(Income!$Z$6:$Z$289),INDEX(Income!$B$6:$Z$289,MATCH(ROW()-5,Income!$Z$6:$Z$289,0),4),"")</f>
        <v/>
      </c>
      <c r="E97" s="1962" t="str">
        <f>IF(ROW() -5&lt;= MAX(Income!$Z$6:$Z$289),INDEX(Income!$C$6:$Z$289,MATCH(ROW()-5,Income!$Z$6:$Z$289,0),4),"")</f>
        <v/>
      </c>
      <c r="F97" s="1962" t="str">
        <f>IF(ROW() -5&lt;= MAX(Income!$Z$6:$Z$289),INDEX(Income!$D$6:$Z$289,MATCH(ROW()-5,Income!$Z$6:$Z$289,0),4),"")</f>
        <v/>
      </c>
      <c r="G97" s="1962" t="str">
        <f>IF(ROW() -5&lt;= MAX(Income!$Z$6:$Z$289),INDEX(Income!$E$6:$Z$289,MATCH(ROW()-5,Income!$Z$6:$Z$289,0),4),"")</f>
        <v/>
      </c>
      <c r="H97" s="1962" t="str">
        <f>IF(ROW() -5&lt;= MAX(Income!$Z$6:$Z$289),INDEX(Income!$F$6:$Z$289,MATCH(ROW()-5,Income!$Z$6:$Z$289,0),4),"")</f>
        <v/>
      </c>
      <c r="I97" s="3"/>
      <c r="J97" s="3"/>
      <c r="K97" t="str">
        <f>IF(ROW() -5&lt;= MAX(Income!$Z$6:$Z$289),INDEX(Income!$B$6:$Z$289,MATCH(ROW()-5,Income!$Z$6:$Z$289,0),24),"")</f>
        <v/>
      </c>
    </row>
    <row r="98" spans="1:11" x14ac:dyDescent="0.2">
      <c r="A98" s="3"/>
      <c r="B98" s="1962" t="str">
        <f>IF(ROW() -5&lt;= MAX(Income!$Z$6:$Z$289),INDEX(Income!$B$6:$Z$289,MATCH(ROW()-5,Income!$Z$6:$Z$289,0),1),"")</f>
        <v/>
      </c>
      <c r="C98" s="1964" t="str">
        <f>IF(ROW() -5&lt;= MAX(Income!$Z$6:$Z$289),INDEX(Income!$B$6:$Z$289,MATCH(ROW()-5,Income!$Z$6:$Z$289,0),2),"")</f>
        <v/>
      </c>
      <c r="D98" s="1962" t="str">
        <f>IF(ROW() -5&lt;= MAX(Income!$Z$6:$Z$289),INDEX(Income!$B$6:$Z$289,MATCH(ROW()-5,Income!$Z$6:$Z$289,0),4),"")</f>
        <v/>
      </c>
      <c r="E98" s="1962" t="str">
        <f>IF(ROW() -5&lt;= MAX(Income!$Z$6:$Z$289),INDEX(Income!$C$6:$Z$289,MATCH(ROW()-5,Income!$Z$6:$Z$289,0),4),"")</f>
        <v/>
      </c>
      <c r="F98" s="1962" t="str">
        <f>IF(ROW() -5&lt;= MAX(Income!$Z$6:$Z$289),INDEX(Income!$D$6:$Z$289,MATCH(ROW()-5,Income!$Z$6:$Z$289,0),4),"")</f>
        <v/>
      </c>
      <c r="G98" s="1962" t="str">
        <f>IF(ROW() -5&lt;= MAX(Income!$Z$6:$Z$289),INDEX(Income!$E$6:$Z$289,MATCH(ROW()-5,Income!$Z$6:$Z$289,0),4),"")</f>
        <v/>
      </c>
      <c r="H98" s="1962" t="str">
        <f>IF(ROW() -5&lt;= MAX(Income!$Z$6:$Z$289),INDEX(Income!$F$6:$Z$289,MATCH(ROW()-5,Income!$Z$6:$Z$289,0),4),"")</f>
        <v/>
      </c>
      <c r="I98" s="3"/>
      <c r="J98" s="3"/>
      <c r="K98" t="str">
        <f>IF(ROW() -5&lt;= MAX(Income!$Z$6:$Z$289),INDEX(Income!$B$6:$Z$289,MATCH(ROW()-5,Income!$Z$6:$Z$289,0),24),"")</f>
        <v/>
      </c>
    </row>
    <row r="99" spans="1:11" x14ac:dyDescent="0.2">
      <c r="A99" s="3"/>
      <c r="B99" s="1962" t="str">
        <f>IF(ROW() -5&lt;= MAX(Income!$Z$6:$Z$289),INDEX(Income!$B$6:$Z$289,MATCH(ROW()-5,Income!$Z$6:$Z$289,0),1),"")</f>
        <v/>
      </c>
      <c r="C99" s="1964" t="str">
        <f>IF(ROW() -5&lt;= MAX(Income!$Z$6:$Z$289),INDEX(Income!$B$6:$Z$289,MATCH(ROW()-5,Income!$Z$6:$Z$289,0),2),"")</f>
        <v/>
      </c>
      <c r="D99" s="1962" t="str">
        <f>IF(ROW() -5&lt;= MAX(Income!$Z$6:$Z$289),INDEX(Income!$B$6:$Z$289,MATCH(ROW()-5,Income!$Z$6:$Z$289,0),4),"")</f>
        <v/>
      </c>
      <c r="E99" s="1962" t="str">
        <f>IF(ROW() -5&lt;= MAX(Income!$Z$6:$Z$289),INDEX(Income!$C$6:$Z$289,MATCH(ROW()-5,Income!$Z$6:$Z$289,0),4),"")</f>
        <v/>
      </c>
      <c r="F99" s="1962" t="str">
        <f>IF(ROW() -5&lt;= MAX(Income!$Z$6:$Z$289),INDEX(Income!$D$6:$Z$289,MATCH(ROW()-5,Income!$Z$6:$Z$289,0),4),"")</f>
        <v/>
      </c>
      <c r="G99" s="1962" t="str">
        <f>IF(ROW() -5&lt;= MAX(Income!$Z$6:$Z$289),INDEX(Income!$E$6:$Z$289,MATCH(ROW()-5,Income!$Z$6:$Z$289,0),4),"")</f>
        <v/>
      </c>
      <c r="H99" s="1962" t="str">
        <f>IF(ROW() -5&lt;= MAX(Income!$Z$6:$Z$289),INDEX(Income!$F$6:$Z$289,MATCH(ROW()-5,Income!$Z$6:$Z$289,0),4),"")</f>
        <v/>
      </c>
      <c r="I99" s="3"/>
      <c r="J99" s="3"/>
      <c r="K99" t="str">
        <f>IF(ROW() -5&lt;= MAX(Income!$Z$6:$Z$289),INDEX(Income!$B$6:$Z$289,MATCH(ROW()-5,Income!$Z$6:$Z$289,0),24),"")</f>
        <v/>
      </c>
    </row>
    <row r="100" spans="1:11" x14ac:dyDescent="0.2">
      <c r="A100" s="3"/>
      <c r="B100" s="1962" t="str">
        <f>IF(ROW() -5&lt;= MAX(Income!$Z$6:$Z$289),INDEX(Income!$B$6:$Z$289,MATCH(ROW()-5,Income!$Z$6:$Z$289,0),1),"")</f>
        <v/>
      </c>
      <c r="C100" s="1964" t="str">
        <f>IF(ROW() -5&lt;= MAX(Income!$Z$6:$Z$289),INDEX(Income!$B$6:$Z$289,MATCH(ROW()-5,Income!$Z$6:$Z$289,0),2),"")</f>
        <v/>
      </c>
      <c r="D100" s="1962" t="str">
        <f>IF(ROW() -5&lt;= MAX(Income!$Z$6:$Z$289),INDEX(Income!$B$6:$Z$289,MATCH(ROW()-5,Income!$Z$6:$Z$289,0),4),"")</f>
        <v/>
      </c>
      <c r="E100" s="1962" t="str">
        <f>IF(ROW() -5&lt;= MAX(Income!$Z$6:$Z$289),INDEX(Income!$C$6:$Z$289,MATCH(ROW()-5,Income!$Z$6:$Z$289,0),4),"")</f>
        <v/>
      </c>
      <c r="F100" s="1962" t="str">
        <f>IF(ROW() -5&lt;= MAX(Income!$Z$6:$Z$289),INDEX(Income!$D$6:$Z$289,MATCH(ROW()-5,Income!$Z$6:$Z$289,0),4),"")</f>
        <v/>
      </c>
      <c r="G100" s="1962" t="str">
        <f>IF(ROW() -5&lt;= MAX(Income!$Z$6:$Z$289),INDEX(Income!$E$6:$Z$289,MATCH(ROW()-5,Income!$Z$6:$Z$289,0),4),"")</f>
        <v/>
      </c>
      <c r="H100" s="1962" t="str">
        <f>IF(ROW() -5&lt;= MAX(Income!$Z$6:$Z$289),INDEX(Income!$F$6:$Z$289,MATCH(ROW()-5,Income!$Z$6:$Z$289,0),4),"")</f>
        <v/>
      </c>
      <c r="I100" s="3"/>
      <c r="J100" s="3"/>
      <c r="K100" t="str">
        <f>IF(ROW() -5&lt;= MAX(Income!$Z$6:$Z$289),INDEX(Income!$B$6:$Z$289,MATCH(ROW()-5,Income!$Z$6:$Z$289,0),24),"")</f>
        <v/>
      </c>
    </row>
    <row r="101" spans="1:11" x14ac:dyDescent="0.2">
      <c r="A101" s="3"/>
      <c r="B101" s="1962" t="str">
        <f>IF(ROW() -5&lt;= MAX(Income!$Z$6:$Z$289),INDEX(Income!$B$6:$Z$289,MATCH(ROW()-5,Income!$Z$6:$Z$289,0),1),"")</f>
        <v/>
      </c>
      <c r="C101" s="1964" t="str">
        <f>IF(ROW() -5&lt;= MAX(Income!$Z$6:$Z$289),INDEX(Income!$B$6:$Z$289,MATCH(ROW()-5,Income!$Z$6:$Z$289,0),2),"")</f>
        <v/>
      </c>
      <c r="D101" s="1962" t="str">
        <f>IF(ROW() -5&lt;= MAX(Income!$Z$6:$Z$289),INDEX(Income!$B$6:$Z$289,MATCH(ROW()-5,Income!$Z$6:$Z$289,0),4),"")</f>
        <v/>
      </c>
      <c r="E101" s="1962" t="str">
        <f>IF(ROW() -5&lt;= MAX(Income!$Z$6:$Z$289),INDEX(Income!$C$6:$Z$289,MATCH(ROW()-5,Income!$Z$6:$Z$289,0),4),"")</f>
        <v/>
      </c>
      <c r="F101" s="1962" t="str">
        <f>IF(ROW() -5&lt;= MAX(Income!$Z$6:$Z$289),INDEX(Income!$D$6:$Z$289,MATCH(ROW()-5,Income!$Z$6:$Z$289,0),4),"")</f>
        <v/>
      </c>
      <c r="G101" s="1962" t="str">
        <f>IF(ROW() -5&lt;= MAX(Income!$Z$6:$Z$289),INDEX(Income!$E$6:$Z$289,MATCH(ROW()-5,Income!$Z$6:$Z$289,0),4),"")</f>
        <v/>
      </c>
      <c r="H101" s="1962" t="str">
        <f>IF(ROW() -5&lt;= MAX(Income!$Z$6:$Z$289),INDEX(Income!$F$6:$Z$289,MATCH(ROW()-5,Income!$Z$6:$Z$289,0),4),"")</f>
        <v/>
      </c>
      <c r="I101" s="3"/>
      <c r="J101" s="3"/>
      <c r="K101" t="str">
        <f>IF(ROW() -5&lt;= MAX(Income!$Z$6:$Z$289),INDEX(Income!$B$6:$Z$289,MATCH(ROW()-5,Income!$Z$6:$Z$289,0),24),"")</f>
        <v/>
      </c>
    </row>
    <row r="102" spans="1:11" x14ac:dyDescent="0.2">
      <c r="A102" s="3"/>
      <c r="B102" s="1962" t="str">
        <f>IF(ROW() -5&lt;= MAX(Income!$Z$6:$Z$289),INDEX(Income!$B$6:$Z$289,MATCH(ROW()-5,Income!$Z$6:$Z$289,0),1),"")</f>
        <v/>
      </c>
      <c r="C102" s="1964" t="str">
        <f>IF(ROW() -5&lt;= MAX(Income!$Z$6:$Z$289),INDEX(Income!$B$6:$Z$289,MATCH(ROW()-5,Income!$Z$6:$Z$289,0),2),"")</f>
        <v/>
      </c>
      <c r="D102" s="1962" t="str">
        <f>IF(ROW() -5&lt;= MAX(Income!$Z$6:$Z$289),INDEX(Income!$B$6:$Z$289,MATCH(ROW()-5,Income!$Z$6:$Z$289,0),4),"")</f>
        <v/>
      </c>
      <c r="E102" s="1962" t="str">
        <f>IF(ROW() -5&lt;= MAX(Income!$Z$6:$Z$289),INDEX(Income!$C$6:$Z$289,MATCH(ROW()-5,Income!$Z$6:$Z$289,0),4),"")</f>
        <v/>
      </c>
      <c r="F102" s="1962" t="str">
        <f>IF(ROW() -5&lt;= MAX(Income!$Z$6:$Z$289),INDEX(Income!$D$6:$Z$289,MATCH(ROW()-5,Income!$Z$6:$Z$289,0),4),"")</f>
        <v/>
      </c>
      <c r="G102" s="1962" t="str">
        <f>IF(ROW() -5&lt;= MAX(Income!$Z$6:$Z$289),INDEX(Income!$E$6:$Z$289,MATCH(ROW()-5,Income!$Z$6:$Z$289,0),4),"")</f>
        <v/>
      </c>
      <c r="H102" s="1962" t="str">
        <f>IF(ROW() -5&lt;= MAX(Income!$Z$6:$Z$289),INDEX(Income!$F$6:$Z$289,MATCH(ROW()-5,Income!$Z$6:$Z$289,0),4),"")</f>
        <v/>
      </c>
      <c r="I102" s="3"/>
      <c r="J102" s="3"/>
      <c r="K102" t="str">
        <f>IF(ROW() -5&lt;= MAX(Income!$Z$6:$Z$289),INDEX(Income!$B$6:$Z$289,MATCH(ROW()-5,Income!$Z$6:$Z$289,0),24),"")</f>
        <v/>
      </c>
    </row>
    <row r="103" spans="1:11" x14ac:dyDescent="0.2">
      <c r="A103" s="3"/>
      <c r="B103" s="1962" t="str">
        <f>IF(ROW() -5&lt;= MAX(Income!$Z$6:$Z$289),INDEX(Income!$B$6:$Z$289,MATCH(ROW()-5,Income!$Z$6:$Z$289,0),1),"")</f>
        <v/>
      </c>
      <c r="C103" s="1964" t="str">
        <f>IF(ROW() -5&lt;= MAX(Income!$Z$6:$Z$289),INDEX(Income!$B$6:$Z$289,MATCH(ROW()-5,Income!$Z$6:$Z$289,0),2),"")</f>
        <v/>
      </c>
      <c r="D103" s="1962" t="str">
        <f>IF(ROW() -5&lt;= MAX(Income!$Z$6:$Z$289),INDEX(Income!$B$6:$Z$289,MATCH(ROW()-5,Income!$Z$6:$Z$289,0),4),"")</f>
        <v/>
      </c>
      <c r="E103" s="1962" t="str">
        <f>IF(ROW() -5&lt;= MAX(Income!$Z$6:$Z$289),INDEX(Income!$C$6:$Z$289,MATCH(ROW()-5,Income!$Z$6:$Z$289,0),4),"")</f>
        <v/>
      </c>
      <c r="F103" s="1962" t="str">
        <f>IF(ROW() -5&lt;= MAX(Income!$Z$6:$Z$289),INDEX(Income!$D$6:$Z$289,MATCH(ROW()-5,Income!$Z$6:$Z$289,0),4),"")</f>
        <v/>
      </c>
      <c r="G103" s="1962" t="str">
        <f>IF(ROW() -5&lt;= MAX(Income!$Z$6:$Z$289),INDEX(Income!$E$6:$Z$289,MATCH(ROW()-5,Income!$Z$6:$Z$289,0),4),"")</f>
        <v/>
      </c>
      <c r="H103" s="1962" t="str">
        <f>IF(ROW() -5&lt;= MAX(Income!$Z$6:$Z$289),INDEX(Income!$F$6:$Z$289,MATCH(ROW()-5,Income!$Z$6:$Z$289,0),4),"")</f>
        <v/>
      </c>
      <c r="I103" s="3"/>
      <c r="J103" s="3"/>
      <c r="K103" t="str">
        <f>IF(ROW() -5&lt;= MAX(Income!$Z$6:$Z$289),INDEX(Income!$B$6:$Z$289,MATCH(ROW()-5,Income!$Z$6:$Z$289,0),24),"")</f>
        <v/>
      </c>
    </row>
    <row r="104" spans="1:11" x14ac:dyDescent="0.2">
      <c r="A104" s="3"/>
      <c r="B104" s="1962" t="str">
        <f>IF(ROW() -5&lt;= MAX(Income!$Z$6:$Z$289),INDEX(Income!$B$6:$Z$289,MATCH(ROW()-5,Income!$Z$6:$Z$289,0),1),"")</f>
        <v/>
      </c>
      <c r="C104" s="1964" t="str">
        <f>IF(ROW() -5&lt;= MAX(Income!$Z$6:$Z$289),INDEX(Income!$B$6:$Z$289,MATCH(ROW()-5,Income!$Z$6:$Z$289,0),2),"")</f>
        <v/>
      </c>
      <c r="D104" s="1962" t="str">
        <f>IF(ROW() -5&lt;= MAX(Income!$Z$6:$Z$289),INDEX(Income!$B$6:$Z$289,MATCH(ROW()-5,Income!$Z$6:$Z$289,0),4),"")</f>
        <v/>
      </c>
      <c r="E104" s="1962" t="str">
        <f>IF(ROW() -5&lt;= MAX(Income!$Z$6:$Z$289),INDEX(Income!$C$6:$Z$289,MATCH(ROW()-5,Income!$Z$6:$Z$289,0),4),"")</f>
        <v/>
      </c>
      <c r="F104" s="1962" t="str">
        <f>IF(ROW() -5&lt;= MAX(Income!$Z$6:$Z$289),INDEX(Income!$D$6:$Z$289,MATCH(ROW()-5,Income!$Z$6:$Z$289,0),4),"")</f>
        <v/>
      </c>
      <c r="G104" s="1962" t="str">
        <f>IF(ROW() -5&lt;= MAX(Income!$Z$6:$Z$289),INDEX(Income!$E$6:$Z$289,MATCH(ROW()-5,Income!$Z$6:$Z$289,0),4),"")</f>
        <v/>
      </c>
      <c r="H104" s="1962" t="str">
        <f>IF(ROW() -5&lt;= MAX(Income!$Z$6:$Z$289),INDEX(Income!$F$6:$Z$289,MATCH(ROW()-5,Income!$Z$6:$Z$289,0),4),"")</f>
        <v/>
      </c>
      <c r="I104" s="3"/>
      <c r="J104" s="3"/>
      <c r="K104" t="str">
        <f>IF(ROW() -5&lt;= MAX(Income!$Z$6:$Z$289),INDEX(Income!$B$6:$Z$289,MATCH(ROW()-5,Income!$Z$6:$Z$289,0),24),"")</f>
        <v/>
      </c>
    </row>
    <row r="105" spans="1:11" x14ac:dyDescent="0.2">
      <c r="A105" s="3"/>
      <c r="B105" s="1962" t="str">
        <f>IF(ROW() -5&lt;= MAX(Income!$Z$6:$Z$289),INDEX(Income!$B$6:$Z$289,MATCH(ROW()-5,Income!$Z$6:$Z$289,0),1),"")</f>
        <v/>
      </c>
      <c r="C105" s="1964" t="str">
        <f>IF(ROW() -5&lt;= MAX(Income!$Z$6:$Z$289),INDEX(Income!$B$6:$Z$289,MATCH(ROW()-5,Income!$Z$6:$Z$289,0),2),"")</f>
        <v/>
      </c>
      <c r="D105" s="1962" t="str">
        <f>IF(ROW() -5&lt;= MAX(Income!$Z$6:$Z$289),INDEX(Income!$B$6:$Z$289,MATCH(ROW()-5,Income!$Z$6:$Z$289,0),4),"")</f>
        <v/>
      </c>
      <c r="E105" s="1962" t="str">
        <f>IF(ROW() -5&lt;= MAX(Income!$Z$6:$Z$289),INDEX(Income!$C$6:$Z$289,MATCH(ROW()-5,Income!$Z$6:$Z$289,0),4),"")</f>
        <v/>
      </c>
      <c r="F105" s="1962" t="str">
        <f>IF(ROW() -5&lt;= MAX(Income!$Z$6:$Z$289),INDEX(Income!$D$6:$Z$289,MATCH(ROW()-5,Income!$Z$6:$Z$289,0),4),"")</f>
        <v/>
      </c>
      <c r="G105" s="1962" t="str">
        <f>IF(ROW() -5&lt;= MAX(Income!$Z$6:$Z$289),INDEX(Income!$E$6:$Z$289,MATCH(ROW()-5,Income!$Z$6:$Z$289,0),4),"")</f>
        <v/>
      </c>
      <c r="H105" s="1962" t="str">
        <f>IF(ROW() -5&lt;= MAX(Income!$Z$6:$Z$289),INDEX(Income!$F$6:$Z$289,MATCH(ROW()-5,Income!$Z$6:$Z$289,0),4),"")</f>
        <v/>
      </c>
      <c r="I105" s="3"/>
      <c r="J105" s="3"/>
      <c r="K105" t="str">
        <f>IF(ROW() -5&lt;= MAX(Income!$Z$6:$Z$289),INDEX(Income!$B$6:$Z$289,MATCH(ROW()-5,Income!$Z$6:$Z$289,0),24),"")</f>
        <v/>
      </c>
    </row>
    <row r="106" spans="1:11" x14ac:dyDescent="0.2">
      <c r="A106" s="3"/>
      <c r="B106" s="1962" t="str">
        <f>IF(ROW() -5&lt;= MAX(Income!$Z$6:$Z$289),INDEX(Income!$B$6:$Z$289,MATCH(ROW()-5,Income!$Z$6:$Z$289,0),1),"")</f>
        <v/>
      </c>
      <c r="C106" s="1964" t="str">
        <f>IF(ROW() -5&lt;= MAX(Income!$Z$6:$Z$289),INDEX(Income!$B$6:$Z$289,MATCH(ROW()-5,Income!$Z$6:$Z$289,0),2),"")</f>
        <v/>
      </c>
      <c r="D106" s="1962" t="str">
        <f>IF(ROW() -5&lt;= MAX(Income!$Z$6:$Z$289),INDEX(Income!$B$6:$Z$289,MATCH(ROW()-5,Income!$Z$6:$Z$289,0),4),"")</f>
        <v/>
      </c>
      <c r="E106" s="1962" t="str">
        <f>IF(ROW() -5&lt;= MAX(Income!$Z$6:$Z$289),INDEX(Income!$C$6:$Z$289,MATCH(ROW()-5,Income!$Z$6:$Z$289,0),4),"")</f>
        <v/>
      </c>
      <c r="F106" s="1962" t="str">
        <f>IF(ROW() -5&lt;= MAX(Income!$Z$6:$Z$289),INDEX(Income!$D$6:$Z$289,MATCH(ROW()-5,Income!$Z$6:$Z$289,0),4),"")</f>
        <v/>
      </c>
      <c r="G106" s="1962" t="str">
        <f>IF(ROW() -5&lt;= MAX(Income!$Z$6:$Z$289),INDEX(Income!$E$6:$Z$289,MATCH(ROW()-5,Income!$Z$6:$Z$289,0),4),"")</f>
        <v/>
      </c>
      <c r="H106" s="1962" t="str">
        <f>IF(ROW() -5&lt;= MAX(Income!$Z$6:$Z$289),INDEX(Income!$F$6:$Z$289,MATCH(ROW()-5,Income!$Z$6:$Z$289,0),4),"")</f>
        <v/>
      </c>
      <c r="I106" s="3"/>
      <c r="J106" s="3"/>
      <c r="K106" t="str">
        <f>IF(ROW() -5&lt;= MAX(Income!$Z$6:$Z$289),INDEX(Income!$B$6:$Z$289,MATCH(ROW()-5,Income!$Z$6:$Z$289,0),24),"")</f>
        <v/>
      </c>
    </row>
    <row r="107" spans="1:11" x14ac:dyDescent="0.2">
      <c r="A107" s="3"/>
      <c r="B107" s="1962" t="str">
        <f>IF(ROW() -5&lt;= MAX(Income!$Z$6:$Z$289),INDEX(Income!$B$6:$Z$289,MATCH(ROW()-5,Income!$Z$6:$Z$289,0),1),"")</f>
        <v/>
      </c>
      <c r="C107" s="1964" t="str">
        <f>IF(ROW() -5&lt;= MAX(Income!$Z$6:$Z$289),INDEX(Income!$B$6:$Z$289,MATCH(ROW()-5,Income!$Z$6:$Z$289,0),2),"")</f>
        <v/>
      </c>
      <c r="D107" s="1962" t="str">
        <f>IF(ROW() -5&lt;= MAX(Income!$Z$6:$Z$289),INDEX(Income!$B$6:$Z$289,MATCH(ROW()-5,Income!$Z$6:$Z$289,0),4),"")</f>
        <v/>
      </c>
      <c r="E107" s="1962" t="str">
        <f>IF(ROW() -5&lt;= MAX(Income!$Z$6:$Z$289),INDEX(Income!$C$6:$Z$289,MATCH(ROW()-5,Income!$Z$6:$Z$289,0),4),"")</f>
        <v/>
      </c>
      <c r="F107" s="1962" t="str">
        <f>IF(ROW() -5&lt;= MAX(Income!$Z$6:$Z$289),INDEX(Income!$D$6:$Z$289,MATCH(ROW()-5,Income!$Z$6:$Z$289,0),4),"")</f>
        <v/>
      </c>
      <c r="G107" s="1962" t="str">
        <f>IF(ROW() -5&lt;= MAX(Income!$Z$6:$Z$289),INDEX(Income!$E$6:$Z$289,MATCH(ROW()-5,Income!$Z$6:$Z$289,0),4),"")</f>
        <v/>
      </c>
      <c r="H107" s="1962" t="str">
        <f>IF(ROW() -5&lt;= MAX(Income!$Z$6:$Z$289),INDEX(Income!$F$6:$Z$289,MATCH(ROW()-5,Income!$Z$6:$Z$289,0),4),"")</f>
        <v/>
      </c>
      <c r="I107" s="3"/>
      <c r="J107" s="3"/>
      <c r="K107" t="str">
        <f>IF(ROW() -5&lt;= MAX(Income!$Z$6:$Z$289),INDEX(Income!$B$6:$Z$289,MATCH(ROW()-5,Income!$Z$6:$Z$289,0),24),"")</f>
        <v/>
      </c>
    </row>
    <row r="108" spans="1:11" x14ac:dyDescent="0.2">
      <c r="A108" s="3"/>
      <c r="B108" s="1962" t="str">
        <f>IF(ROW() -5&lt;= MAX(Income!$Z$6:$Z$289),INDEX(Income!$B$6:$Z$289,MATCH(ROW()-5,Income!$Z$6:$Z$289,0),1),"")</f>
        <v/>
      </c>
      <c r="C108" s="1964" t="str">
        <f>IF(ROW() -5&lt;= MAX(Income!$Z$6:$Z$289),INDEX(Income!$B$6:$Z$289,MATCH(ROW()-5,Income!$Z$6:$Z$289,0),2),"")</f>
        <v/>
      </c>
      <c r="D108" s="1962" t="str">
        <f>IF(ROW() -5&lt;= MAX(Income!$Z$6:$Z$289),INDEX(Income!$B$6:$Z$289,MATCH(ROW()-5,Income!$Z$6:$Z$289,0),4),"")</f>
        <v/>
      </c>
      <c r="E108" s="1962" t="str">
        <f>IF(ROW() -5&lt;= MAX(Income!$Z$6:$Z$289),INDEX(Income!$C$6:$Z$289,MATCH(ROW()-5,Income!$Z$6:$Z$289,0),4),"")</f>
        <v/>
      </c>
      <c r="F108" s="1962" t="str">
        <f>IF(ROW() -5&lt;= MAX(Income!$Z$6:$Z$289),INDEX(Income!$D$6:$Z$289,MATCH(ROW()-5,Income!$Z$6:$Z$289,0),4),"")</f>
        <v/>
      </c>
      <c r="G108" s="1962" t="str">
        <f>IF(ROW() -5&lt;= MAX(Income!$Z$6:$Z$289),INDEX(Income!$E$6:$Z$289,MATCH(ROW()-5,Income!$Z$6:$Z$289,0),4),"")</f>
        <v/>
      </c>
      <c r="H108" s="1962" t="str">
        <f>IF(ROW() -5&lt;= MAX(Income!$Z$6:$Z$289),INDEX(Income!$F$6:$Z$289,MATCH(ROW()-5,Income!$Z$6:$Z$289,0),4),"")</f>
        <v/>
      </c>
      <c r="I108" s="3"/>
      <c r="J108" s="3"/>
      <c r="K108" t="str">
        <f>IF(ROW() -5&lt;= MAX(Income!$Z$6:$Z$289),INDEX(Income!$B$6:$Z$289,MATCH(ROW()-5,Income!$Z$6:$Z$289,0),24),"")</f>
        <v/>
      </c>
    </row>
    <row r="109" spans="1:11" x14ac:dyDescent="0.2">
      <c r="A109" s="3"/>
      <c r="B109" s="1962" t="str">
        <f>IF(ROW() -5&lt;= MAX(Income!$Z$6:$Z$289),INDEX(Income!$B$6:$Z$289,MATCH(ROW()-5,Income!$Z$6:$Z$289,0),1),"")</f>
        <v/>
      </c>
      <c r="C109" s="1964" t="str">
        <f>IF(ROW() -5&lt;= MAX(Income!$Z$6:$Z$289),INDEX(Income!$B$6:$Z$289,MATCH(ROW()-5,Income!$Z$6:$Z$289,0),2),"")</f>
        <v/>
      </c>
      <c r="D109" s="1962" t="str">
        <f>IF(ROW() -5&lt;= MAX(Income!$Z$6:$Z$289),INDEX(Income!$B$6:$Z$289,MATCH(ROW()-5,Income!$Z$6:$Z$289,0),4),"")</f>
        <v/>
      </c>
      <c r="E109" s="1962" t="str">
        <f>IF(ROW() -5&lt;= MAX(Income!$Z$6:$Z$289),INDEX(Income!$C$6:$Z$289,MATCH(ROW()-5,Income!$Z$6:$Z$289,0),4),"")</f>
        <v/>
      </c>
      <c r="F109" s="1962" t="str">
        <f>IF(ROW() -5&lt;= MAX(Income!$Z$6:$Z$289),INDEX(Income!$D$6:$Z$289,MATCH(ROW()-5,Income!$Z$6:$Z$289,0),4),"")</f>
        <v/>
      </c>
      <c r="G109" s="1962" t="str">
        <f>IF(ROW() -5&lt;= MAX(Income!$Z$6:$Z$289),INDEX(Income!$E$6:$Z$289,MATCH(ROW()-5,Income!$Z$6:$Z$289,0),4),"")</f>
        <v/>
      </c>
      <c r="H109" s="1962" t="str">
        <f>IF(ROW() -5&lt;= MAX(Income!$Z$6:$Z$289),INDEX(Income!$F$6:$Z$289,MATCH(ROW()-5,Income!$Z$6:$Z$289,0),4),"")</f>
        <v/>
      </c>
      <c r="I109" s="3"/>
      <c r="J109" s="3"/>
      <c r="K109" t="str">
        <f>IF(ROW() -5&lt;= MAX(Income!$Z$6:$Z$289),INDEX(Income!$B$6:$Z$289,MATCH(ROW()-5,Income!$Z$6:$Z$289,0),24),"")</f>
        <v/>
      </c>
    </row>
    <row r="110" spans="1:11" x14ac:dyDescent="0.2">
      <c r="A110" s="3"/>
      <c r="B110" s="1962" t="str">
        <f>IF(ROW() -5&lt;= MAX(Income!$Z$6:$Z$289),INDEX(Income!$B$6:$Z$289,MATCH(ROW()-5,Income!$Z$6:$Z$289,0),1),"")</f>
        <v/>
      </c>
      <c r="C110" s="1964" t="str">
        <f>IF(ROW() -5&lt;= MAX(Income!$Z$6:$Z$289),INDEX(Income!$B$6:$Z$289,MATCH(ROW()-5,Income!$Z$6:$Z$289,0),2),"")</f>
        <v/>
      </c>
      <c r="D110" s="1962" t="str">
        <f>IF(ROW() -5&lt;= MAX(Income!$Z$6:$Z$289),INDEX(Income!$B$6:$Z$289,MATCH(ROW()-5,Income!$Z$6:$Z$289,0),4),"")</f>
        <v/>
      </c>
      <c r="E110" s="1962" t="str">
        <f>IF(ROW() -5&lt;= MAX(Income!$Z$6:$Z$289),INDEX(Income!$C$6:$Z$289,MATCH(ROW()-5,Income!$Z$6:$Z$289,0),4),"")</f>
        <v/>
      </c>
      <c r="F110" s="1962" t="str">
        <f>IF(ROW() -5&lt;= MAX(Income!$Z$6:$Z$289),INDEX(Income!$D$6:$Z$289,MATCH(ROW()-5,Income!$Z$6:$Z$289,0),4),"")</f>
        <v/>
      </c>
      <c r="G110" s="1962" t="str">
        <f>IF(ROW() -5&lt;= MAX(Income!$Z$6:$Z$289),INDEX(Income!$E$6:$Z$289,MATCH(ROW()-5,Income!$Z$6:$Z$289,0),4),"")</f>
        <v/>
      </c>
      <c r="H110" s="1962" t="str">
        <f>IF(ROW() -5&lt;= MAX(Income!$Z$6:$Z$289),INDEX(Income!$F$6:$Z$289,MATCH(ROW()-5,Income!$Z$6:$Z$289,0),4),"")</f>
        <v/>
      </c>
      <c r="I110" s="3"/>
      <c r="J110" s="3"/>
      <c r="K110" t="str">
        <f>IF(ROW() -5&lt;= MAX(Income!$Z$6:$Z$289),INDEX(Income!$B$6:$Z$289,MATCH(ROW()-5,Income!$Z$6:$Z$289,0),24),"")</f>
        <v/>
      </c>
    </row>
    <row r="111" spans="1:11" x14ac:dyDescent="0.2">
      <c r="A111" s="3"/>
      <c r="B111" s="1962" t="str">
        <f>IF(ROW() -5&lt;= MAX(Income!$Z$6:$Z$289),INDEX(Income!$B$6:$Z$289,MATCH(ROW()-5,Income!$Z$6:$Z$289,0),1),"")</f>
        <v/>
      </c>
      <c r="C111" s="1964" t="str">
        <f>IF(ROW() -5&lt;= MAX(Income!$Z$6:$Z$289),INDEX(Income!$B$6:$Z$289,MATCH(ROW()-5,Income!$Z$6:$Z$289,0),2),"")</f>
        <v/>
      </c>
      <c r="D111" s="1962" t="str">
        <f>IF(ROW() -5&lt;= MAX(Income!$Z$6:$Z$289),INDEX(Income!$B$6:$Z$289,MATCH(ROW()-5,Income!$Z$6:$Z$289,0),4),"")</f>
        <v/>
      </c>
      <c r="E111" s="1962" t="str">
        <f>IF(ROW() -5&lt;= MAX(Income!$Z$6:$Z$289),INDEX(Income!$C$6:$Z$289,MATCH(ROW()-5,Income!$Z$6:$Z$289,0),4),"")</f>
        <v/>
      </c>
      <c r="F111" s="1962" t="str">
        <f>IF(ROW() -5&lt;= MAX(Income!$Z$6:$Z$289),INDEX(Income!$D$6:$Z$289,MATCH(ROW()-5,Income!$Z$6:$Z$289,0),4),"")</f>
        <v/>
      </c>
      <c r="G111" s="1962" t="str">
        <f>IF(ROW() -5&lt;= MAX(Income!$Z$6:$Z$289),INDEX(Income!$E$6:$Z$289,MATCH(ROW()-5,Income!$Z$6:$Z$289,0),4),"")</f>
        <v/>
      </c>
      <c r="H111" s="1962" t="str">
        <f>IF(ROW() -5&lt;= MAX(Income!$Z$6:$Z$289),INDEX(Income!$F$6:$Z$289,MATCH(ROW()-5,Income!$Z$6:$Z$289,0),4),"")</f>
        <v/>
      </c>
      <c r="I111" s="3"/>
      <c r="J111" s="3"/>
      <c r="K111" t="str">
        <f>IF(ROW() -5&lt;= MAX(Income!$Z$6:$Z$289),INDEX(Income!$B$6:$Z$289,MATCH(ROW()-5,Income!$Z$6:$Z$289,0),24),"")</f>
        <v/>
      </c>
    </row>
    <row r="112" spans="1:11" x14ac:dyDescent="0.2">
      <c r="A112" s="3"/>
      <c r="B112" s="1962" t="str">
        <f>IF(ROW() -5&lt;= MAX(Income!$Z$6:$Z$289),INDEX(Income!$B$6:$Z$289,MATCH(ROW()-5,Income!$Z$6:$Z$289,0),1),"")</f>
        <v/>
      </c>
      <c r="C112" s="1964" t="str">
        <f>IF(ROW() -5&lt;= MAX(Income!$Z$6:$Z$289),INDEX(Income!$B$6:$Z$289,MATCH(ROW()-5,Income!$Z$6:$Z$289,0),2),"")</f>
        <v/>
      </c>
      <c r="D112" s="1962" t="str">
        <f>IF(ROW() -5&lt;= MAX(Income!$Z$6:$Z$289),INDEX(Income!$B$6:$Z$289,MATCH(ROW()-5,Income!$Z$6:$Z$289,0),4),"")</f>
        <v/>
      </c>
      <c r="E112" s="1962" t="str">
        <f>IF(ROW() -5&lt;= MAX(Income!$Z$6:$Z$289),INDEX(Income!$C$6:$Z$289,MATCH(ROW()-5,Income!$Z$6:$Z$289,0),4),"")</f>
        <v/>
      </c>
      <c r="F112" s="1962" t="str">
        <f>IF(ROW() -5&lt;= MAX(Income!$Z$6:$Z$289),INDEX(Income!$D$6:$Z$289,MATCH(ROW()-5,Income!$Z$6:$Z$289,0),4),"")</f>
        <v/>
      </c>
      <c r="G112" s="1962" t="str">
        <f>IF(ROW() -5&lt;= MAX(Income!$Z$6:$Z$289),INDEX(Income!$E$6:$Z$289,MATCH(ROW()-5,Income!$Z$6:$Z$289,0),4),"")</f>
        <v/>
      </c>
      <c r="H112" s="1962" t="str">
        <f>IF(ROW() -5&lt;= MAX(Income!$Z$6:$Z$289),INDEX(Income!$F$6:$Z$289,MATCH(ROW()-5,Income!$Z$6:$Z$289,0),4),"")</f>
        <v/>
      </c>
      <c r="I112" s="3"/>
      <c r="J112" s="3"/>
      <c r="K112" t="str">
        <f>IF(ROW() -5&lt;= MAX(Income!$Z$6:$Z$289),INDEX(Income!$B$6:$Z$289,MATCH(ROW()-5,Income!$Z$6:$Z$289,0),24),"")</f>
        <v/>
      </c>
    </row>
    <row r="113" spans="1:11" x14ac:dyDescent="0.2">
      <c r="A113" s="3"/>
      <c r="B113" s="1962" t="str">
        <f>IF(ROW() -5&lt;= MAX(Income!$Z$6:$Z$289),INDEX(Income!$B$6:$Z$289,MATCH(ROW()-5,Income!$Z$6:$Z$289,0),1),"")</f>
        <v/>
      </c>
      <c r="C113" s="1964" t="str">
        <f>IF(ROW() -5&lt;= MAX(Income!$Z$6:$Z$289),INDEX(Income!$B$6:$Z$289,MATCH(ROW()-5,Income!$Z$6:$Z$289,0),2),"")</f>
        <v/>
      </c>
      <c r="D113" s="1962" t="str">
        <f>IF(ROW() -5&lt;= MAX(Income!$Z$6:$Z$289),INDEX(Income!$B$6:$Z$289,MATCH(ROW()-5,Income!$Z$6:$Z$289,0),4),"")</f>
        <v/>
      </c>
      <c r="E113" s="1962" t="str">
        <f>IF(ROW() -5&lt;= MAX(Income!$Z$6:$Z$289),INDEX(Income!$C$6:$Z$289,MATCH(ROW()-5,Income!$Z$6:$Z$289,0),4),"")</f>
        <v/>
      </c>
      <c r="F113" s="1962" t="str">
        <f>IF(ROW() -5&lt;= MAX(Income!$Z$6:$Z$289),INDEX(Income!$D$6:$Z$289,MATCH(ROW()-5,Income!$Z$6:$Z$289,0),4),"")</f>
        <v/>
      </c>
      <c r="G113" s="1962" t="str">
        <f>IF(ROW() -5&lt;= MAX(Income!$Z$6:$Z$289),INDEX(Income!$E$6:$Z$289,MATCH(ROW()-5,Income!$Z$6:$Z$289,0),4),"")</f>
        <v/>
      </c>
      <c r="H113" s="1962" t="str">
        <f>IF(ROW() -5&lt;= MAX(Income!$Z$6:$Z$289),INDEX(Income!$F$6:$Z$289,MATCH(ROW()-5,Income!$Z$6:$Z$289,0),4),"")</f>
        <v/>
      </c>
      <c r="I113" s="3"/>
      <c r="J113" s="3"/>
      <c r="K113" t="str">
        <f>IF(ROW() -5&lt;= MAX(Income!$Z$6:$Z$289),INDEX(Income!$B$6:$Z$289,MATCH(ROW()-5,Income!$Z$6:$Z$289,0),24),"")</f>
        <v/>
      </c>
    </row>
    <row r="114" spans="1:11" x14ac:dyDescent="0.2">
      <c r="A114" s="3"/>
      <c r="B114" s="1962" t="str">
        <f>IF(ROW() -5&lt;= MAX(Income!$Z$6:$Z$289),INDEX(Income!$B$6:$Z$289,MATCH(ROW()-5,Income!$Z$6:$Z$289,0),1),"")</f>
        <v/>
      </c>
      <c r="C114" s="1964" t="str">
        <f>IF(ROW() -5&lt;= MAX(Income!$Z$6:$Z$289),INDEX(Income!$B$6:$Z$289,MATCH(ROW()-5,Income!$Z$6:$Z$289,0),2),"")</f>
        <v/>
      </c>
      <c r="D114" s="1962" t="str">
        <f>IF(ROW() -5&lt;= MAX(Income!$Z$6:$Z$289),INDEX(Income!$B$6:$Z$289,MATCH(ROW()-5,Income!$Z$6:$Z$289,0),4),"")</f>
        <v/>
      </c>
      <c r="E114" s="1962" t="str">
        <f>IF(ROW() -5&lt;= MAX(Income!$Z$6:$Z$289),INDEX(Income!$C$6:$Z$289,MATCH(ROW()-5,Income!$Z$6:$Z$289,0),4),"")</f>
        <v/>
      </c>
      <c r="F114" s="1962" t="str">
        <f>IF(ROW() -5&lt;= MAX(Income!$Z$6:$Z$289),INDEX(Income!$D$6:$Z$289,MATCH(ROW()-5,Income!$Z$6:$Z$289,0),4),"")</f>
        <v/>
      </c>
      <c r="G114" s="1962" t="str">
        <f>IF(ROW() -5&lt;= MAX(Income!$Z$6:$Z$289),INDEX(Income!$E$6:$Z$289,MATCH(ROW()-5,Income!$Z$6:$Z$289,0),4),"")</f>
        <v/>
      </c>
      <c r="H114" s="1962" t="str">
        <f>IF(ROW() -5&lt;= MAX(Income!$Z$6:$Z$289),INDEX(Income!$F$6:$Z$289,MATCH(ROW()-5,Income!$Z$6:$Z$289,0),4),"")</f>
        <v/>
      </c>
      <c r="I114" s="3"/>
      <c r="J114" s="3"/>
      <c r="K114" t="str">
        <f>IF(ROW() -5&lt;= MAX(Income!$Z$6:$Z$289),INDEX(Income!$B$6:$Z$289,MATCH(ROW()-5,Income!$Z$6:$Z$289,0),24),"")</f>
        <v/>
      </c>
    </row>
    <row r="115" spans="1:11" x14ac:dyDescent="0.2">
      <c r="A115" s="3"/>
      <c r="B115" s="1962" t="str">
        <f>IF(ROW() -5&lt;= MAX(Income!$Z$6:$Z$289),INDEX(Income!$B$6:$Z$289,MATCH(ROW()-5,Income!$Z$6:$Z$289,0),1),"")</f>
        <v/>
      </c>
      <c r="C115" s="1964" t="str">
        <f>IF(ROW() -5&lt;= MAX(Income!$Z$6:$Z$289),INDEX(Income!$B$6:$Z$289,MATCH(ROW()-5,Income!$Z$6:$Z$289,0),2),"")</f>
        <v/>
      </c>
      <c r="D115" s="1962" t="str">
        <f>IF(ROW() -5&lt;= MAX(Income!$Z$6:$Z$289),INDEX(Income!$B$6:$Z$289,MATCH(ROW()-5,Income!$Z$6:$Z$289,0),4),"")</f>
        <v/>
      </c>
      <c r="E115" s="1962" t="str">
        <f>IF(ROW() -5&lt;= MAX(Income!$Z$6:$Z$289),INDEX(Income!$C$6:$Z$289,MATCH(ROW()-5,Income!$Z$6:$Z$289,0),4),"")</f>
        <v/>
      </c>
      <c r="F115" s="1962" t="str">
        <f>IF(ROW() -5&lt;= MAX(Income!$Z$6:$Z$289),INDEX(Income!$D$6:$Z$289,MATCH(ROW()-5,Income!$Z$6:$Z$289,0),4),"")</f>
        <v/>
      </c>
      <c r="G115" s="1962" t="str">
        <f>IF(ROW() -5&lt;= MAX(Income!$Z$6:$Z$289),INDEX(Income!$E$6:$Z$289,MATCH(ROW()-5,Income!$Z$6:$Z$289,0),4),"")</f>
        <v/>
      </c>
      <c r="H115" s="1962" t="str">
        <f>IF(ROW() -5&lt;= MAX(Income!$Z$6:$Z$289),INDEX(Income!$F$6:$Z$289,MATCH(ROW()-5,Income!$Z$6:$Z$289,0),4),"")</f>
        <v/>
      </c>
      <c r="I115" s="3"/>
      <c r="J115" s="3"/>
      <c r="K115" t="str">
        <f>IF(ROW() -5&lt;= MAX(Income!$Z$6:$Z$289),INDEX(Income!$B$6:$Z$289,MATCH(ROW()-5,Income!$Z$6:$Z$289,0),24),"")</f>
        <v/>
      </c>
    </row>
    <row r="116" spans="1:11" x14ac:dyDescent="0.2">
      <c r="A116" s="3"/>
      <c r="B116" s="1962" t="str">
        <f>IF(ROW() -5&lt;= MAX(Income!$Z$6:$Z$289),INDEX(Income!$B$6:$Z$289,MATCH(ROW()-5,Income!$Z$6:$Z$289,0),1),"")</f>
        <v/>
      </c>
      <c r="C116" s="1964" t="str">
        <f>IF(ROW() -5&lt;= MAX(Income!$Z$6:$Z$289),INDEX(Income!$B$6:$Z$289,MATCH(ROW()-5,Income!$Z$6:$Z$289,0),2),"")</f>
        <v/>
      </c>
      <c r="D116" s="1962" t="str">
        <f>IF(ROW() -5&lt;= MAX(Income!$Z$6:$Z$289),INDEX(Income!$B$6:$Z$289,MATCH(ROW()-5,Income!$Z$6:$Z$289,0),4),"")</f>
        <v/>
      </c>
      <c r="E116" s="1962" t="str">
        <f>IF(ROW() -5&lt;= MAX(Income!$Z$6:$Z$289),INDEX(Income!$C$6:$Z$289,MATCH(ROW()-5,Income!$Z$6:$Z$289,0),4),"")</f>
        <v/>
      </c>
      <c r="F116" s="1962" t="str">
        <f>IF(ROW() -5&lt;= MAX(Income!$Z$6:$Z$289),INDEX(Income!$D$6:$Z$289,MATCH(ROW()-5,Income!$Z$6:$Z$289,0),4),"")</f>
        <v/>
      </c>
      <c r="G116" s="1962" t="str">
        <f>IF(ROW() -5&lt;= MAX(Income!$Z$6:$Z$289),INDEX(Income!$E$6:$Z$289,MATCH(ROW()-5,Income!$Z$6:$Z$289,0),4),"")</f>
        <v/>
      </c>
      <c r="H116" s="1962" t="str">
        <f>IF(ROW() -5&lt;= MAX(Income!$Z$6:$Z$289),INDEX(Income!$F$6:$Z$289,MATCH(ROW()-5,Income!$Z$6:$Z$289,0),4),"")</f>
        <v/>
      </c>
      <c r="I116" s="3"/>
      <c r="J116" s="3"/>
      <c r="K116" t="str">
        <f>IF(ROW() -5&lt;= MAX(Income!$Z$6:$Z$289),INDEX(Income!$B$6:$Z$289,MATCH(ROW()-5,Income!$Z$6:$Z$289,0),24),"")</f>
        <v/>
      </c>
    </row>
    <row r="117" spans="1:11" x14ac:dyDescent="0.2">
      <c r="A117" s="3"/>
      <c r="B117" s="1962" t="str">
        <f>IF(ROW() -5&lt;= MAX(Income!$Z$6:$Z$289),INDEX(Income!$B$6:$Z$289,MATCH(ROW()-5,Income!$Z$6:$Z$289,0),1),"")</f>
        <v/>
      </c>
      <c r="C117" s="1964" t="str">
        <f>IF(ROW() -5&lt;= MAX(Income!$Z$6:$Z$289),INDEX(Income!$B$6:$Z$289,MATCH(ROW()-5,Income!$Z$6:$Z$289,0),2),"")</f>
        <v/>
      </c>
      <c r="D117" s="1962" t="str">
        <f>IF(ROW() -5&lt;= MAX(Income!$Z$6:$Z$289),INDEX(Income!$B$6:$Z$289,MATCH(ROW()-5,Income!$Z$6:$Z$289,0),4),"")</f>
        <v/>
      </c>
      <c r="E117" s="1962" t="str">
        <f>IF(ROW() -5&lt;= MAX(Income!$Z$6:$Z$289),INDEX(Income!$C$6:$Z$289,MATCH(ROW()-5,Income!$Z$6:$Z$289,0),4),"")</f>
        <v/>
      </c>
      <c r="F117" s="1962" t="str">
        <f>IF(ROW() -5&lt;= MAX(Income!$Z$6:$Z$289),INDEX(Income!$D$6:$Z$289,MATCH(ROW()-5,Income!$Z$6:$Z$289,0),4),"")</f>
        <v/>
      </c>
      <c r="G117" s="1962" t="str">
        <f>IF(ROW() -5&lt;= MAX(Income!$Z$6:$Z$289),INDEX(Income!$E$6:$Z$289,MATCH(ROW()-5,Income!$Z$6:$Z$289,0),4),"")</f>
        <v/>
      </c>
      <c r="H117" s="1962" t="str">
        <f>IF(ROW() -5&lt;= MAX(Income!$Z$6:$Z$289),INDEX(Income!$F$6:$Z$289,MATCH(ROW()-5,Income!$Z$6:$Z$289,0),4),"")</f>
        <v/>
      </c>
      <c r="I117" s="3"/>
      <c r="J117" s="3"/>
      <c r="K117" t="str">
        <f>IF(ROW() -5&lt;= MAX(Income!$Z$6:$Z$289),INDEX(Income!$B$6:$Z$289,MATCH(ROW()-5,Income!$Z$6:$Z$289,0),24),"")</f>
        <v/>
      </c>
    </row>
    <row r="118" spans="1:11" x14ac:dyDescent="0.2">
      <c r="A118" s="3"/>
      <c r="B118" s="1962" t="str">
        <f>IF(ROW() -5&lt;= MAX(Income!$Z$6:$Z$289),INDEX(Income!$B$6:$Z$289,MATCH(ROW()-5,Income!$Z$6:$Z$289,0),1),"")</f>
        <v/>
      </c>
      <c r="C118" s="1964" t="str">
        <f>IF(ROW() -5&lt;= MAX(Income!$Z$6:$Z$289),INDEX(Income!$B$6:$Z$289,MATCH(ROW()-5,Income!$Z$6:$Z$289,0),2),"")</f>
        <v/>
      </c>
      <c r="D118" s="1962" t="str">
        <f>IF(ROW() -5&lt;= MAX(Income!$Z$6:$Z$289),INDEX(Income!$B$6:$Z$289,MATCH(ROW()-5,Income!$Z$6:$Z$289,0),4),"")</f>
        <v/>
      </c>
      <c r="E118" s="1962" t="str">
        <f>IF(ROW() -5&lt;= MAX(Income!$Z$6:$Z$289),INDEX(Income!$C$6:$Z$289,MATCH(ROW()-5,Income!$Z$6:$Z$289,0),4),"")</f>
        <v/>
      </c>
      <c r="F118" s="1962" t="str">
        <f>IF(ROW() -5&lt;= MAX(Income!$Z$6:$Z$289),INDEX(Income!$D$6:$Z$289,MATCH(ROW()-5,Income!$Z$6:$Z$289,0),4),"")</f>
        <v/>
      </c>
      <c r="G118" s="1962" t="str">
        <f>IF(ROW() -5&lt;= MAX(Income!$Z$6:$Z$289),INDEX(Income!$E$6:$Z$289,MATCH(ROW()-5,Income!$Z$6:$Z$289,0),4),"")</f>
        <v/>
      </c>
      <c r="H118" s="1962" t="str">
        <f>IF(ROW() -5&lt;= MAX(Income!$Z$6:$Z$289),INDEX(Income!$F$6:$Z$289,MATCH(ROW()-5,Income!$Z$6:$Z$289,0),4),"")</f>
        <v/>
      </c>
      <c r="I118" s="3"/>
      <c r="J118" s="3"/>
      <c r="K118" t="str">
        <f>IF(ROW() -5&lt;= MAX(Income!$Z$6:$Z$289),INDEX(Income!$B$6:$Z$289,MATCH(ROW()-5,Income!$Z$6:$Z$289,0),24),"")</f>
        <v/>
      </c>
    </row>
    <row r="119" spans="1:11" x14ac:dyDescent="0.2">
      <c r="A119" s="3"/>
      <c r="B119" s="1962" t="str">
        <f>IF(ROW() -5&lt;= MAX(Income!$Z$6:$Z$289),INDEX(Income!$B$6:$Z$289,MATCH(ROW()-5,Income!$Z$6:$Z$289,0),1),"")</f>
        <v/>
      </c>
      <c r="C119" s="1964" t="str">
        <f>IF(ROW() -5&lt;= MAX(Income!$Z$6:$Z$289),INDEX(Income!$B$6:$Z$289,MATCH(ROW()-5,Income!$Z$6:$Z$289,0),2),"")</f>
        <v/>
      </c>
      <c r="D119" s="1962" t="str">
        <f>IF(ROW() -5&lt;= MAX(Income!$Z$6:$Z$289),INDEX(Income!$B$6:$Z$289,MATCH(ROW()-5,Income!$Z$6:$Z$289,0),4),"")</f>
        <v/>
      </c>
      <c r="E119" s="1962" t="str">
        <f>IF(ROW() -5&lt;= MAX(Income!$Z$6:$Z$289),INDEX(Income!$C$6:$Z$289,MATCH(ROW()-5,Income!$Z$6:$Z$289,0),4),"")</f>
        <v/>
      </c>
      <c r="F119" s="1962" t="str">
        <f>IF(ROW() -5&lt;= MAX(Income!$Z$6:$Z$289),INDEX(Income!$D$6:$Z$289,MATCH(ROW()-5,Income!$Z$6:$Z$289,0),4),"")</f>
        <v/>
      </c>
      <c r="G119" s="1962" t="str">
        <f>IF(ROW() -5&lt;= MAX(Income!$Z$6:$Z$289),INDEX(Income!$E$6:$Z$289,MATCH(ROW()-5,Income!$Z$6:$Z$289,0),4),"")</f>
        <v/>
      </c>
      <c r="H119" s="1962" t="str">
        <f>IF(ROW() -5&lt;= MAX(Income!$Z$6:$Z$289),INDEX(Income!$F$6:$Z$289,MATCH(ROW()-5,Income!$Z$6:$Z$289,0),4),"")</f>
        <v/>
      </c>
      <c r="I119" s="3"/>
      <c r="J119" s="3"/>
      <c r="K119" t="str">
        <f>IF(ROW() -5&lt;= MAX(Income!$Z$6:$Z$289),INDEX(Income!$B$6:$Z$289,MATCH(ROW()-5,Income!$Z$6:$Z$289,0),24),"")</f>
        <v/>
      </c>
    </row>
    <row r="120" spans="1:11" x14ac:dyDescent="0.2">
      <c r="A120" s="3"/>
      <c r="B120" s="1962" t="str">
        <f>IF(ROW() -5&lt;= MAX(Income!$Z$6:$Z$289),INDEX(Income!$B$6:$Z$289,MATCH(ROW()-5,Income!$Z$6:$Z$289,0),1),"")</f>
        <v/>
      </c>
      <c r="C120" s="1964" t="str">
        <f>IF(ROW() -5&lt;= MAX(Income!$Z$6:$Z$289),INDEX(Income!$B$6:$Z$289,MATCH(ROW()-5,Income!$Z$6:$Z$289,0),2),"")</f>
        <v/>
      </c>
      <c r="D120" s="1962" t="str">
        <f>IF(ROW() -5&lt;= MAX(Income!$Z$6:$Z$289),INDEX(Income!$B$6:$Z$289,MATCH(ROW()-5,Income!$Z$6:$Z$289,0),4),"")</f>
        <v/>
      </c>
      <c r="E120" s="1962" t="str">
        <f>IF(ROW() -5&lt;= MAX(Income!$Z$6:$Z$289),INDEX(Income!$C$6:$Z$289,MATCH(ROW()-5,Income!$Z$6:$Z$289,0),4),"")</f>
        <v/>
      </c>
      <c r="F120" s="1962" t="str">
        <f>IF(ROW() -5&lt;= MAX(Income!$Z$6:$Z$289),INDEX(Income!$D$6:$Z$289,MATCH(ROW()-5,Income!$Z$6:$Z$289,0),4),"")</f>
        <v/>
      </c>
      <c r="G120" s="1962" t="str">
        <f>IF(ROW() -5&lt;= MAX(Income!$Z$6:$Z$289),INDEX(Income!$E$6:$Z$289,MATCH(ROW()-5,Income!$Z$6:$Z$289,0),4),"")</f>
        <v/>
      </c>
      <c r="H120" s="1962" t="str">
        <f>IF(ROW() -5&lt;= MAX(Income!$Z$6:$Z$289),INDEX(Income!$F$6:$Z$289,MATCH(ROW()-5,Income!$Z$6:$Z$289,0),4),"")</f>
        <v/>
      </c>
      <c r="I120" s="3"/>
      <c r="J120" s="3"/>
      <c r="K120" t="str">
        <f>IF(ROW() -5&lt;= MAX(Income!$Z$6:$Z$289),INDEX(Income!$B$6:$Z$289,MATCH(ROW()-5,Income!$Z$6:$Z$289,0),24),"")</f>
        <v/>
      </c>
    </row>
    <row r="121" spans="1:11" x14ac:dyDescent="0.2">
      <c r="A121" s="3"/>
      <c r="B121" s="1962" t="str">
        <f>IF(ROW() -5&lt;= MAX(Income!$Z$6:$Z$289),INDEX(Income!$B$6:$Z$289,MATCH(ROW()-5,Income!$Z$6:$Z$289,0),1),"")</f>
        <v/>
      </c>
      <c r="C121" s="1964" t="str">
        <f>IF(ROW() -5&lt;= MAX(Income!$Z$6:$Z$289),INDEX(Income!$B$6:$Z$289,MATCH(ROW()-5,Income!$Z$6:$Z$289,0),2),"")</f>
        <v/>
      </c>
      <c r="D121" s="1962" t="str">
        <f>IF(ROW() -5&lt;= MAX(Income!$Z$6:$Z$289),INDEX(Income!$B$6:$Z$289,MATCH(ROW()-5,Income!$Z$6:$Z$289,0),4),"")</f>
        <v/>
      </c>
      <c r="E121" s="1962" t="str">
        <f>IF(ROW() -5&lt;= MAX(Income!$Z$6:$Z$289),INDEX(Income!$C$6:$Z$289,MATCH(ROW()-5,Income!$Z$6:$Z$289,0),4),"")</f>
        <v/>
      </c>
      <c r="F121" s="1962" t="str">
        <f>IF(ROW() -5&lt;= MAX(Income!$Z$6:$Z$289),INDEX(Income!$D$6:$Z$289,MATCH(ROW()-5,Income!$Z$6:$Z$289,0),4),"")</f>
        <v/>
      </c>
      <c r="G121" s="1962" t="str">
        <f>IF(ROW() -5&lt;= MAX(Income!$Z$6:$Z$289),INDEX(Income!$E$6:$Z$289,MATCH(ROW()-5,Income!$Z$6:$Z$289,0),4),"")</f>
        <v/>
      </c>
      <c r="H121" s="1962" t="str">
        <f>IF(ROW() -5&lt;= MAX(Income!$Z$6:$Z$289),INDEX(Income!$F$6:$Z$289,MATCH(ROW()-5,Income!$Z$6:$Z$289,0),4),"")</f>
        <v/>
      </c>
      <c r="I121" s="3"/>
      <c r="J121" s="3"/>
      <c r="K121" t="str">
        <f>IF(ROW() -5&lt;= MAX(Income!$Z$6:$Z$289),INDEX(Income!$B$6:$Z$289,MATCH(ROW()-5,Income!$Z$6:$Z$289,0),24),"")</f>
        <v/>
      </c>
    </row>
    <row r="122" spans="1:11" x14ac:dyDescent="0.2">
      <c r="A122" s="3"/>
      <c r="B122" s="1962" t="str">
        <f>IF(ROW() -5&lt;= MAX(Income!$Z$6:$Z$289),INDEX(Income!$B$6:$Z$289,MATCH(ROW()-5,Income!$Z$6:$Z$289,0),1),"")</f>
        <v/>
      </c>
      <c r="C122" s="1964" t="str">
        <f>IF(ROW() -5&lt;= MAX(Income!$Z$6:$Z$289),INDEX(Income!$B$6:$Z$289,MATCH(ROW()-5,Income!$Z$6:$Z$289,0),2),"")</f>
        <v/>
      </c>
      <c r="D122" s="1962" t="str">
        <f>IF(ROW() -5&lt;= MAX(Income!$Z$6:$Z$289),INDEX(Income!$B$6:$Z$289,MATCH(ROW()-5,Income!$Z$6:$Z$289,0),4),"")</f>
        <v/>
      </c>
      <c r="E122" s="1962" t="str">
        <f>IF(ROW() -5&lt;= MAX(Income!$Z$6:$Z$289),INDEX(Income!$C$6:$Z$289,MATCH(ROW()-5,Income!$Z$6:$Z$289,0),4),"")</f>
        <v/>
      </c>
      <c r="F122" s="1962" t="str">
        <f>IF(ROW() -5&lt;= MAX(Income!$Z$6:$Z$289),INDEX(Income!$D$6:$Z$289,MATCH(ROW()-5,Income!$Z$6:$Z$289,0),4),"")</f>
        <v/>
      </c>
      <c r="G122" s="1962" t="str">
        <f>IF(ROW() -5&lt;= MAX(Income!$Z$6:$Z$289),INDEX(Income!$E$6:$Z$289,MATCH(ROW()-5,Income!$Z$6:$Z$289,0),4),"")</f>
        <v/>
      </c>
      <c r="H122" s="1962" t="str">
        <f>IF(ROW() -5&lt;= MAX(Income!$Z$6:$Z$289),INDEX(Income!$F$6:$Z$289,MATCH(ROW()-5,Income!$Z$6:$Z$289,0),4),"")</f>
        <v/>
      </c>
      <c r="I122" s="3"/>
      <c r="J122" s="3"/>
      <c r="K122" t="str">
        <f>IF(ROW() -5&lt;= MAX(Income!$Z$6:$Z$289),INDEX(Income!$B$6:$Z$289,MATCH(ROW()-5,Income!$Z$6:$Z$289,0),24),"")</f>
        <v/>
      </c>
    </row>
    <row r="123" spans="1:11" x14ac:dyDescent="0.2">
      <c r="A123" s="3"/>
      <c r="B123" s="1962" t="str">
        <f>IF(ROW() -5&lt;= MAX(Income!$Z$6:$Z$289),INDEX(Income!$B$6:$Z$289,MATCH(ROW()-5,Income!$Z$6:$Z$289,0),1),"")</f>
        <v/>
      </c>
      <c r="C123" s="1964" t="str">
        <f>IF(ROW() -5&lt;= MAX(Income!$Z$6:$Z$289),INDEX(Income!$B$6:$Z$289,MATCH(ROW()-5,Income!$Z$6:$Z$289,0),2),"")</f>
        <v/>
      </c>
      <c r="D123" s="1962" t="str">
        <f>IF(ROW() -5&lt;= MAX(Income!$Z$6:$Z$289),INDEX(Income!$B$6:$Z$289,MATCH(ROW()-5,Income!$Z$6:$Z$289,0),4),"")</f>
        <v/>
      </c>
      <c r="E123" s="1962" t="str">
        <f>IF(ROW() -5&lt;= MAX(Income!$Z$6:$Z$289),INDEX(Income!$C$6:$Z$289,MATCH(ROW()-5,Income!$Z$6:$Z$289,0),4),"")</f>
        <v/>
      </c>
      <c r="F123" s="1962" t="str">
        <f>IF(ROW() -5&lt;= MAX(Income!$Z$6:$Z$289),INDEX(Income!$D$6:$Z$289,MATCH(ROW()-5,Income!$Z$6:$Z$289,0),4),"")</f>
        <v/>
      </c>
      <c r="G123" s="1962" t="str">
        <f>IF(ROW() -5&lt;= MAX(Income!$Z$6:$Z$289),INDEX(Income!$E$6:$Z$289,MATCH(ROW()-5,Income!$Z$6:$Z$289,0),4),"")</f>
        <v/>
      </c>
      <c r="H123" s="1962" t="str">
        <f>IF(ROW() -5&lt;= MAX(Income!$Z$6:$Z$289),INDEX(Income!$F$6:$Z$289,MATCH(ROW()-5,Income!$Z$6:$Z$289,0),4),"")</f>
        <v/>
      </c>
      <c r="I123" s="3"/>
      <c r="J123" s="3"/>
      <c r="K123" t="str">
        <f>IF(ROW() -5&lt;= MAX(Income!$Z$6:$Z$289),INDEX(Income!$B$6:$Z$289,MATCH(ROW()-5,Income!$Z$6:$Z$289,0),24),"")</f>
        <v/>
      </c>
    </row>
    <row r="124" spans="1:11" x14ac:dyDescent="0.2">
      <c r="A124" s="3"/>
      <c r="B124" s="1962" t="str">
        <f>IF(ROW() -5&lt;= MAX(Income!$Z$6:$Z$289),INDEX(Income!$B$6:$Z$289,MATCH(ROW()-5,Income!$Z$6:$Z$289,0),1),"")</f>
        <v/>
      </c>
      <c r="C124" s="1964" t="str">
        <f>IF(ROW() -5&lt;= MAX(Income!$Z$6:$Z$289),INDEX(Income!$B$6:$Z$289,MATCH(ROW()-5,Income!$Z$6:$Z$289,0),2),"")</f>
        <v/>
      </c>
      <c r="D124" s="1962" t="str">
        <f>IF(ROW() -5&lt;= MAX(Income!$Z$6:$Z$289),INDEX(Income!$B$6:$Z$289,MATCH(ROW()-5,Income!$Z$6:$Z$289,0),4),"")</f>
        <v/>
      </c>
      <c r="E124" s="1962" t="str">
        <f>IF(ROW() -5&lt;= MAX(Income!$Z$6:$Z$289),INDEX(Income!$C$6:$Z$289,MATCH(ROW()-5,Income!$Z$6:$Z$289,0),4),"")</f>
        <v/>
      </c>
      <c r="F124" s="1962" t="str">
        <f>IF(ROW() -5&lt;= MAX(Income!$Z$6:$Z$289),INDEX(Income!$D$6:$Z$289,MATCH(ROW()-5,Income!$Z$6:$Z$289,0),4),"")</f>
        <v/>
      </c>
      <c r="G124" s="1962" t="str">
        <f>IF(ROW() -5&lt;= MAX(Income!$Z$6:$Z$289),INDEX(Income!$E$6:$Z$289,MATCH(ROW()-5,Income!$Z$6:$Z$289,0),4),"")</f>
        <v/>
      </c>
      <c r="H124" s="1962" t="str">
        <f>IF(ROW() -5&lt;= MAX(Income!$Z$6:$Z$289),INDEX(Income!$F$6:$Z$289,MATCH(ROW()-5,Income!$Z$6:$Z$289,0),4),"")</f>
        <v/>
      </c>
      <c r="I124" s="3"/>
      <c r="J124" s="3"/>
      <c r="K124" t="str">
        <f>IF(ROW() -5&lt;= MAX(Income!$Z$6:$Z$289),INDEX(Income!$B$6:$Z$289,MATCH(ROW()-5,Income!$Z$6:$Z$289,0),24),"")</f>
        <v/>
      </c>
    </row>
    <row r="125" spans="1:11" x14ac:dyDescent="0.2">
      <c r="A125" s="3"/>
      <c r="B125" s="1962" t="str">
        <f>IF(ROW() -5&lt;= MAX(Income!$Z$6:$Z$289),INDEX(Income!$B$6:$Z$289,MATCH(ROW()-5,Income!$Z$6:$Z$289,0),1),"")</f>
        <v/>
      </c>
      <c r="C125" s="1964" t="str">
        <f>IF(ROW() -5&lt;= MAX(Income!$Z$6:$Z$289),INDEX(Income!$B$6:$Z$289,MATCH(ROW()-5,Income!$Z$6:$Z$289,0),2),"")</f>
        <v/>
      </c>
      <c r="D125" s="1962" t="str">
        <f>IF(ROW() -5&lt;= MAX(Income!$Z$6:$Z$289),INDEX(Income!$B$6:$Z$289,MATCH(ROW()-5,Income!$Z$6:$Z$289,0),4),"")</f>
        <v/>
      </c>
      <c r="E125" s="1962" t="str">
        <f>IF(ROW() -5&lt;= MAX(Income!$Z$6:$Z$289),INDEX(Income!$C$6:$Z$289,MATCH(ROW()-5,Income!$Z$6:$Z$289,0),4),"")</f>
        <v/>
      </c>
      <c r="F125" s="1962" t="str">
        <f>IF(ROW() -5&lt;= MAX(Income!$Z$6:$Z$289),INDEX(Income!$D$6:$Z$289,MATCH(ROW()-5,Income!$Z$6:$Z$289,0),4),"")</f>
        <v/>
      </c>
      <c r="G125" s="1962" t="str">
        <f>IF(ROW() -5&lt;= MAX(Income!$Z$6:$Z$289),INDEX(Income!$E$6:$Z$289,MATCH(ROW()-5,Income!$Z$6:$Z$289,0),4),"")</f>
        <v/>
      </c>
      <c r="H125" s="1962" t="str">
        <f>IF(ROW() -5&lt;= MAX(Income!$Z$6:$Z$289),INDEX(Income!$F$6:$Z$289,MATCH(ROW()-5,Income!$Z$6:$Z$289,0),4),"")</f>
        <v/>
      </c>
      <c r="I125" s="3"/>
      <c r="J125" s="3"/>
      <c r="K125" t="str">
        <f>IF(ROW() -5&lt;= MAX(Income!$Z$6:$Z$289),INDEX(Income!$B$6:$Z$289,MATCH(ROW()-5,Income!$Z$6:$Z$289,0),24),"")</f>
        <v/>
      </c>
    </row>
    <row r="126" spans="1:11" x14ac:dyDescent="0.2">
      <c r="A126" s="3"/>
      <c r="B126" s="1962" t="str">
        <f>IF(ROW() -5&lt;= MAX(Income!$Z$6:$Z$289),INDEX(Income!$B$6:$Z$289,MATCH(ROW()-5,Income!$Z$6:$Z$289,0),1),"")</f>
        <v/>
      </c>
      <c r="C126" s="1964" t="str">
        <f>IF(ROW() -5&lt;= MAX(Income!$Z$6:$Z$289),INDEX(Income!$B$6:$Z$289,MATCH(ROW()-5,Income!$Z$6:$Z$289,0),2),"")</f>
        <v/>
      </c>
      <c r="D126" s="1962" t="str">
        <f>IF(ROW() -5&lt;= MAX(Income!$Z$6:$Z$289),INDEX(Income!$B$6:$Z$289,MATCH(ROW()-5,Income!$Z$6:$Z$289,0),4),"")</f>
        <v/>
      </c>
      <c r="E126" s="1962" t="str">
        <f>IF(ROW() -5&lt;= MAX(Income!$Z$6:$Z$289),INDEX(Income!$C$6:$Z$289,MATCH(ROW()-5,Income!$Z$6:$Z$289,0),4),"")</f>
        <v/>
      </c>
      <c r="F126" s="1962" t="str">
        <f>IF(ROW() -5&lt;= MAX(Income!$Z$6:$Z$289),INDEX(Income!$D$6:$Z$289,MATCH(ROW()-5,Income!$Z$6:$Z$289,0),4),"")</f>
        <v/>
      </c>
      <c r="G126" s="1962" t="str">
        <f>IF(ROW() -5&lt;= MAX(Income!$Z$6:$Z$289),INDEX(Income!$E$6:$Z$289,MATCH(ROW()-5,Income!$Z$6:$Z$289,0),4),"")</f>
        <v/>
      </c>
      <c r="H126" s="1962" t="str">
        <f>IF(ROW() -5&lt;= MAX(Income!$Z$6:$Z$289),INDEX(Income!$F$6:$Z$289,MATCH(ROW()-5,Income!$Z$6:$Z$289,0),4),"")</f>
        <v/>
      </c>
      <c r="I126" s="3"/>
      <c r="J126" s="3"/>
      <c r="K126" t="str">
        <f>IF(ROW() -5&lt;= MAX(Income!$Z$6:$Z$289),INDEX(Income!$B$6:$Z$289,MATCH(ROW()-5,Income!$Z$6:$Z$289,0),24),"")</f>
        <v/>
      </c>
    </row>
    <row r="127" spans="1:11" x14ac:dyDescent="0.2">
      <c r="A127" s="3"/>
      <c r="B127" s="1962" t="str">
        <f>IF(ROW() -5&lt;= MAX(Income!$Z$6:$Z$289),INDEX(Income!$B$6:$Z$289,MATCH(ROW()-5,Income!$Z$6:$Z$289,0),1),"")</f>
        <v/>
      </c>
      <c r="C127" s="1964" t="str">
        <f>IF(ROW() -5&lt;= MAX(Income!$Z$6:$Z$289),INDEX(Income!$B$6:$Z$289,MATCH(ROW()-5,Income!$Z$6:$Z$289,0),2),"")</f>
        <v/>
      </c>
      <c r="D127" s="1962" t="str">
        <f>IF(ROW() -5&lt;= MAX(Income!$Z$6:$Z$289),INDEX(Income!$B$6:$Z$289,MATCH(ROW()-5,Income!$Z$6:$Z$289,0),4),"")</f>
        <v/>
      </c>
      <c r="E127" s="1962" t="str">
        <f>IF(ROW() -5&lt;= MAX(Income!$Z$6:$Z$289),INDEX(Income!$C$6:$Z$289,MATCH(ROW()-5,Income!$Z$6:$Z$289,0),4),"")</f>
        <v/>
      </c>
      <c r="F127" s="1962" t="str">
        <f>IF(ROW() -5&lt;= MAX(Income!$Z$6:$Z$289),INDEX(Income!$D$6:$Z$289,MATCH(ROW()-5,Income!$Z$6:$Z$289,0),4),"")</f>
        <v/>
      </c>
      <c r="G127" s="1962" t="str">
        <f>IF(ROW() -5&lt;= MAX(Income!$Z$6:$Z$289),INDEX(Income!$E$6:$Z$289,MATCH(ROW()-5,Income!$Z$6:$Z$289,0),4),"")</f>
        <v/>
      </c>
      <c r="H127" s="1962" t="str">
        <f>IF(ROW() -5&lt;= MAX(Income!$Z$6:$Z$289),INDEX(Income!$F$6:$Z$289,MATCH(ROW()-5,Income!$Z$6:$Z$289,0),4),"")</f>
        <v/>
      </c>
      <c r="I127" s="3"/>
      <c r="J127" s="3"/>
      <c r="K127" t="str">
        <f>IF(ROW() -5&lt;= MAX(Income!$Z$6:$Z$289),INDEX(Income!$B$6:$Z$289,MATCH(ROW()-5,Income!$Z$6:$Z$289,0),24),"")</f>
        <v/>
      </c>
    </row>
    <row r="128" spans="1:11" x14ac:dyDescent="0.2">
      <c r="A128" s="3"/>
      <c r="B128" s="1962" t="str">
        <f>IF(ROW() -5&lt;= MAX(Income!$Z$6:$Z$289),INDEX(Income!$B$6:$Z$289,MATCH(ROW()-5,Income!$Z$6:$Z$289,0),1),"")</f>
        <v/>
      </c>
      <c r="C128" s="1964" t="str">
        <f>IF(ROW() -5&lt;= MAX(Income!$Z$6:$Z$289),INDEX(Income!$B$6:$Z$289,MATCH(ROW()-5,Income!$Z$6:$Z$289,0),2),"")</f>
        <v/>
      </c>
      <c r="D128" s="1962" t="str">
        <f>IF(ROW() -5&lt;= MAX(Income!$Z$6:$Z$289),INDEX(Income!$B$6:$Z$289,MATCH(ROW()-5,Income!$Z$6:$Z$289,0),4),"")</f>
        <v/>
      </c>
      <c r="E128" s="1962" t="str">
        <f>IF(ROW() -5&lt;= MAX(Income!$Z$6:$Z$289),INDEX(Income!$C$6:$Z$289,MATCH(ROW()-5,Income!$Z$6:$Z$289,0),4),"")</f>
        <v/>
      </c>
      <c r="F128" s="1962" t="str">
        <f>IF(ROW() -5&lt;= MAX(Income!$Z$6:$Z$289),INDEX(Income!$D$6:$Z$289,MATCH(ROW()-5,Income!$Z$6:$Z$289,0),4),"")</f>
        <v/>
      </c>
      <c r="G128" s="1962" t="str">
        <f>IF(ROW() -5&lt;= MAX(Income!$Z$6:$Z$289),INDEX(Income!$E$6:$Z$289,MATCH(ROW()-5,Income!$Z$6:$Z$289,0),4),"")</f>
        <v/>
      </c>
      <c r="H128" s="1962" t="str">
        <f>IF(ROW() -5&lt;= MAX(Income!$Z$6:$Z$289),INDEX(Income!$F$6:$Z$289,MATCH(ROW()-5,Income!$Z$6:$Z$289,0),4),"")</f>
        <v/>
      </c>
      <c r="I128" s="3"/>
      <c r="J128" s="3"/>
      <c r="K128" t="str">
        <f>IF(ROW() -5&lt;= MAX(Income!$Z$6:$Z$289),INDEX(Income!$B$6:$Z$289,MATCH(ROW()-5,Income!$Z$6:$Z$289,0),24),"")</f>
        <v/>
      </c>
    </row>
    <row r="129" spans="1:11" x14ac:dyDescent="0.2">
      <c r="A129" s="3"/>
      <c r="B129" s="1962" t="str">
        <f>IF(ROW() -5&lt;= MAX(Income!$Z$6:$Z$289),INDEX(Income!$B$6:$Z$289,MATCH(ROW()-5,Income!$Z$6:$Z$289,0),1),"")</f>
        <v/>
      </c>
      <c r="C129" s="1964" t="str">
        <f>IF(ROW() -5&lt;= MAX(Income!$Z$6:$Z$289),INDEX(Income!$B$6:$Z$289,MATCH(ROW()-5,Income!$Z$6:$Z$289,0),2),"")</f>
        <v/>
      </c>
      <c r="D129" s="1962" t="str">
        <f>IF(ROW() -5&lt;= MAX(Income!$Z$6:$Z$289),INDEX(Income!$B$6:$Z$289,MATCH(ROW()-5,Income!$Z$6:$Z$289,0),4),"")</f>
        <v/>
      </c>
      <c r="E129" s="1962" t="str">
        <f>IF(ROW() -5&lt;= MAX(Income!$Z$6:$Z$289),INDEX(Income!$C$6:$Z$289,MATCH(ROW()-5,Income!$Z$6:$Z$289,0),4),"")</f>
        <v/>
      </c>
      <c r="F129" s="1962" t="str">
        <f>IF(ROW() -5&lt;= MAX(Income!$Z$6:$Z$289),INDEX(Income!$D$6:$Z$289,MATCH(ROW()-5,Income!$Z$6:$Z$289,0),4),"")</f>
        <v/>
      </c>
      <c r="G129" s="1962" t="str">
        <f>IF(ROW() -5&lt;= MAX(Income!$Z$6:$Z$289),INDEX(Income!$E$6:$Z$289,MATCH(ROW()-5,Income!$Z$6:$Z$289,0),4),"")</f>
        <v/>
      </c>
      <c r="H129" s="1962" t="str">
        <f>IF(ROW() -5&lt;= MAX(Income!$Z$6:$Z$289),INDEX(Income!$F$6:$Z$289,MATCH(ROW()-5,Income!$Z$6:$Z$289,0),4),"")</f>
        <v/>
      </c>
      <c r="I129" s="3"/>
      <c r="J129" s="3"/>
      <c r="K129" t="str">
        <f>IF(ROW() -5&lt;= MAX(Income!$Z$6:$Z$289),INDEX(Income!$B$6:$Z$289,MATCH(ROW()-5,Income!$Z$6:$Z$289,0),24),"")</f>
        <v/>
      </c>
    </row>
    <row r="130" spans="1:11" x14ac:dyDescent="0.2">
      <c r="A130" s="3"/>
      <c r="B130" s="1962" t="str">
        <f>IF(ROW() -5&lt;= MAX(Income!$Z$6:$Z$289),INDEX(Income!$B$6:$Z$289,MATCH(ROW()-5,Income!$Z$6:$Z$289,0),1),"")</f>
        <v/>
      </c>
      <c r="C130" s="1964" t="str">
        <f>IF(ROW() -5&lt;= MAX(Income!$Z$6:$Z$289),INDEX(Income!$B$6:$Z$289,MATCH(ROW()-5,Income!$Z$6:$Z$289,0),2),"")</f>
        <v/>
      </c>
      <c r="D130" s="1962" t="str">
        <f>IF(ROW() -5&lt;= MAX(Income!$Z$6:$Z$289),INDEX(Income!$B$6:$Z$289,MATCH(ROW()-5,Income!$Z$6:$Z$289,0),4),"")</f>
        <v/>
      </c>
      <c r="E130" s="1962" t="str">
        <f>IF(ROW() -5&lt;= MAX(Income!$Z$6:$Z$289),INDEX(Income!$C$6:$Z$289,MATCH(ROW()-5,Income!$Z$6:$Z$289,0),4),"")</f>
        <v/>
      </c>
      <c r="F130" s="1962" t="str">
        <f>IF(ROW() -5&lt;= MAX(Income!$Z$6:$Z$289),INDEX(Income!$D$6:$Z$289,MATCH(ROW()-5,Income!$Z$6:$Z$289,0),4),"")</f>
        <v/>
      </c>
      <c r="G130" s="1962" t="str">
        <f>IF(ROW() -5&lt;= MAX(Income!$Z$6:$Z$289),INDEX(Income!$E$6:$Z$289,MATCH(ROW()-5,Income!$Z$6:$Z$289,0),4),"")</f>
        <v/>
      </c>
      <c r="H130" s="1962" t="str">
        <f>IF(ROW() -5&lt;= MAX(Income!$Z$6:$Z$289),INDEX(Income!$F$6:$Z$289,MATCH(ROW()-5,Income!$Z$6:$Z$289,0),4),"")</f>
        <v/>
      </c>
      <c r="I130" s="3"/>
      <c r="J130" s="3"/>
      <c r="K130" t="str">
        <f>IF(ROW() -5&lt;= MAX(Income!$Z$6:$Z$289),INDEX(Income!$B$6:$Z$289,MATCH(ROW()-5,Income!$Z$6:$Z$289,0),24),"")</f>
        <v/>
      </c>
    </row>
    <row r="131" spans="1:11" x14ac:dyDescent="0.2">
      <c r="A131" s="3"/>
      <c r="B131" s="1962" t="str">
        <f>IF(ROW() -5&lt;= MAX(Income!$Z$6:$Z$289),INDEX(Income!$B$6:$Z$289,MATCH(ROW()-5,Income!$Z$6:$Z$289,0),1),"")</f>
        <v/>
      </c>
      <c r="C131" s="1964" t="str">
        <f>IF(ROW() -5&lt;= MAX(Income!$Z$6:$Z$289),INDEX(Income!$B$6:$Z$289,MATCH(ROW()-5,Income!$Z$6:$Z$289,0),2),"")</f>
        <v/>
      </c>
      <c r="D131" s="1962" t="str">
        <f>IF(ROW() -5&lt;= MAX(Income!$Z$6:$Z$289),INDEX(Income!$B$6:$Z$289,MATCH(ROW()-5,Income!$Z$6:$Z$289,0),4),"")</f>
        <v/>
      </c>
      <c r="E131" s="1962" t="str">
        <f>IF(ROW() -5&lt;= MAX(Income!$Z$6:$Z$289),INDEX(Income!$C$6:$Z$289,MATCH(ROW()-5,Income!$Z$6:$Z$289,0),4),"")</f>
        <v/>
      </c>
      <c r="F131" s="1962" t="str">
        <f>IF(ROW() -5&lt;= MAX(Income!$Z$6:$Z$289),INDEX(Income!$D$6:$Z$289,MATCH(ROW()-5,Income!$Z$6:$Z$289,0),4),"")</f>
        <v/>
      </c>
      <c r="G131" s="1962" t="str">
        <f>IF(ROW() -5&lt;= MAX(Income!$Z$6:$Z$289),INDEX(Income!$E$6:$Z$289,MATCH(ROW()-5,Income!$Z$6:$Z$289,0),4),"")</f>
        <v/>
      </c>
      <c r="H131" s="1962" t="str">
        <f>IF(ROW() -5&lt;= MAX(Income!$Z$6:$Z$289),INDEX(Income!$F$6:$Z$289,MATCH(ROW()-5,Income!$Z$6:$Z$289,0),4),"")</f>
        <v/>
      </c>
      <c r="I131" s="3"/>
      <c r="J131" s="3"/>
      <c r="K131" t="str">
        <f>IF(ROW() -5&lt;= MAX(Income!$Z$6:$Z$289),INDEX(Income!$B$6:$Z$289,MATCH(ROW()-5,Income!$Z$6:$Z$289,0),24),"")</f>
        <v/>
      </c>
    </row>
    <row r="132" spans="1:11" x14ac:dyDescent="0.2">
      <c r="A132" s="3"/>
      <c r="B132" s="1962" t="str">
        <f>IF(ROW() -5&lt;= MAX(Income!$Z$6:$Z$289),INDEX(Income!$B$6:$Z$289,MATCH(ROW()-5,Income!$Z$6:$Z$289,0),1),"")</f>
        <v/>
      </c>
      <c r="C132" s="1964" t="str">
        <f>IF(ROW() -5&lt;= MAX(Income!$Z$6:$Z$289),INDEX(Income!$B$6:$Z$289,MATCH(ROW()-5,Income!$Z$6:$Z$289,0),2),"")</f>
        <v/>
      </c>
      <c r="D132" s="1962" t="str">
        <f>IF(ROW() -5&lt;= MAX(Income!$Z$6:$Z$289),INDEX(Income!$B$6:$Z$289,MATCH(ROW()-5,Income!$Z$6:$Z$289,0),4),"")</f>
        <v/>
      </c>
      <c r="E132" s="1962" t="str">
        <f>IF(ROW() -5&lt;= MAX(Income!$Z$6:$Z$289),INDEX(Income!$C$6:$Z$289,MATCH(ROW()-5,Income!$Z$6:$Z$289,0),4),"")</f>
        <v/>
      </c>
      <c r="F132" s="1962" t="str">
        <f>IF(ROW() -5&lt;= MAX(Income!$Z$6:$Z$289),INDEX(Income!$D$6:$Z$289,MATCH(ROW()-5,Income!$Z$6:$Z$289,0),4),"")</f>
        <v/>
      </c>
      <c r="G132" s="1962" t="str">
        <f>IF(ROW() -5&lt;= MAX(Income!$Z$6:$Z$289),INDEX(Income!$E$6:$Z$289,MATCH(ROW()-5,Income!$Z$6:$Z$289,0),4),"")</f>
        <v/>
      </c>
      <c r="H132" s="1962" t="str">
        <f>IF(ROW() -5&lt;= MAX(Income!$Z$6:$Z$289),INDEX(Income!$F$6:$Z$289,MATCH(ROW()-5,Income!$Z$6:$Z$289,0),4),"")</f>
        <v/>
      </c>
      <c r="I132" s="3"/>
      <c r="J132" s="3"/>
      <c r="K132" t="str">
        <f>IF(ROW() -5&lt;= MAX(Income!$Z$6:$Z$289),INDEX(Income!$B$6:$Z$289,MATCH(ROW()-5,Income!$Z$6:$Z$289,0),24),"")</f>
        <v/>
      </c>
    </row>
    <row r="133" spans="1:11" x14ac:dyDescent="0.2">
      <c r="A133" s="3"/>
      <c r="B133" s="1962" t="str">
        <f>IF(ROW() -5&lt;= MAX(Income!$Z$6:$Z$289),INDEX(Income!$B$6:$Z$289,MATCH(ROW()-5,Income!$Z$6:$Z$289,0),1),"")</f>
        <v/>
      </c>
      <c r="C133" s="1964" t="str">
        <f>IF(ROW() -5&lt;= MAX(Income!$Z$6:$Z$289),INDEX(Income!$B$6:$Z$289,MATCH(ROW()-5,Income!$Z$6:$Z$289,0),2),"")</f>
        <v/>
      </c>
      <c r="D133" s="1962" t="str">
        <f>IF(ROW() -5&lt;= MAX(Income!$Z$6:$Z$289),INDEX(Income!$B$6:$Z$289,MATCH(ROW()-5,Income!$Z$6:$Z$289,0),4),"")</f>
        <v/>
      </c>
      <c r="E133" s="1962" t="str">
        <f>IF(ROW() -5&lt;= MAX(Income!$Z$6:$Z$289),INDEX(Income!$C$6:$Z$289,MATCH(ROW()-5,Income!$Z$6:$Z$289,0),4),"")</f>
        <v/>
      </c>
      <c r="F133" s="1962" t="str">
        <f>IF(ROW() -5&lt;= MAX(Income!$Z$6:$Z$289),INDEX(Income!$D$6:$Z$289,MATCH(ROW()-5,Income!$Z$6:$Z$289,0),4),"")</f>
        <v/>
      </c>
      <c r="G133" s="1962" t="str">
        <f>IF(ROW() -5&lt;= MAX(Income!$Z$6:$Z$289),INDEX(Income!$E$6:$Z$289,MATCH(ROW()-5,Income!$Z$6:$Z$289,0),4),"")</f>
        <v/>
      </c>
      <c r="H133" s="1962" t="str">
        <f>IF(ROW() -5&lt;= MAX(Income!$Z$6:$Z$289),INDEX(Income!$F$6:$Z$289,MATCH(ROW()-5,Income!$Z$6:$Z$289,0),4),"")</f>
        <v/>
      </c>
      <c r="I133" s="3"/>
      <c r="J133" s="3"/>
      <c r="K133" t="str">
        <f>IF(ROW() -5&lt;= MAX(Income!$Z$6:$Z$289),INDEX(Income!$B$6:$Z$289,MATCH(ROW()-5,Income!$Z$6:$Z$289,0),24),"")</f>
        <v/>
      </c>
    </row>
    <row r="134" spans="1:11" x14ac:dyDescent="0.2">
      <c r="A134" s="3"/>
      <c r="B134" s="1962" t="str">
        <f>IF(ROW() -5&lt;= MAX(Income!$Z$6:$Z$289),INDEX(Income!$B$6:$Z$289,MATCH(ROW()-5,Income!$Z$6:$Z$289,0),1),"")</f>
        <v/>
      </c>
      <c r="C134" s="1964" t="str">
        <f>IF(ROW() -5&lt;= MAX(Income!$Z$6:$Z$289),INDEX(Income!$B$6:$Z$289,MATCH(ROW()-5,Income!$Z$6:$Z$289,0),2),"")</f>
        <v/>
      </c>
      <c r="D134" s="1962" t="str">
        <f>IF(ROW() -5&lt;= MAX(Income!$Z$6:$Z$289),INDEX(Income!$B$6:$Z$289,MATCH(ROW()-5,Income!$Z$6:$Z$289,0),4),"")</f>
        <v/>
      </c>
      <c r="E134" s="1962" t="str">
        <f>IF(ROW() -5&lt;= MAX(Income!$Z$6:$Z$289),INDEX(Income!$C$6:$Z$289,MATCH(ROW()-5,Income!$Z$6:$Z$289,0),4),"")</f>
        <v/>
      </c>
      <c r="F134" s="1962" t="str">
        <f>IF(ROW() -5&lt;= MAX(Income!$Z$6:$Z$289),INDEX(Income!$D$6:$Z$289,MATCH(ROW()-5,Income!$Z$6:$Z$289,0),4),"")</f>
        <v/>
      </c>
      <c r="G134" s="1962" t="str">
        <f>IF(ROW() -5&lt;= MAX(Income!$Z$6:$Z$289),INDEX(Income!$E$6:$Z$289,MATCH(ROW()-5,Income!$Z$6:$Z$289,0),4),"")</f>
        <v/>
      </c>
      <c r="H134" s="1962" t="str">
        <f>IF(ROW() -5&lt;= MAX(Income!$Z$6:$Z$289),INDEX(Income!$F$6:$Z$289,MATCH(ROW()-5,Income!$Z$6:$Z$289,0),4),"")</f>
        <v/>
      </c>
      <c r="I134" s="3"/>
      <c r="J134" s="3"/>
      <c r="K134" t="str">
        <f>IF(ROW() -5&lt;= MAX(Income!$Z$6:$Z$289),INDEX(Income!$B$6:$Z$289,MATCH(ROW()-5,Income!$Z$6:$Z$289,0),24),"")</f>
        <v/>
      </c>
    </row>
    <row r="135" spans="1:11" x14ac:dyDescent="0.2">
      <c r="A135" s="3"/>
      <c r="B135" s="1962" t="str">
        <f>IF(ROW() -5&lt;= MAX(Income!$Z$6:$Z$289),INDEX(Income!$B$6:$Z$289,MATCH(ROW()-5,Income!$Z$6:$Z$289,0),1),"")</f>
        <v/>
      </c>
      <c r="C135" s="1964" t="str">
        <f>IF(ROW() -5&lt;= MAX(Income!$Z$6:$Z$289),INDEX(Income!$B$6:$Z$289,MATCH(ROW()-5,Income!$Z$6:$Z$289,0),2),"")</f>
        <v/>
      </c>
      <c r="D135" s="1962" t="str">
        <f>IF(ROW() -5&lt;= MAX(Income!$Z$6:$Z$289),INDEX(Income!$B$6:$Z$289,MATCH(ROW()-5,Income!$Z$6:$Z$289,0),4),"")</f>
        <v/>
      </c>
      <c r="E135" s="1962" t="str">
        <f>IF(ROW() -5&lt;= MAX(Income!$Z$6:$Z$289),INDEX(Income!$C$6:$Z$289,MATCH(ROW()-5,Income!$Z$6:$Z$289,0),4),"")</f>
        <v/>
      </c>
      <c r="F135" s="1962" t="str">
        <f>IF(ROW() -5&lt;= MAX(Income!$Z$6:$Z$289),INDEX(Income!$D$6:$Z$289,MATCH(ROW()-5,Income!$Z$6:$Z$289,0),4),"")</f>
        <v/>
      </c>
      <c r="G135" s="1962" t="str">
        <f>IF(ROW() -5&lt;= MAX(Income!$Z$6:$Z$289),INDEX(Income!$E$6:$Z$289,MATCH(ROW()-5,Income!$Z$6:$Z$289,0),4),"")</f>
        <v/>
      </c>
      <c r="H135" s="1962" t="str">
        <f>IF(ROW() -5&lt;= MAX(Income!$Z$6:$Z$289),INDEX(Income!$F$6:$Z$289,MATCH(ROW()-5,Income!$Z$6:$Z$289,0),4),"")</f>
        <v/>
      </c>
      <c r="I135" s="3"/>
      <c r="J135" s="3"/>
      <c r="K135" t="str">
        <f>IF(ROW() -5&lt;= MAX(Income!$Z$6:$Z$289),INDEX(Income!$B$6:$Z$289,MATCH(ROW()-5,Income!$Z$6:$Z$289,0),24),"")</f>
        <v/>
      </c>
    </row>
    <row r="136" spans="1:11" x14ac:dyDescent="0.2">
      <c r="A136" s="3"/>
      <c r="B136" s="1962" t="str">
        <f>IF(ROW() -5&lt;= MAX(Income!$Z$6:$Z$289),INDEX(Income!$B$6:$Z$289,MATCH(ROW()-5,Income!$Z$6:$Z$289,0),1),"")</f>
        <v/>
      </c>
      <c r="C136" s="1964" t="str">
        <f>IF(ROW() -5&lt;= MAX(Income!$Z$6:$Z$289),INDEX(Income!$B$6:$Z$289,MATCH(ROW()-5,Income!$Z$6:$Z$289,0),2),"")</f>
        <v/>
      </c>
      <c r="D136" s="1962" t="str">
        <f>IF(ROW() -5&lt;= MAX(Income!$Z$6:$Z$289),INDEX(Income!$B$6:$Z$289,MATCH(ROW()-5,Income!$Z$6:$Z$289,0),4),"")</f>
        <v/>
      </c>
      <c r="E136" s="1962" t="str">
        <f>IF(ROW() -5&lt;= MAX(Income!$Z$6:$Z$289),INDEX(Income!$C$6:$Z$289,MATCH(ROW()-5,Income!$Z$6:$Z$289,0),4),"")</f>
        <v/>
      </c>
      <c r="F136" s="1962" t="str">
        <f>IF(ROW() -5&lt;= MAX(Income!$Z$6:$Z$289),INDEX(Income!$D$6:$Z$289,MATCH(ROW()-5,Income!$Z$6:$Z$289,0),4),"")</f>
        <v/>
      </c>
      <c r="G136" s="1962" t="str">
        <f>IF(ROW() -5&lt;= MAX(Income!$Z$6:$Z$289),INDEX(Income!$E$6:$Z$289,MATCH(ROW()-5,Income!$Z$6:$Z$289,0),4),"")</f>
        <v/>
      </c>
      <c r="H136" s="1962" t="str">
        <f>IF(ROW() -5&lt;= MAX(Income!$Z$6:$Z$289),INDEX(Income!$F$6:$Z$289,MATCH(ROW()-5,Income!$Z$6:$Z$289,0),4),"")</f>
        <v/>
      </c>
      <c r="I136" s="3"/>
      <c r="J136" s="3"/>
      <c r="K136" t="str">
        <f>IF(ROW() -5&lt;= MAX(Income!$Z$6:$Z$289),INDEX(Income!$B$6:$Z$289,MATCH(ROW()-5,Income!$Z$6:$Z$289,0),24),"")</f>
        <v/>
      </c>
    </row>
    <row r="137" spans="1:11" x14ac:dyDescent="0.2">
      <c r="A137" s="3"/>
      <c r="B137" s="1962" t="str">
        <f>IF(ROW() -5&lt;= MAX(Income!$Z$6:$Z$289),INDEX(Income!$B$6:$Z$289,MATCH(ROW()-5,Income!$Z$6:$Z$289,0),1),"")</f>
        <v/>
      </c>
      <c r="C137" s="1964" t="str">
        <f>IF(ROW() -5&lt;= MAX(Income!$Z$6:$Z$289),INDEX(Income!$B$6:$Z$289,MATCH(ROW()-5,Income!$Z$6:$Z$289,0),2),"")</f>
        <v/>
      </c>
      <c r="D137" s="1962" t="str">
        <f>IF(ROW() -5&lt;= MAX(Income!$Z$6:$Z$289),INDEX(Income!$B$6:$Z$289,MATCH(ROW()-5,Income!$Z$6:$Z$289,0),4),"")</f>
        <v/>
      </c>
      <c r="E137" s="1962" t="str">
        <f>IF(ROW() -5&lt;= MAX(Income!$Z$6:$Z$289),INDEX(Income!$C$6:$Z$289,MATCH(ROW()-5,Income!$Z$6:$Z$289,0),4),"")</f>
        <v/>
      </c>
      <c r="F137" s="1962" t="str">
        <f>IF(ROW() -5&lt;= MAX(Income!$Z$6:$Z$289),INDEX(Income!$D$6:$Z$289,MATCH(ROW()-5,Income!$Z$6:$Z$289,0),4),"")</f>
        <v/>
      </c>
      <c r="G137" s="1962" t="str">
        <f>IF(ROW() -5&lt;= MAX(Income!$Z$6:$Z$289),INDEX(Income!$E$6:$Z$289,MATCH(ROW()-5,Income!$Z$6:$Z$289,0),4),"")</f>
        <v/>
      </c>
      <c r="H137" s="1962" t="str">
        <f>IF(ROW() -5&lt;= MAX(Income!$Z$6:$Z$289),INDEX(Income!$F$6:$Z$289,MATCH(ROW()-5,Income!$Z$6:$Z$289,0),4),"")</f>
        <v/>
      </c>
      <c r="I137" s="3"/>
      <c r="J137" s="3"/>
      <c r="K137" t="str">
        <f>IF(ROW() -5&lt;= MAX(Income!$Z$6:$Z$289),INDEX(Income!$B$6:$Z$289,MATCH(ROW()-5,Income!$Z$6:$Z$289,0),24),"")</f>
        <v/>
      </c>
    </row>
    <row r="138" spans="1:11" x14ac:dyDescent="0.2">
      <c r="A138" s="3"/>
      <c r="B138" s="1962" t="str">
        <f>IF(ROW() -5&lt;= MAX(Income!$Z$6:$Z$289),INDEX(Income!$B$6:$Z$289,MATCH(ROW()-5,Income!$Z$6:$Z$289,0),1),"")</f>
        <v/>
      </c>
      <c r="C138" s="1964" t="str">
        <f>IF(ROW() -5&lt;= MAX(Income!$Z$6:$Z$289),INDEX(Income!$B$6:$Z$289,MATCH(ROW()-5,Income!$Z$6:$Z$289,0),2),"")</f>
        <v/>
      </c>
      <c r="D138" s="1962" t="str">
        <f>IF(ROW() -5&lt;= MAX(Income!$Z$6:$Z$289),INDEX(Income!$B$6:$Z$289,MATCH(ROW()-5,Income!$Z$6:$Z$289,0),4),"")</f>
        <v/>
      </c>
      <c r="E138" s="1962" t="str">
        <f>IF(ROW() -5&lt;= MAX(Income!$Z$6:$Z$289),INDEX(Income!$C$6:$Z$289,MATCH(ROW()-5,Income!$Z$6:$Z$289,0),4),"")</f>
        <v/>
      </c>
      <c r="F138" s="1962" t="str">
        <f>IF(ROW() -5&lt;= MAX(Income!$Z$6:$Z$289),INDEX(Income!$D$6:$Z$289,MATCH(ROW()-5,Income!$Z$6:$Z$289,0),4),"")</f>
        <v/>
      </c>
      <c r="G138" s="1962" t="str">
        <f>IF(ROW() -5&lt;= MAX(Income!$Z$6:$Z$289),INDEX(Income!$E$6:$Z$289,MATCH(ROW()-5,Income!$Z$6:$Z$289,0),4),"")</f>
        <v/>
      </c>
      <c r="H138" s="1962" t="str">
        <f>IF(ROW() -5&lt;= MAX(Income!$Z$6:$Z$289),INDEX(Income!$F$6:$Z$289,MATCH(ROW()-5,Income!$Z$6:$Z$289,0),4),"")</f>
        <v/>
      </c>
      <c r="I138" s="3"/>
      <c r="J138" s="3"/>
      <c r="K138" t="str">
        <f>IF(ROW() -5&lt;= MAX(Income!$Z$6:$Z$289),INDEX(Income!$B$6:$Z$289,MATCH(ROW()-5,Income!$Z$6:$Z$289,0),24),"")</f>
        <v/>
      </c>
    </row>
    <row r="139" spans="1:11" x14ac:dyDescent="0.2">
      <c r="A139" s="3"/>
      <c r="B139" s="1962" t="str">
        <f>IF(ROW() -5&lt;= MAX(Income!$Z$6:$Z$289),INDEX(Income!$B$6:$Z$289,MATCH(ROW()-5,Income!$Z$6:$Z$289,0),1),"")</f>
        <v/>
      </c>
      <c r="C139" s="1964" t="str">
        <f>IF(ROW() -5&lt;= MAX(Income!$Z$6:$Z$289),INDEX(Income!$B$6:$Z$289,MATCH(ROW()-5,Income!$Z$6:$Z$289,0),2),"")</f>
        <v/>
      </c>
      <c r="D139" s="1962" t="str">
        <f>IF(ROW() -5&lt;= MAX(Income!$Z$6:$Z$289),INDEX(Income!$B$6:$Z$289,MATCH(ROW()-5,Income!$Z$6:$Z$289,0),4),"")</f>
        <v/>
      </c>
      <c r="E139" s="1962" t="str">
        <f>IF(ROW() -5&lt;= MAX(Income!$Z$6:$Z$289),INDEX(Income!$C$6:$Z$289,MATCH(ROW()-5,Income!$Z$6:$Z$289,0),4),"")</f>
        <v/>
      </c>
      <c r="F139" s="1962" t="str">
        <f>IF(ROW() -5&lt;= MAX(Income!$Z$6:$Z$289),INDEX(Income!$D$6:$Z$289,MATCH(ROW()-5,Income!$Z$6:$Z$289,0),4),"")</f>
        <v/>
      </c>
      <c r="G139" s="1962" t="str">
        <f>IF(ROW() -5&lt;= MAX(Income!$Z$6:$Z$289),INDEX(Income!$E$6:$Z$289,MATCH(ROW()-5,Income!$Z$6:$Z$289,0),4),"")</f>
        <v/>
      </c>
      <c r="H139" s="1962" t="str">
        <f>IF(ROW() -5&lt;= MAX(Income!$Z$6:$Z$289),INDEX(Income!$F$6:$Z$289,MATCH(ROW()-5,Income!$Z$6:$Z$289,0),4),"")</f>
        <v/>
      </c>
      <c r="I139" s="3"/>
      <c r="J139" s="3"/>
      <c r="K139" t="str">
        <f>IF(ROW() -5&lt;= MAX(Income!$Z$6:$Z$289),INDEX(Income!$B$6:$Z$289,MATCH(ROW()-5,Income!$Z$6:$Z$289,0),24),"")</f>
        <v/>
      </c>
    </row>
    <row r="140" spans="1:11" x14ac:dyDescent="0.2">
      <c r="A140" s="3"/>
      <c r="B140" s="1962" t="str">
        <f>IF(ROW() -5&lt;= MAX(Income!$Z$6:$Z$289),INDEX(Income!$B$6:$Z$289,MATCH(ROW()-5,Income!$Z$6:$Z$289,0),1),"")</f>
        <v/>
      </c>
      <c r="C140" s="1964" t="str">
        <f>IF(ROW() -5&lt;= MAX(Income!$Z$6:$Z$289),INDEX(Income!$B$6:$Z$289,MATCH(ROW()-5,Income!$Z$6:$Z$289,0),2),"")</f>
        <v/>
      </c>
      <c r="D140" s="1962" t="str">
        <f>IF(ROW() -5&lt;= MAX(Income!$Z$6:$Z$289),INDEX(Income!$B$6:$Z$289,MATCH(ROW()-5,Income!$Z$6:$Z$289,0),4),"")</f>
        <v/>
      </c>
      <c r="E140" s="1962" t="str">
        <f>IF(ROW() -5&lt;= MAX(Income!$Z$6:$Z$289),INDEX(Income!$C$6:$Z$289,MATCH(ROW()-5,Income!$Z$6:$Z$289,0),4),"")</f>
        <v/>
      </c>
      <c r="F140" s="1962" t="str">
        <f>IF(ROW() -5&lt;= MAX(Income!$Z$6:$Z$289),INDEX(Income!$D$6:$Z$289,MATCH(ROW()-5,Income!$Z$6:$Z$289,0),4),"")</f>
        <v/>
      </c>
      <c r="G140" s="1962" t="str">
        <f>IF(ROW() -5&lt;= MAX(Income!$Z$6:$Z$289),INDEX(Income!$E$6:$Z$289,MATCH(ROW()-5,Income!$Z$6:$Z$289,0),4),"")</f>
        <v/>
      </c>
      <c r="H140" s="1962" t="str">
        <f>IF(ROW() -5&lt;= MAX(Income!$Z$6:$Z$289),INDEX(Income!$F$6:$Z$289,MATCH(ROW()-5,Income!$Z$6:$Z$289,0),4),"")</f>
        <v/>
      </c>
      <c r="I140" s="3"/>
      <c r="J140" s="3"/>
      <c r="K140" t="str">
        <f>IF(ROW() -5&lt;= MAX(Income!$Z$6:$Z$289),INDEX(Income!$B$6:$Z$289,MATCH(ROW()-5,Income!$Z$6:$Z$289,0),24),"")</f>
        <v/>
      </c>
    </row>
    <row r="141" spans="1:11" x14ac:dyDescent="0.2">
      <c r="A141" s="3"/>
      <c r="B141" s="1962" t="str">
        <f>IF(ROW() -5&lt;= MAX(Income!$Z$6:$Z$289),INDEX(Income!$B$6:$Z$289,MATCH(ROW()-5,Income!$Z$6:$Z$289,0),1),"")</f>
        <v/>
      </c>
      <c r="C141" s="1964" t="str">
        <f>IF(ROW() -5&lt;= MAX(Income!$Z$6:$Z$289),INDEX(Income!$B$6:$Z$289,MATCH(ROW()-5,Income!$Z$6:$Z$289,0),2),"")</f>
        <v/>
      </c>
      <c r="D141" s="1962" t="str">
        <f>IF(ROW() -5&lt;= MAX(Income!$Z$6:$Z$289),INDEX(Income!$B$6:$Z$289,MATCH(ROW()-5,Income!$Z$6:$Z$289,0),4),"")</f>
        <v/>
      </c>
      <c r="E141" s="1962" t="str">
        <f>IF(ROW() -5&lt;= MAX(Income!$Z$6:$Z$289),INDEX(Income!$C$6:$Z$289,MATCH(ROW()-5,Income!$Z$6:$Z$289,0),4),"")</f>
        <v/>
      </c>
      <c r="F141" s="1962" t="str">
        <f>IF(ROW() -5&lt;= MAX(Income!$Z$6:$Z$289),INDEX(Income!$D$6:$Z$289,MATCH(ROW()-5,Income!$Z$6:$Z$289,0),4),"")</f>
        <v/>
      </c>
      <c r="G141" s="1962" t="str">
        <f>IF(ROW() -5&lt;= MAX(Income!$Z$6:$Z$289),INDEX(Income!$E$6:$Z$289,MATCH(ROW()-5,Income!$Z$6:$Z$289,0),4),"")</f>
        <v/>
      </c>
      <c r="H141" s="1962" t="str">
        <f>IF(ROW() -5&lt;= MAX(Income!$Z$6:$Z$289),INDEX(Income!$F$6:$Z$289,MATCH(ROW()-5,Income!$Z$6:$Z$289,0),4),"")</f>
        <v/>
      </c>
      <c r="I141" s="3"/>
      <c r="J141" s="3"/>
      <c r="K141" t="str">
        <f>IF(ROW() -5&lt;= MAX(Income!$Z$6:$Z$289),INDEX(Income!$B$6:$Z$289,MATCH(ROW()-5,Income!$Z$6:$Z$289,0),24),"")</f>
        <v/>
      </c>
    </row>
    <row r="142" spans="1:11" x14ac:dyDescent="0.2">
      <c r="A142" s="3"/>
      <c r="B142" s="1962" t="str">
        <f>IF(ROW() -5&lt;= MAX(Income!$Z$6:$Z$289),INDEX(Income!$B$6:$Z$289,MATCH(ROW()-5,Income!$Z$6:$Z$289,0),1),"")</f>
        <v/>
      </c>
      <c r="C142" s="1964" t="str">
        <f>IF(ROW() -5&lt;= MAX(Income!$Z$6:$Z$289),INDEX(Income!$B$6:$Z$289,MATCH(ROW()-5,Income!$Z$6:$Z$289,0),2),"")</f>
        <v/>
      </c>
      <c r="D142" s="1962" t="str">
        <f>IF(ROW() -5&lt;= MAX(Income!$Z$6:$Z$289),INDEX(Income!$B$6:$Z$289,MATCH(ROW()-5,Income!$Z$6:$Z$289,0),4),"")</f>
        <v/>
      </c>
      <c r="E142" s="1962" t="str">
        <f>IF(ROW() -5&lt;= MAX(Income!$Z$6:$Z$289),INDEX(Income!$C$6:$Z$289,MATCH(ROW()-5,Income!$Z$6:$Z$289,0),4),"")</f>
        <v/>
      </c>
      <c r="F142" s="1962" t="str">
        <f>IF(ROW() -5&lt;= MAX(Income!$Z$6:$Z$289),INDEX(Income!$D$6:$Z$289,MATCH(ROW()-5,Income!$Z$6:$Z$289,0),4),"")</f>
        <v/>
      </c>
      <c r="G142" s="1962" t="str">
        <f>IF(ROW() -5&lt;= MAX(Income!$Z$6:$Z$289),INDEX(Income!$E$6:$Z$289,MATCH(ROW()-5,Income!$Z$6:$Z$289,0),4),"")</f>
        <v/>
      </c>
      <c r="H142" s="1962" t="str">
        <f>IF(ROW() -5&lt;= MAX(Income!$Z$6:$Z$289),INDEX(Income!$F$6:$Z$289,MATCH(ROW()-5,Income!$Z$6:$Z$289,0),4),"")</f>
        <v/>
      </c>
      <c r="I142" s="3"/>
      <c r="J142" s="3"/>
      <c r="K142" t="str">
        <f>IF(ROW() -5&lt;= MAX(Income!$Z$6:$Z$289),INDEX(Income!$B$6:$Z$289,MATCH(ROW()-5,Income!$Z$6:$Z$289,0),24),"")</f>
        <v/>
      </c>
    </row>
    <row r="143" spans="1:11" x14ac:dyDescent="0.2">
      <c r="A143" s="3"/>
      <c r="B143" s="1962" t="str">
        <f>IF(ROW() -5&lt;= MAX(Income!$Z$6:$Z$289),INDEX(Income!$B$6:$Z$289,MATCH(ROW()-5,Income!$Z$6:$Z$289,0),1),"")</f>
        <v/>
      </c>
      <c r="C143" s="1964" t="str">
        <f>IF(ROW() -5&lt;= MAX(Income!$Z$6:$Z$289),INDEX(Income!$B$6:$Z$289,MATCH(ROW()-5,Income!$Z$6:$Z$289,0),2),"")</f>
        <v/>
      </c>
      <c r="D143" s="1962" t="str">
        <f>IF(ROW() -5&lt;= MAX(Income!$Z$6:$Z$289),INDEX(Income!$B$6:$Z$289,MATCH(ROW()-5,Income!$Z$6:$Z$289,0),4),"")</f>
        <v/>
      </c>
      <c r="E143" s="1962" t="str">
        <f>IF(ROW() -5&lt;= MAX(Income!$Z$6:$Z$289),INDEX(Income!$C$6:$Z$289,MATCH(ROW()-5,Income!$Z$6:$Z$289,0),4),"")</f>
        <v/>
      </c>
      <c r="F143" s="1962" t="str">
        <f>IF(ROW() -5&lt;= MAX(Income!$Z$6:$Z$289),INDEX(Income!$D$6:$Z$289,MATCH(ROW()-5,Income!$Z$6:$Z$289,0),4),"")</f>
        <v/>
      </c>
      <c r="G143" s="1962" t="str">
        <f>IF(ROW() -5&lt;= MAX(Income!$Z$6:$Z$289),INDEX(Income!$E$6:$Z$289,MATCH(ROW()-5,Income!$Z$6:$Z$289,0),4),"")</f>
        <v/>
      </c>
      <c r="H143" s="1962" t="str">
        <f>IF(ROW() -5&lt;= MAX(Income!$Z$6:$Z$289),INDEX(Income!$F$6:$Z$289,MATCH(ROW()-5,Income!$Z$6:$Z$289,0),4),"")</f>
        <v/>
      </c>
      <c r="I143" s="3"/>
      <c r="J143" s="3"/>
      <c r="K143" t="str">
        <f>IF(ROW() -5&lt;= MAX(Income!$Z$6:$Z$289),INDEX(Income!$B$6:$Z$289,MATCH(ROW()-5,Income!$Z$6:$Z$289,0),24),"")</f>
        <v/>
      </c>
    </row>
    <row r="144" spans="1:11" x14ac:dyDescent="0.2">
      <c r="A144" s="3"/>
      <c r="B144" s="1962" t="str">
        <f>IF(ROW() -5&lt;= MAX(Income!$Z$6:$Z$289),INDEX(Income!$B$6:$Z$289,MATCH(ROW()-5,Income!$Z$6:$Z$289,0),1),"")</f>
        <v/>
      </c>
      <c r="C144" s="1964" t="str">
        <f>IF(ROW() -5&lt;= MAX(Income!$Z$6:$Z$289),INDEX(Income!$B$6:$Z$289,MATCH(ROW()-5,Income!$Z$6:$Z$289,0),2),"")</f>
        <v/>
      </c>
      <c r="D144" s="1962" t="str">
        <f>IF(ROW() -5&lt;= MAX(Income!$Z$6:$Z$289),INDEX(Income!$B$6:$Z$289,MATCH(ROW()-5,Income!$Z$6:$Z$289,0),4),"")</f>
        <v/>
      </c>
      <c r="E144" s="1962" t="str">
        <f>IF(ROW() -5&lt;= MAX(Income!$Z$6:$Z$289),INDEX(Income!$C$6:$Z$289,MATCH(ROW()-5,Income!$Z$6:$Z$289,0),4),"")</f>
        <v/>
      </c>
      <c r="F144" s="1962" t="str">
        <f>IF(ROW() -5&lt;= MAX(Income!$Z$6:$Z$289),INDEX(Income!$D$6:$Z$289,MATCH(ROW()-5,Income!$Z$6:$Z$289,0),4),"")</f>
        <v/>
      </c>
      <c r="G144" s="1962" t="str">
        <f>IF(ROW() -5&lt;= MAX(Income!$Z$6:$Z$289),INDEX(Income!$E$6:$Z$289,MATCH(ROW()-5,Income!$Z$6:$Z$289,0),4),"")</f>
        <v/>
      </c>
      <c r="H144" s="1962" t="str">
        <f>IF(ROW() -5&lt;= MAX(Income!$Z$6:$Z$289),INDEX(Income!$F$6:$Z$289,MATCH(ROW()-5,Income!$Z$6:$Z$289,0),4),"")</f>
        <v/>
      </c>
      <c r="I144" s="3"/>
      <c r="J144" s="3"/>
      <c r="K144" t="str">
        <f>IF(ROW() -5&lt;= MAX(Income!$Z$6:$Z$289),INDEX(Income!$B$6:$Z$289,MATCH(ROW()-5,Income!$Z$6:$Z$289,0),24),"")</f>
        <v/>
      </c>
    </row>
    <row r="145" spans="1:11" x14ac:dyDescent="0.2">
      <c r="A145" s="3"/>
      <c r="B145" s="1962" t="str">
        <f>IF(ROW() -5&lt;= MAX(Income!$Z$6:$Z$289),INDEX(Income!$B$6:$Z$289,MATCH(ROW()-5,Income!$Z$6:$Z$289,0),1),"")</f>
        <v/>
      </c>
      <c r="C145" s="1964" t="str">
        <f>IF(ROW() -5&lt;= MAX(Income!$Z$6:$Z$289),INDEX(Income!$B$6:$Z$289,MATCH(ROW()-5,Income!$Z$6:$Z$289,0),2),"")</f>
        <v/>
      </c>
      <c r="D145" s="1962" t="str">
        <f>IF(ROW() -5&lt;= MAX(Income!$Z$6:$Z$289),INDEX(Income!$B$6:$Z$289,MATCH(ROW()-5,Income!$Z$6:$Z$289,0),4),"")</f>
        <v/>
      </c>
      <c r="E145" s="1962" t="str">
        <f>IF(ROW() -5&lt;= MAX(Income!$Z$6:$Z$289),INDEX(Income!$C$6:$Z$289,MATCH(ROW()-5,Income!$Z$6:$Z$289,0),4),"")</f>
        <v/>
      </c>
      <c r="F145" s="1962" t="str">
        <f>IF(ROW() -5&lt;= MAX(Income!$Z$6:$Z$289),INDEX(Income!$D$6:$Z$289,MATCH(ROW()-5,Income!$Z$6:$Z$289,0),4),"")</f>
        <v/>
      </c>
      <c r="G145" s="1962" t="str">
        <f>IF(ROW() -5&lt;= MAX(Income!$Z$6:$Z$289),INDEX(Income!$E$6:$Z$289,MATCH(ROW()-5,Income!$Z$6:$Z$289,0),4),"")</f>
        <v/>
      </c>
      <c r="H145" s="1962" t="str">
        <f>IF(ROW() -5&lt;= MAX(Income!$Z$6:$Z$289),INDEX(Income!$F$6:$Z$289,MATCH(ROW()-5,Income!$Z$6:$Z$289,0),4),"")</f>
        <v/>
      </c>
      <c r="I145" s="3"/>
      <c r="J145" s="3"/>
      <c r="K145" t="str">
        <f>IF(ROW() -5&lt;= MAX(Income!$Z$6:$Z$289),INDEX(Income!$B$6:$Z$289,MATCH(ROW()-5,Income!$Z$6:$Z$289,0),24),"")</f>
        <v/>
      </c>
    </row>
    <row r="146" spans="1:11" x14ac:dyDescent="0.2">
      <c r="A146" s="3"/>
      <c r="B146" s="1962" t="str">
        <f>IF(ROW() -5&lt;= MAX(Income!$Z$6:$Z$289),INDEX(Income!$B$6:$Z$289,MATCH(ROW()-5,Income!$Z$6:$Z$289,0),1),"")</f>
        <v/>
      </c>
      <c r="C146" s="1964" t="str">
        <f>IF(ROW() -5&lt;= MAX(Income!$Z$6:$Z$289),INDEX(Income!$B$6:$Z$289,MATCH(ROW()-5,Income!$Z$6:$Z$289,0),2),"")</f>
        <v/>
      </c>
      <c r="D146" s="1962" t="str">
        <f>IF(ROW() -5&lt;= MAX(Income!$Z$6:$Z$289),INDEX(Income!$B$6:$Z$289,MATCH(ROW()-5,Income!$Z$6:$Z$289,0),4),"")</f>
        <v/>
      </c>
      <c r="E146" s="1962" t="str">
        <f>IF(ROW() -5&lt;= MAX(Income!$Z$6:$Z$289),INDEX(Income!$C$6:$Z$289,MATCH(ROW()-5,Income!$Z$6:$Z$289,0),4),"")</f>
        <v/>
      </c>
      <c r="F146" s="1962" t="str">
        <f>IF(ROW() -5&lt;= MAX(Income!$Z$6:$Z$289),INDEX(Income!$D$6:$Z$289,MATCH(ROW()-5,Income!$Z$6:$Z$289,0),4),"")</f>
        <v/>
      </c>
      <c r="G146" s="1962" t="str">
        <f>IF(ROW() -5&lt;= MAX(Income!$Z$6:$Z$289),INDEX(Income!$E$6:$Z$289,MATCH(ROW()-5,Income!$Z$6:$Z$289,0),4),"")</f>
        <v/>
      </c>
      <c r="H146" s="1962" t="str">
        <f>IF(ROW() -5&lt;= MAX(Income!$Z$6:$Z$289),INDEX(Income!$F$6:$Z$289,MATCH(ROW()-5,Income!$Z$6:$Z$289,0),4),"")</f>
        <v/>
      </c>
      <c r="I146" s="3"/>
      <c r="J146" s="3"/>
      <c r="K146" t="str">
        <f>IF(ROW() -5&lt;= MAX(Income!$Z$6:$Z$289),INDEX(Income!$B$6:$Z$289,MATCH(ROW()-5,Income!$Z$6:$Z$289,0),24),"")</f>
        <v/>
      </c>
    </row>
    <row r="147" spans="1:11" x14ac:dyDescent="0.2">
      <c r="A147" s="3"/>
      <c r="B147" s="1962" t="str">
        <f>IF(ROW() -5&lt;= MAX(Income!$Z$6:$Z$289),INDEX(Income!$B$6:$Z$289,MATCH(ROW()-5,Income!$Z$6:$Z$289,0),1),"")</f>
        <v/>
      </c>
      <c r="C147" s="1964" t="str">
        <f>IF(ROW() -5&lt;= MAX(Income!$Z$6:$Z$289),INDEX(Income!$B$6:$Z$289,MATCH(ROW()-5,Income!$Z$6:$Z$289,0),2),"")</f>
        <v/>
      </c>
      <c r="D147" s="1962" t="str">
        <f>IF(ROW() -5&lt;= MAX(Income!$Z$6:$Z$289),INDEX(Income!$B$6:$Z$289,MATCH(ROW()-5,Income!$Z$6:$Z$289,0),4),"")</f>
        <v/>
      </c>
      <c r="E147" s="1962" t="str">
        <f>IF(ROW() -5&lt;= MAX(Income!$Z$6:$Z$289),INDEX(Income!$C$6:$Z$289,MATCH(ROW()-5,Income!$Z$6:$Z$289,0),4),"")</f>
        <v/>
      </c>
      <c r="F147" s="1962" t="str">
        <f>IF(ROW() -5&lt;= MAX(Income!$Z$6:$Z$289),INDEX(Income!$D$6:$Z$289,MATCH(ROW()-5,Income!$Z$6:$Z$289,0),4),"")</f>
        <v/>
      </c>
      <c r="G147" s="1962" t="str">
        <f>IF(ROW() -5&lt;= MAX(Income!$Z$6:$Z$289),INDEX(Income!$E$6:$Z$289,MATCH(ROW()-5,Income!$Z$6:$Z$289,0),4),"")</f>
        <v/>
      </c>
      <c r="H147" s="1962" t="str">
        <f>IF(ROW() -5&lt;= MAX(Income!$Z$6:$Z$289),INDEX(Income!$F$6:$Z$289,MATCH(ROW()-5,Income!$Z$6:$Z$289,0),4),"")</f>
        <v/>
      </c>
      <c r="I147" s="3"/>
      <c r="J147" s="3"/>
      <c r="K147" t="str">
        <f>IF(ROW() -5&lt;= MAX(Income!$Z$6:$Z$289),INDEX(Income!$B$6:$Z$289,MATCH(ROW()-5,Income!$Z$6:$Z$289,0),24),"")</f>
        <v/>
      </c>
    </row>
    <row r="148" spans="1:11" x14ac:dyDescent="0.2">
      <c r="A148" s="3"/>
      <c r="B148" s="1962" t="str">
        <f>IF(ROW() -5&lt;= MAX(Income!$Z$6:$Z$289),INDEX(Income!$B$6:$Z$289,MATCH(ROW()-5,Income!$Z$6:$Z$289,0),1),"")</f>
        <v/>
      </c>
      <c r="C148" s="1964" t="str">
        <f>IF(ROW() -5&lt;= MAX(Income!$Z$6:$Z$289),INDEX(Income!$B$6:$Z$289,MATCH(ROW()-5,Income!$Z$6:$Z$289,0),2),"")</f>
        <v/>
      </c>
      <c r="D148" s="1962" t="str">
        <f>IF(ROW() -5&lt;= MAX(Income!$Z$6:$Z$289),INDEX(Income!$B$6:$Z$289,MATCH(ROW()-5,Income!$Z$6:$Z$289,0),4),"")</f>
        <v/>
      </c>
      <c r="E148" s="1962" t="str">
        <f>IF(ROW() -5&lt;= MAX(Income!$Z$6:$Z$289),INDEX(Income!$C$6:$Z$289,MATCH(ROW()-5,Income!$Z$6:$Z$289,0),4),"")</f>
        <v/>
      </c>
      <c r="F148" s="1962" t="str">
        <f>IF(ROW() -5&lt;= MAX(Income!$Z$6:$Z$289),INDEX(Income!$D$6:$Z$289,MATCH(ROW()-5,Income!$Z$6:$Z$289,0),4),"")</f>
        <v/>
      </c>
      <c r="G148" s="1962" t="str">
        <f>IF(ROW() -5&lt;= MAX(Income!$Z$6:$Z$289),INDEX(Income!$E$6:$Z$289,MATCH(ROW()-5,Income!$Z$6:$Z$289,0),4),"")</f>
        <v/>
      </c>
      <c r="H148" s="1962" t="str">
        <f>IF(ROW() -5&lt;= MAX(Income!$Z$6:$Z$289),INDEX(Income!$F$6:$Z$289,MATCH(ROW()-5,Income!$Z$6:$Z$289,0),4),"")</f>
        <v/>
      </c>
      <c r="I148" s="3"/>
      <c r="J148" s="3"/>
      <c r="K148" t="str">
        <f>IF(ROW() -5&lt;= MAX(Income!$Z$6:$Z$289),INDEX(Income!$B$6:$Z$289,MATCH(ROW()-5,Income!$Z$6:$Z$289,0),24),"")</f>
        <v/>
      </c>
    </row>
    <row r="149" spans="1:11" x14ac:dyDescent="0.2">
      <c r="A149" s="3"/>
      <c r="B149" s="1962" t="str">
        <f>IF(ROW() -5&lt;= MAX(Income!$Z$6:$Z$289),INDEX(Income!$B$6:$Z$289,MATCH(ROW()-5,Income!$Z$6:$Z$289,0),1),"")</f>
        <v/>
      </c>
      <c r="C149" s="1964" t="str">
        <f>IF(ROW() -5&lt;= MAX(Income!$Z$6:$Z$289),INDEX(Income!$B$6:$Z$289,MATCH(ROW()-5,Income!$Z$6:$Z$289,0),2),"")</f>
        <v/>
      </c>
      <c r="D149" s="1962" t="str">
        <f>IF(ROW() -5&lt;= MAX(Income!$Z$6:$Z$289),INDEX(Income!$B$6:$Z$289,MATCH(ROW()-5,Income!$Z$6:$Z$289,0),4),"")</f>
        <v/>
      </c>
      <c r="E149" s="1962" t="str">
        <f>IF(ROW() -5&lt;= MAX(Income!$Z$6:$Z$289),INDEX(Income!$C$6:$Z$289,MATCH(ROW()-5,Income!$Z$6:$Z$289,0),4),"")</f>
        <v/>
      </c>
      <c r="F149" s="1962" t="str">
        <f>IF(ROW() -5&lt;= MAX(Income!$Z$6:$Z$289),INDEX(Income!$D$6:$Z$289,MATCH(ROW()-5,Income!$Z$6:$Z$289,0),4),"")</f>
        <v/>
      </c>
      <c r="G149" s="1962" t="str">
        <f>IF(ROW() -5&lt;= MAX(Income!$Z$6:$Z$289),INDEX(Income!$E$6:$Z$289,MATCH(ROW()-5,Income!$Z$6:$Z$289,0),4),"")</f>
        <v/>
      </c>
      <c r="H149" s="1962" t="str">
        <f>IF(ROW() -5&lt;= MAX(Income!$Z$6:$Z$289),INDEX(Income!$F$6:$Z$289,MATCH(ROW()-5,Income!$Z$6:$Z$289,0),4),"")</f>
        <v/>
      </c>
      <c r="I149" s="3"/>
      <c r="J149" s="3"/>
      <c r="K149" t="str">
        <f>IF(ROW() -5&lt;= MAX(Income!$Z$6:$Z$289),INDEX(Income!$B$6:$Z$289,MATCH(ROW()-5,Income!$Z$6:$Z$289,0),24),"")</f>
        <v/>
      </c>
    </row>
    <row r="150" spans="1:11" x14ac:dyDescent="0.2">
      <c r="A150" s="3"/>
      <c r="B150" s="1962" t="str">
        <f>IF(ROW() -5&lt;= MAX(Income!$Z$6:$Z$289),INDEX(Income!$B$6:$Z$289,MATCH(ROW()-5,Income!$Z$6:$Z$289,0),1),"")</f>
        <v/>
      </c>
      <c r="C150" s="1964" t="str">
        <f>IF(ROW() -5&lt;= MAX(Income!$Z$6:$Z$289),INDEX(Income!$B$6:$Z$289,MATCH(ROW()-5,Income!$Z$6:$Z$289,0),2),"")</f>
        <v/>
      </c>
      <c r="D150" s="1962" t="str">
        <f>IF(ROW() -5&lt;= MAX(Income!$Z$6:$Z$289),INDEX(Income!$B$6:$Z$289,MATCH(ROW()-5,Income!$Z$6:$Z$289,0),4),"")</f>
        <v/>
      </c>
      <c r="E150" s="1962" t="str">
        <f>IF(ROW() -5&lt;= MAX(Income!$Z$6:$Z$289),INDEX(Income!$C$6:$Z$289,MATCH(ROW()-5,Income!$Z$6:$Z$289,0),4),"")</f>
        <v/>
      </c>
      <c r="F150" s="1962" t="str">
        <f>IF(ROW() -5&lt;= MAX(Income!$Z$6:$Z$289),INDEX(Income!$D$6:$Z$289,MATCH(ROW()-5,Income!$Z$6:$Z$289,0),4),"")</f>
        <v/>
      </c>
      <c r="G150" s="1962" t="str">
        <f>IF(ROW() -5&lt;= MAX(Income!$Z$6:$Z$289),INDEX(Income!$E$6:$Z$289,MATCH(ROW()-5,Income!$Z$6:$Z$289,0),4),"")</f>
        <v/>
      </c>
      <c r="H150" s="1962" t="str">
        <f>IF(ROW() -5&lt;= MAX(Income!$Z$6:$Z$289),INDEX(Income!$F$6:$Z$289,MATCH(ROW()-5,Income!$Z$6:$Z$289,0),4),"")</f>
        <v/>
      </c>
      <c r="I150" s="3"/>
      <c r="J150" s="3"/>
      <c r="K150" t="str">
        <f>IF(ROW() -5&lt;= MAX(Income!$Z$6:$Z$289),INDEX(Income!$B$6:$Z$289,MATCH(ROW()-5,Income!$Z$6:$Z$289,0),24),"")</f>
        <v/>
      </c>
    </row>
    <row r="151" spans="1:11" x14ac:dyDescent="0.2">
      <c r="A151" s="3"/>
      <c r="B151" s="1962" t="str">
        <f>IF(ROW() -5&lt;= MAX(Income!$Z$6:$Z$289),INDEX(Income!$B$6:$Z$289,MATCH(ROW()-5,Income!$Z$6:$Z$289,0),1),"")</f>
        <v/>
      </c>
      <c r="C151" s="1964" t="str">
        <f>IF(ROW() -5&lt;= MAX(Income!$Z$6:$Z$289),INDEX(Income!$B$6:$Z$289,MATCH(ROW()-5,Income!$Z$6:$Z$289,0),2),"")</f>
        <v/>
      </c>
      <c r="D151" s="1962" t="str">
        <f>IF(ROW() -5&lt;= MAX(Income!$Z$6:$Z$289),INDEX(Income!$B$6:$Z$289,MATCH(ROW()-5,Income!$Z$6:$Z$289,0),4),"")</f>
        <v/>
      </c>
      <c r="E151" s="1962" t="str">
        <f>IF(ROW() -5&lt;= MAX(Income!$Z$6:$Z$289),INDEX(Income!$C$6:$Z$289,MATCH(ROW()-5,Income!$Z$6:$Z$289,0),4),"")</f>
        <v/>
      </c>
      <c r="F151" s="1962" t="str">
        <f>IF(ROW() -5&lt;= MAX(Income!$Z$6:$Z$289),INDEX(Income!$D$6:$Z$289,MATCH(ROW()-5,Income!$Z$6:$Z$289,0),4),"")</f>
        <v/>
      </c>
      <c r="G151" s="1962" t="str">
        <f>IF(ROW() -5&lt;= MAX(Income!$Z$6:$Z$289),INDEX(Income!$E$6:$Z$289,MATCH(ROW()-5,Income!$Z$6:$Z$289,0),4),"")</f>
        <v/>
      </c>
      <c r="H151" s="1962" t="str">
        <f>IF(ROW() -5&lt;= MAX(Income!$Z$6:$Z$289),INDEX(Income!$F$6:$Z$289,MATCH(ROW()-5,Income!$Z$6:$Z$289,0),4),"")</f>
        <v/>
      </c>
      <c r="I151" s="3"/>
      <c r="J151" s="3"/>
      <c r="K151" t="str">
        <f>IF(ROW() -5&lt;= MAX(Income!$Z$6:$Z$289),INDEX(Income!$B$6:$Z$289,MATCH(ROW()-5,Income!$Z$6:$Z$289,0),24),"")</f>
        <v/>
      </c>
    </row>
    <row r="152" spans="1:11" x14ac:dyDescent="0.2">
      <c r="A152" s="3"/>
      <c r="B152" s="1962" t="str">
        <f>IF(ROW() -5&lt;= MAX(Income!$Z$6:$Z$289),INDEX(Income!$B$6:$Z$289,MATCH(ROW()-5,Income!$Z$6:$Z$289,0),1),"")</f>
        <v/>
      </c>
      <c r="C152" s="1964" t="str">
        <f>IF(ROW() -5&lt;= MAX(Income!$Z$6:$Z$289),INDEX(Income!$B$6:$Z$289,MATCH(ROW()-5,Income!$Z$6:$Z$289,0),2),"")</f>
        <v/>
      </c>
      <c r="D152" s="1962" t="str">
        <f>IF(ROW() -5&lt;= MAX(Income!$Z$6:$Z$289),INDEX(Income!$B$6:$Z$289,MATCH(ROW()-5,Income!$Z$6:$Z$289,0),4),"")</f>
        <v/>
      </c>
      <c r="E152" s="1962" t="str">
        <f>IF(ROW() -5&lt;= MAX(Income!$Z$6:$Z$289),INDEX(Income!$C$6:$Z$289,MATCH(ROW()-5,Income!$Z$6:$Z$289,0),4),"")</f>
        <v/>
      </c>
      <c r="F152" s="1962" t="str">
        <f>IF(ROW() -5&lt;= MAX(Income!$Z$6:$Z$289),INDEX(Income!$D$6:$Z$289,MATCH(ROW()-5,Income!$Z$6:$Z$289,0),4),"")</f>
        <v/>
      </c>
      <c r="G152" s="1962" t="str">
        <f>IF(ROW() -5&lt;= MAX(Income!$Z$6:$Z$289),INDEX(Income!$E$6:$Z$289,MATCH(ROW()-5,Income!$Z$6:$Z$289,0),4),"")</f>
        <v/>
      </c>
      <c r="H152" s="1962" t="str">
        <f>IF(ROW() -5&lt;= MAX(Income!$Z$6:$Z$289),INDEX(Income!$F$6:$Z$289,MATCH(ROW()-5,Income!$Z$6:$Z$289,0),4),"")</f>
        <v/>
      </c>
      <c r="I152" s="3"/>
      <c r="J152" s="3"/>
      <c r="K152" t="str">
        <f>IF(ROW() -5&lt;= MAX(Income!$Z$6:$Z$289),INDEX(Income!$B$6:$Z$289,MATCH(ROW()-5,Income!$Z$6:$Z$289,0),24),"")</f>
        <v/>
      </c>
    </row>
    <row r="153" spans="1:11" x14ac:dyDescent="0.2">
      <c r="A153" s="3"/>
      <c r="B153" s="1962" t="str">
        <f>IF(ROW() -5&lt;= MAX(Income!$Z$6:$Z$289),INDEX(Income!$B$6:$Z$289,MATCH(ROW()-5,Income!$Z$6:$Z$289,0),1),"")</f>
        <v/>
      </c>
      <c r="C153" s="1964" t="str">
        <f>IF(ROW() -5&lt;= MAX(Income!$Z$6:$Z$289),INDEX(Income!$B$6:$Z$289,MATCH(ROW()-5,Income!$Z$6:$Z$289,0),2),"")</f>
        <v/>
      </c>
      <c r="D153" s="1962" t="str">
        <f>IF(ROW() -5&lt;= MAX(Income!$Z$6:$Z$289),INDEX(Income!$B$6:$Z$289,MATCH(ROW()-5,Income!$Z$6:$Z$289,0),4),"")</f>
        <v/>
      </c>
      <c r="E153" s="1962" t="str">
        <f>IF(ROW() -5&lt;= MAX(Income!$Z$6:$Z$289),INDEX(Income!$C$6:$Z$289,MATCH(ROW()-5,Income!$Z$6:$Z$289,0),4),"")</f>
        <v/>
      </c>
      <c r="F153" s="1962" t="str">
        <f>IF(ROW() -5&lt;= MAX(Income!$Z$6:$Z$289),INDEX(Income!$D$6:$Z$289,MATCH(ROW()-5,Income!$Z$6:$Z$289,0),4),"")</f>
        <v/>
      </c>
      <c r="G153" s="1962" t="str">
        <f>IF(ROW() -5&lt;= MAX(Income!$Z$6:$Z$289),INDEX(Income!$E$6:$Z$289,MATCH(ROW()-5,Income!$Z$6:$Z$289,0),4),"")</f>
        <v/>
      </c>
      <c r="H153" s="1962" t="str">
        <f>IF(ROW() -5&lt;= MAX(Income!$Z$6:$Z$289),INDEX(Income!$F$6:$Z$289,MATCH(ROW()-5,Income!$Z$6:$Z$289,0),4),"")</f>
        <v/>
      </c>
      <c r="I153" s="3"/>
      <c r="J153" s="3"/>
      <c r="K153" t="str">
        <f>IF(ROW() -5&lt;= MAX(Income!$Z$6:$Z$289),INDEX(Income!$B$6:$Z$289,MATCH(ROW()-5,Income!$Z$6:$Z$289,0),24),"")</f>
        <v/>
      </c>
    </row>
    <row r="154" spans="1:11" x14ac:dyDescent="0.2">
      <c r="A154" s="3"/>
      <c r="B154" s="1962" t="str">
        <f>IF(ROW() -5&lt;= MAX(Income!$Z$6:$Z$289),INDEX(Income!$B$6:$Z$289,MATCH(ROW()-5,Income!$Z$6:$Z$289,0),1),"")</f>
        <v/>
      </c>
      <c r="C154" s="1964" t="str">
        <f>IF(ROW() -5&lt;= MAX(Income!$Z$6:$Z$289),INDEX(Income!$B$6:$Z$289,MATCH(ROW()-5,Income!$Z$6:$Z$289,0),2),"")</f>
        <v/>
      </c>
      <c r="D154" s="1962" t="str">
        <f>IF(ROW() -5&lt;= MAX(Income!$Z$6:$Z$289),INDEX(Income!$B$6:$Z$289,MATCH(ROW()-5,Income!$Z$6:$Z$289,0),4),"")</f>
        <v/>
      </c>
      <c r="E154" s="1962" t="str">
        <f>IF(ROW() -5&lt;= MAX(Income!$Z$6:$Z$289),INDEX(Income!$C$6:$Z$289,MATCH(ROW()-5,Income!$Z$6:$Z$289,0),4),"")</f>
        <v/>
      </c>
      <c r="F154" s="1962" t="str">
        <f>IF(ROW() -5&lt;= MAX(Income!$Z$6:$Z$289),INDEX(Income!$D$6:$Z$289,MATCH(ROW()-5,Income!$Z$6:$Z$289,0),4),"")</f>
        <v/>
      </c>
      <c r="G154" s="1962" t="str">
        <f>IF(ROW() -5&lt;= MAX(Income!$Z$6:$Z$289),INDEX(Income!$E$6:$Z$289,MATCH(ROW()-5,Income!$Z$6:$Z$289,0),4),"")</f>
        <v/>
      </c>
      <c r="H154" s="1962" t="str">
        <f>IF(ROW() -5&lt;= MAX(Income!$Z$6:$Z$289),INDEX(Income!$F$6:$Z$289,MATCH(ROW()-5,Income!$Z$6:$Z$289,0),4),"")</f>
        <v/>
      </c>
      <c r="I154" s="3"/>
      <c r="J154" s="3"/>
      <c r="K154" t="str">
        <f>IF(ROW() -5&lt;= MAX(Income!$Z$6:$Z$289),INDEX(Income!$B$6:$Z$289,MATCH(ROW()-5,Income!$Z$6:$Z$289,0),24),"")</f>
        <v/>
      </c>
    </row>
    <row r="155" spans="1:11" x14ac:dyDescent="0.2">
      <c r="A155" s="3"/>
      <c r="B155" s="1962" t="str">
        <f>IF(ROW() -5&lt;= MAX(Income!$Z$6:$Z$289),INDEX(Income!$B$6:$Z$289,MATCH(ROW()-5,Income!$Z$6:$Z$289,0),1),"")</f>
        <v/>
      </c>
      <c r="C155" s="1964" t="str">
        <f>IF(ROW() -5&lt;= MAX(Income!$Z$6:$Z$289),INDEX(Income!$B$6:$Z$289,MATCH(ROW()-5,Income!$Z$6:$Z$289,0),2),"")</f>
        <v/>
      </c>
      <c r="D155" s="1962" t="str">
        <f>IF(ROW() -5&lt;= MAX(Income!$Z$6:$Z$289),INDEX(Income!$B$6:$Z$289,MATCH(ROW()-5,Income!$Z$6:$Z$289,0),4),"")</f>
        <v/>
      </c>
      <c r="E155" s="1962" t="str">
        <f>IF(ROW() -5&lt;= MAX(Income!$Z$6:$Z$289),INDEX(Income!$C$6:$Z$289,MATCH(ROW()-5,Income!$Z$6:$Z$289,0),4),"")</f>
        <v/>
      </c>
      <c r="F155" s="1962" t="str">
        <f>IF(ROW() -5&lt;= MAX(Income!$Z$6:$Z$289),INDEX(Income!$D$6:$Z$289,MATCH(ROW()-5,Income!$Z$6:$Z$289,0),4),"")</f>
        <v/>
      </c>
      <c r="G155" s="1962" t="str">
        <f>IF(ROW() -5&lt;= MAX(Income!$Z$6:$Z$289),INDEX(Income!$E$6:$Z$289,MATCH(ROW()-5,Income!$Z$6:$Z$289,0),4),"")</f>
        <v/>
      </c>
      <c r="H155" s="1962" t="str">
        <f>IF(ROW() -5&lt;= MAX(Income!$Z$6:$Z$289),INDEX(Income!$F$6:$Z$289,MATCH(ROW()-5,Income!$Z$6:$Z$289,0),4),"")</f>
        <v/>
      </c>
      <c r="I155" s="3"/>
      <c r="J155" s="3"/>
      <c r="K155" t="str">
        <f>IF(ROW() -5&lt;= MAX(Income!$Z$6:$Z$289),INDEX(Income!$B$6:$Z$289,MATCH(ROW()-5,Income!$Z$6:$Z$289,0),24),"")</f>
        <v/>
      </c>
    </row>
    <row r="156" spans="1:11" x14ac:dyDescent="0.2">
      <c r="A156" s="3"/>
      <c r="B156" s="1962" t="str">
        <f>IF(ROW() -5&lt;= MAX(Income!$Z$6:$Z$289),INDEX(Income!$B$6:$Z$289,MATCH(ROW()-5,Income!$Z$6:$Z$289,0),1),"")</f>
        <v/>
      </c>
      <c r="C156" s="1964" t="str">
        <f>IF(ROW() -5&lt;= MAX(Income!$Z$6:$Z$289),INDEX(Income!$B$6:$Z$289,MATCH(ROW()-5,Income!$Z$6:$Z$289,0),2),"")</f>
        <v/>
      </c>
      <c r="D156" s="1962" t="str">
        <f>IF(ROW() -5&lt;= MAX(Income!$Z$6:$Z$289),INDEX(Income!$B$6:$Z$289,MATCH(ROW()-5,Income!$Z$6:$Z$289,0),4),"")</f>
        <v/>
      </c>
      <c r="E156" s="1962" t="str">
        <f>IF(ROW() -5&lt;= MAX(Income!$Z$6:$Z$289),INDEX(Income!$C$6:$Z$289,MATCH(ROW()-5,Income!$Z$6:$Z$289,0),4),"")</f>
        <v/>
      </c>
      <c r="F156" s="1962" t="str">
        <f>IF(ROW() -5&lt;= MAX(Income!$Z$6:$Z$289),INDEX(Income!$D$6:$Z$289,MATCH(ROW()-5,Income!$Z$6:$Z$289,0),4),"")</f>
        <v/>
      </c>
      <c r="G156" s="1962" t="str">
        <f>IF(ROW() -5&lt;= MAX(Income!$Z$6:$Z$289),INDEX(Income!$E$6:$Z$289,MATCH(ROW()-5,Income!$Z$6:$Z$289,0),4),"")</f>
        <v/>
      </c>
      <c r="H156" s="1962" t="str">
        <f>IF(ROW() -5&lt;= MAX(Income!$Z$6:$Z$289),INDEX(Income!$F$6:$Z$289,MATCH(ROW()-5,Income!$Z$6:$Z$289,0),4),"")</f>
        <v/>
      </c>
      <c r="I156" s="3"/>
      <c r="J156" s="3"/>
      <c r="K156" t="str">
        <f>IF(ROW() -5&lt;= MAX(Income!$Z$6:$Z$289),INDEX(Income!$B$6:$Z$289,MATCH(ROW()-5,Income!$Z$6:$Z$289,0),24),"")</f>
        <v/>
      </c>
    </row>
    <row r="157" spans="1:11" x14ac:dyDescent="0.2">
      <c r="A157" s="3"/>
      <c r="B157" s="1962" t="str">
        <f>IF(ROW() -5&lt;= MAX(Income!$Z$6:$Z$289),INDEX(Income!$B$6:$Z$289,MATCH(ROW()-5,Income!$Z$6:$Z$289,0),1),"")</f>
        <v/>
      </c>
      <c r="C157" s="1964" t="str">
        <f>IF(ROW() -5&lt;= MAX(Income!$Z$6:$Z$289),INDEX(Income!$B$6:$Z$289,MATCH(ROW()-5,Income!$Z$6:$Z$289,0),2),"")</f>
        <v/>
      </c>
      <c r="D157" s="1962" t="str">
        <f>IF(ROW() -5&lt;= MAX(Income!$Z$6:$Z$289),INDEX(Income!$B$6:$Z$289,MATCH(ROW()-5,Income!$Z$6:$Z$289,0),4),"")</f>
        <v/>
      </c>
      <c r="E157" s="1962" t="str">
        <f>IF(ROW() -5&lt;= MAX(Income!$Z$6:$Z$289),INDEX(Income!$C$6:$Z$289,MATCH(ROW()-5,Income!$Z$6:$Z$289,0),4),"")</f>
        <v/>
      </c>
      <c r="F157" s="1962" t="str">
        <f>IF(ROW() -5&lt;= MAX(Income!$Z$6:$Z$289),INDEX(Income!$D$6:$Z$289,MATCH(ROW()-5,Income!$Z$6:$Z$289,0),4),"")</f>
        <v/>
      </c>
      <c r="G157" s="1962" t="str">
        <f>IF(ROW() -5&lt;= MAX(Income!$Z$6:$Z$289),INDEX(Income!$E$6:$Z$289,MATCH(ROW()-5,Income!$Z$6:$Z$289,0),4),"")</f>
        <v/>
      </c>
      <c r="H157" s="1962" t="str">
        <f>IF(ROW() -5&lt;= MAX(Income!$Z$6:$Z$289),INDEX(Income!$F$6:$Z$289,MATCH(ROW()-5,Income!$Z$6:$Z$289,0),4),"")</f>
        <v/>
      </c>
      <c r="I157" s="3"/>
      <c r="J157" s="3"/>
      <c r="K157" t="str">
        <f>IF(ROW() -5&lt;= MAX(Income!$Z$6:$Z$289),INDEX(Income!$B$6:$Z$289,MATCH(ROW()-5,Income!$Z$6:$Z$289,0),24),"")</f>
        <v/>
      </c>
    </row>
    <row r="158" spans="1:11" x14ac:dyDescent="0.2">
      <c r="A158" s="3"/>
      <c r="B158" s="1962" t="str">
        <f>IF(ROW() -5&lt;= MAX(Income!$Z$6:$Z$289),INDEX(Income!$B$6:$Z$289,MATCH(ROW()-5,Income!$Z$6:$Z$289,0),1),"")</f>
        <v/>
      </c>
      <c r="C158" s="1964" t="str">
        <f>IF(ROW() -5&lt;= MAX(Income!$Z$6:$Z$289),INDEX(Income!$B$6:$Z$289,MATCH(ROW()-5,Income!$Z$6:$Z$289,0),2),"")</f>
        <v/>
      </c>
      <c r="D158" s="1962" t="str">
        <f>IF(ROW() -5&lt;= MAX(Income!$Z$6:$Z$289),INDEX(Income!$B$6:$Z$289,MATCH(ROW()-5,Income!$Z$6:$Z$289,0),4),"")</f>
        <v/>
      </c>
      <c r="E158" s="1962" t="str">
        <f>IF(ROW() -5&lt;= MAX(Income!$Z$6:$Z$289),INDEX(Income!$C$6:$Z$289,MATCH(ROW()-5,Income!$Z$6:$Z$289,0),4),"")</f>
        <v/>
      </c>
      <c r="F158" s="1962" t="str">
        <f>IF(ROW() -5&lt;= MAX(Income!$Z$6:$Z$289),INDEX(Income!$D$6:$Z$289,MATCH(ROW()-5,Income!$Z$6:$Z$289,0),4),"")</f>
        <v/>
      </c>
      <c r="G158" s="1962" t="str">
        <f>IF(ROW() -5&lt;= MAX(Income!$Z$6:$Z$289),INDEX(Income!$E$6:$Z$289,MATCH(ROW()-5,Income!$Z$6:$Z$289,0),4),"")</f>
        <v/>
      </c>
      <c r="H158" s="1962" t="str">
        <f>IF(ROW() -5&lt;= MAX(Income!$Z$6:$Z$289),INDEX(Income!$F$6:$Z$289,MATCH(ROW()-5,Income!$Z$6:$Z$289,0),4),"")</f>
        <v/>
      </c>
      <c r="I158" s="3"/>
      <c r="J158" s="3"/>
      <c r="K158" t="str">
        <f>IF(ROW() -5&lt;= MAX(Income!$Z$6:$Z$289),INDEX(Income!$B$6:$Z$289,MATCH(ROW()-5,Income!$Z$6:$Z$289,0),24),"")</f>
        <v/>
      </c>
    </row>
    <row r="159" spans="1:11" x14ac:dyDescent="0.2">
      <c r="A159" s="3"/>
      <c r="B159" s="1962" t="str">
        <f>IF(ROW() -5&lt;= MAX(Income!$Z$6:$Z$289),INDEX(Income!$B$6:$Z$289,MATCH(ROW()-5,Income!$Z$6:$Z$289,0),1),"")</f>
        <v/>
      </c>
      <c r="C159" s="1964" t="str">
        <f>IF(ROW() -5&lt;= MAX(Income!$Z$6:$Z$289),INDEX(Income!$B$6:$Z$289,MATCH(ROW()-5,Income!$Z$6:$Z$289,0),2),"")</f>
        <v/>
      </c>
      <c r="D159" s="1962" t="str">
        <f>IF(ROW() -5&lt;= MAX(Income!$Z$6:$Z$289),INDEX(Income!$B$6:$Z$289,MATCH(ROW()-5,Income!$Z$6:$Z$289,0),4),"")</f>
        <v/>
      </c>
      <c r="E159" s="1962" t="str">
        <f>IF(ROW() -5&lt;= MAX(Income!$Z$6:$Z$289),INDEX(Income!$C$6:$Z$289,MATCH(ROW()-5,Income!$Z$6:$Z$289,0),4),"")</f>
        <v/>
      </c>
      <c r="F159" s="1962" t="str">
        <f>IF(ROW() -5&lt;= MAX(Income!$Z$6:$Z$289),INDEX(Income!$D$6:$Z$289,MATCH(ROW()-5,Income!$Z$6:$Z$289,0),4),"")</f>
        <v/>
      </c>
      <c r="G159" s="1962" t="str">
        <f>IF(ROW() -5&lt;= MAX(Income!$Z$6:$Z$289),INDEX(Income!$E$6:$Z$289,MATCH(ROW()-5,Income!$Z$6:$Z$289,0),4),"")</f>
        <v/>
      </c>
      <c r="H159" s="1962" t="str">
        <f>IF(ROW() -5&lt;= MAX(Income!$Z$6:$Z$289),INDEX(Income!$F$6:$Z$289,MATCH(ROW()-5,Income!$Z$6:$Z$289,0),4),"")</f>
        <v/>
      </c>
      <c r="I159" s="3"/>
      <c r="J159" s="3"/>
      <c r="K159" t="str">
        <f>IF(ROW() -5&lt;= MAX(Income!$Z$6:$Z$289),INDEX(Income!$B$6:$Z$289,MATCH(ROW()-5,Income!$Z$6:$Z$289,0),24),"")</f>
        <v/>
      </c>
    </row>
    <row r="160" spans="1:11" x14ac:dyDescent="0.2">
      <c r="A160" s="3"/>
      <c r="B160" s="1962" t="str">
        <f>IF(ROW() -5&lt;= MAX(Income!$Z$6:$Z$289),INDEX(Income!$B$6:$Z$289,MATCH(ROW()-5,Income!$Z$6:$Z$289,0),1),"")</f>
        <v/>
      </c>
      <c r="C160" s="1964" t="str">
        <f>IF(ROW() -5&lt;= MAX(Income!$Z$6:$Z$289),INDEX(Income!$B$6:$Z$289,MATCH(ROW()-5,Income!$Z$6:$Z$289,0),2),"")</f>
        <v/>
      </c>
      <c r="D160" s="1962" t="str">
        <f>IF(ROW() -5&lt;= MAX(Income!$Z$6:$Z$289),INDEX(Income!$B$6:$Z$289,MATCH(ROW()-5,Income!$Z$6:$Z$289,0),4),"")</f>
        <v/>
      </c>
      <c r="E160" s="1962" t="str">
        <f>IF(ROW() -5&lt;= MAX(Income!$Z$6:$Z$289),INDEX(Income!$C$6:$Z$289,MATCH(ROW()-5,Income!$Z$6:$Z$289,0),4),"")</f>
        <v/>
      </c>
      <c r="F160" s="1962" t="str">
        <f>IF(ROW() -5&lt;= MAX(Income!$Z$6:$Z$289),INDEX(Income!$D$6:$Z$289,MATCH(ROW()-5,Income!$Z$6:$Z$289,0),4),"")</f>
        <v/>
      </c>
      <c r="G160" s="1962" t="str">
        <f>IF(ROW() -5&lt;= MAX(Income!$Z$6:$Z$289),INDEX(Income!$E$6:$Z$289,MATCH(ROW()-5,Income!$Z$6:$Z$289,0),4),"")</f>
        <v/>
      </c>
      <c r="H160" s="1962" t="str">
        <f>IF(ROW() -5&lt;= MAX(Income!$Z$6:$Z$289),INDEX(Income!$F$6:$Z$289,MATCH(ROW()-5,Income!$Z$6:$Z$289,0),4),"")</f>
        <v/>
      </c>
      <c r="I160" s="3"/>
      <c r="J160" s="3"/>
      <c r="K160" t="str">
        <f>IF(ROW() -5&lt;= MAX(Income!$Z$6:$Z$289),INDEX(Income!$B$6:$Z$289,MATCH(ROW()-5,Income!$Z$6:$Z$289,0),24),"")</f>
        <v/>
      </c>
    </row>
    <row r="161" spans="1:11" x14ac:dyDescent="0.2">
      <c r="A161" s="3"/>
      <c r="B161" s="1962" t="str">
        <f>IF(ROW() -5&lt;= MAX(Income!$Z$6:$Z$289),INDEX(Income!$B$6:$Z$289,MATCH(ROW()-5,Income!$Z$6:$Z$289,0),1),"")</f>
        <v/>
      </c>
      <c r="C161" s="1964" t="str">
        <f>IF(ROW() -5&lt;= MAX(Income!$Z$6:$Z$289),INDEX(Income!$B$6:$Z$289,MATCH(ROW()-5,Income!$Z$6:$Z$289,0),2),"")</f>
        <v/>
      </c>
      <c r="D161" s="1962" t="str">
        <f>IF(ROW() -5&lt;= MAX(Income!$Z$6:$Z$289),INDEX(Income!$B$6:$Z$289,MATCH(ROW()-5,Income!$Z$6:$Z$289,0),4),"")</f>
        <v/>
      </c>
      <c r="E161" s="1962" t="str">
        <f>IF(ROW() -5&lt;= MAX(Income!$Z$6:$Z$289),INDEX(Income!$C$6:$Z$289,MATCH(ROW()-5,Income!$Z$6:$Z$289,0),4),"")</f>
        <v/>
      </c>
      <c r="F161" s="1962" t="str">
        <f>IF(ROW() -5&lt;= MAX(Income!$Z$6:$Z$289),INDEX(Income!$D$6:$Z$289,MATCH(ROW()-5,Income!$Z$6:$Z$289,0),4),"")</f>
        <v/>
      </c>
      <c r="G161" s="1962" t="str">
        <f>IF(ROW() -5&lt;= MAX(Income!$Z$6:$Z$289),INDEX(Income!$E$6:$Z$289,MATCH(ROW()-5,Income!$Z$6:$Z$289,0),4),"")</f>
        <v/>
      </c>
      <c r="H161" s="1962" t="str">
        <f>IF(ROW() -5&lt;= MAX(Income!$Z$6:$Z$289),INDEX(Income!$F$6:$Z$289,MATCH(ROW()-5,Income!$Z$6:$Z$289,0),4),"")</f>
        <v/>
      </c>
      <c r="I161" s="3"/>
      <c r="J161" s="3"/>
      <c r="K161" t="str">
        <f>IF(ROW() -5&lt;= MAX(Income!$Z$6:$Z$289),INDEX(Income!$B$6:$Z$289,MATCH(ROW()-5,Income!$Z$6:$Z$289,0),24),"")</f>
        <v/>
      </c>
    </row>
    <row r="162" spans="1:11" x14ac:dyDescent="0.2">
      <c r="A162" s="3"/>
      <c r="B162" s="1962" t="str">
        <f>IF(ROW() -5&lt;= MAX(Income!$Z$6:$Z$289),INDEX(Income!$B$6:$Z$289,MATCH(ROW()-5,Income!$Z$6:$Z$289,0),1),"")</f>
        <v/>
      </c>
      <c r="C162" s="1964" t="str">
        <f>IF(ROW() -5&lt;= MAX(Income!$Z$6:$Z$289),INDEX(Income!$B$6:$Z$289,MATCH(ROW()-5,Income!$Z$6:$Z$289,0),2),"")</f>
        <v/>
      </c>
      <c r="D162" s="1962" t="str">
        <f>IF(ROW() -5&lt;= MAX(Income!$Z$6:$Z$289),INDEX(Income!$B$6:$Z$289,MATCH(ROW()-5,Income!$Z$6:$Z$289,0),4),"")</f>
        <v/>
      </c>
      <c r="E162" s="1962" t="str">
        <f>IF(ROW() -5&lt;= MAX(Income!$Z$6:$Z$289),INDEX(Income!$C$6:$Z$289,MATCH(ROW()-5,Income!$Z$6:$Z$289,0),4),"")</f>
        <v/>
      </c>
      <c r="F162" s="1962" t="str">
        <f>IF(ROW() -5&lt;= MAX(Income!$Z$6:$Z$289),INDEX(Income!$D$6:$Z$289,MATCH(ROW()-5,Income!$Z$6:$Z$289,0),4),"")</f>
        <v/>
      </c>
      <c r="G162" s="1962" t="str">
        <f>IF(ROW() -5&lt;= MAX(Income!$Z$6:$Z$289),INDEX(Income!$E$6:$Z$289,MATCH(ROW()-5,Income!$Z$6:$Z$289,0),4),"")</f>
        <v/>
      </c>
      <c r="H162" s="1962" t="str">
        <f>IF(ROW() -5&lt;= MAX(Income!$Z$6:$Z$289),INDEX(Income!$F$6:$Z$289,MATCH(ROW()-5,Income!$Z$6:$Z$289,0),4),"")</f>
        <v/>
      </c>
      <c r="I162" s="3"/>
      <c r="J162" s="3"/>
      <c r="K162" t="str">
        <f>IF(ROW() -5&lt;= MAX(Income!$Z$6:$Z$289),INDEX(Income!$B$6:$Z$289,MATCH(ROW()-5,Income!$Z$6:$Z$289,0),24),"")</f>
        <v/>
      </c>
    </row>
    <row r="163" spans="1:11" x14ac:dyDescent="0.2">
      <c r="A163" s="3"/>
      <c r="B163" s="1962" t="str">
        <f>IF(ROW() -5&lt;= MAX(Income!$Z$6:$Z$289),INDEX(Income!$B$6:$Z$289,MATCH(ROW()-5,Income!$Z$6:$Z$289,0),1),"")</f>
        <v/>
      </c>
      <c r="C163" s="1964" t="str">
        <f>IF(ROW() -5&lt;= MAX(Income!$Z$6:$Z$289),INDEX(Income!$B$6:$Z$289,MATCH(ROW()-5,Income!$Z$6:$Z$289,0),2),"")</f>
        <v/>
      </c>
      <c r="D163" s="1962" t="str">
        <f>IF(ROW() -5&lt;= MAX(Income!$Z$6:$Z$289),INDEX(Income!$B$6:$Z$289,MATCH(ROW()-5,Income!$Z$6:$Z$289,0),4),"")</f>
        <v/>
      </c>
      <c r="E163" s="1962" t="str">
        <f>IF(ROW() -5&lt;= MAX(Income!$Z$6:$Z$289),INDEX(Income!$C$6:$Z$289,MATCH(ROW()-5,Income!$Z$6:$Z$289,0),4),"")</f>
        <v/>
      </c>
      <c r="F163" s="1962" t="str">
        <f>IF(ROW() -5&lt;= MAX(Income!$Z$6:$Z$289),INDEX(Income!$D$6:$Z$289,MATCH(ROW()-5,Income!$Z$6:$Z$289,0),4),"")</f>
        <v/>
      </c>
      <c r="G163" s="1962" t="str">
        <f>IF(ROW() -5&lt;= MAX(Income!$Z$6:$Z$289),INDEX(Income!$E$6:$Z$289,MATCH(ROW()-5,Income!$Z$6:$Z$289,0),4),"")</f>
        <v/>
      </c>
      <c r="H163" s="1962" t="str">
        <f>IF(ROW() -5&lt;= MAX(Income!$Z$6:$Z$289),INDEX(Income!$F$6:$Z$289,MATCH(ROW()-5,Income!$Z$6:$Z$289,0),4),"")</f>
        <v/>
      </c>
      <c r="I163" s="3"/>
      <c r="J163" s="3"/>
      <c r="K163" t="str">
        <f>IF(ROW() -5&lt;= MAX(Income!$Z$6:$Z$289),INDEX(Income!$B$6:$Z$289,MATCH(ROW()-5,Income!$Z$6:$Z$289,0),24),"")</f>
        <v/>
      </c>
    </row>
    <row r="164" spans="1:11" x14ac:dyDescent="0.2">
      <c r="A164" s="3"/>
      <c r="B164" s="1962" t="str">
        <f>IF(ROW() -5&lt;= MAX(Income!$Z$6:$Z$289),INDEX(Income!$B$6:$Z$289,MATCH(ROW()-5,Income!$Z$6:$Z$289,0),1),"")</f>
        <v/>
      </c>
      <c r="C164" s="1964" t="str">
        <f>IF(ROW() -5&lt;= MAX(Income!$Z$6:$Z$289),INDEX(Income!$B$6:$Z$289,MATCH(ROW()-5,Income!$Z$6:$Z$289,0),2),"")</f>
        <v/>
      </c>
      <c r="D164" s="1962" t="str">
        <f>IF(ROW() -5&lt;= MAX(Income!$Z$6:$Z$289),INDEX(Income!$B$6:$Z$289,MATCH(ROW()-5,Income!$Z$6:$Z$289,0),4),"")</f>
        <v/>
      </c>
      <c r="E164" s="1962" t="str">
        <f>IF(ROW() -5&lt;= MAX(Income!$Z$6:$Z$289),INDEX(Income!$C$6:$Z$289,MATCH(ROW()-5,Income!$Z$6:$Z$289,0),4),"")</f>
        <v/>
      </c>
      <c r="F164" s="1962" t="str">
        <f>IF(ROW() -5&lt;= MAX(Income!$Z$6:$Z$289),INDEX(Income!$D$6:$Z$289,MATCH(ROW()-5,Income!$Z$6:$Z$289,0),4),"")</f>
        <v/>
      </c>
      <c r="G164" s="1962" t="str">
        <f>IF(ROW() -5&lt;= MAX(Income!$Z$6:$Z$289),INDEX(Income!$E$6:$Z$289,MATCH(ROW()-5,Income!$Z$6:$Z$289,0),4),"")</f>
        <v/>
      </c>
      <c r="H164" s="1962" t="str">
        <f>IF(ROW() -5&lt;= MAX(Income!$Z$6:$Z$289),INDEX(Income!$F$6:$Z$289,MATCH(ROW()-5,Income!$Z$6:$Z$289,0),4),"")</f>
        <v/>
      </c>
      <c r="I164" s="3"/>
      <c r="J164" s="3"/>
      <c r="K164" t="str">
        <f>IF(ROW() -5&lt;= MAX(Income!$Z$6:$Z$289),INDEX(Income!$B$6:$Z$289,MATCH(ROW()-5,Income!$Z$6:$Z$289,0),24),"")</f>
        <v/>
      </c>
    </row>
    <row r="165" spans="1:11" x14ac:dyDescent="0.2">
      <c r="A165" s="3"/>
      <c r="B165" s="1962" t="str">
        <f>IF(ROW() -5&lt;= MAX(Income!$Z$6:$Z$289),INDEX(Income!$B$6:$Z$289,MATCH(ROW()-5,Income!$Z$6:$Z$289,0),1),"")</f>
        <v/>
      </c>
      <c r="C165" s="1964" t="str">
        <f>IF(ROW() -5&lt;= MAX(Income!$Z$6:$Z$289),INDEX(Income!$B$6:$Z$289,MATCH(ROW()-5,Income!$Z$6:$Z$289,0),2),"")</f>
        <v/>
      </c>
      <c r="D165" s="1962" t="str">
        <f>IF(ROW() -5&lt;= MAX(Income!$Z$6:$Z$289),INDEX(Income!$B$6:$Z$289,MATCH(ROW()-5,Income!$Z$6:$Z$289,0),4),"")</f>
        <v/>
      </c>
      <c r="E165" s="1962" t="str">
        <f>IF(ROW() -5&lt;= MAX(Income!$Z$6:$Z$289),INDEX(Income!$C$6:$Z$289,MATCH(ROW()-5,Income!$Z$6:$Z$289,0),4),"")</f>
        <v/>
      </c>
      <c r="F165" s="1962" t="str">
        <f>IF(ROW() -5&lt;= MAX(Income!$Z$6:$Z$289),INDEX(Income!$D$6:$Z$289,MATCH(ROW()-5,Income!$Z$6:$Z$289,0),4),"")</f>
        <v/>
      </c>
      <c r="G165" s="1962" t="str">
        <f>IF(ROW() -5&lt;= MAX(Income!$Z$6:$Z$289),INDEX(Income!$E$6:$Z$289,MATCH(ROW()-5,Income!$Z$6:$Z$289,0),4),"")</f>
        <v/>
      </c>
      <c r="H165" s="1962" t="str">
        <f>IF(ROW() -5&lt;= MAX(Income!$Z$6:$Z$289),INDEX(Income!$F$6:$Z$289,MATCH(ROW()-5,Income!$Z$6:$Z$289,0),4),"")</f>
        <v/>
      </c>
      <c r="I165" s="3"/>
      <c r="J165" s="3"/>
      <c r="K165" t="str">
        <f>IF(ROW() -5&lt;= MAX(Income!$Z$6:$Z$289),INDEX(Income!$B$6:$Z$289,MATCH(ROW()-5,Income!$Z$6:$Z$289,0),24),"")</f>
        <v/>
      </c>
    </row>
    <row r="166" spans="1:11" x14ac:dyDescent="0.2">
      <c r="A166" s="3"/>
      <c r="B166" s="1962" t="str">
        <f>IF(ROW() -5&lt;= MAX(Income!$Z$6:$Z$289),INDEX(Income!$B$6:$Z$289,MATCH(ROW()-5,Income!$Z$6:$Z$289,0),1),"")</f>
        <v/>
      </c>
      <c r="C166" s="1964" t="str">
        <f>IF(ROW() -5&lt;= MAX(Income!$Z$6:$Z$289),INDEX(Income!$B$6:$Z$289,MATCH(ROW()-5,Income!$Z$6:$Z$289,0),2),"")</f>
        <v/>
      </c>
      <c r="D166" s="1962" t="str">
        <f>IF(ROW() -5&lt;= MAX(Income!$Z$6:$Z$289),INDEX(Income!$B$6:$Z$289,MATCH(ROW()-5,Income!$Z$6:$Z$289,0),4),"")</f>
        <v/>
      </c>
      <c r="E166" s="1962" t="str">
        <f>IF(ROW() -5&lt;= MAX(Income!$Z$6:$Z$289),INDEX(Income!$C$6:$Z$289,MATCH(ROW()-5,Income!$Z$6:$Z$289,0),4),"")</f>
        <v/>
      </c>
      <c r="F166" s="1962" t="str">
        <f>IF(ROW() -5&lt;= MAX(Income!$Z$6:$Z$289),INDEX(Income!$D$6:$Z$289,MATCH(ROW()-5,Income!$Z$6:$Z$289,0),4),"")</f>
        <v/>
      </c>
      <c r="G166" s="1962" t="str">
        <f>IF(ROW() -5&lt;= MAX(Income!$Z$6:$Z$289),INDEX(Income!$E$6:$Z$289,MATCH(ROW()-5,Income!$Z$6:$Z$289,0),4),"")</f>
        <v/>
      </c>
      <c r="H166" s="1962" t="str">
        <f>IF(ROW() -5&lt;= MAX(Income!$Z$6:$Z$289),INDEX(Income!$F$6:$Z$289,MATCH(ROW()-5,Income!$Z$6:$Z$289,0),4),"")</f>
        <v/>
      </c>
      <c r="I166" s="3"/>
      <c r="J166" s="3"/>
      <c r="K166" t="str">
        <f>IF(ROW() -5&lt;= MAX(Income!$Z$6:$Z$289),INDEX(Income!$B$6:$Z$289,MATCH(ROW()-5,Income!$Z$6:$Z$289,0),24),"")</f>
        <v/>
      </c>
    </row>
    <row r="167" spans="1:11" x14ac:dyDescent="0.2">
      <c r="A167" s="3"/>
      <c r="B167" s="1962" t="str">
        <f>IF(ROW() -5&lt;= MAX(Income!$Z$6:$Z$289),INDEX(Income!$B$6:$Z$289,MATCH(ROW()-5,Income!$Z$6:$Z$289,0),1),"")</f>
        <v/>
      </c>
      <c r="C167" s="1964" t="str">
        <f>IF(ROW() -5&lt;= MAX(Income!$Z$6:$Z$289),INDEX(Income!$B$6:$Z$289,MATCH(ROW()-5,Income!$Z$6:$Z$289,0),2),"")</f>
        <v/>
      </c>
      <c r="D167" s="1962" t="str">
        <f>IF(ROW() -5&lt;= MAX(Income!$Z$6:$Z$289),INDEX(Income!$B$6:$Z$289,MATCH(ROW()-5,Income!$Z$6:$Z$289,0),4),"")</f>
        <v/>
      </c>
      <c r="E167" s="1962" t="str">
        <f>IF(ROW() -5&lt;= MAX(Income!$Z$6:$Z$289),INDEX(Income!$C$6:$Z$289,MATCH(ROW()-5,Income!$Z$6:$Z$289,0),4),"")</f>
        <v/>
      </c>
      <c r="F167" s="1962" t="str">
        <f>IF(ROW() -5&lt;= MAX(Income!$Z$6:$Z$289),INDEX(Income!$D$6:$Z$289,MATCH(ROW()-5,Income!$Z$6:$Z$289,0),4),"")</f>
        <v/>
      </c>
      <c r="G167" s="1962" t="str">
        <f>IF(ROW() -5&lt;= MAX(Income!$Z$6:$Z$289),INDEX(Income!$E$6:$Z$289,MATCH(ROW()-5,Income!$Z$6:$Z$289,0),4),"")</f>
        <v/>
      </c>
      <c r="H167" s="1962" t="str">
        <f>IF(ROW() -5&lt;= MAX(Income!$Z$6:$Z$289),INDEX(Income!$F$6:$Z$289,MATCH(ROW()-5,Income!$Z$6:$Z$289,0),4),"")</f>
        <v/>
      </c>
      <c r="I167" s="3"/>
      <c r="J167" s="3"/>
      <c r="K167" t="str">
        <f>IF(ROW() -5&lt;= MAX(Income!$Z$6:$Z$289),INDEX(Income!$B$6:$Z$289,MATCH(ROW()-5,Income!$Z$6:$Z$289,0),24),"")</f>
        <v/>
      </c>
    </row>
    <row r="168" spans="1:11" x14ac:dyDescent="0.2">
      <c r="A168" s="3"/>
      <c r="B168" s="1962" t="str">
        <f>IF(ROW() -5&lt;= MAX(Income!$Z$6:$Z$289),INDEX(Income!$B$6:$Z$289,MATCH(ROW()-5,Income!$Z$6:$Z$289,0),1),"")</f>
        <v/>
      </c>
      <c r="C168" s="1964" t="str">
        <f>IF(ROW() -5&lt;= MAX(Income!$Z$6:$Z$289),INDEX(Income!$B$6:$Z$289,MATCH(ROW()-5,Income!$Z$6:$Z$289,0),2),"")</f>
        <v/>
      </c>
      <c r="D168" s="1962" t="str">
        <f>IF(ROW() -5&lt;= MAX(Income!$Z$6:$Z$289),INDEX(Income!$B$6:$Z$289,MATCH(ROW()-5,Income!$Z$6:$Z$289,0),4),"")</f>
        <v/>
      </c>
      <c r="E168" s="1962" t="str">
        <f>IF(ROW() -5&lt;= MAX(Income!$Z$6:$Z$289),INDEX(Income!$C$6:$Z$289,MATCH(ROW()-5,Income!$Z$6:$Z$289,0),4),"")</f>
        <v/>
      </c>
      <c r="F168" s="1962" t="str">
        <f>IF(ROW() -5&lt;= MAX(Income!$Z$6:$Z$289),INDEX(Income!$D$6:$Z$289,MATCH(ROW()-5,Income!$Z$6:$Z$289,0),4),"")</f>
        <v/>
      </c>
      <c r="G168" s="1962" t="str">
        <f>IF(ROW() -5&lt;= MAX(Income!$Z$6:$Z$289),INDEX(Income!$E$6:$Z$289,MATCH(ROW()-5,Income!$Z$6:$Z$289,0),4),"")</f>
        <v/>
      </c>
      <c r="H168" s="1962" t="str">
        <f>IF(ROW() -5&lt;= MAX(Income!$Z$6:$Z$289),INDEX(Income!$F$6:$Z$289,MATCH(ROW()-5,Income!$Z$6:$Z$289,0),4),"")</f>
        <v/>
      </c>
      <c r="I168" s="3"/>
      <c r="J168" s="3"/>
      <c r="K168" t="str">
        <f>IF(ROW() -5&lt;= MAX(Income!$Z$6:$Z$289),INDEX(Income!$B$6:$Z$289,MATCH(ROW()-5,Income!$Z$6:$Z$289,0),24),"")</f>
        <v/>
      </c>
    </row>
    <row r="169" spans="1:11" x14ac:dyDescent="0.2">
      <c r="A169" s="3"/>
      <c r="B169" s="1962" t="str">
        <f>IF(ROW() -5&lt;= MAX(Income!$Z$6:$Z$289),INDEX(Income!$B$6:$Z$289,MATCH(ROW()-5,Income!$Z$6:$Z$289,0),1),"")</f>
        <v/>
      </c>
      <c r="C169" s="1964" t="str">
        <f>IF(ROW() -5&lt;= MAX(Income!$Z$6:$Z$289),INDEX(Income!$B$6:$Z$289,MATCH(ROW()-5,Income!$Z$6:$Z$289,0),2),"")</f>
        <v/>
      </c>
      <c r="D169" s="1962" t="str">
        <f>IF(ROW() -5&lt;= MAX(Income!$Z$6:$Z$289),INDEX(Income!$B$6:$Z$289,MATCH(ROW()-5,Income!$Z$6:$Z$289,0),4),"")</f>
        <v/>
      </c>
      <c r="E169" s="1962" t="str">
        <f>IF(ROW() -5&lt;= MAX(Income!$Z$6:$Z$289),INDEX(Income!$C$6:$Z$289,MATCH(ROW()-5,Income!$Z$6:$Z$289,0),4),"")</f>
        <v/>
      </c>
      <c r="F169" s="1962" t="str">
        <f>IF(ROW() -5&lt;= MAX(Income!$Z$6:$Z$289),INDEX(Income!$D$6:$Z$289,MATCH(ROW()-5,Income!$Z$6:$Z$289,0),4),"")</f>
        <v/>
      </c>
      <c r="G169" s="1962" t="str">
        <f>IF(ROW() -5&lt;= MAX(Income!$Z$6:$Z$289),INDEX(Income!$E$6:$Z$289,MATCH(ROW()-5,Income!$Z$6:$Z$289,0),4),"")</f>
        <v/>
      </c>
      <c r="H169" s="1962" t="str">
        <f>IF(ROW() -5&lt;= MAX(Income!$Z$6:$Z$289),INDEX(Income!$F$6:$Z$289,MATCH(ROW()-5,Income!$Z$6:$Z$289,0),4),"")</f>
        <v/>
      </c>
      <c r="I169" s="3"/>
      <c r="J169" s="3"/>
      <c r="K169" t="str">
        <f>IF(ROW() -5&lt;= MAX(Income!$Z$6:$Z$289),INDEX(Income!$B$6:$Z$289,MATCH(ROW()-5,Income!$Z$6:$Z$289,0),24),"")</f>
        <v/>
      </c>
    </row>
    <row r="170" spans="1:11" x14ac:dyDescent="0.2">
      <c r="A170" s="3"/>
      <c r="B170" s="1962" t="str">
        <f>IF(ROW() -5&lt;= MAX(Income!$Z$6:$Z$289),INDEX(Income!$B$6:$Z$289,MATCH(ROW()-5,Income!$Z$6:$Z$289,0),1),"")</f>
        <v/>
      </c>
      <c r="C170" s="1964" t="str">
        <f>IF(ROW() -5&lt;= MAX(Income!$Z$6:$Z$289),INDEX(Income!$B$6:$Z$289,MATCH(ROW()-5,Income!$Z$6:$Z$289,0),2),"")</f>
        <v/>
      </c>
      <c r="D170" s="1962" t="str">
        <f>IF(ROW() -5&lt;= MAX(Income!$Z$6:$Z$289),INDEX(Income!$B$6:$Z$289,MATCH(ROW()-5,Income!$Z$6:$Z$289,0),4),"")</f>
        <v/>
      </c>
      <c r="E170" s="1962" t="str">
        <f>IF(ROW() -5&lt;= MAX(Income!$Z$6:$Z$289),INDEX(Income!$C$6:$Z$289,MATCH(ROW()-5,Income!$Z$6:$Z$289,0),4),"")</f>
        <v/>
      </c>
      <c r="F170" s="1962" t="str">
        <f>IF(ROW() -5&lt;= MAX(Income!$Z$6:$Z$289),INDEX(Income!$D$6:$Z$289,MATCH(ROW()-5,Income!$Z$6:$Z$289,0),4),"")</f>
        <v/>
      </c>
      <c r="G170" s="1962" t="str">
        <f>IF(ROW() -5&lt;= MAX(Income!$Z$6:$Z$289),INDEX(Income!$E$6:$Z$289,MATCH(ROW()-5,Income!$Z$6:$Z$289,0),4),"")</f>
        <v/>
      </c>
      <c r="H170" s="1962" t="str">
        <f>IF(ROW() -5&lt;= MAX(Income!$Z$6:$Z$289),INDEX(Income!$F$6:$Z$289,MATCH(ROW()-5,Income!$Z$6:$Z$289,0),4),"")</f>
        <v/>
      </c>
      <c r="I170" s="3"/>
      <c r="J170" s="3"/>
      <c r="K170" t="str">
        <f>IF(ROW() -5&lt;= MAX(Income!$Z$6:$Z$289),INDEX(Income!$B$6:$Z$289,MATCH(ROW()-5,Income!$Z$6:$Z$289,0),24),"")</f>
        <v/>
      </c>
    </row>
    <row r="171" spans="1:11" x14ac:dyDescent="0.2">
      <c r="A171" s="3"/>
      <c r="B171" s="1962" t="str">
        <f>IF(ROW() -5&lt;= MAX(Income!$Z$6:$Z$289),INDEX(Income!$B$6:$Z$289,MATCH(ROW()-5,Income!$Z$6:$Z$289,0),1),"")</f>
        <v/>
      </c>
      <c r="C171" s="1964" t="str">
        <f>IF(ROW() -5&lt;= MAX(Income!$Z$6:$Z$289),INDEX(Income!$B$6:$Z$289,MATCH(ROW()-5,Income!$Z$6:$Z$289,0),2),"")</f>
        <v/>
      </c>
      <c r="D171" s="1962" t="str">
        <f>IF(ROW() -5&lt;= MAX(Income!$Z$6:$Z$289),INDEX(Income!$B$6:$Z$289,MATCH(ROW()-5,Income!$Z$6:$Z$289,0),4),"")</f>
        <v/>
      </c>
      <c r="E171" s="1962" t="str">
        <f>IF(ROW() -5&lt;= MAX(Income!$Z$6:$Z$289),INDEX(Income!$C$6:$Z$289,MATCH(ROW()-5,Income!$Z$6:$Z$289,0),4),"")</f>
        <v/>
      </c>
      <c r="F171" s="1962" t="str">
        <f>IF(ROW() -5&lt;= MAX(Income!$Z$6:$Z$289),INDEX(Income!$D$6:$Z$289,MATCH(ROW()-5,Income!$Z$6:$Z$289,0),4),"")</f>
        <v/>
      </c>
      <c r="G171" s="1962" t="str">
        <f>IF(ROW() -5&lt;= MAX(Income!$Z$6:$Z$289),INDEX(Income!$E$6:$Z$289,MATCH(ROW()-5,Income!$Z$6:$Z$289,0),4),"")</f>
        <v/>
      </c>
      <c r="H171" s="1962" t="str">
        <f>IF(ROW() -5&lt;= MAX(Income!$Z$6:$Z$289),INDEX(Income!$F$6:$Z$289,MATCH(ROW()-5,Income!$Z$6:$Z$289,0),4),"")</f>
        <v/>
      </c>
      <c r="I171" s="3"/>
      <c r="J171" s="3"/>
      <c r="K171" t="str">
        <f>IF(ROW() -5&lt;= MAX(Income!$Z$6:$Z$289),INDEX(Income!$B$6:$Z$289,MATCH(ROW()-5,Income!$Z$6:$Z$289,0),24),"")</f>
        <v/>
      </c>
    </row>
    <row r="172" spans="1:11" x14ac:dyDescent="0.2">
      <c r="A172" s="3"/>
      <c r="B172" s="1962" t="str">
        <f>IF(ROW() -5&lt;= MAX(Income!$Z$6:$Z$289),INDEX(Income!$B$6:$Z$289,MATCH(ROW()-5,Income!$Z$6:$Z$289,0),1),"")</f>
        <v/>
      </c>
      <c r="C172" s="1964" t="str">
        <f>IF(ROW() -5&lt;= MAX(Income!$Z$6:$Z$289),INDEX(Income!$B$6:$Z$289,MATCH(ROW()-5,Income!$Z$6:$Z$289,0),2),"")</f>
        <v/>
      </c>
      <c r="D172" s="1962" t="str">
        <f>IF(ROW() -5&lt;= MAX(Income!$Z$6:$Z$289),INDEX(Income!$B$6:$Z$289,MATCH(ROW()-5,Income!$Z$6:$Z$289,0),4),"")</f>
        <v/>
      </c>
      <c r="E172" s="1962" t="str">
        <f>IF(ROW() -5&lt;= MAX(Income!$Z$6:$Z$289),INDEX(Income!$C$6:$Z$289,MATCH(ROW()-5,Income!$Z$6:$Z$289,0),4),"")</f>
        <v/>
      </c>
      <c r="F172" s="1962" t="str">
        <f>IF(ROW() -5&lt;= MAX(Income!$Z$6:$Z$289),INDEX(Income!$D$6:$Z$289,MATCH(ROW()-5,Income!$Z$6:$Z$289,0),4),"")</f>
        <v/>
      </c>
      <c r="G172" s="1962" t="str">
        <f>IF(ROW() -5&lt;= MAX(Income!$Z$6:$Z$289),INDEX(Income!$E$6:$Z$289,MATCH(ROW()-5,Income!$Z$6:$Z$289,0),4),"")</f>
        <v/>
      </c>
      <c r="H172" s="1962" t="str">
        <f>IF(ROW() -5&lt;= MAX(Income!$Z$6:$Z$289),INDEX(Income!$F$6:$Z$289,MATCH(ROW()-5,Income!$Z$6:$Z$289,0),4),"")</f>
        <v/>
      </c>
      <c r="I172" s="3"/>
      <c r="J172" s="3"/>
      <c r="K172" t="str">
        <f>IF(ROW() -5&lt;= MAX(Income!$Z$6:$Z$289),INDEX(Income!$B$6:$Z$289,MATCH(ROW()-5,Income!$Z$6:$Z$289,0),24),"")</f>
        <v/>
      </c>
    </row>
    <row r="173" spans="1:11" x14ac:dyDescent="0.2">
      <c r="A173" s="3"/>
      <c r="B173" s="1962" t="str">
        <f>IF(ROW() -5&lt;= MAX(Income!$Z$6:$Z$289),INDEX(Income!$B$6:$Z$289,MATCH(ROW()-5,Income!$Z$6:$Z$289,0),1),"")</f>
        <v/>
      </c>
      <c r="C173" s="1964" t="str">
        <f>IF(ROW() -5&lt;= MAX(Income!$Z$6:$Z$289),INDEX(Income!$B$6:$Z$289,MATCH(ROW()-5,Income!$Z$6:$Z$289,0),2),"")</f>
        <v/>
      </c>
      <c r="D173" s="1962" t="str">
        <f>IF(ROW() -5&lt;= MAX(Income!$Z$6:$Z$289),INDEX(Income!$B$6:$Z$289,MATCH(ROW()-5,Income!$Z$6:$Z$289,0),4),"")</f>
        <v/>
      </c>
      <c r="E173" s="1962" t="str">
        <f>IF(ROW() -5&lt;= MAX(Income!$Z$6:$Z$289),INDEX(Income!$C$6:$Z$289,MATCH(ROW()-5,Income!$Z$6:$Z$289,0),4),"")</f>
        <v/>
      </c>
      <c r="F173" s="1962" t="str">
        <f>IF(ROW() -5&lt;= MAX(Income!$Z$6:$Z$289),INDEX(Income!$D$6:$Z$289,MATCH(ROW()-5,Income!$Z$6:$Z$289,0),4),"")</f>
        <v/>
      </c>
      <c r="G173" s="1962" t="str">
        <f>IF(ROW() -5&lt;= MAX(Income!$Z$6:$Z$289),INDEX(Income!$E$6:$Z$289,MATCH(ROW()-5,Income!$Z$6:$Z$289,0),4),"")</f>
        <v/>
      </c>
      <c r="H173" s="1962" t="str">
        <f>IF(ROW() -5&lt;= MAX(Income!$Z$6:$Z$289),INDEX(Income!$F$6:$Z$289,MATCH(ROW()-5,Income!$Z$6:$Z$289,0),4),"")</f>
        <v/>
      </c>
      <c r="I173" s="3"/>
      <c r="J173" s="3"/>
      <c r="K173" t="str">
        <f>IF(ROW() -5&lt;= MAX(Income!$Z$6:$Z$289),INDEX(Income!$B$6:$Z$289,MATCH(ROW()-5,Income!$Z$6:$Z$289,0),24),"")</f>
        <v/>
      </c>
    </row>
    <row r="174" spans="1:11" x14ac:dyDescent="0.2">
      <c r="A174" s="3"/>
      <c r="B174" s="1962" t="str">
        <f>IF(ROW() -5&lt;= MAX(Income!$Z$6:$Z$289),INDEX(Income!$B$6:$Z$289,MATCH(ROW()-5,Income!$Z$6:$Z$289,0),1),"")</f>
        <v/>
      </c>
      <c r="C174" s="1964" t="str">
        <f>IF(ROW() -5&lt;= MAX(Income!$Z$6:$Z$289),INDEX(Income!$B$6:$Z$289,MATCH(ROW()-5,Income!$Z$6:$Z$289,0),2),"")</f>
        <v/>
      </c>
      <c r="D174" s="1962" t="str">
        <f>IF(ROW() -5&lt;= MAX(Income!$Z$6:$Z$289),INDEX(Income!$B$6:$Z$289,MATCH(ROW()-5,Income!$Z$6:$Z$289,0),4),"")</f>
        <v/>
      </c>
      <c r="E174" s="1962" t="str">
        <f>IF(ROW() -5&lt;= MAX(Income!$Z$6:$Z$289),INDEX(Income!$C$6:$Z$289,MATCH(ROW()-5,Income!$Z$6:$Z$289,0),4),"")</f>
        <v/>
      </c>
      <c r="F174" s="1962" t="str">
        <f>IF(ROW() -5&lt;= MAX(Income!$Z$6:$Z$289),INDEX(Income!$D$6:$Z$289,MATCH(ROW()-5,Income!$Z$6:$Z$289,0),4),"")</f>
        <v/>
      </c>
      <c r="G174" s="1962" t="str">
        <f>IF(ROW() -5&lt;= MAX(Income!$Z$6:$Z$289),INDEX(Income!$E$6:$Z$289,MATCH(ROW()-5,Income!$Z$6:$Z$289,0),4),"")</f>
        <v/>
      </c>
      <c r="H174" s="1962" t="str">
        <f>IF(ROW() -5&lt;= MAX(Income!$Z$6:$Z$289),INDEX(Income!$F$6:$Z$289,MATCH(ROW()-5,Income!$Z$6:$Z$289,0),4),"")</f>
        <v/>
      </c>
      <c r="I174" s="3"/>
      <c r="J174" s="3"/>
      <c r="K174" t="str">
        <f>IF(ROW() -5&lt;= MAX(Income!$Z$6:$Z$289),INDEX(Income!$B$6:$Z$289,MATCH(ROW()-5,Income!$Z$6:$Z$289,0),24),"")</f>
        <v/>
      </c>
    </row>
    <row r="175" spans="1:11" x14ac:dyDescent="0.2">
      <c r="A175" s="3"/>
      <c r="B175" s="1962" t="str">
        <f>IF(ROW() -5&lt;= MAX(Income!$Z$6:$Z$289),INDEX(Income!$B$6:$Z$289,MATCH(ROW()-5,Income!$Z$6:$Z$289,0),1),"")</f>
        <v/>
      </c>
      <c r="C175" s="1964" t="str">
        <f>IF(ROW() -5&lt;= MAX(Income!$Z$6:$Z$289),INDEX(Income!$B$6:$Z$289,MATCH(ROW()-5,Income!$Z$6:$Z$289,0),2),"")</f>
        <v/>
      </c>
      <c r="D175" s="1962" t="str">
        <f>IF(ROW() -5&lt;= MAX(Income!$Z$6:$Z$289),INDEX(Income!$B$6:$Z$289,MATCH(ROW()-5,Income!$Z$6:$Z$289,0),4),"")</f>
        <v/>
      </c>
      <c r="E175" s="1962" t="str">
        <f>IF(ROW() -5&lt;= MAX(Income!$Z$6:$Z$289),INDEX(Income!$C$6:$Z$289,MATCH(ROW()-5,Income!$Z$6:$Z$289,0),4),"")</f>
        <v/>
      </c>
      <c r="F175" s="1962" t="str">
        <f>IF(ROW() -5&lt;= MAX(Income!$Z$6:$Z$289),INDEX(Income!$D$6:$Z$289,MATCH(ROW()-5,Income!$Z$6:$Z$289,0),4),"")</f>
        <v/>
      </c>
      <c r="G175" s="1962" t="str">
        <f>IF(ROW() -5&lt;= MAX(Income!$Z$6:$Z$289),INDEX(Income!$E$6:$Z$289,MATCH(ROW()-5,Income!$Z$6:$Z$289,0),4),"")</f>
        <v/>
      </c>
      <c r="H175" s="1962" t="str">
        <f>IF(ROW() -5&lt;= MAX(Income!$Z$6:$Z$289),INDEX(Income!$F$6:$Z$289,MATCH(ROW()-5,Income!$Z$6:$Z$289,0),4),"")</f>
        <v/>
      </c>
      <c r="I175" s="3"/>
      <c r="J175" s="3"/>
      <c r="K175" t="str">
        <f>IF(ROW() -5&lt;= MAX(Income!$Z$6:$Z$289),INDEX(Income!$B$6:$Z$289,MATCH(ROW()-5,Income!$Z$6:$Z$289,0),24),"")</f>
        <v/>
      </c>
    </row>
    <row r="176" spans="1:11" x14ac:dyDescent="0.2">
      <c r="A176" s="3"/>
      <c r="B176" s="1962" t="str">
        <f>IF(ROW() -5&lt;= MAX(Income!$Z$6:$Z$289),INDEX(Income!$B$6:$Z$289,MATCH(ROW()-5,Income!$Z$6:$Z$289,0),1),"")</f>
        <v/>
      </c>
      <c r="C176" s="1964" t="str">
        <f>IF(ROW() -5&lt;= MAX(Income!$Z$6:$Z$289),INDEX(Income!$B$6:$Z$289,MATCH(ROW()-5,Income!$Z$6:$Z$289,0),2),"")</f>
        <v/>
      </c>
      <c r="D176" s="1962" t="str">
        <f>IF(ROW() -5&lt;= MAX(Income!$Z$6:$Z$289),INDEX(Income!$B$6:$Z$289,MATCH(ROW()-5,Income!$Z$6:$Z$289,0),4),"")</f>
        <v/>
      </c>
      <c r="E176" s="1962" t="str">
        <f>IF(ROW() -5&lt;= MAX(Income!$Z$6:$Z$289),INDEX(Income!$C$6:$Z$289,MATCH(ROW()-5,Income!$Z$6:$Z$289,0),4),"")</f>
        <v/>
      </c>
      <c r="F176" s="1962" t="str">
        <f>IF(ROW() -5&lt;= MAX(Income!$Z$6:$Z$289),INDEX(Income!$D$6:$Z$289,MATCH(ROW()-5,Income!$Z$6:$Z$289,0),4),"")</f>
        <v/>
      </c>
      <c r="G176" s="1962" t="str">
        <f>IF(ROW() -5&lt;= MAX(Income!$Z$6:$Z$289),INDEX(Income!$E$6:$Z$289,MATCH(ROW()-5,Income!$Z$6:$Z$289,0),4),"")</f>
        <v/>
      </c>
      <c r="H176" s="1962" t="str">
        <f>IF(ROW() -5&lt;= MAX(Income!$Z$6:$Z$289),INDEX(Income!$F$6:$Z$289,MATCH(ROW()-5,Income!$Z$6:$Z$289,0),4),"")</f>
        <v/>
      </c>
      <c r="I176" s="3"/>
      <c r="J176" s="3"/>
      <c r="K176" t="str">
        <f>IF(ROW() -5&lt;= MAX(Income!$Z$6:$Z$289),INDEX(Income!$B$6:$Z$289,MATCH(ROW()-5,Income!$Z$6:$Z$289,0),24),"")</f>
        <v/>
      </c>
    </row>
    <row r="177" spans="1:11" x14ac:dyDescent="0.2">
      <c r="A177" s="3"/>
      <c r="B177" s="1962" t="str">
        <f>IF(ROW() -5&lt;= MAX(Income!$Z$6:$Z$289),INDEX(Income!$B$6:$Z$289,MATCH(ROW()-5,Income!$Z$6:$Z$289,0),1),"")</f>
        <v/>
      </c>
      <c r="C177" s="1964" t="str">
        <f>IF(ROW() -5&lt;= MAX(Income!$Z$6:$Z$289),INDEX(Income!$B$6:$Z$289,MATCH(ROW()-5,Income!$Z$6:$Z$289,0),2),"")</f>
        <v/>
      </c>
      <c r="D177" s="1962" t="str">
        <f>IF(ROW() -5&lt;= MAX(Income!$Z$6:$Z$289),INDEX(Income!$B$6:$Z$289,MATCH(ROW()-5,Income!$Z$6:$Z$289,0),4),"")</f>
        <v/>
      </c>
      <c r="E177" s="1962" t="str">
        <f>IF(ROW() -5&lt;= MAX(Income!$Z$6:$Z$289),INDEX(Income!$C$6:$Z$289,MATCH(ROW()-5,Income!$Z$6:$Z$289,0),4),"")</f>
        <v/>
      </c>
      <c r="F177" s="1962" t="str">
        <f>IF(ROW() -5&lt;= MAX(Income!$Z$6:$Z$289),INDEX(Income!$D$6:$Z$289,MATCH(ROW()-5,Income!$Z$6:$Z$289,0),4),"")</f>
        <v/>
      </c>
      <c r="G177" s="1962" t="str">
        <f>IF(ROW() -5&lt;= MAX(Income!$Z$6:$Z$289),INDEX(Income!$E$6:$Z$289,MATCH(ROW()-5,Income!$Z$6:$Z$289,0),4),"")</f>
        <v/>
      </c>
      <c r="H177" s="1962" t="str">
        <f>IF(ROW() -5&lt;= MAX(Income!$Z$6:$Z$289),INDEX(Income!$F$6:$Z$289,MATCH(ROW()-5,Income!$Z$6:$Z$289,0),4),"")</f>
        <v/>
      </c>
      <c r="I177" s="3"/>
      <c r="J177" s="3"/>
      <c r="K177" t="str">
        <f>IF(ROW() -5&lt;= MAX(Income!$Z$6:$Z$289),INDEX(Income!$B$6:$Z$289,MATCH(ROW()-5,Income!$Z$6:$Z$289,0),24),"")</f>
        <v/>
      </c>
    </row>
    <row r="178" spans="1:11" x14ac:dyDescent="0.2">
      <c r="A178" s="3"/>
      <c r="B178" s="1962" t="str">
        <f>IF(ROW() -5&lt;= MAX(Income!$Z$6:$Z$289),INDEX(Income!$B$6:$Z$289,MATCH(ROW()-5,Income!$Z$6:$Z$289,0),1),"")</f>
        <v/>
      </c>
      <c r="C178" s="1964" t="str">
        <f>IF(ROW() -5&lt;= MAX(Income!$Z$6:$Z$289),INDEX(Income!$B$6:$Z$289,MATCH(ROW()-5,Income!$Z$6:$Z$289,0),2),"")</f>
        <v/>
      </c>
      <c r="D178" s="1962" t="str">
        <f>IF(ROW() -5&lt;= MAX(Income!$Z$6:$Z$289),INDEX(Income!$B$6:$Z$289,MATCH(ROW()-5,Income!$Z$6:$Z$289,0),4),"")</f>
        <v/>
      </c>
      <c r="E178" s="1962" t="str">
        <f>IF(ROW() -5&lt;= MAX(Income!$Z$6:$Z$289),INDEX(Income!$C$6:$Z$289,MATCH(ROW()-5,Income!$Z$6:$Z$289,0),4),"")</f>
        <v/>
      </c>
      <c r="F178" s="1962" t="str">
        <f>IF(ROW() -5&lt;= MAX(Income!$Z$6:$Z$289),INDEX(Income!$D$6:$Z$289,MATCH(ROW()-5,Income!$Z$6:$Z$289,0),4),"")</f>
        <v/>
      </c>
      <c r="G178" s="1962" t="str">
        <f>IF(ROW() -5&lt;= MAX(Income!$Z$6:$Z$289),INDEX(Income!$E$6:$Z$289,MATCH(ROW()-5,Income!$Z$6:$Z$289,0),4),"")</f>
        <v/>
      </c>
      <c r="H178" s="1962" t="str">
        <f>IF(ROW() -5&lt;= MAX(Income!$Z$6:$Z$289),INDEX(Income!$F$6:$Z$289,MATCH(ROW()-5,Income!$Z$6:$Z$289,0),4),"")</f>
        <v/>
      </c>
      <c r="I178" s="3"/>
      <c r="J178" s="3"/>
      <c r="K178" t="str">
        <f>IF(ROW() -5&lt;= MAX(Income!$Z$6:$Z$289),INDEX(Income!$B$6:$Z$289,MATCH(ROW()-5,Income!$Z$6:$Z$289,0),24),"")</f>
        <v/>
      </c>
    </row>
    <row r="179" spans="1:11" x14ac:dyDescent="0.2">
      <c r="A179" s="3"/>
      <c r="B179" s="1962" t="str">
        <f>IF(ROW() -5&lt;= MAX(Income!$Z$6:$Z$289),INDEX(Income!$B$6:$Z$289,MATCH(ROW()-5,Income!$Z$6:$Z$289,0),1),"")</f>
        <v/>
      </c>
      <c r="C179" s="1964" t="str">
        <f>IF(ROW() -5&lt;= MAX(Income!$Z$6:$Z$289),INDEX(Income!$B$6:$Z$289,MATCH(ROW()-5,Income!$Z$6:$Z$289,0),2),"")</f>
        <v/>
      </c>
      <c r="D179" s="1962" t="str">
        <f>IF(ROW() -5&lt;= MAX(Income!$Z$6:$Z$289),INDEX(Income!$B$6:$Z$289,MATCH(ROW()-5,Income!$Z$6:$Z$289,0),4),"")</f>
        <v/>
      </c>
      <c r="E179" s="1962" t="str">
        <f>IF(ROW() -5&lt;= MAX(Income!$Z$6:$Z$289),INDEX(Income!$C$6:$Z$289,MATCH(ROW()-5,Income!$Z$6:$Z$289,0),4),"")</f>
        <v/>
      </c>
      <c r="F179" s="1962" t="str">
        <f>IF(ROW() -5&lt;= MAX(Income!$Z$6:$Z$289),INDEX(Income!$D$6:$Z$289,MATCH(ROW()-5,Income!$Z$6:$Z$289,0),4),"")</f>
        <v/>
      </c>
      <c r="G179" s="1962" t="str">
        <f>IF(ROW() -5&lt;= MAX(Income!$Z$6:$Z$289),INDEX(Income!$E$6:$Z$289,MATCH(ROW()-5,Income!$Z$6:$Z$289,0),4),"")</f>
        <v/>
      </c>
      <c r="H179" s="1962" t="str">
        <f>IF(ROW() -5&lt;= MAX(Income!$Z$6:$Z$289),INDEX(Income!$F$6:$Z$289,MATCH(ROW()-5,Income!$Z$6:$Z$289,0),4),"")</f>
        <v/>
      </c>
      <c r="I179" s="3"/>
      <c r="J179" s="3"/>
      <c r="K179" t="str">
        <f>IF(ROW() -5&lt;= MAX(Income!$Z$6:$Z$289),INDEX(Income!$B$6:$Z$289,MATCH(ROW()-5,Income!$Z$6:$Z$289,0),24),"")</f>
        <v/>
      </c>
    </row>
    <row r="180" spans="1:11" x14ac:dyDescent="0.2">
      <c r="A180" s="3"/>
      <c r="B180" s="1962" t="str">
        <f>IF(ROW() -5&lt;= MAX(Income!$Z$6:$Z$289),INDEX(Income!$B$6:$Z$289,MATCH(ROW()-5,Income!$Z$6:$Z$289,0),1),"")</f>
        <v/>
      </c>
      <c r="C180" s="1964" t="str">
        <f>IF(ROW() -5&lt;= MAX(Income!$Z$6:$Z$289),INDEX(Income!$B$6:$Z$289,MATCH(ROW()-5,Income!$Z$6:$Z$289,0),2),"")</f>
        <v/>
      </c>
      <c r="D180" s="1962" t="str">
        <f>IF(ROW() -5&lt;= MAX(Income!$Z$6:$Z$289),INDEX(Income!$B$6:$Z$289,MATCH(ROW()-5,Income!$Z$6:$Z$289,0),4),"")</f>
        <v/>
      </c>
      <c r="E180" s="1962" t="str">
        <f>IF(ROW() -5&lt;= MAX(Income!$Z$6:$Z$289),INDEX(Income!$C$6:$Z$289,MATCH(ROW()-5,Income!$Z$6:$Z$289,0),4),"")</f>
        <v/>
      </c>
      <c r="F180" s="1962" t="str">
        <f>IF(ROW() -5&lt;= MAX(Income!$Z$6:$Z$289),INDEX(Income!$D$6:$Z$289,MATCH(ROW()-5,Income!$Z$6:$Z$289,0),4),"")</f>
        <v/>
      </c>
      <c r="G180" s="1962" t="str">
        <f>IF(ROW() -5&lt;= MAX(Income!$Z$6:$Z$289),INDEX(Income!$E$6:$Z$289,MATCH(ROW()-5,Income!$Z$6:$Z$289,0),4),"")</f>
        <v/>
      </c>
      <c r="H180" s="1962" t="str">
        <f>IF(ROW() -5&lt;= MAX(Income!$Z$6:$Z$289),INDEX(Income!$F$6:$Z$289,MATCH(ROW()-5,Income!$Z$6:$Z$289,0),4),"")</f>
        <v/>
      </c>
      <c r="I180" s="3"/>
      <c r="J180" s="3"/>
      <c r="K180" t="str">
        <f>IF(ROW() -5&lt;= MAX(Income!$Z$6:$Z$289),INDEX(Income!$B$6:$Z$289,MATCH(ROW()-5,Income!$Z$6:$Z$289,0),24),"")</f>
        <v/>
      </c>
    </row>
    <row r="181" spans="1:11" x14ac:dyDescent="0.2">
      <c r="A181" s="3"/>
      <c r="B181" s="1962" t="str">
        <f>IF(ROW() -5&lt;= MAX(Income!$Z$6:$Z$289),INDEX(Income!$B$6:$Z$289,MATCH(ROW()-5,Income!$Z$6:$Z$289,0),1),"")</f>
        <v/>
      </c>
      <c r="C181" s="1964" t="str">
        <f>IF(ROW() -5&lt;= MAX(Income!$Z$6:$Z$289),INDEX(Income!$B$6:$Z$289,MATCH(ROW()-5,Income!$Z$6:$Z$289,0),2),"")</f>
        <v/>
      </c>
      <c r="D181" s="1962" t="str">
        <f>IF(ROW() -5&lt;= MAX(Income!$Z$6:$Z$289),INDEX(Income!$B$6:$Z$289,MATCH(ROW()-5,Income!$Z$6:$Z$289,0),4),"")</f>
        <v/>
      </c>
      <c r="E181" s="1962" t="str">
        <f>IF(ROW() -5&lt;= MAX(Income!$Z$6:$Z$289),INDEX(Income!$C$6:$Z$289,MATCH(ROW()-5,Income!$Z$6:$Z$289,0),4),"")</f>
        <v/>
      </c>
      <c r="F181" s="1962" t="str">
        <f>IF(ROW() -5&lt;= MAX(Income!$Z$6:$Z$289),INDEX(Income!$D$6:$Z$289,MATCH(ROW()-5,Income!$Z$6:$Z$289,0),4),"")</f>
        <v/>
      </c>
      <c r="G181" s="1962" t="str">
        <f>IF(ROW() -5&lt;= MAX(Income!$Z$6:$Z$289),INDEX(Income!$E$6:$Z$289,MATCH(ROW()-5,Income!$Z$6:$Z$289,0),4),"")</f>
        <v/>
      </c>
      <c r="H181" s="1962" t="str">
        <f>IF(ROW() -5&lt;= MAX(Income!$Z$6:$Z$289),INDEX(Income!$F$6:$Z$289,MATCH(ROW()-5,Income!$Z$6:$Z$289,0),4),"")</f>
        <v/>
      </c>
      <c r="I181" s="3"/>
      <c r="J181" s="3"/>
      <c r="K181" t="str">
        <f>IF(ROW() -5&lt;= MAX(Income!$Z$6:$Z$289),INDEX(Income!$B$6:$Z$289,MATCH(ROW()-5,Income!$Z$6:$Z$289,0),24),"")</f>
        <v/>
      </c>
    </row>
    <row r="182" spans="1:11" x14ac:dyDescent="0.2">
      <c r="A182" s="3"/>
      <c r="B182" s="1962" t="str">
        <f>IF(ROW() -5&lt;= MAX(Income!$Z$6:$Z$289),INDEX(Income!$B$6:$Z$289,MATCH(ROW()-5,Income!$Z$6:$Z$289,0),1),"")</f>
        <v/>
      </c>
      <c r="C182" s="1964" t="str">
        <f>IF(ROW() -5&lt;= MAX(Income!$Z$6:$Z$289),INDEX(Income!$B$6:$Z$289,MATCH(ROW()-5,Income!$Z$6:$Z$289,0),2),"")</f>
        <v/>
      </c>
      <c r="D182" s="1962" t="str">
        <f>IF(ROW() -5&lt;= MAX(Income!$Z$6:$Z$289),INDEX(Income!$B$6:$Z$289,MATCH(ROW()-5,Income!$Z$6:$Z$289,0),4),"")</f>
        <v/>
      </c>
      <c r="E182" s="1962" t="str">
        <f>IF(ROW() -5&lt;= MAX(Income!$Z$6:$Z$289),INDEX(Income!$C$6:$Z$289,MATCH(ROW()-5,Income!$Z$6:$Z$289,0),4),"")</f>
        <v/>
      </c>
      <c r="F182" s="1962" t="str">
        <f>IF(ROW() -5&lt;= MAX(Income!$Z$6:$Z$289),INDEX(Income!$D$6:$Z$289,MATCH(ROW()-5,Income!$Z$6:$Z$289,0),4),"")</f>
        <v/>
      </c>
      <c r="G182" s="1962" t="str">
        <f>IF(ROW() -5&lt;= MAX(Income!$Z$6:$Z$289),INDEX(Income!$E$6:$Z$289,MATCH(ROW()-5,Income!$Z$6:$Z$289,0),4),"")</f>
        <v/>
      </c>
      <c r="H182" s="1962" t="str">
        <f>IF(ROW() -5&lt;= MAX(Income!$Z$6:$Z$289),INDEX(Income!$F$6:$Z$289,MATCH(ROW()-5,Income!$Z$6:$Z$289,0),4),"")</f>
        <v/>
      </c>
      <c r="I182" s="3"/>
      <c r="J182" s="3"/>
      <c r="K182" t="str">
        <f>IF(ROW() -5&lt;= MAX(Income!$Z$6:$Z$289),INDEX(Income!$B$6:$Z$289,MATCH(ROW()-5,Income!$Z$6:$Z$289,0),24),"")</f>
        <v/>
      </c>
    </row>
    <row r="183" spans="1:11" x14ac:dyDescent="0.2">
      <c r="A183" s="3"/>
      <c r="B183" s="1962" t="str">
        <f>IF(ROW() -5&lt;= MAX(Income!$Z$6:$Z$289),INDEX(Income!$B$6:$Z$289,MATCH(ROW()-5,Income!$Z$6:$Z$289,0),1),"")</f>
        <v/>
      </c>
      <c r="C183" s="1964" t="str">
        <f>IF(ROW() -5&lt;= MAX(Income!$Z$6:$Z$289),INDEX(Income!$B$6:$Z$289,MATCH(ROW()-5,Income!$Z$6:$Z$289,0),2),"")</f>
        <v/>
      </c>
      <c r="D183" s="1962" t="str">
        <f>IF(ROW() -5&lt;= MAX(Income!$Z$6:$Z$289),INDEX(Income!$B$6:$Z$289,MATCH(ROW()-5,Income!$Z$6:$Z$289,0),4),"")</f>
        <v/>
      </c>
      <c r="E183" s="1962" t="str">
        <f>IF(ROW() -5&lt;= MAX(Income!$Z$6:$Z$289),INDEX(Income!$C$6:$Z$289,MATCH(ROW()-5,Income!$Z$6:$Z$289,0),4),"")</f>
        <v/>
      </c>
      <c r="F183" s="1962" t="str">
        <f>IF(ROW() -5&lt;= MAX(Income!$Z$6:$Z$289),INDEX(Income!$D$6:$Z$289,MATCH(ROW()-5,Income!$Z$6:$Z$289,0),4),"")</f>
        <v/>
      </c>
      <c r="G183" s="1962" t="str">
        <f>IF(ROW() -5&lt;= MAX(Income!$Z$6:$Z$289),INDEX(Income!$E$6:$Z$289,MATCH(ROW()-5,Income!$Z$6:$Z$289,0),4),"")</f>
        <v/>
      </c>
      <c r="H183" s="1962" t="str">
        <f>IF(ROW() -5&lt;= MAX(Income!$Z$6:$Z$289),INDEX(Income!$F$6:$Z$289,MATCH(ROW()-5,Income!$Z$6:$Z$289,0),4),"")</f>
        <v/>
      </c>
      <c r="I183" s="3"/>
      <c r="J183" s="3"/>
      <c r="K183" t="str">
        <f>IF(ROW() -5&lt;= MAX(Income!$Z$6:$Z$289),INDEX(Income!$B$6:$Z$289,MATCH(ROW()-5,Income!$Z$6:$Z$289,0),24),"")</f>
        <v/>
      </c>
    </row>
    <row r="184" spans="1:11" x14ac:dyDescent="0.2">
      <c r="A184" s="3"/>
      <c r="B184" s="1962" t="str">
        <f>IF(ROW() -5&lt;= MAX(Income!$Z$6:$Z$289),INDEX(Income!$B$6:$Z$289,MATCH(ROW()-5,Income!$Z$6:$Z$289,0),1),"")</f>
        <v/>
      </c>
      <c r="C184" s="1964" t="str">
        <f>IF(ROW() -5&lt;= MAX(Income!$Z$6:$Z$289),INDEX(Income!$B$6:$Z$289,MATCH(ROW()-5,Income!$Z$6:$Z$289,0),2),"")</f>
        <v/>
      </c>
      <c r="D184" s="1962" t="str">
        <f>IF(ROW() -5&lt;= MAX(Income!$Z$6:$Z$289),INDEX(Income!$B$6:$Z$289,MATCH(ROW()-5,Income!$Z$6:$Z$289,0),4),"")</f>
        <v/>
      </c>
      <c r="E184" s="1962" t="str">
        <f>IF(ROW() -5&lt;= MAX(Income!$Z$6:$Z$289),INDEX(Income!$C$6:$Z$289,MATCH(ROW()-5,Income!$Z$6:$Z$289,0),4),"")</f>
        <v/>
      </c>
      <c r="F184" s="1962" t="str">
        <f>IF(ROW() -5&lt;= MAX(Income!$Z$6:$Z$289),INDEX(Income!$D$6:$Z$289,MATCH(ROW()-5,Income!$Z$6:$Z$289,0),4),"")</f>
        <v/>
      </c>
      <c r="G184" s="1962" t="str">
        <f>IF(ROW() -5&lt;= MAX(Income!$Z$6:$Z$289),INDEX(Income!$E$6:$Z$289,MATCH(ROW()-5,Income!$Z$6:$Z$289,0),4),"")</f>
        <v/>
      </c>
      <c r="H184" s="1962" t="str">
        <f>IF(ROW() -5&lt;= MAX(Income!$Z$6:$Z$289),INDEX(Income!$F$6:$Z$289,MATCH(ROW()-5,Income!$Z$6:$Z$289,0),4),"")</f>
        <v/>
      </c>
      <c r="I184" s="3"/>
      <c r="J184" s="3"/>
      <c r="K184" t="str">
        <f>IF(ROW() -5&lt;= MAX(Income!$Z$6:$Z$289),INDEX(Income!$B$6:$Z$289,MATCH(ROW()-5,Income!$Z$6:$Z$289,0),24),"")</f>
        <v/>
      </c>
    </row>
    <row r="185" spans="1:11" x14ac:dyDescent="0.2">
      <c r="A185" s="3"/>
      <c r="B185" s="1962" t="str">
        <f>IF(ROW() -5&lt;= MAX(Income!$Z$6:$Z$289),INDEX(Income!$B$6:$Z$289,MATCH(ROW()-5,Income!$Z$6:$Z$289,0),1),"")</f>
        <v/>
      </c>
      <c r="C185" s="1964" t="str">
        <f>IF(ROW() -5&lt;= MAX(Income!$Z$6:$Z$289),INDEX(Income!$B$6:$Z$289,MATCH(ROW()-5,Income!$Z$6:$Z$289,0),2),"")</f>
        <v/>
      </c>
      <c r="D185" s="1962" t="str">
        <f>IF(ROW() -5&lt;= MAX(Income!$Z$6:$Z$289),INDEX(Income!$B$6:$Z$289,MATCH(ROW()-5,Income!$Z$6:$Z$289,0),4),"")</f>
        <v/>
      </c>
      <c r="E185" s="1962" t="str">
        <f>IF(ROW() -5&lt;= MAX(Income!$Z$6:$Z$289),INDEX(Income!$C$6:$Z$289,MATCH(ROW()-5,Income!$Z$6:$Z$289,0),4),"")</f>
        <v/>
      </c>
      <c r="F185" s="1962" t="str">
        <f>IF(ROW() -5&lt;= MAX(Income!$Z$6:$Z$289),INDEX(Income!$D$6:$Z$289,MATCH(ROW()-5,Income!$Z$6:$Z$289,0),4),"")</f>
        <v/>
      </c>
      <c r="G185" s="1962" t="str">
        <f>IF(ROW() -5&lt;= MAX(Income!$Z$6:$Z$289),INDEX(Income!$E$6:$Z$289,MATCH(ROW()-5,Income!$Z$6:$Z$289,0),4),"")</f>
        <v/>
      </c>
      <c r="H185" s="1962" t="str">
        <f>IF(ROW() -5&lt;= MAX(Income!$Z$6:$Z$289),INDEX(Income!$F$6:$Z$289,MATCH(ROW()-5,Income!$Z$6:$Z$289,0),4),"")</f>
        <v/>
      </c>
      <c r="I185" s="3"/>
      <c r="J185" s="3"/>
      <c r="K185" t="str">
        <f>IF(ROW() -5&lt;= MAX(Income!$Z$6:$Z$289),INDEX(Income!$B$6:$Z$289,MATCH(ROW()-5,Income!$Z$6:$Z$289,0),24),"")</f>
        <v/>
      </c>
    </row>
    <row r="186" spans="1:11" x14ac:dyDescent="0.2">
      <c r="A186" s="3"/>
      <c r="B186" s="1962" t="str">
        <f>IF(ROW() -5&lt;= MAX(Income!$Z$6:$Z$289),INDEX(Income!$B$6:$Z$289,MATCH(ROW()-5,Income!$Z$6:$Z$289,0),1),"")</f>
        <v/>
      </c>
      <c r="C186" s="1964" t="str">
        <f>IF(ROW() -5&lt;= MAX(Income!$Z$6:$Z$289),INDEX(Income!$B$6:$Z$289,MATCH(ROW()-5,Income!$Z$6:$Z$289,0),2),"")</f>
        <v/>
      </c>
      <c r="D186" s="1962" t="str">
        <f>IF(ROW() -5&lt;= MAX(Income!$Z$6:$Z$289),INDEX(Income!$B$6:$Z$289,MATCH(ROW()-5,Income!$Z$6:$Z$289,0),4),"")</f>
        <v/>
      </c>
      <c r="E186" s="1962" t="str">
        <f>IF(ROW() -5&lt;= MAX(Income!$Z$6:$Z$289),INDEX(Income!$C$6:$Z$289,MATCH(ROW()-5,Income!$Z$6:$Z$289,0),4),"")</f>
        <v/>
      </c>
      <c r="F186" s="1962" t="str">
        <f>IF(ROW() -5&lt;= MAX(Income!$Z$6:$Z$289),INDEX(Income!$D$6:$Z$289,MATCH(ROW()-5,Income!$Z$6:$Z$289,0),4),"")</f>
        <v/>
      </c>
      <c r="G186" s="1962" t="str">
        <f>IF(ROW() -5&lt;= MAX(Income!$Z$6:$Z$289),INDEX(Income!$E$6:$Z$289,MATCH(ROW()-5,Income!$Z$6:$Z$289,0),4),"")</f>
        <v/>
      </c>
      <c r="H186" s="1962" t="str">
        <f>IF(ROW() -5&lt;= MAX(Income!$Z$6:$Z$289),INDEX(Income!$F$6:$Z$289,MATCH(ROW()-5,Income!$Z$6:$Z$289,0),4),"")</f>
        <v/>
      </c>
      <c r="I186" s="3"/>
      <c r="J186" s="3"/>
      <c r="K186" t="str">
        <f>IF(ROW() -5&lt;= MAX(Income!$Z$6:$Z$289),INDEX(Income!$B$6:$Z$289,MATCH(ROW()-5,Income!$Z$6:$Z$289,0),24),"")</f>
        <v/>
      </c>
    </row>
    <row r="187" spans="1:11" x14ac:dyDescent="0.2">
      <c r="A187" s="3"/>
      <c r="B187" s="1962" t="str">
        <f>IF(ROW() -5&lt;= MAX(Income!$Z$6:$Z$289),INDEX(Income!$B$6:$Z$289,MATCH(ROW()-5,Income!$Z$6:$Z$289,0),1),"")</f>
        <v/>
      </c>
      <c r="C187" s="1964" t="str">
        <f>IF(ROW() -5&lt;= MAX(Income!$Z$6:$Z$289),INDEX(Income!$B$6:$Z$289,MATCH(ROW()-5,Income!$Z$6:$Z$289,0),2),"")</f>
        <v/>
      </c>
      <c r="D187" s="1962" t="str">
        <f>IF(ROW() -5&lt;= MAX(Income!$Z$6:$Z$289),INDEX(Income!$B$6:$Z$289,MATCH(ROW()-5,Income!$Z$6:$Z$289,0),4),"")</f>
        <v/>
      </c>
      <c r="E187" s="1962" t="str">
        <f>IF(ROW() -5&lt;= MAX(Income!$Z$6:$Z$289),INDEX(Income!$C$6:$Z$289,MATCH(ROW()-5,Income!$Z$6:$Z$289,0),4),"")</f>
        <v/>
      </c>
      <c r="F187" s="1962" t="str">
        <f>IF(ROW() -5&lt;= MAX(Income!$Z$6:$Z$289),INDEX(Income!$D$6:$Z$289,MATCH(ROW()-5,Income!$Z$6:$Z$289,0),4),"")</f>
        <v/>
      </c>
      <c r="G187" s="1962" t="str">
        <f>IF(ROW() -5&lt;= MAX(Income!$Z$6:$Z$289),INDEX(Income!$E$6:$Z$289,MATCH(ROW()-5,Income!$Z$6:$Z$289,0),4),"")</f>
        <v/>
      </c>
      <c r="H187" s="1962" t="str">
        <f>IF(ROW() -5&lt;= MAX(Income!$Z$6:$Z$289),INDEX(Income!$F$6:$Z$289,MATCH(ROW()-5,Income!$Z$6:$Z$289,0),4),"")</f>
        <v/>
      </c>
      <c r="I187" s="3"/>
      <c r="J187" s="3"/>
      <c r="K187" t="str">
        <f>IF(ROW() -5&lt;= MAX(Income!$Z$6:$Z$289),INDEX(Income!$B$6:$Z$289,MATCH(ROW()-5,Income!$Z$6:$Z$289,0),24),"")</f>
        <v/>
      </c>
    </row>
    <row r="188" spans="1:11" x14ac:dyDescent="0.2">
      <c r="A188" s="3"/>
      <c r="B188" s="1962" t="str">
        <f>IF(ROW() -5&lt;= MAX(Income!$Z$6:$Z$289),INDEX(Income!$B$6:$Z$289,MATCH(ROW()-5,Income!$Z$6:$Z$289,0),1),"")</f>
        <v/>
      </c>
      <c r="C188" s="1964" t="str">
        <f>IF(ROW() -5&lt;= MAX(Income!$Z$6:$Z$289),INDEX(Income!$B$6:$Z$289,MATCH(ROW()-5,Income!$Z$6:$Z$289,0),2),"")</f>
        <v/>
      </c>
      <c r="D188" s="1962" t="str">
        <f>IF(ROW() -5&lt;= MAX(Income!$Z$6:$Z$289),INDEX(Income!$B$6:$Z$289,MATCH(ROW()-5,Income!$Z$6:$Z$289,0),4),"")</f>
        <v/>
      </c>
      <c r="E188" s="1962" t="str">
        <f>IF(ROW() -5&lt;= MAX(Income!$Z$6:$Z$289),INDEX(Income!$C$6:$Z$289,MATCH(ROW()-5,Income!$Z$6:$Z$289,0),4),"")</f>
        <v/>
      </c>
      <c r="F188" s="1962" t="str">
        <f>IF(ROW() -5&lt;= MAX(Income!$Z$6:$Z$289),INDEX(Income!$D$6:$Z$289,MATCH(ROW()-5,Income!$Z$6:$Z$289,0),4),"")</f>
        <v/>
      </c>
      <c r="G188" s="1962" t="str">
        <f>IF(ROW() -5&lt;= MAX(Income!$Z$6:$Z$289),INDEX(Income!$E$6:$Z$289,MATCH(ROW()-5,Income!$Z$6:$Z$289,0),4),"")</f>
        <v/>
      </c>
      <c r="H188" s="1962" t="str">
        <f>IF(ROW() -5&lt;= MAX(Income!$Z$6:$Z$289),INDEX(Income!$F$6:$Z$289,MATCH(ROW()-5,Income!$Z$6:$Z$289,0),4),"")</f>
        <v/>
      </c>
      <c r="I188" s="3"/>
      <c r="J188" s="3"/>
      <c r="K188" t="str">
        <f>IF(ROW() -5&lt;= MAX(Income!$Z$6:$Z$289),INDEX(Income!$B$6:$Z$289,MATCH(ROW()-5,Income!$Z$6:$Z$289,0),24),"")</f>
        <v/>
      </c>
    </row>
    <row r="189" spans="1:11" x14ac:dyDescent="0.2">
      <c r="A189" s="3"/>
      <c r="B189" s="1962" t="str">
        <f>IF(ROW() -5&lt;= MAX(Income!$Z$6:$Z$289),INDEX(Income!$B$6:$Z$289,MATCH(ROW()-5,Income!$Z$6:$Z$289,0),1),"")</f>
        <v/>
      </c>
      <c r="C189" s="1964" t="str">
        <f>IF(ROW() -5&lt;= MAX(Income!$Z$6:$Z$289),INDEX(Income!$B$6:$Z$289,MATCH(ROW()-5,Income!$Z$6:$Z$289,0),2),"")</f>
        <v/>
      </c>
      <c r="D189" s="1962" t="str">
        <f>IF(ROW() -5&lt;= MAX(Income!$Z$6:$Z$289),INDEX(Income!$B$6:$Z$289,MATCH(ROW()-5,Income!$Z$6:$Z$289,0),4),"")</f>
        <v/>
      </c>
      <c r="E189" s="1962" t="str">
        <f>IF(ROW() -5&lt;= MAX(Income!$Z$6:$Z$289),INDEX(Income!$C$6:$Z$289,MATCH(ROW()-5,Income!$Z$6:$Z$289,0),4),"")</f>
        <v/>
      </c>
      <c r="F189" s="1962" t="str">
        <f>IF(ROW() -5&lt;= MAX(Income!$Z$6:$Z$289),INDEX(Income!$D$6:$Z$289,MATCH(ROW()-5,Income!$Z$6:$Z$289,0),4),"")</f>
        <v/>
      </c>
      <c r="G189" s="1962" t="str">
        <f>IF(ROW() -5&lt;= MAX(Income!$Z$6:$Z$289),INDEX(Income!$E$6:$Z$289,MATCH(ROW()-5,Income!$Z$6:$Z$289,0),4),"")</f>
        <v/>
      </c>
      <c r="H189" s="1962" t="str">
        <f>IF(ROW() -5&lt;= MAX(Income!$Z$6:$Z$289),INDEX(Income!$F$6:$Z$289,MATCH(ROW()-5,Income!$Z$6:$Z$289,0),4),"")</f>
        <v/>
      </c>
      <c r="I189" s="3"/>
      <c r="J189" s="3"/>
      <c r="K189" t="str">
        <f>IF(ROW() -5&lt;= MAX(Income!$Z$6:$Z$289),INDEX(Income!$B$6:$Z$289,MATCH(ROW()-5,Income!$Z$6:$Z$289,0),24),"")</f>
        <v/>
      </c>
    </row>
    <row r="190" spans="1:11" x14ac:dyDescent="0.2">
      <c r="A190" s="3"/>
      <c r="B190" s="1962" t="str">
        <f>IF(ROW() -5&lt;= MAX(Income!$Z$6:$Z$289),INDEX(Income!$B$6:$Z$289,MATCH(ROW()-5,Income!$Z$6:$Z$289,0),1),"")</f>
        <v/>
      </c>
      <c r="C190" s="1964" t="str">
        <f>IF(ROW() -5&lt;= MAX(Income!$Z$6:$Z$289),INDEX(Income!$B$6:$Z$289,MATCH(ROW()-5,Income!$Z$6:$Z$289,0),2),"")</f>
        <v/>
      </c>
      <c r="D190" s="1962" t="str">
        <f>IF(ROW() -5&lt;= MAX(Income!$Z$6:$Z$289),INDEX(Income!$B$6:$Z$289,MATCH(ROW()-5,Income!$Z$6:$Z$289,0),4),"")</f>
        <v/>
      </c>
      <c r="E190" s="1962" t="str">
        <f>IF(ROW() -5&lt;= MAX(Income!$Z$6:$Z$289),INDEX(Income!$C$6:$Z$289,MATCH(ROW()-5,Income!$Z$6:$Z$289,0),4),"")</f>
        <v/>
      </c>
      <c r="F190" s="1962" t="str">
        <f>IF(ROW() -5&lt;= MAX(Income!$Z$6:$Z$289),INDEX(Income!$D$6:$Z$289,MATCH(ROW()-5,Income!$Z$6:$Z$289,0),4),"")</f>
        <v/>
      </c>
      <c r="G190" s="1962" t="str">
        <f>IF(ROW() -5&lt;= MAX(Income!$Z$6:$Z$289),INDEX(Income!$E$6:$Z$289,MATCH(ROW()-5,Income!$Z$6:$Z$289,0),4),"")</f>
        <v/>
      </c>
      <c r="H190" s="1962" t="str">
        <f>IF(ROW() -5&lt;= MAX(Income!$Z$6:$Z$289),INDEX(Income!$F$6:$Z$289,MATCH(ROW()-5,Income!$Z$6:$Z$289,0),4),"")</f>
        <v/>
      </c>
      <c r="I190" s="3"/>
      <c r="J190" s="3"/>
      <c r="K190" t="str">
        <f>IF(ROW() -5&lt;= MAX(Income!$Z$6:$Z$289),INDEX(Income!$B$6:$Z$289,MATCH(ROW()-5,Income!$Z$6:$Z$289,0),24),"")</f>
        <v/>
      </c>
    </row>
    <row r="191" spans="1:11" x14ac:dyDescent="0.2">
      <c r="A191" s="3"/>
      <c r="B191" s="1962" t="str">
        <f>IF(ROW() -5&lt;= MAX(Income!$Z$6:$Z$289),INDEX(Income!$B$6:$Z$289,MATCH(ROW()-5,Income!$Z$6:$Z$289,0),1),"")</f>
        <v/>
      </c>
      <c r="C191" s="1964" t="str">
        <f>IF(ROW() -5&lt;= MAX(Income!$Z$6:$Z$289),INDEX(Income!$B$6:$Z$289,MATCH(ROW()-5,Income!$Z$6:$Z$289,0),2),"")</f>
        <v/>
      </c>
      <c r="D191" s="1962" t="str">
        <f>IF(ROW() -5&lt;= MAX(Income!$Z$6:$Z$289),INDEX(Income!$B$6:$Z$289,MATCH(ROW()-5,Income!$Z$6:$Z$289,0),4),"")</f>
        <v/>
      </c>
      <c r="E191" s="1962" t="str">
        <f>IF(ROW() -5&lt;= MAX(Income!$Z$6:$Z$289),INDEX(Income!$C$6:$Z$289,MATCH(ROW()-5,Income!$Z$6:$Z$289,0),4),"")</f>
        <v/>
      </c>
      <c r="F191" s="1962" t="str">
        <f>IF(ROW() -5&lt;= MAX(Income!$Z$6:$Z$289),INDEX(Income!$D$6:$Z$289,MATCH(ROW()-5,Income!$Z$6:$Z$289,0),4),"")</f>
        <v/>
      </c>
      <c r="G191" s="1962" t="str">
        <f>IF(ROW() -5&lt;= MAX(Income!$Z$6:$Z$289),INDEX(Income!$E$6:$Z$289,MATCH(ROW()-5,Income!$Z$6:$Z$289,0),4),"")</f>
        <v/>
      </c>
      <c r="H191" s="1962" t="str">
        <f>IF(ROW() -5&lt;= MAX(Income!$Z$6:$Z$289),INDEX(Income!$F$6:$Z$289,MATCH(ROW()-5,Income!$Z$6:$Z$289,0),4),"")</f>
        <v/>
      </c>
      <c r="I191" s="3"/>
      <c r="J191" s="3"/>
      <c r="K191" t="str">
        <f>IF(ROW() -5&lt;= MAX(Income!$Z$6:$Z$289),INDEX(Income!$B$6:$Z$289,MATCH(ROW()-5,Income!$Z$6:$Z$289,0),24),"")</f>
        <v/>
      </c>
    </row>
    <row r="192" spans="1:11" x14ac:dyDescent="0.2">
      <c r="A192" s="3"/>
      <c r="B192" s="1962" t="str">
        <f>IF(ROW() -5&lt;= MAX(Income!$Z$6:$Z$289),INDEX(Income!$B$6:$Z$289,MATCH(ROW()-5,Income!$Z$6:$Z$289,0),1),"")</f>
        <v/>
      </c>
      <c r="C192" s="1964" t="str">
        <f>IF(ROW() -5&lt;= MAX(Income!$Z$6:$Z$289),INDEX(Income!$B$6:$Z$289,MATCH(ROW()-5,Income!$Z$6:$Z$289,0),2),"")</f>
        <v/>
      </c>
      <c r="D192" s="1962" t="str">
        <f>IF(ROW() -5&lt;= MAX(Income!$Z$6:$Z$289),INDEX(Income!$B$6:$Z$289,MATCH(ROW()-5,Income!$Z$6:$Z$289,0),4),"")</f>
        <v/>
      </c>
      <c r="E192" s="1962" t="str">
        <f>IF(ROW() -5&lt;= MAX(Income!$Z$6:$Z$289),INDEX(Income!$C$6:$Z$289,MATCH(ROW()-5,Income!$Z$6:$Z$289,0),4),"")</f>
        <v/>
      </c>
      <c r="F192" s="1962" t="str">
        <f>IF(ROW() -5&lt;= MAX(Income!$Z$6:$Z$289),INDEX(Income!$D$6:$Z$289,MATCH(ROW()-5,Income!$Z$6:$Z$289,0),4),"")</f>
        <v/>
      </c>
      <c r="G192" s="1962" t="str">
        <f>IF(ROW() -5&lt;= MAX(Income!$Z$6:$Z$289),INDEX(Income!$E$6:$Z$289,MATCH(ROW()-5,Income!$Z$6:$Z$289,0),4),"")</f>
        <v/>
      </c>
      <c r="H192" s="1962" t="str">
        <f>IF(ROW() -5&lt;= MAX(Income!$Z$6:$Z$289),INDEX(Income!$F$6:$Z$289,MATCH(ROW()-5,Income!$Z$6:$Z$289,0),4),"")</f>
        <v/>
      </c>
      <c r="I192" s="3"/>
      <c r="J192" s="3"/>
      <c r="K192" t="str">
        <f>IF(ROW() -5&lt;= MAX(Income!$Z$6:$Z$289),INDEX(Income!$B$6:$Z$289,MATCH(ROW()-5,Income!$Z$6:$Z$289,0),24),"")</f>
        <v/>
      </c>
    </row>
    <row r="193" spans="1:11" x14ac:dyDescent="0.2">
      <c r="A193" s="3"/>
      <c r="B193" s="1962" t="str">
        <f>IF(ROW() -5&lt;= MAX(Income!$Z$6:$Z$289),INDEX(Income!$B$6:$Z$289,MATCH(ROW()-5,Income!$Z$6:$Z$289,0),1),"")</f>
        <v/>
      </c>
      <c r="C193" s="1964" t="str">
        <f>IF(ROW() -5&lt;= MAX(Income!$Z$6:$Z$289),INDEX(Income!$B$6:$Z$289,MATCH(ROW()-5,Income!$Z$6:$Z$289,0),2),"")</f>
        <v/>
      </c>
      <c r="D193" s="1962" t="str">
        <f>IF(ROW() -5&lt;= MAX(Income!$Z$6:$Z$289),INDEX(Income!$B$6:$Z$289,MATCH(ROW()-5,Income!$Z$6:$Z$289,0),4),"")</f>
        <v/>
      </c>
      <c r="E193" s="1962" t="str">
        <f>IF(ROW() -5&lt;= MAX(Income!$Z$6:$Z$289),INDEX(Income!$C$6:$Z$289,MATCH(ROW()-5,Income!$Z$6:$Z$289,0),4),"")</f>
        <v/>
      </c>
      <c r="F193" s="1962" t="str">
        <f>IF(ROW() -5&lt;= MAX(Income!$Z$6:$Z$289),INDEX(Income!$D$6:$Z$289,MATCH(ROW()-5,Income!$Z$6:$Z$289,0),4),"")</f>
        <v/>
      </c>
      <c r="G193" s="1962" t="str">
        <f>IF(ROW() -5&lt;= MAX(Income!$Z$6:$Z$289),INDEX(Income!$E$6:$Z$289,MATCH(ROW()-5,Income!$Z$6:$Z$289,0),4),"")</f>
        <v/>
      </c>
      <c r="H193" s="1962" t="str">
        <f>IF(ROW() -5&lt;= MAX(Income!$Z$6:$Z$289),INDEX(Income!$F$6:$Z$289,MATCH(ROW()-5,Income!$Z$6:$Z$289,0),4),"")</f>
        <v/>
      </c>
      <c r="I193" s="3"/>
      <c r="J193" s="3"/>
      <c r="K193" t="str">
        <f>IF(ROW() -5&lt;= MAX(Income!$Z$6:$Z$289),INDEX(Income!$B$6:$Z$289,MATCH(ROW()-5,Income!$Z$6:$Z$289,0),24),"")</f>
        <v/>
      </c>
    </row>
    <row r="194" spans="1:11" x14ac:dyDescent="0.2">
      <c r="A194" s="3"/>
      <c r="B194" s="1962" t="str">
        <f>IF(ROW() -5&lt;= MAX(Income!$Z$6:$Z$289),INDEX(Income!$B$6:$Z$289,MATCH(ROW()-5,Income!$Z$6:$Z$289,0),1),"")</f>
        <v/>
      </c>
      <c r="C194" s="1964" t="str">
        <f>IF(ROW() -5&lt;= MAX(Income!$Z$6:$Z$289),INDEX(Income!$B$6:$Z$289,MATCH(ROW()-5,Income!$Z$6:$Z$289,0),2),"")</f>
        <v/>
      </c>
      <c r="D194" s="1962" t="str">
        <f>IF(ROW() -5&lt;= MAX(Income!$Z$6:$Z$289),INDEX(Income!$B$6:$Z$289,MATCH(ROW()-5,Income!$Z$6:$Z$289,0),4),"")</f>
        <v/>
      </c>
      <c r="E194" s="1962" t="str">
        <f>IF(ROW() -5&lt;= MAX(Income!$Z$6:$Z$289),INDEX(Income!$C$6:$Z$289,MATCH(ROW()-5,Income!$Z$6:$Z$289,0),4),"")</f>
        <v/>
      </c>
      <c r="F194" s="1962" t="str">
        <f>IF(ROW() -5&lt;= MAX(Income!$Z$6:$Z$289),INDEX(Income!$D$6:$Z$289,MATCH(ROW()-5,Income!$Z$6:$Z$289,0),4),"")</f>
        <v/>
      </c>
      <c r="G194" s="1962" t="str">
        <f>IF(ROW() -5&lt;= MAX(Income!$Z$6:$Z$289),INDEX(Income!$E$6:$Z$289,MATCH(ROW()-5,Income!$Z$6:$Z$289,0),4),"")</f>
        <v/>
      </c>
      <c r="H194" s="1962" t="str">
        <f>IF(ROW() -5&lt;= MAX(Income!$Z$6:$Z$289),INDEX(Income!$F$6:$Z$289,MATCH(ROW()-5,Income!$Z$6:$Z$289,0),4),"")</f>
        <v/>
      </c>
      <c r="I194" s="3"/>
      <c r="J194" s="3"/>
      <c r="K194" t="str">
        <f>IF(ROW() -5&lt;= MAX(Income!$Z$6:$Z$289),INDEX(Income!$B$6:$Z$289,MATCH(ROW()-5,Income!$Z$6:$Z$289,0),24),"")</f>
        <v/>
      </c>
    </row>
    <row r="195" spans="1:11" x14ac:dyDescent="0.2">
      <c r="A195" s="3"/>
      <c r="B195" s="1962" t="str">
        <f>IF(ROW() -5&lt;= MAX(Income!$Z$6:$Z$289),INDEX(Income!$B$6:$Z$289,MATCH(ROW()-5,Income!$Z$6:$Z$289,0),1),"")</f>
        <v/>
      </c>
      <c r="C195" s="1964" t="str">
        <f>IF(ROW() -5&lt;= MAX(Income!$Z$6:$Z$289),INDEX(Income!$B$6:$Z$289,MATCH(ROW()-5,Income!$Z$6:$Z$289,0),2),"")</f>
        <v/>
      </c>
      <c r="D195" s="1962" t="str">
        <f>IF(ROW() -5&lt;= MAX(Income!$Z$6:$Z$289),INDEX(Income!$B$6:$Z$289,MATCH(ROW()-5,Income!$Z$6:$Z$289,0),4),"")</f>
        <v/>
      </c>
      <c r="E195" s="1962" t="str">
        <f>IF(ROW() -5&lt;= MAX(Income!$Z$6:$Z$289),INDEX(Income!$C$6:$Z$289,MATCH(ROW()-5,Income!$Z$6:$Z$289,0),4),"")</f>
        <v/>
      </c>
      <c r="F195" s="1962" t="str">
        <f>IF(ROW() -5&lt;= MAX(Income!$Z$6:$Z$289),INDEX(Income!$D$6:$Z$289,MATCH(ROW()-5,Income!$Z$6:$Z$289,0),4),"")</f>
        <v/>
      </c>
      <c r="G195" s="1962" t="str">
        <f>IF(ROW() -5&lt;= MAX(Income!$Z$6:$Z$289),INDEX(Income!$E$6:$Z$289,MATCH(ROW()-5,Income!$Z$6:$Z$289,0),4),"")</f>
        <v/>
      </c>
      <c r="H195" s="1962" t="str">
        <f>IF(ROW() -5&lt;= MAX(Income!$Z$6:$Z$289),INDEX(Income!$F$6:$Z$289,MATCH(ROW()-5,Income!$Z$6:$Z$289,0),4),"")</f>
        <v/>
      </c>
      <c r="I195" s="3"/>
      <c r="J195" s="3"/>
      <c r="K195" t="str">
        <f>IF(ROW() -5&lt;= MAX(Income!$Z$6:$Z$289),INDEX(Income!$B$6:$Z$289,MATCH(ROW()-5,Income!$Z$6:$Z$289,0),24),"")</f>
        <v/>
      </c>
    </row>
    <row r="196" spans="1:11" x14ac:dyDescent="0.2">
      <c r="A196" s="3"/>
      <c r="B196" s="1962" t="str">
        <f>IF(ROW() -5&lt;= MAX(Income!$Z$6:$Z$289),INDEX(Income!$B$6:$Z$289,MATCH(ROW()-5,Income!$Z$6:$Z$289,0),1),"")</f>
        <v/>
      </c>
      <c r="C196" s="1964" t="str">
        <f>IF(ROW() -5&lt;= MAX(Income!$Z$6:$Z$289),INDEX(Income!$B$6:$Z$289,MATCH(ROW()-5,Income!$Z$6:$Z$289,0),2),"")</f>
        <v/>
      </c>
      <c r="D196" s="1962" t="str">
        <f>IF(ROW() -5&lt;= MAX(Income!$Z$6:$Z$289),INDEX(Income!$B$6:$Z$289,MATCH(ROW()-5,Income!$Z$6:$Z$289,0),4),"")</f>
        <v/>
      </c>
      <c r="E196" s="1962" t="str">
        <f>IF(ROW() -5&lt;= MAX(Income!$Z$6:$Z$289),INDEX(Income!$C$6:$Z$289,MATCH(ROW()-5,Income!$Z$6:$Z$289,0),4),"")</f>
        <v/>
      </c>
      <c r="F196" s="1962" t="str">
        <f>IF(ROW() -5&lt;= MAX(Income!$Z$6:$Z$289),INDEX(Income!$D$6:$Z$289,MATCH(ROW()-5,Income!$Z$6:$Z$289,0),4),"")</f>
        <v/>
      </c>
      <c r="G196" s="1962" t="str">
        <f>IF(ROW() -5&lt;= MAX(Income!$Z$6:$Z$289),INDEX(Income!$E$6:$Z$289,MATCH(ROW()-5,Income!$Z$6:$Z$289,0),4),"")</f>
        <v/>
      </c>
      <c r="H196" s="1962" t="str">
        <f>IF(ROW() -5&lt;= MAX(Income!$Z$6:$Z$289),INDEX(Income!$F$6:$Z$289,MATCH(ROW()-5,Income!$Z$6:$Z$289,0),4),"")</f>
        <v/>
      </c>
      <c r="I196" s="3"/>
      <c r="J196" s="3"/>
      <c r="K196" t="str">
        <f>IF(ROW() -5&lt;= MAX(Income!$Z$6:$Z$289),INDEX(Income!$B$6:$Z$289,MATCH(ROW()-5,Income!$Z$6:$Z$289,0),24),"")</f>
        <v/>
      </c>
    </row>
    <row r="197" spans="1:11" x14ac:dyDescent="0.2">
      <c r="A197" s="3"/>
      <c r="B197" s="1962" t="str">
        <f>IF(ROW() -5&lt;= MAX(Income!$Z$6:$Z$289),INDEX(Income!$B$6:$Z$289,MATCH(ROW()-5,Income!$Z$6:$Z$289,0),1),"")</f>
        <v/>
      </c>
      <c r="C197" s="1964" t="str">
        <f>IF(ROW() -5&lt;= MAX(Income!$Z$6:$Z$289),INDEX(Income!$B$6:$Z$289,MATCH(ROW()-5,Income!$Z$6:$Z$289,0),2),"")</f>
        <v/>
      </c>
      <c r="D197" s="1962" t="str">
        <f>IF(ROW() -5&lt;= MAX(Income!$Z$6:$Z$289),INDEX(Income!$B$6:$Z$289,MATCH(ROW()-5,Income!$Z$6:$Z$289,0),4),"")</f>
        <v/>
      </c>
      <c r="E197" s="1962" t="str">
        <f>IF(ROW() -5&lt;= MAX(Income!$Z$6:$Z$289),INDEX(Income!$C$6:$Z$289,MATCH(ROW()-5,Income!$Z$6:$Z$289,0),4),"")</f>
        <v/>
      </c>
      <c r="F197" s="1962" t="str">
        <f>IF(ROW() -5&lt;= MAX(Income!$Z$6:$Z$289),INDEX(Income!$D$6:$Z$289,MATCH(ROW()-5,Income!$Z$6:$Z$289,0),4),"")</f>
        <v/>
      </c>
      <c r="G197" s="1962" t="str">
        <f>IF(ROW() -5&lt;= MAX(Income!$Z$6:$Z$289),INDEX(Income!$E$6:$Z$289,MATCH(ROW()-5,Income!$Z$6:$Z$289,0),4),"")</f>
        <v/>
      </c>
      <c r="H197" s="1962" t="str">
        <f>IF(ROW() -5&lt;= MAX(Income!$Z$6:$Z$289),INDEX(Income!$F$6:$Z$289,MATCH(ROW()-5,Income!$Z$6:$Z$289,0),4),"")</f>
        <v/>
      </c>
      <c r="I197" s="3"/>
      <c r="J197" s="3"/>
      <c r="K197" t="str">
        <f>IF(ROW() -5&lt;= MAX(Income!$Z$6:$Z$289),INDEX(Income!$B$6:$Z$289,MATCH(ROW()-5,Income!$Z$6:$Z$289,0),24),"")</f>
        <v/>
      </c>
    </row>
    <row r="198" spans="1:11" x14ac:dyDescent="0.2">
      <c r="A198" s="3"/>
      <c r="B198" s="1962" t="str">
        <f>IF(ROW() -5&lt;= MAX(Income!$Z$6:$Z$289),INDEX(Income!$B$6:$Z$289,MATCH(ROW()-5,Income!$Z$6:$Z$289,0),1),"")</f>
        <v/>
      </c>
      <c r="C198" s="1964" t="str">
        <f>IF(ROW() -5&lt;= MAX(Income!$Z$6:$Z$289),INDEX(Income!$B$6:$Z$289,MATCH(ROW()-5,Income!$Z$6:$Z$289,0),2),"")</f>
        <v/>
      </c>
      <c r="D198" s="1962" t="str">
        <f>IF(ROW() -5&lt;= MAX(Income!$Z$6:$Z$289),INDEX(Income!$B$6:$Z$289,MATCH(ROW()-5,Income!$Z$6:$Z$289,0),4),"")</f>
        <v/>
      </c>
      <c r="E198" s="1962" t="str">
        <f>IF(ROW() -5&lt;= MAX(Income!$Z$6:$Z$289),INDEX(Income!$C$6:$Z$289,MATCH(ROW()-5,Income!$Z$6:$Z$289,0),4),"")</f>
        <v/>
      </c>
      <c r="F198" s="1962" t="str">
        <f>IF(ROW() -5&lt;= MAX(Income!$Z$6:$Z$289),INDEX(Income!$D$6:$Z$289,MATCH(ROW()-5,Income!$Z$6:$Z$289,0),4),"")</f>
        <v/>
      </c>
      <c r="G198" s="1962" t="str">
        <f>IF(ROW() -5&lt;= MAX(Income!$Z$6:$Z$289),INDEX(Income!$E$6:$Z$289,MATCH(ROW()-5,Income!$Z$6:$Z$289,0),4),"")</f>
        <v/>
      </c>
      <c r="H198" s="1962" t="str">
        <f>IF(ROW() -5&lt;= MAX(Income!$Z$6:$Z$289),INDEX(Income!$F$6:$Z$289,MATCH(ROW()-5,Income!$Z$6:$Z$289,0),4),"")</f>
        <v/>
      </c>
      <c r="I198" s="3"/>
      <c r="J198" s="3"/>
      <c r="K198" t="str">
        <f>IF(ROW() -5&lt;= MAX(Income!$Z$6:$Z$289),INDEX(Income!$B$6:$Z$289,MATCH(ROW()-5,Income!$Z$6:$Z$289,0),24),"")</f>
        <v/>
      </c>
    </row>
    <row r="199" spans="1:11" x14ac:dyDescent="0.2">
      <c r="A199" s="3"/>
      <c r="B199" s="1962" t="str">
        <f>IF(ROW() -5&lt;= MAX(Income!$Z$6:$Z$289),INDEX(Income!$B$6:$Z$289,MATCH(ROW()-5,Income!$Z$6:$Z$289,0),1),"")</f>
        <v/>
      </c>
      <c r="C199" s="1964" t="str">
        <f>IF(ROW() -5&lt;= MAX(Income!$Z$6:$Z$289),INDEX(Income!$B$6:$Z$289,MATCH(ROW()-5,Income!$Z$6:$Z$289,0),2),"")</f>
        <v/>
      </c>
      <c r="D199" s="1962" t="str">
        <f>IF(ROW() -5&lt;= MAX(Income!$Z$6:$Z$289),INDEX(Income!$B$6:$Z$289,MATCH(ROW()-5,Income!$Z$6:$Z$289,0),4),"")</f>
        <v/>
      </c>
      <c r="E199" s="1962" t="str">
        <f>IF(ROW() -5&lt;= MAX(Income!$Z$6:$Z$289),INDEX(Income!$C$6:$Z$289,MATCH(ROW()-5,Income!$Z$6:$Z$289,0),4),"")</f>
        <v/>
      </c>
      <c r="F199" s="1962" t="str">
        <f>IF(ROW() -5&lt;= MAX(Income!$Z$6:$Z$289),INDEX(Income!$D$6:$Z$289,MATCH(ROW()-5,Income!$Z$6:$Z$289,0),4),"")</f>
        <v/>
      </c>
      <c r="G199" s="1962" t="str">
        <f>IF(ROW() -5&lt;= MAX(Income!$Z$6:$Z$289),INDEX(Income!$E$6:$Z$289,MATCH(ROW()-5,Income!$Z$6:$Z$289,0),4),"")</f>
        <v/>
      </c>
      <c r="H199" s="1962" t="str">
        <f>IF(ROW() -5&lt;= MAX(Income!$Z$6:$Z$289),INDEX(Income!$F$6:$Z$289,MATCH(ROW()-5,Income!$Z$6:$Z$289,0),4),"")</f>
        <v/>
      </c>
      <c r="I199" s="3"/>
      <c r="J199" s="3"/>
      <c r="K199" t="str">
        <f>IF(ROW() -5&lt;= MAX(Income!$Z$6:$Z$289),INDEX(Income!$B$6:$Z$289,MATCH(ROW()-5,Income!$Z$6:$Z$289,0),24),"")</f>
        <v/>
      </c>
    </row>
    <row r="200" spans="1:11" x14ac:dyDescent="0.2">
      <c r="A200" s="3"/>
      <c r="B200" s="1962" t="str">
        <f>IF(ROW() -5&lt;= MAX(Income!$Z$6:$Z$289),INDEX(Income!$B$6:$Z$289,MATCH(ROW()-5,Income!$Z$6:$Z$289,0),1),"")</f>
        <v/>
      </c>
      <c r="C200" s="1964" t="str">
        <f>IF(ROW() -5&lt;= MAX(Income!$Z$6:$Z$289),INDEX(Income!$B$6:$Z$289,MATCH(ROW()-5,Income!$Z$6:$Z$289,0),2),"")</f>
        <v/>
      </c>
      <c r="D200" s="1962" t="str">
        <f>IF(ROW() -5&lt;= MAX(Income!$Z$6:$Z$289),INDEX(Income!$B$6:$Z$289,MATCH(ROW()-5,Income!$Z$6:$Z$289,0),4),"")</f>
        <v/>
      </c>
      <c r="E200" s="1962" t="str">
        <f>IF(ROW() -5&lt;= MAX(Income!$Z$6:$Z$289),INDEX(Income!$C$6:$Z$289,MATCH(ROW()-5,Income!$Z$6:$Z$289,0),4),"")</f>
        <v/>
      </c>
      <c r="F200" s="1962" t="str">
        <f>IF(ROW() -5&lt;= MAX(Income!$Z$6:$Z$289),INDEX(Income!$D$6:$Z$289,MATCH(ROW()-5,Income!$Z$6:$Z$289,0),4),"")</f>
        <v/>
      </c>
      <c r="G200" s="1962" t="str">
        <f>IF(ROW() -5&lt;= MAX(Income!$Z$6:$Z$289),INDEX(Income!$E$6:$Z$289,MATCH(ROW()-5,Income!$Z$6:$Z$289,0),4),"")</f>
        <v/>
      </c>
      <c r="H200" s="1962" t="str">
        <f>IF(ROW() -5&lt;= MAX(Income!$Z$6:$Z$289),INDEX(Income!$F$6:$Z$289,MATCH(ROW()-5,Income!$Z$6:$Z$289,0),4),"")</f>
        <v/>
      </c>
      <c r="I200" s="3"/>
      <c r="J200" s="3"/>
      <c r="K200" t="str">
        <f>IF(ROW() -5&lt;= MAX(Income!$Z$6:$Z$289),INDEX(Income!$B$6:$Z$289,MATCH(ROW()-5,Income!$Z$6:$Z$289,0),24),"")</f>
        <v/>
      </c>
    </row>
    <row r="201" spans="1:11" x14ac:dyDescent="0.2">
      <c r="A201" s="3"/>
      <c r="B201" s="1962" t="str">
        <f>IF(ROW() -5&lt;= MAX(Income!$Z$6:$Z$289),INDEX(Income!$B$6:$Z$289,MATCH(ROW()-5,Income!$Z$6:$Z$289,0),1),"")</f>
        <v/>
      </c>
      <c r="C201" s="1964" t="str">
        <f>IF(ROW() -5&lt;= MAX(Income!$Z$6:$Z$289),INDEX(Income!$B$6:$Z$289,MATCH(ROW()-5,Income!$Z$6:$Z$289,0),2),"")</f>
        <v/>
      </c>
      <c r="D201" s="1962" t="str">
        <f>IF(ROW() -5&lt;= MAX(Income!$Z$6:$Z$289),INDEX(Income!$B$6:$Z$289,MATCH(ROW()-5,Income!$Z$6:$Z$289,0),4),"")</f>
        <v/>
      </c>
      <c r="E201" s="1962" t="str">
        <f>IF(ROW() -5&lt;= MAX(Income!$Z$6:$Z$289),INDEX(Income!$C$6:$Z$289,MATCH(ROW()-5,Income!$Z$6:$Z$289,0),4),"")</f>
        <v/>
      </c>
      <c r="F201" s="1962" t="str">
        <f>IF(ROW() -5&lt;= MAX(Income!$Z$6:$Z$289),INDEX(Income!$D$6:$Z$289,MATCH(ROW()-5,Income!$Z$6:$Z$289,0),4),"")</f>
        <v/>
      </c>
      <c r="G201" s="1962" t="str">
        <f>IF(ROW() -5&lt;= MAX(Income!$Z$6:$Z$289),INDEX(Income!$E$6:$Z$289,MATCH(ROW()-5,Income!$Z$6:$Z$289,0),4),"")</f>
        <v/>
      </c>
      <c r="H201" s="1962" t="str">
        <f>IF(ROW() -5&lt;= MAX(Income!$Z$6:$Z$289),INDEX(Income!$F$6:$Z$289,MATCH(ROW()-5,Income!$Z$6:$Z$289,0),4),"")</f>
        <v/>
      </c>
      <c r="I201" s="3"/>
      <c r="J201" s="3"/>
      <c r="K201" t="str">
        <f>IF(ROW() -5&lt;= MAX(Income!$Z$6:$Z$289),INDEX(Income!$B$6:$Z$289,MATCH(ROW()-5,Income!$Z$6:$Z$289,0),24),"")</f>
        <v/>
      </c>
    </row>
    <row r="202" spans="1:11" x14ac:dyDescent="0.2">
      <c r="A202" s="3"/>
      <c r="B202" s="1962" t="str">
        <f>IF(ROW() -5&lt;= MAX(Income!$Z$6:$Z$289),INDEX(Income!$B$6:$Z$289,MATCH(ROW()-5,Income!$Z$6:$Z$289,0),1),"")</f>
        <v/>
      </c>
      <c r="C202" s="1964" t="str">
        <f>IF(ROW() -5&lt;= MAX(Income!$Z$6:$Z$289),INDEX(Income!$B$6:$Z$289,MATCH(ROW()-5,Income!$Z$6:$Z$289,0),2),"")</f>
        <v/>
      </c>
      <c r="D202" s="1962" t="str">
        <f>IF(ROW() -5&lt;= MAX(Income!$Z$6:$Z$289),INDEX(Income!$B$6:$Z$289,MATCH(ROW()-5,Income!$Z$6:$Z$289,0),4),"")</f>
        <v/>
      </c>
      <c r="E202" s="1962" t="str">
        <f>IF(ROW() -5&lt;= MAX(Income!$Z$6:$Z$289),INDEX(Income!$C$6:$Z$289,MATCH(ROW()-5,Income!$Z$6:$Z$289,0),4),"")</f>
        <v/>
      </c>
      <c r="F202" s="1962" t="str">
        <f>IF(ROW() -5&lt;= MAX(Income!$Z$6:$Z$289),INDEX(Income!$D$6:$Z$289,MATCH(ROW()-5,Income!$Z$6:$Z$289,0),4),"")</f>
        <v/>
      </c>
      <c r="G202" s="1962" t="str">
        <f>IF(ROW() -5&lt;= MAX(Income!$Z$6:$Z$289),INDEX(Income!$E$6:$Z$289,MATCH(ROW()-5,Income!$Z$6:$Z$289,0),4),"")</f>
        <v/>
      </c>
      <c r="H202" s="1962" t="str">
        <f>IF(ROW() -5&lt;= MAX(Income!$Z$6:$Z$289),INDEX(Income!$F$6:$Z$289,MATCH(ROW()-5,Income!$Z$6:$Z$289,0),4),"")</f>
        <v/>
      </c>
      <c r="I202" s="3"/>
      <c r="J202" s="3"/>
      <c r="K202" t="str">
        <f>IF(ROW() -5&lt;= MAX(Income!$Z$6:$Z$289),INDEX(Income!$B$6:$Z$289,MATCH(ROW()-5,Income!$Z$6:$Z$289,0),24),"")</f>
        <v/>
      </c>
    </row>
    <row r="203" spans="1:11" x14ac:dyDescent="0.2">
      <c r="A203" s="3"/>
      <c r="B203" s="1962" t="str">
        <f>IF(ROW() -5&lt;= MAX(Income!$Z$6:$Z$289),INDEX(Income!$B$6:$Z$289,MATCH(ROW()-5,Income!$Z$6:$Z$289,0),1),"")</f>
        <v/>
      </c>
      <c r="C203" s="1964" t="str">
        <f>IF(ROW() -5&lt;= MAX(Income!$Z$6:$Z$289),INDEX(Income!$B$6:$Z$289,MATCH(ROW()-5,Income!$Z$6:$Z$289,0),2),"")</f>
        <v/>
      </c>
      <c r="D203" s="1962" t="str">
        <f>IF(ROW() -5&lt;= MAX(Income!$Z$6:$Z$289),INDEX(Income!$B$6:$Z$289,MATCH(ROW()-5,Income!$Z$6:$Z$289,0),4),"")</f>
        <v/>
      </c>
      <c r="E203" s="1962" t="str">
        <f>IF(ROW() -5&lt;= MAX(Income!$Z$6:$Z$289),INDEX(Income!$C$6:$Z$289,MATCH(ROW()-5,Income!$Z$6:$Z$289,0),4),"")</f>
        <v/>
      </c>
      <c r="F203" s="1962" t="str">
        <f>IF(ROW() -5&lt;= MAX(Income!$Z$6:$Z$289),INDEX(Income!$D$6:$Z$289,MATCH(ROW()-5,Income!$Z$6:$Z$289,0),4),"")</f>
        <v/>
      </c>
      <c r="G203" s="1962" t="str">
        <f>IF(ROW() -5&lt;= MAX(Income!$Z$6:$Z$289),INDEX(Income!$E$6:$Z$289,MATCH(ROW()-5,Income!$Z$6:$Z$289,0),4),"")</f>
        <v/>
      </c>
      <c r="H203" s="1962" t="str">
        <f>IF(ROW() -5&lt;= MAX(Income!$Z$6:$Z$289),INDEX(Income!$F$6:$Z$289,MATCH(ROW()-5,Income!$Z$6:$Z$289,0),4),"")</f>
        <v/>
      </c>
      <c r="I203" s="3"/>
      <c r="J203" s="3"/>
      <c r="K203" t="str">
        <f>IF(ROW() -5&lt;= MAX(Income!$Z$6:$Z$289),INDEX(Income!$B$6:$Z$289,MATCH(ROW()-5,Income!$Z$6:$Z$289,0),24),"")</f>
        <v/>
      </c>
    </row>
    <row r="204" spans="1:11" x14ac:dyDescent="0.2">
      <c r="A204" s="3"/>
      <c r="B204" s="1962" t="str">
        <f>IF(ROW() -5&lt;= MAX(Income!$Z$6:$Z$289),INDEX(Income!$B$6:$Z$289,MATCH(ROW()-5,Income!$Z$6:$Z$289,0),1),"")</f>
        <v/>
      </c>
      <c r="C204" s="1964" t="str">
        <f>IF(ROW() -5&lt;= MAX(Income!$Z$6:$Z$289),INDEX(Income!$B$6:$Z$289,MATCH(ROW()-5,Income!$Z$6:$Z$289,0),2),"")</f>
        <v/>
      </c>
      <c r="D204" s="1962" t="str">
        <f>IF(ROW() -5&lt;= MAX(Income!$Z$6:$Z$289),INDEX(Income!$B$6:$Z$289,MATCH(ROW()-5,Income!$Z$6:$Z$289,0),4),"")</f>
        <v/>
      </c>
      <c r="E204" s="1962" t="str">
        <f>IF(ROW() -5&lt;= MAX(Income!$Z$6:$Z$289),INDEX(Income!$C$6:$Z$289,MATCH(ROW()-5,Income!$Z$6:$Z$289,0),4),"")</f>
        <v/>
      </c>
      <c r="F204" s="1962" t="str">
        <f>IF(ROW() -5&lt;= MAX(Income!$Z$6:$Z$289),INDEX(Income!$D$6:$Z$289,MATCH(ROW()-5,Income!$Z$6:$Z$289,0),4),"")</f>
        <v/>
      </c>
      <c r="G204" s="1962" t="str">
        <f>IF(ROW() -5&lt;= MAX(Income!$Z$6:$Z$289),INDEX(Income!$E$6:$Z$289,MATCH(ROW()-5,Income!$Z$6:$Z$289,0),4),"")</f>
        <v/>
      </c>
      <c r="H204" s="1962" t="str">
        <f>IF(ROW() -5&lt;= MAX(Income!$Z$6:$Z$289),INDEX(Income!$F$6:$Z$289,MATCH(ROW()-5,Income!$Z$6:$Z$289,0),4),"")</f>
        <v/>
      </c>
      <c r="I204" s="3"/>
      <c r="J204" s="3"/>
      <c r="K204" t="str">
        <f>IF(ROW() -5&lt;= MAX(Income!$Z$6:$Z$289),INDEX(Income!$B$6:$Z$289,MATCH(ROW()-5,Income!$Z$6:$Z$289,0),24),"")</f>
        <v/>
      </c>
    </row>
    <row r="205" spans="1:11" x14ac:dyDescent="0.2">
      <c r="A205" s="3"/>
      <c r="B205" s="1962" t="str">
        <f>IF(ROW() -5&lt;= MAX(Income!$Z$6:$Z$289),INDEX(Income!$B$6:$Z$289,MATCH(ROW()-5,Income!$Z$6:$Z$289,0),1),"")</f>
        <v/>
      </c>
      <c r="C205" s="1964" t="str">
        <f>IF(ROW() -5&lt;= MAX(Income!$Z$6:$Z$289),INDEX(Income!$B$6:$Z$289,MATCH(ROW()-5,Income!$Z$6:$Z$289,0),2),"")</f>
        <v/>
      </c>
      <c r="D205" s="1962" t="str">
        <f>IF(ROW() -5&lt;= MAX(Income!$Z$6:$Z$289),INDEX(Income!$B$6:$Z$289,MATCH(ROW()-5,Income!$Z$6:$Z$289,0),4),"")</f>
        <v/>
      </c>
      <c r="E205" s="1962" t="str">
        <f>IF(ROW() -5&lt;= MAX(Income!$Z$6:$Z$289),INDEX(Income!$C$6:$Z$289,MATCH(ROW()-5,Income!$Z$6:$Z$289,0),4),"")</f>
        <v/>
      </c>
      <c r="F205" s="1962" t="str">
        <f>IF(ROW() -5&lt;= MAX(Income!$Z$6:$Z$289),INDEX(Income!$D$6:$Z$289,MATCH(ROW()-5,Income!$Z$6:$Z$289,0),4),"")</f>
        <v/>
      </c>
      <c r="G205" s="1962" t="str">
        <f>IF(ROW() -5&lt;= MAX(Income!$Z$6:$Z$289),INDEX(Income!$E$6:$Z$289,MATCH(ROW()-5,Income!$Z$6:$Z$289,0),4),"")</f>
        <v/>
      </c>
      <c r="H205" s="1962" t="str">
        <f>IF(ROW() -5&lt;= MAX(Income!$Z$6:$Z$289),INDEX(Income!$F$6:$Z$289,MATCH(ROW()-5,Income!$Z$6:$Z$289,0),4),"")</f>
        <v/>
      </c>
      <c r="I205" s="3"/>
      <c r="J205" s="3"/>
      <c r="K205" t="str">
        <f>IF(ROW() -5&lt;= MAX(Income!$Z$6:$Z$289),INDEX(Income!$B$6:$Z$289,MATCH(ROW()-5,Income!$Z$6:$Z$289,0),24),"")</f>
        <v/>
      </c>
    </row>
    <row r="206" spans="1:11" x14ac:dyDescent="0.2">
      <c r="A206" s="3"/>
      <c r="B206" s="1962" t="str">
        <f>IF(ROW() -5&lt;= MAX(Income!$Z$6:$Z$289),INDEX(Income!$B$6:$Z$289,MATCH(ROW()-5,Income!$Z$6:$Z$289,0),1),"")</f>
        <v/>
      </c>
      <c r="C206" s="1964" t="str">
        <f>IF(ROW() -5&lt;= MAX(Income!$Z$6:$Z$289),INDEX(Income!$B$6:$Z$289,MATCH(ROW()-5,Income!$Z$6:$Z$289,0),2),"")</f>
        <v/>
      </c>
      <c r="D206" s="1962" t="str">
        <f>IF(ROW() -5&lt;= MAX(Income!$Z$6:$Z$289),INDEX(Income!$B$6:$Z$289,MATCH(ROW()-5,Income!$Z$6:$Z$289,0),4),"")</f>
        <v/>
      </c>
      <c r="E206" s="1962" t="str">
        <f>IF(ROW() -5&lt;= MAX(Income!$Z$6:$Z$289),INDEX(Income!$C$6:$Z$289,MATCH(ROW()-5,Income!$Z$6:$Z$289,0),4),"")</f>
        <v/>
      </c>
      <c r="F206" s="1962" t="str">
        <f>IF(ROW() -5&lt;= MAX(Income!$Z$6:$Z$289),INDEX(Income!$D$6:$Z$289,MATCH(ROW()-5,Income!$Z$6:$Z$289,0),4),"")</f>
        <v/>
      </c>
      <c r="G206" s="1962" t="str">
        <f>IF(ROW() -5&lt;= MAX(Income!$Z$6:$Z$289),INDEX(Income!$E$6:$Z$289,MATCH(ROW()-5,Income!$Z$6:$Z$289,0),4),"")</f>
        <v/>
      </c>
      <c r="H206" s="1962" t="str">
        <f>IF(ROW() -5&lt;= MAX(Income!$Z$6:$Z$289),INDEX(Income!$F$6:$Z$289,MATCH(ROW()-5,Income!$Z$6:$Z$289,0),4),"")</f>
        <v/>
      </c>
      <c r="I206" s="3"/>
      <c r="J206" s="3"/>
      <c r="K206" t="str">
        <f>IF(ROW() -5&lt;= MAX(Income!$Z$6:$Z$289),INDEX(Income!$B$6:$Z$289,MATCH(ROW()-5,Income!$Z$6:$Z$289,0),24),"")</f>
        <v/>
      </c>
    </row>
    <row r="207" spans="1:11" x14ac:dyDescent="0.2">
      <c r="A207" s="3"/>
      <c r="B207" s="1962" t="str">
        <f>IF(ROW() -5&lt;= MAX(Income!$Z$6:$Z$289),INDEX(Income!$B$6:$Z$289,MATCH(ROW()-5,Income!$Z$6:$Z$289,0),1),"")</f>
        <v/>
      </c>
      <c r="C207" s="1964" t="str">
        <f>IF(ROW() -5&lt;= MAX(Income!$Z$6:$Z$289),INDEX(Income!$B$6:$Z$289,MATCH(ROW()-5,Income!$Z$6:$Z$289,0),2),"")</f>
        <v/>
      </c>
      <c r="D207" s="1962" t="str">
        <f>IF(ROW() -5&lt;= MAX(Income!$Z$6:$Z$289),INDEX(Income!$B$6:$Z$289,MATCH(ROW()-5,Income!$Z$6:$Z$289,0),4),"")</f>
        <v/>
      </c>
      <c r="E207" s="1962" t="str">
        <f>IF(ROW() -5&lt;= MAX(Income!$Z$6:$Z$289),INDEX(Income!$C$6:$Z$289,MATCH(ROW()-5,Income!$Z$6:$Z$289,0),4),"")</f>
        <v/>
      </c>
      <c r="F207" s="1962" t="str">
        <f>IF(ROW() -5&lt;= MAX(Income!$Z$6:$Z$289),INDEX(Income!$D$6:$Z$289,MATCH(ROW()-5,Income!$Z$6:$Z$289,0),4),"")</f>
        <v/>
      </c>
      <c r="G207" s="1962" t="str">
        <f>IF(ROW() -5&lt;= MAX(Income!$Z$6:$Z$289),INDEX(Income!$E$6:$Z$289,MATCH(ROW()-5,Income!$Z$6:$Z$289,0),4),"")</f>
        <v/>
      </c>
      <c r="H207" s="1962" t="str">
        <f>IF(ROW() -5&lt;= MAX(Income!$Z$6:$Z$289),INDEX(Income!$F$6:$Z$289,MATCH(ROW()-5,Income!$Z$6:$Z$289,0),4),"")</f>
        <v/>
      </c>
      <c r="I207" s="3"/>
      <c r="J207" s="3"/>
      <c r="K207" t="str">
        <f>IF(ROW() -5&lt;= MAX(Income!$Z$6:$Z$289),INDEX(Income!$B$6:$Z$289,MATCH(ROW()-5,Income!$Z$6:$Z$289,0),24),"")</f>
        <v/>
      </c>
    </row>
    <row r="208" spans="1:11" x14ac:dyDescent="0.2">
      <c r="A208" s="3"/>
      <c r="B208" s="1962" t="str">
        <f>IF(ROW() -5&lt;= MAX(Income!$Z$6:$Z$289),INDEX(Income!$B$6:$Z$289,MATCH(ROW()-5,Income!$Z$6:$Z$289,0),1),"")</f>
        <v/>
      </c>
      <c r="C208" s="1964" t="str">
        <f>IF(ROW() -5&lt;= MAX(Income!$Z$6:$Z$289),INDEX(Income!$B$6:$Z$289,MATCH(ROW()-5,Income!$Z$6:$Z$289,0),2),"")</f>
        <v/>
      </c>
      <c r="D208" s="1962" t="str">
        <f>IF(ROW() -5&lt;= MAX(Income!$Z$6:$Z$289),INDEX(Income!$B$6:$Z$289,MATCH(ROW()-5,Income!$Z$6:$Z$289,0),4),"")</f>
        <v/>
      </c>
      <c r="E208" s="1962" t="str">
        <f>IF(ROW() -5&lt;= MAX(Income!$Z$6:$Z$289),INDEX(Income!$C$6:$Z$289,MATCH(ROW()-5,Income!$Z$6:$Z$289,0),4),"")</f>
        <v/>
      </c>
      <c r="F208" s="1962" t="str">
        <f>IF(ROW() -5&lt;= MAX(Income!$Z$6:$Z$289),INDEX(Income!$D$6:$Z$289,MATCH(ROW()-5,Income!$Z$6:$Z$289,0),4),"")</f>
        <v/>
      </c>
      <c r="G208" s="1962" t="str">
        <f>IF(ROW() -5&lt;= MAX(Income!$Z$6:$Z$289),INDEX(Income!$E$6:$Z$289,MATCH(ROW()-5,Income!$Z$6:$Z$289,0),4),"")</f>
        <v/>
      </c>
      <c r="H208" s="1962" t="str">
        <f>IF(ROW() -5&lt;= MAX(Income!$Z$6:$Z$289),INDEX(Income!$F$6:$Z$289,MATCH(ROW()-5,Income!$Z$6:$Z$289,0),4),"")</f>
        <v/>
      </c>
      <c r="I208" s="3"/>
      <c r="J208" s="3"/>
      <c r="K208" t="str">
        <f>IF(ROW() -5&lt;= MAX(Income!$Z$6:$Z$289),INDEX(Income!$B$6:$Z$289,MATCH(ROW()-5,Income!$Z$6:$Z$289,0),24),"")</f>
        <v/>
      </c>
    </row>
    <row r="209" spans="1:11" x14ac:dyDescent="0.2">
      <c r="A209" s="3"/>
      <c r="B209" s="1962" t="str">
        <f>IF(ROW() -5&lt;= MAX(Income!$Z$6:$Z$289),INDEX(Income!$B$6:$Z$289,MATCH(ROW()-5,Income!$Z$6:$Z$289,0),1),"")</f>
        <v/>
      </c>
      <c r="C209" s="1964" t="str">
        <f>IF(ROW() -5&lt;= MAX(Income!$Z$6:$Z$289),INDEX(Income!$B$6:$Z$289,MATCH(ROW()-5,Income!$Z$6:$Z$289,0),2),"")</f>
        <v/>
      </c>
      <c r="D209" s="1962" t="str">
        <f>IF(ROW() -5&lt;= MAX(Income!$Z$6:$Z$289),INDEX(Income!$B$6:$Z$289,MATCH(ROW()-5,Income!$Z$6:$Z$289,0),4),"")</f>
        <v/>
      </c>
      <c r="E209" s="1962" t="str">
        <f>IF(ROW() -5&lt;= MAX(Income!$Z$6:$Z$289),INDEX(Income!$C$6:$Z$289,MATCH(ROW()-5,Income!$Z$6:$Z$289,0),4),"")</f>
        <v/>
      </c>
      <c r="F209" s="1962" t="str">
        <f>IF(ROW() -5&lt;= MAX(Income!$Z$6:$Z$289),INDEX(Income!$D$6:$Z$289,MATCH(ROW()-5,Income!$Z$6:$Z$289,0),4),"")</f>
        <v/>
      </c>
      <c r="G209" s="1962" t="str">
        <f>IF(ROW() -5&lt;= MAX(Income!$Z$6:$Z$289),INDEX(Income!$E$6:$Z$289,MATCH(ROW()-5,Income!$Z$6:$Z$289,0),4),"")</f>
        <v/>
      </c>
      <c r="H209" s="1962" t="str">
        <f>IF(ROW() -5&lt;= MAX(Income!$Z$6:$Z$289),INDEX(Income!$F$6:$Z$289,MATCH(ROW()-5,Income!$Z$6:$Z$289,0),4),"")</f>
        <v/>
      </c>
      <c r="I209" s="3"/>
      <c r="J209" s="3"/>
      <c r="K209" t="str">
        <f>IF(ROW() -5&lt;= MAX(Income!$Z$6:$Z$289),INDEX(Income!$B$6:$Z$289,MATCH(ROW()-5,Income!$Z$6:$Z$289,0),24),"")</f>
        <v/>
      </c>
    </row>
    <row r="210" spans="1:11" x14ac:dyDescent="0.2">
      <c r="A210" s="3"/>
      <c r="B210" s="1962" t="str">
        <f>IF(ROW() -5&lt;= MAX(Income!$Z$6:$Z$289),INDEX(Income!$B$6:$Z$289,MATCH(ROW()-5,Income!$Z$6:$Z$289,0),1),"")</f>
        <v/>
      </c>
      <c r="C210" s="1964" t="str">
        <f>IF(ROW() -5&lt;= MAX(Income!$Z$6:$Z$289),INDEX(Income!$B$6:$Z$289,MATCH(ROW()-5,Income!$Z$6:$Z$289,0),2),"")</f>
        <v/>
      </c>
      <c r="D210" s="1962" t="str">
        <f>IF(ROW() -5&lt;= MAX(Income!$Z$6:$Z$289),INDEX(Income!$B$6:$Z$289,MATCH(ROW()-5,Income!$Z$6:$Z$289,0),4),"")</f>
        <v/>
      </c>
      <c r="E210" s="1962" t="str">
        <f>IF(ROW() -5&lt;= MAX(Income!$Z$6:$Z$289),INDEX(Income!$C$6:$Z$289,MATCH(ROW()-5,Income!$Z$6:$Z$289,0),4),"")</f>
        <v/>
      </c>
      <c r="F210" s="1962" t="str">
        <f>IF(ROW() -5&lt;= MAX(Income!$Z$6:$Z$289),INDEX(Income!$D$6:$Z$289,MATCH(ROW()-5,Income!$Z$6:$Z$289,0),4),"")</f>
        <v/>
      </c>
      <c r="G210" s="1962" t="str">
        <f>IF(ROW() -5&lt;= MAX(Income!$Z$6:$Z$289),INDEX(Income!$E$6:$Z$289,MATCH(ROW()-5,Income!$Z$6:$Z$289,0),4),"")</f>
        <v/>
      </c>
      <c r="H210" s="1962" t="str">
        <f>IF(ROW() -5&lt;= MAX(Income!$Z$6:$Z$289),INDEX(Income!$F$6:$Z$289,MATCH(ROW()-5,Income!$Z$6:$Z$289,0),4),"")</f>
        <v/>
      </c>
      <c r="I210" s="3"/>
      <c r="J210" s="3"/>
      <c r="K210" t="str">
        <f>IF(ROW() -5&lt;= MAX(Income!$Z$6:$Z$289),INDEX(Income!$B$6:$Z$289,MATCH(ROW()-5,Income!$Z$6:$Z$289,0),24),"")</f>
        <v/>
      </c>
    </row>
    <row r="211" spans="1:11" x14ac:dyDescent="0.2">
      <c r="A211" s="3"/>
      <c r="B211" s="1962" t="str">
        <f>IF(ROW() -5&lt;= MAX(Income!$Z$6:$Z$289),INDEX(Income!$B$6:$Z$289,MATCH(ROW()-5,Income!$Z$6:$Z$289,0),1),"")</f>
        <v/>
      </c>
      <c r="C211" s="1964" t="str">
        <f>IF(ROW() -5&lt;= MAX(Income!$Z$6:$Z$289),INDEX(Income!$B$6:$Z$289,MATCH(ROW()-5,Income!$Z$6:$Z$289,0),2),"")</f>
        <v/>
      </c>
      <c r="D211" s="1962" t="str">
        <f>IF(ROW() -5&lt;= MAX(Income!$Z$6:$Z$289),INDEX(Income!$B$6:$Z$289,MATCH(ROW()-5,Income!$Z$6:$Z$289,0),4),"")</f>
        <v/>
      </c>
      <c r="E211" s="1962" t="str">
        <f>IF(ROW() -5&lt;= MAX(Income!$Z$6:$Z$289),INDEX(Income!$C$6:$Z$289,MATCH(ROW()-5,Income!$Z$6:$Z$289,0),4),"")</f>
        <v/>
      </c>
      <c r="F211" s="1962" t="str">
        <f>IF(ROW() -5&lt;= MAX(Income!$Z$6:$Z$289),INDEX(Income!$D$6:$Z$289,MATCH(ROW()-5,Income!$Z$6:$Z$289,0),4),"")</f>
        <v/>
      </c>
      <c r="G211" s="1962" t="str">
        <f>IF(ROW() -5&lt;= MAX(Income!$Z$6:$Z$289),INDEX(Income!$E$6:$Z$289,MATCH(ROW()-5,Income!$Z$6:$Z$289,0),4),"")</f>
        <v/>
      </c>
      <c r="H211" s="1962" t="str">
        <f>IF(ROW() -5&lt;= MAX(Income!$Z$6:$Z$289),INDEX(Income!$F$6:$Z$289,MATCH(ROW()-5,Income!$Z$6:$Z$289,0),4),"")</f>
        <v/>
      </c>
      <c r="I211" s="3"/>
      <c r="J211" s="3"/>
      <c r="K211" t="str">
        <f>IF(ROW() -5&lt;= MAX(Income!$Z$6:$Z$289),INDEX(Income!$B$6:$Z$289,MATCH(ROW()-5,Income!$Z$6:$Z$289,0),24),"")</f>
        <v/>
      </c>
    </row>
    <row r="212" spans="1:11" x14ac:dyDescent="0.2">
      <c r="A212" s="3"/>
      <c r="B212" s="1962" t="str">
        <f>IF(ROW() -5&lt;= MAX(Income!$Z$6:$Z$289),INDEX(Income!$B$6:$Z$289,MATCH(ROW()-5,Income!$Z$6:$Z$289,0),1),"")</f>
        <v/>
      </c>
      <c r="C212" s="1964" t="str">
        <f>IF(ROW() -5&lt;= MAX(Income!$Z$6:$Z$289),INDEX(Income!$B$6:$Z$289,MATCH(ROW()-5,Income!$Z$6:$Z$289,0),2),"")</f>
        <v/>
      </c>
      <c r="D212" s="1962" t="str">
        <f>IF(ROW() -5&lt;= MAX(Income!$Z$6:$Z$289),INDEX(Income!$B$6:$Z$289,MATCH(ROW()-5,Income!$Z$6:$Z$289,0),4),"")</f>
        <v/>
      </c>
      <c r="E212" s="1962" t="str">
        <f>IF(ROW() -5&lt;= MAX(Income!$Z$6:$Z$289),INDEX(Income!$C$6:$Z$289,MATCH(ROW()-5,Income!$Z$6:$Z$289,0),4),"")</f>
        <v/>
      </c>
      <c r="F212" s="1962" t="str">
        <f>IF(ROW() -5&lt;= MAX(Income!$Z$6:$Z$289),INDEX(Income!$D$6:$Z$289,MATCH(ROW()-5,Income!$Z$6:$Z$289,0),4),"")</f>
        <v/>
      </c>
      <c r="G212" s="1962" t="str">
        <f>IF(ROW() -5&lt;= MAX(Income!$Z$6:$Z$289),INDEX(Income!$E$6:$Z$289,MATCH(ROW()-5,Income!$Z$6:$Z$289,0),4),"")</f>
        <v/>
      </c>
      <c r="H212" s="1962" t="str">
        <f>IF(ROW() -5&lt;= MAX(Income!$Z$6:$Z$289),INDEX(Income!$F$6:$Z$289,MATCH(ROW()-5,Income!$Z$6:$Z$289,0),4),"")</f>
        <v/>
      </c>
      <c r="I212" s="3"/>
      <c r="J212" s="3"/>
      <c r="K212" t="str">
        <f>IF(ROW() -5&lt;= MAX(Income!$Z$6:$Z$289),INDEX(Income!$B$6:$Z$289,MATCH(ROW()-5,Income!$Z$6:$Z$289,0),24),"")</f>
        <v/>
      </c>
    </row>
    <row r="213" spans="1:11" x14ac:dyDescent="0.2">
      <c r="A213" s="3"/>
      <c r="B213" s="1962" t="str">
        <f>IF(ROW() -5&lt;= MAX(Income!$Z$6:$Z$289),INDEX(Income!$B$6:$Z$289,MATCH(ROW()-5,Income!$Z$6:$Z$289,0),1),"")</f>
        <v/>
      </c>
      <c r="C213" s="1964" t="str">
        <f>IF(ROW() -5&lt;= MAX(Income!$Z$6:$Z$289),INDEX(Income!$B$6:$Z$289,MATCH(ROW()-5,Income!$Z$6:$Z$289,0),2),"")</f>
        <v/>
      </c>
      <c r="D213" s="1962" t="str">
        <f>IF(ROW() -5&lt;= MAX(Income!$Z$6:$Z$289),INDEX(Income!$B$6:$Z$289,MATCH(ROW()-5,Income!$Z$6:$Z$289,0),4),"")</f>
        <v/>
      </c>
      <c r="E213" s="1962" t="str">
        <f>IF(ROW() -5&lt;= MAX(Income!$Z$6:$Z$289),INDEX(Income!$C$6:$Z$289,MATCH(ROW()-5,Income!$Z$6:$Z$289,0),4),"")</f>
        <v/>
      </c>
      <c r="F213" s="1962" t="str">
        <f>IF(ROW() -5&lt;= MAX(Income!$Z$6:$Z$289),INDEX(Income!$D$6:$Z$289,MATCH(ROW()-5,Income!$Z$6:$Z$289,0),4),"")</f>
        <v/>
      </c>
      <c r="G213" s="1962" t="str">
        <f>IF(ROW() -5&lt;= MAX(Income!$Z$6:$Z$289),INDEX(Income!$E$6:$Z$289,MATCH(ROW()-5,Income!$Z$6:$Z$289,0),4),"")</f>
        <v/>
      </c>
      <c r="H213" s="1962" t="str">
        <f>IF(ROW() -5&lt;= MAX(Income!$Z$6:$Z$289),INDEX(Income!$F$6:$Z$289,MATCH(ROW()-5,Income!$Z$6:$Z$289,0),4),"")</f>
        <v/>
      </c>
      <c r="I213" s="3"/>
      <c r="J213" s="3"/>
      <c r="K213" t="str">
        <f>IF(ROW() -5&lt;= MAX(Income!$Z$6:$Z$289),INDEX(Income!$B$6:$Z$289,MATCH(ROW()-5,Income!$Z$6:$Z$289,0),24),"")</f>
        <v/>
      </c>
    </row>
    <row r="214" spans="1:11" x14ac:dyDescent="0.2">
      <c r="A214" s="3"/>
      <c r="B214" s="1962" t="str">
        <f>IF(ROW() -5&lt;= MAX(Income!$Z$6:$Z$289),INDEX(Income!$B$6:$Z$289,MATCH(ROW()-5,Income!$Z$6:$Z$289,0),1),"")</f>
        <v/>
      </c>
      <c r="C214" s="1964" t="str">
        <f>IF(ROW() -5&lt;= MAX(Income!$Z$6:$Z$289),INDEX(Income!$B$6:$Z$289,MATCH(ROW()-5,Income!$Z$6:$Z$289,0),2),"")</f>
        <v/>
      </c>
      <c r="D214" s="1962" t="str">
        <f>IF(ROW() -5&lt;= MAX(Income!$Z$6:$Z$289),INDEX(Income!$B$6:$Z$289,MATCH(ROW()-5,Income!$Z$6:$Z$289,0),4),"")</f>
        <v/>
      </c>
      <c r="E214" s="1962" t="str">
        <f>IF(ROW() -5&lt;= MAX(Income!$Z$6:$Z$289),INDEX(Income!$C$6:$Z$289,MATCH(ROW()-5,Income!$Z$6:$Z$289,0),4),"")</f>
        <v/>
      </c>
      <c r="F214" s="1962" t="str">
        <f>IF(ROW() -5&lt;= MAX(Income!$Z$6:$Z$289),INDEX(Income!$D$6:$Z$289,MATCH(ROW()-5,Income!$Z$6:$Z$289,0),4),"")</f>
        <v/>
      </c>
      <c r="G214" s="1962" t="str">
        <f>IF(ROW() -5&lt;= MAX(Income!$Z$6:$Z$289),INDEX(Income!$E$6:$Z$289,MATCH(ROW()-5,Income!$Z$6:$Z$289,0),4),"")</f>
        <v/>
      </c>
      <c r="H214" s="1962" t="str">
        <f>IF(ROW() -5&lt;= MAX(Income!$Z$6:$Z$289),INDEX(Income!$F$6:$Z$289,MATCH(ROW()-5,Income!$Z$6:$Z$289,0),4),"")</f>
        <v/>
      </c>
      <c r="I214" s="3"/>
      <c r="J214" s="3"/>
      <c r="K214" t="str">
        <f>IF(ROW() -5&lt;= MAX(Income!$Z$6:$Z$289),INDEX(Income!$B$6:$Z$289,MATCH(ROW()-5,Income!$Z$6:$Z$289,0),24),"")</f>
        <v/>
      </c>
    </row>
    <row r="215" spans="1:11" x14ac:dyDescent="0.2">
      <c r="A215" s="3"/>
      <c r="B215" s="1962" t="str">
        <f>IF(ROW() -5&lt;= MAX(Income!$Z$6:$Z$289),INDEX(Income!$B$6:$Z$289,MATCH(ROW()-5,Income!$Z$6:$Z$289,0),1),"")</f>
        <v/>
      </c>
      <c r="C215" s="1964" t="str">
        <f>IF(ROW() -5&lt;= MAX(Income!$Z$6:$Z$289),INDEX(Income!$B$6:$Z$289,MATCH(ROW()-5,Income!$Z$6:$Z$289,0),2),"")</f>
        <v/>
      </c>
      <c r="D215" s="1962" t="str">
        <f>IF(ROW() -5&lt;= MAX(Income!$Z$6:$Z$289),INDEX(Income!$B$6:$Z$289,MATCH(ROW()-5,Income!$Z$6:$Z$289,0),4),"")</f>
        <v/>
      </c>
      <c r="E215" s="1962" t="str">
        <f>IF(ROW() -5&lt;= MAX(Income!$Z$6:$Z$289),INDEX(Income!$C$6:$Z$289,MATCH(ROW()-5,Income!$Z$6:$Z$289,0),4),"")</f>
        <v/>
      </c>
      <c r="F215" s="1962" t="str">
        <f>IF(ROW() -5&lt;= MAX(Income!$Z$6:$Z$289),INDEX(Income!$D$6:$Z$289,MATCH(ROW()-5,Income!$Z$6:$Z$289,0),4),"")</f>
        <v/>
      </c>
      <c r="G215" s="1962" t="str">
        <f>IF(ROW() -5&lt;= MAX(Income!$Z$6:$Z$289),INDEX(Income!$E$6:$Z$289,MATCH(ROW()-5,Income!$Z$6:$Z$289,0),4),"")</f>
        <v/>
      </c>
      <c r="H215" s="1962" t="str">
        <f>IF(ROW() -5&lt;= MAX(Income!$Z$6:$Z$289),INDEX(Income!$F$6:$Z$289,MATCH(ROW()-5,Income!$Z$6:$Z$289,0),4),"")</f>
        <v/>
      </c>
      <c r="I215" s="3"/>
      <c r="J215" s="3"/>
      <c r="K215" t="str">
        <f>IF(ROW() -5&lt;= MAX(Income!$Z$6:$Z$289),INDEX(Income!$B$6:$Z$289,MATCH(ROW()-5,Income!$Z$6:$Z$289,0),24),"")</f>
        <v/>
      </c>
    </row>
    <row r="216" spans="1:11" x14ac:dyDescent="0.2">
      <c r="A216" s="3"/>
      <c r="B216" s="1962" t="str">
        <f>IF(ROW() -5&lt;= MAX(Income!$Z$6:$Z$289),INDEX(Income!$B$6:$Z$289,MATCH(ROW()-5,Income!$Z$6:$Z$289,0),1),"")</f>
        <v/>
      </c>
      <c r="C216" s="1964" t="str">
        <f>IF(ROW() -5&lt;= MAX(Income!$Z$6:$Z$289),INDEX(Income!$B$6:$Z$289,MATCH(ROW()-5,Income!$Z$6:$Z$289,0),2),"")</f>
        <v/>
      </c>
      <c r="D216" s="1962" t="str">
        <f>IF(ROW() -5&lt;= MAX(Income!$Z$6:$Z$289),INDEX(Income!$B$6:$Z$289,MATCH(ROW()-5,Income!$Z$6:$Z$289,0),4),"")</f>
        <v/>
      </c>
      <c r="E216" s="1962" t="str">
        <f>IF(ROW() -5&lt;= MAX(Income!$Z$6:$Z$289),INDEX(Income!$C$6:$Z$289,MATCH(ROW()-5,Income!$Z$6:$Z$289,0),4),"")</f>
        <v/>
      </c>
      <c r="F216" s="1962" t="str">
        <f>IF(ROW() -5&lt;= MAX(Income!$Z$6:$Z$289),INDEX(Income!$D$6:$Z$289,MATCH(ROW()-5,Income!$Z$6:$Z$289,0),4),"")</f>
        <v/>
      </c>
      <c r="G216" s="1962" t="str">
        <f>IF(ROW() -5&lt;= MAX(Income!$Z$6:$Z$289),INDEX(Income!$E$6:$Z$289,MATCH(ROW()-5,Income!$Z$6:$Z$289,0),4),"")</f>
        <v/>
      </c>
      <c r="H216" s="1962" t="str">
        <f>IF(ROW() -5&lt;= MAX(Income!$Z$6:$Z$289),INDEX(Income!$F$6:$Z$289,MATCH(ROW()-5,Income!$Z$6:$Z$289,0),4),"")</f>
        <v/>
      </c>
      <c r="I216" s="3"/>
      <c r="J216" s="3"/>
      <c r="K216" t="str">
        <f>IF(ROW() -5&lt;= MAX(Income!$Z$6:$Z$289),INDEX(Income!$B$6:$Z$289,MATCH(ROW()-5,Income!$Z$6:$Z$289,0),24),"")</f>
        <v/>
      </c>
    </row>
    <row r="217" spans="1:11" x14ac:dyDescent="0.2">
      <c r="A217" s="3"/>
      <c r="B217" s="1962" t="str">
        <f>IF(ROW() -5&lt;= MAX(Income!$Z$6:$Z$289),INDEX(Income!$B$6:$Z$289,MATCH(ROW()-5,Income!$Z$6:$Z$289,0),1),"")</f>
        <v/>
      </c>
      <c r="C217" s="1964" t="str">
        <f>IF(ROW() -5&lt;= MAX(Income!$Z$6:$Z$289),INDEX(Income!$B$6:$Z$289,MATCH(ROW()-5,Income!$Z$6:$Z$289,0),2),"")</f>
        <v/>
      </c>
      <c r="D217" s="1962" t="str">
        <f>IF(ROW() -5&lt;= MAX(Income!$Z$6:$Z$289),INDEX(Income!$B$6:$Z$289,MATCH(ROW()-5,Income!$Z$6:$Z$289,0),4),"")</f>
        <v/>
      </c>
      <c r="E217" s="1962" t="str">
        <f>IF(ROW() -5&lt;= MAX(Income!$Z$6:$Z$289),INDEX(Income!$C$6:$Z$289,MATCH(ROW()-5,Income!$Z$6:$Z$289,0),4),"")</f>
        <v/>
      </c>
      <c r="F217" s="1962" t="str">
        <f>IF(ROW() -5&lt;= MAX(Income!$Z$6:$Z$289),INDEX(Income!$D$6:$Z$289,MATCH(ROW()-5,Income!$Z$6:$Z$289,0),4),"")</f>
        <v/>
      </c>
      <c r="G217" s="1962" t="str">
        <f>IF(ROW() -5&lt;= MAX(Income!$Z$6:$Z$289),INDEX(Income!$E$6:$Z$289,MATCH(ROW()-5,Income!$Z$6:$Z$289,0),4),"")</f>
        <v/>
      </c>
      <c r="H217" s="1962" t="str">
        <f>IF(ROW() -5&lt;= MAX(Income!$Z$6:$Z$289),INDEX(Income!$F$6:$Z$289,MATCH(ROW()-5,Income!$Z$6:$Z$289,0),4),"")</f>
        <v/>
      </c>
      <c r="I217" s="3"/>
      <c r="J217" s="3"/>
      <c r="K217" t="str">
        <f>IF(ROW() -5&lt;= MAX(Income!$Z$6:$Z$289),INDEX(Income!$B$6:$Z$289,MATCH(ROW()-5,Income!$Z$6:$Z$289,0),24),"")</f>
        <v/>
      </c>
    </row>
    <row r="218" spans="1:11" x14ac:dyDescent="0.2">
      <c r="A218" s="3"/>
      <c r="B218" s="1962" t="str">
        <f>IF(ROW() -5&lt;= MAX(Income!$Z$6:$Z$289),INDEX(Income!$B$6:$Z$289,MATCH(ROW()-5,Income!$Z$6:$Z$289,0),1),"")</f>
        <v/>
      </c>
      <c r="C218" s="1964" t="str">
        <f>IF(ROW() -5&lt;= MAX(Income!$Z$6:$Z$289),INDEX(Income!$B$6:$Z$289,MATCH(ROW()-5,Income!$Z$6:$Z$289,0),2),"")</f>
        <v/>
      </c>
      <c r="D218" s="1962" t="str">
        <f>IF(ROW() -5&lt;= MAX(Income!$Z$6:$Z$289),INDEX(Income!$B$6:$Z$289,MATCH(ROW()-5,Income!$Z$6:$Z$289,0),4),"")</f>
        <v/>
      </c>
      <c r="E218" s="1962" t="str">
        <f>IF(ROW() -5&lt;= MAX(Income!$Z$6:$Z$289),INDEX(Income!$C$6:$Z$289,MATCH(ROW()-5,Income!$Z$6:$Z$289,0),4),"")</f>
        <v/>
      </c>
      <c r="F218" s="1962" t="str">
        <f>IF(ROW() -5&lt;= MAX(Income!$Z$6:$Z$289),INDEX(Income!$D$6:$Z$289,MATCH(ROW()-5,Income!$Z$6:$Z$289,0),4),"")</f>
        <v/>
      </c>
      <c r="G218" s="1962" t="str">
        <f>IF(ROW() -5&lt;= MAX(Income!$Z$6:$Z$289),INDEX(Income!$E$6:$Z$289,MATCH(ROW()-5,Income!$Z$6:$Z$289,0),4),"")</f>
        <v/>
      </c>
      <c r="H218" s="1962" t="str">
        <f>IF(ROW() -5&lt;= MAX(Income!$Z$6:$Z$289),INDEX(Income!$F$6:$Z$289,MATCH(ROW()-5,Income!$Z$6:$Z$289,0),4),"")</f>
        <v/>
      </c>
      <c r="I218" s="3"/>
      <c r="J218" s="3"/>
      <c r="K218" t="str">
        <f>IF(ROW() -5&lt;= MAX(Income!$Z$6:$Z$289),INDEX(Income!$B$6:$Z$289,MATCH(ROW()-5,Income!$Z$6:$Z$289,0),24),"")</f>
        <v/>
      </c>
    </row>
    <row r="219" spans="1:11" x14ac:dyDescent="0.2">
      <c r="A219" s="3"/>
      <c r="B219" s="1962" t="str">
        <f>IF(ROW() -5&lt;= MAX(Income!$Z$6:$Z$289),INDEX(Income!$B$6:$Z$289,MATCH(ROW()-5,Income!$Z$6:$Z$289,0),1),"")</f>
        <v/>
      </c>
      <c r="C219" s="1964" t="str">
        <f>IF(ROW() -5&lt;= MAX(Income!$Z$6:$Z$289),INDEX(Income!$B$6:$Z$289,MATCH(ROW()-5,Income!$Z$6:$Z$289,0),2),"")</f>
        <v/>
      </c>
      <c r="D219" s="1962" t="str">
        <f>IF(ROW() -5&lt;= MAX(Income!$Z$6:$Z$289),INDEX(Income!$B$6:$Z$289,MATCH(ROW()-5,Income!$Z$6:$Z$289,0),4),"")</f>
        <v/>
      </c>
      <c r="E219" s="1962" t="str">
        <f>IF(ROW() -5&lt;= MAX(Income!$Z$6:$Z$289),INDEX(Income!$C$6:$Z$289,MATCH(ROW()-5,Income!$Z$6:$Z$289,0),4),"")</f>
        <v/>
      </c>
      <c r="F219" s="1962" t="str">
        <f>IF(ROW() -5&lt;= MAX(Income!$Z$6:$Z$289),INDEX(Income!$D$6:$Z$289,MATCH(ROW()-5,Income!$Z$6:$Z$289,0),4),"")</f>
        <v/>
      </c>
      <c r="G219" s="1962" t="str">
        <f>IF(ROW() -5&lt;= MAX(Income!$Z$6:$Z$289),INDEX(Income!$E$6:$Z$289,MATCH(ROW()-5,Income!$Z$6:$Z$289,0),4),"")</f>
        <v/>
      </c>
      <c r="H219" s="1962" t="str">
        <f>IF(ROW() -5&lt;= MAX(Income!$Z$6:$Z$289),INDEX(Income!$F$6:$Z$289,MATCH(ROW()-5,Income!$Z$6:$Z$289,0),4),"")</f>
        <v/>
      </c>
      <c r="I219" s="3"/>
      <c r="J219" s="3"/>
      <c r="K219" t="str">
        <f>IF(ROW() -5&lt;= MAX(Income!$Z$6:$Z$289),INDEX(Income!$B$6:$Z$289,MATCH(ROW()-5,Income!$Z$6:$Z$289,0),24),"")</f>
        <v/>
      </c>
    </row>
    <row r="220" spans="1:11" x14ac:dyDescent="0.2">
      <c r="A220" s="3"/>
      <c r="B220" s="1962" t="str">
        <f>IF(ROW() -5&lt;= MAX(Income!$Z$6:$Z$289),INDEX(Income!$B$6:$Z$289,MATCH(ROW()-5,Income!$Z$6:$Z$289,0),1),"")</f>
        <v/>
      </c>
      <c r="C220" s="1964" t="str">
        <f>IF(ROW() -5&lt;= MAX(Income!$Z$6:$Z$289),INDEX(Income!$B$6:$Z$289,MATCH(ROW()-5,Income!$Z$6:$Z$289,0),2),"")</f>
        <v/>
      </c>
      <c r="D220" s="1962" t="str">
        <f>IF(ROW() -5&lt;= MAX(Income!$Z$6:$Z$289),INDEX(Income!$B$6:$Z$289,MATCH(ROW()-5,Income!$Z$6:$Z$289,0),4),"")</f>
        <v/>
      </c>
      <c r="E220" s="1962" t="str">
        <f>IF(ROW() -5&lt;= MAX(Income!$Z$6:$Z$289),INDEX(Income!$C$6:$Z$289,MATCH(ROW()-5,Income!$Z$6:$Z$289,0),4),"")</f>
        <v/>
      </c>
      <c r="F220" s="1962" t="str">
        <f>IF(ROW() -5&lt;= MAX(Income!$Z$6:$Z$289),INDEX(Income!$D$6:$Z$289,MATCH(ROW()-5,Income!$Z$6:$Z$289,0),4),"")</f>
        <v/>
      </c>
      <c r="G220" s="1962" t="str">
        <f>IF(ROW() -5&lt;= MAX(Income!$Z$6:$Z$289),INDEX(Income!$E$6:$Z$289,MATCH(ROW()-5,Income!$Z$6:$Z$289,0),4),"")</f>
        <v/>
      </c>
      <c r="H220" s="1962" t="str">
        <f>IF(ROW() -5&lt;= MAX(Income!$Z$6:$Z$289),INDEX(Income!$F$6:$Z$289,MATCH(ROW()-5,Income!$Z$6:$Z$289,0),4),"")</f>
        <v/>
      </c>
      <c r="I220" s="3"/>
      <c r="J220" s="3"/>
      <c r="K220" t="str">
        <f>IF(ROW() -5&lt;= MAX(Income!$Z$6:$Z$289),INDEX(Income!$B$6:$Z$289,MATCH(ROW()-5,Income!$Z$6:$Z$289,0),24),"")</f>
        <v/>
      </c>
    </row>
    <row r="221" spans="1:11" x14ac:dyDescent="0.2">
      <c r="A221" s="3"/>
      <c r="B221" s="1962" t="str">
        <f>IF(ROW() -5&lt;= MAX(Income!$Z$6:$Z$289),INDEX(Income!$B$6:$Z$289,MATCH(ROW()-5,Income!$Z$6:$Z$289,0),1),"")</f>
        <v/>
      </c>
      <c r="C221" s="1964" t="str">
        <f>IF(ROW() -5&lt;= MAX(Income!$Z$6:$Z$289),INDEX(Income!$B$6:$Z$289,MATCH(ROW()-5,Income!$Z$6:$Z$289,0),2),"")</f>
        <v/>
      </c>
      <c r="D221" s="1962" t="str">
        <f>IF(ROW() -5&lt;= MAX(Income!$Z$6:$Z$289),INDEX(Income!$B$6:$Z$289,MATCH(ROW()-5,Income!$Z$6:$Z$289,0),4),"")</f>
        <v/>
      </c>
      <c r="E221" s="1962" t="str">
        <f>IF(ROW() -5&lt;= MAX(Income!$Z$6:$Z$289),INDEX(Income!$C$6:$Z$289,MATCH(ROW()-5,Income!$Z$6:$Z$289,0),4),"")</f>
        <v/>
      </c>
      <c r="F221" s="1962" t="str">
        <f>IF(ROW() -5&lt;= MAX(Income!$Z$6:$Z$289),INDEX(Income!$D$6:$Z$289,MATCH(ROW()-5,Income!$Z$6:$Z$289,0),4),"")</f>
        <v/>
      </c>
      <c r="G221" s="1962" t="str">
        <f>IF(ROW() -5&lt;= MAX(Income!$Z$6:$Z$289),INDEX(Income!$E$6:$Z$289,MATCH(ROW()-5,Income!$Z$6:$Z$289,0),4),"")</f>
        <v/>
      </c>
      <c r="H221" s="1962" t="str">
        <f>IF(ROW() -5&lt;= MAX(Income!$Z$6:$Z$289),INDEX(Income!$F$6:$Z$289,MATCH(ROW()-5,Income!$Z$6:$Z$289,0),4),"")</f>
        <v/>
      </c>
      <c r="I221" s="3"/>
      <c r="J221" s="3"/>
      <c r="K221" t="str">
        <f>IF(ROW() -5&lt;= MAX(Income!$Z$6:$Z$289),INDEX(Income!$B$6:$Z$289,MATCH(ROW()-5,Income!$Z$6:$Z$289,0),24),"")</f>
        <v/>
      </c>
    </row>
    <row r="222" spans="1:11" x14ac:dyDescent="0.2">
      <c r="A222" s="3"/>
      <c r="B222" s="1962" t="str">
        <f>IF(ROW() -5&lt;= MAX(Income!$Z$6:$Z$289),INDEX(Income!$B$6:$Z$289,MATCH(ROW()-5,Income!$Z$6:$Z$289,0),1),"")</f>
        <v/>
      </c>
      <c r="C222" s="1964" t="str">
        <f>IF(ROW() -5&lt;= MAX(Income!$Z$6:$Z$289),INDEX(Income!$B$6:$Z$289,MATCH(ROW()-5,Income!$Z$6:$Z$289,0),2),"")</f>
        <v/>
      </c>
      <c r="D222" s="1962" t="str">
        <f>IF(ROW() -5&lt;= MAX(Income!$Z$6:$Z$289),INDEX(Income!$B$6:$Z$289,MATCH(ROW()-5,Income!$Z$6:$Z$289,0),4),"")</f>
        <v/>
      </c>
      <c r="E222" s="1962" t="str">
        <f>IF(ROW() -5&lt;= MAX(Income!$Z$6:$Z$289),INDEX(Income!$C$6:$Z$289,MATCH(ROW()-5,Income!$Z$6:$Z$289,0),4),"")</f>
        <v/>
      </c>
      <c r="F222" s="1962" t="str">
        <f>IF(ROW() -5&lt;= MAX(Income!$Z$6:$Z$289),INDEX(Income!$D$6:$Z$289,MATCH(ROW()-5,Income!$Z$6:$Z$289,0),4),"")</f>
        <v/>
      </c>
      <c r="G222" s="1962" t="str">
        <f>IF(ROW() -5&lt;= MAX(Income!$Z$6:$Z$289),INDEX(Income!$E$6:$Z$289,MATCH(ROW()-5,Income!$Z$6:$Z$289,0),4),"")</f>
        <v/>
      </c>
      <c r="H222" s="1962" t="str">
        <f>IF(ROW() -5&lt;= MAX(Income!$Z$6:$Z$289),INDEX(Income!$F$6:$Z$289,MATCH(ROW()-5,Income!$Z$6:$Z$289,0),4),"")</f>
        <v/>
      </c>
      <c r="I222" s="3"/>
      <c r="J222" s="3"/>
      <c r="K222" t="str">
        <f>IF(ROW() -5&lt;= MAX(Income!$Z$6:$Z$289),INDEX(Income!$B$6:$Z$289,MATCH(ROW()-5,Income!$Z$6:$Z$289,0),24),"")</f>
        <v/>
      </c>
    </row>
    <row r="223" spans="1:11" x14ac:dyDescent="0.2">
      <c r="A223" s="3"/>
      <c r="B223" s="1962" t="str">
        <f>IF(ROW() -5&lt;= MAX(Income!$Z$6:$Z$289),INDEX(Income!$B$6:$Z$289,MATCH(ROW()-5,Income!$Z$6:$Z$289,0),1),"")</f>
        <v/>
      </c>
      <c r="C223" s="1964" t="str">
        <f>IF(ROW() -5&lt;= MAX(Income!$Z$6:$Z$289),INDEX(Income!$B$6:$Z$289,MATCH(ROW()-5,Income!$Z$6:$Z$289,0),2),"")</f>
        <v/>
      </c>
      <c r="D223" s="1962" t="str">
        <f>IF(ROW() -5&lt;= MAX(Income!$Z$6:$Z$289),INDEX(Income!$B$6:$Z$289,MATCH(ROW()-5,Income!$Z$6:$Z$289,0),4),"")</f>
        <v/>
      </c>
      <c r="E223" s="1962" t="str">
        <f>IF(ROW() -5&lt;= MAX(Income!$Z$6:$Z$289),INDEX(Income!$C$6:$Z$289,MATCH(ROW()-5,Income!$Z$6:$Z$289,0),4),"")</f>
        <v/>
      </c>
      <c r="F223" s="1962" t="str">
        <f>IF(ROW() -5&lt;= MAX(Income!$Z$6:$Z$289),INDEX(Income!$D$6:$Z$289,MATCH(ROW()-5,Income!$Z$6:$Z$289,0),4),"")</f>
        <v/>
      </c>
      <c r="G223" s="1962" t="str">
        <f>IF(ROW() -5&lt;= MAX(Income!$Z$6:$Z$289),INDEX(Income!$E$6:$Z$289,MATCH(ROW()-5,Income!$Z$6:$Z$289,0),4),"")</f>
        <v/>
      </c>
      <c r="H223" s="1962" t="str">
        <f>IF(ROW() -5&lt;= MAX(Income!$Z$6:$Z$289),INDEX(Income!$F$6:$Z$289,MATCH(ROW()-5,Income!$Z$6:$Z$289,0),4),"")</f>
        <v/>
      </c>
      <c r="I223" s="3"/>
      <c r="J223" s="3"/>
      <c r="K223" t="str">
        <f>IF(ROW() -5&lt;= MAX(Income!$Z$6:$Z$289),INDEX(Income!$B$6:$Z$289,MATCH(ROW()-5,Income!$Z$6:$Z$289,0),24),"")</f>
        <v/>
      </c>
    </row>
    <row r="224" spans="1:11" x14ac:dyDescent="0.2">
      <c r="A224" s="3"/>
      <c r="B224" s="1962" t="str">
        <f>IF(ROW() -5&lt;= MAX(Income!$Z$6:$Z$289),INDEX(Income!$B$6:$Z$289,MATCH(ROW()-5,Income!$Z$6:$Z$289,0),1),"")</f>
        <v/>
      </c>
      <c r="C224" s="1964" t="str">
        <f>IF(ROW() -5&lt;= MAX(Income!$Z$6:$Z$289),INDEX(Income!$B$6:$Z$289,MATCH(ROW()-5,Income!$Z$6:$Z$289,0),2),"")</f>
        <v/>
      </c>
      <c r="D224" s="1962" t="str">
        <f>IF(ROW() -5&lt;= MAX(Income!$Z$6:$Z$289),INDEX(Income!$B$6:$Z$289,MATCH(ROW()-5,Income!$Z$6:$Z$289,0),4),"")</f>
        <v/>
      </c>
      <c r="E224" s="1962" t="str">
        <f>IF(ROW() -5&lt;= MAX(Income!$Z$6:$Z$289),INDEX(Income!$C$6:$Z$289,MATCH(ROW()-5,Income!$Z$6:$Z$289,0),4),"")</f>
        <v/>
      </c>
      <c r="F224" s="1962" t="str">
        <f>IF(ROW() -5&lt;= MAX(Income!$Z$6:$Z$289),INDEX(Income!$D$6:$Z$289,MATCH(ROW()-5,Income!$Z$6:$Z$289,0),4),"")</f>
        <v/>
      </c>
      <c r="G224" s="1962" t="str">
        <f>IF(ROW() -5&lt;= MAX(Income!$Z$6:$Z$289),INDEX(Income!$E$6:$Z$289,MATCH(ROW()-5,Income!$Z$6:$Z$289,0),4),"")</f>
        <v/>
      </c>
      <c r="H224" s="1962" t="str">
        <f>IF(ROW() -5&lt;= MAX(Income!$Z$6:$Z$289),INDEX(Income!$F$6:$Z$289,MATCH(ROW()-5,Income!$Z$6:$Z$289,0),4),"")</f>
        <v/>
      </c>
      <c r="I224" s="3"/>
      <c r="J224" s="3"/>
      <c r="K224" t="str">
        <f>IF(ROW() -5&lt;= MAX(Income!$Z$6:$Z$289),INDEX(Income!$B$6:$Z$289,MATCH(ROW()-5,Income!$Z$6:$Z$289,0),24),"")</f>
        <v/>
      </c>
    </row>
    <row r="225" spans="1:11" x14ac:dyDescent="0.2">
      <c r="A225" s="3"/>
      <c r="B225" s="1962" t="str">
        <f>IF(ROW() -5&lt;= MAX(Income!$Z$6:$Z$289),INDEX(Income!$B$6:$Z$289,MATCH(ROW()-5,Income!$Z$6:$Z$289,0),1),"")</f>
        <v/>
      </c>
      <c r="C225" s="1964" t="str">
        <f>IF(ROW() -5&lt;= MAX(Income!$Z$6:$Z$289),INDEX(Income!$B$6:$Z$289,MATCH(ROW()-5,Income!$Z$6:$Z$289,0),2),"")</f>
        <v/>
      </c>
      <c r="D225" s="1962" t="str">
        <f>IF(ROW() -5&lt;= MAX(Income!$Z$6:$Z$289),INDEX(Income!$B$6:$Z$289,MATCH(ROW()-5,Income!$Z$6:$Z$289,0),4),"")</f>
        <v/>
      </c>
      <c r="E225" s="1962" t="str">
        <f>IF(ROW() -5&lt;= MAX(Income!$Z$6:$Z$289),INDEX(Income!$C$6:$Z$289,MATCH(ROW()-5,Income!$Z$6:$Z$289,0),4),"")</f>
        <v/>
      </c>
      <c r="F225" s="1962" t="str">
        <f>IF(ROW() -5&lt;= MAX(Income!$Z$6:$Z$289),INDEX(Income!$D$6:$Z$289,MATCH(ROW()-5,Income!$Z$6:$Z$289,0),4),"")</f>
        <v/>
      </c>
      <c r="G225" s="1962" t="str">
        <f>IF(ROW() -5&lt;= MAX(Income!$Z$6:$Z$289),INDEX(Income!$E$6:$Z$289,MATCH(ROW()-5,Income!$Z$6:$Z$289,0),4),"")</f>
        <v/>
      </c>
      <c r="H225" s="1962" t="str">
        <f>IF(ROW() -5&lt;= MAX(Income!$Z$6:$Z$289),INDEX(Income!$F$6:$Z$289,MATCH(ROW()-5,Income!$Z$6:$Z$289,0),4),"")</f>
        <v/>
      </c>
      <c r="I225" s="3"/>
      <c r="J225" s="3"/>
      <c r="K225" t="str">
        <f>IF(ROW() -5&lt;= MAX(Income!$Z$6:$Z$289),INDEX(Income!$B$6:$Z$289,MATCH(ROW()-5,Income!$Z$6:$Z$289,0),24),"")</f>
        <v/>
      </c>
    </row>
    <row r="226" spans="1:11" x14ac:dyDescent="0.2">
      <c r="A226" s="3"/>
      <c r="B226" s="1962" t="str">
        <f>IF(ROW() -5&lt;= MAX(Income!$Z$6:$Z$289),INDEX(Income!$B$6:$Z$289,MATCH(ROW()-5,Income!$Z$6:$Z$289,0),1),"")</f>
        <v/>
      </c>
      <c r="C226" s="1964" t="str">
        <f>IF(ROW() -5&lt;= MAX(Income!$Z$6:$Z$289),INDEX(Income!$B$6:$Z$289,MATCH(ROW()-5,Income!$Z$6:$Z$289,0),2),"")</f>
        <v/>
      </c>
      <c r="D226" s="1962" t="str">
        <f>IF(ROW() -5&lt;= MAX(Income!$Z$6:$Z$289),INDEX(Income!$B$6:$Z$289,MATCH(ROW()-5,Income!$Z$6:$Z$289,0),4),"")</f>
        <v/>
      </c>
      <c r="E226" s="1962" t="str">
        <f>IF(ROW() -5&lt;= MAX(Income!$Z$6:$Z$289),INDEX(Income!$C$6:$Z$289,MATCH(ROW()-5,Income!$Z$6:$Z$289,0),4),"")</f>
        <v/>
      </c>
      <c r="F226" s="1962" t="str">
        <f>IF(ROW() -5&lt;= MAX(Income!$Z$6:$Z$289),INDEX(Income!$D$6:$Z$289,MATCH(ROW()-5,Income!$Z$6:$Z$289,0),4),"")</f>
        <v/>
      </c>
      <c r="G226" s="1962" t="str">
        <f>IF(ROW() -5&lt;= MAX(Income!$Z$6:$Z$289),INDEX(Income!$E$6:$Z$289,MATCH(ROW()-5,Income!$Z$6:$Z$289,0),4),"")</f>
        <v/>
      </c>
      <c r="H226" s="1962" t="str">
        <f>IF(ROW() -5&lt;= MAX(Income!$Z$6:$Z$289),INDEX(Income!$F$6:$Z$289,MATCH(ROW()-5,Income!$Z$6:$Z$289,0),4),"")</f>
        <v/>
      </c>
      <c r="I226" s="3"/>
      <c r="J226" s="3"/>
      <c r="K226" t="str">
        <f>IF(ROW() -5&lt;= MAX(Income!$Z$6:$Z$289),INDEX(Income!$B$6:$Z$289,MATCH(ROW()-5,Income!$Z$6:$Z$289,0),24),"")</f>
        <v/>
      </c>
    </row>
    <row r="227" spans="1:11" x14ac:dyDescent="0.2">
      <c r="A227" s="3"/>
      <c r="B227" s="1962" t="str">
        <f>IF(ROW() -5&lt;= MAX(Income!$Z$6:$Z$289),INDEX(Income!$B$6:$Z$289,MATCH(ROW()-5,Income!$Z$6:$Z$289,0),1),"")</f>
        <v/>
      </c>
      <c r="C227" s="1964" t="str">
        <f>IF(ROW() -5&lt;= MAX(Income!$Z$6:$Z$289),INDEX(Income!$B$6:$Z$289,MATCH(ROW()-5,Income!$Z$6:$Z$289,0),2),"")</f>
        <v/>
      </c>
      <c r="D227" s="1962" t="str">
        <f>IF(ROW() -5&lt;= MAX(Income!$Z$6:$Z$289),INDEX(Income!$B$6:$Z$289,MATCH(ROW()-5,Income!$Z$6:$Z$289,0),4),"")</f>
        <v/>
      </c>
      <c r="E227" s="1962" t="str">
        <f>IF(ROW() -5&lt;= MAX(Income!$Z$6:$Z$289),INDEX(Income!$C$6:$Z$289,MATCH(ROW()-5,Income!$Z$6:$Z$289,0),4),"")</f>
        <v/>
      </c>
      <c r="F227" s="1962" t="str">
        <f>IF(ROW() -5&lt;= MAX(Income!$Z$6:$Z$289),INDEX(Income!$D$6:$Z$289,MATCH(ROW()-5,Income!$Z$6:$Z$289,0),4),"")</f>
        <v/>
      </c>
      <c r="G227" s="1962" t="str">
        <f>IF(ROW() -5&lt;= MAX(Income!$Z$6:$Z$289),INDEX(Income!$E$6:$Z$289,MATCH(ROW()-5,Income!$Z$6:$Z$289,0),4),"")</f>
        <v/>
      </c>
      <c r="H227" s="1962" t="str">
        <f>IF(ROW() -5&lt;= MAX(Income!$Z$6:$Z$289),INDEX(Income!$F$6:$Z$289,MATCH(ROW()-5,Income!$Z$6:$Z$289,0),4),"")</f>
        <v/>
      </c>
      <c r="I227" s="3"/>
      <c r="J227" s="3"/>
      <c r="K227" t="str">
        <f>IF(ROW() -5&lt;= MAX(Income!$Z$6:$Z$289),INDEX(Income!$B$6:$Z$289,MATCH(ROW()-5,Income!$Z$6:$Z$289,0),24),"")</f>
        <v/>
      </c>
    </row>
    <row r="228" spans="1:11" x14ac:dyDescent="0.2">
      <c r="A228" s="3"/>
      <c r="B228" s="1962" t="str">
        <f>IF(ROW() -5&lt;= MAX(Income!$Z$6:$Z$289),INDEX(Income!$B$6:$Z$289,MATCH(ROW()-5,Income!$Z$6:$Z$289,0),1),"")</f>
        <v/>
      </c>
      <c r="C228" s="1964" t="str">
        <f>IF(ROW() -5&lt;= MAX(Income!$Z$6:$Z$289),INDEX(Income!$B$6:$Z$289,MATCH(ROW()-5,Income!$Z$6:$Z$289,0),2),"")</f>
        <v/>
      </c>
      <c r="D228" s="1962" t="str">
        <f>IF(ROW() -5&lt;= MAX(Income!$Z$6:$Z$289),INDEX(Income!$B$6:$Z$289,MATCH(ROW()-5,Income!$Z$6:$Z$289,0),4),"")</f>
        <v/>
      </c>
      <c r="E228" s="1962" t="str">
        <f>IF(ROW() -5&lt;= MAX(Income!$Z$6:$Z$289),INDEX(Income!$C$6:$Z$289,MATCH(ROW()-5,Income!$Z$6:$Z$289,0),4),"")</f>
        <v/>
      </c>
      <c r="F228" s="1962" t="str">
        <f>IF(ROW() -5&lt;= MAX(Income!$Z$6:$Z$289),INDEX(Income!$D$6:$Z$289,MATCH(ROW()-5,Income!$Z$6:$Z$289,0),4),"")</f>
        <v/>
      </c>
      <c r="G228" s="1962" t="str">
        <f>IF(ROW() -5&lt;= MAX(Income!$Z$6:$Z$289),INDEX(Income!$E$6:$Z$289,MATCH(ROW()-5,Income!$Z$6:$Z$289,0),4),"")</f>
        <v/>
      </c>
      <c r="H228" s="1962" t="str">
        <f>IF(ROW() -5&lt;= MAX(Income!$Z$6:$Z$289),INDEX(Income!$F$6:$Z$289,MATCH(ROW()-5,Income!$Z$6:$Z$289,0),4),"")</f>
        <v/>
      </c>
      <c r="I228" s="3"/>
      <c r="J228" s="3"/>
      <c r="K228" t="str">
        <f>IF(ROW() -5&lt;= MAX(Income!$Z$6:$Z$289),INDEX(Income!$B$6:$Z$289,MATCH(ROW()-5,Income!$Z$6:$Z$289,0),24),"")</f>
        <v/>
      </c>
    </row>
    <row r="229" spans="1:11" x14ac:dyDescent="0.2">
      <c r="A229" s="3"/>
      <c r="B229" s="1962" t="str">
        <f>IF(ROW() -5&lt;= MAX(Income!$Z$6:$Z$289),INDEX(Income!$B$6:$Z$289,MATCH(ROW()-5,Income!$Z$6:$Z$289,0),1),"")</f>
        <v/>
      </c>
      <c r="C229" s="1964" t="str">
        <f>IF(ROW() -5&lt;= MAX(Income!$Z$6:$Z$289),INDEX(Income!$B$6:$Z$289,MATCH(ROW()-5,Income!$Z$6:$Z$289,0),2),"")</f>
        <v/>
      </c>
      <c r="D229" s="1962" t="str">
        <f>IF(ROW() -5&lt;= MAX(Income!$Z$6:$Z$289),INDEX(Income!$B$6:$Z$289,MATCH(ROW()-5,Income!$Z$6:$Z$289,0),4),"")</f>
        <v/>
      </c>
      <c r="E229" s="1962" t="str">
        <f>IF(ROW() -5&lt;= MAX(Income!$Z$6:$Z$289),INDEX(Income!$C$6:$Z$289,MATCH(ROW()-5,Income!$Z$6:$Z$289,0),4),"")</f>
        <v/>
      </c>
      <c r="F229" s="1962" t="str">
        <f>IF(ROW() -5&lt;= MAX(Income!$Z$6:$Z$289),INDEX(Income!$D$6:$Z$289,MATCH(ROW()-5,Income!$Z$6:$Z$289,0),4),"")</f>
        <v/>
      </c>
      <c r="G229" s="1962" t="str">
        <f>IF(ROW() -5&lt;= MAX(Income!$Z$6:$Z$289),INDEX(Income!$E$6:$Z$289,MATCH(ROW()-5,Income!$Z$6:$Z$289,0),4),"")</f>
        <v/>
      </c>
      <c r="H229" s="1962" t="str">
        <f>IF(ROW() -5&lt;= MAX(Income!$Z$6:$Z$289),INDEX(Income!$F$6:$Z$289,MATCH(ROW()-5,Income!$Z$6:$Z$289,0),4),"")</f>
        <v/>
      </c>
      <c r="I229" s="3"/>
      <c r="J229" s="3"/>
      <c r="K229" t="str">
        <f>IF(ROW() -5&lt;= MAX(Income!$Z$6:$Z$289),INDEX(Income!$B$6:$Z$289,MATCH(ROW()-5,Income!$Z$6:$Z$289,0),24),"")</f>
        <v/>
      </c>
    </row>
    <row r="230" spans="1:11" x14ac:dyDescent="0.2">
      <c r="A230" s="3"/>
      <c r="B230" s="1962" t="str">
        <f>IF(ROW() -5&lt;= MAX(Income!$Z$6:$Z$289),INDEX(Income!$B$6:$Z$289,MATCH(ROW()-5,Income!$Z$6:$Z$289,0),1),"")</f>
        <v/>
      </c>
      <c r="C230" s="1964" t="str">
        <f>IF(ROW() -5&lt;= MAX(Income!$Z$6:$Z$289),INDEX(Income!$B$6:$Z$289,MATCH(ROW()-5,Income!$Z$6:$Z$289,0),2),"")</f>
        <v/>
      </c>
      <c r="D230" s="1962" t="str">
        <f>IF(ROW() -5&lt;= MAX(Income!$Z$6:$Z$289),INDEX(Income!$B$6:$Z$289,MATCH(ROW()-5,Income!$Z$6:$Z$289,0),4),"")</f>
        <v/>
      </c>
      <c r="E230" s="1962" t="str">
        <f>IF(ROW() -5&lt;= MAX(Income!$Z$6:$Z$289),INDEX(Income!$C$6:$Z$289,MATCH(ROW()-5,Income!$Z$6:$Z$289,0),4),"")</f>
        <v/>
      </c>
      <c r="F230" s="1962" t="str">
        <f>IF(ROW() -5&lt;= MAX(Income!$Z$6:$Z$289),INDEX(Income!$D$6:$Z$289,MATCH(ROW()-5,Income!$Z$6:$Z$289,0),4),"")</f>
        <v/>
      </c>
      <c r="G230" s="1962" t="str">
        <f>IF(ROW() -5&lt;= MAX(Income!$Z$6:$Z$289),INDEX(Income!$E$6:$Z$289,MATCH(ROW()-5,Income!$Z$6:$Z$289,0),4),"")</f>
        <v/>
      </c>
      <c r="H230" s="1962" t="str">
        <f>IF(ROW() -5&lt;= MAX(Income!$Z$6:$Z$289),INDEX(Income!$F$6:$Z$289,MATCH(ROW()-5,Income!$Z$6:$Z$289,0),4),"")</f>
        <v/>
      </c>
      <c r="I230" s="3"/>
      <c r="J230" s="3"/>
      <c r="K230" t="str">
        <f>IF(ROW() -5&lt;= MAX(Income!$Z$6:$Z$289),INDEX(Income!$B$6:$Z$289,MATCH(ROW()-5,Income!$Z$6:$Z$289,0),24),"")</f>
        <v/>
      </c>
    </row>
    <row r="231" spans="1:11" x14ac:dyDescent="0.2">
      <c r="A231" s="3"/>
      <c r="B231" s="1962" t="str">
        <f>IF(ROW() -5&lt;= MAX(Income!$Z$6:$Z$289),INDEX(Income!$B$6:$Z$289,MATCH(ROW()-5,Income!$Z$6:$Z$289,0),1),"")</f>
        <v/>
      </c>
      <c r="C231" s="1964" t="str">
        <f>IF(ROW() -5&lt;= MAX(Income!$Z$6:$Z$289),INDEX(Income!$B$6:$Z$289,MATCH(ROW()-5,Income!$Z$6:$Z$289,0),2),"")</f>
        <v/>
      </c>
      <c r="D231" s="1962" t="str">
        <f>IF(ROW() -5&lt;= MAX(Income!$Z$6:$Z$289),INDEX(Income!$B$6:$Z$289,MATCH(ROW()-5,Income!$Z$6:$Z$289,0),4),"")</f>
        <v/>
      </c>
      <c r="E231" s="1962" t="str">
        <f>IF(ROW() -5&lt;= MAX(Income!$Z$6:$Z$289),INDEX(Income!$C$6:$Z$289,MATCH(ROW()-5,Income!$Z$6:$Z$289,0),4),"")</f>
        <v/>
      </c>
      <c r="F231" s="1962" t="str">
        <f>IF(ROW() -5&lt;= MAX(Income!$Z$6:$Z$289),INDEX(Income!$D$6:$Z$289,MATCH(ROW()-5,Income!$Z$6:$Z$289,0),4),"")</f>
        <v/>
      </c>
      <c r="G231" s="1962" t="str">
        <f>IF(ROW() -5&lt;= MAX(Income!$Z$6:$Z$289),INDEX(Income!$E$6:$Z$289,MATCH(ROW()-5,Income!$Z$6:$Z$289,0),4),"")</f>
        <v/>
      </c>
      <c r="H231" s="1962" t="str">
        <f>IF(ROW() -5&lt;= MAX(Income!$Z$6:$Z$289),INDEX(Income!$F$6:$Z$289,MATCH(ROW()-5,Income!$Z$6:$Z$289,0),4),"")</f>
        <v/>
      </c>
      <c r="I231" s="3"/>
      <c r="J231" s="3"/>
      <c r="K231" t="str">
        <f>IF(ROW() -5&lt;= MAX(Income!$Z$6:$Z$289),INDEX(Income!$B$6:$Z$289,MATCH(ROW()-5,Income!$Z$6:$Z$289,0),24),"")</f>
        <v/>
      </c>
    </row>
    <row r="232" spans="1:11" x14ac:dyDescent="0.2">
      <c r="A232" s="3"/>
      <c r="B232" s="1962" t="str">
        <f>IF(ROW() -5&lt;= MAX(Income!$Z$6:$Z$289),INDEX(Income!$B$6:$Z$289,MATCH(ROW()-5,Income!$Z$6:$Z$289,0),1),"")</f>
        <v/>
      </c>
      <c r="C232" s="1964" t="str">
        <f>IF(ROW() -5&lt;= MAX(Income!$Z$6:$Z$289),INDEX(Income!$B$6:$Z$289,MATCH(ROW()-5,Income!$Z$6:$Z$289,0),2),"")</f>
        <v/>
      </c>
      <c r="D232" s="1962" t="str">
        <f>IF(ROW() -5&lt;= MAX(Income!$Z$6:$Z$289),INDEX(Income!$B$6:$Z$289,MATCH(ROW()-5,Income!$Z$6:$Z$289,0),4),"")</f>
        <v/>
      </c>
      <c r="E232" s="1962" t="str">
        <f>IF(ROW() -5&lt;= MAX(Income!$Z$6:$Z$289),INDEX(Income!$C$6:$Z$289,MATCH(ROW()-5,Income!$Z$6:$Z$289,0),4),"")</f>
        <v/>
      </c>
      <c r="F232" s="1962" t="str">
        <f>IF(ROW() -5&lt;= MAX(Income!$Z$6:$Z$289),INDEX(Income!$D$6:$Z$289,MATCH(ROW()-5,Income!$Z$6:$Z$289,0),4),"")</f>
        <v/>
      </c>
      <c r="G232" s="1962" t="str">
        <f>IF(ROW() -5&lt;= MAX(Income!$Z$6:$Z$289),INDEX(Income!$E$6:$Z$289,MATCH(ROW()-5,Income!$Z$6:$Z$289,0),4),"")</f>
        <v/>
      </c>
      <c r="H232" s="1962" t="str">
        <f>IF(ROW() -5&lt;= MAX(Income!$Z$6:$Z$289),INDEX(Income!$F$6:$Z$289,MATCH(ROW()-5,Income!$Z$6:$Z$289,0),4),"")</f>
        <v/>
      </c>
      <c r="I232" s="3"/>
      <c r="J232" s="3"/>
      <c r="K232" t="str">
        <f>IF(ROW() -5&lt;= MAX(Income!$Z$6:$Z$289),INDEX(Income!$B$6:$Z$289,MATCH(ROW()-5,Income!$Z$6:$Z$289,0),24),"")</f>
        <v/>
      </c>
    </row>
    <row r="233" spans="1:11" x14ac:dyDescent="0.2">
      <c r="A233" s="3"/>
      <c r="B233" s="1962" t="str">
        <f>IF(ROW() -5&lt;= MAX(Income!$Z$6:$Z$289),INDEX(Income!$B$6:$Z$289,MATCH(ROW()-5,Income!$Z$6:$Z$289,0),1),"")</f>
        <v/>
      </c>
      <c r="C233" s="1964" t="str">
        <f>IF(ROW() -5&lt;= MAX(Income!$Z$6:$Z$289),INDEX(Income!$B$6:$Z$289,MATCH(ROW()-5,Income!$Z$6:$Z$289,0),2),"")</f>
        <v/>
      </c>
      <c r="D233" s="1962" t="str">
        <f>IF(ROW() -5&lt;= MAX(Income!$Z$6:$Z$289),INDEX(Income!$B$6:$Z$289,MATCH(ROW()-5,Income!$Z$6:$Z$289,0),4),"")</f>
        <v/>
      </c>
      <c r="E233" s="1962" t="str">
        <f>IF(ROW() -5&lt;= MAX(Income!$Z$6:$Z$289),INDEX(Income!$C$6:$Z$289,MATCH(ROW()-5,Income!$Z$6:$Z$289,0),4),"")</f>
        <v/>
      </c>
      <c r="F233" s="1962" t="str">
        <f>IF(ROW() -5&lt;= MAX(Income!$Z$6:$Z$289),INDEX(Income!$D$6:$Z$289,MATCH(ROW()-5,Income!$Z$6:$Z$289,0),4),"")</f>
        <v/>
      </c>
      <c r="G233" s="1962" t="str">
        <f>IF(ROW() -5&lt;= MAX(Income!$Z$6:$Z$289),INDEX(Income!$E$6:$Z$289,MATCH(ROW()-5,Income!$Z$6:$Z$289,0),4),"")</f>
        <v/>
      </c>
      <c r="H233" s="1962" t="str">
        <f>IF(ROW() -5&lt;= MAX(Income!$Z$6:$Z$289),INDEX(Income!$F$6:$Z$289,MATCH(ROW()-5,Income!$Z$6:$Z$289,0),4),"")</f>
        <v/>
      </c>
      <c r="I233" s="3"/>
      <c r="J233" s="3"/>
      <c r="K233" t="str">
        <f>IF(ROW() -5&lt;= MAX(Income!$Z$6:$Z$289),INDEX(Income!$B$6:$Z$289,MATCH(ROW()-5,Income!$Z$6:$Z$289,0),24),"")</f>
        <v/>
      </c>
    </row>
    <row r="234" spans="1:11" x14ac:dyDescent="0.2">
      <c r="A234" s="3"/>
      <c r="B234" s="1962" t="str">
        <f>IF(ROW() -5&lt;= MAX(Income!$Z$6:$Z$289),INDEX(Income!$B$6:$Z$289,MATCH(ROW()-5,Income!$Z$6:$Z$289,0),1),"")</f>
        <v/>
      </c>
      <c r="C234" s="1964" t="str">
        <f>IF(ROW() -5&lt;= MAX(Income!$Z$6:$Z$289),INDEX(Income!$B$6:$Z$289,MATCH(ROW()-5,Income!$Z$6:$Z$289,0),2),"")</f>
        <v/>
      </c>
      <c r="D234" s="1962" t="str">
        <f>IF(ROW() -5&lt;= MAX(Income!$Z$6:$Z$289),INDEX(Income!$B$6:$Z$289,MATCH(ROW()-5,Income!$Z$6:$Z$289,0),4),"")</f>
        <v/>
      </c>
      <c r="E234" s="1962" t="str">
        <f>IF(ROW() -5&lt;= MAX(Income!$Z$6:$Z$289),INDEX(Income!$C$6:$Z$289,MATCH(ROW()-5,Income!$Z$6:$Z$289,0),4),"")</f>
        <v/>
      </c>
      <c r="F234" s="1962" t="str">
        <f>IF(ROW() -5&lt;= MAX(Income!$Z$6:$Z$289),INDEX(Income!$D$6:$Z$289,MATCH(ROW()-5,Income!$Z$6:$Z$289,0),4),"")</f>
        <v/>
      </c>
      <c r="G234" s="1962" t="str">
        <f>IF(ROW() -5&lt;= MAX(Income!$Z$6:$Z$289),INDEX(Income!$E$6:$Z$289,MATCH(ROW()-5,Income!$Z$6:$Z$289,0),4),"")</f>
        <v/>
      </c>
      <c r="H234" s="1962" t="str">
        <f>IF(ROW() -5&lt;= MAX(Income!$Z$6:$Z$289),INDEX(Income!$F$6:$Z$289,MATCH(ROW()-5,Income!$Z$6:$Z$289,0),4),"")</f>
        <v/>
      </c>
      <c r="I234" s="3"/>
      <c r="J234" s="3"/>
      <c r="K234" t="str">
        <f>IF(ROW() -5&lt;= MAX(Income!$Z$6:$Z$289),INDEX(Income!$B$6:$Z$289,MATCH(ROW()-5,Income!$Z$6:$Z$289,0),24),"")</f>
        <v/>
      </c>
    </row>
    <row r="235" spans="1:11" x14ac:dyDescent="0.2">
      <c r="A235" s="3"/>
      <c r="B235" s="1962" t="str">
        <f>IF(ROW() -5&lt;= MAX(Income!$Z$6:$Z$289),INDEX(Income!$B$6:$Z$289,MATCH(ROW()-5,Income!$Z$6:$Z$289,0),1),"")</f>
        <v/>
      </c>
      <c r="C235" s="1964" t="str">
        <f>IF(ROW() -5&lt;= MAX(Income!$Z$6:$Z$289),INDEX(Income!$B$6:$Z$289,MATCH(ROW()-5,Income!$Z$6:$Z$289,0),2),"")</f>
        <v/>
      </c>
      <c r="D235" s="1962" t="str">
        <f>IF(ROW() -5&lt;= MAX(Income!$Z$6:$Z$289),INDEX(Income!$B$6:$Z$289,MATCH(ROW()-5,Income!$Z$6:$Z$289,0),4),"")</f>
        <v/>
      </c>
      <c r="E235" s="1962" t="str">
        <f>IF(ROW() -5&lt;= MAX(Income!$Z$6:$Z$289),INDEX(Income!$C$6:$Z$289,MATCH(ROW()-5,Income!$Z$6:$Z$289,0),4),"")</f>
        <v/>
      </c>
      <c r="F235" s="1962" t="str">
        <f>IF(ROW() -5&lt;= MAX(Income!$Z$6:$Z$289),INDEX(Income!$D$6:$Z$289,MATCH(ROW()-5,Income!$Z$6:$Z$289,0),4),"")</f>
        <v/>
      </c>
      <c r="G235" s="1962" t="str">
        <f>IF(ROW() -5&lt;= MAX(Income!$Z$6:$Z$289),INDEX(Income!$E$6:$Z$289,MATCH(ROW()-5,Income!$Z$6:$Z$289,0),4),"")</f>
        <v/>
      </c>
      <c r="H235" s="1962" t="str">
        <f>IF(ROW() -5&lt;= MAX(Income!$Z$6:$Z$289),INDEX(Income!$F$6:$Z$289,MATCH(ROW()-5,Income!$Z$6:$Z$289,0),4),"")</f>
        <v/>
      </c>
      <c r="I235" s="3"/>
      <c r="J235" s="3"/>
      <c r="K235" t="str">
        <f>IF(ROW() -5&lt;= MAX(Income!$Z$6:$Z$289),INDEX(Income!$B$6:$Z$289,MATCH(ROW()-5,Income!$Z$6:$Z$289,0),24),"")</f>
        <v/>
      </c>
    </row>
    <row r="236" spans="1:11" x14ac:dyDescent="0.2">
      <c r="A236" s="3"/>
      <c r="B236" s="1962" t="str">
        <f>IF(ROW() -5&lt;= MAX(Income!$Z$6:$Z$289),INDEX(Income!$B$6:$Z$289,MATCH(ROW()-5,Income!$Z$6:$Z$289,0),1),"")</f>
        <v/>
      </c>
      <c r="C236" s="1964" t="str">
        <f>IF(ROW() -5&lt;= MAX(Income!$Z$6:$Z$289),INDEX(Income!$B$6:$Z$289,MATCH(ROW()-5,Income!$Z$6:$Z$289,0),2),"")</f>
        <v/>
      </c>
      <c r="D236" s="1962" t="str">
        <f>IF(ROW() -5&lt;= MAX(Income!$Z$6:$Z$289),INDEX(Income!$B$6:$Z$289,MATCH(ROW()-5,Income!$Z$6:$Z$289,0),4),"")</f>
        <v/>
      </c>
      <c r="E236" s="1962" t="str">
        <f>IF(ROW() -5&lt;= MAX(Income!$Z$6:$Z$289),INDEX(Income!$C$6:$Z$289,MATCH(ROW()-5,Income!$Z$6:$Z$289,0),4),"")</f>
        <v/>
      </c>
      <c r="F236" s="1962" t="str">
        <f>IF(ROW() -5&lt;= MAX(Income!$Z$6:$Z$289),INDEX(Income!$D$6:$Z$289,MATCH(ROW()-5,Income!$Z$6:$Z$289,0),4),"")</f>
        <v/>
      </c>
      <c r="G236" s="1962" t="str">
        <f>IF(ROW() -5&lt;= MAX(Income!$Z$6:$Z$289),INDEX(Income!$E$6:$Z$289,MATCH(ROW()-5,Income!$Z$6:$Z$289,0),4),"")</f>
        <v/>
      </c>
      <c r="H236" s="1962" t="str">
        <f>IF(ROW() -5&lt;= MAX(Income!$Z$6:$Z$289),INDEX(Income!$F$6:$Z$289,MATCH(ROW()-5,Income!$Z$6:$Z$289,0),4),"")</f>
        <v/>
      </c>
      <c r="I236" s="3"/>
      <c r="J236" s="3"/>
      <c r="K236" t="str">
        <f>IF(ROW() -5&lt;= MAX(Income!$Z$6:$Z$289),INDEX(Income!$B$6:$Z$289,MATCH(ROW()-5,Income!$Z$6:$Z$289,0),24),"")</f>
        <v/>
      </c>
    </row>
    <row r="237" spans="1:11" x14ac:dyDescent="0.2">
      <c r="A237" s="3"/>
      <c r="B237" s="1962" t="str">
        <f>IF(ROW() -5&lt;= MAX(Income!$Z$6:$Z$289),INDEX(Income!$B$6:$Z$289,MATCH(ROW()-5,Income!$Z$6:$Z$289,0),1),"")</f>
        <v/>
      </c>
      <c r="C237" s="1964" t="str">
        <f>IF(ROW() -5&lt;= MAX(Income!$Z$6:$Z$289),INDEX(Income!$B$6:$Z$289,MATCH(ROW()-5,Income!$Z$6:$Z$289,0),2),"")</f>
        <v/>
      </c>
      <c r="D237" s="1962" t="str">
        <f>IF(ROW() -5&lt;= MAX(Income!$Z$6:$Z$289),INDEX(Income!$B$6:$Z$289,MATCH(ROW()-5,Income!$Z$6:$Z$289,0),4),"")</f>
        <v/>
      </c>
      <c r="E237" s="1962" t="str">
        <f>IF(ROW() -5&lt;= MAX(Income!$Z$6:$Z$289),INDEX(Income!$C$6:$Z$289,MATCH(ROW()-5,Income!$Z$6:$Z$289,0),4),"")</f>
        <v/>
      </c>
      <c r="F237" s="1962" t="str">
        <f>IF(ROW() -5&lt;= MAX(Income!$Z$6:$Z$289),INDEX(Income!$D$6:$Z$289,MATCH(ROW()-5,Income!$Z$6:$Z$289,0),4),"")</f>
        <v/>
      </c>
      <c r="G237" s="1962" t="str">
        <f>IF(ROW() -5&lt;= MAX(Income!$Z$6:$Z$289),INDEX(Income!$E$6:$Z$289,MATCH(ROW()-5,Income!$Z$6:$Z$289,0),4),"")</f>
        <v/>
      </c>
      <c r="H237" s="1962" t="str">
        <f>IF(ROW() -5&lt;= MAX(Income!$Z$6:$Z$289),INDEX(Income!$F$6:$Z$289,MATCH(ROW()-5,Income!$Z$6:$Z$289,0),4),"")</f>
        <v/>
      </c>
      <c r="I237" s="3"/>
      <c r="J237" s="3"/>
      <c r="K237" t="str">
        <f>IF(ROW() -5&lt;= MAX(Income!$Z$6:$Z$289),INDEX(Income!$B$6:$Z$289,MATCH(ROW()-5,Income!$Z$6:$Z$289,0),24),"")</f>
        <v/>
      </c>
    </row>
    <row r="238" spans="1:11" x14ac:dyDescent="0.2">
      <c r="A238" s="3"/>
      <c r="B238" s="1962" t="str">
        <f>IF(ROW() -5&lt;= MAX(Income!$Z$6:$Z$289),INDEX(Income!$B$6:$Z$289,MATCH(ROW()-5,Income!$Z$6:$Z$289,0),1),"")</f>
        <v/>
      </c>
      <c r="C238" s="1964" t="str">
        <f>IF(ROW() -5&lt;= MAX(Income!$Z$6:$Z$289),INDEX(Income!$B$6:$Z$289,MATCH(ROW()-5,Income!$Z$6:$Z$289,0),2),"")</f>
        <v/>
      </c>
      <c r="D238" s="1962" t="str">
        <f>IF(ROW() -5&lt;= MAX(Income!$Z$6:$Z$289),INDEX(Income!$B$6:$Z$289,MATCH(ROW()-5,Income!$Z$6:$Z$289,0),4),"")</f>
        <v/>
      </c>
      <c r="E238" s="1962" t="str">
        <f>IF(ROW() -5&lt;= MAX(Income!$Z$6:$Z$289),INDEX(Income!$C$6:$Z$289,MATCH(ROW()-5,Income!$Z$6:$Z$289,0),4),"")</f>
        <v/>
      </c>
      <c r="F238" s="1962" t="str">
        <f>IF(ROW() -5&lt;= MAX(Income!$Z$6:$Z$289),INDEX(Income!$D$6:$Z$289,MATCH(ROW()-5,Income!$Z$6:$Z$289,0),4),"")</f>
        <v/>
      </c>
      <c r="G238" s="1962" t="str">
        <f>IF(ROW() -5&lt;= MAX(Income!$Z$6:$Z$289),INDEX(Income!$E$6:$Z$289,MATCH(ROW()-5,Income!$Z$6:$Z$289,0),4),"")</f>
        <v/>
      </c>
      <c r="H238" s="1962" t="str">
        <f>IF(ROW() -5&lt;= MAX(Income!$Z$6:$Z$289),INDEX(Income!$F$6:$Z$289,MATCH(ROW()-5,Income!$Z$6:$Z$289,0),4),"")</f>
        <v/>
      </c>
      <c r="I238" s="3"/>
      <c r="J238" s="3"/>
      <c r="K238" t="str">
        <f>IF(ROW() -5&lt;= MAX(Income!$Z$6:$Z$289),INDEX(Income!$B$6:$Z$289,MATCH(ROW()-5,Income!$Z$6:$Z$289,0),24),"")</f>
        <v/>
      </c>
    </row>
    <row r="239" spans="1:11" x14ac:dyDescent="0.2">
      <c r="A239" s="3"/>
      <c r="B239" s="1962" t="str">
        <f>IF(ROW() -5&lt;= MAX(Income!$Z$6:$Z$289),INDEX(Income!$B$6:$Z$289,MATCH(ROW()-5,Income!$Z$6:$Z$289,0),1),"")</f>
        <v/>
      </c>
      <c r="C239" s="1964" t="str">
        <f>IF(ROW() -5&lt;= MAX(Income!$Z$6:$Z$289),INDEX(Income!$B$6:$Z$289,MATCH(ROW()-5,Income!$Z$6:$Z$289,0),2),"")</f>
        <v/>
      </c>
      <c r="D239" s="1962" t="str">
        <f>IF(ROW() -5&lt;= MAX(Income!$Z$6:$Z$289),INDEX(Income!$B$6:$Z$289,MATCH(ROW()-5,Income!$Z$6:$Z$289,0),4),"")</f>
        <v/>
      </c>
      <c r="E239" s="1962" t="str">
        <f>IF(ROW() -5&lt;= MAX(Income!$Z$6:$Z$289),INDEX(Income!$C$6:$Z$289,MATCH(ROW()-5,Income!$Z$6:$Z$289,0),4),"")</f>
        <v/>
      </c>
      <c r="F239" s="1962" t="str">
        <f>IF(ROW() -5&lt;= MAX(Income!$Z$6:$Z$289),INDEX(Income!$D$6:$Z$289,MATCH(ROW()-5,Income!$Z$6:$Z$289,0),4),"")</f>
        <v/>
      </c>
      <c r="G239" s="1962" t="str">
        <f>IF(ROW() -5&lt;= MAX(Income!$Z$6:$Z$289),INDEX(Income!$E$6:$Z$289,MATCH(ROW()-5,Income!$Z$6:$Z$289,0),4),"")</f>
        <v/>
      </c>
      <c r="H239" s="1962" t="str">
        <f>IF(ROW() -5&lt;= MAX(Income!$Z$6:$Z$289),INDEX(Income!$F$6:$Z$289,MATCH(ROW()-5,Income!$Z$6:$Z$289,0),4),"")</f>
        <v/>
      </c>
      <c r="I239" s="3"/>
      <c r="J239" s="3"/>
      <c r="K239" t="str">
        <f>IF(ROW() -5&lt;= MAX(Income!$Z$6:$Z$289),INDEX(Income!$B$6:$Z$289,MATCH(ROW()-5,Income!$Z$6:$Z$289,0),24),"")</f>
        <v/>
      </c>
    </row>
    <row r="240" spans="1:11" x14ac:dyDescent="0.2">
      <c r="A240" s="3"/>
      <c r="B240" s="1962" t="str">
        <f>IF(ROW() -5&lt;= MAX(Income!$Z$6:$Z$289),INDEX(Income!$B$6:$Z$289,MATCH(ROW()-5,Income!$Z$6:$Z$289,0),1),"")</f>
        <v/>
      </c>
      <c r="C240" s="1964" t="str">
        <f>IF(ROW() -5&lt;= MAX(Income!$Z$6:$Z$289),INDEX(Income!$B$6:$Z$289,MATCH(ROW()-5,Income!$Z$6:$Z$289,0),2),"")</f>
        <v/>
      </c>
      <c r="D240" s="1962" t="str">
        <f>IF(ROW() -5&lt;= MAX(Income!$Z$6:$Z$289),INDEX(Income!$B$6:$Z$289,MATCH(ROW()-5,Income!$Z$6:$Z$289,0),4),"")</f>
        <v/>
      </c>
      <c r="E240" s="1962" t="str">
        <f>IF(ROW() -5&lt;= MAX(Income!$Z$6:$Z$289),INDEX(Income!$C$6:$Z$289,MATCH(ROW()-5,Income!$Z$6:$Z$289,0),4),"")</f>
        <v/>
      </c>
      <c r="F240" s="1962" t="str">
        <f>IF(ROW() -5&lt;= MAX(Income!$Z$6:$Z$289),INDEX(Income!$D$6:$Z$289,MATCH(ROW()-5,Income!$Z$6:$Z$289,0),4),"")</f>
        <v/>
      </c>
      <c r="G240" s="1962" t="str">
        <f>IF(ROW() -5&lt;= MAX(Income!$Z$6:$Z$289),INDEX(Income!$E$6:$Z$289,MATCH(ROW()-5,Income!$Z$6:$Z$289,0),4),"")</f>
        <v/>
      </c>
      <c r="H240" s="1962" t="str">
        <f>IF(ROW() -5&lt;= MAX(Income!$Z$6:$Z$289),INDEX(Income!$F$6:$Z$289,MATCH(ROW()-5,Income!$Z$6:$Z$289,0),4),"")</f>
        <v/>
      </c>
      <c r="I240" s="3"/>
      <c r="J240" s="3"/>
      <c r="K240" t="str">
        <f>IF(ROW() -5&lt;= MAX(Income!$Z$6:$Z$289),INDEX(Income!$B$6:$Z$289,MATCH(ROW()-5,Income!$Z$6:$Z$289,0),24),"")</f>
        <v/>
      </c>
    </row>
    <row r="241" spans="1:11" x14ac:dyDescent="0.2">
      <c r="A241" s="3"/>
      <c r="B241" s="1962" t="str">
        <f>IF(ROW() -5&lt;= MAX(Income!$Z$6:$Z$289),INDEX(Income!$B$6:$Z$289,MATCH(ROW()-5,Income!$Z$6:$Z$289,0),1),"")</f>
        <v/>
      </c>
      <c r="C241" s="1964" t="str">
        <f>IF(ROW() -5&lt;= MAX(Income!$Z$6:$Z$289),INDEX(Income!$B$6:$Z$289,MATCH(ROW()-5,Income!$Z$6:$Z$289,0),2),"")</f>
        <v/>
      </c>
      <c r="D241" s="1962" t="str">
        <f>IF(ROW() -5&lt;= MAX(Income!$Z$6:$Z$289),INDEX(Income!$B$6:$Z$289,MATCH(ROW()-5,Income!$Z$6:$Z$289,0),4),"")</f>
        <v/>
      </c>
      <c r="E241" s="1962" t="str">
        <f>IF(ROW() -5&lt;= MAX(Income!$Z$6:$Z$289),INDEX(Income!$C$6:$Z$289,MATCH(ROW()-5,Income!$Z$6:$Z$289,0),4),"")</f>
        <v/>
      </c>
      <c r="F241" s="1962" t="str">
        <f>IF(ROW() -5&lt;= MAX(Income!$Z$6:$Z$289),INDEX(Income!$D$6:$Z$289,MATCH(ROW()-5,Income!$Z$6:$Z$289,0),4),"")</f>
        <v/>
      </c>
      <c r="G241" s="1962" t="str">
        <f>IF(ROW() -5&lt;= MAX(Income!$Z$6:$Z$289),INDEX(Income!$E$6:$Z$289,MATCH(ROW()-5,Income!$Z$6:$Z$289,0),4),"")</f>
        <v/>
      </c>
      <c r="H241" s="1962" t="str">
        <f>IF(ROW() -5&lt;= MAX(Income!$Z$6:$Z$289),INDEX(Income!$F$6:$Z$289,MATCH(ROW()-5,Income!$Z$6:$Z$289,0),4),"")</f>
        <v/>
      </c>
      <c r="I241" s="3"/>
      <c r="J241" s="3"/>
      <c r="K241" t="str">
        <f>IF(ROW() -5&lt;= MAX(Income!$Z$6:$Z$289),INDEX(Income!$B$6:$Z$289,MATCH(ROW()-5,Income!$Z$6:$Z$289,0),24),"")</f>
        <v/>
      </c>
    </row>
    <row r="242" spans="1:11" x14ac:dyDescent="0.2">
      <c r="A242" s="3"/>
      <c r="B242" s="1962" t="str">
        <f>IF(ROW() -5&lt;= MAX(Income!$Z$6:$Z$289),INDEX(Income!$B$6:$Z$289,MATCH(ROW()-5,Income!$Z$6:$Z$289,0),1),"")</f>
        <v/>
      </c>
      <c r="C242" s="1964" t="str">
        <f>IF(ROW() -5&lt;= MAX(Income!$Z$6:$Z$289),INDEX(Income!$B$6:$Z$289,MATCH(ROW()-5,Income!$Z$6:$Z$289,0),2),"")</f>
        <v/>
      </c>
      <c r="D242" s="1962" t="str">
        <f>IF(ROW() -5&lt;= MAX(Income!$Z$6:$Z$289),INDEX(Income!$B$6:$Z$289,MATCH(ROW()-5,Income!$Z$6:$Z$289,0),4),"")</f>
        <v/>
      </c>
      <c r="E242" s="1962" t="str">
        <f>IF(ROW() -5&lt;= MAX(Income!$Z$6:$Z$289),INDEX(Income!$C$6:$Z$289,MATCH(ROW()-5,Income!$Z$6:$Z$289,0),4),"")</f>
        <v/>
      </c>
      <c r="F242" s="1962" t="str">
        <f>IF(ROW() -5&lt;= MAX(Income!$Z$6:$Z$289),INDEX(Income!$D$6:$Z$289,MATCH(ROW()-5,Income!$Z$6:$Z$289,0),4),"")</f>
        <v/>
      </c>
      <c r="G242" s="1962" t="str">
        <f>IF(ROW() -5&lt;= MAX(Income!$Z$6:$Z$289),INDEX(Income!$E$6:$Z$289,MATCH(ROW()-5,Income!$Z$6:$Z$289,0),4),"")</f>
        <v/>
      </c>
      <c r="H242" s="1962" t="str">
        <f>IF(ROW() -5&lt;= MAX(Income!$Z$6:$Z$289),INDEX(Income!$F$6:$Z$289,MATCH(ROW()-5,Income!$Z$6:$Z$289,0),4),"")</f>
        <v/>
      </c>
      <c r="I242" s="3"/>
      <c r="J242" s="3"/>
      <c r="K242" t="str">
        <f>IF(ROW() -5&lt;= MAX(Income!$Z$6:$Z$289),INDEX(Income!$B$6:$Z$289,MATCH(ROW()-5,Income!$Z$6:$Z$289,0),24),"")</f>
        <v/>
      </c>
    </row>
    <row r="243" spans="1:11" x14ac:dyDescent="0.2">
      <c r="A243" s="3"/>
      <c r="B243" s="1962" t="str">
        <f>IF(ROW() -5&lt;= MAX(Income!$Z$6:$Z$289),INDEX(Income!$B$6:$Z$289,MATCH(ROW()-5,Income!$Z$6:$Z$289,0),1),"")</f>
        <v/>
      </c>
      <c r="C243" s="1964" t="str">
        <f>IF(ROW() -5&lt;= MAX(Income!$Z$6:$Z$289),INDEX(Income!$B$6:$Z$289,MATCH(ROW()-5,Income!$Z$6:$Z$289,0),2),"")</f>
        <v/>
      </c>
      <c r="D243" s="1962" t="str">
        <f>IF(ROW() -5&lt;= MAX(Income!$Z$6:$Z$289),INDEX(Income!$B$6:$Z$289,MATCH(ROW()-5,Income!$Z$6:$Z$289,0),4),"")</f>
        <v/>
      </c>
      <c r="E243" s="1962" t="str">
        <f>IF(ROW() -5&lt;= MAX(Income!$Z$6:$Z$289),INDEX(Income!$C$6:$Z$289,MATCH(ROW()-5,Income!$Z$6:$Z$289,0),4),"")</f>
        <v/>
      </c>
      <c r="F243" s="1962" t="str">
        <f>IF(ROW() -5&lt;= MAX(Income!$Z$6:$Z$289),INDEX(Income!$D$6:$Z$289,MATCH(ROW()-5,Income!$Z$6:$Z$289,0),4),"")</f>
        <v/>
      </c>
      <c r="G243" s="1962" t="str">
        <f>IF(ROW() -5&lt;= MAX(Income!$Z$6:$Z$289),INDEX(Income!$E$6:$Z$289,MATCH(ROW()-5,Income!$Z$6:$Z$289,0),4),"")</f>
        <v/>
      </c>
      <c r="H243" s="1962" t="str">
        <f>IF(ROW() -5&lt;= MAX(Income!$Z$6:$Z$289),INDEX(Income!$F$6:$Z$289,MATCH(ROW()-5,Income!$Z$6:$Z$289,0),4),"")</f>
        <v/>
      </c>
      <c r="I243" s="3"/>
      <c r="J243" s="3"/>
      <c r="K243" t="str">
        <f>IF(ROW() -5&lt;= MAX(Income!$Z$6:$Z$289),INDEX(Income!$B$6:$Z$289,MATCH(ROW()-5,Income!$Z$6:$Z$289,0),24),"")</f>
        <v/>
      </c>
    </row>
    <row r="244" spans="1:11" x14ac:dyDescent="0.2">
      <c r="A244" s="3"/>
      <c r="B244" s="1962" t="str">
        <f>IF(ROW() -5&lt;= MAX(Income!$Z$6:$Z$289),INDEX(Income!$B$6:$Z$289,MATCH(ROW()-5,Income!$Z$6:$Z$289,0),1),"")</f>
        <v/>
      </c>
      <c r="C244" s="1964" t="str">
        <f>IF(ROW() -5&lt;= MAX(Income!$Z$6:$Z$289),INDEX(Income!$B$6:$Z$289,MATCH(ROW()-5,Income!$Z$6:$Z$289,0),2),"")</f>
        <v/>
      </c>
      <c r="D244" s="1962" t="str">
        <f>IF(ROW() -5&lt;= MAX(Income!$Z$6:$Z$289),INDEX(Income!$B$6:$Z$289,MATCH(ROW()-5,Income!$Z$6:$Z$289,0),4),"")</f>
        <v/>
      </c>
      <c r="E244" s="1962" t="str">
        <f>IF(ROW() -5&lt;= MAX(Income!$Z$6:$Z$289),INDEX(Income!$C$6:$Z$289,MATCH(ROW()-5,Income!$Z$6:$Z$289,0),4),"")</f>
        <v/>
      </c>
      <c r="F244" s="1962" t="str">
        <f>IF(ROW() -5&lt;= MAX(Income!$Z$6:$Z$289),INDEX(Income!$D$6:$Z$289,MATCH(ROW()-5,Income!$Z$6:$Z$289,0),4),"")</f>
        <v/>
      </c>
      <c r="G244" s="1962" t="str">
        <f>IF(ROW() -5&lt;= MAX(Income!$Z$6:$Z$289),INDEX(Income!$E$6:$Z$289,MATCH(ROW()-5,Income!$Z$6:$Z$289,0),4),"")</f>
        <v/>
      </c>
      <c r="H244" s="1962" t="str">
        <f>IF(ROW() -5&lt;= MAX(Income!$Z$6:$Z$289),INDEX(Income!$F$6:$Z$289,MATCH(ROW()-5,Income!$Z$6:$Z$289,0),4),"")</f>
        <v/>
      </c>
      <c r="I244" s="3"/>
      <c r="J244" s="3"/>
      <c r="K244" t="str">
        <f>IF(ROW() -5&lt;= MAX(Income!$Z$6:$Z$289),INDEX(Income!$B$6:$Z$289,MATCH(ROW()-5,Income!$Z$6:$Z$289,0),24),"")</f>
        <v/>
      </c>
    </row>
    <row r="245" spans="1:11" x14ac:dyDescent="0.2">
      <c r="A245" s="3"/>
      <c r="B245" s="1962" t="str">
        <f>IF(ROW() -5&lt;= MAX(Income!$Z$6:$Z$289),INDEX(Income!$B$6:$Z$289,MATCH(ROW()-5,Income!$Z$6:$Z$289,0),1),"")</f>
        <v/>
      </c>
      <c r="C245" s="1964" t="str">
        <f>IF(ROW() -5&lt;= MAX(Income!$Z$6:$Z$289),INDEX(Income!$B$6:$Z$289,MATCH(ROW()-5,Income!$Z$6:$Z$289,0),2),"")</f>
        <v/>
      </c>
      <c r="D245" s="1962" t="str">
        <f>IF(ROW() -5&lt;= MAX(Income!$Z$6:$Z$289),INDEX(Income!$B$6:$Z$289,MATCH(ROW()-5,Income!$Z$6:$Z$289,0),4),"")</f>
        <v/>
      </c>
      <c r="E245" s="1962" t="str">
        <f>IF(ROW() -5&lt;= MAX(Income!$Z$6:$Z$289),INDEX(Income!$C$6:$Z$289,MATCH(ROW()-5,Income!$Z$6:$Z$289,0),4),"")</f>
        <v/>
      </c>
      <c r="F245" s="1962" t="str">
        <f>IF(ROW() -5&lt;= MAX(Income!$Z$6:$Z$289),INDEX(Income!$D$6:$Z$289,MATCH(ROW()-5,Income!$Z$6:$Z$289,0),4),"")</f>
        <v/>
      </c>
      <c r="G245" s="1962" t="str">
        <f>IF(ROW() -5&lt;= MAX(Income!$Z$6:$Z$289),INDEX(Income!$E$6:$Z$289,MATCH(ROW()-5,Income!$Z$6:$Z$289,0),4),"")</f>
        <v/>
      </c>
      <c r="H245" s="1962" t="str">
        <f>IF(ROW() -5&lt;= MAX(Income!$Z$6:$Z$289),INDEX(Income!$F$6:$Z$289,MATCH(ROW()-5,Income!$Z$6:$Z$289,0),4),"")</f>
        <v/>
      </c>
      <c r="I245" s="3"/>
      <c r="J245" s="3"/>
      <c r="K245" t="str">
        <f>IF(ROW() -5&lt;= MAX(Income!$Z$6:$Z$289),INDEX(Income!$B$6:$Z$289,MATCH(ROW()-5,Income!$Z$6:$Z$289,0),24),"")</f>
        <v/>
      </c>
    </row>
    <row r="246" spans="1:11" x14ac:dyDescent="0.2">
      <c r="A246" s="3"/>
      <c r="B246" s="1962" t="str">
        <f>IF(ROW() -5&lt;= MAX(Income!$Z$6:$Z$289),INDEX(Income!$B$6:$Z$289,MATCH(ROW()-5,Income!$Z$6:$Z$289,0),1),"")</f>
        <v/>
      </c>
      <c r="C246" s="1964" t="str">
        <f>IF(ROW() -5&lt;= MAX(Income!$Z$6:$Z$289),INDEX(Income!$B$6:$Z$289,MATCH(ROW()-5,Income!$Z$6:$Z$289,0),2),"")</f>
        <v/>
      </c>
      <c r="D246" s="1962" t="str">
        <f>IF(ROW() -5&lt;= MAX(Income!$Z$6:$Z$289),INDEX(Income!$B$6:$Z$289,MATCH(ROW()-5,Income!$Z$6:$Z$289,0),4),"")</f>
        <v/>
      </c>
      <c r="E246" s="1962" t="str">
        <f>IF(ROW() -5&lt;= MAX(Income!$Z$6:$Z$289),INDEX(Income!$C$6:$Z$289,MATCH(ROW()-5,Income!$Z$6:$Z$289,0),4),"")</f>
        <v/>
      </c>
      <c r="F246" s="1962" t="str">
        <f>IF(ROW() -5&lt;= MAX(Income!$Z$6:$Z$289),INDEX(Income!$D$6:$Z$289,MATCH(ROW()-5,Income!$Z$6:$Z$289,0),4),"")</f>
        <v/>
      </c>
      <c r="G246" s="1962" t="str">
        <f>IF(ROW() -5&lt;= MAX(Income!$Z$6:$Z$289),INDEX(Income!$E$6:$Z$289,MATCH(ROW()-5,Income!$Z$6:$Z$289,0),4),"")</f>
        <v/>
      </c>
      <c r="H246" s="1962" t="str">
        <f>IF(ROW() -5&lt;= MAX(Income!$Z$6:$Z$289),INDEX(Income!$F$6:$Z$289,MATCH(ROW()-5,Income!$Z$6:$Z$289,0),4),"")</f>
        <v/>
      </c>
      <c r="I246" s="3"/>
      <c r="J246" s="3"/>
      <c r="K246" t="str">
        <f>IF(ROW() -5&lt;= MAX(Income!$Z$6:$Z$289),INDEX(Income!$B$6:$Z$289,MATCH(ROW()-5,Income!$Z$6:$Z$289,0),24),"")</f>
        <v/>
      </c>
    </row>
    <row r="247" spans="1:11" x14ac:dyDescent="0.2">
      <c r="A247" s="3"/>
      <c r="B247" s="1962" t="str">
        <f>IF(ROW() -5&lt;= MAX(Income!$Z$6:$Z$289),INDEX(Income!$B$6:$Z$289,MATCH(ROW()-5,Income!$Z$6:$Z$289,0),1),"")</f>
        <v/>
      </c>
      <c r="C247" s="1964" t="str">
        <f>IF(ROW() -5&lt;= MAX(Income!$Z$6:$Z$289),INDEX(Income!$B$6:$Z$289,MATCH(ROW()-5,Income!$Z$6:$Z$289,0),2),"")</f>
        <v/>
      </c>
      <c r="D247" s="1962" t="str">
        <f>IF(ROW() -5&lt;= MAX(Income!$Z$6:$Z$289),INDEX(Income!$B$6:$Z$289,MATCH(ROW()-5,Income!$Z$6:$Z$289,0),4),"")</f>
        <v/>
      </c>
      <c r="E247" s="1962" t="str">
        <f>IF(ROW() -5&lt;= MAX(Income!$Z$6:$Z$289),INDEX(Income!$C$6:$Z$289,MATCH(ROW()-5,Income!$Z$6:$Z$289,0),4),"")</f>
        <v/>
      </c>
      <c r="F247" s="1962" t="str">
        <f>IF(ROW() -5&lt;= MAX(Income!$Z$6:$Z$289),INDEX(Income!$D$6:$Z$289,MATCH(ROW()-5,Income!$Z$6:$Z$289,0),4),"")</f>
        <v/>
      </c>
      <c r="G247" s="1962" t="str">
        <f>IF(ROW() -5&lt;= MAX(Income!$Z$6:$Z$289),INDEX(Income!$E$6:$Z$289,MATCH(ROW()-5,Income!$Z$6:$Z$289,0),4),"")</f>
        <v/>
      </c>
      <c r="H247" s="1962" t="str">
        <f>IF(ROW() -5&lt;= MAX(Income!$Z$6:$Z$289),INDEX(Income!$F$6:$Z$289,MATCH(ROW()-5,Income!$Z$6:$Z$289,0),4),"")</f>
        <v/>
      </c>
      <c r="I247" s="3"/>
      <c r="J247" s="3"/>
      <c r="K247" t="str">
        <f>IF(ROW() -5&lt;= MAX(Income!$Z$6:$Z$289),INDEX(Income!$B$6:$Z$289,MATCH(ROW()-5,Income!$Z$6:$Z$289,0),24),"")</f>
        <v/>
      </c>
    </row>
    <row r="248" spans="1:11" x14ac:dyDescent="0.2">
      <c r="A248" s="3"/>
      <c r="B248" s="1962" t="str">
        <f>IF(ROW() -5&lt;= MAX(Income!$Z$6:$Z$289),INDEX(Income!$B$6:$Z$289,MATCH(ROW()-5,Income!$Z$6:$Z$289,0),1),"")</f>
        <v/>
      </c>
      <c r="C248" s="1964" t="str">
        <f>IF(ROW() -5&lt;= MAX(Income!$Z$6:$Z$289),INDEX(Income!$B$6:$Z$289,MATCH(ROW()-5,Income!$Z$6:$Z$289,0),2),"")</f>
        <v/>
      </c>
      <c r="D248" s="1962" t="str">
        <f>IF(ROW() -5&lt;= MAX(Income!$Z$6:$Z$289),INDEX(Income!$B$6:$Z$289,MATCH(ROW()-5,Income!$Z$6:$Z$289,0),4),"")</f>
        <v/>
      </c>
      <c r="E248" s="1962" t="str">
        <f>IF(ROW() -5&lt;= MAX(Income!$Z$6:$Z$289),INDEX(Income!$C$6:$Z$289,MATCH(ROW()-5,Income!$Z$6:$Z$289,0),4),"")</f>
        <v/>
      </c>
      <c r="F248" s="1962" t="str">
        <f>IF(ROW() -5&lt;= MAX(Income!$Z$6:$Z$289),INDEX(Income!$D$6:$Z$289,MATCH(ROW()-5,Income!$Z$6:$Z$289,0),4),"")</f>
        <v/>
      </c>
      <c r="G248" s="1962" t="str">
        <f>IF(ROW() -5&lt;= MAX(Income!$Z$6:$Z$289),INDEX(Income!$E$6:$Z$289,MATCH(ROW()-5,Income!$Z$6:$Z$289,0),4),"")</f>
        <v/>
      </c>
      <c r="H248" s="1962" t="str">
        <f>IF(ROW() -5&lt;= MAX(Income!$Z$6:$Z$289),INDEX(Income!$F$6:$Z$289,MATCH(ROW()-5,Income!$Z$6:$Z$289,0),4),"")</f>
        <v/>
      </c>
      <c r="I248" s="3"/>
      <c r="J248" s="3"/>
      <c r="K248" t="str">
        <f>IF(ROW() -5&lt;= MAX(Income!$Z$6:$Z$289),INDEX(Income!$B$6:$Z$289,MATCH(ROW()-5,Income!$Z$6:$Z$289,0),24),"")</f>
        <v/>
      </c>
    </row>
    <row r="249" spans="1:11" x14ac:dyDescent="0.2">
      <c r="A249" s="3"/>
      <c r="B249" s="1962" t="str">
        <f>IF(ROW() -5&lt;= MAX(Income!$Z$6:$Z$289),INDEX(Income!$B$6:$Z$289,MATCH(ROW()-5,Income!$Z$6:$Z$289,0),1),"")</f>
        <v/>
      </c>
      <c r="C249" s="1964" t="str">
        <f>IF(ROW() -5&lt;= MAX(Income!$Z$6:$Z$289),INDEX(Income!$B$6:$Z$289,MATCH(ROW()-5,Income!$Z$6:$Z$289,0),2),"")</f>
        <v/>
      </c>
      <c r="D249" s="1962" t="str">
        <f>IF(ROW() -5&lt;= MAX(Income!$Z$6:$Z$289),INDEX(Income!$B$6:$Z$289,MATCH(ROW()-5,Income!$Z$6:$Z$289,0),4),"")</f>
        <v/>
      </c>
      <c r="E249" s="1962" t="str">
        <f>IF(ROW() -5&lt;= MAX(Income!$Z$6:$Z$289),INDEX(Income!$C$6:$Z$289,MATCH(ROW()-5,Income!$Z$6:$Z$289,0),4),"")</f>
        <v/>
      </c>
      <c r="F249" s="1962" t="str">
        <f>IF(ROW() -5&lt;= MAX(Income!$Z$6:$Z$289),INDEX(Income!$D$6:$Z$289,MATCH(ROW()-5,Income!$Z$6:$Z$289,0),4),"")</f>
        <v/>
      </c>
      <c r="G249" s="1962" t="str">
        <f>IF(ROW() -5&lt;= MAX(Income!$Z$6:$Z$289),INDEX(Income!$E$6:$Z$289,MATCH(ROW()-5,Income!$Z$6:$Z$289,0),4),"")</f>
        <v/>
      </c>
      <c r="H249" s="1962" t="str">
        <f>IF(ROW() -5&lt;= MAX(Income!$Z$6:$Z$289),INDEX(Income!$F$6:$Z$289,MATCH(ROW()-5,Income!$Z$6:$Z$289,0),4),"")</f>
        <v/>
      </c>
      <c r="I249" s="3"/>
      <c r="J249" s="3"/>
      <c r="K249" t="str">
        <f>IF(ROW() -5&lt;= MAX(Income!$Z$6:$Z$289),INDEX(Income!$B$6:$Z$289,MATCH(ROW()-5,Income!$Z$6:$Z$289,0),24),"")</f>
        <v/>
      </c>
    </row>
    <row r="250" spans="1:11" x14ac:dyDescent="0.2">
      <c r="A250" s="3"/>
      <c r="B250" s="1962" t="str">
        <f>IF(ROW() -5&lt;= MAX(Income!$Z$6:$Z$289),INDEX(Income!$B$6:$Z$289,MATCH(ROW()-5,Income!$Z$6:$Z$289,0),1),"")</f>
        <v/>
      </c>
      <c r="C250" s="1964" t="str">
        <f>IF(ROW() -5&lt;= MAX(Income!$Z$6:$Z$289),INDEX(Income!$B$6:$Z$289,MATCH(ROW()-5,Income!$Z$6:$Z$289,0),2),"")</f>
        <v/>
      </c>
      <c r="D250" s="1962" t="str">
        <f>IF(ROW() -5&lt;= MAX(Income!$Z$6:$Z$289),INDEX(Income!$B$6:$Z$289,MATCH(ROW()-5,Income!$Z$6:$Z$289,0),4),"")</f>
        <v/>
      </c>
      <c r="E250" s="1962" t="str">
        <f>IF(ROW() -5&lt;= MAX(Income!$Z$6:$Z$289),INDEX(Income!$C$6:$Z$289,MATCH(ROW()-5,Income!$Z$6:$Z$289,0),4),"")</f>
        <v/>
      </c>
      <c r="F250" s="1962" t="str">
        <f>IF(ROW() -5&lt;= MAX(Income!$Z$6:$Z$289),INDEX(Income!$D$6:$Z$289,MATCH(ROW()-5,Income!$Z$6:$Z$289,0),4),"")</f>
        <v/>
      </c>
      <c r="G250" s="1962" t="str">
        <f>IF(ROW() -5&lt;= MAX(Income!$Z$6:$Z$289),INDEX(Income!$E$6:$Z$289,MATCH(ROW()-5,Income!$Z$6:$Z$289,0),4),"")</f>
        <v/>
      </c>
      <c r="H250" s="1962" t="str">
        <f>IF(ROW() -5&lt;= MAX(Income!$Z$6:$Z$289),INDEX(Income!$F$6:$Z$289,MATCH(ROW()-5,Income!$Z$6:$Z$289,0),4),"")</f>
        <v/>
      </c>
      <c r="I250" s="3"/>
      <c r="J250" s="3"/>
      <c r="K250" t="str">
        <f>IF(ROW() -5&lt;= MAX(Income!$Z$6:$Z$289),INDEX(Income!$B$6:$Z$289,MATCH(ROW()-5,Income!$Z$6:$Z$289,0),24),"")</f>
        <v/>
      </c>
    </row>
    <row r="251" spans="1:11" x14ac:dyDescent="0.2">
      <c r="A251" s="3"/>
      <c r="B251" s="1962" t="str">
        <f>IF(ROW() -5&lt;= MAX(Income!$Z$6:$Z$289),INDEX(Income!$B$6:$Z$289,MATCH(ROW()-5,Income!$Z$6:$Z$289,0),1),"")</f>
        <v/>
      </c>
      <c r="C251" s="1964" t="str">
        <f>IF(ROW() -5&lt;= MAX(Income!$Z$6:$Z$289),INDEX(Income!$B$6:$Z$289,MATCH(ROW()-5,Income!$Z$6:$Z$289,0),2),"")</f>
        <v/>
      </c>
      <c r="D251" s="1962" t="str">
        <f>IF(ROW() -5&lt;= MAX(Income!$Z$6:$Z$289),INDEX(Income!$B$6:$Z$289,MATCH(ROW()-5,Income!$Z$6:$Z$289,0),4),"")</f>
        <v/>
      </c>
      <c r="E251" s="1962" t="str">
        <f>IF(ROW() -5&lt;= MAX(Income!$Z$6:$Z$289),INDEX(Income!$C$6:$Z$289,MATCH(ROW()-5,Income!$Z$6:$Z$289,0),4),"")</f>
        <v/>
      </c>
      <c r="F251" s="1962" t="str">
        <f>IF(ROW() -5&lt;= MAX(Income!$Z$6:$Z$289),INDEX(Income!$D$6:$Z$289,MATCH(ROW()-5,Income!$Z$6:$Z$289,0),4),"")</f>
        <v/>
      </c>
      <c r="G251" s="1962" t="str">
        <f>IF(ROW() -5&lt;= MAX(Income!$Z$6:$Z$289),INDEX(Income!$E$6:$Z$289,MATCH(ROW()-5,Income!$Z$6:$Z$289,0),4),"")</f>
        <v/>
      </c>
      <c r="H251" s="1962" t="str">
        <f>IF(ROW() -5&lt;= MAX(Income!$Z$6:$Z$289),INDEX(Income!$F$6:$Z$289,MATCH(ROW()-5,Income!$Z$6:$Z$289,0),4),"")</f>
        <v/>
      </c>
      <c r="I251" s="3"/>
      <c r="J251" s="3"/>
      <c r="K251" t="str">
        <f>IF(ROW() -5&lt;= MAX(Income!$Z$6:$Z$289),INDEX(Income!$B$6:$Z$289,MATCH(ROW()-5,Income!$Z$6:$Z$289,0),24),"")</f>
        <v/>
      </c>
    </row>
    <row r="252" spans="1:11" x14ac:dyDescent="0.2">
      <c r="A252" s="3"/>
      <c r="B252" s="1962" t="str">
        <f>IF(ROW() -5&lt;= MAX(Income!$Z$6:$Z$289),INDEX(Income!$B$6:$Z$289,MATCH(ROW()-5,Income!$Z$6:$Z$289,0),1),"")</f>
        <v/>
      </c>
      <c r="C252" s="1964" t="str">
        <f>IF(ROW() -5&lt;= MAX(Income!$Z$6:$Z$289),INDEX(Income!$B$6:$Z$289,MATCH(ROW()-5,Income!$Z$6:$Z$289,0),2),"")</f>
        <v/>
      </c>
      <c r="D252" s="1962" t="str">
        <f>IF(ROW() -5&lt;= MAX(Income!$Z$6:$Z$289),INDEX(Income!$B$6:$Z$289,MATCH(ROW()-5,Income!$Z$6:$Z$289,0),4),"")</f>
        <v/>
      </c>
      <c r="E252" s="1962" t="str">
        <f>IF(ROW() -5&lt;= MAX(Income!$Z$6:$Z$289),INDEX(Income!$C$6:$Z$289,MATCH(ROW()-5,Income!$Z$6:$Z$289,0),4),"")</f>
        <v/>
      </c>
      <c r="F252" s="1962" t="str">
        <f>IF(ROW() -5&lt;= MAX(Income!$Z$6:$Z$289),INDEX(Income!$D$6:$Z$289,MATCH(ROW()-5,Income!$Z$6:$Z$289,0),4),"")</f>
        <v/>
      </c>
      <c r="G252" s="1962" t="str">
        <f>IF(ROW() -5&lt;= MAX(Income!$Z$6:$Z$289),INDEX(Income!$E$6:$Z$289,MATCH(ROW()-5,Income!$Z$6:$Z$289,0),4),"")</f>
        <v/>
      </c>
      <c r="H252" s="1962" t="str">
        <f>IF(ROW() -5&lt;= MAX(Income!$Z$6:$Z$289),INDEX(Income!$F$6:$Z$289,MATCH(ROW()-5,Income!$Z$6:$Z$289,0),4),"")</f>
        <v/>
      </c>
      <c r="I252" s="3"/>
      <c r="J252" s="3"/>
      <c r="K252" t="str">
        <f>IF(ROW() -5&lt;= MAX(Income!$Z$6:$Z$289),INDEX(Income!$B$6:$Z$289,MATCH(ROW()-5,Income!$Z$6:$Z$289,0),24),"")</f>
        <v/>
      </c>
    </row>
    <row r="253" spans="1:11" x14ac:dyDescent="0.2">
      <c r="A253" s="3"/>
      <c r="B253" s="1962" t="str">
        <f>IF(ROW() -5&lt;= MAX(Income!$Z$6:$Z$289),INDEX(Income!$B$6:$Z$289,MATCH(ROW()-5,Income!$Z$6:$Z$289,0),1),"")</f>
        <v/>
      </c>
      <c r="C253" s="1964" t="str">
        <f>IF(ROW() -5&lt;= MAX(Income!$Z$6:$Z$289),INDEX(Income!$B$6:$Z$289,MATCH(ROW()-5,Income!$Z$6:$Z$289,0),2),"")</f>
        <v/>
      </c>
      <c r="D253" s="1962" t="str">
        <f>IF(ROW() -5&lt;= MAX(Income!$Z$6:$Z$289),INDEX(Income!$B$6:$Z$289,MATCH(ROW()-5,Income!$Z$6:$Z$289,0),4),"")</f>
        <v/>
      </c>
      <c r="E253" s="1962" t="str">
        <f>IF(ROW() -5&lt;= MAX(Income!$Z$6:$Z$289),INDEX(Income!$C$6:$Z$289,MATCH(ROW()-5,Income!$Z$6:$Z$289,0),4),"")</f>
        <v/>
      </c>
      <c r="F253" s="1962" t="str">
        <f>IF(ROW() -5&lt;= MAX(Income!$Z$6:$Z$289),INDEX(Income!$D$6:$Z$289,MATCH(ROW()-5,Income!$Z$6:$Z$289,0),4),"")</f>
        <v/>
      </c>
      <c r="G253" s="1962" t="str">
        <f>IF(ROW() -5&lt;= MAX(Income!$Z$6:$Z$289),INDEX(Income!$E$6:$Z$289,MATCH(ROW()-5,Income!$Z$6:$Z$289,0),4),"")</f>
        <v/>
      </c>
      <c r="H253" s="1962" t="str">
        <f>IF(ROW() -5&lt;= MAX(Income!$Z$6:$Z$289),INDEX(Income!$F$6:$Z$289,MATCH(ROW()-5,Income!$Z$6:$Z$289,0),4),"")</f>
        <v/>
      </c>
      <c r="I253" s="3"/>
      <c r="J253" s="3"/>
      <c r="K253" t="str">
        <f>IF(ROW() -5&lt;= MAX(Income!$Z$6:$Z$289),INDEX(Income!$B$6:$Z$289,MATCH(ROW()-5,Income!$Z$6:$Z$289,0),24),"")</f>
        <v/>
      </c>
    </row>
    <row r="254" spans="1:11" x14ac:dyDescent="0.2">
      <c r="A254" s="3"/>
      <c r="B254" s="1962" t="str">
        <f>IF(ROW() -5&lt;= MAX(Income!$Z$6:$Z$289),INDEX(Income!$B$6:$Z$289,MATCH(ROW()-5,Income!$Z$6:$Z$289,0),1),"")</f>
        <v/>
      </c>
      <c r="C254" s="1964" t="str">
        <f>IF(ROW() -5&lt;= MAX(Income!$Z$6:$Z$289),INDEX(Income!$B$6:$Z$289,MATCH(ROW()-5,Income!$Z$6:$Z$289,0),2),"")</f>
        <v/>
      </c>
      <c r="D254" s="1962" t="str">
        <f>IF(ROW() -5&lt;= MAX(Income!$Z$6:$Z$289),INDEX(Income!$B$6:$Z$289,MATCH(ROW()-5,Income!$Z$6:$Z$289,0),4),"")</f>
        <v/>
      </c>
      <c r="E254" s="1962" t="str">
        <f>IF(ROW() -5&lt;= MAX(Income!$Z$6:$Z$289),INDEX(Income!$C$6:$Z$289,MATCH(ROW()-5,Income!$Z$6:$Z$289,0),4),"")</f>
        <v/>
      </c>
      <c r="F254" s="1962" t="str">
        <f>IF(ROW() -5&lt;= MAX(Income!$Z$6:$Z$289),INDEX(Income!$D$6:$Z$289,MATCH(ROW()-5,Income!$Z$6:$Z$289,0),4),"")</f>
        <v/>
      </c>
      <c r="G254" s="1962" t="str">
        <f>IF(ROW() -5&lt;= MAX(Income!$Z$6:$Z$289),INDEX(Income!$E$6:$Z$289,MATCH(ROW()-5,Income!$Z$6:$Z$289,0),4),"")</f>
        <v/>
      </c>
      <c r="H254" s="1962" t="str">
        <f>IF(ROW() -5&lt;= MAX(Income!$Z$6:$Z$289),INDEX(Income!$F$6:$Z$289,MATCH(ROW()-5,Income!$Z$6:$Z$289,0),4),"")</f>
        <v/>
      </c>
      <c r="I254" s="3"/>
      <c r="J254" s="3"/>
      <c r="K254" t="str">
        <f>IF(ROW() -5&lt;= MAX(Income!$Z$6:$Z$289),INDEX(Income!$B$6:$Z$289,MATCH(ROW()-5,Income!$Z$6:$Z$289,0),24),"")</f>
        <v/>
      </c>
    </row>
    <row r="255" spans="1:11" x14ac:dyDescent="0.2">
      <c r="A255" s="3"/>
      <c r="B255" s="1962" t="str">
        <f>IF(ROW() -5&lt;= MAX(Income!$Z$6:$Z$289),INDEX(Income!$B$6:$Z$289,MATCH(ROW()-5,Income!$Z$6:$Z$289,0),1),"")</f>
        <v/>
      </c>
      <c r="C255" s="1964" t="str">
        <f>IF(ROW() -5&lt;= MAX(Income!$Z$6:$Z$289),INDEX(Income!$B$6:$Z$289,MATCH(ROW()-5,Income!$Z$6:$Z$289,0),2),"")</f>
        <v/>
      </c>
      <c r="D255" s="1962" t="str">
        <f>IF(ROW() -5&lt;= MAX(Income!$Z$6:$Z$289),INDEX(Income!$B$6:$Z$289,MATCH(ROW()-5,Income!$Z$6:$Z$289,0),4),"")</f>
        <v/>
      </c>
      <c r="E255" s="1962" t="str">
        <f>IF(ROW() -5&lt;= MAX(Income!$Z$6:$Z$289),INDEX(Income!$C$6:$Z$289,MATCH(ROW()-5,Income!$Z$6:$Z$289,0),4),"")</f>
        <v/>
      </c>
      <c r="F255" s="1962" t="str">
        <f>IF(ROW() -5&lt;= MAX(Income!$Z$6:$Z$289),INDEX(Income!$D$6:$Z$289,MATCH(ROW()-5,Income!$Z$6:$Z$289,0),4),"")</f>
        <v/>
      </c>
      <c r="G255" s="1962" t="str">
        <f>IF(ROW() -5&lt;= MAX(Income!$Z$6:$Z$289),INDEX(Income!$E$6:$Z$289,MATCH(ROW()-5,Income!$Z$6:$Z$289,0),4),"")</f>
        <v/>
      </c>
      <c r="H255" s="1962" t="str">
        <f>IF(ROW() -5&lt;= MAX(Income!$Z$6:$Z$289),INDEX(Income!$F$6:$Z$289,MATCH(ROW()-5,Income!$Z$6:$Z$289,0),4),"")</f>
        <v/>
      </c>
      <c r="I255" s="3"/>
      <c r="J255" s="3"/>
      <c r="K255" t="str">
        <f>IF(ROW() -5&lt;= MAX(Income!$Z$6:$Z$289),INDEX(Income!$B$6:$Z$289,MATCH(ROW()-5,Income!$Z$6:$Z$289,0),24),"")</f>
        <v/>
      </c>
    </row>
    <row r="256" spans="1:11" x14ac:dyDescent="0.2">
      <c r="A256" s="3"/>
      <c r="B256" s="1962" t="str">
        <f>IF(ROW() -5&lt;= MAX(Income!$Z$6:$Z$289),INDEX(Income!$B$6:$Z$289,MATCH(ROW()-5,Income!$Z$6:$Z$289,0),1),"")</f>
        <v/>
      </c>
      <c r="C256" s="1964" t="str">
        <f>IF(ROW() -5&lt;= MAX(Income!$Z$6:$Z$289),INDEX(Income!$B$6:$Z$289,MATCH(ROW()-5,Income!$Z$6:$Z$289,0),2),"")</f>
        <v/>
      </c>
      <c r="D256" s="1962" t="str">
        <f>IF(ROW() -5&lt;= MAX(Income!$Z$6:$Z$289),INDEX(Income!$B$6:$Z$289,MATCH(ROW()-5,Income!$Z$6:$Z$289,0),4),"")</f>
        <v/>
      </c>
      <c r="E256" s="1962" t="str">
        <f>IF(ROW() -5&lt;= MAX(Income!$Z$6:$Z$289),INDEX(Income!$C$6:$Z$289,MATCH(ROW()-5,Income!$Z$6:$Z$289,0),4),"")</f>
        <v/>
      </c>
      <c r="F256" s="1962" t="str">
        <f>IF(ROW() -5&lt;= MAX(Income!$Z$6:$Z$289),INDEX(Income!$D$6:$Z$289,MATCH(ROW()-5,Income!$Z$6:$Z$289,0),4),"")</f>
        <v/>
      </c>
      <c r="G256" s="1962" t="str">
        <f>IF(ROW() -5&lt;= MAX(Income!$Z$6:$Z$289),INDEX(Income!$E$6:$Z$289,MATCH(ROW()-5,Income!$Z$6:$Z$289,0),4),"")</f>
        <v/>
      </c>
      <c r="H256" s="1962" t="str">
        <f>IF(ROW() -5&lt;= MAX(Income!$Z$6:$Z$289),INDEX(Income!$F$6:$Z$289,MATCH(ROW()-5,Income!$Z$6:$Z$289,0),4),"")</f>
        <v/>
      </c>
      <c r="I256" s="3"/>
      <c r="J256" s="3"/>
      <c r="K256" t="str">
        <f>IF(ROW() -5&lt;= MAX(Income!$Z$6:$Z$289),INDEX(Income!$B$6:$Z$289,MATCH(ROW()-5,Income!$Z$6:$Z$289,0),24),"")</f>
        <v/>
      </c>
    </row>
    <row r="257" spans="1:11" x14ac:dyDescent="0.2">
      <c r="A257" s="3"/>
      <c r="B257" s="1962" t="str">
        <f>IF(ROW() -5&lt;= MAX(Income!$Z$6:$Z$289),INDEX(Income!$B$6:$Z$289,MATCH(ROW()-5,Income!$Z$6:$Z$289,0),1),"")</f>
        <v/>
      </c>
      <c r="C257" s="1964" t="str">
        <f>IF(ROW() -5&lt;= MAX(Income!$Z$6:$Z$289),INDEX(Income!$B$6:$Z$289,MATCH(ROW()-5,Income!$Z$6:$Z$289,0),2),"")</f>
        <v/>
      </c>
      <c r="D257" s="1962" t="str">
        <f>IF(ROW() -5&lt;= MAX(Income!$Z$6:$Z$289),INDEX(Income!$B$6:$Z$289,MATCH(ROW()-5,Income!$Z$6:$Z$289,0),4),"")</f>
        <v/>
      </c>
      <c r="E257" s="1962" t="str">
        <f>IF(ROW() -5&lt;= MAX(Income!$Z$6:$Z$289),INDEX(Income!$C$6:$Z$289,MATCH(ROW()-5,Income!$Z$6:$Z$289,0),4),"")</f>
        <v/>
      </c>
      <c r="F257" s="1962" t="str">
        <f>IF(ROW() -5&lt;= MAX(Income!$Z$6:$Z$289),INDEX(Income!$D$6:$Z$289,MATCH(ROW()-5,Income!$Z$6:$Z$289,0),4),"")</f>
        <v/>
      </c>
      <c r="G257" s="1962" t="str">
        <f>IF(ROW() -5&lt;= MAX(Income!$Z$6:$Z$289),INDEX(Income!$E$6:$Z$289,MATCH(ROW()-5,Income!$Z$6:$Z$289,0),4),"")</f>
        <v/>
      </c>
      <c r="H257" s="1962" t="str">
        <f>IF(ROW() -5&lt;= MAX(Income!$Z$6:$Z$289),INDEX(Income!$F$6:$Z$289,MATCH(ROW()-5,Income!$Z$6:$Z$289,0),4),"")</f>
        <v/>
      </c>
      <c r="I257" s="3"/>
      <c r="J257" s="3"/>
      <c r="K257" t="str">
        <f>IF(ROW() -5&lt;= MAX(Income!$Z$6:$Z$289),INDEX(Income!$B$6:$Z$289,MATCH(ROW()-5,Income!$Z$6:$Z$289,0),24),"")</f>
        <v/>
      </c>
    </row>
    <row r="258" spans="1:11" x14ac:dyDescent="0.2">
      <c r="A258" s="3"/>
      <c r="B258" s="1962" t="str">
        <f>IF(ROW() -5&lt;= MAX(Income!$Z$6:$Z$289),INDEX(Income!$B$6:$Z$289,MATCH(ROW()-5,Income!$Z$6:$Z$289,0),1),"")</f>
        <v/>
      </c>
      <c r="C258" s="1964" t="str">
        <f>IF(ROW() -5&lt;= MAX(Income!$Z$6:$Z$289),INDEX(Income!$B$6:$Z$289,MATCH(ROW()-5,Income!$Z$6:$Z$289,0),2),"")</f>
        <v/>
      </c>
      <c r="D258" s="1962" t="str">
        <f>IF(ROW() -5&lt;= MAX(Income!$Z$6:$Z$289),INDEX(Income!$B$6:$Z$289,MATCH(ROW()-5,Income!$Z$6:$Z$289,0),4),"")</f>
        <v/>
      </c>
      <c r="E258" s="1962" t="str">
        <f>IF(ROW() -5&lt;= MAX(Income!$Z$6:$Z$289),INDEX(Income!$C$6:$Z$289,MATCH(ROW()-5,Income!$Z$6:$Z$289,0),4),"")</f>
        <v/>
      </c>
      <c r="F258" s="1962" t="str">
        <f>IF(ROW() -5&lt;= MAX(Income!$Z$6:$Z$289),INDEX(Income!$D$6:$Z$289,MATCH(ROW()-5,Income!$Z$6:$Z$289,0),4),"")</f>
        <v/>
      </c>
      <c r="G258" s="1962" t="str">
        <f>IF(ROW() -5&lt;= MAX(Income!$Z$6:$Z$289),INDEX(Income!$E$6:$Z$289,MATCH(ROW()-5,Income!$Z$6:$Z$289,0),4),"")</f>
        <v/>
      </c>
      <c r="H258" s="1962" t="str">
        <f>IF(ROW() -5&lt;= MAX(Income!$Z$6:$Z$289),INDEX(Income!$F$6:$Z$289,MATCH(ROW()-5,Income!$Z$6:$Z$289,0),4),"")</f>
        <v/>
      </c>
      <c r="I258" s="3"/>
      <c r="J258" s="3"/>
      <c r="K258" t="str">
        <f>IF(ROW() -5&lt;= MAX(Income!$Z$6:$Z$289),INDEX(Income!$B$6:$Z$289,MATCH(ROW()-5,Income!$Z$6:$Z$289,0),24),"")</f>
        <v/>
      </c>
    </row>
    <row r="259" spans="1:11" x14ac:dyDescent="0.2">
      <c r="A259" s="3"/>
      <c r="B259" s="1962" t="str">
        <f>IF(ROW() -5&lt;= MAX(Income!$Z$6:$Z$289),INDEX(Income!$B$6:$Z$289,MATCH(ROW()-5,Income!$Z$6:$Z$289,0),1),"")</f>
        <v/>
      </c>
      <c r="C259" s="1964" t="str">
        <f>IF(ROW() -5&lt;= MAX(Income!$Z$6:$Z$289),INDEX(Income!$B$6:$Z$289,MATCH(ROW()-5,Income!$Z$6:$Z$289,0),2),"")</f>
        <v/>
      </c>
      <c r="D259" s="1962" t="str">
        <f>IF(ROW() -5&lt;= MAX(Income!$Z$6:$Z$289),INDEX(Income!$B$6:$Z$289,MATCH(ROW()-5,Income!$Z$6:$Z$289,0),4),"")</f>
        <v/>
      </c>
      <c r="E259" s="1962" t="str">
        <f>IF(ROW() -5&lt;= MAX(Income!$Z$6:$Z$289),INDEX(Income!$C$6:$Z$289,MATCH(ROW()-5,Income!$Z$6:$Z$289,0),4),"")</f>
        <v/>
      </c>
      <c r="F259" s="1962" t="str">
        <f>IF(ROW() -5&lt;= MAX(Income!$Z$6:$Z$289),INDEX(Income!$D$6:$Z$289,MATCH(ROW()-5,Income!$Z$6:$Z$289,0),4),"")</f>
        <v/>
      </c>
      <c r="G259" s="1962" t="str">
        <f>IF(ROW() -5&lt;= MAX(Income!$Z$6:$Z$289),INDEX(Income!$E$6:$Z$289,MATCH(ROW()-5,Income!$Z$6:$Z$289,0),4),"")</f>
        <v/>
      </c>
      <c r="H259" s="1962" t="str">
        <f>IF(ROW() -5&lt;= MAX(Income!$Z$6:$Z$289),INDEX(Income!$F$6:$Z$289,MATCH(ROW()-5,Income!$Z$6:$Z$289,0),4),"")</f>
        <v/>
      </c>
      <c r="I259" s="3"/>
      <c r="J259" s="3"/>
      <c r="K259" t="str">
        <f>IF(ROW() -5&lt;= MAX(Income!$Z$6:$Z$289),INDEX(Income!$B$6:$Z$289,MATCH(ROW()-5,Income!$Z$6:$Z$289,0),24),"")</f>
        <v/>
      </c>
    </row>
    <row r="260" spans="1:11" x14ac:dyDescent="0.2">
      <c r="A260" s="3"/>
      <c r="B260" s="1962" t="str">
        <f>IF(ROW() -5&lt;= MAX(Income!$Z$6:$Z$289),INDEX(Income!$B$6:$Z$289,MATCH(ROW()-5,Income!$Z$6:$Z$289,0),1),"")</f>
        <v/>
      </c>
      <c r="C260" s="1964" t="str">
        <f>IF(ROW() -5&lt;= MAX(Income!$Z$6:$Z$289),INDEX(Income!$B$6:$Z$289,MATCH(ROW()-5,Income!$Z$6:$Z$289,0),2),"")</f>
        <v/>
      </c>
      <c r="D260" s="1962" t="str">
        <f>IF(ROW() -5&lt;= MAX(Income!$Z$6:$Z$289),INDEX(Income!$B$6:$Z$289,MATCH(ROW()-5,Income!$Z$6:$Z$289,0),4),"")</f>
        <v/>
      </c>
      <c r="E260" s="1962" t="str">
        <f>IF(ROW() -5&lt;= MAX(Income!$Z$6:$Z$289),INDEX(Income!$C$6:$Z$289,MATCH(ROW()-5,Income!$Z$6:$Z$289,0),4),"")</f>
        <v/>
      </c>
      <c r="F260" s="1962" t="str">
        <f>IF(ROW() -5&lt;= MAX(Income!$Z$6:$Z$289),INDEX(Income!$D$6:$Z$289,MATCH(ROW()-5,Income!$Z$6:$Z$289,0),4),"")</f>
        <v/>
      </c>
      <c r="G260" s="1962" t="str">
        <f>IF(ROW() -5&lt;= MAX(Income!$Z$6:$Z$289),INDEX(Income!$E$6:$Z$289,MATCH(ROW()-5,Income!$Z$6:$Z$289,0),4),"")</f>
        <v/>
      </c>
      <c r="H260" s="1962" t="str">
        <f>IF(ROW() -5&lt;= MAX(Income!$Z$6:$Z$289),INDEX(Income!$F$6:$Z$289,MATCH(ROW()-5,Income!$Z$6:$Z$289,0),4),"")</f>
        <v/>
      </c>
      <c r="I260" s="3"/>
      <c r="J260" s="3"/>
      <c r="K260" t="str">
        <f>IF(ROW() -5&lt;= MAX(Income!$Z$6:$Z$289),INDEX(Income!$B$6:$Z$289,MATCH(ROW()-5,Income!$Z$6:$Z$289,0),24),"")</f>
        <v/>
      </c>
    </row>
    <row r="261" spans="1:11" x14ac:dyDescent="0.2">
      <c r="A261" s="3"/>
      <c r="B261" s="1962" t="str">
        <f>IF(ROW() -5&lt;= MAX(Income!$Z$6:$Z$289),INDEX(Income!$B$6:$Z$289,MATCH(ROW()-5,Income!$Z$6:$Z$289,0),1),"")</f>
        <v/>
      </c>
      <c r="C261" s="1964" t="str">
        <f>IF(ROW() -5&lt;= MAX(Income!$Z$6:$Z$289),INDEX(Income!$B$6:$Z$289,MATCH(ROW()-5,Income!$Z$6:$Z$289,0),2),"")</f>
        <v/>
      </c>
      <c r="D261" s="1962" t="str">
        <f>IF(ROW() -5&lt;= MAX(Income!$Z$6:$Z$289),INDEX(Income!$B$6:$Z$289,MATCH(ROW()-5,Income!$Z$6:$Z$289,0),4),"")</f>
        <v/>
      </c>
      <c r="E261" s="1962" t="str">
        <f>IF(ROW() -5&lt;= MAX(Income!$Z$6:$Z$289),INDEX(Income!$C$6:$Z$289,MATCH(ROW()-5,Income!$Z$6:$Z$289,0),4),"")</f>
        <v/>
      </c>
      <c r="F261" s="1962" t="str">
        <f>IF(ROW() -5&lt;= MAX(Income!$Z$6:$Z$289),INDEX(Income!$D$6:$Z$289,MATCH(ROW()-5,Income!$Z$6:$Z$289,0),4),"")</f>
        <v/>
      </c>
      <c r="G261" s="1962" t="str">
        <f>IF(ROW() -5&lt;= MAX(Income!$Z$6:$Z$289),INDEX(Income!$E$6:$Z$289,MATCH(ROW()-5,Income!$Z$6:$Z$289,0),4),"")</f>
        <v/>
      </c>
      <c r="H261" s="1962" t="str">
        <f>IF(ROW() -5&lt;= MAX(Income!$Z$6:$Z$289),INDEX(Income!$F$6:$Z$289,MATCH(ROW()-5,Income!$Z$6:$Z$289,0),4),"")</f>
        <v/>
      </c>
      <c r="I261" s="3"/>
      <c r="J261" s="3"/>
      <c r="K261" t="str">
        <f>IF(ROW() -5&lt;= MAX(Income!$Z$6:$Z$289),INDEX(Income!$B$6:$Z$289,MATCH(ROW()-5,Income!$Z$6:$Z$289,0),24),"")</f>
        <v/>
      </c>
    </row>
    <row r="262" spans="1:11" x14ac:dyDescent="0.2">
      <c r="A262" s="3"/>
      <c r="B262" s="1962" t="str">
        <f>IF(ROW() -5&lt;= MAX(Income!$Z$6:$Z$289),INDEX(Income!$B$6:$Z$289,MATCH(ROW()-5,Income!$Z$6:$Z$289,0),1),"")</f>
        <v/>
      </c>
      <c r="C262" s="1964" t="str">
        <f>IF(ROW() -5&lt;= MAX(Income!$Z$6:$Z$289),INDEX(Income!$B$6:$Z$289,MATCH(ROW()-5,Income!$Z$6:$Z$289,0),2),"")</f>
        <v/>
      </c>
      <c r="D262" s="1962" t="str">
        <f>IF(ROW() -5&lt;= MAX(Income!$Z$6:$Z$289),INDEX(Income!$B$6:$Z$289,MATCH(ROW()-5,Income!$Z$6:$Z$289,0),4),"")</f>
        <v/>
      </c>
      <c r="E262" s="1962" t="str">
        <f>IF(ROW() -5&lt;= MAX(Income!$Z$6:$Z$289),INDEX(Income!$C$6:$Z$289,MATCH(ROW()-5,Income!$Z$6:$Z$289,0),4),"")</f>
        <v/>
      </c>
      <c r="F262" s="1962" t="str">
        <f>IF(ROW() -5&lt;= MAX(Income!$Z$6:$Z$289),INDEX(Income!$D$6:$Z$289,MATCH(ROW()-5,Income!$Z$6:$Z$289,0),4),"")</f>
        <v/>
      </c>
      <c r="G262" s="1962" t="str">
        <f>IF(ROW() -5&lt;= MAX(Income!$Z$6:$Z$289),INDEX(Income!$E$6:$Z$289,MATCH(ROW()-5,Income!$Z$6:$Z$289,0),4),"")</f>
        <v/>
      </c>
      <c r="H262" s="1962" t="str">
        <f>IF(ROW() -5&lt;= MAX(Income!$Z$6:$Z$289),INDEX(Income!$F$6:$Z$289,MATCH(ROW()-5,Income!$Z$6:$Z$289,0),4),"")</f>
        <v/>
      </c>
      <c r="I262" s="3"/>
      <c r="J262" s="3"/>
      <c r="K262" t="str">
        <f>IF(ROW() -5&lt;= MAX(Income!$Z$6:$Z$289),INDEX(Income!$B$6:$Z$289,MATCH(ROW()-5,Income!$Z$6:$Z$289,0),24),"")</f>
        <v/>
      </c>
    </row>
    <row r="263" spans="1:11" x14ac:dyDescent="0.2">
      <c r="A263" s="3"/>
      <c r="B263" s="1962" t="str">
        <f>IF(ROW() -5&lt;= MAX(Income!$Z$6:$Z$289),INDEX(Income!$B$6:$Z$289,MATCH(ROW()-5,Income!$Z$6:$Z$289,0),1),"")</f>
        <v/>
      </c>
      <c r="C263" s="1964" t="str">
        <f>IF(ROW() -5&lt;= MAX(Income!$Z$6:$Z$289),INDEX(Income!$B$6:$Z$289,MATCH(ROW()-5,Income!$Z$6:$Z$289,0),2),"")</f>
        <v/>
      </c>
      <c r="D263" s="1962" t="str">
        <f>IF(ROW() -5&lt;= MAX(Income!$Z$6:$Z$289),INDEX(Income!$B$6:$Z$289,MATCH(ROW()-5,Income!$Z$6:$Z$289,0),4),"")</f>
        <v/>
      </c>
      <c r="E263" s="1962" t="str">
        <f>IF(ROW() -5&lt;= MAX(Income!$Z$6:$Z$289),INDEX(Income!$C$6:$Z$289,MATCH(ROW()-5,Income!$Z$6:$Z$289,0),4),"")</f>
        <v/>
      </c>
      <c r="F263" s="1962" t="str">
        <f>IF(ROW() -5&lt;= MAX(Income!$Z$6:$Z$289),INDEX(Income!$D$6:$Z$289,MATCH(ROW()-5,Income!$Z$6:$Z$289,0),4),"")</f>
        <v/>
      </c>
      <c r="G263" s="1962" t="str">
        <f>IF(ROW() -5&lt;= MAX(Income!$Z$6:$Z$289),INDEX(Income!$E$6:$Z$289,MATCH(ROW()-5,Income!$Z$6:$Z$289,0),4),"")</f>
        <v/>
      </c>
      <c r="H263" s="1962" t="str">
        <f>IF(ROW() -5&lt;= MAX(Income!$Z$6:$Z$289),INDEX(Income!$F$6:$Z$289,MATCH(ROW()-5,Income!$Z$6:$Z$289,0),4),"")</f>
        <v/>
      </c>
      <c r="I263" s="3"/>
      <c r="J263" s="3"/>
      <c r="K263" t="str">
        <f>IF(ROW() -5&lt;= MAX(Income!$Z$6:$Z$289),INDEX(Income!$B$6:$Z$289,MATCH(ROW()-5,Income!$Z$6:$Z$289,0),24),"")</f>
        <v/>
      </c>
    </row>
    <row r="264" spans="1:11" x14ac:dyDescent="0.2">
      <c r="A264" s="3"/>
      <c r="B264" s="1962" t="str">
        <f>IF(ROW() -5&lt;= MAX(Income!$Z$6:$Z$289),INDEX(Income!$B$6:$Z$289,MATCH(ROW()-5,Income!$Z$6:$Z$289,0),1),"")</f>
        <v/>
      </c>
      <c r="C264" s="1964" t="str">
        <f>IF(ROW() -5&lt;= MAX(Income!$Z$6:$Z$289),INDEX(Income!$B$6:$Z$289,MATCH(ROW()-5,Income!$Z$6:$Z$289,0),2),"")</f>
        <v/>
      </c>
      <c r="D264" s="1962" t="str">
        <f>IF(ROW() -5&lt;= MAX(Income!$Z$6:$Z$289),INDEX(Income!$B$6:$Z$289,MATCH(ROW()-5,Income!$Z$6:$Z$289,0),4),"")</f>
        <v/>
      </c>
      <c r="E264" s="1962" t="str">
        <f>IF(ROW() -5&lt;= MAX(Income!$Z$6:$Z$289),INDEX(Income!$C$6:$Z$289,MATCH(ROW()-5,Income!$Z$6:$Z$289,0),4),"")</f>
        <v/>
      </c>
      <c r="F264" s="1962" t="str">
        <f>IF(ROW() -5&lt;= MAX(Income!$Z$6:$Z$289),INDEX(Income!$D$6:$Z$289,MATCH(ROW()-5,Income!$Z$6:$Z$289,0),4),"")</f>
        <v/>
      </c>
      <c r="G264" s="1962" t="str">
        <f>IF(ROW() -5&lt;= MAX(Income!$Z$6:$Z$289),INDEX(Income!$E$6:$Z$289,MATCH(ROW()-5,Income!$Z$6:$Z$289,0),4),"")</f>
        <v/>
      </c>
      <c r="H264" s="1962" t="str">
        <f>IF(ROW() -5&lt;= MAX(Income!$Z$6:$Z$289),INDEX(Income!$F$6:$Z$289,MATCH(ROW()-5,Income!$Z$6:$Z$289,0),4),"")</f>
        <v/>
      </c>
      <c r="I264" s="3"/>
      <c r="J264" s="3"/>
      <c r="K264" t="str">
        <f>IF(ROW() -5&lt;= MAX(Income!$Z$6:$Z$289),INDEX(Income!$B$6:$Z$289,MATCH(ROW()-5,Income!$Z$6:$Z$289,0),24),"")</f>
        <v/>
      </c>
    </row>
    <row r="265" spans="1:11" x14ac:dyDescent="0.2">
      <c r="A265" s="3"/>
      <c r="B265" s="1962" t="str">
        <f>IF(ROW() -5&lt;= MAX(Income!$Z$6:$Z$289),INDEX(Income!$B$6:$Z$289,MATCH(ROW()-5,Income!$Z$6:$Z$289,0),1),"")</f>
        <v/>
      </c>
      <c r="C265" s="1964" t="str">
        <f>IF(ROW() -5&lt;= MAX(Income!$Z$6:$Z$289),INDEX(Income!$B$6:$Z$289,MATCH(ROW()-5,Income!$Z$6:$Z$289,0),2),"")</f>
        <v/>
      </c>
      <c r="D265" s="1962" t="str">
        <f>IF(ROW() -5&lt;= MAX(Income!$Z$6:$Z$289),INDEX(Income!$B$6:$Z$289,MATCH(ROW()-5,Income!$Z$6:$Z$289,0),4),"")</f>
        <v/>
      </c>
      <c r="E265" s="1962" t="str">
        <f>IF(ROW() -5&lt;= MAX(Income!$Z$6:$Z$289),INDEX(Income!$C$6:$Z$289,MATCH(ROW()-5,Income!$Z$6:$Z$289,0),4),"")</f>
        <v/>
      </c>
      <c r="F265" s="1962" t="str">
        <f>IF(ROW() -5&lt;= MAX(Income!$Z$6:$Z$289),INDEX(Income!$D$6:$Z$289,MATCH(ROW()-5,Income!$Z$6:$Z$289,0),4),"")</f>
        <v/>
      </c>
      <c r="G265" s="1962" t="str">
        <f>IF(ROW() -5&lt;= MAX(Income!$Z$6:$Z$289),INDEX(Income!$E$6:$Z$289,MATCH(ROW()-5,Income!$Z$6:$Z$289,0),4),"")</f>
        <v/>
      </c>
      <c r="H265" s="1962" t="str">
        <f>IF(ROW() -5&lt;= MAX(Income!$Z$6:$Z$289),INDEX(Income!$F$6:$Z$289,MATCH(ROW()-5,Income!$Z$6:$Z$289,0),4),"")</f>
        <v/>
      </c>
      <c r="I265" s="3"/>
      <c r="J265" s="3"/>
      <c r="K265" t="str">
        <f>IF(ROW() -5&lt;= MAX(Income!$Z$6:$Z$289),INDEX(Income!$B$6:$Z$289,MATCH(ROW()-5,Income!$Z$6:$Z$289,0),24),"")</f>
        <v/>
      </c>
    </row>
    <row r="266" spans="1:11" ht="12.75" customHeight="1" x14ac:dyDescent="0.2">
      <c r="A266" s="3"/>
      <c r="B266" s="1962" t="str">
        <f>IF(ROW() -5&lt;= MAX(Income!$Z$6:$Z$289),INDEX(Income!$B$6:$Z$289,MATCH(ROW()-5,Income!$Z$6:$Z$289,0),1),"")</f>
        <v/>
      </c>
      <c r="C266" s="1964" t="str">
        <f>IF(ROW() -5&lt;= MAX(Income!$Z$6:$Z$289),INDEX(Income!$B$6:$Z$289,MATCH(ROW()-5,Income!$Z$6:$Z$289,0),2),"")</f>
        <v/>
      </c>
      <c r="D266" s="1962" t="str">
        <f>IF(ROW() -5&lt;= MAX(Income!$Z$6:$Z$289),INDEX(Income!$B$6:$Z$289,MATCH(ROW()-5,Income!$Z$6:$Z$289,0),4),"")</f>
        <v/>
      </c>
      <c r="E266" s="1962" t="str">
        <f>IF(ROW() -5&lt;= MAX(Income!$Z$6:$Z$289),INDEX(Income!$C$6:$Z$289,MATCH(ROW()-5,Income!$Z$6:$Z$289,0),4),"")</f>
        <v/>
      </c>
      <c r="F266" s="1962" t="str">
        <f>IF(ROW() -5&lt;= MAX(Income!$Z$6:$Z$289),INDEX(Income!$D$6:$Z$289,MATCH(ROW()-5,Income!$Z$6:$Z$289,0),4),"")</f>
        <v/>
      </c>
      <c r="G266" s="1962" t="str">
        <f>IF(ROW() -5&lt;= MAX(Income!$Z$6:$Z$289),INDEX(Income!$E$6:$Z$289,MATCH(ROW()-5,Income!$Z$6:$Z$289,0),4),"")</f>
        <v/>
      </c>
      <c r="H266" s="1962" t="str">
        <f>IF(ROW() -5&lt;= MAX(Income!$Z$6:$Z$289),INDEX(Income!$F$6:$Z$289,MATCH(ROW()-5,Income!$Z$6:$Z$289,0),4),"")</f>
        <v/>
      </c>
      <c r="I266" s="3"/>
      <c r="J266" s="3"/>
      <c r="K266" t="str">
        <f>IF(ROW() -5&lt;= MAX(Income!$Z$6:$Z$289),INDEX(Income!$B$6:$Z$289,MATCH(ROW()-5,Income!$Z$6:$Z$289,0),24),"")</f>
        <v/>
      </c>
    </row>
    <row r="267" spans="1:11" ht="12.75" customHeight="1" x14ac:dyDescent="0.2">
      <c r="A267" s="3"/>
      <c r="B267" s="1962" t="str">
        <f>IF(ROW() -5&lt;= MAX(Income!$Z$6:$Z$289),INDEX(Income!$B$6:$Z$289,MATCH(ROW()-5,Income!$Z$6:$Z$289,0),1),"")</f>
        <v/>
      </c>
      <c r="C267" s="1964" t="str">
        <f>IF(ROW() -5&lt;= MAX(Income!$Z$6:$Z$289),INDEX(Income!$B$6:$Z$289,MATCH(ROW()-5,Income!$Z$6:$Z$289,0),2),"")</f>
        <v/>
      </c>
      <c r="D267" s="1962" t="str">
        <f>IF(ROW() -5&lt;= MAX(Income!$Z$6:$Z$289),INDEX(Income!$B$6:$Z$289,MATCH(ROW()-5,Income!$Z$6:$Z$289,0),4),"")</f>
        <v/>
      </c>
      <c r="E267" s="1962" t="str">
        <f>IF(ROW() -5&lt;= MAX(Income!$Z$6:$Z$289),INDEX(Income!$C$6:$Z$289,MATCH(ROW()-5,Income!$Z$6:$Z$289,0),4),"")</f>
        <v/>
      </c>
      <c r="F267" s="1962" t="str">
        <f>IF(ROW() -5&lt;= MAX(Income!$Z$6:$Z$289),INDEX(Income!$D$6:$Z$289,MATCH(ROW()-5,Income!$Z$6:$Z$289,0),4),"")</f>
        <v/>
      </c>
      <c r="G267" s="1962" t="str">
        <f>IF(ROW() -5&lt;= MAX(Income!$Z$6:$Z$289),INDEX(Income!$E$6:$Z$289,MATCH(ROW()-5,Income!$Z$6:$Z$289,0),4),"")</f>
        <v/>
      </c>
      <c r="H267" s="1962" t="str">
        <f>IF(ROW() -5&lt;= MAX(Income!$Z$6:$Z$289),INDEX(Income!$F$6:$Z$289,MATCH(ROW()-5,Income!$Z$6:$Z$289,0),4),"")</f>
        <v/>
      </c>
      <c r="I267" s="3"/>
      <c r="J267" s="3"/>
      <c r="K267" t="str">
        <f>IF(ROW() -5&lt;= MAX(Income!$Z$6:$Z$289),INDEX(Income!$B$6:$Z$289,MATCH(ROW()-5,Income!$Z$6:$Z$289,0),24),"")</f>
        <v/>
      </c>
    </row>
    <row r="268" spans="1:11" ht="12.75" customHeight="1" x14ac:dyDescent="0.2">
      <c r="A268" s="3"/>
      <c r="B268" s="1962" t="str">
        <f>IF(ROW() -5&lt;= MAX(Income!$Z$6:$Z$289),INDEX(Income!$B$6:$Z$289,MATCH(ROW()-5,Income!$Z$6:$Z$289,0),1),"")</f>
        <v/>
      </c>
      <c r="C268" s="1964" t="str">
        <f>IF(ROW() -5&lt;= MAX(Income!$Z$6:$Z$289),INDEX(Income!$B$6:$Z$289,MATCH(ROW()-5,Income!$Z$6:$Z$289,0),2),"")</f>
        <v/>
      </c>
      <c r="D268" s="1962" t="str">
        <f>IF(ROW() -5&lt;= MAX(Income!$Z$6:$Z$289),INDEX(Income!$B$6:$Z$289,MATCH(ROW()-5,Income!$Z$6:$Z$289,0),4),"")</f>
        <v/>
      </c>
      <c r="E268" s="1962" t="str">
        <f>IF(ROW() -5&lt;= MAX(Income!$Z$6:$Z$289),INDEX(Income!$C$6:$Z$289,MATCH(ROW()-5,Income!$Z$6:$Z$289,0),4),"")</f>
        <v/>
      </c>
      <c r="F268" s="1962" t="str">
        <f>IF(ROW() -5&lt;= MAX(Income!$Z$6:$Z$289),INDEX(Income!$D$6:$Z$289,MATCH(ROW()-5,Income!$Z$6:$Z$289,0),4),"")</f>
        <v/>
      </c>
      <c r="G268" s="1962" t="str">
        <f>IF(ROW() -5&lt;= MAX(Income!$Z$6:$Z$289),INDEX(Income!$E$6:$Z$289,MATCH(ROW()-5,Income!$Z$6:$Z$289,0),4),"")</f>
        <v/>
      </c>
      <c r="H268" s="1962" t="str">
        <f>IF(ROW() -5&lt;= MAX(Income!$Z$6:$Z$289),INDEX(Income!$F$6:$Z$289,MATCH(ROW()-5,Income!$Z$6:$Z$289,0),4),"")</f>
        <v/>
      </c>
      <c r="I268" s="3"/>
      <c r="J268" s="3"/>
      <c r="K268" t="str">
        <f>IF(ROW() -5&lt;= MAX(Income!$Z$6:$Z$289),INDEX(Income!$B$6:$Z$289,MATCH(ROW()-5,Income!$Z$6:$Z$289,0),24),"")</f>
        <v/>
      </c>
    </row>
    <row r="269" spans="1:11" ht="12.75" customHeight="1" x14ac:dyDescent="0.2">
      <c r="A269" s="3"/>
      <c r="B269" s="1962" t="str">
        <f>IF(ROW() -5&lt;= MAX(Income!$Z$6:$Z$289),INDEX(Income!$B$6:$Z$289,MATCH(ROW()-5,Income!$Z$6:$Z$289,0),1),"")</f>
        <v/>
      </c>
      <c r="C269" s="1964" t="str">
        <f>IF(ROW() -5&lt;= MAX(Income!$Z$6:$Z$289),INDEX(Income!$B$6:$Z$289,MATCH(ROW()-5,Income!$Z$6:$Z$289,0),2),"")</f>
        <v/>
      </c>
      <c r="D269" s="1962" t="str">
        <f>IF(ROW() -5&lt;= MAX(Income!$Z$6:$Z$289),INDEX(Income!$B$6:$Z$289,MATCH(ROW()-5,Income!$Z$6:$Z$289,0),4),"")</f>
        <v/>
      </c>
      <c r="E269" s="1962" t="str">
        <f>IF(ROW() -5&lt;= MAX(Income!$Z$6:$Z$289),INDEX(Income!$C$6:$Z$289,MATCH(ROW()-5,Income!$Z$6:$Z$289,0),4),"")</f>
        <v/>
      </c>
      <c r="F269" s="1962" t="str">
        <f>IF(ROW() -5&lt;= MAX(Income!$Z$6:$Z$289),INDEX(Income!$D$6:$Z$289,MATCH(ROW()-5,Income!$Z$6:$Z$289,0),4),"")</f>
        <v/>
      </c>
      <c r="G269" s="1962" t="str">
        <f>IF(ROW() -5&lt;= MAX(Income!$Z$6:$Z$289),INDEX(Income!$E$6:$Z$289,MATCH(ROW()-5,Income!$Z$6:$Z$289,0),4),"")</f>
        <v/>
      </c>
      <c r="H269" s="1962" t="str">
        <f>IF(ROW() -5&lt;= MAX(Income!$Z$6:$Z$289),INDEX(Income!$F$6:$Z$289,MATCH(ROW()-5,Income!$Z$6:$Z$289,0),4),"")</f>
        <v/>
      </c>
      <c r="I269" s="3"/>
      <c r="J269" s="3"/>
      <c r="K269" t="str">
        <f>IF(ROW() -5&lt;= MAX(Income!$Z$6:$Z$289),INDEX(Income!$B$6:$Z$289,MATCH(ROW()-5,Income!$Z$6:$Z$289,0),24),"")</f>
        <v/>
      </c>
    </row>
    <row r="270" spans="1:11" ht="12.75" customHeight="1" x14ac:dyDescent="0.2">
      <c r="A270" s="3"/>
      <c r="B270" s="1962" t="str">
        <f>IF(ROW() -5&lt;= MAX(Income!$Z$6:$Z$289),INDEX(Income!$B$6:$Z$289,MATCH(ROW()-5,Income!$Z$6:$Z$289,0),1),"")</f>
        <v/>
      </c>
      <c r="C270" s="1964" t="str">
        <f>IF(ROW() -5&lt;= MAX(Income!$Z$6:$Z$289),INDEX(Income!$B$6:$Z$289,MATCH(ROW()-5,Income!$Z$6:$Z$289,0),2),"")</f>
        <v/>
      </c>
      <c r="D270" s="1962" t="str">
        <f>IF(ROW() -5&lt;= MAX(Income!$Z$6:$Z$289),INDEX(Income!$B$6:$Z$289,MATCH(ROW()-5,Income!$Z$6:$Z$289,0),4),"")</f>
        <v/>
      </c>
      <c r="E270" s="1962" t="str">
        <f>IF(ROW() -5&lt;= MAX(Income!$Z$6:$Z$289),INDEX(Income!$C$6:$Z$289,MATCH(ROW()-5,Income!$Z$6:$Z$289,0),4),"")</f>
        <v/>
      </c>
      <c r="F270" s="1962" t="str">
        <f>IF(ROW() -5&lt;= MAX(Income!$Z$6:$Z$289),INDEX(Income!$D$6:$Z$289,MATCH(ROW()-5,Income!$Z$6:$Z$289,0),4),"")</f>
        <v/>
      </c>
      <c r="G270" s="1962" t="str">
        <f>IF(ROW() -5&lt;= MAX(Income!$Z$6:$Z$289),INDEX(Income!$E$6:$Z$289,MATCH(ROW()-5,Income!$Z$6:$Z$289,0),4),"")</f>
        <v/>
      </c>
      <c r="H270" s="1962" t="str">
        <f>IF(ROW() -5&lt;= MAX(Income!$Z$6:$Z$289),INDEX(Income!$F$6:$Z$289,MATCH(ROW()-5,Income!$Z$6:$Z$289,0),4),"")</f>
        <v/>
      </c>
      <c r="I270" s="3"/>
      <c r="J270" s="3"/>
      <c r="K270" t="str">
        <f>IF(ROW() -5&lt;= MAX(Income!$Z$6:$Z$289),INDEX(Income!$B$6:$Z$289,MATCH(ROW()-5,Income!$Z$6:$Z$289,0),24),"")</f>
        <v/>
      </c>
    </row>
    <row r="271" spans="1:11" ht="12.75" customHeight="1" x14ac:dyDescent="0.2">
      <c r="A271" s="3"/>
      <c r="B271" s="1962" t="str">
        <f>IF(ROW() -5&lt;= MAX(Income!$Z$6:$Z$289),INDEX(Income!$B$6:$Z$289,MATCH(ROW()-5,Income!$Z$6:$Z$289,0),1),"")</f>
        <v/>
      </c>
      <c r="C271" s="1964" t="str">
        <f>IF(ROW() -5&lt;= MAX(Income!$Z$6:$Z$289),INDEX(Income!$B$6:$Z$289,MATCH(ROW()-5,Income!$Z$6:$Z$289,0),2),"")</f>
        <v/>
      </c>
      <c r="D271" s="1962" t="str">
        <f>IF(ROW() -5&lt;= MAX(Income!$Z$6:$Z$289),INDEX(Income!$B$6:$Z$289,MATCH(ROW()-5,Income!$Z$6:$Z$289,0),4),"")</f>
        <v/>
      </c>
      <c r="E271" s="1962" t="str">
        <f>IF(ROW() -5&lt;= MAX(Income!$Z$6:$Z$289),INDEX(Income!$C$6:$Z$289,MATCH(ROW()-5,Income!$Z$6:$Z$289,0),4),"")</f>
        <v/>
      </c>
      <c r="F271" s="1962" t="str">
        <f>IF(ROW() -5&lt;= MAX(Income!$Z$6:$Z$289),INDEX(Income!$D$6:$Z$289,MATCH(ROW()-5,Income!$Z$6:$Z$289,0),4),"")</f>
        <v/>
      </c>
      <c r="G271" s="1962" t="str">
        <f>IF(ROW() -5&lt;= MAX(Income!$Z$6:$Z$289),INDEX(Income!$E$6:$Z$289,MATCH(ROW()-5,Income!$Z$6:$Z$289,0),4),"")</f>
        <v/>
      </c>
      <c r="H271" s="1962" t="str">
        <f>IF(ROW() -5&lt;= MAX(Income!$Z$6:$Z$289),INDEX(Income!$F$6:$Z$289,MATCH(ROW()-5,Income!$Z$6:$Z$289,0),4),"")</f>
        <v/>
      </c>
      <c r="I271" s="3"/>
      <c r="J271" s="3"/>
      <c r="K271" t="str">
        <f>IF(ROW() -5&lt;= MAX(Income!$Z$6:$Z$289),INDEX(Income!$B$6:$Z$289,MATCH(ROW()-5,Income!$Z$6:$Z$289,0),24),"")</f>
        <v/>
      </c>
    </row>
    <row r="272" spans="1:11" ht="12.75" customHeight="1" x14ac:dyDescent="0.2">
      <c r="A272" s="3"/>
      <c r="B272" s="1962" t="str">
        <f>IF(ROW() -5&lt;= MAX(Income!$Z$6:$Z$289),INDEX(Income!$B$6:$Z$289,MATCH(ROW()-5,Income!$Z$6:$Z$289,0),1),"")</f>
        <v/>
      </c>
      <c r="C272" s="1964" t="str">
        <f>IF(ROW() -5&lt;= MAX(Income!$Z$6:$Z$289),INDEX(Income!$B$6:$Z$289,MATCH(ROW()-5,Income!$Z$6:$Z$289,0),2),"")</f>
        <v/>
      </c>
      <c r="D272" s="1962" t="str">
        <f>IF(ROW() -5&lt;= MAX(Income!$Z$6:$Z$289),INDEX(Income!$B$6:$Z$289,MATCH(ROW()-5,Income!$Z$6:$Z$289,0),4),"")</f>
        <v/>
      </c>
      <c r="E272" s="1962" t="str">
        <f>IF(ROW() -5&lt;= MAX(Income!$Z$6:$Z$289),INDEX(Income!$C$6:$Z$289,MATCH(ROW()-5,Income!$Z$6:$Z$289,0),4),"")</f>
        <v/>
      </c>
      <c r="F272" s="1962" t="str">
        <f>IF(ROW() -5&lt;= MAX(Income!$Z$6:$Z$289),INDEX(Income!$D$6:$Z$289,MATCH(ROW()-5,Income!$Z$6:$Z$289,0),4),"")</f>
        <v/>
      </c>
      <c r="G272" s="1962" t="str">
        <f>IF(ROW() -5&lt;= MAX(Income!$Z$6:$Z$289),INDEX(Income!$E$6:$Z$289,MATCH(ROW()-5,Income!$Z$6:$Z$289,0),4),"")</f>
        <v/>
      </c>
      <c r="H272" s="1962" t="str">
        <f>IF(ROW() -5&lt;= MAX(Income!$Z$6:$Z$289),INDEX(Income!$F$6:$Z$289,MATCH(ROW()-5,Income!$Z$6:$Z$289,0),4),"")</f>
        <v/>
      </c>
      <c r="I272" s="3"/>
      <c r="J272" s="3"/>
      <c r="K272" t="str">
        <f>IF(ROW() -5&lt;= MAX(Income!$Z$6:$Z$289),INDEX(Income!$B$6:$Z$289,MATCH(ROW()-5,Income!$Z$6:$Z$289,0),24),"")</f>
        <v/>
      </c>
    </row>
    <row r="273" spans="1:11" ht="12.75" customHeight="1" x14ac:dyDescent="0.2">
      <c r="A273" s="3"/>
      <c r="B273" s="1962" t="str">
        <f>IF(ROW() -5&lt;= MAX(Income!$Z$6:$Z$289),INDEX(Income!$B$6:$Z$289,MATCH(ROW()-5,Income!$Z$6:$Z$289,0),1),"")</f>
        <v/>
      </c>
      <c r="C273" s="1964" t="str">
        <f>IF(ROW() -5&lt;= MAX(Income!$Z$6:$Z$289),INDEX(Income!$B$6:$Z$289,MATCH(ROW()-5,Income!$Z$6:$Z$289,0),2),"")</f>
        <v/>
      </c>
      <c r="D273" s="1962" t="str">
        <f>IF(ROW() -5&lt;= MAX(Income!$Z$6:$Z$289),INDEX(Income!$B$6:$Z$289,MATCH(ROW()-5,Income!$Z$6:$Z$289,0),4),"")</f>
        <v/>
      </c>
      <c r="E273" s="1962" t="str">
        <f>IF(ROW() -5&lt;= MAX(Income!$Z$6:$Z$289),INDEX(Income!$C$6:$Z$289,MATCH(ROW()-5,Income!$Z$6:$Z$289,0),4),"")</f>
        <v/>
      </c>
      <c r="F273" s="1962" t="str">
        <f>IF(ROW() -5&lt;= MAX(Income!$Z$6:$Z$289),INDEX(Income!$D$6:$Z$289,MATCH(ROW()-5,Income!$Z$6:$Z$289,0),4),"")</f>
        <v/>
      </c>
      <c r="G273" s="1962" t="str">
        <f>IF(ROW() -5&lt;= MAX(Income!$Z$6:$Z$289),INDEX(Income!$E$6:$Z$289,MATCH(ROW()-5,Income!$Z$6:$Z$289,0),4),"")</f>
        <v/>
      </c>
      <c r="H273" s="1962" t="str">
        <f>IF(ROW() -5&lt;= MAX(Income!$Z$6:$Z$289),INDEX(Income!$F$6:$Z$289,MATCH(ROW()-5,Income!$Z$6:$Z$289,0),4),"")</f>
        <v/>
      </c>
      <c r="I273" s="3"/>
      <c r="J273" s="3"/>
      <c r="K273" t="str">
        <f>IF(ROW() -5&lt;= MAX(Income!$Z$6:$Z$289),INDEX(Income!$B$6:$Z$289,MATCH(ROW()-5,Income!$Z$6:$Z$289,0),24),"")</f>
        <v/>
      </c>
    </row>
    <row r="274" spans="1:11" ht="12.75" customHeight="1" x14ac:dyDescent="0.2">
      <c r="A274" s="3"/>
      <c r="B274" s="1962" t="str">
        <f>IF(ROW() -5&lt;= MAX(Income!$Z$6:$Z$289),INDEX(Income!$B$6:$Z$289,MATCH(ROW()-5,Income!$Z$6:$Z$289,0),1),"")</f>
        <v/>
      </c>
      <c r="C274" s="1964" t="str">
        <f>IF(ROW() -5&lt;= MAX(Income!$Z$6:$Z$289),INDEX(Income!$B$6:$Z$289,MATCH(ROW()-5,Income!$Z$6:$Z$289,0),2),"")</f>
        <v/>
      </c>
      <c r="D274" s="1962" t="str">
        <f>IF(ROW() -5&lt;= MAX(Income!$Z$6:$Z$289),INDEX(Income!$B$6:$Z$289,MATCH(ROW()-5,Income!$Z$6:$Z$289,0),4),"")</f>
        <v/>
      </c>
      <c r="E274" s="1962" t="str">
        <f>IF(ROW() -5&lt;= MAX(Income!$Z$6:$Z$289),INDEX(Income!$C$6:$Z$289,MATCH(ROW()-5,Income!$Z$6:$Z$289,0),4),"")</f>
        <v/>
      </c>
      <c r="F274" s="1962" t="str">
        <f>IF(ROW() -5&lt;= MAX(Income!$Z$6:$Z$289),INDEX(Income!$D$6:$Z$289,MATCH(ROW()-5,Income!$Z$6:$Z$289,0),4),"")</f>
        <v/>
      </c>
      <c r="G274" s="1962" t="str">
        <f>IF(ROW() -5&lt;= MAX(Income!$Z$6:$Z$289),INDEX(Income!$E$6:$Z$289,MATCH(ROW()-5,Income!$Z$6:$Z$289,0),4),"")</f>
        <v/>
      </c>
      <c r="H274" s="1962" t="str">
        <f>IF(ROW() -5&lt;= MAX(Income!$Z$6:$Z$289),INDEX(Income!$F$6:$Z$289,MATCH(ROW()-5,Income!$Z$6:$Z$289,0),4),"")</f>
        <v/>
      </c>
      <c r="I274" s="3"/>
      <c r="J274" s="3"/>
      <c r="K274" t="str">
        <f>IF(ROW() -5&lt;= MAX(Income!$Z$6:$Z$289),INDEX(Income!$B$6:$Z$289,MATCH(ROW()-5,Income!$Z$6:$Z$289,0),24),"")</f>
        <v/>
      </c>
    </row>
    <row r="275" spans="1:11" ht="12.75" customHeight="1" x14ac:dyDescent="0.2">
      <c r="A275" s="3"/>
      <c r="B275" s="1962" t="str">
        <f>IF(ROW() -5&lt;= MAX(Income!$Z$6:$Z$289),INDEX(Income!$B$6:$Z$289,MATCH(ROW()-5,Income!$Z$6:$Z$289,0),1),"")</f>
        <v/>
      </c>
      <c r="C275" s="1964" t="str">
        <f>IF(ROW() -5&lt;= MAX(Income!$Z$6:$Z$289),INDEX(Income!$B$6:$Z$289,MATCH(ROW()-5,Income!$Z$6:$Z$289,0),2),"")</f>
        <v/>
      </c>
      <c r="D275" s="1962" t="str">
        <f>IF(ROW() -5&lt;= MAX(Income!$Z$6:$Z$289),INDEX(Income!$B$6:$Z$289,MATCH(ROW()-5,Income!$Z$6:$Z$289,0),4),"")</f>
        <v/>
      </c>
      <c r="E275" s="1962" t="str">
        <f>IF(ROW() -5&lt;= MAX(Income!$Z$6:$Z$289),INDEX(Income!$C$6:$Z$289,MATCH(ROW()-5,Income!$Z$6:$Z$289,0),4),"")</f>
        <v/>
      </c>
      <c r="F275" s="1962" t="str">
        <f>IF(ROW() -5&lt;= MAX(Income!$Z$6:$Z$289),INDEX(Income!$D$6:$Z$289,MATCH(ROW()-5,Income!$Z$6:$Z$289,0),4),"")</f>
        <v/>
      </c>
      <c r="G275" s="1962" t="str">
        <f>IF(ROW() -5&lt;= MAX(Income!$Z$6:$Z$289),INDEX(Income!$E$6:$Z$289,MATCH(ROW()-5,Income!$Z$6:$Z$289,0),4),"")</f>
        <v/>
      </c>
      <c r="H275" s="1962" t="str">
        <f>IF(ROW() -5&lt;= MAX(Income!$Z$6:$Z$289),INDEX(Income!$F$6:$Z$289,MATCH(ROW()-5,Income!$Z$6:$Z$289,0),4),"")</f>
        <v/>
      </c>
      <c r="I275" s="3"/>
      <c r="J275" s="3"/>
      <c r="K275" t="str">
        <f>IF(ROW() -5&lt;= MAX(Income!$Z$6:$Z$289),INDEX(Income!$B$6:$Z$289,MATCH(ROW()-5,Income!$Z$6:$Z$289,0),24),"")</f>
        <v/>
      </c>
    </row>
    <row r="276" spans="1:11" ht="12.75" customHeight="1" x14ac:dyDescent="0.2">
      <c r="A276" s="3"/>
      <c r="B276" s="1962" t="str">
        <f>IF(ROW() -5&lt;= MAX(Income!$Z$6:$Z$289),INDEX(Income!$B$6:$Z$289,MATCH(ROW()-5,Income!$Z$6:$Z$289,0),1),"")</f>
        <v/>
      </c>
      <c r="C276" s="1964" t="str">
        <f>IF(ROW() -5&lt;= MAX(Income!$Z$6:$Z$289),INDEX(Income!$B$6:$Z$289,MATCH(ROW()-5,Income!$Z$6:$Z$289,0),2),"")</f>
        <v/>
      </c>
      <c r="D276" s="1962" t="str">
        <f>IF(ROW() -5&lt;= MAX(Income!$Z$6:$Z$289),INDEX(Income!$B$6:$Z$289,MATCH(ROW()-5,Income!$Z$6:$Z$289,0),4),"")</f>
        <v/>
      </c>
      <c r="E276" s="1962" t="str">
        <f>IF(ROW() -5&lt;= MAX(Income!$Z$6:$Z$289),INDEX(Income!$C$6:$Z$289,MATCH(ROW()-5,Income!$Z$6:$Z$289,0),4),"")</f>
        <v/>
      </c>
      <c r="F276" s="1962" t="str">
        <f>IF(ROW() -5&lt;= MAX(Income!$Z$6:$Z$289),INDEX(Income!$D$6:$Z$289,MATCH(ROW()-5,Income!$Z$6:$Z$289,0),4),"")</f>
        <v/>
      </c>
      <c r="G276" s="1962" t="str">
        <f>IF(ROW() -5&lt;= MAX(Income!$Z$6:$Z$289),INDEX(Income!$E$6:$Z$289,MATCH(ROW()-5,Income!$Z$6:$Z$289,0),4),"")</f>
        <v/>
      </c>
      <c r="H276" s="1962" t="str">
        <f>IF(ROW() -5&lt;= MAX(Income!$Z$6:$Z$289),INDEX(Income!$F$6:$Z$289,MATCH(ROW()-5,Income!$Z$6:$Z$289,0),4),"")</f>
        <v/>
      </c>
      <c r="I276" s="3"/>
      <c r="J276" s="3"/>
      <c r="K276" t="str">
        <f>IF(ROW() -5&lt;= MAX(Income!$Z$6:$Z$289),INDEX(Income!$B$6:$Z$289,MATCH(ROW()-5,Income!$Z$6:$Z$289,0),24),"")</f>
        <v/>
      </c>
    </row>
    <row r="277" spans="1:11" ht="12.75" customHeight="1" x14ac:dyDescent="0.2">
      <c r="A277" s="3"/>
      <c r="B277" s="1962" t="str">
        <f>IF(ROW() -5&lt;= MAX(Income!$Z$6:$Z$289),INDEX(Income!$B$6:$Z$289,MATCH(ROW()-5,Income!$Z$6:$Z$289,0),1),"")</f>
        <v/>
      </c>
      <c r="C277" s="1964" t="str">
        <f>IF(ROW() -5&lt;= MAX(Income!$Z$6:$Z$289),INDEX(Income!$B$6:$Z$289,MATCH(ROW()-5,Income!$Z$6:$Z$289,0),2),"")</f>
        <v/>
      </c>
      <c r="D277" s="1962" t="str">
        <f>IF(ROW() -5&lt;= MAX(Income!$Z$6:$Z$289),INDEX(Income!$B$6:$Z$289,MATCH(ROW()-5,Income!$Z$6:$Z$289,0),4),"")</f>
        <v/>
      </c>
      <c r="E277" s="1962" t="str">
        <f>IF(ROW() -5&lt;= MAX(Income!$Z$6:$Z$289),INDEX(Income!$C$6:$Z$289,MATCH(ROW()-5,Income!$Z$6:$Z$289,0),4),"")</f>
        <v/>
      </c>
      <c r="F277" s="1962" t="str">
        <f>IF(ROW() -5&lt;= MAX(Income!$Z$6:$Z$289),INDEX(Income!$D$6:$Z$289,MATCH(ROW()-5,Income!$Z$6:$Z$289,0),4),"")</f>
        <v/>
      </c>
      <c r="G277" s="1962" t="str">
        <f>IF(ROW() -5&lt;= MAX(Income!$Z$6:$Z$289),INDEX(Income!$E$6:$Z$289,MATCH(ROW()-5,Income!$Z$6:$Z$289,0),4),"")</f>
        <v/>
      </c>
      <c r="H277" s="1962" t="str">
        <f>IF(ROW() -5&lt;= MAX(Income!$Z$6:$Z$289),INDEX(Income!$F$6:$Z$289,MATCH(ROW()-5,Income!$Z$6:$Z$289,0),4),"")</f>
        <v/>
      </c>
      <c r="I277" s="3"/>
      <c r="J277" s="3"/>
      <c r="K277" t="str">
        <f>IF(ROW() -5&lt;= MAX(Income!$Z$6:$Z$289),INDEX(Income!$B$6:$Z$289,MATCH(ROW()-5,Income!$Z$6:$Z$289,0),24),"")</f>
        <v/>
      </c>
    </row>
    <row r="278" spans="1:11" ht="12.75" customHeight="1" x14ac:dyDescent="0.2">
      <c r="A278" s="3"/>
      <c r="B278" s="1962" t="str">
        <f>IF(ROW() -5&lt;= MAX(Income!$Z$6:$Z$289),INDEX(Income!$B$6:$Z$289,MATCH(ROW()-5,Income!$Z$6:$Z$289,0),1),"")</f>
        <v/>
      </c>
      <c r="C278" s="1964" t="str">
        <f>IF(ROW() -5&lt;= MAX(Income!$Z$6:$Z$289),INDEX(Income!$B$6:$Z$289,MATCH(ROW()-5,Income!$Z$6:$Z$289,0),2),"")</f>
        <v/>
      </c>
      <c r="D278" s="1962" t="str">
        <f>IF(ROW() -5&lt;= MAX(Income!$Z$6:$Z$289),INDEX(Income!$B$6:$Z$289,MATCH(ROW()-5,Income!$Z$6:$Z$289,0),4),"")</f>
        <v/>
      </c>
      <c r="E278" s="1962" t="str">
        <f>IF(ROW() -5&lt;= MAX(Income!$Z$6:$Z$289),INDEX(Income!$C$6:$Z$289,MATCH(ROW()-5,Income!$Z$6:$Z$289,0),4),"")</f>
        <v/>
      </c>
      <c r="F278" s="1962" t="str">
        <f>IF(ROW() -5&lt;= MAX(Income!$Z$6:$Z$289),INDEX(Income!$D$6:$Z$289,MATCH(ROW()-5,Income!$Z$6:$Z$289,0),4),"")</f>
        <v/>
      </c>
      <c r="G278" s="1962" t="str">
        <f>IF(ROW() -5&lt;= MAX(Income!$Z$6:$Z$289),INDEX(Income!$E$6:$Z$289,MATCH(ROW()-5,Income!$Z$6:$Z$289,0),4),"")</f>
        <v/>
      </c>
      <c r="H278" s="1962" t="str">
        <f>IF(ROW() -5&lt;= MAX(Income!$Z$6:$Z$289),INDEX(Income!$F$6:$Z$289,MATCH(ROW()-5,Income!$Z$6:$Z$289,0),4),"")</f>
        <v/>
      </c>
      <c r="I278" s="3"/>
      <c r="J278" s="3"/>
      <c r="K278" t="str">
        <f>IF(ROW() -5&lt;= MAX(Income!$Z$6:$Z$289),INDEX(Income!$B$6:$Z$289,MATCH(ROW()-5,Income!$Z$6:$Z$289,0),24),"")</f>
        <v/>
      </c>
    </row>
    <row r="279" spans="1:11" ht="12.75" customHeight="1" x14ac:dyDescent="0.2">
      <c r="A279" s="3"/>
      <c r="B279" s="1962" t="str">
        <f>IF(ROW() -5&lt;= MAX(Income!$Z$6:$Z$289),INDEX(Income!$B$6:$Z$289,MATCH(ROW()-5,Income!$Z$6:$Z$289,0),1),"")</f>
        <v/>
      </c>
      <c r="C279" s="1964" t="str">
        <f>IF(ROW() -5&lt;= MAX(Income!$Z$6:$Z$289),INDEX(Income!$B$6:$Z$289,MATCH(ROW()-5,Income!$Z$6:$Z$289,0),2),"")</f>
        <v/>
      </c>
      <c r="D279" s="1962" t="str">
        <f>IF(ROW() -5&lt;= MAX(Income!$Z$6:$Z$289),INDEX(Income!$B$6:$Z$289,MATCH(ROW()-5,Income!$Z$6:$Z$289,0),4),"")</f>
        <v/>
      </c>
      <c r="E279" s="1962" t="str">
        <f>IF(ROW() -5&lt;= MAX(Income!$Z$6:$Z$289),INDEX(Income!$C$6:$Z$289,MATCH(ROW()-5,Income!$Z$6:$Z$289,0),4),"")</f>
        <v/>
      </c>
      <c r="F279" s="1962" t="str">
        <f>IF(ROW() -5&lt;= MAX(Income!$Z$6:$Z$289),INDEX(Income!$D$6:$Z$289,MATCH(ROW()-5,Income!$Z$6:$Z$289,0),4),"")</f>
        <v/>
      </c>
      <c r="G279" s="1962" t="str">
        <f>IF(ROW() -5&lt;= MAX(Income!$Z$6:$Z$289),INDEX(Income!$E$6:$Z$289,MATCH(ROW()-5,Income!$Z$6:$Z$289,0),4),"")</f>
        <v/>
      </c>
      <c r="H279" s="1962" t="str">
        <f>IF(ROW() -5&lt;= MAX(Income!$Z$6:$Z$289),INDEX(Income!$F$6:$Z$289,MATCH(ROW()-5,Income!$Z$6:$Z$289,0),4),"")</f>
        <v/>
      </c>
      <c r="I279" s="3"/>
      <c r="J279" s="3"/>
      <c r="K279" t="str">
        <f>IF(ROW() -5&lt;= MAX(Income!$Z$6:$Z$289),INDEX(Income!$B$6:$Z$289,MATCH(ROW()-5,Income!$Z$6:$Z$289,0),24),"")</f>
        <v/>
      </c>
    </row>
    <row r="280" spans="1:11" ht="12.75" customHeight="1" x14ac:dyDescent="0.2">
      <c r="A280" s="3"/>
      <c r="B280" s="1962" t="str">
        <f>IF(ROW() -5&lt;= MAX(Income!$Z$6:$Z$289),INDEX(Income!$B$6:$Z$289,MATCH(ROW()-5,Income!$Z$6:$Z$289,0),1),"")</f>
        <v/>
      </c>
      <c r="C280" s="1964" t="str">
        <f>IF(ROW() -5&lt;= MAX(Income!$Z$6:$Z$289),INDEX(Income!$B$6:$Z$289,MATCH(ROW()-5,Income!$Z$6:$Z$289,0),2),"")</f>
        <v/>
      </c>
      <c r="D280" s="1962" t="str">
        <f>IF(ROW() -5&lt;= MAX(Income!$Z$6:$Z$289),INDEX(Income!$B$6:$Z$289,MATCH(ROW()-5,Income!$Z$6:$Z$289,0),4),"")</f>
        <v/>
      </c>
      <c r="E280" s="1962" t="str">
        <f>IF(ROW() -5&lt;= MAX(Income!$Z$6:$Z$289),INDEX(Income!$C$6:$Z$289,MATCH(ROW()-5,Income!$Z$6:$Z$289,0),4),"")</f>
        <v/>
      </c>
      <c r="F280" s="1962" t="str">
        <f>IF(ROW() -5&lt;= MAX(Income!$Z$6:$Z$289),INDEX(Income!$D$6:$Z$289,MATCH(ROW()-5,Income!$Z$6:$Z$289,0),4),"")</f>
        <v/>
      </c>
      <c r="G280" s="1962" t="str">
        <f>IF(ROW() -5&lt;= MAX(Income!$Z$6:$Z$289),INDEX(Income!$E$6:$Z$289,MATCH(ROW()-5,Income!$Z$6:$Z$289,0),4),"")</f>
        <v/>
      </c>
      <c r="H280" s="1962" t="str">
        <f>IF(ROW() -5&lt;= MAX(Income!$Z$6:$Z$289),INDEX(Income!$F$6:$Z$289,MATCH(ROW()-5,Income!$Z$6:$Z$289,0),4),"")</f>
        <v/>
      </c>
      <c r="I280" s="3"/>
      <c r="J280" s="3"/>
      <c r="K280" t="str">
        <f>IF(ROW() -5&lt;= MAX(Income!$Z$6:$Z$289),INDEX(Income!$B$6:$Z$289,MATCH(ROW()-5,Income!$Z$6:$Z$289,0),24),"")</f>
        <v/>
      </c>
    </row>
    <row r="281" spans="1:11" ht="12.75" customHeight="1" x14ac:dyDescent="0.2">
      <c r="A281" s="3"/>
      <c r="B281" s="1962" t="str">
        <f>IF(ROW() -5&lt;= MAX(Income!$Z$6:$Z$289),INDEX(Income!$B$6:$Z$289,MATCH(ROW()-5,Income!$Z$6:$Z$289,0),1),"")</f>
        <v/>
      </c>
      <c r="C281" s="1964" t="str">
        <f>IF(ROW() -5&lt;= MAX(Income!$Z$6:$Z$289),INDEX(Income!$B$6:$Z$289,MATCH(ROW()-5,Income!$Z$6:$Z$289,0),2),"")</f>
        <v/>
      </c>
      <c r="D281" s="1962" t="str">
        <f>IF(ROW() -5&lt;= MAX(Income!$Z$6:$Z$289),INDEX(Income!$B$6:$Z$289,MATCH(ROW()-5,Income!$Z$6:$Z$289,0),4),"")</f>
        <v/>
      </c>
      <c r="E281" s="1962" t="str">
        <f>IF(ROW() -5&lt;= MAX(Income!$Z$6:$Z$289),INDEX(Income!$C$6:$Z$289,MATCH(ROW()-5,Income!$Z$6:$Z$289,0),4),"")</f>
        <v/>
      </c>
      <c r="F281" s="1962" t="str">
        <f>IF(ROW() -5&lt;= MAX(Income!$Z$6:$Z$289),INDEX(Income!$D$6:$Z$289,MATCH(ROW()-5,Income!$Z$6:$Z$289,0),4),"")</f>
        <v/>
      </c>
      <c r="G281" s="1962" t="str">
        <f>IF(ROW() -5&lt;= MAX(Income!$Z$6:$Z$289),INDEX(Income!$E$6:$Z$289,MATCH(ROW()-5,Income!$Z$6:$Z$289,0),4),"")</f>
        <v/>
      </c>
      <c r="H281" s="1962" t="str">
        <f>IF(ROW() -5&lt;= MAX(Income!$Z$6:$Z$289),INDEX(Income!$F$6:$Z$289,MATCH(ROW()-5,Income!$Z$6:$Z$289,0),4),"")</f>
        <v/>
      </c>
      <c r="I281" s="3"/>
      <c r="J281" s="3"/>
      <c r="K281" t="str">
        <f>IF(ROW() -5&lt;= MAX(Income!$Z$6:$Z$289),INDEX(Income!$B$6:$Z$289,MATCH(ROW()-5,Income!$Z$6:$Z$289,0),24),"")</f>
        <v/>
      </c>
    </row>
    <row r="282" spans="1:11" ht="12.75" customHeight="1" x14ac:dyDescent="0.2">
      <c r="A282" s="3"/>
      <c r="B282" s="1962" t="str">
        <f>IF(ROW() -5&lt;= MAX(Income!$Z$6:$Z$289),INDEX(Income!$B$6:$Z$289,MATCH(ROW()-5,Income!$Z$6:$Z$289,0),1),"")</f>
        <v/>
      </c>
      <c r="C282" s="1964" t="str">
        <f>IF(ROW() -5&lt;= MAX(Income!$Z$6:$Z$289),INDEX(Income!$B$6:$Z$289,MATCH(ROW()-5,Income!$Z$6:$Z$289,0),2),"")</f>
        <v/>
      </c>
      <c r="D282" s="1962" t="str">
        <f>IF(ROW() -5&lt;= MAX(Income!$Z$6:$Z$289),INDEX(Income!$B$6:$Z$289,MATCH(ROW()-5,Income!$Z$6:$Z$289,0),4),"")</f>
        <v/>
      </c>
      <c r="E282" s="1962" t="str">
        <f>IF(ROW() -5&lt;= MAX(Income!$Z$6:$Z$289),INDEX(Income!$C$6:$Z$289,MATCH(ROW()-5,Income!$Z$6:$Z$289,0),4),"")</f>
        <v/>
      </c>
      <c r="F282" s="1962" t="str">
        <f>IF(ROW() -5&lt;= MAX(Income!$Z$6:$Z$289),INDEX(Income!$D$6:$Z$289,MATCH(ROW()-5,Income!$Z$6:$Z$289,0),4),"")</f>
        <v/>
      </c>
      <c r="G282" s="1962" t="str">
        <f>IF(ROW() -5&lt;= MAX(Income!$Z$6:$Z$289),INDEX(Income!$E$6:$Z$289,MATCH(ROW()-5,Income!$Z$6:$Z$289,0),4),"")</f>
        <v/>
      </c>
      <c r="H282" s="1962" t="str">
        <f>IF(ROW() -5&lt;= MAX(Income!$Z$6:$Z$289),INDEX(Income!$F$6:$Z$289,MATCH(ROW()-5,Income!$Z$6:$Z$289,0),4),"")</f>
        <v/>
      </c>
      <c r="I282" s="3"/>
      <c r="J282" s="3"/>
      <c r="K282" t="str">
        <f>IF(ROW() -5&lt;= MAX(Income!$Z$6:$Z$289),INDEX(Income!$B$6:$Z$289,MATCH(ROW()-5,Income!$Z$6:$Z$289,0),24),"")</f>
        <v/>
      </c>
    </row>
    <row r="283" spans="1:11" ht="12.75" customHeight="1" x14ac:dyDescent="0.2">
      <c r="A283" s="3"/>
      <c r="B283" s="1962" t="str">
        <f>IF(ROW() -5&lt;= MAX(Income!$Z$6:$Z$289),INDEX(Income!$B$6:$Z$289,MATCH(ROW()-5,Income!$Z$6:$Z$289,0),1),"")</f>
        <v/>
      </c>
      <c r="C283" s="1964" t="str">
        <f>IF(ROW() -5&lt;= MAX(Income!$Z$6:$Z$289),INDEX(Income!$B$6:$Z$289,MATCH(ROW()-5,Income!$Z$6:$Z$289,0),2),"")</f>
        <v/>
      </c>
      <c r="D283" s="1962" t="str">
        <f>IF(ROW() -5&lt;= MAX(Income!$Z$6:$Z$289),INDEX(Income!$B$6:$Z$289,MATCH(ROW()-5,Income!$Z$6:$Z$289,0),4),"")</f>
        <v/>
      </c>
      <c r="E283" s="1962" t="str">
        <f>IF(ROW() -5&lt;= MAX(Income!$Z$6:$Z$289),INDEX(Income!$C$6:$Z$289,MATCH(ROW()-5,Income!$Z$6:$Z$289,0),4),"")</f>
        <v/>
      </c>
      <c r="F283" s="1962" t="str">
        <f>IF(ROW() -5&lt;= MAX(Income!$Z$6:$Z$289),INDEX(Income!$D$6:$Z$289,MATCH(ROW()-5,Income!$Z$6:$Z$289,0),4),"")</f>
        <v/>
      </c>
      <c r="G283" s="1962" t="str">
        <f>IF(ROW() -5&lt;= MAX(Income!$Z$6:$Z$289),INDEX(Income!$E$6:$Z$289,MATCH(ROW()-5,Income!$Z$6:$Z$289,0),4),"")</f>
        <v/>
      </c>
      <c r="H283" s="1962" t="str">
        <f>IF(ROW() -5&lt;= MAX(Income!$Z$6:$Z$289),INDEX(Income!$F$6:$Z$289,MATCH(ROW()-5,Income!$Z$6:$Z$289,0),4),"")</f>
        <v/>
      </c>
      <c r="I283" s="3"/>
      <c r="J283" s="3"/>
      <c r="K283" t="str">
        <f>IF(ROW() -5&lt;= MAX(Income!$Z$6:$Z$289),INDEX(Income!$B$6:$Z$289,MATCH(ROW()-5,Income!$Z$6:$Z$289,0),24),"")</f>
        <v/>
      </c>
    </row>
    <row r="284" spans="1:11" ht="12.75" customHeight="1" x14ac:dyDescent="0.2">
      <c r="A284" s="3"/>
      <c r="B284" s="1962" t="str">
        <f>IF(ROW() -5&lt;= MAX(Income!$Z$6:$Z$289),INDEX(Income!$B$6:$Z$289,MATCH(ROW()-5,Income!$Z$6:$Z$289,0),1),"")</f>
        <v/>
      </c>
      <c r="C284" s="1964" t="str">
        <f>IF(ROW() -5&lt;= MAX(Income!$Z$6:$Z$289),INDEX(Income!$B$6:$Z$289,MATCH(ROW()-5,Income!$Z$6:$Z$289,0),2),"")</f>
        <v/>
      </c>
      <c r="D284" s="1962" t="str">
        <f>IF(ROW() -5&lt;= MAX(Income!$Z$6:$Z$289),INDEX(Income!$B$6:$Z$289,MATCH(ROW()-5,Income!$Z$6:$Z$289,0),4),"")</f>
        <v/>
      </c>
      <c r="E284" s="1962" t="str">
        <f>IF(ROW() -5&lt;= MAX(Income!$Z$6:$Z$289),INDEX(Income!$C$6:$Z$289,MATCH(ROW()-5,Income!$Z$6:$Z$289,0),4),"")</f>
        <v/>
      </c>
      <c r="F284" s="1962" t="str">
        <f>IF(ROW() -5&lt;= MAX(Income!$Z$6:$Z$289),INDEX(Income!$D$6:$Z$289,MATCH(ROW()-5,Income!$Z$6:$Z$289,0),4),"")</f>
        <v/>
      </c>
      <c r="G284" s="1962" t="str">
        <f>IF(ROW() -5&lt;= MAX(Income!$Z$6:$Z$289),INDEX(Income!$E$6:$Z$289,MATCH(ROW()-5,Income!$Z$6:$Z$289,0),4),"")</f>
        <v/>
      </c>
      <c r="H284" s="1962" t="str">
        <f>IF(ROW() -5&lt;= MAX(Income!$Z$6:$Z$289),INDEX(Income!$F$6:$Z$289,MATCH(ROW()-5,Income!$Z$6:$Z$289,0),4),"")</f>
        <v/>
      </c>
      <c r="I284" s="3"/>
      <c r="J284" s="3"/>
      <c r="K284" t="str">
        <f>IF(ROW() -5&lt;= MAX(Income!$Z$6:$Z$289),INDEX(Income!$B$6:$Z$289,MATCH(ROW()-5,Income!$Z$6:$Z$289,0),24),"")</f>
        <v/>
      </c>
    </row>
    <row r="285" spans="1:11" ht="12.75" customHeight="1" x14ac:dyDescent="0.2">
      <c r="A285" s="3"/>
      <c r="B285" s="1962" t="str">
        <f>IF(ROW() -5&lt;= MAX(Income!$Z$6:$Z$289),INDEX(Income!$B$6:$Z$289,MATCH(ROW()-5,Income!$Z$6:$Z$289,0),1),"")</f>
        <v/>
      </c>
      <c r="C285" s="1964" t="str">
        <f>IF(ROW() -5&lt;= MAX(Income!$Z$6:$Z$289),INDEX(Income!$B$6:$Z$289,MATCH(ROW()-5,Income!$Z$6:$Z$289,0),2),"")</f>
        <v/>
      </c>
      <c r="D285" s="1962" t="str">
        <f>IF(ROW() -5&lt;= MAX(Income!$Z$6:$Z$289),INDEX(Income!$B$6:$Z$289,MATCH(ROW()-5,Income!$Z$6:$Z$289,0),4),"")</f>
        <v/>
      </c>
      <c r="E285" s="1962" t="str">
        <f>IF(ROW() -5&lt;= MAX(Income!$Z$6:$Z$289),INDEX(Income!$C$6:$Z$289,MATCH(ROW()-5,Income!$Z$6:$Z$289,0),4),"")</f>
        <v/>
      </c>
      <c r="F285" s="1962" t="str">
        <f>IF(ROW() -5&lt;= MAX(Income!$Z$6:$Z$289),INDEX(Income!$D$6:$Z$289,MATCH(ROW()-5,Income!$Z$6:$Z$289,0),4),"")</f>
        <v/>
      </c>
      <c r="G285" s="1962" t="str">
        <f>IF(ROW() -5&lt;= MAX(Income!$Z$6:$Z$289),INDEX(Income!$E$6:$Z$289,MATCH(ROW()-5,Income!$Z$6:$Z$289,0),4),"")</f>
        <v/>
      </c>
      <c r="H285" s="1962" t="str">
        <f>IF(ROW() -5&lt;= MAX(Income!$Z$6:$Z$289),INDEX(Income!$F$6:$Z$289,MATCH(ROW()-5,Income!$Z$6:$Z$289,0),4),"")</f>
        <v/>
      </c>
      <c r="I285" s="3"/>
      <c r="J285" s="3"/>
      <c r="K285" t="str">
        <f>IF(ROW() -5&lt;= MAX(Income!$Z$6:$Z$289),INDEX(Income!$B$6:$Z$289,MATCH(ROW()-5,Income!$Z$6:$Z$289,0),24),"")</f>
        <v/>
      </c>
    </row>
    <row r="286" spans="1:11" ht="12.75" customHeight="1" x14ac:dyDescent="0.2">
      <c r="A286" s="3"/>
      <c r="B286" s="1962" t="str">
        <f>IF(ROW() -5&lt;= MAX(Income!$Z$6:$Z$289),INDEX(Income!$B$6:$Z$289,MATCH(ROW()-5,Income!$Z$6:$Z$289,0),1),"")</f>
        <v/>
      </c>
      <c r="C286" s="1964" t="str">
        <f>IF(ROW() -5&lt;= MAX(Income!$Z$6:$Z$289),INDEX(Income!$B$6:$Z$289,MATCH(ROW()-5,Income!$Z$6:$Z$289,0),2),"")</f>
        <v/>
      </c>
      <c r="D286" s="1962" t="str">
        <f>IF(ROW() -5&lt;= MAX(Income!$Z$6:$Z$289),INDEX(Income!$B$6:$Z$289,MATCH(ROW()-5,Income!$Z$6:$Z$289,0),4),"")</f>
        <v/>
      </c>
      <c r="E286" s="1962" t="str">
        <f>IF(ROW() -5&lt;= MAX(Income!$Z$6:$Z$289),INDEX(Income!$C$6:$Z$289,MATCH(ROW()-5,Income!$Z$6:$Z$289,0),4),"")</f>
        <v/>
      </c>
      <c r="F286" s="1962" t="str">
        <f>IF(ROW() -5&lt;= MAX(Income!$Z$6:$Z$289),INDEX(Income!$D$6:$Z$289,MATCH(ROW()-5,Income!$Z$6:$Z$289,0),4),"")</f>
        <v/>
      </c>
      <c r="G286" s="1962" t="str">
        <f>IF(ROW() -5&lt;= MAX(Income!$Z$6:$Z$289),INDEX(Income!$E$6:$Z$289,MATCH(ROW()-5,Income!$Z$6:$Z$289,0),4),"")</f>
        <v/>
      </c>
      <c r="H286" s="1962" t="str">
        <f>IF(ROW() -5&lt;= MAX(Income!$Z$6:$Z$289),INDEX(Income!$F$6:$Z$289,MATCH(ROW()-5,Income!$Z$6:$Z$289,0),4),"")</f>
        <v/>
      </c>
      <c r="I286" s="3"/>
      <c r="J286" s="3"/>
      <c r="K286" t="str">
        <f>IF(ROW() -5&lt;= MAX(Income!$Z$6:$Z$289),INDEX(Income!$B$6:$Z$289,MATCH(ROW()-5,Income!$Z$6:$Z$289,0),24),"")</f>
        <v/>
      </c>
    </row>
    <row r="287" spans="1:11" ht="12.75" customHeight="1" x14ac:dyDescent="0.2">
      <c r="A287" s="3"/>
      <c r="B287" s="1962" t="str">
        <f>IF(ROW() -5&lt;= MAX(Income!$Z$6:$Z$289),INDEX(Income!$B$6:$Z$289,MATCH(ROW()-5,Income!$Z$6:$Z$289,0),1),"")</f>
        <v/>
      </c>
      <c r="C287" s="1964" t="str">
        <f>IF(ROW() -5&lt;= MAX(Income!$Z$6:$Z$289),INDEX(Income!$B$6:$Z$289,MATCH(ROW()-5,Income!$Z$6:$Z$289,0),2),"")</f>
        <v/>
      </c>
      <c r="D287" s="1962" t="str">
        <f>IF(ROW() -5&lt;= MAX(Income!$Z$6:$Z$289),INDEX(Income!$B$6:$Z$289,MATCH(ROW()-5,Income!$Z$6:$Z$289,0),4),"")</f>
        <v/>
      </c>
      <c r="E287" s="1962" t="str">
        <f>IF(ROW() -5&lt;= MAX(Income!$Z$6:$Z$289),INDEX(Income!$C$6:$Z$289,MATCH(ROW()-5,Income!$Z$6:$Z$289,0),4),"")</f>
        <v/>
      </c>
      <c r="F287" s="1962" t="str">
        <f>IF(ROW() -5&lt;= MAX(Income!$Z$6:$Z$289),INDEX(Income!$D$6:$Z$289,MATCH(ROW()-5,Income!$Z$6:$Z$289,0),4),"")</f>
        <v/>
      </c>
      <c r="G287" s="1962" t="str">
        <f>IF(ROW() -5&lt;= MAX(Income!$Z$6:$Z$289),INDEX(Income!$E$6:$Z$289,MATCH(ROW()-5,Income!$Z$6:$Z$289,0),4),"")</f>
        <v/>
      </c>
      <c r="H287" s="1962" t="str">
        <f>IF(ROW() -5&lt;= MAX(Income!$Z$6:$Z$289),INDEX(Income!$F$6:$Z$289,MATCH(ROW()-5,Income!$Z$6:$Z$289,0),4),"")</f>
        <v/>
      </c>
      <c r="I287" s="3"/>
      <c r="J287" s="3"/>
      <c r="K287" t="str">
        <f>IF(ROW() -5&lt;= MAX(Income!$Z$6:$Z$289),INDEX(Income!$B$6:$Z$289,MATCH(ROW()-5,Income!$Z$6:$Z$289,0),24),"")</f>
        <v/>
      </c>
    </row>
    <row r="288" spans="1:11" ht="12.75" customHeight="1" x14ac:dyDescent="0.2">
      <c r="A288" s="3"/>
      <c r="B288" s="1962" t="str">
        <f>IF(ROW() -5&lt;= MAX(Income!$Z$6:$Z$289),INDEX(Income!$B$6:$Z$289,MATCH(ROW()-5,Income!$Z$6:$Z$289,0),1),"")</f>
        <v/>
      </c>
      <c r="C288" s="1964" t="str">
        <f>IF(ROW() -5&lt;= MAX(Income!$Z$6:$Z$289),INDEX(Income!$B$6:$Z$289,MATCH(ROW()-5,Income!$Z$6:$Z$289,0),2),"")</f>
        <v/>
      </c>
      <c r="D288" s="1962" t="str">
        <f>IF(ROW() -5&lt;= MAX(Income!$Z$6:$Z$289),INDEX(Income!$B$6:$Z$289,MATCH(ROW()-5,Income!$Z$6:$Z$289,0),4),"")</f>
        <v/>
      </c>
      <c r="E288" s="1962" t="str">
        <f>IF(ROW() -5&lt;= MAX(Income!$Z$6:$Z$289),INDEX(Income!$C$6:$Z$289,MATCH(ROW()-5,Income!$Z$6:$Z$289,0),4),"")</f>
        <v/>
      </c>
      <c r="F288" s="1962" t="str">
        <f>IF(ROW() -5&lt;= MAX(Income!$Z$6:$Z$289),INDEX(Income!$D$6:$Z$289,MATCH(ROW()-5,Income!$Z$6:$Z$289,0),4),"")</f>
        <v/>
      </c>
      <c r="G288" s="1962" t="str">
        <f>IF(ROW() -5&lt;= MAX(Income!$Z$6:$Z$289),INDEX(Income!$E$6:$Z$289,MATCH(ROW()-5,Income!$Z$6:$Z$289,0),4),"")</f>
        <v/>
      </c>
      <c r="H288" s="1962" t="str">
        <f>IF(ROW() -5&lt;= MAX(Income!$Z$6:$Z$289),INDEX(Income!$F$6:$Z$289,MATCH(ROW()-5,Income!$Z$6:$Z$289,0),4),"")</f>
        <v/>
      </c>
      <c r="I288" s="3"/>
      <c r="J288" s="3"/>
      <c r="K288" t="str">
        <f>IF(ROW() -5&lt;= MAX(Income!$Z$6:$Z$289),INDEX(Income!$B$6:$Z$289,MATCH(ROW()-5,Income!$Z$6:$Z$289,0),24),"")</f>
        <v/>
      </c>
    </row>
    <row r="289" spans="1:10" ht="12.75" customHeight="1" x14ac:dyDescent="0.2">
      <c r="A289" s="3"/>
      <c r="B289" s="3"/>
      <c r="C289" s="2"/>
      <c r="D289" s="3"/>
      <c r="E289" s="3"/>
      <c r="F289" s="3"/>
      <c r="G289" s="3"/>
      <c r="H289" s="3"/>
      <c r="I289" s="3"/>
      <c r="J289" s="3"/>
    </row>
    <row r="290" spans="1:10" ht="12.75" customHeight="1" x14ac:dyDescent="0.2">
      <c r="A290" s="3"/>
      <c r="B290" s="3"/>
      <c r="C290" s="2"/>
      <c r="D290" s="3"/>
      <c r="E290" s="3"/>
      <c r="F290" s="3"/>
      <c r="G290" s="3"/>
      <c r="H290" s="3"/>
      <c r="I290" s="3"/>
      <c r="J290" s="3"/>
    </row>
    <row r="291" spans="1:10" ht="12.75" customHeight="1" x14ac:dyDescent="0.2">
      <c r="A291" s="3"/>
      <c r="B291" s="3"/>
      <c r="C291" s="2"/>
      <c r="D291" s="3"/>
      <c r="E291" s="3"/>
      <c r="F291" s="3"/>
      <c r="G291" s="3"/>
      <c r="H291" s="3"/>
      <c r="I291" s="3"/>
      <c r="J291" s="3"/>
    </row>
  </sheetData>
  <sheetProtection algorithmName="SHA-512" hashValue="leGvOqWpuERzcc7SkJQC8khEI1dAxodIKeuN59Q7K4Cq5/0QrjG21vUqnYjpJlkruaO+pCQLu1ZZgbYHymp85g==" saltValue="4RybKeGPULPDZyGrxdCNpw==" spinCount="100000" sheet="1" objects="1" scenarios="1"/>
  <mergeCells count="14">
    <mergeCell ref="E6:E7"/>
    <mergeCell ref="F6:F7"/>
    <mergeCell ref="G6:G7"/>
    <mergeCell ref="H6:H7"/>
    <mergeCell ref="E8:E9"/>
    <mergeCell ref="F8:F9"/>
    <mergeCell ref="G8:G9"/>
    <mergeCell ref="H8:H9"/>
    <mergeCell ref="B6:B7"/>
    <mergeCell ref="C6:C7"/>
    <mergeCell ref="D6:D7"/>
    <mergeCell ref="B8:B9"/>
    <mergeCell ref="C8:C9"/>
    <mergeCell ref="D8:D9"/>
  </mergeCells>
  <conditionalFormatting sqref="B5:C5">
    <cfRule type="expression" dxfId="930" priority="7">
      <formula>$K5</formula>
    </cfRule>
  </conditionalFormatting>
  <conditionalFormatting sqref="B6:H288">
    <cfRule type="expression" dxfId="929" priority="13">
      <formula>$K6</formula>
    </cfRule>
  </conditionalFormatting>
  <conditionalFormatting sqref="D6:D288">
    <cfRule type="expression" dxfId="928" priority="6">
      <formula>$L$1</formula>
    </cfRule>
  </conditionalFormatting>
  <conditionalFormatting sqref="E6:E288">
    <cfRule type="expression" dxfId="927" priority="4">
      <formula>$M$1</formula>
    </cfRule>
  </conditionalFormatting>
  <conditionalFormatting sqref="F6:F288">
    <cfRule type="expression" dxfId="926" priority="5">
      <formula>$N$1</formula>
    </cfRule>
  </conditionalFormatting>
  <conditionalFormatting sqref="G6:G288">
    <cfRule type="expression" dxfId="925" priority="2">
      <formula>$O$1</formula>
    </cfRule>
  </conditionalFormatting>
  <conditionalFormatting sqref="H6:H288">
    <cfRule type="expression" dxfId="924" priority="1">
      <formula>$P$1</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1:K100"/>
  <sheetViews>
    <sheetView showGridLines="0" zoomScaleNormal="100" workbookViewId="0">
      <selection activeCell="C60" sqref="C60"/>
    </sheetView>
  </sheetViews>
  <sheetFormatPr defaultColWidth="0" defaultRowHeight="0" customHeight="1" zeroHeight="1" x14ac:dyDescent="0.2"/>
  <cols>
    <col min="1" max="1" width="1.7109375" style="28" customWidth="1"/>
    <col min="2" max="2" width="15.28515625" style="28" customWidth="1"/>
    <col min="3" max="3" width="18.5703125" style="28" customWidth="1"/>
    <col min="4" max="4" width="17" style="28" customWidth="1"/>
    <col min="5" max="5" width="21" style="28" customWidth="1"/>
    <col min="6" max="6" width="11.7109375" style="28" customWidth="1"/>
    <col min="7" max="7" width="12.42578125" style="28" customWidth="1"/>
    <col min="8" max="8" width="9.7109375" style="28" bestFit="1" customWidth="1"/>
    <col min="9" max="9" width="9.28515625" style="3112" hidden="1" customWidth="1"/>
    <col min="10" max="11" width="9.28515625" style="1871" hidden="1" customWidth="1"/>
    <col min="12" max="16384" width="9.28515625" style="28" hidden="1"/>
  </cols>
  <sheetData>
    <row r="1" spans="1:11" ht="12.75" x14ac:dyDescent="0.2">
      <c r="A1" s="3"/>
      <c r="B1" s="4408" t="str">
        <f>_ref1</f>
      </c>
      <c r="C1" s="4408"/>
      <c r="D1" s="4408"/>
      <c r="E1" s="4408"/>
      <c r="F1" s="4408"/>
      <c r="G1" s="328" t="str">
        <f>_YA1</f>
      </c>
      <c r="H1" s="3"/>
    </row>
    <row r="2" spans="1:11" ht="14.25" x14ac:dyDescent="0.2">
      <c r="A2" s="3"/>
      <c r="B2" s="4409" t="s">
        <v>3454</v>
      </c>
      <c r="C2" s="4409"/>
      <c r="D2" s="4409"/>
      <c r="E2" s="4409"/>
      <c r="F2" s="4409"/>
      <c r="G2" s="4409"/>
      <c r="H2" s="3"/>
    </row>
    <row r="3" spans="1:11" ht="15" hidden="1" customHeight="1" x14ac:dyDescent="0.2">
      <c r="B3" s="3109" t="s">
        <v>829</v>
      </c>
      <c r="C3" s="3110"/>
      <c r="D3" s="3110"/>
      <c r="E3" s="3110"/>
      <c r="F3" s="3110"/>
      <c r="G3" s="3113" t="s">
        <v>4457</v>
      </c>
      <c r="H3" s="30"/>
      <c r="I3" s="3112">
        <f>IF(H3="",0,1)</f>
      </c>
      <c r="J3" s="1871">
        <f>IF(G3=B65,1,0)</f>
      </c>
    </row>
    <row r="4" spans="1:11" customFormat="1" ht="15" hidden="1" customHeight="1" x14ac:dyDescent="0.2">
      <c r="B4" t="s">
        <v>3618</v>
      </c>
      <c r="G4" t="s">
        <v>1736</v>
      </c>
      <c r="I4" s="3112">
        <f>IF(H4="",0,1)</f>
      </c>
      <c r="J4" s="1871">
        <f>IF(G4=B65,1,0)</f>
      </c>
      <c r="K4" s="1871">
        <f>SUM(J3:J4)</f>
      </c>
    </row>
    <row r="5" spans="1:11" customFormat="1" ht="15" hidden="1" customHeight="1" x14ac:dyDescent="0.2">
      <c r="B5" t="s">
        <v>6297</v>
      </c>
      <c r="I5" s="3112">
        <f>IF(H5="",0,1)</f>
      </c>
      <c r="J5" s="1871">
        <f>IF(ISBLANK(G5),0,1)</f>
      </c>
      <c r="K5" s="1871"/>
    </row>
    <row r="6" spans="1:11" ht="4.5" customHeight="1" x14ac:dyDescent="0.2">
      <c r="A6" s="3"/>
      <c r="B6" s="3"/>
      <c r="C6" s="3"/>
      <c r="D6" s="3"/>
      <c r="E6" s="3"/>
      <c r="F6" s="3"/>
      <c r="G6" s="3"/>
      <c r="H6" s="3"/>
      <c r="J6" s="1871">
        <f>SUM(J3:J5)</f>
      </c>
      <c r="K6" s="1871">
        <f>COUNTA(B10:G20,B23:G37,F42,F51)</f>
      </c>
    </row>
    <row r="7" spans="1:11" ht="16.5" hidden="1" customHeight="1" x14ac:dyDescent="0.2">
      <c r="B7" s="3114" t="s">
        <v>1510</v>
      </c>
      <c r="C7" s="1895"/>
      <c r="D7" s="1895"/>
      <c r="E7" s="1895"/>
      <c r="F7" s="1895"/>
      <c r="G7" s="3111"/>
    </row>
    <row r="8" spans="1:11" ht="12.75" x14ac:dyDescent="0.2">
      <c r="A8" s="3"/>
      <c r="B8" s="4410" t="s">
        <v>4548</v>
      </c>
      <c r="C8" s="4411"/>
      <c r="D8" s="4411"/>
      <c r="E8" s="4411"/>
      <c r="F8" s="4412"/>
      <c r="G8" s="335" t="s">
        <v>4693</v>
      </c>
      <c r="H8" s="3"/>
    </row>
    <row r="9" spans="1:11" ht="12.75" x14ac:dyDescent="0.2">
      <c r="A9" s="3"/>
      <c r="B9" s="4413" t="s">
        <v>5</v>
      </c>
      <c r="C9" s="4414"/>
      <c r="D9" s="4414"/>
      <c r="E9" s="4414"/>
      <c r="F9" s="4415"/>
      <c r="G9" s="337"/>
      <c r="H9" s="3"/>
    </row>
    <row r="10" spans="1:11" ht="12.75" x14ac:dyDescent="0.2">
      <c r="A10" s="3"/>
      <c r="B10" s="4407"/>
      <c r="C10" s="4407"/>
      <c r="D10" s="4407"/>
      <c r="E10" s="4407"/>
      <c r="F10" s="4407"/>
      <c r="G10" s="338"/>
      <c r="H10" s="61" t="str">
        <f>IF(J10=0,"",IF(J10=2,"","All details!"))</f>
        <v/>
      </c>
      <c r="I10" s="3112">
        <f t="shared" ref="I10:I37" si="0">IF(H10="",0,1)</f>
      </c>
      <c r="J10" s="1871">
        <f>COUNTA(B10,G10)</f>
      </c>
    </row>
    <row r="11" spans="1:11" ht="12.75" x14ac:dyDescent="0.2">
      <c r="A11" s="3"/>
      <c r="B11" s="4407"/>
      <c r="C11" s="4407"/>
      <c r="D11" s="4407"/>
      <c r="E11" s="4407"/>
      <c r="F11" s="4407"/>
      <c r="G11" s="339"/>
      <c r="H11" s="61" t="str">
        <f t="shared" ref="H11:H36" si="1">IF(J11=0,"",IF(J11=2,"","All details!"))</f>
        <v/>
      </c>
      <c r="I11" s="3112">
        <f t="shared" si="0"/>
        <v>0</v>
      </c>
      <c r="J11" s="1871">
        <f t="shared" ref="J11:J36" si="2">COUNTA(B11,G11)</f>
      </c>
    </row>
    <row r="12" spans="1:11" ht="12.75" x14ac:dyDescent="0.2">
      <c r="A12" s="3"/>
      <c r="B12" s="4407"/>
      <c r="C12" s="4407"/>
      <c r="D12" s="4407"/>
      <c r="E12" s="4407"/>
      <c r="F12" s="4407"/>
      <c r="G12" s="339"/>
      <c r="H12" s="61" t="str">
        <f t="shared" si="1"/>
        <v/>
      </c>
      <c r="I12" s="3112">
        <f t="shared" si="0"/>
        <v>0</v>
      </c>
      <c r="J12" s="1871">
        <f t="shared" si="2"/>
        <v>0</v>
      </c>
    </row>
    <row r="13" spans="1:11" ht="12.75" x14ac:dyDescent="0.2">
      <c r="A13" s="3"/>
      <c r="B13" s="4407"/>
      <c r="C13" s="4407"/>
      <c r="D13" s="4407"/>
      <c r="E13" s="4407"/>
      <c r="F13" s="4407"/>
      <c r="G13" s="339"/>
      <c r="H13" s="61" t="str">
        <f t="shared" si="1"/>
        <v/>
      </c>
      <c r="I13" s="3112">
        <f t="shared" si="0"/>
        <v>0</v>
      </c>
      <c r="J13" s="1871">
        <f t="shared" si="2"/>
        <v>0</v>
      </c>
    </row>
    <row r="14" spans="1:11" ht="12.75" x14ac:dyDescent="0.2">
      <c r="A14" s="3"/>
      <c r="B14" s="4407"/>
      <c r="C14" s="4407"/>
      <c r="D14" s="4407"/>
      <c r="E14" s="4407"/>
      <c r="F14" s="4407"/>
      <c r="G14" s="339"/>
      <c r="H14" s="61" t="str">
        <f t="shared" si="1"/>
        <v/>
      </c>
      <c r="I14" s="3112">
        <f t="shared" si="0"/>
        <v>0</v>
      </c>
      <c r="J14" s="1871">
        <f t="shared" si="2"/>
        <v>0</v>
      </c>
    </row>
    <row r="15" spans="1:11" ht="12.75" x14ac:dyDescent="0.2">
      <c r="A15" s="3"/>
      <c r="B15" s="4407"/>
      <c r="C15" s="4407"/>
      <c r="D15" s="4407"/>
      <c r="E15" s="4407"/>
      <c r="F15" s="4407"/>
      <c r="G15" s="339"/>
      <c r="H15" s="61" t="str">
        <f t="shared" si="1"/>
        <v/>
      </c>
      <c r="I15" s="3112">
        <f t="shared" si="0"/>
        <v>0</v>
      </c>
      <c r="J15" s="1871">
        <f t="shared" si="2"/>
        <v>0</v>
      </c>
    </row>
    <row r="16" spans="1:11" ht="12.75" x14ac:dyDescent="0.2">
      <c r="A16" s="3"/>
      <c r="B16" s="4407"/>
      <c r="C16" s="4407"/>
      <c r="D16" s="4407"/>
      <c r="E16" s="4407"/>
      <c r="F16" s="4407"/>
      <c r="G16" s="339"/>
      <c r="H16" s="61" t="str">
        <f t="shared" si="1"/>
        <v/>
      </c>
      <c r="I16" s="3112">
        <f t="shared" si="0"/>
        <v>0</v>
      </c>
      <c r="J16" s="1871">
        <f t="shared" si="2"/>
        <v>0</v>
      </c>
    </row>
    <row r="17" spans="1:10" ht="12.75" x14ac:dyDescent="0.2">
      <c r="A17" s="3"/>
      <c r="B17" s="4407"/>
      <c r="C17" s="4407"/>
      <c r="D17" s="4407"/>
      <c r="E17" s="4407"/>
      <c r="F17" s="4407"/>
      <c r="G17" s="339"/>
      <c r="H17" s="61" t="str">
        <f t="shared" si="1"/>
        <v/>
      </c>
      <c r="I17" s="3112">
        <f t="shared" si="0"/>
        <v>0</v>
      </c>
      <c r="J17" s="1871">
        <f t="shared" si="2"/>
        <v>0</v>
      </c>
    </row>
    <row r="18" spans="1:10" ht="12.75" x14ac:dyDescent="0.2">
      <c r="A18" s="3"/>
      <c r="B18" s="4407"/>
      <c r="C18" s="4407"/>
      <c r="D18" s="4407"/>
      <c r="E18" s="4407"/>
      <c r="F18" s="4407"/>
      <c r="G18" s="339"/>
      <c r="H18" s="61" t="str">
        <f t="shared" si="1"/>
        <v/>
      </c>
      <c r="I18" s="3112">
        <f t="shared" si="0"/>
        <v>0</v>
      </c>
      <c r="J18" s="1871">
        <f t="shared" si="2"/>
        <v>0</v>
      </c>
    </row>
    <row r="19" spans="1:10" ht="12.75" x14ac:dyDescent="0.2">
      <c r="A19" s="3"/>
      <c r="B19" s="4407"/>
      <c r="C19" s="4407"/>
      <c r="D19" s="4407"/>
      <c r="E19" s="4407"/>
      <c r="F19" s="4407"/>
      <c r="G19" s="339"/>
      <c r="H19" s="61" t="str">
        <f t="shared" si="1"/>
        <v/>
      </c>
      <c r="I19" s="3112">
        <f t="shared" si="0"/>
        <v>0</v>
      </c>
      <c r="J19" s="1871">
        <f t="shared" si="2"/>
        <v>0</v>
      </c>
    </row>
    <row r="20" spans="1:10" ht="12.75" x14ac:dyDescent="0.2">
      <c r="A20" s="3"/>
      <c r="B20" s="4407"/>
      <c r="C20" s="4407"/>
      <c r="D20" s="4407"/>
      <c r="E20" s="4407"/>
      <c r="F20" s="4407"/>
      <c r="G20" s="339"/>
      <c r="H20" s="61" t="str">
        <f t="shared" si="1"/>
        <v/>
      </c>
      <c r="I20" s="3112">
        <f t="shared" si="0"/>
        <v>0</v>
      </c>
      <c r="J20" s="1871">
        <f t="shared" si="2"/>
        <v>0</v>
      </c>
    </row>
    <row r="21" spans="1:10" ht="12.75" x14ac:dyDescent="0.2">
      <c r="A21" s="3"/>
      <c r="B21" s="4416" t="s">
        <v>6289</v>
      </c>
      <c r="C21" s="4416"/>
      <c r="D21" s="4416"/>
      <c r="E21" s="4416"/>
      <c r="F21" s="4416"/>
      <c r="G21" s="340">
        <f>SUM(G10:G20)</f>
      </c>
      <c r="H21" s="61"/>
    </row>
    <row r="22" spans="1:10" ht="12.75" x14ac:dyDescent="0.2">
      <c r="A22" s="3"/>
      <c r="B22" s="4413" t="s">
        <v>1885</v>
      </c>
      <c r="C22" s="4414"/>
      <c r="D22" s="4414"/>
      <c r="E22" s="4414"/>
      <c r="F22" s="4415"/>
      <c r="G22" s="341"/>
      <c r="H22" s="61"/>
    </row>
    <row r="23" spans="1:10" ht="12.75" x14ac:dyDescent="0.2">
      <c r="A23" s="3"/>
      <c r="B23" s="4407"/>
      <c r="C23" s="4407"/>
      <c r="D23" s="4407"/>
      <c r="E23" s="4407"/>
      <c r="F23" s="4407"/>
      <c r="G23" s="339"/>
      <c r="H23" s="61" t="str">
        <f t="shared" si="1"/>
        <v/>
      </c>
      <c r="I23" s="3112">
        <f t="shared" si="0"/>
        <v>0</v>
      </c>
      <c r="J23" s="1871">
        <f t="shared" si="2"/>
        <v>0</v>
      </c>
    </row>
    <row r="24" spans="1:10" ht="12.75" x14ac:dyDescent="0.2">
      <c r="A24" s="3"/>
      <c r="B24" s="4407"/>
      <c r="C24" s="4407"/>
      <c r="D24" s="4407"/>
      <c r="E24" s="4407"/>
      <c r="F24" s="4407"/>
      <c r="G24" s="339"/>
      <c r="H24" s="61" t="str">
        <f t="shared" si="1"/>
        <v/>
      </c>
      <c r="I24" s="3112">
        <f t="shared" si="0"/>
        <v>0</v>
      </c>
      <c r="J24" s="1871">
        <f t="shared" si="2"/>
        <v>0</v>
      </c>
    </row>
    <row r="25" spans="1:10" ht="12.75" x14ac:dyDescent="0.2">
      <c r="A25" s="3"/>
      <c r="B25" s="4407"/>
      <c r="C25" s="4407"/>
      <c r="D25" s="4407"/>
      <c r="E25" s="4407"/>
      <c r="F25" s="4407"/>
      <c r="G25" s="339"/>
      <c r="H25" s="61" t="str">
        <f t="shared" si="1"/>
        <v/>
      </c>
      <c r="I25" s="3112">
        <f t="shared" si="0"/>
        <v>0</v>
      </c>
      <c r="J25" s="1871">
        <f t="shared" si="2"/>
        <v>0</v>
      </c>
    </row>
    <row r="26" spans="1:10" ht="12.75" x14ac:dyDescent="0.2">
      <c r="A26" s="3"/>
      <c r="B26" s="4407"/>
      <c r="C26" s="4407"/>
      <c r="D26" s="4407"/>
      <c r="E26" s="4407"/>
      <c r="F26" s="4407"/>
      <c r="G26" s="339"/>
      <c r="H26" s="61" t="str">
        <f t="shared" si="1"/>
        <v/>
      </c>
      <c r="I26" s="3112">
        <f t="shared" si="0"/>
        <v>0</v>
      </c>
      <c r="J26" s="1871">
        <f t="shared" si="2"/>
        <v>0</v>
      </c>
    </row>
    <row r="27" spans="1:10" ht="12.75" x14ac:dyDescent="0.2">
      <c r="A27" s="3"/>
      <c r="B27" s="4407"/>
      <c r="C27" s="4407"/>
      <c r="D27" s="4407"/>
      <c r="E27" s="4407"/>
      <c r="F27" s="4407"/>
      <c r="G27" s="339"/>
      <c r="H27" s="61" t="str">
        <f t="shared" si="1"/>
        <v/>
      </c>
      <c r="I27" s="3112">
        <f t="shared" si="0"/>
        <v>0</v>
      </c>
      <c r="J27" s="1871">
        <f t="shared" si="2"/>
        <v>0</v>
      </c>
    </row>
    <row r="28" spans="1:10" ht="12.75" x14ac:dyDescent="0.2">
      <c r="A28" s="3"/>
      <c r="B28" s="4407"/>
      <c r="C28" s="4407"/>
      <c r="D28" s="4407"/>
      <c r="E28" s="4407"/>
      <c r="F28" s="4407"/>
      <c r="G28" s="339"/>
      <c r="H28" s="61" t="str">
        <f t="shared" si="1"/>
        <v/>
      </c>
      <c r="I28" s="3112">
        <f t="shared" si="0"/>
        <v>0</v>
      </c>
      <c r="J28" s="1871">
        <f t="shared" si="2"/>
        <v>0</v>
      </c>
    </row>
    <row r="29" spans="1:10" ht="12.75" x14ac:dyDescent="0.2">
      <c r="A29" s="3"/>
      <c r="B29" s="4407"/>
      <c r="C29" s="4407"/>
      <c r="D29" s="4407"/>
      <c r="E29" s="4407"/>
      <c r="F29" s="4407"/>
      <c r="G29" s="339"/>
      <c r="H29" s="61" t="str">
        <f t="shared" si="1"/>
        <v/>
      </c>
      <c r="I29" s="3112">
        <f t="shared" si="0"/>
        <v>0</v>
      </c>
      <c r="J29" s="1871">
        <f t="shared" si="2"/>
        <v>0</v>
      </c>
    </row>
    <row r="30" spans="1:10" ht="12.75" x14ac:dyDescent="0.2">
      <c r="A30" s="3"/>
      <c r="B30" s="4407"/>
      <c r="C30" s="4407"/>
      <c r="D30" s="4407"/>
      <c r="E30" s="4407"/>
      <c r="F30" s="4407"/>
      <c r="G30" s="339"/>
      <c r="H30" s="61" t="str">
        <f t="shared" si="1"/>
        <v/>
      </c>
      <c r="I30" s="3112">
        <f t="shared" si="0"/>
        <v>0</v>
      </c>
      <c r="J30" s="1871">
        <f t="shared" si="2"/>
        <v>0</v>
      </c>
    </row>
    <row r="31" spans="1:10" ht="12.75" x14ac:dyDescent="0.2">
      <c r="A31" s="3"/>
      <c r="B31" s="4407"/>
      <c r="C31" s="4407"/>
      <c r="D31" s="4407"/>
      <c r="E31" s="4407"/>
      <c r="F31" s="4407"/>
      <c r="G31" s="339"/>
      <c r="H31" s="61" t="str">
        <f t="shared" si="1"/>
        <v/>
      </c>
      <c r="I31" s="3112">
        <f t="shared" si="0"/>
        <v>0</v>
      </c>
      <c r="J31" s="1871">
        <f t="shared" si="2"/>
        <v>0</v>
      </c>
    </row>
    <row r="32" spans="1:10" ht="12.75" x14ac:dyDescent="0.2">
      <c r="A32" s="3"/>
      <c r="B32" s="4407"/>
      <c r="C32" s="4407"/>
      <c r="D32" s="4407"/>
      <c r="E32" s="4407"/>
      <c r="F32" s="4407"/>
      <c r="G32" s="339"/>
      <c r="H32" s="222" t="str">
        <f t="shared" si="1"/>
        <v/>
      </c>
      <c r="I32" s="3112">
        <f t="shared" si="0"/>
        <v>0</v>
      </c>
      <c r="J32" s="1871">
        <f t="shared" si="2"/>
        <v>0</v>
      </c>
    </row>
    <row r="33" spans="1:11" ht="12.75" x14ac:dyDescent="0.2">
      <c r="A33" s="3"/>
      <c r="B33" s="4407"/>
      <c r="C33" s="4407"/>
      <c r="D33" s="4407"/>
      <c r="E33" s="4407"/>
      <c r="F33" s="4407"/>
      <c r="G33" s="339"/>
      <c r="H33" s="61" t="str">
        <f t="shared" si="1"/>
        <v/>
      </c>
      <c r="I33" s="3112">
        <f t="shared" si="0"/>
        <v>0</v>
      </c>
      <c r="J33" s="1871">
        <f t="shared" si="2"/>
        <v>0</v>
      </c>
    </row>
    <row r="34" spans="1:11" ht="12.75" x14ac:dyDescent="0.2">
      <c r="A34" s="3"/>
      <c r="B34" s="4407"/>
      <c r="C34" s="4407"/>
      <c r="D34" s="4407"/>
      <c r="E34" s="4407"/>
      <c r="F34" s="4407"/>
      <c r="G34" s="339"/>
      <c r="H34" s="61" t="str">
        <f t="shared" si="1"/>
        <v/>
      </c>
      <c r="I34" s="3112">
        <f t="shared" si="0"/>
        <v>0</v>
      </c>
      <c r="J34" s="1871">
        <f t="shared" si="2"/>
        <v>0</v>
      </c>
    </row>
    <row r="35" spans="1:11" ht="12.75" x14ac:dyDescent="0.2">
      <c r="A35" s="3"/>
      <c r="B35" s="4407"/>
      <c r="C35" s="4407"/>
      <c r="D35" s="4407"/>
      <c r="E35" s="4407"/>
      <c r="F35" s="4407"/>
      <c r="G35" s="339"/>
      <c r="H35" s="61" t="str">
        <f t="shared" si="1"/>
        <v/>
      </c>
      <c r="I35" s="3112">
        <f t="shared" si="0"/>
        <v>0</v>
      </c>
      <c r="J35" s="1871">
        <f t="shared" si="2"/>
        <v>0</v>
      </c>
    </row>
    <row r="36" spans="1:11" ht="12.75" x14ac:dyDescent="0.2">
      <c r="A36" s="3"/>
      <c r="B36" s="4407"/>
      <c r="C36" s="4407"/>
      <c r="D36" s="4407"/>
      <c r="E36" s="4407"/>
      <c r="F36" s="4407"/>
      <c r="G36" s="339"/>
      <c r="H36" s="61" t="str">
        <f t="shared" si="1"/>
        <v/>
      </c>
      <c r="I36" s="3112">
        <f t="shared" si="0"/>
        <v>0</v>
      </c>
      <c r="J36" s="1871">
        <f t="shared" si="2"/>
        <v>0</v>
      </c>
    </row>
    <row r="37" spans="1:11" ht="12.75" x14ac:dyDescent="0.2">
      <c r="A37" s="3"/>
      <c r="B37" s="4407"/>
      <c r="C37" s="4407"/>
      <c r="D37" s="4407"/>
      <c r="E37" s="4407"/>
      <c r="F37" s="4407"/>
      <c r="G37" s="339"/>
      <c r="H37" s="61" t="str">
        <f>IF(J37=0,"",IF(J37=2,"","All details!"))</f>
        <v/>
      </c>
      <c r="I37" s="3112">
        <f t="shared" si="0"/>
        <v>0</v>
      </c>
      <c r="J37" s="1871">
        <f>COUNTA(B37,G37)</f>
      </c>
    </row>
    <row r="38" spans="1:11" ht="12.75" x14ac:dyDescent="0.2">
      <c r="A38" s="3"/>
      <c r="B38" s="4416" t="s">
        <v>3576</v>
      </c>
      <c r="C38" s="4416"/>
      <c r="D38" s="4416"/>
      <c r="E38" s="4416"/>
      <c r="F38" s="4416"/>
      <c r="G38" s="340">
        <f>SUM(G23:G37)</f>
      </c>
      <c r="H38" s="3"/>
    </row>
    <row r="39" spans="1:11" ht="12.75" customHeight="1" x14ac:dyDescent="0.2">
      <c r="A39" s="3"/>
      <c r="B39" s="342" t="s">
        <v>1978</v>
      </c>
      <c r="C39" s="343"/>
      <c r="D39" s="343"/>
      <c r="E39" s="343"/>
      <c r="F39" s="344"/>
      <c r="G39" s="345">
        <f>ROUND(G21+G38,0)</f>
      </c>
      <c r="H39" s="3"/>
    </row>
    <row r="40" spans="1:11" ht="7.15" customHeight="1" x14ac:dyDescent="0.2">
      <c r="A40" s="3"/>
      <c r="B40" s="3"/>
      <c r="C40" s="3"/>
      <c r="D40" s="3"/>
      <c r="E40" s="3"/>
      <c r="F40" s="3"/>
      <c r="G40" s="34"/>
      <c r="H40" s="3"/>
    </row>
    <row r="41" spans="1:11" ht="12.75" customHeight="1" x14ac:dyDescent="0.2">
      <c r="A41" s="3"/>
      <c r="B41" s="336" t="s">
        <v>1979</v>
      </c>
      <c r="C41" s="128"/>
      <c r="D41" s="128"/>
      <c r="E41" s="174"/>
      <c r="F41" s="346">
        <f>ROUND(G21/6,0)</f>
      </c>
      <c r="G41" s="34"/>
      <c r="H41" s="3"/>
    </row>
    <row r="42" spans="1:11" ht="12.75" customHeight="1" x14ac:dyDescent="0.2">
      <c r="A42" s="3"/>
      <c r="B42" s="336" t="s">
        <v>1980</v>
      </c>
      <c r="C42" s="128"/>
      <c r="D42" s="128"/>
      <c r="E42" s="174"/>
      <c r="F42" s="334"/>
      <c r="G42" s="34"/>
      <c r="H42" s="3"/>
    </row>
    <row r="43" spans="1:11" ht="12.75" customHeight="1" x14ac:dyDescent="0.2">
      <c r="A43" s="3"/>
      <c r="B43" s="336" t="s">
        <v>1981</v>
      </c>
      <c r="C43" s="128"/>
      <c r="D43" s="128"/>
      <c r="E43" s="128"/>
      <c r="F43" s="347"/>
      <c r="G43" s="346">
        <f>F41+F42</f>
      </c>
      <c r="H43" s="3"/>
    </row>
    <row r="44" spans="1:11" ht="7.15" customHeight="1" x14ac:dyDescent="0.2">
      <c r="A44" s="3"/>
      <c r="B44" s="3"/>
      <c r="C44" s="3"/>
      <c r="D44" s="3"/>
      <c r="E44" s="3"/>
      <c r="F44" s="3"/>
      <c r="G44" s="34"/>
      <c r="H44" s="3"/>
    </row>
    <row r="45" spans="1:11" ht="12.75" customHeight="1" x14ac:dyDescent="0.2">
      <c r="A45" s="3"/>
      <c r="B45" s="336" t="s">
        <v>5805</v>
      </c>
      <c r="C45" s="330"/>
      <c r="D45" s="330"/>
      <c r="E45" s="330"/>
      <c r="F45" s="174"/>
      <c r="G45" s="346">
        <f>G38</f>
      </c>
      <c r="H45" s="3"/>
    </row>
    <row r="46" spans="1:11" ht="12.75" customHeight="1" x14ac:dyDescent="0.2">
      <c r="A46" s="3"/>
      <c r="B46" s="342" t="s">
        <v>3289</v>
      </c>
      <c r="C46" s="348"/>
      <c r="D46" s="348"/>
      <c r="E46" s="348"/>
      <c r="F46" s="348"/>
      <c r="G46" s="345">
        <f>SUM(G45,G43)</f>
      </c>
      <c r="H46" s="3"/>
    </row>
    <row r="47" spans="1:11" customFormat="1" ht="12.75" hidden="1" customHeight="1" x14ac:dyDescent="0.2">
      <c r="B47" t="s">
        <v>2679</v>
      </c>
      <c r="I47" s="3112"/>
      <c r="J47" s="1871"/>
      <c r="K47" s="1871"/>
    </row>
    <row r="48" spans="1:11" customFormat="1" ht="12.75" hidden="1" customHeight="1" x14ac:dyDescent="0.2">
      <c r="B48" t="s">
        <v>1134</v>
      </c>
      <c r="I48" s="3112"/>
      <c r="J48" s="1871"/>
      <c r="K48" s="1871"/>
    </row>
    <row r="49" spans="1:11" customFormat="1" ht="7.15" hidden="1" customHeight="1" x14ac:dyDescent="0.2">
      <c r="I49" s="3112"/>
      <c r="J49" s="1871"/>
      <c r="K49" s="1871"/>
    </row>
    <row r="50" spans="1:11" customFormat="1" ht="12.75" hidden="1" x14ac:dyDescent="0.2">
      <c r="B50" t="s">
        <v>1135</v>
      </c>
      <c r="I50" s="3112"/>
      <c r="J50" s="1871"/>
      <c r="K50" s="1871"/>
    </row>
    <row r="51" spans="1:11" customFormat="1" ht="12.75" hidden="1" x14ac:dyDescent="0.2">
      <c r="B51" t="s">
        <v>6194</v>
      </c>
      <c r="I51" s="3112"/>
      <c r="J51" s="1871"/>
      <c r="K51" s="1871"/>
    </row>
    <row r="52" spans="1:11" customFormat="1" ht="12.75" hidden="1" x14ac:dyDescent="0.2">
      <c r="B52" t="s">
        <v>6515</v>
      </c>
      <c r="I52" s="3112"/>
      <c r="J52" s="1871"/>
      <c r="K52" s="1871"/>
    </row>
    <row r="53" spans="1:11" customFormat="1" ht="7.15" hidden="1" customHeight="1" x14ac:dyDescent="0.2">
      <c r="I53" s="3112"/>
      <c r="J53" s="1871"/>
      <c r="K53" s="1871"/>
    </row>
    <row r="54" spans="1:11" customFormat="1" ht="12.75" hidden="1" x14ac:dyDescent="0.2">
      <c r="B54" t="s">
        <v>6516</v>
      </c>
      <c r="I54" s="3112">
        <f>SUM(I3:I37)</f>
      </c>
      <c r="J54" s="1871"/>
      <c r="K54" s="1871"/>
    </row>
    <row r="55" spans="1:11" ht="7.15" customHeight="1" x14ac:dyDescent="0.2">
      <c r="A55" s="351"/>
      <c r="B55" s="351"/>
      <c r="C55" s="351"/>
      <c r="D55" s="351"/>
      <c r="E55" s="351"/>
      <c r="F55" s="351"/>
      <c r="G55" s="352"/>
      <c r="H55" s="351"/>
    </row>
    <row r="56" spans="1:11" ht="12.75" x14ac:dyDescent="0.2">
      <c r="A56" s="351"/>
      <c r="B56" s="342" t="s">
        <v>2123</v>
      </c>
      <c r="C56" s="353"/>
      <c r="D56" s="353"/>
      <c r="E56" s="353"/>
      <c r="F56" s="344"/>
      <c r="G56" s="354">
        <f>IF(K4=2,G46+G54,G46)</f>
      </c>
      <c r="H56" s="2850" t="s">
        <v>3130</v>
      </c>
    </row>
    <row r="57" spans="1:11" ht="12.75" x14ac:dyDescent="0.2">
      <c r="A57" s="3"/>
      <c r="B57" s="1306" t="str">
        <f>EUR</f>
        <v/>
      </c>
      <c r="C57" s="3"/>
      <c r="D57" s="3"/>
      <c r="E57" s="3"/>
      <c r="F57" s="3"/>
      <c r="G57" s="3"/>
      <c r="H57" s="3"/>
    </row>
    <row r="58" spans="1:11" ht="12.75" x14ac:dyDescent="0.2">
      <c r="B58" s="28" t="str">
        <f>_xlfn.SINGLE(MTCA)</f>
      </c>
      <c r="C58" s="4417" t="str">
        <f>ver</f>
        <v>TA2_e-CO_2025_Ver 1.1</v>
      </c>
      <c r="D58" s="4417"/>
      <c r="E58" s="4417"/>
      <c r="F58" s="4417"/>
      <c r="G58" s="60" t="s">
        <v>5615</v>
      </c>
    </row>
    <row r="59" spans="1:11" ht="12.75" x14ac:dyDescent="0.2">
      <c r="A59" s="31"/>
      <c r="E59" s="31"/>
      <c r="F59" s="31"/>
      <c r="G59" s="31"/>
    </row>
    <row r="60" spans="1:11" ht="12.75" x14ac:dyDescent="0.2">
      <c r="B60" s="192"/>
      <c r="D60" s="192" t="s">
        <v>4456</v>
      </c>
      <c r="F60" s="331"/>
      <c r="G60" s="31"/>
      <c r="I60" s="3112">
        <f>IF(K6=0,0,IF(I54&lt;&gt;0,100,IF(F60="Yes",1,100)))</f>
      </c>
    </row>
    <row r="61" spans="1:11" ht="12.75" x14ac:dyDescent="0.2">
      <c r="G61" s="31"/>
    </row>
    <row r="62" spans="1:11" ht="12.75" x14ac:dyDescent="0.2">
      <c r="B62" s="4418" t="s">
        <v>6290</v>
      </c>
      <c r="C62" s="4418"/>
      <c r="G62" s="31"/>
    </row>
    <row r="63" spans="1:11" ht="12.75" hidden="1" x14ac:dyDescent="0.2">
      <c r="G63" s="31"/>
    </row>
    <row r="64" spans="1:11" ht="12.75" hidden="1" x14ac:dyDescent="0.2"/>
    <row r="65" spans="2:2" ht="12.75" hidden="1" x14ac:dyDescent="0.2">
      <c r="B65" s="28" t="s">
        <v>4457</v>
      </c>
    </row>
    <row r="66" spans="2:2" ht="12.75" hidden="1" x14ac:dyDescent="0.2">
      <c r="B66" s="28" t="s">
        <v>1736</v>
      </c>
    </row>
    <row r="67" spans="2:2" ht="12.75" hidden="1" x14ac:dyDescent="0.2"/>
    <row r="68" spans="2:2" ht="12.75" hidden="1" x14ac:dyDescent="0.2"/>
    <row r="69" spans="2:2" ht="12.75" hidden="1" x14ac:dyDescent="0.2"/>
    <row r="70" spans="2:2" ht="12.75" hidden="1" x14ac:dyDescent="0.2"/>
    <row r="71" spans="2:2" ht="12.75" hidden="1" x14ac:dyDescent="0.2"/>
    <row r="72" spans="2:2" ht="12.75" hidden="1" x14ac:dyDescent="0.2"/>
    <row r="73" spans="2:2" ht="12.75" hidden="1" x14ac:dyDescent="0.2"/>
    <row r="74" spans="2:2" ht="12.75" hidden="1" x14ac:dyDescent="0.2"/>
    <row r="75" spans="2:2" ht="12.75" hidden="1" x14ac:dyDescent="0.2"/>
    <row r="76" spans="2:2" ht="12.75" hidden="1" x14ac:dyDescent="0.2"/>
    <row r="77" spans="2:2" ht="12.75" hidden="1" x14ac:dyDescent="0.2"/>
    <row r="78" spans="2:2" ht="12.75" hidden="1" x14ac:dyDescent="0.2"/>
    <row r="79" spans="2:2" ht="12.75" hidden="1" x14ac:dyDescent="0.2"/>
    <row r="80" spans="2:2" ht="12.75" hidden="1" customHeight="1" x14ac:dyDescent="0.2"/>
    <row r="81" ht="12.75" hidden="1" customHeight="1" x14ac:dyDescent="0.2"/>
    <row r="82" ht="12.75" hidden="1" customHeight="1" x14ac:dyDescent="0.2"/>
    <row r="83" ht="12.75" hidden="1" customHeight="1" x14ac:dyDescent="0.2"/>
    <row r="84" ht="12.75" hidden="1" customHeight="1" x14ac:dyDescent="0.2"/>
    <row r="85" ht="12.75" hidden="1" customHeight="1" x14ac:dyDescent="0.2"/>
    <row r="86" ht="12.75" hidden="1" customHeight="1" x14ac:dyDescent="0.2"/>
    <row r="87" ht="12.75" hidden="1" customHeight="1" x14ac:dyDescent="0.2"/>
    <row r="88" ht="12.75" hidden="1" customHeight="1" x14ac:dyDescent="0.2"/>
    <row r="89" ht="12.75" hidden="1" customHeight="1" x14ac:dyDescent="0.2"/>
    <row r="90" ht="12.75" hidden="1" customHeight="1" x14ac:dyDescent="0.2"/>
    <row r="91" ht="12.75" hidden="1" customHeight="1" x14ac:dyDescent="0.2"/>
    <row r="92" ht="12.75" hidden="1" customHeight="1" x14ac:dyDescent="0.2"/>
    <row r="93" ht="12.75" hidden="1" customHeight="1" x14ac:dyDescent="0.2"/>
    <row r="94" ht="12.75" hidden="1" customHeight="1" x14ac:dyDescent="0.2"/>
    <row r="95" ht="12.75" hidden="1" customHeight="1" x14ac:dyDescent="0.2"/>
    <row r="96" ht="12.75" hidden="1" customHeight="1" x14ac:dyDescent="0.2"/>
    <row r="97" ht="12.75" hidden="1" customHeight="1" x14ac:dyDescent="0.2"/>
    <row r="98" ht="12.75" hidden="1" customHeight="1" x14ac:dyDescent="0.2"/>
    <row r="99" ht="12.75" hidden="1" customHeight="1" x14ac:dyDescent="0.2"/>
    <row r="100" ht="12.75" hidden="1" customHeight="1" x14ac:dyDescent="0.2"/>
  </sheetData>
  <sheetProtection algorithmName="SHA-512" hashValue="XF3Hi833wlxtgOB83vpm7VfeKCMC9le7bV/I1GrX09bfYoxdrsjO/CKfd6r3FW0LE1NYKvbQyeHiPv+cr4X7dQ==" saltValue="J04bkGuqKQE5CGAFv24/hQ==" spinCount="100000" sheet="1" objects="1" scenarios="1"/>
  <customSheetViews>
    <customSheetView guid="{99B5278F-6EA9-4B1A-8623-27A4DF4AD5E4}" showGridLines="0" fitToPage="1" hiddenRows="1" hiddenColumns="1" topLeftCell="A29">
      <selection activeCell="B2" sqref="B2:G2"/>
      <pageMargins left="0.11811023622047245" right="0.15748031496062992" top="0.98425196850393704" bottom="0.98425196850393704" header="0.51181102362204722" footer="0.51181102362204722"/>
      <printOptions horizontalCentered="1"/>
      <pageSetup paperSize="9" scale="96" orientation="portrait" horizontalDpi="300" verticalDpi="300" r:id="rId1"/>
      <headerFooter alignWithMargins="0">
        <oddFooter>&amp;LName&amp;CSignature&amp;RDate</oddFooter>
      </headerFooter>
    </customSheetView>
  </customSheetViews>
  <mergeCells count="35">
    <mergeCell ref="C58:F58"/>
    <mergeCell ref="B62:C62"/>
    <mergeCell ref="B33:F33"/>
    <mergeCell ref="B34:F34"/>
    <mergeCell ref="B35:F35"/>
    <mergeCell ref="B36:F36"/>
    <mergeCell ref="B37:F37"/>
    <mergeCell ref="B38:F38"/>
    <mergeCell ref="B12:F12"/>
    <mergeCell ref="B27:F27"/>
    <mergeCell ref="B23:F23"/>
    <mergeCell ref="B21:F21"/>
    <mergeCell ref="B16:F16"/>
    <mergeCell ref="B19:F19"/>
    <mergeCell ref="B20:F20"/>
    <mergeCell ref="B17:F17"/>
    <mergeCell ref="B18:F18"/>
    <mergeCell ref="B22:F22"/>
    <mergeCell ref="B24:F24"/>
    <mergeCell ref="B29:F29"/>
    <mergeCell ref="B28:F28"/>
    <mergeCell ref="B32:F32"/>
    <mergeCell ref="B1:F1"/>
    <mergeCell ref="B2:G2"/>
    <mergeCell ref="B8:F8"/>
    <mergeCell ref="B15:F15"/>
    <mergeCell ref="B9:F9"/>
    <mergeCell ref="B10:F10"/>
    <mergeCell ref="B13:F13"/>
    <mergeCell ref="B30:F30"/>
    <mergeCell ref="B31:F31"/>
    <mergeCell ref="B26:F26"/>
    <mergeCell ref="B25:F25"/>
    <mergeCell ref="B14:F14"/>
    <mergeCell ref="B11:F11"/>
  </mergeCells>
  <phoneticPr fontId="0" type="noConversion"/>
  <conditionalFormatting sqref="B2">
    <cfRule type="expression" dxfId="923" priority="1" stopIfTrue="1">
      <formula>$N$76="n"</formula>
    </cfRule>
  </conditionalFormatting>
  <dataValidations count="8">
    <dataValidation type="list" allowBlank="1" showInputMessage="1" showErrorMessage="1" errorTitle="Dropdown list" error="Choose an item from the list!" sqref="F60 G3" xr:uid="{00000000-0002-0000-0900-000000000000}">
      <formula1>$B$64:$B$66</formula1>
    </dataValidation>
    <dataValidation operator="greaterThanOrEqual" allowBlank="1" showInputMessage="1" showErrorMessage="1" sqref="I47:I57 K47:K57 J55:J57 J47:J53 F48" xr:uid="{00000000-0002-0000-0900-000001000000}"/>
    <dataValidation type="whole" operator="greaterThanOrEqual" allowBlank="1" showInputMessage="1" showErrorMessage="1" errorTitle="VALUE" error="PLEASE ENTER A POSITIVE WHOLE NUMBER!" sqref="G9:G38" xr:uid="{00000000-0002-0000-0900-000002000000}">
      <formula1>0</formula1>
    </dataValidation>
    <dataValidation type="whole" operator="greaterThanOrEqual" allowBlank="1" showInputMessage="1" showErrorMessage="1" errorTitle="Turnover" error="Please enter a positive amount!" sqref="G5" xr:uid="{00000000-0002-0000-0900-000003000000}">
      <formula1>0</formula1>
    </dataValidation>
    <dataValidation type="whole" operator="greaterThanOrEqual" allowBlank="1" showInputMessage="1" showErrorMessage="1" errorTitle="Scientific Research" error="Please enter a positive value!_x000a_" sqref="F50:F52" xr:uid="{00000000-0002-0000-0900-000004000000}">
      <formula1>0</formula1>
    </dataValidation>
    <dataValidation type="textLength" operator="greaterThanOrEqual" allowBlank="1" showInputMessage="1" showErrorMessage="1" sqref="B10:F20 B23:F37" xr:uid="{00000000-0002-0000-0900-000005000000}">
      <formula1>10</formula1>
    </dataValidation>
    <dataValidation type="whole" operator="greaterThanOrEqual" allowBlank="1" showInputMessage="1" showErrorMessage="1" errorTitle="Capital Expenditure" error="Please enter a positive amount!" sqref="F42" xr:uid="{00000000-0002-0000-0900-000006000000}">
      <formula1>0</formula1>
    </dataValidation>
    <dataValidation allowBlank="1" showInputMessage="1" showErrorMessage="1" errorTitle="Dropdown list" error="Choose an item from the list!" sqref="G4" xr:uid="{00000000-0002-0000-0900-000007000000}"/>
  </dataValidations>
  <hyperlinks>
    <hyperlink ref="B62" location="Index!A1" display="Index!A1" xr:uid="{00000000-0004-0000-0900-000000000000}"/>
    <hyperlink ref="B62:C62" location="Index!a1" display="Index!a1" xr:uid="{00000000-0004-0000-0900-000001000000}"/>
    <hyperlink ref="H56" location="'TRA60'!A1" display="TRA 60" xr:uid="{00000000-0004-0000-0900-000002000000}"/>
  </hyperlinks>
  <printOptions horizontalCentered="1"/>
  <pageMargins left="0.11811023622047245" right="0.15748031496062992" top="0.98425196850393704" bottom="0.98425196850393704" header="0.51181102362204722" footer="0.51181102362204722"/>
  <pageSetup paperSize="9" scale="96" orientation="portrait" blackAndWhite="1" r:id="rId2"/>
  <headerFooter alignWithMargins="0">
    <oddFooter>&amp;LName&amp;CSignature&amp;RDate</oddFooter>
  </headerFooter>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1:BZ65"/>
  <sheetViews>
    <sheetView showGridLines="0" workbookViewId="0">
      <selection activeCell="B49" sqref="B49:J49"/>
    </sheetView>
  </sheetViews>
  <sheetFormatPr defaultColWidth="0" defaultRowHeight="12.75" customHeight="1" zeroHeight="1" x14ac:dyDescent="0.2"/>
  <cols>
    <col min="1" max="1" width="10.42578125" style="47" customWidth="1"/>
    <col min="2" max="2" width="5.42578125" style="47" customWidth="1"/>
    <col min="3" max="3" width="21.28515625" style="47" customWidth="1"/>
    <col min="4" max="4" width="11.7109375" style="47" customWidth="1"/>
    <col min="5" max="5" width="15" style="47" customWidth="1"/>
    <col min="6" max="6" width="12.7109375" style="47" customWidth="1"/>
    <col min="7" max="8" width="11.28515625" style="47" customWidth="1"/>
    <col min="9" max="9" width="11.42578125" style="47" customWidth="1"/>
    <col min="10" max="10" width="11.28515625" style="47" customWidth="1"/>
    <col min="11" max="11" width="0.7109375" style="28" customWidth="1"/>
    <col min="12" max="78" width="9.28515625" style="28" hidden="1" customWidth="1"/>
    <col min="79" max="16384" width="9.28515625" style="142" hidden="1"/>
  </cols>
  <sheetData>
    <row r="1" spans="1:41" x14ac:dyDescent="0.2">
      <c r="A1" s="4456" t="str">
        <f>_ref1</f>
      </c>
      <c r="B1" s="4457"/>
      <c r="C1" s="4457"/>
      <c r="D1" s="4457"/>
      <c r="E1" s="4457"/>
      <c r="F1" s="4457"/>
      <c r="G1" s="4457"/>
      <c r="H1" s="4457"/>
      <c r="I1" s="4458"/>
      <c r="J1" s="355" t="str">
        <f>_YA1</f>
      </c>
    </row>
    <row r="2" spans="1:41" ht="15" x14ac:dyDescent="0.2">
      <c r="A2" s="4339" t="s">
        <v>604</v>
      </c>
      <c r="B2" s="4340"/>
      <c r="C2" s="4340"/>
      <c r="D2" s="4340"/>
      <c r="E2" s="4340"/>
      <c r="F2" s="4340"/>
      <c r="G2" s="4340"/>
      <c r="H2" s="4340"/>
      <c r="I2" s="4340"/>
      <c r="J2" s="4341"/>
    </row>
    <row r="3" spans="1:41" ht="15" x14ac:dyDescent="0.2">
      <c r="A3" s="1307" t="s">
        <v>605</v>
      </c>
      <c r="B3" s="3"/>
      <c r="C3" s="3"/>
      <c r="D3" s="3"/>
      <c r="E3" s="3"/>
      <c r="F3" s="3"/>
      <c r="G3" s="3"/>
      <c r="H3" s="3"/>
      <c r="I3" s="3"/>
      <c r="J3" s="6"/>
    </row>
    <row r="4" spans="1:41" x14ac:dyDescent="0.2">
      <c r="A4" s="4420" t="s">
        <v>4672</v>
      </c>
      <c r="B4" s="4275"/>
      <c r="C4" s="4275"/>
      <c r="D4" s="4275"/>
      <c r="E4" s="4275"/>
      <c r="F4" s="4275"/>
      <c r="G4" s="4275"/>
      <c r="H4" s="4275"/>
      <c r="I4" s="4275"/>
      <c r="J4" s="4289"/>
    </row>
    <row r="5" spans="1:41" x14ac:dyDescent="0.2">
      <c r="A5" s="4420" t="s">
        <v>6961</v>
      </c>
      <c r="B5" s="4275"/>
      <c r="C5" s="4275"/>
      <c r="D5" s="4275"/>
      <c r="E5" s="4275"/>
      <c r="F5" s="4275"/>
      <c r="G5" s="4275"/>
      <c r="H5" s="4275"/>
      <c r="I5" s="4275"/>
      <c r="J5" s="4289"/>
    </row>
    <row r="6" spans="1:41" x14ac:dyDescent="0.2">
      <c r="A6" s="4420" t="s">
        <v>6220</v>
      </c>
      <c r="B6" s="4275"/>
      <c r="C6" s="4275"/>
      <c r="D6" s="4275"/>
      <c r="E6" s="4275"/>
      <c r="F6" s="4275"/>
      <c r="G6" s="4275"/>
      <c r="H6" s="4275"/>
      <c r="I6" s="4275"/>
      <c r="J6" s="4289"/>
      <c r="AO6" s="28" t="s">
        <v>4457</v>
      </c>
    </row>
    <row r="7" spans="1:41" x14ac:dyDescent="0.2">
      <c r="A7" s="4454" t="s">
        <v>1036</v>
      </c>
      <c r="B7" s="4455"/>
      <c r="C7" s="4455"/>
      <c r="D7" s="4455"/>
      <c r="E7" s="4455"/>
      <c r="F7" s="4455"/>
      <c r="G7" s="4455"/>
      <c r="H7" s="4455"/>
      <c r="I7" s="4455"/>
      <c r="J7" s="6"/>
      <c r="AO7" s="28" t="s">
        <v>1736</v>
      </c>
    </row>
    <row r="8" spans="1:41" x14ac:dyDescent="0.2">
      <c r="A8" s="356"/>
      <c r="B8" s="357"/>
      <c r="C8" s="357"/>
      <c r="D8" s="357"/>
      <c r="E8" s="357"/>
      <c r="F8" s="357"/>
      <c r="G8" s="357"/>
      <c r="H8" s="357"/>
      <c r="I8" s="357"/>
      <c r="J8" s="6"/>
    </row>
    <row r="9" spans="1:41" x14ac:dyDescent="0.2">
      <c r="A9" s="11"/>
      <c r="B9" s="3"/>
      <c r="C9" s="3"/>
      <c r="D9" s="3"/>
      <c r="E9" s="3"/>
      <c r="F9" s="3"/>
      <c r="G9" s="3"/>
      <c r="H9" s="3"/>
      <c r="I9" s="3"/>
      <c r="J9" s="6"/>
    </row>
    <row r="10" spans="1:41" ht="15.75" customHeight="1" x14ac:dyDescent="0.2">
      <c r="A10" s="1308" t="s">
        <v>1934</v>
      </c>
      <c r="B10" s="358"/>
      <c r="C10" s="358"/>
      <c r="D10" s="358" t="s">
        <v>4498</v>
      </c>
      <c r="E10" s="359"/>
      <c r="F10" s="4445" t="str">
        <f>IF(AE34=0,"",IF(N14=0,"YOU HAVE TO INDICATE THE EMPLOYER NUMBER(S)",""))</f>
        <v/>
      </c>
      <c r="G10" s="4446"/>
      <c r="H10" s="4446"/>
      <c r="I10" s="4446"/>
      <c r="J10" s="4447"/>
      <c r="K10" s="29">
        <f>IF(F10="",0,1)</f>
      </c>
      <c r="N10" s="28">
        <f>IF($AE$34=0,0,IF(ISBLANK(E10),0,1))</f>
      </c>
    </row>
    <row r="11" spans="1:41" ht="15.75" customHeight="1" x14ac:dyDescent="0.2">
      <c r="A11" s="360"/>
      <c r="B11" s="358"/>
      <c r="C11" s="358"/>
      <c r="D11" s="358" t="s">
        <v>4498</v>
      </c>
      <c r="E11" s="359"/>
      <c r="F11" s="358"/>
      <c r="G11" s="358"/>
      <c r="H11" s="358"/>
      <c r="I11" s="358"/>
      <c r="J11" s="361"/>
      <c r="K11" s="29">
        <f>IF(F11="",0,1)</f>
      </c>
      <c r="N11" s="28">
        <f>IF($AE$34=0,0,IF(ISBLANK(E11),0,1))</f>
      </c>
    </row>
    <row r="12" spans="1:41" ht="15.75" customHeight="1" x14ac:dyDescent="0.2">
      <c r="A12" s="360"/>
      <c r="B12" s="358"/>
      <c r="C12" s="358"/>
      <c r="D12" s="358" t="s">
        <v>4498</v>
      </c>
      <c r="E12" s="359"/>
      <c r="F12" s="358"/>
      <c r="G12" s="358"/>
      <c r="H12" s="358"/>
      <c r="I12" s="358"/>
      <c r="J12" s="361"/>
      <c r="K12" s="29">
        <f>IF(F12="",0,1)</f>
      </c>
      <c r="N12" s="28">
        <f>IF($AE$34=0,0,IF(ISBLANK(E12),0,1))</f>
      </c>
    </row>
    <row r="13" spans="1:41" ht="15.75" customHeight="1" x14ac:dyDescent="0.2">
      <c r="A13" s="360"/>
      <c r="B13" s="358"/>
      <c r="C13" s="358"/>
      <c r="D13" s="358" t="s">
        <v>4498</v>
      </c>
      <c r="E13" s="359"/>
      <c r="F13" s="358"/>
      <c r="G13" s="358"/>
      <c r="H13" s="358"/>
      <c r="I13" s="358"/>
      <c r="J13" s="361"/>
      <c r="K13" s="29">
        <f>IF(F13="",0,1)</f>
      </c>
      <c r="N13" s="28">
        <f>IF($AE$34=0,0,IF(ISBLANK(E13),0,1))</f>
      </c>
    </row>
    <row r="14" spans="1:41" ht="15.75" customHeight="1" x14ac:dyDescent="0.2">
      <c r="A14" s="360"/>
      <c r="B14" s="358"/>
      <c r="C14" s="358"/>
      <c r="D14" s="358"/>
      <c r="E14" s="358"/>
      <c r="F14" s="358"/>
      <c r="G14" s="358"/>
      <c r="H14" s="358"/>
      <c r="I14" s="358"/>
      <c r="J14" s="361"/>
      <c r="N14" s="28">
        <f>SUM(N10:N13)</f>
      </c>
    </row>
    <row r="15" spans="1:41" ht="22.15" customHeight="1" x14ac:dyDescent="0.2">
      <c r="A15" s="4448" t="s">
        <v>5662</v>
      </c>
      <c r="B15" s="4449"/>
      <c r="C15" s="4449"/>
      <c r="D15" s="4449"/>
      <c r="E15" s="4449"/>
      <c r="F15" s="4449"/>
      <c r="G15" s="4449"/>
      <c r="H15" s="4449"/>
      <c r="I15" s="4449"/>
      <c r="J15" s="4450"/>
    </row>
    <row r="16" spans="1:41" ht="33.75" customHeight="1" x14ac:dyDescent="0.2">
      <c r="A16" s="4451" t="s">
        <v>4122</v>
      </c>
      <c r="B16" s="4452" t="s">
        <v>657</v>
      </c>
      <c r="C16" s="4452"/>
      <c r="D16" s="4453" t="s">
        <v>4123</v>
      </c>
      <c r="E16" s="4451" t="s">
        <v>4124</v>
      </c>
      <c r="F16" s="4384" t="s">
        <v>2541</v>
      </c>
      <c r="G16" s="4443" t="s">
        <v>4125</v>
      </c>
      <c r="H16" s="4384" t="s">
        <v>424</v>
      </c>
      <c r="I16" s="4384" t="s">
        <v>2208</v>
      </c>
      <c r="J16" s="4451" t="s">
        <v>4962</v>
      </c>
    </row>
    <row r="17" spans="1:41" ht="21.75" customHeight="1" x14ac:dyDescent="0.2">
      <c r="A17" s="4451"/>
      <c r="B17" s="4452"/>
      <c r="C17" s="4452"/>
      <c r="D17" s="4453"/>
      <c r="E17" s="4451"/>
      <c r="F17" s="4384"/>
      <c r="G17" s="4444"/>
      <c r="H17" s="4384"/>
      <c r="I17" s="4384"/>
      <c r="J17" s="4451"/>
      <c r="O17" s="4442" t="s">
        <v>4963</v>
      </c>
      <c r="P17" s="4442"/>
      <c r="Q17" s="4442"/>
      <c r="R17" s="28" t="s">
        <v>4964</v>
      </c>
      <c r="S17" s="28" t="s">
        <v>6298</v>
      </c>
      <c r="T17" s="28" t="s">
        <v>6299</v>
      </c>
      <c r="AO17" s="1736" t="s">
        <v>6300</v>
      </c>
    </row>
    <row r="18" spans="1:41" x14ac:dyDescent="0.2">
      <c r="A18" s="363"/>
      <c r="B18" s="4430"/>
      <c r="C18" s="4430"/>
      <c r="D18" s="364"/>
      <c r="E18" s="365"/>
      <c r="F18" s="365"/>
      <c r="G18" s="366"/>
      <c r="H18" s="275"/>
      <c r="I18" s="367" t="str">
        <f t="shared" ref="I18:I33" si="0">IF(R18=0,"",R18)</f>
        <v/>
      </c>
      <c r="J18" s="368" t="str">
        <f>IF(U18=0,"",IF(E18="","",IF(F18="","",U18)))</f>
        <v/>
      </c>
      <c r="K18" s="30"/>
      <c r="L18" s="28">
        <v>0.65</v>
      </c>
      <c r="M18" s="28">
        <v>1</v>
      </c>
      <c r="N18" s="28" t="s">
        <v>6301</v>
      </c>
      <c r="O18" s="28">
        <f t="shared" ref="O18:O33" si="1">IF(G18&lt;&gt;ab,0,IF(H18="",$L$18,IF(H18="No",$L$18,$M$18)))</f>
      </c>
      <c r="P18" s="28">
        <f t="shared" ref="P18:P33" si="2">IF(G18&lt;&gt;dis,0,$L$19)</f>
      </c>
      <c r="Q18" s="28">
        <f t="shared" ref="Q18:Q33" si="3">IF(G18&lt;&gt;regc,0,IF(H18="",$L$20,IF(H18="No",$L$20,$M$20)))</f>
      </c>
      <c r="R18" s="28">
        <f t="shared" ref="R18:R33" si="4">SUM(O18:Q18)</f>
      </c>
      <c r="S18" s="28">
        <f t="shared" ref="S18:S33" si="5">E18*R18</f>
      </c>
      <c r="T18" s="28">
        <f t="shared" ref="T18:T33" si="6">F18*1.25</f>
      </c>
      <c r="U18" s="28">
        <f t="shared" ref="U18:U33" si="7">IF(S18&lt;=T18,S18,T18)</f>
      </c>
      <c r="X18" s="28">
        <f t="shared" ref="X18:X33" si="8">IF(ISBLANK(A18),0,1)</f>
      </c>
      <c r="Y18" s="28">
        <f t="shared" ref="Y18:Y33" si="9">IF(ISBLANK(B18),0,1)</f>
      </c>
      <c r="Z18" s="28">
        <f t="shared" ref="Z18:Z33" si="10">IF(ISBLANK(D18),0,1)</f>
      </c>
      <c r="AA18" s="28">
        <f t="shared" ref="AA18:AA33" si="11">IF(ISBLANK(E18),0,1)</f>
      </c>
      <c r="AB18" s="28">
        <f t="shared" ref="AB18:AB33" si="12">IF(ISBLANK(F18),0,1)</f>
      </c>
      <c r="AC18" s="28">
        <f t="shared" ref="AC18:AC33" si="13">IF(ISBLANK(G18),0,1)</f>
      </c>
      <c r="AD18" s="28">
        <f t="shared" ref="AD18:AD33" si="14">IF(ISBLANK(H18),0,1)</f>
      </c>
      <c r="AE18" s="28">
        <f t="shared" ref="AE18:AE33" si="15">SUM(X18:AD18)</f>
      </c>
      <c r="AG18" s="28">
        <f t="shared" ref="AG18:AG33" si="16">IF(AE18&gt;0,1,0)</f>
      </c>
      <c r="AO18" s="1736" t="s">
        <v>7637</v>
      </c>
    </row>
    <row r="19" spans="1:41" x14ac:dyDescent="0.2">
      <c r="A19" s="363"/>
      <c r="B19" s="4430"/>
      <c r="C19" s="4430"/>
      <c r="D19" s="364"/>
      <c r="E19" s="365"/>
      <c r="F19" s="365"/>
      <c r="G19" s="366"/>
      <c r="H19" s="275"/>
      <c r="I19" s="367" t="str">
        <f t="shared" si="0"/>
        <v/>
      </c>
      <c r="J19" s="368" t="str">
        <f t="shared" ref="J19:J33" si="17">IF(U19=0,"",IF(F19="","",U19))</f>
        <v/>
      </c>
      <c r="L19" s="28">
        <v>2</v>
      </c>
      <c r="M19" s="28">
        <v>2</v>
      </c>
      <c r="N19" s="28" t="s">
        <v>6304</v>
      </c>
      <c r="O19" s="28">
        <f t="shared" si="1"/>
        <v>0</v>
      </c>
      <c r="P19" s="28">
        <f t="shared" si="2"/>
        <v>0</v>
      </c>
      <c r="Q19" s="28">
        <f t="shared" si="3"/>
        <v>0</v>
      </c>
      <c r="R19" s="28">
        <f t="shared" si="4"/>
        <v>0</v>
      </c>
      <c r="S19" s="28">
        <f t="shared" si="5"/>
        <v>0</v>
      </c>
      <c r="T19" s="28">
        <f t="shared" si="6"/>
        <v>0</v>
      </c>
      <c r="U19" s="28">
        <f t="shared" si="7"/>
        <v>0</v>
      </c>
      <c r="X19" s="28">
        <f t="shared" si="8"/>
        <v>0</v>
      </c>
      <c r="Y19" s="28">
        <f t="shared" si="9"/>
        <v>0</v>
      </c>
      <c r="Z19" s="28">
        <f t="shared" si="10"/>
        <v>0</v>
      </c>
      <c r="AA19" s="28">
        <f t="shared" si="11"/>
        <v>0</v>
      </c>
      <c r="AB19" s="28">
        <f t="shared" si="12"/>
        <v>0</v>
      </c>
      <c r="AC19" s="28">
        <f t="shared" si="13"/>
        <v>0</v>
      </c>
      <c r="AD19" s="28">
        <f t="shared" si="14"/>
        <v>0</v>
      </c>
      <c r="AE19" s="28">
        <f t="shared" si="15"/>
        <v>0</v>
      </c>
      <c r="AG19" s="28">
        <f t="shared" si="16"/>
        <v>0</v>
      </c>
      <c r="AO19" s="1736" t="s">
        <v>3220</v>
      </c>
    </row>
    <row r="20" spans="1:41" x14ac:dyDescent="0.2">
      <c r="A20" s="363"/>
      <c r="B20" s="4430"/>
      <c r="C20" s="4430"/>
      <c r="D20" s="364"/>
      <c r="E20" s="365"/>
      <c r="F20" s="365"/>
      <c r="G20" s="366"/>
      <c r="H20" s="275"/>
      <c r="I20" s="367" t="str">
        <f t="shared" si="0"/>
        <v/>
      </c>
      <c r="J20" s="368" t="str">
        <f t="shared" si="17"/>
        <v/>
      </c>
      <c r="L20" s="28">
        <v>1.5</v>
      </c>
      <c r="M20" s="28">
        <v>2</v>
      </c>
      <c r="N20" s="28" t="s">
        <v>5589</v>
      </c>
      <c r="O20" s="28">
        <f t="shared" si="1"/>
        <v>0</v>
      </c>
      <c r="P20" s="28">
        <f t="shared" si="2"/>
        <v>0</v>
      </c>
      <c r="Q20" s="28">
        <f t="shared" si="3"/>
        <v>0</v>
      </c>
      <c r="R20" s="28">
        <f t="shared" si="4"/>
        <v>0</v>
      </c>
      <c r="S20" s="28">
        <f t="shared" si="5"/>
        <v>0</v>
      </c>
      <c r="T20" s="28">
        <f t="shared" si="6"/>
        <v>0</v>
      </c>
      <c r="U20" s="28">
        <f t="shared" si="7"/>
        <v>0</v>
      </c>
      <c r="X20" s="28">
        <f t="shared" si="8"/>
        <v>0</v>
      </c>
      <c r="Y20" s="28">
        <f t="shared" si="9"/>
        <v>0</v>
      </c>
      <c r="Z20" s="28">
        <f t="shared" si="10"/>
        <v>0</v>
      </c>
      <c r="AA20" s="28">
        <f t="shared" si="11"/>
        <v>0</v>
      </c>
      <c r="AB20" s="28">
        <f t="shared" si="12"/>
        <v>0</v>
      </c>
      <c r="AC20" s="28">
        <f t="shared" si="13"/>
        <v>0</v>
      </c>
      <c r="AD20" s="28">
        <f t="shared" si="14"/>
        <v>0</v>
      </c>
      <c r="AE20" s="28">
        <f t="shared" si="15"/>
        <v>0</v>
      </c>
      <c r="AG20" s="28">
        <f t="shared" si="16"/>
        <v>0</v>
      </c>
    </row>
    <row r="21" spans="1:41" x14ac:dyDescent="0.2">
      <c r="A21" s="363"/>
      <c r="B21" s="4430"/>
      <c r="C21" s="4430"/>
      <c r="D21" s="364"/>
      <c r="E21" s="365"/>
      <c r="F21" s="365"/>
      <c r="G21" s="366"/>
      <c r="H21" s="275"/>
      <c r="I21" s="367" t="str">
        <f t="shared" si="0"/>
        <v/>
      </c>
      <c r="J21" s="368" t="str">
        <f t="shared" si="17"/>
        <v/>
      </c>
      <c r="O21" s="28">
        <f t="shared" si="1"/>
        <v>0</v>
      </c>
      <c r="P21" s="28">
        <f t="shared" si="2"/>
        <v>0</v>
      </c>
      <c r="Q21" s="28">
        <f t="shared" si="3"/>
        <v>0</v>
      </c>
      <c r="R21" s="28">
        <f t="shared" si="4"/>
        <v>0</v>
      </c>
      <c r="S21" s="28">
        <f t="shared" si="5"/>
        <v>0</v>
      </c>
      <c r="T21" s="28">
        <f t="shared" si="6"/>
        <v>0</v>
      </c>
      <c r="U21" s="28">
        <f t="shared" si="7"/>
        <v>0</v>
      </c>
      <c r="X21" s="28">
        <f t="shared" si="8"/>
        <v>0</v>
      </c>
      <c r="Y21" s="28">
        <f t="shared" si="9"/>
        <v>0</v>
      </c>
      <c r="Z21" s="28">
        <f t="shared" si="10"/>
        <v>0</v>
      </c>
      <c r="AA21" s="28">
        <f t="shared" si="11"/>
        <v>0</v>
      </c>
      <c r="AB21" s="28">
        <f t="shared" si="12"/>
        <v>0</v>
      </c>
      <c r="AC21" s="28">
        <f t="shared" si="13"/>
        <v>0</v>
      </c>
      <c r="AD21" s="28">
        <f t="shared" si="14"/>
        <v>0</v>
      </c>
      <c r="AE21" s="28">
        <f t="shared" si="15"/>
        <v>0</v>
      </c>
      <c r="AG21" s="28">
        <f t="shared" si="16"/>
        <v>0</v>
      </c>
    </row>
    <row r="22" spans="1:41" x14ac:dyDescent="0.2">
      <c r="A22" s="363"/>
      <c r="B22" s="4430"/>
      <c r="C22" s="4430"/>
      <c r="D22" s="364"/>
      <c r="E22" s="365"/>
      <c r="F22" s="365"/>
      <c r="G22" s="366"/>
      <c r="H22" s="275"/>
      <c r="I22" s="367" t="str">
        <f t="shared" si="0"/>
        <v/>
      </c>
      <c r="J22" s="368" t="str">
        <f t="shared" si="17"/>
        <v/>
      </c>
      <c r="O22" s="28">
        <f t="shared" si="1"/>
        <v>0</v>
      </c>
      <c r="P22" s="28">
        <f t="shared" si="2"/>
        <v>0</v>
      </c>
      <c r="Q22" s="28">
        <f t="shared" si="3"/>
        <v>0</v>
      </c>
      <c r="R22" s="28">
        <f t="shared" si="4"/>
        <v>0</v>
      </c>
      <c r="S22" s="28">
        <f t="shared" si="5"/>
        <v>0</v>
      </c>
      <c r="T22" s="28">
        <f t="shared" si="6"/>
        <v>0</v>
      </c>
      <c r="U22" s="28">
        <f t="shared" si="7"/>
        <v>0</v>
      </c>
      <c r="X22" s="28">
        <f t="shared" si="8"/>
        <v>0</v>
      </c>
      <c r="Y22" s="28">
        <f t="shared" si="9"/>
        <v>0</v>
      </c>
      <c r="Z22" s="28">
        <f t="shared" si="10"/>
        <v>0</v>
      </c>
      <c r="AA22" s="28">
        <f t="shared" si="11"/>
        <v>0</v>
      </c>
      <c r="AB22" s="28">
        <f t="shared" si="12"/>
        <v>0</v>
      </c>
      <c r="AC22" s="28">
        <f t="shared" si="13"/>
        <v>0</v>
      </c>
      <c r="AD22" s="28">
        <f t="shared" si="14"/>
        <v>0</v>
      </c>
      <c r="AE22" s="28">
        <f t="shared" si="15"/>
        <v>0</v>
      </c>
      <c r="AG22" s="28">
        <f t="shared" si="16"/>
        <v>0</v>
      </c>
    </row>
    <row r="23" spans="1:41" x14ac:dyDescent="0.2">
      <c r="A23" s="363"/>
      <c r="B23" s="4430"/>
      <c r="C23" s="4430"/>
      <c r="D23" s="364"/>
      <c r="E23" s="365"/>
      <c r="F23" s="365"/>
      <c r="G23" s="366"/>
      <c r="H23" s="275"/>
      <c r="I23" s="367" t="str">
        <f t="shared" si="0"/>
        <v/>
      </c>
      <c r="J23" s="368" t="str">
        <f t="shared" si="17"/>
        <v/>
      </c>
      <c r="O23" s="28">
        <f t="shared" si="1"/>
        <v>0</v>
      </c>
      <c r="P23" s="28">
        <f t="shared" si="2"/>
        <v>0</v>
      </c>
      <c r="Q23" s="28">
        <f t="shared" si="3"/>
        <v>0</v>
      </c>
      <c r="R23" s="28">
        <f t="shared" si="4"/>
        <v>0</v>
      </c>
      <c r="S23" s="28">
        <f t="shared" si="5"/>
        <v>0</v>
      </c>
      <c r="T23" s="28">
        <f t="shared" si="6"/>
        <v>0</v>
      </c>
      <c r="U23" s="28">
        <f t="shared" si="7"/>
        <v>0</v>
      </c>
      <c r="X23" s="28">
        <f t="shared" si="8"/>
        <v>0</v>
      </c>
      <c r="Y23" s="28">
        <f t="shared" si="9"/>
        <v>0</v>
      </c>
      <c r="Z23" s="28">
        <f t="shared" si="10"/>
        <v>0</v>
      </c>
      <c r="AA23" s="28">
        <f t="shared" si="11"/>
        <v>0</v>
      </c>
      <c r="AB23" s="28">
        <f t="shared" si="12"/>
        <v>0</v>
      </c>
      <c r="AC23" s="28">
        <f t="shared" si="13"/>
        <v>0</v>
      </c>
      <c r="AD23" s="28">
        <f t="shared" si="14"/>
        <v>0</v>
      </c>
      <c r="AE23" s="28">
        <f t="shared" si="15"/>
        <v>0</v>
      </c>
      <c r="AG23" s="28">
        <f t="shared" si="16"/>
        <v>0</v>
      </c>
    </row>
    <row r="24" spans="1:41" x14ac:dyDescent="0.2">
      <c r="A24" s="363"/>
      <c r="B24" s="4430"/>
      <c r="C24" s="4430"/>
      <c r="D24" s="364"/>
      <c r="E24" s="365"/>
      <c r="F24" s="365"/>
      <c r="G24" s="366"/>
      <c r="H24" s="275"/>
      <c r="I24" s="367" t="str">
        <f t="shared" si="0"/>
        <v/>
      </c>
      <c r="J24" s="368" t="str">
        <f t="shared" si="17"/>
        <v/>
      </c>
      <c r="O24" s="28">
        <f t="shared" si="1"/>
        <v>0</v>
      </c>
      <c r="P24" s="28">
        <f t="shared" si="2"/>
        <v>0</v>
      </c>
      <c r="Q24" s="28">
        <f t="shared" si="3"/>
        <v>0</v>
      </c>
      <c r="R24" s="28">
        <f t="shared" si="4"/>
        <v>0</v>
      </c>
      <c r="S24" s="28">
        <f t="shared" si="5"/>
        <v>0</v>
      </c>
      <c r="T24" s="28">
        <f t="shared" si="6"/>
        <v>0</v>
      </c>
      <c r="U24" s="28">
        <f t="shared" si="7"/>
        <v>0</v>
      </c>
      <c r="X24" s="28">
        <f t="shared" si="8"/>
        <v>0</v>
      </c>
      <c r="Y24" s="28">
        <f t="shared" si="9"/>
        <v>0</v>
      </c>
      <c r="Z24" s="28">
        <f t="shared" si="10"/>
        <v>0</v>
      </c>
      <c r="AA24" s="28">
        <f t="shared" si="11"/>
        <v>0</v>
      </c>
      <c r="AB24" s="28">
        <f t="shared" si="12"/>
        <v>0</v>
      </c>
      <c r="AC24" s="28">
        <f t="shared" si="13"/>
        <v>0</v>
      </c>
      <c r="AD24" s="28">
        <f t="shared" si="14"/>
        <v>0</v>
      </c>
      <c r="AE24" s="28">
        <f t="shared" si="15"/>
        <v>0</v>
      </c>
      <c r="AG24" s="28">
        <f t="shared" si="16"/>
        <v>0</v>
      </c>
    </row>
    <row r="25" spans="1:41" x14ac:dyDescent="0.2">
      <c r="A25" s="363"/>
      <c r="B25" s="4430"/>
      <c r="C25" s="4430"/>
      <c r="D25" s="364"/>
      <c r="E25" s="365"/>
      <c r="F25" s="365"/>
      <c r="G25" s="366"/>
      <c r="H25" s="275"/>
      <c r="I25" s="367" t="str">
        <f t="shared" si="0"/>
        <v/>
      </c>
      <c r="J25" s="368" t="str">
        <f t="shared" si="17"/>
        <v/>
      </c>
      <c r="O25" s="28">
        <f t="shared" si="1"/>
        <v>0</v>
      </c>
      <c r="P25" s="28">
        <f t="shared" si="2"/>
        <v>0</v>
      </c>
      <c r="Q25" s="28">
        <f t="shared" si="3"/>
        <v>0</v>
      </c>
      <c r="R25" s="28">
        <f t="shared" si="4"/>
        <v>0</v>
      </c>
      <c r="S25" s="28">
        <f t="shared" si="5"/>
        <v>0</v>
      </c>
      <c r="T25" s="28">
        <f t="shared" si="6"/>
        <v>0</v>
      </c>
      <c r="U25" s="28">
        <f t="shared" si="7"/>
        <v>0</v>
      </c>
      <c r="X25" s="28">
        <f t="shared" si="8"/>
        <v>0</v>
      </c>
      <c r="Y25" s="28">
        <f t="shared" si="9"/>
        <v>0</v>
      </c>
      <c r="Z25" s="28">
        <f t="shared" si="10"/>
        <v>0</v>
      </c>
      <c r="AA25" s="28">
        <f t="shared" si="11"/>
        <v>0</v>
      </c>
      <c r="AB25" s="28">
        <f t="shared" si="12"/>
        <v>0</v>
      </c>
      <c r="AC25" s="28">
        <f t="shared" si="13"/>
        <v>0</v>
      </c>
      <c r="AD25" s="28">
        <f t="shared" si="14"/>
        <v>0</v>
      </c>
      <c r="AE25" s="28">
        <f t="shared" si="15"/>
        <v>0</v>
      </c>
      <c r="AG25" s="28">
        <f t="shared" si="16"/>
        <v>0</v>
      </c>
    </row>
    <row r="26" spans="1:41" x14ac:dyDescent="0.2">
      <c r="A26" s="363"/>
      <c r="B26" s="4430"/>
      <c r="C26" s="4430"/>
      <c r="D26" s="364"/>
      <c r="E26" s="365"/>
      <c r="F26" s="365"/>
      <c r="G26" s="366"/>
      <c r="H26" s="275"/>
      <c r="I26" s="367" t="str">
        <f t="shared" si="0"/>
        <v/>
      </c>
      <c r="J26" s="368" t="str">
        <f t="shared" si="17"/>
        <v/>
      </c>
      <c r="O26" s="28">
        <f t="shared" si="1"/>
        <v>0</v>
      </c>
      <c r="P26" s="28">
        <f t="shared" si="2"/>
        <v>0</v>
      </c>
      <c r="Q26" s="28">
        <f t="shared" si="3"/>
        <v>0</v>
      </c>
      <c r="R26" s="28">
        <f t="shared" si="4"/>
        <v>0</v>
      </c>
      <c r="S26" s="28">
        <f t="shared" si="5"/>
        <v>0</v>
      </c>
      <c r="T26" s="28">
        <f t="shared" si="6"/>
        <v>0</v>
      </c>
      <c r="U26" s="28">
        <f t="shared" si="7"/>
        <v>0</v>
      </c>
      <c r="X26" s="28">
        <f t="shared" si="8"/>
        <v>0</v>
      </c>
      <c r="Y26" s="28">
        <f t="shared" si="9"/>
        <v>0</v>
      </c>
      <c r="Z26" s="28">
        <f t="shared" si="10"/>
        <v>0</v>
      </c>
      <c r="AA26" s="28">
        <f t="shared" si="11"/>
        <v>0</v>
      </c>
      <c r="AB26" s="28">
        <f t="shared" si="12"/>
        <v>0</v>
      </c>
      <c r="AC26" s="28">
        <f t="shared" si="13"/>
        <v>0</v>
      </c>
      <c r="AD26" s="28">
        <f t="shared" si="14"/>
        <v>0</v>
      </c>
      <c r="AE26" s="28">
        <f t="shared" si="15"/>
        <v>0</v>
      </c>
      <c r="AG26" s="28">
        <f t="shared" si="16"/>
        <v>0</v>
      </c>
    </row>
    <row r="27" spans="1:41" x14ac:dyDescent="0.2">
      <c r="A27" s="363"/>
      <c r="B27" s="4430"/>
      <c r="C27" s="4430"/>
      <c r="D27" s="364"/>
      <c r="E27" s="365"/>
      <c r="F27" s="365"/>
      <c r="G27" s="366"/>
      <c r="H27" s="275"/>
      <c r="I27" s="367" t="str">
        <f t="shared" si="0"/>
        <v/>
      </c>
      <c r="J27" s="368" t="str">
        <f t="shared" si="17"/>
        <v/>
      </c>
      <c r="O27" s="28">
        <f t="shared" si="1"/>
        <v>0</v>
      </c>
      <c r="P27" s="28">
        <f t="shared" si="2"/>
        <v>0</v>
      </c>
      <c r="Q27" s="28">
        <f t="shared" si="3"/>
        <v>0</v>
      </c>
      <c r="R27" s="28">
        <f t="shared" si="4"/>
        <v>0</v>
      </c>
      <c r="S27" s="28">
        <f t="shared" si="5"/>
        <v>0</v>
      </c>
      <c r="T27" s="28">
        <f t="shared" si="6"/>
        <v>0</v>
      </c>
      <c r="U27" s="28">
        <f t="shared" si="7"/>
        <v>0</v>
      </c>
      <c r="X27" s="28">
        <f t="shared" si="8"/>
        <v>0</v>
      </c>
      <c r="Y27" s="28">
        <f t="shared" si="9"/>
        <v>0</v>
      </c>
      <c r="Z27" s="28">
        <f t="shared" si="10"/>
        <v>0</v>
      </c>
      <c r="AA27" s="28">
        <f t="shared" si="11"/>
        <v>0</v>
      </c>
      <c r="AB27" s="28">
        <f t="shared" si="12"/>
        <v>0</v>
      </c>
      <c r="AC27" s="28">
        <f t="shared" si="13"/>
        <v>0</v>
      </c>
      <c r="AD27" s="28">
        <f t="shared" si="14"/>
        <v>0</v>
      </c>
      <c r="AE27" s="28">
        <f t="shared" si="15"/>
        <v>0</v>
      </c>
      <c r="AG27" s="28">
        <f t="shared" si="16"/>
        <v>0</v>
      </c>
    </row>
    <row r="28" spans="1:41" x14ac:dyDescent="0.2">
      <c r="A28" s="363"/>
      <c r="B28" s="4430"/>
      <c r="C28" s="4430"/>
      <c r="D28" s="364"/>
      <c r="E28" s="365"/>
      <c r="F28" s="365"/>
      <c r="G28" s="366"/>
      <c r="H28" s="275"/>
      <c r="I28" s="367" t="str">
        <f t="shared" si="0"/>
        <v/>
      </c>
      <c r="J28" s="368" t="str">
        <f t="shared" si="17"/>
        <v/>
      </c>
      <c r="O28" s="28">
        <f t="shared" si="1"/>
        <v>0</v>
      </c>
      <c r="P28" s="28">
        <f t="shared" si="2"/>
        <v>0</v>
      </c>
      <c r="Q28" s="28">
        <f t="shared" si="3"/>
        <v>0</v>
      </c>
      <c r="R28" s="28">
        <f t="shared" si="4"/>
        <v>0</v>
      </c>
      <c r="S28" s="28">
        <f t="shared" si="5"/>
        <v>0</v>
      </c>
      <c r="T28" s="28">
        <f t="shared" si="6"/>
        <v>0</v>
      </c>
      <c r="U28" s="28">
        <f t="shared" si="7"/>
        <v>0</v>
      </c>
      <c r="X28" s="28">
        <f t="shared" si="8"/>
        <v>0</v>
      </c>
      <c r="Y28" s="28">
        <f t="shared" si="9"/>
        <v>0</v>
      </c>
      <c r="Z28" s="28">
        <f t="shared" si="10"/>
        <v>0</v>
      </c>
      <c r="AA28" s="28">
        <f t="shared" si="11"/>
        <v>0</v>
      </c>
      <c r="AB28" s="28">
        <f t="shared" si="12"/>
        <v>0</v>
      </c>
      <c r="AC28" s="28">
        <f t="shared" si="13"/>
        <v>0</v>
      </c>
      <c r="AD28" s="28">
        <f t="shared" si="14"/>
        <v>0</v>
      </c>
      <c r="AE28" s="28">
        <f t="shared" si="15"/>
        <v>0</v>
      </c>
      <c r="AG28" s="28">
        <f t="shared" si="16"/>
        <v>0</v>
      </c>
    </row>
    <row r="29" spans="1:41" x14ac:dyDescent="0.2">
      <c r="A29" s="363"/>
      <c r="B29" s="4430"/>
      <c r="C29" s="4430"/>
      <c r="D29" s="364"/>
      <c r="E29" s="365"/>
      <c r="F29" s="365"/>
      <c r="G29" s="366"/>
      <c r="H29" s="275"/>
      <c r="I29" s="367" t="str">
        <f t="shared" si="0"/>
        <v/>
      </c>
      <c r="J29" s="368" t="str">
        <f t="shared" si="17"/>
        <v/>
      </c>
      <c r="O29" s="28">
        <f t="shared" si="1"/>
        <v>0</v>
      </c>
      <c r="P29" s="28">
        <f t="shared" si="2"/>
        <v>0</v>
      </c>
      <c r="Q29" s="28">
        <f t="shared" si="3"/>
        <v>0</v>
      </c>
      <c r="R29" s="28">
        <f t="shared" si="4"/>
        <v>0</v>
      </c>
      <c r="S29" s="28">
        <f t="shared" si="5"/>
        <v>0</v>
      </c>
      <c r="T29" s="28">
        <f t="shared" si="6"/>
        <v>0</v>
      </c>
      <c r="U29" s="28">
        <f t="shared" si="7"/>
        <v>0</v>
      </c>
      <c r="X29" s="28">
        <f t="shared" si="8"/>
        <v>0</v>
      </c>
      <c r="Y29" s="28">
        <f t="shared" si="9"/>
        <v>0</v>
      </c>
      <c r="Z29" s="28">
        <f t="shared" si="10"/>
        <v>0</v>
      </c>
      <c r="AA29" s="28">
        <f t="shared" si="11"/>
        <v>0</v>
      </c>
      <c r="AB29" s="28">
        <f t="shared" si="12"/>
        <v>0</v>
      </c>
      <c r="AC29" s="28">
        <f t="shared" si="13"/>
        <v>0</v>
      </c>
      <c r="AD29" s="28">
        <f t="shared" si="14"/>
        <v>0</v>
      </c>
      <c r="AE29" s="28">
        <f t="shared" si="15"/>
        <v>0</v>
      </c>
      <c r="AG29" s="28">
        <f t="shared" si="16"/>
        <v>0</v>
      </c>
    </row>
    <row r="30" spans="1:41" x14ac:dyDescent="0.2">
      <c r="A30" s="363"/>
      <c r="B30" s="4430"/>
      <c r="C30" s="4430"/>
      <c r="D30" s="364"/>
      <c r="E30" s="365"/>
      <c r="F30" s="365"/>
      <c r="G30" s="366"/>
      <c r="H30" s="275"/>
      <c r="I30" s="367" t="str">
        <f t="shared" si="0"/>
        <v/>
      </c>
      <c r="J30" s="368" t="str">
        <f t="shared" si="17"/>
        <v/>
      </c>
      <c r="O30" s="28">
        <f t="shared" si="1"/>
        <v>0</v>
      </c>
      <c r="P30" s="28">
        <f t="shared" si="2"/>
        <v>0</v>
      </c>
      <c r="Q30" s="28">
        <f t="shared" si="3"/>
        <v>0</v>
      </c>
      <c r="R30" s="28">
        <f t="shared" si="4"/>
        <v>0</v>
      </c>
      <c r="S30" s="28">
        <f t="shared" si="5"/>
        <v>0</v>
      </c>
      <c r="T30" s="28">
        <f t="shared" si="6"/>
        <v>0</v>
      </c>
      <c r="U30" s="28">
        <f t="shared" si="7"/>
        <v>0</v>
      </c>
      <c r="X30" s="28">
        <f t="shared" si="8"/>
        <v>0</v>
      </c>
      <c r="Y30" s="28">
        <f t="shared" si="9"/>
        <v>0</v>
      </c>
      <c r="Z30" s="28">
        <f t="shared" si="10"/>
        <v>0</v>
      </c>
      <c r="AA30" s="28">
        <f t="shared" si="11"/>
        <v>0</v>
      </c>
      <c r="AB30" s="28">
        <f t="shared" si="12"/>
        <v>0</v>
      </c>
      <c r="AC30" s="28">
        <f t="shared" si="13"/>
        <v>0</v>
      </c>
      <c r="AD30" s="28">
        <f t="shared" si="14"/>
        <v>0</v>
      </c>
      <c r="AE30" s="28">
        <f t="shared" si="15"/>
        <v>0</v>
      </c>
      <c r="AG30" s="28">
        <f t="shared" si="16"/>
        <v>0</v>
      </c>
    </row>
    <row r="31" spans="1:41" x14ac:dyDescent="0.2">
      <c r="A31" s="363"/>
      <c r="B31" s="4430"/>
      <c r="C31" s="4430"/>
      <c r="D31" s="364"/>
      <c r="E31" s="365"/>
      <c r="F31" s="365"/>
      <c r="G31" s="366"/>
      <c r="H31" s="275"/>
      <c r="I31" s="367" t="str">
        <f t="shared" si="0"/>
        <v/>
      </c>
      <c r="J31" s="368" t="str">
        <f t="shared" si="17"/>
        <v/>
      </c>
      <c r="O31" s="28">
        <f t="shared" si="1"/>
        <v>0</v>
      </c>
      <c r="P31" s="28">
        <f t="shared" si="2"/>
        <v>0</v>
      </c>
      <c r="Q31" s="28">
        <f t="shared" si="3"/>
        <v>0</v>
      </c>
      <c r="R31" s="28">
        <f t="shared" si="4"/>
        <v>0</v>
      </c>
      <c r="S31" s="28">
        <f t="shared" si="5"/>
        <v>0</v>
      </c>
      <c r="T31" s="28">
        <f t="shared" si="6"/>
        <v>0</v>
      </c>
      <c r="U31" s="28">
        <f t="shared" si="7"/>
        <v>0</v>
      </c>
      <c r="X31" s="28">
        <f t="shared" si="8"/>
        <v>0</v>
      </c>
      <c r="Y31" s="28">
        <f t="shared" si="9"/>
        <v>0</v>
      </c>
      <c r="Z31" s="28">
        <f t="shared" si="10"/>
        <v>0</v>
      </c>
      <c r="AA31" s="28">
        <f t="shared" si="11"/>
        <v>0</v>
      </c>
      <c r="AB31" s="28">
        <f t="shared" si="12"/>
        <v>0</v>
      </c>
      <c r="AC31" s="28">
        <f t="shared" si="13"/>
        <v>0</v>
      </c>
      <c r="AD31" s="28">
        <f t="shared" si="14"/>
        <v>0</v>
      </c>
      <c r="AE31" s="28">
        <f t="shared" si="15"/>
        <v>0</v>
      </c>
      <c r="AG31" s="28">
        <f t="shared" si="16"/>
        <v>0</v>
      </c>
    </row>
    <row r="32" spans="1:41" x14ac:dyDescent="0.2">
      <c r="A32" s="363"/>
      <c r="B32" s="4430"/>
      <c r="C32" s="4430"/>
      <c r="D32" s="364"/>
      <c r="E32" s="365"/>
      <c r="F32" s="365"/>
      <c r="G32" s="366"/>
      <c r="H32" s="275"/>
      <c r="I32" s="367" t="str">
        <f t="shared" si="0"/>
        <v/>
      </c>
      <c r="J32" s="368" t="str">
        <f t="shared" si="17"/>
        <v/>
      </c>
      <c r="O32" s="28">
        <f t="shared" si="1"/>
        <v>0</v>
      </c>
      <c r="P32" s="28">
        <f t="shared" si="2"/>
        <v>0</v>
      </c>
      <c r="Q32" s="28">
        <f t="shared" si="3"/>
        <v>0</v>
      </c>
      <c r="R32" s="28">
        <f t="shared" si="4"/>
        <v>0</v>
      </c>
      <c r="S32" s="28">
        <f t="shared" si="5"/>
        <v>0</v>
      </c>
      <c r="T32" s="28">
        <f t="shared" si="6"/>
        <v>0</v>
      </c>
      <c r="U32" s="28">
        <f t="shared" si="7"/>
        <v>0</v>
      </c>
      <c r="X32" s="28">
        <f t="shared" si="8"/>
        <v>0</v>
      </c>
      <c r="Y32" s="28">
        <f t="shared" si="9"/>
        <v>0</v>
      </c>
      <c r="Z32" s="28">
        <f t="shared" si="10"/>
        <v>0</v>
      </c>
      <c r="AA32" s="28">
        <f t="shared" si="11"/>
        <v>0</v>
      </c>
      <c r="AB32" s="28">
        <f t="shared" si="12"/>
        <v>0</v>
      </c>
      <c r="AC32" s="28">
        <f t="shared" si="13"/>
        <v>0</v>
      </c>
      <c r="AD32" s="28">
        <f t="shared" si="14"/>
        <v>0</v>
      </c>
      <c r="AE32" s="28">
        <f t="shared" si="15"/>
        <v>0</v>
      </c>
      <c r="AG32" s="28">
        <f t="shared" si="16"/>
        <v>0</v>
      </c>
    </row>
    <row r="33" spans="1:34" x14ac:dyDescent="0.2">
      <c r="A33" s="363"/>
      <c r="B33" s="4430"/>
      <c r="C33" s="4430"/>
      <c r="D33" s="364"/>
      <c r="E33" s="365"/>
      <c r="F33" s="365"/>
      <c r="G33" s="366"/>
      <c r="H33" s="275"/>
      <c r="I33" s="367" t="str">
        <f t="shared" si="0"/>
        <v/>
      </c>
      <c r="J33" s="368" t="str">
        <f t="shared" si="17"/>
        <v/>
      </c>
      <c r="O33" s="28">
        <f t="shared" si="1"/>
        <v>0</v>
      </c>
      <c r="P33" s="28">
        <f t="shared" si="2"/>
        <v>0</v>
      </c>
      <c r="Q33" s="28">
        <f t="shared" si="3"/>
        <v>0</v>
      </c>
      <c r="R33" s="28">
        <f t="shared" si="4"/>
        <v>0</v>
      </c>
      <c r="S33" s="28">
        <f t="shared" si="5"/>
        <v>0</v>
      </c>
      <c r="T33" s="28">
        <f t="shared" si="6"/>
        <v>0</v>
      </c>
      <c r="U33" s="28">
        <f t="shared" si="7"/>
        <v>0</v>
      </c>
      <c r="X33" s="28">
        <f t="shared" si="8"/>
        <v>0</v>
      </c>
      <c r="Y33" s="28">
        <f t="shared" si="9"/>
        <v>0</v>
      </c>
      <c r="Z33" s="28">
        <f t="shared" si="10"/>
        <v>0</v>
      </c>
      <c r="AA33" s="28">
        <f t="shared" si="11"/>
        <v>0</v>
      </c>
      <c r="AB33" s="28">
        <f t="shared" si="12"/>
        <v>0</v>
      </c>
      <c r="AC33" s="28">
        <f t="shared" si="13"/>
        <v>0</v>
      </c>
      <c r="AD33" s="28">
        <f t="shared" si="14"/>
        <v>0</v>
      </c>
      <c r="AE33" s="28">
        <f t="shared" si="15"/>
        <v>0</v>
      </c>
      <c r="AG33" s="28">
        <f t="shared" si="16"/>
        <v>0</v>
      </c>
    </row>
    <row r="34" spans="1:34" x14ac:dyDescent="0.2">
      <c r="A34" s="4431" t="s">
        <v>5590</v>
      </c>
      <c r="B34" s="4432"/>
      <c r="C34" s="4432"/>
      <c r="D34" s="4433"/>
      <c r="E34" s="369">
        <f>SUM(E18:E33)</f>
      </c>
      <c r="F34" s="4439" t="str">
        <f>IF(AE34=AF34,"","All data must be entered!")</f>
        <v/>
      </c>
      <c r="G34" s="4440"/>
      <c r="H34" s="4440"/>
      <c r="I34" s="4441"/>
      <c r="J34" s="369">
        <f>ROUND(SUM(J18:J33),0)</f>
      </c>
      <c r="K34" s="29">
        <f>IF(F34="",0,1)</f>
      </c>
      <c r="AE34" s="28">
        <f>SUM(AE18:AE33)</f>
      </c>
      <c r="AF34" s="28">
        <f>AG34*7</f>
      </c>
      <c r="AG34" s="28">
        <f>SUM(AG18:AG33)</f>
      </c>
      <c r="AH34" s="30"/>
    </row>
    <row r="35" spans="1:34" x14ac:dyDescent="0.2">
      <c r="A35" s="370"/>
      <c r="B35" s="371"/>
      <c r="C35" s="371"/>
      <c r="D35" s="371"/>
      <c r="E35" s="371"/>
      <c r="F35" s="371"/>
      <c r="G35" s="371"/>
      <c r="H35" s="371"/>
      <c r="I35" s="371"/>
      <c r="J35" s="372"/>
    </row>
    <row r="36" spans="1:34" ht="15" x14ac:dyDescent="0.2">
      <c r="A36" s="4434" t="s">
        <v>5591</v>
      </c>
      <c r="B36" s="4435"/>
      <c r="C36" s="4435"/>
      <c r="D36" s="4435"/>
      <c r="E36" s="4435"/>
      <c r="F36" s="4435"/>
      <c r="G36" s="4435"/>
      <c r="H36" s="4435"/>
      <c r="I36" s="4435"/>
      <c r="J36" s="4436"/>
    </row>
    <row r="37" spans="1:34" x14ac:dyDescent="0.2">
      <c r="A37" s="113"/>
      <c r="B37" s="8"/>
      <c r="C37" s="8"/>
      <c r="D37" s="8"/>
      <c r="E37" s="8"/>
      <c r="F37" s="373" t="s">
        <v>5592</v>
      </c>
      <c r="G37" s="373" t="s">
        <v>5592</v>
      </c>
      <c r="H37" s="373" t="s">
        <v>5592</v>
      </c>
      <c r="I37" s="373" t="s">
        <v>5592</v>
      </c>
      <c r="J37" s="355" t="s">
        <v>5593</v>
      </c>
    </row>
    <row r="38" spans="1:34" x14ac:dyDescent="0.2">
      <c r="A38" s="374" t="s">
        <v>2542</v>
      </c>
      <c r="B38" s="3"/>
      <c r="C38" s="3"/>
      <c r="D38" s="4269" t="str">
        <f>IF(J38=0,"",IF(J38=J34,"","Totals must be equal!"))</f>
        <v/>
      </c>
      <c r="E38" s="4269"/>
      <c r="F38" s="375"/>
      <c r="G38" s="375"/>
      <c r="H38" s="375"/>
      <c r="I38" s="376"/>
      <c r="J38" s="368">
        <f>SUM(F38:I38)</f>
      </c>
      <c r="K38" s="29">
        <f>IF(L38=0,0,IF(D38="",0,1))</f>
      </c>
      <c r="L38" s="28">
        <f>COUNT(F38:I38)</f>
      </c>
    </row>
    <row r="39" spans="1:34" x14ac:dyDescent="0.2">
      <c r="A39" s="389" t="s">
        <v>570</v>
      </c>
      <c r="B39" s="3"/>
      <c r="C39" s="3"/>
      <c r="D39" s="8"/>
      <c r="E39" s="8"/>
      <c r="F39" s="8"/>
      <c r="G39" s="8"/>
      <c r="H39" s="8"/>
      <c r="I39" s="8"/>
      <c r="J39" s="9"/>
    </row>
    <row r="40" spans="1:34" x14ac:dyDescent="0.2">
      <c r="A40" s="4437" t="s">
        <v>571</v>
      </c>
      <c r="B40" s="4438"/>
      <c r="C40" s="4438"/>
      <c r="D40" s="4438"/>
      <c r="E40" s="4438"/>
      <c r="F40" s="373" t="s">
        <v>572</v>
      </c>
      <c r="G40" s="373" t="s">
        <v>572</v>
      </c>
      <c r="H40" s="373" t="s">
        <v>572</v>
      </c>
      <c r="I40" s="373" t="s">
        <v>572</v>
      </c>
      <c r="J40" s="9"/>
    </row>
    <row r="41" spans="1:34" x14ac:dyDescent="0.2">
      <c r="A41" s="4428" t="s">
        <v>1967</v>
      </c>
      <c r="B41" s="4429"/>
      <c r="C41" s="4429"/>
      <c r="D41" s="4429"/>
      <c r="E41" s="4429"/>
      <c r="F41" s="377"/>
      <c r="G41" s="377"/>
      <c r="H41" s="377"/>
      <c r="I41" s="377"/>
      <c r="J41" s="378" t="str">
        <f>IF(L41&lt;&gt;L38,"Rates !","")</f>
        <v/>
      </c>
      <c r="K41" s="29">
        <f>IF(J41="",0,1)</f>
      </c>
      <c r="L41" s="28">
        <f>COUNT(F41:I41)</f>
      </c>
    </row>
    <row r="42" spans="1:34" ht="3" customHeight="1" x14ac:dyDescent="0.2">
      <c r="A42" s="113"/>
      <c r="B42" s="8"/>
      <c r="C42" s="8"/>
      <c r="D42" s="8"/>
      <c r="E42" s="8"/>
      <c r="F42" s="8"/>
      <c r="G42" s="8"/>
      <c r="H42" s="8"/>
      <c r="I42" s="8"/>
      <c r="J42" s="9"/>
    </row>
    <row r="43" spans="1:34" x14ac:dyDescent="0.2">
      <c r="A43" s="374" t="s">
        <v>6747</v>
      </c>
      <c r="B43" s="3"/>
      <c r="C43" s="3"/>
      <c r="D43" s="8"/>
      <c r="E43" s="8"/>
      <c r="F43" s="368">
        <f>F38*F41</f>
      </c>
      <c r="G43" s="368">
        <f>G38*G41</f>
      </c>
      <c r="H43" s="368">
        <f>H38*H41</f>
      </c>
      <c r="I43" s="368">
        <f>I38*I41</f>
      </c>
      <c r="J43" s="368">
        <f>SUM(F43:I43)</f>
      </c>
    </row>
    <row r="44" spans="1:34" ht="3" customHeight="1" x14ac:dyDescent="0.2">
      <c r="A44" s="113"/>
      <c r="B44" s="8"/>
      <c r="C44" s="8"/>
      <c r="D44" s="8"/>
      <c r="E44" s="8"/>
      <c r="F44" s="8"/>
      <c r="G44" s="8"/>
      <c r="H44" s="8"/>
      <c r="I44" s="8"/>
      <c r="J44" s="9"/>
    </row>
    <row r="45" spans="1:34" ht="13.5" thickBot="1" x14ac:dyDescent="0.25">
      <c r="A45" s="4419" t="s">
        <v>6913</v>
      </c>
      <c r="B45" s="4419"/>
      <c r="C45" s="4419"/>
      <c r="D45" s="4419"/>
      <c r="E45" s="4419"/>
      <c r="F45" s="4419"/>
      <c r="G45" s="4419"/>
      <c r="H45" s="4419"/>
      <c r="I45" s="4419"/>
      <c r="J45" s="379">
        <f>ROUND(J43*0.7,0)</f>
      </c>
      <c r="N45" s="28">
        <f>IF(J45&gt;0,0,J34)</f>
      </c>
      <c r="O45" s="28" t="s">
        <v>6914</v>
      </c>
    </row>
    <row r="46" spans="1:34" ht="13.5" thickTop="1" x14ac:dyDescent="0.2">
      <c r="A46" s="380"/>
      <c r="B46" s="381"/>
      <c r="C46" s="390"/>
      <c r="D46" s="381"/>
      <c r="E46" s="381"/>
      <c r="F46" s="381"/>
      <c r="G46" s="381"/>
      <c r="H46" s="381"/>
      <c r="I46" s="381"/>
      <c r="J46" s="382"/>
    </row>
    <row r="47" spans="1:34" x14ac:dyDescent="0.2">
      <c r="A47" s="4420" t="s">
        <v>6915</v>
      </c>
      <c r="B47" s="4275"/>
      <c r="C47" s="4275"/>
      <c r="D47" s="3"/>
      <c r="E47" s="3"/>
      <c r="F47" s="3"/>
      <c r="G47" s="3"/>
      <c r="H47" s="3"/>
      <c r="I47" s="3"/>
      <c r="J47" s="6"/>
    </row>
    <row r="48" spans="1:34" x14ac:dyDescent="0.2">
      <c r="A48" s="11" t="s">
        <v>6916</v>
      </c>
      <c r="B48" s="3"/>
      <c r="C48" s="3"/>
      <c r="D48" s="3"/>
      <c r="E48" s="3"/>
      <c r="F48" s="3"/>
      <c r="G48" s="3"/>
      <c r="H48" s="3"/>
      <c r="I48" s="3"/>
      <c r="J48" s="6"/>
    </row>
    <row r="49" spans="1:11" x14ac:dyDescent="0.2">
      <c r="A49" s="72" t="s">
        <v>6917</v>
      </c>
      <c r="B49" s="4275" t="s">
        <v>4286</v>
      </c>
      <c r="C49" s="4275"/>
      <c r="D49" s="4275"/>
      <c r="E49" s="4275"/>
      <c r="F49" s="4275"/>
      <c r="G49" s="4275"/>
      <c r="H49" s="4275"/>
      <c r="I49" s="4275"/>
      <c r="J49" s="4289"/>
    </row>
    <row r="50" spans="1:11" x14ac:dyDescent="0.2">
      <c r="A50" s="72" t="s">
        <v>4287</v>
      </c>
      <c r="B50" s="4408" t="s">
        <v>4953</v>
      </c>
      <c r="C50" s="4408"/>
      <c r="D50" s="4408"/>
      <c r="E50" s="4408"/>
      <c r="F50" s="4408"/>
      <c r="G50" s="4408"/>
      <c r="H50" s="4408"/>
      <c r="I50" s="4408"/>
      <c r="J50" s="4424"/>
    </row>
    <row r="51" spans="1:11" x14ac:dyDescent="0.2">
      <c r="A51" s="72" t="s">
        <v>4954</v>
      </c>
      <c r="B51" s="4425" t="s">
        <v>3507</v>
      </c>
      <c r="C51" s="4425"/>
      <c r="D51" s="4425"/>
      <c r="E51" s="4425"/>
      <c r="F51" s="4425"/>
      <c r="G51" s="4425"/>
      <c r="H51" s="4425"/>
      <c r="I51" s="4425"/>
      <c r="J51" s="4426"/>
    </row>
    <row r="52" spans="1:11" ht="15" x14ac:dyDescent="0.2">
      <c r="A52" s="4421" t="s">
        <v>3120</v>
      </c>
      <c r="B52" s="4422"/>
      <c r="C52" s="4422"/>
      <c r="D52" s="4422"/>
      <c r="E52" s="4422"/>
      <c r="F52" s="4422"/>
      <c r="G52" s="4422"/>
      <c r="H52" s="4422"/>
      <c r="I52" s="4422"/>
      <c r="J52" s="4423"/>
    </row>
    <row r="53" spans="1:11" ht="3.75" customHeight="1" x14ac:dyDescent="0.2">
      <c r="A53" s="383"/>
      <c r="B53" s="384"/>
      <c r="C53" s="384"/>
      <c r="D53" s="384"/>
      <c r="E53" s="384"/>
      <c r="F53" s="384"/>
      <c r="G53" s="384"/>
      <c r="H53" s="384"/>
      <c r="I53" s="384"/>
      <c r="J53" s="385"/>
    </row>
    <row r="54" spans="1:11" x14ac:dyDescent="0.2">
      <c r="A54" s="386" t="str">
        <f>_xlfn.SINGLE(MTCA)</f>
      </c>
      <c r="B54" s="4427" t="str">
        <f>ver</f>
        <v>TA2_e-CO_2025_Ver 1.1</v>
      </c>
      <c r="C54" s="4427"/>
      <c r="D54" s="4427"/>
      <c r="E54" s="4427"/>
      <c r="F54" s="4427"/>
      <c r="G54" s="4427"/>
      <c r="H54" s="4427"/>
      <c r="I54" s="4427"/>
      <c r="J54" s="387" t="s">
        <v>5616</v>
      </c>
      <c r="K54" s="29">
        <f>SUM(K41,K38,K34,K10:K13)</f>
      </c>
    </row>
    <row r="55" spans="1:11" x14ac:dyDescent="0.2">
      <c r="A55" s="28"/>
      <c r="B55" s="28"/>
      <c r="C55" s="28"/>
      <c r="D55" s="28"/>
      <c r="E55" s="28"/>
      <c r="F55" s="28"/>
      <c r="G55" s="28"/>
      <c r="H55" s="28"/>
      <c r="I55" s="28"/>
      <c r="J55" s="28"/>
      <c r="K55" s="29">
        <f>IF(AE34=0,0,IF(K54&lt;&gt;0,100,IF(D56="yes",1,100)))</f>
      </c>
    </row>
    <row r="56" spans="1:11" x14ac:dyDescent="0.2">
      <c r="A56" s="28"/>
      <c r="B56" s="28"/>
      <c r="C56" s="388" t="str">
        <f>COM</f>
      </c>
      <c r="D56" s="275"/>
      <c r="E56" s="28"/>
      <c r="F56" s="28"/>
      <c r="G56" s="28"/>
      <c r="H56" s="28"/>
      <c r="I56" s="28"/>
      <c r="J56" s="28"/>
    </row>
    <row r="57" spans="1:11" x14ac:dyDescent="0.2">
      <c r="A57" s="28"/>
      <c r="B57" s="28"/>
      <c r="C57" s="28"/>
      <c r="D57" s="28"/>
      <c r="E57" s="28"/>
      <c r="F57" s="28"/>
      <c r="G57" s="28"/>
      <c r="H57" s="28"/>
      <c r="I57" s="28"/>
      <c r="J57" s="28"/>
    </row>
    <row r="58" spans="1:11" x14ac:dyDescent="0.2">
      <c r="A58" s="4418" t="s">
        <v>6290</v>
      </c>
      <c r="B58" s="4418"/>
      <c r="C58" s="4418"/>
      <c r="D58" s="28"/>
      <c r="E58" s="28"/>
      <c r="F58" s="28"/>
      <c r="G58" s="28"/>
      <c r="H58" s="28"/>
      <c r="I58" s="28"/>
      <c r="J58" s="28"/>
    </row>
    <row r="59" spans="1:11" ht="12.75" customHeight="1" x14ac:dyDescent="0.2">
      <c r="A59" s="28"/>
      <c r="B59" s="28"/>
      <c r="C59" s="28"/>
      <c r="D59" s="28"/>
      <c r="E59" s="28"/>
      <c r="F59" s="28"/>
      <c r="G59" s="28"/>
      <c r="H59" s="28"/>
      <c r="I59" s="28"/>
      <c r="J59" s="28"/>
    </row>
    <row r="60" spans="1:11" ht="12.75" customHeight="1" x14ac:dyDescent="0.2">
      <c r="A60" s="28"/>
      <c r="B60" s="28"/>
      <c r="C60" s="28"/>
      <c r="D60" s="28"/>
      <c r="E60" s="28"/>
      <c r="F60" s="28"/>
      <c r="G60" s="28"/>
      <c r="H60" s="28"/>
      <c r="I60" s="28"/>
      <c r="J60" s="28"/>
    </row>
    <row r="64" spans="1:11" ht="12.75" hidden="1" customHeight="1" x14ac:dyDescent="0.2">
      <c r="A64" s="47" t="s">
        <v>3121</v>
      </c>
    </row>
    <row r="65" spans="1:1" ht="12.75" hidden="1" customHeight="1" x14ac:dyDescent="0.2">
      <c r="A65" s="47" t="s">
        <v>3122</v>
      </c>
    </row>
  </sheetData>
  <sheetProtection algorithmName="SHA-512" hashValue="DeqiMItdnzSqfSYoCdv72CkQBOLuQeq/05nCT3GNqyAtGNoivHQJ142vmVksU42eKJiB7+yywBMJvVWpmpqC2Q==" saltValue="3+Lha8KA94w7yIHTbc1M4A==" spinCount="100000" sheet="1" objects="1" scenarios="1"/>
  <customSheetViews>
    <customSheetView guid="{99B5278F-6EA9-4B1A-8623-27A4DF4AD5E4}" showGridLines="0" fitToPage="1" hiddenRows="1" hiddenColumns="1">
      <selection activeCell="E10" sqref="E10"/>
      <pageMargins left="0.11811023622047245" right="0.15748031496062992" top="0.35433070866141736" bottom="0.98425196850393704" header="0.15748031496062992" footer="0.51181102362204722"/>
      <pageSetup paperSize="9" scale="84" orientation="portrait" horizontalDpi="300" verticalDpi="300" r:id="rId1"/>
      <headerFooter alignWithMargins="0">
        <oddFooter>&amp;LName&amp;CSignature&amp;RDate</oddFooter>
      </headerFooter>
    </customSheetView>
  </customSheetViews>
  <mergeCells count="48">
    <mergeCell ref="A7:I7"/>
    <mergeCell ref="A1:I1"/>
    <mergeCell ref="A4:J4"/>
    <mergeCell ref="A5:J5"/>
    <mergeCell ref="A6:J6"/>
    <mergeCell ref="A2:J2"/>
    <mergeCell ref="B24:C24"/>
    <mergeCell ref="F10:J10"/>
    <mergeCell ref="A15:J15"/>
    <mergeCell ref="A16:A17"/>
    <mergeCell ref="B16:C17"/>
    <mergeCell ref="D16:D17"/>
    <mergeCell ref="E16:E17"/>
    <mergeCell ref="B21:C21"/>
    <mergeCell ref="J16:J17"/>
    <mergeCell ref="B20:C20"/>
    <mergeCell ref="B22:C22"/>
    <mergeCell ref="B23:C23"/>
    <mergeCell ref="O17:Q17"/>
    <mergeCell ref="B18:C18"/>
    <mergeCell ref="B19:C19"/>
    <mergeCell ref="F16:F17"/>
    <mergeCell ref="G16:G17"/>
    <mergeCell ref="H16:H17"/>
    <mergeCell ref="I16:I17"/>
    <mergeCell ref="B30:C30"/>
    <mergeCell ref="B31:C31"/>
    <mergeCell ref="B25:C25"/>
    <mergeCell ref="B26:C26"/>
    <mergeCell ref="B27:C27"/>
    <mergeCell ref="B28:C28"/>
    <mergeCell ref="B29:C29"/>
    <mergeCell ref="A41:E41"/>
    <mergeCell ref="D38:E38"/>
    <mergeCell ref="B32:C32"/>
    <mergeCell ref="B33:C33"/>
    <mergeCell ref="A34:D34"/>
    <mergeCell ref="A36:J36"/>
    <mergeCell ref="A40:E40"/>
    <mergeCell ref="F34:I34"/>
    <mergeCell ref="A58:C58"/>
    <mergeCell ref="A45:I45"/>
    <mergeCell ref="A47:C47"/>
    <mergeCell ref="A52:J52"/>
    <mergeCell ref="B49:J49"/>
    <mergeCell ref="B50:J50"/>
    <mergeCell ref="B51:J51"/>
    <mergeCell ref="B54:I54"/>
  </mergeCells>
  <phoneticPr fontId="0" type="noConversion"/>
  <conditionalFormatting sqref="D38:E38">
    <cfRule type="cellIs" dxfId="922" priority="3" stopIfTrue="1" operator="notEqual">
      <formula>$Z$1</formula>
    </cfRule>
  </conditionalFormatting>
  <conditionalFormatting sqref="F34:I34">
    <cfRule type="cellIs" dxfId="921" priority="1" stopIfTrue="1" operator="notEqual">
      <formula>$O$2</formula>
    </cfRule>
  </conditionalFormatting>
  <conditionalFormatting sqref="F10:J10">
    <cfRule type="cellIs" dxfId="920" priority="2" stopIfTrue="1" operator="notEqual">
      <formula>$P$2</formula>
    </cfRule>
  </conditionalFormatting>
  <dataValidations count="6">
    <dataValidation type="list" allowBlank="1" showInputMessage="1" showErrorMessage="1" errorTitle="Training Programme" error="Choose item from Dropdown list! " sqref="H18:H33" xr:uid="{00000000-0002-0000-0A00-000000000000}">
      <formula1>$AO$5:$AO$7</formula1>
    </dataValidation>
    <dataValidation type="list" allowBlank="1" showInputMessage="1" showErrorMessage="1" errorTitle="QUALIFYING INDIVIDUAL" error="Choose item from Dropdown list! " sqref="G18:G33" xr:uid="{00000000-0002-0000-0A00-000001000000}">
      <formula1>$AO$16:$AO$19</formula1>
    </dataValidation>
    <dataValidation type="whole" operator="greaterThanOrEqual" allowBlank="1" showInputMessage="1" showErrorMessage="1" error="POSITIVE VALUE!" sqref="E18:F33" xr:uid="{00000000-0002-0000-0A00-000002000000}">
      <formula1>0</formula1>
    </dataValidation>
    <dataValidation type="textLength" operator="equal" allowBlank="1" showInputMessage="1" showErrorMessage="1" errorTitle="TRA 2" error="Please enter a valid employer reference." sqref="E10" xr:uid="{00000000-0002-0000-0A00-000003000000}">
      <formula1>6</formula1>
    </dataValidation>
    <dataValidation type="list" allowBlank="1" showInputMessage="1" showErrorMessage="1" errorTitle="Choose item from Dropdown list! " sqref="D56" xr:uid="{00000000-0002-0000-0A00-000004000000}">
      <formula1>$AO$5:$AO$7</formula1>
    </dataValidation>
    <dataValidation type="decimal" allowBlank="1" showInputMessage="1" showErrorMessage="1" errorTitle="Rates of Tax" error="Please enter a value expressed as a decimal!" sqref="F41:I41" xr:uid="{00000000-0002-0000-0A00-000005000000}">
      <formula1>0</formula1>
      <formula2>0.35</formula2>
    </dataValidation>
  </dataValidations>
  <hyperlinks>
    <hyperlink ref="A58" location="Index!A1" display="Index!A1" xr:uid="{00000000-0004-0000-0A00-000000000000}"/>
    <hyperlink ref="A58:C58" location="Index!A1" display="Index!A1" xr:uid="{00000000-0004-0000-0A00-000001000000}"/>
  </hyperlinks>
  <pageMargins left="0.11811023622047245" right="0.15748031496062992" top="0.35433070866141736" bottom="0.98425196850393704" header="0.15748031496062992" footer="0.51181102362204722"/>
  <pageSetup paperSize="9" scale="84" orientation="portrait" r:id="rId2"/>
  <headerFooter alignWithMargins="0">
    <oddFooter>&amp;LName&amp;CSignature&amp;RDate</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BZ55"/>
  <sheetViews>
    <sheetView showGridLines="0" topLeftCell="B1" workbookViewId="0">
      <selection activeCell="B13" sqref="B13:F13"/>
    </sheetView>
  </sheetViews>
  <sheetFormatPr defaultColWidth="0" defaultRowHeight="12.75" zeroHeight="1" x14ac:dyDescent="0.2"/>
  <cols>
    <col min="1" max="1" width="1.7109375" style="28" customWidth="1"/>
    <col min="2" max="2" width="20.7109375" style="28" customWidth="1"/>
    <col min="3" max="3" width="32" style="28" customWidth="1"/>
    <col min="4" max="4" width="9.28515625" style="28" customWidth="1"/>
    <col min="5" max="5" width="8.42578125" style="28" customWidth="1"/>
    <col min="6" max="6" width="8.5703125" style="28" customWidth="1"/>
    <col min="7" max="7" width="10.7109375" style="31" customWidth="1"/>
    <col min="8" max="8" width="0.7109375" style="28" customWidth="1"/>
    <col min="9" max="78" width="9.28515625" style="28" hidden="1" customWidth="1"/>
    <col min="79" max="16384" width="0" style="142" hidden="1"/>
  </cols>
  <sheetData>
    <row r="1" spans="2:11" x14ac:dyDescent="0.2">
      <c r="B1" s="4456" t="str">
        <f>_ref1</f>
      </c>
      <c r="C1" s="4457"/>
      <c r="D1" s="4457"/>
      <c r="E1" s="4457"/>
      <c r="F1" s="4458"/>
      <c r="G1" s="391" t="str">
        <f>_YA1</f>
      </c>
      <c r="H1" s="29">
        <f>IF(G29=0,0,IF(ISBLANK(D3),1,0))</f>
      </c>
    </row>
    <row r="2" spans="2:11" ht="15" x14ac:dyDescent="0.2">
      <c r="B2" s="4468" t="s">
        <v>5619</v>
      </c>
      <c r="C2" s="4468"/>
      <c r="D2" s="4468"/>
      <c r="E2" s="4468"/>
      <c r="F2" s="4468"/>
      <c r="G2" s="4468"/>
    </row>
    <row r="3" spans="2:11" x14ac:dyDescent="0.2">
      <c r="B3" s="4469" t="s">
        <v>3123</v>
      </c>
      <c r="C3" s="4469"/>
      <c r="D3" s="4430"/>
      <c r="E3" s="4430"/>
      <c r="F3" s="4430"/>
      <c r="G3" s="4430"/>
      <c r="I3" s="142" t="s">
        <v>3124</v>
      </c>
      <c r="J3" s="142" t="s">
        <v>6303</v>
      </c>
      <c r="K3" s="142"/>
    </row>
    <row r="4" spans="2:11" x14ac:dyDescent="0.2">
      <c r="B4" s="4465" t="s">
        <v>4692</v>
      </c>
      <c r="C4" s="4466"/>
      <c r="D4" s="4466"/>
      <c r="E4" s="4466"/>
      <c r="F4" s="4467"/>
      <c r="G4" s="392" t="s">
        <v>4693</v>
      </c>
      <c r="I4" s="142"/>
      <c r="J4" s="142"/>
      <c r="K4" s="142"/>
    </row>
    <row r="5" spans="2:11" x14ac:dyDescent="0.2">
      <c r="B5" s="4430"/>
      <c r="C5" s="4430"/>
      <c r="D5" s="4430"/>
      <c r="E5" s="4430"/>
      <c r="F5" s="4430"/>
      <c r="G5" s="223"/>
      <c r="I5" s="142"/>
      <c r="J5" s="142"/>
      <c r="K5" s="142"/>
    </row>
    <row r="6" spans="2:11" x14ac:dyDescent="0.2">
      <c r="B6" s="4430"/>
      <c r="C6" s="4430"/>
      <c r="D6" s="4430"/>
      <c r="E6" s="4430"/>
      <c r="F6" s="4430"/>
      <c r="G6" s="223"/>
      <c r="I6" s="142"/>
      <c r="J6" s="142"/>
      <c r="K6" s="142"/>
    </row>
    <row r="7" spans="2:11" x14ac:dyDescent="0.2">
      <c r="B7" s="4430"/>
      <c r="C7" s="4430"/>
      <c r="D7" s="4430"/>
      <c r="E7" s="4430"/>
      <c r="F7" s="4430"/>
      <c r="G7" s="223"/>
      <c r="I7" s="142"/>
      <c r="J7" s="142"/>
      <c r="K7" s="142"/>
    </row>
    <row r="8" spans="2:11" x14ac:dyDescent="0.2">
      <c r="B8" s="4430"/>
      <c r="C8" s="4430"/>
      <c r="D8" s="4430"/>
      <c r="E8" s="4430"/>
      <c r="F8" s="4430"/>
      <c r="G8" s="223"/>
      <c r="I8" s="142"/>
      <c r="J8" s="142"/>
      <c r="K8" s="142"/>
    </row>
    <row r="9" spans="2:11" x14ac:dyDescent="0.2">
      <c r="B9" s="4430"/>
      <c r="C9" s="4430"/>
      <c r="D9" s="4430"/>
      <c r="E9" s="4430"/>
      <c r="F9" s="4430"/>
      <c r="G9" s="223"/>
      <c r="I9" s="142"/>
      <c r="J9" s="142"/>
      <c r="K9" s="142"/>
    </row>
    <row r="10" spans="2:11" x14ac:dyDescent="0.2">
      <c r="B10" s="4430"/>
      <c r="C10" s="4430"/>
      <c r="D10" s="4430"/>
      <c r="E10" s="4430"/>
      <c r="F10" s="4430"/>
      <c r="G10" s="223"/>
      <c r="I10" s="142"/>
      <c r="J10" s="142"/>
      <c r="K10" s="142"/>
    </row>
    <row r="11" spans="2:11" x14ac:dyDescent="0.2">
      <c r="B11" s="4430"/>
      <c r="C11" s="4430"/>
      <c r="D11" s="4430"/>
      <c r="E11" s="4430"/>
      <c r="F11" s="4430"/>
      <c r="G11" s="223"/>
      <c r="I11" s="142"/>
      <c r="J11" s="142"/>
      <c r="K11" s="142"/>
    </row>
    <row r="12" spans="2:11" x14ac:dyDescent="0.2">
      <c r="B12" s="4430"/>
      <c r="C12" s="4430"/>
      <c r="D12" s="4430"/>
      <c r="E12" s="4430"/>
      <c r="F12" s="4430"/>
      <c r="G12" s="223"/>
      <c r="I12" s="142"/>
      <c r="J12" s="142"/>
      <c r="K12" s="142"/>
    </row>
    <row r="13" spans="2:11" x14ac:dyDescent="0.2">
      <c r="B13" s="4430"/>
      <c r="C13" s="4430"/>
      <c r="D13" s="4430"/>
      <c r="E13" s="4430"/>
      <c r="F13" s="4430"/>
      <c r="G13" s="223"/>
      <c r="I13" s="142"/>
      <c r="J13" s="142"/>
      <c r="K13" s="142"/>
    </row>
    <row r="14" spans="2:11" x14ac:dyDescent="0.2">
      <c r="B14" s="4430"/>
      <c r="C14" s="4430"/>
      <c r="D14" s="4430"/>
      <c r="E14" s="4430"/>
      <c r="F14" s="4430"/>
      <c r="G14" s="223"/>
      <c r="I14" s="142"/>
      <c r="J14" s="142"/>
      <c r="K14" s="142"/>
    </row>
    <row r="15" spans="2:11" x14ac:dyDescent="0.2">
      <c r="B15" s="4430"/>
      <c r="C15" s="4430"/>
      <c r="D15" s="4430"/>
      <c r="E15" s="4430"/>
      <c r="F15" s="4430"/>
      <c r="G15" s="223"/>
      <c r="I15" s="142"/>
      <c r="J15" s="142"/>
      <c r="K15" s="142"/>
    </row>
    <row r="16" spans="2:11" x14ac:dyDescent="0.2">
      <c r="B16" s="4430"/>
      <c r="C16" s="4430"/>
      <c r="D16" s="4430"/>
      <c r="E16" s="4430"/>
      <c r="F16" s="4430"/>
      <c r="G16" s="223"/>
      <c r="I16" s="142"/>
      <c r="J16" s="142"/>
      <c r="K16" s="142"/>
    </row>
    <row r="17" spans="2:11" x14ac:dyDescent="0.2">
      <c r="B17" s="4430"/>
      <c r="C17" s="4430"/>
      <c r="D17" s="4430"/>
      <c r="E17" s="4430"/>
      <c r="F17" s="4430"/>
      <c r="G17" s="223"/>
      <c r="I17" s="142"/>
      <c r="J17" s="142"/>
      <c r="K17" s="142"/>
    </row>
    <row r="18" spans="2:11" x14ac:dyDescent="0.2">
      <c r="B18" s="4430"/>
      <c r="C18" s="4430"/>
      <c r="D18" s="4430"/>
      <c r="E18" s="4430"/>
      <c r="F18" s="4430"/>
      <c r="G18" s="223"/>
      <c r="I18" s="142"/>
      <c r="J18" s="142"/>
      <c r="K18" s="142"/>
    </row>
    <row r="19" spans="2:11" x14ac:dyDescent="0.2">
      <c r="B19" s="4430"/>
      <c r="C19" s="4430"/>
      <c r="D19" s="4430"/>
      <c r="E19" s="4430"/>
      <c r="F19" s="4430"/>
      <c r="G19" s="223"/>
      <c r="I19" s="142"/>
      <c r="J19" s="142"/>
      <c r="K19" s="142"/>
    </row>
    <row r="20" spans="2:11" x14ac:dyDescent="0.2">
      <c r="B20" s="4430"/>
      <c r="C20" s="4430"/>
      <c r="D20" s="4430"/>
      <c r="E20" s="4430"/>
      <c r="F20" s="4430"/>
      <c r="G20" s="223"/>
      <c r="I20" s="142"/>
      <c r="J20" s="142"/>
      <c r="K20" s="142"/>
    </row>
    <row r="21" spans="2:11" x14ac:dyDescent="0.2">
      <c r="B21" s="4430"/>
      <c r="C21" s="4430"/>
      <c r="D21" s="4430"/>
      <c r="E21" s="4430"/>
      <c r="F21" s="4430"/>
      <c r="G21" s="223"/>
      <c r="I21" s="142"/>
      <c r="J21" s="142"/>
      <c r="K21" s="142"/>
    </row>
    <row r="22" spans="2:11" x14ac:dyDescent="0.2">
      <c r="B22" s="4430"/>
      <c r="C22" s="4430"/>
      <c r="D22" s="4430"/>
      <c r="E22" s="4430"/>
      <c r="F22" s="4430"/>
      <c r="G22" s="223"/>
      <c r="I22" s="142"/>
      <c r="J22" s="142"/>
      <c r="K22" s="142"/>
    </row>
    <row r="23" spans="2:11" x14ac:dyDescent="0.2">
      <c r="B23" s="4430"/>
      <c r="C23" s="4430"/>
      <c r="D23" s="4430"/>
      <c r="E23" s="4430"/>
      <c r="F23" s="4430"/>
      <c r="G23" s="223"/>
      <c r="I23" s="142"/>
      <c r="J23" s="142"/>
      <c r="K23" s="142"/>
    </row>
    <row r="24" spans="2:11" x14ac:dyDescent="0.2">
      <c r="B24" s="4430"/>
      <c r="C24" s="4430"/>
      <c r="D24" s="4430"/>
      <c r="E24" s="4430"/>
      <c r="F24" s="4430"/>
      <c r="G24" s="223"/>
      <c r="I24" s="142"/>
      <c r="J24" s="142"/>
      <c r="K24" s="142"/>
    </row>
    <row r="25" spans="2:11" x14ac:dyDescent="0.2">
      <c r="B25" s="4430"/>
      <c r="C25" s="4430"/>
      <c r="D25" s="4430"/>
      <c r="E25" s="4430"/>
      <c r="F25" s="4430"/>
      <c r="G25" s="223"/>
      <c r="I25" s="142"/>
      <c r="J25" s="142"/>
      <c r="K25" s="142"/>
    </row>
    <row r="26" spans="2:11" x14ac:dyDescent="0.2">
      <c r="B26" s="4430"/>
      <c r="C26" s="4430"/>
      <c r="D26" s="4430"/>
      <c r="E26" s="4430"/>
      <c r="F26" s="4430"/>
      <c r="G26" s="223"/>
      <c r="I26" s="142"/>
      <c r="J26" s="142"/>
      <c r="K26" s="142"/>
    </row>
    <row r="27" spans="2:11" x14ac:dyDescent="0.2">
      <c r="B27" s="4430"/>
      <c r="C27" s="4430"/>
      <c r="D27" s="4430"/>
      <c r="E27" s="4430"/>
      <c r="F27" s="4430"/>
      <c r="G27" s="223"/>
      <c r="I27" s="142"/>
      <c r="J27" s="142"/>
      <c r="K27" s="142"/>
    </row>
    <row r="28" spans="2:11" x14ac:dyDescent="0.2">
      <c r="B28" s="4463"/>
      <c r="C28" s="4463"/>
      <c r="D28" s="4463"/>
      <c r="E28" s="4463"/>
      <c r="F28" s="4463"/>
      <c r="G28" s="223"/>
      <c r="I28" s="142"/>
      <c r="J28" s="142"/>
      <c r="K28" s="142"/>
    </row>
    <row r="29" spans="2:11" x14ac:dyDescent="0.2">
      <c r="B29" s="332" t="s">
        <v>3125</v>
      </c>
      <c r="C29" s="333"/>
      <c r="D29" s="333"/>
      <c r="E29" s="333"/>
      <c r="F29" s="393">
        <f>SUM(G5:G28)</f>
      </c>
      <c r="G29" s="394">
        <f>SUM(G5:G28)</f>
      </c>
      <c r="I29" s="142"/>
      <c r="J29" s="142"/>
      <c r="K29" s="142"/>
    </row>
    <row r="30" spans="2:11" ht="4.5" customHeight="1" x14ac:dyDescent="0.2">
      <c r="B30" s="4459"/>
      <c r="C30" s="4460"/>
      <c r="D30" s="4460"/>
      <c r="E30" s="4461"/>
      <c r="F30" s="4461"/>
      <c r="G30" s="4462"/>
      <c r="I30" s="142"/>
      <c r="J30" s="142"/>
      <c r="K30" s="142"/>
    </row>
    <row r="31" spans="2:11" x14ac:dyDescent="0.2">
      <c r="B31" s="395" t="s">
        <v>3126</v>
      </c>
      <c r="C31" s="396" t="s">
        <v>3127</v>
      </c>
      <c r="D31" s="397"/>
      <c r="E31" s="398" t="str">
        <f>IF(F29=0,"",IF(ISBLANK(D31),"&lt; Rate!",""))</f>
        <v/>
      </c>
      <c r="F31" s="393"/>
      <c r="G31" s="394">
        <f>ROUND(G29*D31,0)</f>
      </c>
      <c r="I31" s="142"/>
      <c r="J31" s="142"/>
      <c r="K31" s="142"/>
    </row>
    <row r="32" spans="2:11" x14ac:dyDescent="0.2">
      <c r="B32" s="28" t="str">
        <f>_xlfn.SINGLE(MTCA)</f>
      </c>
      <c r="C32" s="4464" t="str">
        <f>ver</f>
        <v>TA2_e-CO_2025_Ver 1.1</v>
      </c>
      <c r="D32" s="4464"/>
      <c r="E32" s="4464"/>
      <c r="F32" s="4464"/>
      <c r="G32" s="60" t="s">
        <v>5618</v>
      </c>
      <c r="I32" s="142"/>
      <c r="J32" s="142"/>
      <c r="K32" s="142"/>
    </row>
    <row r="33" spans="2:35" x14ac:dyDescent="0.2">
      <c r="I33" s="142"/>
      <c r="J33" s="142"/>
      <c r="K33" s="142"/>
      <c r="AI33" s="28" t="s">
        <v>4457</v>
      </c>
    </row>
    <row r="34" spans="2:35" x14ac:dyDescent="0.2">
      <c r="C34" s="388" t="str">
        <f>COM</f>
      </c>
      <c r="D34" s="331"/>
      <c r="I34" s="142"/>
      <c r="J34" s="142"/>
      <c r="K34" s="142"/>
      <c r="AI34" s="28" t="s">
        <v>1736</v>
      </c>
    </row>
    <row r="35" spans="2:35" x14ac:dyDescent="0.2">
      <c r="I35" s="142">
        <f>IF(E31="",0,1)</f>
      </c>
      <c r="J35" s="142">
        <f>IF(I35&lt;&gt;0,100,IF(G29&lt;&gt;0,IF(D34="YES",1,100),0))</f>
      </c>
      <c r="K35" s="142"/>
    </row>
    <row r="36" spans="2:35" x14ac:dyDescent="0.2">
      <c r="B36" s="4418" t="s">
        <v>6290</v>
      </c>
      <c r="C36" s="4418"/>
    </row>
    <row r="37" spans="2:35" x14ac:dyDescent="0.2"/>
    <row r="55" spans="2:4" hidden="1" x14ac:dyDescent="0.2">
      <c r="B55" s="28">
        <f>IF(F29=0,0,1)</f>
      </c>
      <c r="C55" s="28">
        <f>IF(ISBLANK(D31),0,1)</f>
      </c>
      <c r="D55" s="28">
        <f>SUM(B55:C55)</f>
      </c>
    </row>
  </sheetData>
  <sheetProtection algorithmName="SHA-512" hashValue="OYSRlC6QFF1aseOLrjkCwduQgLtKLDZOiEhDFfG2WyjgUzJ9xLNY+xm7h/CMow1fR5DHtxMPHGGN0/NsKcjPsw==" saltValue="Y3/EOHZ04yPmnBC9N+CW5Q==" spinCount="100000" sheet="1" objects="1" scenarios="1"/>
  <customSheetViews>
    <customSheetView guid="{99B5278F-6EA9-4B1A-8623-27A4DF4AD5E4}" showGridLines="0" hiddenRows="1" hiddenColumns="1">
      <selection activeCell="D3" sqref="D3:G3"/>
      <pageMargins left="0.75" right="0.33" top="1" bottom="1" header="0.5" footer="0.5"/>
      <pageSetup paperSize="9" orientation="portrait" horizontalDpi="300" verticalDpi="300" r:id="rId1"/>
      <headerFooter alignWithMargins="0">
        <oddFooter>&amp;LName&amp;CSignature&amp;RDate</oddFooter>
      </headerFooter>
    </customSheetView>
  </customSheetViews>
  <mergeCells count="32">
    <mergeCell ref="B4:F4"/>
    <mergeCell ref="B5:F5"/>
    <mergeCell ref="B6:F6"/>
    <mergeCell ref="B1:F1"/>
    <mergeCell ref="B2:G2"/>
    <mergeCell ref="B3:C3"/>
    <mergeCell ref="D3:G3"/>
    <mergeCell ref="B15:F15"/>
    <mergeCell ref="B16:F16"/>
    <mergeCell ref="B7:F7"/>
    <mergeCell ref="B8:F8"/>
    <mergeCell ref="B9:F9"/>
    <mergeCell ref="B10:F10"/>
    <mergeCell ref="B11:F11"/>
    <mergeCell ref="B12:F12"/>
    <mergeCell ref="B13:F13"/>
    <mergeCell ref="B14:F14"/>
    <mergeCell ref="B22:F22"/>
    <mergeCell ref="B21:F21"/>
    <mergeCell ref="B17:F17"/>
    <mergeCell ref="B18:F18"/>
    <mergeCell ref="B19:F19"/>
    <mergeCell ref="B20:F20"/>
    <mergeCell ref="B23:F23"/>
    <mergeCell ref="B36:C36"/>
    <mergeCell ref="B30:G30"/>
    <mergeCell ref="B25:F25"/>
    <mergeCell ref="B26:F26"/>
    <mergeCell ref="B27:F27"/>
    <mergeCell ref="B28:F28"/>
    <mergeCell ref="C32:F32"/>
    <mergeCell ref="B24:F24"/>
  </mergeCells>
  <phoneticPr fontId="0" type="noConversion"/>
  <conditionalFormatting sqref="B2">
    <cfRule type="expression" dxfId="919" priority="1" stopIfTrue="1">
      <formula>$N$49="n"</formula>
    </cfRule>
  </conditionalFormatting>
  <conditionalFormatting sqref="B3:C3">
    <cfRule type="expression" dxfId="918" priority="4" stopIfTrue="1">
      <formula>$H$1&lt;&gt;0</formula>
    </cfRule>
  </conditionalFormatting>
  <conditionalFormatting sqref="F29">
    <cfRule type="cellIs" dxfId="917" priority="2" stopIfTrue="1" operator="equal">
      <formula>$G$29</formula>
    </cfRule>
  </conditionalFormatting>
  <conditionalFormatting sqref="F31">
    <cfRule type="cellIs" dxfId="916" priority="3" stopIfTrue="1" operator="equal">
      <formula>$G$31</formula>
    </cfRule>
  </conditionalFormatting>
  <dataValidations count="4">
    <dataValidation type="list" allowBlank="1" showInputMessage="1" showErrorMessage="1" errorTitle="Choose item from Dropdown list! " sqref="D34" xr:uid="{00000000-0002-0000-0B00-000000000000}">
      <formula1>$AI$32:$AI$34</formula1>
    </dataValidation>
    <dataValidation type="whole" errorStyle="warning" operator="equal" allowBlank="1" showInputMessage="1" showErrorMessage="1" errorTitle="Other Stat. Inflation of Exp." error="Check value entered!" sqref="G29 G31" xr:uid="{00000000-0002-0000-0B00-000001000000}">
      <formula1>F29</formula1>
    </dataValidation>
    <dataValidation type="decimal" allowBlank="1" showInputMessage="1" showErrorMessage="1" errorTitle="Statutory Inflation" error="Please enter a value expressed as a decimal or 1 for 100%!" sqref="D31" xr:uid="{00000000-0002-0000-0B00-000002000000}">
      <formula1>0</formula1>
      <formula2>1</formula2>
    </dataValidation>
    <dataValidation type="whole" operator="greaterThanOrEqual" allowBlank="1" showInputMessage="1" showErrorMessage="1" errorTitle="Amounts" error="Please enter a positive value!" sqref="G5:G28" xr:uid="{00000000-0002-0000-0B00-000003000000}">
      <formula1>0</formula1>
    </dataValidation>
  </dataValidations>
  <hyperlinks>
    <hyperlink ref="B36" location="Index!A1" display="Index!A1" xr:uid="{00000000-0004-0000-0B00-000000000000}"/>
    <hyperlink ref="B36:C36" location="Index!A1" display="Index!A1" xr:uid="{00000000-0004-0000-0B00-000001000000}"/>
  </hyperlinks>
  <pageMargins left="0.75" right="0.33" top="1" bottom="1" header="0.5" footer="0.5"/>
  <pageSetup paperSize="9" orientation="portrait" r:id="rId2"/>
  <headerFooter alignWithMargins="0">
    <oddFooter>&amp;LName&amp;CSignature&amp;RDate</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1:JD110"/>
  <sheetViews>
    <sheetView showGridLines="0" topLeftCell="B1" workbookViewId="0">
      <selection activeCell="C1" sqref="C1:I1"/>
    </sheetView>
  </sheetViews>
  <sheetFormatPr defaultColWidth="0" defaultRowHeight="12.75" customHeight="1" x14ac:dyDescent="0.2"/>
  <cols>
    <col min="1" max="1" width="4.42578125" style="28" hidden="1" customWidth="1"/>
    <col min="2" max="2" width="1.28515625" style="28" customWidth="1"/>
    <col min="3" max="3" width="47.28515625" style="28" customWidth="1"/>
    <col min="4" max="4" width="7.28515625" style="28" hidden="1" customWidth="1"/>
    <col min="5" max="6" width="9.7109375" style="28" customWidth="1"/>
    <col min="7" max="7" width="10" style="28" customWidth="1"/>
    <col min="8" max="11" width="9.7109375" style="28" customWidth="1"/>
    <col min="12" max="12" width="7.7109375" style="28" customWidth="1"/>
    <col min="13" max="13" width="1" style="28" customWidth="1"/>
    <col min="14" max="14" width="8.42578125" style="30" hidden="1" customWidth="1"/>
    <col min="15" max="15" width="2" style="28" hidden="1" customWidth="1"/>
    <col min="16" max="16" width="10.42578125" style="28" hidden="1" customWidth="1"/>
    <col min="17" max="17" width="4" style="28" hidden="1" customWidth="1"/>
    <col min="18" max="18" width="13.7109375" style="28" hidden="1" customWidth="1"/>
    <col min="19" max="19" width="12.7109375" style="28" hidden="1" customWidth="1"/>
    <col min="20" max="20" width="9.42578125" style="28" hidden="1" customWidth="1"/>
    <col min="21" max="23" width="6.7109375" style="28" hidden="1" customWidth="1"/>
    <col min="24" max="24" width="4.7109375" style="28" hidden="1" customWidth="1"/>
    <col min="25" max="26" width="6.7109375" style="28" hidden="1" customWidth="1"/>
    <col min="27" max="27" width="8.42578125" style="28" hidden="1" customWidth="1"/>
    <col min="28" max="28" width="4.42578125" style="28" hidden="1" customWidth="1"/>
    <col min="29" max="30" width="10.28515625" style="28" hidden="1" customWidth="1"/>
    <col min="31" max="31" width="4.7109375" style="28" hidden="1" customWidth="1"/>
    <col min="32" max="32" width="3.7109375" style="28" hidden="1" customWidth="1"/>
    <col min="33" max="33" width="7.7109375" style="28" hidden="1" customWidth="1"/>
    <col min="34" max="34" width="6.7109375" style="28" hidden="1" customWidth="1"/>
    <col min="35" max="35" width="4.42578125" style="28" hidden="1" customWidth="1"/>
    <col min="36" max="36" width="4" style="28" hidden="1" customWidth="1"/>
    <col min="37" max="37" width="10.28515625" style="28" hidden="1" customWidth="1"/>
    <col min="38" max="38" width="4.7109375" style="28" hidden="1" customWidth="1"/>
    <col min="39" max="39" width="3.7109375" style="28" hidden="1" customWidth="1"/>
    <col min="40" max="40" width="7.7109375" style="28" hidden="1" customWidth="1"/>
    <col min="41" max="70" width="6.7109375" style="28" hidden="1" customWidth="1"/>
    <col min="71" max="71" width="4.28515625" style="28" hidden="1" customWidth="1"/>
    <col min="72" max="251" width="6.7109375" style="28" hidden="1" customWidth="1"/>
    <col min="252" max="252" width="14.7109375" style="28" hidden="1" customWidth="1"/>
    <col min="253" max="255" width="6.7109375" style="28" hidden="1" customWidth="1"/>
    <col min="256" max="256" width="17.42578125" style="28" customWidth="1"/>
    <col min="257" max="257" width="0.7109375" style="28" customWidth="1"/>
    <col min="258" max="264" width="0" style="28" hidden="1" customWidth="1"/>
    <col min="265" max="16384" width="17.42578125" style="28" hidden="1"/>
  </cols>
  <sheetData>
    <row r="1" spans="1:264" s="3475" customFormat="1" x14ac:dyDescent="0.2">
      <c r="A1" s="28"/>
      <c r="B1" s="2"/>
      <c r="C1" s="4481" t="str">
        <f>ref&amp;"                                     "&amp;_nm1</f>
      </c>
      <c r="D1" s="4457"/>
      <c r="E1" s="4457"/>
      <c r="F1" s="4457"/>
      <c r="G1" s="4457"/>
      <c r="H1" s="4457"/>
      <c r="I1" s="4457"/>
      <c r="J1" s="399" t="str">
        <f>_YA1</f>
      </c>
      <c r="K1" s="3"/>
      <c r="L1" s="3"/>
      <c r="M1" s="3"/>
      <c r="N1" s="28"/>
      <c r="O1" s="28"/>
      <c r="P1" s="28" t="s">
        <v>360</v>
      </c>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4472" t="s">
        <v>964</v>
      </c>
      <c r="IX1" s="4470"/>
      <c r="IY1" s="4471"/>
      <c r="IZ1" s="4471"/>
      <c r="JA1" s="4471"/>
      <c r="JB1" s="4471"/>
      <c r="JC1" s="4471"/>
      <c r="JD1" s="4471"/>
    </row>
    <row r="2" spans="1:264" s="3475" customFormat="1" ht="18" x14ac:dyDescent="0.25">
      <c r="A2" s="28"/>
      <c r="B2" s="3"/>
      <c r="C2" s="4476" t="s">
        <v>361</v>
      </c>
      <c r="D2" s="4476"/>
      <c r="E2" s="4476"/>
      <c r="F2" s="4476"/>
      <c r="G2" s="4476"/>
      <c r="H2" s="4476"/>
      <c r="I2" s="4476"/>
      <c r="J2" s="4476"/>
      <c r="K2" s="3"/>
      <c r="L2" s="3"/>
      <c r="M2" s="3"/>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46" t="s">
        <v>1582</v>
      </c>
      <c r="IS2" s="28"/>
      <c r="IT2" s="28"/>
      <c r="IU2" s="28"/>
      <c r="IV2" s="4472"/>
    </row>
    <row r="3" spans="1:264" s="3475" customFormat="1" ht="15.75" customHeight="1" x14ac:dyDescent="0.2">
      <c r="A3" s="28"/>
      <c r="B3" s="3"/>
      <c r="C3" s="4474" t="s">
        <v>3556</v>
      </c>
      <c r="D3" s="4384" t="s">
        <v>2100</v>
      </c>
      <c r="E3" s="4475" t="s">
        <v>2101</v>
      </c>
      <c r="F3" s="4475" t="s">
        <v>2102</v>
      </c>
      <c r="G3" s="4475" t="s">
        <v>2103</v>
      </c>
      <c r="H3" s="4475" t="s">
        <v>2104</v>
      </c>
      <c r="I3" s="4477" t="s">
        <v>2263</v>
      </c>
      <c r="J3" s="4478"/>
      <c r="K3" s="3"/>
      <c r="L3" s="3"/>
      <c r="M3" s="3"/>
      <c r="N3" s="28"/>
      <c r="O3" s="28"/>
      <c r="P3" s="28"/>
      <c r="Q3" s="28"/>
      <c r="R3" s="4473" t="s">
        <v>2262</v>
      </c>
      <c r="S3" s="28"/>
      <c r="T3" s="28"/>
      <c r="U3" s="28"/>
      <c r="V3" s="28"/>
      <c r="W3" s="28"/>
      <c r="X3" s="28"/>
      <c r="Y3" s="28"/>
      <c r="Z3" s="28"/>
      <c r="AA3" s="28"/>
      <c r="AB3" s="28"/>
      <c r="AC3" s="28" t="s">
        <v>5806</v>
      </c>
      <c r="AD3" s="28" t="s">
        <v>3709</v>
      </c>
      <c r="AE3" s="28" t="s">
        <v>363</v>
      </c>
      <c r="AF3" s="28" t="s">
        <v>2372</v>
      </c>
      <c r="AG3" s="28" t="s">
        <v>3710</v>
      </c>
      <c r="AH3" s="28"/>
      <c r="AI3" s="28"/>
      <c r="AJ3" s="28" t="s">
        <v>5806</v>
      </c>
      <c r="AK3" s="28" t="s">
        <v>3709</v>
      </c>
      <c r="AL3" s="28" t="s">
        <v>363</v>
      </c>
      <c r="AM3" s="28" t="s">
        <v>2372</v>
      </c>
      <c r="AN3" s="28" t="s">
        <v>3710</v>
      </c>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B3" s="28"/>
      <c r="IC3" s="28"/>
      <c r="ID3" s="28"/>
      <c r="IE3" s="28"/>
      <c r="IF3" s="28"/>
      <c r="IG3" s="28"/>
      <c r="IH3" s="28"/>
      <c r="II3" s="28"/>
      <c r="IJ3" s="28"/>
      <c r="IK3" s="28"/>
      <c r="IL3" s="28"/>
      <c r="IM3" s="28"/>
      <c r="IN3" s="28"/>
      <c r="IO3" s="28"/>
      <c r="IP3" s="28"/>
      <c r="IQ3" s="28"/>
      <c r="IR3" s="46" t="s">
        <v>2212</v>
      </c>
      <c r="IS3" s="28"/>
      <c r="IT3" s="28"/>
      <c r="IU3" s="28"/>
      <c r="IV3" s="4472"/>
    </row>
    <row r="4" spans="1:264" s="3475" customFormat="1" ht="12.75" customHeight="1" x14ac:dyDescent="0.2">
      <c r="A4" s="28"/>
      <c r="B4" s="3"/>
      <c r="C4" s="4474"/>
      <c r="D4" s="4384"/>
      <c r="E4" s="4475"/>
      <c r="F4" s="4475"/>
      <c r="G4" s="4475"/>
      <c r="H4" s="4475"/>
      <c r="I4" s="4479"/>
      <c r="J4" s="4480"/>
      <c r="K4" s="3"/>
      <c r="L4" s="3"/>
      <c r="M4" s="3"/>
      <c r="N4" s="28"/>
      <c r="O4" s="28"/>
      <c r="P4" s="28"/>
      <c r="Q4" s="28"/>
      <c r="R4" s="4473"/>
      <c r="S4" s="4473" t="s">
        <v>362</v>
      </c>
      <c r="T4" s="28"/>
      <c r="U4" s="28"/>
      <c r="V4" s="28"/>
      <c r="W4" s="28"/>
      <c r="X4" s="28" t="s">
        <v>363</v>
      </c>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4472"/>
    </row>
    <row r="5" spans="1:264" s="3475" customFormat="1" ht="12.75" customHeight="1" x14ac:dyDescent="0.2">
      <c r="A5" s="28"/>
      <c r="B5" s="3"/>
      <c r="C5" s="4474"/>
      <c r="D5" s="4384"/>
      <c r="E5" s="4475"/>
      <c r="F5" s="4475"/>
      <c r="G5" s="4475"/>
      <c r="H5" s="4475"/>
      <c r="I5" s="402" t="s">
        <v>364</v>
      </c>
      <c r="J5" s="402" t="s">
        <v>2371</v>
      </c>
      <c r="K5" s="3"/>
      <c r="L5" s="3"/>
      <c r="M5" s="3"/>
      <c r="N5" s="28"/>
      <c r="O5" s="28"/>
      <c r="P5" s="28"/>
      <c r="Q5" s="28"/>
      <c r="R5" s="4473"/>
      <c r="S5" s="4473"/>
      <c r="T5" s="28" t="s">
        <v>364</v>
      </c>
      <c r="U5" s="28" t="s">
        <v>2371</v>
      </c>
      <c r="V5" s="28"/>
      <c r="W5" s="28"/>
      <c r="X5" s="28" t="s">
        <v>2372</v>
      </c>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4472"/>
    </row>
    <row r="6" spans="1:264" s="3475" customFormat="1" x14ac:dyDescent="0.2">
      <c r="A6" s="46" t="e">
        <f>VLOOKUP(B6,'TRA5'!$A$6:$J$270,1,FALSE)</f>
      </c>
      <c r="B6" s="2037">
        <v>1</v>
      </c>
      <c r="C6" s="124" t="str">
        <f>IF(ISERROR(A6),"",VLOOKUP(B6,'TRA5'!$A$6:$J$270,2,FALSE))</f>
        <v/>
      </c>
      <c r="D6" s="403" t="s">
        <v>363</v>
      </c>
      <c r="E6" s="279" t="str">
        <f>IF(ISERROR(A6),"",VLOOKUP($B6,'TRA5'!$A$6:$J$270,4,FALSE))</f>
        <v/>
      </c>
      <c r="F6" s="368" t="str">
        <f>IF(ISERROR(A6),"",VLOOKUP($B6,'TRA5'!$A$6:$J$270,9,FALSE))</f>
        <v/>
      </c>
      <c r="G6" s="368" t="str">
        <f>IF(ISERROR(A6),"",VLOOKUP($B6,'TRA5'!$A$6:$J$270,10,FALSE))</f>
        <v/>
      </c>
      <c r="H6" s="404"/>
      <c r="I6" s="405" t="str">
        <f>IF(D6="","",IF(H6="","",IF(IV6=$IR$3,0,T6)))</f>
        <v/>
      </c>
      <c r="J6" s="405" t="str">
        <f>IF(D6="","",IF(H6="","",IF(IV6=$IR$3,0,U6)))</f>
        <v/>
      </c>
      <c r="K6" s="406" t="str">
        <f>IF(C6="","",IF(H6="",$P$1,""))</f>
        <v/>
      </c>
      <c r="L6" s="3"/>
      <c r="M6" s="3"/>
      <c r="N6" s="28"/>
      <c r="O6" s="28"/>
      <c r="P6" s="28"/>
      <c r="Q6" s="28">
        <f t="shared" ref="Q6:Q66" si="0">IF(ISERROR(A6),0,G6)</f>
      </c>
      <c r="R6" s="28">
        <f t="shared" ref="R6:R66" si="1">IF(H6&gt;F6,F6,H6)</f>
      </c>
      <c r="S6" s="32">
        <f>ROUND(R6-Q6,0)</f>
      </c>
      <c r="T6" s="28">
        <f t="shared" ref="T6:T66" si="2">IF(S6&lt;=0,S6*-1,0)</f>
      </c>
      <c r="U6" s="28">
        <f t="shared" ref="U6:U66" si="3">IF(S6&lt;=0,0,S6)</f>
      </c>
      <c r="V6" s="28"/>
      <c r="W6" s="28"/>
      <c r="X6" s="28"/>
      <c r="Y6" s="28"/>
      <c r="Z6" s="28"/>
      <c r="AA6" s="28"/>
      <c r="AB6" s="28"/>
      <c r="AC6" s="28"/>
      <c r="AD6" s="28"/>
      <c r="AE6" s="28" t="str">
        <f t="shared" ref="AE6:AE66" si="4">IF($D6=mt,$I6,0)</f>
        <v/>
      </c>
      <c r="AF6" s="30"/>
      <c r="AG6" s="28"/>
      <c r="AH6" s="28"/>
      <c r="AI6" s="28"/>
      <c r="AJ6" s="28"/>
      <c r="AK6" s="28"/>
      <c r="AL6" s="28" t="str">
        <f t="shared" ref="AL6:AL66" si="5">IF($D6=mt,$J6,0)</f>
        <v/>
      </c>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366" t="s">
        <v>1582</v>
      </c>
    </row>
    <row r="7" spans="1:264" s="3475" customFormat="1" x14ac:dyDescent="0.2">
      <c r="A7" s="46" t="e">
        <f>VLOOKUP(B7,'TRA5'!$A$6:$J$270,1,FALSE)</f>
      </c>
      <c r="B7" s="2037">
        <v>2</v>
      </c>
      <c r="C7" s="124" t="str">
        <f>IF(ISERROR(A7),"",VLOOKUP(B7,'TRA5'!$A$6:$J$270,2,FALSE))</f>
        <v/>
      </c>
      <c r="D7" s="403" t="s">
        <v>363</v>
      </c>
      <c r="E7" s="279" t="str">
        <f>IF(ISERROR(A7),"",VLOOKUP($B7,'TRA5'!$A$6:$J$270,4,FALSE))</f>
        <v/>
      </c>
      <c r="F7" s="368" t="str">
        <f>IF(ISERROR(A7),"",VLOOKUP($B7,'TRA5'!$A$6:$J$270,9,FALSE))</f>
        <v/>
      </c>
      <c r="G7" s="368" t="str">
        <f>IF(ISERROR(A7),"",VLOOKUP($B7,'TRA5'!$A$6:$J$270,10,FALSE))</f>
        <v/>
      </c>
      <c r="H7" s="404"/>
      <c r="I7" s="405" t="str">
        <f>IF(D7="","",IF(H7="","",IF(IV7=$IR$3,0,T7)))</f>
        <v/>
      </c>
      <c r="J7" s="405" t="str">
        <f>IF(D7="","",IF(H7="","",IF(IV7=$IR$3,0,U7)))</f>
        <v/>
      </c>
      <c r="K7" s="406" t="str">
        <f t="shared" ref="K7:K66" si="6">IF(C7="","",IF(H7="",$P$1,""))</f>
        <v/>
      </c>
      <c r="L7" s="3"/>
      <c r="M7" s="3"/>
      <c r="N7" s="28"/>
      <c r="O7" s="28"/>
      <c r="P7" s="28"/>
      <c r="Q7" s="28">
        <f t="shared" si="0"/>
        <v>0</v>
      </c>
      <c r="R7" s="28">
        <f t="shared" si="1"/>
        <v>0</v>
      </c>
      <c r="S7" s="32">
        <f>ROUND(R7-Q7,0)</f>
      </c>
      <c r="T7" s="28">
        <f t="shared" si="2"/>
        <v>0</v>
      </c>
      <c r="U7" s="28">
        <f t="shared" si="3"/>
        <v>0</v>
      </c>
      <c r="V7" s="28"/>
      <c r="W7" s="28"/>
      <c r="X7" s="28"/>
      <c r="Y7" s="28"/>
      <c r="Z7" s="28"/>
      <c r="AA7" s="28"/>
      <c r="AB7" s="28"/>
      <c r="AC7" s="28"/>
      <c r="AD7" s="28"/>
      <c r="AE7" s="28" t="str">
        <f t="shared" si="4"/>
        <v/>
      </c>
      <c r="AF7" s="30"/>
      <c r="AG7" s="28"/>
      <c r="AH7" s="28"/>
      <c r="AI7" s="28"/>
      <c r="AJ7" s="28"/>
      <c r="AK7" s="28"/>
      <c r="AL7" s="28" t="str">
        <f t="shared" si="5"/>
        <v/>
      </c>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366" t="s">
        <v>1582</v>
      </c>
    </row>
    <row r="8" spans="1:264" s="3475" customFormat="1" x14ac:dyDescent="0.2">
      <c r="A8" s="46" t="e">
        <f>VLOOKUP(B8,'TRA5'!$A$6:$J$270,1,FALSE)</f>
      </c>
      <c r="B8" s="2037">
        <v>3</v>
      </c>
      <c r="C8" s="124" t="str">
        <f>IF(ISERROR(A8),"",VLOOKUP(B8,'TRA5'!$A$6:$J$270,2,FALSE))</f>
        <v/>
      </c>
      <c r="D8" s="403" t="s">
        <v>363</v>
      </c>
      <c r="E8" s="279" t="str">
        <f>IF(ISERROR(A8),"",VLOOKUP($B8,'TRA5'!$A$6:$J$270,4,FALSE))</f>
        <v/>
      </c>
      <c r="F8" s="368" t="str">
        <f>IF(ISERROR(A8),"",VLOOKUP($B8,'TRA5'!$A$6:$J$270,9,FALSE))</f>
        <v/>
      </c>
      <c r="G8" s="368" t="str">
        <f>IF(ISERROR(A8),"",VLOOKUP($B8,'TRA5'!$A$6:$J$270,10,FALSE))</f>
        <v/>
      </c>
      <c r="H8" s="404"/>
      <c r="I8" s="405" t="str">
        <f>IF(D8="","",IF(H8="","",IF(IV8=$IR$3,0,T8)))</f>
        <v/>
      </c>
      <c r="J8" s="405" t="str">
        <f>IF(D8="","",IF(H8="","",IF(IV8=$IR$3,0,U8)))</f>
        <v/>
      </c>
      <c r="K8" s="406" t="str">
        <f t="shared" si="6"/>
        <v/>
      </c>
      <c r="L8" s="3"/>
      <c r="M8" s="3"/>
      <c r="N8" s="28"/>
      <c r="O8" s="28"/>
      <c r="P8" s="28"/>
      <c r="Q8" s="28">
        <f t="shared" si="0"/>
        <v>0</v>
      </c>
      <c r="R8" s="28">
        <f t="shared" si="1"/>
        <v>0</v>
      </c>
      <c r="S8" s="32">
        <f>ROUND(R8-Q8,0)</f>
      </c>
      <c r="T8" s="28">
        <f t="shared" si="2"/>
        <v>0</v>
      </c>
      <c r="U8" s="28">
        <f t="shared" si="3"/>
        <v>0</v>
      </c>
      <c r="V8" s="28"/>
      <c r="W8" s="28"/>
      <c r="X8" s="28"/>
      <c r="Y8" s="28"/>
      <c r="Z8" s="28"/>
      <c r="AA8" s="28"/>
      <c r="AB8" s="28"/>
      <c r="AC8" s="28"/>
      <c r="AD8" s="28"/>
      <c r="AE8" s="28" t="str">
        <f t="shared" si="4"/>
        <v/>
      </c>
      <c r="AF8" s="30"/>
      <c r="AG8" s="28"/>
      <c r="AH8" s="28"/>
      <c r="AI8" s="28"/>
      <c r="AJ8" s="28"/>
      <c r="AK8" s="28"/>
      <c r="AL8" s="28" t="str">
        <f t="shared" si="5"/>
        <v/>
      </c>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366" t="s">
        <v>1582</v>
      </c>
    </row>
    <row r="9" spans="1:264" s="3475" customFormat="1" x14ac:dyDescent="0.2">
      <c r="A9" s="46" t="e">
        <f>VLOOKUP(B9,'TRA5'!$A$6:$J$270,1,FALSE)</f>
      </c>
      <c r="B9" s="2037">
        <v>4</v>
      </c>
      <c r="C9" s="124" t="str">
        <f>IF(ISERROR(A9),"",VLOOKUP(B9,'TRA5'!$A$6:$J$270,2,FALSE))</f>
        <v/>
      </c>
      <c r="D9" s="403" t="s">
        <v>363</v>
      </c>
      <c r="E9" s="279" t="str">
        <f>IF(ISERROR(A9),"",VLOOKUP($B9,'TRA5'!$A$6:$J$270,4,FALSE))</f>
        <v/>
      </c>
      <c r="F9" s="368" t="str">
        <f>IF(ISERROR(A9),"",VLOOKUP($B9,'TRA5'!$A$6:$J$270,9,FALSE))</f>
        <v/>
      </c>
      <c r="G9" s="368" t="str">
        <f>IF(ISERROR(A9),"",VLOOKUP($B9,'TRA5'!$A$6:$J$270,10,FALSE))</f>
        <v/>
      </c>
      <c r="H9" s="404"/>
      <c r="I9" s="405" t="str">
        <f>IF(D9="","",IF(H9="","",IF(IV9=$IR$3,0,T9)))</f>
        <v/>
      </c>
      <c r="J9" s="405" t="str">
        <f>IF(D9="","",IF(H9="","",IF(IV9=$IR$3,0,U9)))</f>
        <v/>
      </c>
      <c r="K9" s="406" t="str">
        <f t="shared" si="6"/>
        <v/>
      </c>
      <c r="L9" s="3"/>
      <c r="M9" s="3"/>
      <c r="N9" s="28"/>
      <c r="O9" s="28"/>
      <c r="P9" s="28"/>
      <c r="Q9" s="28">
        <f t="shared" si="0"/>
        <v>0</v>
      </c>
      <c r="R9" s="28">
        <f t="shared" si="1"/>
        <v>0</v>
      </c>
      <c r="S9" s="32">
        <f>ROUND(R9-Q9,0)</f>
      </c>
      <c r="T9" s="28">
        <f t="shared" si="2"/>
        <v>0</v>
      </c>
      <c r="U9" s="28">
        <f t="shared" si="3"/>
        <v>0</v>
      </c>
      <c r="V9" s="28"/>
      <c r="W9" s="28"/>
      <c r="X9" s="28"/>
      <c r="Y9" s="28"/>
      <c r="Z9" s="28"/>
      <c r="AA9" s="28"/>
      <c r="AB9" s="28"/>
      <c r="AC9" s="28"/>
      <c r="AD9" s="28"/>
      <c r="AE9" s="28" t="str">
        <f t="shared" si="4"/>
        <v/>
      </c>
      <c r="AF9" s="30"/>
      <c r="AG9" s="28"/>
      <c r="AH9" s="28"/>
      <c r="AI9" s="28"/>
      <c r="AJ9" s="28"/>
      <c r="AK9" s="28"/>
      <c r="AL9" s="28" t="str">
        <f t="shared" si="5"/>
        <v/>
      </c>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366" t="s">
        <v>1582</v>
      </c>
    </row>
    <row r="10" spans="1:264" s="3475" customFormat="1" x14ac:dyDescent="0.2">
      <c r="A10" s="46" t="e">
        <f>VLOOKUP(B10,'TRA5'!$A$6:$J$270,1,FALSE)</f>
      </c>
      <c r="B10" s="2037">
        <v>5</v>
      </c>
      <c r="C10" s="124" t="str">
        <f>IF(ISERROR(A10),"",VLOOKUP(B10,'TRA5'!$A$6:$J$270,2,FALSE))</f>
        <v/>
      </c>
      <c r="D10" s="403" t="s">
        <v>363</v>
      </c>
      <c r="E10" s="279" t="str">
        <f>IF(ISERROR(A10),"",VLOOKUP($B10,'TRA5'!$A$6:$J$270,4,FALSE))</f>
        <v/>
      </c>
      <c r="F10" s="368" t="str">
        <f>IF(ISERROR(A10),"",VLOOKUP($B10,'TRA5'!$A$6:$J$270,9,FALSE))</f>
        <v/>
      </c>
      <c r="G10" s="368" t="str">
        <f>IF(ISERROR(A10),"",VLOOKUP($B10,'TRA5'!$A$6:$J$270,10,FALSE))</f>
        <v/>
      </c>
      <c r="H10" s="404"/>
      <c r="I10" s="405" t="str">
        <f t="shared" ref="I10:I40" si="7">IF(D10="","",IF(H10="","",IF(IV10=$IR$3,0,T10)))</f>
        <v/>
      </c>
      <c r="J10" s="405" t="str">
        <f t="shared" ref="J10:J40" si="8">IF(D10="","",IF(H10="","",IF(IV10=$IR$3,0,U10)))</f>
        <v/>
      </c>
      <c r="K10" s="406" t="str">
        <f t="shared" si="6"/>
        <v/>
      </c>
      <c r="L10" s="3"/>
      <c r="M10" s="3"/>
      <c r="N10" s="28"/>
      <c r="O10" s="28"/>
      <c r="P10" s="28"/>
      <c r="Q10" s="28">
        <f t="shared" ref="Q10:Q40" si="9">IF(ISERROR(A10),0,G10)</f>
      </c>
      <c r="R10" s="28">
        <f t="shared" ref="R10:R40" si="10">IF(H10&gt;F10,F10,H10)</f>
      </c>
      <c r="S10" s="32">
        <f t="shared" ref="S10:S40" si="11">ROUND(R10-Q10,0)</f>
      </c>
      <c r="T10" s="28">
        <f t="shared" ref="T10:T40" si="12">IF(S10&lt;=0,S10*-1,0)</f>
      </c>
      <c r="U10" s="28">
        <f t="shared" ref="U10:U40" si="13">IF(S10&lt;=0,0,S10)</f>
      </c>
      <c r="V10" s="28"/>
      <c r="W10" s="28"/>
      <c r="X10" s="28"/>
      <c r="Y10" s="28"/>
      <c r="Z10" s="28"/>
      <c r="AA10" s="28"/>
      <c r="AB10" s="28"/>
      <c r="AC10" s="28"/>
      <c r="AD10" s="28"/>
      <c r="AE10" s="28"/>
      <c r="AF10" s="30"/>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366" t="s">
        <v>1582</v>
      </c>
    </row>
    <row r="11" spans="1:264" s="3475" customFormat="1" x14ac:dyDescent="0.2">
      <c r="A11" s="46" t="e">
        <f>VLOOKUP(B11,'TRA5'!$A$6:$J$270,1,FALSE)</f>
      </c>
      <c r="B11" s="2037">
        <v>6</v>
      </c>
      <c r="C11" s="124" t="str">
        <f>IF(ISERROR(A11),"",VLOOKUP(B11,'TRA5'!$A$6:$J$270,2,FALSE))</f>
        <v/>
      </c>
      <c r="D11" s="403" t="s">
        <v>363</v>
      </c>
      <c r="E11" s="279" t="str">
        <f>IF(ISERROR(A11),"",VLOOKUP($B11,'TRA5'!$A$6:$J$270,4,FALSE))</f>
        <v/>
      </c>
      <c r="F11" s="368" t="str">
        <f>IF(ISERROR(A11),"",VLOOKUP($B11,'TRA5'!$A$6:$J$270,9,FALSE))</f>
        <v/>
      </c>
      <c r="G11" s="368" t="str">
        <f>IF(ISERROR(A11),"",VLOOKUP($B11,'TRA5'!$A$6:$J$270,10,FALSE))</f>
        <v/>
      </c>
      <c r="H11" s="404"/>
      <c r="I11" s="405" t="str">
        <f t="shared" si="7"/>
        <v/>
      </c>
      <c r="J11" s="405" t="str">
        <f t="shared" si="8"/>
        <v/>
      </c>
      <c r="K11" s="406" t="str">
        <f t="shared" si="6"/>
        <v/>
      </c>
      <c r="L11" s="3"/>
      <c r="M11" s="3"/>
      <c r="N11" s="28"/>
      <c r="O11" s="28"/>
      <c r="P11" s="28"/>
      <c r="Q11" s="28">
        <f t="shared" si="9"/>
        <v>0</v>
      </c>
      <c r="R11" s="28">
        <f t="shared" si="10"/>
        <v>0</v>
      </c>
      <c r="S11" s="32">
        <f t="shared" si="11"/>
        <v>0</v>
      </c>
      <c r="T11" s="28">
        <f t="shared" si="12"/>
        <v>0</v>
      </c>
      <c r="U11" s="28">
        <f t="shared" si="13"/>
        <v>0</v>
      </c>
      <c r="V11" s="28"/>
      <c r="W11" s="28"/>
      <c r="X11" s="28"/>
      <c r="Y11" s="28"/>
      <c r="Z11" s="28"/>
      <c r="AA11" s="28"/>
      <c r="AB11" s="28"/>
      <c r="AC11" s="28"/>
      <c r="AD11" s="28"/>
      <c r="AE11" s="28"/>
      <c r="AF11" s="30"/>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366" t="s">
        <v>1582</v>
      </c>
    </row>
    <row r="12" spans="1:264" s="3475" customFormat="1" x14ac:dyDescent="0.2">
      <c r="A12" s="46" t="e">
        <f>VLOOKUP(B12,'TRA5'!$A$6:$J$270,1,FALSE)</f>
      </c>
      <c r="B12" s="2037">
        <v>7</v>
      </c>
      <c r="C12" s="124" t="str">
        <f>IF(ISERROR(A12),"",VLOOKUP(B12,'TRA5'!$A$6:$J$270,2,FALSE))</f>
        <v/>
      </c>
      <c r="D12" s="403" t="s">
        <v>363</v>
      </c>
      <c r="E12" s="279" t="str">
        <f>IF(ISERROR(A12),"",VLOOKUP($B12,'TRA5'!$A$6:$J$270,4,FALSE))</f>
        <v/>
      </c>
      <c r="F12" s="368" t="str">
        <f>IF(ISERROR(A12),"",VLOOKUP($B12,'TRA5'!$A$6:$J$270,9,FALSE))</f>
        <v/>
      </c>
      <c r="G12" s="368" t="str">
        <f>IF(ISERROR(A12),"",VLOOKUP($B12,'TRA5'!$A$6:$J$270,10,FALSE))</f>
        <v/>
      </c>
      <c r="H12" s="404"/>
      <c r="I12" s="405" t="str">
        <f t="shared" si="7"/>
        <v/>
      </c>
      <c r="J12" s="405" t="str">
        <f t="shared" si="8"/>
        <v/>
      </c>
      <c r="K12" s="406" t="str">
        <f t="shared" si="6"/>
        <v/>
      </c>
      <c r="L12" s="3"/>
      <c r="M12" s="3"/>
      <c r="N12" s="28"/>
      <c r="O12" s="28"/>
      <c r="P12" s="28"/>
      <c r="Q12" s="28">
        <f t="shared" si="9"/>
        <v>0</v>
      </c>
      <c r="R12" s="28">
        <f t="shared" si="10"/>
        <v>0</v>
      </c>
      <c r="S12" s="32">
        <f t="shared" si="11"/>
        <v>0</v>
      </c>
      <c r="T12" s="28">
        <f t="shared" si="12"/>
        <v>0</v>
      </c>
      <c r="U12" s="28">
        <f t="shared" si="13"/>
        <v>0</v>
      </c>
      <c r="V12" s="28"/>
      <c r="W12" s="28"/>
      <c r="X12" s="28"/>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366" t="s">
        <v>1582</v>
      </c>
    </row>
    <row r="13" spans="1:264" s="3475" customFormat="1" x14ac:dyDescent="0.2">
      <c r="A13" s="46" t="e">
        <f>VLOOKUP(B13,'TRA5'!$A$6:$J$270,1,FALSE)</f>
      </c>
      <c r="B13" s="2037">
        <v>8</v>
      </c>
      <c r="C13" s="124" t="str">
        <f>IF(ISERROR(A13),"",VLOOKUP(B13,'TRA5'!$A$6:$J$270,2,FALSE))</f>
        <v/>
      </c>
      <c r="D13" s="403" t="s">
        <v>363</v>
      </c>
      <c r="E13" s="279" t="str">
        <f>IF(ISERROR(A13),"",VLOOKUP($B13,'TRA5'!$A$6:$J$270,4,FALSE))</f>
        <v/>
      </c>
      <c r="F13" s="368" t="str">
        <f>IF(ISERROR(A13),"",VLOOKUP($B13,'TRA5'!$A$6:$J$270,9,FALSE))</f>
        <v/>
      </c>
      <c r="G13" s="368" t="str">
        <f>IF(ISERROR(A13),"",VLOOKUP($B13,'TRA5'!$A$6:$J$270,10,FALSE))</f>
        <v/>
      </c>
      <c r="H13" s="404"/>
      <c r="I13" s="405" t="str">
        <f t="shared" si="7"/>
        <v/>
      </c>
      <c r="J13" s="405" t="str">
        <f t="shared" si="8"/>
        <v/>
      </c>
      <c r="K13" s="406" t="str">
        <f t="shared" si="6"/>
        <v/>
      </c>
      <c r="L13" s="3"/>
      <c r="M13" s="3"/>
      <c r="N13" s="28"/>
      <c r="O13" s="28"/>
      <c r="P13" s="28"/>
      <c r="Q13" s="28">
        <f t="shared" si="9"/>
        <v>0</v>
      </c>
      <c r="R13" s="28">
        <f t="shared" si="10"/>
        <v>0</v>
      </c>
      <c r="S13" s="32">
        <f t="shared" si="11"/>
        <v>0</v>
      </c>
      <c r="T13" s="28">
        <f t="shared" si="12"/>
        <v>0</v>
      </c>
      <c r="U13" s="28">
        <f t="shared" si="13"/>
        <v>0</v>
      </c>
      <c r="V13" s="28"/>
      <c r="W13" s="28"/>
      <c r="X13" s="28"/>
      <c r="Y13" s="28"/>
      <c r="Z13" s="28"/>
      <c r="AA13" s="28"/>
      <c r="AB13" s="28"/>
      <c r="AC13" s="28"/>
      <c r="AD13" s="28"/>
      <c r="AE13" s="28"/>
      <c r="AF13" s="30"/>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366" t="s">
        <v>1582</v>
      </c>
    </row>
    <row r="14" spans="1:264" s="3475" customFormat="1" x14ac:dyDescent="0.2">
      <c r="A14" s="46" t="e">
        <f>VLOOKUP(B14,'TRA5'!$A$6:$J$270,1,FALSE)</f>
      </c>
      <c r="B14" s="2037">
        <v>9</v>
      </c>
      <c r="C14" s="124" t="str">
        <f>IF(ISERROR(A14),"",VLOOKUP(B14,'TRA5'!$A$6:$J$270,2,FALSE))</f>
        <v/>
      </c>
      <c r="D14" s="403" t="s">
        <v>363</v>
      </c>
      <c r="E14" s="279" t="str">
        <f>IF(ISERROR(A14),"",VLOOKUP($B14,'TRA5'!$A$6:$J$270,4,FALSE))</f>
        <v/>
      </c>
      <c r="F14" s="368" t="str">
        <f>IF(ISERROR(A14),"",VLOOKUP($B14,'TRA5'!$A$6:$J$270,9,FALSE))</f>
        <v/>
      </c>
      <c r="G14" s="368" t="str">
        <f>IF(ISERROR(A14),"",VLOOKUP($B14,'TRA5'!$A$6:$J$270,10,FALSE))</f>
        <v/>
      </c>
      <c r="H14" s="404"/>
      <c r="I14" s="405" t="str">
        <f t="shared" si="7"/>
        <v/>
      </c>
      <c r="J14" s="405" t="str">
        <f t="shared" si="8"/>
        <v/>
      </c>
      <c r="K14" s="406" t="str">
        <f t="shared" si="6"/>
        <v/>
      </c>
      <c r="L14" s="3"/>
      <c r="M14" s="3"/>
      <c r="N14" s="28"/>
      <c r="O14" s="28"/>
      <c r="P14" s="28"/>
      <c r="Q14" s="28">
        <f t="shared" si="9"/>
        <v>0</v>
      </c>
      <c r="R14" s="28">
        <f t="shared" si="10"/>
        <v>0</v>
      </c>
      <c r="S14" s="32">
        <f t="shared" si="11"/>
        <v>0</v>
      </c>
      <c r="T14" s="28">
        <f t="shared" si="12"/>
        <v>0</v>
      </c>
      <c r="U14" s="28">
        <f t="shared" si="13"/>
        <v>0</v>
      </c>
      <c r="V14" s="28"/>
      <c r="W14" s="28"/>
      <c r="X14" s="28"/>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366" t="s">
        <v>1582</v>
      </c>
    </row>
    <row r="15" spans="1:264" s="3475" customFormat="1" x14ac:dyDescent="0.2">
      <c r="A15" s="46" t="e">
        <f>VLOOKUP(B15,'TRA5'!$A$6:$J$270,1,FALSE)</f>
      </c>
      <c r="B15" s="2037">
        <v>10</v>
      </c>
      <c r="C15" s="124" t="str">
        <f>IF(ISERROR(A15),"",VLOOKUP(B15,'TRA5'!$A$6:$J$270,2,FALSE))</f>
        <v/>
      </c>
      <c r="D15" s="403" t="s">
        <v>363</v>
      </c>
      <c r="E15" s="279" t="str">
        <f>IF(ISERROR(A15),"",VLOOKUP($B15,'TRA5'!$A$6:$J$270,4,FALSE))</f>
        <v/>
      </c>
      <c r="F15" s="368" t="str">
        <f>IF(ISERROR(A15),"",VLOOKUP($B15,'TRA5'!$A$6:$J$270,9,FALSE))</f>
        <v/>
      </c>
      <c r="G15" s="368" t="str">
        <f>IF(ISERROR(A15),"",VLOOKUP($B15,'TRA5'!$A$6:$J$270,10,FALSE))</f>
        <v/>
      </c>
      <c r="H15" s="404"/>
      <c r="I15" s="405" t="str">
        <f t="shared" si="7"/>
        <v/>
      </c>
      <c r="J15" s="405" t="str">
        <f t="shared" si="8"/>
        <v/>
      </c>
      <c r="K15" s="406" t="str">
        <f t="shared" si="6"/>
        <v/>
      </c>
      <c r="L15" s="3"/>
      <c r="M15" s="3"/>
      <c r="N15" s="28"/>
      <c r="O15" s="28"/>
      <c r="P15" s="28"/>
      <c r="Q15" s="28">
        <f t="shared" si="9"/>
        <v>0</v>
      </c>
      <c r="R15" s="28">
        <f t="shared" si="10"/>
        <v>0</v>
      </c>
      <c r="S15" s="32">
        <f t="shared" si="11"/>
        <v>0</v>
      </c>
      <c r="T15" s="28">
        <f t="shared" si="12"/>
        <v>0</v>
      </c>
      <c r="U15" s="28">
        <f t="shared" si="13"/>
        <v>0</v>
      </c>
      <c r="V15" s="28"/>
      <c r="W15" s="28"/>
      <c r="X15" s="28"/>
      <c r="Y15" s="28"/>
      <c r="Z15" s="28"/>
      <c r="AA15" s="28"/>
      <c r="AB15" s="28"/>
      <c r="AC15" s="28"/>
      <c r="AD15" s="28"/>
      <c r="AE15" s="28"/>
      <c r="AF15" s="30"/>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366" t="s">
        <v>1582</v>
      </c>
    </row>
    <row r="16" spans="1:264" s="3475" customFormat="1" x14ac:dyDescent="0.2">
      <c r="A16" s="46" t="e">
        <f>VLOOKUP(B16,'TRA5'!$A$6:$J$270,1,FALSE)</f>
      </c>
      <c r="B16" s="2037">
        <v>11</v>
      </c>
      <c r="C16" s="124" t="str">
        <f>IF(ISERROR(A16),"",VLOOKUP(B16,'TRA5'!$A$6:$J$270,2,FALSE))</f>
        <v/>
      </c>
      <c r="D16" s="403" t="s">
        <v>363</v>
      </c>
      <c r="E16" s="279" t="str">
        <f>IF(ISERROR(A16),"",VLOOKUP($B16,'TRA5'!$A$6:$J$270,4,FALSE))</f>
        <v/>
      </c>
      <c r="F16" s="368" t="str">
        <f>IF(ISERROR(A16),"",VLOOKUP($B16,'TRA5'!$A$6:$J$270,9,FALSE))</f>
        <v/>
      </c>
      <c r="G16" s="368" t="str">
        <f>IF(ISERROR(A16),"",VLOOKUP($B16,'TRA5'!$A$6:$J$270,10,FALSE))</f>
        <v/>
      </c>
      <c r="H16" s="404"/>
      <c r="I16" s="405" t="str">
        <f t="shared" si="7"/>
        <v/>
      </c>
      <c r="J16" s="405" t="str">
        <f t="shared" si="8"/>
        <v/>
      </c>
      <c r="K16" s="406" t="str">
        <f t="shared" si="6"/>
        <v/>
      </c>
      <c r="L16" s="3"/>
      <c r="M16" s="3"/>
      <c r="N16" s="28"/>
      <c r="O16" s="28"/>
      <c r="P16" s="28"/>
      <c r="Q16" s="28">
        <f t="shared" si="9"/>
        <v>0</v>
      </c>
      <c r="R16" s="28">
        <f t="shared" si="10"/>
        <v>0</v>
      </c>
      <c r="S16" s="32">
        <f t="shared" si="11"/>
        <v>0</v>
      </c>
      <c r="T16" s="28">
        <f t="shared" si="12"/>
        <v>0</v>
      </c>
      <c r="U16" s="28">
        <f t="shared" si="13"/>
        <v>0</v>
      </c>
      <c r="V16" s="28"/>
      <c r="W16" s="28"/>
      <c r="X16" s="28"/>
      <c r="Y16" s="28"/>
      <c r="Z16" s="28"/>
      <c r="AA16" s="28"/>
      <c r="AB16" s="28"/>
      <c r="AC16" s="28"/>
      <c r="AD16" s="28"/>
      <c r="AE16" s="28"/>
      <c r="AF16" s="30"/>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366" t="s">
        <v>1582</v>
      </c>
    </row>
    <row r="17" spans="1:256" s="3475" customFormat="1" x14ac:dyDescent="0.2">
      <c r="A17" s="46" t="e">
        <f>VLOOKUP(B17,'TRA5'!$A$6:$J$270,1,FALSE)</f>
      </c>
      <c r="B17" s="2037">
        <v>12</v>
      </c>
      <c r="C17" s="124" t="str">
        <f>IF(ISERROR(A17),"",VLOOKUP(B17,'TRA5'!$A$6:$J$270,2,FALSE))</f>
        <v/>
      </c>
      <c r="D17" s="403" t="s">
        <v>363</v>
      </c>
      <c r="E17" s="279" t="str">
        <f>IF(ISERROR(A17),"",VLOOKUP($B17,'TRA5'!$A$6:$J$270,4,FALSE))</f>
        <v/>
      </c>
      <c r="F17" s="368" t="str">
        <f>IF(ISERROR(A17),"",VLOOKUP($B17,'TRA5'!$A$6:$J$270,9,FALSE))</f>
        <v/>
      </c>
      <c r="G17" s="368" t="str">
        <f>IF(ISERROR(A17),"",VLOOKUP($B17,'TRA5'!$A$6:$J$270,10,FALSE))</f>
        <v/>
      </c>
      <c r="H17" s="404"/>
      <c r="I17" s="405" t="str">
        <f t="shared" si="7"/>
        <v/>
      </c>
      <c r="J17" s="405" t="str">
        <f t="shared" si="8"/>
        <v/>
      </c>
      <c r="K17" s="406" t="str">
        <f t="shared" si="6"/>
        <v/>
      </c>
      <c r="L17" s="3"/>
      <c r="M17" s="3"/>
      <c r="N17" s="28"/>
      <c r="O17" s="28"/>
      <c r="P17" s="28"/>
      <c r="Q17" s="28">
        <f t="shared" si="9"/>
        <v>0</v>
      </c>
      <c r="R17" s="28">
        <f t="shared" si="10"/>
        <v>0</v>
      </c>
      <c r="S17" s="32">
        <f t="shared" si="11"/>
        <v>0</v>
      </c>
      <c r="T17" s="28">
        <f t="shared" si="12"/>
        <v>0</v>
      </c>
      <c r="U17" s="28">
        <f t="shared" si="13"/>
        <v>0</v>
      </c>
      <c r="V17" s="28"/>
      <c r="W17" s="28"/>
      <c r="X17" s="28"/>
      <c r="Y17" s="28"/>
      <c r="Z17" s="28"/>
      <c r="AA17" s="28"/>
      <c r="AB17" s="28"/>
      <c r="AC17" s="28"/>
      <c r="AD17" s="28"/>
      <c r="AE17" s="28"/>
      <c r="AF17" s="30"/>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366" t="s">
        <v>1582</v>
      </c>
    </row>
    <row r="18" spans="1:256" s="3475" customFormat="1" x14ac:dyDescent="0.2">
      <c r="A18" s="46" t="e">
        <f>VLOOKUP(B18,'TRA5'!$A$6:$J$270,1,FALSE)</f>
      </c>
      <c r="B18" s="2037">
        <v>13</v>
      </c>
      <c r="C18" s="124" t="str">
        <f>IF(ISERROR(A18),"",VLOOKUP(B18,'TRA5'!$A$6:$J$270,2,FALSE))</f>
        <v/>
      </c>
      <c r="D18" s="403" t="s">
        <v>363</v>
      </c>
      <c r="E18" s="279" t="str">
        <f>IF(ISERROR(A18),"",VLOOKUP($B18,'TRA5'!$A$6:$J$270,4,FALSE))</f>
        <v/>
      </c>
      <c r="F18" s="368" t="str">
        <f>IF(ISERROR(A18),"",VLOOKUP($B18,'TRA5'!$A$6:$J$270,9,FALSE))</f>
        <v/>
      </c>
      <c r="G18" s="368" t="str">
        <f>IF(ISERROR(A18),"",VLOOKUP($B18,'TRA5'!$A$6:$J$270,10,FALSE))</f>
        <v/>
      </c>
      <c r="H18" s="404"/>
      <c r="I18" s="405" t="str">
        <f t="shared" si="7"/>
        <v/>
      </c>
      <c r="J18" s="405" t="str">
        <f t="shared" si="8"/>
        <v/>
      </c>
      <c r="K18" s="406" t="str">
        <f t="shared" si="6"/>
        <v/>
      </c>
      <c r="L18" s="3"/>
      <c r="M18" s="3"/>
      <c r="N18" s="28"/>
      <c r="O18" s="28"/>
      <c r="P18" s="28"/>
      <c r="Q18" s="28">
        <f t="shared" si="9"/>
        <v>0</v>
      </c>
      <c r="R18" s="28">
        <f t="shared" si="10"/>
        <v>0</v>
      </c>
      <c r="S18" s="32">
        <f t="shared" si="11"/>
        <v>0</v>
      </c>
      <c r="T18" s="28">
        <f t="shared" si="12"/>
        <v>0</v>
      </c>
      <c r="U18" s="28">
        <f t="shared" si="13"/>
        <v>0</v>
      </c>
      <c r="V18" s="28"/>
      <c r="W18" s="28"/>
      <c r="X18" s="28"/>
      <c r="Y18" s="28"/>
      <c r="Z18" s="28"/>
      <c r="AA18" s="28"/>
      <c r="AB18" s="28"/>
      <c r="AC18" s="28"/>
      <c r="AD18" s="28"/>
      <c r="AE18" s="28"/>
      <c r="AF18" s="30"/>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366" t="s">
        <v>1582</v>
      </c>
    </row>
    <row r="19" spans="1:256" s="3475" customFormat="1" x14ac:dyDescent="0.2">
      <c r="A19" s="46" t="e">
        <f>VLOOKUP(B19,'TRA5'!$A$6:$J$270,1,FALSE)</f>
      </c>
      <c r="B19" s="2037">
        <v>14</v>
      </c>
      <c r="C19" s="124" t="str">
        <f>IF(ISERROR(A19),"",VLOOKUP(B19,'TRA5'!$A$6:$J$270,2,FALSE))</f>
        <v/>
      </c>
      <c r="D19" s="403" t="s">
        <v>363</v>
      </c>
      <c r="E19" s="279" t="str">
        <f>IF(ISERROR(A19),"",VLOOKUP($B19,'TRA5'!$A$6:$J$270,4,FALSE))</f>
        <v/>
      </c>
      <c r="F19" s="368" t="str">
        <f>IF(ISERROR(A19),"",VLOOKUP($B19,'TRA5'!$A$6:$J$270,9,FALSE))</f>
        <v/>
      </c>
      <c r="G19" s="368" t="str">
        <f>IF(ISERROR(A19),"",VLOOKUP($B19,'TRA5'!$A$6:$J$270,10,FALSE))</f>
        <v/>
      </c>
      <c r="H19" s="404"/>
      <c r="I19" s="405" t="str">
        <f t="shared" si="7"/>
        <v/>
      </c>
      <c r="J19" s="405" t="str">
        <f t="shared" si="8"/>
        <v/>
      </c>
      <c r="K19" s="406" t="str">
        <f t="shared" si="6"/>
        <v/>
      </c>
      <c r="L19" s="3"/>
      <c r="M19" s="3"/>
      <c r="N19" s="28"/>
      <c r="O19" s="28"/>
      <c r="P19" s="28"/>
      <c r="Q19" s="28">
        <f t="shared" si="9"/>
        <v>0</v>
      </c>
      <c r="R19" s="28">
        <f t="shared" si="10"/>
        <v>0</v>
      </c>
      <c r="S19" s="32">
        <f t="shared" si="11"/>
        <v>0</v>
      </c>
      <c r="T19" s="28">
        <f t="shared" si="12"/>
        <v>0</v>
      </c>
      <c r="U19" s="28">
        <f t="shared" si="13"/>
        <v>0</v>
      </c>
      <c r="V19" s="28"/>
      <c r="W19" s="28"/>
      <c r="X19" s="28"/>
      <c r="Y19" s="28"/>
      <c r="Z19" s="28"/>
      <c r="AA19" s="28"/>
      <c r="AB19" s="28"/>
      <c r="AC19" s="28"/>
      <c r="AD19" s="28"/>
      <c r="AE19" s="28"/>
      <c r="AF19" s="30"/>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366" t="s">
        <v>1582</v>
      </c>
    </row>
    <row r="20" spans="1:256" s="3475" customFormat="1" x14ac:dyDescent="0.2">
      <c r="A20" s="46" t="e">
        <f>VLOOKUP(B20,'TRA5'!$A$6:$J$270,1,FALSE)</f>
      </c>
      <c r="B20" s="2037">
        <v>15</v>
      </c>
      <c r="C20" s="124" t="str">
        <f>IF(ISERROR(A20),"",VLOOKUP(B20,'TRA5'!$A$6:$J$270,2,FALSE))</f>
        <v/>
      </c>
      <c r="D20" s="403" t="s">
        <v>363</v>
      </c>
      <c r="E20" s="279" t="str">
        <f>IF(ISERROR(A20),"",VLOOKUP($B20,'TRA5'!$A$6:$J$270,4,FALSE))</f>
        <v/>
      </c>
      <c r="F20" s="368" t="str">
        <f>IF(ISERROR(A20),"",VLOOKUP($B20,'TRA5'!$A$6:$J$270,9,FALSE))</f>
        <v/>
      </c>
      <c r="G20" s="368" t="str">
        <f>IF(ISERROR(A20),"",VLOOKUP($B20,'TRA5'!$A$6:$J$270,10,FALSE))</f>
        <v/>
      </c>
      <c r="H20" s="404"/>
      <c r="I20" s="405" t="str">
        <f t="shared" si="7"/>
        <v/>
      </c>
      <c r="J20" s="405" t="str">
        <f t="shared" si="8"/>
        <v/>
      </c>
      <c r="K20" s="406" t="str">
        <f t="shared" si="6"/>
        <v/>
      </c>
      <c r="L20" s="3"/>
      <c r="M20" s="3"/>
      <c r="N20" s="28"/>
      <c r="O20" s="28"/>
      <c r="P20" s="28"/>
      <c r="Q20" s="28">
        <f t="shared" si="9"/>
        <v>0</v>
      </c>
      <c r="R20" s="28">
        <f t="shared" si="10"/>
        <v>0</v>
      </c>
      <c r="S20" s="32">
        <f t="shared" si="11"/>
        <v>0</v>
      </c>
      <c r="T20" s="28">
        <f t="shared" si="12"/>
        <v>0</v>
      </c>
      <c r="U20" s="28">
        <f t="shared" si="13"/>
        <v>0</v>
      </c>
      <c r="V20" s="28"/>
      <c r="W20" s="28"/>
      <c r="X20" s="28"/>
      <c r="Y20" s="28"/>
      <c r="Z20" s="28"/>
      <c r="AA20" s="28"/>
      <c r="AB20" s="28"/>
      <c r="AC20" s="28"/>
      <c r="AD20" s="28"/>
      <c r="AE20" s="28"/>
      <c r="AF20" s="30"/>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366" t="s">
        <v>1582</v>
      </c>
    </row>
    <row r="21" spans="1:256" s="3475" customFormat="1" x14ac:dyDescent="0.2">
      <c r="A21" s="46" t="e">
        <f>VLOOKUP(B21,'TRA5'!$A$6:$J$270,1,FALSE)</f>
      </c>
      <c r="B21" s="2037">
        <v>16</v>
      </c>
      <c r="C21" s="124" t="str">
        <f>IF(ISERROR(A21),"",VLOOKUP(B21,'TRA5'!$A$6:$J$270,2,FALSE))</f>
        <v/>
      </c>
      <c r="D21" s="403" t="s">
        <v>363</v>
      </c>
      <c r="E21" s="279" t="str">
        <f>IF(ISERROR(A21),"",VLOOKUP($B21,'TRA5'!$A$6:$J$270,4,FALSE))</f>
        <v/>
      </c>
      <c r="F21" s="368" t="str">
        <f>IF(ISERROR(A21),"",VLOOKUP($B21,'TRA5'!$A$6:$J$270,9,FALSE))</f>
        <v/>
      </c>
      <c r="G21" s="368" t="str">
        <f>IF(ISERROR(A21),"",VLOOKUP($B21,'TRA5'!$A$6:$J$270,10,FALSE))</f>
        <v/>
      </c>
      <c r="H21" s="404"/>
      <c r="I21" s="405" t="str">
        <f t="shared" si="7"/>
        <v/>
      </c>
      <c r="J21" s="405" t="str">
        <f t="shared" si="8"/>
        <v/>
      </c>
      <c r="K21" s="406" t="str">
        <f t="shared" si="6"/>
        <v/>
      </c>
      <c r="L21" s="3"/>
      <c r="M21" s="3"/>
      <c r="N21" s="28"/>
      <c r="O21" s="28"/>
      <c r="P21" s="28"/>
      <c r="Q21" s="28">
        <f t="shared" si="9"/>
        <v>0</v>
      </c>
      <c r="R21" s="28">
        <f t="shared" si="10"/>
        <v>0</v>
      </c>
      <c r="S21" s="32">
        <f t="shared" si="11"/>
        <v>0</v>
      </c>
      <c r="T21" s="28">
        <f t="shared" si="12"/>
        <v>0</v>
      </c>
      <c r="U21" s="28">
        <f t="shared" si="13"/>
        <v>0</v>
      </c>
      <c r="V21" s="28"/>
      <c r="W21" s="28"/>
      <c r="X21" s="28"/>
      <c r="Y21" s="28"/>
      <c r="Z21" s="28"/>
      <c r="AA21" s="28"/>
      <c r="AB21" s="28"/>
      <c r="AC21" s="28"/>
      <c r="AD21" s="28"/>
      <c r="AE21" s="28"/>
      <c r="AF21" s="30"/>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366" t="s">
        <v>1582</v>
      </c>
    </row>
    <row r="22" spans="1:256" s="3475" customFormat="1" x14ac:dyDescent="0.2">
      <c r="A22" s="46" t="e">
        <f>VLOOKUP(B22,'TRA5'!$A$6:$J$270,1,FALSE)</f>
      </c>
      <c r="B22" s="2037">
        <v>17</v>
      </c>
      <c r="C22" s="124" t="str">
        <f>IF(ISERROR(A22),"",VLOOKUP(B22,'TRA5'!$A$6:$J$270,2,FALSE))</f>
        <v/>
      </c>
      <c r="D22" s="403" t="s">
        <v>363</v>
      </c>
      <c r="E22" s="279" t="str">
        <f>IF(ISERROR(A22),"",VLOOKUP($B22,'TRA5'!$A$6:$J$270,4,FALSE))</f>
        <v/>
      </c>
      <c r="F22" s="368" t="str">
        <f>IF(ISERROR(A22),"",VLOOKUP($B22,'TRA5'!$A$6:$J$270,9,FALSE))</f>
        <v/>
      </c>
      <c r="G22" s="368" t="str">
        <f>IF(ISERROR(A22),"",VLOOKUP($B22,'TRA5'!$A$6:$J$270,10,FALSE))</f>
        <v/>
      </c>
      <c r="H22" s="404"/>
      <c r="I22" s="405" t="str">
        <f t="shared" si="7"/>
        <v/>
      </c>
      <c r="J22" s="405" t="str">
        <f t="shared" si="8"/>
        <v/>
      </c>
      <c r="K22" s="406" t="str">
        <f t="shared" si="6"/>
        <v/>
      </c>
      <c r="L22" s="3"/>
      <c r="M22" s="3"/>
      <c r="N22" s="28"/>
      <c r="O22" s="28"/>
      <c r="P22" s="28"/>
      <c r="Q22" s="28">
        <f t="shared" si="9"/>
        <v>0</v>
      </c>
      <c r="R22" s="28">
        <f t="shared" si="10"/>
        <v>0</v>
      </c>
      <c r="S22" s="32">
        <f t="shared" si="11"/>
        <v>0</v>
      </c>
      <c r="T22" s="28">
        <f t="shared" si="12"/>
        <v>0</v>
      </c>
      <c r="U22" s="28">
        <f t="shared" si="13"/>
        <v>0</v>
      </c>
      <c r="V22" s="28"/>
      <c r="W22" s="28"/>
      <c r="X22" s="28"/>
      <c r="Y22" s="28"/>
      <c r="Z22" s="28"/>
      <c r="AA22" s="28"/>
      <c r="AB22" s="28"/>
      <c r="AC22" s="28"/>
      <c r="AD22" s="28"/>
      <c r="AE22" s="28"/>
      <c r="AF22" s="30"/>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366" t="s">
        <v>1582</v>
      </c>
    </row>
    <row r="23" spans="1:256" s="3475" customFormat="1" x14ac:dyDescent="0.2">
      <c r="A23" s="46" t="e">
        <f>VLOOKUP(B23,'TRA5'!$A$6:$J$270,1,FALSE)</f>
      </c>
      <c r="B23" s="2037">
        <v>18</v>
      </c>
      <c r="C23" s="124" t="str">
        <f>IF(ISERROR(A23),"",VLOOKUP(B23,'TRA5'!$A$6:$J$270,2,FALSE))</f>
        <v/>
      </c>
      <c r="D23" s="403" t="s">
        <v>363</v>
      </c>
      <c r="E23" s="279" t="str">
        <f>IF(ISERROR(A23),"",VLOOKUP($B23,'TRA5'!$A$6:$J$270,4,FALSE))</f>
        <v/>
      </c>
      <c r="F23" s="368" t="str">
        <f>IF(ISERROR(A23),"",VLOOKUP($B23,'TRA5'!$A$6:$J$270,9,FALSE))</f>
        <v/>
      </c>
      <c r="G23" s="368" t="str">
        <f>IF(ISERROR(A23),"",VLOOKUP($B23,'TRA5'!$A$6:$J$270,10,FALSE))</f>
        <v/>
      </c>
      <c r="H23" s="404"/>
      <c r="I23" s="405" t="str">
        <f t="shared" si="7"/>
        <v/>
      </c>
      <c r="J23" s="405" t="str">
        <f t="shared" si="8"/>
        <v/>
      </c>
      <c r="K23" s="406" t="str">
        <f t="shared" si="6"/>
        <v/>
      </c>
      <c r="L23" s="3"/>
      <c r="M23" s="3"/>
      <c r="N23" s="28"/>
      <c r="O23" s="28"/>
      <c r="P23" s="28"/>
      <c r="Q23" s="28">
        <f t="shared" si="9"/>
        <v>0</v>
      </c>
      <c r="R23" s="28">
        <f t="shared" si="10"/>
        <v>0</v>
      </c>
      <c r="S23" s="32">
        <f t="shared" si="11"/>
        <v>0</v>
      </c>
      <c r="T23" s="28">
        <f t="shared" si="12"/>
        <v>0</v>
      </c>
      <c r="U23" s="28">
        <f t="shared" si="13"/>
        <v>0</v>
      </c>
      <c r="V23" s="28"/>
      <c r="W23" s="28"/>
      <c r="X23" s="28"/>
      <c r="Y23" s="28"/>
      <c r="Z23" s="28"/>
      <c r="AA23" s="28"/>
      <c r="AB23" s="28"/>
      <c r="AC23" s="28"/>
      <c r="AD23" s="28"/>
      <c r="AE23" s="28"/>
      <c r="AF23" s="30"/>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366" t="s">
        <v>1582</v>
      </c>
    </row>
    <row r="24" spans="1:256" s="3475" customFormat="1" x14ac:dyDescent="0.2">
      <c r="A24" s="46" t="e">
        <f>VLOOKUP(B24,'TRA5'!$A$6:$J$270,1,FALSE)</f>
      </c>
      <c r="B24" s="2037">
        <v>19</v>
      </c>
      <c r="C24" s="124" t="str">
        <f>IF(ISERROR(A24),"",VLOOKUP(B24,'TRA5'!$A$6:$J$270,2,FALSE))</f>
        <v/>
      </c>
      <c r="D24" s="403" t="s">
        <v>363</v>
      </c>
      <c r="E24" s="279" t="str">
        <f>IF(ISERROR(A24),"",VLOOKUP($B24,'TRA5'!$A$6:$J$270,4,FALSE))</f>
        <v/>
      </c>
      <c r="F24" s="368" t="str">
        <f>IF(ISERROR(A24),"",VLOOKUP($B24,'TRA5'!$A$6:$J$270,9,FALSE))</f>
        <v/>
      </c>
      <c r="G24" s="368" t="str">
        <f>IF(ISERROR(A24),"",VLOOKUP($B24,'TRA5'!$A$6:$J$270,10,FALSE))</f>
        <v/>
      </c>
      <c r="H24" s="404"/>
      <c r="I24" s="405" t="str">
        <f t="shared" si="7"/>
        <v/>
      </c>
      <c r="J24" s="405" t="str">
        <f t="shared" si="8"/>
        <v/>
      </c>
      <c r="K24" s="406" t="str">
        <f t="shared" si="6"/>
        <v/>
      </c>
      <c r="L24" s="3"/>
      <c r="M24" s="3"/>
      <c r="N24" s="28"/>
      <c r="O24" s="28"/>
      <c r="P24" s="28"/>
      <c r="Q24" s="28">
        <f t="shared" si="9"/>
        <v>0</v>
      </c>
      <c r="R24" s="28">
        <f t="shared" si="10"/>
        <v>0</v>
      </c>
      <c r="S24" s="32">
        <f t="shared" si="11"/>
        <v>0</v>
      </c>
      <c r="T24" s="28">
        <f t="shared" si="12"/>
        <v>0</v>
      </c>
      <c r="U24" s="28">
        <f t="shared" si="13"/>
        <v>0</v>
      </c>
      <c r="V24" s="28"/>
      <c r="W24" s="28"/>
      <c r="X24" s="28"/>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366" t="s">
        <v>1582</v>
      </c>
    </row>
    <row r="25" spans="1:256" s="3475" customFormat="1" x14ac:dyDescent="0.2">
      <c r="A25" s="46" t="e">
        <f>VLOOKUP(B25,'TRA5'!$A$6:$J$270,1,FALSE)</f>
      </c>
      <c r="B25" s="2037">
        <v>20</v>
      </c>
      <c r="C25" s="124" t="str">
        <f>IF(ISERROR(A25),"",VLOOKUP(B25,'TRA5'!$A$6:$J$270,2,FALSE))</f>
        <v/>
      </c>
      <c r="D25" s="403" t="s">
        <v>363</v>
      </c>
      <c r="E25" s="279" t="str">
        <f>IF(ISERROR(A25),"",VLOOKUP($B25,'TRA5'!$A$6:$J$270,4,FALSE))</f>
        <v/>
      </c>
      <c r="F25" s="368" t="str">
        <f>IF(ISERROR(A25),"",VLOOKUP($B25,'TRA5'!$A$6:$J$270,9,FALSE))</f>
        <v/>
      </c>
      <c r="G25" s="368" t="str">
        <f>IF(ISERROR(A25),"",VLOOKUP($B25,'TRA5'!$A$6:$J$270,10,FALSE))</f>
        <v/>
      </c>
      <c r="H25" s="404"/>
      <c r="I25" s="405" t="str">
        <f t="shared" si="7"/>
        <v/>
      </c>
      <c r="J25" s="405" t="str">
        <f t="shared" si="8"/>
        <v/>
      </c>
      <c r="K25" s="406" t="str">
        <f t="shared" si="6"/>
        <v/>
      </c>
      <c r="L25" s="3"/>
      <c r="M25" s="3"/>
      <c r="N25" s="28"/>
      <c r="O25" s="28"/>
      <c r="P25" s="28"/>
      <c r="Q25" s="28">
        <f t="shared" si="9"/>
        <v>0</v>
      </c>
      <c r="R25" s="28">
        <f t="shared" si="10"/>
        <v>0</v>
      </c>
      <c r="S25" s="32">
        <f t="shared" si="11"/>
        <v>0</v>
      </c>
      <c r="T25" s="28">
        <f t="shared" si="12"/>
        <v>0</v>
      </c>
      <c r="U25" s="28">
        <f t="shared" si="13"/>
        <v>0</v>
      </c>
      <c r="V25" s="28"/>
      <c r="W25" s="28"/>
      <c r="X25" s="28"/>
      <c r="Y25" s="28"/>
      <c r="Z25" s="28"/>
      <c r="AA25" s="28"/>
      <c r="AB25" s="28"/>
      <c r="AC25" s="28"/>
      <c r="AD25" s="28"/>
      <c r="AE25" s="28"/>
      <c r="AF25" s="30"/>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366" t="s">
        <v>1582</v>
      </c>
    </row>
    <row r="26" spans="1:256" s="3475" customFormat="1" x14ac:dyDescent="0.2">
      <c r="A26" s="46" t="e">
        <f>VLOOKUP(B26,'TRA5'!$A$6:$J$270,1,FALSE)</f>
      </c>
      <c r="B26" s="2037">
        <v>21</v>
      </c>
      <c r="C26" s="124" t="str">
        <f>IF(ISERROR(A26),"",VLOOKUP(B26,'TRA5'!$A$6:$J$270,2,FALSE))</f>
        <v/>
      </c>
      <c r="D26" s="403" t="s">
        <v>363</v>
      </c>
      <c r="E26" s="279" t="str">
        <f>IF(ISERROR(A26),"",VLOOKUP($B26,'TRA5'!$A$6:$J$270,4,FALSE))</f>
        <v/>
      </c>
      <c r="F26" s="368" t="str">
        <f>IF(ISERROR(A26),"",VLOOKUP($B26,'TRA5'!$A$6:$J$270,9,FALSE))</f>
        <v/>
      </c>
      <c r="G26" s="368" t="str">
        <f>IF(ISERROR(A26),"",VLOOKUP($B26,'TRA5'!$A$6:$J$270,10,FALSE))</f>
        <v/>
      </c>
      <c r="H26" s="404"/>
      <c r="I26" s="405" t="str">
        <f t="shared" si="7"/>
        <v/>
      </c>
      <c r="J26" s="405" t="str">
        <f t="shared" si="8"/>
        <v/>
      </c>
      <c r="K26" s="406" t="str">
        <f t="shared" si="6"/>
        <v/>
      </c>
      <c r="L26" s="3"/>
      <c r="M26" s="3"/>
      <c r="N26" s="28"/>
      <c r="O26" s="28"/>
      <c r="P26" s="28"/>
      <c r="Q26" s="28">
        <f t="shared" si="9"/>
        <v>0</v>
      </c>
      <c r="R26" s="28">
        <f t="shared" si="10"/>
        <v>0</v>
      </c>
      <c r="S26" s="32">
        <f t="shared" si="11"/>
        <v>0</v>
      </c>
      <c r="T26" s="28">
        <f t="shared" si="12"/>
        <v>0</v>
      </c>
      <c r="U26" s="28">
        <f t="shared" si="13"/>
        <v>0</v>
      </c>
      <c r="V26" s="28"/>
      <c r="W26" s="28"/>
      <c r="X26" s="28"/>
      <c r="Y26" s="28"/>
      <c r="Z26" s="28"/>
      <c r="AA26" s="28"/>
      <c r="AB26" s="28"/>
      <c r="AC26" s="28"/>
      <c r="AD26" s="28"/>
      <c r="AE26" s="28"/>
      <c r="AF26" s="30"/>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366" t="s">
        <v>1582</v>
      </c>
    </row>
    <row r="27" spans="1:256" s="3475" customFormat="1" x14ac:dyDescent="0.2">
      <c r="A27" s="46" t="e">
        <f>VLOOKUP(B27,'TRA5'!$A$6:$J$270,1,FALSE)</f>
      </c>
      <c r="B27" s="2037">
        <v>22</v>
      </c>
      <c r="C27" s="124" t="str">
        <f>IF(ISERROR(A27),"",VLOOKUP(B27,'TRA5'!$A$6:$J$270,2,FALSE))</f>
        <v/>
      </c>
      <c r="D27" s="403" t="s">
        <v>363</v>
      </c>
      <c r="E27" s="279" t="str">
        <f>IF(ISERROR(A27),"",VLOOKUP($B27,'TRA5'!$A$6:$J$270,4,FALSE))</f>
        <v/>
      </c>
      <c r="F27" s="368" t="str">
        <f>IF(ISERROR(A27),"",VLOOKUP($B27,'TRA5'!$A$6:$J$270,9,FALSE))</f>
        <v/>
      </c>
      <c r="G27" s="368" t="str">
        <f>IF(ISERROR(A27),"",VLOOKUP($B27,'TRA5'!$A$6:$J$270,10,FALSE))</f>
        <v/>
      </c>
      <c r="H27" s="404"/>
      <c r="I27" s="405" t="str">
        <f t="shared" si="7"/>
        <v/>
      </c>
      <c r="J27" s="405" t="str">
        <f t="shared" si="8"/>
        <v/>
      </c>
      <c r="K27" s="406" t="str">
        <f t="shared" si="6"/>
        <v/>
      </c>
      <c r="L27" s="3"/>
      <c r="M27" s="3"/>
      <c r="N27" s="28"/>
      <c r="O27" s="28"/>
      <c r="P27" s="28"/>
      <c r="Q27" s="28">
        <f t="shared" si="9"/>
        <v>0</v>
      </c>
      <c r="R27" s="28">
        <f t="shared" si="10"/>
        <v>0</v>
      </c>
      <c r="S27" s="32">
        <f t="shared" si="11"/>
        <v>0</v>
      </c>
      <c r="T27" s="28">
        <f t="shared" si="12"/>
        <v>0</v>
      </c>
      <c r="U27" s="28">
        <f t="shared" si="13"/>
        <v>0</v>
      </c>
      <c r="V27" s="28"/>
      <c r="W27" s="28"/>
      <c r="X27" s="28"/>
      <c r="Y27" s="28"/>
      <c r="Z27" s="28"/>
      <c r="AA27" s="28"/>
      <c r="AB27" s="28"/>
      <c r="AC27" s="28"/>
      <c r="AD27" s="28"/>
      <c r="AE27" s="28"/>
      <c r="AF27" s="30"/>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366" t="s">
        <v>1582</v>
      </c>
    </row>
    <row r="28" spans="1:256" s="3475" customFormat="1" x14ac:dyDescent="0.2">
      <c r="A28" s="46" t="e">
        <f>VLOOKUP(B28,'TRA5'!$A$6:$J$270,1,FALSE)</f>
      </c>
      <c r="B28" s="2037">
        <v>23</v>
      </c>
      <c r="C28" s="124" t="str">
        <f>IF(ISERROR(A28),"",VLOOKUP(B28,'TRA5'!$A$6:$J$270,2,FALSE))</f>
        <v/>
      </c>
      <c r="D28" s="403" t="s">
        <v>363</v>
      </c>
      <c r="E28" s="279" t="str">
        <f>IF(ISERROR(A28),"",VLOOKUP($B28,'TRA5'!$A$6:$J$270,4,FALSE))</f>
        <v/>
      </c>
      <c r="F28" s="368" t="str">
        <f>IF(ISERROR(A28),"",VLOOKUP($B28,'TRA5'!$A$6:$J$270,9,FALSE))</f>
        <v/>
      </c>
      <c r="G28" s="368" t="str">
        <f>IF(ISERROR(A28),"",VLOOKUP($B28,'TRA5'!$A$6:$J$270,10,FALSE))</f>
        <v/>
      </c>
      <c r="H28" s="404"/>
      <c r="I28" s="405" t="str">
        <f t="shared" si="7"/>
        <v/>
      </c>
      <c r="J28" s="405" t="str">
        <f t="shared" si="8"/>
        <v/>
      </c>
      <c r="K28" s="406" t="str">
        <f t="shared" si="6"/>
        <v/>
      </c>
      <c r="L28" s="3"/>
      <c r="M28" s="3"/>
      <c r="N28" s="28"/>
      <c r="O28" s="28"/>
      <c r="P28" s="28"/>
      <c r="Q28" s="28">
        <f t="shared" si="9"/>
        <v>0</v>
      </c>
      <c r="R28" s="28">
        <f t="shared" si="10"/>
        <v>0</v>
      </c>
      <c r="S28" s="32">
        <f t="shared" si="11"/>
        <v>0</v>
      </c>
      <c r="T28" s="28">
        <f t="shared" si="12"/>
        <v>0</v>
      </c>
      <c r="U28" s="28">
        <f t="shared" si="13"/>
        <v>0</v>
      </c>
      <c r="V28" s="28"/>
      <c r="W28" s="28"/>
      <c r="X28" s="28"/>
      <c r="Y28" s="28"/>
      <c r="Z28" s="28"/>
      <c r="AA28" s="28"/>
      <c r="AB28" s="28"/>
      <c r="AC28" s="28"/>
      <c r="AD28" s="28"/>
      <c r="AE28" s="28"/>
      <c r="AF28" s="30"/>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366" t="s">
        <v>1582</v>
      </c>
    </row>
    <row r="29" spans="1:256" s="3475" customFormat="1" x14ac:dyDescent="0.2">
      <c r="A29" s="46" t="e">
        <f>VLOOKUP(B29,'TRA5'!$A$6:$J$270,1,FALSE)</f>
      </c>
      <c r="B29" s="2037">
        <v>24</v>
      </c>
      <c r="C29" s="124" t="str">
        <f>IF(ISERROR(A29),"",VLOOKUP(B29,'TRA5'!$A$6:$J$270,2,FALSE))</f>
        <v/>
      </c>
      <c r="D29" s="403" t="s">
        <v>363</v>
      </c>
      <c r="E29" s="279" t="str">
        <f>IF(ISERROR(A29),"",VLOOKUP($B29,'TRA5'!$A$6:$J$270,4,FALSE))</f>
        <v/>
      </c>
      <c r="F29" s="368" t="str">
        <f>IF(ISERROR(A29),"",VLOOKUP($B29,'TRA5'!$A$6:$J$270,9,FALSE))</f>
        <v/>
      </c>
      <c r="G29" s="368" t="str">
        <f>IF(ISERROR(A29),"",VLOOKUP($B29,'TRA5'!$A$6:$J$270,10,FALSE))</f>
        <v/>
      </c>
      <c r="H29" s="404"/>
      <c r="I29" s="405" t="str">
        <f t="shared" si="7"/>
        <v/>
      </c>
      <c r="J29" s="405" t="str">
        <f t="shared" si="8"/>
        <v/>
      </c>
      <c r="K29" s="406" t="str">
        <f t="shared" si="6"/>
        <v/>
      </c>
      <c r="L29" s="3"/>
      <c r="M29" s="3"/>
      <c r="N29" s="28"/>
      <c r="O29" s="28"/>
      <c r="P29" s="28"/>
      <c r="Q29" s="28">
        <f t="shared" si="9"/>
        <v>0</v>
      </c>
      <c r="R29" s="28">
        <f t="shared" si="10"/>
        <v>0</v>
      </c>
      <c r="S29" s="32">
        <f t="shared" si="11"/>
        <v>0</v>
      </c>
      <c r="T29" s="28">
        <f t="shared" si="12"/>
        <v>0</v>
      </c>
      <c r="U29" s="28">
        <f t="shared" si="13"/>
        <v>0</v>
      </c>
      <c r="V29" s="28"/>
      <c r="W29" s="28"/>
      <c r="X29" s="28"/>
      <c r="Y29" s="28"/>
      <c r="Z29" s="28"/>
      <c r="AA29" s="28"/>
      <c r="AB29" s="28"/>
      <c r="AC29" s="28"/>
      <c r="AD29" s="28"/>
      <c r="AE29" s="28"/>
      <c r="AF29" s="30"/>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366" t="s">
        <v>1582</v>
      </c>
    </row>
    <row r="30" spans="1:256" s="3475" customFormat="1" x14ac:dyDescent="0.2">
      <c r="A30" s="46" t="e">
        <f>VLOOKUP(B30,'TRA5'!$A$6:$J$270,1,FALSE)</f>
      </c>
      <c r="B30" s="2037">
        <v>25</v>
      </c>
      <c r="C30" s="124" t="str">
        <f>IF(ISERROR(A30),"",VLOOKUP(B30,'TRA5'!$A$6:$J$270,2,FALSE))</f>
        <v/>
      </c>
      <c r="D30" s="403" t="s">
        <v>363</v>
      </c>
      <c r="E30" s="279" t="str">
        <f>IF(ISERROR(A30),"",VLOOKUP($B30,'TRA5'!$A$6:$J$270,4,FALSE))</f>
        <v/>
      </c>
      <c r="F30" s="368" t="str">
        <f>IF(ISERROR(A30),"",VLOOKUP($B30,'TRA5'!$A$6:$J$270,9,FALSE))</f>
        <v/>
      </c>
      <c r="G30" s="368" t="str">
        <f>IF(ISERROR(A30),"",VLOOKUP($B30,'TRA5'!$A$6:$J$270,10,FALSE))</f>
        <v/>
      </c>
      <c r="H30" s="404"/>
      <c r="I30" s="405" t="str">
        <f t="shared" si="7"/>
        <v/>
      </c>
      <c r="J30" s="405" t="str">
        <f t="shared" si="8"/>
        <v/>
      </c>
      <c r="K30" s="406" t="str">
        <f t="shared" si="6"/>
        <v/>
      </c>
      <c r="L30" s="3"/>
      <c r="M30" s="3"/>
      <c r="N30" s="28"/>
      <c r="O30" s="28"/>
      <c r="P30" s="28"/>
      <c r="Q30" s="28">
        <f t="shared" si="9"/>
        <v>0</v>
      </c>
      <c r="R30" s="28">
        <f t="shared" si="10"/>
        <v>0</v>
      </c>
      <c r="S30" s="32">
        <f t="shared" si="11"/>
        <v>0</v>
      </c>
      <c r="T30" s="28">
        <f t="shared" si="12"/>
        <v>0</v>
      </c>
      <c r="U30" s="28">
        <f t="shared" si="13"/>
        <v>0</v>
      </c>
      <c r="V30" s="28"/>
      <c r="W30" s="28"/>
      <c r="X30" s="28"/>
      <c r="Y30" s="28"/>
      <c r="Z30" s="28"/>
      <c r="AA30" s="28"/>
      <c r="AB30" s="28"/>
      <c r="AC30" s="28"/>
      <c r="AD30" s="28"/>
      <c r="AE30" s="28"/>
      <c r="AF30" s="30"/>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366" t="s">
        <v>1582</v>
      </c>
    </row>
    <row r="31" spans="1:256" s="3475" customFormat="1" x14ac:dyDescent="0.2">
      <c r="A31" s="46" t="e">
        <f>VLOOKUP(B31,'TRA5'!$A$6:$J$270,1,FALSE)</f>
      </c>
      <c r="B31" s="2037">
        <v>26</v>
      </c>
      <c r="C31" s="124" t="str">
        <f>IF(ISERROR(A31),"",VLOOKUP(B31,'TRA5'!$A$6:$J$270,2,FALSE))</f>
        <v/>
      </c>
      <c r="D31" s="403" t="s">
        <v>363</v>
      </c>
      <c r="E31" s="279" t="str">
        <f>IF(ISERROR(A31),"",VLOOKUP($B31,'TRA5'!$A$6:$J$270,4,FALSE))</f>
        <v/>
      </c>
      <c r="F31" s="368" t="str">
        <f>IF(ISERROR(A31),"",VLOOKUP($B31,'TRA5'!$A$6:$J$270,9,FALSE))</f>
        <v/>
      </c>
      <c r="G31" s="368" t="str">
        <f>IF(ISERROR(A31),"",VLOOKUP($B31,'TRA5'!$A$6:$J$270,10,FALSE))</f>
        <v/>
      </c>
      <c r="H31" s="404"/>
      <c r="I31" s="405" t="str">
        <f t="shared" si="7"/>
        <v/>
      </c>
      <c r="J31" s="405" t="str">
        <f t="shared" si="8"/>
        <v/>
      </c>
      <c r="K31" s="406" t="str">
        <f t="shared" si="6"/>
        <v/>
      </c>
      <c r="L31" s="3"/>
      <c r="M31" s="3"/>
      <c r="N31" s="28"/>
      <c r="O31" s="28"/>
      <c r="P31" s="28"/>
      <c r="Q31" s="28">
        <f t="shared" si="9"/>
        <v>0</v>
      </c>
      <c r="R31" s="28">
        <f t="shared" si="10"/>
        <v>0</v>
      </c>
      <c r="S31" s="32">
        <f t="shared" si="11"/>
        <v>0</v>
      </c>
      <c r="T31" s="28">
        <f t="shared" si="12"/>
        <v>0</v>
      </c>
      <c r="U31" s="28">
        <f t="shared" si="13"/>
        <v>0</v>
      </c>
      <c r="V31" s="28"/>
      <c r="W31" s="28"/>
      <c r="X31" s="28"/>
      <c r="Y31" s="28"/>
      <c r="Z31" s="28"/>
      <c r="AA31" s="28"/>
      <c r="AB31" s="28"/>
      <c r="AC31" s="28"/>
      <c r="AD31" s="28"/>
      <c r="AE31" s="28"/>
      <c r="AF31" s="30"/>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366" t="s">
        <v>1582</v>
      </c>
    </row>
    <row r="32" spans="1:256" s="3475" customFormat="1" x14ac:dyDescent="0.2">
      <c r="A32" s="46" t="e">
        <f>VLOOKUP(B32,'TRA5'!$A$6:$J$270,1,FALSE)</f>
      </c>
      <c r="B32" s="2037">
        <v>27</v>
      </c>
      <c r="C32" s="124" t="str">
        <f>IF(ISERROR(A32),"",VLOOKUP(B32,'TRA5'!$A$6:$J$270,2,FALSE))</f>
        <v/>
      </c>
      <c r="D32" s="403" t="s">
        <v>363</v>
      </c>
      <c r="E32" s="279" t="str">
        <f>IF(ISERROR(A32),"",VLOOKUP($B32,'TRA5'!$A$6:$J$270,4,FALSE))</f>
        <v/>
      </c>
      <c r="F32" s="368" t="str">
        <f>IF(ISERROR(A32),"",VLOOKUP($B32,'TRA5'!$A$6:$J$270,9,FALSE))</f>
        <v/>
      </c>
      <c r="G32" s="368" t="str">
        <f>IF(ISERROR(A32),"",VLOOKUP($B32,'TRA5'!$A$6:$J$270,10,FALSE))</f>
        <v/>
      </c>
      <c r="H32" s="404"/>
      <c r="I32" s="405" t="str">
        <f t="shared" si="7"/>
        <v/>
      </c>
      <c r="J32" s="405" t="str">
        <f t="shared" si="8"/>
        <v/>
      </c>
      <c r="K32" s="406" t="str">
        <f t="shared" si="6"/>
        <v/>
      </c>
      <c r="L32" s="3"/>
      <c r="M32" s="3"/>
      <c r="N32" s="28"/>
      <c r="O32" s="28"/>
      <c r="P32" s="28"/>
      <c r="Q32" s="28">
        <f t="shared" si="9"/>
        <v>0</v>
      </c>
      <c r="R32" s="28">
        <f t="shared" si="10"/>
        <v>0</v>
      </c>
      <c r="S32" s="32">
        <f t="shared" si="11"/>
        <v>0</v>
      </c>
      <c r="T32" s="28">
        <f t="shared" si="12"/>
        <v>0</v>
      </c>
      <c r="U32" s="28">
        <f t="shared" si="13"/>
        <v>0</v>
      </c>
      <c r="V32" s="28"/>
      <c r="W32" s="28"/>
      <c r="X32" s="28"/>
      <c r="Y32" s="28"/>
      <c r="Z32" s="28"/>
      <c r="AA32" s="28"/>
      <c r="AB32" s="28"/>
      <c r="AC32" s="28"/>
      <c r="AD32" s="28"/>
      <c r="AE32" s="28"/>
      <c r="AF32" s="30"/>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366" t="s">
        <v>1582</v>
      </c>
    </row>
    <row r="33" spans="1:256" s="3475" customFormat="1" x14ac:dyDescent="0.2">
      <c r="A33" s="46" t="e">
        <f>VLOOKUP(B33,'TRA5'!$A$6:$J$270,1,FALSE)</f>
      </c>
      <c r="B33" s="2037">
        <v>28</v>
      </c>
      <c r="C33" s="124" t="str">
        <f>IF(ISERROR(A33),"",VLOOKUP(B33,'TRA5'!$A$6:$J$270,2,FALSE))</f>
        <v/>
      </c>
      <c r="D33" s="403" t="s">
        <v>363</v>
      </c>
      <c r="E33" s="279" t="str">
        <f>IF(ISERROR(A33),"",VLOOKUP($B33,'TRA5'!$A$6:$J$270,4,FALSE))</f>
        <v/>
      </c>
      <c r="F33" s="368" t="str">
        <f>IF(ISERROR(A33),"",VLOOKUP($B33,'TRA5'!$A$6:$J$270,9,FALSE))</f>
        <v/>
      </c>
      <c r="G33" s="368" t="str">
        <f>IF(ISERROR(A33),"",VLOOKUP($B33,'TRA5'!$A$6:$J$270,10,FALSE))</f>
        <v/>
      </c>
      <c r="H33" s="404"/>
      <c r="I33" s="405" t="str">
        <f t="shared" si="7"/>
        <v/>
      </c>
      <c r="J33" s="405" t="str">
        <f t="shared" si="8"/>
        <v/>
      </c>
      <c r="K33" s="406" t="str">
        <f t="shared" si="6"/>
        <v/>
      </c>
      <c r="L33" s="3"/>
      <c r="M33" s="3"/>
      <c r="N33" s="28"/>
      <c r="O33" s="28"/>
      <c r="P33" s="28"/>
      <c r="Q33" s="28">
        <f t="shared" si="9"/>
        <v>0</v>
      </c>
      <c r="R33" s="28">
        <f t="shared" si="10"/>
        <v>0</v>
      </c>
      <c r="S33" s="32">
        <f t="shared" si="11"/>
        <v>0</v>
      </c>
      <c r="T33" s="28">
        <f t="shared" si="12"/>
        <v>0</v>
      </c>
      <c r="U33" s="28">
        <f t="shared" si="13"/>
        <v>0</v>
      </c>
      <c r="V33" s="28"/>
      <c r="W33" s="28"/>
      <c r="X33" s="28"/>
      <c r="Y33" s="28"/>
      <c r="Z33" s="28"/>
      <c r="AA33" s="28"/>
      <c r="AB33" s="28"/>
      <c r="AC33" s="28"/>
      <c r="AD33" s="28"/>
      <c r="AE33" s="28"/>
      <c r="AF33" s="30"/>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366" t="s">
        <v>1582</v>
      </c>
    </row>
    <row r="34" spans="1:256" s="3475" customFormat="1" x14ac:dyDescent="0.2">
      <c r="A34" s="46" t="e">
        <f>VLOOKUP(B34,'TRA5'!$A$6:$J$270,1,FALSE)</f>
      </c>
      <c r="B34" s="2037">
        <v>29</v>
      </c>
      <c r="C34" s="124" t="str">
        <f>IF(ISERROR(A34),"",VLOOKUP(B34,'TRA5'!$A$6:$J$270,2,FALSE))</f>
        <v/>
      </c>
      <c r="D34" s="403" t="s">
        <v>363</v>
      </c>
      <c r="E34" s="279" t="str">
        <f>IF(ISERROR(A34),"",VLOOKUP($B34,'TRA5'!$A$6:$J$270,4,FALSE))</f>
        <v/>
      </c>
      <c r="F34" s="368" t="str">
        <f>IF(ISERROR(A34),"",VLOOKUP($B34,'TRA5'!$A$6:$J$270,9,FALSE))</f>
        <v/>
      </c>
      <c r="G34" s="368" t="str">
        <f>IF(ISERROR(A34),"",VLOOKUP($B34,'TRA5'!$A$6:$J$270,10,FALSE))</f>
        <v/>
      </c>
      <c r="H34" s="404"/>
      <c r="I34" s="405" t="str">
        <f t="shared" si="7"/>
        <v/>
      </c>
      <c r="J34" s="405" t="str">
        <f t="shared" si="8"/>
        <v/>
      </c>
      <c r="K34" s="406" t="str">
        <f t="shared" si="6"/>
        <v/>
      </c>
      <c r="L34" s="3"/>
      <c r="M34" s="3"/>
      <c r="N34" s="28"/>
      <c r="O34" s="28"/>
      <c r="P34" s="28"/>
      <c r="Q34" s="28">
        <f t="shared" si="9"/>
        <v>0</v>
      </c>
      <c r="R34" s="28">
        <f t="shared" si="10"/>
        <v>0</v>
      </c>
      <c r="S34" s="32">
        <f t="shared" si="11"/>
        <v>0</v>
      </c>
      <c r="T34" s="28">
        <f t="shared" si="12"/>
        <v>0</v>
      </c>
      <c r="U34" s="28">
        <f t="shared" si="13"/>
        <v>0</v>
      </c>
      <c r="V34" s="28"/>
      <c r="W34" s="28"/>
      <c r="X34" s="28"/>
      <c r="Y34" s="28"/>
      <c r="Z34" s="28"/>
      <c r="AA34" s="28"/>
      <c r="AB34" s="28"/>
      <c r="AC34" s="28"/>
      <c r="AD34" s="28"/>
      <c r="AE34" s="28"/>
      <c r="AF34" s="30"/>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366" t="s">
        <v>1582</v>
      </c>
    </row>
    <row r="35" spans="1:256" s="3475" customFormat="1" x14ac:dyDescent="0.2">
      <c r="A35" s="46" t="e">
        <f>VLOOKUP(B35,'TRA5'!$A$6:$J$270,1,FALSE)</f>
      </c>
      <c r="B35" s="2037">
        <v>30</v>
      </c>
      <c r="C35" s="124" t="str">
        <f>IF(ISERROR(A35),"",VLOOKUP(B35,'TRA5'!$A$6:$J$270,2,FALSE))</f>
        <v/>
      </c>
      <c r="D35" s="403" t="s">
        <v>363</v>
      </c>
      <c r="E35" s="279" t="str">
        <f>IF(ISERROR(A35),"",VLOOKUP($B35,'TRA5'!$A$6:$J$270,4,FALSE))</f>
        <v/>
      </c>
      <c r="F35" s="368" t="str">
        <f>IF(ISERROR(A35),"",VLOOKUP($B35,'TRA5'!$A$6:$J$270,9,FALSE))</f>
        <v/>
      </c>
      <c r="G35" s="368" t="str">
        <f>IF(ISERROR(A35),"",VLOOKUP($B35,'TRA5'!$A$6:$J$270,10,FALSE))</f>
        <v/>
      </c>
      <c r="H35" s="404"/>
      <c r="I35" s="405" t="str">
        <f t="shared" si="7"/>
        <v/>
      </c>
      <c r="J35" s="405" t="str">
        <f t="shared" si="8"/>
        <v/>
      </c>
      <c r="K35" s="406" t="str">
        <f t="shared" si="6"/>
        <v/>
      </c>
      <c r="L35" s="3"/>
      <c r="M35" s="3"/>
      <c r="N35" s="28"/>
      <c r="O35" s="28"/>
      <c r="P35" s="28"/>
      <c r="Q35" s="28">
        <f t="shared" si="9"/>
        <v>0</v>
      </c>
      <c r="R35" s="28">
        <f t="shared" si="10"/>
        <v>0</v>
      </c>
      <c r="S35" s="32">
        <f t="shared" si="11"/>
        <v>0</v>
      </c>
      <c r="T35" s="28">
        <f t="shared" si="12"/>
        <v>0</v>
      </c>
      <c r="U35" s="28">
        <f t="shared" si="13"/>
        <v>0</v>
      </c>
      <c r="V35" s="28"/>
      <c r="W35" s="28"/>
      <c r="X35" s="28"/>
      <c r="Y35" s="28"/>
      <c r="Z35" s="28"/>
      <c r="AA35" s="28"/>
      <c r="AB35" s="28"/>
      <c r="AC35" s="28"/>
      <c r="AD35" s="28"/>
      <c r="AE35" s="28"/>
      <c r="AF35" s="30"/>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366" t="s">
        <v>1582</v>
      </c>
    </row>
    <row r="36" spans="1:256" s="3475" customFormat="1" x14ac:dyDescent="0.2">
      <c r="A36" s="46" t="e">
        <f>VLOOKUP(B36,'TRA5'!$A$6:$J$270,1,FALSE)</f>
      </c>
      <c r="B36" s="2037">
        <v>31</v>
      </c>
      <c r="C36" s="124" t="str">
        <f>IF(ISERROR(A36),"",VLOOKUP(B36,'TRA5'!$A$6:$J$270,2,FALSE))</f>
        <v/>
      </c>
      <c r="D36" s="403" t="s">
        <v>363</v>
      </c>
      <c r="E36" s="279" t="str">
        <f>IF(ISERROR(A36),"",VLOOKUP($B36,'TRA5'!$A$6:$J$270,4,FALSE))</f>
        <v/>
      </c>
      <c r="F36" s="368" t="str">
        <f>IF(ISERROR(A36),"",VLOOKUP($B36,'TRA5'!$A$6:$J$270,9,FALSE))</f>
        <v/>
      </c>
      <c r="G36" s="368" t="str">
        <f>IF(ISERROR(A36),"",VLOOKUP($B36,'TRA5'!$A$6:$J$270,10,FALSE))</f>
        <v/>
      </c>
      <c r="H36" s="404"/>
      <c r="I36" s="405" t="str">
        <f t="shared" si="7"/>
        <v/>
      </c>
      <c r="J36" s="405" t="str">
        <f t="shared" si="8"/>
        <v/>
      </c>
      <c r="K36" s="406" t="str">
        <f t="shared" si="6"/>
        <v/>
      </c>
      <c r="L36" s="3"/>
      <c r="M36" s="3"/>
      <c r="N36" s="28"/>
      <c r="O36" s="28"/>
      <c r="P36" s="28"/>
      <c r="Q36" s="28">
        <f t="shared" si="9"/>
        <v>0</v>
      </c>
      <c r="R36" s="28">
        <f t="shared" si="10"/>
        <v>0</v>
      </c>
      <c r="S36" s="32">
        <f t="shared" si="11"/>
        <v>0</v>
      </c>
      <c r="T36" s="28">
        <f t="shared" si="12"/>
        <v>0</v>
      </c>
      <c r="U36" s="28">
        <f t="shared" si="13"/>
        <v>0</v>
      </c>
      <c r="V36" s="28"/>
      <c r="W36" s="28"/>
      <c r="X36" s="28"/>
      <c r="Y36" s="28"/>
      <c r="Z36" s="28"/>
      <c r="AA36" s="28"/>
      <c r="AB36" s="28"/>
      <c r="AC36" s="28"/>
      <c r="AD36" s="28"/>
      <c r="AE36" s="28"/>
      <c r="AF36" s="30"/>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366" t="s">
        <v>1582</v>
      </c>
    </row>
    <row r="37" spans="1:256" s="3475" customFormat="1" x14ac:dyDescent="0.2">
      <c r="A37" s="46" t="e">
        <f>VLOOKUP(B37,'TRA5'!$A$6:$J$270,1,FALSE)</f>
      </c>
      <c r="B37" s="2037">
        <v>32</v>
      </c>
      <c r="C37" s="124" t="str">
        <f>IF(ISERROR(A37),"",VLOOKUP(B37,'TRA5'!$A$6:$J$270,2,FALSE))</f>
        <v/>
      </c>
      <c r="D37" s="403" t="s">
        <v>363</v>
      </c>
      <c r="E37" s="279" t="str">
        <f>IF(ISERROR(A37),"",VLOOKUP($B37,'TRA5'!$A$6:$J$270,4,FALSE))</f>
        <v/>
      </c>
      <c r="F37" s="368" t="str">
        <f>IF(ISERROR(A37),"",VLOOKUP($B37,'TRA5'!$A$6:$J$270,9,FALSE))</f>
        <v/>
      </c>
      <c r="G37" s="368" t="str">
        <f>IF(ISERROR(A37),"",VLOOKUP($B37,'TRA5'!$A$6:$J$270,10,FALSE))</f>
        <v/>
      </c>
      <c r="H37" s="404"/>
      <c r="I37" s="405" t="str">
        <f t="shared" si="7"/>
        <v/>
      </c>
      <c r="J37" s="405" t="str">
        <f t="shared" si="8"/>
        <v/>
      </c>
      <c r="K37" s="406" t="str">
        <f t="shared" si="6"/>
        <v/>
      </c>
      <c r="L37" s="3"/>
      <c r="M37" s="3"/>
      <c r="N37" s="28"/>
      <c r="O37" s="28"/>
      <c r="P37" s="28"/>
      <c r="Q37" s="28">
        <f t="shared" si="9"/>
        <v>0</v>
      </c>
      <c r="R37" s="28">
        <f t="shared" si="10"/>
        <v>0</v>
      </c>
      <c r="S37" s="32">
        <f t="shared" si="11"/>
        <v>0</v>
      </c>
      <c r="T37" s="28">
        <f t="shared" si="12"/>
        <v>0</v>
      </c>
      <c r="U37" s="28">
        <f t="shared" si="13"/>
        <v>0</v>
      </c>
      <c r="V37" s="28"/>
      <c r="W37" s="28"/>
      <c r="X37" s="28"/>
      <c r="Y37" s="28"/>
      <c r="Z37" s="28"/>
      <c r="AA37" s="28"/>
      <c r="AB37" s="28"/>
      <c r="AC37" s="28"/>
      <c r="AD37" s="28"/>
      <c r="AE37" s="28"/>
      <c r="AF37" s="30"/>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366" t="s">
        <v>1582</v>
      </c>
    </row>
    <row r="38" spans="1:256" s="3475" customFormat="1" x14ac:dyDescent="0.2">
      <c r="A38" s="46" t="e">
        <f>VLOOKUP(B38,'TRA5'!$A$6:$J$270,1,FALSE)</f>
      </c>
      <c r="B38" s="2037">
        <v>33</v>
      </c>
      <c r="C38" s="124" t="str">
        <f>IF(ISERROR(A38),"",VLOOKUP(B38,'TRA5'!$A$6:$J$270,2,FALSE))</f>
        <v/>
      </c>
      <c r="D38" s="403" t="s">
        <v>363</v>
      </c>
      <c r="E38" s="279" t="str">
        <f>IF(ISERROR(A38),"",VLOOKUP($B38,'TRA5'!$A$6:$J$270,4,FALSE))</f>
        <v/>
      </c>
      <c r="F38" s="368" t="str">
        <f>IF(ISERROR(A38),"",VLOOKUP($B38,'TRA5'!$A$6:$J$270,9,FALSE))</f>
        <v/>
      </c>
      <c r="G38" s="368" t="str">
        <f>IF(ISERROR(A38),"",VLOOKUP($B38,'TRA5'!$A$6:$J$270,10,FALSE))</f>
        <v/>
      </c>
      <c r="H38" s="404"/>
      <c r="I38" s="405" t="str">
        <f t="shared" si="7"/>
        <v/>
      </c>
      <c r="J38" s="405" t="str">
        <f t="shared" si="8"/>
        <v/>
      </c>
      <c r="K38" s="406" t="str">
        <f t="shared" si="6"/>
        <v/>
      </c>
      <c r="L38" s="3"/>
      <c r="M38" s="3"/>
      <c r="N38" s="28"/>
      <c r="O38" s="28"/>
      <c r="P38" s="28"/>
      <c r="Q38" s="28">
        <f t="shared" si="9"/>
        <v>0</v>
      </c>
      <c r="R38" s="28">
        <f t="shared" si="10"/>
        <v>0</v>
      </c>
      <c r="S38" s="32">
        <f t="shared" si="11"/>
        <v>0</v>
      </c>
      <c r="T38" s="28">
        <f t="shared" si="12"/>
        <v>0</v>
      </c>
      <c r="U38" s="28">
        <f t="shared" si="13"/>
        <v>0</v>
      </c>
      <c r="V38" s="28"/>
      <c r="W38" s="28"/>
      <c r="X38" s="28"/>
      <c r="Y38" s="28"/>
      <c r="Z38" s="28"/>
      <c r="AA38" s="28"/>
      <c r="AB38" s="28"/>
      <c r="AC38" s="28"/>
      <c r="AD38" s="28"/>
      <c r="AE38" s="28"/>
      <c r="AF38" s="30"/>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366" t="s">
        <v>1582</v>
      </c>
    </row>
    <row r="39" spans="1:256" s="3475" customFormat="1" x14ac:dyDescent="0.2">
      <c r="A39" s="46" t="e">
        <f>VLOOKUP(B39,'TRA5'!$A$6:$J$270,1,FALSE)</f>
      </c>
      <c r="B39" s="2037">
        <v>34</v>
      </c>
      <c r="C39" s="124" t="str">
        <f>IF(ISERROR(A39),"",VLOOKUP(B39,'TRA5'!$A$6:$J$270,2,FALSE))</f>
        <v/>
      </c>
      <c r="D39" s="403" t="s">
        <v>363</v>
      </c>
      <c r="E39" s="279" t="str">
        <f>IF(ISERROR(A39),"",VLOOKUP($B39,'TRA5'!$A$6:$J$270,4,FALSE))</f>
        <v/>
      </c>
      <c r="F39" s="368" t="str">
        <f>IF(ISERROR(A39),"",VLOOKUP($B39,'TRA5'!$A$6:$J$270,9,FALSE))</f>
        <v/>
      </c>
      <c r="G39" s="368" t="str">
        <f>IF(ISERROR(A39),"",VLOOKUP($B39,'TRA5'!$A$6:$J$270,10,FALSE))</f>
        <v/>
      </c>
      <c r="H39" s="404"/>
      <c r="I39" s="405" t="str">
        <f t="shared" si="7"/>
        <v/>
      </c>
      <c r="J39" s="405" t="str">
        <f t="shared" si="8"/>
        <v/>
      </c>
      <c r="K39" s="406" t="str">
        <f t="shared" si="6"/>
        <v/>
      </c>
      <c r="L39" s="3"/>
      <c r="M39" s="3"/>
      <c r="N39" s="28"/>
      <c r="O39" s="28"/>
      <c r="P39" s="28"/>
      <c r="Q39" s="28">
        <f t="shared" si="9"/>
        <v>0</v>
      </c>
      <c r="R39" s="28">
        <f t="shared" si="10"/>
        <v>0</v>
      </c>
      <c r="S39" s="32">
        <f t="shared" si="11"/>
        <v>0</v>
      </c>
      <c r="T39" s="28">
        <f t="shared" si="12"/>
        <v>0</v>
      </c>
      <c r="U39" s="28">
        <f t="shared" si="13"/>
        <v>0</v>
      </c>
      <c r="V39" s="28"/>
      <c r="W39" s="28"/>
      <c r="X39" s="28"/>
      <c r="Y39" s="28"/>
      <c r="Z39" s="28"/>
      <c r="AA39" s="28"/>
      <c r="AB39" s="28"/>
      <c r="AC39" s="28"/>
      <c r="AD39" s="28"/>
      <c r="AE39" s="28"/>
      <c r="AF39" s="30"/>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366" t="s">
        <v>1582</v>
      </c>
    </row>
    <row r="40" spans="1:256" s="3475" customFormat="1" x14ac:dyDescent="0.2">
      <c r="A40" s="46" t="e">
        <f>VLOOKUP(B40,'TRA5'!$A$6:$J$270,1,FALSE)</f>
      </c>
      <c r="B40" s="2037">
        <v>35</v>
      </c>
      <c r="C40" s="124" t="str">
        <f>IF(ISERROR(A40),"",VLOOKUP(B40,'TRA5'!$A$6:$J$270,2,FALSE))</f>
        <v/>
      </c>
      <c r="D40" s="403" t="s">
        <v>363</v>
      </c>
      <c r="E40" s="279" t="str">
        <f>IF(ISERROR(A40),"",VLOOKUP($B40,'TRA5'!$A$6:$J$270,4,FALSE))</f>
        <v/>
      </c>
      <c r="F40" s="368" t="str">
        <f>IF(ISERROR(A40),"",VLOOKUP($B40,'TRA5'!$A$6:$J$270,9,FALSE))</f>
        <v/>
      </c>
      <c r="G40" s="368" t="str">
        <f>IF(ISERROR(A40),"",VLOOKUP($B40,'TRA5'!$A$6:$J$270,10,FALSE))</f>
        <v/>
      </c>
      <c r="H40" s="404"/>
      <c r="I40" s="405" t="str">
        <f t="shared" si="7"/>
        <v/>
      </c>
      <c r="J40" s="405" t="str">
        <f t="shared" si="8"/>
        <v/>
      </c>
      <c r="K40" s="406" t="str">
        <f t="shared" si="6"/>
        <v/>
      </c>
      <c r="L40" s="3"/>
      <c r="M40" s="3"/>
      <c r="N40" s="28"/>
      <c r="O40" s="28"/>
      <c r="P40" s="28"/>
      <c r="Q40" s="28">
        <f t="shared" si="9"/>
        <v>0</v>
      </c>
      <c r="R40" s="28">
        <f t="shared" si="10"/>
        <v>0</v>
      </c>
      <c r="S40" s="32">
        <f t="shared" si="11"/>
        <v>0</v>
      </c>
      <c r="T40" s="28">
        <f t="shared" si="12"/>
        <v>0</v>
      </c>
      <c r="U40" s="28">
        <f t="shared" si="13"/>
        <v>0</v>
      </c>
      <c r="V40" s="28"/>
      <c r="W40" s="28"/>
      <c r="X40" s="28"/>
      <c r="Y40" s="28"/>
      <c r="Z40" s="28"/>
      <c r="AA40" s="28"/>
      <c r="AB40" s="28"/>
      <c r="AC40" s="28"/>
      <c r="AD40" s="28"/>
      <c r="AE40" s="28"/>
      <c r="AF40" s="30"/>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366" t="s">
        <v>1582</v>
      </c>
    </row>
    <row r="41" spans="1:256" s="3475" customFormat="1" x14ac:dyDescent="0.2">
      <c r="A41" s="46" t="e">
        <f>VLOOKUP(B41,'TRA5'!$A$6:$J$270,1,FALSE)</f>
      </c>
      <c r="B41" s="2037">
        <v>36</v>
      </c>
      <c r="C41" s="124" t="str">
        <f>IF(ISERROR(A41),"",VLOOKUP(B41,'TRA5'!$A$6:$J$270,2,FALSE))</f>
        <v/>
      </c>
      <c r="D41" s="403" t="s">
        <v>363</v>
      </c>
      <c r="E41" s="279" t="str">
        <f>IF(ISERROR(A41),"",VLOOKUP($B41,'TRA5'!$A$6:$J$270,4,FALSE))</f>
        <v/>
      </c>
      <c r="F41" s="368" t="str">
        <f>IF(ISERROR(A41),"",VLOOKUP($B41,'TRA5'!$A$6:$J$270,9,FALSE))</f>
        <v/>
      </c>
      <c r="G41" s="368" t="str">
        <f>IF(ISERROR(A41),"",VLOOKUP($B41,'TRA5'!$A$6:$J$270,10,FALSE))</f>
        <v/>
      </c>
      <c r="H41" s="404"/>
      <c r="I41" s="405" t="str">
        <f t="shared" ref="I41:I66" si="14">IF(D41="","",IF(H41="","",IF(IV41=$IR$3,0,T41)))</f>
        <v/>
      </c>
      <c r="J41" s="405" t="str">
        <f t="shared" ref="J41:J66" si="15">IF(D41="","",IF(H41="","",IF(IV41=$IR$3,0,U41)))</f>
        <v/>
      </c>
      <c r="K41" s="406" t="str">
        <f t="shared" si="6"/>
        <v/>
      </c>
      <c r="L41" s="3"/>
      <c r="M41" s="3"/>
      <c r="N41" s="28"/>
      <c r="O41" s="28"/>
      <c r="P41" s="28"/>
      <c r="Q41" s="28">
        <f t="shared" si="0"/>
        <v>0</v>
      </c>
      <c r="R41" s="28">
        <f t="shared" si="1"/>
        <v>0</v>
      </c>
      <c r="S41" s="32">
        <f t="shared" ref="S41:S66" si="16">ROUND(R41-Q41,0)</f>
      </c>
      <c r="T41" s="28">
        <f t="shared" si="2"/>
        <v>0</v>
      </c>
      <c r="U41" s="28">
        <f t="shared" si="3"/>
        <v>0</v>
      </c>
      <c r="V41" s="28"/>
      <c r="W41" s="28"/>
      <c r="X41" s="28"/>
      <c r="Y41" s="28"/>
      <c r="Z41" s="28"/>
      <c r="AA41" s="28"/>
      <c r="AB41" s="28"/>
      <c r="AC41" s="28"/>
      <c r="AD41" s="28"/>
      <c r="AE41" s="28" t="str">
        <f t="shared" si="4"/>
        <v/>
      </c>
      <c r="AF41" s="30"/>
      <c r="AG41" s="28"/>
      <c r="AH41" s="28"/>
      <c r="AI41" s="28"/>
      <c r="AJ41" s="28"/>
      <c r="AK41" s="28"/>
      <c r="AL41" s="28" t="str">
        <f t="shared" si="5"/>
        <v/>
      </c>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c r="IV41" s="366" t="s">
        <v>1582</v>
      </c>
    </row>
    <row r="42" spans="1:256" s="3475" customFormat="1" x14ac:dyDescent="0.2">
      <c r="A42" s="46" t="e">
        <f>VLOOKUP(B42,'TRA5'!$A$6:$J$270,1,FALSE)</f>
      </c>
      <c r="B42" s="2037">
        <v>37</v>
      </c>
      <c r="C42" s="124" t="str">
        <f>IF(ISERROR(A42),"",VLOOKUP(B42,'TRA5'!$A$6:$J$270,2,FALSE))</f>
        <v/>
      </c>
      <c r="D42" s="403" t="s">
        <v>363</v>
      </c>
      <c r="E42" s="279" t="str">
        <f>IF(ISERROR(A42),"",VLOOKUP($B42,'TRA5'!$A$6:$J$270,4,FALSE))</f>
        <v/>
      </c>
      <c r="F42" s="368" t="str">
        <f>IF(ISERROR(A42),"",VLOOKUP($B42,'TRA5'!$A$6:$J$270,9,FALSE))</f>
        <v/>
      </c>
      <c r="G42" s="368" t="str">
        <f>IF(ISERROR(A42),"",VLOOKUP($B42,'TRA5'!$A$6:$J$270,10,FALSE))</f>
        <v/>
      </c>
      <c r="H42" s="404"/>
      <c r="I42" s="405" t="str">
        <f t="shared" si="14"/>
        <v/>
      </c>
      <c r="J42" s="405" t="str">
        <f t="shared" si="15"/>
        <v/>
      </c>
      <c r="K42" s="406" t="str">
        <f t="shared" si="6"/>
        <v/>
      </c>
      <c r="L42" s="3"/>
      <c r="M42" s="3"/>
      <c r="N42" s="28"/>
      <c r="O42" s="28"/>
      <c r="P42" s="28"/>
      <c r="Q42" s="28">
        <f t="shared" si="0"/>
        <v>0</v>
      </c>
      <c r="R42" s="28">
        <f t="shared" si="1"/>
        <v>0</v>
      </c>
      <c r="S42" s="32">
        <f t="shared" si="16"/>
        <v>0</v>
      </c>
      <c r="T42" s="28">
        <f t="shared" si="2"/>
        <v>0</v>
      </c>
      <c r="U42" s="28">
        <f t="shared" si="3"/>
        <v>0</v>
      </c>
      <c r="V42" s="28"/>
      <c r="W42" s="28"/>
      <c r="X42" s="28"/>
      <c r="Y42" s="28"/>
      <c r="Z42" s="28"/>
      <c r="AA42" s="28"/>
      <c r="AB42" s="28"/>
      <c r="AC42" s="28"/>
      <c r="AD42" s="28"/>
      <c r="AE42" s="28" t="str">
        <f t="shared" si="4"/>
        <v/>
      </c>
      <c r="AF42" s="30"/>
      <c r="AG42" s="28"/>
      <c r="AH42" s="28"/>
      <c r="AI42" s="28"/>
      <c r="AJ42" s="28"/>
      <c r="AK42" s="28"/>
      <c r="AL42" s="28" t="str">
        <f t="shared" si="5"/>
        <v/>
      </c>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c r="HV42" s="28"/>
      <c r="HW42" s="28"/>
      <c r="HX42" s="28"/>
      <c r="HY42" s="28"/>
      <c r="HZ42" s="28"/>
      <c r="IA42" s="28"/>
      <c r="IB42" s="28"/>
      <c r="IC42" s="28"/>
      <c r="ID42" s="28"/>
      <c r="IE42" s="28"/>
      <c r="IF42" s="28"/>
      <c r="IG42" s="28"/>
      <c r="IH42" s="28"/>
      <c r="II42" s="28"/>
      <c r="IJ42" s="28"/>
      <c r="IK42" s="28"/>
      <c r="IL42" s="28"/>
      <c r="IM42" s="28"/>
      <c r="IN42" s="28"/>
      <c r="IO42" s="28"/>
      <c r="IP42" s="28"/>
      <c r="IQ42" s="28"/>
      <c r="IR42" s="28"/>
      <c r="IS42" s="28"/>
      <c r="IT42" s="28"/>
      <c r="IU42" s="28"/>
      <c r="IV42" s="366" t="s">
        <v>1582</v>
      </c>
    </row>
    <row r="43" spans="1:256" s="3475" customFormat="1" x14ac:dyDescent="0.2">
      <c r="A43" s="46" t="e">
        <f>VLOOKUP(B43,'TRA5'!$A$6:$J$270,1,FALSE)</f>
      </c>
      <c r="B43" s="2037">
        <v>38</v>
      </c>
      <c r="C43" s="124" t="str">
        <f>IF(ISERROR(A43),"",VLOOKUP(B43,'TRA5'!$A$6:$J$270,2,FALSE))</f>
        <v/>
      </c>
      <c r="D43" s="403" t="s">
        <v>363</v>
      </c>
      <c r="E43" s="279" t="str">
        <f>IF(ISERROR(A43),"",VLOOKUP($B43,'TRA5'!$A$6:$J$270,4,FALSE))</f>
        <v/>
      </c>
      <c r="F43" s="368" t="str">
        <f>IF(ISERROR(A43),"",VLOOKUP($B43,'TRA5'!$A$6:$J$270,9,FALSE))</f>
        <v/>
      </c>
      <c r="G43" s="368" t="str">
        <f>IF(ISERROR(A43),"",VLOOKUP($B43,'TRA5'!$A$6:$J$270,10,FALSE))</f>
        <v/>
      </c>
      <c r="H43" s="404"/>
      <c r="I43" s="405" t="str">
        <f t="shared" si="14"/>
        <v/>
      </c>
      <c r="J43" s="405" t="str">
        <f t="shared" si="15"/>
        <v/>
      </c>
      <c r="K43" s="406" t="str">
        <f t="shared" si="6"/>
        <v/>
      </c>
      <c r="L43" s="3"/>
      <c r="M43" s="3"/>
      <c r="N43" s="28"/>
      <c r="O43" s="28"/>
      <c r="P43" s="28"/>
      <c r="Q43" s="28">
        <f t="shared" si="0"/>
        <v>0</v>
      </c>
      <c r="R43" s="28">
        <f t="shared" si="1"/>
        <v>0</v>
      </c>
      <c r="S43" s="32">
        <f t="shared" si="16"/>
        <v>0</v>
      </c>
      <c r="T43" s="28">
        <f t="shared" si="2"/>
        <v>0</v>
      </c>
      <c r="U43" s="28">
        <f t="shared" si="3"/>
        <v>0</v>
      </c>
      <c r="V43" s="28"/>
      <c r="W43" s="28"/>
      <c r="X43" s="28"/>
      <c r="Y43" s="28"/>
      <c r="Z43" s="28"/>
      <c r="AA43" s="28"/>
      <c r="AB43" s="28"/>
      <c r="AC43" s="28"/>
      <c r="AD43" s="28"/>
      <c r="AE43" s="28" t="str">
        <f t="shared" si="4"/>
        <v/>
      </c>
      <c r="AF43" s="30"/>
      <c r="AG43" s="28"/>
      <c r="AH43" s="28"/>
      <c r="AI43" s="28"/>
      <c r="AJ43" s="28"/>
      <c r="AK43" s="28"/>
      <c r="AL43" s="28" t="str">
        <f t="shared" si="5"/>
        <v/>
      </c>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c r="HL43" s="28"/>
      <c r="HM43" s="28"/>
      <c r="HN43" s="28"/>
      <c r="HO43" s="28"/>
      <c r="HP43" s="28"/>
      <c r="HQ43" s="28"/>
      <c r="HR43" s="28"/>
      <c r="HS43" s="28"/>
      <c r="HT43" s="28"/>
      <c r="HU43" s="28"/>
      <c r="HV43" s="28"/>
      <c r="HW43" s="28"/>
      <c r="HX43" s="28"/>
      <c r="HY43" s="28"/>
      <c r="HZ43" s="28"/>
      <c r="IA43" s="28"/>
      <c r="IB43" s="28"/>
      <c r="IC43" s="28"/>
      <c r="ID43" s="28"/>
      <c r="IE43" s="28"/>
      <c r="IF43" s="28"/>
      <c r="IG43" s="28"/>
      <c r="IH43" s="28"/>
      <c r="II43" s="28"/>
      <c r="IJ43" s="28"/>
      <c r="IK43" s="28"/>
      <c r="IL43" s="28"/>
      <c r="IM43" s="28"/>
      <c r="IN43" s="28"/>
      <c r="IO43" s="28"/>
      <c r="IP43" s="28"/>
      <c r="IQ43" s="28"/>
      <c r="IR43" s="28"/>
      <c r="IS43" s="28"/>
      <c r="IT43" s="28"/>
      <c r="IU43" s="28"/>
      <c r="IV43" s="366" t="s">
        <v>1582</v>
      </c>
    </row>
    <row r="44" spans="1:256" s="3475" customFormat="1" x14ac:dyDescent="0.2">
      <c r="A44" s="46" t="e">
        <f>VLOOKUP(B44,'TRA5'!$A$6:$J$270,1,FALSE)</f>
      </c>
      <c r="B44" s="2037">
        <v>39</v>
      </c>
      <c r="C44" s="124" t="str">
        <f>IF(ISERROR(A44),"",VLOOKUP(B44,'TRA5'!$A$6:$J$270,2,FALSE))</f>
        <v/>
      </c>
      <c r="D44" s="403" t="s">
        <v>363</v>
      </c>
      <c r="E44" s="279" t="str">
        <f>IF(ISERROR(A44),"",VLOOKUP($B44,'TRA5'!$A$6:$J$270,4,FALSE))</f>
        <v/>
      </c>
      <c r="F44" s="368" t="str">
        <f>IF(ISERROR(A44),"",VLOOKUP($B44,'TRA5'!$A$6:$J$270,9,FALSE))</f>
        <v/>
      </c>
      <c r="G44" s="368" t="str">
        <f>IF(ISERROR(A44),"",VLOOKUP($B44,'TRA5'!$A$6:$J$270,10,FALSE))</f>
        <v/>
      </c>
      <c r="H44" s="404"/>
      <c r="I44" s="405" t="str">
        <f t="shared" si="14"/>
        <v/>
      </c>
      <c r="J44" s="405" t="str">
        <f t="shared" si="15"/>
        <v/>
      </c>
      <c r="K44" s="406" t="str">
        <f t="shared" si="6"/>
        <v/>
      </c>
      <c r="L44" s="3"/>
      <c r="M44" s="3"/>
      <c r="N44" s="28"/>
      <c r="O44" s="28"/>
      <c r="P44" s="28"/>
      <c r="Q44" s="28">
        <f t="shared" si="0"/>
        <v>0</v>
      </c>
      <c r="R44" s="28">
        <f t="shared" si="1"/>
        <v>0</v>
      </c>
      <c r="S44" s="32">
        <f t="shared" si="16"/>
        <v>0</v>
      </c>
      <c r="T44" s="28">
        <f t="shared" si="2"/>
        <v>0</v>
      </c>
      <c r="U44" s="28">
        <f t="shared" si="3"/>
        <v>0</v>
      </c>
      <c r="V44" s="28"/>
      <c r="W44" s="28"/>
      <c r="X44" s="28"/>
      <c r="Y44" s="28"/>
      <c r="Z44" s="28"/>
      <c r="AA44" s="28"/>
      <c r="AB44" s="28"/>
      <c r="AC44" s="28"/>
      <c r="AD44" s="28"/>
      <c r="AE44" s="28" t="str">
        <f t="shared" si="4"/>
        <v/>
      </c>
      <c r="AF44" s="30"/>
      <c r="AG44" s="28"/>
      <c r="AH44" s="28"/>
      <c r="AI44" s="28"/>
      <c r="AJ44" s="28"/>
      <c r="AK44" s="28"/>
      <c r="AL44" s="28" t="str">
        <f t="shared" si="5"/>
        <v/>
      </c>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366" t="s">
        <v>1582</v>
      </c>
    </row>
    <row r="45" spans="1:256" s="3475" customFormat="1" x14ac:dyDescent="0.2">
      <c r="A45" s="46" t="e">
        <f>VLOOKUP(B45,'TRA5'!$A$6:$J$270,1,FALSE)</f>
      </c>
      <c r="B45" s="2037">
        <v>40</v>
      </c>
      <c r="C45" s="124" t="str">
        <f>IF(ISERROR(A45),"",VLOOKUP(B45,'TRA5'!$A$6:$J$270,2,FALSE))</f>
        <v/>
      </c>
      <c r="D45" s="403" t="s">
        <v>363</v>
      </c>
      <c r="E45" s="279" t="str">
        <f>IF(ISERROR(A45),"",VLOOKUP($B45,'TRA5'!$A$6:$J$270,4,FALSE))</f>
        <v/>
      </c>
      <c r="F45" s="368" t="str">
        <f>IF(ISERROR(A45),"",VLOOKUP($B45,'TRA5'!$A$6:$J$270,9,FALSE))</f>
        <v/>
      </c>
      <c r="G45" s="368" t="str">
        <f>IF(ISERROR(A45),"",VLOOKUP($B45,'TRA5'!$A$6:$J$270,10,FALSE))</f>
        <v/>
      </c>
      <c r="H45" s="404"/>
      <c r="I45" s="405" t="str">
        <f t="shared" si="14"/>
        <v/>
      </c>
      <c r="J45" s="405" t="str">
        <f t="shared" si="15"/>
        <v/>
      </c>
      <c r="K45" s="406" t="str">
        <f t="shared" si="6"/>
        <v/>
      </c>
      <c r="L45" s="3"/>
      <c r="M45" s="3"/>
      <c r="N45" s="28"/>
      <c r="O45" s="28"/>
      <c r="P45" s="28"/>
      <c r="Q45" s="28">
        <f t="shared" si="0"/>
        <v>0</v>
      </c>
      <c r="R45" s="28">
        <f t="shared" si="1"/>
        <v>0</v>
      </c>
      <c r="S45" s="32">
        <f t="shared" si="16"/>
        <v>0</v>
      </c>
      <c r="T45" s="28">
        <f t="shared" si="2"/>
        <v>0</v>
      </c>
      <c r="U45" s="28">
        <f t="shared" si="3"/>
        <v>0</v>
      </c>
      <c r="V45" s="28"/>
      <c r="W45" s="28"/>
      <c r="X45" s="28"/>
      <c r="Y45" s="28"/>
      <c r="Z45" s="28"/>
      <c r="AA45" s="28"/>
      <c r="AB45" s="28"/>
      <c r="AC45" s="28"/>
      <c r="AD45" s="28"/>
      <c r="AE45" s="28" t="str">
        <f t="shared" si="4"/>
        <v/>
      </c>
      <c r="AF45" s="30"/>
      <c r="AG45" s="28"/>
      <c r="AH45" s="28"/>
      <c r="AI45" s="28"/>
      <c r="AJ45" s="28"/>
      <c r="AK45" s="28"/>
      <c r="AL45" s="28" t="str">
        <f t="shared" si="5"/>
        <v/>
      </c>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366" t="s">
        <v>1582</v>
      </c>
    </row>
    <row r="46" spans="1:256" s="3475" customFormat="1" x14ac:dyDescent="0.2">
      <c r="A46" s="46" t="e">
        <f>VLOOKUP(B46,'TRA5'!$A$6:$J$270,1,FALSE)</f>
      </c>
      <c r="B46" s="2037">
        <v>41</v>
      </c>
      <c r="C46" s="124" t="str">
        <f>IF(ISERROR(A46),"",VLOOKUP(B46,'TRA5'!$A$6:$J$270,2,FALSE))</f>
        <v/>
      </c>
      <c r="D46" s="403" t="s">
        <v>363</v>
      </c>
      <c r="E46" s="279" t="str">
        <f>IF(ISERROR(A46),"",VLOOKUP($B46,'TRA5'!$A$6:$J$270,4,FALSE))</f>
        <v/>
      </c>
      <c r="F46" s="368" t="str">
        <f>IF(ISERROR(A46),"",VLOOKUP($B46,'TRA5'!$A$6:$J$270,9,FALSE))</f>
        <v/>
      </c>
      <c r="G46" s="368" t="str">
        <f>IF(ISERROR(A46),"",VLOOKUP($B46,'TRA5'!$A$6:$J$270,10,FALSE))</f>
        <v/>
      </c>
      <c r="H46" s="404"/>
      <c r="I46" s="405" t="str">
        <f t="shared" si="14"/>
        <v/>
      </c>
      <c r="J46" s="405" t="str">
        <f t="shared" si="15"/>
        <v/>
      </c>
      <c r="K46" s="406" t="str">
        <f t="shared" si="6"/>
        <v/>
      </c>
      <c r="L46" s="3"/>
      <c r="M46" s="3"/>
      <c r="N46" s="28"/>
      <c r="O46" s="28"/>
      <c r="P46" s="28"/>
      <c r="Q46" s="28">
        <f t="shared" si="0"/>
        <v>0</v>
      </c>
      <c r="R46" s="28">
        <f t="shared" si="1"/>
        <v>0</v>
      </c>
      <c r="S46" s="32">
        <f t="shared" si="16"/>
        <v>0</v>
      </c>
      <c r="T46" s="28">
        <f t="shared" si="2"/>
        <v>0</v>
      </c>
      <c r="U46" s="28">
        <f t="shared" si="3"/>
        <v>0</v>
      </c>
      <c r="V46" s="28"/>
      <c r="W46" s="28"/>
      <c r="X46" s="28"/>
      <c r="Y46" s="28"/>
      <c r="Z46" s="28"/>
      <c r="AA46" s="28"/>
      <c r="AB46" s="28"/>
      <c r="AC46" s="28"/>
      <c r="AD46" s="28"/>
      <c r="AE46" s="28" t="str">
        <f t="shared" si="4"/>
        <v/>
      </c>
      <c r="AF46" s="30"/>
      <c r="AG46" s="28"/>
      <c r="AH46" s="28"/>
      <c r="AI46" s="28"/>
      <c r="AJ46" s="28"/>
      <c r="AK46" s="28"/>
      <c r="AL46" s="28" t="str">
        <f t="shared" si="5"/>
        <v/>
      </c>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366" t="s">
        <v>1582</v>
      </c>
    </row>
    <row r="47" spans="1:256" s="3475" customFormat="1" x14ac:dyDescent="0.2">
      <c r="A47" s="46" t="e">
        <f>VLOOKUP(B47,'TRA5'!$A$6:$J$270,1,FALSE)</f>
      </c>
      <c r="B47" s="2037">
        <v>42</v>
      </c>
      <c r="C47" s="124" t="str">
        <f>IF(ISERROR(A47),"",VLOOKUP(B47,'TRA5'!$A$6:$J$270,2,FALSE))</f>
        <v/>
      </c>
      <c r="D47" s="403" t="s">
        <v>363</v>
      </c>
      <c r="E47" s="279" t="str">
        <f>IF(ISERROR(A47),"",VLOOKUP($B47,'TRA5'!$A$6:$J$270,4,FALSE))</f>
        <v/>
      </c>
      <c r="F47" s="368" t="str">
        <f>IF(ISERROR(A47),"",VLOOKUP($B47,'TRA5'!$A$6:$J$270,9,FALSE))</f>
        <v/>
      </c>
      <c r="G47" s="368" t="str">
        <f>IF(ISERROR(A47),"",VLOOKUP($B47,'TRA5'!$A$6:$J$270,10,FALSE))</f>
        <v/>
      </c>
      <c r="H47" s="404"/>
      <c r="I47" s="405" t="str">
        <f t="shared" si="14"/>
        <v/>
      </c>
      <c r="J47" s="405" t="str">
        <f t="shared" si="15"/>
        <v/>
      </c>
      <c r="K47" s="406" t="str">
        <f t="shared" si="6"/>
        <v/>
      </c>
      <c r="L47" s="3"/>
      <c r="M47" s="3"/>
      <c r="N47" s="28"/>
      <c r="O47" s="28"/>
      <c r="P47" s="28"/>
      <c r="Q47" s="28">
        <f t="shared" si="0"/>
        <v>0</v>
      </c>
      <c r="R47" s="28">
        <f t="shared" si="1"/>
        <v>0</v>
      </c>
      <c r="S47" s="32">
        <f t="shared" si="16"/>
        <v>0</v>
      </c>
      <c r="T47" s="28">
        <f t="shared" si="2"/>
        <v>0</v>
      </c>
      <c r="U47" s="28">
        <f t="shared" si="3"/>
        <v>0</v>
      </c>
      <c r="V47" s="28"/>
      <c r="W47" s="28"/>
      <c r="X47" s="28"/>
      <c r="Y47" s="28"/>
      <c r="Z47" s="28"/>
      <c r="AA47" s="28"/>
      <c r="AB47" s="28"/>
      <c r="AC47" s="28"/>
      <c r="AD47" s="28"/>
      <c r="AE47" s="28" t="str">
        <f t="shared" si="4"/>
        <v/>
      </c>
      <c r="AF47" s="30"/>
      <c r="AG47" s="28"/>
      <c r="AH47" s="28"/>
      <c r="AI47" s="28"/>
      <c r="AJ47" s="28"/>
      <c r="AK47" s="28"/>
      <c r="AL47" s="28" t="str">
        <f t="shared" si="5"/>
        <v/>
      </c>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366" t="s">
        <v>1582</v>
      </c>
    </row>
    <row r="48" spans="1:256" s="3475" customFormat="1" x14ac:dyDescent="0.2">
      <c r="A48" s="46" t="e">
        <f>VLOOKUP(B48,'TRA5'!$A$6:$J$270,1,FALSE)</f>
      </c>
      <c r="B48" s="2037">
        <v>43</v>
      </c>
      <c r="C48" s="124" t="str">
        <f>IF(ISERROR(A48),"",VLOOKUP(B48,'TRA5'!$A$6:$J$270,2,FALSE))</f>
        <v/>
      </c>
      <c r="D48" s="403" t="s">
        <v>363</v>
      </c>
      <c r="E48" s="279" t="str">
        <f>IF(ISERROR(A48),"",VLOOKUP($B48,'TRA5'!$A$6:$J$270,4,FALSE))</f>
        <v/>
      </c>
      <c r="F48" s="368" t="str">
        <f>IF(ISERROR(A48),"",VLOOKUP($B48,'TRA5'!$A$6:$J$270,9,FALSE))</f>
        <v/>
      </c>
      <c r="G48" s="368" t="str">
        <f>IF(ISERROR(A48),"",VLOOKUP($B48,'TRA5'!$A$6:$J$270,10,FALSE))</f>
        <v/>
      </c>
      <c r="H48" s="404"/>
      <c r="I48" s="405" t="str">
        <f t="shared" si="14"/>
        <v/>
      </c>
      <c r="J48" s="405" t="str">
        <f t="shared" si="15"/>
        <v/>
      </c>
      <c r="K48" s="406" t="str">
        <f t="shared" si="6"/>
        <v/>
      </c>
      <c r="L48" s="3"/>
      <c r="M48" s="3"/>
      <c r="N48" s="28"/>
      <c r="O48" s="28"/>
      <c r="P48" s="28"/>
      <c r="Q48" s="28">
        <f t="shared" si="0"/>
        <v>0</v>
      </c>
      <c r="R48" s="28">
        <f t="shared" si="1"/>
        <v>0</v>
      </c>
      <c r="S48" s="32">
        <f t="shared" si="16"/>
        <v>0</v>
      </c>
      <c r="T48" s="28">
        <f t="shared" si="2"/>
        <v>0</v>
      </c>
      <c r="U48" s="28">
        <f t="shared" si="3"/>
        <v>0</v>
      </c>
      <c r="V48" s="28"/>
      <c r="W48" s="28"/>
      <c r="X48" s="28"/>
      <c r="Y48" s="28"/>
      <c r="Z48" s="28"/>
      <c r="AA48" s="28"/>
      <c r="AB48" s="28"/>
      <c r="AC48" s="28"/>
      <c r="AD48" s="28"/>
      <c r="AE48" s="28" t="str">
        <f t="shared" si="4"/>
        <v/>
      </c>
      <c r="AF48" s="30"/>
      <c r="AG48" s="28"/>
      <c r="AH48" s="28"/>
      <c r="AI48" s="28"/>
      <c r="AJ48" s="28"/>
      <c r="AK48" s="28"/>
      <c r="AL48" s="28" t="str">
        <f t="shared" si="5"/>
        <v/>
      </c>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366" t="s">
        <v>1582</v>
      </c>
    </row>
    <row r="49" spans="1:256" s="3475" customFormat="1" x14ac:dyDescent="0.2">
      <c r="A49" s="46" t="e">
        <f>VLOOKUP(B49,'TRA5'!$A$6:$J$270,1,FALSE)</f>
      </c>
      <c r="B49" s="2037">
        <v>44</v>
      </c>
      <c r="C49" s="124" t="str">
        <f>IF(ISERROR(A49),"",VLOOKUP(B49,'TRA5'!$A$6:$J$270,2,FALSE))</f>
        <v/>
      </c>
      <c r="D49" s="403" t="s">
        <v>363</v>
      </c>
      <c r="E49" s="279" t="str">
        <f>IF(ISERROR(A49),"",VLOOKUP($B49,'TRA5'!$A$6:$J$270,4,FALSE))</f>
        <v/>
      </c>
      <c r="F49" s="368" t="str">
        <f>IF(ISERROR(A49),"",VLOOKUP($B49,'TRA5'!$A$6:$J$270,9,FALSE))</f>
        <v/>
      </c>
      <c r="G49" s="368" t="str">
        <f>IF(ISERROR(A49),"",VLOOKUP($B49,'TRA5'!$A$6:$J$270,10,FALSE))</f>
        <v/>
      </c>
      <c r="H49" s="404"/>
      <c r="I49" s="405" t="str">
        <f t="shared" si="14"/>
        <v/>
      </c>
      <c r="J49" s="405" t="str">
        <f t="shared" si="15"/>
        <v/>
      </c>
      <c r="K49" s="406" t="str">
        <f t="shared" si="6"/>
        <v/>
      </c>
      <c r="L49" s="3"/>
      <c r="M49" s="3"/>
      <c r="N49" s="28"/>
      <c r="O49" s="28"/>
      <c r="P49" s="28"/>
      <c r="Q49" s="28">
        <f t="shared" si="0"/>
        <v>0</v>
      </c>
      <c r="R49" s="28">
        <f t="shared" si="1"/>
        <v>0</v>
      </c>
      <c r="S49" s="32">
        <f t="shared" si="16"/>
        <v>0</v>
      </c>
      <c r="T49" s="28">
        <f t="shared" si="2"/>
        <v>0</v>
      </c>
      <c r="U49" s="28">
        <f t="shared" si="3"/>
        <v>0</v>
      </c>
      <c r="V49" s="28"/>
      <c r="W49" s="28"/>
      <c r="X49" s="28"/>
      <c r="Y49" s="28"/>
      <c r="Z49" s="28"/>
      <c r="AA49" s="28"/>
      <c r="AB49" s="28"/>
      <c r="AC49" s="28"/>
      <c r="AD49" s="28"/>
      <c r="AE49" s="28" t="str">
        <f t="shared" si="4"/>
        <v/>
      </c>
      <c r="AF49" s="30"/>
      <c r="AG49" s="28"/>
      <c r="AH49" s="28"/>
      <c r="AI49" s="28"/>
      <c r="AJ49" s="28"/>
      <c r="AK49" s="28"/>
      <c r="AL49" s="28" t="str">
        <f t="shared" si="5"/>
        <v/>
      </c>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366" t="s">
        <v>1582</v>
      </c>
    </row>
    <row r="50" spans="1:256" s="3475" customFormat="1" x14ac:dyDescent="0.2">
      <c r="A50" s="46" t="e">
        <f>VLOOKUP(B50,'TRA5'!$A$6:$J$270,1,FALSE)</f>
      </c>
      <c r="B50" s="2037">
        <v>45</v>
      </c>
      <c r="C50" s="124" t="str">
        <f>IF(ISERROR(A50),"",VLOOKUP(B50,'TRA5'!$A$6:$J$270,2,FALSE))</f>
        <v/>
      </c>
      <c r="D50" s="403" t="s">
        <v>363</v>
      </c>
      <c r="E50" s="279" t="str">
        <f>IF(ISERROR(A50),"",VLOOKUP($B50,'TRA5'!$A$6:$J$270,4,FALSE))</f>
        <v/>
      </c>
      <c r="F50" s="368" t="str">
        <f>IF(ISERROR(A50),"",VLOOKUP($B50,'TRA5'!$A$6:$J$270,9,FALSE))</f>
        <v/>
      </c>
      <c r="G50" s="368" t="str">
        <f>IF(ISERROR(A50),"",VLOOKUP($B50,'TRA5'!$A$6:$J$270,10,FALSE))</f>
        <v/>
      </c>
      <c r="H50" s="404"/>
      <c r="I50" s="405" t="str">
        <f t="shared" si="14"/>
        <v/>
      </c>
      <c r="J50" s="405" t="str">
        <f t="shared" si="15"/>
        <v/>
      </c>
      <c r="K50" s="406" t="str">
        <f t="shared" si="6"/>
        <v/>
      </c>
      <c r="L50" s="3"/>
      <c r="M50" s="3"/>
      <c r="N50" s="28"/>
      <c r="O50" s="28"/>
      <c r="P50" s="28"/>
      <c r="Q50" s="28">
        <f t="shared" si="0"/>
        <v>0</v>
      </c>
      <c r="R50" s="28">
        <f t="shared" si="1"/>
        <v>0</v>
      </c>
      <c r="S50" s="32">
        <f t="shared" si="16"/>
        <v>0</v>
      </c>
      <c r="T50" s="28">
        <f t="shared" si="2"/>
        <v>0</v>
      </c>
      <c r="U50" s="28">
        <f t="shared" si="3"/>
        <v>0</v>
      </c>
      <c r="V50" s="28"/>
      <c r="W50" s="28"/>
      <c r="X50" s="28"/>
      <c r="Y50" s="28"/>
      <c r="Z50" s="28"/>
      <c r="AA50" s="28"/>
      <c r="AB50" s="28"/>
      <c r="AC50" s="28"/>
      <c r="AD50" s="28"/>
      <c r="AE50" s="28" t="str">
        <f t="shared" si="4"/>
        <v/>
      </c>
      <c r="AF50" s="30"/>
      <c r="AG50" s="28"/>
      <c r="AH50" s="28"/>
      <c r="AI50" s="28"/>
      <c r="AJ50" s="28"/>
      <c r="AK50" s="28"/>
      <c r="AL50" s="28" t="str">
        <f t="shared" si="5"/>
        <v/>
      </c>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366" t="s">
        <v>1582</v>
      </c>
    </row>
    <row r="51" spans="1:256" s="3475" customFormat="1" x14ac:dyDescent="0.2">
      <c r="A51" s="46" t="e">
        <f>VLOOKUP(B51,'TRA5'!$A$6:$J$270,1,FALSE)</f>
      </c>
      <c r="B51" s="2037">
        <v>46</v>
      </c>
      <c r="C51" s="124" t="str">
        <f>IF(ISERROR(A51),"",VLOOKUP(B51,'TRA5'!$A$6:$J$270,2,FALSE))</f>
        <v/>
      </c>
      <c r="D51" s="403" t="s">
        <v>363</v>
      </c>
      <c r="E51" s="279" t="str">
        <f>IF(ISERROR(A51),"",VLOOKUP($B51,'TRA5'!$A$6:$J$270,4,FALSE))</f>
        <v/>
      </c>
      <c r="F51" s="368" t="str">
        <f>IF(ISERROR(A51),"",VLOOKUP($B51,'TRA5'!$A$6:$J$270,9,FALSE))</f>
        <v/>
      </c>
      <c r="G51" s="368" t="str">
        <f>IF(ISERROR(A51),"",VLOOKUP($B51,'TRA5'!$A$6:$J$270,10,FALSE))</f>
        <v/>
      </c>
      <c r="H51" s="404"/>
      <c r="I51" s="405" t="str">
        <f t="shared" si="14"/>
        <v/>
      </c>
      <c r="J51" s="405" t="str">
        <f t="shared" si="15"/>
        <v/>
      </c>
      <c r="K51" s="406" t="str">
        <f t="shared" si="6"/>
        <v/>
      </c>
      <c r="L51" s="3"/>
      <c r="M51" s="3"/>
      <c r="N51" s="28"/>
      <c r="O51" s="28"/>
      <c r="P51" s="28"/>
      <c r="Q51" s="28">
        <f t="shared" si="0"/>
        <v>0</v>
      </c>
      <c r="R51" s="28">
        <f t="shared" si="1"/>
        <v>0</v>
      </c>
      <c r="S51" s="32">
        <f t="shared" si="16"/>
        <v>0</v>
      </c>
      <c r="T51" s="28">
        <f t="shared" si="2"/>
        <v>0</v>
      </c>
      <c r="U51" s="28">
        <f t="shared" si="3"/>
        <v>0</v>
      </c>
      <c r="V51" s="28"/>
      <c r="W51" s="28"/>
      <c r="X51" s="28"/>
      <c r="Y51" s="28"/>
      <c r="Z51" s="28"/>
      <c r="AA51" s="28"/>
      <c r="AB51" s="28"/>
      <c r="AC51" s="28"/>
      <c r="AD51" s="28"/>
      <c r="AE51" s="28" t="str">
        <f t="shared" si="4"/>
        <v/>
      </c>
      <c r="AF51" s="30"/>
      <c r="AG51" s="28"/>
      <c r="AH51" s="28"/>
      <c r="AI51" s="28"/>
      <c r="AJ51" s="28"/>
      <c r="AK51" s="28"/>
      <c r="AL51" s="28" t="str">
        <f t="shared" si="5"/>
        <v/>
      </c>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366" t="s">
        <v>1582</v>
      </c>
    </row>
    <row r="52" spans="1:256" s="3475" customFormat="1" x14ac:dyDescent="0.2">
      <c r="A52" s="46" t="e">
        <f>VLOOKUP(B52,'TRA5'!$A$6:$J$270,1,FALSE)</f>
      </c>
      <c r="B52" s="2037">
        <v>47</v>
      </c>
      <c r="C52" s="124" t="str">
        <f>IF(ISERROR(A52),"",VLOOKUP(B52,'TRA5'!$A$6:$J$270,2,FALSE))</f>
        <v/>
      </c>
      <c r="D52" s="403" t="s">
        <v>363</v>
      </c>
      <c r="E52" s="279" t="str">
        <f>IF(ISERROR(A52),"",VLOOKUP($B52,'TRA5'!$A$6:$J$270,4,FALSE))</f>
        <v/>
      </c>
      <c r="F52" s="368" t="str">
        <f>IF(ISERROR(A52),"",VLOOKUP($B52,'TRA5'!$A$6:$J$270,9,FALSE))</f>
        <v/>
      </c>
      <c r="G52" s="368" t="str">
        <f>IF(ISERROR(A52),"",VLOOKUP($B52,'TRA5'!$A$6:$J$270,10,FALSE))</f>
        <v/>
      </c>
      <c r="H52" s="404"/>
      <c r="I52" s="405" t="str">
        <f t="shared" si="14"/>
        <v/>
      </c>
      <c r="J52" s="405" t="str">
        <f t="shared" si="15"/>
        <v/>
      </c>
      <c r="K52" s="406" t="str">
        <f t="shared" si="6"/>
        <v/>
      </c>
      <c r="L52" s="3"/>
      <c r="M52" s="3"/>
      <c r="N52" s="28"/>
      <c r="O52" s="28"/>
      <c r="P52" s="28"/>
      <c r="Q52" s="28">
        <f t="shared" si="0"/>
        <v>0</v>
      </c>
      <c r="R52" s="28">
        <f t="shared" si="1"/>
        <v>0</v>
      </c>
      <c r="S52" s="32">
        <f t="shared" si="16"/>
        <v>0</v>
      </c>
      <c r="T52" s="28">
        <f t="shared" si="2"/>
        <v>0</v>
      </c>
      <c r="U52" s="28">
        <f t="shared" si="3"/>
        <v>0</v>
      </c>
      <c r="V52" s="28"/>
      <c r="W52" s="28"/>
      <c r="X52" s="28"/>
      <c r="Y52" s="28"/>
      <c r="Z52" s="28"/>
      <c r="AA52" s="28"/>
      <c r="AB52" s="28"/>
      <c r="AC52" s="28"/>
      <c r="AD52" s="28"/>
      <c r="AE52" s="28" t="str">
        <f t="shared" si="4"/>
        <v/>
      </c>
      <c r="AF52" s="30"/>
      <c r="AG52" s="28"/>
      <c r="AH52" s="28"/>
      <c r="AI52" s="28"/>
      <c r="AJ52" s="28"/>
      <c r="AK52" s="28"/>
      <c r="AL52" s="28" t="str">
        <f t="shared" si="5"/>
        <v/>
      </c>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366" t="s">
        <v>1582</v>
      </c>
    </row>
    <row r="53" spans="1:256" s="3475" customFormat="1" x14ac:dyDescent="0.2">
      <c r="A53" s="46" t="e">
        <f>VLOOKUP(B53,'TRA5'!$A$6:$J$270,1,FALSE)</f>
      </c>
      <c r="B53" s="2037">
        <v>48</v>
      </c>
      <c r="C53" s="124" t="str">
        <f>IF(ISERROR(A53),"",VLOOKUP(B53,'TRA5'!$A$6:$J$270,2,FALSE))</f>
        <v/>
      </c>
      <c r="D53" s="403" t="s">
        <v>363</v>
      </c>
      <c r="E53" s="279" t="str">
        <f>IF(ISERROR(A53),"",VLOOKUP($B53,'TRA5'!$A$6:$J$270,4,FALSE))</f>
        <v/>
      </c>
      <c r="F53" s="368" t="str">
        <f>IF(ISERROR(A53),"",VLOOKUP($B53,'TRA5'!$A$6:$J$270,9,FALSE))</f>
        <v/>
      </c>
      <c r="G53" s="368" t="str">
        <f>IF(ISERROR(A53),"",VLOOKUP($B53,'TRA5'!$A$6:$J$270,10,FALSE))</f>
        <v/>
      </c>
      <c r="H53" s="404"/>
      <c r="I53" s="405" t="str">
        <f t="shared" si="14"/>
        <v/>
      </c>
      <c r="J53" s="405" t="str">
        <f t="shared" si="15"/>
        <v/>
      </c>
      <c r="K53" s="406" t="str">
        <f t="shared" si="6"/>
        <v/>
      </c>
      <c r="L53" s="3"/>
      <c r="M53" s="3"/>
      <c r="N53" s="28"/>
      <c r="O53" s="28"/>
      <c r="P53" s="28"/>
      <c r="Q53" s="28">
        <f t="shared" si="0"/>
        <v>0</v>
      </c>
      <c r="R53" s="28">
        <f t="shared" si="1"/>
        <v>0</v>
      </c>
      <c r="S53" s="32">
        <f t="shared" si="16"/>
        <v>0</v>
      </c>
      <c r="T53" s="28">
        <f t="shared" si="2"/>
        <v>0</v>
      </c>
      <c r="U53" s="28">
        <f t="shared" si="3"/>
        <v>0</v>
      </c>
      <c r="V53" s="28"/>
      <c r="W53" s="28"/>
      <c r="X53" s="28"/>
      <c r="Y53" s="28"/>
      <c r="Z53" s="28"/>
      <c r="AA53" s="28"/>
      <c r="AB53" s="28"/>
      <c r="AC53" s="28"/>
      <c r="AD53" s="28"/>
      <c r="AE53" s="28" t="str">
        <f t="shared" si="4"/>
        <v/>
      </c>
      <c r="AF53" s="30"/>
      <c r="AG53" s="28"/>
      <c r="AH53" s="28"/>
      <c r="AI53" s="28"/>
      <c r="AJ53" s="28"/>
      <c r="AK53" s="28"/>
      <c r="AL53" s="28" t="str">
        <f t="shared" si="5"/>
        <v/>
      </c>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366" t="s">
        <v>1582</v>
      </c>
    </row>
    <row r="54" spans="1:256" s="3475" customFormat="1" x14ac:dyDescent="0.2">
      <c r="A54" s="46" t="e">
        <f>VLOOKUP(B54,'TRA5'!$A$6:$J$270,1,FALSE)</f>
      </c>
      <c r="B54" s="2037">
        <v>49</v>
      </c>
      <c r="C54" s="124" t="str">
        <f>IF(ISERROR(A54),"",VLOOKUP(B54,'TRA5'!$A$6:$J$270,2,FALSE))</f>
        <v/>
      </c>
      <c r="D54" s="403" t="s">
        <v>363</v>
      </c>
      <c r="E54" s="279" t="str">
        <f>IF(ISERROR(A54),"",VLOOKUP($B54,'TRA5'!$A$6:$J$270,4,FALSE))</f>
        <v/>
      </c>
      <c r="F54" s="368" t="str">
        <f>IF(ISERROR(A54),"",VLOOKUP($B54,'TRA5'!$A$6:$J$270,9,FALSE))</f>
        <v/>
      </c>
      <c r="G54" s="368" t="str">
        <f>IF(ISERROR(A54),"",VLOOKUP($B54,'TRA5'!$A$6:$J$270,10,FALSE))</f>
        <v/>
      </c>
      <c r="H54" s="404"/>
      <c r="I54" s="405" t="str">
        <f t="shared" si="14"/>
        <v/>
      </c>
      <c r="J54" s="405" t="str">
        <f t="shared" si="15"/>
        <v/>
      </c>
      <c r="K54" s="406" t="str">
        <f t="shared" si="6"/>
        <v/>
      </c>
      <c r="L54" s="3"/>
      <c r="M54" s="3"/>
      <c r="N54" s="28"/>
      <c r="O54" s="28"/>
      <c r="P54" s="28"/>
      <c r="Q54" s="28">
        <f t="shared" si="0"/>
        <v>0</v>
      </c>
      <c r="R54" s="28">
        <f t="shared" si="1"/>
        <v>0</v>
      </c>
      <c r="S54" s="32">
        <f t="shared" si="16"/>
        <v>0</v>
      </c>
      <c r="T54" s="28">
        <f t="shared" si="2"/>
        <v>0</v>
      </c>
      <c r="U54" s="28">
        <f t="shared" si="3"/>
        <v>0</v>
      </c>
      <c r="V54" s="28"/>
      <c r="W54" s="28"/>
      <c r="X54" s="28"/>
      <c r="Y54" s="28"/>
      <c r="Z54" s="28"/>
      <c r="AA54" s="28"/>
      <c r="AB54" s="28"/>
      <c r="AC54" s="28"/>
      <c r="AD54" s="28"/>
      <c r="AE54" s="28" t="str">
        <f t="shared" si="4"/>
        <v/>
      </c>
      <c r="AF54" s="30"/>
      <c r="AG54" s="28"/>
      <c r="AH54" s="28"/>
      <c r="AI54" s="28"/>
      <c r="AJ54" s="28"/>
      <c r="AK54" s="28"/>
      <c r="AL54" s="28" t="str">
        <f t="shared" si="5"/>
        <v/>
      </c>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366" t="s">
        <v>1582</v>
      </c>
    </row>
    <row r="55" spans="1:256" s="3475" customFormat="1" x14ac:dyDescent="0.2">
      <c r="A55" s="46" t="e">
        <f>VLOOKUP(B55,'TRA5'!$A$6:$J$270,1,FALSE)</f>
      </c>
      <c r="B55" s="2037">
        <v>50</v>
      </c>
      <c r="C55" s="124" t="str">
        <f>IF(ISERROR(A55),"",VLOOKUP(B55,'TRA5'!$A$6:$J$270,2,FALSE))</f>
        <v/>
      </c>
      <c r="D55" s="403" t="s">
        <v>363</v>
      </c>
      <c r="E55" s="279" t="str">
        <f>IF(ISERROR(A55),"",VLOOKUP($B55,'TRA5'!$A$6:$J$270,4,FALSE))</f>
        <v/>
      </c>
      <c r="F55" s="368" t="str">
        <f>IF(ISERROR(A55),"",VLOOKUP($B55,'TRA5'!$A$6:$J$270,9,FALSE))</f>
        <v/>
      </c>
      <c r="G55" s="368" t="str">
        <f>IF(ISERROR(A55),"",VLOOKUP($B55,'TRA5'!$A$6:$J$270,10,FALSE))</f>
        <v/>
      </c>
      <c r="H55" s="404"/>
      <c r="I55" s="405" t="str">
        <f t="shared" si="14"/>
        <v/>
      </c>
      <c r="J55" s="405" t="str">
        <f t="shared" si="15"/>
        <v/>
      </c>
      <c r="K55" s="406" t="str">
        <f t="shared" si="6"/>
        <v/>
      </c>
      <c r="L55" s="3"/>
      <c r="M55" s="3"/>
      <c r="N55" s="28"/>
      <c r="O55" s="28"/>
      <c r="P55" s="28"/>
      <c r="Q55" s="28">
        <f t="shared" si="0"/>
        <v>0</v>
      </c>
      <c r="R55" s="28">
        <f t="shared" si="1"/>
        <v>0</v>
      </c>
      <c r="S55" s="32">
        <f t="shared" si="16"/>
        <v>0</v>
      </c>
      <c r="T55" s="28">
        <f t="shared" si="2"/>
        <v>0</v>
      </c>
      <c r="U55" s="28">
        <f t="shared" si="3"/>
        <v>0</v>
      </c>
      <c r="V55" s="28"/>
      <c r="W55" s="28"/>
      <c r="X55" s="28"/>
      <c r="Y55" s="28"/>
      <c r="Z55" s="28"/>
      <c r="AA55" s="28"/>
      <c r="AB55" s="28"/>
      <c r="AC55" s="28"/>
      <c r="AD55" s="28"/>
      <c r="AE55" s="28" t="str">
        <f t="shared" si="4"/>
        <v/>
      </c>
      <c r="AF55" s="30"/>
      <c r="AG55" s="28"/>
      <c r="AH55" s="28"/>
      <c r="AI55" s="28"/>
      <c r="AJ55" s="28"/>
      <c r="AK55" s="28"/>
      <c r="AL55" s="28" t="str">
        <f t="shared" si="5"/>
        <v/>
      </c>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366" t="s">
        <v>1582</v>
      </c>
    </row>
    <row r="56" spans="1:256" s="3475" customFormat="1" x14ac:dyDescent="0.2">
      <c r="A56" s="46" t="e">
        <f>VLOOKUP(B56,'TRA5'!$A$6:$J$270,1,FALSE)</f>
      </c>
      <c r="B56" s="2037">
        <v>51</v>
      </c>
      <c r="C56" s="124" t="str">
        <f>IF(ISERROR(A56),"",VLOOKUP(B56,'TRA5'!$A$6:$J$270,2,FALSE))</f>
        <v/>
      </c>
      <c r="D56" s="403" t="s">
        <v>363</v>
      </c>
      <c r="E56" s="279" t="str">
        <f>IF(ISERROR(A56),"",VLOOKUP($B56,'TRA5'!$A$6:$J$270,4,FALSE))</f>
        <v/>
      </c>
      <c r="F56" s="368" t="str">
        <f>IF(ISERROR(A56),"",VLOOKUP($B56,'TRA5'!$A$6:$J$270,9,FALSE))</f>
        <v/>
      </c>
      <c r="G56" s="368" t="str">
        <f>IF(ISERROR(A56),"",VLOOKUP($B56,'TRA5'!$A$6:$J$270,10,FALSE))</f>
        <v/>
      </c>
      <c r="H56" s="404"/>
      <c r="I56" s="405" t="str">
        <f t="shared" si="14"/>
        <v/>
      </c>
      <c r="J56" s="405" t="str">
        <f t="shared" si="15"/>
        <v/>
      </c>
      <c r="K56" s="406" t="str">
        <f t="shared" si="6"/>
        <v/>
      </c>
      <c r="L56" s="3"/>
      <c r="M56" s="3"/>
      <c r="N56" s="28"/>
      <c r="O56" s="28"/>
      <c r="P56" s="28"/>
      <c r="Q56" s="28">
        <f t="shared" si="0"/>
        <v>0</v>
      </c>
      <c r="R56" s="28">
        <f t="shared" si="1"/>
        <v>0</v>
      </c>
      <c r="S56" s="32">
        <f t="shared" si="16"/>
        <v>0</v>
      </c>
      <c r="T56" s="28">
        <f t="shared" si="2"/>
        <v>0</v>
      </c>
      <c r="U56" s="28">
        <f t="shared" si="3"/>
        <v>0</v>
      </c>
      <c r="V56" s="28"/>
      <c r="W56" s="28"/>
      <c r="X56" s="28"/>
      <c r="Y56" s="28"/>
      <c r="Z56" s="28"/>
      <c r="AA56" s="28"/>
      <c r="AB56" s="28"/>
      <c r="AC56" s="28"/>
      <c r="AD56" s="28"/>
      <c r="AE56" s="28" t="str">
        <f t="shared" si="4"/>
        <v/>
      </c>
      <c r="AF56" s="30"/>
      <c r="AG56" s="28"/>
      <c r="AH56" s="28"/>
      <c r="AI56" s="28"/>
      <c r="AJ56" s="28"/>
      <c r="AK56" s="28"/>
      <c r="AL56" s="28" t="str">
        <f t="shared" si="5"/>
        <v/>
      </c>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366" t="s">
        <v>1582</v>
      </c>
    </row>
    <row r="57" spans="1:256" s="3475" customFormat="1" x14ac:dyDescent="0.2">
      <c r="A57" s="46" t="e">
        <f>VLOOKUP(B57,'TRA5'!$A$6:$J$270,1,FALSE)</f>
      </c>
      <c r="B57" s="2037">
        <v>52</v>
      </c>
      <c r="C57" s="124" t="str">
        <f>IF(ISERROR(A57),"",VLOOKUP(B57,'TRA5'!$A$6:$J$270,2,FALSE))</f>
        <v/>
      </c>
      <c r="D57" s="403" t="s">
        <v>363</v>
      </c>
      <c r="E57" s="279" t="str">
        <f>IF(ISERROR(A57),"",VLOOKUP($B57,'TRA5'!$A$6:$J$270,4,FALSE))</f>
        <v/>
      </c>
      <c r="F57" s="368" t="str">
        <f>IF(ISERROR(A57),"",VLOOKUP($B57,'TRA5'!$A$6:$J$270,9,FALSE))</f>
        <v/>
      </c>
      <c r="G57" s="368" t="str">
        <f>IF(ISERROR(A57),"",VLOOKUP($B57,'TRA5'!$A$6:$J$270,10,FALSE))</f>
        <v/>
      </c>
      <c r="H57" s="404"/>
      <c r="I57" s="405" t="str">
        <f t="shared" si="14"/>
        <v/>
      </c>
      <c r="J57" s="405" t="str">
        <f t="shared" si="15"/>
        <v/>
      </c>
      <c r="K57" s="406" t="str">
        <f t="shared" si="6"/>
        <v/>
      </c>
      <c r="L57" s="3"/>
      <c r="M57" s="3"/>
      <c r="N57" s="28"/>
      <c r="O57" s="28"/>
      <c r="P57" s="28"/>
      <c r="Q57" s="28">
        <f t="shared" si="0"/>
        <v>0</v>
      </c>
      <c r="R57" s="28">
        <f t="shared" si="1"/>
        <v>0</v>
      </c>
      <c r="S57" s="32">
        <f t="shared" si="16"/>
        <v>0</v>
      </c>
      <c r="T57" s="28">
        <f t="shared" si="2"/>
        <v>0</v>
      </c>
      <c r="U57" s="28">
        <f t="shared" si="3"/>
        <v>0</v>
      </c>
      <c r="V57" s="28"/>
      <c r="W57" s="28"/>
      <c r="X57" s="28"/>
      <c r="Y57" s="28"/>
      <c r="Z57" s="28"/>
      <c r="AA57" s="28"/>
      <c r="AB57" s="28"/>
      <c r="AC57" s="28"/>
      <c r="AD57" s="28"/>
      <c r="AE57" s="28" t="str">
        <f t="shared" si="4"/>
        <v/>
      </c>
      <c r="AF57" s="30"/>
      <c r="AG57" s="28"/>
      <c r="AH57" s="28"/>
      <c r="AI57" s="28"/>
      <c r="AJ57" s="28"/>
      <c r="AK57" s="28"/>
      <c r="AL57" s="28" t="str">
        <f t="shared" si="5"/>
        <v/>
      </c>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366" t="s">
        <v>1582</v>
      </c>
    </row>
    <row r="58" spans="1:256" s="3475" customFormat="1" x14ac:dyDescent="0.2">
      <c r="A58" s="46" t="e">
        <f>VLOOKUP(B58,'TRA5'!$A$6:$J$270,1,FALSE)</f>
      </c>
      <c r="B58" s="2037">
        <v>53</v>
      </c>
      <c r="C58" s="124" t="str">
        <f>IF(ISERROR(A58),"",VLOOKUP(B58,'TRA5'!$A$6:$J$270,2,FALSE))</f>
        <v/>
      </c>
      <c r="D58" s="403" t="s">
        <v>363</v>
      </c>
      <c r="E58" s="279" t="str">
        <f>IF(ISERROR(A58),"",VLOOKUP($B58,'TRA5'!$A$6:$J$270,4,FALSE))</f>
        <v/>
      </c>
      <c r="F58" s="368" t="str">
        <f>IF(ISERROR(A58),"",VLOOKUP($B58,'TRA5'!$A$6:$J$270,9,FALSE))</f>
        <v/>
      </c>
      <c r="G58" s="368" t="str">
        <f>IF(ISERROR(A58),"",VLOOKUP($B58,'TRA5'!$A$6:$J$270,10,FALSE))</f>
        <v/>
      </c>
      <c r="H58" s="404"/>
      <c r="I58" s="405" t="str">
        <f t="shared" si="14"/>
        <v/>
      </c>
      <c r="J58" s="405" t="str">
        <f t="shared" si="15"/>
        <v/>
      </c>
      <c r="K58" s="406" t="str">
        <f t="shared" si="6"/>
        <v/>
      </c>
      <c r="L58" s="3"/>
      <c r="M58" s="3"/>
      <c r="N58" s="28"/>
      <c r="O58" s="28"/>
      <c r="P58" s="28"/>
      <c r="Q58" s="28">
        <f t="shared" si="0"/>
        <v>0</v>
      </c>
      <c r="R58" s="28">
        <f t="shared" si="1"/>
        <v>0</v>
      </c>
      <c r="S58" s="32">
        <f t="shared" si="16"/>
        <v>0</v>
      </c>
      <c r="T58" s="28">
        <f t="shared" si="2"/>
        <v>0</v>
      </c>
      <c r="U58" s="28">
        <f t="shared" si="3"/>
        <v>0</v>
      </c>
      <c r="V58" s="28"/>
      <c r="W58" s="28"/>
      <c r="X58" s="28"/>
      <c r="Y58" s="28"/>
      <c r="Z58" s="28"/>
      <c r="AA58" s="28"/>
      <c r="AB58" s="28"/>
      <c r="AC58" s="28"/>
      <c r="AD58" s="28"/>
      <c r="AE58" s="28" t="str">
        <f t="shared" si="4"/>
        <v/>
      </c>
      <c r="AF58" s="30"/>
      <c r="AG58" s="28"/>
      <c r="AH58" s="28"/>
      <c r="AI58" s="28"/>
      <c r="AJ58" s="28"/>
      <c r="AK58" s="28"/>
      <c r="AL58" s="28" t="str">
        <f t="shared" si="5"/>
        <v/>
      </c>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366" t="s">
        <v>1582</v>
      </c>
    </row>
    <row r="59" spans="1:256" s="3475" customFormat="1" x14ac:dyDescent="0.2">
      <c r="A59" s="46" t="e">
        <f>VLOOKUP(B59,'TRA5'!$A$6:$J$270,1,FALSE)</f>
      </c>
      <c r="B59" s="2037">
        <v>54</v>
      </c>
      <c r="C59" s="124" t="str">
        <f>IF(ISERROR(A59),"",VLOOKUP(B59,'TRA5'!$A$6:$J$270,2,FALSE))</f>
        <v/>
      </c>
      <c r="D59" s="403" t="s">
        <v>363</v>
      </c>
      <c r="E59" s="279" t="str">
        <f>IF(ISERROR(A59),"",VLOOKUP($B59,'TRA5'!$A$6:$J$270,4,FALSE))</f>
        <v/>
      </c>
      <c r="F59" s="368" t="str">
        <f>IF(ISERROR(A59),"",VLOOKUP($B59,'TRA5'!$A$6:$J$270,9,FALSE))</f>
        <v/>
      </c>
      <c r="G59" s="368" t="str">
        <f>IF(ISERROR(A59),"",VLOOKUP($B59,'TRA5'!$A$6:$J$270,10,FALSE))</f>
        <v/>
      </c>
      <c r="H59" s="404"/>
      <c r="I59" s="405" t="str">
        <f t="shared" si="14"/>
        <v/>
      </c>
      <c r="J59" s="405" t="str">
        <f t="shared" si="15"/>
        <v/>
      </c>
      <c r="K59" s="406" t="str">
        <f t="shared" si="6"/>
        <v/>
      </c>
      <c r="L59" s="3"/>
      <c r="M59" s="3"/>
      <c r="N59" s="28"/>
      <c r="O59" s="28"/>
      <c r="P59" s="28"/>
      <c r="Q59" s="28">
        <f t="shared" si="0"/>
        <v>0</v>
      </c>
      <c r="R59" s="28">
        <f t="shared" si="1"/>
        <v>0</v>
      </c>
      <c r="S59" s="32">
        <f t="shared" si="16"/>
        <v>0</v>
      </c>
      <c r="T59" s="28">
        <f t="shared" si="2"/>
        <v>0</v>
      </c>
      <c r="U59" s="28">
        <f t="shared" si="3"/>
        <v>0</v>
      </c>
      <c r="V59" s="28"/>
      <c r="W59" s="28"/>
      <c r="X59" s="28"/>
      <c r="Y59" s="28"/>
      <c r="Z59" s="28"/>
      <c r="AA59" s="28"/>
      <c r="AB59" s="28"/>
      <c r="AC59" s="28"/>
      <c r="AD59" s="28"/>
      <c r="AE59" s="28" t="str">
        <f t="shared" si="4"/>
        <v/>
      </c>
      <c r="AF59" s="30"/>
      <c r="AG59" s="28"/>
      <c r="AH59" s="28"/>
      <c r="AI59" s="28"/>
      <c r="AJ59" s="28"/>
      <c r="AK59" s="28"/>
      <c r="AL59" s="28" t="str">
        <f t="shared" si="5"/>
        <v/>
      </c>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366" t="s">
        <v>1582</v>
      </c>
    </row>
    <row r="60" spans="1:256" s="3475" customFormat="1" x14ac:dyDescent="0.2">
      <c r="A60" s="46" t="e">
        <f>VLOOKUP(B60,'TRA5'!$A$6:$J$270,1,FALSE)</f>
      </c>
      <c r="B60" s="2037">
        <v>55</v>
      </c>
      <c r="C60" s="124" t="str">
        <f>IF(ISERROR(A60),"",VLOOKUP(B60,'TRA5'!$A$6:$J$270,2,FALSE))</f>
        <v/>
      </c>
      <c r="D60" s="403" t="s">
        <v>363</v>
      </c>
      <c r="E60" s="279" t="str">
        <f>IF(ISERROR(A60),"",VLOOKUP($B60,'TRA5'!$A$6:$J$270,4,FALSE))</f>
        <v/>
      </c>
      <c r="F60" s="368" t="str">
        <f>IF(ISERROR(A60),"",VLOOKUP($B60,'TRA5'!$A$6:$J$270,9,FALSE))</f>
        <v/>
      </c>
      <c r="G60" s="368" t="str">
        <f>IF(ISERROR(A60),"",VLOOKUP($B60,'TRA5'!$A$6:$J$270,10,FALSE))</f>
        <v/>
      </c>
      <c r="H60" s="404"/>
      <c r="I60" s="405" t="str">
        <f t="shared" si="14"/>
        <v/>
      </c>
      <c r="J60" s="405" t="str">
        <f t="shared" si="15"/>
        <v/>
      </c>
      <c r="K60" s="406" t="str">
        <f t="shared" si="6"/>
        <v/>
      </c>
      <c r="L60" s="3"/>
      <c r="M60" s="3"/>
      <c r="N60" s="28"/>
      <c r="O60" s="28"/>
      <c r="P60" s="28"/>
      <c r="Q60" s="28">
        <f t="shared" si="0"/>
        <v>0</v>
      </c>
      <c r="R60" s="28">
        <f t="shared" si="1"/>
        <v>0</v>
      </c>
      <c r="S60" s="32">
        <f t="shared" si="16"/>
        <v>0</v>
      </c>
      <c r="T60" s="28">
        <f t="shared" si="2"/>
        <v>0</v>
      </c>
      <c r="U60" s="28">
        <f t="shared" si="3"/>
        <v>0</v>
      </c>
      <c r="V60" s="28"/>
      <c r="W60" s="28"/>
      <c r="X60" s="28"/>
      <c r="Y60" s="28"/>
      <c r="Z60" s="28"/>
      <c r="AA60" s="28"/>
      <c r="AB60" s="28"/>
      <c r="AC60" s="28"/>
      <c r="AD60" s="28"/>
      <c r="AE60" s="28" t="str">
        <f t="shared" si="4"/>
        <v/>
      </c>
      <c r="AF60" s="30"/>
      <c r="AG60" s="28"/>
      <c r="AH60" s="28"/>
      <c r="AI60" s="28"/>
      <c r="AJ60" s="28"/>
      <c r="AK60" s="28"/>
      <c r="AL60" s="28" t="str">
        <f t="shared" si="5"/>
        <v/>
      </c>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366" t="s">
        <v>1582</v>
      </c>
    </row>
    <row r="61" spans="1:256" s="3475" customFormat="1" x14ac:dyDescent="0.2">
      <c r="A61" s="46" t="e">
        <f>VLOOKUP(B61,'TRA5'!$A$6:$J$270,1,FALSE)</f>
      </c>
      <c r="B61" s="2037">
        <v>56</v>
      </c>
      <c r="C61" s="124" t="str">
        <f>IF(ISERROR(A61),"",VLOOKUP(B61,'TRA5'!$A$6:$J$270,2,FALSE))</f>
        <v/>
      </c>
      <c r="D61" s="403" t="s">
        <v>363</v>
      </c>
      <c r="E61" s="279" t="str">
        <f>IF(ISERROR(A61),"",VLOOKUP($B61,'TRA5'!$A$6:$J$270,4,FALSE))</f>
        <v/>
      </c>
      <c r="F61" s="368" t="str">
        <f>IF(ISERROR(A61),"",VLOOKUP($B61,'TRA5'!$A$6:$J$270,9,FALSE))</f>
        <v/>
      </c>
      <c r="G61" s="368" t="str">
        <f>IF(ISERROR(A61),"",VLOOKUP($B61,'TRA5'!$A$6:$J$270,10,FALSE))</f>
        <v/>
      </c>
      <c r="H61" s="404"/>
      <c r="I61" s="405" t="str">
        <f t="shared" si="14"/>
        <v/>
      </c>
      <c r="J61" s="405" t="str">
        <f t="shared" si="15"/>
        <v/>
      </c>
      <c r="K61" s="406" t="str">
        <f t="shared" si="6"/>
        <v/>
      </c>
      <c r="L61" s="3"/>
      <c r="M61" s="3"/>
      <c r="N61" s="28"/>
      <c r="O61" s="28"/>
      <c r="P61" s="28"/>
      <c r="Q61" s="28">
        <f t="shared" si="0"/>
        <v>0</v>
      </c>
      <c r="R61" s="28">
        <f t="shared" si="1"/>
        <v>0</v>
      </c>
      <c r="S61" s="32">
        <f t="shared" si="16"/>
        <v>0</v>
      </c>
      <c r="T61" s="28">
        <f t="shared" si="2"/>
        <v>0</v>
      </c>
      <c r="U61" s="28">
        <f t="shared" si="3"/>
        <v>0</v>
      </c>
      <c r="V61" s="28"/>
      <c r="W61" s="28"/>
      <c r="X61" s="28"/>
      <c r="Y61" s="28"/>
      <c r="Z61" s="28"/>
      <c r="AA61" s="28"/>
      <c r="AB61" s="28"/>
      <c r="AC61" s="28"/>
      <c r="AD61" s="28"/>
      <c r="AE61" s="28" t="str">
        <f t="shared" si="4"/>
        <v/>
      </c>
      <c r="AF61" s="30"/>
      <c r="AG61" s="28"/>
      <c r="AH61" s="28"/>
      <c r="AI61" s="28"/>
      <c r="AJ61" s="28"/>
      <c r="AK61" s="28"/>
      <c r="AL61" s="28" t="str">
        <f t="shared" si="5"/>
        <v/>
      </c>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8"/>
      <c r="HX61" s="28"/>
      <c r="HY61" s="28"/>
      <c r="HZ61" s="28"/>
      <c r="IA61" s="28"/>
      <c r="IB61" s="28"/>
      <c r="IC61" s="28"/>
      <c r="ID61" s="28"/>
      <c r="IE61" s="28"/>
      <c r="IF61" s="28"/>
      <c r="IG61" s="28"/>
      <c r="IH61" s="28"/>
      <c r="II61" s="28"/>
      <c r="IJ61" s="28"/>
      <c r="IK61" s="28"/>
      <c r="IL61" s="28"/>
      <c r="IM61" s="28"/>
      <c r="IN61" s="28"/>
      <c r="IO61" s="28"/>
      <c r="IP61" s="28"/>
      <c r="IQ61" s="28"/>
      <c r="IR61" s="28"/>
      <c r="IS61" s="28"/>
      <c r="IT61" s="28"/>
      <c r="IU61" s="28"/>
      <c r="IV61" s="366" t="s">
        <v>1582</v>
      </c>
    </row>
    <row r="62" spans="1:256" s="3475" customFormat="1" x14ac:dyDescent="0.2">
      <c r="A62" s="46" t="e">
        <f>VLOOKUP(B62,'TRA5'!$A$6:$J$270,1,FALSE)</f>
      </c>
      <c r="B62" s="2037">
        <v>57</v>
      </c>
      <c r="C62" s="124" t="str">
        <f>IF(ISERROR(A62),"",VLOOKUP(B62,'TRA5'!$A$6:$J$270,2,FALSE))</f>
        <v/>
      </c>
      <c r="D62" s="403" t="s">
        <v>363</v>
      </c>
      <c r="E62" s="279" t="str">
        <f>IF(ISERROR(A62),"",VLOOKUP($B62,'TRA5'!$A$6:$J$270,4,FALSE))</f>
        <v/>
      </c>
      <c r="F62" s="368" t="str">
        <f>IF(ISERROR(A62),"",VLOOKUP($B62,'TRA5'!$A$6:$J$270,9,FALSE))</f>
        <v/>
      </c>
      <c r="G62" s="368" t="str">
        <f>IF(ISERROR(A62),"",VLOOKUP($B62,'TRA5'!$A$6:$J$270,10,FALSE))</f>
        <v/>
      </c>
      <c r="H62" s="404"/>
      <c r="I62" s="405" t="str">
        <f t="shared" si="14"/>
        <v/>
      </c>
      <c r="J62" s="405" t="str">
        <f t="shared" si="15"/>
        <v/>
      </c>
      <c r="K62" s="406" t="str">
        <f t="shared" si="6"/>
        <v/>
      </c>
      <c r="L62" s="3"/>
      <c r="M62" s="3"/>
      <c r="N62" s="28"/>
      <c r="O62" s="28"/>
      <c r="P62" s="28"/>
      <c r="Q62" s="28">
        <f t="shared" si="0"/>
        <v>0</v>
      </c>
      <c r="R62" s="28">
        <f t="shared" si="1"/>
        <v>0</v>
      </c>
      <c r="S62" s="32">
        <f t="shared" si="16"/>
        <v>0</v>
      </c>
      <c r="T62" s="28">
        <f t="shared" si="2"/>
        <v>0</v>
      </c>
      <c r="U62" s="28">
        <f t="shared" si="3"/>
        <v>0</v>
      </c>
      <c r="V62" s="28"/>
      <c r="W62" s="28"/>
      <c r="X62" s="28"/>
      <c r="Y62" s="28"/>
      <c r="Z62" s="28"/>
      <c r="AA62" s="28"/>
      <c r="AB62" s="28"/>
      <c r="AC62" s="28"/>
      <c r="AD62" s="28"/>
      <c r="AE62" s="28" t="str">
        <f t="shared" si="4"/>
        <v/>
      </c>
      <c r="AF62" s="30"/>
      <c r="AG62" s="28"/>
      <c r="AH62" s="28"/>
      <c r="AI62" s="28"/>
      <c r="AJ62" s="28"/>
      <c r="AK62" s="28"/>
      <c r="AL62" s="28" t="str">
        <f t="shared" si="5"/>
        <v/>
      </c>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8"/>
      <c r="HX62" s="28"/>
      <c r="HY62" s="28"/>
      <c r="HZ62" s="28"/>
      <c r="IA62" s="28"/>
      <c r="IB62" s="28"/>
      <c r="IC62" s="28"/>
      <c r="ID62" s="28"/>
      <c r="IE62" s="28"/>
      <c r="IF62" s="28"/>
      <c r="IG62" s="28"/>
      <c r="IH62" s="28"/>
      <c r="II62" s="28"/>
      <c r="IJ62" s="28"/>
      <c r="IK62" s="28"/>
      <c r="IL62" s="28"/>
      <c r="IM62" s="28"/>
      <c r="IN62" s="28"/>
      <c r="IO62" s="28"/>
      <c r="IP62" s="28"/>
      <c r="IQ62" s="28"/>
      <c r="IR62" s="28"/>
      <c r="IS62" s="28"/>
      <c r="IT62" s="28"/>
      <c r="IU62" s="28"/>
      <c r="IV62" s="366" t="s">
        <v>1582</v>
      </c>
    </row>
    <row r="63" spans="1:256" s="3475" customFormat="1" x14ac:dyDescent="0.2">
      <c r="A63" s="46" t="e">
        <f>VLOOKUP(B63,'TRA5'!$A$6:$J$270,1,FALSE)</f>
      </c>
      <c r="B63" s="2037">
        <v>58</v>
      </c>
      <c r="C63" s="124" t="str">
        <f>IF(ISERROR(A63),"",VLOOKUP(B63,'TRA5'!$A$6:$J$270,2,FALSE))</f>
        <v/>
      </c>
      <c r="D63" s="403" t="s">
        <v>363</v>
      </c>
      <c r="E63" s="279" t="str">
        <f>IF(ISERROR(A63),"",VLOOKUP($B63,'TRA5'!$A$6:$J$270,4,FALSE))</f>
        <v/>
      </c>
      <c r="F63" s="368" t="str">
        <f>IF(ISERROR(A63),"",VLOOKUP($B63,'TRA5'!$A$6:$J$270,9,FALSE))</f>
        <v/>
      </c>
      <c r="G63" s="368" t="str">
        <f>IF(ISERROR(A63),"",VLOOKUP($B63,'TRA5'!$A$6:$J$270,10,FALSE))</f>
        <v/>
      </c>
      <c r="H63" s="404"/>
      <c r="I63" s="405" t="str">
        <f t="shared" si="14"/>
        <v/>
      </c>
      <c r="J63" s="405" t="str">
        <f t="shared" si="15"/>
        <v/>
      </c>
      <c r="K63" s="406" t="str">
        <f t="shared" si="6"/>
        <v/>
      </c>
      <c r="L63" s="3"/>
      <c r="M63" s="3"/>
      <c r="N63" s="28"/>
      <c r="O63" s="28"/>
      <c r="P63" s="28"/>
      <c r="Q63" s="28">
        <f t="shared" si="0"/>
        <v>0</v>
      </c>
      <c r="R63" s="28">
        <f t="shared" si="1"/>
        <v>0</v>
      </c>
      <c r="S63" s="32">
        <f t="shared" si="16"/>
        <v>0</v>
      </c>
      <c r="T63" s="28">
        <f t="shared" si="2"/>
        <v>0</v>
      </c>
      <c r="U63" s="28">
        <f t="shared" si="3"/>
        <v>0</v>
      </c>
      <c r="V63" s="28"/>
      <c r="W63" s="28"/>
      <c r="X63" s="28"/>
      <c r="Y63" s="28"/>
      <c r="Z63" s="28"/>
      <c r="AA63" s="28"/>
      <c r="AB63" s="28"/>
      <c r="AC63" s="28"/>
      <c r="AD63" s="28"/>
      <c r="AE63" s="28" t="str">
        <f t="shared" si="4"/>
        <v/>
      </c>
      <c r="AF63" s="30"/>
      <c r="AG63" s="28"/>
      <c r="AH63" s="28"/>
      <c r="AI63" s="28"/>
      <c r="AJ63" s="28"/>
      <c r="AK63" s="28"/>
      <c r="AL63" s="28" t="str">
        <f t="shared" si="5"/>
        <v/>
      </c>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8"/>
      <c r="HX63" s="28"/>
      <c r="HY63" s="28"/>
      <c r="HZ63" s="28"/>
      <c r="IA63" s="28"/>
      <c r="IB63" s="28"/>
      <c r="IC63" s="28"/>
      <c r="ID63" s="28"/>
      <c r="IE63" s="28"/>
      <c r="IF63" s="28"/>
      <c r="IG63" s="28"/>
      <c r="IH63" s="28"/>
      <c r="II63" s="28"/>
      <c r="IJ63" s="28"/>
      <c r="IK63" s="28"/>
      <c r="IL63" s="28"/>
      <c r="IM63" s="28"/>
      <c r="IN63" s="28"/>
      <c r="IO63" s="28"/>
      <c r="IP63" s="28"/>
      <c r="IQ63" s="28"/>
      <c r="IR63" s="28"/>
      <c r="IS63" s="28"/>
      <c r="IT63" s="28"/>
      <c r="IU63" s="28"/>
      <c r="IV63" s="366" t="s">
        <v>1582</v>
      </c>
    </row>
    <row r="64" spans="1:256" s="3475" customFormat="1" x14ac:dyDescent="0.2">
      <c r="A64" s="46" t="e">
        <f>VLOOKUP(B64,'TRA5'!$A$6:$J$270,1,FALSE)</f>
      </c>
      <c r="B64" s="2037">
        <v>59</v>
      </c>
      <c r="C64" s="124" t="str">
        <f>IF(ISERROR(A64),"",VLOOKUP(B64,'TRA5'!$A$6:$J$270,2,FALSE))</f>
        <v/>
      </c>
      <c r="D64" s="403" t="s">
        <v>363</v>
      </c>
      <c r="E64" s="279" t="str">
        <f>IF(ISERROR(A64),"",VLOOKUP($B64,'TRA5'!$A$6:$J$270,4,FALSE))</f>
        <v/>
      </c>
      <c r="F64" s="368" t="str">
        <f>IF(ISERROR(A64),"",VLOOKUP($B64,'TRA5'!$A$6:$J$270,9,FALSE))</f>
        <v/>
      </c>
      <c r="G64" s="368" t="str">
        <f>IF(ISERROR(A64),"",VLOOKUP($B64,'TRA5'!$A$6:$J$270,10,FALSE))</f>
        <v/>
      </c>
      <c r="H64" s="404"/>
      <c r="I64" s="405" t="str">
        <f t="shared" si="14"/>
        <v/>
      </c>
      <c r="J64" s="405" t="str">
        <f t="shared" si="15"/>
        <v/>
      </c>
      <c r="K64" s="406" t="str">
        <f t="shared" si="6"/>
        <v/>
      </c>
      <c r="L64" s="3"/>
      <c r="M64" s="3"/>
      <c r="N64" s="28"/>
      <c r="O64" s="28"/>
      <c r="P64" s="28"/>
      <c r="Q64" s="28">
        <f t="shared" si="0"/>
        <v>0</v>
      </c>
      <c r="R64" s="28">
        <f t="shared" si="1"/>
        <v>0</v>
      </c>
      <c r="S64" s="32">
        <f t="shared" si="16"/>
        <v>0</v>
      </c>
      <c r="T64" s="28">
        <f t="shared" si="2"/>
        <v>0</v>
      </c>
      <c r="U64" s="28">
        <f t="shared" si="3"/>
        <v>0</v>
      </c>
      <c r="V64" s="28"/>
      <c r="W64" s="28"/>
      <c r="X64" s="28"/>
      <c r="Y64" s="28"/>
      <c r="Z64" s="28"/>
      <c r="AA64" s="28"/>
      <c r="AB64" s="28"/>
      <c r="AC64" s="28"/>
      <c r="AD64" s="28"/>
      <c r="AE64" s="28" t="str">
        <f t="shared" si="4"/>
        <v/>
      </c>
      <c r="AF64" s="30"/>
      <c r="AG64" s="28"/>
      <c r="AH64" s="28"/>
      <c r="AI64" s="28"/>
      <c r="AJ64" s="28"/>
      <c r="AK64" s="28"/>
      <c r="AL64" s="28" t="str">
        <f t="shared" si="5"/>
        <v/>
      </c>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8"/>
      <c r="HX64" s="28"/>
      <c r="HY64" s="28"/>
      <c r="HZ64" s="28"/>
      <c r="IA64" s="28"/>
      <c r="IB64" s="28"/>
      <c r="IC64" s="28"/>
      <c r="ID64" s="28"/>
      <c r="IE64" s="28"/>
      <c r="IF64" s="28"/>
      <c r="IG64" s="28"/>
      <c r="IH64" s="28"/>
      <c r="II64" s="28"/>
      <c r="IJ64" s="28"/>
      <c r="IK64" s="28"/>
      <c r="IL64" s="28"/>
      <c r="IM64" s="28"/>
      <c r="IN64" s="28"/>
      <c r="IO64" s="28"/>
      <c r="IP64" s="28"/>
      <c r="IQ64" s="28"/>
      <c r="IR64" s="28"/>
      <c r="IS64" s="28"/>
      <c r="IT64" s="28"/>
      <c r="IU64" s="28"/>
      <c r="IV64" s="366" t="s">
        <v>1582</v>
      </c>
    </row>
    <row r="65" spans="1:256" s="3475" customFormat="1" x14ac:dyDescent="0.2">
      <c r="A65" s="46" t="e">
        <f>VLOOKUP(B65,'TRA5'!$A$6:$J$270,1,FALSE)</f>
      </c>
      <c r="B65" s="2037">
        <v>60</v>
      </c>
      <c r="C65" s="124" t="str">
        <f>IF(ISERROR(A65),"",VLOOKUP(B65,'TRA5'!$A$6:$J$270,2,FALSE))</f>
        <v/>
      </c>
      <c r="D65" s="403" t="s">
        <v>363</v>
      </c>
      <c r="E65" s="279" t="str">
        <f>IF(ISERROR(A65),"",VLOOKUP($B65,'TRA5'!$A$6:$J$270,4,FALSE))</f>
        <v/>
      </c>
      <c r="F65" s="368" t="str">
        <f>IF(ISERROR(A65),"",VLOOKUP($B65,'TRA5'!$A$6:$J$270,9,FALSE))</f>
        <v/>
      </c>
      <c r="G65" s="368" t="str">
        <f>IF(ISERROR(A65),"",VLOOKUP($B65,'TRA5'!$A$6:$J$270,10,FALSE))</f>
        <v/>
      </c>
      <c r="H65" s="404"/>
      <c r="I65" s="405" t="str">
        <f t="shared" si="14"/>
        <v/>
      </c>
      <c r="J65" s="405" t="str">
        <f t="shared" si="15"/>
        <v/>
      </c>
      <c r="K65" s="406" t="str">
        <f t="shared" si="6"/>
        <v/>
      </c>
      <c r="L65" s="3"/>
      <c r="M65" s="3"/>
      <c r="N65" s="28"/>
      <c r="O65" s="28"/>
      <c r="P65" s="28"/>
      <c r="Q65" s="28">
        <f t="shared" si="0"/>
        <v>0</v>
      </c>
      <c r="R65" s="28">
        <f t="shared" si="1"/>
        <v>0</v>
      </c>
      <c r="S65" s="32">
        <f t="shared" si="16"/>
        <v>0</v>
      </c>
      <c r="T65" s="28">
        <f t="shared" si="2"/>
        <v>0</v>
      </c>
      <c r="U65" s="28">
        <f t="shared" si="3"/>
        <v>0</v>
      </c>
      <c r="V65" s="28"/>
      <c r="W65" s="28"/>
      <c r="X65" s="28"/>
      <c r="Y65" s="28"/>
      <c r="Z65" s="28"/>
      <c r="AA65" s="28"/>
      <c r="AB65" s="28"/>
      <c r="AC65" s="28"/>
      <c r="AD65" s="28"/>
      <c r="AE65" s="28" t="str">
        <f t="shared" si="4"/>
        <v/>
      </c>
      <c r="AF65" s="30"/>
      <c r="AG65" s="28"/>
      <c r="AH65" s="28"/>
      <c r="AI65" s="28"/>
      <c r="AJ65" s="28"/>
      <c r="AK65" s="28"/>
      <c r="AL65" s="28" t="str">
        <f t="shared" si="5"/>
        <v/>
      </c>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c r="GV65" s="28"/>
      <c r="GW65" s="28"/>
      <c r="GX65" s="28"/>
      <c r="GY65" s="28"/>
      <c r="GZ65" s="28"/>
      <c r="HA65" s="28"/>
      <c r="HB65" s="28"/>
      <c r="HC65" s="28"/>
      <c r="HD65" s="28"/>
      <c r="HE65" s="28"/>
      <c r="HF65" s="28"/>
      <c r="HG65" s="28"/>
      <c r="HH65" s="28"/>
      <c r="HI65" s="28"/>
      <c r="HJ65" s="28"/>
      <c r="HK65" s="28"/>
      <c r="HL65" s="28"/>
      <c r="HM65" s="28"/>
      <c r="HN65" s="28"/>
      <c r="HO65" s="28"/>
      <c r="HP65" s="28"/>
      <c r="HQ65" s="28"/>
      <c r="HR65" s="28"/>
      <c r="HS65" s="28"/>
      <c r="HT65" s="28"/>
      <c r="HU65" s="28"/>
      <c r="HV65" s="28"/>
      <c r="HW65" s="28"/>
      <c r="HX65" s="28"/>
      <c r="HY65" s="28"/>
      <c r="HZ65" s="28"/>
      <c r="IA65" s="28"/>
      <c r="IB65" s="28"/>
      <c r="IC65" s="28"/>
      <c r="ID65" s="28"/>
      <c r="IE65" s="28"/>
      <c r="IF65" s="28"/>
      <c r="IG65" s="28"/>
      <c r="IH65" s="28"/>
      <c r="II65" s="28"/>
      <c r="IJ65" s="28"/>
      <c r="IK65" s="28"/>
      <c r="IL65" s="28"/>
      <c r="IM65" s="28"/>
      <c r="IN65" s="28"/>
      <c r="IO65" s="28"/>
      <c r="IP65" s="28"/>
      <c r="IQ65" s="28"/>
      <c r="IR65" s="28"/>
      <c r="IS65" s="28"/>
      <c r="IT65" s="28"/>
      <c r="IU65" s="28"/>
      <c r="IV65" s="366" t="s">
        <v>1582</v>
      </c>
    </row>
    <row r="66" spans="1:256" s="3475" customFormat="1" x14ac:dyDescent="0.2">
      <c r="A66" s="46" t="e">
        <f>VLOOKUP(B66,'TRA5'!$A$6:$J$270,1,FALSE)</f>
      </c>
      <c r="B66" s="2037">
        <v>61</v>
      </c>
      <c r="C66" s="124" t="str">
        <f>IF(ISERROR(A66),"",VLOOKUP(B66,'TRA5'!$A$6:$J$270,2,FALSE))</f>
        <v/>
      </c>
      <c r="D66" s="403" t="s">
        <v>363</v>
      </c>
      <c r="E66" s="279" t="str">
        <f>IF(ISERROR(A66),"",VLOOKUP($B66,'TRA5'!$A$6:$J$270,4,FALSE))</f>
        <v/>
      </c>
      <c r="F66" s="368" t="str">
        <f>IF(ISERROR(A66),"",VLOOKUP($B66,'TRA5'!$A$6:$J$270,9,FALSE))</f>
        <v/>
      </c>
      <c r="G66" s="368" t="str">
        <f>IF(ISERROR(A66),"",VLOOKUP($B66,'TRA5'!$A$6:$J$270,10,FALSE))</f>
        <v/>
      </c>
      <c r="H66" s="404"/>
      <c r="I66" s="405" t="str">
        <f t="shared" si="14"/>
        <v/>
      </c>
      <c r="J66" s="405" t="str">
        <f t="shared" si="15"/>
        <v/>
      </c>
      <c r="K66" s="406" t="str">
        <f t="shared" si="6"/>
        <v/>
      </c>
      <c r="L66" s="3"/>
      <c r="M66" s="3"/>
      <c r="N66" s="28"/>
      <c r="O66" s="28"/>
      <c r="P66" s="28"/>
      <c r="Q66" s="28">
        <f t="shared" si="0"/>
        <v>0</v>
      </c>
      <c r="R66" s="28">
        <f t="shared" si="1"/>
        <v>0</v>
      </c>
      <c r="S66" s="32">
        <f t="shared" si="16"/>
        <v>0</v>
      </c>
      <c r="T66" s="28">
        <f t="shared" si="2"/>
        <v>0</v>
      </c>
      <c r="U66" s="28">
        <f t="shared" si="3"/>
        <v>0</v>
      </c>
      <c r="V66" s="28"/>
      <c r="W66" s="28"/>
      <c r="X66" s="28"/>
      <c r="Y66" s="28"/>
      <c r="Z66" s="28"/>
      <c r="AA66" s="28"/>
      <c r="AB66" s="28"/>
      <c r="AC66" s="28"/>
      <c r="AD66" s="28"/>
      <c r="AE66" s="28" t="str">
        <f t="shared" si="4"/>
        <v/>
      </c>
      <c r="AF66" s="30"/>
      <c r="AG66" s="28"/>
      <c r="AH66" s="28"/>
      <c r="AI66" s="28"/>
      <c r="AJ66" s="28"/>
      <c r="AK66" s="28"/>
      <c r="AL66" s="28" t="str">
        <f t="shared" si="5"/>
        <v/>
      </c>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366" t="s">
        <v>1582</v>
      </c>
    </row>
    <row r="67" spans="1:256" s="3475" customFormat="1" hidden="1" x14ac:dyDescent="0.2">
      <c r="A67" s="46"/>
      <c r="B67" s="2037"/>
      <c r="C67" s="3489"/>
      <c r="D67" s="3490"/>
      <c r="E67" s="3491"/>
      <c r="F67" s="3492"/>
      <c r="G67" s="3492"/>
      <c r="H67" s="3487"/>
      <c r="I67" s="405"/>
      <c r="J67" s="405"/>
      <c r="K67" s="406"/>
      <c r="L67" s="3"/>
      <c r="M67" s="3"/>
      <c r="N67" s="28"/>
      <c r="O67" s="28"/>
      <c r="P67" s="28"/>
      <c r="Q67" s="28"/>
      <c r="R67" s="28"/>
      <c r="S67" s="32"/>
      <c r="T67" s="28"/>
      <c r="U67" s="28"/>
      <c r="V67" s="28"/>
      <c r="W67" s="28"/>
      <c r="X67" s="28"/>
      <c r="Y67" s="28"/>
      <c r="Z67" s="28"/>
      <c r="AA67" s="28"/>
      <c r="AB67" s="28"/>
      <c r="AC67" s="28"/>
      <c r="AD67" s="28"/>
      <c r="AE67" s="28"/>
      <c r="AF67" s="30"/>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3371"/>
    </row>
    <row r="68" spans="1:256" s="3475" customFormat="1" hidden="1" x14ac:dyDescent="0.2">
      <c r="A68" s="46"/>
      <c r="B68" s="2037"/>
      <c r="C68" s="3489"/>
      <c r="D68" s="3490"/>
      <c r="E68" s="3491"/>
      <c r="F68" s="3492"/>
      <c r="G68" s="3492"/>
      <c r="H68" s="3487"/>
      <c r="I68" s="405"/>
      <c r="J68" s="405"/>
      <c r="K68" s="406"/>
      <c r="L68" s="3"/>
      <c r="M68" s="3"/>
      <c r="N68" s="28"/>
      <c r="O68" s="28"/>
      <c r="P68" s="28"/>
      <c r="Q68" s="28"/>
      <c r="R68" s="28"/>
      <c r="S68" s="32"/>
      <c r="T68" s="28"/>
      <c r="U68" s="28"/>
      <c r="V68" s="28"/>
      <c r="W68" s="28"/>
      <c r="X68" s="28"/>
      <c r="Y68" s="28"/>
      <c r="Z68" s="28"/>
      <c r="AA68" s="28"/>
      <c r="AB68" s="28"/>
      <c r="AC68" s="28"/>
      <c r="AD68" s="28"/>
      <c r="AE68" s="28"/>
      <c r="AF68" s="30"/>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3371"/>
    </row>
    <row r="69" spans="1:256" s="3475" customFormat="1" hidden="1" x14ac:dyDescent="0.2">
      <c r="A69" s="46"/>
      <c r="B69" s="2037"/>
      <c r="C69" s="3489"/>
      <c r="D69" s="3490"/>
      <c r="E69" s="3491"/>
      <c r="F69" s="3492"/>
      <c r="G69" s="3492"/>
      <c r="H69" s="3487"/>
      <c r="I69" s="405"/>
      <c r="J69" s="405"/>
      <c r="K69" s="406"/>
      <c r="L69" s="3"/>
      <c r="M69" s="3"/>
      <c r="N69" s="28"/>
      <c r="O69" s="28"/>
      <c r="P69" s="28"/>
      <c r="Q69" s="28"/>
      <c r="R69" s="28"/>
      <c r="S69" s="32"/>
      <c r="T69" s="28"/>
      <c r="U69" s="28"/>
      <c r="V69" s="28"/>
      <c r="W69" s="28"/>
      <c r="X69" s="28"/>
      <c r="Y69" s="28"/>
      <c r="Z69" s="28"/>
      <c r="AA69" s="28"/>
      <c r="AB69" s="28"/>
      <c r="AC69" s="28"/>
      <c r="AD69" s="28"/>
      <c r="AE69" s="28"/>
      <c r="AF69" s="30"/>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c r="HV69" s="28"/>
      <c r="HW69" s="28"/>
      <c r="HX69" s="28"/>
      <c r="HY69" s="28"/>
      <c r="HZ69" s="28"/>
      <c r="IA69" s="28"/>
      <c r="IB69" s="28"/>
      <c r="IC69" s="28"/>
      <c r="ID69" s="28"/>
      <c r="IE69" s="28"/>
      <c r="IF69" s="28"/>
      <c r="IG69" s="28"/>
      <c r="IH69" s="28"/>
      <c r="II69" s="28"/>
      <c r="IJ69" s="28"/>
      <c r="IK69" s="28"/>
      <c r="IL69" s="28"/>
      <c r="IM69" s="28"/>
      <c r="IN69" s="28"/>
      <c r="IO69" s="28"/>
      <c r="IP69" s="28"/>
      <c r="IQ69" s="28"/>
      <c r="IR69" s="28"/>
      <c r="IS69" s="28"/>
      <c r="IT69" s="28"/>
      <c r="IU69" s="28"/>
      <c r="IV69" s="3371"/>
    </row>
    <row r="70" spans="1:256" s="3475" customFormat="1" hidden="1" x14ac:dyDescent="0.2">
      <c r="A70" s="46"/>
      <c r="B70" s="2037"/>
      <c r="C70" s="3489"/>
      <c r="D70" s="3490"/>
      <c r="E70" s="3491"/>
      <c r="F70" s="3492"/>
      <c r="G70" s="3492"/>
      <c r="H70" s="3487"/>
      <c r="I70" s="405"/>
      <c r="J70" s="405"/>
      <c r="K70" s="406"/>
      <c r="L70" s="3"/>
      <c r="M70" s="3"/>
      <c r="N70" s="28"/>
      <c r="O70" s="28"/>
      <c r="P70" s="28"/>
      <c r="Q70" s="28"/>
      <c r="R70" s="28"/>
      <c r="S70" s="32"/>
      <c r="T70" s="28"/>
      <c r="U70" s="28"/>
      <c r="V70" s="28"/>
      <c r="W70" s="28"/>
      <c r="X70" s="28"/>
      <c r="Y70" s="28"/>
      <c r="Z70" s="28"/>
      <c r="AA70" s="28"/>
      <c r="AB70" s="28"/>
      <c r="AC70" s="28"/>
      <c r="AD70" s="28"/>
      <c r="AE70" s="28"/>
      <c r="AF70" s="30"/>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c r="IA70" s="28"/>
      <c r="IB70" s="28"/>
      <c r="IC70" s="28"/>
      <c r="ID70" s="28"/>
      <c r="IE70" s="28"/>
      <c r="IF70" s="28"/>
      <c r="IG70" s="28"/>
      <c r="IH70" s="28"/>
      <c r="II70" s="28"/>
      <c r="IJ70" s="28"/>
      <c r="IK70" s="28"/>
      <c r="IL70" s="28"/>
      <c r="IM70" s="28"/>
      <c r="IN70" s="28"/>
      <c r="IO70" s="28"/>
      <c r="IP70" s="28"/>
      <c r="IQ70" s="28"/>
      <c r="IR70" s="28"/>
      <c r="IS70" s="28"/>
      <c r="IT70" s="28"/>
      <c r="IU70" s="28"/>
      <c r="IV70" s="3371"/>
    </row>
    <row r="71" spans="1:256" s="3475" customFormat="1" hidden="1" x14ac:dyDescent="0.2">
      <c r="A71" s="46"/>
      <c r="B71" s="2037"/>
      <c r="C71" s="3489"/>
      <c r="D71" s="3490"/>
      <c r="E71" s="3491"/>
      <c r="F71" s="3492"/>
      <c r="G71" s="3492"/>
      <c r="H71" s="3487"/>
      <c r="I71" s="405"/>
      <c r="J71" s="405"/>
      <c r="K71" s="406"/>
      <c r="L71" s="3"/>
      <c r="M71" s="3"/>
      <c r="N71" s="28"/>
      <c r="O71" s="28"/>
      <c r="P71" s="28"/>
      <c r="Q71" s="28"/>
      <c r="R71" s="28"/>
      <c r="S71" s="32"/>
      <c r="T71" s="28"/>
      <c r="U71" s="28"/>
      <c r="V71" s="28"/>
      <c r="W71" s="28"/>
      <c r="X71" s="28"/>
      <c r="Y71" s="28"/>
      <c r="Z71" s="28"/>
      <c r="AA71" s="28"/>
      <c r="AB71" s="28"/>
      <c r="AC71" s="28"/>
      <c r="AD71" s="28"/>
      <c r="AE71" s="28"/>
      <c r="AF71" s="30"/>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c r="HL71" s="28"/>
      <c r="HM71" s="28"/>
      <c r="HN71" s="28"/>
      <c r="HO71" s="28"/>
      <c r="HP71" s="28"/>
      <c r="HQ71" s="28"/>
      <c r="HR71" s="28"/>
      <c r="HS71" s="28"/>
      <c r="HT71" s="28"/>
      <c r="HU71" s="28"/>
      <c r="HV71" s="28"/>
      <c r="HW71" s="28"/>
      <c r="HX71" s="28"/>
      <c r="HY71" s="28"/>
      <c r="HZ71" s="28"/>
      <c r="IA71" s="28"/>
      <c r="IB71" s="28"/>
      <c r="IC71" s="28"/>
      <c r="ID71" s="28"/>
      <c r="IE71" s="28"/>
      <c r="IF71" s="28"/>
      <c r="IG71" s="28"/>
      <c r="IH71" s="28"/>
      <c r="II71" s="28"/>
      <c r="IJ71" s="28"/>
      <c r="IK71" s="28"/>
      <c r="IL71" s="28"/>
      <c r="IM71" s="28"/>
      <c r="IN71" s="28"/>
      <c r="IO71" s="28"/>
      <c r="IP71" s="28"/>
      <c r="IQ71" s="28"/>
      <c r="IR71" s="28"/>
      <c r="IS71" s="28"/>
      <c r="IT71" s="28"/>
      <c r="IU71" s="28"/>
      <c r="IV71" s="3371"/>
    </row>
    <row r="72" spans="1:256" s="3475" customFormat="1" hidden="1" x14ac:dyDescent="0.2">
      <c r="A72" s="46"/>
      <c r="B72" s="2037"/>
      <c r="C72" s="3489"/>
      <c r="D72" s="3490"/>
      <c r="E72" s="3491"/>
      <c r="F72" s="3492"/>
      <c r="G72" s="3492"/>
      <c r="H72" s="3487"/>
      <c r="I72" s="405"/>
      <c r="J72" s="405"/>
      <c r="K72" s="406"/>
      <c r="L72" s="3"/>
      <c r="M72" s="3"/>
      <c r="N72" s="28"/>
      <c r="O72" s="28"/>
      <c r="P72" s="28"/>
      <c r="Q72" s="28"/>
      <c r="R72" s="28"/>
      <c r="S72" s="32"/>
      <c r="T72" s="28"/>
      <c r="U72" s="28"/>
      <c r="V72" s="28"/>
      <c r="W72" s="28"/>
      <c r="X72" s="28"/>
      <c r="Y72" s="28"/>
      <c r="Z72" s="28"/>
      <c r="AA72" s="28"/>
      <c r="AB72" s="28"/>
      <c r="AC72" s="28"/>
      <c r="AD72" s="28"/>
      <c r="AE72" s="28"/>
      <c r="AF72" s="30"/>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c r="HV72" s="28"/>
      <c r="HW72" s="28"/>
      <c r="HX72" s="28"/>
      <c r="HY72" s="28"/>
      <c r="HZ72" s="28"/>
      <c r="IA72" s="28"/>
      <c r="IB72" s="28"/>
      <c r="IC72" s="28"/>
      <c r="ID72" s="28"/>
      <c r="IE72" s="28"/>
      <c r="IF72" s="28"/>
      <c r="IG72" s="28"/>
      <c r="IH72" s="28"/>
      <c r="II72" s="28"/>
      <c r="IJ72" s="28"/>
      <c r="IK72" s="28"/>
      <c r="IL72" s="28"/>
      <c r="IM72" s="28"/>
      <c r="IN72" s="28"/>
      <c r="IO72" s="28"/>
      <c r="IP72" s="28"/>
      <c r="IQ72" s="28"/>
      <c r="IR72" s="28"/>
      <c r="IS72" s="28"/>
      <c r="IT72" s="28"/>
      <c r="IU72" s="28"/>
      <c r="IV72" s="3371"/>
    </row>
    <row r="73" spans="1:256" s="3475" customFormat="1" hidden="1" x14ac:dyDescent="0.2">
      <c r="A73" s="46"/>
      <c r="B73" s="2037"/>
      <c r="C73" s="3489"/>
      <c r="D73" s="3490"/>
      <c r="E73" s="3491"/>
      <c r="F73" s="3492"/>
      <c r="G73" s="3492"/>
      <c r="H73" s="3487"/>
      <c r="I73" s="405"/>
      <c r="J73" s="405"/>
      <c r="K73" s="406"/>
      <c r="L73" s="3"/>
      <c r="M73" s="3"/>
      <c r="N73" s="28"/>
      <c r="O73" s="28"/>
      <c r="P73" s="28"/>
      <c r="Q73" s="28"/>
      <c r="R73" s="28"/>
      <c r="S73" s="32"/>
      <c r="T73" s="28"/>
      <c r="U73" s="28"/>
      <c r="V73" s="28"/>
      <c r="W73" s="28"/>
      <c r="X73" s="28"/>
      <c r="Y73" s="28"/>
      <c r="Z73" s="28"/>
      <c r="AA73" s="28"/>
      <c r="AB73" s="28"/>
      <c r="AC73" s="28"/>
      <c r="AD73" s="28"/>
      <c r="AE73" s="28"/>
      <c r="AF73" s="30"/>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c r="IH73" s="28"/>
      <c r="II73" s="28"/>
      <c r="IJ73" s="28"/>
      <c r="IK73" s="28"/>
      <c r="IL73" s="28"/>
      <c r="IM73" s="28"/>
      <c r="IN73" s="28"/>
      <c r="IO73" s="28"/>
      <c r="IP73" s="28"/>
      <c r="IQ73" s="28"/>
      <c r="IR73" s="28"/>
      <c r="IS73" s="28"/>
      <c r="IT73" s="28"/>
      <c r="IU73" s="28"/>
      <c r="IV73" s="3371"/>
    </row>
    <row r="74" spans="1:256" s="3475" customFormat="1" hidden="1" x14ac:dyDescent="0.2">
      <c r="A74" s="46"/>
      <c r="B74" s="2037"/>
      <c r="C74" s="3489"/>
      <c r="D74" s="3490"/>
      <c r="E74" s="3491"/>
      <c r="F74" s="3492"/>
      <c r="G74" s="3492"/>
      <c r="H74" s="3487"/>
      <c r="I74" s="405"/>
      <c r="J74" s="405"/>
      <c r="K74" s="406"/>
      <c r="L74" s="3"/>
      <c r="M74" s="3"/>
      <c r="N74" s="28"/>
      <c r="O74" s="28"/>
      <c r="P74" s="28"/>
      <c r="Q74" s="28"/>
      <c r="R74" s="28"/>
      <c r="S74" s="32"/>
      <c r="T74" s="28"/>
      <c r="U74" s="28"/>
      <c r="V74" s="28"/>
      <c r="W74" s="28"/>
      <c r="X74" s="28"/>
      <c r="Y74" s="28"/>
      <c r="Z74" s="28"/>
      <c r="AA74" s="28"/>
      <c r="AB74" s="28"/>
      <c r="AC74" s="28"/>
      <c r="AD74" s="28"/>
      <c r="AE74" s="28"/>
      <c r="AF74" s="30"/>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c r="IH74" s="28"/>
      <c r="II74" s="28"/>
      <c r="IJ74" s="28"/>
      <c r="IK74" s="28"/>
      <c r="IL74" s="28"/>
      <c r="IM74" s="28"/>
      <c r="IN74" s="28"/>
      <c r="IO74" s="28"/>
      <c r="IP74" s="28"/>
      <c r="IQ74" s="28"/>
      <c r="IR74" s="28"/>
      <c r="IS74" s="28"/>
      <c r="IT74" s="28"/>
      <c r="IU74" s="28"/>
      <c r="IV74" s="3371"/>
    </row>
    <row r="75" spans="1:256" s="3475" customFormat="1" hidden="1" x14ac:dyDescent="0.2">
      <c r="A75" s="46"/>
      <c r="B75" s="2037"/>
      <c r="C75" s="3489"/>
      <c r="D75" s="3490"/>
      <c r="E75" s="3491"/>
      <c r="F75" s="3492"/>
      <c r="G75" s="3492"/>
      <c r="H75" s="3487"/>
      <c r="I75" s="405"/>
      <c r="J75" s="405"/>
      <c r="K75" s="406"/>
      <c r="L75" s="3"/>
      <c r="M75" s="3"/>
      <c r="N75" s="28"/>
      <c r="O75" s="28"/>
      <c r="P75" s="28"/>
      <c r="Q75" s="28"/>
      <c r="R75" s="28"/>
      <c r="S75" s="32"/>
      <c r="T75" s="28"/>
      <c r="U75" s="28"/>
      <c r="V75" s="28"/>
      <c r="W75" s="28"/>
      <c r="X75" s="28"/>
      <c r="Y75" s="28"/>
      <c r="Z75" s="28"/>
      <c r="AA75" s="28"/>
      <c r="AB75" s="28"/>
      <c r="AC75" s="28"/>
      <c r="AD75" s="28"/>
      <c r="AE75" s="28"/>
      <c r="AF75" s="30"/>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28"/>
      <c r="IT75" s="28"/>
      <c r="IU75" s="28"/>
      <c r="IV75" s="3371"/>
    </row>
    <row r="76" spans="1:256" s="3475" customFormat="1" hidden="1" x14ac:dyDescent="0.2">
      <c r="A76" s="46"/>
      <c r="B76" s="2037"/>
      <c r="C76" s="3489"/>
      <c r="D76" s="3490"/>
      <c r="E76" s="3491"/>
      <c r="F76" s="3492"/>
      <c r="G76" s="3492"/>
      <c r="H76" s="3487"/>
      <c r="I76" s="405"/>
      <c r="J76" s="405"/>
      <c r="K76" s="406"/>
      <c r="L76" s="3"/>
      <c r="M76" s="3"/>
      <c r="N76" s="28"/>
      <c r="O76" s="28"/>
      <c r="P76" s="28"/>
      <c r="Q76" s="28"/>
      <c r="R76" s="28"/>
      <c r="S76" s="32"/>
      <c r="T76" s="28"/>
      <c r="U76" s="28"/>
      <c r="V76" s="28"/>
      <c r="W76" s="28"/>
      <c r="X76" s="28"/>
      <c r="Y76" s="28"/>
      <c r="Z76" s="28"/>
      <c r="AA76" s="28"/>
      <c r="AB76" s="28"/>
      <c r="AC76" s="28"/>
      <c r="AD76" s="28"/>
      <c r="AE76" s="28"/>
      <c r="AF76" s="30"/>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c r="IV76" s="3371"/>
    </row>
    <row r="77" spans="1:256" s="3475" customFormat="1" hidden="1" x14ac:dyDescent="0.2">
      <c r="A77" s="46"/>
      <c r="B77" s="2037"/>
      <c r="C77" s="3489"/>
      <c r="D77" s="3490"/>
      <c r="E77" s="3491"/>
      <c r="F77" s="3492"/>
      <c r="G77" s="3492"/>
      <c r="H77" s="3487"/>
      <c r="I77" s="405"/>
      <c r="J77" s="405"/>
      <c r="K77" s="406"/>
      <c r="L77" s="3"/>
      <c r="M77" s="3"/>
      <c r="N77" s="28"/>
      <c r="O77" s="28"/>
      <c r="P77" s="28"/>
      <c r="Q77" s="28"/>
      <c r="R77" s="28"/>
      <c r="S77" s="32"/>
      <c r="T77" s="28"/>
      <c r="U77" s="28"/>
      <c r="V77" s="28"/>
      <c r="W77" s="28"/>
      <c r="X77" s="28"/>
      <c r="Y77" s="28"/>
      <c r="Z77" s="28"/>
      <c r="AA77" s="28"/>
      <c r="AB77" s="28"/>
      <c r="AC77" s="28"/>
      <c r="AD77" s="28"/>
      <c r="AE77" s="28"/>
      <c r="AF77" s="30"/>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3371"/>
    </row>
    <row r="78" spans="1:256" s="3475" customFormat="1" hidden="1" x14ac:dyDescent="0.2">
      <c r="A78" s="46"/>
      <c r="B78" s="2037"/>
      <c r="C78" s="3489"/>
      <c r="D78" s="3490"/>
      <c r="E78" s="3491"/>
      <c r="F78" s="3492"/>
      <c r="G78" s="3492"/>
      <c r="H78" s="3487"/>
      <c r="I78" s="405"/>
      <c r="J78" s="405"/>
      <c r="K78" s="406"/>
      <c r="L78" s="3"/>
      <c r="M78" s="3"/>
      <c r="N78" s="28"/>
      <c r="O78" s="28"/>
      <c r="P78" s="28"/>
      <c r="Q78" s="28"/>
      <c r="R78" s="28"/>
      <c r="S78" s="32"/>
      <c r="T78" s="28"/>
      <c r="U78" s="28"/>
      <c r="V78" s="28"/>
      <c r="W78" s="28"/>
      <c r="X78" s="28"/>
      <c r="Y78" s="28"/>
      <c r="Z78" s="28"/>
      <c r="AA78" s="28"/>
      <c r="AB78" s="28"/>
      <c r="AC78" s="28"/>
      <c r="AD78" s="28"/>
      <c r="AE78" s="28"/>
      <c r="AF78" s="30"/>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c r="HL78" s="28"/>
      <c r="HM78" s="28"/>
      <c r="HN78" s="28"/>
      <c r="HO78" s="28"/>
      <c r="HP78" s="28"/>
      <c r="HQ78" s="28"/>
      <c r="HR78" s="28"/>
      <c r="HS78" s="28"/>
      <c r="HT78" s="28"/>
      <c r="HU78" s="28"/>
      <c r="HV78" s="28"/>
      <c r="HW78" s="28"/>
      <c r="HX78" s="28"/>
      <c r="HY78" s="28"/>
      <c r="HZ78" s="28"/>
      <c r="IA78" s="28"/>
      <c r="IB78" s="28"/>
      <c r="IC78" s="28"/>
      <c r="ID78" s="28"/>
      <c r="IE78" s="28"/>
      <c r="IF78" s="28"/>
      <c r="IG78" s="28"/>
      <c r="IH78" s="28"/>
      <c r="II78" s="28"/>
      <c r="IJ78" s="28"/>
      <c r="IK78" s="28"/>
      <c r="IL78" s="28"/>
      <c r="IM78" s="28"/>
      <c r="IN78" s="28"/>
      <c r="IO78" s="28"/>
      <c r="IP78" s="28"/>
      <c r="IQ78" s="28"/>
      <c r="IR78" s="28"/>
      <c r="IS78" s="28"/>
      <c r="IT78" s="28"/>
      <c r="IU78" s="28"/>
      <c r="IV78" s="3371"/>
    </row>
    <row r="79" spans="1:256" s="3475" customFormat="1" hidden="1" x14ac:dyDescent="0.2">
      <c r="A79" s="46"/>
      <c r="B79" s="2037"/>
      <c r="C79" s="3489"/>
      <c r="D79" s="3490"/>
      <c r="E79" s="3491"/>
      <c r="F79" s="3492"/>
      <c r="G79" s="3492"/>
      <c r="H79" s="3487"/>
      <c r="I79" s="405"/>
      <c r="J79" s="405"/>
      <c r="K79" s="406"/>
      <c r="L79" s="3"/>
      <c r="M79" s="3"/>
      <c r="N79" s="28"/>
      <c r="O79" s="28"/>
      <c r="P79" s="28"/>
      <c r="Q79" s="28"/>
      <c r="R79" s="28"/>
      <c r="S79" s="32"/>
      <c r="T79" s="28"/>
      <c r="U79" s="28"/>
      <c r="V79" s="28"/>
      <c r="W79" s="28"/>
      <c r="X79" s="28"/>
      <c r="Y79" s="28"/>
      <c r="Z79" s="28"/>
      <c r="AA79" s="28"/>
      <c r="AB79" s="28"/>
      <c r="AC79" s="28"/>
      <c r="AD79" s="28"/>
      <c r="AE79" s="28"/>
      <c r="AF79" s="30"/>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c r="HL79" s="28"/>
      <c r="HM79" s="28"/>
      <c r="HN79" s="28"/>
      <c r="HO79" s="28"/>
      <c r="HP79" s="28"/>
      <c r="HQ79" s="28"/>
      <c r="HR79" s="28"/>
      <c r="HS79" s="28"/>
      <c r="HT79" s="28"/>
      <c r="HU79" s="28"/>
      <c r="HV79" s="28"/>
      <c r="HW79" s="28"/>
      <c r="HX79" s="28"/>
      <c r="HY79" s="28"/>
      <c r="HZ79" s="28"/>
      <c r="IA79" s="28"/>
      <c r="IB79" s="28"/>
      <c r="IC79" s="28"/>
      <c r="ID79" s="28"/>
      <c r="IE79" s="28"/>
      <c r="IF79" s="28"/>
      <c r="IG79" s="28"/>
      <c r="IH79" s="28"/>
      <c r="II79" s="28"/>
      <c r="IJ79" s="28"/>
      <c r="IK79" s="28"/>
      <c r="IL79" s="28"/>
      <c r="IM79" s="28"/>
      <c r="IN79" s="28"/>
      <c r="IO79" s="28"/>
      <c r="IP79" s="28"/>
      <c r="IQ79" s="28"/>
      <c r="IR79" s="28"/>
      <c r="IS79" s="28"/>
      <c r="IT79" s="28"/>
      <c r="IU79" s="28"/>
      <c r="IV79" s="3371"/>
    </row>
    <row r="80" spans="1:256" s="3475" customFormat="1" hidden="1" x14ac:dyDescent="0.2">
      <c r="A80" s="46"/>
      <c r="B80" s="2037"/>
      <c r="C80" s="3489"/>
      <c r="D80" s="3490"/>
      <c r="E80" s="3491"/>
      <c r="F80" s="3492"/>
      <c r="G80" s="3492"/>
      <c r="H80" s="3487"/>
      <c r="I80" s="405"/>
      <c r="J80" s="405"/>
      <c r="K80" s="406"/>
      <c r="L80" s="3"/>
      <c r="M80" s="3"/>
      <c r="N80" s="28"/>
      <c r="O80" s="28"/>
      <c r="P80" s="28"/>
      <c r="Q80" s="28"/>
      <c r="R80" s="28"/>
      <c r="S80" s="32"/>
      <c r="T80" s="28"/>
      <c r="U80" s="28"/>
      <c r="V80" s="28"/>
      <c r="W80" s="28"/>
      <c r="X80" s="28"/>
      <c r="Y80" s="28"/>
      <c r="Z80" s="28"/>
      <c r="AA80" s="28"/>
      <c r="AB80" s="28"/>
      <c r="AC80" s="28"/>
      <c r="AD80" s="28"/>
      <c r="AE80" s="28"/>
      <c r="AF80" s="30"/>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c r="HL80" s="28"/>
      <c r="HM80" s="28"/>
      <c r="HN80" s="28"/>
      <c r="HO80" s="28"/>
      <c r="HP80" s="28"/>
      <c r="HQ80" s="28"/>
      <c r="HR80" s="28"/>
      <c r="HS80" s="28"/>
      <c r="HT80" s="28"/>
      <c r="HU80" s="28"/>
      <c r="HV80" s="28"/>
      <c r="HW80" s="28"/>
      <c r="HX80" s="28"/>
      <c r="HY80" s="28"/>
      <c r="HZ80" s="28"/>
      <c r="IA80" s="28"/>
      <c r="IB80" s="28"/>
      <c r="IC80" s="28"/>
      <c r="ID80" s="28"/>
      <c r="IE80" s="28"/>
      <c r="IF80" s="28"/>
      <c r="IG80" s="28"/>
      <c r="IH80" s="28"/>
      <c r="II80" s="28"/>
      <c r="IJ80" s="28"/>
      <c r="IK80" s="28"/>
      <c r="IL80" s="28"/>
      <c r="IM80" s="28"/>
      <c r="IN80" s="28"/>
      <c r="IO80" s="28"/>
      <c r="IP80" s="28"/>
      <c r="IQ80" s="28"/>
      <c r="IR80" s="28"/>
      <c r="IS80" s="28"/>
      <c r="IT80" s="28"/>
      <c r="IU80" s="28"/>
      <c r="IV80" s="3371"/>
    </row>
    <row r="81" spans="1:256" s="3475" customFormat="1" hidden="1" x14ac:dyDescent="0.2">
      <c r="A81" s="46"/>
      <c r="B81" s="2037"/>
      <c r="C81" s="3489"/>
      <c r="D81" s="3490"/>
      <c r="E81" s="3491"/>
      <c r="F81" s="3492"/>
      <c r="G81" s="3492"/>
      <c r="H81" s="3487"/>
      <c r="I81" s="405"/>
      <c r="J81" s="405"/>
      <c r="K81" s="406"/>
      <c r="L81" s="3"/>
      <c r="M81" s="3"/>
      <c r="N81" s="28"/>
      <c r="O81" s="28"/>
      <c r="P81" s="28"/>
      <c r="Q81" s="28"/>
      <c r="R81" s="28"/>
      <c r="S81" s="32"/>
      <c r="T81" s="28"/>
      <c r="U81" s="28"/>
      <c r="V81" s="28"/>
      <c r="W81" s="28"/>
      <c r="X81" s="28"/>
      <c r="Y81" s="28"/>
      <c r="Z81" s="28"/>
      <c r="AA81" s="28"/>
      <c r="AB81" s="28"/>
      <c r="AC81" s="28"/>
      <c r="AD81" s="28"/>
      <c r="AE81" s="28"/>
      <c r="AF81" s="30"/>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c r="HL81" s="28"/>
      <c r="HM81" s="28"/>
      <c r="HN81" s="28"/>
      <c r="HO81" s="28"/>
      <c r="HP81" s="28"/>
      <c r="HQ81" s="28"/>
      <c r="HR81" s="28"/>
      <c r="HS81" s="28"/>
      <c r="HT81" s="28"/>
      <c r="HU81" s="28"/>
      <c r="HV81" s="28"/>
      <c r="HW81" s="28"/>
      <c r="HX81" s="28"/>
      <c r="HY81" s="28"/>
      <c r="HZ81" s="28"/>
      <c r="IA81" s="28"/>
      <c r="IB81" s="28"/>
      <c r="IC81" s="28"/>
      <c r="ID81" s="28"/>
      <c r="IE81" s="28"/>
      <c r="IF81" s="28"/>
      <c r="IG81" s="28"/>
      <c r="IH81" s="28"/>
      <c r="II81" s="28"/>
      <c r="IJ81" s="28"/>
      <c r="IK81" s="28"/>
      <c r="IL81" s="28"/>
      <c r="IM81" s="28"/>
      <c r="IN81" s="28"/>
      <c r="IO81" s="28"/>
      <c r="IP81" s="28"/>
      <c r="IQ81" s="28"/>
      <c r="IR81" s="28"/>
      <c r="IS81" s="28"/>
      <c r="IT81" s="28"/>
      <c r="IU81" s="28"/>
      <c r="IV81" s="3371"/>
    </row>
    <row r="82" spans="1:256" s="3475" customFormat="1" hidden="1" x14ac:dyDescent="0.2">
      <c r="A82" s="46"/>
      <c r="B82" s="2037"/>
      <c r="C82" s="3489"/>
      <c r="D82" s="3490"/>
      <c r="E82" s="3491"/>
      <c r="F82" s="3492"/>
      <c r="G82" s="3492"/>
      <c r="H82" s="3487"/>
      <c r="I82" s="405"/>
      <c r="J82" s="405"/>
      <c r="K82" s="406"/>
      <c r="L82" s="3"/>
      <c r="M82" s="3"/>
      <c r="N82" s="28"/>
      <c r="O82" s="28"/>
      <c r="P82" s="28"/>
      <c r="Q82" s="28"/>
      <c r="R82" s="28"/>
      <c r="S82" s="32"/>
      <c r="T82" s="28"/>
      <c r="U82" s="28"/>
      <c r="V82" s="28"/>
      <c r="W82" s="28"/>
      <c r="X82" s="28"/>
      <c r="Y82" s="28"/>
      <c r="Z82" s="28"/>
      <c r="AA82" s="28"/>
      <c r="AB82" s="28"/>
      <c r="AC82" s="28"/>
      <c r="AD82" s="28"/>
      <c r="AE82" s="28"/>
      <c r="AF82" s="30"/>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3371"/>
    </row>
    <row r="83" spans="1:256" s="3475" customFormat="1" hidden="1" x14ac:dyDescent="0.2">
      <c r="A83" s="46"/>
      <c r="B83" s="2037"/>
      <c r="C83" s="3489"/>
      <c r="D83" s="3490"/>
      <c r="E83" s="3491"/>
      <c r="F83" s="3492"/>
      <c r="G83" s="3492"/>
      <c r="H83" s="3487"/>
      <c r="I83" s="405"/>
      <c r="J83" s="405"/>
      <c r="K83" s="406"/>
      <c r="L83" s="3"/>
      <c r="M83" s="3"/>
      <c r="N83" s="28"/>
      <c r="O83" s="28"/>
      <c r="P83" s="28"/>
      <c r="Q83" s="28"/>
      <c r="R83" s="28"/>
      <c r="S83" s="32"/>
      <c r="T83" s="28"/>
      <c r="U83" s="28"/>
      <c r="V83" s="28"/>
      <c r="W83" s="28"/>
      <c r="X83" s="28"/>
      <c r="Y83" s="28"/>
      <c r="Z83" s="28"/>
      <c r="AA83" s="28"/>
      <c r="AB83" s="28"/>
      <c r="AC83" s="28"/>
      <c r="AD83" s="28"/>
      <c r="AE83" s="28"/>
      <c r="AF83" s="30"/>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c r="HL83" s="28"/>
      <c r="HM83" s="28"/>
      <c r="HN83" s="28"/>
      <c r="HO83" s="28"/>
      <c r="HP83" s="28"/>
      <c r="HQ83" s="28"/>
      <c r="HR83" s="28"/>
      <c r="HS83" s="28"/>
      <c r="HT83" s="28"/>
      <c r="HU83" s="28"/>
      <c r="HV83" s="28"/>
      <c r="HW83" s="28"/>
      <c r="HX83" s="28"/>
      <c r="HY83" s="28"/>
      <c r="HZ83" s="28"/>
      <c r="IA83" s="28"/>
      <c r="IB83" s="28"/>
      <c r="IC83" s="28"/>
      <c r="ID83" s="28"/>
      <c r="IE83" s="28"/>
      <c r="IF83" s="28"/>
      <c r="IG83" s="28"/>
      <c r="IH83" s="28"/>
      <c r="II83" s="28"/>
      <c r="IJ83" s="28"/>
      <c r="IK83" s="28"/>
      <c r="IL83" s="28"/>
      <c r="IM83" s="28"/>
      <c r="IN83" s="28"/>
      <c r="IO83" s="28"/>
      <c r="IP83" s="28"/>
      <c r="IQ83" s="28"/>
      <c r="IR83" s="28"/>
      <c r="IS83" s="28"/>
      <c r="IT83" s="28"/>
      <c r="IU83" s="28"/>
      <c r="IV83" s="3371"/>
    </row>
    <row r="84" spans="1:256" s="3475" customFormat="1" hidden="1" x14ac:dyDescent="0.2">
      <c r="A84" s="46"/>
      <c r="B84" s="2037"/>
      <c r="C84" s="3489"/>
      <c r="D84" s="3490"/>
      <c r="E84" s="3491"/>
      <c r="F84" s="3492"/>
      <c r="G84" s="3492"/>
      <c r="H84" s="3487"/>
      <c r="I84" s="405"/>
      <c r="J84" s="405"/>
      <c r="K84" s="406"/>
      <c r="L84" s="3"/>
      <c r="M84" s="3"/>
      <c r="N84" s="28"/>
      <c r="O84" s="28"/>
      <c r="P84" s="28"/>
      <c r="Q84" s="28"/>
      <c r="R84" s="28"/>
      <c r="S84" s="32"/>
      <c r="T84" s="28"/>
      <c r="U84" s="28"/>
      <c r="V84" s="28"/>
      <c r="W84" s="28"/>
      <c r="X84" s="28"/>
      <c r="Y84" s="28"/>
      <c r="Z84" s="28"/>
      <c r="AA84" s="28"/>
      <c r="AB84" s="28"/>
      <c r="AC84" s="28"/>
      <c r="AD84" s="28"/>
      <c r="AE84" s="28"/>
      <c r="AF84" s="30"/>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c r="HL84" s="28"/>
      <c r="HM84" s="28"/>
      <c r="HN84" s="28"/>
      <c r="HO84" s="28"/>
      <c r="HP84" s="28"/>
      <c r="HQ84" s="28"/>
      <c r="HR84" s="28"/>
      <c r="HS84" s="28"/>
      <c r="HT84" s="28"/>
      <c r="HU84" s="28"/>
      <c r="HV84" s="28"/>
      <c r="HW84" s="28"/>
      <c r="HX84" s="28"/>
      <c r="HY84" s="28"/>
      <c r="HZ84" s="28"/>
      <c r="IA84" s="28"/>
      <c r="IB84" s="28"/>
      <c r="IC84" s="28"/>
      <c r="ID84" s="28"/>
      <c r="IE84" s="28"/>
      <c r="IF84" s="28"/>
      <c r="IG84" s="28"/>
      <c r="IH84" s="28"/>
      <c r="II84" s="28"/>
      <c r="IJ84" s="28"/>
      <c r="IK84" s="28"/>
      <c r="IL84" s="28"/>
      <c r="IM84" s="28"/>
      <c r="IN84" s="28"/>
      <c r="IO84" s="28"/>
      <c r="IP84" s="28"/>
      <c r="IQ84" s="28"/>
      <c r="IR84" s="28"/>
      <c r="IS84" s="28"/>
      <c r="IT84" s="28"/>
      <c r="IU84" s="28"/>
      <c r="IV84" s="3371"/>
    </row>
    <row r="85" spans="1:256" s="3475" customFormat="1" hidden="1" x14ac:dyDescent="0.2">
      <c r="A85" s="46"/>
      <c r="B85" s="2037"/>
      <c r="C85" s="3489"/>
      <c r="D85" s="3490"/>
      <c r="E85" s="3491"/>
      <c r="F85" s="3492"/>
      <c r="G85" s="3492"/>
      <c r="H85" s="3487"/>
      <c r="I85" s="405"/>
      <c r="J85" s="405"/>
      <c r="K85" s="406"/>
      <c r="L85" s="3"/>
      <c r="M85" s="3"/>
      <c r="N85" s="28"/>
      <c r="O85" s="28"/>
      <c r="P85" s="28"/>
      <c r="Q85" s="28"/>
      <c r="R85" s="28"/>
      <c r="S85" s="32"/>
      <c r="T85" s="28"/>
      <c r="U85" s="28"/>
      <c r="V85" s="28"/>
      <c r="W85" s="28"/>
      <c r="X85" s="28"/>
      <c r="Y85" s="28"/>
      <c r="Z85" s="28"/>
      <c r="AA85" s="28"/>
      <c r="AB85" s="28"/>
      <c r="AC85" s="28"/>
      <c r="AD85" s="28"/>
      <c r="AE85" s="28"/>
      <c r="AF85" s="30"/>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c r="HL85" s="28"/>
      <c r="HM85" s="28"/>
      <c r="HN85" s="28"/>
      <c r="HO85" s="28"/>
      <c r="HP85" s="28"/>
      <c r="HQ85" s="28"/>
      <c r="HR85" s="28"/>
      <c r="HS85" s="28"/>
      <c r="HT85" s="28"/>
      <c r="HU85" s="28"/>
      <c r="HV85" s="28"/>
      <c r="HW85" s="28"/>
      <c r="HX85" s="28"/>
      <c r="HY85" s="28"/>
      <c r="HZ85" s="28"/>
      <c r="IA85" s="28"/>
      <c r="IB85" s="28"/>
      <c r="IC85" s="28"/>
      <c r="ID85" s="28"/>
      <c r="IE85" s="28"/>
      <c r="IF85" s="28"/>
      <c r="IG85" s="28"/>
      <c r="IH85" s="28"/>
      <c r="II85" s="28"/>
      <c r="IJ85" s="28"/>
      <c r="IK85" s="28"/>
      <c r="IL85" s="28"/>
      <c r="IM85" s="28"/>
      <c r="IN85" s="28"/>
      <c r="IO85" s="28"/>
      <c r="IP85" s="28"/>
      <c r="IQ85" s="28"/>
      <c r="IR85" s="28"/>
      <c r="IS85" s="28"/>
      <c r="IT85" s="28"/>
      <c r="IU85" s="28"/>
      <c r="IV85" s="3371"/>
    </row>
    <row r="86" spans="1:256" s="3475" customFormat="1" hidden="1" x14ac:dyDescent="0.2">
      <c r="A86" s="46"/>
      <c r="B86" s="2037"/>
      <c r="C86" s="3489"/>
      <c r="D86" s="3490"/>
      <c r="E86" s="3491"/>
      <c r="F86" s="3492"/>
      <c r="G86" s="3492"/>
      <c r="H86" s="3487"/>
      <c r="I86" s="405"/>
      <c r="J86" s="405"/>
      <c r="K86" s="406"/>
      <c r="L86" s="3"/>
      <c r="M86" s="3"/>
      <c r="N86" s="28"/>
      <c r="O86" s="28"/>
      <c r="P86" s="28"/>
      <c r="Q86" s="28"/>
      <c r="R86" s="28"/>
      <c r="S86" s="32"/>
      <c r="T86" s="28"/>
      <c r="U86" s="28"/>
      <c r="V86" s="28"/>
      <c r="W86" s="28"/>
      <c r="X86" s="28"/>
      <c r="Y86" s="28"/>
      <c r="Z86" s="28"/>
      <c r="AA86" s="28"/>
      <c r="AB86" s="28"/>
      <c r="AC86" s="28"/>
      <c r="AD86" s="28"/>
      <c r="AE86" s="28"/>
      <c r="AF86" s="30"/>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c r="HL86" s="28"/>
      <c r="HM86" s="28"/>
      <c r="HN86" s="28"/>
      <c r="HO86" s="28"/>
      <c r="HP86" s="28"/>
      <c r="HQ86" s="28"/>
      <c r="HR86" s="28"/>
      <c r="HS86" s="28"/>
      <c r="HT86" s="28"/>
      <c r="HU86" s="28"/>
      <c r="HV86" s="28"/>
      <c r="HW86" s="28"/>
      <c r="HX86" s="28"/>
      <c r="HY86" s="28"/>
      <c r="HZ86" s="28"/>
      <c r="IA86" s="28"/>
      <c r="IB86" s="28"/>
      <c r="IC86" s="28"/>
      <c r="ID86" s="28"/>
      <c r="IE86" s="28"/>
      <c r="IF86" s="28"/>
      <c r="IG86" s="28"/>
      <c r="IH86" s="28"/>
      <c r="II86" s="28"/>
      <c r="IJ86" s="28"/>
      <c r="IK86" s="28"/>
      <c r="IL86" s="28"/>
      <c r="IM86" s="28"/>
      <c r="IN86" s="28"/>
      <c r="IO86" s="28"/>
      <c r="IP86" s="28"/>
      <c r="IQ86" s="28"/>
      <c r="IR86" s="28"/>
      <c r="IS86" s="28"/>
      <c r="IT86" s="28"/>
      <c r="IU86" s="28"/>
      <c r="IV86" s="3371"/>
    </row>
    <row r="87" spans="1:256" s="3475" customFormat="1" hidden="1" x14ac:dyDescent="0.2">
      <c r="A87" s="46"/>
      <c r="B87" s="2037"/>
      <c r="C87" s="3489"/>
      <c r="D87" s="3490"/>
      <c r="E87" s="3491"/>
      <c r="F87" s="3492"/>
      <c r="G87" s="3492"/>
      <c r="H87" s="3487"/>
      <c r="I87" s="405"/>
      <c r="J87" s="405"/>
      <c r="K87" s="406"/>
      <c r="L87" s="3"/>
      <c r="M87" s="3"/>
      <c r="N87" s="28"/>
      <c r="O87" s="28"/>
      <c r="P87" s="28"/>
      <c r="Q87" s="28"/>
      <c r="R87" s="28"/>
      <c r="S87" s="32"/>
      <c r="T87" s="28"/>
      <c r="U87" s="28"/>
      <c r="V87" s="28"/>
      <c r="W87" s="28"/>
      <c r="X87" s="28"/>
      <c r="Y87" s="28"/>
      <c r="Z87" s="28"/>
      <c r="AA87" s="28"/>
      <c r="AB87" s="28"/>
      <c r="AC87" s="28"/>
      <c r="AD87" s="28"/>
      <c r="AE87" s="28"/>
      <c r="AF87" s="30"/>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c r="HL87" s="28"/>
      <c r="HM87" s="28"/>
      <c r="HN87" s="28"/>
      <c r="HO87" s="28"/>
      <c r="HP87" s="28"/>
      <c r="HQ87" s="28"/>
      <c r="HR87" s="28"/>
      <c r="HS87" s="28"/>
      <c r="HT87" s="28"/>
      <c r="HU87" s="28"/>
      <c r="HV87" s="28"/>
      <c r="HW87" s="28"/>
      <c r="HX87" s="28"/>
      <c r="HY87" s="28"/>
      <c r="HZ87" s="28"/>
      <c r="IA87" s="28"/>
      <c r="IB87" s="28"/>
      <c r="IC87" s="28"/>
      <c r="ID87" s="28"/>
      <c r="IE87" s="28"/>
      <c r="IF87" s="28"/>
      <c r="IG87" s="28"/>
      <c r="IH87" s="28"/>
      <c r="II87" s="28"/>
      <c r="IJ87" s="28"/>
      <c r="IK87" s="28"/>
      <c r="IL87" s="28"/>
      <c r="IM87" s="28"/>
      <c r="IN87" s="28"/>
      <c r="IO87" s="28"/>
      <c r="IP87" s="28"/>
      <c r="IQ87" s="28"/>
      <c r="IR87" s="28"/>
      <c r="IS87" s="28"/>
      <c r="IT87" s="28"/>
      <c r="IU87" s="28"/>
      <c r="IV87" s="3371"/>
    </row>
    <row r="88" spans="1:256" s="3475" customFormat="1" hidden="1" x14ac:dyDescent="0.2">
      <c r="A88" s="46"/>
      <c r="B88" s="2037"/>
      <c r="C88" s="3489"/>
      <c r="D88" s="3490"/>
      <c r="E88" s="3491"/>
      <c r="F88" s="3492"/>
      <c r="G88" s="3492"/>
      <c r="H88" s="3487"/>
      <c r="I88" s="405"/>
      <c r="J88" s="405"/>
      <c r="K88" s="406"/>
      <c r="L88" s="3"/>
      <c r="M88" s="3"/>
      <c r="N88" s="28"/>
      <c r="O88" s="28"/>
      <c r="P88" s="28"/>
      <c r="Q88" s="28"/>
      <c r="R88" s="28"/>
      <c r="S88" s="32"/>
      <c r="T88" s="28"/>
      <c r="U88" s="28"/>
      <c r="V88" s="28"/>
      <c r="W88" s="28"/>
      <c r="X88" s="28"/>
      <c r="Y88" s="28"/>
      <c r="Z88" s="28"/>
      <c r="AA88" s="28"/>
      <c r="AB88" s="28"/>
      <c r="AC88" s="28"/>
      <c r="AD88" s="28"/>
      <c r="AE88" s="28"/>
      <c r="AF88" s="30"/>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3371"/>
    </row>
    <row r="89" spans="1:256" s="3475" customFormat="1" hidden="1" x14ac:dyDescent="0.2">
      <c r="A89" s="46"/>
      <c r="B89" s="2037"/>
      <c r="C89" s="3489"/>
      <c r="D89" s="3490"/>
      <c r="E89" s="3491"/>
      <c r="F89" s="3492"/>
      <c r="G89" s="3492"/>
      <c r="H89" s="3487"/>
      <c r="I89" s="405"/>
      <c r="J89" s="405"/>
      <c r="K89" s="406"/>
      <c r="L89" s="3"/>
      <c r="M89" s="3"/>
      <c r="N89" s="28"/>
      <c r="O89" s="28"/>
      <c r="P89" s="28"/>
      <c r="Q89" s="28"/>
      <c r="R89" s="28"/>
      <c r="S89" s="32"/>
      <c r="T89" s="28"/>
      <c r="U89" s="28"/>
      <c r="V89" s="28"/>
      <c r="W89" s="28"/>
      <c r="X89" s="28"/>
      <c r="Y89" s="28"/>
      <c r="Z89" s="28"/>
      <c r="AA89" s="28"/>
      <c r="AB89" s="28"/>
      <c r="AC89" s="28"/>
      <c r="AD89" s="28"/>
      <c r="AE89" s="28"/>
      <c r="AF89" s="30"/>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c r="HL89" s="28"/>
      <c r="HM89" s="28"/>
      <c r="HN89" s="28"/>
      <c r="HO89" s="28"/>
      <c r="HP89" s="28"/>
      <c r="HQ89" s="28"/>
      <c r="HR89" s="28"/>
      <c r="HS89" s="28"/>
      <c r="HT89" s="28"/>
      <c r="HU89" s="28"/>
      <c r="HV89" s="28"/>
      <c r="HW89" s="28"/>
      <c r="HX89" s="28"/>
      <c r="HY89" s="28"/>
      <c r="HZ89" s="28"/>
      <c r="IA89" s="28"/>
      <c r="IB89" s="28"/>
      <c r="IC89" s="28"/>
      <c r="ID89" s="28"/>
      <c r="IE89" s="28"/>
      <c r="IF89" s="28"/>
      <c r="IG89" s="28"/>
      <c r="IH89" s="28"/>
      <c r="II89" s="28"/>
      <c r="IJ89" s="28"/>
      <c r="IK89" s="28"/>
      <c r="IL89" s="28"/>
      <c r="IM89" s="28"/>
      <c r="IN89" s="28"/>
      <c r="IO89" s="28"/>
      <c r="IP89" s="28"/>
      <c r="IQ89" s="28"/>
      <c r="IR89" s="28"/>
      <c r="IS89" s="28"/>
      <c r="IT89" s="28"/>
      <c r="IU89" s="28"/>
      <c r="IV89" s="3371"/>
    </row>
    <row r="90" spans="1:256" s="3475" customFormat="1" hidden="1" x14ac:dyDescent="0.2">
      <c r="A90" s="46"/>
      <c r="B90" s="2037"/>
      <c r="C90" s="3489"/>
      <c r="D90" s="3490"/>
      <c r="E90" s="3491"/>
      <c r="F90" s="3492"/>
      <c r="G90" s="3492"/>
      <c r="H90" s="3487"/>
      <c r="I90" s="405"/>
      <c r="J90" s="405"/>
      <c r="K90" s="406"/>
      <c r="L90" s="3"/>
      <c r="M90" s="3"/>
      <c r="N90" s="28"/>
      <c r="O90" s="28"/>
      <c r="P90" s="28"/>
      <c r="Q90" s="28"/>
      <c r="R90" s="28"/>
      <c r="S90" s="32"/>
      <c r="T90" s="28"/>
      <c r="U90" s="28"/>
      <c r="V90" s="28"/>
      <c r="W90" s="28"/>
      <c r="X90" s="28"/>
      <c r="Y90" s="28"/>
      <c r="Z90" s="28"/>
      <c r="AA90" s="28"/>
      <c r="AB90" s="28"/>
      <c r="AC90" s="28"/>
      <c r="AD90" s="28"/>
      <c r="AE90" s="28"/>
      <c r="AF90" s="30"/>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c r="HL90" s="28"/>
      <c r="HM90" s="28"/>
      <c r="HN90" s="28"/>
      <c r="HO90" s="28"/>
      <c r="HP90" s="28"/>
      <c r="HQ90" s="28"/>
      <c r="HR90" s="28"/>
      <c r="HS90" s="28"/>
      <c r="HT90" s="28"/>
      <c r="HU90" s="28"/>
      <c r="HV90" s="28"/>
      <c r="HW90" s="28"/>
      <c r="HX90" s="28"/>
      <c r="HY90" s="28"/>
      <c r="HZ90" s="28"/>
      <c r="IA90" s="28"/>
      <c r="IB90" s="28"/>
      <c r="IC90" s="28"/>
      <c r="ID90" s="28"/>
      <c r="IE90" s="28"/>
      <c r="IF90" s="28"/>
      <c r="IG90" s="28"/>
      <c r="IH90" s="28"/>
      <c r="II90" s="28"/>
      <c r="IJ90" s="28"/>
      <c r="IK90" s="28"/>
      <c r="IL90" s="28"/>
      <c r="IM90" s="28"/>
      <c r="IN90" s="28"/>
      <c r="IO90" s="28"/>
      <c r="IP90" s="28"/>
      <c r="IQ90" s="28"/>
      <c r="IR90" s="28"/>
      <c r="IS90" s="28"/>
      <c r="IT90" s="28"/>
      <c r="IU90" s="28"/>
      <c r="IV90" s="3371"/>
    </row>
    <row r="91" spans="1:256" s="3475" customFormat="1" hidden="1" x14ac:dyDescent="0.2">
      <c r="A91" s="46"/>
      <c r="B91" s="2037"/>
      <c r="C91" s="3489"/>
      <c r="D91" s="3490"/>
      <c r="E91" s="3491"/>
      <c r="F91" s="3492"/>
      <c r="G91" s="3492"/>
      <c r="H91" s="3487"/>
      <c r="I91" s="405"/>
      <c r="J91" s="405"/>
      <c r="K91" s="406"/>
      <c r="L91" s="3"/>
      <c r="M91" s="3"/>
      <c r="N91" s="28"/>
      <c r="O91" s="28"/>
      <c r="P91" s="28"/>
      <c r="Q91" s="28"/>
      <c r="R91" s="28"/>
      <c r="S91" s="32"/>
      <c r="T91" s="28"/>
      <c r="U91" s="28"/>
      <c r="V91" s="28"/>
      <c r="W91" s="28"/>
      <c r="X91" s="28"/>
      <c r="Y91" s="28"/>
      <c r="Z91" s="28"/>
      <c r="AA91" s="28"/>
      <c r="AB91" s="28"/>
      <c r="AC91" s="28"/>
      <c r="AD91" s="28"/>
      <c r="AE91" s="28"/>
      <c r="AF91" s="30"/>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c r="HL91" s="28"/>
      <c r="HM91" s="28"/>
      <c r="HN91" s="28"/>
      <c r="HO91" s="28"/>
      <c r="HP91" s="28"/>
      <c r="HQ91" s="28"/>
      <c r="HR91" s="28"/>
      <c r="HS91" s="28"/>
      <c r="HT91" s="28"/>
      <c r="HU91" s="28"/>
      <c r="HV91" s="28"/>
      <c r="HW91" s="28"/>
      <c r="HX91" s="28"/>
      <c r="HY91" s="28"/>
      <c r="HZ91" s="28"/>
      <c r="IA91" s="28"/>
      <c r="IB91" s="28"/>
      <c r="IC91" s="28"/>
      <c r="ID91" s="28"/>
      <c r="IE91" s="28"/>
      <c r="IF91" s="28"/>
      <c r="IG91" s="28"/>
      <c r="IH91" s="28"/>
      <c r="II91" s="28"/>
      <c r="IJ91" s="28"/>
      <c r="IK91" s="28"/>
      <c r="IL91" s="28"/>
      <c r="IM91" s="28"/>
      <c r="IN91" s="28"/>
      <c r="IO91" s="28"/>
      <c r="IP91" s="28"/>
      <c r="IQ91" s="28"/>
      <c r="IR91" s="28"/>
      <c r="IS91" s="28"/>
      <c r="IT91" s="28"/>
      <c r="IU91" s="28"/>
      <c r="IV91" s="3371"/>
    </row>
    <row r="92" spans="1:256" s="3475" customFormat="1" hidden="1" x14ac:dyDescent="0.2">
      <c r="A92" s="46"/>
      <c r="B92" s="2037"/>
      <c r="C92" s="3489"/>
      <c r="D92" s="3490"/>
      <c r="E92" s="3491"/>
      <c r="F92" s="3492"/>
      <c r="G92" s="3492"/>
      <c r="H92" s="3487"/>
      <c r="I92" s="405"/>
      <c r="J92" s="405"/>
      <c r="K92" s="406"/>
      <c r="L92" s="3"/>
      <c r="M92" s="3"/>
      <c r="N92" s="28"/>
      <c r="O92" s="28"/>
      <c r="P92" s="28"/>
      <c r="Q92" s="28"/>
      <c r="R92" s="28"/>
      <c r="S92" s="32"/>
      <c r="T92" s="28"/>
      <c r="U92" s="28"/>
      <c r="V92" s="28"/>
      <c r="W92" s="28"/>
      <c r="X92" s="28"/>
      <c r="Y92" s="28"/>
      <c r="Z92" s="28"/>
      <c r="AA92" s="28"/>
      <c r="AB92" s="28"/>
      <c r="AC92" s="28"/>
      <c r="AD92" s="28"/>
      <c r="AE92" s="28"/>
      <c r="AF92" s="30"/>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c r="HL92" s="28"/>
      <c r="HM92" s="28"/>
      <c r="HN92" s="28"/>
      <c r="HO92" s="28"/>
      <c r="HP92" s="28"/>
      <c r="HQ92" s="28"/>
      <c r="HR92" s="28"/>
      <c r="HS92" s="28"/>
      <c r="HT92" s="28"/>
      <c r="HU92" s="28"/>
      <c r="HV92" s="28"/>
      <c r="HW92" s="28"/>
      <c r="HX92" s="28"/>
      <c r="HY92" s="28"/>
      <c r="HZ92" s="28"/>
      <c r="IA92" s="28"/>
      <c r="IB92" s="28"/>
      <c r="IC92" s="28"/>
      <c r="ID92" s="28"/>
      <c r="IE92" s="28"/>
      <c r="IF92" s="28"/>
      <c r="IG92" s="28"/>
      <c r="IH92" s="28"/>
      <c r="II92" s="28"/>
      <c r="IJ92" s="28"/>
      <c r="IK92" s="28"/>
      <c r="IL92" s="28"/>
      <c r="IM92" s="28"/>
      <c r="IN92" s="28"/>
      <c r="IO92" s="28"/>
      <c r="IP92" s="28"/>
      <c r="IQ92" s="28"/>
      <c r="IR92" s="28"/>
      <c r="IS92" s="28"/>
      <c r="IT92" s="28"/>
      <c r="IU92" s="28"/>
      <c r="IV92" s="3371"/>
    </row>
    <row r="93" spans="1:256" s="3475" customFormat="1" hidden="1" x14ac:dyDescent="0.2">
      <c r="A93" s="46"/>
      <c r="B93" s="2037"/>
      <c r="C93" s="3489"/>
      <c r="D93" s="3490"/>
      <c r="E93" s="3491"/>
      <c r="F93" s="3492"/>
      <c r="G93" s="3492"/>
      <c r="H93" s="3487"/>
      <c r="I93" s="405"/>
      <c r="J93" s="405"/>
      <c r="K93" s="406"/>
      <c r="L93" s="3"/>
      <c r="M93" s="3"/>
      <c r="N93" s="28"/>
      <c r="O93" s="28"/>
      <c r="P93" s="28"/>
      <c r="Q93" s="28"/>
      <c r="R93" s="28"/>
      <c r="S93" s="32"/>
      <c r="T93" s="28"/>
      <c r="U93" s="28"/>
      <c r="V93" s="28"/>
      <c r="W93" s="28"/>
      <c r="X93" s="28"/>
      <c r="Y93" s="28"/>
      <c r="Z93" s="28"/>
      <c r="AA93" s="28"/>
      <c r="AB93" s="28"/>
      <c r="AC93" s="28"/>
      <c r="AD93" s="28"/>
      <c r="AE93" s="28"/>
      <c r="AF93" s="30"/>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c r="HL93" s="28"/>
      <c r="HM93" s="28"/>
      <c r="HN93" s="28"/>
      <c r="HO93" s="28"/>
      <c r="HP93" s="28"/>
      <c r="HQ93" s="28"/>
      <c r="HR93" s="28"/>
      <c r="HS93" s="28"/>
      <c r="HT93" s="28"/>
      <c r="HU93" s="28"/>
      <c r="HV93" s="28"/>
      <c r="HW93" s="28"/>
      <c r="HX93" s="28"/>
      <c r="HY93" s="28"/>
      <c r="HZ93" s="28"/>
      <c r="IA93" s="28"/>
      <c r="IB93" s="28"/>
      <c r="IC93" s="28"/>
      <c r="ID93" s="28"/>
      <c r="IE93" s="28"/>
      <c r="IF93" s="28"/>
      <c r="IG93" s="28"/>
      <c r="IH93" s="28"/>
      <c r="II93" s="28"/>
      <c r="IJ93" s="28"/>
      <c r="IK93" s="28"/>
      <c r="IL93" s="28"/>
      <c r="IM93" s="28"/>
      <c r="IN93" s="28"/>
      <c r="IO93" s="28"/>
      <c r="IP93" s="28"/>
      <c r="IQ93" s="28"/>
      <c r="IR93" s="28"/>
      <c r="IS93" s="28"/>
      <c r="IT93" s="28"/>
      <c r="IU93" s="28"/>
      <c r="IV93" s="3371"/>
    </row>
    <row r="94" spans="1:256" s="3475" customFormat="1" hidden="1" x14ac:dyDescent="0.2">
      <c r="A94" s="46"/>
      <c r="B94" s="2037"/>
      <c r="C94" s="3489"/>
      <c r="D94" s="3490"/>
      <c r="E94" s="3491"/>
      <c r="F94" s="3492"/>
      <c r="G94" s="3492"/>
      <c r="H94" s="3487"/>
      <c r="I94" s="405"/>
      <c r="J94" s="405"/>
      <c r="K94" s="406"/>
      <c r="L94" s="3"/>
      <c r="M94" s="3"/>
      <c r="N94" s="28"/>
      <c r="O94" s="28"/>
      <c r="P94" s="28"/>
      <c r="Q94" s="28"/>
      <c r="R94" s="28"/>
      <c r="S94" s="32"/>
      <c r="T94" s="28"/>
      <c r="U94" s="28"/>
      <c r="V94" s="28"/>
      <c r="W94" s="28"/>
      <c r="X94" s="28"/>
      <c r="Y94" s="28"/>
      <c r="Z94" s="28"/>
      <c r="AA94" s="28"/>
      <c r="AB94" s="28"/>
      <c r="AC94" s="28"/>
      <c r="AD94" s="28"/>
      <c r="AE94" s="28"/>
      <c r="AF94" s="30"/>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c r="HL94" s="28"/>
      <c r="HM94" s="28"/>
      <c r="HN94" s="28"/>
      <c r="HO94" s="28"/>
      <c r="HP94" s="28"/>
      <c r="HQ94" s="28"/>
      <c r="HR94" s="28"/>
      <c r="HS94" s="28"/>
      <c r="HT94" s="28"/>
      <c r="HU94" s="28"/>
      <c r="HV94" s="28"/>
      <c r="HW94" s="28"/>
      <c r="HX94" s="28"/>
      <c r="HY94" s="28"/>
      <c r="HZ94" s="28"/>
      <c r="IA94" s="28"/>
      <c r="IB94" s="28"/>
      <c r="IC94" s="28"/>
      <c r="ID94" s="28"/>
      <c r="IE94" s="28"/>
      <c r="IF94" s="28"/>
      <c r="IG94" s="28"/>
      <c r="IH94" s="28"/>
      <c r="II94" s="28"/>
      <c r="IJ94" s="28"/>
      <c r="IK94" s="28"/>
      <c r="IL94" s="28"/>
      <c r="IM94" s="28"/>
      <c r="IN94" s="28"/>
      <c r="IO94" s="28"/>
      <c r="IP94" s="28"/>
      <c r="IQ94" s="28"/>
      <c r="IR94" s="28"/>
      <c r="IS94" s="28"/>
      <c r="IT94" s="28"/>
      <c r="IU94" s="28"/>
      <c r="IV94" s="3371"/>
    </row>
    <row r="95" spans="1:256" s="3475" customFormat="1" hidden="1" x14ac:dyDescent="0.2">
      <c r="A95" s="46"/>
      <c r="B95" s="2037"/>
      <c r="C95" s="3489"/>
      <c r="D95" s="3490"/>
      <c r="E95" s="3491"/>
      <c r="F95" s="3492"/>
      <c r="G95" s="3492"/>
      <c r="H95" s="3487"/>
      <c r="I95" s="405"/>
      <c r="J95" s="405"/>
      <c r="K95" s="406"/>
      <c r="L95" s="3"/>
      <c r="M95" s="3"/>
      <c r="N95" s="28"/>
      <c r="O95" s="28"/>
      <c r="P95" s="28"/>
      <c r="Q95" s="28"/>
      <c r="R95" s="28"/>
      <c r="S95" s="32"/>
      <c r="T95" s="28"/>
      <c r="U95" s="28"/>
      <c r="V95" s="28"/>
      <c r="W95" s="28"/>
      <c r="X95" s="28"/>
      <c r="Y95" s="28"/>
      <c r="Z95" s="28"/>
      <c r="AA95" s="28"/>
      <c r="AB95" s="28"/>
      <c r="AC95" s="28"/>
      <c r="AD95" s="28"/>
      <c r="AE95" s="28"/>
      <c r="AF95" s="30"/>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c r="HL95" s="28"/>
      <c r="HM95" s="28"/>
      <c r="HN95" s="28"/>
      <c r="HO95" s="28"/>
      <c r="HP95" s="28"/>
      <c r="HQ95" s="28"/>
      <c r="HR95" s="28"/>
      <c r="HS95" s="28"/>
      <c r="HT95" s="28"/>
      <c r="HU95" s="28"/>
      <c r="HV95" s="28"/>
      <c r="HW95" s="28"/>
      <c r="HX95" s="28"/>
      <c r="HY95" s="28"/>
      <c r="HZ95" s="28"/>
      <c r="IA95" s="28"/>
      <c r="IB95" s="28"/>
      <c r="IC95" s="28"/>
      <c r="ID95" s="28"/>
      <c r="IE95" s="28"/>
      <c r="IF95" s="28"/>
      <c r="IG95" s="28"/>
      <c r="IH95" s="28"/>
      <c r="II95" s="28"/>
      <c r="IJ95" s="28"/>
      <c r="IK95" s="28"/>
      <c r="IL95" s="28"/>
      <c r="IM95" s="28"/>
      <c r="IN95" s="28"/>
      <c r="IO95" s="28"/>
      <c r="IP95" s="28"/>
      <c r="IQ95" s="28"/>
      <c r="IR95" s="28"/>
      <c r="IS95" s="28"/>
      <c r="IT95" s="28"/>
      <c r="IU95" s="28"/>
      <c r="IV95" s="3371"/>
    </row>
    <row r="96" spans="1:256" s="3475" customFormat="1" hidden="1" x14ac:dyDescent="0.2">
      <c r="A96" s="46"/>
      <c r="B96" s="2037"/>
      <c r="C96" s="3489"/>
      <c r="D96" s="3490"/>
      <c r="E96" s="3491"/>
      <c r="F96" s="3492"/>
      <c r="G96" s="3492"/>
      <c r="H96" s="3487"/>
      <c r="I96" s="405"/>
      <c r="J96" s="405"/>
      <c r="K96" s="406"/>
      <c r="L96" s="3"/>
      <c r="M96" s="3"/>
      <c r="N96" s="28"/>
      <c r="O96" s="28"/>
      <c r="P96" s="28"/>
      <c r="Q96" s="28"/>
      <c r="R96" s="28"/>
      <c r="S96" s="32"/>
      <c r="T96" s="28"/>
      <c r="U96" s="28"/>
      <c r="V96" s="28"/>
      <c r="W96" s="28"/>
      <c r="X96" s="28"/>
      <c r="Y96" s="28"/>
      <c r="Z96" s="28"/>
      <c r="AA96" s="28"/>
      <c r="AB96" s="28"/>
      <c r="AC96" s="28"/>
      <c r="AD96" s="28"/>
      <c r="AE96" s="28"/>
      <c r="AF96" s="30"/>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c r="HL96" s="28"/>
      <c r="HM96" s="28"/>
      <c r="HN96" s="28"/>
      <c r="HO96" s="28"/>
      <c r="HP96" s="28"/>
      <c r="HQ96" s="28"/>
      <c r="HR96" s="28"/>
      <c r="HS96" s="28"/>
      <c r="HT96" s="28"/>
      <c r="HU96" s="28"/>
      <c r="HV96" s="28"/>
      <c r="HW96" s="28"/>
      <c r="HX96" s="28"/>
      <c r="HY96" s="28"/>
      <c r="HZ96" s="28"/>
      <c r="IA96" s="28"/>
      <c r="IB96" s="28"/>
      <c r="IC96" s="28"/>
      <c r="ID96" s="28"/>
      <c r="IE96" s="28"/>
      <c r="IF96" s="28"/>
      <c r="IG96" s="28"/>
      <c r="IH96" s="28"/>
      <c r="II96" s="28"/>
      <c r="IJ96" s="28"/>
      <c r="IK96" s="28"/>
      <c r="IL96" s="28"/>
      <c r="IM96" s="28"/>
      <c r="IN96" s="28"/>
      <c r="IO96" s="28"/>
      <c r="IP96" s="28"/>
      <c r="IQ96" s="28"/>
      <c r="IR96" s="28"/>
      <c r="IS96" s="28"/>
      <c r="IT96" s="28"/>
      <c r="IU96" s="28"/>
      <c r="IV96" s="3371"/>
    </row>
    <row r="97" spans="1:256" s="3475" customFormat="1" x14ac:dyDescent="0.2">
      <c r="A97" s="28"/>
      <c r="B97" s="3"/>
      <c r="C97" s="407" t="s">
        <v>5593</v>
      </c>
      <c r="D97" s="408" t="str">
        <f>IF(P97=O97,"","              NOT ALL PROCEEDS INDICATED!")</f>
        <v/>
      </c>
      <c r="E97" s="408"/>
      <c r="F97" s="408"/>
      <c r="G97" s="408"/>
      <c r="H97" s="409"/>
      <c r="I97" s="410">
        <f>SUM(I6:I66)</f>
      </c>
      <c r="J97" s="410">
        <f>SUM(J6:J66)</f>
      </c>
      <c r="K97" s="3"/>
      <c r="L97" s="3"/>
      <c r="M97" s="3"/>
      <c r="N97" s="28">
        <f>IF(D97="",0,1)</f>
      </c>
      <c r="O97" s="28">
        <f>COUNT(G6:G66)</f>
      </c>
      <c r="P97" s="28">
        <f>COUNT(H6:H66)</f>
      </c>
      <c r="Q97" s="28"/>
      <c r="R97" s="28">
        <f>SUM(R6:R66)</f>
      </c>
      <c r="S97" s="28"/>
      <c r="T97" s="28"/>
      <c r="U97" s="28"/>
      <c r="V97" s="28"/>
      <c r="W97" s="28"/>
      <c r="X97" s="28"/>
      <c r="Y97" s="28"/>
      <c r="Z97" s="28"/>
      <c r="AA97" s="28"/>
      <c r="AB97" s="28"/>
      <c r="AC97" s="28"/>
      <c r="AD97" s="30"/>
      <c r="AE97" s="30"/>
      <c r="AF97" s="30"/>
      <c r="AG97" s="30"/>
      <c r="AH97" s="30"/>
      <c r="AI97" s="28"/>
      <c r="AJ97" s="30"/>
      <c r="AK97" s="30"/>
      <c r="AL97" s="30"/>
      <c r="AM97" s="30"/>
      <c r="AN97" s="30"/>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c r="HJ97" s="28"/>
      <c r="HK97" s="28"/>
      <c r="HL97" s="28"/>
      <c r="HM97" s="28"/>
      <c r="HN97" s="28"/>
      <c r="HO97" s="28"/>
      <c r="HP97" s="28"/>
      <c r="HQ97" s="28"/>
      <c r="HR97" s="28"/>
      <c r="HS97" s="28"/>
      <c r="HT97" s="28"/>
      <c r="HU97" s="28"/>
      <c r="HV97" s="28"/>
      <c r="HW97" s="28"/>
      <c r="HX97" s="28"/>
      <c r="HY97" s="28"/>
      <c r="HZ97" s="28"/>
      <c r="IA97" s="28"/>
      <c r="IB97" s="28"/>
      <c r="IC97" s="28"/>
      <c r="ID97" s="28"/>
      <c r="IE97" s="28"/>
      <c r="IF97" s="28"/>
      <c r="IG97" s="28"/>
      <c r="IH97" s="28"/>
      <c r="II97" s="28"/>
      <c r="IJ97" s="28"/>
      <c r="IK97" s="28"/>
      <c r="IL97" s="28"/>
      <c r="IM97" s="28"/>
      <c r="IN97" s="28"/>
      <c r="IO97" s="28"/>
      <c r="IP97" s="28"/>
      <c r="IQ97" s="28"/>
      <c r="IR97" s="28"/>
      <c r="IS97" s="28"/>
      <c r="IT97" s="28"/>
      <c r="IU97" s="28"/>
      <c r="IV97" s="3"/>
    </row>
    <row r="98" spans="1:256" s="3475" customFormat="1" ht="24.75" customHeight="1" x14ac:dyDescent="0.2">
      <c r="A98" s="28"/>
      <c r="B98" s="3"/>
      <c r="C98" s="4489" t="s">
        <v>976</v>
      </c>
      <c r="D98" s="4490"/>
      <c r="E98" s="4490"/>
      <c r="F98" s="4491"/>
      <c r="G98" s="4484" t="s">
        <v>3393</v>
      </c>
      <c r="H98" s="4486" t="s">
        <v>225</v>
      </c>
      <c r="I98" s="4487"/>
      <c r="J98" s="4488"/>
      <c r="K98" s="3"/>
      <c r="L98" s="3"/>
      <c r="M98" s="3"/>
      <c r="N98" s="32"/>
      <c r="O98" s="32"/>
      <c r="P98" s="28"/>
      <c r="Q98" s="28"/>
      <c r="R98" s="28">
        <f>COUNT(H6:H66)</f>
      </c>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28"/>
      <c r="IA98" s="28"/>
      <c r="IB98" s="28"/>
      <c r="IC98" s="28"/>
      <c r="ID98" s="28"/>
      <c r="IE98" s="28"/>
      <c r="IF98" s="28"/>
      <c r="IG98" s="28"/>
      <c r="IH98" s="28"/>
      <c r="II98" s="28"/>
      <c r="IJ98" s="28"/>
      <c r="IK98" s="28"/>
      <c r="IL98" s="28"/>
      <c r="IM98" s="28"/>
      <c r="IN98" s="28"/>
      <c r="IO98" s="28"/>
      <c r="IP98" s="28"/>
      <c r="IQ98" s="28"/>
      <c r="IR98" s="28"/>
      <c r="IS98" s="28"/>
      <c r="IT98" s="28"/>
      <c r="IU98" s="28"/>
      <c r="IV98" s="3"/>
    </row>
    <row r="99" spans="1:256" s="3475" customFormat="1" x14ac:dyDescent="0.2">
      <c r="A99" s="28"/>
      <c r="B99" s="3"/>
      <c r="C99" s="4492"/>
      <c r="D99" s="4493"/>
      <c r="E99" s="4493"/>
      <c r="F99" s="4494"/>
      <c r="G99" s="4485"/>
      <c r="H99" s="1089" t="str">
        <f>ip</f>
      </c>
      <c r="I99" s="412" t="str">
        <f>mt</f>
      </c>
      <c r="J99" s="412" t="str">
        <f>fi</f>
      </c>
      <c r="K99" s="3"/>
      <c r="L99" s="3"/>
      <c r="M99" s="3"/>
      <c r="N99" s="32"/>
      <c r="O99" s="32"/>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c r="HJ99" s="28"/>
      <c r="HK99" s="28"/>
      <c r="HL99" s="28"/>
      <c r="HM99" s="28"/>
      <c r="HN99" s="28"/>
      <c r="HO99" s="28"/>
      <c r="HP99" s="28"/>
      <c r="HQ99" s="28"/>
      <c r="HR99" s="28"/>
      <c r="HS99" s="28"/>
      <c r="HT99" s="28"/>
      <c r="HU99" s="28"/>
      <c r="HV99" s="28"/>
      <c r="HW99" s="28"/>
      <c r="HX99" s="28"/>
      <c r="HY99" s="28"/>
      <c r="HZ99" s="28"/>
      <c r="IA99" s="28"/>
      <c r="IB99" s="28"/>
      <c r="IC99" s="28"/>
      <c r="ID99" s="28"/>
      <c r="IE99" s="28"/>
      <c r="IF99" s="28"/>
      <c r="IG99" s="28"/>
      <c r="IH99" s="28"/>
      <c r="II99" s="28"/>
      <c r="IJ99" s="28"/>
      <c r="IK99" s="28"/>
      <c r="IL99" s="28"/>
      <c r="IM99" s="28"/>
      <c r="IN99" s="28"/>
      <c r="IO99" s="28"/>
      <c r="IP99" s="28"/>
      <c r="IQ99" s="28"/>
      <c r="IR99" s="28"/>
      <c r="IS99" s="28"/>
      <c r="IT99" s="28"/>
      <c r="IU99" s="28"/>
      <c r="IV99" s="3"/>
    </row>
    <row r="100" spans="1:256" s="3475" customFormat="1" x14ac:dyDescent="0.2">
      <c r="A100" s="28"/>
      <c r="B100" s="3"/>
      <c r="C100" s="411" t="s">
        <v>3391</v>
      </c>
      <c r="D100" s="33"/>
      <c r="E100" s="33"/>
      <c r="F100" s="33"/>
      <c r="G100" s="223"/>
      <c r="H100" s="223"/>
      <c r="I100" s="223"/>
      <c r="J100" s="223"/>
      <c r="K100" s="830" t="str">
        <f>IF(AND(I97&gt;0,O100&lt;&gt;4),reo,IF(I97&lt;&gt;P100,"Check values!",""))</f>
        <v/>
      </c>
      <c r="L100" s="3"/>
      <c r="M100" s="3"/>
      <c r="N100" s="32">
        <f>IF(K100=reo,1,0)</f>
      </c>
      <c r="O100" s="32">
        <f>COUNT(G100:J100)</f>
      </c>
      <c r="P100" s="413">
        <f>SUM(G100:J100)</f>
      </c>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c r="HJ100" s="28"/>
      <c r="HK100" s="28"/>
      <c r="HL100" s="28"/>
      <c r="HM100" s="28"/>
      <c r="HN100" s="28"/>
      <c r="HO100" s="28"/>
      <c r="HP100" s="28"/>
      <c r="HQ100" s="28"/>
      <c r="HR100" s="28"/>
      <c r="HS100" s="28"/>
      <c r="HT100" s="28"/>
      <c r="HU100" s="28"/>
      <c r="HV100" s="28"/>
      <c r="HW100" s="28"/>
      <c r="HX100" s="28"/>
      <c r="HY100" s="28"/>
      <c r="HZ100" s="28"/>
      <c r="IA100" s="28"/>
      <c r="IB100" s="28"/>
      <c r="IC100" s="28"/>
      <c r="ID100" s="28"/>
      <c r="IE100" s="28"/>
      <c r="IF100" s="28"/>
      <c r="IG100" s="28"/>
      <c r="IH100" s="28"/>
      <c r="II100" s="28"/>
      <c r="IJ100" s="28"/>
      <c r="IK100" s="28"/>
      <c r="IL100" s="28"/>
      <c r="IM100" s="28"/>
      <c r="IN100" s="28"/>
      <c r="IO100" s="28"/>
      <c r="IP100" s="28"/>
      <c r="IQ100" s="28"/>
      <c r="IR100" s="28"/>
      <c r="IS100" s="28"/>
      <c r="IT100" s="28"/>
      <c r="IU100" s="28"/>
      <c r="IV100" s="3"/>
    </row>
    <row r="101" spans="1:256" s="3475" customFormat="1" x14ac:dyDescent="0.2">
      <c r="A101" s="28"/>
      <c r="B101" s="3"/>
      <c r="C101" s="3"/>
      <c r="D101" s="3"/>
      <c r="E101" s="3"/>
      <c r="F101" s="3"/>
      <c r="G101" s="3"/>
      <c r="H101" s="414" t="s">
        <v>4644</v>
      </c>
      <c r="I101" s="415">
        <f>I97</f>
      </c>
      <c r="J101" s="416"/>
      <c r="K101" s="3"/>
      <c r="L101" s="3"/>
      <c r="M101" s="3"/>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c r="GV101" s="28"/>
      <c r="GW101" s="28"/>
      <c r="GX101" s="28"/>
      <c r="GY101" s="28"/>
      <c r="GZ101" s="28"/>
      <c r="HA101" s="28"/>
      <c r="HB101" s="28"/>
      <c r="HC101" s="28"/>
      <c r="HD101" s="28"/>
      <c r="HE101" s="28"/>
      <c r="HF101" s="28"/>
      <c r="HG101" s="28"/>
      <c r="HH101" s="28"/>
      <c r="HI101" s="28"/>
      <c r="HJ101" s="28"/>
      <c r="HK101" s="28"/>
      <c r="HL101" s="28"/>
      <c r="HM101" s="28"/>
      <c r="HN101" s="28"/>
      <c r="HO101" s="28"/>
      <c r="HP101" s="28"/>
      <c r="HQ101" s="28"/>
      <c r="HR101" s="28"/>
      <c r="HS101" s="28"/>
      <c r="HT101" s="28"/>
      <c r="HU101" s="28"/>
      <c r="HV101" s="28"/>
      <c r="HW101" s="28"/>
      <c r="HX101" s="28"/>
      <c r="HY101" s="28"/>
      <c r="HZ101" s="28"/>
      <c r="IA101" s="28"/>
      <c r="IB101" s="28"/>
      <c r="IC101" s="28"/>
      <c r="ID101" s="28"/>
      <c r="IE101" s="28"/>
      <c r="IF101" s="28"/>
      <c r="IG101" s="28"/>
      <c r="IH101" s="28"/>
      <c r="II101" s="28"/>
      <c r="IJ101" s="28"/>
      <c r="IK101" s="28"/>
      <c r="IL101" s="28"/>
      <c r="IM101" s="28"/>
      <c r="IN101" s="28"/>
      <c r="IO101" s="28"/>
      <c r="IP101" s="28"/>
      <c r="IQ101" s="28"/>
      <c r="IR101" s="28"/>
      <c r="IS101" s="28"/>
      <c r="IT101" s="28"/>
      <c r="IU101" s="28"/>
      <c r="IV101" s="3"/>
    </row>
    <row r="102" spans="1:256" s="3475" customFormat="1" x14ac:dyDescent="0.2">
      <c r="A102" s="28"/>
      <c r="B102" s="3"/>
      <c r="C102" s="411" t="s">
        <v>3392</v>
      </c>
      <c r="D102" s="33"/>
      <c r="E102" s="33"/>
      <c r="F102" s="33"/>
      <c r="G102" s="223"/>
      <c r="H102" s="223"/>
      <c r="I102" s="223"/>
      <c r="J102" s="223"/>
      <c r="K102" s="830" t="str">
        <f>IF(AND(J97&gt;0,O102&lt;&gt;4),reo,IF(J97&lt;&gt;P102,"Check values!",""))</f>
        <v/>
      </c>
      <c r="L102" s="3"/>
      <c r="M102" s="3"/>
      <c r="N102" s="32">
        <f>IF(K102=reo,1,0)</f>
      </c>
      <c r="O102" s="32">
        <f>COUNT(G102:J102)</f>
      </c>
      <c r="P102" s="413">
        <f>SUM(G102:J102)</f>
      </c>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c r="GV102" s="28"/>
      <c r="GW102" s="28"/>
      <c r="GX102" s="28"/>
      <c r="GY102" s="28"/>
      <c r="GZ102" s="28"/>
      <c r="HA102" s="28"/>
      <c r="HB102" s="28"/>
      <c r="HC102" s="28"/>
      <c r="HD102" s="28"/>
      <c r="HE102" s="28"/>
      <c r="HF102" s="28"/>
      <c r="HG102" s="28"/>
      <c r="HH102" s="28"/>
      <c r="HI102" s="28"/>
      <c r="HJ102" s="28"/>
      <c r="HK102" s="28"/>
      <c r="HL102" s="28"/>
      <c r="HM102" s="28"/>
      <c r="HN102" s="28"/>
      <c r="HO102" s="28"/>
      <c r="HP102" s="28"/>
      <c r="HQ102" s="28"/>
      <c r="HR102" s="28"/>
      <c r="HS102" s="28"/>
      <c r="HT102" s="28"/>
      <c r="HU102" s="28"/>
      <c r="HV102" s="28"/>
      <c r="HW102" s="28"/>
      <c r="HX102" s="28"/>
      <c r="HY102" s="28"/>
      <c r="HZ102" s="28"/>
      <c r="IA102" s="28"/>
      <c r="IB102" s="28"/>
      <c r="IC102" s="28"/>
      <c r="ID102" s="28"/>
      <c r="IE102" s="28"/>
      <c r="IF102" s="28"/>
      <c r="IG102" s="28"/>
      <c r="IH102" s="28"/>
      <c r="II102" s="28"/>
      <c r="IJ102" s="28"/>
      <c r="IK102" s="28"/>
      <c r="IL102" s="28"/>
      <c r="IM102" s="28"/>
      <c r="IN102" s="28"/>
      <c r="IO102" s="28"/>
      <c r="IP102" s="28"/>
      <c r="IQ102" s="28"/>
      <c r="IR102" s="28"/>
      <c r="IS102" s="28"/>
      <c r="IT102" s="28"/>
      <c r="IU102" s="28"/>
      <c r="IV102" s="3"/>
    </row>
    <row r="103" spans="1:256" s="3475" customFormat="1" x14ac:dyDescent="0.2">
      <c r="A103" s="28"/>
      <c r="B103" s="3"/>
      <c r="C103" s="3"/>
      <c r="D103" s="3"/>
      <c r="E103" s="3"/>
      <c r="F103" s="3"/>
      <c r="G103" s="416"/>
      <c r="H103" s="414" t="s">
        <v>4644</v>
      </c>
      <c r="I103" s="415">
        <f>J97</f>
      </c>
      <c r="J103" s="416"/>
      <c r="K103" s="3"/>
      <c r="L103" s="3"/>
      <c r="M103" s="3"/>
      <c r="N103" s="28">
        <f>SUM(N97:N102)</f>
      </c>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c r="HJ103" s="28"/>
      <c r="HK103" s="28"/>
      <c r="HL103" s="28"/>
      <c r="HM103" s="28"/>
      <c r="HN103" s="28"/>
      <c r="HO103" s="28"/>
      <c r="HP103" s="28"/>
      <c r="HQ103" s="28"/>
      <c r="HR103" s="28"/>
      <c r="HS103" s="28"/>
      <c r="HT103" s="28"/>
      <c r="HU103" s="28"/>
      <c r="HV103" s="28"/>
      <c r="HW103" s="28"/>
      <c r="HX103" s="28"/>
      <c r="HY103" s="28"/>
      <c r="HZ103" s="28"/>
      <c r="IA103" s="28"/>
      <c r="IB103" s="28"/>
      <c r="IC103" s="28"/>
      <c r="ID103" s="28"/>
      <c r="IE103" s="28"/>
      <c r="IF103" s="28"/>
      <c r="IG103" s="28"/>
      <c r="IH103" s="28"/>
      <c r="II103" s="28"/>
      <c r="IJ103" s="28"/>
      <c r="IK103" s="28"/>
      <c r="IL103" s="28"/>
      <c r="IM103" s="28"/>
      <c r="IN103" s="28"/>
      <c r="IO103" s="28"/>
      <c r="IP103" s="28"/>
      <c r="IQ103" s="28"/>
      <c r="IR103" s="28"/>
      <c r="IS103" s="28"/>
      <c r="IT103" s="28"/>
      <c r="IU103" s="28"/>
      <c r="IV103" s="3"/>
    </row>
    <row r="104" spans="1:256" s="3475" customFormat="1" ht="6.75" customHeight="1" x14ac:dyDescent="0.2">
      <c r="A104" s="28"/>
      <c r="B104" s="61"/>
      <c r="C104" s="61"/>
      <c r="D104" s="61"/>
      <c r="E104" s="61"/>
      <c r="F104" s="61"/>
      <c r="G104" s="61"/>
      <c r="H104" s="61"/>
      <c r="I104" s="61"/>
      <c r="J104" s="61"/>
      <c r="K104" s="61"/>
      <c r="L104" s="61"/>
      <c r="M104" s="61"/>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c r="GV104" s="28"/>
      <c r="GW104" s="28"/>
      <c r="GX104" s="28"/>
      <c r="GY104" s="28"/>
      <c r="GZ104" s="28"/>
      <c r="HA104" s="28"/>
      <c r="HB104" s="28"/>
      <c r="HC104" s="28"/>
      <c r="HD104" s="28"/>
      <c r="HE104" s="28"/>
      <c r="HF104" s="28"/>
      <c r="HG104" s="28"/>
      <c r="HH104" s="28"/>
      <c r="HI104" s="28"/>
      <c r="HJ104" s="28"/>
      <c r="HK104" s="28"/>
      <c r="HL104" s="28"/>
      <c r="HM104" s="28"/>
      <c r="HN104" s="28"/>
      <c r="HO104" s="28"/>
      <c r="HP104" s="28"/>
      <c r="HQ104" s="28"/>
      <c r="HR104" s="28"/>
      <c r="HS104" s="28"/>
      <c r="HT104" s="28"/>
      <c r="HU104" s="28"/>
      <c r="HV104" s="28"/>
      <c r="HW104" s="28"/>
      <c r="HX104" s="28"/>
      <c r="HY104" s="28"/>
      <c r="HZ104" s="28"/>
      <c r="IA104" s="28"/>
      <c r="IB104" s="28"/>
      <c r="IC104" s="28"/>
      <c r="ID104" s="28"/>
      <c r="IE104" s="28"/>
      <c r="IF104" s="28"/>
      <c r="IG104" s="28"/>
      <c r="IH104" s="28"/>
      <c r="II104" s="28"/>
      <c r="IJ104" s="28"/>
      <c r="IK104" s="28"/>
      <c r="IL104" s="28"/>
      <c r="IM104" s="28"/>
      <c r="IN104" s="28"/>
      <c r="IO104" s="28"/>
      <c r="IP104" s="28"/>
      <c r="IQ104" s="28"/>
      <c r="IR104" s="28"/>
      <c r="IS104" s="28"/>
      <c r="IT104" s="28"/>
      <c r="IU104" s="28"/>
      <c r="IV104" s="3"/>
    </row>
    <row r="105" spans="1:256" s="3475" customFormat="1" ht="12.75" customHeight="1" x14ac:dyDescent="0.2">
      <c r="A105" s="28"/>
      <c r="B105" s="3"/>
      <c r="C105" s="20" t="str">
        <f>_xlfn.SINGLE(MTCA)</f>
      </c>
      <c r="D105" s="4482" t="str">
        <f>ver</f>
        <v>TA2_e-CO_2025_Ver 1.1</v>
      </c>
      <c r="E105" s="4482"/>
      <c r="F105" s="4482"/>
      <c r="G105" s="4482"/>
      <c r="H105" s="4482"/>
      <c r="I105" s="185"/>
      <c r="J105" s="185"/>
      <c r="K105" s="185"/>
      <c r="L105" s="117" t="s">
        <v>5620</v>
      </c>
      <c r="M105" s="3"/>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c r="GV105" s="28"/>
      <c r="GW105" s="28"/>
      <c r="GX105" s="28"/>
      <c r="GY105" s="28"/>
      <c r="GZ105" s="28"/>
      <c r="HA105" s="28"/>
      <c r="HB105" s="28"/>
      <c r="HC105" s="28"/>
      <c r="HD105" s="28"/>
      <c r="HE105" s="28"/>
      <c r="HF105" s="28"/>
      <c r="HG105" s="28"/>
      <c r="HH105" s="28"/>
      <c r="HI105" s="28"/>
      <c r="HJ105" s="28"/>
      <c r="HK105" s="28"/>
      <c r="HL105" s="28"/>
      <c r="HM105" s="28"/>
      <c r="HN105" s="28"/>
      <c r="HO105" s="28"/>
      <c r="HP105" s="28"/>
      <c r="HQ105" s="28"/>
      <c r="HR105" s="28"/>
      <c r="HS105" s="28"/>
      <c r="HT105" s="28"/>
      <c r="HU105" s="28"/>
      <c r="HV105" s="28"/>
      <c r="HW105" s="28"/>
      <c r="HX105" s="28"/>
      <c r="HY105" s="28"/>
      <c r="HZ105" s="28"/>
      <c r="IA105" s="28"/>
      <c r="IB105" s="28"/>
      <c r="IC105" s="28"/>
      <c r="ID105" s="28"/>
      <c r="IE105" s="28"/>
      <c r="IF105" s="28"/>
      <c r="IG105" s="28"/>
      <c r="IH105" s="28"/>
      <c r="II105" s="28"/>
      <c r="IJ105" s="28"/>
      <c r="IK105" s="28"/>
      <c r="IL105" s="28"/>
      <c r="IM105" s="28"/>
      <c r="IN105" s="28"/>
      <c r="IO105" s="28"/>
      <c r="IP105" s="28"/>
      <c r="IQ105" s="28"/>
      <c r="IR105" s="28"/>
      <c r="IS105" s="28"/>
      <c r="IT105" s="28"/>
      <c r="IU105" s="28"/>
      <c r="IV105" s="3"/>
    </row>
    <row r="106" spans="1:256" s="3475" customFormat="1" ht="10.5" customHeight="1" x14ac:dyDescent="0.2">
      <c r="A106" s="28"/>
      <c r="B106" s="3"/>
      <c r="C106" s="4483" t="s">
        <v>4842</v>
      </c>
      <c r="D106" s="4483"/>
      <c r="E106" s="4483"/>
      <c r="F106" s="4483"/>
      <c r="G106" s="4483"/>
      <c r="H106" s="4483"/>
      <c r="I106" s="4483"/>
      <c r="J106" s="4483"/>
      <c r="K106" s="419"/>
      <c r="L106" s="419"/>
      <c r="M106" s="3"/>
      <c r="N106" s="417">
        <f>IF(N103&lt;&gt;0,100,IF(R98&lt;&gt;0,IF(E108="YES",1,100),0))</f>
      </c>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c r="GV106" s="28"/>
      <c r="GW106" s="28"/>
      <c r="GX106" s="28"/>
      <c r="GY106" s="28"/>
      <c r="GZ106" s="28"/>
      <c r="HA106" s="28"/>
      <c r="HB106" s="28"/>
      <c r="HC106" s="28"/>
      <c r="HD106" s="28"/>
      <c r="HE106" s="28"/>
      <c r="HF106" s="28"/>
      <c r="HG106" s="28"/>
      <c r="HH106" s="28"/>
      <c r="HI106" s="28"/>
      <c r="HJ106" s="28"/>
      <c r="HK106" s="28"/>
      <c r="HL106" s="28"/>
      <c r="HM106" s="28"/>
      <c r="HN106" s="28"/>
      <c r="HO106" s="28"/>
      <c r="HP106" s="28"/>
      <c r="HQ106" s="28"/>
      <c r="HR106" s="28"/>
      <c r="HS106" s="28"/>
      <c r="HT106" s="28"/>
      <c r="HU106" s="28"/>
      <c r="HV106" s="28"/>
      <c r="HW106" s="28"/>
      <c r="HX106" s="28"/>
      <c r="HY106" s="28"/>
      <c r="HZ106" s="28"/>
      <c r="IA106" s="28"/>
      <c r="IB106" s="28"/>
      <c r="IC106" s="28"/>
      <c r="ID106" s="28"/>
      <c r="IE106" s="28"/>
      <c r="IF106" s="28"/>
      <c r="IG106" s="28"/>
      <c r="IH106" s="28"/>
      <c r="II106" s="28"/>
      <c r="IJ106" s="28"/>
      <c r="IK106" s="28"/>
      <c r="IL106" s="28"/>
      <c r="IM106" s="28"/>
      <c r="IN106" s="28"/>
      <c r="IO106" s="28"/>
      <c r="IP106" s="28"/>
      <c r="IQ106" s="28"/>
      <c r="IR106" s="28"/>
      <c r="IS106" s="28"/>
      <c r="IT106" s="28"/>
      <c r="IU106" s="28"/>
      <c r="IV106" s="3"/>
    </row>
    <row r="107" spans="1:256" s="3475" customFormat="1" ht="10.5" customHeight="1" x14ac:dyDescent="0.2">
      <c r="A107" s="28"/>
      <c r="B107" s="3"/>
      <c r="C107" s="185"/>
      <c r="D107" s="185"/>
      <c r="E107" s="185"/>
      <c r="F107" s="185"/>
      <c r="G107" s="185"/>
      <c r="H107" s="185"/>
      <c r="I107" s="185"/>
      <c r="J107" s="185"/>
      <c r="K107" s="419"/>
      <c r="L107" s="419"/>
      <c r="M107" s="3"/>
      <c r="N107" s="417"/>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c r="GV107" s="28"/>
      <c r="GW107" s="28"/>
      <c r="GX107" s="28"/>
      <c r="GY107" s="28"/>
      <c r="GZ107" s="28"/>
      <c r="HA107" s="28"/>
      <c r="HB107" s="28"/>
      <c r="HC107" s="28"/>
      <c r="HD107" s="28"/>
      <c r="HE107" s="28"/>
      <c r="HF107" s="28"/>
      <c r="HG107" s="28"/>
      <c r="HH107" s="28"/>
      <c r="HI107" s="28"/>
      <c r="HJ107" s="28"/>
      <c r="HK107" s="28"/>
      <c r="HL107" s="28"/>
      <c r="HM107" s="28"/>
      <c r="HN107" s="28"/>
      <c r="HO107" s="28"/>
      <c r="HP107" s="28"/>
      <c r="HQ107" s="28"/>
      <c r="HR107" s="28"/>
      <c r="HS107" s="28"/>
      <c r="HT107" s="28"/>
      <c r="HU107" s="28"/>
      <c r="HV107" s="28"/>
      <c r="HW107" s="28"/>
      <c r="HX107" s="28"/>
      <c r="HY107" s="28"/>
      <c r="HZ107" s="28"/>
      <c r="IA107" s="28"/>
      <c r="IB107" s="28"/>
      <c r="IC107" s="28"/>
      <c r="ID107" s="28"/>
      <c r="IE107" s="28"/>
      <c r="IF107" s="28"/>
      <c r="IG107" s="28"/>
      <c r="IH107" s="28"/>
      <c r="II107" s="28"/>
      <c r="IJ107" s="28"/>
      <c r="IK107" s="28"/>
      <c r="IL107" s="28"/>
      <c r="IM107" s="28"/>
      <c r="IN107" s="28"/>
      <c r="IO107" s="28"/>
      <c r="IP107" s="28"/>
      <c r="IQ107" s="28"/>
      <c r="IR107" s="28"/>
      <c r="IS107" s="28"/>
      <c r="IT107" s="28"/>
      <c r="IU107" s="28"/>
      <c r="IV107" s="3"/>
    </row>
    <row r="108" spans="1:256" x14ac:dyDescent="0.2">
      <c r="C108" s="418" t="str">
        <f>COM</f>
      </c>
      <c r="D108" s="388" t="str">
        <f>COM</f>
      </c>
      <c r="E108" s="331"/>
      <c r="F108" s="32"/>
      <c r="G108" s="32"/>
      <c r="H108" s="32"/>
      <c r="I108" s="32"/>
      <c r="J108" s="32"/>
      <c r="K108" s="32"/>
      <c r="L108" s="32"/>
      <c r="R108" s="28">
        <f>IF(AND(N100=0,K100&lt;&gt;""),1,IF(AND(N102=0,K102&lt;&gt;""),1,0))</f>
      </c>
      <c r="BS108" s="28" t="s">
        <v>4457</v>
      </c>
    </row>
    <row r="109" spans="1:256" x14ac:dyDescent="0.2">
      <c r="F109" s="32"/>
      <c r="G109" s="32"/>
      <c r="H109" s="32"/>
      <c r="I109" s="32"/>
      <c r="J109" s="32"/>
      <c r="K109" s="32"/>
      <c r="L109" s="32"/>
      <c r="BS109" s="28" t="s">
        <v>1736</v>
      </c>
    </row>
    <row r="110" spans="1:256" x14ac:dyDescent="0.2">
      <c r="C110" s="4418" t="s">
        <v>6290</v>
      </c>
      <c r="D110" s="4418"/>
    </row>
  </sheetData>
  <sheetProtection algorithmName="SHA-512" hashValue="mhdNFpRXThRh/cQzgH/pUQsrxL/at8yLvmGGF5GkDl93GT4QvgOfU1Cc5wFj1T2p3qqtU2nMVot+3xCdwYyWbw==" saltValue="GKW8qNmeO6fkevZDNh2FqA==" spinCount="100000" sheet="1" objects="1" scenarios="1"/>
  <customSheetViews>
    <customSheetView guid="{99B5278F-6EA9-4B1A-8623-27A4DF4AD5E4}" showGridLines="0" fitToPage="1" hiddenRows="1" hiddenColumns="1" topLeftCell="B1">
      <selection activeCell="IV6" sqref="IV6"/>
      <pageMargins left="0.51181102362204722" right="0.59055118110236227" top="0.31496062992125984" bottom="0.70866141732283472" header="0.19685039370078741" footer="0.43307086614173229"/>
      <printOptions horizontalCentered="1"/>
      <pageSetup paperSize="9" scale="97" orientation="landscape" horizontalDpi="300" verticalDpi="300" r:id="rId1"/>
      <headerFooter alignWithMargins="0">
        <oddFooter>&amp;LName&amp;CSignature&amp;RDate</oddFooter>
      </headerFooter>
    </customSheetView>
  </customSheetViews>
  <mergeCells count="19">
    <mergeCell ref="C110:D110"/>
    <mergeCell ref="D105:H105"/>
    <mergeCell ref="C106:J106"/>
    <mergeCell ref="G98:G99"/>
    <mergeCell ref="H98:J98"/>
    <mergeCell ref="C98:F99"/>
    <mergeCell ref="IX1:JD1"/>
    <mergeCell ref="IV1:IV5"/>
    <mergeCell ref="S4:S5"/>
    <mergeCell ref="C3:C5"/>
    <mergeCell ref="D3:D5"/>
    <mergeCell ref="E3:E5"/>
    <mergeCell ref="F3:F5"/>
    <mergeCell ref="G3:G5"/>
    <mergeCell ref="H3:H5"/>
    <mergeCell ref="R3:R5"/>
    <mergeCell ref="C2:J2"/>
    <mergeCell ref="I3:J4"/>
    <mergeCell ref="C1:I1"/>
  </mergeCells>
  <phoneticPr fontId="0" type="noConversion"/>
  <conditionalFormatting sqref="H6:H96">
    <cfRule type="expression" dxfId="915" priority="1" stopIfTrue="1">
      <formula>$F6=""</formula>
    </cfRule>
  </conditionalFormatting>
  <conditionalFormatting sqref="H101:J101 G103:J103">
    <cfRule type="cellIs" dxfId="914" priority="4" stopIfTrue="1" operator="equal">
      <formula>$P$1</formula>
    </cfRule>
  </conditionalFormatting>
  <conditionalFormatting sqref="I6:J97">
    <cfRule type="cellIs" dxfId="913" priority="2" stopIfTrue="1" operator="equal">
      <formula>$P$1</formula>
    </cfRule>
  </conditionalFormatting>
  <conditionalFormatting sqref="K100:L100">
    <cfRule type="expression" dxfId="912" priority="7" stopIfTrue="1">
      <formula>$K$100=reo</formula>
    </cfRule>
  </conditionalFormatting>
  <conditionalFormatting sqref="K102:L102">
    <cfRule type="expression" dxfId="911" priority="8" stopIfTrue="1">
      <formula>$K$102=reo</formula>
    </cfRule>
  </conditionalFormatting>
  <dataValidations count="6">
    <dataValidation errorStyle="warning" operator="equal" allowBlank="1" showInputMessage="1" showErrorMessage="1" errorTitle="Check value entered!" error=" " sqref="J99" xr:uid="{00000000-0002-0000-0C00-000000000000}"/>
    <dataValidation errorStyle="warning" allowBlank="1" showInputMessage="1" showErrorMessage="1" sqref="C6:C96 A6:A96" xr:uid="{00000000-0002-0000-0C00-000001000000}"/>
    <dataValidation type="whole" operator="greaterThanOrEqual" allowBlank="1" showInputMessage="1" showErrorMessage="1" errorTitle="PROCEEDS" error="Please enter a positive amount!" promptTitle="Proceeds on disposal" prompt="Please ensure that the proceeds inputted refer to the asset indicated as disposed of." sqref="H6:H96" xr:uid="{00000000-0002-0000-0C00-000002000000}">
      <formula1>0</formula1>
    </dataValidation>
    <dataValidation type="list" allowBlank="1" showInputMessage="1" showErrorMessage="1" errorTitle="Choose item from Dropdown list! " sqref="E108" xr:uid="{00000000-0002-0000-0C00-000003000000}">
      <formula1>$BS$107:$BS$109</formula1>
    </dataValidation>
    <dataValidation type="list" allowBlank="1" showInputMessage="1" showErrorMessage="1" errorTitle="Choose Act" error="Choose BPA if no balancing statement is required!_x000a_" sqref="IV6:IV96" xr:uid="{00000000-0002-0000-0C00-000004000000}">
      <formula1>$IR$2:$IR$3</formula1>
    </dataValidation>
    <dataValidation type="whole" operator="greaterThanOrEqual" allowBlank="1" showInputMessage="1" showErrorMessage="1" errorTitle="Allocation" error="Please enter a positive value!" sqref="G102:J102 G100:J100" xr:uid="{00000000-0002-0000-0C00-000005000000}">
      <formula1>0</formula1>
    </dataValidation>
  </dataValidations>
  <hyperlinks>
    <hyperlink ref="C110" location="Index!A1" display="Index!A1" xr:uid="{00000000-0004-0000-0C00-000000000000}"/>
    <hyperlink ref="C110:D110" location="Index!A1" display="Index!A1" xr:uid="{00000000-0004-0000-0C00-000001000000}"/>
  </hyperlinks>
  <printOptions horizontalCentered="1"/>
  <pageMargins left="0.51181102362204722" right="0.59055118110236227" top="0.31496062992125984" bottom="0.70866141732283472" header="0.19685039370078741" footer="0.43307086614173229"/>
  <pageSetup paperSize="9" scale="55" orientation="landscape" r:id="rId2"/>
  <headerFooter alignWithMargins="0">
    <oddFooter>&amp;LName&amp;CSignature&amp;RDate</oddFoot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A1:CO807"/>
  <sheetViews>
    <sheetView showGridLines="0" topLeftCell="B23" zoomScale="85" zoomScaleNormal="85" workbookViewId="0"/>
  </sheetViews>
  <sheetFormatPr defaultColWidth="0" defaultRowHeight="12.75" customHeight="1" zeroHeight="1" x14ac:dyDescent="0.2"/>
  <cols>
    <col min="1" max="1" width="2.28515625" style="28" hidden="1" customWidth="1"/>
    <col min="2" max="2" width="47.5703125" style="47" customWidth="1"/>
    <col min="3" max="3" width="0.42578125" style="48" hidden="1" customWidth="1"/>
    <col min="4" max="4" width="7.7109375" style="48" customWidth="1"/>
    <col min="5" max="5" width="8.7109375" style="48" customWidth="1"/>
    <col min="6" max="9" width="8.7109375" style="47" customWidth="1"/>
    <col min="10" max="10" width="9.7109375" style="47" customWidth="1"/>
    <col min="11" max="11" width="9.28515625" style="47" customWidth="1"/>
    <col min="12" max="12" width="8.7109375" style="47" customWidth="1"/>
    <col min="13" max="13" width="9" style="47" customWidth="1"/>
    <col min="14" max="14" width="8.7109375" style="47" customWidth="1"/>
    <col min="15" max="15" width="0.7109375" style="47" customWidth="1"/>
    <col min="16" max="16" width="8.7109375" style="47" customWidth="1"/>
    <col min="17" max="17" width="10.7109375" style="47" customWidth="1"/>
    <col min="18" max="18" width="0.5703125" style="28" customWidth="1"/>
    <col min="19" max="19" width="7.7109375" style="28" hidden="1" customWidth="1"/>
    <col min="20" max="20" width="3.5703125" style="28" hidden="1" customWidth="1"/>
    <col min="21" max="21" width="4" style="28" hidden="1" customWidth="1"/>
    <col min="22" max="80" width="9.28515625" style="28" hidden="1" customWidth="1"/>
    <col min="81" max="16384" width="9.28515625" style="142" hidden="1"/>
  </cols>
  <sheetData>
    <row r="1" spans="1:85" ht="15.75" customHeight="1" x14ac:dyDescent="0.2">
      <c r="B1" s="4515" t="str">
        <f>_ref1</f>
      </c>
      <c r="C1" s="4516"/>
      <c r="D1" s="4516"/>
      <c r="E1" s="4516"/>
      <c r="F1" s="4516"/>
      <c r="G1" s="4516"/>
      <c r="H1" s="4516"/>
      <c r="I1" s="4516"/>
      <c r="J1" s="4516"/>
      <c r="K1" s="4516"/>
      <c r="L1" s="4516"/>
      <c r="M1" s="4516"/>
      <c r="N1" s="399" t="str">
        <f>_YA1</f>
      </c>
      <c r="O1" s="370"/>
      <c r="P1" s="371"/>
      <c r="Q1" s="420">
        <f>ya</f>
      </c>
      <c r="R1" s="3"/>
      <c r="S1" s="28">
        <f>reg*1</f>
      </c>
      <c r="Y1" s="28" t="s">
        <v>6597</v>
      </c>
      <c r="Z1" s="28">
        <f>IF('p2'!G21="y",1,0)</f>
      </c>
      <c r="AA1" s="28" t="s">
        <v>5802</v>
      </c>
      <c r="AB1" s="28" t="s">
        <v>5803</v>
      </c>
      <c r="AC1" s="28" t="s">
        <v>3245</v>
      </c>
      <c r="AD1" s="28" t="s">
        <v>21</v>
      </c>
      <c r="AE1" s="28" t="s">
        <v>1939</v>
      </c>
      <c r="AF1" s="28">
        <v>4</v>
      </c>
      <c r="AL1" s="28" t="s">
        <v>22</v>
      </c>
      <c r="BA1" s="28" t="s">
        <v>456</v>
      </c>
    </row>
    <row r="2" spans="1:85" ht="18" x14ac:dyDescent="0.25">
      <c r="B2" s="4517" t="s">
        <v>1004</v>
      </c>
      <c r="C2" s="4518"/>
      <c r="D2" s="4518"/>
      <c r="E2" s="4518"/>
      <c r="F2" s="4518"/>
      <c r="G2" s="4518"/>
      <c r="H2" s="4518"/>
      <c r="I2" s="4518"/>
      <c r="J2" s="4518"/>
      <c r="K2" s="4518"/>
      <c r="L2" s="4518"/>
      <c r="M2" s="4518"/>
      <c r="N2" s="4519"/>
      <c r="O2" s="423"/>
      <c r="P2" s="424"/>
      <c r="Q2" s="424"/>
      <c r="R2" s="3"/>
      <c r="BA2" s="28" t="s">
        <v>943</v>
      </c>
      <c r="BY2" s="28" t="s">
        <v>5806</v>
      </c>
      <c r="CC2" s="142" t="s">
        <v>5806</v>
      </c>
      <c r="CE2" s="28" t="s">
        <v>363</v>
      </c>
      <c r="CF2" s="28" t="s">
        <v>2372</v>
      </c>
      <c r="CG2" s="28" t="s">
        <v>3710</v>
      </c>
    </row>
    <row r="3" spans="1:85" ht="21.75" customHeight="1" x14ac:dyDescent="0.2">
      <c r="B3" s="4520" t="s">
        <v>4843</v>
      </c>
      <c r="C3" s="4444"/>
      <c r="D3" s="4504" t="s">
        <v>2539</v>
      </c>
      <c r="E3" s="4444" t="s">
        <v>3264</v>
      </c>
      <c r="F3" s="4444" t="s">
        <v>548</v>
      </c>
      <c r="G3" s="4444" t="s">
        <v>1520</v>
      </c>
      <c r="H3" s="4444" t="s">
        <v>2387</v>
      </c>
      <c r="I3" s="4514" t="s">
        <v>1521</v>
      </c>
      <c r="J3" s="4514" t="s">
        <v>549</v>
      </c>
      <c r="K3" s="4384" t="s">
        <v>943</v>
      </c>
      <c r="L3" s="4514" t="s">
        <v>2386</v>
      </c>
      <c r="M3" s="4514" t="s">
        <v>939</v>
      </c>
      <c r="N3" s="4475" t="s">
        <v>940</v>
      </c>
      <c r="O3" s="425"/>
      <c r="P3" s="4523"/>
      <c r="Q3" s="4523"/>
      <c r="R3" s="3"/>
      <c r="BY3" s="28" t="s">
        <v>363</v>
      </c>
      <c r="CA3" s="28" t="s">
        <v>3243</v>
      </c>
    </row>
    <row r="4" spans="1:85" ht="43.5" customHeight="1" x14ac:dyDescent="0.2">
      <c r="B4" s="4521"/>
      <c r="C4" s="4384"/>
      <c r="D4" s="4498"/>
      <c r="E4" s="4384"/>
      <c r="F4" s="4384"/>
      <c r="G4" s="4384"/>
      <c r="H4" s="4384"/>
      <c r="I4" s="4475"/>
      <c r="J4" s="4475"/>
      <c r="K4" s="4384"/>
      <c r="L4" s="4475"/>
      <c r="M4" s="4475"/>
      <c r="N4" s="4475"/>
      <c r="O4" s="211"/>
      <c r="P4" s="4523"/>
      <c r="Q4" s="4523"/>
      <c r="R4" s="3"/>
      <c r="AB4" s="28" t="s">
        <v>941</v>
      </c>
      <c r="BY4" s="28" t="s">
        <v>2372</v>
      </c>
      <c r="CA4" s="28" t="s">
        <v>5806</v>
      </c>
    </row>
    <row r="5" spans="1:85" ht="29.25" customHeight="1" x14ac:dyDescent="0.2">
      <c r="B5" s="4521"/>
      <c r="C5" s="4384"/>
      <c r="D5" s="4499"/>
      <c r="E5" s="4384"/>
      <c r="F5" s="4384"/>
      <c r="G5" s="4384"/>
      <c r="H5" s="4384"/>
      <c r="I5" s="4475"/>
      <c r="J5" s="4475"/>
      <c r="K5" s="4384"/>
      <c r="L5" s="4475"/>
      <c r="M5" s="4475"/>
      <c r="N5" s="4475"/>
      <c r="O5" s="211"/>
      <c r="P5" s="4523"/>
      <c r="Q5" s="4523"/>
      <c r="R5" s="3"/>
      <c r="AB5" s="28">
        <v>0</v>
      </c>
      <c r="AC5" s="28">
        <v>0</v>
      </c>
      <c r="CA5" s="28" t="s">
        <v>363</v>
      </c>
    </row>
    <row r="6" spans="1:85" ht="12.75" customHeight="1" x14ac:dyDescent="0.2">
      <c r="A6" s="28">
        <f t="shared" ref="A6:A38" si="0">IF(AC6=AC5,0,AC6)</f>
      </c>
      <c r="B6" s="426"/>
      <c r="C6" s="427" t="s">
        <v>363</v>
      </c>
      <c r="D6" s="428"/>
      <c r="E6" s="223"/>
      <c r="F6" s="223"/>
      <c r="G6" s="223"/>
      <c r="H6" s="223"/>
      <c r="I6" s="365"/>
      <c r="J6" s="365"/>
      <c r="K6" s="429"/>
      <c r="L6" s="405">
        <f t="shared" ref="L6:L38" si="1">IF(ISBLANK(B6),0,IF(T6=0,0,F6-H6))</f>
      </c>
      <c r="M6" s="405">
        <f>IF(ISBLANK(B6),0,IF(T6=0,0,IF(W6&lt;0,0,W6)))</f>
      </c>
      <c r="N6" s="405">
        <f>IF(ISBLANK(B6),0,IF(T6=0,0,IF(AP6=0,Y6,IF(AP6&lt;&gt;3,0,Y6))))</f>
      </c>
      <c r="O6" s="211"/>
      <c r="P6" s="406" t="str">
        <f>IF(B6="","",IF(C6="",$AA$1,IF(AQ6&lt;&gt;2,$AC$1,IF(AP6=0,"",IF(D6="",$AE$1,IF(E6="",$AB$1,IF(AP6&lt;&gt;3,$AL$1,IF(AR6&gt;0,$Y$1,""))))))))</f>
        <v/>
      </c>
      <c r="Q6" s="50"/>
      <c r="R6" s="3"/>
      <c r="S6" s="28">
        <f t="shared" ref="S6:S37" si="2">IF(P6="",0,1)</f>
      </c>
      <c r="T6" s="28">
        <f>IF(ISERROR(X6),4,X6)</f>
      </c>
      <c r="U6" s="30">
        <f>IF(ISBLANK(K6),T6,IF(K6=0,0,IF(K6&gt;T6,K6,T6)))</f>
      </c>
      <c r="V6" s="30">
        <f>IF(L6=0,0,IF(U6=0,0,ROUND(L6*1/U6,0)))</f>
      </c>
      <c r="W6" s="28">
        <f t="shared" ref="W6:W38" si="3">IF(V6&lt;=AA6,V6,AA6)</f>
      </c>
      <c r="X6" s="40">
        <f t="shared" ref="X6:X17" si="4">IF(ISBLANK($B6),0,VLOOKUP($B6,$B$322:$C$343,2,FALSE))</f>
      </c>
      <c r="Y6" s="31">
        <f t="shared" ref="Y6:Y38" si="5">IF(AA6-V6&lt;=0,0,AA6-V6)</f>
      </c>
      <c r="AA6" s="32">
        <f t="shared" ref="AA6:AA38" si="6">G6-J6</f>
      </c>
      <c r="AC6" s="28">
        <f t="shared" ref="AC6:AC38" si="7">IF(AD6=3,AC5+1,AC5)</f>
      </c>
      <c r="AD6" s="28">
        <f t="shared" ref="AD6:AD38" si="8">SUM(AE6:AG6)</f>
      </c>
      <c r="AE6" s="28">
        <f t="shared" ref="AE6:AE38" si="9">IF(ISBLANK(H6),0,1)</f>
      </c>
      <c r="AF6" s="28">
        <f t="shared" ref="AF6:AF38" si="10">IF(ISBLANK(I6),0,1)</f>
      </c>
      <c r="AG6" s="28">
        <f t="shared" ref="AG6:AG38" si="11">IF(ISBLANK(J6),0,1)</f>
      </c>
      <c r="AH6" s="32">
        <f t="shared" ref="AH6:AH38" si="12">G6-J6</f>
      </c>
      <c r="AI6" s="32">
        <f>IF(ISBLANK(E6),9999999,E6)</f>
      </c>
      <c r="AJ6" s="32">
        <f t="shared" ref="AJ6:AJ38" si="13">F6</f>
      </c>
      <c r="AK6" s="32">
        <f t="shared" ref="AK6:AK38" si="14">G6</f>
      </c>
      <c r="AM6" s="28">
        <f t="shared" ref="AM6:AM38" si="15">IF(ISBLANK(H6),0,1)</f>
      </c>
      <c r="AN6" s="28">
        <f t="shared" ref="AN6:AN38" si="16">IF(ISBLANK(I6),0,1)</f>
      </c>
      <c r="AO6" s="28">
        <f t="shared" ref="AO6:AO38" si="17">IF(ISBLANK(J6),0,1)</f>
      </c>
      <c r="AP6" s="28">
        <f t="shared" ref="AP6:AP38" si="18">SUM(AM6:AO6)</f>
      </c>
      <c r="AQ6" s="44">
        <f>IF(B6="",0,COUNT(F6:G6))</f>
      </c>
      <c r="AR6" s="28">
        <f>IF(J6&gt;G6,1,IF(I6&gt;E6,1,IF(H6&gt;F6,1,0)))</f>
      </c>
      <c r="BA6" s="28">
        <f>IF(ISERROR(BB6),2001,2009)</f>
      </c>
      <c r="BB6" s="28" t="e">
        <f t="shared" ref="BB6:BB17" si="19">VLOOKUP(B6,$B$340:$C$343,2,FALSE)</f>
      </c>
      <c r="BD6" s="31"/>
      <c r="BE6" s="31"/>
      <c r="BF6" s="31"/>
      <c r="BG6" s="31"/>
      <c r="BH6" s="31"/>
      <c r="BI6" s="31"/>
      <c r="BJ6" s="31"/>
      <c r="BK6" s="31"/>
      <c r="BL6" s="31"/>
      <c r="BM6" s="31"/>
      <c r="BN6" s="31"/>
      <c r="CA6" s="28" t="s">
        <v>2372</v>
      </c>
      <c r="CG6" s="31"/>
    </row>
    <row r="7" spans="1:85" ht="12.75" customHeight="1" x14ac:dyDescent="0.2">
      <c r="A7" s="28">
        <f t="shared" si="0"/>
        <v>0</v>
      </c>
      <c r="B7" s="426"/>
      <c r="C7" s="427" t="s">
        <v>363</v>
      </c>
      <c r="D7" s="428"/>
      <c r="E7" s="223"/>
      <c r="F7" s="223"/>
      <c r="G7" s="223"/>
      <c r="H7" s="223"/>
      <c r="I7" s="365"/>
      <c r="J7" s="365"/>
      <c r="K7" s="429"/>
      <c r="L7" s="405">
        <f t="shared" si="1"/>
        <v>0</v>
      </c>
      <c r="M7" s="405">
        <f t="shared" ref="M7:M38" si="20">IF(ISBLANK(B7),0,IF(T7=0,0,IF(W7&lt;0,0,W7)))</f>
      </c>
      <c r="N7" s="405">
        <f t="shared" ref="N7:N38" si="21">IF(ISBLANK(B7),0,IF(T7=0,0,IF(AP7=0,Y7,IF(AP7&lt;&gt;3,0,Y7))))</f>
      </c>
      <c r="O7" s="211"/>
      <c r="P7" s="406" t="str">
        <f t="shared" ref="P7:P38" si="22">IF(B7="","",IF(C7="",$AA$1,IF(AQ7&lt;&gt;2,$AC$1,IF(AP7=0,"",IF(D7="",$AE$1,IF(E7="",$AB$1,IF(AP7&lt;&gt;3,$AL$1,IF(AR7&gt;0,$Y$1,""))))))))</f>
        <v/>
      </c>
      <c r="Q7" s="50"/>
      <c r="R7" s="3"/>
      <c r="S7" s="28">
        <f t="shared" si="2"/>
        <v>0</v>
      </c>
      <c r="T7" s="28">
        <f t="shared" ref="T7:T38" si="23">IF(ISERROR(X7),4,X7)</f>
      </c>
      <c r="U7" s="30">
        <f t="shared" ref="U7:U38" si="24">IF(ISBLANK(K7),T7,IF(K7=0,0,IF(K7&gt;T7,K7,T7)))</f>
      </c>
      <c r="V7" s="30">
        <f t="shared" ref="V7:V38" si="25">IF(L7=0,0,IF(U7=0,0,ROUND(L7*1/U7,0)))</f>
      </c>
      <c r="W7" s="28">
        <f t="shared" si="3"/>
        <v>0</v>
      </c>
      <c r="X7" s="40">
        <f t="shared" si="4"/>
        <v>0</v>
      </c>
      <c r="Y7" s="31">
        <f t="shared" si="5"/>
        <v>0</v>
      </c>
      <c r="AA7" s="32">
        <f t="shared" si="6"/>
        <v>0</v>
      </c>
      <c r="AC7" s="28">
        <f t="shared" si="7"/>
        <v>0</v>
      </c>
      <c r="AD7" s="28">
        <f t="shared" si="8"/>
        <v>0</v>
      </c>
      <c r="AE7" s="28">
        <f t="shared" si="9"/>
        <v>0</v>
      </c>
      <c r="AF7" s="28">
        <f t="shared" si="10"/>
        <v>0</v>
      </c>
      <c r="AG7" s="28">
        <f t="shared" si="11"/>
        <v>0</v>
      </c>
      <c r="AH7" s="32">
        <f t="shared" si="12"/>
        <v>0</v>
      </c>
      <c r="AI7" s="32">
        <f t="shared" ref="AI7:AI38" si="26">IF(ISBLANK(E7),9999999,E7)</f>
      </c>
      <c r="AJ7" s="32">
        <f t="shared" si="13"/>
        <v>0</v>
      </c>
      <c r="AK7" s="32">
        <f t="shared" si="14"/>
        <v>0</v>
      </c>
      <c r="AM7" s="28">
        <f t="shared" si="15"/>
        <v>0</v>
      </c>
      <c r="AN7" s="28">
        <f t="shared" si="16"/>
        <v>0</v>
      </c>
      <c r="AO7" s="28">
        <f t="shared" si="17"/>
        <v>0</v>
      </c>
      <c r="AP7" s="28">
        <f t="shared" si="18"/>
        <v>0</v>
      </c>
      <c r="AQ7" s="44">
        <f t="shared" ref="AQ7:AQ38" si="27">IF(B7="",0,COUNT(F7:G7))</f>
      </c>
      <c r="AR7" s="28">
        <f t="shared" ref="AR7:AR38" si="28">IF(J7&gt;G7,1,IF(I7&gt;E7,1,IF(H7&gt;F7,1,0)))</f>
      </c>
      <c r="BA7" s="28">
        <f t="shared" ref="BA7:BA38" si="29">IF(ISERROR(BB7),2001,2009)</f>
      </c>
      <c r="BB7" s="28" t="e">
        <f t="shared" si="19"/>
        <v>#N/A</v>
      </c>
      <c r="BD7" s="31"/>
      <c r="BE7" s="31"/>
      <c r="BF7" s="31"/>
      <c r="BG7" s="31"/>
      <c r="BH7" s="31"/>
      <c r="BI7" s="31"/>
      <c r="BJ7" s="31"/>
      <c r="BK7" s="31"/>
      <c r="BL7" s="31"/>
      <c r="BM7" s="31"/>
      <c r="BN7" s="31"/>
      <c r="CG7" s="31"/>
    </row>
    <row r="8" spans="1:85" ht="12.75" customHeight="1" x14ac:dyDescent="0.2">
      <c r="A8" s="28">
        <f t="shared" si="0"/>
        <v>0</v>
      </c>
      <c r="B8" s="426"/>
      <c r="C8" s="427" t="s">
        <v>363</v>
      </c>
      <c r="D8" s="428"/>
      <c r="E8" s="223"/>
      <c r="F8" s="223"/>
      <c r="G8" s="223"/>
      <c r="H8" s="223"/>
      <c r="I8" s="365"/>
      <c r="J8" s="365"/>
      <c r="K8" s="429"/>
      <c r="L8" s="405">
        <f t="shared" si="1"/>
        <v>0</v>
      </c>
      <c r="M8" s="405">
        <f t="shared" si="20"/>
        <v>0</v>
      </c>
      <c r="N8" s="405">
        <f t="shared" si="21"/>
        <v>0</v>
      </c>
      <c r="O8" s="211"/>
      <c r="P8" s="406" t="str">
        <f t="shared" si="22"/>
        <v/>
      </c>
      <c r="Q8" s="50"/>
      <c r="R8" s="3"/>
      <c r="S8" s="28">
        <f t="shared" si="2"/>
        <v>0</v>
      </c>
      <c r="T8" s="28">
        <f>IF(ISERROR(X8),4,X8)</f>
      </c>
      <c r="U8" s="30">
        <f t="shared" si="24"/>
        <v>0</v>
      </c>
      <c r="V8" s="30">
        <f t="shared" si="25"/>
        <v>0</v>
      </c>
      <c r="W8" s="28">
        <f t="shared" si="3"/>
        <v>0</v>
      </c>
      <c r="X8" s="40">
        <f t="shared" si="4"/>
        <v>0</v>
      </c>
      <c r="Y8" s="31">
        <f t="shared" si="5"/>
        <v>0</v>
      </c>
      <c r="AA8" s="32">
        <f t="shared" si="6"/>
        <v>0</v>
      </c>
      <c r="AC8" s="28">
        <f t="shared" si="7"/>
        <v>0</v>
      </c>
      <c r="AD8" s="28">
        <f t="shared" si="8"/>
        <v>0</v>
      </c>
      <c r="AE8" s="28">
        <f t="shared" si="9"/>
        <v>0</v>
      </c>
      <c r="AF8" s="28">
        <f t="shared" si="10"/>
        <v>0</v>
      </c>
      <c r="AG8" s="28">
        <f t="shared" si="11"/>
        <v>0</v>
      </c>
      <c r="AH8" s="32">
        <f t="shared" si="12"/>
        <v>0</v>
      </c>
      <c r="AI8" s="32">
        <f t="shared" si="26"/>
        <v>9999999</v>
      </c>
      <c r="AJ8" s="32">
        <f t="shared" si="13"/>
        <v>0</v>
      </c>
      <c r="AK8" s="32">
        <f t="shared" si="14"/>
        <v>0</v>
      </c>
      <c r="AM8" s="28">
        <f t="shared" si="15"/>
        <v>0</v>
      </c>
      <c r="AN8" s="28">
        <f t="shared" si="16"/>
        <v>0</v>
      </c>
      <c r="AO8" s="28">
        <f t="shared" si="17"/>
        <v>0</v>
      </c>
      <c r="AP8" s="28">
        <f t="shared" si="18"/>
        <v>0</v>
      </c>
      <c r="AQ8" s="44">
        <f t="shared" si="27"/>
        <v>0</v>
      </c>
      <c r="AR8" s="28">
        <f t="shared" si="28"/>
        <v>0</v>
      </c>
      <c r="BA8" s="28">
        <f t="shared" si="29"/>
        <v>2001</v>
      </c>
      <c r="BB8" s="28" t="e">
        <f t="shared" si="19"/>
        <v>#N/A</v>
      </c>
      <c r="BD8" s="31"/>
      <c r="BE8" s="31"/>
      <c r="BF8" s="31"/>
      <c r="BG8" s="31"/>
      <c r="BH8" s="31"/>
      <c r="BI8" s="31"/>
      <c r="BJ8" s="31"/>
      <c r="BK8" s="31"/>
      <c r="BL8" s="31"/>
      <c r="BM8" s="31"/>
      <c r="BN8" s="31"/>
      <c r="CA8" s="28" t="s">
        <v>3710</v>
      </c>
      <c r="CG8" s="31"/>
    </row>
    <row r="9" spans="1:85" ht="12.75" customHeight="1" x14ac:dyDescent="0.2">
      <c r="A9" s="28">
        <f t="shared" si="0"/>
        <v>0</v>
      </c>
      <c r="B9" s="426"/>
      <c r="C9" s="427" t="s">
        <v>363</v>
      </c>
      <c r="D9" s="428"/>
      <c r="E9" s="223"/>
      <c r="F9" s="223"/>
      <c r="G9" s="223"/>
      <c r="H9" s="223"/>
      <c r="I9" s="365"/>
      <c r="J9" s="365"/>
      <c r="K9" s="429"/>
      <c r="L9" s="405">
        <f t="shared" si="1"/>
        <v>0</v>
      </c>
      <c r="M9" s="405">
        <f t="shared" si="20"/>
        <v>0</v>
      </c>
      <c r="N9" s="405">
        <f t="shared" si="21"/>
        <v>0</v>
      </c>
      <c r="O9" s="211"/>
      <c r="P9" s="406" t="str">
        <f t="shared" si="22"/>
        <v/>
      </c>
      <c r="Q9" s="50"/>
      <c r="R9" s="3"/>
      <c r="S9" s="28">
        <f t="shared" si="2"/>
        <v>0</v>
      </c>
      <c r="T9" s="28">
        <f t="shared" si="23"/>
        <v>0</v>
      </c>
      <c r="U9" s="30">
        <f t="shared" si="24"/>
        <v>0</v>
      </c>
      <c r="V9" s="30">
        <f t="shared" si="25"/>
        <v>0</v>
      </c>
      <c r="W9" s="28">
        <f t="shared" si="3"/>
        <v>0</v>
      </c>
      <c r="X9" s="40">
        <f t="shared" si="4"/>
        <v>0</v>
      </c>
      <c r="Y9" s="31">
        <f t="shared" si="5"/>
        <v>0</v>
      </c>
      <c r="AA9" s="32">
        <f t="shared" si="6"/>
        <v>0</v>
      </c>
      <c r="AC9" s="28">
        <f t="shared" si="7"/>
        <v>0</v>
      </c>
      <c r="AD9" s="28">
        <f t="shared" si="8"/>
        <v>0</v>
      </c>
      <c r="AE9" s="28">
        <f t="shared" si="9"/>
        <v>0</v>
      </c>
      <c r="AF9" s="28">
        <f t="shared" si="10"/>
        <v>0</v>
      </c>
      <c r="AG9" s="28">
        <f t="shared" si="11"/>
        <v>0</v>
      </c>
      <c r="AH9" s="32">
        <f t="shared" si="12"/>
        <v>0</v>
      </c>
      <c r="AI9" s="32">
        <f t="shared" si="26"/>
        <v>9999999</v>
      </c>
      <c r="AJ9" s="32">
        <f t="shared" si="13"/>
        <v>0</v>
      </c>
      <c r="AK9" s="32">
        <f t="shared" si="14"/>
        <v>0</v>
      </c>
      <c r="AM9" s="28">
        <f t="shared" si="15"/>
        <v>0</v>
      </c>
      <c r="AN9" s="28">
        <f t="shared" si="16"/>
        <v>0</v>
      </c>
      <c r="AO9" s="28">
        <f t="shared" si="17"/>
        <v>0</v>
      </c>
      <c r="AP9" s="28">
        <f t="shared" si="18"/>
        <v>0</v>
      </c>
      <c r="AQ9" s="44">
        <f t="shared" si="27"/>
        <v>0</v>
      </c>
      <c r="AR9" s="28">
        <f t="shared" si="28"/>
        <v>0</v>
      </c>
      <c r="BA9" s="28">
        <f t="shared" si="29"/>
        <v>2001</v>
      </c>
      <c r="BB9" s="28" t="e">
        <f t="shared" si="19"/>
        <v>#N/A</v>
      </c>
      <c r="BD9" s="31"/>
      <c r="BE9" s="31"/>
      <c r="BF9" s="31"/>
      <c r="BG9" s="31"/>
      <c r="BH9" s="31"/>
      <c r="BI9" s="31"/>
      <c r="BJ9" s="31"/>
      <c r="BK9" s="31"/>
      <c r="BL9" s="31"/>
      <c r="BM9" s="31"/>
      <c r="BN9" s="31"/>
      <c r="CG9" s="31"/>
    </row>
    <row r="10" spans="1:85" ht="12.75" customHeight="1" x14ac:dyDescent="0.2">
      <c r="A10" s="28">
        <f t="shared" si="0"/>
        <v>0</v>
      </c>
      <c r="B10" s="426"/>
      <c r="C10" s="427" t="s">
        <v>363</v>
      </c>
      <c r="D10" s="428"/>
      <c r="E10" s="223"/>
      <c r="F10" s="223"/>
      <c r="G10" s="223"/>
      <c r="H10" s="223"/>
      <c r="I10" s="365"/>
      <c r="J10" s="365"/>
      <c r="K10" s="429"/>
      <c r="L10" s="405">
        <f t="shared" si="1"/>
        <v>0</v>
      </c>
      <c r="M10" s="405">
        <f t="shared" si="20"/>
        <v>0</v>
      </c>
      <c r="N10" s="405">
        <f t="shared" si="21"/>
        <v>0</v>
      </c>
      <c r="O10" s="211"/>
      <c r="P10" s="406" t="str">
        <f t="shared" si="22"/>
        <v/>
      </c>
      <c r="Q10" s="50"/>
      <c r="R10" s="3"/>
      <c r="S10" s="28">
        <f t="shared" si="2"/>
        <v>0</v>
      </c>
      <c r="T10" s="28">
        <f t="shared" si="23"/>
        <v>0</v>
      </c>
      <c r="U10" s="30">
        <f t="shared" si="24"/>
        <v>0</v>
      </c>
      <c r="V10" s="30">
        <f t="shared" si="25"/>
        <v>0</v>
      </c>
      <c r="W10" s="28">
        <f t="shared" si="3"/>
        <v>0</v>
      </c>
      <c r="X10" s="40">
        <f t="shared" si="4"/>
        <v>0</v>
      </c>
      <c r="Y10" s="31">
        <f t="shared" si="5"/>
        <v>0</v>
      </c>
      <c r="AA10" s="32">
        <f t="shared" si="6"/>
        <v>0</v>
      </c>
      <c r="AC10" s="28">
        <f t="shared" si="7"/>
        <v>0</v>
      </c>
      <c r="AD10" s="28">
        <f t="shared" si="8"/>
        <v>0</v>
      </c>
      <c r="AE10" s="28">
        <f t="shared" si="9"/>
        <v>0</v>
      </c>
      <c r="AF10" s="28">
        <f t="shared" si="10"/>
        <v>0</v>
      </c>
      <c r="AG10" s="28">
        <f t="shared" si="11"/>
        <v>0</v>
      </c>
      <c r="AH10" s="32">
        <f t="shared" si="12"/>
        <v>0</v>
      </c>
      <c r="AI10" s="32">
        <f t="shared" si="26"/>
        <v>9999999</v>
      </c>
      <c r="AJ10" s="32">
        <f t="shared" si="13"/>
        <v>0</v>
      </c>
      <c r="AK10" s="32">
        <f t="shared" si="14"/>
        <v>0</v>
      </c>
      <c r="AM10" s="28">
        <f t="shared" si="15"/>
        <v>0</v>
      </c>
      <c r="AN10" s="28">
        <f t="shared" si="16"/>
        <v>0</v>
      </c>
      <c r="AO10" s="28">
        <f t="shared" si="17"/>
        <v>0</v>
      </c>
      <c r="AP10" s="28">
        <f t="shared" si="18"/>
        <v>0</v>
      </c>
      <c r="AQ10" s="44">
        <f t="shared" si="27"/>
        <v>0</v>
      </c>
      <c r="AR10" s="28">
        <f t="shared" si="28"/>
        <v>0</v>
      </c>
      <c r="BA10" s="28">
        <f t="shared" si="29"/>
        <v>2001</v>
      </c>
      <c r="BB10" s="28" t="e">
        <f t="shared" si="19"/>
        <v>#N/A</v>
      </c>
      <c r="BD10" s="31"/>
      <c r="BE10" s="31"/>
      <c r="BF10" s="31"/>
      <c r="BG10" s="31"/>
      <c r="BH10" s="31"/>
      <c r="BI10" s="31"/>
      <c r="BJ10" s="31"/>
      <c r="BK10" s="31"/>
      <c r="BL10" s="31"/>
      <c r="BM10" s="31"/>
      <c r="BN10" s="31"/>
      <c r="CG10" s="31"/>
    </row>
    <row r="11" spans="1:85" ht="12.75" customHeight="1" x14ac:dyDescent="0.2">
      <c r="A11" s="28">
        <f t="shared" si="0"/>
        <v>0</v>
      </c>
      <c r="B11" s="426"/>
      <c r="C11" s="427" t="s">
        <v>363</v>
      </c>
      <c r="D11" s="428"/>
      <c r="E11" s="223"/>
      <c r="F11" s="223"/>
      <c r="G11" s="223"/>
      <c r="H11" s="223"/>
      <c r="I11" s="365"/>
      <c r="J11" s="365"/>
      <c r="K11" s="429"/>
      <c r="L11" s="405">
        <f t="shared" si="1"/>
        <v>0</v>
      </c>
      <c r="M11" s="405">
        <f t="shared" si="20"/>
        <v>0</v>
      </c>
      <c r="N11" s="405">
        <f t="shared" si="21"/>
        <v>0</v>
      </c>
      <c r="O11" s="211"/>
      <c r="P11" s="406" t="str">
        <f t="shared" si="22"/>
        <v/>
      </c>
      <c r="Q11" s="50"/>
      <c r="R11" s="3"/>
      <c r="S11" s="28">
        <f t="shared" si="2"/>
        <v>0</v>
      </c>
      <c r="T11" s="28">
        <f t="shared" si="23"/>
        <v>0</v>
      </c>
      <c r="U11" s="30">
        <f t="shared" si="24"/>
        <v>0</v>
      </c>
      <c r="V11" s="30">
        <f t="shared" si="25"/>
        <v>0</v>
      </c>
      <c r="W11" s="28">
        <f t="shared" si="3"/>
        <v>0</v>
      </c>
      <c r="X11" s="40">
        <f t="shared" si="4"/>
        <v>0</v>
      </c>
      <c r="Y11" s="31">
        <f t="shared" si="5"/>
        <v>0</v>
      </c>
      <c r="AA11" s="32">
        <f t="shared" si="6"/>
        <v>0</v>
      </c>
      <c r="AC11" s="28">
        <f t="shared" si="7"/>
        <v>0</v>
      </c>
      <c r="AD11" s="28">
        <f t="shared" si="8"/>
        <v>0</v>
      </c>
      <c r="AE11" s="28">
        <f t="shared" si="9"/>
        <v>0</v>
      </c>
      <c r="AF11" s="28">
        <f t="shared" si="10"/>
        <v>0</v>
      </c>
      <c r="AG11" s="28">
        <f t="shared" si="11"/>
        <v>0</v>
      </c>
      <c r="AH11" s="32">
        <f t="shared" si="12"/>
        <v>0</v>
      </c>
      <c r="AI11" s="32">
        <f t="shared" si="26"/>
        <v>9999999</v>
      </c>
      <c r="AJ11" s="32">
        <f t="shared" si="13"/>
        <v>0</v>
      </c>
      <c r="AK11" s="32">
        <f t="shared" si="14"/>
        <v>0</v>
      </c>
      <c r="AM11" s="28">
        <f t="shared" si="15"/>
        <v>0</v>
      </c>
      <c r="AN11" s="28">
        <f t="shared" si="16"/>
        <v>0</v>
      </c>
      <c r="AO11" s="28">
        <f t="shared" si="17"/>
        <v>0</v>
      </c>
      <c r="AP11" s="28">
        <f t="shared" si="18"/>
        <v>0</v>
      </c>
      <c r="AQ11" s="44">
        <f t="shared" si="27"/>
        <v>0</v>
      </c>
      <c r="AR11" s="28">
        <f t="shared" si="28"/>
        <v>0</v>
      </c>
      <c r="BA11" s="28">
        <f t="shared" si="29"/>
        <v>2001</v>
      </c>
      <c r="BB11" s="28" t="e">
        <f t="shared" si="19"/>
        <v>#N/A</v>
      </c>
      <c r="BD11" s="31"/>
      <c r="BE11" s="31"/>
      <c r="BF11" s="31"/>
      <c r="BG11" s="31"/>
      <c r="BH11" s="31"/>
      <c r="BI11" s="31"/>
      <c r="BJ11" s="31"/>
      <c r="BK11" s="31"/>
      <c r="BL11" s="31"/>
      <c r="BM11" s="31"/>
      <c r="BN11" s="31"/>
      <c r="CG11" s="31"/>
    </row>
    <row r="12" spans="1:85" ht="12.75" customHeight="1" x14ac:dyDescent="0.2">
      <c r="A12" s="28">
        <f t="shared" si="0"/>
        <v>0</v>
      </c>
      <c r="B12" s="426"/>
      <c r="C12" s="427" t="s">
        <v>363</v>
      </c>
      <c r="D12" s="428"/>
      <c r="E12" s="223"/>
      <c r="F12" s="223"/>
      <c r="G12" s="223"/>
      <c r="H12" s="223"/>
      <c r="I12" s="365"/>
      <c r="J12" s="365"/>
      <c r="K12" s="429"/>
      <c r="L12" s="405">
        <f t="shared" si="1"/>
        <v>0</v>
      </c>
      <c r="M12" s="405">
        <f t="shared" si="20"/>
        <v>0</v>
      </c>
      <c r="N12" s="405">
        <f t="shared" si="21"/>
        <v>0</v>
      </c>
      <c r="O12" s="211"/>
      <c r="P12" s="406" t="str">
        <f t="shared" si="22"/>
        <v/>
      </c>
      <c r="Q12" s="50"/>
      <c r="R12" s="3"/>
      <c r="S12" s="28">
        <f t="shared" si="2"/>
        <v>0</v>
      </c>
      <c r="T12" s="28">
        <f t="shared" si="23"/>
        <v>0</v>
      </c>
      <c r="U12" s="30">
        <f t="shared" si="24"/>
        <v>0</v>
      </c>
      <c r="V12" s="30">
        <f t="shared" si="25"/>
        <v>0</v>
      </c>
      <c r="W12" s="28">
        <f t="shared" si="3"/>
        <v>0</v>
      </c>
      <c r="X12" s="40">
        <f t="shared" si="4"/>
        <v>0</v>
      </c>
      <c r="Y12" s="31">
        <f t="shared" si="5"/>
        <v>0</v>
      </c>
      <c r="AA12" s="32">
        <f t="shared" si="6"/>
        <v>0</v>
      </c>
      <c r="AC12" s="28">
        <f t="shared" si="7"/>
        <v>0</v>
      </c>
      <c r="AD12" s="28">
        <f t="shared" si="8"/>
        <v>0</v>
      </c>
      <c r="AE12" s="28">
        <f t="shared" si="9"/>
        <v>0</v>
      </c>
      <c r="AF12" s="28">
        <f t="shared" si="10"/>
        <v>0</v>
      </c>
      <c r="AG12" s="28">
        <f t="shared" si="11"/>
        <v>0</v>
      </c>
      <c r="AH12" s="32">
        <f t="shared" si="12"/>
        <v>0</v>
      </c>
      <c r="AI12" s="32">
        <f t="shared" si="26"/>
        <v>9999999</v>
      </c>
      <c r="AJ12" s="32">
        <f t="shared" si="13"/>
        <v>0</v>
      </c>
      <c r="AK12" s="32">
        <f t="shared" si="14"/>
        <v>0</v>
      </c>
      <c r="AM12" s="28">
        <f t="shared" si="15"/>
        <v>0</v>
      </c>
      <c r="AN12" s="28">
        <f t="shared" si="16"/>
        <v>0</v>
      </c>
      <c r="AO12" s="28">
        <f t="shared" si="17"/>
        <v>0</v>
      </c>
      <c r="AP12" s="28">
        <f t="shared" si="18"/>
        <v>0</v>
      </c>
      <c r="AQ12" s="44">
        <f t="shared" si="27"/>
        <v>0</v>
      </c>
      <c r="AR12" s="28">
        <f t="shared" si="28"/>
        <v>0</v>
      </c>
      <c r="BA12" s="28">
        <f t="shared" si="29"/>
        <v>2001</v>
      </c>
      <c r="BB12" s="28" t="e">
        <f t="shared" si="19"/>
        <v>#N/A</v>
      </c>
      <c r="BD12" s="31"/>
      <c r="BE12" s="31"/>
      <c r="BF12" s="31"/>
      <c r="BG12" s="31"/>
      <c r="BH12" s="31"/>
      <c r="BI12" s="31"/>
      <c r="BJ12" s="31"/>
      <c r="BK12" s="31"/>
      <c r="BL12" s="31"/>
      <c r="BM12" s="31"/>
      <c r="BN12" s="31"/>
      <c r="CG12" s="31"/>
    </row>
    <row r="13" spans="1:85" ht="12.75" customHeight="1" x14ac:dyDescent="0.2">
      <c r="A13" s="28">
        <f t="shared" si="0"/>
        <v>0</v>
      </c>
      <c r="B13" s="426"/>
      <c r="C13" s="427" t="s">
        <v>363</v>
      </c>
      <c r="D13" s="428"/>
      <c r="E13" s="223"/>
      <c r="F13" s="223"/>
      <c r="G13" s="223"/>
      <c r="H13" s="223"/>
      <c r="I13" s="365"/>
      <c r="J13" s="365"/>
      <c r="K13" s="429"/>
      <c r="L13" s="405">
        <f t="shared" si="1"/>
        <v>0</v>
      </c>
      <c r="M13" s="405">
        <f t="shared" si="20"/>
        <v>0</v>
      </c>
      <c r="N13" s="405">
        <f t="shared" si="21"/>
        <v>0</v>
      </c>
      <c r="O13" s="211"/>
      <c r="P13" s="406" t="str">
        <f t="shared" si="22"/>
        <v/>
      </c>
      <c r="Q13" s="50"/>
      <c r="R13" s="3"/>
      <c r="S13" s="28">
        <f t="shared" si="2"/>
        <v>0</v>
      </c>
      <c r="T13" s="28">
        <f t="shared" si="23"/>
        <v>0</v>
      </c>
      <c r="U13" s="30">
        <f t="shared" si="24"/>
        <v>0</v>
      </c>
      <c r="V13" s="30">
        <f t="shared" si="25"/>
        <v>0</v>
      </c>
      <c r="W13" s="28">
        <f t="shared" si="3"/>
        <v>0</v>
      </c>
      <c r="X13" s="40">
        <f t="shared" si="4"/>
        <v>0</v>
      </c>
      <c r="Y13" s="31">
        <f t="shared" si="5"/>
        <v>0</v>
      </c>
      <c r="AA13" s="32">
        <f t="shared" si="6"/>
        <v>0</v>
      </c>
      <c r="AC13" s="28">
        <f t="shared" si="7"/>
        <v>0</v>
      </c>
      <c r="AD13" s="28">
        <f t="shared" si="8"/>
        <v>0</v>
      </c>
      <c r="AE13" s="28">
        <f t="shared" si="9"/>
        <v>0</v>
      </c>
      <c r="AF13" s="28">
        <f t="shared" si="10"/>
        <v>0</v>
      </c>
      <c r="AG13" s="28">
        <f t="shared" si="11"/>
        <v>0</v>
      </c>
      <c r="AH13" s="32">
        <f t="shared" si="12"/>
        <v>0</v>
      </c>
      <c r="AI13" s="32">
        <f t="shared" si="26"/>
        <v>9999999</v>
      </c>
      <c r="AJ13" s="32">
        <f t="shared" si="13"/>
        <v>0</v>
      </c>
      <c r="AK13" s="32">
        <f t="shared" si="14"/>
        <v>0</v>
      </c>
      <c r="AM13" s="28">
        <f t="shared" si="15"/>
        <v>0</v>
      </c>
      <c r="AN13" s="28">
        <f t="shared" si="16"/>
        <v>0</v>
      </c>
      <c r="AO13" s="28">
        <f t="shared" si="17"/>
        <v>0</v>
      </c>
      <c r="AP13" s="28">
        <f t="shared" si="18"/>
        <v>0</v>
      </c>
      <c r="AQ13" s="44">
        <f t="shared" si="27"/>
        <v>0</v>
      </c>
      <c r="AR13" s="28">
        <f t="shared" si="28"/>
        <v>0</v>
      </c>
      <c r="BA13" s="28">
        <f t="shared" si="29"/>
        <v>2001</v>
      </c>
      <c r="BB13" s="28" t="e">
        <f t="shared" si="19"/>
        <v>#N/A</v>
      </c>
      <c r="BD13" s="31"/>
      <c r="BE13" s="31"/>
      <c r="BF13" s="31"/>
      <c r="BG13" s="31"/>
      <c r="BH13" s="31"/>
      <c r="BI13" s="31"/>
      <c r="BJ13" s="31"/>
      <c r="BK13" s="31"/>
      <c r="BL13" s="31"/>
      <c r="BM13" s="31"/>
      <c r="BN13" s="31"/>
      <c r="CG13" s="31"/>
    </row>
    <row r="14" spans="1:85" ht="12.75" customHeight="1" x14ac:dyDescent="0.2">
      <c r="A14" s="28">
        <f t="shared" si="0"/>
        <v>0</v>
      </c>
      <c r="B14" s="426"/>
      <c r="C14" s="427" t="s">
        <v>363</v>
      </c>
      <c r="D14" s="428"/>
      <c r="E14" s="223"/>
      <c r="F14" s="223"/>
      <c r="G14" s="223"/>
      <c r="H14" s="223"/>
      <c r="I14" s="365"/>
      <c r="J14" s="365"/>
      <c r="K14" s="429"/>
      <c r="L14" s="405">
        <f t="shared" si="1"/>
        <v>0</v>
      </c>
      <c r="M14" s="405">
        <f t="shared" si="20"/>
        <v>0</v>
      </c>
      <c r="N14" s="405">
        <f t="shared" si="21"/>
        <v>0</v>
      </c>
      <c r="O14" s="211"/>
      <c r="P14" s="406" t="str">
        <f t="shared" si="22"/>
        <v/>
      </c>
      <c r="Q14" s="50"/>
      <c r="R14" s="3"/>
      <c r="S14" s="28">
        <f t="shared" si="2"/>
        <v>0</v>
      </c>
      <c r="T14" s="28">
        <f t="shared" si="23"/>
        <v>0</v>
      </c>
      <c r="U14" s="30">
        <f t="shared" si="24"/>
        <v>0</v>
      </c>
      <c r="V14" s="30">
        <f t="shared" si="25"/>
        <v>0</v>
      </c>
      <c r="W14" s="28">
        <f t="shared" si="3"/>
        <v>0</v>
      </c>
      <c r="X14" s="40">
        <f t="shared" si="4"/>
        <v>0</v>
      </c>
      <c r="Y14" s="31">
        <f t="shared" si="5"/>
        <v>0</v>
      </c>
      <c r="AA14" s="32">
        <f t="shared" si="6"/>
        <v>0</v>
      </c>
      <c r="AC14" s="28">
        <f t="shared" si="7"/>
        <v>0</v>
      </c>
      <c r="AD14" s="28">
        <f t="shared" si="8"/>
        <v>0</v>
      </c>
      <c r="AE14" s="28">
        <f t="shared" si="9"/>
        <v>0</v>
      </c>
      <c r="AF14" s="28">
        <f t="shared" si="10"/>
        <v>0</v>
      </c>
      <c r="AG14" s="28">
        <f t="shared" si="11"/>
        <v>0</v>
      </c>
      <c r="AH14" s="32">
        <f t="shared" si="12"/>
        <v>0</v>
      </c>
      <c r="AI14" s="32">
        <f t="shared" si="26"/>
        <v>9999999</v>
      </c>
      <c r="AJ14" s="32">
        <f t="shared" si="13"/>
        <v>0</v>
      </c>
      <c r="AK14" s="32">
        <f t="shared" si="14"/>
        <v>0</v>
      </c>
      <c r="AM14" s="28">
        <f t="shared" si="15"/>
        <v>0</v>
      </c>
      <c r="AN14" s="28">
        <f t="shared" si="16"/>
        <v>0</v>
      </c>
      <c r="AO14" s="28">
        <f t="shared" si="17"/>
        <v>0</v>
      </c>
      <c r="AP14" s="28">
        <f t="shared" si="18"/>
        <v>0</v>
      </c>
      <c r="AQ14" s="44">
        <f t="shared" si="27"/>
        <v>0</v>
      </c>
      <c r="AR14" s="28">
        <f t="shared" si="28"/>
        <v>0</v>
      </c>
      <c r="BA14" s="28">
        <f t="shared" si="29"/>
        <v>2001</v>
      </c>
      <c r="BB14" s="28" t="e">
        <f t="shared" si="19"/>
        <v>#N/A</v>
      </c>
      <c r="BD14" s="31"/>
      <c r="BE14" s="31"/>
      <c r="BF14" s="31"/>
      <c r="BG14" s="31"/>
      <c r="BH14" s="31"/>
      <c r="BI14" s="31"/>
      <c r="BJ14" s="31"/>
      <c r="BK14" s="31"/>
      <c r="BL14" s="31"/>
      <c r="BM14" s="31"/>
      <c r="BN14" s="31"/>
      <c r="CG14" s="31"/>
    </row>
    <row r="15" spans="1:85" ht="12.75" customHeight="1" x14ac:dyDescent="0.2">
      <c r="A15" s="28">
        <f t="shared" si="0"/>
        <v>0</v>
      </c>
      <c r="B15" s="426"/>
      <c r="C15" s="427" t="s">
        <v>363</v>
      </c>
      <c r="D15" s="428"/>
      <c r="E15" s="223"/>
      <c r="F15" s="223"/>
      <c r="G15" s="223"/>
      <c r="H15" s="223"/>
      <c r="I15" s="365"/>
      <c r="J15" s="365"/>
      <c r="K15" s="429"/>
      <c r="L15" s="405">
        <f t="shared" si="1"/>
        <v>0</v>
      </c>
      <c r="M15" s="405">
        <f t="shared" si="20"/>
        <v>0</v>
      </c>
      <c r="N15" s="405">
        <f t="shared" si="21"/>
        <v>0</v>
      </c>
      <c r="O15" s="211"/>
      <c r="P15" s="406" t="str">
        <f t="shared" si="22"/>
        <v/>
      </c>
      <c r="Q15" s="50"/>
      <c r="R15" s="3"/>
      <c r="S15" s="28">
        <f t="shared" si="2"/>
        <v>0</v>
      </c>
      <c r="T15" s="28">
        <f t="shared" si="23"/>
        <v>0</v>
      </c>
      <c r="U15" s="30">
        <f t="shared" si="24"/>
        <v>0</v>
      </c>
      <c r="V15" s="30">
        <f t="shared" si="25"/>
        <v>0</v>
      </c>
      <c r="W15" s="28">
        <f t="shared" si="3"/>
        <v>0</v>
      </c>
      <c r="X15" s="40">
        <f t="shared" si="4"/>
        <v>0</v>
      </c>
      <c r="Y15" s="31">
        <f t="shared" si="5"/>
        <v>0</v>
      </c>
      <c r="AA15" s="32">
        <f t="shared" si="6"/>
        <v>0</v>
      </c>
      <c r="AC15" s="28">
        <f t="shared" si="7"/>
        <v>0</v>
      </c>
      <c r="AD15" s="28">
        <f t="shared" si="8"/>
        <v>0</v>
      </c>
      <c r="AE15" s="28">
        <f t="shared" si="9"/>
        <v>0</v>
      </c>
      <c r="AF15" s="28">
        <f t="shared" si="10"/>
        <v>0</v>
      </c>
      <c r="AG15" s="28">
        <f t="shared" si="11"/>
        <v>0</v>
      </c>
      <c r="AH15" s="32">
        <f t="shared" si="12"/>
        <v>0</v>
      </c>
      <c r="AI15" s="32">
        <f t="shared" si="26"/>
        <v>9999999</v>
      </c>
      <c r="AJ15" s="32">
        <f t="shared" si="13"/>
        <v>0</v>
      </c>
      <c r="AK15" s="32">
        <f t="shared" si="14"/>
        <v>0</v>
      </c>
      <c r="AM15" s="28">
        <f t="shared" si="15"/>
        <v>0</v>
      </c>
      <c r="AN15" s="28">
        <f t="shared" si="16"/>
        <v>0</v>
      </c>
      <c r="AO15" s="28">
        <f t="shared" si="17"/>
        <v>0</v>
      </c>
      <c r="AP15" s="28">
        <f t="shared" si="18"/>
        <v>0</v>
      </c>
      <c r="AQ15" s="44">
        <f t="shared" si="27"/>
        <v>0</v>
      </c>
      <c r="AR15" s="28">
        <f t="shared" si="28"/>
        <v>0</v>
      </c>
      <c r="BA15" s="28">
        <f t="shared" si="29"/>
        <v>2001</v>
      </c>
      <c r="BB15" s="28" t="e">
        <f t="shared" si="19"/>
        <v>#N/A</v>
      </c>
      <c r="BD15" s="31"/>
      <c r="BE15" s="31"/>
      <c r="BF15" s="31"/>
      <c r="BG15" s="31"/>
      <c r="BH15" s="31"/>
      <c r="BI15" s="31"/>
      <c r="BJ15" s="31"/>
      <c r="BK15" s="31"/>
      <c r="BL15" s="31"/>
      <c r="BM15" s="31"/>
      <c r="BN15" s="31"/>
      <c r="CG15" s="31"/>
    </row>
    <row r="16" spans="1:85" ht="12.75" customHeight="1" x14ac:dyDescent="0.2">
      <c r="A16" s="28">
        <f t="shared" si="0"/>
        <v>0</v>
      </c>
      <c r="B16" s="426"/>
      <c r="C16" s="427" t="s">
        <v>363</v>
      </c>
      <c r="D16" s="428"/>
      <c r="E16" s="223"/>
      <c r="F16" s="223"/>
      <c r="G16" s="223"/>
      <c r="H16" s="223"/>
      <c r="I16" s="365"/>
      <c r="J16" s="365"/>
      <c r="K16" s="429"/>
      <c r="L16" s="405">
        <f t="shared" si="1"/>
        <v>0</v>
      </c>
      <c r="M16" s="405">
        <f t="shared" si="20"/>
        <v>0</v>
      </c>
      <c r="N16" s="405">
        <f t="shared" si="21"/>
        <v>0</v>
      </c>
      <c r="O16" s="211"/>
      <c r="P16" s="406" t="str">
        <f t="shared" si="22"/>
        <v/>
      </c>
      <c r="Q16" s="50"/>
      <c r="R16" s="3"/>
      <c r="S16" s="28">
        <f t="shared" si="2"/>
        <v>0</v>
      </c>
      <c r="T16" s="28">
        <f t="shared" si="23"/>
        <v>0</v>
      </c>
      <c r="U16" s="30">
        <f t="shared" si="24"/>
        <v>0</v>
      </c>
      <c r="V16" s="30">
        <f t="shared" si="25"/>
        <v>0</v>
      </c>
      <c r="W16" s="28">
        <f t="shared" si="3"/>
        <v>0</v>
      </c>
      <c r="X16" s="40">
        <f t="shared" si="4"/>
        <v>0</v>
      </c>
      <c r="Y16" s="31">
        <f t="shared" si="5"/>
        <v>0</v>
      </c>
      <c r="AA16" s="32">
        <f t="shared" si="6"/>
        <v>0</v>
      </c>
      <c r="AC16" s="28">
        <f t="shared" si="7"/>
        <v>0</v>
      </c>
      <c r="AD16" s="28">
        <f t="shared" si="8"/>
        <v>0</v>
      </c>
      <c r="AE16" s="28">
        <f t="shared" si="9"/>
        <v>0</v>
      </c>
      <c r="AF16" s="28">
        <f t="shared" si="10"/>
        <v>0</v>
      </c>
      <c r="AG16" s="28">
        <f t="shared" si="11"/>
        <v>0</v>
      </c>
      <c r="AH16" s="32">
        <f t="shared" si="12"/>
        <v>0</v>
      </c>
      <c r="AI16" s="32">
        <f t="shared" si="26"/>
        <v>9999999</v>
      </c>
      <c r="AJ16" s="32">
        <f t="shared" si="13"/>
        <v>0</v>
      </c>
      <c r="AK16" s="32">
        <f t="shared" si="14"/>
        <v>0</v>
      </c>
      <c r="AM16" s="28">
        <f t="shared" si="15"/>
        <v>0</v>
      </c>
      <c r="AN16" s="28">
        <f t="shared" si="16"/>
        <v>0</v>
      </c>
      <c r="AO16" s="28">
        <f t="shared" si="17"/>
        <v>0</v>
      </c>
      <c r="AP16" s="28">
        <f t="shared" si="18"/>
        <v>0</v>
      </c>
      <c r="AQ16" s="44">
        <f t="shared" si="27"/>
        <v>0</v>
      </c>
      <c r="AR16" s="28">
        <f t="shared" si="28"/>
        <v>0</v>
      </c>
      <c r="BA16" s="28">
        <f t="shared" si="29"/>
        <v>2001</v>
      </c>
      <c r="BB16" s="28" t="e">
        <f t="shared" si="19"/>
        <v>#N/A</v>
      </c>
      <c r="BD16" s="31"/>
      <c r="BE16" s="31"/>
      <c r="BF16" s="31"/>
      <c r="BG16" s="31"/>
      <c r="BH16" s="31"/>
      <c r="BI16" s="31"/>
      <c r="BJ16" s="31"/>
      <c r="BK16" s="31"/>
      <c r="BL16" s="31"/>
      <c r="BM16" s="31"/>
      <c r="BN16" s="31"/>
      <c r="CG16" s="31"/>
    </row>
    <row r="17" spans="1:85" ht="12.75" customHeight="1" x14ac:dyDescent="0.2">
      <c r="A17" s="28">
        <f t="shared" si="0"/>
        <v>0</v>
      </c>
      <c r="B17" s="426"/>
      <c r="C17" s="427" t="s">
        <v>363</v>
      </c>
      <c r="D17" s="428"/>
      <c r="E17" s="223"/>
      <c r="F17" s="223"/>
      <c r="G17" s="223"/>
      <c r="H17" s="223"/>
      <c r="I17" s="365"/>
      <c r="J17" s="365"/>
      <c r="K17" s="429"/>
      <c r="L17" s="405">
        <f t="shared" si="1"/>
        <v>0</v>
      </c>
      <c r="M17" s="405">
        <f t="shared" si="20"/>
        <v>0</v>
      </c>
      <c r="N17" s="405">
        <f t="shared" si="21"/>
        <v>0</v>
      </c>
      <c r="O17" s="211"/>
      <c r="P17" s="406" t="str">
        <f t="shared" si="22"/>
        <v/>
      </c>
      <c r="Q17" s="50"/>
      <c r="R17" s="3"/>
      <c r="S17" s="28">
        <f t="shared" si="2"/>
        <v>0</v>
      </c>
      <c r="T17" s="28">
        <f t="shared" si="23"/>
        <v>0</v>
      </c>
      <c r="U17" s="30">
        <f t="shared" si="24"/>
        <v>0</v>
      </c>
      <c r="V17" s="30">
        <f t="shared" si="25"/>
        <v>0</v>
      </c>
      <c r="W17" s="28">
        <f t="shared" si="3"/>
        <v>0</v>
      </c>
      <c r="X17" s="40">
        <f t="shared" si="4"/>
        <v>0</v>
      </c>
      <c r="Y17" s="31">
        <f t="shared" si="5"/>
        <v>0</v>
      </c>
      <c r="AA17" s="32">
        <f t="shared" si="6"/>
        <v>0</v>
      </c>
      <c r="AC17" s="28">
        <f t="shared" si="7"/>
        <v>0</v>
      </c>
      <c r="AD17" s="28">
        <f t="shared" si="8"/>
        <v>0</v>
      </c>
      <c r="AE17" s="28">
        <f t="shared" si="9"/>
        <v>0</v>
      </c>
      <c r="AF17" s="28">
        <f t="shared" si="10"/>
        <v>0</v>
      </c>
      <c r="AG17" s="28">
        <f t="shared" si="11"/>
        <v>0</v>
      </c>
      <c r="AH17" s="32">
        <f t="shared" si="12"/>
        <v>0</v>
      </c>
      <c r="AI17" s="32">
        <f t="shared" si="26"/>
        <v>9999999</v>
      </c>
      <c r="AJ17" s="32">
        <f t="shared" si="13"/>
        <v>0</v>
      </c>
      <c r="AK17" s="32">
        <f t="shared" si="14"/>
        <v>0</v>
      </c>
      <c r="AM17" s="28">
        <f t="shared" si="15"/>
        <v>0</v>
      </c>
      <c r="AN17" s="28">
        <f t="shared" si="16"/>
        <v>0</v>
      </c>
      <c r="AO17" s="28">
        <f t="shared" si="17"/>
        <v>0</v>
      </c>
      <c r="AP17" s="28">
        <f t="shared" si="18"/>
        <v>0</v>
      </c>
      <c r="AQ17" s="44">
        <f t="shared" si="27"/>
        <v>0</v>
      </c>
      <c r="AR17" s="28">
        <f t="shared" si="28"/>
        <v>0</v>
      </c>
      <c r="BA17" s="28">
        <f t="shared" si="29"/>
        <v>2001</v>
      </c>
      <c r="BB17" s="28" t="e">
        <f t="shared" si="19"/>
        <v>#N/A</v>
      </c>
      <c r="BD17" s="31"/>
      <c r="BE17" s="31"/>
      <c r="BF17" s="31"/>
      <c r="BG17" s="31"/>
      <c r="BH17" s="31"/>
      <c r="BI17" s="31"/>
      <c r="BJ17" s="31"/>
      <c r="BK17" s="31"/>
      <c r="BL17" s="31"/>
      <c r="BM17" s="31"/>
      <c r="BN17" s="31"/>
      <c r="CG17" s="31"/>
    </row>
    <row r="18" spans="1:85" ht="12.75" customHeight="1" x14ac:dyDescent="0.2">
      <c r="A18" s="28">
        <f t="shared" si="0"/>
        <v>0</v>
      </c>
      <c r="B18" s="426"/>
      <c r="C18" s="427" t="s">
        <v>363</v>
      </c>
      <c r="D18" s="428"/>
      <c r="E18" s="223"/>
      <c r="F18" s="223"/>
      <c r="G18" s="223"/>
      <c r="H18" s="223"/>
      <c r="I18" s="365"/>
      <c r="J18" s="365"/>
      <c r="K18" s="429"/>
      <c r="L18" s="405">
        <f t="shared" ref="L18:L32" si="30">IF(ISBLANK(B18),0,IF(T18=0,0,F18-H18))</f>
      </c>
      <c r="M18" s="405">
        <f t="shared" ref="M18:M32" si="31">IF(ISBLANK(B18),0,IF(T18=0,0,IF(W18&lt;0,0,W18)))</f>
      </c>
      <c r="N18" s="405">
        <f t="shared" ref="N18:N32" si="32">IF(ISBLANK(B18),0,IF(T18=0,0,IF(AP18=0,Y18,IF(AP18&lt;&gt;3,0,Y18))))</f>
      </c>
      <c r="O18" s="211"/>
      <c r="P18" s="406" t="str">
        <f>IF(B18="","",IF(C18="",$AA$1,IF(AQ18&lt;&gt;2,$AC$1,IF(AP18=0,"",IF(D18="",$AE$1,IF(E18="",$AB$1,IF(AP18&lt;&gt;3,$AL$1,IF(AR18&gt;0,$Y$1,""))))))))</f>
        <v/>
      </c>
      <c r="Q18" s="50"/>
      <c r="R18" s="3"/>
      <c r="S18" s="28">
        <f t="shared" ref="S18:S32" si="33">IF(P18="",0,1)</f>
      </c>
      <c r="T18" s="28">
        <f t="shared" ref="T18:T32" si="34">IF(ISERROR(X18),4,X18)</f>
      </c>
      <c r="U18" s="30">
        <f t="shared" ref="U18:U32" si="35">IF(ISBLANK(K18),T18,IF(K18=0,0,IF(K18&gt;T18,K18,T18)))</f>
      </c>
      <c r="V18" s="30">
        <f t="shared" ref="V18:V32" si="36">IF(L18=0,0,IF(U18=0,0,ROUND(L18*1/U18,0)))</f>
      </c>
      <c r="W18" s="28">
        <f t="shared" ref="W18:W32" si="37">IF(V18&lt;=AA18,V18,AA18)</f>
      </c>
      <c r="X18" s="40">
        <f t="shared" ref="X18:X32" si="38">IF(ISBLANK($B18),0,VLOOKUP($B18,$B$322:$C$343,2,FALSE))</f>
      </c>
      <c r="Y18" s="31">
        <f t="shared" ref="Y18:Y32" si="39">IF(AA18-V18&lt;=0,0,AA18-V18)</f>
      </c>
      <c r="AA18" s="32">
        <f t="shared" ref="AA18:AA32" si="40">G18-J18</f>
      </c>
      <c r="AC18" s="28">
        <f t="shared" ref="AC18:AC33" si="41">IF(AD18=3,AC17+1,AC17)</f>
      </c>
      <c r="AD18" s="28">
        <f t="shared" ref="AD18:AD32" si="42">SUM(AE18:AG18)</f>
      </c>
      <c r="AE18" s="28">
        <f t="shared" ref="AE18:AE32" si="43">IF(ISBLANK(H18),0,1)</f>
      </c>
      <c r="AF18" s="28">
        <f t="shared" ref="AF18:AF32" si="44">IF(ISBLANK(I18),0,1)</f>
      </c>
      <c r="AG18" s="28">
        <f t="shared" ref="AG18:AG32" si="45">IF(ISBLANK(J18),0,1)</f>
      </c>
      <c r="AH18" s="32">
        <f t="shared" ref="AH18:AH32" si="46">G18-J18</f>
      </c>
      <c r="AI18" s="32">
        <f t="shared" ref="AI18:AI32" si="47">IF(ISBLANK(E18),9999999,E18)</f>
      </c>
      <c r="AJ18" s="32">
        <f t="shared" ref="AJ18:AJ32" si="48">F18</f>
      </c>
      <c r="AK18" s="32">
        <f t="shared" ref="AK18:AK32" si="49">G18</f>
      </c>
      <c r="AM18" s="28">
        <f t="shared" ref="AM18:AM32" si="50">IF(ISBLANK(H18),0,1)</f>
      </c>
      <c r="AN18" s="28">
        <f t="shared" ref="AN18:AN32" si="51">IF(ISBLANK(I18),0,1)</f>
      </c>
      <c r="AO18" s="28">
        <f t="shared" ref="AO18:AO32" si="52">IF(ISBLANK(J18),0,1)</f>
      </c>
      <c r="AP18" s="28">
        <f t="shared" ref="AP18:AP32" si="53">SUM(AM18:AO18)</f>
      </c>
      <c r="AQ18" s="44">
        <f t="shared" ref="AQ18:AQ32" si="54">IF(B18="",0,COUNT(F18:G18))</f>
      </c>
      <c r="AR18" s="28">
        <f t="shared" ref="AR18:AR32" si="55">IF(J18&gt;G18,1,IF(I18&gt;E18,1,IF(H18&gt;F18,1,0)))</f>
      </c>
      <c r="BA18" s="28">
        <f t="shared" ref="BA18:BA32" si="56">IF(ISERROR(BB18),2001,2009)</f>
      </c>
      <c r="BB18" s="28" t="e">
        <f t="shared" ref="BB18:BB32" si="57">VLOOKUP(B18,$B$340:$C$343,2,FALSE)</f>
      </c>
      <c r="BD18" s="31"/>
      <c r="BE18" s="31"/>
      <c r="BF18" s="31"/>
      <c r="BG18" s="31"/>
      <c r="BH18" s="31"/>
      <c r="BI18" s="31"/>
      <c r="BJ18" s="31"/>
      <c r="BK18" s="31"/>
      <c r="BL18" s="31"/>
      <c r="BM18" s="31"/>
      <c r="BN18" s="31"/>
      <c r="CG18" s="31"/>
    </row>
    <row r="19" spans="1:85" ht="12.75" customHeight="1" x14ac:dyDescent="0.2">
      <c r="A19" s="28">
        <f t="shared" si="0"/>
        <v>0</v>
      </c>
      <c r="B19" s="426"/>
      <c r="C19" s="427" t="s">
        <v>363</v>
      </c>
      <c r="D19" s="428"/>
      <c r="E19" s="223"/>
      <c r="F19" s="223"/>
      <c r="G19" s="223"/>
      <c r="H19" s="223"/>
      <c r="I19" s="365"/>
      <c r="J19" s="365"/>
      <c r="K19" s="429"/>
      <c r="L19" s="405">
        <f t="shared" si="30"/>
        <v>0</v>
      </c>
      <c r="M19" s="405">
        <f t="shared" si="31"/>
        <v>0</v>
      </c>
      <c r="N19" s="405">
        <f t="shared" si="32"/>
        <v>0</v>
      </c>
      <c r="O19" s="211"/>
      <c r="P19" s="406" t="str">
        <f t="shared" si="22"/>
        <v/>
      </c>
      <c r="Q19" s="50"/>
      <c r="R19" s="3"/>
      <c r="S19" s="28">
        <f t="shared" si="33"/>
        <v>0</v>
      </c>
      <c r="T19" s="28">
        <f t="shared" si="34"/>
        <v>0</v>
      </c>
      <c r="U19" s="30">
        <f t="shared" si="35"/>
        <v>0</v>
      </c>
      <c r="V19" s="30">
        <f t="shared" si="36"/>
        <v>0</v>
      </c>
      <c r="W19" s="28">
        <f t="shared" si="37"/>
        <v>0</v>
      </c>
      <c r="X19" s="40">
        <f t="shared" si="38"/>
        <v>0</v>
      </c>
      <c r="Y19" s="31">
        <f t="shared" si="39"/>
        <v>0</v>
      </c>
      <c r="AA19" s="32">
        <f t="shared" si="40"/>
        <v>0</v>
      </c>
      <c r="AC19" s="28">
        <f t="shared" si="41"/>
        <v>0</v>
      </c>
      <c r="AD19" s="28">
        <f t="shared" si="42"/>
        <v>0</v>
      </c>
      <c r="AE19" s="28">
        <f t="shared" si="43"/>
        <v>0</v>
      </c>
      <c r="AF19" s="28">
        <f t="shared" si="44"/>
        <v>0</v>
      </c>
      <c r="AG19" s="28">
        <f t="shared" si="45"/>
        <v>0</v>
      </c>
      <c r="AH19" s="32">
        <f t="shared" si="46"/>
        <v>0</v>
      </c>
      <c r="AI19" s="32">
        <f t="shared" si="47"/>
        <v>9999999</v>
      </c>
      <c r="AJ19" s="32">
        <f t="shared" si="48"/>
        <v>0</v>
      </c>
      <c r="AK19" s="32">
        <f t="shared" si="49"/>
        <v>0</v>
      </c>
      <c r="AM19" s="28">
        <f t="shared" si="50"/>
        <v>0</v>
      </c>
      <c r="AN19" s="28">
        <f t="shared" si="51"/>
        <v>0</v>
      </c>
      <c r="AO19" s="28">
        <f t="shared" si="52"/>
        <v>0</v>
      </c>
      <c r="AP19" s="28">
        <f t="shared" si="53"/>
        <v>0</v>
      </c>
      <c r="AQ19" s="44">
        <f t="shared" si="54"/>
        <v>0</v>
      </c>
      <c r="AR19" s="28">
        <f t="shared" si="55"/>
        <v>0</v>
      </c>
      <c r="BA19" s="28">
        <f t="shared" si="56"/>
        <v>2001</v>
      </c>
      <c r="BB19" s="28" t="e">
        <f t="shared" si="57"/>
        <v>#N/A</v>
      </c>
      <c r="BD19" s="31"/>
      <c r="BE19" s="31"/>
      <c r="BF19" s="31"/>
      <c r="BG19" s="31"/>
      <c r="BH19" s="31"/>
      <c r="BI19" s="31"/>
      <c r="BJ19" s="31"/>
      <c r="BK19" s="31"/>
      <c r="BL19" s="31"/>
      <c r="BM19" s="31"/>
      <c r="BN19" s="31"/>
      <c r="CG19" s="31"/>
    </row>
    <row r="20" spans="1:85" ht="12.75" customHeight="1" x14ac:dyDescent="0.2">
      <c r="A20" s="28">
        <f t="shared" si="0"/>
        <v>0</v>
      </c>
      <c r="B20" s="426"/>
      <c r="C20" s="427" t="s">
        <v>363</v>
      </c>
      <c r="D20" s="428"/>
      <c r="E20" s="223"/>
      <c r="F20" s="223"/>
      <c r="G20" s="223"/>
      <c r="H20" s="223"/>
      <c r="I20" s="365"/>
      <c r="J20" s="365"/>
      <c r="K20" s="429"/>
      <c r="L20" s="405">
        <f t="shared" si="30"/>
        <v>0</v>
      </c>
      <c r="M20" s="405">
        <f t="shared" si="31"/>
        <v>0</v>
      </c>
      <c r="N20" s="405">
        <f t="shared" si="32"/>
        <v>0</v>
      </c>
      <c r="O20" s="211"/>
      <c r="P20" s="406" t="str">
        <f t="shared" si="22"/>
        <v/>
      </c>
      <c r="Q20" s="50"/>
      <c r="R20" s="3"/>
      <c r="S20" s="28">
        <f t="shared" si="33"/>
        <v>0</v>
      </c>
      <c r="T20" s="28">
        <f t="shared" si="34"/>
        <v>0</v>
      </c>
      <c r="U20" s="30">
        <f t="shared" si="35"/>
        <v>0</v>
      </c>
      <c r="V20" s="30">
        <f t="shared" si="36"/>
        <v>0</v>
      </c>
      <c r="W20" s="28">
        <f t="shared" si="37"/>
        <v>0</v>
      </c>
      <c r="X20" s="40">
        <f t="shared" si="38"/>
        <v>0</v>
      </c>
      <c r="Y20" s="31">
        <f t="shared" si="39"/>
        <v>0</v>
      </c>
      <c r="AA20" s="32">
        <f t="shared" si="40"/>
        <v>0</v>
      </c>
      <c r="AC20" s="28">
        <f t="shared" si="41"/>
        <v>0</v>
      </c>
      <c r="AD20" s="28">
        <f t="shared" si="42"/>
        <v>0</v>
      </c>
      <c r="AE20" s="28">
        <f t="shared" si="43"/>
        <v>0</v>
      </c>
      <c r="AF20" s="28">
        <f t="shared" si="44"/>
        <v>0</v>
      </c>
      <c r="AG20" s="28">
        <f t="shared" si="45"/>
        <v>0</v>
      </c>
      <c r="AH20" s="32">
        <f t="shared" si="46"/>
        <v>0</v>
      </c>
      <c r="AI20" s="32">
        <f t="shared" si="47"/>
        <v>9999999</v>
      </c>
      <c r="AJ20" s="32">
        <f t="shared" si="48"/>
        <v>0</v>
      </c>
      <c r="AK20" s="32">
        <f t="shared" si="49"/>
        <v>0</v>
      </c>
      <c r="AM20" s="28">
        <f t="shared" si="50"/>
        <v>0</v>
      </c>
      <c r="AN20" s="28">
        <f t="shared" si="51"/>
        <v>0</v>
      </c>
      <c r="AO20" s="28">
        <f t="shared" si="52"/>
        <v>0</v>
      </c>
      <c r="AP20" s="28">
        <f t="shared" si="53"/>
        <v>0</v>
      </c>
      <c r="AQ20" s="44">
        <f t="shared" si="54"/>
        <v>0</v>
      </c>
      <c r="AR20" s="28">
        <f t="shared" si="55"/>
        <v>0</v>
      </c>
      <c r="BA20" s="28">
        <f t="shared" si="56"/>
        <v>2001</v>
      </c>
      <c r="BB20" s="28" t="e">
        <f t="shared" si="57"/>
        <v>#N/A</v>
      </c>
      <c r="BD20" s="31"/>
      <c r="BE20" s="31"/>
      <c r="BF20" s="31"/>
      <c r="BG20" s="31"/>
      <c r="BH20" s="31"/>
      <c r="BI20" s="31"/>
      <c r="BJ20" s="31"/>
      <c r="BK20" s="31"/>
      <c r="BL20" s="31"/>
      <c r="BM20" s="31"/>
      <c r="BN20" s="31"/>
      <c r="CG20" s="31"/>
    </row>
    <row r="21" spans="1:85" ht="12.75" customHeight="1" x14ac:dyDescent="0.2">
      <c r="A21" s="28">
        <f t="shared" si="0"/>
        <v>0</v>
      </c>
      <c r="B21" s="426"/>
      <c r="C21" s="427" t="s">
        <v>363</v>
      </c>
      <c r="D21" s="428"/>
      <c r="E21" s="223"/>
      <c r="F21" s="223"/>
      <c r="G21" s="223"/>
      <c r="H21" s="223"/>
      <c r="I21" s="365"/>
      <c r="J21" s="365"/>
      <c r="K21" s="429"/>
      <c r="L21" s="405">
        <f t="shared" si="30"/>
        <v>0</v>
      </c>
      <c r="M21" s="405">
        <f t="shared" si="31"/>
        <v>0</v>
      </c>
      <c r="N21" s="405">
        <f t="shared" si="32"/>
        <v>0</v>
      </c>
      <c r="O21" s="211"/>
      <c r="P21" s="406" t="str">
        <f t="shared" si="22"/>
        <v/>
      </c>
      <c r="Q21" s="50"/>
      <c r="R21" s="3"/>
      <c r="S21" s="28">
        <f t="shared" si="33"/>
        <v>0</v>
      </c>
      <c r="T21" s="28">
        <f t="shared" si="34"/>
        <v>0</v>
      </c>
      <c r="U21" s="30">
        <f t="shared" si="35"/>
        <v>0</v>
      </c>
      <c r="V21" s="30">
        <f t="shared" si="36"/>
        <v>0</v>
      </c>
      <c r="W21" s="28">
        <f t="shared" si="37"/>
        <v>0</v>
      </c>
      <c r="X21" s="40">
        <f t="shared" si="38"/>
        <v>0</v>
      </c>
      <c r="Y21" s="31">
        <f t="shared" si="39"/>
        <v>0</v>
      </c>
      <c r="AA21" s="32">
        <f t="shared" si="40"/>
        <v>0</v>
      </c>
      <c r="AC21" s="28">
        <f t="shared" si="41"/>
        <v>0</v>
      </c>
      <c r="AD21" s="28">
        <f t="shared" si="42"/>
        <v>0</v>
      </c>
      <c r="AE21" s="28">
        <f t="shared" si="43"/>
        <v>0</v>
      </c>
      <c r="AF21" s="28">
        <f t="shared" si="44"/>
        <v>0</v>
      </c>
      <c r="AG21" s="28">
        <f t="shared" si="45"/>
        <v>0</v>
      </c>
      <c r="AH21" s="32">
        <f t="shared" si="46"/>
        <v>0</v>
      </c>
      <c r="AI21" s="32">
        <f t="shared" si="47"/>
        <v>9999999</v>
      </c>
      <c r="AJ21" s="32">
        <f t="shared" si="48"/>
        <v>0</v>
      </c>
      <c r="AK21" s="32">
        <f t="shared" si="49"/>
        <v>0</v>
      </c>
      <c r="AM21" s="28">
        <f t="shared" si="50"/>
        <v>0</v>
      </c>
      <c r="AN21" s="28">
        <f t="shared" si="51"/>
        <v>0</v>
      </c>
      <c r="AO21" s="28">
        <f t="shared" si="52"/>
        <v>0</v>
      </c>
      <c r="AP21" s="28">
        <f t="shared" si="53"/>
        <v>0</v>
      </c>
      <c r="AQ21" s="44">
        <f t="shared" si="54"/>
        <v>0</v>
      </c>
      <c r="AR21" s="28">
        <f t="shared" si="55"/>
        <v>0</v>
      </c>
      <c r="BA21" s="28">
        <f t="shared" si="56"/>
        <v>2001</v>
      </c>
      <c r="BB21" s="28" t="e">
        <f t="shared" si="57"/>
        <v>#N/A</v>
      </c>
      <c r="BD21" s="31"/>
      <c r="BE21" s="31"/>
      <c r="BF21" s="31"/>
      <c r="BG21" s="31"/>
      <c r="BH21" s="31"/>
      <c r="BI21" s="31"/>
      <c r="BJ21" s="31"/>
      <c r="BK21" s="31"/>
      <c r="BL21" s="31"/>
      <c r="BM21" s="31"/>
      <c r="BN21" s="31"/>
      <c r="CG21" s="31"/>
    </row>
    <row r="22" spans="1:85" ht="12.75" customHeight="1" x14ac:dyDescent="0.2">
      <c r="A22" s="28">
        <f t="shared" si="0"/>
        <v>0</v>
      </c>
      <c r="B22" s="426"/>
      <c r="C22" s="427" t="s">
        <v>363</v>
      </c>
      <c r="D22" s="428"/>
      <c r="E22" s="223"/>
      <c r="F22" s="223"/>
      <c r="G22" s="223"/>
      <c r="H22" s="223"/>
      <c r="I22" s="365"/>
      <c r="J22" s="365"/>
      <c r="K22" s="429"/>
      <c r="L22" s="405">
        <f t="shared" si="30"/>
        <v>0</v>
      </c>
      <c r="M22" s="405">
        <f t="shared" si="31"/>
        <v>0</v>
      </c>
      <c r="N22" s="405">
        <f t="shared" si="32"/>
        <v>0</v>
      </c>
      <c r="O22" s="211"/>
      <c r="P22" s="406" t="str">
        <f t="shared" si="22"/>
        <v/>
      </c>
      <c r="Q22" s="50"/>
      <c r="R22" s="3"/>
      <c r="S22" s="28">
        <f t="shared" si="33"/>
        <v>0</v>
      </c>
      <c r="T22" s="28">
        <f t="shared" si="34"/>
        <v>0</v>
      </c>
      <c r="U22" s="30">
        <f t="shared" si="35"/>
        <v>0</v>
      </c>
      <c r="V22" s="30">
        <f t="shared" si="36"/>
        <v>0</v>
      </c>
      <c r="W22" s="28">
        <f t="shared" si="37"/>
        <v>0</v>
      </c>
      <c r="X22" s="40">
        <f t="shared" si="38"/>
        <v>0</v>
      </c>
      <c r="Y22" s="31">
        <f t="shared" si="39"/>
        <v>0</v>
      </c>
      <c r="AA22" s="32">
        <f t="shared" si="40"/>
        <v>0</v>
      </c>
      <c r="AC22" s="28">
        <f t="shared" si="41"/>
        <v>0</v>
      </c>
      <c r="AD22" s="28">
        <f t="shared" si="42"/>
        <v>0</v>
      </c>
      <c r="AE22" s="28">
        <f t="shared" si="43"/>
        <v>0</v>
      </c>
      <c r="AF22" s="28">
        <f t="shared" si="44"/>
        <v>0</v>
      </c>
      <c r="AG22" s="28">
        <f t="shared" si="45"/>
        <v>0</v>
      </c>
      <c r="AH22" s="32">
        <f t="shared" si="46"/>
        <v>0</v>
      </c>
      <c r="AI22" s="32">
        <f t="shared" si="47"/>
        <v>9999999</v>
      </c>
      <c r="AJ22" s="32">
        <f t="shared" si="48"/>
        <v>0</v>
      </c>
      <c r="AK22" s="32">
        <f t="shared" si="49"/>
        <v>0</v>
      </c>
      <c r="AM22" s="28">
        <f t="shared" si="50"/>
        <v>0</v>
      </c>
      <c r="AN22" s="28">
        <f t="shared" si="51"/>
        <v>0</v>
      </c>
      <c r="AO22" s="28">
        <f t="shared" si="52"/>
        <v>0</v>
      </c>
      <c r="AP22" s="28">
        <f t="shared" si="53"/>
        <v>0</v>
      </c>
      <c r="AQ22" s="44">
        <f t="shared" si="54"/>
        <v>0</v>
      </c>
      <c r="AR22" s="28">
        <f t="shared" si="55"/>
        <v>0</v>
      </c>
      <c r="BA22" s="28">
        <f t="shared" si="56"/>
        <v>2001</v>
      </c>
      <c r="BB22" s="28" t="e">
        <f t="shared" si="57"/>
        <v>#N/A</v>
      </c>
      <c r="BD22" s="31"/>
      <c r="BE22" s="31"/>
      <c r="BF22" s="31"/>
      <c r="BG22" s="31"/>
      <c r="BH22" s="31"/>
      <c r="BI22" s="31"/>
      <c r="BJ22" s="31"/>
      <c r="BK22" s="31"/>
      <c r="BL22" s="31"/>
      <c r="BM22" s="31"/>
      <c r="BN22" s="31"/>
      <c r="CG22" s="31"/>
    </row>
    <row r="23" spans="1:85" ht="12.75" customHeight="1" x14ac:dyDescent="0.2">
      <c r="A23" s="28">
        <f t="shared" si="0"/>
        <v>0</v>
      </c>
      <c r="B23" s="426"/>
      <c r="C23" s="427" t="s">
        <v>363</v>
      </c>
      <c r="D23" s="428"/>
      <c r="E23" s="223"/>
      <c r="F23" s="223"/>
      <c r="G23" s="223"/>
      <c r="H23" s="223"/>
      <c r="I23" s="365"/>
      <c r="J23" s="365"/>
      <c r="K23" s="429"/>
      <c r="L23" s="405">
        <f t="shared" si="30"/>
        <v>0</v>
      </c>
      <c r="M23" s="405">
        <f t="shared" si="31"/>
        <v>0</v>
      </c>
      <c r="N23" s="405">
        <f t="shared" si="32"/>
        <v>0</v>
      </c>
      <c r="O23" s="211"/>
      <c r="P23" s="406" t="str">
        <f t="shared" si="22"/>
        <v/>
      </c>
      <c r="Q23" s="50"/>
      <c r="R23" s="3"/>
      <c r="S23" s="28">
        <f t="shared" si="33"/>
        <v>0</v>
      </c>
      <c r="T23" s="28">
        <f t="shared" si="34"/>
        <v>0</v>
      </c>
      <c r="U23" s="30">
        <f t="shared" si="35"/>
        <v>0</v>
      </c>
      <c r="V23" s="30">
        <f t="shared" si="36"/>
        <v>0</v>
      </c>
      <c r="W23" s="28">
        <f t="shared" si="37"/>
        <v>0</v>
      </c>
      <c r="X23" s="40">
        <f t="shared" si="38"/>
        <v>0</v>
      </c>
      <c r="Y23" s="31">
        <f t="shared" si="39"/>
        <v>0</v>
      </c>
      <c r="AA23" s="32">
        <f t="shared" si="40"/>
        <v>0</v>
      </c>
      <c r="AC23" s="28">
        <f t="shared" si="41"/>
        <v>0</v>
      </c>
      <c r="AD23" s="28">
        <f t="shared" si="42"/>
        <v>0</v>
      </c>
      <c r="AE23" s="28">
        <f t="shared" si="43"/>
        <v>0</v>
      </c>
      <c r="AF23" s="28">
        <f t="shared" si="44"/>
        <v>0</v>
      </c>
      <c r="AG23" s="28">
        <f t="shared" si="45"/>
        <v>0</v>
      </c>
      <c r="AH23" s="32">
        <f t="shared" si="46"/>
        <v>0</v>
      </c>
      <c r="AI23" s="32">
        <f t="shared" si="47"/>
        <v>9999999</v>
      </c>
      <c r="AJ23" s="32">
        <f t="shared" si="48"/>
        <v>0</v>
      </c>
      <c r="AK23" s="32">
        <f t="shared" si="49"/>
        <v>0</v>
      </c>
      <c r="AM23" s="28">
        <f t="shared" si="50"/>
        <v>0</v>
      </c>
      <c r="AN23" s="28">
        <f t="shared" si="51"/>
        <v>0</v>
      </c>
      <c r="AO23" s="28">
        <f t="shared" si="52"/>
        <v>0</v>
      </c>
      <c r="AP23" s="28">
        <f t="shared" si="53"/>
        <v>0</v>
      </c>
      <c r="AQ23" s="44">
        <f t="shared" si="54"/>
        <v>0</v>
      </c>
      <c r="AR23" s="28">
        <f t="shared" si="55"/>
        <v>0</v>
      </c>
      <c r="BA23" s="28">
        <f t="shared" si="56"/>
        <v>2001</v>
      </c>
      <c r="BB23" s="28" t="e">
        <f t="shared" si="57"/>
        <v>#N/A</v>
      </c>
      <c r="BD23" s="31"/>
      <c r="BE23" s="31"/>
      <c r="BF23" s="31"/>
      <c r="BG23" s="31"/>
      <c r="BH23" s="31"/>
      <c r="BI23" s="31"/>
      <c r="BJ23" s="31"/>
      <c r="BK23" s="31"/>
      <c r="BL23" s="31"/>
      <c r="BM23" s="31"/>
      <c r="BN23" s="31"/>
      <c r="CG23" s="31"/>
    </row>
    <row r="24" spans="1:85" ht="12.75" customHeight="1" x14ac:dyDescent="0.2">
      <c r="A24" s="28">
        <f t="shared" si="0"/>
        <v>0</v>
      </c>
      <c r="B24" s="426"/>
      <c r="C24" s="427" t="s">
        <v>363</v>
      </c>
      <c r="D24" s="428"/>
      <c r="E24" s="223"/>
      <c r="F24" s="223"/>
      <c r="G24" s="223"/>
      <c r="H24" s="223"/>
      <c r="I24" s="365"/>
      <c r="J24" s="365"/>
      <c r="K24" s="429"/>
      <c r="L24" s="405">
        <f t="shared" si="30"/>
        <v>0</v>
      </c>
      <c r="M24" s="405">
        <f t="shared" si="31"/>
        <v>0</v>
      </c>
      <c r="N24" s="405">
        <f t="shared" si="32"/>
        <v>0</v>
      </c>
      <c r="O24" s="211"/>
      <c r="P24" s="406" t="str">
        <f t="shared" si="22"/>
        <v/>
      </c>
      <c r="Q24" s="50"/>
      <c r="R24" s="3"/>
      <c r="S24" s="28">
        <f t="shared" si="33"/>
        <v>0</v>
      </c>
      <c r="T24" s="28">
        <f t="shared" si="34"/>
        <v>0</v>
      </c>
      <c r="U24" s="30">
        <f t="shared" si="35"/>
        <v>0</v>
      </c>
      <c r="V24" s="30">
        <f t="shared" si="36"/>
        <v>0</v>
      </c>
      <c r="W24" s="28">
        <f t="shared" si="37"/>
        <v>0</v>
      </c>
      <c r="X24" s="40">
        <f t="shared" si="38"/>
        <v>0</v>
      </c>
      <c r="Y24" s="31">
        <f t="shared" si="39"/>
        <v>0</v>
      </c>
      <c r="AA24" s="32">
        <f t="shared" si="40"/>
        <v>0</v>
      </c>
      <c r="AC24" s="28">
        <f t="shared" si="41"/>
        <v>0</v>
      </c>
      <c r="AD24" s="28">
        <f t="shared" si="42"/>
        <v>0</v>
      </c>
      <c r="AE24" s="28">
        <f t="shared" si="43"/>
        <v>0</v>
      </c>
      <c r="AF24" s="28">
        <f t="shared" si="44"/>
        <v>0</v>
      </c>
      <c r="AG24" s="28">
        <f t="shared" si="45"/>
        <v>0</v>
      </c>
      <c r="AH24" s="32">
        <f t="shared" si="46"/>
        <v>0</v>
      </c>
      <c r="AI24" s="32">
        <f t="shared" si="47"/>
        <v>9999999</v>
      </c>
      <c r="AJ24" s="32">
        <f t="shared" si="48"/>
        <v>0</v>
      </c>
      <c r="AK24" s="32">
        <f t="shared" si="49"/>
        <v>0</v>
      </c>
      <c r="AM24" s="28">
        <f t="shared" si="50"/>
        <v>0</v>
      </c>
      <c r="AN24" s="28">
        <f t="shared" si="51"/>
        <v>0</v>
      </c>
      <c r="AO24" s="28">
        <f t="shared" si="52"/>
        <v>0</v>
      </c>
      <c r="AP24" s="28">
        <f t="shared" si="53"/>
        <v>0</v>
      </c>
      <c r="AQ24" s="44">
        <f t="shared" si="54"/>
        <v>0</v>
      </c>
      <c r="AR24" s="28">
        <f t="shared" si="55"/>
        <v>0</v>
      </c>
      <c r="BA24" s="28">
        <f t="shared" si="56"/>
        <v>2001</v>
      </c>
      <c r="BB24" s="28" t="e">
        <f t="shared" si="57"/>
        <v>#N/A</v>
      </c>
      <c r="BD24" s="31"/>
      <c r="BE24" s="31"/>
      <c r="BF24" s="31"/>
      <c r="BG24" s="31"/>
      <c r="BH24" s="31"/>
      <c r="BI24" s="31"/>
      <c r="BJ24" s="31"/>
      <c r="BK24" s="31"/>
      <c r="BL24" s="31"/>
      <c r="BM24" s="31"/>
      <c r="BN24" s="31"/>
      <c r="CG24" s="31"/>
    </row>
    <row r="25" spans="1:85" ht="12.75" customHeight="1" x14ac:dyDescent="0.2">
      <c r="A25" s="28">
        <f t="shared" si="0"/>
        <v>0</v>
      </c>
      <c r="B25" s="426"/>
      <c r="C25" s="427" t="s">
        <v>363</v>
      </c>
      <c r="D25" s="428"/>
      <c r="E25" s="223"/>
      <c r="F25" s="223"/>
      <c r="G25" s="223"/>
      <c r="H25" s="223"/>
      <c r="I25" s="365"/>
      <c r="J25" s="365"/>
      <c r="K25" s="429"/>
      <c r="L25" s="405">
        <f t="shared" si="30"/>
        <v>0</v>
      </c>
      <c r="M25" s="405">
        <f t="shared" si="31"/>
        <v>0</v>
      </c>
      <c r="N25" s="405">
        <f t="shared" si="32"/>
        <v>0</v>
      </c>
      <c r="O25" s="211"/>
      <c r="P25" s="406" t="str">
        <f t="shared" si="22"/>
        <v/>
      </c>
      <c r="Q25" s="50"/>
      <c r="R25" s="3"/>
      <c r="S25" s="28">
        <f t="shared" si="33"/>
        <v>0</v>
      </c>
      <c r="T25" s="28">
        <f t="shared" si="34"/>
        <v>0</v>
      </c>
      <c r="U25" s="30">
        <f t="shared" si="35"/>
        <v>0</v>
      </c>
      <c r="V25" s="30">
        <f t="shared" si="36"/>
        <v>0</v>
      </c>
      <c r="W25" s="28">
        <f t="shared" si="37"/>
        <v>0</v>
      </c>
      <c r="X25" s="40">
        <f t="shared" si="38"/>
        <v>0</v>
      </c>
      <c r="Y25" s="31">
        <f t="shared" si="39"/>
        <v>0</v>
      </c>
      <c r="AA25" s="32">
        <f t="shared" si="40"/>
        <v>0</v>
      </c>
      <c r="AC25" s="28">
        <f t="shared" si="41"/>
        <v>0</v>
      </c>
      <c r="AD25" s="28">
        <f t="shared" si="42"/>
        <v>0</v>
      </c>
      <c r="AE25" s="28">
        <f t="shared" si="43"/>
        <v>0</v>
      </c>
      <c r="AF25" s="28">
        <f t="shared" si="44"/>
        <v>0</v>
      </c>
      <c r="AG25" s="28">
        <f t="shared" si="45"/>
        <v>0</v>
      </c>
      <c r="AH25" s="32">
        <f t="shared" si="46"/>
        <v>0</v>
      </c>
      <c r="AI25" s="32">
        <f t="shared" si="47"/>
        <v>9999999</v>
      </c>
      <c r="AJ25" s="32">
        <f t="shared" si="48"/>
        <v>0</v>
      </c>
      <c r="AK25" s="32">
        <f t="shared" si="49"/>
        <v>0</v>
      </c>
      <c r="AM25" s="28">
        <f t="shared" si="50"/>
        <v>0</v>
      </c>
      <c r="AN25" s="28">
        <f t="shared" si="51"/>
        <v>0</v>
      </c>
      <c r="AO25" s="28">
        <f t="shared" si="52"/>
        <v>0</v>
      </c>
      <c r="AP25" s="28">
        <f t="shared" si="53"/>
        <v>0</v>
      </c>
      <c r="AQ25" s="44">
        <f t="shared" si="54"/>
        <v>0</v>
      </c>
      <c r="AR25" s="28">
        <f t="shared" si="55"/>
        <v>0</v>
      </c>
      <c r="BA25" s="28">
        <f t="shared" si="56"/>
        <v>2001</v>
      </c>
      <c r="BB25" s="28" t="e">
        <f t="shared" si="57"/>
        <v>#N/A</v>
      </c>
      <c r="BD25" s="31"/>
      <c r="BE25" s="31"/>
      <c r="BF25" s="31"/>
      <c r="BG25" s="31"/>
      <c r="BH25" s="31"/>
      <c r="BI25" s="31"/>
      <c r="BJ25" s="31"/>
      <c r="BK25" s="31"/>
      <c r="BL25" s="31"/>
      <c r="BM25" s="31"/>
      <c r="BN25" s="31"/>
      <c r="CG25" s="31"/>
    </row>
    <row r="26" spans="1:85" ht="12.75" customHeight="1" x14ac:dyDescent="0.2">
      <c r="A26" s="28">
        <f t="shared" si="0"/>
        <v>0</v>
      </c>
      <c r="B26" s="426"/>
      <c r="C26" s="427" t="s">
        <v>363</v>
      </c>
      <c r="D26" s="428"/>
      <c r="E26" s="223"/>
      <c r="F26" s="223"/>
      <c r="G26" s="223"/>
      <c r="H26" s="223"/>
      <c r="I26" s="365"/>
      <c r="J26" s="365"/>
      <c r="K26" s="429"/>
      <c r="L26" s="405">
        <f t="shared" si="30"/>
        <v>0</v>
      </c>
      <c r="M26" s="405">
        <f t="shared" si="31"/>
        <v>0</v>
      </c>
      <c r="N26" s="405">
        <f t="shared" si="32"/>
        <v>0</v>
      </c>
      <c r="O26" s="211"/>
      <c r="P26" s="406" t="str">
        <f t="shared" si="22"/>
        <v/>
      </c>
      <c r="Q26" s="50"/>
      <c r="R26" s="3"/>
      <c r="S26" s="28">
        <f t="shared" si="33"/>
        <v>0</v>
      </c>
      <c r="T26" s="28">
        <f t="shared" si="34"/>
        <v>0</v>
      </c>
      <c r="U26" s="30">
        <f t="shared" si="35"/>
        <v>0</v>
      </c>
      <c r="V26" s="30">
        <f t="shared" si="36"/>
        <v>0</v>
      </c>
      <c r="W26" s="28">
        <f t="shared" si="37"/>
        <v>0</v>
      </c>
      <c r="X26" s="40">
        <f t="shared" si="38"/>
        <v>0</v>
      </c>
      <c r="Y26" s="31">
        <f t="shared" si="39"/>
        <v>0</v>
      </c>
      <c r="AA26" s="32">
        <f t="shared" si="40"/>
        <v>0</v>
      </c>
      <c r="AC26" s="28">
        <f t="shared" si="41"/>
        <v>0</v>
      </c>
      <c r="AD26" s="28">
        <f t="shared" si="42"/>
        <v>0</v>
      </c>
      <c r="AE26" s="28">
        <f t="shared" si="43"/>
        <v>0</v>
      </c>
      <c r="AF26" s="28">
        <f t="shared" si="44"/>
        <v>0</v>
      </c>
      <c r="AG26" s="28">
        <f t="shared" si="45"/>
        <v>0</v>
      </c>
      <c r="AH26" s="32">
        <f t="shared" si="46"/>
        <v>0</v>
      </c>
      <c r="AI26" s="32">
        <f t="shared" si="47"/>
        <v>9999999</v>
      </c>
      <c r="AJ26" s="32">
        <f t="shared" si="48"/>
        <v>0</v>
      </c>
      <c r="AK26" s="32">
        <f t="shared" si="49"/>
        <v>0</v>
      </c>
      <c r="AM26" s="28">
        <f t="shared" si="50"/>
        <v>0</v>
      </c>
      <c r="AN26" s="28">
        <f t="shared" si="51"/>
        <v>0</v>
      </c>
      <c r="AO26" s="28">
        <f t="shared" si="52"/>
        <v>0</v>
      </c>
      <c r="AP26" s="28">
        <f t="shared" si="53"/>
        <v>0</v>
      </c>
      <c r="AQ26" s="44">
        <f t="shared" si="54"/>
        <v>0</v>
      </c>
      <c r="AR26" s="28">
        <f t="shared" si="55"/>
        <v>0</v>
      </c>
      <c r="BA26" s="28">
        <f t="shared" si="56"/>
        <v>2001</v>
      </c>
      <c r="BB26" s="28" t="e">
        <f t="shared" si="57"/>
        <v>#N/A</v>
      </c>
      <c r="BD26" s="31"/>
      <c r="BE26" s="31"/>
      <c r="BF26" s="31"/>
      <c r="BG26" s="31"/>
      <c r="BH26" s="31"/>
      <c r="BI26" s="31"/>
      <c r="BJ26" s="31"/>
      <c r="BK26" s="31"/>
      <c r="BL26" s="31"/>
      <c r="BM26" s="31"/>
      <c r="BN26" s="31"/>
      <c r="CG26" s="31"/>
    </row>
    <row r="27" spans="1:85" ht="12.75" customHeight="1" x14ac:dyDescent="0.2">
      <c r="A27" s="28">
        <f t="shared" si="0"/>
        <v>0</v>
      </c>
      <c r="B27" s="426"/>
      <c r="C27" s="427" t="s">
        <v>363</v>
      </c>
      <c r="D27" s="428"/>
      <c r="E27" s="223"/>
      <c r="F27" s="223"/>
      <c r="G27" s="223"/>
      <c r="H27" s="223"/>
      <c r="I27" s="365"/>
      <c r="J27" s="365"/>
      <c r="K27" s="429"/>
      <c r="L27" s="405">
        <f t="shared" si="30"/>
        <v>0</v>
      </c>
      <c r="M27" s="405">
        <f t="shared" si="31"/>
        <v>0</v>
      </c>
      <c r="N27" s="405">
        <f t="shared" si="32"/>
        <v>0</v>
      </c>
      <c r="O27" s="211"/>
      <c r="P27" s="406" t="str">
        <f t="shared" si="22"/>
        <v/>
      </c>
      <c r="Q27" s="50"/>
      <c r="R27" s="3"/>
      <c r="S27" s="28">
        <f t="shared" si="33"/>
        <v>0</v>
      </c>
      <c r="T27" s="28">
        <f t="shared" si="34"/>
        <v>0</v>
      </c>
      <c r="U27" s="30">
        <f t="shared" si="35"/>
        <v>0</v>
      </c>
      <c r="V27" s="30">
        <f t="shared" si="36"/>
        <v>0</v>
      </c>
      <c r="W27" s="28">
        <f t="shared" si="37"/>
        <v>0</v>
      </c>
      <c r="X27" s="40">
        <f t="shared" si="38"/>
        <v>0</v>
      </c>
      <c r="Y27" s="31">
        <f t="shared" si="39"/>
        <v>0</v>
      </c>
      <c r="AA27" s="32">
        <f t="shared" si="40"/>
        <v>0</v>
      </c>
      <c r="AC27" s="28">
        <f t="shared" si="41"/>
        <v>0</v>
      </c>
      <c r="AD27" s="28">
        <f t="shared" si="42"/>
        <v>0</v>
      </c>
      <c r="AE27" s="28">
        <f t="shared" si="43"/>
        <v>0</v>
      </c>
      <c r="AF27" s="28">
        <f t="shared" si="44"/>
        <v>0</v>
      </c>
      <c r="AG27" s="28">
        <f t="shared" si="45"/>
        <v>0</v>
      </c>
      <c r="AH27" s="32">
        <f t="shared" si="46"/>
        <v>0</v>
      </c>
      <c r="AI27" s="32">
        <f t="shared" si="47"/>
        <v>9999999</v>
      </c>
      <c r="AJ27" s="32">
        <f t="shared" si="48"/>
        <v>0</v>
      </c>
      <c r="AK27" s="32">
        <f t="shared" si="49"/>
        <v>0</v>
      </c>
      <c r="AM27" s="28">
        <f t="shared" si="50"/>
        <v>0</v>
      </c>
      <c r="AN27" s="28">
        <f t="shared" si="51"/>
        <v>0</v>
      </c>
      <c r="AO27" s="28">
        <f t="shared" si="52"/>
        <v>0</v>
      </c>
      <c r="AP27" s="28">
        <f t="shared" si="53"/>
        <v>0</v>
      </c>
      <c r="AQ27" s="44">
        <f t="shared" si="54"/>
        <v>0</v>
      </c>
      <c r="AR27" s="28">
        <f t="shared" si="55"/>
        <v>0</v>
      </c>
      <c r="BA27" s="28">
        <f t="shared" si="56"/>
        <v>2001</v>
      </c>
      <c r="BB27" s="28" t="e">
        <f t="shared" si="57"/>
        <v>#N/A</v>
      </c>
      <c r="BD27" s="31"/>
      <c r="BE27" s="31"/>
      <c r="BF27" s="31"/>
      <c r="BG27" s="31"/>
      <c r="BH27" s="31"/>
      <c r="BI27" s="31"/>
      <c r="BJ27" s="31"/>
      <c r="BK27" s="31"/>
      <c r="BL27" s="31"/>
      <c r="BM27" s="31"/>
      <c r="BN27" s="31"/>
      <c r="CG27" s="31"/>
    </row>
    <row r="28" spans="1:85" ht="12.75" customHeight="1" x14ac:dyDescent="0.2">
      <c r="A28" s="28">
        <f t="shared" si="0"/>
        <v>0</v>
      </c>
      <c r="B28" s="426"/>
      <c r="C28" s="427" t="s">
        <v>363</v>
      </c>
      <c r="D28" s="428"/>
      <c r="E28" s="223"/>
      <c r="F28" s="223"/>
      <c r="G28" s="223"/>
      <c r="H28" s="223"/>
      <c r="I28" s="365"/>
      <c r="J28" s="365"/>
      <c r="K28" s="429"/>
      <c r="L28" s="405">
        <f t="shared" si="30"/>
        <v>0</v>
      </c>
      <c r="M28" s="405">
        <f t="shared" si="31"/>
        <v>0</v>
      </c>
      <c r="N28" s="405">
        <f t="shared" si="32"/>
        <v>0</v>
      </c>
      <c r="O28" s="211"/>
      <c r="P28" s="406" t="str">
        <f t="shared" si="22"/>
        <v/>
      </c>
      <c r="Q28" s="50"/>
      <c r="R28" s="3"/>
      <c r="S28" s="28">
        <f t="shared" si="33"/>
        <v>0</v>
      </c>
      <c r="T28" s="28">
        <f t="shared" si="34"/>
        <v>0</v>
      </c>
      <c r="U28" s="30">
        <f t="shared" si="35"/>
        <v>0</v>
      </c>
      <c r="V28" s="30">
        <f t="shared" si="36"/>
        <v>0</v>
      </c>
      <c r="W28" s="28">
        <f t="shared" si="37"/>
        <v>0</v>
      </c>
      <c r="X28" s="40">
        <f t="shared" si="38"/>
        <v>0</v>
      </c>
      <c r="Y28" s="31">
        <f t="shared" si="39"/>
        <v>0</v>
      </c>
      <c r="AA28" s="32">
        <f t="shared" si="40"/>
        <v>0</v>
      </c>
      <c r="AC28" s="28">
        <f t="shared" si="41"/>
        <v>0</v>
      </c>
      <c r="AD28" s="28">
        <f t="shared" si="42"/>
        <v>0</v>
      </c>
      <c r="AE28" s="28">
        <f t="shared" si="43"/>
        <v>0</v>
      </c>
      <c r="AF28" s="28">
        <f t="shared" si="44"/>
        <v>0</v>
      </c>
      <c r="AG28" s="28">
        <f t="shared" si="45"/>
        <v>0</v>
      </c>
      <c r="AH28" s="32">
        <f t="shared" si="46"/>
        <v>0</v>
      </c>
      <c r="AI28" s="32">
        <f t="shared" si="47"/>
        <v>9999999</v>
      </c>
      <c r="AJ28" s="32">
        <f t="shared" si="48"/>
        <v>0</v>
      </c>
      <c r="AK28" s="32">
        <f t="shared" si="49"/>
        <v>0</v>
      </c>
      <c r="AM28" s="28">
        <f t="shared" si="50"/>
        <v>0</v>
      </c>
      <c r="AN28" s="28">
        <f t="shared" si="51"/>
        <v>0</v>
      </c>
      <c r="AO28" s="28">
        <f t="shared" si="52"/>
        <v>0</v>
      </c>
      <c r="AP28" s="28">
        <f t="shared" si="53"/>
        <v>0</v>
      </c>
      <c r="AQ28" s="44">
        <f t="shared" si="54"/>
        <v>0</v>
      </c>
      <c r="AR28" s="28">
        <f t="shared" si="55"/>
        <v>0</v>
      </c>
      <c r="BA28" s="28">
        <f t="shared" si="56"/>
        <v>2001</v>
      </c>
      <c r="BB28" s="28" t="e">
        <f t="shared" si="57"/>
        <v>#N/A</v>
      </c>
      <c r="BD28" s="31"/>
      <c r="BE28" s="31"/>
      <c r="BF28" s="31"/>
      <c r="BG28" s="31"/>
      <c r="BH28" s="31"/>
      <c r="BI28" s="31"/>
      <c r="BJ28" s="31"/>
      <c r="BK28" s="31"/>
      <c r="BL28" s="31"/>
      <c r="BM28" s="31"/>
      <c r="BN28" s="31"/>
      <c r="CG28" s="31"/>
    </row>
    <row r="29" spans="1:85" ht="12.75" customHeight="1" x14ac:dyDescent="0.2">
      <c r="A29" s="28">
        <f t="shared" si="0"/>
        <v>0</v>
      </c>
      <c r="B29" s="426"/>
      <c r="C29" s="427" t="s">
        <v>363</v>
      </c>
      <c r="D29" s="428"/>
      <c r="E29" s="223"/>
      <c r="F29" s="223"/>
      <c r="G29" s="223"/>
      <c r="H29" s="223"/>
      <c r="I29" s="365"/>
      <c r="J29" s="365"/>
      <c r="K29" s="429"/>
      <c r="L29" s="405">
        <f t="shared" si="30"/>
        <v>0</v>
      </c>
      <c r="M29" s="405">
        <f t="shared" si="31"/>
        <v>0</v>
      </c>
      <c r="N29" s="405">
        <f t="shared" si="32"/>
        <v>0</v>
      </c>
      <c r="O29" s="211"/>
      <c r="P29" s="406" t="str">
        <f t="shared" si="22"/>
        <v/>
      </c>
      <c r="Q29" s="50"/>
      <c r="R29" s="3"/>
      <c r="S29" s="28">
        <f t="shared" si="33"/>
        <v>0</v>
      </c>
      <c r="T29" s="28">
        <f t="shared" si="34"/>
        <v>0</v>
      </c>
      <c r="U29" s="30">
        <f t="shared" si="35"/>
        <v>0</v>
      </c>
      <c r="V29" s="30">
        <f t="shared" si="36"/>
        <v>0</v>
      </c>
      <c r="W29" s="28">
        <f t="shared" si="37"/>
        <v>0</v>
      </c>
      <c r="X29" s="40">
        <f t="shared" si="38"/>
        <v>0</v>
      </c>
      <c r="Y29" s="31">
        <f t="shared" si="39"/>
        <v>0</v>
      </c>
      <c r="AA29" s="32">
        <f t="shared" si="40"/>
        <v>0</v>
      </c>
      <c r="AC29" s="28">
        <f t="shared" si="41"/>
        <v>0</v>
      </c>
      <c r="AD29" s="28">
        <f t="shared" si="42"/>
        <v>0</v>
      </c>
      <c r="AE29" s="28">
        <f t="shared" si="43"/>
        <v>0</v>
      </c>
      <c r="AF29" s="28">
        <f t="shared" si="44"/>
        <v>0</v>
      </c>
      <c r="AG29" s="28">
        <f t="shared" si="45"/>
        <v>0</v>
      </c>
      <c r="AH29" s="32">
        <f t="shared" si="46"/>
        <v>0</v>
      </c>
      <c r="AI29" s="32">
        <f t="shared" si="47"/>
        <v>9999999</v>
      </c>
      <c r="AJ29" s="32">
        <f t="shared" si="48"/>
        <v>0</v>
      </c>
      <c r="AK29" s="32">
        <f t="shared" si="49"/>
        <v>0</v>
      </c>
      <c r="AM29" s="28">
        <f t="shared" si="50"/>
        <v>0</v>
      </c>
      <c r="AN29" s="28">
        <f t="shared" si="51"/>
        <v>0</v>
      </c>
      <c r="AO29" s="28">
        <f t="shared" si="52"/>
        <v>0</v>
      </c>
      <c r="AP29" s="28">
        <f t="shared" si="53"/>
        <v>0</v>
      </c>
      <c r="AQ29" s="44">
        <f t="shared" si="54"/>
        <v>0</v>
      </c>
      <c r="AR29" s="28">
        <f t="shared" si="55"/>
        <v>0</v>
      </c>
      <c r="BA29" s="28">
        <f t="shared" si="56"/>
        <v>2001</v>
      </c>
      <c r="BB29" s="28" t="e">
        <f t="shared" si="57"/>
        <v>#N/A</v>
      </c>
      <c r="BD29" s="31"/>
      <c r="BE29" s="31"/>
      <c r="BF29" s="31"/>
      <c r="BG29" s="31"/>
      <c r="BH29" s="31"/>
      <c r="BI29" s="31"/>
      <c r="BJ29" s="31"/>
      <c r="BK29" s="31"/>
      <c r="BL29" s="31"/>
      <c r="BM29" s="31"/>
      <c r="BN29" s="31"/>
      <c r="CG29" s="31"/>
    </row>
    <row r="30" spans="1:85" ht="12.75" customHeight="1" x14ac:dyDescent="0.2">
      <c r="A30" s="28">
        <f t="shared" si="0"/>
        <v>0</v>
      </c>
      <c r="B30" s="426"/>
      <c r="C30" s="427" t="s">
        <v>363</v>
      </c>
      <c r="D30" s="428"/>
      <c r="E30" s="223"/>
      <c r="F30" s="223"/>
      <c r="G30" s="223"/>
      <c r="H30" s="223"/>
      <c r="I30" s="365"/>
      <c r="J30" s="365"/>
      <c r="K30" s="429"/>
      <c r="L30" s="405">
        <f t="shared" si="30"/>
        <v>0</v>
      </c>
      <c r="M30" s="405">
        <f t="shared" si="31"/>
        <v>0</v>
      </c>
      <c r="N30" s="405">
        <f t="shared" si="32"/>
        <v>0</v>
      </c>
      <c r="O30" s="211"/>
      <c r="P30" s="406" t="str">
        <f t="shared" si="22"/>
        <v/>
      </c>
      <c r="Q30" s="50"/>
      <c r="R30" s="3"/>
      <c r="S30" s="28">
        <f t="shared" si="33"/>
        <v>0</v>
      </c>
      <c r="T30" s="28">
        <f t="shared" si="34"/>
        <v>0</v>
      </c>
      <c r="U30" s="30">
        <f t="shared" si="35"/>
        <v>0</v>
      </c>
      <c r="V30" s="30">
        <f t="shared" si="36"/>
        <v>0</v>
      </c>
      <c r="W30" s="28">
        <f t="shared" si="37"/>
        <v>0</v>
      </c>
      <c r="X30" s="40">
        <f t="shared" si="38"/>
        <v>0</v>
      </c>
      <c r="Y30" s="31">
        <f t="shared" si="39"/>
        <v>0</v>
      </c>
      <c r="AA30" s="32">
        <f t="shared" si="40"/>
        <v>0</v>
      </c>
      <c r="AC30" s="28">
        <f t="shared" si="41"/>
        <v>0</v>
      </c>
      <c r="AD30" s="28">
        <f t="shared" si="42"/>
        <v>0</v>
      </c>
      <c r="AE30" s="28">
        <f t="shared" si="43"/>
        <v>0</v>
      </c>
      <c r="AF30" s="28">
        <f t="shared" si="44"/>
        <v>0</v>
      </c>
      <c r="AG30" s="28">
        <f t="shared" si="45"/>
        <v>0</v>
      </c>
      <c r="AH30" s="32">
        <f t="shared" si="46"/>
        <v>0</v>
      </c>
      <c r="AI30" s="32">
        <f t="shared" si="47"/>
        <v>9999999</v>
      </c>
      <c r="AJ30" s="32">
        <f t="shared" si="48"/>
        <v>0</v>
      </c>
      <c r="AK30" s="32">
        <f t="shared" si="49"/>
        <v>0</v>
      </c>
      <c r="AM30" s="28">
        <f t="shared" si="50"/>
        <v>0</v>
      </c>
      <c r="AN30" s="28">
        <f t="shared" si="51"/>
        <v>0</v>
      </c>
      <c r="AO30" s="28">
        <f t="shared" si="52"/>
        <v>0</v>
      </c>
      <c r="AP30" s="28">
        <f t="shared" si="53"/>
        <v>0</v>
      </c>
      <c r="AQ30" s="44">
        <f t="shared" si="54"/>
        <v>0</v>
      </c>
      <c r="AR30" s="28">
        <f t="shared" si="55"/>
        <v>0</v>
      </c>
      <c r="BA30" s="28">
        <f t="shared" si="56"/>
        <v>2001</v>
      </c>
      <c r="BB30" s="28" t="e">
        <f t="shared" si="57"/>
        <v>#N/A</v>
      </c>
      <c r="BD30" s="31"/>
      <c r="BE30" s="31"/>
      <c r="BF30" s="31"/>
      <c r="BG30" s="31"/>
      <c r="BH30" s="31"/>
      <c r="BI30" s="31"/>
      <c r="BJ30" s="31"/>
      <c r="BK30" s="31"/>
      <c r="BL30" s="31"/>
      <c r="BM30" s="31"/>
      <c r="BN30" s="31"/>
      <c r="CG30" s="31"/>
    </row>
    <row r="31" spans="1:85" ht="12.75" customHeight="1" x14ac:dyDescent="0.2">
      <c r="A31" s="28">
        <f t="shared" si="0"/>
        <v>0</v>
      </c>
      <c r="B31" s="426"/>
      <c r="C31" s="427" t="s">
        <v>363</v>
      </c>
      <c r="D31" s="428"/>
      <c r="E31" s="223"/>
      <c r="F31" s="223"/>
      <c r="G31" s="223"/>
      <c r="H31" s="223"/>
      <c r="I31" s="365"/>
      <c r="J31" s="365"/>
      <c r="K31" s="429"/>
      <c r="L31" s="405">
        <f t="shared" si="30"/>
        <v>0</v>
      </c>
      <c r="M31" s="405">
        <f t="shared" si="31"/>
        <v>0</v>
      </c>
      <c r="N31" s="405">
        <f t="shared" si="32"/>
        <v>0</v>
      </c>
      <c r="O31" s="211"/>
      <c r="P31" s="406" t="str">
        <f t="shared" si="22"/>
        <v/>
      </c>
      <c r="Q31" s="50"/>
      <c r="R31" s="3"/>
      <c r="S31" s="28">
        <f t="shared" si="33"/>
        <v>0</v>
      </c>
      <c r="T31" s="28">
        <f t="shared" si="34"/>
        <v>0</v>
      </c>
      <c r="U31" s="30">
        <f t="shared" si="35"/>
        <v>0</v>
      </c>
      <c r="V31" s="30">
        <f t="shared" si="36"/>
        <v>0</v>
      </c>
      <c r="W31" s="28">
        <f t="shared" si="37"/>
        <v>0</v>
      </c>
      <c r="X31" s="40">
        <f t="shared" si="38"/>
        <v>0</v>
      </c>
      <c r="Y31" s="31">
        <f t="shared" si="39"/>
        <v>0</v>
      </c>
      <c r="AA31" s="32">
        <f t="shared" si="40"/>
        <v>0</v>
      </c>
      <c r="AC31" s="28">
        <f t="shared" si="41"/>
        <v>0</v>
      </c>
      <c r="AD31" s="28">
        <f t="shared" si="42"/>
        <v>0</v>
      </c>
      <c r="AE31" s="28">
        <f t="shared" si="43"/>
        <v>0</v>
      </c>
      <c r="AF31" s="28">
        <f t="shared" si="44"/>
        <v>0</v>
      </c>
      <c r="AG31" s="28">
        <f t="shared" si="45"/>
        <v>0</v>
      </c>
      <c r="AH31" s="32">
        <f t="shared" si="46"/>
        <v>0</v>
      </c>
      <c r="AI31" s="32">
        <f t="shared" si="47"/>
        <v>9999999</v>
      </c>
      <c r="AJ31" s="32">
        <f t="shared" si="48"/>
        <v>0</v>
      </c>
      <c r="AK31" s="32">
        <f t="shared" si="49"/>
        <v>0</v>
      </c>
      <c r="AM31" s="28">
        <f t="shared" si="50"/>
        <v>0</v>
      </c>
      <c r="AN31" s="28">
        <f t="shared" si="51"/>
        <v>0</v>
      </c>
      <c r="AO31" s="28">
        <f t="shared" si="52"/>
        <v>0</v>
      </c>
      <c r="AP31" s="28">
        <f t="shared" si="53"/>
        <v>0</v>
      </c>
      <c r="AQ31" s="44">
        <f t="shared" si="54"/>
        <v>0</v>
      </c>
      <c r="AR31" s="28">
        <f t="shared" si="55"/>
        <v>0</v>
      </c>
      <c r="BA31" s="28">
        <f t="shared" si="56"/>
        <v>2001</v>
      </c>
      <c r="BB31" s="28" t="e">
        <f t="shared" si="57"/>
        <v>#N/A</v>
      </c>
      <c r="BD31" s="31"/>
      <c r="BE31" s="31"/>
      <c r="BF31" s="31"/>
      <c r="BG31" s="31"/>
      <c r="BH31" s="31"/>
      <c r="BI31" s="31"/>
      <c r="BJ31" s="31"/>
      <c r="BK31" s="31"/>
      <c r="BL31" s="31"/>
      <c r="BM31" s="31"/>
      <c r="BN31" s="31"/>
      <c r="CG31" s="31"/>
    </row>
    <row r="32" spans="1:85" ht="12.75" customHeight="1" x14ac:dyDescent="0.2">
      <c r="A32" s="28">
        <f t="shared" si="0"/>
        <v>0</v>
      </c>
      <c r="B32" s="426"/>
      <c r="C32" s="427" t="s">
        <v>363</v>
      </c>
      <c r="D32" s="428"/>
      <c r="E32" s="223"/>
      <c r="F32" s="223"/>
      <c r="G32" s="223"/>
      <c r="H32" s="223"/>
      <c r="I32" s="365"/>
      <c r="J32" s="365"/>
      <c r="K32" s="429"/>
      <c r="L32" s="405">
        <f t="shared" si="30"/>
        <v>0</v>
      </c>
      <c r="M32" s="405">
        <f t="shared" si="31"/>
        <v>0</v>
      </c>
      <c r="N32" s="405">
        <f t="shared" si="32"/>
        <v>0</v>
      </c>
      <c r="O32" s="211"/>
      <c r="P32" s="406" t="str">
        <f t="shared" si="22"/>
        <v/>
      </c>
      <c r="Q32" s="50"/>
      <c r="R32" s="3"/>
      <c r="S32" s="28">
        <f t="shared" si="33"/>
        <v>0</v>
      </c>
      <c r="T32" s="28">
        <f t="shared" si="34"/>
        <v>0</v>
      </c>
      <c r="U32" s="30">
        <f t="shared" si="35"/>
        <v>0</v>
      </c>
      <c r="V32" s="30">
        <f t="shared" si="36"/>
        <v>0</v>
      </c>
      <c r="W32" s="28">
        <f t="shared" si="37"/>
        <v>0</v>
      </c>
      <c r="X32" s="40">
        <f t="shared" si="38"/>
        <v>0</v>
      </c>
      <c r="Y32" s="31">
        <f t="shared" si="39"/>
        <v>0</v>
      </c>
      <c r="AA32" s="32">
        <f t="shared" si="40"/>
        <v>0</v>
      </c>
      <c r="AC32" s="28">
        <f t="shared" si="41"/>
        <v>0</v>
      </c>
      <c r="AD32" s="28">
        <f t="shared" si="42"/>
        <v>0</v>
      </c>
      <c r="AE32" s="28">
        <f t="shared" si="43"/>
        <v>0</v>
      </c>
      <c r="AF32" s="28">
        <f t="shared" si="44"/>
        <v>0</v>
      </c>
      <c r="AG32" s="28">
        <f t="shared" si="45"/>
        <v>0</v>
      </c>
      <c r="AH32" s="32">
        <f t="shared" si="46"/>
        <v>0</v>
      </c>
      <c r="AI32" s="32">
        <f t="shared" si="47"/>
        <v>9999999</v>
      </c>
      <c r="AJ32" s="32">
        <f t="shared" si="48"/>
        <v>0</v>
      </c>
      <c r="AK32" s="32">
        <f t="shared" si="49"/>
        <v>0</v>
      </c>
      <c r="AM32" s="28">
        <f t="shared" si="50"/>
        <v>0</v>
      </c>
      <c r="AN32" s="28">
        <f t="shared" si="51"/>
        <v>0</v>
      </c>
      <c r="AO32" s="28">
        <f t="shared" si="52"/>
        <v>0</v>
      </c>
      <c r="AP32" s="28">
        <f t="shared" si="53"/>
        <v>0</v>
      </c>
      <c r="AQ32" s="44">
        <f t="shared" si="54"/>
        <v>0</v>
      </c>
      <c r="AR32" s="28">
        <f t="shared" si="55"/>
        <v>0</v>
      </c>
      <c r="BA32" s="28">
        <f t="shared" si="56"/>
        <v>2001</v>
      </c>
      <c r="BB32" s="28" t="e">
        <f t="shared" si="57"/>
        <v>#N/A</v>
      </c>
      <c r="BD32" s="31"/>
      <c r="BE32" s="31"/>
      <c r="BF32" s="31"/>
      <c r="BG32" s="31"/>
      <c r="BH32" s="31"/>
      <c r="BI32" s="31"/>
      <c r="BJ32" s="31"/>
      <c r="BK32" s="31"/>
      <c r="BL32" s="31"/>
      <c r="BM32" s="31"/>
      <c r="BN32" s="31"/>
      <c r="CG32" s="31"/>
    </row>
    <row r="33" spans="1:85" ht="12.75" customHeight="1" x14ac:dyDescent="0.2">
      <c r="A33" s="28">
        <f>IF(AC33=AC17,0,AC33)</f>
      </c>
      <c r="B33" s="426"/>
      <c r="C33" s="427" t="s">
        <v>363</v>
      </c>
      <c r="D33" s="428"/>
      <c r="E33" s="223"/>
      <c r="F33" s="223"/>
      <c r="G33" s="223"/>
      <c r="H33" s="223"/>
      <c r="I33" s="365"/>
      <c r="J33" s="365"/>
      <c r="K33" s="429"/>
      <c r="L33" s="405">
        <f t="shared" si="1"/>
        <v>0</v>
      </c>
      <c r="M33" s="405">
        <f t="shared" si="20"/>
        <v>0</v>
      </c>
      <c r="N33" s="405">
        <f t="shared" si="21"/>
        <v>0</v>
      </c>
      <c r="O33" s="211"/>
      <c r="P33" s="406" t="str">
        <f t="shared" si="22"/>
        <v/>
      </c>
      <c r="Q33" s="50"/>
      <c r="R33" s="3"/>
      <c r="S33" s="28">
        <f t="shared" si="2"/>
        <v>0</v>
      </c>
      <c r="T33" s="28">
        <f t="shared" si="23"/>
        <v>0</v>
      </c>
      <c r="U33" s="30">
        <f t="shared" si="24"/>
        <v>0</v>
      </c>
      <c r="V33" s="30">
        <f t="shared" si="25"/>
        <v>0</v>
      </c>
      <c r="W33" s="28">
        <f t="shared" si="3"/>
        <v>0</v>
      </c>
      <c r="X33" s="40">
        <f t="shared" ref="X33:X38" si="58">IF(ISBLANK($B33),0,VLOOKUP($B33,$B$322:$C$343,2,FALSE))</f>
      </c>
      <c r="Y33" s="31">
        <f t="shared" si="5"/>
        <v>0</v>
      </c>
      <c r="AA33" s="32">
        <f t="shared" si="6"/>
        <v>0</v>
      </c>
      <c r="AC33" s="28">
        <f t="shared" si="41"/>
        <v>0</v>
      </c>
      <c r="AD33" s="28">
        <f t="shared" si="8"/>
        <v>0</v>
      </c>
      <c r="AE33" s="28">
        <f t="shared" si="9"/>
        <v>0</v>
      </c>
      <c r="AF33" s="28">
        <f t="shared" si="10"/>
        <v>0</v>
      </c>
      <c r="AG33" s="28">
        <f t="shared" si="11"/>
        <v>0</v>
      </c>
      <c r="AH33" s="32">
        <f t="shared" si="12"/>
        <v>0</v>
      </c>
      <c r="AI33" s="32">
        <f t="shared" si="26"/>
        <v>9999999</v>
      </c>
      <c r="AJ33" s="32">
        <f t="shared" si="13"/>
        <v>0</v>
      </c>
      <c r="AK33" s="32">
        <f t="shared" si="14"/>
        <v>0</v>
      </c>
      <c r="AM33" s="28">
        <f t="shared" si="15"/>
        <v>0</v>
      </c>
      <c r="AN33" s="28">
        <f t="shared" si="16"/>
        <v>0</v>
      </c>
      <c r="AO33" s="28">
        <f t="shared" si="17"/>
        <v>0</v>
      </c>
      <c r="AP33" s="28">
        <f t="shared" si="18"/>
        <v>0</v>
      </c>
      <c r="AQ33" s="44">
        <f t="shared" si="27"/>
        <v>0</v>
      </c>
      <c r="AR33" s="28">
        <f t="shared" si="28"/>
        <v>0</v>
      </c>
      <c r="BA33" s="28">
        <f t="shared" si="29"/>
        <v>2001</v>
      </c>
      <c r="BB33" s="28" t="e">
        <f t="shared" ref="BB33:BB38" si="59">VLOOKUP(B33,$B$340:$C$343,2,FALSE)</f>
      </c>
      <c r="BD33" s="31"/>
      <c r="BE33" s="31"/>
      <c r="BF33" s="31"/>
      <c r="BG33" s="31"/>
      <c r="BH33" s="31"/>
      <c r="BI33" s="31"/>
      <c r="BJ33" s="31"/>
      <c r="BK33" s="31"/>
      <c r="BL33" s="31"/>
      <c r="BM33" s="31"/>
      <c r="BN33" s="31"/>
      <c r="CG33" s="31"/>
    </row>
    <row r="34" spans="1:85" ht="12.75" customHeight="1" x14ac:dyDescent="0.2">
      <c r="A34" s="28">
        <f t="shared" si="0"/>
        <v>0</v>
      </c>
      <c r="B34" s="426"/>
      <c r="C34" s="427" t="s">
        <v>363</v>
      </c>
      <c r="D34" s="428"/>
      <c r="E34" s="223"/>
      <c r="F34" s="223"/>
      <c r="G34" s="223"/>
      <c r="H34" s="223"/>
      <c r="I34" s="365"/>
      <c r="J34" s="365"/>
      <c r="K34" s="429"/>
      <c r="L34" s="405">
        <f t="shared" si="1"/>
        <v>0</v>
      </c>
      <c r="M34" s="405">
        <f t="shared" si="20"/>
        <v>0</v>
      </c>
      <c r="N34" s="405">
        <f t="shared" si="21"/>
        <v>0</v>
      </c>
      <c r="O34" s="211"/>
      <c r="P34" s="406" t="str">
        <f t="shared" si="22"/>
        <v/>
      </c>
      <c r="Q34" s="50"/>
      <c r="R34" s="3"/>
      <c r="S34" s="28">
        <f t="shared" si="2"/>
        <v>0</v>
      </c>
      <c r="T34" s="28">
        <f t="shared" si="23"/>
        <v>0</v>
      </c>
      <c r="U34" s="30">
        <f t="shared" si="24"/>
        <v>0</v>
      </c>
      <c r="V34" s="30">
        <f t="shared" si="25"/>
        <v>0</v>
      </c>
      <c r="W34" s="28">
        <f t="shared" si="3"/>
        <v>0</v>
      </c>
      <c r="X34" s="40">
        <f t="shared" si="58"/>
        <v>0</v>
      </c>
      <c r="Y34" s="31">
        <f t="shared" si="5"/>
        <v>0</v>
      </c>
      <c r="AA34" s="32">
        <f t="shared" si="6"/>
        <v>0</v>
      </c>
      <c r="AC34" s="28">
        <f t="shared" si="7"/>
        <v>0</v>
      </c>
      <c r="AD34" s="28">
        <f t="shared" si="8"/>
        <v>0</v>
      </c>
      <c r="AE34" s="28">
        <f t="shared" si="9"/>
        <v>0</v>
      </c>
      <c r="AF34" s="28">
        <f t="shared" si="10"/>
        <v>0</v>
      </c>
      <c r="AG34" s="28">
        <f t="shared" si="11"/>
        <v>0</v>
      </c>
      <c r="AH34" s="32">
        <f t="shared" si="12"/>
        <v>0</v>
      </c>
      <c r="AI34" s="32">
        <f t="shared" si="26"/>
        <v>9999999</v>
      </c>
      <c r="AJ34" s="32">
        <f t="shared" si="13"/>
        <v>0</v>
      </c>
      <c r="AK34" s="32">
        <f t="shared" si="14"/>
        <v>0</v>
      </c>
      <c r="AM34" s="28">
        <f t="shared" si="15"/>
        <v>0</v>
      </c>
      <c r="AN34" s="28">
        <f t="shared" si="16"/>
        <v>0</v>
      </c>
      <c r="AO34" s="28">
        <f t="shared" si="17"/>
        <v>0</v>
      </c>
      <c r="AP34" s="28">
        <f t="shared" si="18"/>
        <v>0</v>
      </c>
      <c r="AQ34" s="44">
        <f t="shared" si="27"/>
        <v>0</v>
      </c>
      <c r="AR34" s="28">
        <f t="shared" si="28"/>
        <v>0</v>
      </c>
      <c r="BA34" s="28">
        <f t="shared" si="29"/>
        <v>2001</v>
      </c>
      <c r="BB34" s="28" t="e">
        <f t="shared" si="59"/>
        <v>#N/A</v>
      </c>
      <c r="BD34" s="31"/>
      <c r="BE34" s="31"/>
      <c r="BF34" s="31"/>
      <c r="BG34" s="31"/>
      <c r="BH34" s="31"/>
      <c r="BI34" s="31"/>
      <c r="BJ34" s="31"/>
      <c r="BK34" s="31"/>
      <c r="BL34" s="31"/>
      <c r="BM34" s="31"/>
      <c r="BN34" s="31"/>
      <c r="CG34" s="31"/>
    </row>
    <row r="35" spans="1:85" ht="12.75" customHeight="1" x14ac:dyDescent="0.2">
      <c r="A35" s="28">
        <f t="shared" si="0"/>
        <v>0</v>
      </c>
      <c r="B35" s="426"/>
      <c r="C35" s="427" t="s">
        <v>363</v>
      </c>
      <c r="D35" s="428"/>
      <c r="E35" s="223"/>
      <c r="F35" s="223"/>
      <c r="G35" s="223"/>
      <c r="H35" s="223"/>
      <c r="I35" s="365"/>
      <c r="J35" s="365"/>
      <c r="K35" s="429"/>
      <c r="L35" s="405">
        <f t="shared" si="1"/>
        <v>0</v>
      </c>
      <c r="M35" s="405">
        <f t="shared" si="20"/>
        <v>0</v>
      </c>
      <c r="N35" s="405">
        <f t="shared" si="21"/>
        <v>0</v>
      </c>
      <c r="O35" s="211"/>
      <c r="P35" s="406" t="str">
        <f t="shared" si="22"/>
        <v/>
      </c>
      <c r="Q35" s="50"/>
      <c r="R35" s="3"/>
      <c r="S35" s="28">
        <f t="shared" si="2"/>
        <v>0</v>
      </c>
      <c r="T35" s="28">
        <f t="shared" si="23"/>
        <v>0</v>
      </c>
      <c r="U35" s="30">
        <f t="shared" si="24"/>
        <v>0</v>
      </c>
      <c r="V35" s="30">
        <f t="shared" si="25"/>
        <v>0</v>
      </c>
      <c r="W35" s="28">
        <f t="shared" si="3"/>
        <v>0</v>
      </c>
      <c r="X35" s="40">
        <f t="shared" si="58"/>
        <v>0</v>
      </c>
      <c r="Y35" s="31">
        <f t="shared" si="5"/>
        <v>0</v>
      </c>
      <c r="AA35" s="32">
        <f t="shared" si="6"/>
        <v>0</v>
      </c>
      <c r="AC35" s="28">
        <f t="shared" si="7"/>
        <v>0</v>
      </c>
      <c r="AD35" s="28">
        <f t="shared" si="8"/>
        <v>0</v>
      </c>
      <c r="AE35" s="28">
        <f t="shared" si="9"/>
        <v>0</v>
      </c>
      <c r="AF35" s="28">
        <f t="shared" si="10"/>
        <v>0</v>
      </c>
      <c r="AG35" s="28">
        <f t="shared" si="11"/>
        <v>0</v>
      </c>
      <c r="AH35" s="32">
        <f t="shared" si="12"/>
        <v>0</v>
      </c>
      <c r="AI35" s="32">
        <f t="shared" si="26"/>
        <v>9999999</v>
      </c>
      <c r="AJ35" s="32">
        <f t="shared" si="13"/>
        <v>0</v>
      </c>
      <c r="AK35" s="32">
        <f t="shared" si="14"/>
        <v>0</v>
      </c>
      <c r="AM35" s="28">
        <f t="shared" si="15"/>
        <v>0</v>
      </c>
      <c r="AN35" s="28">
        <f t="shared" si="16"/>
        <v>0</v>
      </c>
      <c r="AO35" s="28">
        <f t="shared" si="17"/>
        <v>0</v>
      </c>
      <c r="AP35" s="28">
        <f t="shared" si="18"/>
        <v>0</v>
      </c>
      <c r="AQ35" s="44">
        <f t="shared" si="27"/>
        <v>0</v>
      </c>
      <c r="AR35" s="28">
        <f t="shared" si="28"/>
        <v>0</v>
      </c>
      <c r="BA35" s="28">
        <f t="shared" si="29"/>
        <v>2001</v>
      </c>
      <c r="BB35" s="28" t="e">
        <f t="shared" si="59"/>
        <v>#N/A</v>
      </c>
      <c r="BD35" s="31"/>
      <c r="BE35" s="31"/>
      <c r="BF35" s="31"/>
      <c r="BG35" s="31"/>
      <c r="BH35" s="31"/>
      <c r="BI35" s="31"/>
      <c r="BJ35" s="31"/>
      <c r="BK35" s="31"/>
      <c r="BL35" s="31"/>
      <c r="BM35" s="31"/>
      <c r="BN35" s="31"/>
      <c r="CG35" s="31"/>
    </row>
    <row r="36" spans="1:85" ht="12.75" customHeight="1" x14ac:dyDescent="0.2">
      <c r="A36" s="28">
        <f t="shared" si="0"/>
        <v>0</v>
      </c>
      <c r="B36" s="426"/>
      <c r="C36" s="427" t="s">
        <v>363</v>
      </c>
      <c r="D36" s="428"/>
      <c r="E36" s="223"/>
      <c r="F36" s="223"/>
      <c r="G36" s="223"/>
      <c r="H36" s="223"/>
      <c r="I36" s="365"/>
      <c r="J36" s="365"/>
      <c r="K36" s="429"/>
      <c r="L36" s="405">
        <f t="shared" si="1"/>
        <v>0</v>
      </c>
      <c r="M36" s="405">
        <f t="shared" si="20"/>
        <v>0</v>
      </c>
      <c r="N36" s="405">
        <f t="shared" si="21"/>
        <v>0</v>
      </c>
      <c r="O36" s="211"/>
      <c r="P36" s="406" t="str">
        <f t="shared" si="22"/>
        <v/>
      </c>
      <c r="Q36" s="50"/>
      <c r="R36" s="3"/>
      <c r="S36" s="28">
        <f t="shared" si="2"/>
        <v>0</v>
      </c>
      <c r="T36" s="28">
        <f t="shared" si="23"/>
        <v>0</v>
      </c>
      <c r="U36" s="30">
        <f t="shared" si="24"/>
        <v>0</v>
      </c>
      <c r="V36" s="30">
        <f t="shared" si="25"/>
        <v>0</v>
      </c>
      <c r="W36" s="28">
        <f t="shared" si="3"/>
        <v>0</v>
      </c>
      <c r="X36" s="40">
        <f t="shared" si="58"/>
        <v>0</v>
      </c>
      <c r="Y36" s="31">
        <f t="shared" si="5"/>
        <v>0</v>
      </c>
      <c r="AA36" s="32">
        <f t="shared" si="6"/>
        <v>0</v>
      </c>
      <c r="AC36" s="28">
        <f t="shared" si="7"/>
        <v>0</v>
      </c>
      <c r="AD36" s="28">
        <f t="shared" si="8"/>
        <v>0</v>
      </c>
      <c r="AE36" s="28">
        <f t="shared" si="9"/>
        <v>0</v>
      </c>
      <c r="AF36" s="28">
        <f t="shared" si="10"/>
        <v>0</v>
      </c>
      <c r="AG36" s="28">
        <f t="shared" si="11"/>
        <v>0</v>
      </c>
      <c r="AH36" s="32">
        <f t="shared" si="12"/>
        <v>0</v>
      </c>
      <c r="AI36" s="32">
        <f t="shared" si="26"/>
        <v>9999999</v>
      </c>
      <c r="AJ36" s="32">
        <f t="shared" si="13"/>
        <v>0</v>
      </c>
      <c r="AK36" s="32">
        <f t="shared" si="14"/>
        <v>0</v>
      </c>
      <c r="AM36" s="28">
        <f t="shared" si="15"/>
        <v>0</v>
      </c>
      <c r="AN36" s="28">
        <f t="shared" si="16"/>
        <v>0</v>
      </c>
      <c r="AO36" s="28">
        <f t="shared" si="17"/>
        <v>0</v>
      </c>
      <c r="AP36" s="28">
        <f t="shared" si="18"/>
        <v>0</v>
      </c>
      <c r="AQ36" s="44">
        <f t="shared" si="27"/>
        <v>0</v>
      </c>
      <c r="AR36" s="28">
        <f t="shared" si="28"/>
        <v>0</v>
      </c>
      <c r="BA36" s="28">
        <f t="shared" si="29"/>
        <v>2001</v>
      </c>
      <c r="BB36" s="28" t="e">
        <f t="shared" si="59"/>
        <v>#N/A</v>
      </c>
      <c r="BD36" s="31"/>
      <c r="BE36" s="31"/>
      <c r="BF36" s="31"/>
      <c r="BG36" s="31"/>
      <c r="BH36" s="31"/>
      <c r="BI36" s="31"/>
      <c r="BJ36" s="31"/>
      <c r="BK36" s="31"/>
      <c r="BL36" s="31"/>
      <c r="BM36" s="31"/>
      <c r="BN36" s="31"/>
      <c r="CG36" s="31"/>
    </row>
    <row r="37" spans="1:85" ht="12.75" customHeight="1" x14ac:dyDescent="0.2">
      <c r="A37" s="28">
        <f t="shared" si="0"/>
        <v>0</v>
      </c>
      <c r="B37" s="426"/>
      <c r="C37" s="427" t="s">
        <v>363</v>
      </c>
      <c r="D37" s="428"/>
      <c r="E37" s="223"/>
      <c r="F37" s="223"/>
      <c r="G37" s="223"/>
      <c r="H37" s="223"/>
      <c r="I37" s="365"/>
      <c r="J37" s="365"/>
      <c r="K37" s="429"/>
      <c r="L37" s="405">
        <f t="shared" si="1"/>
        <v>0</v>
      </c>
      <c r="M37" s="405">
        <f t="shared" si="20"/>
        <v>0</v>
      </c>
      <c r="N37" s="405">
        <f t="shared" si="21"/>
        <v>0</v>
      </c>
      <c r="O37" s="211"/>
      <c r="P37" s="406" t="str">
        <f t="shared" si="22"/>
        <v/>
      </c>
      <c r="Q37" s="50"/>
      <c r="R37" s="3"/>
      <c r="S37" s="28">
        <f t="shared" si="2"/>
        <v>0</v>
      </c>
      <c r="T37" s="28">
        <f t="shared" si="23"/>
        <v>0</v>
      </c>
      <c r="U37" s="30">
        <f t="shared" si="24"/>
        <v>0</v>
      </c>
      <c r="V37" s="30">
        <f t="shared" si="25"/>
        <v>0</v>
      </c>
      <c r="W37" s="28">
        <f t="shared" si="3"/>
        <v>0</v>
      </c>
      <c r="X37" s="40">
        <f t="shared" si="58"/>
        <v>0</v>
      </c>
      <c r="Y37" s="31">
        <f t="shared" si="5"/>
        <v>0</v>
      </c>
      <c r="AA37" s="32">
        <f t="shared" si="6"/>
        <v>0</v>
      </c>
      <c r="AC37" s="28">
        <f t="shared" si="7"/>
        <v>0</v>
      </c>
      <c r="AD37" s="28">
        <f t="shared" si="8"/>
        <v>0</v>
      </c>
      <c r="AE37" s="28">
        <f t="shared" si="9"/>
        <v>0</v>
      </c>
      <c r="AF37" s="28">
        <f t="shared" si="10"/>
        <v>0</v>
      </c>
      <c r="AG37" s="28">
        <f t="shared" si="11"/>
        <v>0</v>
      </c>
      <c r="AH37" s="32">
        <f t="shared" si="12"/>
        <v>0</v>
      </c>
      <c r="AI37" s="32">
        <f t="shared" si="26"/>
        <v>9999999</v>
      </c>
      <c r="AJ37" s="32">
        <f t="shared" si="13"/>
        <v>0</v>
      </c>
      <c r="AK37" s="32">
        <f t="shared" si="14"/>
        <v>0</v>
      </c>
      <c r="AM37" s="28">
        <f t="shared" si="15"/>
        <v>0</v>
      </c>
      <c r="AN37" s="28">
        <f t="shared" si="16"/>
        <v>0</v>
      </c>
      <c r="AO37" s="28">
        <f t="shared" si="17"/>
        <v>0</v>
      </c>
      <c r="AP37" s="28">
        <f t="shared" si="18"/>
        <v>0</v>
      </c>
      <c r="AQ37" s="44">
        <f t="shared" si="27"/>
        <v>0</v>
      </c>
      <c r="AR37" s="28">
        <f t="shared" si="28"/>
        <v>0</v>
      </c>
      <c r="BA37" s="28">
        <f t="shared" si="29"/>
        <v>2001</v>
      </c>
      <c r="BB37" s="28" t="e">
        <f t="shared" si="59"/>
        <v>#N/A</v>
      </c>
      <c r="BD37" s="31"/>
      <c r="BE37" s="31"/>
      <c r="BF37" s="31"/>
      <c r="BG37" s="31"/>
      <c r="BH37" s="31"/>
      <c r="BI37" s="31"/>
      <c r="BJ37" s="31"/>
      <c r="BK37" s="31"/>
      <c r="BL37" s="31"/>
      <c r="BM37" s="31"/>
      <c r="BN37" s="31"/>
      <c r="CG37" s="31"/>
    </row>
    <row r="38" spans="1:85" ht="12.75" customHeight="1" x14ac:dyDescent="0.2">
      <c r="A38" s="28">
        <f t="shared" si="0"/>
        <v>0</v>
      </c>
      <c r="B38" s="426"/>
      <c r="C38" s="427" t="s">
        <v>363</v>
      </c>
      <c r="D38" s="428"/>
      <c r="E38" s="223"/>
      <c r="F38" s="223"/>
      <c r="G38" s="223"/>
      <c r="H38" s="223"/>
      <c r="I38" s="365"/>
      <c r="J38" s="365"/>
      <c r="K38" s="429"/>
      <c r="L38" s="405">
        <f t="shared" si="1"/>
        <v>0</v>
      </c>
      <c r="M38" s="405">
        <f t="shared" si="20"/>
        <v>0</v>
      </c>
      <c r="N38" s="405">
        <f t="shared" si="21"/>
        <v>0</v>
      </c>
      <c r="O38" s="211"/>
      <c r="P38" s="406" t="str">
        <f t="shared" si="22"/>
        <v/>
      </c>
      <c r="Q38" s="50"/>
      <c r="R38" s="3"/>
      <c r="S38" s="28">
        <f>IF(P38="",0,1)</f>
      </c>
      <c r="T38" s="28">
        <f t="shared" si="23"/>
        <v>0</v>
      </c>
      <c r="U38" s="30">
        <f t="shared" si="24"/>
        <v>0</v>
      </c>
      <c r="V38" s="30">
        <f t="shared" si="25"/>
        <v>0</v>
      </c>
      <c r="W38" s="28">
        <f t="shared" si="3"/>
        <v>0</v>
      </c>
      <c r="X38" s="40">
        <f t="shared" si="58"/>
        <v>0</v>
      </c>
      <c r="Y38" s="31">
        <f t="shared" si="5"/>
        <v>0</v>
      </c>
      <c r="AA38" s="32">
        <f t="shared" si="6"/>
        <v>0</v>
      </c>
      <c r="AC38" s="28">
        <f t="shared" si="7"/>
        <v>0</v>
      </c>
      <c r="AD38" s="28">
        <f t="shared" si="8"/>
        <v>0</v>
      </c>
      <c r="AE38" s="28">
        <f t="shared" si="9"/>
        <v>0</v>
      </c>
      <c r="AF38" s="28">
        <f t="shared" si="10"/>
        <v>0</v>
      </c>
      <c r="AG38" s="28">
        <f t="shared" si="11"/>
        <v>0</v>
      </c>
      <c r="AH38" s="32">
        <f t="shared" si="12"/>
        <v>0</v>
      </c>
      <c r="AI38" s="32">
        <f t="shared" si="26"/>
        <v>9999999</v>
      </c>
      <c r="AJ38" s="32">
        <f t="shared" si="13"/>
        <v>0</v>
      </c>
      <c r="AK38" s="32">
        <f t="shared" si="14"/>
        <v>0</v>
      </c>
      <c r="AM38" s="28">
        <f t="shared" si="15"/>
        <v>0</v>
      </c>
      <c r="AN38" s="28">
        <f t="shared" si="16"/>
        <v>0</v>
      </c>
      <c r="AO38" s="28">
        <f t="shared" si="17"/>
        <v>0</v>
      </c>
      <c r="AP38" s="28">
        <f t="shared" si="18"/>
        <v>0</v>
      </c>
      <c r="AQ38" s="44">
        <f t="shared" si="27"/>
        <v>0</v>
      </c>
      <c r="AR38" s="28">
        <f t="shared" si="28"/>
        <v>0</v>
      </c>
      <c r="BA38" s="28">
        <f t="shared" si="29"/>
        <v>2001</v>
      </c>
      <c r="BB38" s="28" t="e">
        <f t="shared" si="59"/>
        <v>#N/A</v>
      </c>
      <c r="BD38" s="31"/>
      <c r="BE38" s="31"/>
      <c r="BF38" s="31"/>
      <c r="BG38" s="31"/>
      <c r="BH38" s="31"/>
      <c r="BI38" s="31"/>
      <c r="BJ38" s="31"/>
      <c r="BK38" s="31"/>
      <c r="BL38" s="31"/>
      <c r="BM38" s="31"/>
      <c r="BN38" s="31"/>
      <c r="CG38" s="31"/>
    </row>
    <row r="39" spans="1:85" ht="12.75" hidden="1" customHeight="1" x14ac:dyDescent="0.2">
      <c r="B39" s="3477"/>
      <c r="C39" s="3478"/>
      <c r="D39" s="3479"/>
      <c r="E39" s="3480"/>
      <c r="F39" s="3480"/>
      <c r="G39" s="3480"/>
      <c r="H39" s="3480"/>
      <c r="I39" s="3370"/>
      <c r="J39" s="3370"/>
      <c r="K39" s="48"/>
      <c r="L39" s="3481"/>
      <c r="M39" s="3481"/>
      <c r="N39" s="3481"/>
      <c r="O39" s="211"/>
      <c r="P39" s="406"/>
      <c r="Q39" s="50"/>
      <c r="R39" s="3"/>
      <c r="U39" s="30"/>
      <c r="V39" s="30"/>
      <c r="X39" s="40"/>
      <c r="Y39" s="31"/>
      <c r="AA39" s="32"/>
      <c r="AH39" s="32"/>
      <c r="AI39" s="32"/>
      <c r="AJ39" s="32"/>
      <c r="AK39" s="32"/>
      <c r="AQ39" s="44"/>
      <c r="BD39" s="31"/>
      <c r="BE39" s="31"/>
      <c r="BF39" s="31"/>
      <c r="BG39" s="31"/>
      <c r="BH39" s="31"/>
      <c r="BI39" s="31"/>
      <c r="BJ39" s="31"/>
      <c r="BK39" s="31"/>
      <c r="BL39" s="31"/>
      <c r="BM39" s="31"/>
      <c r="BN39" s="31"/>
      <c r="CG39" s="31"/>
    </row>
    <row r="40" spans="1:85" ht="12.75" hidden="1" customHeight="1" x14ac:dyDescent="0.2">
      <c r="B40" s="3477"/>
      <c r="C40" s="3478"/>
      <c r="D40" s="3479"/>
      <c r="E40" s="3480"/>
      <c r="F40" s="3480"/>
      <c r="G40" s="3480"/>
      <c r="H40" s="3480"/>
      <c r="I40" s="3370"/>
      <c r="J40" s="3370"/>
      <c r="K40" s="48"/>
      <c r="L40" s="3481"/>
      <c r="M40" s="3481"/>
      <c r="N40" s="3481"/>
      <c r="O40" s="211"/>
      <c r="P40" s="406"/>
      <c r="Q40" s="50"/>
      <c r="R40" s="3"/>
      <c r="U40" s="30"/>
      <c r="V40" s="30"/>
      <c r="X40" s="40"/>
      <c r="Y40" s="31"/>
      <c r="AA40" s="32"/>
      <c r="AH40" s="32"/>
      <c r="AI40" s="32"/>
      <c r="AJ40" s="32"/>
      <c r="AK40" s="32"/>
      <c r="AQ40" s="44"/>
      <c r="BD40" s="31"/>
      <c r="BE40" s="31"/>
      <c r="BF40" s="31"/>
      <c r="BG40" s="31"/>
      <c r="BH40" s="31"/>
      <c r="BI40" s="31"/>
      <c r="BJ40" s="31"/>
      <c r="BK40" s="31"/>
      <c r="BL40" s="31"/>
      <c r="BM40" s="31"/>
      <c r="BN40" s="31"/>
      <c r="CG40" s="31"/>
    </row>
    <row r="41" spans="1:85" ht="12.75" hidden="1" customHeight="1" x14ac:dyDescent="0.2">
      <c r="B41" s="3477"/>
      <c r="C41" s="3478"/>
      <c r="D41" s="3479"/>
      <c r="E41" s="3480"/>
      <c r="F41" s="3480"/>
      <c r="G41" s="3480"/>
      <c r="H41" s="3480"/>
      <c r="I41" s="3370"/>
      <c r="J41" s="3370"/>
      <c r="K41" s="48"/>
      <c r="L41" s="3481"/>
      <c r="M41" s="3481"/>
      <c r="N41" s="3481"/>
      <c r="O41" s="211"/>
      <c r="P41" s="406"/>
      <c r="Q41" s="50"/>
      <c r="R41" s="3"/>
      <c r="U41" s="30"/>
      <c r="V41" s="30"/>
      <c r="X41" s="40"/>
      <c r="Y41" s="31"/>
      <c r="AA41" s="32"/>
      <c r="AH41" s="32"/>
      <c r="AI41" s="32"/>
      <c r="AJ41" s="32"/>
      <c r="AK41" s="32"/>
      <c r="AQ41" s="44"/>
      <c r="BD41" s="31"/>
      <c r="BE41" s="31"/>
      <c r="BF41" s="31"/>
      <c r="BG41" s="31"/>
      <c r="BH41" s="31"/>
      <c r="BI41" s="31"/>
      <c r="BJ41" s="31"/>
      <c r="BK41" s="31"/>
      <c r="BL41" s="31"/>
      <c r="BM41" s="31"/>
      <c r="BN41" s="31"/>
      <c r="CG41" s="31"/>
    </row>
    <row r="42" spans="1:85" ht="12.75" hidden="1" customHeight="1" x14ac:dyDescent="0.2">
      <c r="B42" s="3477"/>
      <c r="C42" s="3478"/>
      <c r="D42" s="3479"/>
      <c r="E42" s="3480"/>
      <c r="F42" s="3480"/>
      <c r="G42" s="3480"/>
      <c r="H42" s="3480"/>
      <c r="I42" s="3370"/>
      <c r="J42" s="3370"/>
      <c r="K42" s="48"/>
      <c r="L42" s="3481"/>
      <c r="M42" s="3481"/>
      <c r="N42" s="3481"/>
      <c r="O42" s="211"/>
      <c r="P42" s="406"/>
      <c r="Q42" s="50"/>
      <c r="R42" s="3"/>
      <c r="U42" s="30"/>
      <c r="V42" s="30"/>
      <c r="X42" s="40"/>
      <c r="Y42" s="31"/>
      <c r="AA42" s="32"/>
      <c r="AH42" s="32"/>
      <c r="AI42" s="32"/>
      <c r="AJ42" s="32"/>
      <c r="AK42" s="32"/>
      <c r="AQ42" s="44"/>
      <c r="BD42" s="31"/>
      <c r="BE42" s="31"/>
      <c r="BF42" s="31"/>
      <c r="BG42" s="31"/>
      <c r="BH42" s="31"/>
      <c r="BI42" s="31"/>
      <c r="BJ42" s="31"/>
      <c r="BK42" s="31"/>
      <c r="BL42" s="31"/>
      <c r="BM42" s="31"/>
      <c r="BN42" s="31"/>
      <c r="CG42" s="31"/>
    </row>
    <row r="43" spans="1:85" ht="12.75" hidden="1" customHeight="1" x14ac:dyDescent="0.2">
      <c r="B43" s="3477"/>
      <c r="C43" s="3478"/>
      <c r="D43" s="3479"/>
      <c r="E43" s="3480"/>
      <c r="F43" s="3480"/>
      <c r="G43" s="3480"/>
      <c r="H43" s="3480"/>
      <c r="I43" s="3370"/>
      <c r="J43" s="3370"/>
      <c r="K43" s="48"/>
      <c r="L43" s="3481"/>
      <c r="M43" s="3481"/>
      <c r="N43" s="3481"/>
      <c r="O43" s="211"/>
      <c r="P43" s="406"/>
      <c r="Q43" s="50"/>
      <c r="R43" s="3"/>
      <c r="U43" s="30"/>
      <c r="V43" s="30"/>
      <c r="X43" s="40"/>
      <c r="Y43" s="31"/>
      <c r="AA43" s="32"/>
      <c r="AH43" s="32"/>
      <c r="AI43" s="32"/>
      <c r="AJ43" s="32"/>
      <c r="AK43" s="32"/>
      <c r="AQ43" s="44"/>
      <c r="BD43" s="31"/>
      <c r="BE43" s="31"/>
      <c r="BF43" s="31"/>
      <c r="BG43" s="31"/>
      <c r="BH43" s="31"/>
      <c r="BI43" s="31"/>
      <c r="BJ43" s="31"/>
      <c r="BK43" s="31"/>
      <c r="BL43" s="31"/>
      <c r="BM43" s="31"/>
      <c r="BN43" s="31"/>
      <c r="CG43" s="31"/>
    </row>
    <row r="44" spans="1:85" ht="12.75" hidden="1" customHeight="1" x14ac:dyDescent="0.2">
      <c r="B44" s="3477"/>
      <c r="C44" s="3478"/>
      <c r="D44" s="3479"/>
      <c r="E44" s="3480"/>
      <c r="F44" s="3480"/>
      <c r="G44" s="3480"/>
      <c r="H44" s="3480"/>
      <c r="I44" s="3370"/>
      <c r="J44" s="3370"/>
      <c r="K44" s="48"/>
      <c r="L44" s="3481"/>
      <c r="M44" s="3481"/>
      <c r="N44" s="3481"/>
      <c r="O44" s="211"/>
      <c r="P44" s="406"/>
      <c r="Q44" s="50"/>
      <c r="R44" s="3"/>
      <c r="U44" s="30"/>
      <c r="V44" s="30"/>
      <c r="X44" s="40"/>
      <c r="Y44" s="31"/>
      <c r="AA44" s="32"/>
      <c r="AH44" s="32"/>
      <c r="AI44" s="32"/>
      <c r="AJ44" s="32"/>
      <c r="AK44" s="32"/>
      <c r="AQ44" s="44"/>
      <c r="BD44" s="31"/>
      <c r="BE44" s="31"/>
      <c r="BF44" s="31"/>
      <c r="BG44" s="31"/>
      <c r="BH44" s="31"/>
      <c r="BI44" s="31"/>
      <c r="BJ44" s="31"/>
      <c r="BK44" s="31"/>
      <c r="BL44" s="31"/>
      <c r="BM44" s="31"/>
      <c r="BN44" s="31"/>
      <c r="CG44" s="31"/>
    </row>
    <row r="45" spans="1:85" ht="12.75" hidden="1" customHeight="1" x14ac:dyDescent="0.2">
      <c r="B45" s="3477"/>
      <c r="C45" s="3478"/>
      <c r="D45" s="3479"/>
      <c r="E45" s="3480"/>
      <c r="F45" s="3480"/>
      <c r="G45" s="3480"/>
      <c r="H45" s="3480"/>
      <c r="I45" s="3370"/>
      <c r="J45" s="3370"/>
      <c r="K45" s="48"/>
      <c r="L45" s="3481"/>
      <c r="M45" s="3481"/>
      <c r="N45" s="3481"/>
      <c r="O45" s="211"/>
      <c r="P45" s="406"/>
      <c r="Q45" s="50"/>
      <c r="R45" s="3"/>
      <c r="U45" s="30"/>
      <c r="V45" s="30"/>
      <c r="X45" s="40"/>
      <c r="Y45" s="31"/>
      <c r="AA45" s="32"/>
      <c r="AH45" s="32"/>
      <c r="AI45" s="32"/>
      <c r="AJ45" s="32"/>
      <c r="AK45" s="32"/>
      <c r="AQ45" s="44"/>
      <c r="BD45" s="31"/>
      <c r="BE45" s="31"/>
      <c r="BF45" s="31"/>
      <c r="BG45" s="31"/>
      <c r="BH45" s="31"/>
      <c r="BI45" s="31"/>
      <c r="BJ45" s="31"/>
      <c r="BK45" s="31"/>
      <c r="BL45" s="31"/>
      <c r="BM45" s="31"/>
      <c r="BN45" s="31"/>
      <c r="CG45" s="31"/>
    </row>
    <row r="46" spans="1:85" ht="12.75" hidden="1" customHeight="1" x14ac:dyDescent="0.2">
      <c r="B46" s="3477"/>
      <c r="C46" s="3478"/>
      <c r="D46" s="3479"/>
      <c r="E46" s="3480"/>
      <c r="F46" s="3480"/>
      <c r="G46" s="3480"/>
      <c r="H46" s="3480"/>
      <c r="I46" s="3370"/>
      <c r="J46" s="3370"/>
      <c r="K46" s="48"/>
      <c r="L46" s="3481"/>
      <c r="M46" s="3481"/>
      <c r="N46" s="3481"/>
      <c r="O46" s="211"/>
      <c r="P46" s="406"/>
      <c r="Q46" s="50"/>
      <c r="R46" s="3"/>
      <c r="U46" s="30"/>
      <c r="V46" s="30"/>
      <c r="X46" s="40"/>
      <c r="Y46" s="31"/>
      <c r="AA46" s="32"/>
      <c r="AH46" s="32"/>
      <c r="AI46" s="32"/>
      <c r="AJ46" s="32"/>
      <c r="AK46" s="32"/>
      <c r="AQ46" s="44"/>
      <c r="BD46" s="31"/>
      <c r="BE46" s="31"/>
      <c r="BF46" s="31"/>
      <c r="BG46" s="31"/>
      <c r="BH46" s="31"/>
      <c r="BI46" s="31"/>
      <c r="BJ46" s="31"/>
      <c r="BK46" s="31"/>
      <c r="BL46" s="31"/>
      <c r="BM46" s="31"/>
      <c r="BN46" s="31"/>
      <c r="CG46" s="31"/>
    </row>
    <row r="47" spans="1:85" ht="12.75" hidden="1" customHeight="1" x14ac:dyDescent="0.2">
      <c r="B47" s="3477"/>
      <c r="C47" s="3478"/>
      <c r="D47" s="3479"/>
      <c r="E47" s="3480"/>
      <c r="F47" s="3480"/>
      <c r="G47" s="3480"/>
      <c r="H47" s="3480"/>
      <c r="I47" s="3370"/>
      <c r="J47" s="3370"/>
      <c r="K47" s="48"/>
      <c r="L47" s="3481"/>
      <c r="M47" s="3481"/>
      <c r="N47" s="3481"/>
      <c r="O47" s="211"/>
      <c r="P47" s="406"/>
      <c r="Q47" s="50"/>
      <c r="R47" s="3"/>
      <c r="U47" s="30"/>
      <c r="V47" s="30"/>
      <c r="X47" s="40"/>
      <c r="Y47" s="31"/>
      <c r="AA47" s="32"/>
      <c r="AH47" s="32"/>
      <c r="AI47" s="32"/>
      <c r="AJ47" s="32"/>
      <c r="AK47" s="32"/>
      <c r="AQ47" s="44"/>
      <c r="BD47" s="31"/>
      <c r="BE47" s="31"/>
      <c r="BF47" s="31"/>
      <c r="BG47" s="31"/>
      <c r="BH47" s="31"/>
      <c r="BI47" s="31"/>
      <c r="BJ47" s="31"/>
      <c r="BK47" s="31"/>
      <c r="BL47" s="31"/>
      <c r="BM47" s="31"/>
      <c r="BN47" s="31"/>
      <c r="CG47" s="31"/>
    </row>
    <row r="48" spans="1:85" ht="12.75" hidden="1" customHeight="1" x14ac:dyDescent="0.2">
      <c r="B48" s="3477"/>
      <c r="C48" s="3478"/>
      <c r="D48" s="3479"/>
      <c r="E48" s="3480"/>
      <c r="F48" s="3480"/>
      <c r="G48" s="3480"/>
      <c r="H48" s="3480"/>
      <c r="I48" s="3370"/>
      <c r="J48" s="3370"/>
      <c r="K48" s="48"/>
      <c r="L48" s="3481"/>
      <c r="M48" s="3481"/>
      <c r="N48" s="3481"/>
      <c r="O48" s="211"/>
      <c r="P48" s="406"/>
      <c r="Q48" s="50"/>
      <c r="R48" s="3"/>
      <c r="U48" s="30"/>
      <c r="V48" s="30"/>
      <c r="X48" s="40"/>
      <c r="Y48" s="31"/>
      <c r="AA48" s="32"/>
      <c r="AH48" s="32"/>
      <c r="AI48" s="32"/>
      <c r="AJ48" s="32"/>
      <c r="AK48" s="32"/>
      <c r="AQ48" s="44"/>
      <c r="BD48" s="31"/>
      <c r="BE48" s="31"/>
      <c r="BF48" s="31"/>
      <c r="BG48" s="31"/>
      <c r="BH48" s="31"/>
      <c r="BI48" s="31"/>
      <c r="BJ48" s="31"/>
      <c r="BK48" s="31"/>
      <c r="BL48" s="31"/>
      <c r="BM48" s="31"/>
      <c r="BN48" s="31"/>
      <c r="CG48" s="31"/>
    </row>
    <row r="49" spans="2:85" ht="12.75" hidden="1" customHeight="1" x14ac:dyDescent="0.2">
      <c r="B49" s="3477"/>
      <c r="C49" s="3478"/>
      <c r="D49" s="3479"/>
      <c r="E49" s="3480"/>
      <c r="F49" s="3480"/>
      <c r="G49" s="3480"/>
      <c r="H49" s="3480"/>
      <c r="I49" s="3370"/>
      <c r="J49" s="3370"/>
      <c r="K49" s="48"/>
      <c r="L49" s="3481"/>
      <c r="M49" s="3481"/>
      <c r="N49" s="3481"/>
      <c r="O49" s="211"/>
      <c r="P49" s="406"/>
      <c r="Q49" s="50"/>
      <c r="R49" s="3"/>
      <c r="U49" s="30"/>
      <c r="V49" s="30"/>
      <c r="X49" s="40"/>
      <c r="Y49" s="31"/>
      <c r="AA49" s="32"/>
      <c r="AH49" s="32"/>
      <c r="AI49" s="32"/>
      <c r="AJ49" s="32"/>
      <c r="AK49" s="32"/>
      <c r="AQ49" s="44"/>
      <c r="BD49" s="31"/>
      <c r="BE49" s="31"/>
      <c r="BF49" s="31"/>
      <c r="BG49" s="31"/>
      <c r="BH49" s="31"/>
      <c r="BI49" s="31"/>
      <c r="BJ49" s="31"/>
      <c r="BK49" s="31"/>
      <c r="BL49" s="31"/>
      <c r="BM49" s="31"/>
      <c r="BN49" s="31"/>
      <c r="CG49" s="31"/>
    </row>
    <row r="50" spans="2:85" ht="12.75" hidden="1" customHeight="1" x14ac:dyDescent="0.2">
      <c r="B50" s="3477"/>
      <c r="C50" s="3478"/>
      <c r="D50" s="3479"/>
      <c r="E50" s="3480"/>
      <c r="F50" s="3480"/>
      <c r="G50" s="3480"/>
      <c r="H50" s="3480"/>
      <c r="I50" s="3370"/>
      <c r="J50" s="3370"/>
      <c r="K50" s="48"/>
      <c r="L50" s="3481"/>
      <c r="M50" s="3481"/>
      <c r="N50" s="3481"/>
      <c r="O50" s="211"/>
      <c r="P50" s="406"/>
      <c r="Q50" s="50"/>
      <c r="R50" s="3"/>
      <c r="U50" s="30"/>
      <c r="V50" s="30"/>
      <c r="X50" s="40"/>
      <c r="Y50" s="31"/>
      <c r="AA50" s="32"/>
      <c r="AH50" s="32"/>
      <c r="AI50" s="32"/>
      <c r="AJ50" s="32"/>
      <c r="AK50" s="32"/>
      <c r="AQ50" s="44"/>
      <c r="BD50" s="31"/>
      <c r="BE50" s="31"/>
      <c r="BF50" s="31"/>
      <c r="BG50" s="31"/>
      <c r="BH50" s="31"/>
      <c r="BI50" s="31"/>
      <c r="BJ50" s="31"/>
      <c r="BK50" s="31"/>
      <c r="BL50" s="31"/>
      <c r="BM50" s="31"/>
      <c r="BN50" s="31"/>
      <c r="CG50" s="31"/>
    </row>
    <row r="51" spans="2:85" ht="12.75" hidden="1" customHeight="1" x14ac:dyDescent="0.2">
      <c r="B51" s="3477"/>
      <c r="C51" s="3478"/>
      <c r="D51" s="3479"/>
      <c r="E51" s="3480"/>
      <c r="F51" s="3480"/>
      <c r="G51" s="3480"/>
      <c r="H51" s="3480"/>
      <c r="I51" s="3370"/>
      <c r="J51" s="3370"/>
      <c r="K51" s="48"/>
      <c r="L51" s="3481"/>
      <c r="M51" s="3481"/>
      <c r="N51" s="3481"/>
      <c r="O51" s="211"/>
      <c r="P51" s="406"/>
      <c r="Q51" s="50"/>
      <c r="R51" s="3"/>
      <c r="U51" s="30"/>
      <c r="V51" s="30"/>
      <c r="X51" s="40"/>
      <c r="Y51" s="31"/>
      <c r="AA51" s="32"/>
      <c r="AH51" s="32"/>
      <c r="AI51" s="32"/>
      <c r="AJ51" s="32"/>
      <c r="AK51" s="32"/>
      <c r="AQ51" s="44"/>
      <c r="BD51" s="31"/>
      <c r="BE51" s="31"/>
      <c r="BF51" s="31"/>
      <c r="BG51" s="31"/>
      <c r="BH51" s="31"/>
      <c r="BI51" s="31"/>
      <c r="BJ51" s="31"/>
      <c r="BK51" s="31"/>
      <c r="BL51" s="31"/>
      <c r="BM51" s="31"/>
      <c r="BN51" s="31"/>
      <c r="CG51" s="31"/>
    </row>
    <row r="52" spans="2:85" ht="12.75" hidden="1" customHeight="1" x14ac:dyDescent="0.2">
      <c r="B52" s="3477"/>
      <c r="C52" s="3478"/>
      <c r="D52" s="3479"/>
      <c r="E52" s="3480"/>
      <c r="F52" s="3480"/>
      <c r="G52" s="3480"/>
      <c r="H52" s="3480"/>
      <c r="I52" s="3370"/>
      <c r="J52" s="3370"/>
      <c r="K52" s="48"/>
      <c r="L52" s="3481"/>
      <c r="M52" s="3481"/>
      <c r="N52" s="3481"/>
      <c r="O52" s="211"/>
      <c r="P52" s="406"/>
      <c r="Q52" s="50"/>
      <c r="R52" s="3"/>
      <c r="U52" s="30"/>
      <c r="V52" s="30"/>
      <c r="X52" s="40"/>
      <c r="Y52" s="31"/>
      <c r="AA52" s="32"/>
      <c r="AH52" s="32"/>
      <c r="AI52" s="32"/>
      <c r="AJ52" s="32"/>
      <c r="AK52" s="32"/>
      <c r="AQ52" s="44"/>
      <c r="BD52" s="31"/>
      <c r="BE52" s="31"/>
      <c r="BF52" s="31"/>
      <c r="BG52" s="31"/>
      <c r="BH52" s="31"/>
      <c r="BI52" s="31"/>
      <c r="BJ52" s="31"/>
      <c r="BK52" s="31"/>
      <c r="BL52" s="31"/>
      <c r="BM52" s="31"/>
      <c r="BN52" s="31"/>
      <c r="CG52" s="31"/>
    </row>
    <row r="53" spans="2:85" ht="12.75" hidden="1" customHeight="1" x14ac:dyDescent="0.2">
      <c r="B53" s="3477"/>
      <c r="C53" s="3478"/>
      <c r="D53" s="3479"/>
      <c r="E53" s="3480"/>
      <c r="F53" s="3480"/>
      <c r="G53" s="3480"/>
      <c r="H53" s="3480"/>
      <c r="I53" s="3370"/>
      <c r="J53" s="3370"/>
      <c r="K53" s="48"/>
      <c r="L53" s="3481"/>
      <c r="M53" s="3481"/>
      <c r="N53" s="3481"/>
      <c r="O53" s="211"/>
      <c r="P53" s="406"/>
      <c r="Q53" s="50"/>
      <c r="R53" s="3"/>
      <c r="U53" s="30"/>
      <c r="V53" s="30"/>
      <c r="X53" s="40"/>
      <c r="Y53" s="31"/>
      <c r="AA53" s="32"/>
      <c r="AH53" s="32"/>
      <c r="AI53" s="32"/>
      <c r="AJ53" s="32"/>
      <c r="AK53" s="32"/>
      <c r="AQ53" s="44"/>
      <c r="BD53" s="31"/>
      <c r="BE53" s="31"/>
      <c r="BF53" s="31"/>
      <c r="BG53" s="31"/>
      <c r="BH53" s="31"/>
      <c r="BI53" s="31"/>
      <c r="BJ53" s="31"/>
      <c r="BK53" s="31"/>
      <c r="BL53" s="31"/>
      <c r="BM53" s="31"/>
      <c r="BN53" s="31"/>
      <c r="CG53" s="31"/>
    </row>
    <row r="54" spans="2:85" ht="12.75" hidden="1" customHeight="1" x14ac:dyDescent="0.2">
      <c r="B54" s="3477"/>
      <c r="C54" s="3478"/>
      <c r="D54" s="3479"/>
      <c r="E54" s="3480"/>
      <c r="F54" s="3480"/>
      <c r="G54" s="3480"/>
      <c r="H54" s="3480"/>
      <c r="I54" s="3370"/>
      <c r="J54" s="3370"/>
      <c r="K54" s="48"/>
      <c r="L54" s="3481"/>
      <c r="M54" s="3481"/>
      <c r="N54" s="3481"/>
      <c r="O54" s="211"/>
      <c r="P54" s="406"/>
      <c r="Q54" s="50"/>
      <c r="R54" s="3"/>
      <c r="U54" s="30"/>
      <c r="V54" s="30"/>
      <c r="X54" s="40"/>
      <c r="Y54" s="31"/>
      <c r="AA54" s="32"/>
      <c r="AH54" s="32"/>
      <c r="AI54" s="32"/>
      <c r="AJ54" s="32"/>
      <c r="AK54" s="32"/>
      <c r="AQ54" s="44"/>
      <c r="BD54" s="31"/>
      <c r="BE54" s="31"/>
      <c r="BF54" s="31"/>
      <c r="BG54" s="31"/>
      <c r="BH54" s="31"/>
      <c r="BI54" s="31"/>
      <c r="BJ54" s="31"/>
      <c r="BK54" s="31"/>
      <c r="BL54" s="31"/>
      <c r="BM54" s="31"/>
      <c r="BN54" s="31"/>
      <c r="CG54" s="31"/>
    </row>
    <row r="55" spans="2:85" ht="12.75" hidden="1" customHeight="1" x14ac:dyDescent="0.2">
      <c r="B55" s="3477"/>
      <c r="C55" s="3478"/>
      <c r="D55" s="3479"/>
      <c r="E55" s="3480"/>
      <c r="F55" s="3480"/>
      <c r="G55" s="3480"/>
      <c r="H55" s="3480"/>
      <c r="I55" s="3370"/>
      <c r="J55" s="3370"/>
      <c r="K55" s="48"/>
      <c r="L55" s="3481"/>
      <c r="M55" s="3481"/>
      <c r="N55" s="3481"/>
      <c r="O55" s="211"/>
      <c r="P55" s="406"/>
      <c r="Q55" s="50"/>
      <c r="R55" s="3"/>
      <c r="U55" s="30"/>
      <c r="V55" s="30"/>
      <c r="X55" s="40"/>
      <c r="Y55" s="31"/>
      <c r="AA55" s="32"/>
      <c r="AH55" s="32"/>
      <c r="AI55" s="32"/>
      <c r="AJ55" s="32"/>
      <c r="AK55" s="32"/>
      <c r="AQ55" s="44"/>
      <c r="BD55" s="31"/>
      <c r="BE55" s="31"/>
      <c r="BF55" s="31"/>
      <c r="BG55" s="31"/>
      <c r="BH55" s="31"/>
      <c r="BI55" s="31"/>
      <c r="BJ55" s="31"/>
      <c r="BK55" s="31"/>
      <c r="BL55" s="31"/>
      <c r="BM55" s="31"/>
      <c r="BN55" s="31"/>
      <c r="CG55" s="31"/>
    </row>
    <row r="56" spans="2:85" ht="12.75" hidden="1" customHeight="1" x14ac:dyDescent="0.2">
      <c r="B56" s="3477"/>
      <c r="C56" s="3478"/>
      <c r="D56" s="3479"/>
      <c r="E56" s="3480"/>
      <c r="F56" s="3480"/>
      <c r="G56" s="3480"/>
      <c r="H56" s="3480"/>
      <c r="I56" s="3370"/>
      <c r="J56" s="3370"/>
      <c r="K56" s="48"/>
      <c r="L56" s="3481"/>
      <c r="M56" s="3481"/>
      <c r="N56" s="3481"/>
      <c r="O56" s="211"/>
      <c r="P56" s="406"/>
      <c r="Q56" s="50"/>
      <c r="R56" s="3"/>
      <c r="U56" s="30"/>
      <c r="V56" s="30"/>
      <c r="X56" s="40"/>
      <c r="Y56" s="31"/>
      <c r="AA56" s="32"/>
      <c r="AH56" s="32"/>
      <c r="AI56" s="32"/>
      <c r="AJ56" s="32"/>
      <c r="AK56" s="32"/>
      <c r="AQ56" s="44"/>
      <c r="BD56" s="31"/>
      <c r="BE56" s="31"/>
      <c r="BF56" s="31"/>
      <c r="BG56" s="31"/>
      <c r="BH56" s="31"/>
      <c r="BI56" s="31"/>
      <c r="BJ56" s="31"/>
      <c r="BK56" s="31"/>
      <c r="BL56" s="31"/>
      <c r="BM56" s="31"/>
      <c r="BN56" s="31"/>
      <c r="CG56" s="31"/>
    </row>
    <row r="57" spans="2:85" ht="12.75" hidden="1" customHeight="1" x14ac:dyDescent="0.2">
      <c r="B57" s="3477"/>
      <c r="C57" s="3478"/>
      <c r="D57" s="3479"/>
      <c r="E57" s="3480"/>
      <c r="F57" s="3480"/>
      <c r="G57" s="3480"/>
      <c r="H57" s="3480"/>
      <c r="I57" s="3370"/>
      <c r="J57" s="3370"/>
      <c r="K57" s="48"/>
      <c r="L57" s="3481"/>
      <c r="M57" s="3481"/>
      <c r="N57" s="3481"/>
      <c r="O57" s="211"/>
      <c r="P57" s="406"/>
      <c r="Q57" s="50"/>
      <c r="R57" s="3"/>
      <c r="U57" s="30"/>
      <c r="V57" s="30"/>
      <c r="X57" s="40"/>
      <c r="Y57" s="31"/>
      <c r="AA57" s="32"/>
      <c r="AH57" s="32"/>
      <c r="AI57" s="32"/>
      <c r="AJ57" s="32"/>
      <c r="AK57" s="32"/>
      <c r="AQ57" s="44"/>
      <c r="BD57" s="31"/>
      <c r="BE57" s="31"/>
      <c r="BF57" s="31"/>
      <c r="BG57" s="31"/>
      <c r="BH57" s="31"/>
      <c r="BI57" s="31"/>
      <c r="BJ57" s="31"/>
      <c r="BK57" s="31"/>
      <c r="BL57" s="31"/>
      <c r="BM57" s="31"/>
      <c r="BN57" s="31"/>
      <c r="CG57" s="31"/>
    </row>
    <row r="58" spans="2:85" ht="12.75" hidden="1" customHeight="1" x14ac:dyDescent="0.2">
      <c r="B58" s="3477"/>
      <c r="C58" s="3478"/>
      <c r="D58" s="3479"/>
      <c r="E58" s="3480"/>
      <c r="F58" s="3480"/>
      <c r="G58" s="3480"/>
      <c r="H58" s="3480"/>
      <c r="I58" s="3370"/>
      <c r="J58" s="3370"/>
      <c r="K58" s="48"/>
      <c r="L58" s="3481"/>
      <c r="M58" s="3481"/>
      <c r="N58" s="3481"/>
      <c r="O58" s="211"/>
      <c r="P58" s="406"/>
      <c r="Q58" s="50"/>
      <c r="R58" s="3"/>
      <c r="U58" s="30"/>
      <c r="V58" s="30"/>
      <c r="X58" s="40"/>
      <c r="Y58" s="31"/>
      <c r="AA58" s="32"/>
      <c r="AH58" s="32"/>
      <c r="AI58" s="32"/>
      <c r="AJ58" s="32"/>
      <c r="AK58" s="32"/>
      <c r="AQ58" s="44"/>
      <c r="BD58" s="31"/>
      <c r="BE58" s="31"/>
      <c r="BF58" s="31"/>
      <c r="BG58" s="31"/>
      <c r="BH58" s="31"/>
      <c r="BI58" s="31"/>
      <c r="BJ58" s="31"/>
      <c r="BK58" s="31"/>
      <c r="BL58" s="31"/>
      <c r="BM58" s="31"/>
      <c r="BN58" s="31"/>
      <c r="CG58" s="31"/>
    </row>
    <row r="59" spans="2:85" ht="12.75" hidden="1" customHeight="1" x14ac:dyDescent="0.2">
      <c r="B59" s="3477"/>
      <c r="C59" s="3478"/>
      <c r="D59" s="3479"/>
      <c r="E59" s="3480"/>
      <c r="F59" s="3480"/>
      <c r="G59" s="3480"/>
      <c r="H59" s="3480"/>
      <c r="I59" s="3370"/>
      <c r="J59" s="3370"/>
      <c r="K59" s="48"/>
      <c r="L59" s="3481"/>
      <c r="M59" s="3481"/>
      <c r="N59" s="3481"/>
      <c r="O59" s="211"/>
      <c r="P59" s="406"/>
      <c r="Q59" s="50"/>
      <c r="R59" s="3"/>
      <c r="U59" s="30"/>
      <c r="V59" s="30"/>
      <c r="X59" s="40"/>
      <c r="Y59" s="31"/>
      <c r="AA59" s="32"/>
      <c r="AH59" s="32"/>
      <c r="AI59" s="32"/>
      <c r="AJ59" s="32"/>
      <c r="AK59" s="32"/>
      <c r="AQ59" s="44"/>
      <c r="BD59" s="31"/>
      <c r="BE59" s="31"/>
      <c r="BF59" s="31"/>
      <c r="BG59" s="31"/>
      <c r="BH59" s="31"/>
      <c r="BI59" s="31"/>
      <c r="BJ59" s="31"/>
      <c r="BK59" s="31"/>
      <c r="BL59" s="31"/>
      <c r="BM59" s="31"/>
      <c r="BN59" s="31"/>
      <c r="CG59" s="31"/>
    </row>
    <row r="60" spans="2:85" ht="12.75" hidden="1" customHeight="1" x14ac:dyDescent="0.2">
      <c r="B60" s="3477"/>
      <c r="C60" s="3478"/>
      <c r="D60" s="3479"/>
      <c r="E60" s="3480"/>
      <c r="F60" s="3480"/>
      <c r="G60" s="3480"/>
      <c r="H60" s="3480"/>
      <c r="I60" s="3370"/>
      <c r="J60" s="3370"/>
      <c r="K60" s="48"/>
      <c r="L60" s="3481"/>
      <c r="M60" s="3481"/>
      <c r="N60" s="3481"/>
      <c r="O60" s="211"/>
      <c r="P60" s="406"/>
      <c r="Q60" s="50"/>
      <c r="R60" s="3"/>
      <c r="U60" s="30"/>
      <c r="V60" s="30"/>
      <c r="X60" s="40"/>
      <c r="Y60" s="31"/>
      <c r="AA60" s="32"/>
      <c r="AH60" s="32"/>
      <c r="AI60" s="32"/>
      <c r="AJ60" s="32"/>
      <c r="AK60" s="32"/>
      <c r="AQ60" s="44"/>
      <c r="BD60" s="31"/>
      <c r="BE60" s="31"/>
      <c r="BF60" s="31"/>
      <c r="BG60" s="31"/>
      <c r="BH60" s="31"/>
      <c r="BI60" s="31"/>
      <c r="BJ60" s="31"/>
      <c r="BK60" s="31"/>
      <c r="BL60" s="31"/>
      <c r="BM60" s="31"/>
      <c r="BN60" s="31"/>
      <c r="CG60" s="31"/>
    </row>
    <row r="61" spans="2:85" ht="12.75" hidden="1" customHeight="1" x14ac:dyDescent="0.2">
      <c r="B61" s="3477"/>
      <c r="C61" s="3478"/>
      <c r="D61" s="3479"/>
      <c r="E61" s="3480"/>
      <c r="F61" s="3480"/>
      <c r="G61" s="3480"/>
      <c r="H61" s="3480"/>
      <c r="I61" s="3370"/>
      <c r="J61" s="3370"/>
      <c r="K61" s="48"/>
      <c r="L61" s="3481"/>
      <c r="M61" s="3481"/>
      <c r="N61" s="3481"/>
      <c r="O61" s="211"/>
      <c r="P61" s="406"/>
      <c r="Q61" s="50"/>
      <c r="R61" s="3"/>
      <c r="U61" s="30"/>
      <c r="V61" s="30"/>
      <c r="X61" s="40"/>
      <c r="Y61" s="31"/>
      <c r="AA61" s="32"/>
      <c r="AH61" s="32"/>
      <c r="AI61" s="32"/>
      <c r="AJ61" s="32"/>
      <c r="AK61" s="32"/>
      <c r="AQ61" s="44"/>
      <c r="BD61" s="31"/>
      <c r="BE61" s="31"/>
      <c r="BF61" s="31"/>
      <c r="BG61" s="31"/>
      <c r="BH61" s="31"/>
      <c r="BI61" s="31"/>
      <c r="BJ61" s="31"/>
      <c r="BK61" s="31"/>
      <c r="BL61" s="31"/>
      <c r="BM61" s="31"/>
      <c r="BN61" s="31"/>
      <c r="CG61" s="31"/>
    </row>
    <row r="62" spans="2:85" ht="12.75" hidden="1" customHeight="1" x14ac:dyDescent="0.2">
      <c r="B62" s="3477"/>
      <c r="C62" s="3478"/>
      <c r="D62" s="3479"/>
      <c r="E62" s="3480"/>
      <c r="F62" s="3480"/>
      <c r="G62" s="3480"/>
      <c r="H62" s="3480"/>
      <c r="I62" s="3370"/>
      <c r="J62" s="3370"/>
      <c r="K62" s="48"/>
      <c r="L62" s="3481"/>
      <c r="M62" s="3481"/>
      <c r="N62" s="3481"/>
      <c r="O62" s="211"/>
      <c r="P62" s="406"/>
      <c r="Q62" s="50"/>
      <c r="R62" s="3"/>
      <c r="U62" s="30"/>
      <c r="V62" s="30"/>
      <c r="X62" s="40"/>
      <c r="Y62" s="31"/>
      <c r="AA62" s="32"/>
      <c r="AH62" s="32"/>
      <c r="AI62" s="32"/>
      <c r="AJ62" s="32"/>
      <c r="AK62" s="32"/>
      <c r="AQ62" s="44"/>
      <c r="BD62" s="31"/>
      <c r="BE62" s="31"/>
      <c r="BF62" s="31"/>
      <c r="BG62" s="31"/>
      <c r="BH62" s="31"/>
      <c r="BI62" s="31"/>
      <c r="BJ62" s="31"/>
      <c r="BK62" s="31"/>
      <c r="BL62" s="31"/>
      <c r="BM62" s="31"/>
      <c r="BN62" s="31"/>
      <c r="CG62" s="31"/>
    </row>
    <row r="63" spans="2:85" ht="12.75" hidden="1" customHeight="1" x14ac:dyDescent="0.2">
      <c r="B63" s="3477"/>
      <c r="C63" s="3478"/>
      <c r="D63" s="3479"/>
      <c r="E63" s="3480"/>
      <c r="F63" s="3480"/>
      <c r="G63" s="3480"/>
      <c r="H63" s="3480"/>
      <c r="I63" s="3370"/>
      <c r="J63" s="3370"/>
      <c r="K63" s="48"/>
      <c r="L63" s="3481"/>
      <c r="M63" s="3481"/>
      <c r="N63" s="3481"/>
      <c r="O63" s="211"/>
      <c r="P63" s="406"/>
      <c r="Q63" s="50"/>
      <c r="R63" s="3"/>
      <c r="U63" s="30"/>
      <c r="V63" s="30"/>
      <c r="X63" s="40"/>
      <c r="Y63" s="31"/>
      <c r="AA63" s="32"/>
      <c r="AH63" s="32"/>
      <c r="AI63" s="32"/>
      <c r="AJ63" s="32"/>
      <c r="AK63" s="32"/>
      <c r="AQ63" s="44"/>
      <c r="BD63" s="31"/>
      <c r="BE63" s="31"/>
      <c r="BF63" s="31"/>
      <c r="BG63" s="31"/>
      <c r="BH63" s="31"/>
      <c r="BI63" s="31"/>
      <c r="BJ63" s="31"/>
      <c r="BK63" s="31"/>
      <c r="BL63" s="31"/>
      <c r="BM63" s="31"/>
      <c r="BN63" s="31"/>
      <c r="CG63" s="31"/>
    </row>
    <row r="64" spans="2:85" ht="12.75" hidden="1" customHeight="1" x14ac:dyDescent="0.2">
      <c r="B64" s="3477"/>
      <c r="C64" s="3478"/>
      <c r="D64" s="3479"/>
      <c r="E64" s="3480"/>
      <c r="F64" s="3480"/>
      <c r="G64" s="3480"/>
      <c r="H64" s="3480"/>
      <c r="I64" s="3370"/>
      <c r="J64" s="3370"/>
      <c r="K64" s="48"/>
      <c r="L64" s="3481"/>
      <c r="M64" s="3481"/>
      <c r="N64" s="3481"/>
      <c r="O64" s="211"/>
      <c r="P64" s="406"/>
      <c r="Q64" s="50"/>
      <c r="R64" s="3"/>
      <c r="U64" s="30"/>
      <c r="V64" s="30"/>
      <c r="X64" s="40"/>
      <c r="Y64" s="31"/>
      <c r="AA64" s="32"/>
      <c r="AH64" s="32"/>
      <c r="AI64" s="32"/>
      <c r="AJ64" s="32"/>
      <c r="AK64" s="32"/>
      <c r="AQ64" s="44"/>
      <c r="BD64" s="31"/>
      <c r="BE64" s="31"/>
      <c r="BF64" s="31"/>
      <c r="BG64" s="31"/>
      <c r="BH64" s="31"/>
      <c r="BI64" s="31"/>
      <c r="BJ64" s="31"/>
      <c r="BK64" s="31"/>
      <c r="BL64" s="31"/>
      <c r="BM64" s="31"/>
      <c r="BN64" s="31"/>
      <c r="CG64" s="31"/>
    </row>
    <row r="65" spans="1:85" ht="12.75" hidden="1" customHeight="1" x14ac:dyDescent="0.2">
      <c r="B65" s="3477"/>
      <c r="C65" s="3478"/>
      <c r="D65" s="3479"/>
      <c r="E65" s="3480"/>
      <c r="F65" s="3480"/>
      <c r="G65" s="3480"/>
      <c r="H65" s="3480"/>
      <c r="I65" s="3370"/>
      <c r="J65" s="3370"/>
      <c r="K65" s="48"/>
      <c r="L65" s="3481"/>
      <c r="M65" s="3481"/>
      <c r="N65" s="3481"/>
      <c r="O65" s="211"/>
      <c r="P65" s="406"/>
      <c r="Q65" s="50"/>
      <c r="R65" s="3"/>
      <c r="U65" s="30"/>
      <c r="V65" s="30"/>
      <c r="X65" s="40"/>
      <c r="Y65" s="31"/>
      <c r="AA65" s="32"/>
      <c r="AH65" s="32"/>
      <c r="AI65" s="32"/>
      <c r="AJ65" s="32"/>
      <c r="AK65" s="32"/>
      <c r="AQ65" s="44"/>
      <c r="BD65" s="31"/>
      <c r="BE65" s="31"/>
      <c r="BF65" s="31"/>
      <c r="BG65" s="31"/>
      <c r="BH65" s="31"/>
      <c r="BI65" s="31"/>
      <c r="BJ65" s="31"/>
      <c r="BK65" s="31"/>
      <c r="BL65" s="31"/>
      <c r="BM65" s="31"/>
      <c r="BN65" s="31"/>
      <c r="CG65" s="31"/>
    </row>
    <row r="66" spans="1:85" ht="12.75" hidden="1" customHeight="1" x14ac:dyDescent="0.2">
      <c r="B66" s="3477"/>
      <c r="C66" s="3478"/>
      <c r="D66" s="3479"/>
      <c r="E66" s="3480"/>
      <c r="F66" s="3480"/>
      <c r="G66" s="3480"/>
      <c r="H66" s="3480"/>
      <c r="I66" s="3370"/>
      <c r="J66" s="3370"/>
      <c r="K66" s="48"/>
      <c r="L66" s="3481"/>
      <c r="M66" s="3481"/>
      <c r="N66" s="3481"/>
      <c r="O66" s="211"/>
      <c r="P66" s="406"/>
      <c r="Q66" s="50"/>
      <c r="R66" s="3"/>
      <c r="U66" s="30"/>
      <c r="V66" s="30"/>
      <c r="X66" s="40"/>
      <c r="Y66" s="31"/>
      <c r="AA66" s="32"/>
      <c r="AH66" s="32"/>
      <c r="AI66" s="32"/>
      <c r="AJ66" s="32"/>
      <c r="AK66" s="32"/>
      <c r="AQ66" s="44"/>
      <c r="BD66" s="31"/>
      <c r="BE66" s="31"/>
      <c r="BF66" s="31"/>
      <c r="BG66" s="31"/>
      <c r="BH66" s="31"/>
      <c r="BI66" s="31"/>
      <c r="BJ66" s="31"/>
      <c r="BK66" s="31"/>
      <c r="BL66" s="31"/>
      <c r="BM66" s="31"/>
      <c r="BN66" s="31"/>
      <c r="CG66" s="31"/>
    </row>
    <row r="67" spans="1:85" ht="12.75" hidden="1" customHeight="1" x14ac:dyDescent="0.2">
      <c r="B67" s="3477"/>
      <c r="C67" s="3478"/>
      <c r="D67" s="3479"/>
      <c r="E67" s="3480"/>
      <c r="F67" s="3480"/>
      <c r="G67" s="3480"/>
      <c r="H67" s="3480"/>
      <c r="I67" s="3370"/>
      <c r="J67" s="3370"/>
      <c r="K67" s="48"/>
      <c r="L67" s="3481"/>
      <c r="M67" s="3481"/>
      <c r="N67" s="3481"/>
      <c r="O67" s="211"/>
      <c r="P67" s="406"/>
      <c r="Q67" s="50"/>
      <c r="R67" s="3"/>
      <c r="U67" s="30"/>
      <c r="V67" s="30"/>
      <c r="X67" s="40"/>
      <c r="Y67" s="31"/>
      <c r="AA67" s="32"/>
      <c r="AH67" s="32"/>
      <c r="AI67" s="32"/>
      <c r="AJ67" s="32"/>
      <c r="AK67" s="32"/>
      <c r="AQ67" s="44"/>
      <c r="BD67" s="31"/>
      <c r="BE67" s="31"/>
      <c r="BF67" s="31"/>
      <c r="BG67" s="31"/>
      <c r="BH67" s="31"/>
      <c r="BI67" s="31"/>
      <c r="BJ67" s="31"/>
      <c r="BK67" s="31"/>
      <c r="BL67" s="31"/>
      <c r="BM67" s="31"/>
      <c r="BN67" s="31"/>
      <c r="CG67" s="31"/>
    </row>
    <row r="68" spans="1:85" ht="12.75" hidden="1" customHeight="1" x14ac:dyDescent="0.2">
      <c r="B68" s="3477"/>
      <c r="C68" s="3478"/>
      <c r="D68" s="3479"/>
      <c r="E68" s="3480"/>
      <c r="F68" s="3480"/>
      <c r="G68" s="3480"/>
      <c r="H68" s="3480"/>
      <c r="I68" s="3370"/>
      <c r="J68" s="3370"/>
      <c r="K68" s="48"/>
      <c r="L68" s="3481"/>
      <c r="M68" s="3481"/>
      <c r="N68" s="3481"/>
      <c r="O68" s="211"/>
      <c r="P68" s="406"/>
      <c r="Q68" s="50"/>
      <c r="R68" s="3"/>
      <c r="U68" s="30"/>
      <c r="V68" s="30"/>
      <c r="X68" s="40"/>
      <c r="Y68" s="31"/>
      <c r="AA68" s="32"/>
      <c r="AH68" s="32"/>
      <c r="AI68" s="32"/>
      <c r="AJ68" s="32"/>
      <c r="AK68" s="32"/>
      <c r="AQ68" s="44"/>
      <c r="BD68" s="31"/>
      <c r="BE68" s="31"/>
      <c r="BF68" s="31"/>
      <c r="BG68" s="31"/>
      <c r="BH68" s="31"/>
      <c r="BI68" s="31"/>
      <c r="BJ68" s="31"/>
      <c r="BK68" s="31"/>
      <c r="BL68" s="31"/>
      <c r="BM68" s="31"/>
      <c r="BN68" s="31"/>
      <c r="CG68" s="31"/>
    </row>
    <row r="69" spans="1:85" ht="12.75" hidden="1" customHeight="1" x14ac:dyDescent="0.2">
      <c r="B69" s="3477"/>
      <c r="C69" s="3478"/>
      <c r="D69" s="3479"/>
      <c r="E69" s="3480"/>
      <c r="F69" s="3480"/>
      <c r="G69" s="3480"/>
      <c r="H69" s="3480"/>
      <c r="I69" s="3370"/>
      <c r="J69" s="3370"/>
      <c r="K69" s="48"/>
      <c r="L69" s="3481"/>
      <c r="M69" s="3481"/>
      <c r="N69" s="3481"/>
      <c r="O69" s="211"/>
      <c r="P69" s="406"/>
      <c r="Q69" s="50"/>
      <c r="R69" s="3"/>
      <c r="U69" s="30"/>
      <c r="V69" s="30"/>
      <c r="X69" s="40"/>
      <c r="Y69" s="31"/>
      <c r="AA69" s="32"/>
      <c r="AH69" s="32"/>
      <c r="AI69" s="32"/>
      <c r="AJ69" s="32"/>
      <c r="AK69" s="32"/>
      <c r="AQ69" s="44"/>
      <c r="BD69" s="31"/>
      <c r="BE69" s="31"/>
      <c r="BF69" s="31"/>
      <c r="BG69" s="31"/>
      <c r="BH69" s="31"/>
      <c r="BI69" s="31"/>
      <c r="BJ69" s="31"/>
      <c r="BK69" s="31"/>
      <c r="BL69" s="31"/>
      <c r="BM69" s="31"/>
      <c r="BN69" s="31"/>
      <c r="CG69" s="31"/>
    </row>
    <row r="70" spans="1:85" ht="15" x14ac:dyDescent="0.2">
      <c r="B70" s="108" t="s">
        <v>10574</v>
      </c>
      <c r="C70" s="35"/>
      <c r="D70" s="35"/>
      <c r="E70" s="151" t="str">
        <f>ver</f>
        <v>TA2_e-CO_2025_Ver 1.1</v>
      </c>
      <c r="F70" s="36"/>
      <c r="G70" s="36"/>
      <c r="H70" s="36"/>
      <c r="I70" s="36"/>
      <c r="J70" s="36"/>
      <c r="K70" s="36"/>
      <c r="L70" s="36"/>
      <c r="M70" s="430"/>
      <c r="N70" s="328" t="s">
        <v>942</v>
      </c>
      <c r="O70" s="36"/>
      <c r="P70" s="36"/>
      <c r="Q70" s="36"/>
      <c r="R70" s="3"/>
      <c r="AJ70" s="37"/>
      <c r="AK70" s="37"/>
      <c r="BD70" s="38"/>
      <c r="BE70" s="38"/>
      <c r="BF70" s="38"/>
      <c r="BG70" s="38"/>
      <c r="BH70" s="38"/>
      <c r="BI70" s="38"/>
      <c r="BJ70" s="38"/>
      <c r="BK70" s="38"/>
      <c r="BL70" s="38"/>
      <c r="BM70" s="38"/>
      <c r="BN70" s="38"/>
    </row>
    <row r="71" spans="1:85" ht="12.75" customHeight="1" x14ac:dyDescent="0.2">
      <c r="B71" s="4495" t="s">
        <v>114</v>
      </c>
      <c r="C71" s="4497"/>
      <c r="D71" s="4443" t="s">
        <v>2539</v>
      </c>
      <c r="E71" s="4475" t="s">
        <v>441</v>
      </c>
      <c r="F71" s="4513" t="s">
        <v>442</v>
      </c>
      <c r="G71" s="4505" t="s">
        <v>4120</v>
      </c>
      <c r="H71" s="4512"/>
      <c r="I71" s="4475" t="s">
        <v>6174</v>
      </c>
      <c r="J71" s="4475" t="s">
        <v>6175</v>
      </c>
      <c r="K71" s="4384" t="str">
        <f>IF($Z$1=1,$BA$1,$BA$2)</f>
      </c>
      <c r="L71" s="4475" t="s">
        <v>6176</v>
      </c>
      <c r="M71" s="4475" t="s">
        <v>939</v>
      </c>
      <c r="N71" s="4475" t="s">
        <v>6177</v>
      </c>
      <c r="O71" s="1155"/>
      <c r="P71" s="4503"/>
      <c r="Q71" s="4503"/>
      <c r="R71" s="3"/>
      <c r="BD71" s="39"/>
      <c r="BE71" s="39"/>
      <c r="BF71" s="39"/>
      <c r="BG71" s="39"/>
      <c r="BH71" s="39"/>
      <c r="BI71" s="39"/>
      <c r="BJ71" s="39"/>
      <c r="BK71" s="39"/>
      <c r="BL71" s="39"/>
      <c r="BM71" s="39"/>
      <c r="BN71" s="39"/>
    </row>
    <row r="72" spans="1:85" x14ac:dyDescent="0.2">
      <c r="B72" s="4496"/>
      <c r="C72" s="4497"/>
      <c r="D72" s="4498"/>
      <c r="E72" s="4475"/>
      <c r="F72" s="4522"/>
      <c r="G72" s="4513" t="s">
        <v>6178</v>
      </c>
      <c r="H72" s="4475" t="s">
        <v>6179</v>
      </c>
      <c r="I72" s="4475"/>
      <c r="J72" s="4475"/>
      <c r="K72" s="4384"/>
      <c r="L72" s="4475"/>
      <c r="M72" s="4475"/>
      <c r="N72" s="4475"/>
      <c r="O72" s="1155"/>
      <c r="P72" s="4503"/>
      <c r="Q72" s="4503"/>
      <c r="R72" s="3"/>
      <c r="AH72" s="4442"/>
      <c r="AI72" s="4442"/>
      <c r="AJ72" s="4442"/>
      <c r="AK72" s="4442"/>
      <c r="AL72" s="4442"/>
      <c r="AM72" s="4442"/>
      <c r="AN72" s="4442"/>
      <c r="AO72" s="4442"/>
      <c r="BD72" s="39"/>
      <c r="BE72" s="39"/>
      <c r="BF72" s="39"/>
      <c r="BG72" s="39"/>
      <c r="BH72" s="39"/>
      <c r="BI72" s="39"/>
      <c r="BJ72" s="39"/>
      <c r="BK72" s="39"/>
      <c r="BL72" s="39"/>
      <c r="BM72" s="39"/>
      <c r="BN72" s="39"/>
    </row>
    <row r="73" spans="1:85" ht="20.25" customHeight="1" x14ac:dyDescent="0.2">
      <c r="B73" s="4496"/>
      <c r="C73" s="4497"/>
      <c r="D73" s="4499"/>
      <c r="E73" s="4475"/>
      <c r="F73" s="4514"/>
      <c r="G73" s="4514"/>
      <c r="H73" s="4475"/>
      <c r="I73" s="4475"/>
      <c r="J73" s="4475"/>
      <c r="K73" s="4384"/>
      <c r="L73" s="4475"/>
      <c r="M73" s="4475"/>
      <c r="N73" s="4475"/>
      <c r="O73" s="1155"/>
      <c r="P73" s="4503"/>
      <c r="Q73" s="4503"/>
      <c r="R73" s="3"/>
      <c r="W73" s="28" t="s">
        <v>6208</v>
      </c>
      <c r="Z73" s="40" t="s">
        <v>6209</v>
      </c>
      <c r="AH73" s="28">
        <f>AC38</f>
      </c>
      <c r="BD73" s="39"/>
      <c r="BE73" s="39"/>
      <c r="BF73" s="39"/>
      <c r="BG73" s="39"/>
      <c r="BH73" s="39"/>
      <c r="BI73" s="39"/>
      <c r="BJ73" s="39"/>
      <c r="BK73" s="39"/>
      <c r="BL73" s="39"/>
      <c r="BM73" s="39"/>
      <c r="BN73" s="39"/>
    </row>
    <row r="74" spans="1:85" ht="12.75" customHeight="1" x14ac:dyDescent="0.2">
      <c r="A74" s="28">
        <f t="shared" ref="A74:A191" si="60">IF(AH74=AH73,0,AH74)</f>
      </c>
      <c r="B74" s="426"/>
      <c r="C74" s="427" t="s">
        <v>363</v>
      </c>
      <c r="D74" s="431"/>
      <c r="E74" s="223"/>
      <c r="F74" s="223">
        <v>0</v>
      </c>
      <c r="G74" s="365"/>
      <c r="H74" s="432"/>
      <c r="I74" s="365"/>
      <c r="J74" s="368">
        <f>IF(I74="",0,IF($D74=$Q$1,0,AC74))</f>
      </c>
      <c r="K74" s="223"/>
      <c r="L74" s="405">
        <f>IF(T74=0,0,IF(W74&lt;0,0,W74))</f>
      </c>
      <c r="M74" s="405">
        <f>IF(T74=0,0,Z74)</f>
      </c>
      <c r="N74" s="405">
        <f>IF(T74=0,0,IF(AA74&gt;=0,AA74,0))</f>
      </c>
      <c r="O74" s="1155"/>
      <c r="P74" s="406" t="str">
        <f>IF(B74="","",IF(C74="",$AA$1,IF(D74="",$AE$1,IF(AND(D74&lt;&gt;$Q$1,E74=""),$AB$1,IF(AND(D74&lt;&gt;$Q$1,F74=""),$AC$1,IF(AND(D74=$Q$1,G74+H74=0),$AB$1,IF(I74="","",IF(AK74=0,$AB$1,""))))))))</f>
        <v/>
      </c>
      <c r="Q74" s="50"/>
      <c r="R74" s="3"/>
      <c r="S74" s="28">
        <f>IF(P74="",0,1)</f>
      </c>
      <c r="T74" s="28">
        <f>IF(ISERROR(V74),4,V74)</f>
      </c>
      <c r="U74" s="30">
        <f>IF($Z$1=1,K74,IF(ISBLANK(K74),T74,IF(K74=0,0,IF(K74&gt;T74,K74,T74))))</f>
      </c>
      <c r="V74" s="40">
        <f t="shared" ref="V74:V117" si="61">IF(ISBLANK(B74),0,VLOOKUP($B74,$B$322:$C$343,2,FALSE))</f>
      </c>
      <c r="W74" s="32">
        <f>IF(D74=$Q$1,(G74+H74),E74-I74)</f>
      </c>
      <c r="X74" s="28">
        <f>IF(D74=$Q$1,W74,F74-AC74)</f>
      </c>
      <c r="Y74" s="28">
        <f>IF(U74=0,0,W74/U74)</f>
      </c>
      <c r="Z74" s="28">
        <f>IF(Y74&lt;0,0,IF(Y74&gt;X74,X74,Y74))</f>
      </c>
      <c r="AA74" s="28">
        <f>X74-Z74</f>
      </c>
      <c r="AC74" s="28">
        <f>IF(T74=0,0,IF(D74=$Q$1,0,IF(AD74&lt;&gt;2,0,ROUND(F74*I74/E74,0))))</f>
      </c>
      <c r="AD74" s="28">
        <f>SUM(AE74:AF74)</f>
      </c>
      <c r="AE74" s="28">
        <f>IF(ISBLANK(F74),0,1)</f>
      </c>
      <c r="AF74" s="28">
        <f>IF(ISBLANK(E74),0,1)</f>
      </c>
      <c r="AH74" s="32">
        <f>IF(I74&gt;0,AH73+1,AH73)</f>
      </c>
      <c r="AI74" s="32">
        <f t="shared" ref="AI74:AJ77" si="62">E74</f>
      </c>
      <c r="AJ74" s="32">
        <f t="shared" si="62"/>
        <v>0</v>
      </c>
      <c r="AK74" s="32">
        <f>IF($D74=$Q$1,0,E74)</f>
      </c>
      <c r="AL74" s="32"/>
      <c r="BD74" s="31"/>
      <c r="BE74" s="31"/>
      <c r="BF74" s="31"/>
      <c r="BG74" s="31"/>
      <c r="BH74" s="31"/>
      <c r="BI74" s="31"/>
      <c r="BJ74" s="31"/>
      <c r="BK74" s="31"/>
      <c r="BL74" s="31"/>
      <c r="BM74" s="31"/>
      <c r="BN74" s="31"/>
      <c r="CB74" s="31"/>
      <c r="CG74" s="31"/>
    </row>
    <row r="75" spans="1:85" ht="12.75" customHeight="1" x14ac:dyDescent="0.2">
      <c r="A75" s="28">
        <f t="shared" si="60"/>
        <v>0</v>
      </c>
      <c r="B75" s="426"/>
      <c r="C75" s="427" t="s">
        <v>363</v>
      </c>
      <c r="D75" s="431"/>
      <c r="E75" s="223"/>
      <c r="F75" s="223">
        <v>0</v>
      </c>
      <c r="G75" s="365"/>
      <c r="H75" s="432"/>
      <c r="I75" s="365"/>
      <c r="J75" s="368">
        <f>IF(I75="",0,IF($D75=$Q$1,0,AC75))</f>
      </c>
      <c r="K75" s="223"/>
      <c r="L75" s="405">
        <f>IF(T75=0,0,IF(W75&lt;0,0,W75))</f>
      </c>
      <c r="M75" s="405">
        <f>IF(T75=0,0,Z75)</f>
      </c>
      <c r="N75" s="405">
        <f>IF(T75=0,0,IF(AA75&gt;=0,AA75,0))</f>
      </c>
      <c r="O75" s="1155"/>
      <c r="P75" s="406" t="str">
        <f t="shared" ref="P75:P178" si="63">IF(B75="","",IF(C75="",$AA$1,IF(D75="",$AE$1,IF(AND(D75&lt;&gt;$Q$1,E75=""),$AB$1,IF(AND(D75&lt;&gt;$Q$1,F75=""),$AC$1,IF(AND(D75=$Q$1,G75+H75=0),$AB$1,IF(I75="","",IF(AK75=0,$AB$1,""))))))))</f>
        <v/>
      </c>
      <c r="Q75" s="50"/>
      <c r="R75" s="3"/>
      <c r="S75" s="28">
        <f>IF(P75="",0,1)</f>
      </c>
      <c r="T75" s="28">
        <f>IF(ISERROR(V75),4,V75)</f>
      </c>
      <c r="U75" s="30">
        <f>IF($Z$1=1,K75,IF(ISBLANK(K75),T75,IF(K75=0,0,IF(K75&gt;T75,K75,T75))))</f>
      </c>
      <c r="V75" s="40">
        <f t="shared" si="61"/>
        <v>4</v>
      </c>
      <c r="W75" s="32">
        <f>IF(D75=$Q$1,(G75+H75),E75-I75)</f>
      </c>
      <c r="X75" s="28">
        <f>IF(D75=$Q$1,W75,F75-AC75)</f>
      </c>
      <c r="Y75" s="28">
        <f>IF(U75=0,0,W75/U75)</f>
      </c>
      <c r="Z75" s="28">
        <f>IF(Y75&lt;0,0,IF(Y75&gt;X75,X75,Y75))</f>
      </c>
      <c r="AA75" s="28">
        <f>X75-Z75</f>
      </c>
      <c r="AC75" s="28">
        <f>IF(T75=0,0,IF(D75=$Q$1,0,IF(AD75&lt;&gt;2,0,ROUND(F75*I75/E75,0))))</f>
      </c>
      <c r="AD75" s="28">
        <f>SUM(AE75:AF75)</f>
      </c>
      <c r="AE75" s="28">
        <f>IF(ISBLANK(F75),0,1)</f>
      </c>
      <c r="AF75" s="28">
        <f>IF(ISBLANK(E75),0,1)</f>
      </c>
      <c r="AH75" s="32">
        <f>IF(I75&gt;0,AH74+1,AH74)</f>
      </c>
      <c r="AI75" s="32">
        <f t="shared" si="62"/>
        <v>35622</v>
      </c>
      <c r="AJ75" s="32">
        <f t="shared" si="62"/>
        <v>0</v>
      </c>
      <c r="AK75" s="32">
        <f>IF($D75=$Q$1,0,E75)</f>
      </c>
      <c r="AL75" s="32"/>
      <c r="BD75" s="31"/>
      <c r="BE75" s="31"/>
      <c r="BF75" s="31"/>
      <c r="BG75" s="31"/>
      <c r="BH75" s="31"/>
      <c r="BI75" s="31"/>
      <c r="BJ75" s="31"/>
      <c r="BK75" s="31"/>
      <c r="BL75" s="31"/>
      <c r="BM75" s="31"/>
      <c r="BN75" s="31"/>
      <c r="CB75" s="31"/>
      <c r="CG75" s="31"/>
    </row>
    <row r="76" spans="1:85" ht="12.75" customHeight="1" x14ac:dyDescent="0.2">
      <c r="A76" s="28">
        <f t="shared" si="60"/>
        <v>0</v>
      </c>
      <c r="B76" s="426"/>
      <c r="C76" s="427" t="s">
        <v>363</v>
      </c>
      <c r="D76" s="431"/>
      <c r="E76" s="223"/>
      <c r="F76" s="223">
        <v>0</v>
      </c>
      <c r="G76" s="365"/>
      <c r="H76" s="432"/>
      <c r="I76" s="365"/>
      <c r="J76" s="368">
        <f>IF(I76="",0,IF($D76=$Q$1,0,AC76))</f>
      </c>
      <c r="K76" s="223"/>
      <c r="L76" s="405">
        <f>IF(T76=0,0,IF(W76&lt;0,0,W76))</f>
      </c>
      <c r="M76" s="405">
        <f>IF(T76=0,0,Z76)</f>
      </c>
      <c r="N76" s="405">
        <f>IF(T76=0,0,IF(AA76&gt;=0,AA76,0))</f>
      </c>
      <c r="O76" s="1155"/>
      <c r="P76" s="406" t="str">
        <f t="shared" si="63"/>
        <v/>
      </c>
      <c r="Q76" s="50"/>
      <c r="R76" s="3"/>
      <c r="S76" s="28">
        <f>IF(P76="",0,1)</f>
      </c>
      <c r="T76" s="28">
        <f>IF(ISERROR(V76),4,V76)</f>
      </c>
      <c r="U76" s="30">
        <f>IF($Z$1=1,K76,IF(ISBLANK(K76),T76,IF(K76=0,0,IF(K76&gt;T76,K76,T76))))</f>
      </c>
      <c r="V76" s="40">
        <f t="shared" si="61"/>
        <v>4</v>
      </c>
      <c r="W76" s="32">
        <f>IF(D76=$Q$1,(G76+H76),E76-I76)</f>
      </c>
      <c r="X76" s="28">
        <f>IF(D76=$Q$1,W76,F76-AC76)</f>
      </c>
      <c r="Y76" s="28">
        <f>IF(U76=0,0,W76/U76)</f>
      </c>
      <c r="Z76" s="28">
        <f>IF(Y76&lt;0,0,IF(Y76&gt;X76,X76,Y76))</f>
      </c>
      <c r="AA76" s="28">
        <f>X76-Z76</f>
      </c>
      <c r="AC76" s="28">
        <f>IF(T76=0,0,IF(D76=$Q$1,0,IF(AD76&lt;&gt;2,0,ROUND(F76*I76/E76,0))))</f>
      </c>
      <c r="AD76" s="28">
        <f>SUM(AE76:AF76)</f>
      </c>
      <c r="AE76" s="28">
        <f>IF(ISBLANK(F76),0,1)</f>
      </c>
      <c r="AF76" s="28">
        <f>IF(ISBLANK(E76),0,1)</f>
      </c>
      <c r="AH76" s="32">
        <f>IF(I76&gt;0,AH75+1,AH75)</f>
      </c>
      <c r="AI76" s="32">
        <f t="shared" si="62"/>
        <v>686</v>
      </c>
      <c r="AJ76" s="32">
        <f t="shared" si="62"/>
        <v>0</v>
      </c>
      <c r="AK76" s="32">
        <f>IF($D76=$Q$1,0,E76)</f>
      </c>
      <c r="AL76" s="32"/>
      <c r="BD76" s="31"/>
      <c r="BE76" s="31"/>
      <c r="BF76" s="31"/>
      <c r="BG76" s="31"/>
      <c r="BH76" s="31"/>
      <c r="BI76" s="31"/>
      <c r="BJ76" s="31"/>
      <c r="BK76" s="31"/>
      <c r="BL76" s="31"/>
      <c r="BM76" s="31"/>
      <c r="BN76" s="31"/>
      <c r="CB76" s="31"/>
      <c r="CG76" s="31"/>
    </row>
    <row r="77" spans="1:85" ht="12.75" customHeight="1" x14ac:dyDescent="0.2">
      <c r="A77" s="28">
        <f t="shared" si="60"/>
        <v>0</v>
      </c>
      <c r="B77" s="426"/>
      <c r="C77" s="427" t="s">
        <v>363</v>
      </c>
      <c r="D77" s="431"/>
      <c r="E77" s="223"/>
      <c r="F77" s="223"/>
      <c r="G77" s="365"/>
      <c r="H77" s="432"/>
      <c r="I77" s="365"/>
      <c r="J77" s="368">
        <f>IF(I77="",0,IF($D77=$Q$1,0,AC77))</f>
      </c>
      <c r="K77" s="223"/>
      <c r="L77" s="405">
        <f>IF(T77=0,0,IF(W77&lt;0,0,W77))</f>
      </c>
      <c r="M77" s="405">
        <f>IF(T77=0,0,Z77)</f>
      </c>
      <c r="N77" s="405">
        <f>IF(T77=0,0,IF(AA77&gt;=0,AA77,0))</f>
      </c>
      <c r="O77" s="1155"/>
      <c r="P77" s="406" t="str">
        <f t="shared" si="63"/>
        <v/>
      </c>
      <c r="Q77" s="50"/>
      <c r="R77" s="3"/>
      <c r="S77" s="28">
        <f>IF(P77="",0,1)</f>
      </c>
      <c r="T77" s="28">
        <f>IF(ISERROR(V77),4,V77)</f>
      </c>
      <c r="U77" s="30">
        <f>IF($Z$1=1,K77,IF(ISBLANK(K77),T77,IF(K77=0,0,IF(K77&gt;T77,K77,T77))))</f>
      </c>
      <c r="V77" s="40">
        <f t="shared" si="61"/>
        <v>10</v>
      </c>
      <c r="W77" s="32">
        <f>IF(D77=$Q$1,(G77+H77),E77-I77)</f>
      </c>
      <c r="X77" s="28">
        <f>IF(D77=$Q$1,W77,F77-AC77)</f>
      </c>
      <c r="Y77" s="28">
        <f>IF(U77=0,0,W77/U77)</f>
      </c>
      <c r="Z77" s="28">
        <f>IF(Y77&lt;0,0,IF(Y77&gt;X77,X77,Y77))</f>
      </c>
      <c r="AA77" s="28">
        <f>X77-Z77</f>
      </c>
      <c r="AC77" s="28">
        <f>IF(T77=0,0,IF(D77=$Q$1,0,IF(AD77&lt;&gt;2,0,ROUND(F77*I77/E77,0))))</f>
      </c>
      <c r="AD77" s="28">
        <f>SUM(AE77:AF77)</f>
      </c>
      <c r="AE77" s="28">
        <f>IF(ISBLANK(F77),0,1)</f>
      </c>
      <c r="AF77" s="28">
        <f>IF(ISBLANK(E77),0,1)</f>
      </c>
      <c r="AH77" s="32">
        <f>IF(I77&gt;0,AH76+1,AH76)</f>
      </c>
      <c r="AI77" s="32">
        <f t="shared" si="62"/>
        <v>393</v>
      </c>
      <c r="AJ77" s="32">
        <f t="shared" si="62"/>
        <v>198</v>
      </c>
      <c r="AK77" s="32">
        <f>IF($D77=$Q$1,0,E77)</f>
      </c>
      <c r="AL77" s="32"/>
      <c r="BD77" s="31"/>
      <c r="BE77" s="31"/>
      <c r="BF77" s="31"/>
      <c r="BG77" s="31"/>
      <c r="BH77" s="31"/>
      <c r="BI77" s="31"/>
      <c r="BJ77" s="31"/>
      <c r="BK77" s="31"/>
      <c r="BL77" s="31"/>
      <c r="BM77" s="31"/>
      <c r="BN77" s="31"/>
      <c r="CB77" s="31"/>
      <c r="CG77" s="31"/>
    </row>
    <row r="78" spans="1:85" ht="12.75" customHeight="1" x14ac:dyDescent="0.2">
      <c r="A78" s="28">
        <f t="shared" si="60"/>
        <v>0</v>
      </c>
      <c r="B78" s="426"/>
      <c r="C78" s="427" t="s">
        <v>363</v>
      </c>
      <c r="D78" s="431"/>
      <c r="E78" s="223"/>
      <c r="F78" s="223"/>
      <c r="G78" s="365"/>
      <c r="H78" s="432"/>
      <c r="I78" s="365"/>
      <c r="J78" s="368">
        <f t="shared" ref="J78:J117" si="64">IF(I78="",0,IF($D78=$Q$1,0,AC78))</f>
      </c>
      <c r="K78" s="223"/>
      <c r="L78" s="405">
        <f t="shared" ref="L78:L117" si="65">IF(T78=0,0,IF(W78&lt;0,0,W78))</f>
      </c>
      <c r="M78" s="405">
        <f t="shared" ref="M78:M117" si="66">IF(T78=0,0,Z78)</f>
      </c>
      <c r="N78" s="405">
        <f t="shared" ref="N78:N117" si="67">IF(T78=0,0,IF(AA78&gt;=0,AA78,0))</f>
      </c>
      <c r="O78" s="1155"/>
      <c r="P78" s="406" t="str">
        <f t="shared" si="63"/>
        <v/>
      </c>
      <c r="Q78" s="50"/>
      <c r="R78" s="3"/>
      <c r="S78" s="28">
        <f t="shared" ref="S78:S117" si="68">IF(P78="",0,1)</f>
      </c>
      <c r="T78" s="28">
        <f t="shared" ref="T78:T117" si="69">IF(ISERROR(V78),4,V78)</f>
      </c>
      <c r="U78" s="30">
        <f t="shared" ref="U78:U117" si="70">IF($Z$1=1,K78,IF(ISBLANK(K78),T78,IF(K78=0,0,IF(K78&gt;T78,K78,T78))))</f>
      </c>
      <c r="V78" s="40">
        <f t="shared" si="61"/>
        <v>4</v>
      </c>
      <c r="W78" s="32">
        <f t="shared" ref="W78:W117" si="71">IF(D78=$Q$1,(G78+H78),E78-I78)</f>
      </c>
      <c r="X78" s="28">
        <f t="shared" ref="X78:X117" si="72">IF(D78=$Q$1,W78,F78-AC78)</f>
      </c>
      <c r="Y78" s="28">
        <f t="shared" ref="Y78:Y117" si="73">IF(U78=0,0,W78/U78)</f>
      </c>
      <c r="Z78" s="28">
        <f t="shared" ref="Z78:Z117" si="74">IF(Y78&lt;0,0,IF(Y78&gt;X78,X78,Y78))</f>
      </c>
      <c r="AA78" s="28">
        <f t="shared" ref="AA78:AA117" si="75">X78-Z78</f>
      </c>
      <c r="AC78" s="28">
        <f t="shared" ref="AC78:AC117" si="76">IF(T78=0,0,IF(D78=$Q$1,0,IF(AD78&lt;&gt;2,0,ROUND(F78*I78/E78,0))))</f>
      </c>
      <c r="AD78" s="28">
        <f t="shared" ref="AD78:AD117" si="77">SUM(AE78:AF78)</f>
      </c>
      <c r="AE78" s="28">
        <f t="shared" ref="AE78:AE117" si="78">IF(ISBLANK(F78),0,1)</f>
      </c>
      <c r="AF78" s="28">
        <f t="shared" ref="AF78:AF117" si="79">IF(ISBLANK(E78),0,1)</f>
      </c>
      <c r="AH78" s="32">
        <f t="shared" ref="AH78:AH117" si="80">IF(I78&gt;0,AH77+1,AH77)</f>
      </c>
      <c r="AI78" s="32">
        <f t="shared" ref="AI78:AI117" si="81">E78</f>
      </c>
      <c r="AJ78" s="32">
        <f t="shared" ref="AJ78:AJ117" si="82">F78</f>
      </c>
      <c r="AK78" s="32">
        <f t="shared" ref="AK78:AK117" si="83">IF($D78=$Q$1,0,E78)</f>
      </c>
      <c r="AL78" s="32"/>
      <c r="BD78" s="31"/>
      <c r="BE78" s="31"/>
      <c r="BF78" s="31"/>
      <c r="BG78" s="31"/>
      <c r="BH78" s="31"/>
      <c r="BI78" s="31"/>
      <c r="BJ78" s="31"/>
      <c r="BK78" s="31"/>
      <c r="BL78" s="31"/>
      <c r="BM78" s="31"/>
      <c r="BN78" s="31"/>
      <c r="CB78" s="31"/>
      <c r="CG78" s="31"/>
    </row>
    <row r="79" spans="1:85" ht="12.75" customHeight="1" x14ac:dyDescent="0.2">
      <c r="A79" s="28">
        <f t="shared" si="60"/>
        <v>0</v>
      </c>
      <c r="B79" s="426"/>
      <c r="C79" s="427" t="s">
        <v>363</v>
      </c>
      <c r="D79" s="431"/>
      <c r="E79" s="223"/>
      <c r="F79" s="223"/>
      <c r="G79" s="365"/>
      <c r="H79" s="432"/>
      <c r="I79" s="365"/>
      <c r="J79" s="368">
        <f t="shared" si="64"/>
        <v>0</v>
      </c>
      <c r="K79" s="223"/>
      <c r="L79" s="405">
        <f t="shared" si="65"/>
        <v>1418</v>
      </c>
      <c r="M79" s="405">
        <f t="shared" si="66"/>
        <v>2</v>
      </c>
      <c r="N79" s="405">
        <f t="shared" si="67"/>
        <v>0</v>
      </c>
      <c r="O79" s="1155"/>
      <c r="P79" s="406" t="str">
        <f t="shared" si="63"/>
        <v/>
      </c>
      <c r="Q79" s="50"/>
      <c r="R79" s="3"/>
      <c r="S79" s="28">
        <f t="shared" si="68"/>
        <v>0</v>
      </c>
      <c r="T79" s="28">
        <f t="shared" si="69"/>
        <v>4</v>
      </c>
      <c r="U79" s="30">
        <f t="shared" si="70"/>
        <v>4</v>
      </c>
      <c r="V79" s="40">
        <f t="shared" si="61"/>
        <v>4</v>
      </c>
      <c r="W79" s="32">
        <f t="shared" si="71"/>
        <v>1418</v>
      </c>
      <c r="X79" s="28">
        <f t="shared" si="72"/>
        <v>2</v>
      </c>
      <c r="Y79" s="28">
        <f t="shared" si="73"/>
        <v>354.5</v>
      </c>
      <c r="Z79" s="28">
        <f t="shared" si="74"/>
        <v>2</v>
      </c>
      <c r="AA79" s="28">
        <f t="shared" si="75"/>
        <v>0</v>
      </c>
      <c r="AC79" s="28">
        <f t="shared" si="76"/>
        <v>0</v>
      </c>
      <c r="AD79" s="28">
        <f t="shared" si="77"/>
        <v>2</v>
      </c>
      <c r="AE79" s="28">
        <f t="shared" si="78"/>
        <v>1</v>
      </c>
      <c r="AF79" s="28">
        <f t="shared" si="79"/>
        <v>1</v>
      </c>
      <c r="AH79" s="32">
        <f t="shared" si="80"/>
        <v>0</v>
      </c>
      <c r="AI79" s="32">
        <f t="shared" si="81"/>
        <v>1418</v>
      </c>
      <c r="AJ79" s="32">
        <f t="shared" si="82"/>
        <v>2</v>
      </c>
      <c r="AK79" s="32">
        <f t="shared" si="83"/>
        <v>1418</v>
      </c>
      <c r="AL79" s="32"/>
      <c r="BD79" s="31"/>
      <c r="BE79" s="31"/>
      <c r="BF79" s="31"/>
      <c r="BG79" s="31"/>
      <c r="BH79" s="31"/>
      <c r="BI79" s="31"/>
      <c r="BJ79" s="31"/>
      <c r="BK79" s="31"/>
      <c r="BL79" s="31"/>
      <c r="BM79" s="31"/>
      <c r="BN79" s="31"/>
      <c r="CB79" s="31"/>
      <c r="CG79" s="31"/>
    </row>
    <row r="80" spans="1:85" ht="12.75" customHeight="1" x14ac:dyDescent="0.2">
      <c r="A80" s="28">
        <f t="shared" si="60"/>
        <v>0</v>
      </c>
      <c r="B80" s="426"/>
      <c r="C80" s="427" t="s">
        <v>363</v>
      </c>
      <c r="D80" s="431">
        <v>2022</v>
      </c>
      <c r="E80" s="223"/>
      <c r="F80" s="223"/>
      <c r="G80" s="365"/>
      <c r="H80" s="432"/>
      <c r="I80" s="365"/>
      <c r="J80" s="368">
        <f t="shared" si="64"/>
        <v>0</v>
      </c>
      <c r="K80" s="223"/>
      <c r="L80" s="405">
        <f t="shared" si="65"/>
        <v>1202</v>
      </c>
      <c r="M80" s="405">
        <f t="shared" si="66"/>
        <v>300.5</v>
      </c>
      <c r="N80" s="405">
        <f t="shared" si="67"/>
        <v>1.5</v>
      </c>
      <c r="O80" s="1155"/>
      <c r="P80" s="406" t="str">
        <f t="shared" si="63"/>
        <v/>
      </c>
      <c r="Q80" s="50"/>
      <c r="R80" s="3"/>
      <c r="S80" s="28">
        <f t="shared" si="68"/>
        <v>0</v>
      </c>
      <c r="T80" s="28">
        <f t="shared" si="69"/>
        <v>4</v>
      </c>
      <c r="U80" s="30">
        <f t="shared" si="70"/>
        <v>4</v>
      </c>
      <c r="V80" s="40">
        <f t="shared" si="61"/>
        <v>4</v>
      </c>
      <c r="W80" s="32">
        <f t="shared" si="71"/>
        <v>1202</v>
      </c>
      <c r="X80" s="28">
        <f t="shared" si="72"/>
        <v>302</v>
      </c>
      <c r="Y80" s="28">
        <f t="shared" si="73"/>
        <v>300.5</v>
      </c>
      <c r="Z80" s="28">
        <f t="shared" si="74"/>
        <v>300.5</v>
      </c>
      <c r="AA80" s="28">
        <f t="shared" si="75"/>
        <v>1.5</v>
      </c>
      <c r="AC80" s="28">
        <f t="shared" si="76"/>
        <v>0</v>
      </c>
      <c r="AD80" s="28">
        <f t="shared" si="77"/>
        <v>2</v>
      </c>
      <c r="AE80" s="28">
        <f t="shared" si="78"/>
        <v>1</v>
      </c>
      <c r="AF80" s="28">
        <f t="shared" si="79"/>
        <v>1</v>
      </c>
      <c r="AH80" s="32">
        <f t="shared" si="80"/>
        <v>0</v>
      </c>
      <c r="AI80" s="32">
        <f t="shared" si="81"/>
        <v>1202</v>
      </c>
      <c r="AJ80" s="32">
        <f t="shared" si="82"/>
        <v>302</v>
      </c>
      <c r="AK80" s="32">
        <f t="shared" si="83"/>
        <v>1202</v>
      </c>
      <c r="AL80" s="32"/>
      <c r="BD80" s="31"/>
      <c r="BE80" s="31"/>
      <c r="BF80" s="31"/>
      <c r="BG80" s="31"/>
      <c r="BH80" s="31"/>
      <c r="BI80" s="31"/>
      <c r="BJ80" s="31"/>
      <c r="BK80" s="31"/>
      <c r="BL80" s="31"/>
      <c r="BM80" s="31"/>
      <c r="BN80" s="31"/>
      <c r="CB80" s="31"/>
      <c r="CG80" s="31"/>
    </row>
    <row r="81" spans="1:85" ht="12.75" customHeight="1" x14ac:dyDescent="0.2">
      <c r="A81" s="28">
        <f t="shared" si="60"/>
        <v>0</v>
      </c>
      <c r="B81" s="426"/>
      <c r="C81" s="427" t="s">
        <v>363</v>
      </c>
      <c r="D81" s="431"/>
      <c r="E81" s="223"/>
      <c r="F81" s="223"/>
      <c r="G81" s="365"/>
      <c r="H81" s="432"/>
      <c r="I81" s="365"/>
      <c r="J81" s="368">
        <f t="shared" si="64"/>
        <v>0</v>
      </c>
      <c r="K81" s="223"/>
      <c r="L81" s="405">
        <f t="shared" si="65"/>
        <v>1045</v>
      </c>
      <c r="M81" s="405">
        <f t="shared" si="66"/>
        <v>261.25</v>
      </c>
      <c r="N81" s="405">
        <f t="shared" si="67"/>
        <v>261.75</v>
      </c>
      <c r="O81" s="1155"/>
      <c r="P81" s="406" t="str">
        <f t="shared" si="63"/>
        <v/>
      </c>
      <c r="Q81" s="50"/>
      <c r="R81" s="3"/>
      <c r="S81" s="28">
        <f t="shared" si="68"/>
        <v>0</v>
      </c>
      <c r="T81" s="28">
        <f t="shared" si="69"/>
        <v>4</v>
      </c>
      <c r="U81" s="30">
        <f t="shared" si="70"/>
        <v>4</v>
      </c>
      <c r="V81" s="40">
        <f t="shared" si="61"/>
        <v>4</v>
      </c>
      <c r="W81" s="32">
        <f t="shared" si="71"/>
        <v>1045</v>
      </c>
      <c r="X81" s="28">
        <f t="shared" si="72"/>
        <v>523</v>
      </c>
      <c r="Y81" s="28">
        <f t="shared" si="73"/>
        <v>261.25</v>
      </c>
      <c r="Z81" s="28">
        <f t="shared" si="74"/>
        <v>261.25</v>
      </c>
      <c r="AA81" s="28">
        <f t="shared" si="75"/>
        <v>261.75</v>
      </c>
      <c r="AC81" s="28">
        <f t="shared" si="76"/>
        <v>0</v>
      </c>
      <c r="AD81" s="28">
        <f t="shared" si="77"/>
        <v>2</v>
      </c>
      <c r="AE81" s="28">
        <f t="shared" si="78"/>
        <v>1</v>
      </c>
      <c r="AF81" s="28">
        <f t="shared" si="79"/>
        <v>1</v>
      </c>
      <c r="AH81" s="32">
        <f t="shared" si="80"/>
        <v>0</v>
      </c>
      <c r="AI81" s="32">
        <f t="shared" si="81"/>
        <v>1045</v>
      </c>
      <c r="AJ81" s="32">
        <f t="shared" si="82"/>
        <v>523</v>
      </c>
      <c r="AK81" s="32">
        <f t="shared" si="83"/>
        <v>1045</v>
      </c>
      <c r="AL81" s="32"/>
      <c r="BD81" s="31"/>
      <c r="BE81" s="31"/>
      <c r="BF81" s="31"/>
      <c r="BG81" s="31"/>
      <c r="BH81" s="31"/>
      <c r="BI81" s="31"/>
      <c r="BJ81" s="31"/>
      <c r="BK81" s="31"/>
      <c r="BL81" s="31"/>
      <c r="BM81" s="31"/>
      <c r="BN81" s="31"/>
      <c r="CB81" s="31"/>
      <c r="CG81" s="31"/>
    </row>
    <row r="82" spans="1:85" ht="12.75" customHeight="1" x14ac:dyDescent="0.2">
      <c r="A82" s="28">
        <f t="shared" si="60"/>
        <v>0</v>
      </c>
      <c r="B82" s="426"/>
      <c r="C82" s="427" t="s">
        <v>363</v>
      </c>
      <c r="D82" s="431">
        <v>2023</v>
      </c>
      <c r="E82" s="223"/>
      <c r="F82" s="223"/>
      <c r="G82" s="365"/>
      <c r="H82" s="432"/>
      <c r="I82" s="365"/>
      <c r="J82" s="368">
        <f t="shared" si="64"/>
        <v>0</v>
      </c>
      <c r="K82" s="223"/>
      <c r="L82" s="405">
        <f t="shared" si="65"/>
        <v>25738</v>
      </c>
      <c r="M82" s="405">
        <f t="shared" si="66"/>
        <v>6434.5</v>
      </c>
      <c r="N82" s="405">
        <f t="shared" si="67"/>
        <v>6435.5</v>
      </c>
      <c r="O82" s="1155"/>
      <c r="P82" s="406" t="str">
        <f t="shared" si="63"/>
        <v/>
      </c>
      <c r="Q82" s="50"/>
      <c r="R82" s="3"/>
      <c r="S82" s="28">
        <f t="shared" si="68"/>
        <v>0</v>
      </c>
      <c r="T82" s="28">
        <f t="shared" si="69"/>
        <v>4</v>
      </c>
      <c r="U82" s="30">
        <f t="shared" si="70"/>
        <v>4</v>
      </c>
      <c r="V82" s="40">
        <f t="shared" si="61"/>
        <v>4</v>
      </c>
      <c r="W82" s="32">
        <f t="shared" si="71"/>
        <v>25738</v>
      </c>
      <c r="X82" s="28">
        <f t="shared" si="72"/>
        <v>12870</v>
      </c>
      <c r="Y82" s="28">
        <f t="shared" si="73"/>
        <v>6434.5</v>
      </c>
      <c r="Z82" s="28">
        <f t="shared" si="74"/>
        <v>6434.5</v>
      </c>
      <c r="AA82" s="28">
        <f t="shared" si="75"/>
        <v>6435.5</v>
      </c>
      <c r="AC82" s="28">
        <f t="shared" si="76"/>
        <v>0</v>
      </c>
      <c r="AD82" s="28">
        <f t="shared" si="77"/>
        <v>2</v>
      </c>
      <c r="AE82" s="28">
        <f t="shared" si="78"/>
        <v>1</v>
      </c>
      <c r="AF82" s="28">
        <f t="shared" si="79"/>
        <v>1</v>
      </c>
      <c r="AH82" s="32">
        <f t="shared" si="80"/>
        <v>0</v>
      </c>
      <c r="AI82" s="32">
        <f t="shared" si="81"/>
        <v>25738</v>
      </c>
      <c r="AJ82" s="32">
        <f t="shared" si="82"/>
        <v>12870</v>
      </c>
      <c r="AK82" s="32">
        <f t="shared" si="83"/>
        <v>25738</v>
      </c>
      <c r="AL82" s="32"/>
      <c r="BD82" s="31"/>
      <c r="BE82" s="31"/>
      <c r="BF82" s="31"/>
      <c r="BG82" s="31"/>
      <c r="BH82" s="31"/>
      <c r="BI82" s="31"/>
      <c r="BJ82" s="31"/>
      <c r="BK82" s="31"/>
      <c r="BL82" s="31"/>
      <c r="BM82" s="31"/>
      <c r="BN82" s="31"/>
      <c r="CB82" s="31"/>
      <c r="CG82" s="31"/>
    </row>
    <row r="83" spans="1:85" ht="12.75" customHeight="1" x14ac:dyDescent="0.2">
      <c r="A83" s="28">
        <f t="shared" si="60"/>
        <v>0</v>
      </c>
      <c r="B83" s="426"/>
      <c r="C83" s="427" t="s">
        <v>363</v>
      </c>
      <c r="D83" s="431"/>
      <c r="E83" s="223"/>
      <c r="F83" s="223"/>
      <c r="G83" s="365"/>
      <c r="H83" s="432"/>
      <c r="I83" s="365"/>
      <c r="J83" s="368">
        <f t="shared" si="64"/>
        <v>0</v>
      </c>
      <c r="K83" s="223"/>
      <c r="L83" s="405">
        <f t="shared" si="65"/>
        <v>709</v>
      </c>
      <c r="M83" s="405">
        <f t="shared" si="66"/>
        <v>70.900000000000006</v>
      </c>
      <c r="N83" s="405">
        <f t="shared" si="67"/>
        <v>496.1</v>
      </c>
      <c r="O83" s="1155"/>
      <c r="P83" s="406" t="str">
        <f t="shared" si="63"/>
        <v/>
      </c>
      <c r="Q83" s="50"/>
      <c r="R83" s="3"/>
      <c r="S83" s="28">
        <f t="shared" si="68"/>
        <v>0</v>
      </c>
      <c r="T83" s="28">
        <f t="shared" si="69"/>
        <v>10</v>
      </c>
      <c r="U83" s="30">
        <f t="shared" si="70"/>
        <v>10</v>
      </c>
      <c r="V83" s="40">
        <f t="shared" si="61"/>
        <v>10</v>
      </c>
      <c r="W83" s="32">
        <f t="shared" si="71"/>
        <v>709</v>
      </c>
      <c r="X83" s="28">
        <f t="shared" si="72"/>
        <v>567</v>
      </c>
      <c r="Y83" s="28">
        <f t="shared" si="73"/>
        <v>70.900000000000006</v>
      </c>
      <c r="Z83" s="28">
        <f t="shared" si="74"/>
        <v>70.900000000000006</v>
      </c>
      <c r="AA83" s="28">
        <f t="shared" si="75"/>
        <v>496.1</v>
      </c>
      <c r="AC83" s="28">
        <f t="shared" si="76"/>
        <v>0</v>
      </c>
      <c r="AD83" s="28">
        <f t="shared" si="77"/>
        <v>2</v>
      </c>
      <c r="AE83" s="28">
        <f t="shared" si="78"/>
        <v>1</v>
      </c>
      <c r="AF83" s="28">
        <f t="shared" si="79"/>
        <v>1</v>
      </c>
      <c r="AH83" s="32">
        <f t="shared" si="80"/>
        <v>0</v>
      </c>
      <c r="AI83" s="32">
        <f t="shared" si="81"/>
        <v>709</v>
      </c>
      <c r="AJ83" s="32">
        <f t="shared" si="82"/>
        <v>567</v>
      </c>
      <c r="AK83" s="32">
        <f t="shared" si="83"/>
        <v>709</v>
      </c>
      <c r="AL83" s="32"/>
      <c r="BD83" s="31"/>
      <c r="BE83" s="31"/>
      <c r="BF83" s="31"/>
      <c r="BG83" s="31"/>
      <c r="BH83" s="31"/>
      <c r="BI83" s="31"/>
      <c r="BJ83" s="31"/>
      <c r="BK83" s="31"/>
      <c r="BL83" s="31"/>
      <c r="BM83" s="31"/>
      <c r="BN83" s="31"/>
      <c r="CB83" s="31"/>
      <c r="CG83" s="31"/>
    </row>
    <row r="84" spans="1:85" ht="12.75" customHeight="1" x14ac:dyDescent="0.2">
      <c r="A84" s="28">
        <f t="shared" si="60"/>
        <v>0</v>
      </c>
      <c r="B84" s="426"/>
      <c r="C84" s="427" t="s">
        <v>363</v>
      </c>
      <c r="D84" s="431"/>
      <c r="E84" s="223"/>
      <c r="F84" s="223"/>
      <c r="G84" s="365"/>
      <c r="H84" s="432"/>
      <c r="I84" s="365"/>
      <c r="J84" s="368">
        <f t="shared" si="64"/>
        <v>0</v>
      </c>
      <c r="K84" s="223"/>
      <c r="L84" s="405">
        <f t="shared" si="65"/>
        <v>2608</v>
      </c>
      <c r="M84" s="405">
        <f t="shared" si="66"/>
        <v>652</v>
      </c>
      <c r="N84" s="405">
        <f t="shared" si="67"/>
        <v>1304</v>
      </c>
      <c r="O84" s="1155"/>
      <c r="P84" s="406" t="str">
        <f t="shared" si="63"/>
        <v/>
      </c>
      <c r="Q84" s="50"/>
      <c r="R84" s="3"/>
      <c r="S84" s="28">
        <f t="shared" si="68"/>
        <v>0</v>
      </c>
      <c r="T84" s="28">
        <f t="shared" si="69"/>
        <v>4</v>
      </c>
      <c r="U84" s="30">
        <f t="shared" si="70"/>
        <v>4</v>
      </c>
      <c r="V84" s="40">
        <f t="shared" si="61"/>
        <v>4</v>
      </c>
      <c r="W84" s="32">
        <f t="shared" si="71"/>
        <v>2608</v>
      </c>
      <c r="X84" s="28">
        <f t="shared" si="72"/>
        <v>1956</v>
      </c>
      <c r="Y84" s="28">
        <f t="shared" si="73"/>
        <v>652</v>
      </c>
      <c r="Z84" s="28">
        <f t="shared" si="74"/>
        <v>652</v>
      </c>
      <c r="AA84" s="28">
        <f t="shared" si="75"/>
        <v>1304</v>
      </c>
      <c r="AC84" s="28">
        <f t="shared" si="76"/>
        <v>0</v>
      </c>
      <c r="AD84" s="28">
        <f t="shared" si="77"/>
        <v>2</v>
      </c>
      <c r="AE84" s="28">
        <f t="shared" si="78"/>
        <v>1</v>
      </c>
      <c r="AF84" s="28">
        <f t="shared" si="79"/>
        <v>1</v>
      </c>
      <c r="AH84" s="32">
        <f t="shared" si="80"/>
        <v>0</v>
      </c>
      <c r="AI84" s="32">
        <f t="shared" si="81"/>
        <v>2608</v>
      </c>
      <c r="AJ84" s="32">
        <f t="shared" si="82"/>
        <v>1956</v>
      </c>
      <c r="AK84" s="32">
        <f t="shared" si="83"/>
        <v>2608</v>
      </c>
      <c r="AL84" s="32"/>
      <c r="BD84" s="31"/>
      <c r="BE84" s="31"/>
      <c r="BF84" s="31"/>
      <c r="BG84" s="31"/>
      <c r="BH84" s="31"/>
      <c r="BI84" s="31"/>
      <c r="BJ84" s="31"/>
      <c r="BK84" s="31"/>
      <c r="BL84" s="31"/>
      <c r="BM84" s="31"/>
      <c r="BN84" s="31"/>
      <c r="CB84" s="31"/>
      <c r="CG84" s="31"/>
    </row>
    <row r="85" spans="1:85" ht="12.75" customHeight="1" x14ac:dyDescent="0.2">
      <c r="A85" s="28">
        <f t="shared" si="60"/>
        <v>0</v>
      </c>
      <c r="B85" s="426"/>
      <c r="C85" s="427" t="s">
        <v>363</v>
      </c>
      <c r="D85" s="431"/>
      <c r="E85" s="223"/>
      <c r="F85" s="223"/>
      <c r="G85" s="365"/>
      <c r="H85" s="432"/>
      <c r="I85" s="365"/>
      <c r="J85" s="368">
        <f t="shared" si="64"/>
        <v>0</v>
      </c>
      <c r="K85" s="223"/>
      <c r="L85" s="405">
        <f t="shared" si="65"/>
        <v>36490</v>
      </c>
      <c r="M85" s="405">
        <f t="shared" si="66"/>
        <v>9122.5</v>
      </c>
      <c r="N85" s="405">
        <f t="shared" si="67"/>
        <v>18245.5</v>
      </c>
      <c r="O85" s="1155"/>
      <c r="P85" s="406" t="str">
        <f t="shared" si="63"/>
        <v/>
      </c>
      <c r="Q85" s="50"/>
      <c r="R85" s="3"/>
      <c r="S85" s="28">
        <f t="shared" si="68"/>
        <v>0</v>
      </c>
      <c r="T85" s="28">
        <f t="shared" si="69"/>
        <v>4</v>
      </c>
      <c r="U85" s="30">
        <f t="shared" si="70"/>
        <v>4</v>
      </c>
      <c r="V85" s="40">
        <f t="shared" si="61"/>
        <v>4</v>
      </c>
      <c r="W85" s="32">
        <f t="shared" si="71"/>
        <v>36490</v>
      </c>
      <c r="X85" s="28">
        <f t="shared" si="72"/>
        <v>27368</v>
      </c>
      <c r="Y85" s="28">
        <f t="shared" si="73"/>
        <v>9122.5</v>
      </c>
      <c r="Z85" s="28">
        <f t="shared" si="74"/>
        <v>9122.5</v>
      </c>
      <c r="AA85" s="28">
        <f t="shared" si="75"/>
        <v>18245.5</v>
      </c>
      <c r="AC85" s="28">
        <f t="shared" si="76"/>
        <v>0</v>
      </c>
      <c r="AD85" s="28">
        <f t="shared" si="77"/>
        <v>2</v>
      </c>
      <c r="AE85" s="28">
        <f t="shared" si="78"/>
        <v>1</v>
      </c>
      <c r="AF85" s="28">
        <f t="shared" si="79"/>
        <v>1</v>
      </c>
      <c r="AH85" s="32">
        <f t="shared" si="80"/>
        <v>0</v>
      </c>
      <c r="AI85" s="32">
        <f t="shared" si="81"/>
        <v>36490</v>
      </c>
      <c r="AJ85" s="32">
        <f t="shared" si="82"/>
        <v>27368</v>
      </c>
      <c r="AK85" s="32">
        <f t="shared" si="83"/>
        <v>36490</v>
      </c>
      <c r="AL85" s="32"/>
      <c r="BD85" s="31"/>
      <c r="BE85" s="31"/>
      <c r="BF85" s="31"/>
      <c r="BG85" s="31"/>
      <c r="BH85" s="31"/>
      <c r="BI85" s="31"/>
      <c r="BJ85" s="31"/>
      <c r="BK85" s="31"/>
      <c r="BL85" s="31"/>
      <c r="BM85" s="31"/>
      <c r="BN85" s="31"/>
      <c r="CB85" s="31"/>
      <c r="CG85" s="31"/>
    </row>
    <row r="86" spans="1:85" ht="12.75" customHeight="1" x14ac:dyDescent="0.2">
      <c r="A86" s="28">
        <f t="shared" si="60"/>
        <v>0</v>
      </c>
      <c r="B86" s="426"/>
      <c r="C86" s="427" t="s">
        <v>363</v>
      </c>
      <c r="D86" s="431"/>
      <c r="E86" s="223"/>
      <c r="F86" s="223"/>
      <c r="G86" s="365"/>
      <c r="H86" s="432"/>
      <c r="I86" s="365"/>
      <c r="J86" s="368">
        <f t="shared" si="64"/>
        <v>0</v>
      </c>
      <c r="K86" s="223"/>
      <c r="L86" s="405">
        <f t="shared" si="65"/>
        <v>2034</v>
      </c>
      <c r="M86" s="405">
        <f t="shared" si="66"/>
        <v>508.5</v>
      </c>
      <c r="N86" s="405">
        <f t="shared" si="67"/>
        <v>1525.5</v>
      </c>
      <c r="O86" s="1155"/>
      <c r="P86" s="406" t="str">
        <f t="shared" si="63"/>
        <v/>
      </c>
      <c r="Q86" s="50"/>
      <c r="R86" s="3"/>
      <c r="S86" s="28">
        <f t="shared" si="68"/>
        <v>0</v>
      </c>
      <c r="T86" s="28">
        <f t="shared" si="69"/>
        <v>4</v>
      </c>
      <c r="U86" s="30">
        <f t="shared" si="70"/>
        <v>4</v>
      </c>
      <c r="V86" s="40">
        <f t="shared" si="61"/>
        <v>4</v>
      </c>
      <c r="W86" s="32">
        <f t="shared" si="71"/>
        <v>2034</v>
      </c>
      <c r="X86" s="28">
        <f t="shared" si="72"/>
        <v>2034</v>
      </c>
      <c r="Y86" s="28">
        <f t="shared" si="73"/>
        <v>508.5</v>
      </c>
      <c r="Z86" s="28">
        <f t="shared" si="74"/>
        <v>508.5</v>
      </c>
      <c r="AA86" s="28">
        <f t="shared" si="75"/>
        <v>1525.5</v>
      </c>
      <c r="AC86" s="28">
        <f t="shared" si="76"/>
        <v>0</v>
      </c>
      <c r="AD86" s="28">
        <f t="shared" si="77"/>
        <v>0</v>
      </c>
      <c r="AE86" s="28">
        <f t="shared" si="78"/>
        <v>0</v>
      </c>
      <c r="AF86" s="28">
        <f t="shared" si="79"/>
        <v>0</v>
      </c>
      <c r="AH86" s="32">
        <f t="shared" si="80"/>
        <v>0</v>
      </c>
      <c r="AI86" s="32">
        <f t="shared" si="81"/>
        <v>0</v>
      </c>
      <c r="AJ86" s="32">
        <f t="shared" si="82"/>
        <v>0</v>
      </c>
      <c r="AK86" s="32">
        <f t="shared" si="83"/>
        <v>0</v>
      </c>
      <c r="AL86" s="32"/>
      <c r="BD86" s="31"/>
      <c r="BE86" s="31"/>
      <c r="BF86" s="31"/>
      <c r="BG86" s="31"/>
      <c r="BH86" s="31"/>
      <c r="BI86" s="31"/>
      <c r="BJ86" s="31"/>
      <c r="BK86" s="31"/>
      <c r="BL86" s="31"/>
      <c r="BM86" s="31"/>
      <c r="BN86" s="31"/>
      <c r="CB86" s="31"/>
      <c r="CG86" s="31"/>
    </row>
    <row r="87" spans="1:85" ht="12.75" customHeight="1" x14ac:dyDescent="0.2">
      <c r="A87" s="28">
        <f t="shared" si="60"/>
        <v>0</v>
      </c>
      <c r="B87" s="426"/>
      <c r="C87" s="427" t="s">
        <v>363</v>
      </c>
      <c r="D87" s="431"/>
      <c r="E87" s="223"/>
      <c r="F87" s="223"/>
      <c r="G87" s="365">
        <f>82430+86540</f>
      </c>
      <c r="H87" s="432"/>
      <c r="I87" s="365"/>
      <c r="J87" s="368">
        <f t="shared" si="64"/>
        <v>0</v>
      </c>
      <c r="K87" s="223"/>
      <c r="L87" s="405">
        <f t="shared" si="65"/>
        <v>168970</v>
      </c>
      <c r="M87" s="405">
        <f t="shared" si="66"/>
        <v>42242.5</v>
      </c>
      <c r="N87" s="405">
        <f t="shared" si="67"/>
        <v>126727.5</v>
      </c>
      <c r="O87" s="1155"/>
      <c r="P87" s="406" t="str">
        <f t="shared" si="63"/>
        <v/>
      </c>
      <c r="Q87" s="50"/>
      <c r="R87" s="3"/>
      <c r="S87" s="28">
        <f t="shared" si="68"/>
        <v>0</v>
      </c>
      <c r="T87" s="28">
        <f t="shared" si="69"/>
        <v>4</v>
      </c>
      <c r="U87" s="30">
        <f t="shared" si="70"/>
        <v>4</v>
      </c>
      <c r="V87" s="40">
        <f t="shared" si="61"/>
        <v>4</v>
      </c>
      <c r="W87" s="32">
        <f t="shared" si="71"/>
        <v>168970</v>
      </c>
      <c r="X87" s="28">
        <f t="shared" si="72"/>
        <v>168970</v>
      </c>
      <c r="Y87" s="28">
        <f t="shared" si="73"/>
        <v>42242.5</v>
      </c>
      <c r="Z87" s="28">
        <f t="shared" si="74"/>
        <v>42242.5</v>
      </c>
      <c r="AA87" s="28">
        <f t="shared" si="75"/>
        <v>126727.5</v>
      </c>
      <c r="AC87" s="28">
        <f t="shared" si="76"/>
        <v>0</v>
      </c>
      <c r="AD87" s="28">
        <f t="shared" si="77"/>
        <v>0</v>
      </c>
      <c r="AE87" s="28">
        <f t="shared" si="78"/>
        <v>0</v>
      </c>
      <c r="AF87" s="28">
        <f t="shared" si="79"/>
        <v>0</v>
      </c>
      <c r="AH87" s="32">
        <f t="shared" si="80"/>
        <v>0</v>
      </c>
      <c r="AI87" s="32">
        <f t="shared" si="81"/>
        <v>0</v>
      </c>
      <c r="AJ87" s="32">
        <f t="shared" si="82"/>
        <v>0</v>
      </c>
      <c r="AK87" s="32">
        <f t="shared" si="83"/>
        <v>0</v>
      </c>
      <c r="AL87" s="32"/>
      <c r="BD87" s="31"/>
      <c r="BE87" s="31"/>
      <c r="BF87" s="31"/>
      <c r="BG87" s="31"/>
      <c r="BH87" s="31"/>
      <c r="BI87" s="31"/>
      <c r="BJ87" s="31"/>
      <c r="BK87" s="31"/>
      <c r="BL87" s="31"/>
      <c r="BM87" s="31"/>
      <c r="BN87" s="31"/>
      <c r="CB87" s="31"/>
      <c r="CG87" s="31"/>
    </row>
    <row r="88" spans="1:85" ht="12.75" customHeight="1" x14ac:dyDescent="0.2">
      <c r="A88" s="28">
        <f t="shared" si="60"/>
        <v>0</v>
      </c>
      <c r="B88" s="426"/>
      <c r="C88" s="427" t="s">
        <v>363</v>
      </c>
      <c r="D88" s="431"/>
      <c r="E88" s="223"/>
      <c r="F88" s="223"/>
      <c r="G88" s="365"/>
      <c r="H88" s="432"/>
      <c r="I88" s="365"/>
      <c r="J88" s="368">
        <f t="shared" si="64"/>
        <v>0</v>
      </c>
      <c r="K88" s="223"/>
      <c r="L88" s="405">
        <f t="shared" si="65"/>
        <v>0</v>
      </c>
      <c r="M88" s="405">
        <f t="shared" si="66"/>
        <v>0</v>
      </c>
      <c r="N88" s="405">
        <f t="shared" si="67"/>
        <v>0</v>
      </c>
      <c r="O88" s="1155"/>
      <c r="P88" s="406" t="str">
        <f t="shared" si="63"/>
        <v/>
      </c>
      <c r="Q88" s="50"/>
      <c r="R88" s="3"/>
      <c r="S88" s="28">
        <f t="shared" si="68"/>
        <v>0</v>
      </c>
      <c r="T88" s="28">
        <f t="shared" si="69"/>
        <v>0</v>
      </c>
      <c r="U88" s="30">
        <f t="shared" si="70"/>
        <v>0</v>
      </c>
      <c r="V88" s="40">
        <f t="shared" si="61"/>
        <v>0</v>
      </c>
      <c r="W88" s="32">
        <f t="shared" si="71"/>
        <v>0</v>
      </c>
      <c r="X88" s="28">
        <f t="shared" si="72"/>
        <v>0</v>
      </c>
      <c r="Y88" s="28">
        <f t="shared" si="73"/>
        <v>0</v>
      </c>
      <c r="Z88" s="28">
        <f t="shared" si="74"/>
        <v>0</v>
      </c>
      <c r="AA88" s="28">
        <f t="shared" si="75"/>
        <v>0</v>
      </c>
      <c r="AC88" s="28">
        <f t="shared" si="76"/>
        <v>0</v>
      </c>
      <c r="AD88" s="28">
        <f t="shared" si="77"/>
        <v>0</v>
      </c>
      <c r="AE88" s="28">
        <f t="shared" si="78"/>
        <v>0</v>
      </c>
      <c r="AF88" s="28">
        <f t="shared" si="79"/>
        <v>0</v>
      </c>
      <c r="AH88" s="32">
        <f t="shared" si="80"/>
        <v>0</v>
      </c>
      <c r="AI88" s="32">
        <f t="shared" si="81"/>
        <v>0</v>
      </c>
      <c r="AJ88" s="32">
        <f t="shared" si="82"/>
        <v>0</v>
      </c>
      <c r="AK88" s="32">
        <f t="shared" si="83"/>
        <v>0</v>
      </c>
      <c r="AL88" s="32"/>
      <c r="BD88" s="31"/>
      <c r="BE88" s="31"/>
      <c r="BF88" s="31"/>
      <c r="BG88" s="31"/>
      <c r="BH88" s="31"/>
      <c r="BI88" s="31"/>
      <c r="BJ88" s="31"/>
      <c r="BK88" s="31"/>
      <c r="BL88" s="31"/>
      <c r="BM88" s="31"/>
      <c r="BN88" s="31"/>
      <c r="CB88" s="31"/>
      <c r="CG88" s="31"/>
    </row>
    <row r="89" spans="1:85" ht="12.75" customHeight="1" x14ac:dyDescent="0.2">
      <c r="A89" s="28">
        <f t="shared" si="60"/>
        <v>0</v>
      </c>
      <c r="B89" s="426"/>
      <c r="C89" s="427" t="s">
        <v>363</v>
      </c>
      <c r="D89" s="431"/>
      <c r="E89" s="223"/>
      <c r="F89" s="223"/>
      <c r="G89" s="365"/>
      <c r="H89" s="432"/>
      <c r="I89" s="365"/>
      <c r="J89" s="368">
        <f t="shared" si="64"/>
        <v>0</v>
      </c>
      <c r="K89" s="223"/>
      <c r="L89" s="405">
        <f t="shared" si="65"/>
        <v>0</v>
      </c>
      <c r="M89" s="405">
        <f t="shared" si="66"/>
        <v>0</v>
      </c>
      <c r="N89" s="405">
        <f t="shared" si="67"/>
        <v>0</v>
      </c>
      <c r="O89" s="1155"/>
      <c r="P89" s="406" t="str">
        <f t="shared" si="63"/>
        <v/>
      </c>
      <c r="Q89" s="50"/>
      <c r="R89" s="3"/>
      <c r="S89" s="28">
        <f t="shared" si="68"/>
        <v>0</v>
      </c>
      <c r="T89" s="28">
        <f t="shared" si="69"/>
        <v>0</v>
      </c>
      <c r="U89" s="30">
        <f t="shared" si="70"/>
        <v>0</v>
      </c>
      <c r="V89" s="40">
        <f t="shared" si="61"/>
        <v>0</v>
      </c>
      <c r="W89" s="32">
        <f t="shared" si="71"/>
        <v>0</v>
      </c>
      <c r="X89" s="28">
        <f t="shared" si="72"/>
        <v>0</v>
      </c>
      <c r="Y89" s="28">
        <f t="shared" si="73"/>
        <v>0</v>
      </c>
      <c r="Z89" s="28">
        <f t="shared" si="74"/>
        <v>0</v>
      </c>
      <c r="AA89" s="28">
        <f t="shared" si="75"/>
        <v>0</v>
      </c>
      <c r="AC89" s="28">
        <f t="shared" si="76"/>
        <v>0</v>
      </c>
      <c r="AD89" s="28">
        <f t="shared" si="77"/>
        <v>0</v>
      </c>
      <c r="AE89" s="28">
        <f t="shared" si="78"/>
        <v>0</v>
      </c>
      <c r="AF89" s="28">
        <f t="shared" si="79"/>
        <v>0</v>
      </c>
      <c r="AH89" s="32">
        <f t="shared" si="80"/>
        <v>0</v>
      </c>
      <c r="AI89" s="32">
        <f t="shared" si="81"/>
        <v>0</v>
      </c>
      <c r="AJ89" s="32">
        <f t="shared" si="82"/>
        <v>0</v>
      </c>
      <c r="AK89" s="32">
        <f t="shared" si="83"/>
        <v>0</v>
      </c>
      <c r="AL89" s="32"/>
      <c r="BD89" s="31"/>
      <c r="BE89" s="31"/>
      <c r="BF89" s="31"/>
      <c r="BG89" s="31"/>
      <c r="BH89" s="31"/>
      <c r="BI89" s="31"/>
      <c r="BJ89" s="31"/>
      <c r="BK89" s="31"/>
      <c r="BL89" s="31"/>
      <c r="BM89" s="31"/>
      <c r="BN89" s="31"/>
      <c r="CB89" s="31"/>
      <c r="CG89" s="31"/>
    </row>
    <row r="90" spans="1:85" ht="12.75" customHeight="1" x14ac:dyDescent="0.2">
      <c r="A90" s="28">
        <f t="shared" si="60"/>
        <v>0</v>
      </c>
      <c r="B90" s="426"/>
      <c r="C90" s="427" t="s">
        <v>363</v>
      </c>
      <c r="D90" s="431"/>
      <c r="E90" s="223"/>
      <c r="F90" s="223"/>
      <c r="G90" s="365"/>
      <c r="H90" s="432"/>
      <c r="I90" s="365"/>
      <c r="J90" s="368">
        <f t="shared" si="64"/>
        <v>0</v>
      </c>
      <c r="K90" s="223"/>
      <c r="L90" s="405">
        <f t="shared" si="65"/>
        <v>0</v>
      </c>
      <c r="M90" s="405">
        <f t="shared" si="66"/>
        <v>0</v>
      </c>
      <c r="N90" s="405">
        <f t="shared" si="67"/>
        <v>0</v>
      </c>
      <c r="O90" s="1155"/>
      <c r="P90" s="406" t="str">
        <f t="shared" si="63"/>
        <v/>
      </c>
      <c r="Q90" s="50"/>
      <c r="R90" s="3"/>
      <c r="S90" s="28">
        <f t="shared" si="68"/>
        <v>0</v>
      </c>
      <c r="T90" s="28">
        <f t="shared" si="69"/>
        <v>0</v>
      </c>
      <c r="U90" s="30">
        <f t="shared" si="70"/>
        <v>0</v>
      </c>
      <c r="V90" s="40">
        <f t="shared" si="61"/>
        <v>0</v>
      </c>
      <c r="W90" s="32">
        <f t="shared" si="71"/>
        <v>0</v>
      </c>
      <c r="X90" s="28">
        <f t="shared" si="72"/>
        <v>0</v>
      </c>
      <c r="Y90" s="28">
        <f t="shared" si="73"/>
        <v>0</v>
      </c>
      <c r="Z90" s="28">
        <f t="shared" si="74"/>
        <v>0</v>
      </c>
      <c r="AA90" s="28">
        <f t="shared" si="75"/>
        <v>0</v>
      </c>
      <c r="AC90" s="28">
        <f t="shared" si="76"/>
        <v>0</v>
      </c>
      <c r="AD90" s="28">
        <f t="shared" si="77"/>
        <v>0</v>
      </c>
      <c r="AE90" s="28">
        <f t="shared" si="78"/>
        <v>0</v>
      </c>
      <c r="AF90" s="28">
        <f t="shared" si="79"/>
        <v>0</v>
      </c>
      <c r="AH90" s="32">
        <f t="shared" si="80"/>
        <v>0</v>
      </c>
      <c r="AI90" s="32">
        <f t="shared" si="81"/>
        <v>0</v>
      </c>
      <c r="AJ90" s="32">
        <f t="shared" si="82"/>
        <v>0</v>
      </c>
      <c r="AK90" s="32">
        <f t="shared" si="83"/>
        <v>0</v>
      </c>
      <c r="AL90" s="32"/>
      <c r="BD90" s="31"/>
      <c r="BE90" s="31"/>
      <c r="BF90" s="31"/>
      <c r="BG90" s="31"/>
      <c r="BH90" s="31"/>
      <c r="BI90" s="31"/>
      <c r="BJ90" s="31"/>
      <c r="BK90" s="31"/>
      <c r="BL90" s="31"/>
      <c r="BM90" s="31"/>
      <c r="BN90" s="31"/>
      <c r="CB90" s="31"/>
      <c r="CG90" s="31"/>
    </row>
    <row r="91" spans="1:85" ht="12.75" customHeight="1" x14ac:dyDescent="0.2">
      <c r="A91" s="28">
        <f t="shared" si="60"/>
        <v>0</v>
      </c>
      <c r="B91" s="426"/>
      <c r="C91" s="427" t="s">
        <v>363</v>
      </c>
      <c r="D91" s="431"/>
      <c r="E91" s="223"/>
      <c r="F91" s="223"/>
      <c r="G91" s="365"/>
      <c r="H91" s="432"/>
      <c r="I91" s="365"/>
      <c r="J91" s="368">
        <f t="shared" si="64"/>
        <v>0</v>
      </c>
      <c r="K91" s="223"/>
      <c r="L91" s="405">
        <f t="shared" si="65"/>
        <v>0</v>
      </c>
      <c r="M91" s="405">
        <f t="shared" si="66"/>
        <v>0</v>
      </c>
      <c r="N91" s="405">
        <f t="shared" si="67"/>
        <v>0</v>
      </c>
      <c r="O91" s="1155"/>
      <c r="P91" s="406" t="str">
        <f t="shared" si="63"/>
        <v/>
      </c>
      <c r="Q91" s="50"/>
      <c r="R91" s="3"/>
      <c r="S91" s="28">
        <f t="shared" si="68"/>
        <v>0</v>
      </c>
      <c r="T91" s="28">
        <f t="shared" si="69"/>
        <v>0</v>
      </c>
      <c r="U91" s="30">
        <f t="shared" si="70"/>
        <v>0</v>
      </c>
      <c r="V91" s="40">
        <f t="shared" si="61"/>
        <v>0</v>
      </c>
      <c r="W91" s="32">
        <f t="shared" si="71"/>
        <v>0</v>
      </c>
      <c r="X91" s="28">
        <f t="shared" si="72"/>
        <v>0</v>
      </c>
      <c r="Y91" s="28">
        <f t="shared" si="73"/>
        <v>0</v>
      </c>
      <c r="Z91" s="28">
        <f t="shared" si="74"/>
        <v>0</v>
      </c>
      <c r="AA91" s="28">
        <f t="shared" si="75"/>
        <v>0</v>
      </c>
      <c r="AC91" s="28">
        <f t="shared" si="76"/>
        <v>0</v>
      </c>
      <c r="AD91" s="28">
        <f t="shared" si="77"/>
        <v>0</v>
      </c>
      <c r="AE91" s="28">
        <f t="shared" si="78"/>
        <v>0</v>
      </c>
      <c r="AF91" s="28">
        <f t="shared" si="79"/>
        <v>0</v>
      </c>
      <c r="AH91" s="32">
        <f t="shared" si="80"/>
        <v>0</v>
      </c>
      <c r="AI91" s="32">
        <f t="shared" si="81"/>
        <v>0</v>
      </c>
      <c r="AJ91" s="32">
        <f t="shared" si="82"/>
        <v>0</v>
      </c>
      <c r="AK91" s="32">
        <f t="shared" si="83"/>
        <v>0</v>
      </c>
      <c r="AL91" s="32"/>
      <c r="BD91" s="31"/>
      <c r="BE91" s="31"/>
      <c r="BF91" s="31"/>
      <c r="BG91" s="31"/>
      <c r="BH91" s="31"/>
      <c r="BI91" s="31"/>
      <c r="BJ91" s="31"/>
      <c r="BK91" s="31"/>
      <c r="BL91" s="31"/>
      <c r="BM91" s="31"/>
      <c r="BN91" s="31"/>
      <c r="CB91" s="31"/>
      <c r="CG91" s="31"/>
    </row>
    <row r="92" spans="1:85" ht="12.75" customHeight="1" x14ac:dyDescent="0.2">
      <c r="A92" s="28">
        <f t="shared" si="60"/>
        <v>0</v>
      </c>
      <c r="B92" s="426"/>
      <c r="C92" s="427" t="s">
        <v>363</v>
      </c>
      <c r="D92" s="431"/>
      <c r="E92" s="223"/>
      <c r="F92" s="223"/>
      <c r="G92" s="365"/>
      <c r="H92" s="432"/>
      <c r="I92" s="365"/>
      <c r="J92" s="368">
        <f t="shared" si="64"/>
        <v>0</v>
      </c>
      <c r="K92" s="223"/>
      <c r="L92" s="405">
        <f t="shared" si="65"/>
        <v>0</v>
      </c>
      <c r="M92" s="405">
        <f t="shared" si="66"/>
        <v>0</v>
      </c>
      <c r="N92" s="405">
        <f t="shared" si="67"/>
        <v>0</v>
      </c>
      <c r="O92" s="1155"/>
      <c r="P92" s="406" t="str">
        <f t="shared" si="63"/>
        <v/>
      </c>
      <c r="Q92" s="50"/>
      <c r="R92" s="3"/>
      <c r="S92" s="28">
        <f t="shared" si="68"/>
        <v>0</v>
      </c>
      <c r="T92" s="28">
        <f t="shared" si="69"/>
        <v>0</v>
      </c>
      <c r="U92" s="30">
        <f t="shared" si="70"/>
        <v>0</v>
      </c>
      <c r="V92" s="40">
        <f t="shared" si="61"/>
        <v>0</v>
      </c>
      <c r="W92" s="32">
        <f t="shared" si="71"/>
        <v>0</v>
      </c>
      <c r="X92" s="28">
        <f t="shared" si="72"/>
        <v>0</v>
      </c>
      <c r="Y92" s="28">
        <f t="shared" si="73"/>
        <v>0</v>
      </c>
      <c r="Z92" s="28">
        <f t="shared" si="74"/>
        <v>0</v>
      </c>
      <c r="AA92" s="28">
        <f t="shared" si="75"/>
        <v>0</v>
      </c>
      <c r="AC92" s="28">
        <f t="shared" si="76"/>
        <v>0</v>
      </c>
      <c r="AD92" s="28">
        <f t="shared" si="77"/>
        <v>0</v>
      </c>
      <c r="AE92" s="28">
        <f t="shared" si="78"/>
        <v>0</v>
      </c>
      <c r="AF92" s="28">
        <f t="shared" si="79"/>
        <v>0</v>
      </c>
      <c r="AH92" s="32">
        <f t="shared" si="80"/>
        <v>0</v>
      </c>
      <c r="AI92" s="32">
        <f t="shared" si="81"/>
        <v>0</v>
      </c>
      <c r="AJ92" s="32">
        <f t="shared" si="82"/>
        <v>0</v>
      </c>
      <c r="AK92" s="32">
        <f t="shared" si="83"/>
        <v>0</v>
      </c>
      <c r="AL92" s="32"/>
      <c r="BD92" s="31"/>
      <c r="BE92" s="31"/>
      <c r="BF92" s="31"/>
      <c r="BG92" s="31"/>
      <c r="BH92" s="31"/>
      <c r="BI92" s="31"/>
      <c r="BJ92" s="31"/>
      <c r="BK92" s="31"/>
      <c r="BL92" s="31"/>
      <c r="BM92" s="31"/>
      <c r="BN92" s="31"/>
      <c r="CB92" s="31"/>
      <c r="CG92" s="31"/>
    </row>
    <row r="93" spans="1:85" ht="12.75" customHeight="1" x14ac:dyDescent="0.2">
      <c r="A93" s="28">
        <f t="shared" si="60"/>
        <v>0</v>
      </c>
      <c r="B93" s="426"/>
      <c r="C93" s="427" t="s">
        <v>363</v>
      </c>
      <c r="D93" s="431"/>
      <c r="E93" s="223"/>
      <c r="F93" s="223"/>
      <c r="G93" s="365"/>
      <c r="H93" s="432"/>
      <c r="I93" s="365"/>
      <c r="J93" s="368">
        <f t="shared" si="64"/>
        <v>0</v>
      </c>
      <c r="K93" s="223"/>
      <c r="L93" s="405">
        <f t="shared" si="65"/>
        <v>0</v>
      </c>
      <c r="M93" s="405">
        <f t="shared" si="66"/>
        <v>0</v>
      </c>
      <c r="N93" s="405">
        <f t="shared" si="67"/>
        <v>0</v>
      </c>
      <c r="O93" s="1155"/>
      <c r="P93" s="406" t="str">
        <f t="shared" si="63"/>
        <v/>
      </c>
      <c r="Q93" s="50"/>
      <c r="R93" s="3"/>
      <c r="S93" s="28">
        <f t="shared" si="68"/>
        <v>0</v>
      </c>
      <c r="T93" s="28">
        <f t="shared" si="69"/>
        <v>0</v>
      </c>
      <c r="U93" s="30">
        <f t="shared" si="70"/>
        <v>0</v>
      </c>
      <c r="V93" s="40">
        <f t="shared" si="61"/>
        <v>0</v>
      </c>
      <c r="W93" s="32">
        <f t="shared" si="71"/>
        <v>0</v>
      </c>
      <c r="X93" s="28">
        <f t="shared" si="72"/>
        <v>0</v>
      </c>
      <c r="Y93" s="28">
        <f t="shared" si="73"/>
        <v>0</v>
      </c>
      <c r="Z93" s="28">
        <f t="shared" si="74"/>
        <v>0</v>
      </c>
      <c r="AA93" s="28">
        <f t="shared" si="75"/>
        <v>0</v>
      </c>
      <c r="AC93" s="28">
        <f t="shared" si="76"/>
        <v>0</v>
      </c>
      <c r="AD93" s="28">
        <f t="shared" si="77"/>
        <v>0</v>
      </c>
      <c r="AE93" s="28">
        <f t="shared" si="78"/>
        <v>0</v>
      </c>
      <c r="AF93" s="28">
        <f t="shared" si="79"/>
        <v>0</v>
      </c>
      <c r="AH93" s="32">
        <f t="shared" si="80"/>
        <v>0</v>
      </c>
      <c r="AI93" s="32">
        <f t="shared" si="81"/>
        <v>0</v>
      </c>
      <c r="AJ93" s="32">
        <f t="shared" si="82"/>
        <v>0</v>
      </c>
      <c r="AK93" s="32">
        <f t="shared" si="83"/>
        <v>0</v>
      </c>
      <c r="AL93" s="32"/>
      <c r="BD93" s="31"/>
      <c r="BE93" s="31"/>
      <c r="BF93" s="31"/>
      <c r="BG93" s="31"/>
      <c r="BH93" s="31"/>
      <c r="BI93" s="31"/>
      <c r="BJ93" s="31"/>
      <c r="BK93" s="31"/>
      <c r="BL93" s="31"/>
      <c r="BM93" s="31"/>
      <c r="BN93" s="31"/>
      <c r="CB93" s="31"/>
      <c r="CG93" s="31"/>
    </row>
    <row r="94" spans="1:85" ht="12.75" customHeight="1" x14ac:dyDescent="0.2">
      <c r="A94" s="28">
        <f t="shared" si="60"/>
        <v>0</v>
      </c>
      <c r="B94" s="426"/>
      <c r="C94" s="427" t="s">
        <v>363</v>
      </c>
      <c r="D94" s="431"/>
      <c r="E94" s="223"/>
      <c r="F94" s="223"/>
      <c r="G94" s="365"/>
      <c r="H94" s="432"/>
      <c r="I94" s="365"/>
      <c r="J94" s="368">
        <f t="shared" si="64"/>
        <v>0</v>
      </c>
      <c r="K94" s="223"/>
      <c r="L94" s="405">
        <f t="shared" si="65"/>
        <v>0</v>
      </c>
      <c r="M94" s="405">
        <f t="shared" si="66"/>
        <v>0</v>
      </c>
      <c r="N94" s="405">
        <f t="shared" si="67"/>
        <v>0</v>
      </c>
      <c r="O94" s="1155"/>
      <c r="P94" s="406" t="str">
        <f t="shared" si="63"/>
        <v/>
      </c>
      <c r="Q94" s="50"/>
      <c r="R94" s="3"/>
      <c r="S94" s="28">
        <f t="shared" si="68"/>
        <v>0</v>
      </c>
      <c r="T94" s="28">
        <f t="shared" si="69"/>
        <v>0</v>
      </c>
      <c r="U94" s="30">
        <f t="shared" si="70"/>
        <v>0</v>
      </c>
      <c r="V94" s="40">
        <f t="shared" si="61"/>
        <v>0</v>
      </c>
      <c r="W94" s="32">
        <f t="shared" si="71"/>
        <v>0</v>
      </c>
      <c r="X94" s="28">
        <f t="shared" si="72"/>
        <v>0</v>
      </c>
      <c r="Y94" s="28">
        <f t="shared" si="73"/>
        <v>0</v>
      </c>
      <c r="Z94" s="28">
        <f t="shared" si="74"/>
        <v>0</v>
      </c>
      <c r="AA94" s="28">
        <f t="shared" si="75"/>
        <v>0</v>
      </c>
      <c r="AC94" s="28">
        <f t="shared" si="76"/>
        <v>0</v>
      </c>
      <c r="AD94" s="28">
        <f t="shared" si="77"/>
        <v>0</v>
      </c>
      <c r="AE94" s="28">
        <f t="shared" si="78"/>
        <v>0</v>
      </c>
      <c r="AF94" s="28">
        <f t="shared" si="79"/>
        <v>0</v>
      </c>
      <c r="AH94" s="32">
        <f t="shared" si="80"/>
        <v>0</v>
      </c>
      <c r="AI94" s="32">
        <f t="shared" si="81"/>
        <v>0</v>
      </c>
      <c r="AJ94" s="32">
        <f t="shared" si="82"/>
        <v>0</v>
      </c>
      <c r="AK94" s="32">
        <f t="shared" si="83"/>
        <v>0</v>
      </c>
      <c r="AL94" s="32"/>
      <c r="BD94" s="31"/>
      <c r="BE94" s="31"/>
      <c r="BF94" s="31"/>
      <c r="BG94" s="31"/>
      <c r="BH94" s="31"/>
      <c r="BI94" s="31"/>
      <c r="BJ94" s="31"/>
      <c r="BK94" s="31"/>
      <c r="BL94" s="31"/>
      <c r="BM94" s="31"/>
      <c r="BN94" s="31"/>
      <c r="CB94" s="31"/>
      <c r="CG94" s="31"/>
    </row>
    <row r="95" spans="1:85" ht="12.75" customHeight="1" x14ac:dyDescent="0.2">
      <c r="A95" s="28">
        <f t="shared" si="60"/>
        <v>0</v>
      </c>
      <c r="B95" s="426"/>
      <c r="C95" s="427" t="s">
        <v>363</v>
      </c>
      <c r="D95" s="431"/>
      <c r="E95" s="223"/>
      <c r="F95" s="223"/>
      <c r="G95" s="365"/>
      <c r="H95" s="432"/>
      <c r="I95" s="365"/>
      <c r="J95" s="368">
        <f t="shared" si="64"/>
        <v>0</v>
      </c>
      <c r="K95" s="223"/>
      <c r="L95" s="405">
        <f t="shared" si="65"/>
        <v>0</v>
      </c>
      <c r="M95" s="405">
        <f t="shared" si="66"/>
        <v>0</v>
      </c>
      <c r="N95" s="405">
        <f t="shared" si="67"/>
        <v>0</v>
      </c>
      <c r="O95" s="1155"/>
      <c r="P95" s="406" t="str">
        <f t="shared" si="63"/>
        <v/>
      </c>
      <c r="Q95" s="50"/>
      <c r="R95" s="3"/>
      <c r="S95" s="28">
        <f t="shared" si="68"/>
        <v>0</v>
      </c>
      <c r="T95" s="28">
        <f t="shared" si="69"/>
        <v>0</v>
      </c>
      <c r="U95" s="30">
        <f t="shared" si="70"/>
        <v>0</v>
      </c>
      <c r="V95" s="40">
        <f t="shared" si="61"/>
        <v>0</v>
      </c>
      <c r="W95" s="32">
        <f t="shared" si="71"/>
        <v>0</v>
      </c>
      <c r="X95" s="28">
        <f t="shared" si="72"/>
        <v>0</v>
      </c>
      <c r="Y95" s="28">
        <f t="shared" si="73"/>
        <v>0</v>
      </c>
      <c r="Z95" s="28">
        <f t="shared" si="74"/>
        <v>0</v>
      </c>
      <c r="AA95" s="28">
        <f t="shared" si="75"/>
        <v>0</v>
      </c>
      <c r="AC95" s="28">
        <f t="shared" si="76"/>
        <v>0</v>
      </c>
      <c r="AD95" s="28">
        <f t="shared" si="77"/>
        <v>0</v>
      </c>
      <c r="AE95" s="28">
        <f t="shared" si="78"/>
        <v>0</v>
      </c>
      <c r="AF95" s="28">
        <f t="shared" si="79"/>
        <v>0</v>
      </c>
      <c r="AH95" s="32">
        <f t="shared" si="80"/>
        <v>0</v>
      </c>
      <c r="AI95" s="32">
        <f t="shared" si="81"/>
        <v>0</v>
      </c>
      <c r="AJ95" s="32">
        <f t="shared" si="82"/>
        <v>0</v>
      </c>
      <c r="AK95" s="32">
        <f t="shared" si="83"/>
        <v>0</v>
      </c>
      <c r="AL95" s="32"/>
      <c r="BD95" s="31"/>
      <c r="BE95" s="31"/>
      <c r="BF95" s="31"/>
      <c r="BG95" s="31"/>
      <c r="BH95" s="31"/>
      <c r="BI95" s="31"/>
      <c r="BJ95" s="31"/>
      <c r="BK95" s="31"/>
      <c r="BL95" s="31"/>
      <c r="BM95" s="31"/>
      <c r="BN95" s="31"/>
      <c r="CB95" s="31"/>
      <c r="CG95" s="31"/>
    </row>
    <row r="96" spans="1:85" ht="12.75" customHeight="1" x14ac:dyDescent="0.2">
      <c r="A96" s="28">
        <f t="shared" si="60"/>
        <v>0</v>
      </c>
      <c r="B96" s="426"/>
      <c r="C96" s="427" t="s">
        <v>363</v>
      </c>
      <c r="D96" s="431"/>
      <c r="E96" s="223"/>
      <c r="F96" s="223"/>
      <c r="G96" s="365"/>
      <c r="H96" s="432"/>
      <c r="I96" s="365"/>
      <c r="J96" s="368">
        <f t="shared" si="64"/>
        <v>0</v>
      </c>
      <c r="K96" s="223"/>
      <c r="L96" s="405">
        <f t="shared" si="65"/>
        <v>0</v>
      </c>
      <c r="M96" s="405">
        <f t="shared" si="66"/>
        <v>0</v>
      </c>
      <c r="N96" s="405">
        <f t="shared" si="67"/>
        <v>0</v>
      </c>
      <c r="O96" s="1155"/>
      <c r="P96" s="406" t="str">
        <f t="shared" si="63"/>
        <v/>
      </c>
      <c r="Q96" s="50"/>
      <c r="R96" s="3"/>
      <c r="S96" s="28">
        <f t="shared" si="68"/>
        <v>0</v>
      </c>
      <c r="T96" s="28">
        <f t="shared" si="69"/>
        <v>0</v>
      </c>
      <c r="U96" s="30">
        <f t="shared" si="70"/>
        <v>0</v>
      </c>
      <c r="V96" s="40">
        <f t="shared" si="61"/>
        <v>0</v>
      </c>
      <c r="W96" s="32">
        <f t="shared" si="71"/>
        <v>0</v>
      </c>
      <c r="X96" s="28">
        <f t="shared" si="72"/>
        <v>0</v>
      </c>
      <c r="Y96" s="28">
        <f t="shared" si="73"/>
        <v>0</v>
      </c>
      <c r="Z96" s="28">
        <f t="shared" si="74"/>
        <v>0</v>
      </c>
      <c r="AA96" s="28">
        <f t="shared" si="75"/>
        <v>0</v>
      </c>
      <c r="AC96" s="28">
        <f t="shared" si="76"/>
        <v>0</v>
      </c>
      <c r="AD96" s="28">
        <f t="shared" si="77"/>
        <v>0</v>
      </c>
      <c r="AE96" s="28">
        <f t="shared" si="78"/>
        <v>0</v>
      </c>
      <c r="AF96" s="28">
        <f t="shared" si="79"/>
        <v>0</v>
      </c>
      <c r="AH96" s="32">
        <f t="shared" si="80"/>
        <v>0</v>
      </c>
      <c r="AI96" s="32">
        <f t="shared" si="81"/>
        <v>0</v>
      </c>
      <c r="AJ96" s="32">
        <f t="shared" si="82"/>
        <v>0</v>
      </c>
      <c r="AK96" s="32">
        <f t="shared" si="83"/>
        <v>0</v>
      </c>
      <c r="AL96" s="32"/>
      <c r="BD96" s="31"/>
      <c r="BE96" s="31"/>
      <c r="BF96" s="31"/>
      <c r="BG96" s="31"/>
      <c r="BH96" s="31"/>
      <c r="BI96" s="31"/>
      <c r="BJ96" s="31"/>
      <c r="BK96" s="31"/>
      <c r="BL96" s="31"/>
      <c r="BM96" s="31"/>
      <c r="BN96" s="31"/>
      <c r="CB96" s="31"/>
      <c r="CG96" s="31"/>
    </row>
    <row r="97" spans="1:85" ht="12.75" customHeight="1" x14ac:dyDescent="0.2">
      <c r="A97" s="28">
        <f t="shared" si="60"/>
        <v>0</v>
      </c>
      <c r="B97" s="426"/>
      <c r="C97" s="427" t="s">
        <v>363</v>
      </c>
      <c r="D97" s="431"/>
      <c r="E97" s="223"/>
      <c r="F97" s="223"/>
      <c r="G97" s="365"/>
      <c r="H97" s="432"/>
      <c r="I97" s="365"/>
      <c r="J97" s="368">
        <f t="shared" si="64"/>
        <v>0</v>
      </c>
      <c r="K97" s="223"/>
      <c r="L97" s="405">
        <f t="shared" si="65"/>
        <v>0</v>
      </c>
      <c r="M97" s="405">
        <f t="shared" si="66"/>
        <v>0</v>
      </c>
      <c r="N97" s="405">
        <f t="shared" si="67"/>
        <v>0</v>
      </c>
      <c r="O97" s="1155"/>
      <c r="P97" s="406" t="str">
        <f t="shared" si="63"/>
        <v/>
      </c>
      <c r="Q97" s="50"/>
      <c r="R97" s="3"/>
      <c r="S97" s="28">
        <f t="shared" si="68"/>
        <v>0</v>
      </c>
      <c r="T97" s="28">
        <f t="shared" si="69"/>
        <v>0</v>
      </c>
      <c r="U97" s="30">
        <f t="shared" si="70"/>
        <v>0</v>
      </c>
      <c r="V97" s="40">
        <f t="shared" si="61"/>
        <v>0</v>
      </c>
      <c r="W97" s="32">
        <f t="shared" si="71"/>
        <v>0</v>
      </c>
      <c r="X97" s="28">
        <f t="shared" si="72"/>
        <v>0</v>
      </c>
      <c r="Y97" s="28">
        <f t="shared" si="73"/>
        <v>0</v>
      </c>
      <c r="Z97" s="28">
        <f t="shared" si="74"/>
        <v>0</v>
      </c>
      <c r="AA97" s="28">
        <f t="shared" si="75"/>
        <v>0</v>
      </c>
      <c r="AC97" s="28">
        <f t="shared" si="76"/>
        <v>0</v>
      </c>
      <c r="AD97" s="28">
        <f t="shared" si="77"/>
        <v>0</v>
      </c>
      <c r="AE97" s="28">
        <f t="shared" si="78"/>
        <v>0</v>
      </c>
      <c r="AF97" s="28">
        <f t="shared" si="79"/>
        <v>0</v>
      </c>
      <c r="AH97" s="32">
        <f t="shared" si="80"/>
        <v>0</v>
      </c>
      <c r="AI97" s="32">
        <f t="shared" si="81"/>
        <v>0</v>
      </c>
      <c r="AJ97" s="32">
        <f t="shared" si="82"/>
        <v>0</v>
      </c>
      <c r="AK97" s="32">
        <f t="shared" si="83"/>
        <v>0</v>
      </c>
      <c r="AL97" s="32"/>
      <c r="BD97" s="31"/>
      <c r="BE97" s="31"/>
      <c r="BF97" s="31"/>
      <c r="BG97" s="31"/>
      <c r="BH97" s="31"/>
      <c r="BI97" s="31"/>
      <c r="BJ97" s="31"/>
      <c r="BK97" s="31"/>
      <c r="BL97" s="31"/>
      <c r="BM97" s="31"/>
      <c r="BN97" s="31"/>
      <c r="CB97" s="31"/>
      <c r="CG97" s="31"/>
    </row>
    <row r="98" spans="1:85" ht="12.75" customHeight="1" x14ac:dyDescent="0.2">
      <c r="A98" s="28">
        <f t="shared" si="60"/>
        <v>0</v>
      </c>
      <c r="B98" s="426"/>
      <c r="C98" s="427" t="s">
        <v>363</v>
      </c>
      <c r="D98" s="431"/>
      <c r="E98" s="223"/>
      <c r="F98" s="223"/>
      <c r="G98" s="365"/>
      <c r="H98" s="432"/>
      <c r="I98" s="365"/>
      <c r="J98" s="368">
        <f t="shared" si="64"/>
        <v>0</v>
      </c>
      <c r="K98" s="223"/>
      <c r="L98" s="405">
        <f t="shared" si="65"/>
        <v>0</v>
      </c>
      <c r="M98" s="405">
        <f t="shared" si="66"/>
        <v>0</v>
      </c>
      <c r="N98" s="405">
        <f t="shared" si="67"/>
        <v>0</v>
      </c>
      <c r="O98" s="1155"/>
      <c r="P98" s="406" t="str">
        <f t="shared" si="63"/>
        <v/>
      </c>
      <c r="Q98" s="50"/>
      <c r="R98" s="3"/>
      <c r="S98" s="28">
        <f t="shared" si="68"/>
        <v>0</v>
      </c>
      <c r="T98" s="28">
        <f t="shared" si="69"/>
        <v>0</v>
      </c>
      <c r="U98" s="30">
        <f t="shared" si="70"/>
        <v>0</v>
      </c>
      <c r="V98" s="40">
        <f t="shared" si="61"/>
        <v>0</v>
      </c>
      <c r="W98" s="32">
        <f t="shared" si="71"/>
        <v>0</v>
      </c>
      <c r="X98" s="28">
        <f t="shared" si="72"/>
        <v>0</v>
      </c>
      <c r="Y98" s="28">
        <f t="shared" si="73"/>
        <v>0</v>
      </c>
      <c r="Z98" s="28">
        <f t="shared" si="74"/>
        <v>0</v>
      </c>
      <c r="AA98" s="28">
        <f t="shared" si="75"/>
        <v>0</v>
      </c>
      <c r="AC98" s="28">
        <f t="shared" si="76"/>
        <v>0</v>
      </c>
      <c r="AD98" s="28">
        <f t="shared" si="77"/>
        <v>0</v>
      </c>
      <c r="AE98" s="28">
        <f t="shared" si="78"/>
        <v>0</v>
      </c>
      <c r="AF98" s="28">
        <f t="shared" si="79"/>
        <v>0</v>
      </c>
      <c r="AH98" s="32">
        <f t="shared" si="80"/>
        <v>0</v>
      </c>
      <c r="AI98" s="32">
        <f t="shared" si="81"/>
        <v>0</v>
      </c>
      <c r="AJ98" s="32">
        <f t="shared" si="82"/>
        <v>0</v>
      </c>
      <c r="AK98" s="32">
        <f t="shared" si="83"/>
        <v>0</v>
      </c>
      <c r="AL98" s="32"/>
      <c r="BD98" s="31"/>
      <c r="BE98" s="31"/>
      <c r="BF98" s="31"/>
      <c r="BG98" s="31"/>
      <c r="BH98" s="31"/>
      <c r="BI98" s="31"/>
      <c r="BJ98" s="31"/>
      <c r="BK98" s="31"/>
      <c r="BL98" s="31"/>
      <c r="BM98" s="31"/>
      <c r="BN98" s="31"/>
      <c r="CB98" s="31"/>
      <c r="CG98" s="31"/>
    </row>
    <row r="99" spans="1:85" ht="12.75" customHeight="1" x14ac:dyDescent="0.2">
      <c r="A99" s="28">
        <f t="shared" si="60"/>
        <v>0</v>
      </c>
      <c r="B99" s="426"/>
      <c r="C99" s="427" t="s">
        <v>363</v>
      </c>
      <c r="D99" s="431"/>
      <c r="E99" s="223"/>
      <c r="F99" s="223"/>
      <c r="G99" s="365"/>
      <c r="H99" s="432"/>
      <c r="I99" s="365"/>
      <c r="J99" s="368">
        <f t="shared" si="64"/>
        <v>0</v>
      </c>
      <c r="K99" s="223"/>
      <c r="L99" s="405">
        <f t="shared" si="65"/>
        <v>0</v>
      </c>
      <c r="M99" s="405">
        <f t="shared" si="66"/>
        <v>0</v>
      </c>
      <c r="N99" s="405">
        <f t="shared" si="67"/>
        <v>0</v>
      </c>
      <c r="O99" s="1155"/>
      <c r="P99" s="406" t="str">
        <f t="shared" si="63"/>
        <v/>
      </c>
      <c r="Q99" s="50"/>
      <c r="R99" s="3"/>
      <c r="S99" s="28">
        <f t="shared" si="68"/>
        <v>0</v>
      </c>
      <c r="T99" s="28">
        <f t="shared" si="69"/>
        <v>0</v>
      </c>
      <c r="U99" s="30">
        <f t="shared" si="70"/>
        <v>0</v>
      </c>
      <c r="V99" s="40">
        <f t="shared" si="61"/>
        <v>0</v>
      </c>
      <c r="W99" s="32">
        <f t="shared" si="71"/>
        <v>0</v>
      </c>
      <c r="X99" s="28">
        <f t="shared" si="72"/>
        <v>0</v>
      </c>
      <c r="Y99" s="28">
        <f t="shared" si="73"/>
        <v>0</v>
      </c>
      <c r="Z99" s="28">
        <f t="shared" si="74"/>
        <v>0</v>
      </c>
      <c r="AA99" s="28">
        <f t="shared" si="75"/>
        <v>0</v>
      </c>
      <c r="AC99" s="28">
        <f t="shared" si="76"/>
        <v>0</v>
      </c>
      <c r="AD99" s="28">
        <f t="shared" si="77"/>
        <v>0</v>
      </c>
      <c r="AE99" s="28">
        <f t="shared" si="78"/>
        <v>0</v>
      </c>
      <c r="AF99" s="28">
        <f t="shared" si="79"/>
        <v>0</v>
      </c>
      <c r="AH99" s="32">
        <f t="shared" si="80"/>
        <v>0</v>
      </c>
      <c r="AI99" s="32">
        <f t="shared" si="81"/>
        <v>0</v>
      </c>
      <c r="AJ99" s="32">
        <f t="shared" si="82"/>
        <v>0</v>
      </c>
      <c r="AK99" s="32">
        <f t="shared" si="83"/>
        <v>0</v>
      </c>
      <c r="AL99" s="32"/>
      <c r="BD99" s="31"/>
      <c r="BE99" s="31"/>
      <c r="BF99" s="31"/>
      <c r="BG99" s="31"/>
      <c r="BH99" s="31"/>
      <c r="BI99" s="31"/>
      <c r="BJ99" s="31"/>
      <c r="BK99" s="31"/>
      <c r="BL99" s="31"/>
      <c r="BM99" s="31"/>
      <c r="BN99" s="31"/>
      <c r="CB99" s="31"/>
      <c r="CG99" s="31"/>
    </row>
    <row r="100" spans="1:85" ht="12.75" customHeight="1" x14ac:dyDescent="0.2">
      <c r="A100" s="28">
        <f t="shared" si="60"/>
        <v>0</v>
      </c>
      <c r="B100" s="426"/>
      <c r="C100" s="427" t="s">
        <v>363</v>
      </c>
      <c r="D100" s="431"/>
      <c r="E100" s="223"/>
      <c r="F100" s="223"/>
      <c r="G100" s="365"/>
      <c r="H100" s="432"/>
      <c r="I100" s="365"/>
      <c r="J100" s="368">
        <f t="shared" si="64"/>
        <v>0</v>
      </c>
      <c r="K100" s="223"/>
      <c r="L100" s="405">
        <f t="shared" si="65"/>
        <v>0</v>
      </c>
      <c r="M100" s="405">
        <f t="shared" si="66"/>
        <v>0</v>
      </c>
      <c r="N100" s="405">
        <f t="shared" si="67"/>
        <v>0</v>
      </c>
      <c r="O100" s="1155"/>
      <c r="P100" s="406" t="str">
        <f t="shared" si="63"/>
        <v/>
      </c>
      <c r="Q100" s="50"/>
      <c r="R100" s="3"/>
      <c r="S100" s="28">
        <f t="shared" si="68"/>
        <v>0</v>
      </c>
      <c r="T100" s="28">
        <f t="shared" si="69"/>
        <v>0</v>
      </c>
      <c r="U100" s="30">
        <f t="shared" si="70"/>
        <v>0</v>
      </c>
      <c r="V100" s="40">
        <f t="shared" si="61"/>
        <v>0</v>
      </c>
      <c r="W100" s="32">
        <f t="shared" si="71"/>
        <v>0</v>
      </c>
      <c r="X100" s="28">
        <f t="shared" si="72"/>
        <v>0</v>
      </c>
      <c r="Y100" s="28">
        <f t="shared" si="73"/>
        <v>0</v>
      </c>
      <c r="Z100" s="28">
        <f t="shared" si="74"/>
        <v>0</v>
      </c>
      <c r="AA100" s="28">
        <f t="shared" si="75"/>
        <v>0</v>
      </c>
      <c r="AC100" s="28">
        <f t="shared" si="76"/>
        <v>0</v>
      </c>
      <c r="AD100" s="28">
        <f t="shared" si="77"/>
        <v>0</v>
      </c>
      <c r="AE100" s="28">
        <f t="shared" si="78"/>
        <v>0</v>
      </c>
      <c r="AF100" s="28">
        <f t="shared" si="79"/>
        <v>0</v>
      </c>
      <c r="AH100" s="32">
        <f t="shared" si="80"/>
        <v>0</v>
      </c>
      <c r="AI100" s="32">
        <f t="shared" si="81"/>
        <v>0</v>
      </c>
      <c r="AJ100" s="32">
        <f t="shared" si="82"/>
        <v>0</v>
      </c>
      <c r="AK100" s="32">
        <f t="shared" si="83"/>
        <v>0</v>
      </c>
      <c r="AL100" s="32"/>
      <c r="BD100" s="31"/>
      <c r="BE100" s="31"/>
      <c r="BF100" s="31"/>
      <c r="BG100" s="31"/>
      <c r="BH100" s="31"/>
      <c r="BI100" s="31"/>
      <c r="BJ100" s="31"/>
      <c r="BK100" s="31"/>
      <c r="BL100" s="31"/>
      <c r="BM100" s="31"/>
      <c r="BN100" s="31"/>
      <c r="CB100" s="31"/>
      <c r="CG100" s="31"/>
    </row>
    <row r="101" spans="1:85" ht="12.75" customHeight="1" x14ac:dyDescent="0.2">
      <c r="A101" s="28">
        <f t="shared" si="60"/>
        <v>0</v>
      </c>
      <c r="B101" s="426"/>
      <c r="C101" s="427" t="s">
        <v>363</v>
      </c>
      <c r="D101" s="431"/>
      <c r="E101" s="223"/>
      <c r="F101" s="223"/>
      <c r="G101" s="365"/>
      <c r="H101" s="432"/>
      <c r="I101" s="365"/>
      <c r="J101" s="368">
        <f t="shared" si="64"/>
        <v>0</v>
      </c>
      <c r="K101" s="223"/>
      <c r="L101" s="405">
        <f t="shared" si="65"/>
        <v>0</v>
      </c>
      <c r="M101" s="405">
        <f t="shared" si="66"/>
        <v>0</v>
      </c>
      <c r="N101" s="405">
        <f t="shared" si="67"/>
        <v>0</v>
      </c>
      <c r="O101" s="1155"/>
      <c r="P101" s="406" t="str">
        <f t="shared" si="63"/>
        <v/>
      </c>
      <c r="Q101" s="50"/>
      <c r="R101" s="3"/>
      <c r="S101" s="28">
        <f t="shared" si="68"/>
        <v>0</v>
      </c>
      <c r="T101" s="28">
        <f t="shared" si="69"/>
        <v>0</v>
      </c>
      <c r="U101" s="30">
        <f t="shared" si="70"/>
        <v>0</v>
      </c>
      <c r="V101" s="40">
        <f t="shared" si="61"/>
        <v>0</v>
      </c>
      <c r="W101" s="32">
        <f t="shared" si="71"/>
        <v>0</v>
      </c>
      <c r="X101" s="28">
        <f t="shared" si="72"/>
        <v>0</v>
      </c>
      <c r="Y101" s="28">
        <f t="shared" si="73"/>
        <v>0</v>
      </c>
      <c r="Z101" s="28">
        <f t="shared" si="74"/>
        <v>0</v>
      </c>
      <c r="AA101" s="28">
        <f t="shared" si="75"/>
        <v>0</v>
      </c>
      <c r="AC101" s="28">
        <f t="shared" si="76"/>
        <v>0</v>
      </c>
      <c r="AD101" s="28">
        <f t="shared" si="77"/>
        <v>0</v>
      </c>
      <c r="AE101" s="28">
        <f t="shared" si="78"/>
        <v>0</v>
      </c>
      <c r="AF101" s="28">
        <f t="shared" si="79"/>
        <v>0</v>
      </c>
      <c r="AH101" s="32">
        <f t="shared" si="80"/>
        <v>0</v>
      </c>
      <c r="AI101" s="32">
        <f t="shared" si="81"/>
        <v>0</v>
      </c>
      <c r="AJ101" s="32">
        <f t="shared" si="82"/>
        <v>0</v>
      </c>
      <c r="AK101" s="32">
        <f t="shared" si="83"/>
        <v>0</v>
      </c>
      <c r="AL101" s="32"/>
      <c r="BD101" s="31"/>
      <c r="BE101" s="31"/>
      <c r="BF101" s="31"/>
      <c r="BG101" s="31"/>
      <c r="BH101" s="31"/>
      <c r="BI101" s="31"/>
      <c r="BJ101" s="31"/>
      <c r="BK101" s="31"/>
      <c r="BL101" s="31"/>
      <c r="BM101" s="31"/>
      <c r="BN101" s="31"/>
      <c r="CB101" s="31"/>
      <c r="CG101" s="31"/>
    </row>
    <row r="102" spans="1:85" ht="12.75" customHeight="1" x14ac:dyDescent="0.2">
      <c r="A102" s="28">
        <f t="shared" si="60"/>
        <v>0</v>
      </c>
      <c r="B102" s="426"/>
      <c r="C102" s="427" t="s">
        <v>363</v>
      </c>
      <c r="D102" s="431"/>
      <c r="E102" s="223"/>
      <c r="F102" s="223"/>
      <c r="G102" s="365"/>
      <c r="H102" s="432"/>
      <c r="I102" s="365"/>
      <c r="J102" s="368">
        <f t="shared" si="64"/>
        <v>0</v>
      </c>
      <c r="K102" s="223"/>
      <c r="L102" s="405">
        <f t="shared" si="65"/>
        <v>0</v>
      </c>
      <c r="M102" s="405">
        <f t="shared" si="66"/>
        <v>0</v>
      </c>
      <c r="N102" s="405">
        <f t="shared" si="67"/>
        <v>0</v>
      </c>
      <c r="O102" s="1155"/>
      <c r="P102" s="406" t="str">
        <f t="shared" si="63"/>
        <v/>
      </c>
      <c r="Q102" s="50"/>
      <c r="R102" s="3"/>
      <c r="S102" s="28">
        <f t="shared" si="68"/>
        <v>0</v>
      </c>
      <c r="T102" s="28">
        <f t="shared" si="69"/>
        <v>0</v>
      </c>
      <c r="U102" s="30">
        <f t="shared" si="70"/>
        <v>0</v>
      </c>
      <c r="V102" s="40">
        <f t="shared" si="61"/>
        <v>0</v>
      </c>
      <c r="W102" s="32">
        <f t="shared" si="71"/>
        <v>0</v>
      </c>
      <c r="X102" s="28">
        <f t="shared" si="72"/>
        <v>0</v>
      </c>
      <c r="Y102" s="28">
        <f t="shared" si="73"/>
        <v>0</v>
      </c>
      <c r="Z102" s="28">
        <f t="shared" si="74"/>
        <v>0</v>
      </c>
      <c r="AA102" s="28">
        <f t="shared" si="75"/>
        <v>0</v>
      </c>
      <c r="AC102" s="28">
        <f t="shared" si="76"/>
        <v>0</v>
      </c>
      <c r="AD102" s="28">
        <f t="shared" si="77"/>
        <v>0</v>
      </c>
      <c r="AE102" s="28">
        <f t="shared" si="78"/>
        <v>0</v>
      </c>
      <c r="AF102" s="28">
        <f t="shared" si="79"/>
        <v>0</v>
      </c>
      <c r="AH102" s="32">
        <f t="shared" si="80"/>
        <v>0</v>
      </c>
      <c r="AI102" s="32">
        <f t="shared" si="81"/>
        <v>0</v>
      </c>
      <c r="AJ102" s="32">
        <f t="shared" si="82"/>
        <v>0</v>
      </c>
      <c r="AK102" s="32">
        <f t="shared" si="83"/>
        <v>0</v>
      </c>
      <c r="AL102" s="32"/>
      <c r="BD102" s="31"/>
      <c r="BE102" s="31"/>
      <c r="BF102" s="31"/>
      <c r="BG102" s="31"/>
      <c r="BH102" s="31"/>
      <c r="BI102" s="31"/>
      <c r="BJ102" s="31"/>
      <c r="BK102" s="31"/>
      <c r="BL102" s="31"/>
      <c r="BM102" s="31"/>
      <c r="BN102" s="31"/>
      <c r="CB102" s="31"/>
      <c r="CG102" s="31"/>
    </row>
    <row r="103" spans="1:85" ht="12.75" customHeight="1" x14ac:dyDescent="0.2">
      <c r="A103" s="28">
        <f t="shared" si="60"/>
        <v>0</v>
      </c>
      <c r="B103" s="426"/>
      <c r="C103" s="427" t="s">
        <v>363</v>
      </c>
      <c r="D103" s="431"/>
      <c r="E103" s="223"/>
      <c r="F103" s="223"/>
      <c r="G103" s="365"/>
      <c r="H103" s="432"/>
      <c r="I103" s="365"/>
      <c r="J103" s="368">
        <f t="shared" si="64"/>
        <v>0</v>
      </c>
      <c r="K103" s="223"/>
      <c r="L103" s="405">
        <f t="shared" si="65"/>
        <v>0</v>
      </c>
      <c r="M103" s="405">
        <f t="shared" si="66"/>
        <v>0</v>
      </c>
      <c r="N103" s="405">
        <f t="shared" si="67"/>
        <v>0</v>
      </c>
      <c r="O103" s="1155"/>
      <c r="P103" s="406" t="str">
        <f t="shared" si="63"/>
        <v/>
      </c>
      <c r="Q103" s="50"/>
      <c r="R103" s="3"/>
      <c r="S103" s="28">
        <f t="shared" si="68"/>
        <v>0</v>
      </c>
      <c r="T103" s="28">
        <f t="shared" si="69"/>
        <v>0</v>
      </c>
      <c r="U103" s="30">
        <f t="shared" si="70"/>
        <v>0</v>
      </c>
      <c r="V103" s="40">
        <f t="shared" si="61"/>
        <v>0</v>
      </c>
      <c r="W103" s="32">
        <f t="shared" si="71"/>
        <v>0</v>
      </c>
      <c r="X103" s="28">
        <f t="shared" si="72"/>
        <v>0</v>
      </c>
      <c r="Y103" s="28">
        <f t="shared" si="73"/>
        <v>0</v>
      </c>
      <c r="Z103" s="28">
        <f t="shared" si="74"/>
        <v>0</v>
      </c>
      <c r="AA103" s="28">
        <f t="shared" si="75"/>
        <v>0</v>
      </c>
      <c r="AC103" s="28">
        <f t="shared" si="76"/>
        <v>0</v>
      </c>
      <c r="AD103" s="28">
        <f t="shared" si="77"/>
        <v>0</v>
      </c>
      <c r="AE103" s="28">
        <f t="shared" si="78"/>
        <v>0</v>
      </c>
      <c r="AF103" s="28">
        <f t="shared" si="79"/>
        <v>0</v>
      </c>
      <c r="AH103" s="32">
        <f t="shared" si="80"/>
        <v>0</v>
      </c>
      <c r="AI103" s="32">
        <f t="shared" si="81"/>
        <v>0</v>
      </c>
      <c r="AJ103" s="32">
        <f t="shared" si="82"/>
        <v>0</v>
      </c>
      <c r="AK103" s="32">
        <f t="shared" si="83"/>
        <v>0</v>
      </c>
      <c r="AL103" s="32"/>
      <c r="BD103" s="31"/>
      <c r="BE103" s="31"/>
      <c r="BF103" s="31"/>
      <c r="BG103" s="31"/>
      <c r="BH103" s="31"/>
      <c r="BI103" s="31"/>
      <c r="BJ103" s="31"/>
      <c r="BK103" s="31"/>
      <c r="BL103" s="31"/>
      <c r="BM103" s="31"/>
      <c r="BN103" s="31"/>
      <c r="CB103" s="31"/>
      <c r="CG103" s="31"/>
    </row>
    <row r="104" spans="1:85" ht="12.75" customHeight="1" x14ac:dyDescent="0.2">
      <c r="A104" s="28">
        <f t="shared" si="60"/>
        <v>0</v>
      </c>
      <c r="B104" s="426"/>
      <c r="C104" s="427" t="s">
        <v>363</v>
      </c>
      <c r="D104" s="431"/>
      <c r="E104" s="223"/>
      <c r="F104" s="223"/>
      <c r="G104" s="365"/>
      <c r="H104" s="432"/>
      <c r="I104" s="365"/>
      <c r="J104" s="368">
        <f t="shared" si="64"/>
        <v>0</v>
      </c>
      <c r="K104" s="223"/>
      <c r="L104" s="405">
        <f t="shared" si="65"/>
        <v>0</v>
      </c>
      <c r="M104" s="405">
        <f t="shared" si="66"/>
        <v>0</v>
      </c>
      <c r="N104" s="405">
        <f t="shared" si="67"/>
        <v>0</v>
      </c>
      <c r="O104" s="1155"/>
      <c r="P104" s="406" t="str">
        <f t="shared" si="63"/>
        <v/>
      </c>
      <c r="Q104" s="50"/>
      <c r="R104" s="3"/>
      <c r="S104" s="28">
        <f t="shared" si="68"/>
        <v>0</v>
      </c>
      <c r="T104" s="28">
        <f t="shared" si="69"/>
        <v>0</v>
      </c>
      <c r="U104" s="30">
        <f t="shared" si="70"/>
        <v>0</v>
      </c>
      <c r="V104" s="40">
        <f t="shared" si="61"/>
        <v>0</v>
      </c>
      <c r="W104" s="32">
        <f t="shared" si="71"/>
        <v>0</v>
      </c>
      <c r="X104" s="28">
        <f t="shared" si="72"/>
        <v>0</v>
      </c>
      <c r="Y104" s="28">
        <f t="shared" si="73"/>
        <v>0</v>
      </c>
      <c r="Z104" s="28">
        <f t="shared" si="74"/>
        <v>0</v>
      </c>
      <c r="AA104" s="28">
        <f t="shared" si="75"/>
        <v>0</v>
      </c>
      <c r="AC104" s="28">
        <f t="shared" si="76"/>
        <v>0</v>
      </c>
      <c r="AD104" s="28">
        <f t="shared" si="77"/>
        <v>0</v>
      </c>
      <c r="AE104" s="28">
        <f t="shared" si="78"/>
        <v>0</v>
      </c>
      <c r="AF104" s="28">
        <f t="shared" si="79"/>
        <v>0</v>
      </c>
      <c r="AH104" s="32">
        <f t="shared" si="80"/>
        <v>0</v>
      </c>
      <c r="AI104" s="32">
        <f t="shared" si="81"/>
        <v>0</v>
      </c>
      <c r="AJ104" s="32">
        <f t="shared" si="82"/>
        <v>0</v>
      </c>
      <c r="AK104" s="32">
        <f t="shared" si="83"/>
        <v>0</v>
      </c>
      <c r="AL104" s="32"/>
      <c r="BD104" s="31"/>
      <c r="BE104" s="31"/>
      <c r="BF104" s="31"/>
      <c r="BG104" s="31"/>
      <c r="BH104" s="31"/>
      <c r="BI104" s="31"/>
      <c r="BJ104" s="31"/>
      <c r="BK104" s="31"/>
      <c r="BL104" s="31"/>
      <c r="BM104" s="31"/>
      <c r="BN104" s="31"/>
      <c r="CB104" s="31"/>
      <c r="CG104" s="31"/>
    </row>
    <row r="105" spans="1:85" ht="12.75" customHeight="1" x14ac:dyDescent="0.2">
      <c r="A105" s="28">
        <f t="shared" si="60"/>
        <v>0</v>
      </c>
      <c r="B105" s="426"/>
      <c r="C105" s="427" t="s">
        <v>363</v>
      </c>
      <c r="D105" s="431"/>
      <c r="E105" s="223"/>
      <c r="F105" s="223"/>
      <c r="G105" s="365"/>
      <c r="H105" s="432"/>
      <c r="I105" s="365"/>
      <c r="J105" s="368">
        <f t="shared" si="64"/>
        <v>0</v>
      </c>
      <c r="K105" s="223"/>
      <c r="L105" s="405">
        <f t="shared" si="65"/>
        <v>0</v>
      </c>
      <c r="M105" s="405">
        <f t="shared" si="66"/>
        <v>0</v>
      </c>
      <c r="N105" s="405">
        <f t="shared" si="67"/>
        <v>0</v>
      </c>
      <c r="O105" s="1155"/>
      <c r="P105" s="406" t="str">
        <f t="shared" si="63"/>
        <v/>
      </c>
      <c r="Q105" s="50"/>
      <c r="R105" s="3"/>
      <c r="S105" s="28">
        <f t="shared" si="68"/>
        <v>0</v>
      </c>
      <c r="T105" s="28">
        <f t="shared" si="69"/>
        <v>0</v>
      </c>
      <c r="U105" s="30">
        <f t="shared" si="70"/>
        <v>0</v>
      </c>
      <c r="V105" s="40">
        <f t="shared" si="61"/>
        <v>0</v>
      </c>
      <c r="W105" s="32">
        <f t="shared" si="71"/>
        <v>0</v>
      </c>
      <c r="X105" s="28">
        <f t="shared" si="72"/>
        <v>0</v>
      </c>
      <c r="Y105" s="28">
        <f t="shared" si="73"/>
        <v>0</v>
      </c>
      <c r="Z105" s="28">
        <f t="shared" si="74"/>
        <v>0</v>
      </c>
      <c r="AA105" s="28">
        <f t="shared" si="75"/>
        <v>0</v>
      </c>
      <c r="AC105" s="28">
        <f t="shared" si="76"/>
        <v>0</v>
      </c>
      <c r="AD105" s="28">
        <f t="shared" si="77"/>
        <v>0</v>
      </c>
      <c r="AE105" s="28">
        <f t="shared" si="78"/>
        <v>0</v>
      </c>
      <c r="AF105" s="28">
        <f t="shared" si="79"/>
        <v>0</v>
      </c>
      <c r="AH105" s="32">
        <f t="shared" si="80"/>
        <v>0</v>
      </c>
      <c r="AI105" s="32">
        <f t="shared" si="81"/>
        <v>0</v>
      </c>
      <c r="AJ105" s="32">
        <f t="shared" si="82"/>
        <v>0</v>
      </c>
      <c r="AK105" s="32">
        <f t="shared" si="83"/>
        <v>0</v>
      </c>
      <c r="AL105" s="32"/>
      <c r="BD105" s="31"/>
      <c r="BE105" s="31"/>
      <c r="BF105" s="31"/>
      <c r="BG105" s="31"/>
      <c r="BH105" s="31"/>
      <c r="BI105" s="31"/>
      <c r="BJ105" s="31"/>
      <c r="BK105" s="31"/>
      <c r="BL105" s="31"/>
      <c r="BM105" s="31"/>
      <c r="BN105" s="31"/>
      <c r="CB105" s="31"/>
      <c r="CG105" s="31"/>
    </row>
    <row r="106" spans="1:85" ht="12.75" customHeight="1" x14ac:dyDescent="0.2">
      <c r="A106" s="28">
        <f t="shared" si="60"/>
        <v>0</v>
      </c>
      <c r="B106" s="426"/>
      <c r="C106" s="427" t="s">
        <v>363</v>
      </c>
      <c r="D106" s="431"/>
      <c r="E106" s="223"/>
      <c r="F106" s="223"/>
      <c r="G106" s="365"/>
      <c r="H106" s="432"/>
      <c r="I106" s="365"/>
      <c r="J106" s="368">
        <f t="shared" si="64"/>
        <v>0</v>
      </c>
      <c r="K106" s="223"/>
      <c r="L106" s="405">
        <f t="shared" si="65"/>
        <v>0</v>
      </c>
      <c r="M106" s="405">
        <f t="shared" si="66"/>
        <v>0</v>
      </c>
      <c r="N106" s="405">
        <f t="shared" si="67"/>
        <v>0</v>
      </c>
      <c r="O106" s="1155"/>
      <c r="P106" s="406" t="str">
        <f t="shared" si="63"/>
        <v/>
      </c>
      <c r="Q106" s="50"/>
      <c r="R106" s="3"/>
      <c r="S106" s="28">
        <f t="shared" si="68"/>
        <v>0</v>
      </c>
      <c r="T106" s="28">
        <f t="shared" si="69"/>
        <v>0</v>
      </c>
      <c r="U106" s="30">
        <f t="shared" si="70"/>
        <v>0</v>
      </c>
      <c r="V106" s="40">
        <f t="shared" si="61"/>
        <v>0</v>
      </c>
      <c r="W106" s="32">
        <f t="shared" si="71"/>
        <v>0</v>
      </c>
      <c r="X106" s="28">
        <f t="shared" si="72"/>
        <v>0</v>
      </c>
      <c r="Y106" s="28">
        <f t="shared" si="73"/>
        <v>0</v>
      </c>
      <c r="Z106" s="28">
        <f t="shared" si="74"/>
        <v>0</v>
      </c>
      <c r="AA106" s="28">
        <f t="shared" si="75"/>
        <v>0</v>
      </c>
      <c r="AC106" s="28">
        <f t="shared" si="76"/>
        <v>0</v>
      </c>
      <c r="AD106" s="28">
        <f t="shared" si="77"/>
        <v>0</v>
      </c>
      <c r="AE106" s="28">
        <f t="shared" si="78"/>
        <v>0</v>
      </c>
      <c r="AF106" s="28">
        <f t="shared" si="79"/>
        <v>0</v>
      </c>
      <c r="AH106" s="32">
        <f t="shared" si="80"/>
        <v>0</v>
      </c>
      <c r="AI106" s="32">
        <f t="shared" si="81"/>
        <v>0</v>
      </c>
      <c r="AJ106" s="32">
        <f t="shared" si="82"/>
        <v>0</v>
      </c>
      <c r="AK106" s="32">
        <f t="shared" si="83"/>
        <v>0</v>
      </c>
      <c r="AL106" s="32"/>
      <c r="BD106" s="31"/>
      <c r="BE106" s="31"/>
      <c r="BF106" s="31"/>
      <c r="BG106" s="31"/>
      <c r="BH106" s="31"/>
      <c r="BI106" s="31"/>
      <c r="BJ106" s="31"/>
      <c r="BK106" s="31"/>
      <c r="BL106" s="31"/>
      <c r="BM106" s="31"/>
      <c r="BN106" s="31"/>
      <c r="CB106" s="31"/>
      <c r="CG106" s="31"/>
    </row>
    <row r="107" spans="1:85" ht="12.75" customHeight="1" x14ac:dyDescent="0.2">
      <c r="A107" s="28">
        <f t="shared" si="60"/>
        <v>0</v>
      </c>
      <c r="B107" s="426"/>
      <c r="C107" s="427" t="s">
        <v>363</v>
      </c>
      <c r="D107" s="431"/>
      <c r="E107" s="223"/>
      <c r="F107" s="223"/>
      <c r="G107" s="365"/>
      <c r="H107" s="432"/>
      <c r="I107" s="365"/>
      <c r="J107" s="368">
        <f t="shared" si="64"/>
        <v>0</v>
      </c>
      <c r="K107" s="223"/>
      <c r="L107" s="405">
        <f t="shared" si="65"/>
        <v>0</v>
      </c>
      <c r="M107" s="405">
        <f t="shared" si="66"/>
        <v>0</v>
      </c>
      <c r="N107" s="405">
        <f t="shared" si="67"/>
        <v>0</v>
      </c>
      <c r="O107" s="1155"/>
      <c r="P107" s="406" t="str">
        <f t="shared" si="63"/>
        <v/>
      </c>
      <c r="Q107" s="50"/>
      <c r="R107" s="3"/>
      <c r="S107" s="28">
        <f t="shared" si="68"/>
        <v>0</v>
      </c>
      <c r="T107" s="28">
        <f t="shared" si="69"/>
        <v>0</v>
      </c>
      <c r="U107" s="30">
        <f t="shared" si="70"/>
        <v>0</v>
      </c>
      <c r="V107" s="40">
        <f t="shared" si="61"/>
        <v>0</v>
      </c>
      <c r="W107" s="32">
        <f t="shared" si="71"/>
        <v>0</v>
      </c>
      <c r="X107" s="28">
        <f t="shared" si="72"/>
        <v>0</v>
      </c>
      <c r="Y107" s="28">
        <f t="shared" si="73"/>
        <v>0</v>
      </c>
      <c r="Z107" s="28">
        <f t="shared" si="74"/>
        <v>0</v>
      </c>
      <c r="AA107" s="28">
        <f t="shared" si="75"/>
        <v>0</v>
      </c>
      <c r="AC107" s="28">
        <f t="shared" si="76"/>
        <v>0</v>
      </c>
      <c r="AD107" s="28">
        <f t="shared" si="77"/>
        <v>0</v>
      </c>
      <c r="AE107" s="28">
        <f t="shared" si="78"/>
        <v>0</v>
      </c>
      <c r="AF107" s="28">
        <f t="shared" si="79"/>
        <v>0</v>
      </c>
      <c r="AH107" s="32">
        <f t="shared" si="80"/>
        <v>0</v>
      </c>
      <c r="AI107" s="32">
        <f t="shared" si="81"/>
        <v>0</v>
      </c>
      <c r="AJ107" s="32">
        <f t="shared" si="82"/>
        <v>0</v>
      </c>
      <c r="AK107" s="32">
        <f t="shared" si="83"/>
        <v>0</v>
      </c>
      <c r="AL107" s="32"/>
      <c r="BD107" s="31"/>
      <c r="BE107" s="31"/>
      <c r="BF107" s="31"/>
      <c r="BG107" s="31"/>
      <c r="BH107" s="31"/>
      <c r="BI107" s="31"/>
      <c r="BJ107" s="31"/>
      <c r="BK107" s="31"/>
      <c r="BL107" s="31"/>
      <c r="BM107" s="31"/>
      <c r="BN107" s="31"/>
      <c r="CB107" s="31"/>
      <c r="CG107" s="31"/>
    </row>
    <row r="108" spans="1:85" ht="12.75" customHeight="1" x14ac:dyDescent="0.2">
      <c r="A108" s="28">
        <f t="shared" si="60"/>
        <v>0</v>
      </c>
      <c r="B108" s="426"/>
      <c r="C108" s="427" t="s">
        <v>363</v>
      </c>
      <c r="D108" s="431"/>
      <c r="E108" s="223"/>
      <c r="F108" s="223"/>
      <c r="G108" s="365"/>
      <c r="H108" s="432"/>
      <c r="I108" s="365"/>
      <c r="J108" s="368">
        <f t="shared" si="64"/>
        <v>0</v>
      </c>
      <c r="K108" s="223"/>
      <c r="L108" s="405">
        <f t="shared" si="65"/>
        <v>0</v>
      </c>
      <c r="M108" s="405">
        <f t="shared" si="66"/>
        <v>0</v>
      </c>
      <c r="N108" s="405">
        <f t="shared" si="67"/>
        <v>0</v>
      </c>
      <c r="O108" s="1155"/>
      <c r="P108" s="406" t="str">
        <f t="shared" si="63"/>
        <v/>
      </c>
      <c r="Q108" s="50"/>
      <c r="R108" s="3"/>
      <c r="S108" s="28">
        <f t="shared" si="68"/>
        <v>0</v>
      </c>
      <c r="T108" s="28">
        <f t="shared" si="69"/>
        <v>0</v>
      </c>
      <c r="U108" s="30">
        <f t="shared" si="70"/>
        <v>0</v>
      </c>
      <c r="V108" s="40">
        <f t="shared" si="61"/>
        <v>0</v>
      </c>
      <c r="W108" s="32">
        <f t="shared" si="71"/>
        <v>0</v>
      </c>
      <c r="X108" s="28">
        <f t="shared" si="72"/>
        <v>0</v>
      </c>
      <c r="Y108" s="28">
        <f t="shared" si="73"/>
        <v>0</v>
      </c>
      <c r="Z108" s="28">
        <f t="shared" si="74"/>
        <v>0</v>
      </c>
      <c r="AA108" s="28">
        <f t="shared" si="75"/>
        <v>0</v>
      </c>
      <c r="AC108" s="28">
        <f t="shared" si="76"/>
        <v>0</v>
      </c>
      <c r="AD108" s="28">
        <f t="shared" si="77"/>
        <v>0</v>
      </c>
      <c r="AE108" s="28">
        <f t="shared" si="78"/>
        <v>0</v>
      </c>
      <c r="AF108" s="28">
        <f t="shared" si="79"/>
        <v>0</v>
      </c>
      <c r="AH108" s="32">
        <f t="shared" si="80"/>
        <v>0</v>
      </c>
      <c r="AI108" s="32">
        <f t="shared" si="81"/>
        <v>0</v>
      </c>
      <c r="AJ108" s="32">
        <f t="shared" si="82"/>
        <v>0</v>
      </c>
      <c r="AK108" s="32">
        <f t="shared" si="83"/>
        <v>0</v>
      </c>
      <c r="AL108" s="32"/>
      <c r="BD108" s="31"/>
      <c r="BE108" s="31"/>
      <c r="BF108" s="31"/>
      <c r="BG108" s="31"/>
      <c r="BH108" s="31"/>
      <c r="BI108" s="31"/>
      <c r="BJ108" s="31"/>
      <c r="BK108" s="31"/>
      <c r="BL108" s="31"/>
      <c r="BM108" s="31"/>
      <c r="BN108" s="31"/>
      <c r="CB108" s="31"/>
      <c r="CG108" s="31"/>
    </row>
    <row r="109" spans="1:85" ht="12.75" customHeight="1" x14ac:dyDescent="0.2">
      <c r="A109" s="28">
        <f t="shared" si="60"/>
        <v>0</v>
      </c>
      <c r="B109" s="426"/>
      <c r="C109" s="427" t="s">
        <v>363</v>
      </c>
      <c r="D109" s="431"/>
      <c r="E109" s="223"/>
      <c r="F109" s="223"/>
      <c r="G109" s="365"/>
      <c r="H109" s="432"/>
      <c r="I109" s="365"/>
      <c r="J109" s="368">
        <f t="shared" si="64"/>
        <v>0</v>
      </c>
      <c r="K109" s="223"/>
      <c r="L109" s="405">
        <f t="shared" si="65"/>
        <v>0</v>
      </c>
      <c r="M109" s="405">
        <f t="shared" si="66"/>
        <v>0</v>
      </c>
      <c r="N109" s="405">
        <f t="shared" si="67"/>
        <v>0</v>
      </c>
      <c r="O109" s="1155"/>
      <c r="P109" s="406" t="str">
        <f t="shared" si="63"/>
        <v/>
      </c>
      <c r="Q109" s="50"/>
      <c r="R109" s="3"/>
      <c r="S109" s="28">
        <f t="shared" si="68"/>
        <v>0</v>
      </c>
      <c r="T109" s="28">
        <f t="shared" si="69"/>
        <v>0</v>
      </c>
      <c r="U109" s="30">
        <f t="shared" si="70"/>
        <v>0</v>
      </c>
      <c r="V109" s="40">
        <f t="shared" si="61"/>
        <v>0</v>
      </c>
      <c r="W109" s="32">
        <f t="shared" si="71"/>
        <v>0</v>
      </c>
      <c r="X109" s="28">
        <f t="shared" si="72"/>
        <v>0</v>
      </c>
      <c r="Y109" s="28">
        <f t="shared" si="73"/>
        <v>0</v>
      </c>
      <c r="Z109" s="28">
        <f t="shared" si="74"/>
        <v>0</v>
      </c>
      <c r="AA109" s="28">
        <f t="shared" si="75"/>
        <v>0</v>
      </c>
      <c r="AC109" s="28">
        <f t="shared" si="76"/>
        <v>0</v>
      </c>
      <c r="AD109" s="28">
        <f t="shared" si="77"/>
        <v>0</v>
      </c>
      <c r="AE109" s="28">
        <f t="shared" si="78"/>
        <v>0</v>
      </c>
      <c r="AF109" s="28">
        <f t="shared" si="79"/>
        <v>0</v>
      </c>
      <c r="AH109" s="32">
        <f t="shared" si="80"/>
        <v>0</v>
      </c>
      <c r="AI109" s="32">
        <f t="shared" si="81"/>
        <v>0</v>
      </c>
      <c r="AJ109" s="32">
        <f t="shared" si="82"/>
        <v>0</v>
      </c>
      <c r="AK109" s="32">
        <f t="shared" si="83"/>
        <v>0</v>
      </c>
      <c r="AL109" s="32"/>
      <c r="BD109" s="31"/>
      <c r="BE109" s="31"/>
      <c r="BF109" s="31"/>
      <c r="BG109" s="31"/>
      <c r="BH109" s="31"/>
      <c r="BI109" s="31"/>
      <c r="BJ109" s="31"/>
      <c r="BK109" s="31"/>
      <c r="BL109" s="31"/>
      <c r="BM109" s="31"/>
      <c r="BN109" s="31"/>
      <c r="CB109" s="31"/>
      <c r="CG109" s="31"/>
    </row>
    <row r="110" spans="1:85" ht="12.75" customHeight="1" x14ac:dyDescent="0.2">
      <c r="A110" s="28">
        <f t="shared" si="60"/>
        <v>0</v>
      </c>
      <c r="B110" s="426"/>
      <c r="C110" s="427" t="s">
        <v>363</v>
      </c>
      <c r="D110" s="431"/>
      <c r="E110" s="223"/>
      <c r="F110" s="223"/>
      <c r="G110" s="365"/>
      <c r="H110" s="432"/>
      <c r="I110" s="365"/>
      <c r="J110" s="368">
        <f t="shared" si="64"/>
        <v>0</v>
      </c>
      <c r="K110" s="223"/>
      <c r="L110" s="405">
        <f t="shared" si="65"/>
        <v>0</v>
      </c>
      <c r="M110" s="405">
        <f t="shared" si="66"/>
        <v>0</v>
      </c>
      <c r="N110" s="405">
        <f t="shared" si="67"/>
        <v>0</v>
      </c>
      <c r="O110" s="1155"/>
      <c r="P110" s="406" t="str">
        <f t="shared" si="63"/>
        <v/>
      </c>
      <c r="Q110" s="50"/>
      <c r="R110" s="3"/>
      <c r="S110" s="28">
        <f t="shared" si="68"/>
        <v>0</v>
      </c>
      <c r="T110" s="28">
        <f t="shared" si="69"/>
        <v>0</v>
      </c>
      <c r="U110" s="30">
        <f t="shared" si="70"/>
        <v>0</v>
      </c>
      <c r="V110" s="40">
        <f t="shared" si="61"/>
        <v>0</v>
      </c>
      <c r="W110" s="32">
        <f t="shared" si="71"/>
        <v>0</v>
      </c>
      <c r="X110" s="28">
        <f t="shared" si="72"/>
        <v>0</v>
      </c>
      <c r="Y110" s="28">
        <f t="shared" si="73"/>
        <v>0</v>
      </c>
      <c r="Z110" s="28">
        <f t="shared" si="74"/>
        <v>0</v>
      </c>
      <c r="AA110" s="28">
        <f t="shared" si="75"/>
        <v>0</v>
      </c>
      <c r="AC110" s="28">
        <f t="shared" si="76"/>
        <v>0</v>
      </c>
      <c r="AD110" s="28">
        <f t="shared" si="77"/>
        <v>0</v>
      </c>
      <c r="AE110" s="28">
        <f t="shared" si="78"/>
        <v>0</v>
      </c>
      <c r="AF110" s="28">
        <f t="shared" si="79"/>
        <v>0</v>
      </c>
      <c r="AH110" s="32">
        <f t="shared" si="80"/>
        <v>0</v>
      </c>
      <c r="AI110" s="32">
        <f t="shared" si="81"/>
        <v>0</v>
      </c>
      <c r="AJ110" s="32">
        <f t="shared" si="82"/>
        <v>0</v>
      </c>
      <c r="AK110" s="32">
        <f t="shared" si="83"/>
        <v>0</v>
      </c>
      <c r="AL110" s="32"/>
      <c r="BD110" s="31"/>
      <c r="BE110" s="31"/>
      <c r="BF110" s="31"/>
      <c r="BG110" s="31"/>
      <c r="BH110" s="31"/>
      <c r="BI110" s="31"/>
      <c r="BJ110" s="31"/>
      <c r="BK110" s="31"/>
      <c r="BL110" s="31"/>
      <c r="BM110" s="31"/>
      <c r="BN110" s="31"/>
      <c r="CB110" s="31"/>
      <c r="CG110" s="31"/>
    </row>
    <row r="111" spans="1:85" ht="12.75" customHeight="1" x14ac:dyDescent="0.2">
      <c r="A111" s="28">
        <f t="shared" si="60"/>
        <v>0</v>
      </c>
      <c r="B111" s="426"/>
      <c r="C111" s="427" t="s">
        <v>363</v>
      </c>
      <c r="D111" s="431"/>
      <c r="E111" s="223"/>
      <c r="F111" s="223"/>
      <c r="G111" s="365"/>
      <c r="H111" s="432"/>
      <c r="I111" s="365"/>
      <c r="J111" s="368">
        <f t="shared" si="64"/>
        <v>0</v>
      </c>
      <c r="K111" s="223"/>
      <c r="L111" s="405">
        <f t="shared" si="65"/>
        <v>0</v>
      </c>
      <c r="M111" s="405">
        <f t="shared" si="66"/>
        <v>0</v>
      </c>
      <c r="N111" s="405">
        <f t="shared" si="67"/>
        <v>0</v>
      </c>
      <c r="O111" s="1155"/>
      <c r="P111" s="406" t="str">
        <f t="shared" si="63"/>
        <v/>
      </c>
      <c r="Q111" s="50"/>
      <c r="R111" s="3"/>
      <c r="S111" s="28">
        <f t="shared" si="68"/>
        <v>0</v>
      </c>
      <c r="T111" s="28">
        <f t="shared" si="69"/>
        <v>0</v>
      </c>
      <c r="U111" s="30">
        <f t="shared" si="70"/>
        <v>0</v>
      </c>
      <c r="V111" s="40">
        <f t="shared" si="61"/>
        <v>0</v>
      </c>
      <c r="W111" s="32">
        <f t="shared" si="71"/>
        <v>0</v>
      </c>
      <c r="X111" s="28">
        <f t="shared" si="72"/>
        <v>0</v>
      </c>
      <c r="Y111" s="28">
        <f t="shared" si="73"/>
        <v>0</v>
      </c>
      <c r="Z111" s="28">
        <f t="shared" si="74"/>
        <v>0</v>
      </c>
      <c r="AA111" s="28">
        <f t="shared" si="75"/>
        <v>0</v>
      </c>
      <c r="AC111" s="28">
        <f t="shared" si="76"/>
        <v>0</v>
      </c>
      <c r="AD111" s="28">
        <f t="shared" si="77"/>
        <v>0</v>
      </c>
      <c r="AE111" s="28">
        <f t="shared" si="78"/>
        <v>0</v>
      </c>
      <c r="AF111" s="28">
        <f t="shared" si="79"/>
        <v>0</v>
      </c>
      <c r="AH111" s="32">
        <f t="shared" si="80"/>
        <v>0</v>
      </c>
      <c r="AI111" s="32">
        <f t="shared" si="81"/>
        <v>0</v>
      </c>
      <c r="AJ111" s="32">
        <f t="shared" si="82"/>
        <v>0</v>
      </c>
      <c r="AK111" s="32">
        <f t="shared" si="83"/>
        <v>0</v>
      </c>
      <c r="AL111" s="32"/>
      <c r="BD111" s="31"/>
      <c r="BE111" s="31"/>
      <c r="BF111" s="31"/>
      <c r="BG111" s="31"/>
      <c r="BH111" s="31"/>
      <c r="BI111" s="31"/>
      <c r="BJ111" s="31"/>
      <c r="BK111" s="31"/>
      <c r="BL111" s="31"/>
      <c r="BM111" s="31"/>
      <c r="BN111" s="31"/>
      <c r="CB111" s="31"/>
      <c r="CG111" s="31"/>
    </row>
    <row r="112" spans="1:85" ht="12.75" customHeight="1" x14ac:dyDescent="0.2">
      <c r="A112" s="28">
        <f t="shared" si="60"/>
        <v>0</v>
      </c>
      <c r="B112" s="426"/>
      <c r="C112" s="427" t="s">
        <v>363</v>
      </c>
      <c r="D112" s="431"/>
      <c r="E112" s="223"/>
      <c r="F112" s="223"/>
      <c r="G112" s="365"/>
      <c r="H112" s="432"/>
      <c r="I112" s="365"/>
      <c r="J112" s="368">
        <f t="shared" si="64"/>
        <v>0</v>
      </c>
      <c r="K112" s="223"/>
      <c r="L112" s="405">
        <f t="shared" si="65"/>
        <v>0</v>
      </c>
      <c r="M112" s="405">
        <f t="shared" si="66"/>
        <v>0</v>
      </c>
      <c r="N112" s="405">
        <f t="shared" si="67"/>
        <v>0</v>
      </c>
      <c r="O112" s="1155"/>
      <c r="P112" s="406" t="str">
        <f t="shared" si="63"/>
        <v/>
      </c>
      <c r="Q112" s="50"/>
      <c r="R112" s="3"/>
      <c r="S112" s="28">
        <f t="shared" si="68"/>
        <v>0</v>
      </c>
      <c r="T112" s="28">
        <f t="shared" si="69"/>
        <v>0</v>
      </c>
      <c r="U112" s="30">
        <f t="shared" si="70"/>
        <v>0</v>
      </c>
      <c r="V112" s="40">
        <f t="shared" si="61"/>
        <v>0</v>
      </c>
      <c r="W112" s="32">
        <f t="shared" si="71"/>
        <v>0</v>
      </c>
      <c r="X112" s="28">
        <f t="shared" si="72"/>
        <v>0</v>
      </c>
      <c r="Y112" s="28">
        <f t="shared" si="73"/>
        <v>0</v>
      </c>
      <c r="Z112" s="28">
        <f t="shared" si="74"/>
        <v>0</v>
      </c>
      <c r="AA112" s="28">
        <f t="shared" si="75"/>
        <v>0</v>
      </c>
      <c r="AC112" s="28">
        <f t="shared" si="76"/>
        <v>0</v>
      </c>
      <c r="AD112" s="28">
        <f t="shared" si="77"/>
        <v>0</v>
      </c>
      <c r="AE112" s="28">
        <f t="shared" si="78"/>
        <v>0</v>
      </c>
      <c r="AF112" s="28">
        <f t="shared" si="79"/>
        <v>0</v>
      </c>
      <c r="AH112" s="32">
        <f t="shared" si="80"/>
        <v>0</v>
      </c>
      <c r="AI112" s="32">
        <f t="shared" si="81"/>
        <v>0</v>
      </c>
      <c r="AJ112" s="32">
        <f t="shared" si="82"/>
        <v>0</v>
      </c>
      <c r="AK112" s="32">
        <f t="shared" si="83"/>
        <v>0</v>
      </c>
      <c r="AL112" s="32"/>
      <c r="BD112" s="31"/>
      <c r="BE112" s="31"/>
      <c r="BF112" s="31"/>
      <c r="BG112" s="31"/>
      <c r="BH112" s="31"/>
      <c r="BI112" s="31"/>
      <c r="BJ112" s="31"/>
      <c r="BK112" s="31"/>
      <c r="BL112" s="31"/>
      <c r="BM112" s="31"/>
      <c r="BN112" s="31"/>
      <c r="CB112" s="31"/>
      <c r="CG112" s="31"/>
    </row>
    <row r="113" spans="1:85" ht="12.75" customHeight="1" x14ac:dyDescent="0.2">
      <c r="A113" s="28">
        <f t="shared" si="60"/>
        <v>0</v>
      </c>
      <c r="B113" s="426"/>
      <c r="C113" s="427" t="s">
        <v>363</v>
      </c>
      <c r="D113" s="431"/>
      <c r="E113" s="223"/>
      <c r="F113" s="223"/>
      <c r="G113" s="365"/>
      <c r="H113" s="432"/>
      <c r="I113" s="365"/>
      <c r="J113" s="368">
        <f t="shared" si="64"/>
        <v>0</v>
      </c>
      <c r="K113" s="223"/>
      <c r="L113" s="405">
        <f t="shared" si="65"/>
        <v>0</v>
      </c>
      <c r="M113" s="405">
        <f t="shared" si="66"/>
        <v>0</v>
      </c>
      <c r="N113" s="405">
        <f t="shared" si="67"/>
        <v>0</v>
      </c>
      <c r="O113" s="1155"/>
      <c r="P113" s="406" t="str">
        <f t="shared" si="63"/>
        <v/>
      </c>
      <c r="Q113" s="50"/>
      <c r="R113" s="3"/>
      <c r="S113" s="28">
        <f t="shared" si="68"/>
        <v>0</v>
      </c>
      <c r="T113" s="28">
        <f t="shared" si="69"/>
        <v>0</v>
      </c>
      <c r="U113" s="30">
        <f t="shared" si="70"/>
        <v>0</v>
      </c>
      <c r="V113" s="40">
        <f t="shared" si="61"/>
        <v>0</v>
      </c>
      <c r="W113" s="32">
        <f t="shared" si="71"/>
        <v>0</v>
      </c>
      <c r="X113" s="28">
        <f t="shared" si="72"/>
        <v>0</v>
      </c>
      <c r="Y113" s="28">
        <f t="shared" si="73"/>
        <v>0</v>
      </c>
      <c r="Z113" s="28">
        <f t="shared" si="74"/>
        <v>0</v>
      </c>
      <c r="AA113" s="28">
        <f t="shared" si="75"/>
        <v>0</v>
      </c>
      <c r="AC113" s="28">
        <f t="shared" si="76"/>
        <v>0</v>
      </c>
      <c r="AD113" s="28">
        <f t="shared" si="77"/>
        <v>0</v>
      </c>
      <c r="AE113" s="28">
        <f t="shared" si="78"/>
        <v>0</v>
      </c>
      <c r="AF113" s="28">
        <f t="shared" si="79"/>
        <v>0</v>
      </c>
      <c r="AH113" s="32">
        <f t="shared" si="80"/>
        <v>0</v>
      </c>
      <c r="AI113" s="32">
        <f t="shared" si="81"/>
        <v>0</v>
      </c>
      <c r="AJ113" s="32">
        <f t="shared" si="82"/>
        <v>0</v>
      </c>
      <c r="AK113" s="32">
        <f t="shared" si="83"/>
        <v>0</v>
      </c>
      <c r="AL113" s="32"/>
      <c r="BD113" s="31"/>
      <c r="BE113" s="31"/>
      <c r="BF113" s="31"/>
      <c r="BG113" s="31"/>
      <c r="BH113" s="31"/>
      <c r="BI113" s="31"/>
      <c r="BJ113" s="31"/>
      <c r="BK113" s="31"/>
      <c r="BL113" s="31"/>
      <c r="BM113" s="31"/>
      <c r="BN113" s="31"/>
      <c r="CB113" s="31"/>
      <c r="CG113" s="31"/>
    </row>
    <row r="114" spans="1:85" ht="12.75" customHeight="1" x14ac:dyDescent="0.2">
      <c r="A114" s="28">
        <f t="shared" si="60"/>
        <v>0</v>
      </c>
      <c r="B114" s="426"/>
      <c r="C114" s="427" t="s">
        <v>363</v>
      </c>
      <c r="D114" s="431"/>
      <c r="E114" s="223"/>
      <c r="F114" s="223"/>
      <c r="G114" s="365"/>
      <c r="H114" s="432"/>
      <c r="I114" s="365"/>
      <c r="J114" s="368">
        <f t="shared" si="64"/>
        <v>0</v>
      </c>
      <c r="K114" s="223"/>
      <c r="L114" s="405">
        <f t="shared" si="65"/>
        <v>0</v>
      </c>
      <c r="M114" s="405">
        <f t="shared" si="66"/>
        <v>0</v>
      </c>
      <c r="N114" s="405">
        <f t="shared" si="67"/>
        <v>0</v>
      </c>
      <c r="O114" s="1155"/>
      <c r="P114" s="406" t="str">
        <f t="shared" si="63"/>
        <v/>
      </c>
      <c r="Q114" s="50"/>
      <c r="R114" s="3"/>
      <c r="S114" s="28">
        <f t="shared" si="68"/>
        <v>0</v>
      </c>
      <c r="T114" s="28">
        <f t="shared" si="69"/>
        <v>0</v>
      </c>
      <c r="U114" s="30">
        <f t="shared" si="70"/>
        <v>0</v>
      </c>
      <c r="V114" s="40">
        <f t="shared" si="61"/>
        <v>0</v>
      </c>
      <c r="W114" s="32">
        <f t="shared" si="71"/>
        <v>0</v>
      </c>
      <c r="X114" s="28">
        <f t="shared" si="72"/>
        <v>0</v>
      </c>
      <c r="Y114" s="28">
        <f t="shared" si="73"/>
        <v>0</v>
      </c>
      <c r="Z114" s="28">
        <f t="shared" si="74"/>
        <v>0</v>
      </c>
      <c r="AA114" s="28">
        <f t="shared" si="75"/>
        <v>0</v>
      </c>
      <c r="AC114" s="28">
        <f t="shared" si="76"/>
        <v>0</v>
      </c>
      <c r="AD114" s="28">
        <f t="shared" si="77"/>
        <v>0</v>
      </c>
      <c r="AE114" s="28">
        <f t="shared" si="78"/>
        <v>0</v>
      </c>
      <c r="AF114" s="28">
        <f t="shared" si="79"/>
        <v>0</v>
      </c>
      <c r="AH114" s="32">
        <f t="shared" si="80"/>
        <v>0</v>
      </c>
      <c r="AI114" s="32">
        <f t="shared" si="81"/>
        <v>0</v>
      </c>
      <c r="AJ114" s="32">
        <f t="shared" si="82"/>
        <v>0</v>
      </c>
      <c r="AK114" s="32">
        <f t="shared" si="83"/>
        <v>0</v>
      </c>
      <c r="AL114" s="32"/>
      <c r="BD114" s="31"/>
      <c r="BE114" s="31"/>
      <c r="BF114" s="31"/>
      <c r="BG114" s="31"/>
      <c r="BH114" s="31"/>
      <c r="BI114" s="31"/>
      <c r="BJ114" s="31"/>
      <c r="BK114" s="31"/>
      <c r="BL114" s="31"/>
      <c r="BM114" s="31"/>
      <c r="BN114" s="31"/>
      <c r="CB114" s="31"/>
      <c r="CG114" s="31"/>
    </row>
    <row r="115" spans="1:85" ht="12.75" customHeight="1" x14ac:dyDescent="0.2">
      <c r="A115" s="28">
        <f t="shared" si="60"/>
        <v>0</v>
      </c>
      <c r="B115" s="426"/>
      <c r="C115" s="427" t="s">
        <v>363</v>
      </c>
      <c r="D115" s="431"/>
      <c r="E115" s="223"/>
      <c r="F115" s="223"/>
      <c r="G115" s="365"/>
      <c r="H115" s="432"/>
      <c r="I115" s="365"/>
      <c r="J115" s="368">
        <f t="shared" si="64"/>
        <v>0</v>
      </c>
      <c r="K115" s="223"/>
      <c r="L115" s="405">
        <f t="shared" si="65"/>
        <v>0</v>
      </c>
      <c r="M115" s="405">
        <f t="shared" si="66"/>
        <v>0</v>
      </c>
      <c r="N115" s="405">
        <f t="shared" si="67"/>
        <v>0</v>
      </c>
      <c r="O115" s="1155"/>
      <c r="P115" s="406" t="str">
        <f t="shared" si="63"/>
        <v/>
      </c>
      <c r="Q115" s="50"/>
      <c r="R115" s="3"/>
      <c r="S115" s="28">
        <f t="shared" si="68"/>
        <v>0</v>
      </c>
      <c r="T115" s="28">
        <f t="shared" si="69"/>
        <v>0</v>
      </c>
      <c r="U115" s="30">
        <f t="shared" si="70"/>
        <v>0</v>
      </c>
      <c r="V115" s="40">
        <f t="shared" si="61"/>
        <v>0</v>
      </c>
      <c r="W115" s="32">
        <f t="shared" si="71"/>
        <v>0</v>
      </c>
      <c r="X115" s="28">
        <f t="shared" si="72"/>
        <v>0</v>
      </c>
      <c r="Y115" s="28">
        <f t="shared" si="73"/>
        <v>0</v>
      </c>
      <c r="Z115" s="28">
        <f t="shared" si="74"/>
        <v>0</v>
      </c>
      <c r="AA115" s="28">
        <f t="shared" si="75"/>
        <v>0</v>
      </c>
      <c r="AC115" s="28">
        <f t="shared" si="76"/>
        <v>0</v>
      </c>
      <c r="AD115" s="28">
        <f t="shared" si="77"/>
        <v>0</v>
      </c>
      <c r="AE115" s="28">
        <f t="shared" si="78"/>
        <v>0</v>
      </c>
      <c r="AF115" s="28">
        <f t="shared" si="79"/>
        <v>0</v>
      </c>
      <c r="AH115" s="32">
        <f t="shared" si="80"/>
        <v>0</v>
      </c>
      <c r="AI115" s="32">
        <f t="shared" si="81"/>
        <v>0</v>
      </c>
      <c r="AJ115" s="32">
        <f t="shared" si="82"/>
        <v>0</v>
      </c>
      <c r="AK115" s="32">
        <f t="shared" si="83"/>
        <v>0</v>
      </c>
      <c r="AL115" s="32"/>
      <c r="BD115" s="31"/>
      <c r="BE115" s="31"/>
      <c r="BF115" s="31"/>
      <c r="BG115" s="31"/>
      <c r="BH115" s="31"/>
      <c r="BI115" s="31"/>
      <c r="BJ115" s="31"/>
      <c r="BK115" s="31"/>
      <c r="BL115" s="31"/>
      <c r="BM115" s="31"/>
      <c r="BN115" s="31"/>
      <c r="CB115" s="31"/>
      <c r="CG115" s="31"/>
    </row>
    <row r="116" spans="1:85" ht="12.75" customHeight="1" x14ac:dyDescent="0.2">
      <c r="A116" s="28">
        <f t="shared" si="60"/>
        <v>0</v>
      </c>
      <c r="B116" s="426"/>
      <c r="C116" s="427" t="s">
        <v>363</v>
      </c>
      <c r="D116" s="431"/>
      <c r="E116" s="223"/>
      <c r="F116" s="223"/>
      <c r="G116" s="365"/>
      <c r="H116" s="432"/>
      <c r="I116" s="365"/>
      <c r="J116" s="368">
        <f t="shared" si="64"/>
        <v>0</v>
      </c>
      <c r="K116" s="223"/>
      <c r="L116" s="405">
        <f t="shared" si="65"/>
        <v>0</v>
      </c>
      <c r="M116" s="405">
        <f t="shared" si="66"/>
        <v>0</v>
      </c>
      <c r="N116" s="405">
        <f t="shared" si="67"/>
        <v>0</v>
      </c>
      <c r="O116" s="1155"/>
      <c r="P116" s="406" t="str">
        <f t="shared" si="63"/>
        <v/>
      </c>
      <c r="Q116" s="50"/>
      <c r="R116" s="3"/>
      <c r="S116" s="28">
        <f t="shared" si="68"/>
        <v>0</v>
      </c>
      <c r="T116" s="28">
        <f t="shared" si="69"/>
        <v>0</v>
      </c>
      <c r="U116" s="30">
        <f t="shared" si="70"/>
        <v>0</v>
      </c>
      <c r="V116" s="40">
        <f t="shared" si="61"/>
        <v>0</v>
      </c>
      <c r="W116" s="32">
        <f t="shared" si="71"/>
        <v>0</v>
      </c>
      <c r="X116" s="28">
        <f t="shared" si="72"/>
        <v>0</v>
      </c>
      <c r="Y116" s="28">
        <f t="shared" si="73"/>
        <v>0</v>
      </c>
      <c r="Z116" s="28">
        <f t="shared" si="74"/>
        <v>0</v>
      </c>
      <c r="AA116" s="28">
        <f t="shared" si="75"/>
        <v>0</v>
      </c>
      <c r="AC116" s="28">
        <f t="shared" si="76"/>
        <v>0</v>
      </c>
      <c r="AD116" s="28">
        <f t="shared" si="77"/>
        <v>0</v>
      </c>
      <c r="AE116" s="28">
        <f t="shared" si="78"/>
        <v>0</v>
      </c>
      <c r="AF116" s="28">
        <f t="shared" si="79"/>
        <v>0</v>
      </c>
      <c r="AH116" s="32">
        <f t="shared" si="80"/>
        <v>0</v>
      </c>
      <c r="AI116" s="32">
        <f t="shared" si="81"/>
        <v>0</v>
      </c>
      <c r="AJ116" s="32">
        <f t="shared" si="82"/>
        <v>0</v>
      </c>
      <c r="AK116" s="32">
        <f t="shared" si="83"/>
        <v>0</v>
      </c>
      <c r="AL116" s="32"/>
      <c r="BD116" s="31"/>
      <c r="BE116" s="31"/>
      <c r="BF116" s="31"/>
      <c r="BG116" s="31"/>
      <c r="BH116" s="31"/>
      <c r="BI116" s="31"/>
      <c r="BJ116" s="31"/>
      <c r="BK116" s="31"/>
      <c r="BL116" s="31"/>
      <c r="BM116" s="31"/>
      <c r="BN116" s="31"/>
      <c r="CB116" s="31"/>
      <c r="CG116" s="31"/>
    </row>
    <row r="117" spans="1:85" ht="12.75" customHeight="1" x14ac:dyDescent="0.2">
      <c r="A117" s="28">
        <f t="shared" si="60"/>
        <v>0</v>
      </c>
      <c r="B117" s="426"/>
      <c r="C117" s="427" t="s">
        <v>363</v>
      </c>
      <c r="D117" s="431"/>
      <c r="E117" s="223"/>
      <c r="F117" s="223"/>
      <c r="G117" s="365"/>
      <c r="H117" s="432"/>
      <c r="I117" s="365"/>
      <c r="J117" s="368">
        <f t="shared" si="64"/>
        <v>0</v>
      </c>
      <c r="K117" s="223"/>
      <c r="L117" s="405">
        <f t="shared" si="65"/>
        <v>0</v>
      </c>
      <c r="M117" s="405">
        <f t="shared" si="66"/>
        <v>0</v>
      </c>
      <c r="N117" s="405">
        <f t="shared" si="67"/>
        <v>0</v>
      </c>
      <c r="O117" s="1155"/>
      <c r="P117" s="406" t="str">
        <f t="shared" si="63"/>
        <v/>
      </c>
      <c r="Q117" s="50"/>
      <c r="R117" s="3"/>
      <c r="S117" s="28">
        <f t="shared" si="68"/>
        <v>0</v>
      </c>
      <c r="T117" s="28">
        <f t="shared" si="69"/>
        <v>0</v>
      </c>
      <c r="U117" s="30">
        <f t="shared" si="70"/>
        <v>0</v>
      </c>
      <c r="V117" s="40">
        <f t="shared" si="61"/>
        <v>0</v>
      </c>
      <c r="W117" s="32">
        <f t="shared" si="71"/>
        <v>0</v>
      </c>
      <c r="X117" s="28">
        <f t="shared" si="72"/>
        <v>0</v>
      </c>
      <c r="Y117" s="28">
        <f t="shared" si="73"/>
        <v>0</v>
      </c>
      <c r="Z117" s="28">
        <f t="shared" si="74"/>
        <v>0</v>
      </c>
      <c r="AA117" s="28">
        <f t="shared" si="75"/>
        <v>0</v>
      </c>
      <c r="AC117" s="28">
        <f t="shared" si="76"/>
        <v>0</v>
      </c>
      <c r="AD117" s="28">
        <f t="shared" si="77"/>
        <v>0</v>
      </c>
      <c r="AE117" s="28">
        <f t="shared" si="78"/>
        <v>0</v>
      </c>
      <c r="AF117" s="28">
        <f t="shared" si="79"/>
        <v>0</v>
      </c>
      <c r="AH117" s="32">
        <f t="shared" si="80"/>
        <v>0</v>
      </c>
      <c r="AI117" s="32">
        <f t="shared" si="81"/>
        <v>0</v>
      </c>
      <c r="AJ117" s="32">
        <f t="shared" si="82"/>
        <v>0</v>
      </c>
      <c r="AK117" s="32">
        <f t="shared" si="83"/>
        <v>0</v>
      </c>
      <c r="AL117" s="32"/>
      <c r="BD117" s="31"/>
      <c r="BE117" s="31"/>
      <c r="BF117" s="31"/>
      <c r="BG117" s="31"/>
      <c r="BH117" s="31"/>
      <c r="BI117" s="31"/>
      <c r="BJ117" s="31"/>
      <c r="BK117" s="31"/>
      <c r="BL117" s="31"/>
      <c r="BM117" s="31"/>
      <c r="BN117" s="31"/>
      <c r="CB117" s="31"/>
      <c r="CG117" s="31"/>
    </row>
    <row r="118" spans="1:85" ht="12.75" customHeight="1" x14ac:dyDescent="0.2">
      <c r="A118" s="28">
        <f>IF(AH118=AH77,0,AH118)</f>
      </c>
      <c r="B118" s="426"/>
      <c r="C118" s="427" t="s">
        <v>363</v>
      </c>
      <c r="D118" s="431"/>
      <c r="E118" s="223"/>
      <c r="F118" s="223"/>
      <c r="G118" s="365"/>
      <c r="H118" s="432"/>
      <c r="I118" s="365"/>
      <c r="J118" s="368">
        <f t="shared" ref="J118:J150" si="84">IF(I118="",0,IF($D118=$Q$1,0,AC118))</f>
      </c>
      <c r="K118" s="223"/>
      <c r="L118" s="405">
        <f t="shared" ref="L118:L142" si="85">IF(T118=0,0,IF(W118&lt;0,0,W118))</f>
      </c>
      <c r="M118" s="405">
        <f t="shared" ref="M118:M142" si="86">IF(T118=0,0,Z118)</f>
      </c>
      <c r="N118" s="405">
        <f t="shared" ref="N118:N142" si="87">IF(T118=0,0,IF(AA118&gt;=0,AA118,0))</f>
      </c>
      <c r="O118" s="1155"/>
      <c r="P118" s="406" t="str">
        <f t="shared" si="63"/>
        <v/>
      </c>
      <c r="Q118" s="50"/>
      <c r="R118" s="3"/>
      <c r="S118" s="28">
        <f t="shared" ref="S118:S150" si="88">IF(P118="",0,1)</f>
      </c>
      <c r="T118" s="28">
        <f t="shared" ref="T118:T142" si="89">IF(ISERROR(V118),4,V118)</f>
      </c>
      <c r="U118" s="30">
        <f t="shared" ref="U118:U142" si="90">IF($Z$1=1,K118,IF(ISBLANK(K118),T118,IF(K118=0,0,IF(K118&gt;T118,K118,T118))))</f>
      </c>
      <c r="V118" s="40">
        <f t="shared" ref="V118:V149" si="91">IF(ISBLANK(B118),0,VLOOKUP($B118,$B$322:$C$343,2,FALSE))</f>
      </c>
      <c r="W118" s="32">
        <f t="shared" ref="W118:W142" si="92">IF(D118=$Q$1,(G118+H118),E118-I118)</f>
      </c>
      <c r="X118" s="28">
        <f t="shared" ref="X118:X142" si="93">IF(D118=$Q$1,W118,F118-AC118)</f>
      </c>
      <c r="Y118" s="28">
        <f t="shared" ref="Y118:Y142" si="94">IF(U118=0,0,W118/U118)</f>
      </c>
      <c r="Z118" s="28">
        <f t="shared" ref="Z118:Z142" si="95">IF(Y118&lt;0,0,IF(Y118&gt;X118,X118,Y118))</f>
      </c>
      <c r="AA118" s="28">
        <f t="shared" ref="AA118:AA142" si="96">X118-Z118</f>
      </c>
      <c r="AC118" s="28">
        <f t="shared" ref="AC118:AC126" si="97">IF(T118=0,0,IF(D118=$Q$1,0,IF(AD118&lt;&gt;2,0,ROUND(F118*I118/E118,0))))</f>
      </c>
      <c r="AD118" s="28">
        <f t="shared" ref="AD118:AD142" si="98">SUM(AE118:AF118)</f>
      </c>
      <c r="AE118" s="28">
        <f t="shared" ref="AE118:AE142" si="99">IF(ISBLANK(F118),0,1)</f>
      </c>
      <c r="AF118" s="28">
        <f t="shared" ref="AF118:AF142" si="100">IF(ISBLANK(E118),0,1)</f>
      </c>
      <c r="AH118" s="32">
        <f t="shared" ref="AH118:AH150" si="101">IF(I118&gt;0,AH117+1,AH117)</f>
      </c>
      <c r="AI118" s="32">
        <f t="shared" ref="AI118:AI142" si="102">E118</f>
      </c>
      <c r="AJ118" s="32">
        <f t="shared" ref="AJ118:AJ142" si="103">F118</f>
      </c>
      <c r="AK118" s="32">
        <f t="shared" ref="AK118:AK142" si="104">IF($D118=$Q$1,0,E118)</f>
      </c>
      <c r="AL118" s="32"/>
      <c r="BD118" s="31"/>
      <c r="BE118" s="31"/>
      <c r="BF118" s="31"/>
      <c r="BG118" s="31"/>
      <c r="BH118" s="31"/>
      <c r="BI118" s="31"/>
      <c r="BJ118" s="31"/>
      <c r="BK118" s="31"/>
      <c r="BL118" s="31"/>
      <c r="BM118" s="31"/>
      <c r="BN118" s="31"/>
      <c r="CB118" s="31"/>
      <c r="CG118" s="31"/>
    </row>
    <row r="119" spans="1:85" ht="12.75" customHeight="1" x14ac:dyDescent="0.2">
      <c r="A119" s="28">
        <f t="shared" si="60"/>
        <v>0</v>
      </c>
      <c r="B119" s="426"/>
      <c r="C119" s="427" t="s">
        <v>363</v>
      </c>
      <c r="D119" s="431"/>
      <c r="E119" s="223"/>
      <c r="F119" s="223"/>
      <c r="G119" s="365"/>
      <c r="H119" s="432"/>
      <c r="I119" s="365"/>
      <c r="J119" s="368">
        <f t="shared" si="84"/>
        <v>0</v>
      </c>
      <c r="K119" s="223"/>
      <c r="L119" s="405">
        <f t="shared" si="85"/>
        <v>0</v>
      </c>
      <c r="M119" s="405">
        <f t="shared" si="86"/>
        <v>0</v>
      </c>
      <c r="N119" s="405">
        <f t="shared" si="87"/>
        <v>0</v>
      </c>
      <c r="O119" s="1155"/>
      <c r="P119" s="406" t="str">
        <f t="shared" si="63"/>
        <v/>
      </c>
      <c r="Q119" s="50"/>
      <c r="R119" s="3"/>
      <c r="S119" s="28">
        <f t="shared" si="88"/>
        <v>0</v>
      </c>
      <c r="T119" s="28">
        <f t="shared" si="89"/>
        <v>0</v>
      </c>
      <c r="U119" s="30">
        <f t="shared" si="90"/>
        <v>0</v>
      </c>
      <c r="V119" s="40">
        <f t="shared" si="91"/>
        <v>0</v>
      </c>
      <c r="W119" s="32">
        <f t="shared" si="92"/>
        <v>0</v>
      </c>
      <c r="X119" s="28">
        <f t="shared" si="93"/>
        <v>0</v>
      </c>
      <c r="Y119" s="28">
        <f t="shared" si="94"/>
        <v>0</v>
      </c>
      <c r="Z119" s="28">
        <f t="shared" si="95"/>
        <v>0</v>
      </c>
      <c r="AA119" s="28">
        <f t="shared" si="96"/>
        <v>0</v>
      </c>
      <c r="AC119" s="28">
        <f t="shared" si="97"/>
        <v>0</v>
      </c>
      <c r="AD119" s="28">
        <f t="shared" si="98"/>
        <v>0</v>
      </c>
      <c r="AE119" s="28">
        <f t="shared" si="99"/>
        <v>0</v>
      </c>
      <c r="AF119" s="28">
        <f t="shared" si="100"/>
        <v>0</v>
      </c>
      <c r="AH119" s="32">
        <f t="shared" si="101"/>
        <v>0</v>
      </c>
      <c r="AI119" s="32">
        <f t="shared" si="102"/>
        <v>0</v>
      </c>
      <c r="AJ119" s="32">
        <f t="shared" si="103"/>
        <v>0</v>
      </c>
      <c r="AK119" s="32">
        <f t="shared" si="104"/>
        <v>0</v>
      </c>
      <c r="AL119" s="32"/>
      <c r="BD119" s="31"/>
      <c r="BE119" s="31"/>
      <c r="BF119" s="31"/>
      <c r="BG119" s="31"/>
      <c r="BH119" s="31"/>
      <c r="BI119" s="31"/>
      <c r="BJ119" s="31"/>
      <c r="BK119" s="31"/>
      <c r="BL119" s="31"/>
      <c r="BM119" s="31"/>
      <c r="BN119" s="31"/>
      <c r="CB119" s="31"/>
      <c r="CG119" s="31"/>
    </row>
    <row r="120" spans="1:85" ht="12.75" customHeight="1" x14ac:dyDescent="0.2">
      <c r="A120" s="28">
        <f t="shared" si="60"/>
        <v>0</v>
      </c>
      <c r="B120" s="426"/>
      <c r="C120" s="427" t="s">
        <v>363</v>
      </c>
      <c r="D120" s="431"/>
      <c r="E120" s="223"/>
      <c r="F120" s="223"/>
      <c r="G120" s="365"/>
      <c r="H120" s="432"/>
      <c r="I120" s="365"/>
      <c r="J120" s="368">
        <f t="shared" si="84"/>
        <v>0</v>
      </c>
      <c r="K120" s="223"/>
      <c r="L120" s="405">
        <f t="shared" si="85"/>
        <v>0</v>
      </c>
      <c r="M120" s="405">
        <f t="shared" si="86"/>
        <v>0</v>
      </c>
      <c r="N120" s="405">
        <f t="shared" si="87"/>
        <v>0</v>
      </c>
      <c r="O120" s="1155"/>
      <c r="P120" s="406" t="str">
        <f t="shared" si="63"/>
        <v/>
      </c>
      <c r="Q120" s="50"/>
      <c r="R120" s="3"/>
      <c r="S120" s="28">
        <f t="shared" si="88"/>
        <v>0</v>
      </c>
      <c r="T120" s="28">
        <f t="shared" si="89"/>
        <v>0</v>
      </c>
      <c r="U120" s="30">
        <f t="shared" si="90"/>
        <v>0</v>
      </c>
      <c r="V120" s="40">
        <f t="shared" si="91"/>
        <v>0</v>
      </c>
      <c r="W120" s="32">
        <f t="shared" si="92"/>
        <v>0</v>
      </c>
      <c r="X120" s="28">
        <f t="shared" si="93"/>
        <v>0</v>
      </c>
      <c r="Y120" s="28">
        <f t="shared" si="94"/>
        <v>0</v>
      </c>
      <c r="Z120" s="28">
        <f t="shared" si="95"/>
        <v>0</v>
      </c>
      <c r="AA120" s="28">
        <f t="shared" si="96"/>
        <v>0</v>
      </c>
      <c r="AC120" s="28">
        <f t="shared" si="97"/>
        <v>0</v>
      </c>
      <c r="AD120" s="28">
        <f t="shared" si="98"/>
        <v>0</v>
      </c>
      <c r="AE120" s="28">
        <f t="shared" si="99"/>
        <v>0</v>
      </c>
      <c r="AF120" s="28">
        <f t="shared" si="100"/>
        <v>0</v>
      </c>
      <c r="AH120" s="32">
        <f t="shared" si="101"/>
        <v>0</v>
      </c>
      <c r="AI120" s="32">
        <f t="shared" si="102"/>
        <v>0</v>
      </c>
      <c r="AJ120" s="32">
        <f t="shared" si="103"/>
        <v>0</v>
      </c>
      <c r="AK120" s="32">
        <f t="shared" si="104"/>
        <v>0</v>
      </c>
      <c r="AL120" s="32"/>
      <c r="BD120" s="31"/>
      <c r="BE120" s="31"/>
      <c r="BF120" s="31"/>
      <c r="BG120" s="31"/>
      <c r="BH120" s="31"/>
      <c r="BI120" s="31"/>
      <c r="BJ120" s="31"/>
      <c r="BK120" s="31"/>
      <c r="BL120" s="31"/>
      <c r="BM120" s="31"/>
      <c r="BN120" s="31"/>
      <c r="CB120" s="31"/>
      <c r="CG120" s="31"/>
    </row>
    <row r="121" spans="1:85" ht="12.75" customHeight="1" x14ac:dyDescent="0.2">
      <c r="A121" s="28">
        <f t="shared" si="60"/>
        <v>0</v>
      </c>
      <c r="B121" s="426"/>
      <c r="C121" s="427" t="s">
        <v>363</v>
      </c>
      <c r="D121" s="431"/>
      <c r="E121" s="223"/>
      <c r="F121" s="223"/>
      <c r="G121" s="365"/>
      <c r="H121" s="432"/>
      <c r="I121" s="365"/>
      <c r="J121" s="368">
        <f t="shared" si="84"/>
        <v>0</v>
      </c>
      <c r="K121" s="223"/>
      <c r="L121" s="405">
        <f t="shared" si="85"/>
        <v>0</v>
      </c>
      <c r="M121" s="405">
        <f t="shared" si="86"/>
        <v>0</v>
      </c>
      <c r="N121" s="405">
        <f t="shared" si="87"/>
        <v>0</v>
      </c>
      <c r="O121" s="1155"/>
      <c r="P121" s="406" t="str">
        <f t="shared" si="63"/>
        <v/>
      </c>
      <c r="Q121" s="50"/>
      <c r="R121" s="3"/>
      <c r="S121" s="28">
        <f t="shared" si="88"/>
        <v>0</v>
      </c>
      <c r="T121" s="28">
        <f t="shared" si="89"/>
        <v>0</v>
      </c>
      <c r="U121" s="30">
        <f t="shared" si="90"/>
        <v>0</v>
      </c>
      <c r="V121" s="40">
        <f t="shared" si="91"/>
        <v>0</v>
      </c>
      <c r="W121" s="32">
        <f t="shared" si="92"/>
        <v>0</v>
      </c>
      <c r="X121" s="28">
        <f t="shared" si="93"/>
        <v>0</v>
      </c>
      <c r="Y121" s="28">
        <f t="shared" si="94"/>
        <v>0</v>
      </c>
      <c r="Z121" s="28">
        <f t="shared" si="95"/>
        <v>0</v>
      </c>
      <c r="AA121" s="28">
        <f t="shared" si="96"/>
        <v>0</v>
      </c>
      <c r="AC121" s="28">
        <f t="shared" si="97"/>
        <v>0</v>
      </c>
      <c r="AD121" s="28">
        <f t="shared" si="98"/>
        <v>0</v>
      </c>
      <c r="AE121" s="28">
        <f t="shared" si="99"/>
        <v>0</v>
      </c>
      <c r="AF121" s="28">
        <f t="shared" si="100"/>
        <v>0</v>
      </c>
      <c r="AH121" s="32">
        <f t="shared" si="101"/>
        <v>0</v>
      </c>
      <c r="AI121" s="32">
        <f t="shared" si="102"/>
        <v>0</v>
      </c>
      <c r="AJ121" s="32">
        <f t="shared" si="103"/>
        <v>0</v>
      </c>
      <c r="AK121" s="32">
        <f t="shared" si="104"/>
        <v>0</v>
      </c>
      <c r="AL121" s="32"/>
      <c r="BD121" s="31"/>
      <c r="BE121" s="31"/>
      <c r="BF121" s="31"/>
      <c r="BG121" s="31"/>
      <c r="BH121" s="31"/>
      <c r="BI121" s="31"/>
      <c r="BJ121" s="31"/>
      <c r="BK121" s="31"/>
      <c r="BL121" s="31"/>
      <c r="BM121" s="31"/>
      <c r="BN121" s="31"/>
      <c r="CB121" s="31"/>
      <c r="CG121" s="31"/>
    </row>
    <row r="122" spans="1:85" ht="12.75" customHeight="1" x14ac:dyDescent="0.2">
      <c r="A122" s="28">
        <f t="shared" si="60"/>
        <v>0</v>
      </c>
      <c r="B122" s="426"/>
      <c r="C122" s="427" t="s">
        <v>363</v>
      </c>
      <c r="D122" s="431"/>
      <c r="E122" s="223"/>
      <c r="F122" s="223"/>
      <c r="G122" s="365"/>
      <c r="H122" s="432"/>
      <c r="I122" s="365"/>
      <c r="J122" s="368">
        <f t="shared" si="84"/>
        <v>0</v>
      </c>
      <c r="K122" s="223"/>
      <c r="L122" s="405">
        <f t="shared" si="85"/>
        <v>0</v>
      </c>
      <c r="M122" s="405">
        <f t="shared" si="86"/>
        <v>0</v>
      </c>
      <c r="N122" s="405">
        <f t="shared" si="87"/>
        <v>0</v>
      </c>
      <c r="O122" s="1155"/>
      <c r="P122" s="406" t="str">
        <f t="shared" si="63"/>
        <v/>
      </c>
      <c r="Q122" s="50"/>
      <c r="R122" s="3"/>
      <c r="S122" s="28">
        <f t="shared" si="88"/>
        <v>0</v>
      </c>
      <c r="T122" s="28">
        <f t="shared" si="89"/>
        <v>0</v>
      </c>
      <c r="U122" s="30">
        <f t="shared" si="90"/>
        <v>0</v>
      </c>
      <c r="V122" s="40">
        <f t="shared" si="91"/>
        <v>0</v>
      </c>
      <c r="W122" s="32">
        <f t="shared" si="92"/>
        <v>0</v>
      </c>
      <c r="X122" s="28">
        <f t="shared" si="93"/>
        <v>0</v>
      </c>
      <c r="Y122" s="28">
        <f t="shared" si="94"/>
        <v>0</v>
      </c>
      <c r="Z122" s="28">
        <f t="shared" si="95"/>
        <v>0</v>
      </c>
      <c r="AA122" s="28">
        <f t="shared" si="96"/>
        <v>0</v>
      </c>
      <c r="AC122" s="28">
        <f t="shared" si="97"/>
        <v>0</v>
      </c>
      <c r="AD122" s="28">
        <f t="shared" si="98"/>
        <v>0</v>
      </c>
      <c r="AE122" s="28">
        <f t="shared" si="99"/>
        <v>0</v>
      </c>
      <c r="AF122" s="28">
        <f t="shared" si="100"/>
        <v>0</v>
      </c>
      <c r="AH122" s="32">
        <f t="shared" si="101"/>
        <v>0</v>
      </c>
      <c r="AI122" s="32">
        <f t="shared" si="102"/>
        <v>0</v>
      </c>
      <c r="AJ122" s="32">
        <f t="shared" si="103"/>
        <v>0</v>
      </c>
      <c r="AK122" s="32">
        <f t="shared" si="104"/>
        <v>0</v>
      </c>
      <c r="AL122" s="32"/>
      <c r="BD122" s="31"/>
      <c r="BE122" s="31"/>
      <c r="BF122" s="31"/>
      <c r="BG122" s="31"/>
      <c r="BH122" s="31"/>
      <c r="BI122" s="31"/>
      <c r="BJ122" s="31"/>
      <c r="BK122" s="31"/>
      <c r="BL122" s="31"/>
      <c r="BM122" s="31"/>
      <c r="BN122" s="31"/>
      <c r="CB122" s="31"/>
      <c r="CG122" s="31"/>
    </row>
    <row r="123" spans="1:85" ht="12.75" customHeight="1" x14ac:dyDescent="0.2">
      <c r="A123" s="28">
        <f t="shared" si="60"/>
        <v>0</v>
      </c>
      <c r="B123" s="426"/>
      <c r="C123" s="427" t="s">
        <v>363</v>
      </c>
      <c r="D123" s="431"/>
      <c r="E123" s="223"/>
      <c r="F123" s="223"/>
      <c r="G123" s="365"/>
      <c r="H123" s="432"/>
      <c r="I123" s="365"/>
      <c r="J123" s="368">
        <f t="shared" si="84"/>
        <v>0</v>
      </c>
      <c r="K123" s="223"/>
      <c r="L123" s="405">
        <f t="shared" si="85"/>
        <v>0</v>
      </c>
      <c r="M123" s="405">
        <f t="shared" si="86"/>
        <v>0</v>
      </c>
      <c r="N123" s="405">
        <f t="shared" si="87"/>
        <v>0</v>
      </c>
      <c r="O123" s="1155"/>
      <c r="P123" s="406" t="str">
        <f t="shared" si="63"/>
        <v/>
      </c>
      <c r="Q123" s="50"/>
      <c r="R123" s="3"/>
      <c r="S123" s="28">
        <f t="shared" si="88"/>
        <v>0</v>
      </c>
      <c r="T123" s="28">
        <f t="shared" si="89"/>
        <v>0</v>
      </c>
      <c r="U123" s="30">
        <f t="shared" si="90"/>
        <v>0</v>
      </c>
      <c r="V123" s="40">
        <f t="shared" si="91"/>
        <v>0</v>
      </c>
      <c r="W123" s="32">
        <f t="shared" si="92"/>
        <v>0</v>
      </c>
      <c r="X123" s="28">
        <f t="shared" si="93"/>
        <v>0</v>
      </c>
      <c r="Y123" s="28">
        <f t="shared" si="94"/>
        <v>0</v>
      </c>
      <c r="Z123" s="28">
        <f t="shared" si="95"/>
        <v>0</v>
      </c>
      <c r="AA123" s="28">
        <f t="shared" si="96"/>
        <v>0</v>
      </c>
      <c r="AC123" s="28">
        <f t="shared" si="97"/>
        <v>0</v>
      </c>
      <c r="AD123" s="28">
        <f t="shared" si="98"/>
        <v>0</v>
      </c>
      <c r="AE123" s="28">
        <f t="shared" si="99"/>
        <v>0</v>
      </c>
      <c r="AF123" s="28">
        <f t="shared" si="100"/>
        <v>0</v>
      </c>
      <c r="AH123" s="32">
        <f t="shared" si="101"/>
        <v>0</v>
      </c>
      <c r="AI123" s="32">
        <f t="shared" si="102"/>
        <v>0</v>
      </c>
      <c r="AJ123" s="32">
        <f t="shared" si="103"/>
        <v>0</v>
      </c>
      <c r="AK123" s="32">
        <f t="shared" si="104"/>
        <v>0</v>
      </c>
      <c r="AL123" s="32"/>
      <c r="BD123" s="31"/>
      <c r="BE123" s="31"/>
      <c r="BF123" s="31"/>
      <c r="BG123" s="31"/>
      <c r="BH123" s="31"/>
      <c r="BI123" s="31"/>
      <c r="BJ123" s="31"/>
      <c r="BK123" s="31"/>
      <c r="BL123" s="31"/>
      <c r="BM123" s="31"/>
      <c r="BN123" s="31"/>
      <c r="CB123" s="31"/>
      <c r="CG123" s="31"/>
    </row>
    <row r="124" spans="1:85" ht="12.75" customHeight="1" x14ac:dyDescent="0.2">
      <c r="A124" s="28">
        <f t="shared" si="60"/>
        <v>0</v>
      </c>
      <c r="B124" s="426"/>
      <c r="C124" s="427" t="s">
        <v>363</v>
      </c>
      <c r="D124" s="431"/>
      <c r="E124" s="223"/>
      <c r="F124" s="223"/>
      <c r="G124" s="365"/>
      <c r="H124" s="432"/>
      <c r="I124" s="365"/>
      <c r="J124" s="368">
        <f t="shared" si="84"/>
        <v>0</v>
      </c>
      <c r="K124" s="223"/>
      <c r="L124" s="405">
        <f t="shared" si="85"/>
        <v>0</v>
      </c>
      <c r="M124" s="405">
        <f t="shared" si="86"/>
        <v>0</v>
      </c>
      <c r="N124" s="405">
        <f t="shared" si="87"/>
        <v>0</v>
      </c>
      <c r="O124" s="1155"/>
      <c r="P124" s="406" t="str">
        <f t="shared" si="63"/>
        <v/>
      </c>
      <c r="Q124" s="50"/>
      <c r="R124" s="3"/>
      <c r="S124" s="28">
        <f t="shared" si="88"/>
        <v>0</v>
      </c>
      <c r="T124" s="28">
        <f t="shared" si="89"/>
        <v>0</v>
      </c>
      <c r="U124" s="30">
        <f t="shared" si="90"/>
        <v>0</v>
      </c>
      <c r="V124" s="40">
        <f t="shared" si="91"/>
        <v>0</v>
      </c>
      <c r="W124" s="32">
        <f t="shared" si="92"/>
        <v>0</v>
      </c>
      <c r="X124" s="28">
        <f t="shared" si="93"/>
        <v>0</v>
      </c>
      <c r="Y124" s="28">
        <f t="shared" si="94"/>
        <v>0</v>
      </c>
      <c r="Z124" s="28">
        <f t="shared" si="95"/>
        <v>0</v>
      </c>
      <c r="AA124" s="28">
        <f t="shared" si="96"/>
        <v>0</v>
      </c>
      <c r="AC124" s="28">
        <f t="shared" si="97"/>
        <v>0</v>
      </c>
      <c r="AD124" s="28">
        <f t="shared" si="98"/>
        <v>0</v>
      </c>
      <c r="AE124" s="28">
        <f t="shared" si="99"/>
        <v>0</v>
      </c>
      <c r="AF124" s="28">
        <f t="shared" si="100"/>
        <v>0</v>
      </c>
      <c r="AH124" s="32">
        <f t="shared" si="101"/>
        <v>0</v>
      </c>
      <c r="AI124" s="32">
        <f t="shared" si="102"/>
        <v>0</v>
      </c>
      <c r="AJ124" s="32">
        <f t="shared" si="103"/>
        <v>0</v>
      </c>
      <c r="AK124" s="32">
        <f t="shared" si="104"/>
        <v>0</v>
      </c>
      <c r="AL124" s="32"/>
      <c r="BD124" s="31"/>
      <c r="BE124" s="31"/>
      <c r="BF124" s="31"/>
      <c r="BG124" s="31"/>
      <c r="BH124" s="31"/>
      <c r="BI124" s="31"/>
      <c r="BJ124" s="31"/>
      <c r="BK124" s="31"/>
      <c r="BL124" s="31"/>
      <c r="BM124" s="31"/>
      <c r="BN124" s="31"/>
      <c r="CB124" s="31"/>
      <c r="CG124" s="31"/>
    </row>
    <row r="125" spans="1:85" ht="12.75" customHeight="1" x14ac:dyDescent="0.2">
      <c r="A125" s="28">
        <f t="shared" si="60"/>
        <v>0</v>
      </c>
      <c r="B125" s="426"/>
      <c r="C125" s="427" t="s">
        <v>363</v>
      </c>
      <c r="D125" s="431"/>
      <c r="E125" s="223"/>
      <c r="F125" s="223"/>
      <c r="G125" s="365"/>
      <c r="H125" s="432"/>
      <c r="I125" s="365"/>
      <c r="J125" s="368">
        <f t="shared" si="84"/>
        <v>0</v>
      </c>
      <c r="K125" s="223"/>
      <c r="L125" s="405">
        <f t="shared" si="85"/>
        <v>0</v>
      </c>
      <c r="M125" s="405">
        <f t="shared" si="86"/>
        <v>0</v>
      </c>
      <c r="N125" s="405">
        <f t="shared" si="87"/>
        <v>0</v>
      </c>
      <c r="O125" s="1155"/>
      <c r="P125" s="406" t="str">
        <f t="shared" si="63"/>
        <v/>
      </c>
      <c r="Q125" s="50"/>
      <c r="R125" s="3"/>
      <c r="S125" s="28">
        <f t="shared" si="88"/>
        <v>0</v>
      </c>
      <c r="T125" s="28">
        <f t="shared" si="89"/>
        <v>0</v>
      </c>
      <c r="U125" s="30">
        <f t="shared" si="90"/>
        <v>0</v>
      </c>
      <c r="V125" s="40">
        <f t="shared" si="91"/>
        <v>0</v>
      </c>
      <c r="W125" s="32">
        <f t="shared" si="92"/>
        <v>0</v>
      </c>
      <c r="X125" s="28">
        <f t="shared" si="93"/>
        <v>0</v>
      </c>
      <c r="Y125" s="28">
        <f t="shared" si="94"/>
        <v>0</v>
      </c>
      <c r="Z125" s="28">
        <f t="shared" si="95"/>
        <v>0</v>
      </c>
      <c r="AA125" s="28">
        <f t="shared" si="96"/>
        <v>0</v>
      </c>
      <c r="AC125" s="28">
        <f t="shared" si="97"/>
        <v>0</v>
      </c>
      <c r="AD125" s="28">
        <f t="shared" si="98"/>
        <v>0</v>
      </c>
      <c r="AE125" s="28">
        <f t="shared" si="99"/>
        <v>0</v>
      </c>
      <c r="AF125" s="28">
        <f t="shared" si="100"/>
        <v>0</v>
      </c>
      <c r="AH125" s="32">
        <f t="shared" si="101"/>
        <v>0</v>
      </c>
      <c r="AI125" s="32">
        <f t="shared" si="102"/>
        <v>0</v>
      </c>
      <c r="AJ125" s="32">
        <f t="shared" si="103"/>
        <v>0</v>
      </c>
      <c r="AK125" s="32">
        <f t="shared" si="104"/>
        <v>0</v>
      </c>
      <c r="AL125" s="32"/>
      <c r="BD125" s="31"/>
      <c r="BE125" s="31"/>
      <c r="BF125" s="31"/>
      <c r="BG125" s="31"/>
      <c r="BH125" s="31"/>
      <c r="BI125" s="31"/>
      <c r="BJ125" s="31"/>
      <c r="BK125" s="31"/>
      <c r="BL125" s="31"/>
      <c r="BM125" s="31"/>
      <c r="BN125" s="31"/>
      <c r="CB125" s="31"/>
      <c r="CG125" s="31"/>
    </row>
    <row r="126" spans="1:85" ht="12.75" customHeight="1" x14ac:dyDescent="0.2">
      <c r="A126" s="28">
        <f t="shared" si="60"/>
        <v>0</v>
      </c>
      <c r="B126" s="426"/>
      <c r="C126" s="427" t="s">
        <v>363</v>
      </c>
      <c r="D126" s="431"/>
      <c r="E126" s="223"/>
      <c r="F126" s="223"/>
      <c r="G126" s="365"/>
      <c r="H126" s="432"/>
      <c r="I126" s="365"/>
      <c r="J126" s="368">
        <f t="shared" si="84"/>
        <v>0</v>
      </c>
      <c r="K126" s="223"/>
      <c r="L126" s="405">
        <f t="shared" si="85"/>
        <v>0</v>
      </c>
      <c r="M126" s="405">
        <f t="shared" si="86"/>
        <v>0</v>
      </c>
      <c r="N126" s="405">
        <f t="shared" si="87"/>
        <v>0</v>
      </c>
      <c r="O126" s="1155"/>
      <c r="P126" s="406" t="str">
        <f t="shared" si="63"/>
        <v/>
      </c>
      <c r="Q126" s="50"/>
      <c r="R126" s="3"/>
      <c r="S126" s="28">
        <f t="shared" si="88"/>
        <v>0</v>
      </c>
      <c r="T126" s="28">
        <f t="shared" si="89"/>
        <v>0</v>
      </c>
      <c r="U126" s="30">
        <f t="shared" si="90"/>
        <v>0</v>
      </c>
      <c r="V126" s="40">
        <f t="shared" si="91"/>
        <v>0</v>
      </c>
      <c r="W126" s="32">
        <f t="shared" si="92"/>
        <v>0</v>
      </c>
      <c r="X126" s="28">
        <f t="shared" si="93"/>
        <v>0</v>
      </c>
      <c r="Y126" s="28">
        <f t="shared" si="94"/>
        <v>0</v>
      </c>
      <c r="Z126" s="28">
        <f t="shared" si="95"/>
        <v>0</v>
      </c>
      <c r="AA126" s="28">
        <f t="shared" si="96"/>
        <v>0</v>
      </c>
      <c r="AC126" s="28">
        <f t="shared" si="97"/>
        <v>0</v>
      </c>
      <c r="AD126" s="28">
        <f t="shared" si="98"/>
        <v>0</v>
      </c>
      <c r="AE126" s="28">
        <f t="shared" si="99"/>
        <v>0</v>
      </c>
      <c r="AF126" s="28">
        <f t="shared" si="100"/>
        <v>0</v>
      </c>
      <c r="AH126" s="32">
        <f t="shared" si="101"/>
        <v>0</v>
      </c>
      <c r="AI126" s="32">
        <f t="shared" si="102"/>
        <v>0</v>
      </c>
      <c r="AJ126" s="32">
        <f t="shared" si="103"/>
        <v>0</v>
      </c>
      <c r="AK126" s="32">
        <f t="shared" si="104"/>
        <v>0</v>
      </c>
      <c r="AL126" s="32"/>
      <c r="BD126" s="31"/>
      <c r="BE126" s="31"/>
      <c r="BF126" s="31"/>
      <c r="BG126" s="31"/>
      <c r="BH126" s="31"/>
      <c r="BI126" s="31"/>
      <c r="BJ126" s="31"/>
      <c r="BK126" s="31"/>
      <c r="BL126" s="31"/>
      <c r="BM126" s="31"/>
      <c r="BN126" s="31"/>
      <c r="CB126" s="31"/>
      <c r="CG126" s="31"/>
    </row>
    <row r="127" spans="1:85" ht="12.75" customHeight="1" x14ac:dyDescent="0.2">
      <c r="A127" s="28">
        <f t="shared" si="60"/>
        <v>0</v>
      </c>
      <c r="B127" s="426"/>
      <c r="C127" s="427" t="s">
        <v>363</v>
      </c>
      <c r="D127" s="431"/>
      <c r="E127" s="223"/>
      <c r="F127" s="223"/>
      <c r="G127" s="365"/>
      <c r="H127" s="432"/>
      <c r="I127" s="365"/>
      <c r="J127" s="368">
        <f t="shared" si="84"/>
        <v>0</v>
      </c>
      <c r="K127" s="223"/>
      <c r="L127" s="405">
        <f t="shared" si="85"/>
        <v>0</v>
      </c>
      <c r="M127" s="405">
        <f t="shared" si="86"/>
        <v>0</v>
      </c>
      <c r="N127" s="405">
        <f t="shared" si="87"/>
        <v>0</v>
      </c>
      <c r="O127" s="1155"/>
      <c r="P127" s="406" t="str">
        <f t="shared" si="63"/>
        <v/>
      </c>
      <c r="Q127" s="50"/>
      <c r="R127" s="3"/>
      <c r="S127" s="28">
        <f t="shared" si="88"/>
        <v>0</v>
      </c>
      <c r="T127" s="28">
        <f t="shared" si="89"/>
        <v>0</v>
      </c>
      <c r="U127" s="30">
        <f t="shared" si="90"/>
        <v>0</v>
      </c>
      <c r="V127" s="40">
        <f t="shared" si="91"/>
        <v>0</v>
      </c>
      <c r="W127" s="32">
        <f t="shared" si="92"/>
        <v>0</v>
      </c>
      <c r="X127" s="28">
        <f t="shared" si="93"/>
        <v>0</v>
      </c>
      <c r="Y127" s="28">
        <f t="shared" si="94"/>
        <v>0</v>
      </c>
      <c r="Z127" s="28">
        <f t="shared" si="95"/>
        <v>0</v>
      </c>
      <c r="AA127" s="28">
        <f t="shared" si="96"/>
        <v>0</v>
      </c>
      <c r="AC127" s="28">
        <f t="shared" ref="AC127:AC191" si="105">IF(T127=0,0,IF(D127=$Q$1,0,IF(AD127&lt;&gt;2,0,ROUND(F127*I127/E127,0))))</f>
      </c>
      <c r="AD127" s="28">
        <f t="shared" si="98"/>
        <v>0</v>
      </c>
      <c r="AE127" s="28">
        <f t="shared" si="99"/>
        <v>0</v>
      </c>
      <c r="AF127" s="28">
        <f t="shared" si="100"/>
        <v>0</v>
      </c>
      <c r="AH127" s="32">
        <f t="shared" si="101"/>
        <v>0</v>
      </c>
      <c r="AI127" s="32">
        <f t="shared" si="102"/>
        <v>0</v>
      </c>
      <c r="AJ127" s="32">
        <f t="shared" si="103"/>
        <v>0</v>
      </c>
      <c r="AK127" s="32">
        <f t="shared" si="104"/>
        <v>0</v>
      </c>
      <c r="AL127" s="32"/>
      <c r="BD127" s="31"/>
      <c r="BE127" s="31"/>
      <c r="BF127" s="31"/>
      <c r="BG127" s="31"/>
      <c r="BH127" s="31"/>
      <c r="BI127" s="31"/>
      <c r="BJ127" s="31"/>
      <c r="BK127" s="31"/>
      <c r="BL127" s="31"/>
      <c r="BM127" s="31"/>
      <c r="BN127" s="31"/>
      <c r="CB127" s="31"/>
      <c r="CG127" s="31"/>
    </row>
    <row r="128" spans="1:85" ht="12.75" customHeight="1" x14ac:dyDescent="0.2">
      <c r="A128" s="28">
        <f t="shared" si="60"/>
        <v>0</v>
      </c>
      <c r="B128" s="426"/>
      <c r="C128" s="427" t="s">
        <v>363</v>
      </c>
      <c r="D128" s="431"/>
      <c r="E128" s="223"/>
      <c r="F128" s="223"/>
      <c r="G128" s="365"/>
      <c r="H128" s="432"/>
      <c r="I128" s="365"/>
      <c r="J128" s="368">
        <f t="shared" si="84"/>
        <v>0</v>
      </c>
      <c r="K128" s="223"/>
      <c r="L128" s="405">
        <f t="shared" si="85"/>
        <v>0</v>
      </c>
      <c r="M128" s="405">
        <f t="shared" si="86"/>
        <v>0</v>
      </c>
      <c r="N128" s="405">
        <f t="shared" si="87"/>
        <v>0</v>
      </c>
      <c r="O128" s="1155"/>
      <c r="P128" s="406" t="str">
        <f t="shared" si="63"/>
        <v/>
      </c>
      <c r="Q128" s="50"/>
      <c r="R128" s="3"/>
      <c r="S128" s="28">
        <f t="shared" si="88"/>
        <v>0</v>
      </c>
      <c r="T128" s="28">
        <f t="shared" si="89"/>
        <v>0</v>
      </c>
      <c r="U128" s="30">
        <f t="shared" si="90"/>
        <v>0</v>
      </c>
      <c r="V128" s="40">
        <f t="shared" si="91"/>
        <v>0</v>
      </c>
      <c r="W128" s="32">
        <f t="shared" si="92"/>
        <v>0</v>
      </c>
      <c r="X128" s="28">
        <f t="shared" si="93"/>
        <v>0</v>
      </c>
      <c r="Y128" s="28">
        <f t="shared" si="94"/>
        <v>0</v>
      </c>
      <c r="Z128" s="28">
        <f t="shared" si="95"/>
        <v>0</v>
      </c>
      <c r="AA128" s="28">
        <f t="shared" si="96"/>
        <v>0</v>
      </c>
      <c r="AC128" s="28">
        <f t="shared" si="105"/>
        <v>0</v>
      </c>
      <c r="AD128" s="28">
        <f t="shared" si="98"/>
        <v>0</v>
      </c>
      <c r="AE128" s="28">
        <f t="shared" si="99"/>
        <v>0</v>
      </c>
      <c r="AF128" s="28">
        <f t="shared" si="100"/>
        <v>0</v>
      </c>
      <c r="AH128" s="32">
        <f t="shared" si="101"/>
        <v>0</v>
      </c>
      <c r="AI128" s="32">
        <f t="shared" si="102"/>
        <v>0</v>
      </c>
      <c r="AJ128" s="32">
        <f t="shared" si="103"/>
        <v>0</v>
      </c>
      <c r="AK128" s="32">
        <f t="shared" si="104"/>
        <v>0</v>
      </c>
      <c r="AL128" s="32"/>
      <c r="BD128" s="31"/>
      <c r="BE128" s="31"/>
      <c r="BF128" s="31"/>
      <c r="BG128" s="31"/>
      <c r="BH128" s="31"/>
      <c r="BI128" s="31"/>
      <c r="BJ128" s="31"/>
      <c r="BK128" s="31"/>
      <c r="BL128" s="31"/>
      <c r="BM128" s="31"/>
      <c r="BN128" s="31"/>
      <c r="CB128" s="31"/>
      <c r="CG128" s="31"/>
    </row>
    <row r="129" spans="1:85" ht="12.75" customHeight="1" x14ac:dyDescent="0.2">
      <c r="A129" s="28">
        <f t="shared" si="60"/>
        <v>0</v>
      </c>
      <c r="B129" s="426"/>
      <c r="C129" s="427" t="s">
        <v>363</v>
      </c>
      <c r="D129" s="431"/>
      <c r="E129" s="223"/>
      <c r="F129" s="223"/>
      <c r="G129" s="365"/>
      <c r="H129" s="432"/>
      <c r="I129" s="365"/>
      <c r="J129" s="368">
        <f t="shared" si="84"/>
        <v>0</v>
      </c>
      <c r="K129" s="223"/>
      <c r="L129" s="405">
        <f t="shared" si="85"/>
        <v>0</v>
      </c>
      <c r="M129" s="405">
        <f t="shared" si="86"/>
        <v>0</v>
      </c>
      <c r="N129" s="405">
        <f t="shared" si="87"/>
        <v>0</v>
      </c>
      <c r="O129" s="1155"/>
      <c r="P129" s="406" t="str">
        <f t="shared" si="63"/>
        <v/>
      </c>
      <c r="Q129" s="50"/>
      <c r="R129" s="3"/>
      <c r="S129" s="28">
        <f t="shared" si="88"/>
        <v>0</v>
      </c>
      <c r="T129" s="28">
        <f t="shared" si="89"/>
        <v>0</v>
      </c>
      <c r="U129" s="30">
        <f t="shared" si="90"/>
        <v>0</v>
      </c>
      <c r="V129" s="40">
        <f t="shared" si="91"/>
        <v>0</v>
      </c>
      <c r="W129" s="32">
        <f t="shared" si="92"/>
        <v>0</v>
      </c>
      <c r="X129" s="28">
        <f t="shared" si="93"/>
        <v>0</v>
      </c>
      <c r="Y129" s="28">
        <f t="shared" si="94"/>
        <v>0</v>
      </c>
      <c r="Z129" s="28">
        <f t="shared" si="95"/>
        <v>0</v>
      </c>
      <c r="AA129" s="28">
        <f t="shared" si="96"/>
        <v>0</v>
      </c>
      <c r="AC129" s="28">
        <f t="shared" si="105"/>
        <v>0</v>
      </c>
      <c r="AD129" s="28">
        <f t="shared" si="98"/>
        <v>0</v>
      </c>
      <c r="AE129" s="28">
        <f t="shared" si="99"/>
        <v>0</v>
      </c>
      <c r="AF129" s="28">
        <f t="shared" si="100"/>
        <v>0</v>
      </c>
      <c r="AH129" s="32">
        <f t="shared" si="101"/>
        <v>0</v>
      </c>
      <c r="AI129" s="32">
        <f t="shared" si="102"/>
        <v>0</v>
      </c>
      <c r="AJ129" s="32">
        <f t="shared" si="103"/>
        <v>0</v>
      </c>
      <c r="AK129" s="32">
        <f t="shared" si="104"/>
        <v>0</v>
      </c>
      <c r="AL129" s="32"/>
      <c r="BD129" s="31"/>
      <c r="BE129" s="31"/>
      <c r="BF129" s="31"/>
      <c r="BG129" s="31"/>
      <c r="BH129" s="31"/>
      <c r="BI129" s="31"/>
      <c r="BJ129" s="31"/>
      <c r="BK129" s="31"/>
      <c r="BL129" s="31"/>
      <c r="BM129" s="31"/>
      <c r="BN129" s="31"/>
      <c r="CB129" s="31"/>
      <c r="CG129" s="31"/>
    </row>
    <row r="130" spans="1:85" ht="12.75" customHeight="1" x14ac:dyDescent="0.2">
      <c r="A130" s="28">
        <f t="shared" si="60"/>
        <v>0</v>
      </c>
      <c r="B130" s="426"/>
      <c r="C130" s="427" t="s">
        <v>363</v>
      </c>
      <c r="D130" s="431"/>
      <c r="E130" s="223"/>
      <c r="F130" s="223"/>
      <c r="G130" s="365"/>
      <c r="H130" s="432"/>
      <c r="I130" s="365"/>
      <c r="J130" s="368">
        <f t="shared" si="84"/>
        <v>0</v>
      </c>
      <c r="K130" s="223"/>
      <c r="L130" s="405">
        <f t="shared" si="85"/>
        <v>0</v>
      </c>
      <c r="M130" s="405">
        <f t="shared" si="86"/>
        <v>0</v>
      </c>
      <c r="N130" s="405">
        <f t="shared" si="87"/>
        <v>0</v>
      </c>
      <c r="O130" s="1155"/>
      <c r="P130" s="406" t="str">
        <f t="shared" si="63"/>
        <v/>
      </c>
      <c r="Q130" s="50"/>
      <c r="R130" s="3"/>
      <c r="S130" s="28">
        <f t="shared" si="88"/>
        <v>0</v>
      </c>
      <c r="T130" s="28">
        <f t="shared" si="89"/>
        <v>0</v>
      </c>
      <c r="U130" s="30">
        <f t="shared" si="90"/>
        <v>0</v>
      </c>
      <c r="V130" s="40">
        <f t="shared" si="91"/>
        <v>0</v>
      </c>
      <c r="W130" s="32">
        <f t="shared" si="92"/>
        <v>0</v>
      </c>
      <c r="X130" s="28">
        <f t="shared" si="93"/>
        <v>0</v>
      </c>
      <c r="Y130" s="28">
        <f t="shared" si="94"/>
        <v>0</v>
      </c>
      <c r="Z130" s="28">
        <f t="shared" si="95"/>
        <v>0</v>
      </c>
      <c r="AA130" s="28">
        <f t="shared" si="96"/>
        <v>0</v>
      </c>
      <c r="AC130" s="28">
        <f t="shared" si="105"/>
        <v>0</v>
      </c>
      <c r="AD130" s="28">
        <f t="shared" si="98"/>
        <v>0</v>
      </c>
      <c r="AE130" s="28">
        <f t="shared" si="99"/>
        <v>0</v>
      </c>
      <c r="AF130" s="28">
        <f t="shared" si="100"/>
        <v>0</v>
      </c>
      <c r="AH130" s="32">
        <f t="shared" si="101"/>
        <v>0</v>
      </c>
      <c r="AI130" s="32">
        <f t="shared" si="102"/>
        <v>0</v>
      </c>
      <c r="AJ130" s="32">
        <f t="shared" si="103"/>
        <v>0</v>
      </c>
      <c r="AK130" s="32">
        <f t="shared" si="104"/>
        <v>0</v>
      </c>
      <c r="AL130" s="32"/>
      <c r="BD130" s="31"/>
      <c r="BE130" s="31"/>
      <c r="BF130" s="31"/>
      <c r="BG130" s="31"/>
      <c r="BH130" s="31"/>
      <c r="BI130" s="31"/>
      <c r="BJ130" s="31"/>
      <c r="BK130" s="31"/>
      <c r="BL130" s="31"/>
      <c r="BM130" s="31"/>
      <c r="BN130" s="31"/>
      <c r="CB130" s="31"/>
      <c r="CG130" s="31"/>
    </row>
    <row r="131" spans="1:85" ht="12.75" customHeight="1" x14ac:dyDescent="0.2">
      <c r="A131" s="28">
        <f t="shared" si="60"/>
        <v>0</v>
      </c>
      <c r="B131" s="426"/>
      <c r="C131" s="427" t="s">
        <v>363</v>
      </c>
      <c r="D131" s="431"/>
      <c r="E131" s="223"/>
      <c r="F131" s="223"/>
      <c r="G131" s="365"/>
      <c r="H131" s="432"/>
      <c r="I131" s="365"/>
      <c r="J131" s="368">
        <f t="shared" si="84"/>
        <v>0</v>
      </c>
      <c r="K131" s="223"/>
      <c r="L131" s="405">
        <f t="shared" si="85"/>
        <v>0</v>
      </c>
      <c r="M131" s="405">
        <f t="shared" si="86"/>
        <v>0</v>
      </c>
      <c r="N131" s="405">
        <f t="shared" si="87"/>
        <v>0</v>
      </c>
      <c r="O131" s="1155"/>
      <c r="P131" s="406" t="str">
        <f t="shared" si="63"/>
        <v/>
      </c>
      <c r="Q131" s="50"/>
      <c r="R131" s="3"/>
      <c r="S131" s="28">
        <f t="shared" si="88"/>
        <v>0</v>
      </c>
      <c r="T131" s="28">
        <f t="shared" si="89"/>
        <v>0</v>
      </c>
      <c r="U131" s="30">
        <f t="shared" si="90"/>
        <v>0</v>
      </c>
      <c r="V131" s="40">
        <f t="shared" si="91"/>
        <v>0</v>
      </c>
      <c r="W131" s="32">
        <f t="shared" si="92"/>
        <v>0</v>
      </c>
      <c r="X131" s="28">
        <f t="shared" si="93"/>
        <v>0</v>
      </c>
      <c r="Y131" s="28">
        <f t="shared" si="94"/>
        <v>0</v>
      </c>
      <c r="Z131" s="28">
        <f t="shared" si="95"/>
        <v>0</v>
      </c>
      <c r="AA131" s="28">
        <f t="shared" si="96"/>
        <v>0</v>
      </c>
      <c r="AC131" s="28">
        <f t="shared" si="105"/>
        <v>0</v>
      </c>
      <c r="AD131" s="28">
        <f t="shared" si="98"/>
        <v>0</v>
      </c>
      <c r="AE131" s="28">
        <f t="shared" si="99"/>
        <v>0</v>
      </c>
      <c r="AF131" s="28">
        <f t="shared" si="100"/>
        <v>0</v>
      </c>
      <c r="AH131" s="32">
        <f t="shared" si="101"/>
        <v>0</v>
      </c>
      <c r="AI131" s="32">
        <f t="shared" si="102"/>
        <v>0</v>
      </c>
      <c r="AJ131" s="32">
        <f t="shared" si="103"/>
        <v>0</v>
      </c>
      <c r="AK131" s="32">
        <f t="shared" si="104"/>
        <v>0</v>
      </c>
      <c r="AL131" s="32"/>
      <c r="BD131" s="31"/>
      <c r="BE131" s="31"/>
      <c r="BF131" s="31"/>
      <c r="BG131" s="31"/>
      <c r="BH131" s="31"/>
      <c r="BI131" s="31"/>
      <c r="BJ131" s="31"/>
      <c r="BK131" s="31"/>
      <c r="BL131" s="31"/>
      <c r="BM131" s="31"/>
      <c r="BN131" s="31"/>
      <c r="CB131" s="31"/>
      <c r="CG131" s="31"/>
    </row>
    <row r="132" spans="1:85" ht="12.75" customHeight="1" x14ac:dyDescent="0.2">
      <c r="A132" s="28">
        <f t="shared" si="60"/>
        <v>0</v>
      </c>
      <c r="B132" s="426"/>
      <c r="C132" s="427" t="s">
        <v>363</v>
      </c>
      <c r="D132" s="431"/>
      <c r="E132" s="223"/>
      <c r="F132" s="223"/>
      <c r="G132" s="365"/>
      <c r="H132" s="432"/>
      <c r="I132" s="365"/>
      <c r="J132" s="368">
        <f t="shared" si="84"/>
        <v>0</v>
      </c>
      <c r="K132" s="223"/>
      <c r="L132" s="405">
        <f t="shared" si="85"/>
        <v>0</v>
      </c>
      <c r="M132" s="405">
        <f t="shared" si="86"/>
        <v>0</v>
      </c>
      <c r="N132" s="405">
        <f t="shared" si="87"/>
        <v>0</v>
      </c>
      <c r="O132" s="1155"/>
      <c r="P132" s="406" t="str">
        <f t="shared" si="63"/>
        <v/>
      </c>
      <c r="Q132" s="50"/>
      <c r="R132" s="3"/>
      <c r="S132" s="28">
        <f t="shared" si="88"/>
        <v>0</v>
      </c>
      <c r="T132" s="28">
        <f t="shared" si="89"/>
        <v>0</v>
      </c>
      <c r="U132" s="30">
        <f t="shared" si="90"/>
        <v>0</v>
      </c>
      <c r="V132" s="40">
        <f t="shared" si="91"/>
        <v>0</v>
      </c>
      <c r="W132" s="32">
        <f t="shared" si="92"/>
        <v>0</v>
      </c>
      <c r="X132" s="28">
        <f t="shared" si="93"/>
        <v>0</v>
      </c>
      <c r="Y132" s="28">
        <f t="shared" si="94"/>
        <v>0</v>
      </c>
      <c r="Z132" s="28">
        <f t="shared" si="95"/>
        <v>0</v>
      </c>
      <c r="AA132" s="28">
        <f t="shared" si="96"/>
        <v>0</v>
      </c>
      <c r="AC132" s="28">
        <f t="shared" si="105"/>
        <v>0</v>
      </c>
      <c r="AD132" s="28">
        <f t="shared" si="98"/>
        <v>0</v>
      </c>
      <c r="AE132" s="28">
        <f t="shared" si="99"/>
        <v>0</v>
      </c>
      <c r="AF132" s="28">
        <f t="shared" si="100"/>
        <v>0</v>
      </c>
      <c r="AH132" s="32">
        <f t="shared" si="101"/>
        <v>0</v>
      </c>
      <c r="AI132" s="32">
        <f t="shared" si="102"/>
        <v>0</v>
      </c>
      <c r="AJ132" s="32">
        <f t="shared" si="103"/>
        <v>0</v>
      </c>
      <c r="AK132" s="32">
        <f t="shared" si="104"/>
        <v>0</v>
      </c>
      <c r="AL132" s="32"/>
      <c r="BD132" s="31"/>
      <c r="BE132" s="31"/>
      <c r="BF132" s="31"/>
      <c r="BG132" s="31"/>
      <c r="BH132" s="31"/>
      <c r="BI132" s="31"/>
      <c r="BJ132" s="31"/>
      <c r="BK132" s="31"/>
      <c r="BL132" s="31"/>
      <c r="BM132" s="31"/>
      <c r="BN132" s="31"/>
      <c r="CB132" s="31"/>
      <c r="CG132" s="31"/>
    </row>
    <row r="133" spans="1:85" ht="12.75" customHeight="1" x14ac:dyDescent="0.2">
      <c r="A133" s="28">
        <f t="shared" si="60"/>
        <v>0</v>
      </c>
      <c r="B133" s="426"/>
      <c r="C133" s="427" t="s">
        <v>363</v>
      </c>
      <c r="D133" s="431"/>
      <c r="E133" s="223"/>
      <c r="F133" s="223"/>
      <c r="G133" s="365"/>
      <c r="H133" s="432"/>
      <c r="I133" s="365"/>
      <c r="J133" s="368">
        <f t="shared" si="84"/>
        <v>0</v>
      </c>
      <c r="K133" s="223"/>
      <c r="L133" s="405">
        <f t="shared" si="85"/>
        <v>0</v>
      </c>
      <c r="M133" s="405">
        <f t="shared" si="86"/>
        <v>0</v>
      </c>
      <c r="N133" s="405">
        <f t="shared" si="87"/>
        <v>0</v>
      </c>
      <c r="O133" s="1155"/>
      <c r="P133" s="406" t="str">
        <f t="shared" si="63"/>
        <v/>
      </c>
      <c r="Q133" s="50"/>
      <c r="R133" s="3"/>
      <c r="S133" s="28">
        <f t="shared" si="88"/>
        <v>0</v>
      </c>
      <c r="T133" s="28">
        <f t="shared" si="89"/>
        <v>0</v>
      </c>
      <c r="U133" s="30">
        <f t="shared" si="90"/>
        <v>0</v>
      </c>
      <c r="V133" s="40">
        <f t="shared" si="91"/>
        <v>0</v>
      </c>
      <c r="W133" s="32">
        <f t="shared" si="92"/>
        <v>0</v>
      </c>
      <c r="X133" s="28">
        <f t="shared" si="93"/>
        <v>0</v>
      </c>
      <c r="Y133" s="28">
        <f t="shared" si="94"/>
        <v>0</v>
      </c>
      <c r="Z133" s="28">
        <f t="shared" si="95"/>
        <v>0</v>
      </c>
      <c r="AA133" s="28">
        <f t="shared" si="96"/>
        <v>0</v>
      </c>
      <c r="AC133" s="28">
        <f t="shared" si="105"/>
        <v>0</v>
      </c>
      <c r="AD133" s="28">
        <f t="shared" si="98"/>
        <v>0</v>
      </c>
      <c r="AE133" s="28">
        <f t="shared" si="99"/>
        <v>0</v>
      </c>
      <c r="AF133" s="28">
        <f t="shared" si="100"/>
        <v>0</v>
      </c>
      <c r="AH133" s="32">
        <f t="shared" si="101"/>
        <v>0</v>
      </c>
      <c r="AI133" s="32">
        <f t="shared" si="102"/>
        <v>0</v>
      </c>
      <c r="AJ133" s="32">
        <f t="shared" si="103"/>
        <v>0</v>
      </c>
      <c r="AK133" s="32">
        <f t="shared" si="104"/>
        <v>0</v>
      </c>
      <c r="AL133" s="32"/>
      <c r="BD133" s="31"/>
      <c r="BE133" s="31"/>
      <c r="BF133" s="31"/>
      <c r="BG133" s="31"/>
      <c r="BH133" s="31"/>
      <c r="BI133" s="31"/>
      <c r="BJ133" s="31"/>
      <c r="BK133" s="31"/>
      <c r="BL133" s="31"/>
      <c r="BM133" s="31"/>
      <c r="BN133" s="31"/>
      <c r="CB133" s="31"/>
      <c r="CG133" s="31"/>
    </row>
    <row r="134" spans="1:85" ht="12.75" customHeight="1" x14ac:dyDescent="0.2">
      <c r="A134" s="28">
        <f t="shared" si="60"/>
        <v>0</v>
      </c>
      <c r="B134" s="426"/>
      <c r="C134" s="427" t="s">
        <v>363</v>
      </c>
      <c r="D134" s="431"/>
      <c r="E134" s="223"/>
      <c r="F134" s="223"/>
      <c r="G134" s="365"/>
      <c r="H134" s="432"/>
      <c r="I134" s="365"/>
      <c r="J134" s="368">
        <f t="shared" si="84"/>
        <v>0</v>
      </c>
      <c r="K134" s="223"/>
      <c r="L134" s="405">
        <f t="shared" si="85"/>
        <v>0</v>
      </c>
      <c r="M134" s="405">
        <f t="shared" si="86"/>
        <v>0</v>
      </c>
      <c r="N134" s="405">
        <f t="shared" si="87"/>
        <v>0</v>
      </c>
      <c r="O134" s="1155"/>
      <c r="P134" s="406" t="str">
        <f t="shared" si="63"/>
        <v/>
      </c>
      <c r="Q134" s="50"/>
      <c r="R134" s="3"/>
      <c r="S134" s="28">
        <f t="shared" si="88"/>
        <v>0</v>
      </c>
      <c r="T134" s="28">
        <f t="shared" si="89"/>
        <v>0</v>
      </c>
      <c r="U134" s="30">
        <f t="shared" si="90"/>
        <v>0</v>
      </c>
      <c r="V134" s="40">
        <f t="shared" si="91"/>
        <v>0</v>
      </c>
      <c r="W134" s="32">
        <f t="shared" si="92"/>
        <v>0</v>
      </c>
      <c r="X134" s="28">
        <f t="shared" si="93"/>
        <v>0</v>
      </c>
      <c r="Y134" s="28">
        <f t="shared" si="94"/>
        <v>0</v>
      </c>
      <c r="Z134" s="28">
        <f t="shared" si="95"/>
        <v>0</v>
      </c>
      <c r="AA134" s="28">
        <f t="shared" si="96"/>
        <v>0</v>
      </c>
      <c r="AC134" s="28">
        <f t="shared" si="105"/>
        <v>0</v>
      </c>
      <c r="AD134" s="28">
        <f t="shared" si="98"/>
        <v>0</v>
      </c>
      <c r="AE134" s="28">
        <f t="shared" si="99"/>
        <v>0</v>
      </c>
      <c r="AF134" s="28">
        <f t="shared" si="100"/>
        <v>0</v>
      </c>
      <c r="AH134" s="32">
        <f t="shared" si="101"/>
        <v>0</v>
      </c>
      <c r="AI134" s="32">
        <f t="shared" si="102"/>
        <v>0</v>
      </c>
      <c r="AJ134" s="32">
        <f t="shared" si="103"/>
        <v>0</v>
      </c>
      <c r="AK134" s="32">
        <f t="shared" si="104"/>
        <v>0</v>
      </c>
      <c r="AL134" s="32"/>
      <c r="BD134" s="31"/>
      <c r="BE134" s="31"/>
      <c r="BF134" s="31"/>
      <c r="BG134" s="31"/>
      <c r="BH134" s="31"/>
      <c r="BI134" s="31"/>
      <c r="BJ134" s="31"/>
      <c r="BK134" s="31"/>
      <c r="BL134" s="31"/>
      <c r="BM134" s="31"/>
      <c r="BN134" s="31"/>
      <c r="CB134" s="31"/>
      <c r="CG134" s="31"/>
    </row>
    <row r="135" spans="1:85" ht="12.75" customHeight="1" x14ac:dyDescent="0.2">
      <c r="A135" s="28">
        <f t="shared" si="60"/>
        <v>0</v>
      </c>
      <c r="B135" s="426"/>
      <c r="C135" s="427" t="s">
        <v>363</v>
      </c>
      <c r="D135" s="431"/>
      <c r="E135" s="223"/>
      <c r="F135" s="223"/>
      <c r="G135" s="365"/>
      <c r="H135" s="432"/>
      <c r="I135" s="365"/>
      <c r="J135" s="368">
        <f t="shared" si="84"/>
        <v>0</v>
      </c>
      <c r="K135" s="223"/>
      <c r="L135" s="405">
        <f t="shared" si="85"/>
        <v>0</v>
      </c>
      <c r="M135" s="405">
        <f t="shared" si="86"/>
        <v>0</v>
      </c>
      <c r="N135" s="405">
        <f t="shared" si="87"/>
        <v>0</v>
      </c>
      <c r="O135" s="1155"/>
      <c r="P135" s="406" t="str">
        <f t="shared" si="63"/>
        <v/>
      </c>
      <c r="Q135" s="50"/>
      <c r="R135" s="3"/>
      <c r="S135" s="28">
        <f t="shared" si="88"/>
        <v>0</v>
      </c>
      <c r="T135" s="28">
        <f t="shared" si="89"/>
        <v>0</v>
      </c>
      <c r="U135" s="30">
        <f t="shared" si="90"/>
        <v>0</v>
      </c>
      <c r="V135" s="40">
        <f t="shared" si="91"/>
        <v>0</v>
      </c>
      <c r="W135" s="32">
        <f t="shared" si="92"/>
        <v>0</v>
      </c>
      <c r="X135" s="28">
        <f t="shared" si="93"/>
        <v>0</v>
      </c>
      <c r="Y135" s="28">
        <f t="shared" si="94"/>
        <v>0</v>
      </c>
      <c r="Z135" s="28">
        <f t="shared" si="95"/>
        <v>0</v>
      </c>
      <c r="AA135" s="28">
        <f t="shared" si="96"/>
        <v>0</v>
      </c>
      <c r="AC135" s="28">
        <f t="shared" si="105"/>
        <v>0</v>
      </c>
      <c r="AD135" s="28">
        <f t="shared" si="98"/>
        <v>0</v>
      </c>
      <c r="AE135" s="28">
        <f t="shared" si="99"/>
        <v>0</v>
      </c>
      <c r="AF135" s="28">
        <f t="shared" si="100"/>
        <v>0</v>
      </c>
      <c r="AH135" s="32">
        <f t="shared" si="101"/>
        <v>0</v>
      </c>
      <c r="AI135" s="32">
        <f t="shared" si="102"/>
        <v>0</v>
      </c>
      <c r="AJ135" s="32">
        <f t="shared" si="103"/>
        <v>0</v>
      </c>
      <c r="AK135" s="32">
        <f t="shared" si="104"/>
        <v>0</v>
      </c>
      <c r="AL135" s="32"/>
      <c r="BD135" s="31"/>
      <c r="BE135" s="31"/>
      <c r="BF135" s="31"/>
      <c r="BG135" s="31"/>
      <c r="BH135" s="31"/>
      <c r="BI135" s="31"/>
      <c r="BJ135" s="31"/>
      <c r="BK135" s="31"/>
      <c r="BL135" s="31"/>
      <c r="BM135" s="31"/>
      <c r="BN135" s="31"/>
      <c r="CB135" s="31"/>
      <c r="CG135" s="31"/>
    </row>
    <row r="136" spans="1:85" ht="12.75" customHeight="1" x14ac:dyDescent="0.2">
      <c r="A136" s="28">
        <f t="shared" si="60"/>
        <v>0</v>
      </c>
      <c r="B136" s="426"/>
      <c r="C136" s="427" t="s">
        <v>363</v>
      </c>
      <c r="D136" s="431"/>
      <c r="E136" s="223"/>
      <c r="F136" s="223"/>
      <c r="G136" s="365"/>
      <c r="H136" s="432"/>
      <c r="I136" s="365"/>
      <c r="J136" s="368">
        <f t="shared" si="84"/>
        <v>0</v>
      </c>
      <c r="K136" s="223"/>
      <c r="L136" s="405">
        <f t="shared" si="85"/>
        <v>0</v>
      </c>
      <c r="M136" s="405">
        <f t="shared" si="86"/>
        <v>0</v>
      </c>
      <c r="N136" s="405">
        <f t="shared" si="87"/>
        <v>0</v>
      </c>
      <c r="O136" s="1155"/>
      <c r="P136" s="406" t="str">
        <f t="shared" si="63"/>
        <v/>
      </c>
      <c r="Q136" s="50"/>
      <c r="R136" s="3"/>
      <c r="S136" s="28">
        <f t="shared" si="88"/>
        <v>0</v>
      </c>
      <c r="T136" s="28">
        <f t="shared" si="89"/>
        <v>0</v>
      </c>
      <c r="U136" s="30">
        <f t="shared" si="90"/>
        <v>0</v>
      </c>
      <c r="V136" s="40">
        <f t="shared" si="91"/>
        <v>0</v>
      </c>
      <c r="W136" s="32">
        <f t="shared" si="92"/>
        <v>0</v>
      </c>
      <c r="X136" s="28">
        <f t="shared" si="93"/>
        <v>0</v>
      </c>
      <c r="Y136" s="28">
        <f t="shared" si="94"/>
        <v>0</v>
      </c>
      <c r="Z136" s="28">
        <f t="shared" si="95"/>
        <v>0</v>
      </c>
      <c r="AA136" s="28">
        <f t="shared" si="96"/>
        <v>0</v>
      </c>
      <c r="AC136" s="28">
        <f t="shared" si="105"/>
        <v>0</v>
      </c>
      <c r="AD136" s="28">
        <f t="shared" si="98"/>
        <v>0</v>
      </c>
      <c r="AE136" s="28">
        <f t="shared" si="99"/>
        <v>0</v>
      </c>
      <c r="AF136" s="28">
        <f t="shared" si="100"/>
        <v>0</v>
      </c>
      <c r="AH136" s="32">
        <f t="shared" si="101"/>
        <v>0</v>
      </c>
      <c r="AI136" s="32">
        <f t="shared" si="102"/>
        <v>0</v>
      </c>
      <c r="AJ136" s="32">
        <f t="shared" si="103"/>
        <v>0</v>
      </c>
      <c r="AK136" s="32">
        <f t="shared" si="104"/>
        <v>0</v>
      </c>
      <c r="AL136" s="32"/>
      <c r="BD136" s="31"/>
      <c r="BE136" s="31"/>
      <c r="BF136" s="31"/>
      <c r="BG136" s="31"/>
      <c r="BH136" s="31"/>
      <c r="BI136" s="31"/>
      <c r="BJ136" s="31"/>
      <c r="BK136" s="31"/>
      <c r="BL136" s="31"/>
      <c r="BM136" s="31"/>
      <c r="BN136" s="31"/>
      <c r="CB136" s="31"/>
      <c r="CG136" s="31"/>
    </row>
    <row r="137" spans="1:85" ht="12.75" customHeight="1" x14ac:dyDescent="0.2">
      <c r="A137" s="28">
        <f t="shared" si="60"/>
        <v>0</v>
      </c>
      <c r="B137" s="426"/>
      <c r="C137" s="427" t="s">
        <v>363</v>
      </c>
      <c r="D137" s="431"/>
      <c r="E137" s="223"/>
      <c r="F137" s="223"/>
      <c r="G137" s="365"/>
      <c r="H137" s="432"/>
      <c r="I137" s="365"/>
      <c r="J137" s="368">
        <f t="shared" si="84"/>
        <v>0</v>
      </c>
      <c r="K137" s="223"/>
      <c r="L137" s="405">
        <f t="shared" si="85"/>
        <v>0</v>
      </c>
      <c r="M137" s="405">
        <f t="shared" si="86"/>
        <v>0</v>
      </c>
      <c r="N137" s="405">
        <f t="shared" si="87"/>
        <v>0</v>
      </c>
      <c r="O137" s="1155"/>
      <c r="P137" s="406" t="str">
        <f t="shared" si="63"/>
        <v/>
      </c>
      <c r="Q137" s="50"/>
      <c r="R137" s="3"/>
      <c r="S137" s="28">
        <f t="shared" si="88"/>
        <v>0</v>
      </c>
      <c r="T137" s="28">
        <f t="shared" si="89"/>
        <v>0</v>
      </c>
      <c r="U137" s="30">
        <f t="shared" si="90"/>
        <v>0</v>
      </c>
      <c r="V137" s="40">
        <f t="shared" si="91"/>
        <v>0</v>
      </c>
      <c r="W137" s="32">
        <f t="shared" si="92"/>
        <v>0</v>
      </c>
      <c r="X137" s="28">
        <f t="shared" si="93"/>
        <v>0</v>
      </c>
      <c r="Y137" s="28">
        <f t="shared" si="94"/>
        <v>0</v>
      </c>
      <c r="Z137" s="28">
        <f t="shared" si="95"/>
        <v>0</v>
      </c>
      <c r="AA137" s="28">
        <f t="shared" si="96"/>
        <v>0</v>
      </c>
      <c r="AC137" s="28">
        <f t="shared" si="105"/>
        <v>0</v>
      </c>
      <c r="AD137" s="28">
        <f t="shared" si="98"/>
        <v>0</v>
      </c>
      <c r="AE137" s="28">
        <f t="shared" si="99"/>
        <v>0</v>
      </c>
      <c r="AF137" s="28">
        <f t="shared" si="100"/>
        <v>0</v>
      </c>
      <c r="AH137" s="32">
        <f t="shared" si="101"/>
        <v>0</v>
      </c>
      <c r="AI137" s="32">
        <f t="shared" si="102"/>
        <v>0</v>
      </c>
      <c r="AJ137" s="32">
        <f t="shared" si="103"/>
        <v>0</v>
      </c>
      <c r="AK137" s="32">
        <f t="shared" si="104"/>
        <v>0</v>
      </c>
      <c r="AL137" s="32"/>
      <c r="BD137" s="31"/>
      <c r="BE137" s="31"/>
      <c r="BF137" s="31"/>
      <c r="BG137" s="31"/>
      <c r="BH137" s="31"/>
      <c r="BI137" s="31"/>
      <c r="BJ137" s="31"/>
      <c r="BK137" s="31"/>
      <c r="BL137" s="31"/>
      <c r="BM137" s="31"/>
      <c r="BN137" s="31"/>
      <c r="CB137" s="31"/>
      <c r="CG137" s="31"/>
    </row>
    <row r="138" spans="1:85" ht="12.75" customHeight="1" x14ac:dyDescent="0.2">
      <c r="A138" s="28">
        <f t="shared" si="60"/>
        <v>0</v>
      </c>
      <c r="B138" s="426"/>
      <c r="C138" s="427" t="s">
        <v>363</v>
      </c>
      <c r="D138" s="431"/>
      <c r="E138" s="223"/>
      <c r="F138" s="223"/>
      <c r="G138" s="365"/>
      <c r="H138" s="432"/>
      <c r="I138" s="365"/>
      <c r="J138" s="368">
        <f t="shared" si="84"/>
        <v>0</v>
      </c>
      <c r="K138" s="223"/>
      <c r="L138" s="405">
        <f t="shared" si="85"/>
        <v>0</v>
      </c>
      <c r="M138" s="405">
        <f t="shared" si="86"/>
        <v>0</v>
      </c>
      <c r="N138" s="405">
        <f t="shared" si="87"/>
        <v>0</v>
      </c>
      <c r="O138" s="1155"/>
      <c r="P138" s="406" t="str">
        <f t="shared" si="63"/>
        <v/>
      </c>
      <c r="Q138" s="50"/>
      <c r="R138" s="3"/>
      <c r="S138" s="28">
        <f t="shared" si="88"/>
        <v>0</v>
      </c>
      <c r="T138" s="28">
        <f t="shared" si="89"/>
        <v>0</v>
      </c>
      <c r="U138" s="30">
        <f t="shared" si="90"/>
        <v>0</v>
      </c>
      <c r="V138" s="40">
        <f t="shared" si="91"/>
        <v>0</v>
      </c>
      <c r="W138" s="32">
        <f t="shared" si="92"/>
        <v>0</v>
      </c>
      <c r="X138" s="28">
        <f t="shared" si="93"/>
        <v>0</v>
      </c>
      <c r="Y138" s="28">
        <f t="shared" si="94"/>
        <v>0</v>
      </c>
      <c r="Z138" s="28">
        <f t="shared" si="95"/>
        <v>0</v>
      </c>
      <c r="AA138" s="28">
        <f t="shared" si="96"/>
        <v>0</v>
      </c>
      <c r="AC138" s="28">
        <f t="shared" si="105"/>
        <v>0</v>
      </c>
      <c r="AD138" s="28">
        <f t="shared" si="98"/>
        <v>0</v>
      </c>
      <c r="AE138" s="28">
        <f t="shared" si="99"/>
        <v>0</v>
      </c>
      <c r="AF138" s="28">
        <f t="shared" si="100"/>
        <v>0</v>
      </c>
      <c r="AH138" s="32">
        <f t="shared" si="101"/>
        <v>0</v>
      </c>
      <c r="AI138" s="32">
        <f t="shared" si="102"/>
        <v>0</v>
      </c>
      <c r="AJ138" s="32">
        <f t="shared" si="103"/>
        <v>0</v>
      </c>
      <c r="AK138" s="32">
        <f t="shared" si="104"/>
        <v>0</v>
      </c>
      <c r="AL138" s="32"/>
      <c r="BD138" s="31"/>
      <c r="BE138" s="31"/>
      <c r="BF138" s="31"/>
      <c r="BG138" s="31"/>
      <c r="BH138" s="31"/>
      <c r="BI138" s="31"/>
      <c r="BJ138" s="31"/>
      <c r="BK138" s="31"/>
      <c r="BL138" s="31"/>
      <c r="BM138" s="31"/>
      <c r="BN138" s="31"/>
      <c r="CB138" s="31"/>
      <c r="CG138" s="31"/>
    </row>
    <row r="139" spans="1:85" ht="12.75" customHeight="1" x14ac:dyDescent="0.2">
      <c r="A139" s="28">
        <f t="shared" si="60"/>
        <v>0</v>
      </c>
      <c r="B139" s="426"/>
      <c r="C139" s="427" t="s">
        <v>363</v>
      </c>
      <c r="D139" s="431"/>
      <c r="E139" s="223"/>
      <c r="F139" s="223"/>
      <c r="G139" s="365"/>
      <c r="H139" s="432"/>
      <c r="I139" s="365"/>
      <c r="J139" s="368">
        <f t="shared" si="84"/>
        <v>0</v>
      </c>
      <c r="K139" s="223"/>
      <c r="L139" s="405">
        <f t="shared" si="85"/>
        <v>0</v>
      </c>
      <c r="M139" s="405">
        <f t="shared" si="86"/>
        <v>0</v>
      </c>
      <c r="N139" s="405">
        <f t="shared" si="87"/>
        <v>0</v>
      </c>
      <c r="O139" s="1155"/>
      <c r="P139" s="406" t="str">
        <f t="shared" si="63"/>
        <v/>
      </c>
      <c r="Q139" s="50"/>
      <c r="R139" s="3"/>
      <c r="S139" s="28">
        <f t="shared" si="88"/>
        <v>0</v>
      </c>
      <c r="T139" s="28">
        <f t="shared" si="89"/>
        <v>0</v>
      </c>
      <c r="U139" s="30">
        <f t="shared" si="90"/>
        <v>0</v>
      </c>
      <c r="V139" s="40">
        <f t="shared" si="91"/>
        <v>0</v>
      </c>
      <c r="W139" s="32">
        <f t="shared" si="92"/>
        <v>0</v>
      </c>
      <c r="X139" s="28">
        <f t="shared" si="93"/>
        <v>0</v>
      </c>
      <c r="Y139" s="28">
        <f t="shared" si="94"/>
        <v>0</v>
      </c>
      <c r="Z139" s="28">
        <f t="shared" si="95"/>
        <v>0</v>
      </c>
      <c r="AA139" s="28">
        <f t="shared" si="96"/>
        <v>0</v>
      </c>
      <c r="AC139" s="28">
        <f t="shared" si="105"/>
        <v>0</v>
      </c>
      <c r="AD139" s="28">
        <f t="shared" si="98"/>
        <v>0</v>
      </c>
      <c r="AE139" s="28">
        <f t="shared" si="99"/>
        <v>0</v>
      </c>
      <c r="AF139" s="28">
        <f t="shared" si="100"/>
        <v>0</v>
      </c>
      <c r="AH139" s="32">
        <f t="shared" si="101"/>
        <v>0</v>
      </c>
      <c r="AI139" s="32">
        <f t="shared" si="102"/>
        <v>0</v>
      </c>
      <c r="AJ139" s="32">
        <f t="shared" si="103"/>
        <v>0</v>
      </c>
      <c r="AK139" s="32">
        <f t="shared" si="104"/>
        <v>0</v>
      </c>
      <c r="AL139" s="32"/>
      <c r="BD139" s="31"/>
      <c r="BE139" s="31"/>
      <c r="BF139" s="31"/>
      <c r="BG139" s="31"/>
      <c r="BH139" s="31"/>
      <c r="BI139" s="31"/>
      <c r="BJ139" s="31"/>
      <c r="BK139" s="31"/>
      <c r="BL139" s="31"/>
      <c r="BM139" s="31"/>
      <c r="BN139" s="31"/>
      <c r="CB139" s="31"/>
      <c r="CG139" s="31"/>
    </row>
    <row r="140" spans="1:85" ht="12.75" customHeight="1" x14ac:dyDescent="0.2">
      <c r="A140" s="28">
        <f t="shared" si="60"/>
        <v>0</v>
      </c>
      <c r="B140" s="426"/>
      <c r="C140" s="427" t="s">
        <v>363</v>
      </c>
      <c r="D140" s="431"/>
      <c r="E140" s="223"/>
      <c r="F140" s="223"/>
      <c r="G140" s="365"/>
      <c r="H140" s="432"/>
      <c r="I140" s="365"/>
      <c r="J140" s="368">
        <f t="shared" si="84"/>
        <v>0</v>
      </c>
      <c r="K140" s="223"/>
      <c r="L140" s="405">
        <f t="shared" si="85"/>
        <v>0</v>
      </c>
      <c r="M140" s="405">
        <f t="shared" si="86"/>
        <v>0</v>
      </c>
      <c r="N140" s="405">
        <f t="shared" si="87"/>
        <v>0</v>
      </c>
      <c r="O140" s="1155"/>
      <c r="P140" s="406" t="str">
        <f t="shared" si="63"/>
        <v/>
      </c>
      <c r="Q140" s="50"/>
      <c r="R140" s="3"/>
      <c r="S140" s="28">
        <f t="shared" si="88"/>
        <v>0</v>
      </c>
      <c r="T140" s="28">
        <f t="shared" si="89"/>
        <v>0</v>
      </c>
      <c r="U140" s="30">
        <f t="shared" si="90"/>
        <v>0</v>
      </c>
      <c r="V140" s="40">
        <f t="shared" si="91"/>
        <v>0</v>
      </c>
      <c r="W140" s="32">
        <f t="shared" si="92"/>
        <v>0</v>
      </c>
      <c r="X140" s="28">
        <f t="shared" si="93"/>
        <v>0</v>
      </c>
      <c r="Y140" s="28">
        <f t="shared" si="94"/>
        <v>0</v>
      </c>
      <c r="Z140" s="28">
        <f t="shared" si="95"/>
        <v>0</v>
      </c>
      <c r="AA140" s="28">
        <f t="shared" si="96"/>
        <v>0</v>
      </c>
      <c r="AC140" s="28">
        <f t="shared" si="105"/>
        <v>0</v>
      </c>
      <c r="AD140" s="28">
        <f t="shared" si="98"/>
        <v>0</v>
      </c>
      <c r="AE140" s="28">
        <f t="shared" si="99"/>
        <v>0</v>
      </c>
      <c r="AF140" s="28">
        <f t="shared" si="100"/>
        <v>0</v>
      </c>
      <c r="AH140" s="32">
        <f t="shared" si="101"/>
        <v>0</v>
      </c>
      <c r="AI140" s="32">
        <f t="shared" si="102"/>
        <v>0</v>
      </c>
      <c r="AJ140" s="32">
        <f t="shared" si="103"/>
        <v>0</v>
      </c>
      <c r="AK140" s="32">
        <f t="shared" si="104"/>
        <v>0</v>
      </c>
      <c r="AL140" s="32"/>
      <c r="BD140" s="31"/>
      <c r="BE140" s="31"/>
      <c r="BF140" s="31"/>
      <c r="BG140" s="31"/>
      <c r="BH140" s="31"/>
      <c r="BI140" s="31"/>
      <c r="BJ140" s="31"/>
      <c r="BK140" s="31"/>
      <c r="BL140" s="31"/>
      <c r="BM140" s="31"/>
      <c r="BN140" s="31"/>
      <c r="CB140" s="31"/>
      <c r="CG140" s="31"/>
    </row>
    <row r="141" spans="1:85" ht="12.75" customHeight="1" x14ac:dyDescent="0.2">
      <c r="A141" s="28">
        <f t="shared" si="60"/>
        <v>0</v>
      </c>
      <c r="B141" s="426"/>
      <c r="C141" s="427" t="s">
        <v>363</v>
      </c>
      <c r="D141" s="431"/>
      <c r="E141" s="223"/>
      <c r="F141" s="223"/>
      <c r="G141" s="365"/>
      <c r="H141" s="432"/>
      <c r="I141" s="365"/>
      <c r="J141" s="368">
        <f t="shared" si="84"/>
        <v>0</v>
      </c>
      <c r="K141" s="223"/>
      <c r="L141" s="405">
        <f t="shared" si="85"/>
        <v>0</v>
      </c>
      <c r="M141" s="405">
        <f t="shared" si="86"/>
        <v>0</v>
      </c>
      <c r="N141" s="405">
        <f t="shared" si="87"/>
        <v>0</v>
      </c>
      <c r="O141" s="1155"/>
      <c r="P141" s="406" t="str">
        <f t="shared" si="63"/>
        <v/>
      </c>
      <c r="Q141" s="50"/>
      <c r="R141" s="3"/>
      <c r="S141" s="28">
        <f t="shared" si="88"/>
        <v>0</v>
      </c>
      <c r="T141" s="28">
        <f t="shared" si="89"/>
        <v>0</v>
      </c>
      <c r="U141" s="30">
        <f t="shared" si="90"/>
        <v>0</v>
      </c>
      <c r="V141" s="40">
        <f t="shared" si="91"/>
        <v>0</v>
      </c>
      <c r="W141" s="32">
        <f t="shared" si="92"/>
        <v>0</v>
      </c>
      <c r="X141" s="28">
        <f t="shared" si="93"/>
        <v>0</v>
      </c>
      <c r="Y141" s="28">
        <f t="shared" si="94"/>
        <v>0</v>
      </c>
      <c r="Z141" s="28">
        <f t="shared" si="95"/>
        <v>0</v>
      </c>
      <c r="AA141" s="28">
        <f t="shared" si="96"/>
        <v>0</v>
      </c>
      <c r="AC141" s="28">
        <f t="shared" si="105"/>
        <v>0</v>
      </c>
      <c r="AD141" s="28">
        <f t="shared" si="98"/>
        <v>0</v>
      </c>
      <c r="AE141" s="28">
        <f t="shared" si="99"/>
        <v>0</v>
      </c>
      <c r="AF141" s="28">
        <f t="shared" si="100"/>
        <v>0</v>
      </c>
      <c r="AH141" s="32">
        <f t="shared" si="101"/>
        <v>0</v>
      </c>
      <c r="AI141" s="32">
        <f t="shared" si="102"/>
        <v>0</v>
      </c>
      <c r="AJ141" s="32">
        <f t="shared" si="103"/>
        <v>0</v>
      </c>
      <c r="AK141" s="32">
        <f t="shared" si="104"/>
        <v>0</v>
      </c>
      <c r="AL141" s="32"/>
      <c r="BD141" s="31"/>
      <c r="BE141" s="31"/>
      <c r="BF141" s="31"/>
      <c r="BG141" s="31"/>
      <c r="BH141" s="31"/>
      <c r="BI141" s="31"/>
      <c r="BJ141" s="31"/>
      <c r="BK141" s="31"/>
      <c r="BL141" s="31"/>
      <c r="BM141" s="31"/>
      <c r="BN141" s="31"/>
      <c r="CB141" s="31"/>
      <c r="CG141" s="31"/>
    </row>
    <row r="142" spans="1:85" ht="12.75" customHeight="1" x14ac:dyDescent="0.2">
      <c r="A142" s="28">
        <f t="shared" si="60"/>
        <v>0</v>
      </c>
      <c r="B142" s="426"/>
      <c r="C142" s="427" t="s">
        <v>363</v>
      </c>
      <c r="D142" s="431"/>
      <c r="E142" s="223"/>
      <c r="F142" s="223"/>
      <c r="G142" s="365"/>
      <c r="H142" s="432"/>
      <c r="I142" s="365"/>
      <c r="J142" s="368">
        <f t="shared" si="84"/>
        <v>0</v>
      </c>
      <c r="K142" s="223"/>
      <c r="L142" s="405">
        <f t="shared" si="85"/>
        <v>0</v>
      </c>
      <c r="M142" s="405">
        <f t="shared" si="86"/>
        <v>0</v>
      </c>
      <c r="N142" s="405">
        <f t="shared" si="87"/>
        <v>0</v>
      </c>
      <c r="O142" s="1155"/>
      <c r="P142" s="406" t="str">
        <f t="shared" si="63"/>
        <v/>
      </c>
      <c r="Q142" s="50"/>
      <c r="R142" s="3"/>
      <c r="S142" s="28">
        <f t="shared" si="88"/>
        <v>0</v>
      </c>
      <c r="T142" s="28">
        <f t="shared" si="89"/>
        <v>0</v>
      </c>
      <c r="U142" s="30">
        <f t="shared" si="90"/>
        <v>0</v>
      </c>
      <c r="V142" s="40">
        <f t="shared" si="91"/>
        <v>0</v>
      </c>
      <c r="W142" s="32">
        <f t="shared" si="92"/>
        <v>0</v>
      </c>
      <c r="X142" s="28">
        <f t="shared" si="93"/>
        <v>0</v>
      </c>
      <c r="Y142" s="28">
        <f t="shared" si="94"/>
        <v>0</v>
      </c>
      <c r="Z142" s="28">
        <f t="shared" si="95"/>
        <v>0</v>
      </c>
      <c r="AA142" s="28">
        <f t="shared" si="96"/>
        <v>0</v>
      </c>
      <c r="AC142" s="28">
        <f t="shared" si="105"/>
        <v>0</v>
      </c>
      <c r="AD142" s="28">
        <f t="shared" si="98"/>
        <v>0</v>
      </c>
      <c r="AE142" s="28">
        <f t="shared" si="99"/>
        <v>0</v>
      </c>
      <c r="AF142" s="28">
        <f t="shared" si="100"/>
        <v>0</v>
      </c>
      <c r="AH142" s="32">
        <f t="shared" si="101"/>
        <v>0</v>
      </c>
      <c r="AI142" s="32">
        <f t="shared" si="102"/>
        <v>0</v>
      </c>
      <c r="AJ142" s="32">
        <f t="shared" si="103"/>
        <v>0</v>
      </c>
      <c r="AK142" s="32">
        <f t="shared" si="104"/>
        <v>0</v>
      </c>
      <c r="AL142" s="32"/>
      <c r="BD142" s="31"/>
      <c r="BE142" s="31"/>
      <c r="BF142" s="31"/>
      <c r="BG142" s="31"/>
      <c r="BH142" s="31"/>
      <c r="BI142" s="31"/>
      <c r="BJ142" s="31"/>
      <c r="BK142" s="31"/>
      <c r="BL142" s="31"/>
      <c r="BM142" s="31"/>
      <c r="BN142" s="31"/>
      <c r="CB142" s="31"/>
      <c r="CG142" s="31"/>
    </row>
    <row r="143" spans="1:85" ht="12.75" customHeight="1" x14ac:dyDescent="0.2">
      <c r="A143" s="28">
        <f t="shared" si="60"/>
        <v>0</v>
      </c>
      <c r="B143" s="426"/>
      <c r="C143" s="427" t="s">
        <v>363</v>
      </c>
      <c r="D143" s="431"/>
      <c r="E143" s="223"/>
      <c r="F143" s="223"/>
      <c r="G143" s="365"/>
      <c r="H143" s="432"/>
      <c r="I143" s="365"/>
      <c r="J143" s="368">
        <f t="shared" si="84"/>
        <v>0</v>
      </c>
      <c r="K143" s="223"/>
      <c r="L143" s="405">
        <f t="shared" ref="L143:L150" si="106">IF(T143=0,0,IF(W143&lt;0,0,W143))</f>
      </c>
      <c r="M143" s="405">
        <f t="shared" ref="M143:M150" si="107">IF(T143=0,0,Z143)</f>
      </c>
      <c r="N143" s="405">
        <f t="shared" ref="N143:N150" si="108">IF(T143=0,0,IF(AA143&gt;=0,AA143,0))</f>
      </c>
      <c r="O143" s="1155"/>
      <c r="P143" s="406" t="str">
        <f t="shared" si="63"/>
        <v/>
      </c>
      <c r="Q143" s="50"/>
      <c r="R143" s="3"/>
      <c r="S143" s="28">
        <f t="shared" si="88"/>
        <v>0</v>
      </c>
      <c r="T143" s="28">
        <f t="shared" ref="T143:T191" si="109">IF(ISERROR(V143),4,V143)</f>
      </c>
      <c r="U143" s="30">
        <f t="shared" ref="U143:U191" si="110">IF($Z$1=1,K143,IF(ISBLANK(K143),T143,IF(K143=0,0,IF(K143&gt;T143,K143,T143))))</f>
      </c>
      <c r="V143" s="40">
        <f t="shared" si="91"/>
        <v>0</v>
      </c>
      <c r="W143" s="32">
        <f t="shared" ref="W143:W150" si="111">IF(D143=$Q$1,(G143+H143),E143-I143)</f>
      </c>
      <c r="X143" s="28">
        <f t="shared" ref="X143:X150" si="112">IF(D143=$Q$1,W143,F143-AC143)</f>
      </c>
      <c r="Y143" s="28">
        <f t="shared" ref="Y143:Y150" si="113">IF(U143=0,0,W143/U143)</f>
      </c>
      <c r="Z143" s="28">
        <f t="shared" ref="Z143:Z150" si="114">IF(Y143&lt;0,0,IF(Y143&gt;X143,X143,Y143))</f>
      </c>
      <c r="AA143" s="28">
        <f t="shared" ref="AA143:AA150" si="115">X143-Z143</f>
      </c>
      <c r="AC143" s="28">
        <f t="shared" si="105"/>
        <v>0</v>
      </c>
      <c r="AD143" s="28">
        <f t="shared" ref="AD143:AD150" si="116">SUM(AE143:AF143)</f>
      </c>
      <c r="AE143" s="28">
        <f t="shared" ref="AE143:AE150" si="117">IF(ISBLANK(F143),0,1)</f>
      </c>
      <c r="AF143" s="28">
        <f t="shared" ref="AF143:AF150" si="118">IF(ISBLANK(E143),0,1)</f>
      </c>
      <c r="AH143" s="32">
        <f t="shared" si="101"/>
        <v>0</v>
      </c>
      <c r="AI143" s="32">
        <f t="shared" ref="AI143:AJ150" si="119">E143</f>
      </c>
      <c r="AJ143" s="32">
        <f t="shared" si="119"/>
        <v>0</v>
      </c>
      <c r="AK143" s="32">
        <f t="shared" ref="AK143:AK150" si="120">IF($D143=$Q$1,0,E143)</f>
      </c>
      <c r="AL143" s="32"/>
      <c r="BD143" s="31"/>
      <c r="BE143" s="31"/>
      <c r="BF143" s="31"/>
      <c r="BG143" s="31"/>
      <c r="BH143" s="31"/>
      <c r="BI143" s="31"/>
      <c r="BJ143" s="31"/>
      <c r="BK143" s="31"/>
      <c r="BL143" s="31"/>
      <c r="BM143" s="31"/>
      <c r="BN143" s="31"/>
      <c r="CB143" s="31"/>
      <c r="CG143" s="31"/>
    </row>
    <row r="144" spans="1:85" ht="12.75" customHeight="1" x14ac:dyDescent="0.2">
      <c r="A144" s="28">
        <f t="shared" si="60"/>
        <v>0</v>
      </c>
      <c r="B144" s="426"/>
      <c r="C144" s="427" t="s">
        <v>363</v>
      </c>
      <c r="D144" s="431"/>
      <c r="E144" s="223"/>
      <c r="F144" s="223"/>
      <c r="G144" s="365"/>
      <c r="H144" s="432"/>
      <c r="I144" s="365"/>
      <c r="J144" s="368">
        <f t="shared" si="84"/>
        <v>0</v>
      </c>
      <c r="K144" s="223"/>
      <c r="L144" s="405">
        <f t="shared" si="106"/>
        <v>0</v>
      </c>
      <c r="M144" s="405">
        <f t="shared" si="107"/>
        <v>0</v>
      </c>
      <c r="N144" s="405">
        <f t="shared" si="108"/>
        <v>0</v>
      </c>
      <c r="O144" s="1155"/>
      <c r="P144" s="406" t="str">
        <f t="shared" si="63"/>
        <v/>
      </c>
      <c r="Q144" s="50"/>
      <c r="R144" s="3"/>
      <c r="S144" s="28">
        <f t="shared" si="88"/>
        <v>0</v>
      </c>
      <c r="T144" s="28">
        <f t="shared" si="109"/>
        <v>0</v>
      </c>
      <c r="U144" s="30">
        <f t="shared" si="110"/>
        <v>0</v>
      </c>
      <c r="V144" s="40">
        <f t="shared" si="91"/>
        <v>0</v>
      </c>
      <c r="W144" s="32">
        <f t="shared" si="111"/>
        <v>0</v>
      </c>
      <c r="X144" s="28">
        <f t="shared" si="112"/>
        <v>0</v>
      </c>
      <c r="Y144" s="28">
        <f t="shared" si="113"/>
        <v>0</v>
      </c>
      <c r="Z144" s="28">
        <f t="shared" si="114"/>
        <v>0</v>
      </c>
      <c r="AA144" s="28">
        <f t="shared" si="115"/>
        <v>0</v>
      </c>
      <c r="AC144" s="28">
        <f t="shared" si="105"/>
        <v>0</v>
      </c>
      <c r="AD144" s="28">
        <f t="shared" si="116"/>
        <v>0</v>
      </c>
      <c r="AE144" s="28">
        <f t="shared" si="117"/>
        <v>0</v>
      </c>
      <c r="AF144" s="28">
        <f t="shared" si="118"/>
        <v>0</v>
      </c>
      <c r="AH144" s="32">
        <f t="shared" si="101"/>
        <v>0</v>
      </c>
      <c r="AI144" s="32">
        <f t="shared" si="119"/>
        <v>0</v>
      </c>
      <c r="AJ144" s="32">
        <f t="shared" si="119"/>
        <v>0</v>
      </c>
      <c r="AK144" s="32">
        <f t="shared" si="120"/>
        <v>0</v>
      </c>
      <c r="AL144" s="32"/>
      <c r="BD144" s="31"/>
      <c r="BE144" s="31"/>
      <c r="BF144" s="31"/>
      <c r="BG144" s="31"/>
      <c r="BH144" s="31"/>
      <c r="BI144" s="31"/>
      <c r="BJ144" s="31"/>
      <c r="BK144" s="31"/>
      <c r="BL144" s="31"/>
      <c r="BM144" s="31"/>
      <c r="BN144" s="31"/>
      <c r="CB144" s="31"/>
      <c r="CG144" s="31"/>
    </row>
    <row r="145" spans="1:85" ht="12.75" customHeight="1" x14ac:dyDescent="0.2">
      <c r="A145" s="28">
        <f t="shared" si="60"/>
        <v>0</v>
      </c>
      <c r="B145" s="426"/>
      <c r="C145" s="427" t="s">
        <v>363</v>
      </c>
      <c r="D145" s="431"/>
      <c r="E145" s="223"/>
      <c r="F145" s="223"/>
      <c r="G145" s="365"/>
      <c r="H145" s="432"/>
      <c r="I145" s="365"/>
      <c r="J145" s="368">
        <f t="shared" si="84"/>
        <v>0</v>
      </c>
      <c r="K145" s="223"/>
      <c r="L145" s="405">
        <f t="shared" si="106"/>
        <v>0</v>
      </c>
      <c r="M145" s="405">
        <f t="shared" si="107"/>
        <v>0</v>
      </c>
      <c r="N145" s="405">
        <f t="shared" si="108"/>
        <v>0</v>
      </c>
      <c r="O145" s="1155"/>
      <c r="P145" s="406" t="str">
        <f t="shared" si="63"/>
        <v/>
      </c>
      <c r="Q145" s="50"/>
      <c r="R145" s="3"/>
      <c r="S145" s="28">
        <f t="shared" si="88"/>
        <v>0</v>
      </c>
      <c r="T145" s="28">
        <f t="shared" si="109"/>
        <v>0</v>
      </c>
      <c r="U145" s="30">
        <f t="shared" si="110"/>
        <v>0</v>
      </c>
      <c r="V145" s="40">
        <f t="shared" si="91"/>
        <v>0</v>
      </c>
      <c r="W145" s="32">
        <f t="shared" si="111"/>
        <v>0</v>
      </c>
      <c r="X145" s="28">
        <f t="shared" si="112"/>
        <v>0</v>
      </c>
      <c r="Y145" s="28">
        <f t="shared" si="113"/>
        <v>0</v>
      </c>
      <c r="Z145" s="28">
        <f t="shared" si="114"/>
        <v>0</v>
      </c>
      <c r="AA145" s="28">
        <f t="shared" si="115"/>
        <v>0</v>
      </c>
      <c r="AC145" s="28">
        <f t="shared" si="105"/>
        <v>0</v>
      </c>
      <c r="AD145" s="28">
        <f t="shared" si="116"/>
        <v>0</v>
      </c>
      <c r="AE145" s="28">
        <f t="shared" si="117"/>
        <v>0</v>
      </c>
      <c r="AF145" s="28">
        <f t="shared" si="118"/>
        <v>0</v>
      </c>
      <c r="AH145" s="32">
        <f t="shared" si="101"/>
        <v>0</v>
      </c>
      <c r="AI145" s="32">
        <f t="shared" si="119"/>
        <v>0</v>
      </c>
      <c r="AJ145" s="32">
        <f t="shared" si="119"/>
        <v>0</v>
      </c>
      <c r="AK145" s="32">
        <f t="shared" si="120"/>
        <v>0</v>
      </c>
      <c r="AL145" s="32"/>
      <c r="BD145" s="31"/>
      <c r="BE145" s="31"/>
      <c r="BF145" s="31"/>
      <c r="BG145" s="31"/>
      <c r="BH145" s="31"/>
      <c r="BI145" s="31"/>
      <c r="BJ145" s="31"/>
      <c r="BK145" s="31"/>
      <c r="BL145" s="31"/>
      <c r="BM145" s="31"/>
      <c r="BN145" s="31"/>
      <c r="CB145" s="31"/>
      <c r="CG145" s="31"/>
    </row>
    <row r="146" spans="1:85" ht="12.75" customHeight="1" x14ac:dyDescent="0.2">
      <c r="A146" s="28">
        <f t="shared" si="60"/>
        <v>0</v>
      </c>
      <c r="B146" s="426"/>
      <c r="C146" s="427" t="s">
        <v>363</v>
      </c>
      <c r="D146" s="431"/>
      <c r="E146" s="223"/>
      <c r="F146" s="223"/>
      <c r="G146" s="365"/>
      <c r="H146" s="432"/>
      <c r="I146" s="365"/>
      <c r="J146" s="368">
        <f t="shared" si="84"/>
        <v>0</v>
      </c>
      <c r="K146" s="223"/>
      <c r="L146" s="405">
        <f t="shared" si="106"/>
        <v>0</v>
      </c>
      <c r="M146" s="405">
        <f t="shared" si="107"/>
        <v>0</v>
      </c>
      <c r="N146" s="405">
        <f t="shared" si="108"/>
        <v>0</v>
      </c>
      <c r="O146" s="1155"/>
      <c r="P146" s="406" t="str">
        <f t="shared" si="63"/>
        <v/>
      </c>
      <c r="Q146" s="50"/>
      <c r="R146" s="3"/>
      <c r="S146" s="28">
        <f t="shared" si="88"/>
        <v>0</v>
      </c>
      <c r="T146" s="28">
        <f t="shared" si="109"/>
        <v>0</v>
      </c>
      <c r="U146" s="30">
        <f t="shared" si="110"/>
        <v>0</v>
      </c>
      <c r="V146" s="40">
        <f t="shared" si="91"/>
        <v>0</v>
      </c>
      <c r="W146" s="32">
        <f t="shared" si="111"/>
        <v>0</v>
      </c>
      <c r="X146" s="28">
        <f t="shared" si="112"/>
        <v>0</v>
      </c>
      <c r="Y146" s="28">
        <f t="shared" si="113"/>
        <v>0</v>
      </c>
      <c r="Z146" s="28">
        <f t="shared" si="114"/>
        <v>0</v>
      </c>
      <c r="AA146" s="28">
        <f t="shared" si="115"/>
        <v>0</v>
      </c>
      <c r="AC146" s="28">
        <f t="shared" si="105"/>
        <v>0</v>
      </c>
      <c r="AD146" s="28">
        <f t="shared" si="116"/>
        <v>0</v>
      </c>
      <c r="AE146" s="28">
        <f t="shared" si="117"/>
        <v>0</v>
      </c>
      <c r="AF146" s="28">
        <f t="shared" si="118"/>
        <v>0</v>
      </c>
      <c r="AH146" s="32">
        <f t="shared" si="101"/>
        <v>0</v>
      </c>
      <c r="AI146" s="32">
        <f t="shared" si="119"/>
        <v>0</v>
      </c>
      <c r="AJ146" s="32">
        <f t="shared" si="119"/>
        <v>0</v>
      </c>
      <c r="AK146" s="32">
        <f t="shared" si="120"/>
        <v>0</v>
      </c>
      <c r="AL146" s="32"/>
      <c r="BD146" s="31"/>
      <c r="BE146" s="31"/>
      <c r="BF146" s="31"/>
      <c r="BG146" s="31"/>
      <c r="BH146" s="31"/>
      <c r="BI146" s="31"/>
      <c r="BJ146" s="31"/>
      <c r="BK146" s="31"/>
      <c r="BL146" s="31"/>
      <c r="BM146" s="31"/>
      <c r="BN146" s="31"/>
      <c r="CB146" s="31"/>
      <c r="CG146" s="31"/>
    </row>
    <row r="147" spans="1:85" ht="12.75" customHeight="1" x14ac:dyDescent="0.2">
      <c r="A147" s="28">
        <f t="shared" si="60"/>
        <v>0</v>
      </c>
      <c r="B147" s="426"/>
      <c r="C147" s="427" t="s">
        <v>363</v>
      </c>
      <c r="D147" s="431"/>
      <c r="E147" s="223"/>
      <c r="F147" s="223"/>
      <c r="G147" s="365"/>
      <c r="H147" s="432"/>
      <c r="I147" s="365"/>
      <c r="J147" s="368">
        <f t="shared" si="84"/>
        <v>0</v>
      </c>
      <c r="K147" s="223"/>
      <c r="L147" s="405">
        <f t="shared" si="106"/>
        <v>0</v>
      </c>
      <c r="M147" s="405">
        <f t="shared" si="107"/>
        <v>0</v>
      </c>
      <c r="N147" s="405">
        <f t="shared" si="108"/>
        <v>0</v>
      </c>
      <c r="O147" s="1155"/>
      <c r="P147" s="406" t="str">
        <f t="shared" si="63"/>
        <v/>
      </c>
      <c r="Q147" s="50"/>
      <c r="R147" s="3"/>
      <c r="S147" s="28">
        <f t="shared" si="88"/>
        <v>0</v>
      </c>
      <c r="T147" s="28">
        <f t="shared" si="109"/>
        <v>0</v>
      </c>
      <c r="U147" s="30">
        <f t="shared" si="110"/>
        <v>0</v>
      </c>
      <c r="V147" s="40">
        <f t="shared" si="91"/>
        <v>0</v>
      </c>
      <c r="W147" s="32">
        <f t="shared" si="111"/>
        <v>0</v>
      </c>
      <c r="X147" s="28">
        <f t="shared" si="112"/>
        <v>0</v>
      </c>
      <c r="Y147" s="28">
        <f t="shared" si="113"/>
        <v>0</v>
      </c>
      <c r="Z147" s="28">
        <f t="shared" si="114"/>
        <v>0</v>
      </c>
      <c r="AA147" s="28">
        <f t="shared" si="115"/>
        <v>0</v>
      </c>
      <c r="AC147" s="28">
        <f t="shared" si="105"/>
        <v>0</v>
      </c>
      <c r="AD147" s="28">
        <f t="shared" si="116"/>
        <v>0</v>
      </c>
      <c r="AE147" s="28">
        <f t="shared" si="117"/>
        <v>0</v>
      </c>
      <c r="AF147" s="28">
        <f t="shared" si="118"/>
        <v>0</v>
      </c>
      <c r="AH147" s="32">
        <f t="shared" si="101"/>
        <v>0</v>
      </c>
      <c r="AI147" s="32">
        <f t="shared" si="119"/>
        <v>0</v>
      </c>
      <c r="AJ147" s="32">
        <f t="shared" si="119"/>
        <v>0</v>
      </c>
      <c r="AK147" s="32">
        <f t="shared" si="120"/>
        <v>0</v>
      </c>
      <c r="AL147" s="32"/>
      <c r="BD147" s="31"/>
      <c r="BE147" s="31"/>
      <c r="BF147" s="31"/>
      <c r="BG147" s="31"/>
      <c r="BH147" s="31"/>
      <c r="BI147" s="31"/>
      <c r="BJ147" s="31"/>
      <c r="BK147" s="31"/>
      <c r="BL147" s="31"/>
      <c r="BM147" s="31"/>
      <c r="BN147" s="31"/>
      <c r="CB147" s="31"/>
      <c r="CG147" s="31"/>
    </row>
    <row r="148" spans="1:85" ht="12.75" customHeight="1" x14ac:dyDescent="0.2">
      <c r="A148" s="28">
        <f t="shared" si="60"/>
        <v>0</v>
      </c>
      <c r="B148" s="426"/>
      <c r="C148" s="427" t="s">
        <v>363</v>
      </c>
      <c r="D148" s="431"/>
      <c r="E148" s="223"/>
      <c r="F148" s="223"/>
      <c r="G148" s="365"/>
      <c r="H148" s="432"/>
      <c r="I148" s="365"/>
      <c r="J148" s="368">
        <f t="shared" si="84"/>
        <v>0</v>
      </c>
      <c r="K148" s="223"/>
      <c r="L148" s="405">
        <f t="shared" si="106"/>
        <v>0</v>
      </c>
      <c r="M148" s="405">
        <f t="shared" si="107"/>
        <v>0</v>
      </c>
      <c r="N148" s="405">
        <f t="shared" si="108"/>
        <v>0</v>
      </c>
      <c r="O148" s="1155"/>
      <c r="P148" s="406" t="str">
        <f t="shared" si="63"/>
        <v/>
      </c>
      <c r="Q148" s="50"/>
      <c r="R148" s="3"/>
      <c r="S148" s="28">
        <f t="shared" si="88"/>
        <v>0</v>
      </c>
      <c r="T148" s="28">
        <f t="shared" si="109"/>
        <v>0</v>
      </c>
      <c r="U148" s="30">
        <f t="shared" si="110"/>
        <v>0</v>
      </c>
      <c r="V148" s="40">
        <f t="shared" si="91"/>
        <v>0</v>
      </c>
      <c r="W148" s="32">
        <f t="shared" si="111"/>
        <v>0</v>
      </c>
      <c r="X148" s="28">
        <f t="shared" si="112"/>
        <v>0</v>
      </c>
      <c r="Y148" s="28">
        <f t="shared" si="113"/>
        <v>0</v>
      </c>
      <c r="Z148" s="28">
        <f t="shared" si="114"/>
        <v>0</v>
      </c>
      <c r="AA148" s="28">
        <f t="shared" si="115"/>
        <v>0</v>
      </c>
      <c r="AC148" s="28">
        <f t="shared" si="105"/>
        <v>0</v>
      </c>
      <c r="AD148" s="28">
        <f t="shared" si="116"/>
        <v>0</v>
      </c>
      <c r="AE148" s="28">
        <f t="shared" si="117"/>
        <v>0</v>
      </c>
      <c r="AF148" s="28">
        <f t="shared" si="118"/>
        <v>0</v>
      </c>
      <c r="AH148" s="32">
        <f t="shared" si="101"/>
        <v>0</v>
      </c>
      <c r="AI148" s="32">
        <f t="shared" si="119"/>
        <v>0</v>
      </c>
      <c r="AJ148" s="32">
        <f t="shared" si="119"/>
        <v>0</v>
      </c>
      <c r="AK148" s="32">
        <f t="shared" si="120"/>
        <v>0</v>
      </c>
      <c r="AL148" s="32"/>
      <c r="BD148" s="31"/>
      <c r="BE148" s="31"/>
      <c r="BF148" s="31"/>
      <c r="BG148" s="31"/>
      <c r="BH148" s="31"/>
      <c r="BI148" s="31"/>
      <c r="BJ148" s="31"/>
      <c r="BK148" s="31"/>
      <c r="BL148" s="31"/>
      <c r="BM148" s="31"/>
      <c r="BN148" s="31"/>
      <c r="CB148" s="31"/>
      <c r="CG148" s="31"/>
    </row>
    <row r="149" spans="1:85" ht="12.75" customHeight="1" x14ac:dyDescent="0.2">
      <c r="A149" s="28">
        <f t="shared" si="60"/>
        <v>0</v>
      </c>
      <c r="B149" s="426"/>
      <c r="C149" s="427" t="s">
        <v>363</v>
      </c>
      <c r="D149" s="431"/>
      <c r="E149" s="223"/>
      <c r="F149" s="223"/>
      <c r="G149" s="365"/>
      <c r="H149" s="432"/>
      <c r="I149" s="365"/>
      <c r="J149" s="368">
        <f t="shared" si="84"/>
        <v>0</v>
      </c>
      <c r="K149" s="223"/>
      <c r="L149" s="405">
        <f t="shared" si="106"/>
        <v>0</v>
      </c>
      <c r="M149" s="405">
        <f t="shared" si="107"/>
        <v>0</v>
      </c>
      <c r="N149" s="405">
        <f t="shared" si="108"/>
        <v>0</v>
      </c>
      <c r="O149" s="1155"/>
      <c r="P149" s="406" t="str">
        <f t="shared" si="63"/>
        <v/>
      </c>
      <c r="Q149" s="50"/>
      <c r="R149" s="3"/>
      <c r="S149" s="28">
        <f t="shared" si="88"/>
        <v>0</v>
      </c>
      <c r="T149" s="28">
        <f t="shared" si="109"/>
        <v>0</v>
      </c>
      <c r="U149" s="30">
        <f t="shared" si="110"/>
        <v>0</v>
      </c>
      <c r="V149" s="40">
        <f t="shared" si="91"/>
        <v>0</v>
      </c>
      <c r="W149" s="32">
        <f t="shared" si="111"/>
        <v>0</v>
      </c>
      <c r="X149" s="28">
        <f t="shared" si="112"/>
        <v>0</v>
      </c>
      <c r="Y149" s="28">
        <f t="shared" si="113"/>
        <v>0</v>
      </c>
      <c r="Z149" s="28">
        <f t="shared" si="114"/>
        <v>0</v>
      </c>
      <c r="AA149" s="28">
        <f t="shared" si="115"/>
        <v>0</v>
      </c>
      <c r="AC149" s="28">
        <f t="shared" si="105"/>
        <v>0</v>
      </c>
      <c r="AD149" s="28">
        <f t="shared" si="116"/>
        <v>0</v>
      </c>
      <c r="AE149" s="28">
        <f t="shared" si="117"/>
        <v>0</v>
      </c>
      <c r="AF149" s="28">
        <f t="shared" si="118"/>
        <v>0</v>
      </c>
      <c r="AH149" s="32">
        <f t="shared" si="101"/>
        <v>0</v>
      </c>
      <c r="AI149" s="32">
        <f t="shared" si="119"/>
        <v>0</v>
      </c>
      <c r="AJ149" s="32">
        <f t="shared" si="119"/>
        <v>0</v>
      </c>
      <c r="AK149" s="32">
        <f t="shared" si="120"/>
        <v>0</v>
      </c>
      <c r="AL149" s="32"/>
      <c r="BD149" s="31"/>
      <c r="BE149" s="31"/>
      <c r="BF149" s="31"/>
      <c r="BG149" s="31"/>
      <c r="BH149" s="31"/>
      <c r="BI149" s="31"/>
      <c r="BJ149" s="31"/>
      <c r="BK149" s="31"/>
      <c r="BL149" s="31"/>
      <c r="BM149" s="31"/>
      <c r="BN149" s="31"/>
      <c r="CB149" s="31"/>
      <c r="CG149" s="31"/>
    </row>
    <row r="150" spans="1:85" ht="12.75" customHeight="1" x14ac:dyDescent="0.2">
      <c r="A150" s="28">
        <f t="shared" si="60"/>
        <v>0</v>
      </c>
      <c r="B150" s="426"/>
      <c r="C150" s="427" t="s">
        <v>363</v>
      </c>
      <c r="D150" s="431"/>
      <c r="E150" s="223"/>
      <c r="F150" s="223"/>
      <c r="G150" s="365"/>
      <c r="H150" s="432"/>
      <c r="I150" s="365"/>
      <c r="J150" s="368">
        <f t="shared" si="84"/>
        <v>0</v>
      </c>
      <c r="K150" s="223"/>
      <c r="L150" s="405">
        <f t="shared" si="106"/>
        <v>0</v>
      </c>
      <c r="M150" s="405">
        <f t="shared" si="107"/>
        <v>0</v>
      </c>
      <c r="N150" s="405">
        <f t="shared" si="108"/>
        <v>0</v>
      </c>
      <c r="O150" s="1155"/>
      <c r="P150" s="406" t="str">
        <f t="shared" si="63"/>
        <v/>
      </c>
      <c r="Q150" s="50"/>
      <c r="R150" s="3"/>
      <c r="S150" s="28">
        <f t="shared" si="88"/>
        <v>0</v>
      </c>
      <c r="T150" s="28">
        <f t="shared" si="109"/>
        <v>0</v>
      </c>
      <c r="U150" s="30">
        <f t="shared" si="110"/>
        <v>0</v>
      </c>
      <c r="V150" s="40">
        <f t="shared" ref="V150:V181" si="121">IF(ISBLANK(B150),0,VLOOKUP($B150,$B$322:$C$343,2,FALSE))</f>
      </c>
      <c r="W150" s="32">
        <f t="shared" si="111"/>
        <v>0</v>
      </c>
      <c r="X150" s="28">
        <f t="shared" si="112"/>
        <v>0</v>
      </c>
      <c r="Y150" s="28">
        <f t="shared" si="113"/>
        <v>0</v>
      </c>
      <c r="Z150" s="28">
        <f t="shared" si="114"/>
        <v>0</v>
      </c>
      <c r="AA150" s="28">
        <f t="shared" si="115"/>
        <v>0</v>
      </c>
      <c r="AC150" s="28">
        <f t="shared" si="105"/>
        <v>0</v>
      </c>
      <c r="AD150" s="28">
        <f t="shared" si="116"/>
        <v>0</v>
      </c>
      <c r="AE150" s="28">
        <f t="shared" si="117"/>
        <v>0</v>
      </c>
      <c r="AF150" s="28">
        <f t="shared" si="118"/>
        <v>0</v>
      </c>
      <c r="AH150" s="32">
        <f t="shared" si="101"/>
        <v>0</v>
      </c>
      <c r="AI150" s="32">
        <f t="shared" si="119"/>
        <v>0</v>
      </c>
      <c r="AJ150" s="32">
        <f t="shared" si="119"/>
        <v>0</v>
      </c>
      <c r="AK150" s="32">
        <f t="shared" si="120"/>
        <v>0</v>
      </c>
      <c r="AL150" s="32"/>
      <c r="BD150" s="31"/>
      <c r="BE150" s="31"/>
      <c r="BF150" s="31"/>
      <c r="BG150" s="31"/>
      <c r="BH150" s="31"/>
      <c r="BI150" s="31"/>
      <c r="BJ150" s="31"/>
      <c r="BK150" s="31"/>
      <c r="BL150" s="31"/>
      <c r="BM150" s="31"/>
      <c r="BN150" s="31"/>
      <c r="CB150" s="31"/>
      <c r="CG150" s="31"/>
    </row>
    <row r="151" spans="1:85" ht="12.75" customHeight="1" x14ac:dyDescent="0.2">
      <c r="A151" s="28">
        <f t="shared" si="60"/>
        <v>0</v>
      </c>
      <c r="B151" s="426"/>
      <c r="C151" s="427" t="s">
        <v>363</v>
      </c>
      <c r="D151" s="431"/>
      <c r="E151" s="223"/>
      <c r="F151" s="223"/>
      <c r="G151" s="365"/>
      <c r="H151" s="432"/>
      <c r="I151" s="365"/>
      <c r="J151" s="368">
        <f t="shared" ref="J151:J170" si="122">IF(I151="",0,IF($D151=$Q$1,0,AC151))</f>
      </c>
      <c r="K151" s="223"/>
      <c r="L151" s="405">
        <f t="shared" ref="L151:L170" si="123">IF(T151=0,0,IF(W151&lt;0,0,W151))</f>
      </c>
      <c r="M151" s="405">
        <f t="shared" ref="M151:M170" si="124">IF(T151=0,0,Z151)</f>
      </c>
      <c r="N151" s="405">
        <f t="shared" ref="N151:N170" si="125">IF(T151=0,0,IF(AA151&gt;=0,AA151,0))</f>
      </c>
      <c r="O151" s="1155"/>
      <c r="P151" s="406" t="str">
        <f t="shared" si="63"/>
        <v/>
      </c>
      <c r="Q151" s="50"/>
      <c r="R151" s="3"/>
      <c r="S151" s="28">
        <f t="shared" ref="S151:S170" si="126">IF(P151="",0,1)</f>
      </c>
      <c r="T151" s="28">
        <f t="shared" ref="T151:T170" si="127">IF(ISERROR(V151),4,V151)</f>
      </c>
      <c r="U151" s="30">
        <f t="shared" ref="U151:U170" si="128">IF($Z$1=1,K151,IF(ISBLANK(K151),T151,IF(K151=0,0,IF(K151&gt;T151,K151,T151))))</f>
      </c>
      <c r="V151" s="40">
        <f t="shared" si="121"/>
        <v>0</v>
      </c>
      <c r="W151" s="32">
        <f t="shared" ref="W151:W170" si="129">IF(D151=$Q$1,(G151+H151),E151-I151)</f>
      </c>
      <c r="X151" s="28">
        <f t="shared" ref="X151:X170" si="130">IF(D151=$Q$1,W151,F151-AC151)</f>
      </c>
      <c r="Y151" s="28">
        <f t="shared" ref="Y151:Y170" si="131">IF(U151=0,0,W151/U151)</f>
      </c>
      <c r="Z151" s="28">
        <f t="shared" ref="Z151:Z170" si="132">IF(Y151&lt;0,0,IF(Y151&gt;X151,X151,Y151))</f>
      </c>
      <c r="AA151" s="28">
        <f t="shared" ref="AA151:AA170" si="133">X151-Z151</f>
      </c>
      <c r="AC151" s="28">
        <f t="shared" ref="AC151:AC170" si="134">IF(T151=0,0,IF(D151=$Q$1,0,IF(AD151&lt;&gt;2,0,ROUND(F151*I151/E151,0))))</f>
      </c>
      <c r="AD151" s="28">
        <f t="shared" ref="AD151:AD170" si="135">SUM(AE151:AF151)</f>
      </c>
      <c r="AE151" s="28">
        <f t="shared" ref="AE151:AE170" si="136">IF(ISBLANK(F151),0,1)</f>
      </c>
      <c r="AF151" s="28">
        <f t="shared" ref="AF151:AF170" si="137">IF(ISBLANK(E151),0,1)</f>
      </c>
      <c r="AH151" s="32">
        <f t="shared" ref="AH151:AH171" si="138">IF(I151&gt;0,AH150+1,AH150)</f>
      </c>
      <c r="AI151" s="32">
        <f t="shared" ref="AI151:AI170" si="139">E151</f>
      </c>
      <c r="AJ151" s="32">
        <f t="shared" ref="AJ151:AJ170" si="140">F151</f>
      </c>
      <c r="AK151" s="32">
        <f t="shared" ref="AK151:AK170" si="141">IF($D151=$Q$1,0,E151)</f>
      </c>
      <c r="AL151" s="32"/>
      <c r="BD151" s="31"/>
      <c r="BE151" s="31"/>
      <c r="BF151" s="31"/>
      <c r="BG151" s="31"/>
      <c r="BH151" s="31"/>
      <c r="BI151" s="31"/>
      <c r="BJ151" s="31"/>
      <c r="BK151" s="31"/>
      <c r="BL151" s="31"/>
      <c r="BM151" s="31"/>
      <c r="BN151" s="31"/>
      <c r="CB151" s="31"/>
      <c r="CG151" s="31"/>
    </row>
    <row r="152" spans="1:85" ht="12.75" customHeight="1" x14ac:dyDescent="0.2">
      <c r="A152" s="28">
        <f t="shared" si="60"/>
        <v>0</v>
      </c>
      <c r="B152" s="426"/>
      <c r="C152" s="427" t="s">
        <v>363</v>
      </c>
      <c r="D152" s="431"/>
      <c r="E152" s="223"/>
      <c r="F152" s="223"/>
      <c r="G152" s="365"/>
      <c r="H152" s="432"/>
      <c r="I152" s="365"/>
      <c r="J152" s="368">
        <f t="shared" si="122"/>
        <v>0</v>
      </c>
      <c r="K152" s="223"/>
      <c r="L152" s="405">
        <f t="shared" si="123"/>
        <v>0</v>
      </c>
      <c r="M152" s="405">
        <f t="shared" si="124"/>
        <v>0</v>
      </c>
      <c r="N152" s="405">
        <f t="shared" si="125"/>
        <v>0</v>
      </c>
      <c r="O152" s="1155"/>
      <c r="P152" s="406" t="str">
        <f t="shared" si="63"/>
        <v/>
      </c>
      <c r="Q152" s="50"/>
      <c r="R152" s="3"/>
      <c r="S152" s="28">
        <f t="shared" si="126"/>
        <v>0</v>
      </c>
      <c r="T152" s="28">
        <f t="shared" si="127"/>
        <v>0</v>
      </c>
      <c r="U152" s="30">
        <f t="shared" si="128"/>
        <v>0</v>
      </c>
      <c r="V152" s="40">
        <f t="shared" si="121"/>
        <v>0</v>
      </c>
      <c r="W152" s="32">
        <f t="shared" si="129"/>
        <v>0</v>
      </c>
      <c r="X152" s="28">
        <f t="shared" si="130"/>
        <v>0</v>
      </c>
      <c r="Y152" s="28">
        <f t="shared" si="131"/>
        <v>0</v>
      </c>
      <c r="Z152" s="28">
        <f t="shared" si="132"/>
        <v>0</v>
      </c>
      <c r="AA152" s="28">
        <f t="shared" si="133"/>
        <v>0</v>
      </c>
      <c r="AC152" s="28">
        <f t="shared" si="134"/>
        <v>0</v>
      </c>
      <c r="AD152" s="28">
        <f t="shared" si="135"/>
        <v>0</v>
      </c>
      <c r="AE152" s="28">
        <f t="shared" si="136"/>
        <v>0</v>
      </c>
      <c r="AF152" s="28">
        <f t="shared" si="137"/>
        <v>0</v>
      </c>
      <c r="AH152" s="32">
        <f t="shared" si="138"/>
        <v>0</v>
      </c>
      <c r="AI152" s="32">
        <f t="shared" si="139"/>
        <v>0</v>
      </c>
      <c r="AJ152" s="32">
        <f t="shared" si="140"/>
        <v>0</v>
      </c>
      <c r="AK152" s="32">
        <f t="shared" si="141"/>
        <v>0</v>
      </c>
      <c r="AL152" s="32"/>
      <c r="BD152" s="31"/>
      <c r="BE152" s="31"/>
      <c r="BF152" s="31"/>
      <c r="BG152" s="31"/>
      <c r="BH152" s="31"/>
      <c r="BI152" s="31"/>
      <c r="BJ152" s="31"/>
      <c r="BK152" s="31"/>
      <c r="BL152" s="31"/>
      <c r="BM152" s="31"/>
      <c r="BN152" s="31"/>
      <c r="CB152" s="31"/>
      <c r="CG152" s="31"/>
    </row>
    <row r="153" spans="1:85" ht="12.75" customHeight="1" x14ac:dyDescent="0.2">
      <c r="A153" s="28">
        <f t="shared" si="60"/>
        <v>0</v>
      </c>
      <c r="B153" s="426"/>
      <c r="C153" s="427" t="s">
        <v>363</v>
      </c>
      <c r="D153" s="431"/>
      <c r="E153" s="223"/>
      <c r="F153" s="223"/>
      <c r="G153" s="365"/>
      <c r="H153" s="432"/>
      <c r="I153" s="365"/>
      <c r="J153" s="368">
        <f>IF(I153="",0,IF($D153=$Q$1,0,AC153))</f>
      </c>
      <c r="K153" s="223"/>
      <c r="L153" s="405">
        <f>IF(T153=0,0,IF(W153&lt;0,0,W153))</f>
      </c>
      <c r="M153" s="405">
        <f>IF(T153=0,0,Z153)</f>
      </c>
      <c r="N153" s="405">
        <f>IF(T153=0,0,IF(AA153&gt;=0,AA153,0))</f>
      </c>
      <c r="O153" s="1155"/>
      <c r="P153" s="406" t="str">
        <f t="shared" si="63"/>
        <v/>
      </c>
      <c r="Q153" s="50"/>
      <c r="R153" s="3"/>
      <c r="S153" s="28">
        <f>IF(P153="",0,1)</f>
      </c>
      <c r="T153" s="28">
        <f>IF(ISERROR(V153),4,V153)</f>
      </c>
      <c r="U153" s="30">
        <f>IF($Z$1=1,K153,IF(ISBLANK(K153),T153,IF(K153=0,0,IF(K153&gt;T153,K153,T153))))</f>
      </c>
      <c r="V153" s="40">
        <f t="shared" si="121"/>
        <v>0</v>
      </c>
      <c r="W153" s="32">
        <f>IF(D153=$Q$1,(G153+H153),E153-I153)</f>
      </c>
      <c r="X153" s="28">
        <f>IF(D153=$Q$1,W153,F153-AC153)</f>
      </c>
      <c r="Y153" s="28">
        <f>IF(U153=0,0,W153/U153)</f>
      </c>
      <c r="Z153" s="28">
        <f>IF(Y153&lt;0,0,IF(Y153&gt;X153,X153,Y153))</f>
      </c>
      <c r="AA153" s="28">
        <f>X153-Z153</f>
      </c>
      <c r="AC153" s="28">
        <f>IF(T153=0,0,IF(D153=$Q$1,0,IF(AD153&lt;&gt;2,0,ROUND(F153*I153/E153,0))))</f>
      </c>
      <c r="AD153" s="28">
        <f>SUM(AE153:AF153)</f>
      </c>
      <c r="AE153" s="28">
        <f>IF(ISBLANK(F153),0,1)</f>
      </c>
      <c r="AF153" s="28">
        <f>IF(ISBLANK(E153),0,1)</f>
      </c>
      <c r="AH153" s="32">
        <f t="shared" ref="AH153:AH158" si="142">IF(I153&gt;0,AH152+1,AH152)</f>
      </c>
      <c r="AI153" s="32">
        <f t="shared" ref="AI153:AJ157" si="143">E153</f>
      </c>
      <c r="AJ153" s="32">
        <f t="shared" si="143"/>
        <v>0</v>
      </c>
      <c r="AK153" s="32">
        <f>IF($D153=$Q$1,0,E153)</f>
      </c>
      <c r="AL153" s="32"/>
      <c r="BD153" s="31"/>
      <c r="BE153" s="31"/>
      <c r="BF153" s="31"/>
      <c r="BG153" s="31"/>
      <c r="BH153" s="31"/>
      <c r="BI153" s="31"/>
      <c r="BJ153" s="31"/>
      <c r="BK153" s="31"/>
      <c r="BL153" s="31"/>
      <c r="BM153" s="31"/>
      <c r="BN153" s="31"/>
      <c r="CB153" s="31"/>
      <c r="CG153" s="31"/>
    </row>
    <row r="154" spans="1:85" ht="12.75" customHeight="1" x14ac:dyDescent="0.2">
      <c r="A154" s="28">
        <f t="shared" si="60"/>
        <v>0</v>
      </c>
      <c r="B154" s="426"/>
      <c r="C154" s="427" t="s">
        <v>363</v>
      </c>
      <c r="D154" s="431"/>
      <c r="E154" s="223"/>
      <c r="F154" s="223"/>
      <c r="G154" s="365"/>
      <c r="H154" s="432"/>
      <c r="I154" s="365"/>
      <c r="J154" s="368">
        <f>IF(I154="",0,IF($D154=$Q$1,0,AC154))</f>
      </c>
      <c r="K154" s="223"/>
      <c r="L154" s="405">
        <f>IF(T154=0,0,IF(W154&lt;0,0,W154))</f>
      </c>
      <c r="M154" s="405">
        <f>IF(T154=0,0,Z154)</f>
      </c>
      <c r="N154" s="405">
        <f>IF(T154=0,0,IF(AA154&gt;=0,AA154,0))</f>
      </c>
      <c r="O154" s="1155"/>
      <c r="P154" s="406" t="str">
        <f t="shared" si="63"/>
        <v/>
      </c>
      <c r="Q154" s="50"/>
      <c r="R154" s="3"/>
      <c r="S154" s="28">
        <f>IF(P154="",0,1)</f>
      </c>
      <c r="T154" s="28">
        <f>IF(ISERROR(V154),4,V154)</f>
      </c>
      <c r="U154" s="30">
        <f>IF($Z$1=1,K154,IF(ISBLANK(K154),T154,IF(K154=0,0,IF(K154&gt;T154,K154,T154))))</f>
      </c>
      <c r="V154" s="40">
        <f t="shared" si="121"/>
        <v>0</v>
      </c>
      <c r="W154" s="32">
        <f>IF(D154=$Q$1,(G154+H154),E154-I154)</f>
      </c>
      <c r="X154" s="28">
        <f>IF(D154=$Q$1,W154,F154-AC154)</f>
      </c>
      <c r="Y154" s="28">
        <f>IF(U154=0,0,W154/U154)</f>
      </c>
      <c r="Z154" s="28">
        <f>IF(Y154&lt;0,0,IF(Y154&gt;X154,X154,Y154))</f>
      </c>
      <c r="AA154" s="28">
        <f>X154-Z154</f>
      </c>
      <c r="AC154" s="28">
        <f>IF(T154=0,0,IF(D154=$Q$1,0,IF(AD154&lt;&gt;2,0,ROUND(F154*I154/E154,0))))</f>
      </c>
      <c r="AD154" s="28">
        <f>SUM(AE154:AF154)</f>
      </c>
      <c r="AE154" s="28">
        <f>IF(ISBLANK(F154),0,1)</f>
      </c>
      <c r="AF154" s="28">
        <f>IF(ISBLANK(E154),0,1)</f>
      </c>
      <c r="AH154" s="32">
        <f t="shared" si="142"/>
        <v>0</v>
      </c>
      <c r="AI154" s="32">
        <f t="shared" si="143"/>
        <v>0</v>
      </c>
      <c r="AJ154" s="32">
        <f t="shared" si="143"/>
        <v>0</v>
      </c>
      <c r="AK154" s="32">
        <f>IF($D154=$Q$1,0,E154)</f>
      </c>
      <c r="AL154" s="32"/>
      <c r="BD154" s="31"/>
      <c r="BE154" s="31"/>
      <c r="BF154" s="31"/>
      <c r="BG154" s="31"/>
      <c r="BH154" s="31"/>
      <c r="BI154" s="31"/>
      <c r="BJ154" s="31"/>
      <c r="BK154" s="31"/>
      <c r="BL154" s="31"/>
      <c r="BM154" s="31"/>
      <c r="BN154" s="31"/>
      <c r="CB154" s="31"/>
      <c r="CG154" s="31"/>
    </row>
    <row r="155" spans="1:85" ht="12.75" customHeight="1" x14ac:dyDescent="0.2">
      <c r="A155" s="28">
        <f t="shared" si="60"/>
        <v>0</v>
      </c>
      <c r="B155" s="426"/>
      <c r="C155" s="427" t="s">
        <v>363</v>
      </c>
      <c r="D155" s="431"/>
      <c r="E155" s="223"/>
      <c r="F155" s="223"/>
      <c r="G155" s="365"/>
      <c r="H155" s="432"/>
      <c r="I155" s="365"/>
      <c r="J155" s="368">
        <f>IF(I155="",0,IF($D155=$Q$1,0,AC155))</f>
      </c>
      <c r="K155" s="223"/>
      <c r="L155" s="405">
        <f>IF(T155=0,0,IF(W155&lt;0,0,W155))</f>
      </c>
      <c r="M155" s="405">
        <f>IF(T155=0,0,Z155)</f>
      </c>
      <c r="N155" s="405">
        <f>IF(T155=0,0,IF(AA155&gt;=0,AA155,0))</f>
      </c>
      <c r="O155" s="1155"/>
      <c r="P155" s="406" t="str">
        <f t="shared" si="63"/>
        <v/>
      </c>
      <c r="Q155" s="50"/>
      <c r="R155" s="3"/>
      <c r="S155" s="28">
        <f>IF(P155="",0,1)</f>
      </c>
      <c r="T155" s="28">
        <f>IF(ISERROR(V155),4,V155)</f>
      </c>
      <c r="U155" s="30">
        <f>IF($Z$1=1,K155,IF(ISBLANK(K155),T155,IF(K155=0,0,IF(K155&gt;T155,K155,T155))))</f>
      </c>
      <c r="V155" s="40">
        <f t="shared" si="121"/>
        <v>0</v>
      </c>
      <c r="W155" s="32">
        <f>IF(D155=$Q$1,(G155+H155),E155-I155)</f>
      </c>
      <c r="X155" s="28">
        <f>IF(D155=$Q$1,W155,F155-AC155)</f>
      </c>
      <c r="Y155" s="28">
        <f>IF(U155=0,0,W155/U155)</f>
      </c>
      <c r="Z155" s="28">
        <f>IF(Y155&lt;0,0,IF(Y155&gt;X155,X155,Y155))</f>
      </c>
      <c r="AA155" s="28">
        <f>X155-Z155</f>
      </c>
      <c r="AC155" s="28">
        <f>IF(T155=0,0,IF(D155=$Q$1,0,IF(AD155&lt;&gt;2,0,ROUND(F155*I155/E155,0))))</f>
      </c>
      <c r="AD155" s="28">
        <f>SUM(AE155:AF155)</f>
      </c>
      <c r="AE155" s="28">
        <f>IF(ISBLANK(F155),0,1)</f>
      </c>
      <c r="AF155" s="28">
        <f>IF(ISBLANK(E155),0,1)</f>
      </c>
      <c r="AH155" s="32">
        <f t="shared" si="142"/>
        <v>0</v>
      </c>
      <c r="AI155" s="32">
        <f t="shared" si="143"/>
        <v>0</v>
      </c>
      <c r="AJ155" s="32">
        <f t="shared" si="143"/>
        <v>0</v>
      </c>
      <c r="AK155" s="32">
        <f>IF($D155=$Q$1,0,E155)</f>
      </c>
      <c r="AL155" s="32"/>
      <c r="BD155" s="31"/>
      <c r="BE155" s="31"/>
      <c r="BF155" s="31"/>
      <c r="BG155" s="31"/>
      <c r="BH155" s="31"/>
      <c r="BI155" s="31"/>
      <c r="BJ155" s="31"/>
      <c r="BK155" s="31"/>
      <c r="BL155" s="31"/>
      <c r="BM155" s="31"/>
      <c r="BN155" s="31"/>
      <c r="CB155" s="31"/>
      <c r="CG155" s="31"/>
    </row>
    <row r="156" spans="1:85" ht="12.75" customHeight="1" x14ac:dyDescent="0.2">
      <c r="A156" s="28">
        <f t="shared" si="60"/>
        <v>0</v>
      </c>
      <c r="B156" s="426"/>
      <c r="C156" s="427" t="s">
        <v>363</v>
      </c>
      <c r="D156" s="431"/>
      <c r="E156" s="223"/>
      <c r="F156" s="223"/>
      <c r="G156" s="365"/>
      <c r="H156" s="432"/>
      <c r="I156" s="365"/>
      <c r="J156" s="368">
        <f>IF(I156="",0,IF($D156=$Q$1,0,AC156))</f>
      </c>
      <c r="K156" s="223"/>
      <c r="L156" s="405">
        <f>IF(T156=0,0,IF(W156&lt;0,0,W156))</f>
      </c>
      <c r="M156" s="405">
        <f>IF(T156=0,0,Z156)</f>
      </c>
      <c r="N156" s="405">
        <f>IF(T156=0,0,IF(AA156&gt;=0,AA156,0))</f>
      </c>
      <c r="O156" s="1155"/>
      <c r="P156" s="406" t="str">
        <f t="shared" si="63"/>
        <v/>
      </c>
      <c r="Q156" s="50"/>
      <c r="R156" s="3"/>
      <c r="S156" s="28">
        <f>IF(P156="",0,1)</f>
      </c>
      <c r="T156" s="28">
        <f>IF(ISERROR(V156),4,V156)</f>
      </c>
      <c r="U156" s="30">
        <f>IF($Z$1=1,K156,IF(ISBLANK(K156),T156,IF(K156=0,0,IF(K156&gt;T156,K156,T156))))</f>
      </c>
      <c r="V156" s="40">
        <f t="shared" si="121"/>
        <v>0</v>
      </c>
      <c r="W156" s="32">
        <f>IF(D156=$Q$1,(G156+H156),E156-I156)</f>
      </c>
      <c r="X156" s="28">
        <f>IF(D156=$Q$1,W156,F156-AC156)</f>
      </c>
      <c r="Y156" s="28">
        <f>IF(U156=0,0,W156/U156)</f>
      </c>
      <c r="Z156" s="28">
        <f>IF(Y156&lt;0,0,IF(Y156&gt;X156,X156,Y156))</f>
      </c>
      <c r="AA156" s="28">
        <f>X156-Z156</f>
      </c>
      <c r="AC156" s="28">
        <f>IF(T156=0,0,IF(D156=$Q$1,0,IF(AD156&lt;&gt;2,0,ROUND(F156*I156/E156,0))))</f>
      </c>
      <c r="AD156" s="28">
        <f>SUM(AE156:AF156)</f>
      </c>
      <c r="AE156" s="28">
        <f>IF(ISBLANK(F156),0,1)</f>
      </c>
      <c r="AF156" s="28">
        <f>IF(ISBLANK(E156),0,1)</f>
      </c>
      <c r="AH156" s="32">
        <f t="shared" si="142"/>
        <v>0</v>
      </c>
      <c r="AI156" s="32">
        <f t="shared" si="143"/>
        <v>0</v>
      </c>
      <c r="AJ156" s="32">
        <f t="shared" si="143"/>
        <v>0</v>
      </c>
      <c r="AK156" s="32">
        <f>IF($D156=$Q$1,0,E156)</f>
      </c>
      <c r="AL156" s="32"/>
      <c r="BD156" s="31"/>
      <c r="BE156" s="31"/>
      <c r="BF156" s="31"/>
      <c r="BG156" s="31"/>
      <c r="BH156" s="31"/>
      <c r="BI156" s="31"/>
      <c r="BJ156" s="31"/>
      <c r="BK156" s="31"/>
      <c r="BL156" s="31"/>
      <c r="BM156" s="31"/>
      <c r="BN156" s="31"/>
      <c r="CB156" s="31"/>
      <c r="CG156" s="31"/>
    </row>
    <row r="157" spans="1:85" ht="12.75" customHeight="1" x14ac:dyDescent="0.2">
      <c r="A157" s="28">
        <f t="shared" si="60"/>
        <v>0</v>
      </c>
      <c r="B157" s="426"/>
      <c r="C157" s="427" t="s">
        <v>363</v>
      </c>
      <c r="D157" s="431"/>
      <c r="E157" s="223"/>
      <c r="F157" s="223"/>
      <c r="G157" s="365"/>
      <c r="H157" s="432"/>
      <c r="I157" s="365"/>
      <c r="J157" s="368">
        <f>IF(I157="",0,IF($D157=$Q$1,0,AC157))</f>
      </c>
      <c r="K157" s="223"/>
      <c r="L157" s="405">
        <f>IF(T157=0,0,IF(W157&lt;0,0,W157))</f>
      </c>
      <c r="M157" s="405">
        <f>IF(T157=0,0,Z157)</f>
      </c>
      <c r="N157" s="405">
        <f>IF(T157=0,0,IF(AA157&gt;=0,AA157,0))</f>
      </c>
      <c r="O157" s="1155"/>
      <c r="P157" s="406" t="str">
        <f t="shared" si="63"/>
        <v/>
      </c>
      <c r="Q157" s="50"/>
      <c r="R157" s="3"/>
      <c r="S157" s="28">
        <f>IF(P157="",0,1)</f>
      </c>
      <c r="T157" s="28">
        <f>IF(ISERROR(V157),4,V157)</f>
      </c>
      <c r="U157" s="30">
        <f>IF($Z$1=1,K157,IF(ISBLANK(K157),T157,IF(K157=0,0,IF(K157&gt;T157,K157,T157))))</f>
      </c>
      <c r="V157" s="40">
        <f t="shared" si="121"/>
        <v>0</v>
      </c>
      <c r="W157" s="32">
        <f>IF(D157=$Q$1,(G157+H157),E157-I157)</f>
      </c>
      <c r="X157" s="28">
        <f>IF(D157=$Q$1,W157,F157-AC157)</f>
      </c>
      <c r="Y157" s="28">
        <f>IF(U157=0,0,W157/U157)</f>
      </c>
      <c r="Z157" s="28">
        <f>IF(Y157&lt;0,0,IF(Y157&gt;X157,X157,Y157))</f>
      </c>
      <c r="AA157" s="28">
        <f>X157-Z157</f>
      </c>
      <c r="AC157" s="28">
        <f>IF(T157=0,0,IF(D157=$Q$1,0,IF(AD157&lt;&gt;2,0,ROUND(F157*I157/E157,0))))</f>
      </c>
      <c r="AD157" s="28">
        <f>SUM(AE157:AF157)</f>
      </c>
      <c r="AE157" s="28">
        <f>IF(ISBLANK(F157),0,1)</f>
      </c>
      <c r="AF157" s="28">
        <f>IF(ISBLANK(E157),0,1)</f>
      </c>
      <c r="AH157" s="32">
        <f t="shared" si="142"/>
        <v>0</v>
      </c>
      <c r="AI157" s="32">
        <f t="shared" si="143"/>
        <v>0</v>
      </c>
      <c r="AJ157" s="32">
        <f t="shared" si="143"/>
        <v>0</v>
      </c>
      <c r="AK157" s="32">
        <f>IF($D157=$Q$1,0,E157)</f>
      </c>
      <c r="AL157" s="32"/>
      <c r="BD157" s="31"/>
      <c r="BE157" s="31"/>
      <c r="BF157" s="31"/>
      <c r="BG157" s="31"/>
      <c r="BH157" s="31"/>
      <c r="BI157" s="31"/>
      <c r="BJ157" s="31"/>
      <c r="BK157" s="31"/>
      <c r="BL157" s="31"/>
      <c r="BM157" s="31"/>
      <c r="BN157" s="31"/>
      <c r="CB157" s="31"/>
      <c r="CG157" s="31"/>
    </row>
    <row r="158" spans="1:85" ht="12.75" customHeight="1" x14ac:dyDescent="0.2">
      <c r="A158" s="28">
        <f t="shared" si="60"/>
        <v>0</v>
      </c>
      <c r="B158" s="426"/>
      <c r="C158" s="427" t="s">
        <v>363</v>
      </c>
      <c r="D158" s="431"/>
      <c r="E158" s="223"/>
      <c r="F158" s="223"/>
      <c r="G158" s="365"/>
      <c r="H158" s="432"/>
      <c r="I158" s="365"/>
      <c r="J158" s="368">
        <f t="shared" si="122"/>
        <v>0</v>
      </c>
      <c r="K158" s="223"/>
      <c r="L158" s="405">
        <f t="shared" si="123"/>
        <v>0</v>
      </c>
      <c r="M158" s="405">
        <f t="shared" si="124"/>
        <v>0</v>
      </c>
      <c r="N158" s="405">
        <f t="shared" si="125"/>
        <v>0</v>
      </c>
      <c r="O158" s="1155"/>
      <c r="P158" s="406" t="str">
        <f t="shared" si="63"/>
        <v/>
      </c>
      <c r="Q158" s="50"/>
      <c r="R158" s="3"/>
      <c r="S158" s="28">
        <f t="shared" si="126"/>
        <v>0</v>
      </c>
      <c r="T158" s="28">
        <f t="shared" si="127"/>
        <v>0</v>
      </c>
      <c r="U158" s="30">
        <f t="shared" si="128"/>
        <v>0</v>
      </c>
      <c r="V158" s="40">
        <f t="shared" si="121"/>
        <v>0</v>
      </c>
      <c r="W158" s="32">
        <f t="shared" si="129"/>
        <v>0</v>
      </c>
      <c r="X158" s="28">
        <f t="shared" si="130"/>
        <v>0</v>
      </c>
      <c r="Y158" s="28">
        <f t="shared" si="131"/>
        <v>0</v>
      </c>
      <c r="Z158" s="28">
        <f t="shared" si="132"/>
        <v>0</v>
      </c>
      <c r="AA158" s="28">
        <f t="shared" si="133"/>
        <v>0</v>
      </c>
      <c r="AC158" s="28">
        <f t="shared" si="134"/>
        <v>0</v>
      </c>
      <c r="AD158" s="28">
        <f t="shared" si="135"/>
        <v>0</v>
      </c>
      <c r="AE158" s="28">
        <f t="shared" si="136"/>
        <v>0</v>
      </c>
      <c r="AF158" s="28">
        <f t="shared" si="137"/>
        <v>0</v>
      </c>
      <c r="AH158" s="32">
        <f t="shared" si="142"/>
        <v>0</v>
      </c>
      <c r="AI158" s="32">
        <f t="shared" si="139"/>
        <v>0</v>
      </c>
      <c r="AJ158" s="32">
        <f t="shared" si="140"/>
        <v>0</v>
      </c>
      <c r="AK158" s="32">
        <f t="shared" si="141"/>
        <v>0</v>
      </c>
      <c r="AL158" s="32"/>
      <c r="BD158" s="31"/>
      <c r="BE158" s="31"/>
      <c r="BF158" s="31"/>
      <c r="BG158" s="31"/>
      <c r="BH158" s="31"/>
      <c r="BI158" s="31"/>
      <c r="BJ158" s="31"/>
      <c r="BK158" s="31"/>
      <c r="BL158" s="31"/>
      <c r="BM158" s="31"/>
      <c r="BN158" s="31"/>
      <c r="CB158" s="31"/>
      <c r="CG158" s="31"/>
    </row>
    <row r="159" spans="1:85" ht="12.75" customHeight="1" x14ac:dyDescent="0.2">
      <c r="A159" s="28">
        <f t="shared" si="60"/>
        <v>0</v>
      </c>
      <c r="B159" s="426"/>
      <c r="C159" s="427" t="s">
        <v>363</v>
      </c>
      <c r="D159" s="431"/>
      <c r="E159" s="223"/>
      <c r="F159" s="223"/>
      <c r="G159" s="365"/>
      <c r="H159" s="432"/>
      <c r="I159" s="365"/>
      <c r="J159" s="368">
        <f t="shared" si="122"/>
        <v>0</v>
      </c>
      <c r="K159" s="223"/>
      <c r="L159" s="405">
        <f t="shared" si="123"/>
        <v>0</v>
      </c>
      <c r="M159" s="405">
        <f t="shared" si="124"/>
        <v>0</v>
      </c>
      <c r="N159" s="405">
        <f t="shared" si="125"/>
        <v>0</v>
      </c>
      <c r="O159" s="1155"/>
      <c r="P159" s="406" t="str">
        <f t="shared" si="63"/>
        <v/>
      </c>
      <c r="Q159" s="50"/>
      <c r="R159" s="3"/>
      <c r="S159" s="28">
        <f t="shared" si="126"/>
        <v>0</v>
      </c>
      <c r="T159" s="28">
        <f t="shared" si="127"/>
        <v>0</v>
      </c>
      <c r="U159" s="30">
        <f t="shared" si="128"/>
        <v>0</v>
      </c>
      <c r="V159" s="40">
        <f t="shared" si="121"/>
        <v>0</v>
      </c>
      <c r="W159" s="32">
        <f t="shared" si="129"/>
        <v>0</v>
      </c>
      <c r="X159" s="28">
        <f t="shared" si="130"/>
        <v>0</v>
      </c>
      <c r="Y159" s="28">
        <f t="shared" si="131"/>
        <v>0</v>
      </c>
      <c r="Z159" s="28">
        <f t="shared" si="132"/>
        <v>0</v>
      </c>
      <c r="AA159" s="28">
        <f t="shared" si="133"/>
        <v>0</v>
      </c>
      <c r="AC159" s="28">
        <f t="shared" si="134"/>
        <v>0</v>
      </c>
      <c r="AD159" s="28">
        <f t="shared" si="135"/>
        <v>0</v>
      </c>
      <c r="AE159" s="28">
        <f t="shared" si="136"/>
        <v>0</v>
      </c>
      <c r="AF159" s="28">
        <f t="shared" si="137"/>
        <v>0</v>
      </c>
      <c r="AH159" s="32">
        <f t="shared" si="138"/>
        <v>0</v>
      </c>
      <c r="AI159" s="32">
        <f t="shared" si="139"/>
        <v>0</v>
      </c>
      <c r="AJ159" s="32">
        <f t="shared" si="140"/>
        <v>0</v>
      </c>
      <c r="AK159" s="32">
        <f t="shared" si="141"/>
        <v>0</v>
      </c>
      <c r="AL159" s="32"/>
      <c r="BD159" s="31"/>
      <c r="BE159" s="31"/>
      <c r="BF159" s="31"/>
      <c r="BG159" s="31"/>
      <c r="BH159" s="31"/>
      <c r="BI159" s="31"/>
      <c r="BJ159" s="31"/>
      <c r="BK159" s="31"/>
      <c r="BL159" s="31"/>
      <c r="BM159" s="31"/>
      <c r="BN159" s="31"/>
      <c r="CB159" s="31"/>
      <c r="CG159" s="31"/>
    </row>
    <row r="160" spans="1:85" ht="12.75" customHeight="1" x14ac:dyDescent="0.2">
      <c r="A160" s="28">
        <f t="shared" si="60"/>
        <v>0</v>
      </c>
      <c r="B160" s="426"/>
      <c r="C160" s="427" t="s">
        <v>363</v>
      </c>
      <c r="D160" s="431"/>
      <c r="E160" s="223"/>
      <c r="F160" s="223"/>
      <c r="G160" s="365"/>
      <c r="H160" s="432"/>
      <c r="I160" s="365"/>
      <c r="J160" s="368">
        <f t="shared" si="122"/>
        <v>0</v>
      </c>
      <c r="K160" s="223"/>
      <c r="L160" s="405">
        <f t="shared" si="123"/>
        <v>0</v>
      </c>
      <c r="M160" s="405">
        <f t="shared" si="124"/>
        <v>0</v>
      </c>
      <c r="N160" s="405">
        <f t="shared" si="125"/>
        <v>0</v>
      </c>
      <c r="O160" s="1155"/>
      <c r="P160" s="406" t="str">
        <f t="shared" si="63"/>
        <v/>
      </c>
      <c r="Q160" s="50"/>
      <c r="R160" s="3"/>
      <c r="S160" s="28">
        <f t="shared" si="126"/>
        <v>0</v>
      </c>
      <c r="T160" s="28">
        <f t="shared" si="127"/>
        <v>0</v>
      </c>
      <c r="U160" s="30">
        <f t="shared" si="128"/>
        <v>0</v>
      </c>
      <c r="V160" s="40">
        <f t="shared" si="121"/>
        <v>0</v>
      </c>
      <c r="W160" s="32">
        <f t="shared" si="129"/>
        <v>0</v>
      </c>
      <c r="X160" s="28">
        <f t="shared" si="130"/>
        <v>0</v>
      </c>
      <c r="Y160" s="28">
        <f t="shared" si="131"/>
        <v>0</v>
      </c>
      <c r="Z160" s="28">
        <f t="shared" si="132"/>
        <v>0</v>
      </c>
      <c r="AA160" s="28">
        <f t="shared" si="133"/>
        <v>0</v>
      </c>
      <c r="AC160" s="28">
        <f t="shared" si="134"/>
        <v>0</v>
      </c>
      <c r="AD160" s="28">
        <f t="shared" si="135"/>
        <v>0</v>
      </c>
      <c r="AE160" s="28">
        <f t="shared" si="136"/>
        <v>0</v>
      </c>
      <c r="AF160" s="28">
        <f t="shared" si="137"/>
        <v>0</v>
      </c>
      <c r="AH160" s="32">
        <f t="shared" si="138"/>
        <v>0</v>
      </c>
      <c r="AI160" s="32">
        <f t="shared" si="139"/>
        <v>0</v>
      </c>
      <c r="AJ160" s="32">
        <f t="shared" si="140"/>
        <v>0</v>
      </c>
      <c r="AK160" s="32">
        <f t="shared" si="141"/>
        <v>0</v>
      </c>
      <c r="AL160" s="32"/>
      <c r="BD160" s="31"/>
      <c r="BE160" s="31"/>
      <c r="BF160" s="31"/>
      <c r="BG160" s="31"/>
      <c r="BH160" s="31"/>
      <c r="BI160" s="31"/>
      <c r="BJ160" s="31"/>
      <c r="BK160" s="31"/>
      <c r="BL160" s="31"/>
      <c r="BM160" s="31"/>
      <c r="BN160" s="31"/>
      <c r="CB160" s="31"/>
      <c r="CG160" s="31"/>
    </row>
    <row r="161" spans="1:85" ht="12.75" customHeight="1" x14ac:dyDescent="0.2">
      <c r="A161" s="28">
        <f t="shared" si="60"/>
        <v>0</v>
      </c>
      <c r="B161" s="426"/>
      <c r="C161" s="427" t="s">
        <v>363</v>
      </c>
      <c r="D161" s="431"/>
      <c r="E161" s="223"/>
      <c r="F161" s="223"/>
      <c r="G161" s="365"/>
      <c r="H161" s="432"/>
      <c r="I161" s="365"/>
      <c r="J161" s="368">
        <f t="shared" si="122"/>
        <v>0</v>
      </c>
      <c r="K161" s="223"/>
      <c r="L161" s="405">
        <f t="shared" si="123"/>
        <v>0</v>
      </c>
      <c r="M161" s="405">
        <f t="shared" si="124"/>
        <v>0</v>
      </c>
      <c r="N161" s="405">
        <f t="shared" si="125"/>
        <v>0</v>
      </c>
      <c r="O161" s="1155"/>
      <c r="P161" s="406" t="str">
        <f t="shared" si="63"/>
        <v/>
      </c>
      <c r="Q161" s="50"/>
      <c r="R161" s="3"/>
      <c r="S161" s="28">
        <f t="shared" si="126"/>
        <v>0</v>
      </c>
      <c r="T161" s="28">
        <f t="shared" si="127"/>
        <v>0</v>
      </c>
      <c r="U161" s="30">
        <f t="shared" si="128"/>
        <v>0</v>
      </c>
      <c r="V161" s="40">
        <f t="shared" si="121"/>
        <v>0</v>
      </c>
      <c r="W161" s="32">
        <f t="shared" si="129"/>
        <v>0</v>
      </c>
      <c r="X161" s="28">
        <f t="shared" si="130"/>
        <v>0</v>
      </c>
      <c r="Y161" s="28">
        <f t="shared" si="131"/>
        <v>0</v>
      </c>
      <c r="Z161" s="28">
        <f t="shared" si="132"/>
        <v>0</v>
      </c>
      <c r="AA161" s="28">
        <f t="shared" si="133"/>
        <v>0</v>
      </c>
      <c r="AC161" s="28">
        <f t="shared" si="134"/>
        <v>0</v>
      </c>
      <c r="AD161" s="28">
        <f t="shared" si="135"/>
        <v>0</v>
      </c>
      <c r="AE161" s="28">
        <f t="shared" si="136"/>
        <v>0</v>
      </c>
      <c r="AF161" s="28">
        <f t="shared" si="137"/>
        <v>0</v>
      </c>
      <c r="AH161" s="32">
        <f t="shared" si="138"/>
        <v>0</v>
      </c>
      <c r="AI161" s="32">
        <f t="shared" si="139"/>
        <v>0</v>
      </c>
      <c r="AJ161" s="32">
        <f t="shared" si="140"/>
        <v>0</v>
      </c>
      <c r="AK161" s="32">
        <f t="shared" si="141"/>
        <v>0</v>
      </c>
      <c r="AL161" s="32"/>
      <c r="BD161" s="31"/>
      <c r="BE161" s="31"/>
      <c r="BF161" s="31"/>
      <c r="BG161" s="31"/>
      <c r="BH161" s="31"/>
      <c r="BI161" s="31"/>
      <c r="BJ161" s="31"/>
      <c r="BK161" s="31"/>
      <c r="BL161" s="31"/>
      <c r="BM161" s="31"/>
      <c r="BN161" s="31"/>
      <c r="CB161" s="31"/>
      <c r="CG161" s="31"/>
    </row>
    <row r="162" spans="1:85" ht="12.75" customHeight="1" x14ac:dyDescent="0.2">
      <c r="A162" s="28">
        <f t="shared" si="60"/>
        <v>0</v>
      </c>
      <c r="B162" s="426"/>
      <c r="C162" s="427" t="s">
        <v>363</v>
      </c>
      <c r="D162" s="431"/>
      <c r="E162" s="223"/>
      <c r="F162" s="223"/>
      <c r="G162" s="365"/>
      <c r="H162" s="432"/>
      <c r="I162" s="365"/>
      <c r="J162" s="368">
        <f t="shared" si="122"/>
        <v>0</v>
      </c>
      <c r="K162" s="223"/>
      <c r="L162" s="405">
        <f t="shared" si="123"/>
        <v>0</v>
      </c>
      <c r="M162" s="405">
        <f t="shared" si="124"/>
        <v>0</v>
      </c>
      <c r="N162" s="405">
        <f t="shared" si="125"/>
        <v>0</v>
      </c>
      <c r="O162" s="1155"/>
      <c r="P162" s="406" t="str">
        <f t="shared" si="63"/>
        <v/>
      </c>
      <c r="Q162" s="50"/>
      <c r="R162" s="3"/>
      <c r="S162" s="28">
        <f t="shared" si="126"/>
        <v>0</v>
      </c>
      <c r="T162" s="28">
        <f t="shared" si="127"/>
        <v>0</v>
      </c>
      <c r="U162" s="30">
        <f t="shared" si="128"/>
        <v>0</v>
      </c>
      <c r="V162" s="40">
        <f t="shared" si="121"/>
        <v>0</v>
      </c>
      <c r="W162" s="32">
        <f t="shared" si="129"/>
        <v>0</v>
      </c>
      <c r="X162" s="28">
        <f t="shared" si="130"/>
        <v>0</v>
      </c>
      <c r="Y162" s="28">
        <f t="shared" si="131"/>
        <v>0</v>
      </c>
      <c r="Z162" s="28">
        <f t="shared" si="132"/>
        <v>0</v>
      </c>
      <c r="AA162" s="28">
        <f t="shared" si="133"/>
        <v>0</v>
      </c>
      <c r="AC162" s="28">
        <f t="shared" si="134"/>
        <v>0</v>
      </c>
      <c r="AD162" s="28">
        <f t="shared" si="135"/>
        <v>0</v>
      </c>
      <c r="AE162" s="28">
        <f t="shared" si="136"/>
        <v>0</v>
      </c>
      <c r="AF162" s="28">
        <f t="shared" si="137"/>
        <v>0</v>
      </c>
      <c r="AH162" s="32">
        <f t="shared" si="138"/>
        <v>0</v>
      </c>
      <c r="AI162" s="32">
        <f t="shared" si="139"/>
        <v>0</v>
      </c>
      <c r="AJ162" s="32">
        <f t="shared" si="140"/>
        <v>0</v>
      </c>
      <c r="AK162" s="32">
        <f t="shared" si="141"/>
        <v>0</v>
      </c>
      <c r="AL162" s="32"/>
      <c r="BD162" s="31"/>
      <c r="BE162" s="31"/>
      <c r="BF162" s="31"/>
      <c r="BG162" s="31"/>
      <c r="BH162" s="31"/>
      <c r="BI162" s="31"/>
      <c r="BJ162" s="31"/>
      <c r="BK162" s="31"/>
      <c r="BL162" s="31"/>
      <c r="BM162" s="31"/>
      <c r="BN162" s="31"/>
      <c r="CB162" s="31"/>
      <c r="CG162" s="31"/>
    </row>
    <row r="163" spans="1:85" ht="12.75" customHeight="1" x14ac:dyDescent="0.2">
      <c r="A163" s="28">
        <f t="shared" si="60"/>
        <v>0</v>
      </c>
      <c r="B163" s="426"/>
      <c r="C163" s="427" t="s">
        <v>363</v>
      </c>
      <c r="D163" s="431"/>
      <c r="E163" s="223"/>
      <c r="F163" s="223"/>
      <c r="G163" s="365"/>
      <c r="H163" s="432"/>
      <c r="I163" s="365"/>
      <c r="J163" s="368">
        <f t="shared" si="122"/>
        <v>0</v>
      </c>
      <c r="K163" s="223"/>
      <c r="L163" s="405">
        <f t="shared" si="123"/>
        <v>0</v>
      </c>
      <c r="M163" s="405">
        <f t="shared" si="124"/>
        <v>0</v>
      </c>
      <c r="N163" s="405">
        <f t="shared" si="125"/>
        <v>0</v>
      </c>
      <c r="O163" s="1155"/>
      <c r="P163" s="406" t="str">
        <f t="shared" si="63"/>
        <v/>
      </c>
      <c r="Q163" s="50"/>
      <c r="R163" s="3"/>
      <c r="S163" s="28">
        <f t="shared" si="126"/>
        <v>0</v>
      </c>
      <c r="T163" s="28">
        <f t="shared" si="127"/>
        <v>0</v>
      </c>
      <c r="U163" s="30">
        <f t="shared" si="128"/>
        <v>0</v>
      </c>
      <c r="V163" s="40">
        <f t="shared" si="121"/>
        <v>0</v>
      </c>
      <c r="W163" s="32">
        <f t="shared" si="129"/>
        <v>0</v>
      </c>
      <c r="X163" s="28">
        <f t="shared" si="130"/>
        <v>0</v>
      </c>
      <c r="Y163" s="28">
        <f t="shared" si="131"/>
        <v>0</v>
      </c>
      <c r="Z163" s="28">
        <f t="shared" si="132"/>
        <v>0</v>
      </c>
      <c r="AA163" s="28">
        <f t="shared" si="133"/>
        <v>0</v>
      </c>
      <c r="AC163" s="28">
        <f t="shared" si="134"/>
        <v>0</v>
      </c>
      <c r="AD163" s="28">
        <f t="shared" si="135"/>
        <v>0</v>
      </c>
      <c r="AE163" s="28">
        <f t="shared" si="136"/>
        <v>0</v>
      </c>
      <c r="AF163" s="28">
        <f t="shared" si="137"/>
        <v>0</v>
      </c>
      <c r="AH163" s="32">
        <f t="shared" si="138"/>
        <v>0</v>
      </c>
      <c r="AI163" s="32">
        <f t="shared" si="139"/>
        <v>0</v>
      </c>
      <c r="AJ163" s="32">
        <f t="shared" si="140"/>
        <v>0</v>
      </c>
      <c r="AK163" s="32">
        <f t="shared" si="141"/>
        <v>0</v>
      </c>
      <c r="AL163" s="32"/>
      <c r="BD163" s="31"/>
      <c r="BE163" s="31"/>
      <c r="BF163" s="31"/>
      <c r="BG163" s="31"/>
      <c r="BH163" s="31"/>
      <c r="BI163" s="31"/>
      <c r="BJ163" s="31"/>
      <c r="BK163" s="31"/>
      <c r="BL163" s="31"/>
      <c r="BM163" s="31"/>
      <c r="BN163" s="31"/>
      <c r="CB163" s="31"/>
      <c r="CG163" s="31"/>
    </row>
    <row r="164" spans="1:85" ht="12.75" customHeight="1" x14ac:dyDescent="0.2">
      <c r="A164" s="28">
        <f t="shared" si="60"/>
        <v>0</v>
      </c>
      <c r="B164" s="426"/>
      <c r="C164" s="427" t="s">
        <v>363</v>
      </c>
      <c r="D164" s="431"/>
      <c r="E164" s="223"/>
      <c r="F164" s="223"/>
      <c r="G164" s="365"/>
      <c r="H164" s="432"/>
      <c r="I164" s="365"/>
      <c r="J164" s="368">
        <f t="shared" si="122"/>
        <v>0</v>
      </c>
      <c r="K164" s="223"/>
      <c r="L164" s="405">
        <f t="shared" si="123"/>
        <v>0</v>
      </c>
      <c r="M164" s="405">
        <f t="shared" si="124"/>
        <v>0</v>
      </c>
      <c r="N164" s="405">
        <f t="shared" si="125"/>
        <v>0</v>
      </c>
      <c r="O164" s="1155"/>
      <c r="P164" s="406" t="str">
        <f t="shared" si="63"/>
        <v/>
      </c>
      <c r="Q164" s="50"/>
      <c r="R164" s="3"/>
      <c r="S164" s="28">
        <f t="shared" si="126"/>
        <v>0</v>
      </c>
      <c r="T164" s="28">
        <f t="shared" si="127"/>
        <v>0</v>
      </c>
      <c r="U164" s="30">
        <f t="shared" si="128"/>
        <v>0</v>
      </c>
      <c r="V164" s="40">
        <f t="shared" si="121"/>
        <v>0</v>
      </c>
      <c r="W164" s="32">
        <f t="shared" si="129"/>
        <v>0</v>
      </c>
      <c r="X164" s="28">
        <f t="shared" si="130"/>
        <v>0</v>
      </c>
      <c r="Y164" s="28">
        <f t="shared" si="131"/>
        <v>0</v>
      </c>
      <c r="Z164" s="28">
        <f t="shared" si="132"/>
        <v>0</v>
      </c>
      <c r="AA164" s="28">
        <f t="shared" si="133"/>
        <v>0</v>
      </c>
      <c r="AC164" s="28">
        <f t="shared" si="134"/>
        <v>0</v>
      </c>
      <c r="AD164" s="28">
        <f t="shared" si="135"/>
        <v>0</v>
      </c>
      <c r="AE164" s="28">
        <f t="shared" si="136"/>
        <v>0</v>
      </c>
      <c r="AF164" s="28">
        <f t="shared" si="137"/>
        <v>0</v>
      </c>
      <c r="AH164" s="32">
        <f t="shared" si="138"/>
        <v>0</v>
      </c>
      <c r="AI164" s="32">
        <f t="shared" si="139"/>
        <v>0</v>
      </c>
      <c r="AJ164" s="32">
        <f t="shared" si="140"/>
        <v>0</v>
      </c>
      <c r="AK164" s="32">
        <f t="shared" si="141"/>
        <v>0</v>
      </c>
      <c r="AL164" s="32"/>
      <c r="BD164" s="31"/>
      <c r="BE164" s="31"/>
      <c r="BF164" s="31"/>
      <c r="BG164" s="31"/>
      <c r="BH164" s="31"/>
      <c r="BI164" s="31"/>
      <c r="BJ164" s="31"/>
      <c r="BK164" s="31"/>
      <c r="BL164" s="31"/>
      <c r="BM164" s="31"/>
      <c r="BN164" s="31"/>
      <c r="CB164" s="31"/>
      <c r="CG164" s="31"/>
    </row>
    <row r="165" spans="1:85" ht="12.75" customHeight="1" x14ac:dyDescent="0.2">
      <c r="A165" s="28">
        <f t="shared" si="60"/>
        <v>0</v>
      </c>
      <c r="B165" s="426"/>
      <c r="C165" s="427" t="s">
        <v>363</v>
      </c>
      <c r="D165" s="431"/>
      <c r="E165" s="223"/>
      <c r="F165" s="223"/>
      <c r="G165" s="365"/>
      <c r="H165" s="432"/>
      <c r="I165" s="365"/>
      <c r="J165" s="368">
        <f t="shared" si="122"/>
        <v>0</v>
      </c>
      <c r="K165" s="223"/>
      <c r="L165" s="405">
        <f t="shared" si="123"/>
        <v>0</v>
      </c>
      <c r="M165" s="405">
        <f t="shared" si="124"/>
        <v>0</v>
      </c>
      <c r="N165" s="405">
        <f t="shared" si="125"/>
        <v>0</v>
      </c>
      <c r="O165" s="1155"/>
      <c r="P165" s="406" t="str">
        <f t="shared" si="63"/>
        <v/>
      </c>
      <c r="Q165" s="50"/>
      <c r="R165" s="3"/>
      <c r="S165" s="28">
        <f t="shared" si="126"/>
        <v>0</v>
      </c>
      <c r="T165" s="28">
        <f t="shared" si="127"/>
        <v>0</v>
      </c>
      <c r="U165" s="30">
        <f t="shared" si="128"/>
        <v>0</v>
      </c>
      <c r="V165" s="40">
        <f t="shared" si="121"/>
        <v>0</v>
      </c>
      <c r="W165" s="32">
        <f t="shared" si="129"/>
        <v>0</v>
      </c>
      <c r="X165" s="28">
        <f t="shared" si="130"/>
        <v>0</v>
      </c>
      <c r="Y165" s="28">
        <f t="shared" si="131"/>
        <v>0</v>
      </c>
      <c r="Z165" s="28">
        <f t="shared" si="132"/>
        <v>0</v>
      </c>
      <c r="AA165" s="28">
        <f t="shared" si="133"/>
        <v>0</v>
      </c>
      <c r="AC165" s="28">
        <f t="shared" si="134"/>
        <v>0</v>
      </c>
      <c r="AD165" s="28">
        <f t="shared" si="135"/>
        <v>0</v>
      </c>
      <c r="AE165" s="28">
        <f t="shared" si="136"/>
        <v>0</v>
      </c>
      <c r="AF165" s="28">
        <f t="shared" si="137"/>
        <v>0</v>
      </c>
      <c r="AH165" s="32">
        <f t="shared" si="138"/>
        <v>0</v>
      </c>
      <c r="AI165" s="32">
        <f t="shared" si="139"/>
        <v>0</v>
      </c>
      <c r="AJ165" s="32">
        <f t="shared" si="140"/>
        <v>0</v>
      </c>
      <c r="AK165" s="32">
        <f t="shared" si="141"/>
        <v>0</v>
      </c>
      <c r="AL165" s="32"/>
      <c r="BD165" s="31"/>
      <c r="BE165" s="31"/>
      <c r="BF165" s="31"/>
      <c r="BG165" s="31"/>
      <c r="BH165" s="31"/>
      <c r="BI165" s="31"/>
      <c r="BJ165" s="31"/>
      <c r="BK165" s="31"/>
      <c r="BL165" s="31"/>
      <c r="BM165" s="31"/>
      <c r="BN165" s="31"/>
      <c r="CB165" s="31"/>
      <c r="CG165" s="31"/>
    </row>
    <row r="166" spans="1:85" ht="12.75" customHeight="1" x14ac:dyDescent="0.2">
      <c r="A166" s="28">
        <f t="shared" si="60"/>
        <v>0</v>
      </c>
      <c r="B166" s="426"/>
      <c r="C166" s="427" t="s">
        <v>363</v>
      </c>
      <c r="D166" s="431"/>
      <c r="E166" s="223"/>
      <c r="F166" s="223"/>
      <c r="G166" s="365"/>
      <c r="H166" s="432"/>
      <c r="I166" s="365"/>
      <c r="J166" s="368">
        <f t="shared" si="122"/>
        <v>0</v>
      </c>
      <c r="K166" s="223"/>
      <c r="L166" s="405">
        <f t="shared" si="123"/>
        <v>0</v>
      </c>
      <c r="M166" s="405">
        <f t="shared" si="124"/>
        <v>0</v>
      </c>
      <c r="N166" s="405">
        <f t="shared" si="125"/>
        <v>0</v>
      </c>
      <c r="O166" s="1155"/>
      <c r="P166" s="406" t="str">
        <f t="shared" si="63"/>
        <v/>
      </c>
      <c r="Q166" s="50"/>
      <c r="R166" s="3"/>
      <c r="S166" s="28">
        <f t="shared" si="126"/>
        <v>0</v>
      </c>
      <c r="T166" s="28">
        <f t="shared" si="127"/>
        <v>0</v>
      </c>
      <c r="U166" s="30">
        <f t="shared" si="128"/>
        <v>0</v>
      </c>
      <c r="V166" s="40">
        <f t="shared" si="121"/>
        <v>0</v>
      </c>
      <c r="W166" s="32">
        <f t="shared" si="129"/>
        <v>0</v>
      </c>
      <c r="X166" s="28">
        <f t="shared" si="130"/>
        <v>0</v>
      </c>
      <c r="Y166" s="28">
        <f t="shared" si="131"/>
        <v>0</v>
      </c>
      <c r="Z166" s="28">
        <f t="shared" si="132"/>
        <v>0</v>
      </c>
      <c r="AA166" s="28">
        <f t="shared" si="133"/>
        <v>0</v>
      </c>
      <c r="AC166" s="28">
        <f t="shared" si="134"/>
        <v>0</v>
      </c>
      <c r="AD166" s="28">
        <f t="shared" si="135"/>
        <v>0</v>
      </c>
      <c r="AE166" s="28">
        <f t="shared" si="136"/>
        <v>0</v>
      </c>
      <c r="AF166" s="28">
        <f t="shared" si="137"/>
        <v>0</v>
      </c>
      <c r="AH166" s="32">
        <f t="shared" si="138"/>
        <v>0</v>
      </c>
      <c r="AI166" s="32">
        <f t="shared" si="139"/>
        <v>0</v>
      </c>
      <c r="AJ166" s="32">
        <f t="shared" si="140"/>
        <v>0</v>
      </c>
      <c r="AK166" s="32">
        <f t="shared" si="141"/>
        <v>0</v>
      </c>
      <c r="AL166" s="32"/>
      <c r="BD166" s="31"/>
      <c r="BE166" s="31"/>
      <c r="BF166" s="31"/>
      <c r="BG166" s="31"/>
      <c r="BH166" s="31"/>
      <c r="BI166" s="31"/>
      <c r="BJ166" s="31"/>
      <c r="BK166" s="31"/>
      <c r="BL166" s="31"/>
      <c r="BM166" s="31"/>
      <c r="BN166" s="31"/>
      <c r="CB166" s="31"/>
      <c r="CG166" s="31"/>
    </row>
    <row r="167" spans="1:85" ht="12.75" customHeight="1" x14ac:dyDescent="0.2">
      <c r="A167" s="28">
        <f t="shared" si="60"/>
        <v>0</v>
      </c>
      <c r="B167" s="426"/>
      <c r="C167" s="427" t="s">
        <v>363</v>
      </c>
      <c r="D167" s="431"/>
      <c r="E167" s="223"/>
      <c r="F167" s="223"/>
      <c r="G167" s="365"/>
      <c r="H167" s="432"/>
      <c r="I167" s="365"/>
      <c r="J167" s="368">
        <f t="shared" si="122"/>
        <v>0</v>
      </c>
      <c r="K167" s="223"/>
      <c r="L167" s="405">
        <f t="shared" si="123"/>
        <v>0</v>
      </c>
      <c r="M167" s="405">
        <f t="shared" si="124"/>
        <v>0</v>
      </c>
      <c r="N167" s="405">
        <f t="shared" si="125"/>
        <v>0</v>
      </c>
      <c r="O167" s="1155"/>
      <c r="P167" s="406" t="str">
        <f t="shared" si="63"/>
        <v/>
      </c>
      <c r="Q167" s="50"/>
      <c r="R167" s="3"/>
      <c r="S167" s="28">
        <f t="shared" si="126"/>
        <v>0</v>
      </c>
      <c r="T167" s="28">
        <f t="shared" si="127"/>
        <v>0</v>
      </c>
      <c r="U167" s="30">
        <f t="shared" si="128"/>
        <v>0</v>
      </c>
      <c r="V167" s="40">
        <f t="shared" si="121"/>
        <v>0</v>
      </c>
      <c r="W167" s="32">
        <f t="shared" si="129"/>
        <v>0</v>
      </c>
      <c r="X167" s="28">
        <f t="shared" si="130"/>
        <v>0</v>
      </c>
      <c r="Y167" s="28">
        <f t="shared" si="131"/>
        <v>0</v>
      </c>
      <c r="Z167" s="28">
        <f t="shared" si="132"/>
        <v>0</v>
      </c>
      <c r="AA167" s="28">
        <f t="shared" si="133"/>
        <v>0</v>
      </c>
      <c r="AC167" s="28">
        <f t="shared" si="134"/>
        <v>0</v>
      </c>
      <c r="AD167" s="28">
        <f t="shared" si="135"/>
        <v>0</v>
      </c>
      <c r="AE167" s="28">
        <f t="shared" si="136"/>
        <v>0</v>
      </c>
      <c r="AF167" s="28">
        <f t="shared" si="137"/>
        <v>0</v>
      </c>
      <c r="AH167" s="32">
        <f t="shared" si="138"/>
        <v>0</v>
      </c>
      <c r="AI167" s="32">
        <f t="shared" si="139"/>
        <v>0</v>
      </c>
      <c r="AJ167" s="32">
        <f t="shared" si="140"/>
        <v>0</v>
      </c>
      <c r="AK167" s="32">
        <f t="shared" si="141"/>
        <v>0</v>
      </c>
      <c r="AL167" s="32"/>
      <c r="BD167" s="31"/>
      <c r="BE167" s="31"/>
      <c r="BF167" s="31"/>
      <c r="BG167" s="31"/>
      <c r="BH167" s="31"/>
      <c r="BI167" s="31"/>
      <c r="BJ167" s="31"/>
      <c r="BK167" s="31"/>
      <c r="BL167" s="31"/>
      <c r="BM167" s="31"/>
      <c r="BN167" s="31"/>
      <c r="CB167" s="31"/>
      <c r="CG167" s="31"/>
    </row>
    <row r="168" spans="1:85" ht="12.75" customHeight="1" x14ac:dyDescent="0.2">
      <c r="A168" s="28">
        <f t="shared" si="60"/>
        <v>0</v>
      </c>
      <c r="B168" s="426"/>
      <c r="C168" s="427" t="s">
        <v>363</v>
      </c>
      <c r="D168" s="431"/>
      <c r="E168" s="223"/>
      <c r="F168" s="223"/>
      <c r="G168" s="365"/>
      <c r="H168" s="432"/>
      <c r="I168" s="365"/>
      <c r="J168" s="368">
        <f t="shared" si="122"/>
        <v>0</v>
      </c>
      <c r="K168" s="223"/>
      <c r="L168" s="405">
        <f t="shared" si="123"/>
        <v>0</v>
      </c>
      <c r="M168" s="405">
        <f t="shared" si="124"/>
        <v>0</v>
      </c>
      <c r="N168" s="405">
        <f t="shared" si="125"/>
        <v>0</v>
      </c>
      <c r="O168" s="1155"/>
      <c r="P168" s="406" t="str">
        <f t="shared" si="63"/>
        <v/>
      </c>
      <c r="Q168" s="50"/>
      <c r="R168" s="3"/>
      <c r="S168" s="28">
        <f t="shared" si="126"/>
        <v>0</v>
      </c>
      <c r="T168" s="28">
        <f t="shared" si="127"/>
        <v>0</v>
      </c>
      <c r="U168" s="30">
        <f t="shared" si="128"/>
        <v>0</v>
      </c>
      <c r="V168" s="40">
        <f t="shared" si="121"/>
        <v>0</v>
      </c>
      <c r="W168" s="32">
        <f t="shared" si="129"/>
        <v>0</v>
      </c>
      <c r="X168" s="28">
        <f t="shared" si="130"/>
        <v>0</v>
      </c>
      <c r="Y168" s="28">
        <f t="shared" si="131"/>
        <v>0</v>
      </c>
      <c r="Z168" s="28">
        <f t="shared" si="132"/>
        <v>0</v>
      </c>
      <c r="AA168" s="28">
        <f t="shared" si="133"/>
        <v>0</v>
      </c>
      <c r="AC168" s="28">
        <f t="shared" si="134"/>
        <v>0</v>
      </c>
      <c r="AD168" s="28">
        <f t="shared" si="135"/>
        <v>0</v>
      </c>
      <c r="AE168" s="28">
        <f t="shared" si="136"/>
        <v>0</v>
      </c>
      <c r="AF168" s="28">
        <f t="shared" si="137"/>
        <v>0</v>
      </c>
      <c r="AH168" s="32">
        <f t="shared" si="138"/>
        <v>0</v>
      </c>
      <c r="AI168" s="32">
        <f t="shared" si="139"/>
        <v>0</v>
      </c>
      <c r="AJ168" s="32">
        <f t="shared" si="140"/>
        <v>0</v>
      </c>
      <c r="AK168" s="32">
        <f t="shared" si="141"/>
        <v>0</v>
      </c>
      <c r="AL168" s="32"/>
      <c r="BD168" s="31"/>
      <c r="BE168" s="31"/>
      <c r="BF168" s="31"/>
      <c r="BG168" s="31"/>
      <c r="BH168" s="31"/>
      <c r="BI168" s="31"/>
      <c r="BJ168" s="31"/>
      <c r="BK168" s="31"/>
      <c r="BL168" s="31"/>
      <c r="BM168" s="31"/>
      <c r="BN168" s="31"/>
      <c r="CB168" s="31"/>
      <c r="CG168" s="31"/>
    </row>
    <row r="169" spans="1:85" ht="12.75" customHeight="1" x14ac:dyDescent="0.2">
      <c r="A169" s="28">
        <f t="shared" si="60"/>
        <v>0</v>
      </c>
      <c r="B169" s="426"/>
      <c r="C169" s="427" t="s">
        <v>363</v>
      </c>
      <c r="D169" s="431"/>
      <c r="E169" s="223"/>
      <c r="F169" s="223"/>
      <c r="G169" s="365"/>
      <c r="H169" s="432"/>
      <c r="I169" s="365"/>
      <c r="J169" s="368">
        <f t="shared" si="122"/>
        <v>0</v>
      </c>
      <c r="K169" s="223"/>
      <c r="L169" s="405">
        <f t="shared" si="123"/>
        <v>0</v>
      </c>
      <c r="M169" s="405">
        <f t="shared" si="124"/>
        <v>0</v>
      </c>
      <c r="N169" s="405">
        <f t="shared" si="125"/>
        <v>0</v>
      </c>
      <c r="O169" s="1155"/>
      <c r="P169" s="406" t="str">
        <f t="shared" si="63"/>
        <v/>
      </c>
      <c r="Q169" s="50"/>
      <c r="R169" s="3"/>
      <c r="S169" s="28">
        <f t="shared" si="126"/>
        <v>0</v>
      </c>
      <c r="T169" s="28">
        <f t="shared" si="127"/>
        <v>0</v>
      </c>
      <c r="U169" s="30">
        <f t="shared" si="128"/>
        <v>0</v>
      </c>
      <c r="V169" s="40">
        <f t="shared" si="121"/>
        <v>0</v>
      </c>
      <c r="W169" s="32">
        <f t="shared" si="129"/>
        <v>0</v>
      </c>
      <c r="X169" s="28">
        <f t="shared" si="130"/>
        <v>0</v>
      </c>
      <c r="Y169" s="28">
        <f t="shared" si="131"/>
        <v>0</v>
      </c>
      <c r="Z169" s="28">
        <f t="shared" si="132"/>
        <v>0</v>
      </c>
      <c r="AA169" s="28">
        <f t="shared" si="133"/>
        <v>0</v>
      </c>
      <c r="AC169" s="28">
        <f t="shared" si="134"/>
        <v>0</v>
      </c>
      <c r="AD169" s="28">
        <f t="shared" si="135"/>
        <v>0</v>
      </c>
      <c r="AE169" s="28">
        <f t="shared" si="136"/>
        <v>0</v>
      </c>
      <c r="AF169" s="28">
        <f t="shared" si="137"/>
        <v>0</v>
      </c>
      <c r="AH169" s="32">
        <f t="shared" si="138"/>
        <v>0</v>
      </c>
      <c r="AI169" s="32">
        <f t="shared" si="139"/>
        <v>0</v>
      </c>
      <c r="AJ169" s="32">
        <f t="shared" si="140"/>
        <v>0</v>
      </c>
      <c r="AK169" s="32">
        <f t="shared" si="141"/>
        <v>0</v>
      </c>
      <c r="AL169" s="32"/>
      <c r="BD169" s="31"/>
      <c r="BE169" s="31"/>
      <c r="BF169" s="31"/>
      <c r="BG169" s="31"/>
      <c r="BH169" s="31"/>
      <c r="BI169" s="31"/>
      <c r="BJ169" s="31"/>
      <c r="BK169" s="31"/>
      <c r="BL169" s="31"/>
      <c r="BM169" s="31"/>
      <c r="BN169" s="31"/>
      <c r="CB169" s="31"/>
      <c r="CG169" s="31"/>
    </row>
    <row r="170" spans="1:85" ht="12.75" customHeight="1" x14ac:dyDescent="0.2">
      <c r="A170" s="28">
        <f t="shared" si="60"/>
        <v>0</v>
      </c>
      <c r="B170" s="426"/>
      <c r="C170" s="427" t="s">
        <v>363</v>
      </c>
      <c r="D170" s="431"/>
      <c r="E170" s="223"/>
      <c r="F170" s="223"/>
      <c r="G170" s="365"/>
      <c r="H170" s="432"/>
      <c r="I170" s="365"/>
      <c r="J170" s="368">
        <f t="shared" si="122"/>
        <v>0</v>
      </c>
      <c r="K170" s="223"/>
      <c r="L170" s="405">
        <f t="shared" si="123"/>
        <v>0</v>
      </c>
      <c r="M170" s="405">
        <f t="shared" si="124"/>
        <v>0</v>
      </c>
      <c r="N170" s="405">
        <f t="shared" si="125"/>
        <v>0</v>
      </c>
      <c r="O170" s="1155"/>
      <c r="P170" s="406" t="str">
        <f t="shared" si="63"/>
        <v/>
      </c>
      <c r="Q170" s="50"/>
      <c r="R170" s="3"/>
      <c r="S170" s="28">
        <f t="shared" si="126"/>
        <v>0</v>
      </c>
      <c r="T170" s="28">
        <f t="shared" si="127"/>
        <v>0</v>
      </c>
      <c r="U170" s="30">
        <f t="shared" si="128"/>
        <v>0</v>
      </c>
      <c r="V170" s="40">
        <f t="shared" si="121"/>
        <v>0</v>
      </c>
      <c r="W170" s="32">
        <f t="shared" si="129"/>
        <v>0</v>
      </c>
      <c r="X170" s="28">
        <f t="shared" si="130"/>
        <v>0</v>
      </c>
      <c r="Y170" s="28">
        <f t="shared" si="131"/>
        <v>0</v>
      </c>
      <c r="Z170" s="28">
        <f t="shared" si="132"/>
        <v>0</v>
      </c>
      <c r="AA170" s="28">
        <f t="shared" si="133"/>
        <v>0</v>
      </c>
      <c r="AC170" s="28">
        <f t="shared" si="134"/>
        <v>0</v>
      </c>
      <c r="AD170" s="28">
        <f t="shared" si="135"/>
        <v>0</v>
      </c>
      <c r="AE170" s="28">
        <f t="shared" si="136"/>
        <v>0</v>
      </c>
      <c r="AF170" s="28">
        <f t="shared" si="137"/>
        <v>0</v>
      </c>
      <c r="AH170" s="32">
        <f t="shared" si="138"/>
        <v>0</v>
      </c>
      <c r="AI170" s="32">
        <f t="shared" si="139"/>
        <v>0</v>
      </c>
      <c r="AJ170" s="32">
        <f t="shared" si="140"/>
        <v>0</v>
      </c>
      <c r="AK170" s="32">
        <f t="shared" si="141"/>
        <v>0</v>
      </c>
      <c r="AL170" s="32"/>
      <c r="BD170" s="31"/>
      <c r="BE170" s="31"/>
      <c r="BF170" s="31"/>
      <c r="BG170" s="31"/>
      <c r="BH170" s="31"/>
      <c r="BI170" s="31"/>
      <c r="BJ170" s="31"/>
      <c r="BK170" s="31"/>
      <c r="BL170" s="31"/>
      <c r="BM170" s="31"/>
      <c r="BN170" s="31"/>
      <c r="CB170" s="31"/>
      <c r="CG170" s="31"/>
    </row>
    <row r="171" spans="1:85" ht="12.75" customHeight="1" x14ac:dyDescent="0.2">
      <c r="A171" s="28">
        <f t="shared" si="60"/>
        <v>0</v>
      </c>
      <c r="B171" s="426"/>
      <c r="C171" s="427" t="s">
        <v>363</v>
      </c>
      <c r="D171" s="431"/>
      <c r="E171" s="223"/>
      <c r="F171" s="223"/>
      <c r="G171" s="365"/>
      <c r="H171" s="432"/>
      <c r="I171" s="365"/>
      <c r="J171" s="368">
        <f t="shared" ref="J171:J191" si="144">IF(I171="",0,IF($D171=$Q$1,0,AC171))</f>
      </c>
      <c r="K171" s="223"/>
      <c r="L171" s="405">
        <f t="shared" ref="L171:L191" si="145">IF(T171=0,0,IF(W171&lt;0,0,W171))</f>
      </c>
      <c r="M171" s="405">
        <f t="shared" ref="M171:M191" si="146">IF(T171=0,0,Z171)</f>
      </c>
      <c r="N171" s="405">
        <f t="shared" ref="N171:N191" si="147">IF(T171=0,0,IF(AA171&gt;=0,AA171,0))</f>
      </c>
      <c r="O171" s="1155"/>
      <c r="P171" s="406" t="str">
        <f t="shared" si="63"/>
        <v/>
      </c>
      <c r="Q171" s="50"/>
      <c r="R171" s="3"/>
      <c r="S171" s="28">
        <f t="shared" ref="S171:S191" si="148">IF(P171="",0,1)</f>
      </c>
      <c r="T171" s="28">
        <f t="shared" si="109"/>
        <v>0</v>
      </c>
      <c r="U171" s="30">
        <f t="shared" si="110"/>
        <v>0</v>
      </c>
      <c r="V171" s="40">
        <f t="shared" si="121"/>
        <v>0</v>
      </c>
      <c r="W171" s="32">
        <f t="shared" ref="W171:W191" si="149">IF(D171=$Q$1,(G171+H171),E171-I171)</f>
      </c>
      <c r="X171" s="28">
        <f t="shared" ref="X171:X191" si="150">IF(D171=$Q$1,W171,F171-AC171)</f>
      </c>
      <c r="Y171" s="28">
        <f t="shared" ref="Y171:Y191" si="151">IF(U171=0,0,W171/U171)</f>
      </c>
      <c r="Z171" s="28">
        <f t="shared" ref="Z171:Z191" si="152">IF(Y171&lt;0,0,IF(Y171&gt;X171,X171,Y171))</f>
      </c>
      <c r="AA171" s="28">
        <f t="shared" ref="AA171:AA191" si="153">X171-Z171</f>
      </c>
      <c r="AC171" s="28">
        <f t="shared" si="105"/>
        <v>0</v>
      </c>
      <c r="AD171" s="28">
        <f t="shared" ref="AD171:AD191" si="154">SUM(AE171:AF171)</f>
      </c>
      <c r="AE171" s="28">
        <f t="shared" ref="AE171:AE191" si="155">IF(ISBLANK(F171),0,1)</f>
      </c>
      <c r="AF171" s="28">
        <f t="shared" ref="AF171:AF191" si="156">IF(ISBLANK(E171),0,1)</f>
      </c>
      <c r="AH171" s="32">
        <f t="shared" si="138"/>
        <v>0</v>
      </c>
      <c r="AI171" s="32">
        <f t="shared" ref="AI171:AI191" si="157">E171</f>
      </c>
      <c r="AJ171" s="32">
        <f t="shared" ref="AJ171:AJ191" si="158">F171</f>
      </c>
      <c r="AK171" s="32">
        <f t="shared" ref="AK171:AK191" si="159">IF($D171=$Q$1,0,E171)</f>
      </c>
      <c r="AL171" s="32"/>
      <c r="BD171" s="31"/>
      <c r="BE171" s="31"/>
      <c r="BF171" s="31"/>
      <c r="BG171" s="31"/>
      <c r="BH171" s="31"/>
      <c r="BI171" s="31"/>
      <c r="BJ171" s="31"/>
      <c r="BK171" s="31"/>
      <c r="BL171" s="31"/>
      <c r="BM171" s="31"/>
      <c r="BN171" s="31"/>
      <c r="CB171" s="31"/>
      <c r="CG171" s="31"/>
    </row>
    <row r="172" spans="1:85" ht="12.75" customHeight="1" x14ac:dyDescent="0.2">
      <c r="A172" s="28">
        <f t="shared" si="60"/>
        <v>0</v>
      </c>
      <c r="B172" s="426"/>
      <c r="C172" s="427" t="s">
        <v>363</v>
      </c>
      <c r="D172" s="431"/>
      <c r="E172" s="223"/>
      <c r="F172" s="223"/>
      <c r="G172" s="365"/>
      <c r="H172" s="432"/>
      <c r="I172" s="365"/>
      <c r="J172" s="368">
        <f t="shared" si="144"/>
        <v>0</v>
      </c>
      <c r="K172" s="223"/>
      <c r="L172" s="405">
        <f t="shared" si="145"/>
        <v>0</v>
      </c>
      <c r="M172" s="405">
        <f t="shared" si="146"/>
        <v>0</v>
      </c>
      <c r="N172" s="405">
        <f t="shared" si="147"/>
        <v>0</v>
      </c>
      <c r="O172" s="1155"/>
      <c r="P172" s="406" t="str">
        <f t="shared" si="63"/>
        <v/>
      </c>
      <c r="Q172" s="50"/>
      <c r="R172" s="3"/>
      <c r="S172" s="28">
        <f t="shared" si="148"/>
        <v>0</v>
      </c>
      <c r="T172" s="28">
        <f t="shared" si="109"/>
        <v>0</v>
      </c>
      <c r="U172" s="30">
        <f t="shared" si="110"/>
        <v>0</v>
      </c>
      <c r="V172" s="40">
        <f t="shared" si="121"/>
        <v>0</v>
      </c>
      <c r="W172" s="32">
        <f t="shared" si="149"/>
        <v>0</v>
      </c>
      <c r="X172" s="28">
        <f t="shared" si="150"/>
        <v>0</v>
      </c>
      <c r="Y172" s="28">
        <f t="shared" si="151"/>
        <v>0</v>
      </c>
      <c r="Z172" s="28">
        <f t="shared" si="152"/>
        <v>0</v>
      </c>
      <c r="AA172" s="28">
        <f t="shared" si="153"/>
        <v>0</v>
      </c>
      <c r="AC172" s="28">
        <f t="shared" si="105"/>
        <v>0</v>
      </c>
      <c r="AD172" s="28">
        <f t="shared" si="154"/>
        <v>0</v>
      </c>
      <c r="AE172" s="28">
        <f t="shared" si="155"/>
        <v>0</v>
      </c>
      <c r="AF172" s="28">
        <f t="shared" si="156"/>
        <v>0</v>
      </c>
      <c r="AH172" s="32">
        <f t="shared" ref="AH172:AH191" si="160">IF(I172&gt;0,AH171+1,AH171)</f>
      </c>
      <c r="AI172" s="32">
        <f t="shared" si="157"/>
        <v>0</v>
      </c>
      <c r="AJ172" s="32">
        <f t="shared" si="158"/>
        <v>0</v>
      </c>
      <c r="AK172" s="32">
        <f t="shared" si="159"/>
        <v>0</v>
      </c>
      <c r="AL172" s="32"/>
      <c r="BD172" s="31"/>
      <c r="BE172" s="31"/>
      <c r="BF172" s="31"/>
      <c r="BG172" s="31"/>
      <c r="BH172" s="31"/>
      <c r="BI172" s="31"/>
      <c r="BJ172" s="31"/>
      <c r="BK172" s="31"/>
      <c r="BL172" s="31"/>
      <c r="BM172" s="31"/>
      <c r="BN172" s="31"/>
      <c r="CB172" s="31"/>
      <c r="CG172" s="31"/>
    </row>
    <row r="173" spans="1:85" ht="12.75" customHeight="1" x14ac:dyDescent="0.2">
      <c r="A173" s="28">
        <f t="shared" si="60"/>
        <v>0</v>
      </c>
      <c r="B173" s="426"/>
      <c r="C173" s="427" t="s">
        <v>363</v>
      </c>
      <c r="D173" s="431"/>
      <c r="E173" s="223"/>
      <c r="F173" s="223"/>
      <c r="G173" s="365"/>
      <c r="H173" s="432"/>
      <c r="I173" s="365"/>
      <c r="J173" s="368">
        <f t="shared" si="144"/>
        <v>0</v>
      </c>
      <c r="K173" s="223"/>
      <c r="L173" s="405">
        <f t="shared" si="145"/>
        <v>0</v>
      </c>
      <c r="M173" s="405">
        <f t="shared" si="146"/>
        <v>0</v>
      </c>
      <c r="N173" s="405">
        <f t="shared" si="147"/>
        <v>0</v>
      </c>
      <c r="O173" s="1155"/>
      <c r="P173" s="406" t="str">
        <f t="shared" si="63"/>
        <v/>
      </c>
      <c r="Q173" s="50"/>
      <c r="R173" s="3"/>
      <c r="S173" s="28">
        <f t="shared" si="148"/>
        <v>0</v>
      </c>
      <c r="T173" s="28">
        <f t="shared" si="109"/>
        <v>0</v>
      </c>
      <c r="U173" s="30">
        <f t="shared" si="110"/>
        <v>0</v>
      </c>
      <c r="V173" s="40">
        <f t="shared" si="121"/>
        <v>0</v>
      </c>
      <c r="W173" s="32">
        <f t="shared" si="149"/>
        <v>0</v>
      </c>
      <c r="X173" s="28">
        <f t="shared" si="150"/>
        <v>0</v>
      </c>
      <c r="Y173" s="28">
        <f t="shared" si="151"/>
        <v>0</v>
      </c>
      <c r="Z173" s="28">
        <f t="shared" si="152"/>
        <v>0</v>
      </c>
      <c r="AA173" s="28">
        <f t="shared" si="153"/>
        <v>0</v>
      </c>
      <c r="AC173" s="28">
        <f t="shared" si="105"/>
        <v>0</v>
      </c>
      <c r="AD173" s="28">
        <f t="shared" si="154"/>
        <v>0</v>
      </c>
      <c r="AE173" s="28">
        <f t="shared" si="155"/>
        <v>0</v>
      </c>
      <c r="AF173" s="28">
        <f t="shared" si="156"/>
        <v>0</v>
      </c>
      <c r="AH173" s="32">
        <f t="shared" si="160"/>
        <v>0</v>
      </c>
      <c r="AI173" s="32">
        <f t="shared" si="157"/>
        <v>0</v>
      </c>
      <c r="AJ173" s="32">
        <f t="shared" si="158"/>
        <v>0</v>
      </c>
      <c r="AK173" s="32">
        <f t="shared" si="159"/>
        <v>0</v>
      </c>
      <c r="AL173" s="32"/>
      <c r="BD173" s="31"/>
      <c r="BE173" s="31"/>
      <c r="BF173" s="31"/>
      <c r="BG173" s="31"/>
      <c r="BH173" s="31"/>
      <c r="BI173" s="31"/>
      <c r="BJ173" s="31"/>
      <c r="BK173" s="31"/>
      <c r="BL173" s="31"/>
      <c r="BM173" s="31"/>
      <c r="BN173" s="31"/>
      <c r="CB173" s="31"/>
      <c r="CG173" s="31"/>
    </row>
    <row r="174" spans="1:85" ht="12.75" customHeight="1" x14ac:dyDescent="0.2">
      <c r="A174" s="28">
        <f t="shared" si="60"/>
        <v>0</v>
      </c>
      <c r="B174" s="426"/>
      <c r="C174" s="427" t="s">
        <v>363</v>
      </c>
      <c r="D174" s="431"/>
      <c r="E174" s="223"/>
      <c r="F174" s="223"/>
      <c r="G174" s="365"/>
      <c r="H174" s="432"/>
      <c r="I174" s="365"/>
      <c r="J174" s="368">
        <f t="shared" si="144"/>
        <v>0</v>
      </c>
      <c r="K174" s="223"/>
      <c r="L174" s="405">
        <f t="shared" si="145"/>
        <v>0</v>
      </c>
      <c r="M174" s="405">
        <f t="shared" si="146"/>
        <v>0</v>
      </c>
      <c r="N174" s="405">
        <f t="shared" si="147"/>
        <v>0</v>
      </c>
      <c r="O174" s="1155"/>
      <c r="P174" s="406" t="str">
        <f t="shared" si="63"/>
        <v/>
      </c>
      <c r="Q174" s="50"/>
      <c r="R174" s="3"/>
      <c r="S174" s="28">
        <f t="shared" si="148"/>
        <v>0</v>
      </c>
      <c r="T174" s="28">
        <f t="shared" si="109"/>
        <v>0</v>
      </c>
      <c r="U174" s="30">
        <f t="shared" si="110"/>
        <v>0</v>
      </c>
      <c r="V174" s="40">
        <f t="shared" si="121"/>
        <v>0</v>
      </c>
      <c r="W174" s="32">
        <f t="shared" si="149"/>
        <v>0</v>
      </c>
      <c r="X174" s="28">
        <f t="shared" si="150"/>
        <v>0</v>
      </c>
      <c r="Y174" s="28">
        <f t="shared" si="151"/>
        <v>0</v>
      </c>
      <c r="Z174" s="28">
        <f t="shared" si="152"/>
        <v>0</v>
      </c>
      <c r="AA174" s="28">
        <f t="shared" si="153"/>
        <v>0</v>
      </c>
      <c r="AC174" s="28">
        <f t="shared" si="105"/>
        <v>0</v>
      </c>
      <c r="AD174" s="28">
        <f t="shared" si="154"/>
        <v>0</v>
      </c>
      <c r="AE174" s="28">
        <f t="shared" si="155"/>
        <v>0</v>
      </c>
      <c r="AF174" s="28">
        <f t="shared" si="156"/>
        <v>0</v>
      </c>
      <c r="AH174" s="32">
        <f t="shared" si="160"/>
        <v>0</v>
      </c>
      <c r="AI174" s="32">
        <f t="shared" si="157"/>
        <v>0</v>
      </c>
      <c r="AJ174" s="32">
        <f t="shared" si="158"/>
        <v>0</v>
      </c>
      <c r="AK174" s="32">
        <f t="shared" si="159"/>
        <v>0</v>
      </c>
      <c r="AL174" s="32"/>
      <c r="BD174" s="31"/>
      <c r="BE174" s="31"/>
      <c r="BF174" s="31"/>
      <c r="BG174" s="31"/>
      <c r="BH174" s="31"/>
      <c r="BI174" s="31"/>
      <c r="BJ174" s="31"/>
      <c r="BK174" s="31"/>
      <c r="BL174" s="31"/>
      <c r="BM174" s="31"/>
      <c r="BN174" s="31"/>
      <c r="CB174" s="31"/>
      <c r="CG174" s="31"/>
    </row>
    <row r="175" spans="1:85" ht="12.75" customHeight="1" x14ac:dyDescent="0.2">
      <c r="A175" s="28">
        <f t="shared" si="60"/>
        <v>0</v>
      </c>
      <c r="B175" s="426"/>
      <c r="C175" s="427" t="s">
        <v>363</v>
      </c>
      <c r="D175" s="431"/>
      <c r="E175" s="223"/>
      <c r="F175" s="223"/>
      <c r="G175" s="365"/>
      <c r="H175" s="432"/>
      <c r="I175" s="365"/>
      <c r="J175" s="368">
        <f t="shared" si="144"/>
        <v>0</v>
      </c>
      <c r="K175" s="223"/>
      <c r="L175" s="405">
        <f t="shared" si="145"/>
        <v>0</v>
      </c>
      <c r="M175" s="405">
        <f t="shared" si="146"/>
        <v>0</v>
      </c>
      <c r="N175" s="405">
        <f t="shared" si="147"/>
        <v>0</v>
      </c>
      <c r="O175" s="1155"/>
      <c r="P175" s="406" t="str">
        <f t="shared" si="63"/>
        <v/>
      </c>
      <c r="Q175" s="50"/>
      <c r="R175" s="3"/>
      <c r="S175" s="28">
        <f t="shared" si="148"/>
        <v>0</v>
      </c>
      <c r="T175" s="28">
        <f t="shared" si="109"/>
        <v>0</v>
      </c>
      <c r="U175" s="30">
        <f t="shared" si="110"/>
        <v>0</v>
      </c>
      <c r="V175" s="40">
        <f t="shared" si="121"/>
        <v>0</v>
      </c>
      <c r="W175" s="32">
        <f t="shared" si="149"/>
        <v>0</v>
      </c>
      <c r="X175" s="28">
        <f t="shared" si="150"/>
        <v>0</v>
      </c>
      <c r="Y175" s="28">
        <f t="shared" si="151"/>
        <v>0</v>
      </c>
      <c r="Z175" s="28">
        <f t="shared" si="152"/>
        <v>0</v>
      </c>
      <c r="AA175" s="28">
        <f t="shared" si="153"/>
        <v>0</v>
      </c>
      <c r="AC175" s="28">
        <f t="shared" si="105"/>
        <v>0</v>
      </c>
      <c r="AD175" s="28">
        <f t="shared" si="154"/>
        <v>0</v>
      </c>
      <c r="AE175" s="28">
        <f t="shared" si="155"/>
        <v>0</v>
      </c>
      <c r="AF175" s="28">
        <f t="shared" si="156"/>
        <v>0</v>
      </c>
      <c r="AH175" s="32">
        <f t="shared" si="160"/>
        <v>0</v>
      </c>
      <c r="AI175" s="32">
        <f t="shared" si="157"/>
        <v>0</v>
      </c>
      <c r="AJ175" s="32">
        <f t="shared" si="158"/>
        <v>0</v>
      </c>
      <c r="AK175" s="32">
        <f t="shared" si="159"/>
        <v>0</v>
      </c>
      <c r="AL175" s="32"/>
      <c r="BD175" s="31"/>
      <c r="BE175" s="31"/>
      <c r="BF175" s="31"/>
      <c r="BG175" s="31"/>
      <c r="BH175" s="31"/>
      <c r="BI175" s="31"/>
      <c r="BJ175" s="31"/>
      <c r="BK175" s="31"/>
      <c r="BL175" s="31"/>
      <c r="BM175" s="31"/>
      <c r="BN175" s="31"/>
      <c r="CB175" s="31"/>
      <c r="CG175" s="31"/>
    </row>
    <row r="176" spans="1:85" ht="12.75" customHeight="1" x14ac:dyDescent="0.2">
      <c r="A176" s="28">
        <f t="shared" si="60"/>
        <v>0</v>
      </c>
      <c r="B176" s="426"/>
      <c r="C176" s="427" t="s">
        <v>363</v>
      </c>
      <c r="D176" s="431"/>
      <c r="E176" s="223"/>
      <c r="F176" s="223"/>
      <c r="G176" s="365"/>
      <c r="H176" s="432"/>
      <c r="I176" s="365"/>
      <c r="J176" s="368">
        <f t="shared" si="144"/>
        <v>0</v>
      </c>
      <c r="K176" s="223"/>
      <c r="L176" s="405">
        <f t="shared" si="145"/>
        <v>0</v>
      </c>
      <c r="M176" s="405">
        <f t="shared" si="146"/>
        <v>0</v>
      </c>
      <c r="N176" s="405">
        <f t="shared" si="147"/>
        <v>0</v>
      </c>
      <c r="O176" s="1155"/>
      <c r="P176" s="406" t="str">
        <f t="shared" si="63"/>
        <v/>
      </c>
      <c r="Q176" s="50"/>
      <c r="R176" s="3"/>
      <c r="S176" s="28">
        <f t="shared" si="148"/>
        <v>0</v>
      </c>
      <c r="T176" s="28">
        <f t="shared" si="109"/>
        <v>0</v>
      </c>
      <c r="U176" s="30">
        <f t="shared" si="110"/>
        <v>0</v>
      </c>
      <c r="V176" s="40">
        <f t="shared" si="121"/>
        <v>0</v>
      </c>
      <c r="W176" s="32">
        <f t="shared" si="149"/>
        <v>0</v>
      </c>
      <c r="X176" s="28">
        <f t="shared" si="150"/>
        <v>0</v>
      </c>
      <c r="Y176" s="28">
        <f t="shared" si="151"/>
        <v>0</v>
      </c>
      <c r="Z176" s="28">
        <f t="shared" si="152"/>
        <v>0</v>
      </c>
      <c r="AA176" s="28">
        <f t="shared" si="153"/>
        <v>0</v>
      </c>
      <c r="AC176" s="28">
        <f t="shared" si="105"/>
        <v>0</v>
      </c>
      <c r="AD176" s="28">
        <f t="shared" si="154"/>
        <v>0</v>
      </c>
      <c r="AE176" s="28">
        <f t="shared" si="155"/>
        <v>0</v>
      </c>
      <c r="AF176" s="28">
        <f t="shared" si="156"/>
        <v>0</v>
      </c>
      <c r="AH176" s="32">
        <f t="shared" si="160"/>
        <v>0</v>
      </c>
      <c r="AI176" s="32">
        <f t="shared" si="157"/>
        <v>0</v>
      </c>
      <c r="AJ176" s="32">
        <f t="shared" si="158"/>
        <v>0</v>
      </c>
      <c r="AK176" s="32">
        <f t="shared" si="159"/>
        <v>0</v>
      </c>
      <c r="AL176" s="32"/>
      <c r="BD176" s="31"/>
      <c r="BE176" s="31"/>
      <c r="BF176" s="31"/>
      <c r="BG176" s="31"/>
      <c r="BH176" s="31"/>
      <c r="BI176" s="31"/>
      <c r="BJ176" s="31"/>
      <c r="BK176" s="31"/>
      <c r="BL176" s="31"/>
      <c r="BM176" s="31"/>
      <c r="BN176" s="31"/>
      <c r="CB176" s="31"/>
      <c r="CG176" s="31"/>
    </row>
    <row r="177" spans="1:85" ht="12.75" customHeight="1" x14ac:dyDescent="0.2">
      <c r="A177" s="28">
        <f t="shared" si="60"/>
        <v>0</v>
      </c>
      <c r="B177" s="426"/>
      <c r="C177" s="427" t="s">
        <v>363</v>
      </c>
      <c r="D177" s="431"/>
      <c r="E177" s="223"/>
      <c r="F177" s="223"/>
      <c r="G177" s="365"/>
      <c r="H177" s="432"/>
      <c r="I177" s="365"/>
      <c r="J177" s="368">
        <f t="shared" si="144"/>
        <v>0</v>
      </c>
      <c r="K177" s="223"/>
      <c r="L177" s="405">
        <f t="shared" si="145"/>
        <v>0</v>
      </c>
      <c r="M177" s="405">
        <f t="shared" si="146"/>
        <v>0</v>
      </c>
      <c r="N177" s="405">
        <f t="shared" si="147"/>
        <v>0</v>
      </c>
      <c r="O177" s="1155"/>
      <c r="P177" s="406" t="str">
        <f t="shared" si="63"/>
        <v/>
      </c>
      <c r="Q177" s="50"/>
      <c r="R177" s="3"/>
      <c r="S177" s="28">
        <f t="shared" si="148"/>
        <v>0</v>
      </c>
      <c r="T177" s="28">
        <f t="shared" si="109"/>
        <v>0</v>
      </c>
      <c r="U177" s="30">
        <f t="shared" si="110"/>
        <v>0</v>
      </c>
      <c r="V177" s="40">
        <f t="shared" si="121"/>
        <v>0</v>
      </c>
      <c r="W177" s="32">
        <f t="shared" si="149"/>
        <v>0</v>
      </c>
      <c r="X177" s="28">
        <f t="shared" si="150"/>
        <v>0</v>
      </c>
      <c r="Y177" s="28">
        <f t="shared" si="151"/>
        <v>0</v>
      </c>
      <c r="Z177" s="28">
        <f t="shared" si="152"/>
        <v>0</v>
      </c>
      <c r="AA177" s="28">
        <f t="shared" si="153"/>
        <v>0</v>
      </c>
      <c r="AC177" s="28">
        <f t="shared" si="105"/>
        <v>0</v>
      </c>
      <c r="AD177" s="28">
        <f t="shared" si="154"/>
        <v>0</v>
      </c>
      <c r="AE177" s="28">
        <f t="shared" si="155"/>
        <v>0</v>
      </c>
      <c r="AF177" s="28">
        <f t="shared" si="156"/>
        <v>0</v>
      </c>
      <c r="AH177" s="32">
        <f t="shared" si="160"/>
        <v>0</v>
      </c>
      <c r="AI177" s="32">
        <f t="shared" si="157"/>
        <v>0</v>
      </c>
      <c r="AJ177" s="32">
        <f t="shared" si="158"/>
        <v>0</v>
      </c>
      <c r="AK177" s="32">
        <f t="shared" si="159"/>
        <v>0</v>
      </c>
      <c r="AL177" s="32"/>
      <c r="BD177" s="31"/>
      <c r="BE177" s="31"/>
      <c r="BF177" s="31"/>
      <c r="BG177" s="31"/>
      <c r="BH177" s="31"/>
      <c r="BI177" s="31"/>
      <c r="BJ177" s="31"/>
      <c r="BK177" s="31"/>
      <c r="BL177" s="31"/>
      <c r="BM177" s="31"/>
      <c r="BN177" s="31"/>
      <c r="CB177" s="31"/>
      <c r="CG177" s="31"/>
    </row>
    <row r="178" spans="1:85" ht="12.75" customHeight="1" x14ac:dyDescent="0.2">
      <c r="A178" s="28">
        <f t="shared" si="60"/>
        <v>0</v>
      </c>
      <c r="B178" s="426"/>
      <c r="C178" s="427" t="s">
        <v>363</v>
      </c>
      <c r="D178" s="431"/>
      <c r="E178" s="223"/>
      <c r="F178" s="223"/>
      <c r="G178" s="365"/>
      <c r="H178" s="432"/>
      <c r="I178" s="365"/>
      <c r="J178" s="368">
        <f t="shared" si="144"/>
        <v>0</v>
      </c>
      <c r="K178" s="223"/>
      <c r="L178" s="405">
        <f t="shared" si="145"/>
        <v>0</v>
      </c>
      <c r="M178" s="405">
        <f t="shared" si="146"/>
        <v>0</v>
      </c>
      <c r="N178" s="405">
        <f t="shared" si="147"/>
        <v>0</v>
      </c>
      <c r="O178" s="1155"/>
      <c r="P178" s="406" t="str">
        <f t="shared" si="63"/>
        <v/>
      </c>
      <c r="Q178" s="50"/>
      <c r="R178" s="3"/>
      <c r="S178" s="28">
        <f t="shared" si="148"/>
        <v>0</v>
      </c>
      <c r="T178" s="28">
        <f t="shared" si="109"/>
        <v>0</v>
      </c>
      <c r="U178" s="30">
        <f t="shared" si="110"/>
        <v>0</v>
      </c>
      <c r="V178" s="40">
        <f t="shared" si="121"/>
        <v>0</v>
      </c>
      <c r="W178" s="32">
        <f t="shared" si="149"/>
        <v>0</v>
      </c>
      <c r="X178" s="28">
        <f t="shared" si="150"/>
        <v>0</v>
      </c>
      <c r="Y178" s="28">
        <f t="shared" si="151"/>
        <v>0</v>
      </c>
      <c r="Z178" s="28">
        <f t="shared" si="152"/>
        <v>0</v>
      </c>
      <c r="AA178" s="28">
        <f t="shared" si="153"/>
        <v>0</v>
      </c>
      <c r="AC178" s="28">
        <f t="shared" si="105"/>
        <v>0</v>
      </c>
      <c r="AD178" s="28">
        <f t="shared" si="154"/>
        <v>0</v>
      </c>
      <c r="AE178" s="28">
        <f t="shared" si="155"/>
        <v>0</v>
      </c>
      <c r="AF178" s="28">
        <f t="shared" si="156"/>
        <v>0</v>
      </c>
      <c r="AH178" s="32">
        <f t="shared" si="160"/>
        <v>0</v>
      </c>
      <c r="AI178" s="32">
        <f t="shared" si="157"/>
        <v>0</v>
      </c>
      <c r="AJ178" s="32">
        <f t="shared" si="158"/>
        <v>0</v>
      </c>
      <c r="AK178" s="32">
        <f t="shared" si="159"/>
        <v>0</v>
      </c>
      <c r="AL178" s="32"/>
      <c r="BD178" s="31"/>
      <c r="BE178" s="31"/>
      <c r="BF178" s="31"/>
      <c r="BG178" s="31"/>
      <c r="BH178" s="31"/>
      <c r="BI178" s="31"/>
      <c r="BJ178" s="31"/>
      <c r="BK178" s="31"/>
      <c r="BL178" s="31"/>
      <c r="BM178" s="31"/>
      <c r="BN178" s="31"/>
      <c r="CB178" s="31"/>
      <c r="CG178" s="31"/>
    </row>
    <row r="179" spans="1:85" ht="12.75" customHeight="1" x14ac:dyDescent="0.2">
      <c r="A179" s="28">
        <f t="shared" si="60"/>
        <v>0</v>
      </c>
      <c r="B179" s="426"/>
      <c r="C179" s="427" t="s">
        <v>363</v>
      </c>
      <c r="D179" s="431"/>
      <c r="E179" s="223"/>
      <c r="F179" s="223"/>
      <c r="G179" s="365"/>
      <c r="H179" s="432"/>
      <c r="I179" s="365"/>
      <c r="J179" s="368">
        <f t="shared" si="144"/>
        <v>0</v>
      </c>
      <c r="K179" s="223"/>
      <c r="L179" s="405">
        <f t="shared" si="145"/>
        <v>0</v>
      </c>
      <c r="M179" s="405">
        <f t="shared" si="146"/>
        <v>0</v>
      </c>
      <c r="N179" s="405">
        <f t="shared" si="147"/>
        <v>0</v>
      </c>
      <c r="O179" s="1155"/>
      <c r="P179" s="406" t="str">
        <f t="shared" ref="P179:P191" si="161">IF(B179="","",IF(C179="",$AA$1,IF(D179="",$AE$1,IF(AND(D179&lt;&gt;$Q$1,E179=""),$AB$1,IF(AND(D179&lt;&gt;$Q$1,F179=""),$AC$1,IF(AND(D179=$Q$1,G179+H179=0),$AB$1,IF(I179="","",IF(AK179=0,$AB$1,""))))))))</f>
        <v/>
      </c>
      <c r="Q179" s="50"/>
      <c r="R179" s="3"/>
      <c r="S179" s="28">
        <f t="shared" si="148"/>
        <v>0</v>
      </c>
      <c r="T179" s="28">
        <f t="shared" si="109"/>
        <v>0</v>
      </c>
      <c r="U179" s="30">
        <f t="shared" si="110"/>
        <v>0</v>
      </c>
      <c r="V179" s="40">
        <f t="shared" si="121"/>
        <v>0</v>
      </c>
      <c r="W179" s="32">
        <f t="shared" si="149"/>
        <v>0</v>
      </c>
      <c r="X179" s="28">
        <f t="shared" si="150"/>
        <v>0</v>
      </c>
      <c r="Y179" s="28">
        <f t="shared" si="151"/>
        <v>0</v>
      </c>
      <c r="Z179" s="28">
        <f t="shared" si="152"/>
        <v>0</v>
      </c>
      <c r="AA179" s="28">
        <f t="shared" si="153"/>
        <v>0</v>
      </c>
      <c r="AC179" s="28">
        <f t="shared" si="105"/>
        <v>0</v>
      </c>
      <c r="AD179" s="28">
        <f t="shared" si="154"/>
        <v>0</v>
      </c>
      <c r="AE179" s="28">
        <f t="shared" si="155"/>
        <v>0</v>
      </c>
      <c r="AF179" s="28">
        <f t="shared" si="156"/>
        <v>0</v>
      </c>
      <c r="AH179" s="32">
        <f t="shared" si="160"/>
        <v>0</v>
      </c>
      <c r="AI179" s="32">
        <f t="shared" si="157"/>
        <v>0</v>
      </c>
      <c r="AJ179" s="32">
        <f t="shared" si="158"/>
        <v>0</v>
      </c>
      <c r="AK179" s="32">
        <f t="shared" si="159"/>
        <v>0</v>
      </c>
      <c r="AL179" s="32"/>
      <c r="BD179" s="31"/>
      <c r="BE179" s="31"/>
      <c r="BF179" s="31"/>
      <c r="BG179" s="31"/>
      <c r="BH179" s="31"/>
      <c r="BI179" s="31"/>
      <c r="BJ179" s="31"/>
      <c r="BK179" s="31"/>
      <c r="BL179" s="31"/>
      <c r="BM179" s="31"/>
      <c r="BN179" s="31"/>
      <c r="CB179" s="31"/>
      <c r="CG179" s="31"/>
    </row>
    <row r="180" spans="1:85" ht="12.75" customHeight="1" x14ac:dyDescent="0.2">
      <c r="A180" s="28">
        <f t="shared" si="60"/>
        <v>0</v>
      </c>
      <c r="B180" s="426"/>
      <c r="C180" s="427" t="s">
        <v>363</v>
      </c>
      <c r="D180" s="431"/>
      <c r="E180" s="223"/>
      <c r="F180" s="223"/>
      <c r="G180" s="365"/>
      <c r="H180" s="432"/>
      <c r="I180" s="365"/>
      <c r="J180" s="368">
        <f t="shared" si="144"/>
        <v>0</v>
      </c>
      <c r="K180" s="223"/>
      <c r="L180" s="405">
        <f t="shared" si="145"/>
        <v>0</v>
      </c>
      <c r="M180" s="405">
        <f t="shared" si="146"/>
        <v>0</v>
      </c>
      <c r="N180" s="405">
        <f t="shared" si="147"/>
        <v>0</v>
      </c>
      <c r="O180" s="1155"/>
      <c r="P180" s="406" t="str">
        <f t="shared" si="161"/>
        <v/>
      </c>
      <c r="Q180" s="50"/>
      <c r="R180" s="3"/>
      <c r="S180" s="28">
        <f t="shared" si="148"/>
        <v>0</v>
      </c>
      <c r="T180" s="28">
        <f t="shared" si="109"/>
        <v>0</v>
      </c>
      <c r="U180" s="30">
        <f t="shared" si="110"/>
        <v>0</v>
      </c>
      <c r="V180" s="40">
        <f t="shared" si="121"/>
        <v>0</v>
      </c>
      <c r="W180" s="32">
        <f t="shared" si="149"/>
        <v>0</v>
      </c>
      <c r="X180" s="28">
        <f t="shared" si="150"/>
        <v>0</v>
      </c>
      <c r="Y180" s="28">
        <f t="shared" si="151"/>
        <v>0</v>
      </c>
      <c r="Z180" s="28">
        <f t="shared" si="152"/>
        <v>0</v>
      </c>
      <c r="AA180" s="28">
        <f t="shared" si="153"/>
        <v>0</v>
      </c>
      <c r="AC180" s="28">
        <f t="shared" si="105"/>
        <v>0</v>
      </c>
      <c r="AD180" s="28">
        <f t="shared" si="154"/>
        <v>0</v>
      </c>
      <c r="AE180" s="28">
        <f t="shared" si="155"/>
        <v>0</v>
      </c>
      <c r="AF180" s="28">
        <f t="shared" si="156"/>
        <v>0</v>
      </c>
      <c r="AH180" s="32">
        <f t="shared" si="160"/>
        <v>0</v>
      </c>
      <c r="AI180" s="32">
        <f t="shared" si="157"/>
        <v>0</v>
      </c>
      <c r="AJ180" s="32">
        <f t="shared" si="158"/>
        <v>0</v>
      </c>
      <c r="AK180" s="32">
        <f t="shared" si="159"/>
        <v>0</v>
      </c>
      <c r="AL180" s="32"/>
      <c r="BD180" s="31"/>
      <c r="BE180" s="31"/>
      <c r="BF180" s="31"/>
      <c r="BG180" s="31"/>
      <c r="BH180" s="31"/>
      <c r="BI180" s="31"/>
      <c r="BJ180" s="31"/>
      <c r="BK180" s="31"/>
      <c r="BL180" s="31"/>
      <c r="BM180" s="31"/>
      <c r="BN180" s="31"/>
      <c r="CB180" s="31"/>
      <c r="CG180" s="31"/>
    </row>
    <row r="181" spans="1:85" ht="12.75" customHeight="1" x14ac:dyDescent="0.2">
      <c r="A181" s="28">
        <f t="shared" si="60"/>
        <v>0</v>
      </c>
      <c r="B181" s="426"/>
      <c r="C181" s="427" t="s">
        <v>363</v>
      </c>
      <c r="D181" s="431"/>
      <c r="E181" s="223"/>
      <c r="F181" s="223"/>
      <c r="G181" s="365"/>
      <c r="H181" s="432"/>
      <c r="I181" s="365"/>
      <c r="J181" s="368">
        <f t="shared" si="144"/>
        <v>0</v>
      </c>
      <c r="K181" s="223"/>
      <c r="L181" s="405">
        <f t="shared" si="145"/>
        <v>0</v>
      </c>
      <c r="M181" s="405">
        <f t="shared" si="146"/>
        <v>0</v>
      </c>
      <c r="N181" s="405">
        <f t="shared" si="147"/>
        <v>0</v>
      </c>
      <c r="O181" s="1155"/>
      <c r="P181" s="406" t="str">
        <f t="shared" si="161"/>
        <v/>
      </c>
      <c r="Q181" s="50"/>
      <c r="R181" s="3"/>
      <c r="S181" s="28">
        <f t="shared" si="148"/>
        <v>0</v>
      </c>
      <c r="T181" s="28">
        <f t="shared" si="109"/>
        <v>0</v>
      </c>
      <c r="U181" s="30">
        <f t="shared" si="110"/>
        <v>0</v>
      </c>
      <c r="V181" s="40">
        <f t="shared" si="121"/>
        <v>0</v>
      </c>
      <c r="W181" s="32">
        <f t="shared" si="149"/>
        <v>0</v>
      </c>
      <c r="X181" s="28">
        <f t="shared" si="150"/>
        <v>0</v>
      </c>
      <c r="Y181" s="28">
        <f t="shared" si="151"/>
        <v>0</v>
      </c>
      <c r="Z181" s="28">
        <f t="shared" si="152"/>
        <v>0</v>
      </c>
      <c r="AA181" s="28">
        <f t="shared" si="153"/>
        <v>0</v>
      </c>
      <c r="AC181" s="28">
        <f t="shared" si="105"/>
        <v>0</v>
      </c>
      <c r="AD181" s="28">
        <f t="shared" si="154"/>
        <v>0</v>
      </c>
      <c r="AE181" s="28">
        <f t="shared" si="155"/>
        <v>0</v>
      </c>
      <c r="AF181" s="28">
        <f t="shared" si="156"/>
        <v>0</v>
      </c>
      <c r="AH181" s="32">
        <f t="shared" si="160"/>
        <v>0</v>
      </c>
      <c r="AI181" s="32">
        <f t="shared" si="157"/>
        <v>0</v>
      </c>
      <c r="AJ181" s="32">
        <f t="shared" si="158"/>
        <v>0</v>
      </c>
      <c r="AK181" s="32">
        <f t="shared" si="159"/>
        <v>0</v>
      </c>
      <c r="AL181" s="32"/>
      <c r="BD181" s="31"/>
      <c r="BE181" s="31"/>
      <c r="BF181" s="31"/>
      <c r="BG181" s="31"/>
      <c r="BH181" s="31"/>
      <c r="BI181" s="31"/>
      <c r="BJ181" s="31"/>
      <c r="BK181" s="31"/>
      <c r="BL181" s="31"/>
      <c r="BM181" s="31"/>
      <c r="BN181" s="31"/>
      <c r="CB181" s="31"/>
      <c r="CG181" s="31"/>
    </row>
    <row r="182" spans="1:85" ht="12.75" customHeight="1" x14ac:dyDescent="0.2">
      <c r="A182" s="28">
        <f t="shared" si="60"/>
        <v>0</v>
      </c>
      <c r="B182" s="426"/>
      <c r="C182" s="427" t="s">
        <v>363</v>
      </c>
      <c r="D182" s="431"/>
      <c r="E182" s="223"/>
      <c r="F182" s="223"/>
      <c r="G182" s="365"/>
      <c r="H182" s="432"/>
      <c r="I182" s="365"/>
      <c r="J182" s="368">
        <f t="shared" si="144"/>
        <v>0</v>
      </c>
      <c r="K182" s="223"/>
      <c r="L182" s="405">
        <f t="shared" si="145"/>
        <v>0</v>
      </c>
      <c r="M182" s="405">
        <f t="shared" si="146"/>
        <v>0</v>
      </c>
      <c r="N182" s="405">
        <f t="shared" si="147"/>
        <v>0</v>
      </c>
      <c r="O182" s="1155"/>
      <c r="P182" s="406" t="str">
        <f t="shared" si="161"/>
        <v/>
      </c>
      <c r="Q182" s="50"/>
      <c r="R182" s="3"/>
      <c r="S182" s="28">
        <f t="shared" si="148"/>
        <v>0</v>
      </c>
      <c r="T182" s="28">
        <f t="shared" si="109"/>
        <v>0</v>
      </c>
      <c r="U182" s="30">
        <f t="shared" si="110"/>
        <v>0</v>
      </c>
      <c r="V182" s="40">
        <f t="shared" ref="V182:V191" si="162">IF(ISBLANK(B182),0,VLOOKUP($B182,$B$322:$C$343,2,FALSE))</f>
      </c>
      <c r="W182" s="32">
        <f t="shared" si="149"/>
        <v>0</v>
      </c>
      <c r="X182" s="28">
        <f t="shared" si="150"/>
        <v>0</v>
      </c>
      <c r="Y182" s="28">
        <f t="shared" si="151"/>
        <v>0</v>
      </c>
      <c r="Z182" s="28">
        <f t="shared" si="152"/>
        <v>0</v>
      </c>
      <c r="AA182" s="28">
        <f t="shared" si="153"/>
        <v>0</v>
      </c>
      <c r="AC182" s="28">
        <f t="shared" si="105"/>
        <v>0</v>
      </c>
      <c r="AD182" s="28">
        <f t="shared" si="154"/>
        <v>0</v>
      </c>
      <c r="AE182" s="28">
        <f t="shared" si="155"/>
        <v>0</v>
      </c>
      <c r="AF182" s="28">
        <f t="shared" si="156"/>
        <v>0</v>
      </c>
      <c r="AH182" s="32">
        <f t="shared" si="160"/>
        <v>0</v>
      </c>
      <c r="AI182" s="32">
        <f t="shared" si="157"/>
        <v>0</v>
      </c>
      <c r="AJ182" s="32">
        <f t="shared" si="158"/>
        <v>0</v>
      </c>
      <c r="AK182" s="32">
        <f t="shared" si="159"/>
        <v>0</v>
      </c>
      <c r="AL182" s="32"/>
      <c r="BD182" s="31"/>
      <c r="BE182" s="31"/>
      <c r="BF182" s="31"/>
      <c r="BG182" s="31"/>
      <c r="BH182" s="31"/>
      <c r="BI182" s="31"/>
      <c r="BJ182" s="31"/>
      <c r="BK182" s="31"/>
      <c r="BL182" s="31"/>
      <c r="BM182" s="31"/>
      <c r="BN182" s="31"/>
      <c r="CB182" s="31"/>
      <c r="CG182" s="31"/>
    </row>
    <row r="183" spans="1:85" ht="12.75" customHeight="1" x14ac:dyDescent="0.2">
      <c r="A183" s="28">
        <f t="shared" si="60"/>
        <v>0</v>
      </c>
      <c r="B183" s="426"/>
      <c r="C183" s="427" t="s">
        <v>363</v>
      </c>
      <c r="D183" s="431"/>
      <c r="E183" s="223"/>
      <c r="F183" s="223"/>
      <c r="G183" s="365"/>
      <c r="H183" s="432"/>
      <c r="I183" s="365"/>
      <c r="J183" s="368">
        <f t="shared" si="144"/>
        <v>0</v>
      </c>
      <c r="K183" s="223"/>
      <c r="L183" s="405">
        <f t="shared" si="145"/>
        <v>0</v>
      </c>
      <c r="M183" s="405">
        <f t="shared" si="146"/>
        <v>0</v>
      </c>
      <c r="N183" s="405">
        <f t="shared" si="147"/>
        <v>0</v>
      </c>
      <c r="O183" s="1155"/>
      <c r="P183" s="406" t="str">
        <f t="shared" si="161"/>
        <v/>
      </c>
      <c r="Q183" s="50"/>
      <c r="R183" s="3"/>
      <c r="S183" s="28">
        <f t="shared" si="148"/>
        <v>0</v>
      </c>
      <c r="T183" s="28">
        <f t="shared" si="109"/>
        <v>0</v>
      </c>
      <c r="U183" s="30">
        <f t="shared" si="110"/>
        <v>0</v>
      </c>
      <c r="V183" s="40">
        <f t="shared" si="162"/>
        <v>0</v>
      </c>
      <c r="W183" s="32">
        <f t="shared" si="149"/>
        <v>0</v>
      </c>
      <c r="X183" s="28">
        <f t="shared" si="150"/>
        <v>0</v>
      </c>
      <c r="Y183" s="28">
        <f t="shared" si="151"/>
        <v>0</v>
      </c>
      <c r="Z183" s="28">
        <f t="shared" si="152"/>
        <v>0</v>
      </c>
      <c r="AA183" s="28">
        <f t="shared" si="153"/>
        <v>0</v>
      </c>
      <c r="AC183" s="28">
        <f t="shared" si="105"/>
        <v>0</v>
      </c>
      <c r="AD183" s="28">
        <f t="shared" si="154"/>
        <v>0</v>
      </c>
      <c r="AE183" s="28">
        <f t="shared" si="155"/>
        <v>0</v>
      </c>
      <c r="AF183" s="28">
        <f t="shared" si="156"/>
        <v>0</v>
      </c>
      <c r="AH183" s="32">
        <f t="shared" si="160"/>
        <v>0</v>
      </c>
      <c r="AI183" s="32">
        <f t="shared" si="157"/>
        <v>0</v>
      </c>
      <c r="AJ183" s="32">
        <f t="shared" si="158"/>
        <v>0</v>
      </c>
      <c r="AK183" s="32">
        <f t="shared" si="159"/>
        <v>0</v>
      </c>
      <c r="AL183" s="32"/>
      <c r="BD183" s="31"/>
      <c r="BE183" s="31"/>
      <c r="BF183" s="31"/>
      <c r="BG183" s="31"/>
      <c r="BH183" s="31"/>
      <c r="BI183" s="31"/>
      <c r="BJ183" s="31"/>
      <c r="BK183" s="31"/>
      <c r="BL183" s="31"/>
      <c r="BM183" s="31"/>
      <c r="BN183" s="31"/>
      <c r="CB183" s="31"/>
      <c r="CG183" s="31"/>
    </row>
    <row r="184" spans="1:85" ht="12.75" customHeight="1" x14ac:dyDescent="0.2">
      <c r="A184" s="28">
        <f t="shared" si="60"/>
        <v>0</v>
      </c>
      <c r="B184" s="426"/>
      <c r="C184" s="427" t="s">
        <v>363</v>
      </c>
      <c r="D184" s="431"/>
      <c r="E184" s="223"/>
      <c r="F184" s="223"/>
      <c r="G184" s="365"/>
      <c r="H184" s="432"/>
      <c r="I184" s="365"/>
      <c r="J184" s="368">
        <f t="shared" si="144"/>
        <v>0</v>
      </c>
      <c r="K184" s="223"/>
      <c r="L184" s="405">
        <f t="shared" si="145"/>
        <v>0</v>
      </c>
      <c r="M184" s="405">
        <f t="shared" si="146"/>
        <v>0</v>
      </c>
      <c r="N184" s="405">
        <f t="shared" si="147"/>
        <v>0</v>
      </c>
      <c r="O184" s="1155"/>
      <c r="P184" s="406" t="str">
        <f t="shared" si="161"/>
        <v/>
      </c>
      <c r="Q184" s="50"/>
      <c r="R184" s="3"/>
      <c r="S184" s="28">
        <f t="shared" si="148"/>
        <v>0</v>
      </c>
      <c r="T184" s="28">
        <f t="shared" si="109"/>
        <v>0</v>
      </c>
      <c r="U184" s="30">
        <f t="shared" si="110"/>
        <v>0</v>
      </c>
      <c r="V184" s="40">
        <f t="shared" si="162"/>
        <v>0</v>
      </c>
      <c r="W184" s="32">
        <f t="shared" si="149"/>
        <v>0</v>
      </c>
      <c r="X184" s="28">
        <f t="shared" si="150"/>
        <v>0</v>
      </c>
      <c r="Y184" s="28">
        <f t="shared" si="151"/>
        <v>0</v>
      </c>
      <c r="Z184" s="28">
        <f t="shared" si="152"/>
        <v>0</v>
      </c>
      <c r="AA184" s="28">
        <f t="shared" si="153"/>
        <v>0</v>
      </c>
      <c r="AC184" s="28">
        <f t="shared" si="105"/>
        <v>0</v>
      </c>
      <c r="AD184" s="28">
        <f t="shared" si="154"/>
        <v>0</v>
      </c>
      <c r="AE184" s="28">
        <f t="shared" si="155"/>
        <v>0</v>
      </c>
      <c r="AF184" s="28">
        <f t="shared" si="156"/>
        <v>0</v>
      </c>
      <c r="AH184" s="32">
        <f t="shared" si="160"/>
        <v>0</v>
      </c>
      <c r="AI184" s="32">
        <f t="shared" si="157"/>
        <v>0</v>
      </c>
      <c r="AJ184" s="32">
        <f t="shared" si="158"/>
        <v>0</v>
      </c>
      <c r="AK184" s="32">
        <f t="shared" si="159"/>
        <v>0</v>
      </c>
      <c r="AL184" s="32"/>
      <c r="BD184" s="31"/>
      <c r="BE184" s="31"/>
      <c r="BF184" s="31"/>
      <c r="BG184" s="31"/>
      <c r="BH184" s="31"/>
      <c r="BI184" s="31"/>
      <c r="BJ184" s="31"/>
      <c r="BK184" s="31"/>
      <c r="BL184" s="31"/>
      <c r="BM184" s="31"/>
      <c r="BN184" s="31"/>
      <c r="CB184" s="31"/>
      <c r="CG184" s="31"/>
    </row>
    <row r="185" spans="1:85" ht="12.75" customHeight="1" x14ac:dyDescent="0.2">
      <c r="A185" s="28">
        <f t="shared" si="60"/>
        <v>0</v>
      </c>
      <c r="B185" s="426"/>
      <c r="C185" s="427" t="s">
        <v>363</v>
      </c>
      <c r="D185" s="431"/>
      <c r="E185" s="223"/>
      <c r="F185" s="223"/>
      <c r="G185" s="365"/>
      <c r="H185" s="432"/>
      <c r="I185" s="365"/>
      <c r="J185" s="368">
        <f t="shared" si="144"/>
        <v>0</v>
      </c>
      <c r="K185" s="223"/>
      <c r="L185" s="405">
        <f t="shared" si="145"/>
        <v>0</v>
      </c>
      <c r="M185" s="405">
        <f t="shared" si="146"/>
        <v>0</v>
      </c>
      <c r="N185" s="405">
        <f t="shared" si="147"/>
        <v>0</v>
      </c>
      <c r="O185" s="1155"/>
      <c r="P185" s="406" t="str">
        <f t="shared" si="161"/>
        <v/>
      </c>
      <c r="Q185" s="50"/>
      <c r="R185" s="3"/>
      <c r="S185" s="28">
        <f t="shared" si="148"/>
        <v>0</v>
      </c>
      <c r="T185" s="28">
        <f t="shared" si="109"/>
        <v>0</v>
      </c>
      <c r="U185" s="30">
        <f t="shared" si="110"/>
        <v>0</v>
      </c>
      <c r="V185" s="40">
        <f t="shared" si="162"/>
        <v>0</v>
      </c>
      <c r="W185" s="32">
        <f t="shared" si="149"/>
        <v>0</v>
      </c>
      <c r="X185" s="28">
        <f t="shared" si="150"/>
        <v>0</v>
      </c>
      <c r="Y185" s="28">
        <f t="shared" si="151"/>
        <v>0</v>
      </c>
      <c r="Z185" s="28">
        <f t="shared" si="152"/>
        <v>0</v>
      </c>
      <c r="AA185" s="28">
        <f t="shared" si="153"/>
        <v>0</v>
      </c>
      <c r="AC185" s="28">
        <f t="shared" si="105"/>
        <v>0</v>
      </c>
      <c r="AD185" s="28">
        <f t="shared" si="154"/>
        <v>0</v>
      </c>
      <c r="AE185" s="28">
        <f t="shared" si="155"/>
        <v>0</v>
      </c>
      <c r="AF185" s="28">
        <f t="shared" si="156"/>
        <v>0</v>
      </c>
      <c r="AH185" s="32">
        <f t="shared" si="160"/>
        <v>0</v>
      </c>
      <c r="AI185" s="32">
        <f t="shared" si="157"/>
        <v>0</v>
      </c>
      <c r="AJ185" s="32">
        <f t="shared" si="158"/>
        <v>0</v>
      </c>
      <c r="AK185" s="32">
        <f t="shared" si="159"/>
        <v>0</v>
      </c>
      <c r="AL185" s="32"/>
      <c r="BD185" s="31"/>
      <c r="BE185" s="31"/>
      <c r="BF185" s="31"/>
      <c r="BG185" s="31"/>
      <c r="BH185" s="31"/>
      <c r="BI185" s="31"/>
      <c r="BJ185" s="31"/>
      <c r="BK185" s="31"/>
      <c r="BL185" s="31"/>
      <c r="BM185" s="31"/>
      <c r="BN185" s="31"/>
      <c r="CB185" s="31"/>
      <c r="CG185" s="31"/>
    </row>
    <row r="186" spans="1:85" ht="12.75" customHeight="1" x14ac:dyDescent="0.2">
      <c r="A186" s="28">
        <f t="shared" si="60"/>
        <v>0</v>
      </c>
      <c r="B186" s="426"/>
      <c r="C186" s="427" t="s">
        <v>363</v>
      </c>
      <c r="D186" s="431"/>
      <c r="E186" s="223"/>
      <c r="F186" s="223"/>
      <c r="G186" s="365"/>
      <c r="H186" s="432"/>
      <c r="I186" s="365"/>
      <c r="J186" s="368">
        <f t="shared" si="144"/>
        <v>0</v>
      </c>
      <c r="K186" s="223"/>
      <c r="L186" s="405">
        <f t="shared" si="145"/>
        <v>0</v>
      </c>
      <c r="M186" s="405">
        <f t="shared" si="146"/>
        <v>0</v>
      </c>
      <c r="N186" s="405">
        <f t="shared" si="147"/>
        <v>0</v>
      </c>
      <c r="O186" s="1155"/>
      <c r="P186" s="406" t="str">
        <f t="shared" si="161"/>
        <v/>
      </c>
      <c r="Q186" s="50"/>
      <c r="R186" s="3"/>
      <c r="S186" s="28">
        <f t="shared" si="148"/>
        <v>0</v>
      </c>
      <c r="T186" s="28">
        <f t="shared" si="109"/>
        <v>0</v>
      </c>
      <c r="U186" s="30">
        <f t="shared" si="110"/>
        <v>0</v>
      </c>
      <c r="V186" s="40">
        <f t="shared" si="162"/>
        <v>0</v>
      </c>
      <c r="W186" s="32">
        <f t="shared" si="149"/>
        <v>0</v>
      </c>
      <c r="X186" s="28">
        <f t="shared" si="150"/>
        <v>0</v>
      </c>
      <c r="Y186" s="28">
        <f t="shared" si="151"/>
        <v>0</v>
      </c>
      <c r="Z186" s="28">
        <f t="shared" si="152"/>
        <v>0</v>
      </c>
      <c r="AA186" s="28">
        <f t="shared" si="153"/>
        <v>0</v>
      </c>
      <c r="AC186" s="28">
        <f t="shared" si="105"/>
        <v>0</v>
      </c>
      <c r="AD186" s="28">
        <f t="shared" si="154"/>
        <v>0</v>
      </c>
      <c r="AE186" s="28">
        <f t="shared" si="155"/>
        <v>0</v>
      </c>
      <c r="AF186" s="28">
        <f t="shared" si="156"/>
        <v>0</v>
      </c>
      <c r="AH186" s="32">
        <f t="shared" si="160"/>
        <v>0</v>
      </c>
      <c r="AI186" s="32">
        <f t="shared" si="157"/>
        <v>0</v>
      </c>
      <c r="AJ186" s="32">
        <f t="shared" si="158"/>
        <v>0</v>
      </c>
      <c r="AK186" s="32">
        <f t="shared" si="159"/>
        <v>0</v>
      </c>
      <c r="AL186" s="32"/>
      <c r="BD186" s="31"/>
      <c r="BE186" s="31"/>
      <c r="BF186" s="31"/>
      <c r="BG186" s="31"/>
      <c r="BH186" s="31"/>
      <c r="BI186" s="31"/>
      <c r="BJ186" s="31"/>
      <c r="BK186" s="31"/>
      <c r="BL186" s="31"/>
      <c r="BM186" s="31"/>
      <c r="BN186" s="31"/>
      <c r="CB186" s="31"/>
      <c r="CG186" s="31"/>
    </row>
    <row r="187" spans="1:85" ht="12.75" customHeight="1" x14ac:dyDescent="0.2">
      <c r="A187" s="28">
        <f t="shared" si="60"/>
        <v>0</v>
      </c>
      <c r="B187" s="426"/>
      <c r="C187" s="427" t="s">
        <v>363</v>
      </c>
      <c r="D187" s="431"/>
      <c r="E187" s="223"/>
      <c r="F187" s="223"/>
      <c r="G187" s="365"/>
      <c r="H187" s="432"/>
      <c r="I187" s="365"/>
      <c r="J187" s="368">
        <f t="shared" si="144"/>
        <v>0</v>
      </c>
      <c r="K187" s="223"/>
      <c r="L187" s="405">
        <f t="shared" si="145"/>
        <v>0</v>
      </c>
      <c r="M187" s="405">
        <f t="shared" si="146"/>
        <v>0</v>
      </c>
      <c r="N187" s="405">
        <f t="shared" si="147"/>
        <v>0</v>
      </c>
      <c r="O187" s="1155"/>
      <c r="P187" s="406" t="str">
        <f t="shared" si="161"/>
        <v/>
      </c>
      <c r="Q187" s="50"/>
      <c r="R187" s="3"/>
      <c r="S187" s="28">
        <f t="shared" si="148"/>
        <v>0</v>
      </c>
      <c r="T187" s="28">
        <f t="shared" si="109"/>
        <v>0</v>
      </c>
      <c r="U187" s="30">
        <f t="shared" si="110"/>
        <v>0</v>
      </c>
      <c r="V187" s="40">
        <f t="shared" si="162"/>
        <v>0</v>
      </c>
      <c r="W187" s="32">
        <f t="shared" si="149"/>
        <v>0</v>
      </c>
      <c r="X187" s="28">
        <f t="shared" si="150"/>
        <v>0</v>
      </c>
      <c r="Y187" s="28">
        <f t="shared" si="151"/>
        <v>0</v>
      </c>
      <c r="Z187" s="28">
        <f t="shared" si="152"/>
        <v>0</v>
      </c>
      <c r="AA187" s="28">
        <f t="shared" si="153"/>
        <v>0</v>
      </c>
      <c r="AC187" s="28">
        <f t="shared" si="105"/>
        <v>0</v>
      </c>
      <c r="AD187" s="28">
        <f t="shared" si="154"/>
        <v>0</v>
      </c>
      <c r="AE187" s="28">
        <f t="shared" si="155"/>
        <v>0</v>
      </c>
      <c r="AF187" s="28">
        <f t="shared" si="156"/>
        <v>0</v>
      </c>
      <c r="AH187" s="32">
        <f t="shared" si="160"/>
        <v>0</v>
      </c>
      <c r="AI187" s="32">
        <f t="shared" si="157"/>
        <v>0</v>
      </c>
      <c r="AJ187" s="32">
        <f t="shared" si="158"/>
        <v>0</v>
      </c>
      <c r="AK187" s="32">
        <f t="shared" si="159"/>
        <v>0</v>
      </c>
      <c r="AL187" s="32"/>
      <c r="BD187" s="31"/>
      <c r="BE187" s="31"/>
      <c r="BF187" s="31"/>
      <c r="BG187" s="31"/>
      <c r="BH187" s="31"/>
      <c r="BI187" s="31"/>
      <c r="BJ187" s="31"/>
      <c r="BK187" s="31"/>
      <c r="BL187" s="31"/>
      <c r="BM187" s="31"/>
      <c r="BN187" s="31"/>
      <c r="CB187" s="31"/>
      <c r="CG187" s="31"/>
    </row>
    <row r="188" spans="1:85" ht="12.75" customHeight="1" x14ac:dyDescent="0.2">
      <c r="A188" s="28">
        <f t="shared" si="60"/>
        <v>0</v>
      </c>
      <c r="B188" s="426"/>
      <c r="C188" s="427" t="s">
        <v>363</v>
      </c>
      <c r="D188" s="431"/>
      <c r="E188" s="223"/>
      <c r="F188" s="223"/>
      <c r="G188" s="365"/>
      <c r="H188" s="432"/>
      <c r="I188" s="365"/>
      <c r="J188" s="368">
        <f t="shared" si="144"/>
        <v>0</v>
      </c>
      <c r="K188" s="223"/>
      <c r="L188" s="405">
        <f t="shared" si="145"/>
        <v>0</v>
      </c>
      <c r="M188" s="405">
        <f t="shared" si="146"/>
        <v>0</v>
      </c>
      <c r="N188" s="405">
        <f t="shared" si="147"/>
        <v>0</v>
      </c>
      <c r="O188" s="1155"/>
      <c r="P188" s="406" t="str">
        <f t="shared" si="161"/>
        <v/>
      </c>
      <c r="Q188" s="50"/>
      <c r="R188" s="3"/>
      <c r="S188" s="28">
        <f t="shared" si="148"/>
        <v>0</v>
      </c>
      <c r="T188" s="28">
        <f t="shared" si="109"/>
        <v>0</v>
      </c>
      <c r="U188" s="30">
        <f t="shared" si="110"/>
        <v>0</v>
      </c>
      <c r="V188" s="40">
        <f t="shared" si="162"/>
        <v>0</v>
      </c>
      <c r="W188" s="32">
        <f t="shared" si="149"/>
        <v>0</v>
      </c>
      <c r="X188" s="28">
        <f t="shared" si="150"/>
        <v>0</v>
      </c>
      <c r="Y188" s="28">
        <f t="shared" si="151"/>
        <v>0</v>
      </c>
      <c r="Z188" s="28">
        <f t="shared" si="152"/>
        <v>0</v>
      </c>
      <c r="AA188" s="28">
        <f t="shared" si="153"/>
        <v>0</v>
      </c>
      <c r="AC188" s="28">
        <f t="shared" si="105"/>
        <v>0</v>
      </c>
      <c r="AD188" s="28">
        <f t="shared" si="154"/>
        <v>0</v>
      </c>
      <c r="AE188" s="28">
        <f t="shared" si="155"/>
        <v>0</v>
      </c>
      <c r="AF188" s="28">
        <f t="shared" si="156"/>
        <v>0</v>
      </c>
      <c r="AH188" s="32">
        <f t="shared" si="160"/>
        <v>0</v>
      </c>
      <c r="AI188" s="32">
        <f t="shared" si="157"/>
        <v>0</v>
      </c>
      <c r="AJ188" s="32">
        <f t="shared" si="158"/>
        <v>0</v>
      </c>
      <c r="AK188" s="32">
        <f t="shared" si="159"/>
        <v>0</v>
      </c>
      <c r="AL188" s="32"/>
      <c r="BD188" s="31"/>
      <c r="BE188" s="31"/>
      <c r="BF188" s="31"/>
      <c r="BG188" s="31"/>
      <c r="BH188" s="31"/>
      <c r="BI188" s="31"/>
      <c r="BJ188" s="31"/>
      <c r="BK188" s="31"/>
      <c r="BL188" s="31"/>
      <c r="BM188" s="31"/>
      <c r="BN188" s="31"/>
      <c r="CB188" s="31"/>
      <c r="CG188" s="31"/>
    </row>
    <row r="189" spans="1:85" ht="12.75" customHeight="1" x14ac:dyDescent="0.2">
      <c r="A189" s="28">
        <f t="shared" si="60"/>
        <v>0</v>
      </c>
      <c r="B189" s="426"/>
      <c r="C189" s="427" t="s">
        <v>363</v>
      </c>
      <c r="D189" s="431"/>
      <c r="E189" s="223"/>
      <c r="F189" s="223"/>
      <c r="G189" s="365"/>
      <c r="H189" s="432"/>
      <c r="I189" s="365"/>
      <c r="J189" s="368">
        <f t="shared" si="144"/>
        <v>0</v>
      </c>
      <c r="K189" s="223"/>
      <c r="L189" s="405">
        <f t="shared" si="145"/>
        <v>0</v>
      </c>
      <c r="M189" s="405">
        <f t="shared" si="146"/>
        <v>0</v>
      </c>
      <c r="N189" s="405">
        <f t="shared" si="147"/>
        <v>0</v>
      </c>
      <c r="O189" s="1155"/>
      <c r="P189" s="406" t="str">
        <f t="shared" si="161"/>
        <v/>
      </c>
      <c r="Q189" s="50"/>
      <c r="R189" s="3"/>
      <c r="S189" s="28">
        <f t="shared" si="148"/>
        <v>0</v>
      </c>
      <c r="T189" s="28">
        <f t="shared" si="109"/>
        <v>0</v>
      </c>
      <c r="U189" s="30">
        <f t="shared" si="110"/>
        <v>0</v>
      </c>
      <c r="V189" s="40">
        <f t="shared" si="162"/>
        <v>0</v>
      </c>
      <c r="W189" s="32">
        <f t="shared" si="149"/>
        <v>0</v>
      </c>
      <c r="X189" s="28">
        <f t="shared" si="150"/>
        <v>0</v>
      </c>
      <c r="Y189" s="28">
        <f t="shared" si="151"/>
        <v>0</v>
      </c>
      <c r="Z189" s="28">
        <f t="shared" si="152"/>
        <v>0</v>
      </c>
      <c r="AA189" s="28">
        <f t="shared" si="153"/>
        <v>0</v>
      </c>
      <c r="AC189" s="28">
        <f t="shared" si="105"/>
        <v>0</v>
      </c>
      <c r="AD189" s="28">
        <f t="shared" si="154"/>
        <v>0</v>
      </c>
      <c r="AE189" s="28">
        <f t="shared" si="155"/>
        <v>0</v>
      </c>
      <c r="AF189" s="28">
        <f t="shared" si="156"/>
        <v>0</v>
      </c>
      <c r="AH189" s="32">
        <f t="shared" si="160"/>
        <v>0</v>
      </c>
      <c r="AI189" s="32">
        <f t="shared" si="157"/>
        <v>0</v>
      </c>
      <c r="AJ189" s="32">
        <f t="shared" si="158"/>
        <v>0</v>
      </c>
      <c r="AK189" s="32">
        <f t="shared" si="159"/>
        <v>0</v>
      </c>
      <c r="AL189" s="32"/>
      <c r="BD189" s="31"/>
      <c r="BE189" s="31"/>
      <c r="BF189" s="31"/>
      <c r="BG189" s="31"/>
      <c r="BH189" s="31"/>
      <c r="BI189" s="31"/>
      <c r="BJ189" s="31"/>
      <c r="BK189" s="31"/>
      <c r="BL189" s="31"/>
      <c r="BM189" s="31"/>
      <c r="BN189" s="31"/>
      <c r="CB189" s="31"/>
      <c r="CG189" s="31"/>
    </row>
    <row r="190" spans="1:85" ht="12.75" customHeight="1" x14ac:dyDescent="0.2">
      <c r="A190" s="28">
        <f t="shared" si="60"/>
        <v>0</v>
      </c>
      <c r="B190" s="426"/>
      <c r="C190" s="427" t="s">
        <v>363</v>
      </c>
      <c r="D190" s="431"/>
      <c r="E190" s="223"/>
      <c r="F190" s="223"/>
      <c r="G190" s="365"/>
      <c r="H190" s="432"/>
      <c r="I190" s="365"/>
      <c r="J190" s="368">
        <f t="shared" si="144"/>
        <v>0</v>
      </c>
      <c r="K190" s="223"/>
      <c r="L190" s="405">
        <f t="shared" si="145"/>
        <v>0</v>
      </c>
      <c r="M190" s="405">
        <f t="shared" si="146"/>
        <v>0</v>
      </c>
      <c r="N190" s="405">
        <f t="shared" si="147"/>
        <v>0</v>
      </c>
      <c r="O190" s="1155"/>
      <c r="P190" s="406" t="str">
        <f t="shared" si="161"/>
        <v/>
      </c>
      <c r="Q190" s="50"/>
      <c r="R190" s="3"/>
      <c r="S190" s="28">
        <f t="shared" si="148"/>
        <v>0</v>
      </c>
      <c r="T190" s="28">
        <f t="shared" si="109"/>
        <v>0</v>
      </c>
      <c r="U190" s="30">
        <f t="shared" si="110"/>
        <v>0</v>
      </c>
      <c r="V190" s="40">
        <f t="shared" si="162"/>
        <v>0</v>
      </c>
      <c r="W190" s="32">
        <f t="shared" si="149"/>
        <v>0</v>
      </c>
      <c r="X190" s="28">
        <f t="shared" si="150"/>
        <v>0</v>
      </c>
      <c r="Y190" s="28">
        <f t="shared" si="151"/>
        <v>0</v>
      </c>
      <c r="Z190" s="28">
        <f t="shared" si="152"/>
        <v>0</v>
      </c>
      <c r="AA190" s="28">
        <f t="shared" si="153"/>
        <v>0</v>
      </c>
      <c r="AC190" s="28">
        <f t="shared" si="105"/>
        <v>0</v>
      </c>
      <c r="AD190" s="28">
        <f t="shared" si="154"/>
        <v>0</v>
      </c>
      <c r="AE190" s="28">
        <f t="shared" si="155"/>
        <v>0</v>
      </c>
      <c r="AF190" s="28">
        <f t="shared" si="156"/>
        <v>0</v>
      </c>
      <c r="AH190" s="32">
        <f t="shared" si="160"/>
        <v>0</v>
      </c>
      <c r="AI190" s="32">
        <f t="shared" si="157"/>
        <v>0</v>
      </c>
      <c r="AJ190" s="32">
        <f t="shared" si="158"/>
        <v>0</v>
      </c>
      <c r="AK190" s="32">
        <f t="shared" si="159"/>
        <v>0</v>
      </c>
      <c r="AL190" s="32"/>
      <c r="BD190" s="31"/>
      <c r="BE190" s="31"/>
      <c r="BF190" s="31"/>
      <c r="BG190" s="31"/>
      <c r="BH190" s="31"/>
      <c r="BI190" s="31"/>
      <c r="BJ190" s="31"/>
      <c r="BK190" s="31"/>
      <c r="BL190" s="31"/>
      <c r="BM190" s="31"/>
      <c r="BN190" s="31"/>
      <c r="CB190" s="31"/>
      <c r="CG190" s="31"/>
    </row>
    <row r="191" spans="1:85" ht="12.75" customHeight="1" x14ac:dyDescent="0.2">
      <c r="A191" s="28">
        <f t="shared" si="60"/>
        <v>0</v>
      </c>
      <c r="B191" s="426"/>
      <c r="C191" s="427" t="s">
        <v>363</v>
      </c>
      <c r="D191" s="431"/>
      <c r="E191" s="223"/>
      <c r="F191" s="223"/>
      <c r="G191" s="365"/>
      <c r="H191" s="432"/>
      <c r="I191" s="365"/>
      <c r="J191" s="368">
        <f t="shared" si="144"/>
        <v>0</v>
      </c>
      <c r="K191" s="223"/>
      <c r="L191" s="405">
        <f t="shared" si="145"/>
        <v>0</v>
      </c>
      <c r="M191" s="405">
        <f t="shared" si="146"/>
        <v>0</v>
      </c>
      <c r="N191" s="405">
        <f t="shared" si="147"/>
        <v>0</v>
      </c>
      <c r="O191" s="1155"/>
      <c r="P191" s="406" t="str">
        <f t="shared" si="161"/>
        <v/>
      </c>
      <c r="Q191" s="50"/>
      <c r="R191" s="3"/>
      <c r="S191" s="28">
        <f t="shared" si="148"/>
        <v>0</v>
      </c>
      <c r="T191" s="28">
        <f t="shared" si="109"/>
        <v>0</v>
      </c>
      <c r="U191" s="30">
        <f t="shared" si="110"/>
        <v>0</v>
      </c>
      <c r="V191" s="40">
        <f t="shared" si="162"/>
        <v>0</v>
      </c>
      <c r="W191" s="32">
        <f t="shared" si="149"/>
        <v>0</v>
      </c>
      <c r="X191" s="28">
        <f t="shared" si="150"/>
        <v>0</v>
      </c>
      <c r="Y191" s="28">
        <f t="shared" si="151"/>
        <v>0</v>
      </c>
      <c r="Z191" s="28">
        <f t="shared" si="152"/>
        <v>0</v>
      </c>
      <c r="AA191" s="28">
        <f t="shared" si="153"/>
        <v>0</v>
      </c>
      <c r="AC191" s="28">
        <f t="shared" si="105"/>
        <v>0</v>
      </c>
      <c r="AD191" s="28">
        <f t="shared" si="154"/>
        <v>0</v>
      </c>
      <c r="AE191" s="28">
        <f t="shared" si="155"/>
        <v>0</v>
      </c>
      <c r="AF191" s="28">
        <f t="shared" si="156"/>
        <v>0</v>
      </c>
      <c r="AH191" s="32">
        <f t="shared" si="160"/>
        <v>0</v>
      </c>
      <c r="AI191" s="32">
        <f t="shared" si="157"/>
        <v>0</v>
      </c>
      <c r="AJ191" s="32">
        <f t="shared" si="158"/>
        <v>0</v>
      </c>
      <c r="AK191" s="32">
        <f t="shared" si="159"/>
        <v>0</v>
      </c>
      <c r="AL191" s="32"/>
      <c r="BD191" s="31"/>
      <c r="BE191" s="31"/>
      <c r="BF191" s="31"/>
      <c r="BG191" s="31"/>
      <c r="BH191" s="31"/>
      <c r="BI191" s="31"/>
      <c r="BJ191" s="31"/>
      <c r="BK191" s="31"/>
      <c r="BL191" s="31"/>
      <c r="BM191" s="31"/>
      <c r="BN191" s="31"/>
      <c r="CB191" s="31"/>
      <c r="CG191" s="31"/>
    </row>
    <row r="192" spans="1:85" ht="12.75" hidden="1" customHeight="1" x14ac:dyDescent="0.2">
      <c r="B192" s="3477"/>
      <c r="C192" s="3478"/>
      <c r="D192" s="3482"/>
      <c r="E192" s="3480"/>
      <c r="F192" s="3480"/>
      <c r="G192" s="3370"/>
      <c r="H192" s="3480"/>
      <c r="I192" s="3370"/>
      <c r="J192" s="3483"/>
      <c r="K192" s="3480"/>
      <c r="L192" s="3481"/>
      <c r="M192" s="3481"/>
      <c r="N192" s="3481"/>
      <c r="O192" s="3484"/>
      <c r="P192" s="406"/>
      <c r="Q192" s="50"/>
      <c r="R192" s="3"/>
      <c r="U192" s="30"/>
      <c r="V192" s="40"/>
      <c r="W192" s="32"/>
      <c r="AH192" s="32"/>
      <c r="AI192" s="32"/>
      <c r="AJ192" s="32"/>
      <c r="AK192" s="32"/>
      <c r="AL192" s="32"/>
      <c r="BD192" s="31"/>
      <c r="BE192" s="31"/>
      <c r="BF192" s="31"/>
      <c r="BG192" s="31"/>
      <c r="BH192" s="31"/>
      <c r="BI192" s="31"/>
      <c r="BJ192" s="31"/>
      <c r="BK192" s="31"/>
      <c r="BL192" s="31"/>
      <c r="BM192" s="31"/>
      <c r="BN192" s="31"/>
      <c r="CB192" s="31"/>
      <c r="CG192" s="31"/>
    </row>
    <row r="193" spans="2:85" ht="12.75" hidden="1" customHeight="1" x14ac:dyDescent="0.2">
      <c r="B193" s="3477"/>
      <c r="C193" s="3478"/>
      <c r="D193" s="3482"/>
      <c r="E193" s="3480"/>
      <c r="F193" s="3480"/>
      <c r="G193" s="3370"/>
      <c r="H193" s="3480"/>
      <c r="I193" s="3370"/>
      <c r="J193" s="3483"/>
      <c r="K193" s="3480"/>
      <c r="L193" s="3481"/>
      <c r="M193" s="3481"/>
      <c r="N193" s="3481"/>
      <c r="O193" s="3484"/>
      <c r="P193" s="406"/>
      <c r="Q193" s="50"/>
      <c r="R193" s="3"/>
      <c r="U193" s="30"/>
      <c r="V193" s="40"/>
      <c r="W193" s="32"/>
      <c r="AH193" s="32"/>
      <c r="AI193" s="32"/>
      <c r="AJ193" s="32"/>
      <c r="AK193" s="32"/>
      <c r="AL193" s="32"/>
      <c r="BD193" s="31"/>
      <c r="BE193" s="31"/>
      <c r="BF193" s="31"/>
      <c r="BG193" s="31"/>
      <c r="BH193" s="31"/>
      <c r="BI193" s="31"/>
      <c r="BJ193" s="31"/>
      <c r="BK193" s="31"/>
      <c r="BL193" s="31"/>
      <c r="BM193" s="31"/>
      <c r="BN193" s="31"/>
      <c r="CB193" s="31"/>
      <c r="CG193" s="31"/>
    </row>
    <row r="194" spans="2:85" ht="12.75" hidden="1" customHeight="1" x14ac:dyDescent="0.2">
      <c r="B194" s="3477"/>
      <c r="C194" s="3478"/>
      <c r="D194" s="3482"/>
      <c r="E194" s="3480"/>
      <c r="F194" s="3480"/>
      <c r="G194" s="3370"/>
      <c r="H194" s="3480"/>
      <c r="I194" s="3370"/>
      <c r="J194" s="3483"/>
      <c r="K194" s="3480"/>
      <c r="L194" s="3481"/>
      <c r="M194" s="3481"/>
      <c r="N194" s="3481"/>
      <c r="O194" s="3484"/>
      <c r="P194" s="406"/>
      <c r="Q194" s="50"/>
      <c r="R194" s="3"/>
      <c r="U194" s="30"/>
      <c r="V194" s="40"/>
      <c r="W194" s="32"/>
      <c r="AH194" s="32"/>
      <c r="AI194" s="32"/>
      <c r="AJ194" s="32"/>
      <c r="AK194" s="32"/>
      <c r="AL194" s="32"/>
      <c r="BD194" s="31"/>
      <c r="BE194" s="31"/>
      <c r="BF194" s="31"/>
      <c r="BG194" s="31"/>
      <c r="BH194" s="31"/>
      <c r="BI194" s="31"/>
      <c r="BJ194" s="31"/>
      <c r="BK194" s="31"/>
      <c r="BL194" s="31"/>
      <c r="BM194" s="31"/>
      <c r="BN194" s="31"/>
      <c r="CB194" s="31"/>
      <c r="CG194" s="31"/>
    </row>
    <row r="195" spans="2:85" ht="12.75" hidden="1" customHeight="1" x14ac:dyDescent="0.2">
      <c r="B195" s="3477"/>
      <c r="C195" s="3478"/>
      <c r="D195" s="3482"/>
      <c r="E195" s="3480"/>
      <c r="F195" s="3480"/>
      <c r="G195" s="3370"/>
      <c r="H195" s="3480"/>
      <c r="I195" s="3370"/>
      <c r="J195" s="3483"/>
      <c r="K195" s="3480"/>
      <c r="L195" s="3481"/>
      <c r="M195" s="3481"/>
      <c r="N195" s="3481"/>
      <c r="O195" s="3484"/>
      <c r="P195" s="406"/>
      <c r="Q195" s="50"/>
      <c r="R195" s="3"/>
      <c r="U195" s="30"/>
      <c r="V195" s="40"/>
      <c r="W195" s="32"/>
      <c r="AH195" s="32"/>
      <c r="AI195" s="32"/>
      <c r="AJ195" s="32"/>
      <c r="AK195" s="32"/>
      <c r="AL195" s="32"/>
      <c r="BD195" s="31"/>
      <c r="BE195" s="31"/>
      <c r="BF195" s="31"/>
      <c r="BG195" s="31"/>
      <c r="BH195" s="31"/>
      <c r="BI195" s="31"/>
      <c r="BJ195" s="31"/>
      <c r="BK195" s="31"/>
      <c r="BL195" s="31"/>
      <c r="BM195" s="31"/>
      <c r="BN195" s="31"/>
      <c r="CB195" s="31"/>
      <c r="CG195" s="31"/>
    </row>
    <row r="196" spans="2:85" ht="12.75" hidden="1" customHeight="1" x14ac:dyDescent="0.2">
      <c r="B196" s="3477"/>
      <c r="C196" s="3478"/>
      <c r="D196" s="3482"/>
      <c r="E196" s="3480"/>
      <c r="F196" s="3480"/>
      <c r="G196" s="3370"/>
      <c r="H196" s="3480"/>
      <c r="I196" s="3370"/>
      <c r="J196" s="3483"/>
      <c r="K196" s="3480"/>
      <c r="L196" s="3481"/>
      <c r="M196" s="3481"/>
      <c r="N196" s="3481"/>
      <c r="O196" s="3484"/>
      <c r="P196" s="406"/>
      <c r="Q196" s="50"/>
      <c r="R196" s="3"/>
      <c r="U196" s="30"/>
      <c r="V196" s="40"/>
      <c r="W196" s="32"/>
      <c r="AH196" s="32"/>
      <c r="AI196" s="32"/>
      <c r="AJ196" s="32"/>
      <c r="AK196" s="32"/>
      <c r="AL196" s="32"/>
      <c r="BD196" s="31"/>
      <c r="BE196" s="31"/>
      <c r="BF196" s="31"/>
      <c r="BG196" s="31"/>
      <c r="BH196" s="31"/>
      <c r="BI196" s="31"/>
      <c r="BJ196" s="31"/>
      <c r="BK196" s="31"/>
      <c r="BL196" s="31"/>
      <c r="BM196" s="31"/>
      <c r="BN196" s="31"/>
      <c r="CB196" s="31"/>
      <c r="CG196" s="31"/>
    </row>
    <row r="197" spans="2:85" ht="12.75" hidden="1" customHeight="1" x14ac:dyDescent="0.2">
      <c r="B197" s="3477"/>
      <c r="C197" s="3478"/>
      <c r="D197" s="3482"/>
      <c r="E197" s="3480"/>
      <c r="F197" s="3480"/>
      <c r="G197" s="3370"/>
      <c r="H197" s="3480"/>
      <c r="I197" s="3370"/>
      <c r="J197" s="3483"/>
      <c r="K197" s="3480"/>
      <c r="L197" s="3481"/>
      <c r="M197" s="3481"/>
      <c r="N197" s="3481"/>
      <c r="O197" s="3484"/>
      <c r="P197" s="406"/>
      <c r="Q197" s="50"/>
      <c r="R197" s="3"/>
      <c r="U197" s="30"/>
      <c r="V197" s="40"/>
      <c r="W197" s="32"/>
      <c r="AH197" s="32"/>
      <c r="AI197" s="32"/>
      <c r="AJ197" s="32"/>
      <c r="AK197" s="32"/>
      <c r="AL197" s="32"/>
      <c r="BD197" s="31"/>
      <c r="BE197" s="31"/>
      <c r="BF197" s="31"/>
      <c r="BG197" s="31"/>
      <c r="BH197" s="31"/>
      <c r="BI197" s="31"/>
      <c r="BJ197" s="31"/>
      <c r="BK197" s="31"/>
      <c r="BL197" s="31"/>
      <c r="BM197" s="31"/>
      <c r="BN197" s="31"/>
      <c r="CB197" s="31"/>
      <c r="CG197" s="31"/>
    </row>
    <row r="198" spans="2:85" ht="12.75" hidden="1" customHeight="1" x14ac:dyDescent="0.2">
      <c r="B198" s="3477"/>
      <c r="C198" s="3478"/>
      <c r="D198" s="3482"/>
      <c r="E198" s="3480"/>
      <c r="F198" s="3480"/>
      <c r="G198" s="3370"/>
      <c r="H198" s="3480"/>
      <c r="I198" s="3370"/>
      <c r="J198" s="3483"/>
      <c r="K198" s="3480"/>
      <c r="L198" s="3481"/>
      <c r="M198" s="3481"/>
      <c r="N198" s="3481"/>
      <c r="O198" s="3484"/>
      <c r="P198" s="406"/>
      <c r="Q198" s="50"/>
      <c r="R198" s="3"/>
      <c r="U198" s="30"/>
      <c r="V198" s="40"/>
      <c r="W198" s="32"/>
      <c r="AH198" s="32"/>
      <c r="AI198" s="32"/>
      <c r="AJ198" s="32"/>
      <c r="AK198" s="32"/>
      <c r="AL198" s="32"/>
      <c r="BD198" s="31"/>
      <c r="BE198" s="31"/>
      <c r="BF198" s="31"/>
      <c r="BG198" s="31"/>
      <c r="BH198" s="31"/>
      <c r="BI198" s="31"/>
      <c r="BJ198" s="31"/>
      <c r="BK198" s="31"/>
      <c r="BL198" s="31"/>
      <c r="BM198" s="31"/>
      <c r="BN198" s="31"/>
      <c r="CB198" s="31"/>
      <c r="CG198" s="31"/>
    </row>
    <row r="199" spans="2:85" ht="12.75" hidden="1" customHeight="1" x14ac:dyDescent="0.2">
      <c r="B199" s="3477"/>
      <c r="C199" s="3478"/>
      <c r="D199" s="3482"/>
      <c r="E199" s="3480"/>
      <c r="F199" s="3480"/>
      <c r="G199" s="3370"/>
      <c r="H199" s="3480"/>
      <c r="I199" s="3370"/>
      <c r="J199" s="3483"/>
      <c r="K199" s="3480"/>
      <c r="L199" s="3481"/>
      <c r="M199" s="3481"/>
      <c r="N199" s="3481"/>
      <c r="O199" s="3484"/>
      <c r="P199" s="406"/>
      <c r="Q199" s="50"/>
      <c r="R199" s="3"/>
      <c r="U199" s="30"/>
      <c r="V199" s="40"/>
      <c r="W199" s="32"/>
      <c r="AH199" s="32"/>
      <c r="AI199" s="32"/>
      <c r="AJ199" s="32"/>
      <c r="AK199" s="32"/>
      <c r="AL199" s="32"/>
      <c r="BD199" s="31"/>
      <c r="BE199" s="31"/>
      <c r="BF199" s="31"/>
      <c r="BG199" s="31"/>
      <c r="BH199" s="31"/>
      <c r="BI199" s="31"/>
      <c r="BJ199" s="31"/>
      <c r="BK199" s="31"/>
      <c r="BL199" s="31"/>
      <c r="BM199" s="31"/>
      <c r="BN199" s="31"/>
      <c r="CB199" s="31"/>
      <c r="CG199" s="31"/>
    </row>
    <row r="200" spans="2:85" ht="12.75" hidden="1" customHeight="1" x14ac:dyDescent="0.2">
      <c r="B200" s="3477"/>
      <c r="C200" s="3478"/>
      <c r="D200" s="3482"/>
      <c r="E200" s="3480"/>
      <c r="F200" s="3480"/>
      <c r="G200" s="3370"/>
      <c r="H200" s="3480"/>
      <c r="I200" s="3370"/>
      <c r="J200" s="3483"/>
      <c r="K200" s="3480"/>
      <c r="L200" s="3481"/>
      <c r="M200" s="3481"/>
      <c r="N200" s="3481"/>
      <c r="O200" s="3484"/>
      <c r="P200" s="406"/>
      <c r="Q200" s="50"/>
      <c r="R200" s="3"/>
      <c r="U200" s="30"/>
      <c r="V200" s="40"/>
      <c r="W200" s="32"/>
      <c r="AH200" s="32"/>
      <c r="AI200" s="32"/>
      <c r="AJ200" s="32"/>
      <c r="AK200" s="32"/>
      <c r="AL200" s="32"/>
      <c r="BD200" s="31"/>
      <c r="BE200" s="31"/>
      <c r="BF200" s="31"/>
      <c r="BG200" s="31"/>
      <c r="BH200" s="31"/>
      <c r="BI200" s="31"/>
      <c r="BJ200" s="31"/>
      <c r="BK200" s="31"/>
      <c r="BL200" s="31"/>
      <c r="BM200" s="31"/>
      <c r="BN200" s="31"/>
      <c r="CB200" s="31"/>
      <c r="CG200" s="31"/>
    </row>
    <row r="201" spans="2:85" ht="12.75" hidden="1" customHeight="1" x14ac:dyDescent="0.2">
      <c r="B201" s="3477"/>
      <c r="C201" s="3478"/>
      <c r="D201" s="3482"/>
      <c r="E201" s="3480"/>
      <c r="F201" s="3480"/>
      <c r="G201" s="3370"/>
      <c r="H201" s="3480"/>
      <c r="I201" s="3370"/>
      <c r="J201" s="3483"/>
      <c r="K201" s="3480"/>
      <c r="L201" s="3481"/>
      <c r="M201" s="3481"/>
      <c r="N201" s="3481"/>
      <c r="O201" s="3484"/>
      <c r="P201" s="406"/>
      <c r="Q201" s="50"/>
      <c r="R201" s="3"/>
      <c r="U201" s="30"/>
      <c r="V201" s="40"/>
      <c r="W201" s="32"/>
      <c r="AH201" s="32"/>
      <c r="AI201" s="32"/>
      <c r="AJ201" s="32"/>
      <c r="AK201" s="32"/>
      <c r="AL201" s="32"/>
      <c r="BD201" s="31"/>
      <c r="BE201" s="31"/>
      <c r="BF201" s="31"/>
      <c r="BG201" s="31"/>
      <c r="BH201" s="31"/>
      <c r="BI201" s="31"/>
      <c r="BJ201" s="31"/>
      <c r="BK201" s="31"/>
      <c r="BL201" s="31"/>
      <c r="BM201" s="31"/>
      <c r="BN201" s="31"/>
      <c r="CB201" s="31"/>
      <c r="CG201" s="31"/>
    </row>
    <row r="202" spans="2:85" ht="12.75" hidden="1" customHeight="1" x14ac:dyDescent="0.2">
      <c r="B202" s="3477"/>
      <c r="C202" s="3478"/>
      <c r="D202" s="3482"/>
      <c r="E202" s="3480"/>
      <c r="F202" s="3480"/>
      <c r="G202" s="3370"/>
      <c r="H202" s="3480"/>
      <c r="I202" s="3370"/>
      <c r="J202" s="3483"/>
      <c r="K202" s="3480"/>
      <c r="L202" s="3481"/>
      <c r="M202" s="3481"/>
      <c r="N202" s="3481"/>
      <c r="O202" s="3484"/>
      <c r="P202" s="406"/>
      <c r="Q202" s="50"/>
      <c r="R202" s="3"/>
      <c r="U202" s="30"/>
      <c r="V202" s="40"/>
      <c r="W202" s="32"/>
      <c r="AH202" s="32"/>
      <c r="AI202" s="32"/>
      <c r="AJ202" s="32"/>
      <c r="AK202" s="32"/>
      <c r="AL202" s="32"/>
      <c r="BD202" s="31"/>
      <c r="BE202" s="31"/>
      <c r="BF202" s="31"/>
      <c r="BG202" s="31"/>
      <c r="BH202" s="31"/>
      <c r="BI202" s="31"/>
      <c r="BJ202" s="31"/>
      <c r="BK202" s="31"/>
      <c r="BL202" s="31"/>
      <c r="BM202" s="31"/>
      <c r="BN202" s="31"/>
      <c r="CB202" s="31"/>
      <c r="CG202" s="31"/>
    </row>
    <row r="203" spans="2:85" ht="12.75" hidden="1" customHeight="1" x14ac:dyDescent="0.2">
      <c r="B203" s="3477"/>
      <c r="C203" s="3478"/>
      <c r="D203" s="3482"/>
      <c r="E203" s="3480"/>
      <c r="F203" s="3480"/>
      <c r="G203" s="3370"/>
      <c r="H203" s="3480"/>
      <c r="I203" s="3370"/>
      <c r="J203" s="3483"/>
      <c r="K203" s="3480"/>
      <c r="L203" s="3481"/>
      <c r="M203" s="3481"/>
      <c r="N203" s="3481"/>
      <c r="O203" s="3484"/>
      <c r="P203" s="406"/>
      <c r="Q203" s="50"/>
      <c r="R203" s="3"/>
      <c r="U203" s="30"/>
      <c r="V203" s="40"/>
      <c r="W203" s="32"/>
      <c r="AH203" s="32"/>
      <c r="AI203" s="32"/>
      <c r="AJ203" s="32"/>
      <c r="AK203" s="32"/>
      <c r="AL203" s="32"/>
      <c r="BD203" s="31"/>
      <c r="BE203" s="31"/>
      <c r="BF203" s="31"/>
      <c r="BG203" s="31"/>
      <c r="BH203" s="31"/>
      <c r="BI203" s="31"/>
      <c r="BJ203" s="31"/>
      <c r="BK203" s="31"/>
      <c r="BL203" s="31"/>
      <c r="BM203" s="31"/>
      <c r="BN203" s="31"/>
      <c r="CB203" s="31"/>
      <c r="CG203" s="31"/>
    </row>
    <row r="204" spans="2:85" ht="12.75" hidden="1" customHeight="1" x14ac:dyDescent="0.2">
      <c r="B204" s="3477"/>
      <c r="C204" s="3478"/>
      <c r="D204" s="3482"/>
      <c r="E204" s="3480"/>
      <c r="F204" s="3480"/>
      <c r="G204" s="3370"/>
      <c r="H204" s="3480"/>
      <c r="I204" s="3370"/>
      <c r="J204" s="3483"/>
      <c r="K204" s="3480"/>
      <c r="L204" s="3481"/>
      <c r="M204" s="3481"/>
      <c r="N204" s="3481"/>
      <c r="O204" s="3484"/>
      <c r="P204" s="406"/>
      <c r="Q204" s="50"/>
      <c r="R204" s="3"/>
      <c r="U204" s="30"/>
      <c r="V204" s="40"/>
      <c r="W204" s="32"/>
      <c r="AH204" s="32"/>
      <c r="AI204" s="32"/>
      <c r="AJ204" s="32"/>
      <c r="AK204" s="32"/>
      <c r="AL204" s="32"/>
      <c r="BD204" s="31"/>
      <c r="BE204" s="31"/>
      <c r="BF204" s="31"/>
      <c r="BG204" s="31"/>
      <c r="BH204" s="31"/>
      <c r="BI204" s="31"/>
      <c r="BJ204" s="31"/>
      <c r="BK204" s="31"/>
      <c r="BL204" s="31"/>
      <c r="BM204" s="31"/>
      <c r="BN204" s="31"/>
      <c r="CB204" s="31"/>
      <c r="CG204" s="31"/>
    </row>
    <row r="205" spans="2:85" ht="12.75" hidden="1" customHeight="1" x14ac:dyDescent="0.2">
      <c r="B205" s="3477"/>
      <c r="C205" s="3478"/>
      <c r="D205" s="3482"/>
      <c r="E205" s="3480"/>
      <c r="F205" s="3480"/>
      <c r="G205" s="3370"/>
      <c r="H205" s="3480"/>
      <c r="I205" s="3370"/>
      <c r="J205" s="3483"/>
      <c r="K205" s="3480"/>
      <c r="L205" s="3481"/>
      <c r="M205" s="3481"/>
      <c r="N205" s="3481"/>
      <c r="O205" s="3484"/>
      <c r="P205" s="406"/>
      <c r="Q205" s="50"/>
      <c r="R205" s="3"/>
      <c r="U205" s="30"/>
      <c r="V205" s="40"/>
      <c r="W205" s="32"/>
      <c r="AH205" s="32"/>
      <c r="AI205" s="32"/>
      <c r="AJ205" s="32"/>
      <c r="AK205" s="32"/>
      <c r="AL205" s="32"/>
      <c r="BD205" s="31"/>
      <c r="BE205" s="31"/>
      <c r="BF205" s="31"/>
      <c r="BG205" s="31"/>
      <c r="BH205" s="31"/>
      <c r="BI205" s="31"/>
      <c r="BJ205" s="31"/>
      <c r="BK205" s="31"/>
      <c r="BL205" s="31"/>
      <c r="BM205" s="31"/>
      <c r="BN205" s="31"/>
      <c r="CB205" s="31"/>
      <c r="CG205" s="31"/>
    </row>
    <row r="206" spans="2:85" ht="12.75" hidden="1" customHeight="1" x14ac:dyDescent="0.2">
      <c r="B206" s="3477"/>
      <c r="C206" s="3478"/>
      <c r="D206" s="3482"/>
      <c r="E206" s="3480"/>
      <c r="F206" s="3480"/>
      <c r="G206" s="3370"/>
      <c r="H206" s="3480"/>
      <c r="I206" s="3370"/>
      <c r="J206" s="3483"/>
      <c r="K206" s="3480"/>
      <c r="L206" s="3481"/>
      <c r="M206" s="3481"/>
      <c r="N206" s="3481"/>
      <c r="O206" s="3484"/>
      <c r="P206" s="406"/>
      <c r="Q206" s="50"/>
      <c r="R206" s="3"/>
      <c r="U206" s="30"/>
      <c r="V206" s="40"/>
      <c r="W206" s="32"/>
      <c r="AH206" s="32"/>
      <c r="AI206" s="32"/>
      <c r="AJ206" s="32"/>
      <c r="AK206" s="32"/>
      <c r="AL206" s="32"/>
      <c r="BD206" s="31"/>
      <c r="BE206" s="31"/>
      <c r="BF206" s="31"/>
      <c r="BG206" s="31"/>
      <c r="BH206" s="31"/>
      <c r="BI206" s="31"/>
      <c r="BJ206" s="31"/>
      <c r="BK206" s="31"/>
      <c r="BL206" s="31"/>
      <c r="BM206" s="31"/>
      <c r="BN206" s="31"/>
      <c r="CB206" s="31"/>
      <c r="CG206" s="31"/>
    </row>
    <row r="207" spans="2:85" ht="12.75" hidden="1" customHeight="1" x14ac:dyDescent="0.2">
      <c r="B207" s="3477"/>
      <c r="C207" s="3478"/>
      <c r="D207" s="3482"/>
      <c r="E207" s="3480"/>
      <c r="F207" s="3480"/>
      <c r="G207" s="3370"/>
      <c r="H207" s="3480"/>
      <c r="I207" s="3370"/>
      <c r="J207" s="3483"/>
      <c r="K207" s="3480"/>
      <c r="L207" s="3481"/>
      <c r="M207" s="3481"/>
      <c r="N207" s="3481"/>
      <c r="O207" s="3484"/>
      <c r="P207" s="406"/>
      <c r="Q207" s="50"/>
      <c r="R207" s="3"/>
      <c r="U207" s="30"/>
      <c r="V207" s="40"/>
      <c r="W207" s="32"/>
      <c r="AH207" s="32"/>
      <c r="AI207" s="32"/>
      <c r="AJ207" s="32"/>
      <c r="AK207" s="32"/>
      <c r="AL207" s="32"/>
      <c r="BD207" s="31"/>
      <c r="BE207" s="31"/>
      <c r="BF207" s="31"/>
      <c r="BG207" s="31"/>
      <c r="BH207" s="31"/>
      <c r="BI207" s="31"/>
      <c r="BJ207" s="31"/>
      <c r="BK207" s="31"/>
      <c r="BL207" s="31"/>
      <c r="BM207" s="31"/>
      <c r="BN207" s="31"/>
      <c r="CB207" s="31"/>
      <c r="CG207" s="31"/>
    </row>
    <row r="208" spans="2:85" ht="12.75" hidden="1" customHeight="1" x14ac:dyDescent="0.2">
      <c r="B208" s="3477"/>
      <c r="C208" s="3478"/>
      <c r="D208" s="3482"/>
      <c r="E208" s="3480"/>
      <c r="F208" s="3480"/>
      <c r="G208" s="3370"/>
      <c r="H208" s="3480"/>
      <c r="I208" s="3370"/>
      <c r="J208" s="3483"/>
      <c r="K208" s="3480"/>
      <c r="L208" s="3481"/>
      <c r="M208" s="3481"/>
      <c r="N208" s="3481"/>
      <c r="O208" s="3484"/>
      <c r="P208" s="406"/>
      <c r="Q208" s="50"/>
      <c r="R208" s="3"/>
      <c r="U208" s="30"/>
      <c r="V208" s="40"/>
      <c r="W208" s="32"/>
      <c r="AH208" s="32"/>
      <c r="AI208" s="32"/>
      <c r="AJ208" s="32"/>
      <c r="AK208" s="32"/>
      <c r="AL208" s="32"/>
      <c r="BD208" s="31"/>
      <c r="BE208" s="31"/>
      <c r="BF208" s="31"/>
      <c r="BG208" s="31"/>
      <c r="BH208" s="31"/>
      <c r="BI208" s="31"/>
      <c r="BJ208" s="31"/>
      <c r="BK208" s="31"/>
      <c r="BL208" s="31"/>
      <c r="BM208" s="31"/>
      <c r="BN208" s="31"/>
      <c r="CB208" s="31"/>
      <c r="CG208" s="31"/>
    </row>
    <row r="209" spans="2:85" ht="12.75" hidden="1" customHeight="1" x14ac:dyDescent="0.2">
      <c r="B209" s="3477"/>
      <c r="C209" s="3478"/>
      <c r="D209" s="3482"/>
      <c r="E209" s="3480"/>
      <c r="F209" s="3480"/>
      <c r="G209" s="3370"/>
      <c r="H209" s="3480"/>
      <c r="I209" s="3370"/>
      <c r="J209" s="3483"/>
      <c r="K209" s="3480"/>
      <c r="L209" s="3481"/>
      <c r="M209" s="3481"/>
      <c r="N209" s="3481"/>
      <c r="O209" s="3484"/>
      <c r="P209" s="406"/>
      <c r="Q209" s="50"/>
      <c r="R209" s="3"/>
      <c r="U209" s="30"/>
      <c r="V209" s="40"/>
      <c r="W209" s="32"/>
      <c r="AH209" s="32"/>
      <c r="AI209" s="32"/>
      <c r="AJ209" s="32"/>
      <c r="AK209" s="32"/>
      <c r="AL209" s="32"/>
      <c r="BD209" s="31"/>
      <c r="BE209" s="31"/>
      <c r="BF209" s="31"/>
      <c r="BG209" s="31"/>
      <c r="BH209" s="31"/>
      <c r="BI209" s="31"/>
      <c r="BJ209" s="31"/>
      <c r="BK209" s="31"/>
      <c r="BL209" s="31"/>
      <c r="BM209" s="31"/>
      <c r="BN209" s="31"/>
      <c r="CB209" s="31"/>
      <c r="CG209" s="31"/>
    </row>
    <row r="210" spans="2:85" ht="12.75" hidden="1" customHeight="1" x14ac:dyDescent="0.2">
      <c r="B210" s="3477"/>
      <c r="C210" s="3478"/>
      <c r="D210" s="3482"/>
      <c r="E210" s="3480"/>
      <c r="F210" s="3480"/>
      <c r="G210" s="3370"/>
      <c r="H210" s="3480"/>
      <c r="I210" s="3370"/>
      <c r="J210" s="3483"/>
      <c r="K210" s="3480"/>
      <c r="L210" s="3481"/>
      <c r="M210" s="3481"/>
      <c r="N210" s="3481"/>
      <c r="O210" s="3484"/>
      <c r="P210" s="406"/>
      <c r="Q210" s="50"/>
      <c r="R210" s="3"/>
      <c r="U210" s="30"/>
      <c r="V210" s="40"/>
      <c r="W210" s="32"/>
      <c r="AH210" s="32"/>
      <c r="AI210" s="32"/>
      <c r="AJ210" s="32"/>
      <c r="AK210" s="32"/>
      <c r="AL210" s="32"/>
      <c r="BD210" s="31"/>
      <c r="BE210" s="31"/>
      <c r="BF210" s="31"/>
      <c r="BG210" s="31"/>
      <c r="BH210" s="31"/>
      <c r="BI210" s="31"/>
      <c r="BJ210" s="31"/>
      <c r="BK210" s="31"/>
      <c r="BL210" s="31"/>
      <c r="BM210" s="31"/>
      <c r="BN210" s="31"/>
      <c r="CB210" s="31"/>
      <c r="CG210" s="31"/>
    </row>
    <row r="211" spans="2:85" ht="12.75" hidden="1" customHeight="1" x14ac:dyDescent="0.2">
      <c r="B211" s="3477"/>
      <c r="C211" s="3478"/>
      <c r="D211" s="3482"/>
      <c r="E211" s="3480"/>
      <c r="F211" s="3480"/>
      <c r="G211" s="3370"/>
      <c r="H211" s="3480"/>
      <c r="I211" s="3370"/>
      <c r="J211" s="3483"/>
      <c r="K211" s="3480"/>
      <c r="L211" s="3481"/>
      <c r="M211" s="3481"/>
      <c r="N211" s="3481"/>
      <c r="O211" s="3484"/>
      <c r="P211" s="406"/>
      <c r="Q211" s="50"/>
      <c r="R211" s="3"/>
      <c r="U211" s="30"/>
      <c r="V211" s="40"/>
      <c r="W211" s="32"/>
      <c r="AH211" s="32"/>
      <c r="AI211" s="32"/>
      <c r="AJ211" s="32"/>
      <c r="AK211" s="32"/>
      <c r="AL211" s="32"/>
      <c r="BD211" s="31"/>
      <c r="BE211" s="31"/>
      <c r="BF211" s="31"/>
      <c r="BG211" s="31"/>
      <c r="BH211" s="31"/>
      <c r="BI211" s="31"/>
      <c r="BJ211" s="31"/>
      <c r="BK211" s="31"/>
      <c r="BL211" s="31"/>
      <c r="BM211" s="31"/>
      <c r="BN211" s="31"/>
      <c r="CB211" s="31"/>
      <c r="CG211" s="31"/>
    </row>
    <row r="212" spans="2:85" ht="12.75" hidden="1" customHeight="1" x14ac:dyDescent="0.2">
      <c r="B212" s="3477"/>
      <c r="C212" s="3478"/>
      <c r="D212" s="3482"/>
      <c r="E212" s="3480"/>
      <c r="F212" s="3480"/>
      <c r="G212" s="3370"/>
      <c r="H212" s="3480"/>
      <c r="I212" s="3370"/>
      <c r="J212" s="3483"/>
      <c r="K212" s="3480"/>
      <c r="L212" s="3481"/>
      <c r="M212" s="3481"/>
      <c r="N212" s="3481"/>
      <c r="O212" s="3484"/>
      <c r="P212" s="406"/>
      <c r="Q212" s="50"/>
      <c r="R212" s="3"/>
      <c r="U212" s="30"/>
      <c r="V212" s="40"/>
      <c r="W212" s="32"/>
      <c r="AH212" s="32"/>
      <c r="AI212" s="32"/>
      <c r="AJ212" s="32"/>
      <c r="AK212" s="32"/>
      <c r="AL212" s="32"/>
      <c r="BD212" s="31"/>
      <c r="BE212" s="31"/>
      <c r="BF212" s="31"/>
      <c r="BG212" s="31"/>
      <c r="BH212" s="31"/>
      <c r="BI212" s="31"/>
      <c r="BJ212" s="31"/>
      <c r="BK212" s="31"/>
      <c r="BL212" s="31"/>
      <c r="BM212" s="31"/>
      <c r="BN212" s="31"/>
      <c r="CB212" s="31"/>
      <c r="CG212" s="31"/>
    </row>
    <row r="213" spans="2:85" ht="12.75" hidden="1" customHeight="1" x14ac:dyDescent="0.2">
      <c r="B213" s="3477"/>
      <c r="C213" s="3478"/>
      <c r="D213" s="3482"/>
      <c r="E213" s="3480"/>
      <c r="F213" s="3480"/>
      <c r="G213" s="3370"/>
      <c r="H213" s="3480"/>
      <c r="I213" s="3370"/>
      <c r="J213" s="3483"/>
      <c r="K213" s="3480"/>
      <c r="L213" s="3481"/>
      <c r="M213" s="3481"/>
      <c r="N213" s="3481"/>
      <c r="O213" s="3484"/>
      <c r="P213" s="406"/>
      <c r="Q213" s="50"/>
      <c r="R213" s="3"/>
      <c r="U213" s="30"/>
      <c r="V213" s="40"/>
      <c r="W213" s="32"/>
      <c r="AH213" s="32"/>
      <c r="AI213" s="32"/>
      <c r="AJ213" s="32"/>
      <c r="AK213" s="32"/>
      <c r="AL213" s="32"/>
      <c r="BD213" s="31"/>
      <c r="BE213" s="31"/>
      <c r="BF213" s="31"/>
      <c r="BG213" s="31"/>
      <c r="BH213" s="31"/>
      <c r="BI213" s="31"/>
      <c r="BJ213" s="31"/>
      <c r="BK213" s="31"/>
      <c r="BL213" s="31"/>
      <c r="BM213" s="31"/>
      <c r="BN213" s="31"/>
      <c r="CB213" s="31"/>
      <c r="CG213" s="31"/>
    </row>
    <row r="214" spans="2:85" ht="12.75" hidden="1" customHeight="1" x14ac:dyDescent="0.2">
      <c r="B214" s="3477"/>
      <c r="C214" s="3478"/>
      <c r="D214" s="3482"/>
      <c r="E214" s="3480"/>
      <c r="F214" s="3480"/>
      <c r="G214" s="3370"/>
      <c r="H214" s="3480"/>
      <c r="I214" s="3370"/>
      <c r="J214" s="3483"/>
      <c r="K214" s="3480"/>
      <c r="L214" s="3481"/>
      <c r="M214" s="3481"/>
      <c r="N214" s="3481"/>
      <c r="O214" s="3484"/>
      <c r="P214" s="406"/>
      <c r="Q214" s="50"/>
      <c r="R214" s="3"/>
      <c r="U214" s="30"/>
      <c r="V214" s="40"/>
      <c r="W214" s="32"/>
      <c r="AH214" s="32"/>
      <c r="AI214" s="32"/>
      <c r="AJ214" s="32"/>
      <c r="AK214" s="32"/>
      <c r="AL214" s="32"/>
      <c r="BD214" s="31"/>
      <c r="BE214" s="31"/>
      <c r="BF214" s="31"/>
      <c r="BG214" s="31"/>
      <c r="BH214" s="31"/>
      <c r="BI214" s="31"/>
      <c r="BJ214" s="31"/>
      <c r="BK214" s="31"/>
      <c r="BL214" s="31"/>
      <c r="BM214" s="31"/>
      <c r="BN214" s="31"/>
      <c r="CB214" s="31"/>
      <c r="CG214" s="31"/>
    </row>
    <row r="215" spans="2:85" ht="12.75" hidden="1" customHeight="1" x14ac:dyDescent="0.2">
      <c r="B215" s="3477"/>
      <c r="C215" s="3478"/>
      <c r="D215" s="3482"/>
      <c r="E215" s="3480"/>
      <c r="F215" s="3480"/>
      <c r="G215" s="3370"/>
      <c r="H215" s="3480"/>
      <c r="I215" s="3370"/>
      <c r="J215" s="3483"/>
      <c r="K215" s="3480"/>
      <c r="L215" s="3481"/>
      <c r="M215" s="3481"/>
      <c r="N215" s="3481"/>
      <c r="O215" s="3484"/>
      <c r="P215" s="406"/>
      <c r="Q215" s="50"/>
      <c r="R215" s="3"/>
      <c r="U215" s="30"/>
      <c r="V215" s="40"/>
      <c r="W215" s="32"/>
      <c r="AH215" s="32"/>
      <c r="AI215" s="32"/>
      <c r="AJ215" s="32"/>
      <c r="AK215" s="32"/>
      <c r="AL215" s="32"/>
      <c r="BD215" s="31"/>
      <c r="BE215" s="31"/>
      <c r="BF215" s="31"/>
      <c r="BG215" s="31"/>
      <c r="BH215" s="31"/>
      <c r="BI215" s="31"/>
      <c r="BJ215" s="31"/>
      <c r="BK215" s="31"/>
      <c r="BL215" s="31"/>
      <c r="BM215" s="31"/>
      <c r="BN215" s="31"/>
      <c r="CB215" s="31"/>
      <c r="CG215" s="31"/>
    </row>
    <row r="216" spans="2:85" ht="12.75" hidden="1" customHeight="1" x14ac:dyDescent="0.2">
      <c r="B216" s="3477"/>
      <c r="C216" s="3478"/>
      <c r="D216" s="3482"/>
      <c r="E216" s="3480"/>
      <c r="F216" s="3480"/>
      <c r="G216" s="3370"/>
      <c r="H216" s="3480"/>
      <c r="I216" s="3370"/>
      <c r="J216" s="3483"/>
      <c r="K216" s="3480"/>
      <c r="L216" s="3481"/>
      <c r="M216" s="3481"/>
      <c r="N216" s="3481"/>
      <c r="O216" s="3484"/>
      <c r="P216" s="406"/>
      <c r="Q216" s="50"/>
      <c r="R216" s="3"/>
      <c r="U216" s="30"/>
      <c r="V216" s="40"/>
      <c r="W216" s="32"/>
      <c r="AH216" s="32"/>
      <c r="AI216" s="32"/>
      <c r="AJ216" s="32"/>
      <c r="AK216" s="32"/>
      <c r="AL216" s="32"/>
      <c r="BD216" s="31"/>
      <c r="BE216" s="31"/>
      <c r="BF216" s="31"/>
      <c r="BG216" s="31"/>
      <c r="BH216" s="31"/>
      <c r="BI216" s="31"/>
      <c r="BJ216" s="31"/>
      <c r="BK216" s="31"/>
      <c r="BL216" s="31"/>
      <c r="BM216" s="31"/>
      <c r="BN216" s="31"/>
      <c r="CB216" s="31"/>
      <c r="CG216" s="31"/>
    </row>
    <row r="217" spans="2:85" ht="12.75" hidden="1" customHeight="1" x14ac:dyDescent="0.2">
      <c r="B217" s="3477"/>
      <c r="C217" s="3478"/>
      <c r="D217" s="3482"/>
      <c r="E217" s="3480"/>
      <c r="F217" s="3480"/>
      <c r="G217" s="3370"/>
      <c r="H217" s="3480"/>
      <c r="I217" s="3370"/>
      <c r="J217" s="3483"/>
      <c r="K217" s="3480"/>
      <c r="L217" s="3481"/>
      <c r="M217" s="3481"/>
      <c r="N217" s="3481"/>
      <c r="O217" s="3484"/>
      <c r="P217" s="406"/>
      <c r="Q217" s="50"/>
      <c r="R217" s="3"/>
      <c r="U217" s="30"/>
      <c r="V217" s="40"/>
      <c r="W217" s="32"/>
      <c r="AH217" s="32"/>
      <c r="AI217" s="32"/>
      <c r="AJ217" s="32"/>
      <c r="AK217" s="32"/>
      <c r="AL217" s="32"/>
      <c r="BD217" s="31"/>
      <c r="BE217" s="31"/>
      <c r="BF217" s="31"/>
      <c r="BG217" s="31"/>
      <c r="BH217" s="31"/>
      <c r="BI217" s="31"/>
      <c r="BJ217" s="31"/>
      <c r="BK217" s="31"/>
      <c r="BL217" s="31"/>
      <c r="BM217" s="31"/>
      <c r="BN217" s="31"/>
      <c r="CB217" s="31"/>
      <c r="CG217" s="31"/>
    </row>
    <row r="218" spans="2:85" ht="12.75" hidden="1" customHeight="1" x14ac:dyDescent="0.2">
      <c r="B218" s="3477"/>
      <c r="C218" s="3478"/>
      <c r="D218" s="3482"/>
      <c r="E218" s="3480"/>
      <c r="F218" s="3480"/>
      <c r="G218" s="3370"/>
      <c r="H218" s="3480"/>
      <c r="I218" s="3370"/>
      <c r="J218" s="3483"/>
      <c r="K218" s="3480"/>
      <c r="L218" s="3481"/>
      <c r="M218" s="3481"/>
      <c r="N218" s="3481"/>
      <c r="O218" s="3484"/>
      <c r="P218" s="406"/>
      <c r="Q218" s="50"/>
      <c r="R218" s="3"/>
      <c r="U218" s="30"/>
      <c r="V218" s="40"/>
      <c r="W218" s="32"/>
      <c r="AH218" s="32"/>
      <c r="AI218" s="32"/>
      <c r="AJ218" s="32"/>
      <c r="AK218" s="32"/>
      <c r="AL218" s="32"/>
      <c r="BD218" s="31"/>
      <c r="BE218" s="31"/>
      <c r="BF218" s="31"/>
      <c r="BG218" s="31"/>
      <c r="BH218" s="31"/>
      <c r="BI218" s="31"/>
      <c r="BJ218" s="31"/>
      <c r="BK218" s="31"/>
      <c r="BL218" s="31"/>
      <c r="BM218" s="31"/>
      <c r="BN218" s="31"/>
      <c r="CB218" s="31"/>
      <c r="CG218" s="31"/>
    </row>
    <row r="219" spans="2:85" ht="12.75" hidden="1" customHeight="1" x14ac:dyDescent="0.2">
      <c r="B219" s="3477"/>
      <c r="C219" s="3478"/>
      <c r="D219" s="3482"/>
      <c r="E219" s="3480"/>
      <c r="F219" s="3480"/>
      <c r="G219" s="3370"/>
      <c r="H219" s="3480"/>
      <c r="I219" s="3370"/>
      <c r="J219" s="3483"/>
      <c r="K219" s="3480"/>
      <c r="L219" s="3481"/>
      <c r="M219" s="3481"/>
      <c r="N219" s="3481"/>
      <c r="O219" s="3484"/>
      <c r="P219" s="406"/>
      <c r="Q219" s="50"/>
      <c r="R219" s="3"/>
      <c r="U219" s="30"/>
      <c r="V219" s="40"/>
      <c r="W219" s="32"/>
      <c r="AH219" s="32"/>
      <c r="AI219" s="32"/>
      <c r="AJ219" s="32"/>
      <c r="AK219" s="32"/>
      <c r="AL219" s="32"/>
      <c r="BD219" s="31"/>
      <c r="BE219" s="31"/>
      <c r="BF219" s="31"/>
      <c r="BG219" s="31"/>
      <c r="BH219" s="31"/>
      <c r="BI219" s="31"/>
      <c r="BJ219" s="31"/>
      <c r="BK219" s="31"/>
      <c r="BL219" s="31"/>
      <c r="BM219" s="31"/>
      <c r="BN219" s="31"/>
      <c r="CB219" s="31"/>
      <c r="CG219" s="31"/>
    </row>
    <row r="220" spans="2:85" ht="12.75" hidden="1" customHeight="1" x14ac:dyDescent="0.2">
      <c r="B220" s="3477"/>
      <c r="C220" s="3478"/>
      <c r="D220" s="3482"/>
      <c r="E220" s="3480"/>
      <c r="F220" s="3480"/>
      <c r="G220" s="3370"/>
      <c r="H220" s="3480"/>
      <c r="I220" s="3370"/>
      <c r="J220" s="3483"/>
      <c r="K220" s="3480"/>
      <c r="L220" s="3481"/>
      <c r="M220" s="3481"/>
      <c r="N220" s="3481"/>
      <c r="O220" s="3484"/>
      <c r="P220" s="406"/>
      <c r="Q220" s="50"/>
      <c r="R220" s="3"/>
      <c r="U220" s="30"/>
      <c r="V220" s="40"/>
      <c r="W220" s="32"/>
      <c r="AH220" s="32"/>
      <c r="AI220" s="32"/>
      <c r="AJ220" s="32"/>
      <c r="AK220" s="32"/>
      <c r="AL220" s="32"/>
      <c r="BD220" s="31"/>
      <c r="BE220" s="31"/>
      <c r="BF220" s="31"/>
      <c r="BG220" s="31"/>
      <c r="BH220" s="31"/>
      <c r="BI220" s="31"/>
      <c r="BJ220" s="31"/>
      <c r="BK220" s="31"/>
      <c r="BL220" s="31"/>
      <c r="BM220" s="31"/>
      <c r="BN220" s="31"/>
      <c r="CB220" s="31"/>
      <c r="CG220" s="31"/>
    </row>
    <row r="221" spans="2:85" ht="12.75" hidden="1" customHeight="1" x14ac:dyDescent="0.2">
      <c r="B221" s="3477"/>
      <c r="C221" s="3478"/>
      <c r="D221" s="3482"/>
      <c r="E221" s="3480"/>
      <c r="F221" s="3480"/>
      <c r="G221" s="3370"/>
      <c r="H221" s="3480"/>
      <c r="I221" s="3370"/>
      <c r="J221" s="3483"/>
      <c r="K221" s="3480"/>
      <c r="L221" s="3481"/>
      <c r="M221" s="3481"/>
      <c r="N221" s="3481"/>
      <c r="O221" s="3484"/>
      <c r="P221" s="406"/>
      <c r="Q221" s="50"/>
      <c r="R221" s="3"/>
      <c r="U221" s="30"/>
      <c r="V221" s="40"/>
      <c r="W221" s="32"/>
      <c r="AH221" s="32"/>
      <c r="AI221" s="32"/>
      <c r="AJ221" s="32"/>
      <c r="AK221" s="32"/>
      <c r="AL221" s="32"/>
      <c r="BD221" s="31"/>
      <c r="BE221" s="31"/>
      <c r="BF221" s="31"/>
      <c r="BG221" s="31"/>
      <c r="BH221" s="31"/>
      <c r="BI221" s="31"/>
      <c r="BJ221" s="31"/>
      <c r="BK221" s="31"/>
      <c r="BL221" s="31"/>
      <c r="BM221" s="31"/>
      <c r="BN221" s="31"/>
      <c r="CB221" s="31"/>
      <c r="CG221" s="31"/>
    </row>
    <row r="222" spans="2:85" ht="12.75" hidden="1" customHeight="1" x14ac:dyDescent="0.2">
      <c r="B222" s="3477"/>
      <c r="C222" s="3478"/>
      <c r="D222" s="3482"/>
      <c r="E222" s="3480"/>
      <c r="F222" s="3480"/>
      <c r="G222" s="3370"/>
      <c r="H222" s="3480"/>
      <c r="I222" s="3370"/>
      <c r="J222" s="3483"/>
      <c r="K222" s="3480"/>
      <c r="L222" s="3481"/>
      <c r="M222" s="3481"/>
      <c r="N222" s="3481"/>
      <c r="O222" s="3484"/>
      <c r="P222" s="406"/>
      <c r="Q222" s="50"/>
      <c r="R222" s="3"/>
      <c r="U222" s="30"/>
      <c r="V222" s="40"/>
      <c r="W222" s="32"/>
      <c r="AH222" s="32"/>
      <c r="AI222" s="32"/>
      <c r="AJ222" s="32"/>
      <c r="AK222" s="32"/>
      <c r="AL222" s="32"/>
      <c r="BD222" s="31"/>
      <c r="BE222" s="31"/>
      <c r="BF222" s="31"/>
      <c r="BG222" s="31"/>
      <c r="BH222" s="31"/>
      <c r="BI222" s="31"/>
      <c r="BJ222" s="31"/>
      <c r="BK222" s="31"/>
      <c r="BL222" s="31"/>
      <c r="BM222" s="31"/>
      <c r="BN222" s="31"/>
      <c r="CB222" s="31"/>
      <c r="CG222" s="31"/>
    </row>
    <row r="223" spans="2:85" ht="15" x14ac:dyDescent="0.2">
      <c r="B223" s="108" t="s">
        <v>10574</v>
      </c>
      <c r="C223" s="41"/>
      <c r="D223" s="41"/>
      <c r="E223" s="151" t="str">
        <f>ver</f>
        <v>TA2_e-CO_2025_Ver 1.1</v>
      </c>
      <c r="F223" s="42"/>
      <c r="G223" s="42"/>
      <c r="H223" s="42"/>
      <c r="I223" s="42"/>
      <c r="J223" s="42"/>
      <c r="K223" s="42"/>
      <c r="L223" s="42"/>
      <c r="M223" s="328"/>
      <c r="N223" s="328" t="s">
        <v>5114</v>
      </c>
      <c r="O223" s="50"/>
      <c r="P223" s="50"/>
      <c r="Q223" s="50"/>
      <c r="R223" s="3"/>
      <c r="S223" s="28">
        <f>IF(P223="",0,1)</f>
      </c>
      <c r="V223" s="40"/>
      <c r="AI223" s="37"/>
      <c r="AJ223" s="37"/>
      <c r="BD223" s="31"/>
      <c r="BE223" s="31"/>
      <c r="BF223" s="31"/>
      <c r="BG223" s="31"/>
      <c r="BH223" s="31"/>
      <c r="BI223" s="31"/>
      <c r="BJ223" s="31"/>
      <c r="BK223" s="31"/>
      <c r="BL223" s="31"/>
      <c r="BM223" s="31"/>
      <c r="BN223" s="31"/>
    </row>
    <row r="224" spans="2:85" ht="16.5" customHeight="1" x14ac:dyDescent="0.2">
      <c r="B224" s="4500" t="s">
        <v>7839</v>
      </c>
      <c r="C224" s="4497" t="s">
        <v>3263</v>
      </c>
      <c r="D224" s="4443" t="s">
        <v>2539</v>
      </c>
      <c r="E224" s="4475" t="s">
        <v>441</v>
      </c>
      <c r="F224" s="4475" t="s">
        <v>442</v>
      </c>
      <c r="G224" s="4505" t="s">
        <v>4120</v>
      </c>
      <c r="H224" s="4512"/>
      <c r="I224" s="4475" t="s">
        <v>6174</v>
      </c>
      <c r="J224" s="4475" t="s">
        <v>6175</v>
      </c>
      <c r="K224" s="4443" t="str">
        <f>IF(Z1=1,BA1,BA2)</f>
      </c>
      <c r="L224" s="4475" t="s">
        <v>6176</v>
      </c>
      <c r="M224" s="4505" t="s">
        <v>939</v>
      </c>
      <c r="N224" s="4475" t="s">
        <v>6177</v>
      </c>
      <c r="O224" s="425"/>
      <c r="P224" s="4503"/>
      <c r="Q224" s="4503"/>
      <c r="R224" s="3"/>
      <c r="V224" s="40"/>
      <c r="AI224" s="37"/>
      <c r="AJ224" s="43"/>
      <c r="AM224" s="32"/>
      <c r="AN224" s="32"/>
      <c r="AO224" s="32"/>
      <c r="AP224" s="32"/>
      <c r="AQ224" s="32"/>
      <c r="AR224" s="32"/>
      <c r="AS224" s="32"/>
      <c r="BD224" s="39"/>
      <c r="BE224" s="39"/>
      <c r="BF224" s="39"/>
      <c r="BG224" s="39"/>
      <c r="BH224" s="39"/>
      <c r="BI224" s="39"/>
      <c r="BJ224" s="39"/>
      <c r="BK224" s="39"/>
      <c r="BL224" s="39"/>
      <c r="BM224" s="39"/>
      <c r="BN224" s="39"/>
    </row>
    <row r="225" spans="1:85" ht="24.75" customHeight="1" x14ac:dyDescent="0.2">
      <c r="B225" s="4501"/>
      <c r="C225" s="4497"/>
      <c r="D225" s="4498"/>
      <c r="E225" s="4475"/>
      <c r="F225" s="4475"/>
      <c r="G225" s="4513" t="s">
        <v>6178</v>
      </c>
      <c r="H225" s="4475" t="s">
        <v>6179</v>
      </c>
      <c r="I225" s="4475"/>
      <c r="J225" s="4475"/>
      <c r="K225" s="4504"/>
      <c r="L225" s="4475"/>
      <c r="M225" s="4505"/>
      <c r="N225" s="4475"/>
      <c r="O225" s="425"/>
      <c r="P225" s="4503"/>
      <c r="Q225" s="4503"/>
      <c r="R225" s="3"/>
      <c r="V225" s="40"/>
      <c r="AI225" s="32"/>
      <c r="AM225" s="32"/>
      <c r="AN225" s="32"/>
      <c r="AO225" s="32"/>
      <c r="AP225" s="32"/>
      <c r="AQ225" s="32"/>
      <c r="AR225" s="32"/>
      <c r="AS225" s="32"/>
      <c r="BD225" s="39"/>
      <c r="BE225" s="39"/>
      <c r="BF225" s="39"/>
      <c r="BG225" s="39"/>
      <c r="BH225" s="39"/>
      <c r="BI225" s="39"/>
      <c r="BJ225" s="39"/>
      <c r="BK225" s="39"/>
      <c r="BL225" s="39"/>
      <c r="BM225" s="39"/>
      <c r="BN225" s="39"/>
    </row>
    <row r="226" spans="1:85" ht="15.75" customHeight="1" x14ac:dyDescent="0.2">
      <c r="B226" s="4502"/>
      <c r="C226" s="4497"/>
      <c r="D226" s="4499"/>
      <c r="E226" s="4475"/>
      <c r="F226" s="4475"/>
      <c r="G226" s="4514"/>
      <c r="H226" s="4475"/>
      <c r="I226" s="4475"/>
      <c r="J226" s="4475"/>
      <c r="K226" s="4444"/>
      <c r="L226" s="4475"/>
      <c r="M226" s="4505"/>
      <c r="N226" s="4475"/>
      <c r="O226" s="425"/>
      <c r="P226" s="4503"/>
      <c r="Q226" s="4503"/>
      <c r="R226" s="3"/>
      <c r="V226" s="40"/>
      <c r="AB226" s="28" t="s">
        <v>3096</v>
      </c>
      <c r="AI226" s="32"/>
      <c r="AM226" s="32"/>
      <c r="AN226" s="32"/>
      <c r="AO226" s="32"/>
      <c r="AP226" s="32"/>
      <c r="AQ226" s="32"/>
      <c r="AR226" s="32"/>
      <c r="AS226" s="32"/>
      <c r="AX226" s="32">
        <f>AH191</f>
      </c>
      <c r="BD226" s="39"/>
      <c r="BE226" s="39"/>
      <c r="BF226" s="39"/>
      <c r="BG226" s="39"/>
      <c r="BH226" s="39"/>
      <c r="BI226" s="39"/>
      <c r="BJ226" s="39"/>
      <c r="BK226" s="39"/>
      <c r="BL226" s="39"/>
      <c r="BM226" s="39"/>
      <c r="BN226" s="39"/>
    </row>
    <row r="227" spans="1:85" ht="12.75" customHeight="1" x14ac:dyDescent="0.2">
      <c r="A227" s="28">
        <f>IF(AX227=AX226,0,AX227)</f>
      </c>
      <c r="B227" s="152"/>
      <c r="C227" s="427" t="s">
        <v>363</v>
      </c>
      <c r="D227" s="431"/>
      <c r="E227" s="223"/>
      <c r="F227" s="223"/>
      <c r="G227" s="365"/>
      <c r="H227" s="432"/>
      <c r="I227" s="365"/>
      <c r="J227" s="365"/>
      <c r="K227" s="223"/>
      <c r="L227" s="405">
        <f>IF(V227=0,0,IF(W227&lt;0,0,W227))</f>
      </c>
      <c r="M227" s="433">
        <f>IF(V227=0,0,Z227)</f>
      </c>
      <c r="N227" s="405">
        <f>IF(U227=0,0,AA227)</f>
      </c>
      <c r="O227" s="425"/>
      <c r="P227" s="406" t="str">
        <f>IF(B227="","",IF(C227="",$AA$1,IF(AR227&lt;&gt;4,$AD$1,"")))</f>
        <v/>
      </c>
      <c r="Q227" s="50"/>
      <c r="R227" s="3"/>
      <c r="S227" s="28">
        <f>IF(P227="",0,1)</f>
      </c>
      <c r="U227" s="30">
        <f>IF($Z$1=1,K227,IF(ISBLANK(K227),V227,IF(K227=0,0,IF(AND(B227="Car Park",K227=10,$S$1=991316302),K227,IF(K227&gt;V227,K227,V227)))))</f>
      </c>
      <c r="V227" s="40">
        <v>50</v>
      </c>
      <c r="W227" s="32">
        <f>IF(B227="",0,IF(D227=$Q$1,(G227+H227),E227-I227))</f>
      </c>
      <c r="X227" s="28">
        <f>IF(B227="",0,IF(D227=$Q$1,W227,F227-J227))</f>
      </c>
      <c r="Y227" s="28">
        <f>IF(U227=0,0,(W227/U227)+AB227)</f>
      </c>
      <c r="Z227" s="28">
        <f>IF(Y227&lt;0,0,IF(Y227&gt;X227,X227,Y227))</f>
      </c>
      <c r="AA227" s="28">
        <f>X227-Z227</f>
      </c>
      <c r="AB227" s="28">
        <f>IF(D227=$Q$1,G227*0.1,0)</f>
      </c>
      <c r="AC227" s="28">
        <f>IF(V227=0,0,IF(D227=$Q$1,0,IF(AD227&lt;&gt;2,0,F227*I227/E227)))</f>
      </c>
      <c r="AD227" s="28">
        <f>SUM(AE227:AF227)</f>
      </c>
      <c r="AE227" s="28">
        <f>IF(ISBLANK(F227),0,1)</f>
      </c>
      <c r="AF227" s="28">
        <f>IF(ISBLANK(E227),0,1)</f>
      </c>
      <c r="AI227" s="32">
        <f t="shared" ref="AI227:AJ229" si="163">IF($D227=$Q$1,0,E227)</f>
      </c>
      <c r="AJ227" s="32">
        <f t="shared" si="163"/>
        <v>0</v>
      </c>
      <c r="AK227" s="32">
        <f>IF($D227=$Q$1,G227+H227,E227)</f>
      </c>
      <c r="AL227" s="32">
        <f>IF($D227=$Q$1,H227+G227,F227)</f>
      </c>
      <c r="AM227" s="32"/>
      <c r="AN227" s="32">
        <f t="shared" ref="AN227:AO229" si="164">IF($D227=$Q$1,1,IF(ISBLANK(E227),0,1))</f>
      </c>
      <c r="AO227" s="32">
        <f t="shared" si="164"/>
        <v>0</v>
      </c>
      <c r="AP227" s="32">
        <f>SUM(AN227:AO227)</f>
      </c>
      <c r="AQ227" s="32">
        <f t="shared" ref="AQ227:AQ270" si="165">IF(AP227=0,2,AP227)</f>
      </c>
      <c r="AR227" s="44">
        <f>AQ227+AS227</f>
      </c>
      <c r="AS227" s="28">
        <f>IF(AT227=0,2,AT227)</f>
      </c>
      <c r="AT227" s="32">
        <f>AU227+AV227</f>
      </c>
      <c r="AU227" s="32">
        <f t="shared" ref="AU227:AV229" si="166">IF($D227=$Q$1,1,IF(ISBLANK(I227),0,1))</f>
      </c>
      <c r="AV227" s="32">
        <f t="shared" si="166"/>
        <v>0</v>
      </c>
      <c r="AX227" s="28">
        <f>IF(BA227=2,AX226+1,AX226)</f>
      </c>
      <c r="AY227" s="28">
        <f t="shared" ref="AY227:AZ229" si="167">IF($D227=$Q$1,0,IF(ISBLANK(I227),0,1))</f>
      </c>
      <c r="AZ227" s="28">
        <f t="shared" si="167"/>
        <v>0</v>
      </c>
      <c r="BA227" s="28">
        <f>SUM(AY227:AZ227)</f>
      </c>
      <c r="CB227" s="31"/>
      <c r="CG227" s="31"/>
    </row>
    <row r="228" spans="1:85" ht="12.75" customHeight="1" x14ac:dyDescent="0.2">
      <c r="A228" s="28">
        <f>IF(AX228=AX227,0,AX228)</f>
      </c>
      <c r="B228" s="152"/>
      <c r="C228" s="427" t="s">
        <v>363</v>
      </c>
      <c r="D228" s="431"/>
      <c r="E228" s="223"/>
      <c r="F228" s="223"/>
      <c r="G228" s="365"/>
      <c r="H228" s="432"/>
      <c r="I228" s="365"/>
      <c r="J228" s="365"/>
      <c r="K228" s="223"/>
      <c r="L228" s="405">
        <f>IF(V228=0,0,IF(W228&lt;0,0,W228))</f>
      </c>
      <c r="M228" s="433">
        <f>IF(V228=0,0,Z228)</f>
      </c>
      <c r="N228" s="405">
        <f>IF(U228=0,0,AA228)</f>
      </c>
      <c r="O228" s="425"/>
      <c r="P228" s="50" t="str">
        <f>IF(B228="","",IF(C228="",$AA$1,""))</f>
        <v/>
      </c>
      <c r="Q228" s="50"/>
      <c r="R228" s="3"/>
      <c r="S228" s="28">
        <f>IF(P228="",0,1)</f>
      </c>
      <c r="U228" s="30">
        <f t="shared" ref="U228:U270" si="168">IF($Z$1=1,K228,IF(ISBLANK(K228),V228,IF(K228=0,0,IF(AND(B228="Car Park",K228=10,$S$1=991316302),K228,IF(K228&gt;V228,K228,V228)))))</f>
      </c>
      <c r="V228" s="40">
        <v>50</v>
      </c>
      <c r="W228" s="32">
        <f>IF(B228="",0,IF(D228=$Q$1,(G228+H228),E228-I228))</f>
      </c>
      <c r="X228" s="28">
        <f>IF(B228="",0,IF(D228=$Q$1,W228,F228-J228))</f>
      </c>
      <c r="Y228" s="28">
        <f>IF(U228=0,0,(W228/U228)+AB228)</f>
      </c>
      <c r="Z228" s="28">
        <f>IF(Y228&lt;0,0,IF(Y228&gt;X228,X228,Y228))</f>
      </c>
      <c r="AA228" s="28">
        <f>X228-Z228</f>
      </c>
      <c r="AB228" s="28">
        <f>IF(D228=$Q$1,G228*0.1,0)</f>
      </c>
      <c r="AC228" s="28">
        <f>IF(V228=0,0,IF(D228=$Q$1,0,IF(AD228&lt;&gt;2,0,F228*I228/E228)))</f>
      </c>
      <c r="AD228" s="28">
        <f>SUM(AE228:AF228)</f>
      </c>
      <c r="AE228" s="28">
        <f>IF(ISBLANK(F228),0,1)</f>
      </c>
      <c r="AF228" s="28">
        <f>IF(ISBLANK(E228),0,1)</f>
      </c>
      <c r="AI228" s="32">
        <f t="shared" si="163"/>
        <v>0</v>
      </c>
      <c r="AJ228" s="32">
        <f t="shared" si="163"/>
        <v>0</v>
      </c>
      <c r="AK228" s="32">
        <f>IF($D228=$Q$1,G228+H228,E228)</f>
      </c>
      <c r="AL228" s="32">
        <f>IF($D228=$Q$1,H228+G228,F228)</f>
      </c>
      <c r="AM228" s="32"/>
      <c r="AN228" s="32">
        <f t="shared" si="164"/>
        <v>0</v>
      </c>
      <c r="AO228" s="32">
        <f t="shared" si="164"/>
        <v>0</v>
      </c>
      <c r="AP228" s="32">
        <f>SUM(AN228:AO228)</f>
      </c>
      <c r="AQ228" s="32">
        <f t="shared" si="165"/>
        <v>2</v>
      </c>
      <c r="AR228" s="44">
        <f>AQ228+AS228</f>
      </c>
      <c r="AS228" s="28">
        <f>IF(AT228=0,2,AT228)</f>
      </c>
      <c r="AT228" s="32">
        <f>AU228+AV228</f>
      </c>
      <c r="AU228" s="32">
        <f t="shared" si="166"/>
        <v>0</v>
      </c>
      <c r="AV228" s="32">
        <f t="shared" si="166"/>
        <v>0</v>
      </c>
      <c r="AX228" s="28">
        <f>IF(BA228=2,AX227+1,AX227)</f>
      </c>
      <c r="AY228" s="28">
        <f t="shared" si="167"/>
        <v>0</v>
      </c>
      <c r="AZ228" s="28">
        <f t="shared" si="167"/>
        <v>0</v>
      </c>
      <c r="BA228" s="28">
        <f>SUM(AY228:AZ228)</f>
      </c>
      <c r="CB228" s="31"/>
      <c r="CG228" s="31"/>
    </row>
    <row r="229" spans="1:85" ht="12.75" customHeight="1" x14ac:dyDescent="0.2">
      <c r="A229" s="28">
        <f t="shared" ref="A229:A259" si="169">IF(AX229=AX228,0,AX229)</f>
      </c>
      <c r="B229" s="152"/>
      <c r="C229" s="427" t="s">
        <v>363</v>
      </c>
      <c r="D229" s="431"/>
      <c r="E229" s="223"/>
      <c r="F229" s="223"/>
      <c r="G229" s="365"/>
      <c r="H229" s="432"/>
      <c r="I229" s="365"/>
      <c r="J229" s="365"/>
      <c r="K229" s="223"/>
      <c r="L229" s="405">
        <f>IF(V229=0,0,IF(W229&lt;0,0,W229))</f>
      </c>
      <c r="M229" s="433">
        <f>IF(V229=0,0,Z229)</f>
      </c>
      <c r="N229" s="405">
        <f>IF(U229=0,0,AA229)</f>
      </c>
      <c r="O229" s="425"/>
      <c r="P229" s="50" t="str">
        <f t="shared" ref="P229:P259" si="170">IF(B229="","",IF(C229="",$AA$1,""))</f>
        <v/>
      </c>
      <c r="Q229" s="50"/>
      <c r="R229" s="3"/>
      <c r="S229" s="28">
        <f>IF(P229="",0,1)</f>
      </c>
      <c r="U229" s="30">
        <f t="shared" si="168"/>
        <v>50</v>
      </c>
      <c r="V229" s="40">
        <v>50</v>
      </c>
      <c r="W229" s="32">
        <f>IF(B229="",0,IF(D229=$Q$1,(G229+H229),E229-I229))</f>
      </c>
      <c r="X229" s="28">
        <f>IF(B229="",0,IF(D229=$Q$1,W229,F229-J229))</f>
      </c>
      <c r="Y229" s="28">
        <f>IF(U229=0,0,(W229/U229)+AB229)</f>
      </c>
      <c r="Z229" s="28">
        <f>IF(Y229&lt;0,0,IF(Y229&gt;X229,X229,Y229))</f>
      </c>
      <c r="AA229" s="28">
        <f>X229-Z229</f>
      </c>
      <c r="AB229" s="28">
        <f>IF(D229=$Q$1,G229*0.1,0)</f>
      </c>
      <c r="AC229" s="28">
        <f>IF(V229=0,0,IF(D229=$Q$1,0,IF(AD229&lt;&gt;2,0,F229*I229/E229)))</f>
      </c>
      <c r="AD229" s="28">
        <f>SUM(AE229:AF229)</f>
      </c>
      <c r="AE229" s="28">
        <f>IF(ISBLANK(F229),0,1)</f>
      </c>
      <c r="AF229" s="28">
        <f>IF(ISBLANK(E229),0,1)</f>
      </c>
      <c r="AI229" s="32">
        <f t="shared" si="163"/>
        <v>0</v>
      </c>
      <c r="AJ229" s="32">
        <f t="shared" si="163"/>
        <v>0</v>
      </c>
      <c r="AK229" s="32">
        <f>IF($D229=$Q$1,G229+H229,E229)</f>
      </c>
      <c r="AL229" s="32">
        <f>IF($D229=$Q$1,H229+G229,F229)</f>
      </c>
      <c r="AM229" s="32"/>
      <c r="AN229" s="32">
        <f t="shared" si="164"/>
        <v>0</v>
      </c>
      <c r="AO229" s="32">
        <f t="shared" si="164"/>
        <v>0</v>
      </c>
      <c r="AP229" s="32">
        <f>SUM(AN229:AO229)</f>
      </c>
      <c r="AQ229" s="32">
        <f t="shared" si="165"/>
        <v>2</v>
      </c>
      <c r="AR229" s="44">
        <f>AQ229+AS229</f>
      </c>
      <c r="AS229" s="28">
        <f>IF(AT229=0,2,AT229)</f>
      </c>
      <c r="AT229" s="32">
        <f>AU229+AV229</f>
      </c>
      <c r="AU229" s="32">
        <f t="shared" si="166"/>
        <v>0</v>
      </c>
      <c r="AV229" s="32">
        <f t="shared" si="166"/>
        <v>0</v>
      </c>
      <c r="AX229" s="28">
        <f>IF(BA229=2,AX228+1,AX228)</f>
      </c>
      <c r="AY229" s="28">
        <f t="shared" si="167"/>
        <v>0</v>
      </c>
      <c r="AZ229" s="28">
        <f t="shared" si="167"/>
        <v>0</v>
      </c>
      <c r="BA229" s="28">
        <f>SUM(AY229:AZ229)</f>
      </c>
      <c r="CB229" s="31"/>
      <c r="CG229" s="31"/>
    </row>
    <row r="230" spans="1:85" ht="12.75" customHeight="1" x14ac:dyDescent="0.2">
      <c r="A230" s="28">
        <f t="shared" si="169"/>
        <v>0</v>
      </c>
      <c r="B230" s="152"/>
      <c r="C230" s="427" t="s">
        <v>363</v>
      </c>
      <c r="D230" s="431"/>
      <c r="E230" s="223"/>
      <c r="F230" s="223"/>
      <c r="G230" s="365"/>
      <c r="H230" s="432"/>
      <c r="I230" s="365"/>
      <c r="J230" s="365"/>
      <c r="K230" s="223"/>
      <c r="L230" s="405">
        <f t="shared" ref="L230:L250" si="171">IF(V230=0,0,IF(W230&lt;0,0,W230))</f>
      </c>
      <c r="M230" s="433">
        <f t="shared" ref="M230:M250" si="172">IF(V230=0,0,Z230)</f>
      </c>
      <c r="N230" s="405">
        <f t="shared" ref="N230:N250" si="173">IF(U230=0,0,AA230)</f>
      </c>
      <c r="O230" s="425"/>
      <c r="P230" s="50" t="str">
        <f t="shared" si="170"/>
        <v/>
      </c>
      <c r="Q230" s="50"/>
      <c r="R230" s="3"/>
      <c r="S230" s="28">
        <f t="shared" ref="S230:S250" si="174">IF(P230="",0,1)</f>
      </c>
      <c r="U230" s="30">
        <f t="shared" ref="U230:U250" si="175">IF($Z$1=1,K230,IF(ISBLANK(K230),V230,IF(K230=0,0,IF(AND(B230="Car Park",K230=10,$S$1=991316302),K230,IF(K230&gt;V230,K230,V230)))))</f>
      </c>
      <c r="V230" s="40">
        <v>50</v>
      </c>
      <c r="W230" s="32">
        <f t="shared" ref="W230:W250" si="176">IF(B230="",0,IF(D230=$Q$1,(G230+H230),E230-I230))</f>
      </c>
      <c r="X230" s="28">
        <f t="shared" ref="X230:X250" si="177">IF(B230="",0,IF(D230=$Q$1,W230,F230-J230))</f>
      </c>
      <c r="Y230" s="28">
        <f t="shared" ref="Y230:Y250" si="178">IF(U230=0,0,(W230/U230)+AB230)</f>
      </c>
      <c r="Z230" s="28">
        <f t="shared" ref="Z230:Z250" si="179">IF(Y230&lt;0,0,IF(Y230&gt;X230,X230,Y230))</f>
      </c>
      <c r="AA230" s="28">
        <f t="shared" ref="AA230:AA250" si="180">X230-Z230</f>
      </c>
      <c r="AB230" s="28">
        <f t="shared" ref="AB230:AB250" si="181">IF(D230=$Q$1,G230*0.1,0)</f>
      </c>
      <c r="AC230" s="28">
        <f t="shared" ref="AC230:AC250" si="182">IF(V230=0,0,IF(D230=$Q$1,0,IF(AD230&lt;&gt;2,0,F230*I230/E230)))</f>
      </c>
      <c r="AD230" s="28">
        <f t="shared" ref="AD230:AD250" si="183">SUM(AE230:AF230)</f>
      </c>
      <c r="AE230" s="28">
        <f t="shared" ref="AE230:AE250" si="184">IF(ISBLANK(F230),0,1)</f>
      </c>
      <c r="AF230" s="28">
        <f t="shared" ref="AF230:AF250" si="185">IF(ISBLANK(E230),0,1)</f>
      </c>
      <c r="AI230" s="32">
        <f t="shared" ref="AI230:AI250" si="186">IF($D230=$Q$1,0,E230)</f>
      </c>
      <c r="AJ230" s="32">
        <f t="shared" ref="AJ230:AJ250" si="187">IF($D230=$Q$1,0,F230)</f>
      </c>
      <c r="AK230" s="32">
        <f t="shared" ref="AK230:AK250" si="188">IF($D230=$Q$1,G230+H230,E230)</f>
      </c>
      <c r="AL230" s="32">
        <f t="shared" ref="AL230:AL250" si="189">IF($D230=$Q$1,H230+G230,F230)</f>
      </c>
      <c r="AM230" s="32"/>
      <c r="AN230" s="32">
        <f t="shared" ref="AN230:AN250" si="190">IF($D230=$Q$1,1,IF(ISBLANK(E230),0,1))</f>
      </c>
      <c r="AO230" s="32">
        <f t="shared" ref="AO230:AO250" si="191">IF($D230=$Q$1,1,IF(ISBLANK(F230),0,1))</f>
      </c>
      <c r="AP230" s="32">
        <f t="shared" ref="AP230:AP250" si="192">SUM(AN230:AO230)</f>
      </c>
      <c r="AQ230" s="32">
        <f t="shared" ref="AQ230:AQ250" si="193">IF(AP230=0,2,AP230)</f>
      </c>
      <c r="AR230" s="44">
        <f t="shared" ref="AR230:AR250" si="194">AQ230+AS230</f>
      </c>
      <c r="AS230" s="28">
        <f t="shared" ref="AS230:AS250" si="195">IF(AT230=0,2,AT230)</f>
      </c>
      <c r="AT230" s="32">
        <f t="shared" ref="AT230:AT250" si="196">AU230+AV230</f>
      </c>
      <c r="AU230" s="32">
        <f t="shared" ref="AU230:AU250" si="197">IF($D230=$Q$1,1,IF(ISBLANK(I230),0,1))</f>
      </c>
      <c r="AV230" s="32">
        <f t="shared" ref="AV230:AV250" si="198">IF($D230=$Q$1,1,IF(ISBLANK(J230),0,1))</f>
      </c>
      <c r="AX230" s="28">
        <f t="shared" ref="AX230:AX250" si="199">IF(BA230=2,AX229+1,AX229)</f>
      </c>
      <c r="AY230" s="28">
        <f t="shared" ref="AY230:AY250" si="200">IF($D230=$Q$1,0,IF(ISBLANK(I230),0,1))</f>
      </c>
      <c r="AZ230" s="28">
        <f t="shared" ref="AZ230:AZ250" si="201">IF($D230=$Q$1,0,IF(ISBLANK(J230),0,1))</f>
      </c>
      <c r="BA230" s="28">
        <f t="shared" ref="BA230:BA250" si="202">SUM(AY230:AZ230)</f>
      </c>
      <c r="CB230" s="31"/>
      <c r="CG230" s="31"/>
    </row>
    <row r="231" spans="1:85" ht="12.75" customHeight="1" x14ac:dyDescent="0.2">
      <c r="A231" s="28">
        <f t="shared" si="169"/>
        <v>0</v>
      </c>
      <c r="B231" s="152"/>
      <c r="C231" s="427" t="s">
        <v>363</v>
      </c>
      <c r="D231" s="431"/>
      <c r="E231" s="223"/>
      <c r="F231" s="223"/>
      <c r="G231" s="365"/>
      <c r="H231" s="432"/>
      <c r="I231" s="365"/>
      <c r="J231" s="365"/>
      <c r="K231" s="223"/>
      <c r="L231" s="405">
        <f t="shared" si="171"/>
        <v>0</v>
      </c>
      <c r="M231" s="433">
        <f t="shared" si="172"/>
        <v>0</v>
      </c>
      <c r="N231" s="405">
        <f t="shared" si="173"/>
        <v>0</v>
      </c>
      <c r="O231" s="425"/>
      <c r="P231" s="50" t="str">
        <f t="shared" si="170"/>
        <v/>
      </c>
      <c r="Q231" s="50"/>
      <c r="R231" s="3"/>
      <c r="S231" s="28">
        <f t="shared" si="174"/>
        <v>0</v>
      </c>
      <c r="U231" s="30">
        <f t="shared" si="175"/>
        <v>50</v>
      </c>
      <c r="V231" s="40">
        <v>50</v>
      </c>
      <c r="W231" s="32">
        <f t="shared" si="176"/>
        <v>0</v>
      </c>
      <c r="X231" s="28">
        <f t="shared" si="177"/>
        <v>0</v>
      </c>
      <c r="Y231" s="28">
        <f t="shared" si="178"/>
        <v>0</v>
      </c>
      <c r="Z231" s="28">
        <f t="shared" si="179"/>
        <v>0</v>
      </c>
      <c r="AA231" s="28">
        <f t="shared" si="180"/>
        <v>0</v>
      </c>
      <c r="AB231" s="28">
        <f t="shared" si="181"/>
        <v>0</v>
      </c>
      <c r="AC231" s="28">
        <f t="shared" si="182"/>
        <v>0</v>
      </c>
      <c r="AD231" s="28">
        <f t="shared" si="183"/>
        <v>0</v>
      </c>
      <c r="AE231" s="28">
        <f t="shared" si="184"/>
        <v>0</v>
      </c>
      <c r="AF231" s="28">
        <f t="shared" si="185"/>
        <v>0</v>
      </c>
      <c r="AI231" s="32">
        <f t="shared" si="186"/>
        <v>0</v>
      </c>
      <c r="AJ231" s="32">
        <f t="shared" si="187"/>
        <v>0</v>
      </c>
      <c r="AK231" s="32">
        <f t="shared" si="188"/>
        <v>0</v>
      </c>
      <c r="AL231" s="32">
        <f t="shared" si="189"/>
        <v>0</v>
      </c>
      <c r="AM231" s="32"/>
      <c r="AN231" s="32">
        <f t="shared" si="190"/>
        <v>0</v>
      </c>
      <c r="AO231" s="32">
        <f t="shared" si="191"/>
        <v>0</v>
      </c>
      <c r="AP231" s="32">
        <f t="shared" si="192"/>
        <v>0</v>
      </c>
      <c r="AQ231" s="32">
        <f t="shared" si="193"/>
        <v>2</v>
      </c>
      <c r="AR231" s="44">
        <f t="shared" si="194"/>
        <v>4</v>
      </c>
      <c r="AS231" s="28">
        <f t="shared" si="195"/>
        <v>2</v>
      </c>
      <c r="AT231" s="32">
        <f t="shared" si="196"/>
        <v>0</v>
      </c>
      <c r="AU231" s="32">
        <f t="shared" si="197"/>
        <v>0</v>
      </c>
      <c r="AV231" s="32">
        <f t="shared" si="198"/>
        <v>0</v>
      </c>
      <c r="AX231" s="28">
        <f t="shared" si="199"/>
        <v>0</v>
      </c>
      <c r="AY231" s="28">
        <f t="shared" si="200"/>
        <v>0</v>
      </c>
      <c r="AZ231" s="28">
        <f t="shared" si="201"/>
        <v>0</v>
      </c>
      <c r="BA231" s="28">
        <f t="shared" si="202"/>
        <v>0</v>
      </c>
      <c r="CB231" s="31"/>
      <c r="CG231" s="31"/>
    </row>
    <row r="232" spans="1:85" ht="12.75" customHeight="1" x14ac:dyDescent="0.2">
      <c r="A232" s="28">
        <f t="shared" si="169"/>
        <v>0</v>
      </c>
      <c r="B232" s="152"/>
      <c r="C232" s="427" t="s">
        <v>363</v>
      </c>
      <c r="D232" s="431"/>
      <c r="E232" s="223"/>
      <c r="F232" s="223"/>
      <c r="G232" s="365"/>
      <c r="H232" s="432"/>
      <c r="I232" s="365"/>
      <c r="J232" s="365"/>
      <c r="K232" s="223"/>
      <c r="L232" s="405">
        <f t="shared" si="171"/>
        <v>0</v>
      </c>
      <c r="M232" s="433">
        <f t="shared" si="172"/>
        <v>0</v>
      </c>
      <c r="N232" s="405">
        <f t="shared" si="173"/>
        <v>0</v>
      </c>
      <c r="O232" s="425"/>
      <c r="P232" s="50" t="str">
        <f t="shared" si="170"/>
        <v/>
      </c>
      <c r="Q232" s="50"/>
      <c r="R232" s="3"/>
      <c r="S232" s="28">
        <f t="shared" si="174"/>
        <v>0</v>
      </c>
      <c r="U232" s="30">
        <f t="shared" si="175"/>
        <v>50</v>
      </c>
      <c r="V232" s="40">
        <v>50</v>
      </c>
      <c r="W232" s="32">
        <f t="shared" si="176"/>
        <v>0</v>
      </c>
      <c r="X232" s="28">
        <f t="shared" si="177"/>
        <v>0</v>
      </c>
      <c r="Y232" s="28">
        <f t="shared" si="178"/>
        <v>0</v>
      </c>
      <c r="Z232" s="28">
        <f t="shared" si="179"/>
        <v>0</v>
      </c>
      <c r="AA232" s="28">
        <f t="shared" si="180"/>
        <v>0</v>
      </c>
      <c r="AB232" s="28">
        <f t="shared" si="181"/>
        <v>0</v>
      </c>
      <c r="AC232" s="28">
        <f t="shared" si="182"/>
        <v>0</v>
      </c>
      <c r="AD232" s="28">
        <f t="shared" si="183"/>
        <v>0</v>
      </c>
      <c r="AE232" s="28">
        <f t="shared" si="184"/>
        <v>0</v>
      </c>
      <c r="AF232" s="28">
        <f t="shared" si="185"/>
        <v>0</v>
      </c>
      <c r="AI232" s="32">
        <f t="shared" si="186"/>
        <v>0</v>
      </c>
      <c r="AJ232" s="32">
        <f t="shared" si="187"/>
        <v>0</v>
      </c>
      <c r="AK232" s="32">
        <f t="shared" si="188"/>
        <v>0</v>
      </c>
      <c r="AL232" s="32">
        <f t="shared" si="189"/>
        <v>0</v>
      </c>
      <c r="AM232" s="32"/>
      <c r="AN232" s="32">
        <f t="shared" si="190"/>
        <v>0</v>
      </c>
      <c r="AO232" s="32">
        <f t="shared" si="191"/>
        <v>0</v>
      </c>
      <c r="AP232" s="32">
        <f t="shared" si="192"/>
        <v>0</v>
      </c>
      <c r="AQ232" s="32">
        <f t="shared" si="193"/>
        <v>2</v>
      </c>
      <c r="AR232" s="44">
        <f t="shared" si="194"/>
        <v>4</v>
      </c>
      <c r="AS232" s="28">
        <f t="shared" si="195"/>
        <v>2</v>
      </c>
      <c r="AT232" s="32">
        <f t="shared" si="196"/>
        <v>0</v>
      </c>
      <c r="AU232" s="32">
        <f t="shared" si="197"/>
        <v>0</v>
      </c>
      <c r="AV232" s="32">
        <f t="shared" si="198"/>
        <v>0</v>
      </c>
      <c r="AX232" s="28">
        <f t="shared" si="199"/>
        <v>0</v>
      </c>
      <c r="AY232" s="28">
        <f t="shared" si="200"/>
        <v>0</v>
      </c>
      <c r="AZ232" s="28">
        <f t="shared" si="201"/>
        <v>0</v>
      </c>
      <c r="BA232" s="28">
        <f t="shared" si="202"/>
        <v>0</v>
      </c>
      <c r="CB232" s="31"/>
      <c r="CG232" s="31"/>
    </row>
    <row r="233" spans="1:85" ht="12.75" customHeight="1" x14ac:dyDescent="0.2">
      <c r="A233" s="28">
        <f t="shared" si="169"/>
        <v>0</v>
      </c>
      <c r="B233" s="152"/>
      <c r="C233" s="427" t="s">
        <v>363</v>
      </c>
      <c r="D233" s="431"/>
      <c r="E233" s="223"/>
      <c r="F233" s="223"/>
      <c r="G233" s="365"/>
      <c r="H233" s="432"/>
      <c r="I233" s="365"/>
      <c r="J233" s="365"/>
      <c r="K233" s="223"/>
      <c r="L233" s="405">
        <f t="shared" si="171"/>
        <v>0</v>
      </c>
      <c r="M233" s="433">
        <f t="shared" si="172"/>
        <v>0</v>
      </c>
      <c r="N233" s="405">
        <f t="shared" si="173"/>
        <v>0</v>
      </c>
      <c r="O233" s="425"/>
      <c r="P233" s="50" t="str">
        <f t="shared" si="170"/>
        <v/>
      </c>
      <c r="Q233" s="50"/>
      <c r="R233" s="3"/>
      <c r="S233" s="28">
        <f t="shared" si="174"/>
        <v>0</v>
      </c>
      <c r="U233" s="30">
        <f t="shared" si="175"/>
        <v>50</v>
      </c>
      <c r="V233" s="40">
        <v>50</v>
      </c>
      <c r="W233" s="32">
        <f t="shared" si="176"/>
        <v>0</v>
      </c>
      <c r="X233" s="28">
        <f t="shared" si="177"/>
        <v>0</v>
      </c>
      <c r="Y233" s="28">
        <f t="shared" si="178"/>
        <v>0</v>
      </c>
      <c r="Z233" s="28">
        <f t="shared" si="179"/>
        <v>0</v>
      </c>
      <c r="AA233" s="28">
        <f t="shared" si="180"/>
        <v>0</v>
      </c>
      <c r="AB233" s="28">
        <f t="shared" si="181"/>
        <v>0</v>
      </c>
      <c r="AC233" s="28">
        <f t="shared" si="182"/>
        <v>0</v>
      </c>
      <c r="AD233" s="28">
        <f t="shared" si="183"/>
        <v>0</v>
      </c>
      <c r="AE233" s="28">
        <f t="shared" si="184"/>
        <v>0</v>
      </c>
      <c r="AF233" s="28">
        <f t="shared" si="185"/>
        <v>0</v>
      </c>
      <c r="AI233" s="32">
        <f t="shared" si="186"/>
        <v>0</v>
      </c>
      <c r="AJ233" s="32">
        <f t="shared" si="187"/>
        <v>0</v>
      </c>
      <c r="AK233" s="32">
        <f t="shared" si="188"/>
        <v>0</v>
      </c>
      <c r="AL233" s="32">
        <f t="shared" si="189"/>
        <v>0</v>
      </c>
      <c r="AM233" s="32"/>
      <c r="AN233" s="32">
        <f t="shared" si="190"/>
        <v>0</v>
      </c>
      <c r="AO233" s="32">
        <f t="shared" si="191"/>
        <v>0</v>
      </c>
      <c r="AP233" s="32">
        <f t="shared" si="192"/>
        <v>0</v>
      </c>
      <c r="AQ233" s="32">
        <f t="shared" si="193"/>
        <v>2</v>
      </c>
      <c r="AR233" s="44">
        <f t="shared" si="194"/>
        <v>4</v>
      </c>
      <c r="AS233" s="28">
        <f t="shared" si="195"/>
        <v>2</v>
      </c>
      <c r="AT233" s="32">
        <f t="shared" si="196"/>
        <v>0</v>
      </c>
      <c r="AU233" s="32">
        <f t="shared" si="197"/>
        <v>0</v>
      </c>
      <c r="AV233" s="32">
        <f t="shared" si="198"/>
        <v>0</v>
      </c>
      <c r="AX233" s="28">
        <f t="shared" si="199"/>
        <v>0</v>
      </c>
      <c r="AY233" s="28">
        <f t="shared" si="200"/>
        <v>0</v>
      </c>
      <c r="AZ233" s="28">
        <f t="shared" si="201"/>
        <v>0</v>
      </c>
      <c r="BA233" s="28">
        <f t="shared" si="202"/>
        <v>0</v>
      </c>
      <c r="CB233" s="31"/>
      <c r="CG233" s="31"/>
    </row>
    <row r="234" spans="1:85" ht="12.75" customHeight="1" x14ac:dyDescent="0.2">
      <c r="A234" s="28">
        <f t="shared" si="169"/>
        <v>0</v>
      </c>
      <c r="B234" s="152"/>
      <c r="C234" s="427" t="s">
        <v>363</v>
      </c>
      <c r="D234" s="431"/>
      <c r="E234" s="223"/>
      <c r="F234" s="223"/>
      <c r="G234" s="365"/>
      <c r="H234" s="432"/>
      <c r="I234" s="365"/>
      <c r="J234" s="365"/>
      <c r="K234" s="223"/>
      <c r="L234" s="405">
        <f t="shared" si="171"/>
        <v>0</v>
      </c>
      <c r="M234" s="433">
        <f t="shared" si="172"/>
        <v>0</v>
      </c>
      <c r="N234" s="405">
        <f t="shared" si="173"/>
        <v>0</v>
      </c>
      <c r="O234" s="425"/>
      <c r="P234" s="50" t="str">
        <f t="shared" si="170"/>
        <v/>
      </c>
      <c r="Q234" s="50"/>
      <c r="R234" s="3"/>
      <c r="S234" s="28">
        <f t="shared" si="174"/>
        <v>0</v>
      </c>
      <c r="U234" s="30">
        <f t="shared" si="175"/>
        <v>50</v>
      </c>
      <c r="V234" s="40">
        <v>50</v>
      </c>
      <c r="W234" s="32">
        <f t="shared" si="176"/>
        <v>0</v>
      </c>
      <c r="X234" s="28">
        <f t="shared" si="177"/>
        <v>0</v>
      </c>
      <c r="Y234" s="28">
        <f t="shared" si="178"/>
        <v>0</v>
      </c>
      <c r="Z234" s="28">
        <f t="shared" si="179"/>
        <v>0</v>
      </c>
      <c r="AA234" s="28">
        <f t="shared" si="180"/>
        <v>0</v>
      </c>
      <c r="AB234" s="28">
        <f t="shared" si="181"/>
        <v>0</v>
      </c>
      <c r="AC234" s="28">
        <f t="shared" si="182"/>
        <v>0</v>
      </c>
      <c r="AD234" s="28">
        <f t="shared" si="183"/>
        <v>0</v>
      </c>
      <c r="AE234" s="28">
        <f t="shared" si="184"/>
        <v>0</v>
      </c>
      <c r="AF234" s="28">
        <f t="shared" si="185"/>
        <v>0</v>
      </c>
      <c r="AI234" s="32">
        <f t="shared" si="186"/>
        <v>0</v>
      </c>
      <c r="AJ234" s="32">
        <f t="shared" si="187"/>
        <v>0</v>
      </c>
      <c r="AK234" s="32">
        <f t="shared" si="188"/>
        <v>0</v>
      </c>
      <c r="AL234" s="32">
        <f t="shared" si="189"/>
        <v>0</v>
      </c>
      <c r="AM234" s="32"/>
      <c r="AN234" s="32">
        <f t="shared" si="190"/>
        <v>0</v>
      </c>
      <c r="AO234" s="32">
        <f t="shared" si="191"/>
        <v>0</v>
      </c>
      <c r="AP234" s="32">
        <f t="shared" si="192"/>
        <v>0</v>
      </c>
      <c r="AQ234" s="32">
        <f t="shared" si="193"/>
        <v>2</v>
      </c>
      <c r="AR234" s="44">
        <f t="shared" si="194"/>
        <v>4</v>
      </c>
      <c r="AS234" s="28">
        <f t="shared" si="195"/>
        <v>2</v>
      </c>
      <c r="AT234" s="32">
        <f t="shared" si="196"/>
        <v>0</v>
      </c>
      <c r="AU234" s="32">
        <f t="shared" si="197"/>
        <v>0</v>
      </c>
      <c r="AV234" s="32">
        <f t="shared" si="198"/>
        <v>0</v>
      </c>
      <c r="AX234" s="28">
        <f t="shared" si="199"/>
        <v>0</v>
      </c>
      <c r="AY234" s="28">
        <f t="shared" si="200"/>
        <v>0</v>
      </c>
      <c r="AZ234" s="28">
        <f t="shared" si="201"/>
        <v>0</v>
      </c>
      <c r="BA234" s="28">
        <f t="shared" si="202"/>
        <v>0</v>
      </c>
      <c r="CB234" s="31"/>
      <c r="CG234" s="31"/>
    </row>
    <row r="235" spans="1:85" ht="12.75" customHeight="1" x14ac:dyDescent="0.2">
      <c r="A235" s="28">
        <f t="shared" si="169"/>
        <v>0</v>
      </c>
      <c r="B235" s="152"/>
      <c r="C235" s="427" t="s">
        <v>363</v>
      </c>
      <c r="D235" s="431"/>
      <c r="E235" s="223"/>
      <c r="F235" s="223"/>
      <c r="G235" s="365"/>
      <c r="H235" s="432"/>
      <c r="I235" s="365"/>
      <c r="J235" s="365"/>
      <c r="K235" s="223"/>
      <c r="L235" s="405">
        <f t="shared" si="171"/>
        <v>0</v>
      </c>
      <c r="M235" s="433">
        <f t="shared" si="172"/>
        <v>0</v>
      </c>
      <c r="N235" s="405">
        <f t="shared" si="173"/>
        <v>0</v>
      </c>
      <c r="O235" s="425"/>
      <c r="P235" s="50" t="str">
        <f t="shared" si="170"/>
        <v/>
      </c>
      <c r="Q235" s="50"/>
      <c r="R235" s="3"/>
      <c r="S235" s="28">
        <f t="shared" si="174"/>
        <v>0</v>
      </c>
      <c r="U235" s="30">
        <f t="shared" si="175"/>
        <v>50</v>
      </c>
      <c r="V235" s="40">
        <v>50</v>
      </c>
      <c r="W235" s="32">
        <f t="shared" si="176"/>
        <v>0</v>
      </c>
      <c r="X235" s="28">
        <f t="shared" si="177"/>
        <v>0</v>
      </c>
      <c r="Y235" s="28">
        <f t="shared" si="178"/>
        <v>0</v>
      </c>
      <c r="Z235" s="28">
        <f t="shared" si="179"/>
        <v>0</v>
      </c>
      <c r="AA235" s="28">
        <f t="shared" si="180"/>
        <v>0</v>
      </c>
      <c r="AB235" s="28">
        <f t="shared" si="181"/>
        <v>0</v>
      </c>
      <c r="AC235" s="28">
        <f t="shared" si="182"/>
        <v>0</v>
      </c>
      <c r="AD235" s="28">
        <f t="shared" si="183"/>
        <v>0</v>
      </c>
      <c r="AE235" s="28">
        <f t="shared" si="184"/>
        <v>0</v>
      </c>
      <c r="AF235" s="28">
        <f t="shared" si="185"/>
        <v>0</v>
      </c>
      <c r="AI235" s="32">
        <f t="shared" si="186"/>
        <v>0</v>
      </c>
      <c r="AJ235" s="32">
        <f t="shared" si="187"/>
        <v>0</v>
      </c>
      <c r="AK235" s="32">
        <f t="shared" si="188"/>
        <v>0</v>
      </c>
      <c r="AL235" s="32">
        <f t="shared" si="189"/>
        <v>0</v>
      </c>
      <c r="AM235" s="32"/>
      <c r="AN235" s="32">
        <f t="shared" si="190"/>
        <v>0</v>
      </c>
      <c r="AO235" s="32">
        <f t="shared" si="191"/>
        <v>0</v>
      </c>
      <c r="AP235" s="32">
        <f t="shared" si="192"/>
        <v>0</v>
      </c>
      <c r="AQ235" s="32">
        <f t="shared" si="193"/>
        <v>2</v>
      </c>
      <c r="AR235" s="44">
        <f t="shared" si="194"/>
        <v>4</v>
      </c>
      <c r="AS235" s="28">
        <f t="shared" si="195"/>
        <v>2</v>
      </c>
      <c r="AT235" s="32">
        <f t="shared" si="196"/>
        <v>0</v>
      </c>
      <c r="AU235" s="32">
        <f t="shared" si="197"/>
        <v>0</v>
      </c>
      <c r="AV235" s="32">
        <f t="shared" si="198"/>
        <v>0</v>
      </c>
      <c r="AX235" s="28">
        <f t="shared" si="199"/>
        <v>0</v>
      </c>
      <c r="AY235" s="28">
        <f t="shared" si="200"/>
        <v>0</v>
      </c>
      <c r="AZ235" s="28">
        <f t="shared" si="201"/>
        <v>0</v>
      </c>
      <c r="BA235" s="28">
        <f t="shared" si="202"/>
        <v>0</v>
      </c>
      <c r="CB235" s="31"/>
      <c r="CG235" s="31"/>
    </row>
    <row r="236" spans="1:85" ht="12.75" customHeight="1" x14ac:dyDescent="0.2">
      <c r="A236" s="28">
        <f t="shared" si="169"/>
        <v>0</v>
      </c>
      <c r="B236" s="152"/>
      <c r="C236" s="427" t="s">
        <v>363</v>
      </c>
      <c r="D236" s="431"/>
      <c r="E236" s="223"/>
      <c r="F236" s="223"/>
      <c r="G236" s="365"/>
      <c r="H236" s="432"/>
      <c r="I236" s="365"/>
      <c r="J236" s="365"/>
      <c r="K236" s="223"/>
      <c r="L236" s="405">
        <f t="shared" si="171"/>
        <v>0</v>
      </c>
      <c r="M236" s="433">
        <f t="shared" si="172"/>
        <v>0</v>
      </c>
      <c r="N236" s="405">
        <f t="shared" si="173"/>
        <v>0</v>
      </c>
      <c r="O236" s="425"/>
      <c r="P236" s="50" t="str">
        <f t="shared" si="170"/>
        <v/>
      </c>
      <c r="Q236" s="50"/>
      <c r="R236" s="3"/>
      <c r="S236" s="28">
        <f t="shared" si="174"/>
        <v>0</v>
      </c>
      <c r="U236" s="30">
        <f t="shared" si="175"/>
        <v>50</v>
      </c>
      <c r="V236" s="40">
        <v>50</v>
      </c>
      <c r="W236" s="32">
        <f t="shared" si="176"/>
        <v>0</v>
      </c>
      <c r="X236" s="28">
        <f t="shared" si="177"/>
        <v>0</v>
      </c>
      <c r="Y236" s="28">
        <f t="shared" si="178"/>
        <v>0</v>
      </c>
      <c r="Z236" s="28">
        <f t="shared" si="179"/>
        <v>0</v>
      </c>
      <c r="AA236" s="28">
        <f t="shared" si="180"/>
        <v>0</v>
      </c>
      <c r="AB236" s="28">
        <f t="shared" si="181"/>
        <v>0</v>
      </c>
      <c r="AC236" s="28">
        <f t="shared" si="182"/>
        <v>0</v>
      </c>
      <c r="AD236" s="28">
        <f t="shared" si="183"/>
        <v>0</v>
      </c>
      <c r="AE236" s="28">
        <f t="shared" si="184"/>
        <v>0</v>
      </c>
      <c r="AF236" s="28">
        <f t="shared" si="185"/>
        <v>0</v>
      </c>
      <c r="AI236" s="32">
        <f t="shared" si="186"/>
        <v>0</v>
      </c>
      <c r="AJ236" s="32">
        <f t="shared" si="187"/>
        <v>0</v>
      </c>
      <c r="AK236" s="32">
        <f t="shared" si="188"/>
        <v>0</v>
      </c>
      <c r="AL236" s="32">
        <f t="shared" si="189"/>
        <v>0</v>
      </c>
      <c r="AM236" s="32"/>
      <c r="AN236" s="32">
        <f t="shared" si="190"/>
        <v>0</v>
      </c>
      <c r="AO236" s="32">
        <f t="shared" si="191"/>
        <v>0</v>
      </c>
      <c r="AP236" s="32">
        <f t="shared" si="192"/>
        <v>0</v>
      </c>
      <c r="AQ236" s="32">
        <f t="shared" si="193"/>
        <v>2</v>
      </c>
      <c r="AR236" s="44">
        <f t="shared" si="194"/>
        <v>4</v>
      </c>
      <c r="AS236" s="28">
        <f t="shared" si="195"/>
        <v>2</v>
      </c>
      <c r="AT236" s="32">
        <f t="shared" si="196"/>
        <v>0</v>
      </c>
      <c r="AU236" s="32">
        <f t="shared" si="197"/>
        <v>0</v>
      </c>
      <c r="AV236" s="32">
        <f t="shared" si="198"/>
        <v>0</v>
      </c>
      <c r="AX236" s="28">
        <f t="shared" si="199"/>
        <v>0</v>
      </c>
      <c r="AY236" s="28">
        <f t="shared" si="200"/>
        <v>0</v>
      </c>
      <c r="AZ236" s="28">
        <f t="shared" si="201"/>
        <v>0</v>
      </c>
      <c r="BA236" s="28">
        <f t="shared" si="202"/>
        <v>0</v>
      </c>
      <c r="CB236" s="31"/>
      <c r="CG236" s="31"/>
    </row>
    <row r="237" spans="1:85" ht="12.75" customHeight="1" x14ac:dyDescent="0.2">
      <c r="A237" s="28">
        <f t="shared" si="169"/>
        <v>0</v>
      </c>
      <c r="B237" s="152"/>
      <c r="C237" s="427" t="s">
        <v>363</v>
      </c>
      <c r="D237" s="431"/>
      <c r="E237" s="223"/>
      <c r="F237" s="223"/>
      <c r="G237" s="365"/>
      <c r="H237" s="432"/>
      <c r="I237" s="365"/>
      <c r="J237" s="365"/>
      <c r="K237" s="223"/>
      <c r="L237" s="405">
        <f t="shared" si="171"/>
        <v>0</v>
      </c>
      <c r="M237" s="433">
        <f t="shared" si="172"/>
        <v>0</v>
      </c>
      <c r="N237" s="405">
        <f t="shared" si="173"/>
        <v>0</v>
      </c>
      <c r="O237" s="425"/>
      <c r="P237" s="50" t="str">
        <f t="shared" si="170"/>
        <v/>
      </c>
      <c r="Q237" s="50"/>
      <c r="R237" s="3"/>
      <c r="S237" s="28">
        <f t="shared" si="174"/>
        <v>0</v>
      </c>
      <c r="U237" s="30">
        <f t="shared" si="175"/>
        <v>50</v>
      </c>
      <c r="V237" s="40">
        <v>50</v>
      </c>
      <c r="W237" s="32">
        <f t="shared" si="176"/>
        <v>0</v>
      </c>
      <c r="X237" s="28">
        <f t="shared" si="177"/>
        <v>0</v>
      </c>
      <c r="Y237" s="28">
        <f t="shared" si="178"/>
        <v>0</v>
      </c>
      <c r="Z237" s="28">
        <f t="shared" si="179"/>
        <v>0</v>
      </c>
      <c r="AA237" s="28">
        <f t="shared" si="180"/>
        <v>0</v>
      </c>
      <c r="AB237" s="28">
        <f t="shared" si="181"/>
        <v>0</v>
      </c>
      <c r="AC237" s="28">
        <f t="shared" si="182"/>
        <v>0</v>
      </c>
      <c r="AD237" s="28">
        <f t="shared" si="183"/>
        <v>0</v>
      </c>
      <c r="AE237" s="28">
        <f t="shared" si="184"/>
        <v>0</v>
      </c>
      <c r="AF237" s="28">
        <f t="shared" si="185"/>
        <v>0</v>
      </c>
      <c r="AI237" s="32">
        <f t="shared" si="186"/>
        <v>0</v>
      </c>
      <c r="AJ237" s="32">
        <f t="shared" si="187"/>
        <v>0</v>
      </c>
      <c r="AK237" s="32">
        <f t="shared" si="188"/>
        <v>0</v>
      </c>
      <c r="AL237" s="32">
        <f t="shared" si="189"/>
        <v>0</v>
      </c>
      <c r="AM237" s="32"/>
      <c r="AN237" s="32">
        <f t="shared" si="190"/>
        <v>0</v>
      </c>
      <c r="AO237" s="32">
        <f t="shared" si="191"/>
        <v>0</v>
      </c>
      <c r="AP237" s="32">
        <f t="shared" si="192"/>
        <v>0</v>
      </c>
      <c r="AQ237" s="32">
        <f t="shared" si="193"/>
        <v>2</v>
      </c>
      <c r="AR237" s="44">
        <f t="shared" si="194"/>
        <v>4</v>
      </c>
      <c r="AS237" s="28">
        <f t="shared" si="195"/>
        <v>2</v>
      </c>
      <c r="AT237" s="32">
        <f t="shared" si="196"/>
        <v>0</v>
      </c>
      <c r="AU237" s="32">
        <f t="shared" si="197"/>
        <v>0</v>
      </c>
      <c r="AV237" s="32">
        <f t="shared" si="198"/>
        <v>0</v>
      </c>
      <c r="AX237" s="28">
        <f t="shared" si="199"/>
        <v>0</v>
      </c>
      <c r="AY237" s="28">
        <f t="shared" si="200"/>
        <v>0</v>
      </c>
      <c r="AZ237" s="28">
        <f t="shared" si="201"/>
        <v>0</v>
      </c>
      <c r="BA237" s="28">
        <f t="shared" si="202"/>
        <v>0</v>
      </c>
      <c r="CB237" s="31"/>
      <c r="CG237" s="31"/>
    </row>
    <row r="238" spans="1:85" ht="12.75" customHeight="1" x14ac:dyDescent="0.2">
      <c r="A238" s="28">
        <f t="shared" si="169"/>
        <v>0</v>
      </c>
      <c r="B238" s="152"/>
      <c r="C238" s="427" t="s">
        <v>363</v>
      </c>
      <c r="D238" s="431"/>
      <c r="E238" s="223"/>
      <c r="F238" s="223"/>
      <c r="G238" s="365"/>
      <c r="H238" s="432"/>
      <c r="I238" s="365"/>
      <c r="J238" s="365"/>
      <c r="K238" s="223"/>
      <c r="L238" s="405">
        <f t="shared" si="171"/>
        <v>0</v>
      </c>
      <c r="M238" s="433">
        <f t="shared" si="172"/>
        <v>0</v>
      </c>
      <c r="N238" s="405">
        <f t="shared" si="173"/>
        <v>0</v>
      </c>
      <c r="O238" s="425"/>
      <c r="P238" s="50" t="str">
        <f t="shared" si="170"/>
        <v/>
      </c>
      <c r="Q238" s="50"/>
      <c r="R238" s="3"/>
      <c r="S238" s="28">
        <f t="shared" si="174"/>
        <v>0</v>
      </c>
      <c r="U238" s="30">
        <f t="shared" si="175"/>
        <v>50</v>
      </c>
      <c r="V238" s="40">
        <v>50</v>
      </c>
      <c r="W238" s="32">
        <f t="shared" si="176"/>
        <v>0</v>
      </c>
      <c r="X238" s="28">
        <f t="shared" si="177"/>
        <v>0</v>
      </c>
      <c r="Y238" s="28">
        <f t="shared" si="178"/>
        <v>0</v>
      </c>
      <c r="Z238" s="28">
        <f t="shared" si="179"/>
        <v>0</v>
      </c>
      <c r="AA238" s="28">
        <f t="shared" si="180"/>
        <v>0</v>
      </c>
      <c r="AB238" s="28">
        <f t="shared" si="181"/>
        <v>0</v>
      </c>
      <c r="AC238" s="28">
        <f t="shared" si="182"/>
        <v>0</v>
      </c>
      <c r="AD238" s="28">
        <f t="shared" si="183"/>
        <v>0</v>
      </c>
      <c r="AE238" s="28">
        <f t="shared" si="184"/>
        <v>0</v>
      </c>
      <c r="AF238" s="28">
        <f t="shared" si="185"/>
        <v>0</v>
      </c>
      <c r="AI238" s="32">
        <f t="shared" si="186"/>
        <v>0</v>
      </c>
      <c r="AJ238" s="32">
        <f t="shared" si="187"/>
        <v>0</v>
      </c>
      <c r="AK238" s="32">
        <f t="shared" si="188"/>
        <v>0</v>
      </c>
      <c r="AL238" s="32">
        <f t="shared" si="189"/>
        <v>0</v>
      </c>
      <c r="AM238" s="32"/>
      <c r="AN238" s="32">
        <f t="shared" si="190"/>
        <v>0</v>
      </c>
      <c r="AO238" s="32">
        <f t="shared" si="191"/>
        <v>0</v>
      </c>
      <c r="AP238" s="32">
        <f t="shared" si="192"/>
        <v>0</v>
      </c>
      <c r="AQ238" s="32">
        <f t="shared" si="193"/>
        <v>2</v>
      </c>
      <c r="AR238" s="44">
        <f t="shared" si="194"/>
        <v>4</v>
      </c>
      <c r="AS238" s="28">
        <f t="shared" si="195"/>
        <v>2</v>
      </c>
      <c r="AT238" s="32">
        <f t="shared" si="196"/>
        <v>0</v>
      </c>
      <c r="AU238" s="32">
        <f t="shared" si="197"/>
        <v>0</v>
      </c>
      <c r="AV238" s="32">
        <f t="shared" si="198"/>
        <v>0</v>
      </c>
      <c r="AX238" s="28">
        <f t="shared" si="199"/>
        <v>0</v>
      </c>
      <c r="AY238" s="28">
        <f t="shared" si="200"/>
        <v>0</v>
      </c>
      <c r="AZ238" s="28">
        <f t="shared" si="201"/>
        <v>0</v>
      </c>
      <c r="BA238" s="28">
        <f t="shared" si="202"/>
        <v>0</v>
      </c>
      <c r="CB238" s="31"/>
      <c r="CG238" s="31"/>
    </row>
    <row r="239" spans="1:85" ht="12.75" customHeight="1" x14ac:dyDescent="0.2">
      <c r="A239" s="28">
        <f t="shared" si="169"/>
        <v>0</v>
      </c>
      <c r="B239" s="152"/>
      <c r="C239" s="427" t="s">
        <v>363</v>
      </c>
      <c r="D239" s="431"/>
      <c r="E239" s="223"/>
      <c r="F239" s="223"/>
      <c r="G239" s="365"/>
      <c r="H239" s="432"/>
      <c r="I239" s="365"/>
      <c r="J239" s="365"/>
      <c r="K239" s="223"/>
      <c r="L239" s="405">
        <f t="shared" si="171"/>
        <v>0</v>
      </c>
      <c r="M239" s="433">
        <f t="shared" si="172"/>
        <v>0</v>
      </c>
      <c r="N239" s="405">
        <f t="shared" si="173"/>
        <v>0</v>
      </c>
      <c r="O239" s="425"/>
      <c r="P239" s="50" t="str">
        <f t="shared" si="170"/>
        <v/>
      </c>
      <c r="Q239" s="50"/>
      <c r="R239" s="3"/>
      <c r="S239" s="28">
        <f t="shared" si="174"/>
        <v>0</v>
      </c>
      <c r="U239" s="30">
        <f t="shared" si="175"/>
        <v>50</v>
      </c>
      <c r="V239" s="40">
        <v>50</v>
      </c>
      <c r="W239" s="32">
        <f t="shared" si="176"/>
        <v>0</v>
      </c>
      <c r="X239" s="28">
        <f t="shared" si="177"/>
        <v>0</v>
      </c>
      <c r="Y239" s="28">
        <f t="shared" si="178"/>
        <v>0</v>
      </c>
      <c r="Z239" s="28">
        <f t="shared" si="179"/>
        <v>0</v>
      </c>
      <c r="AA239" s="28">
        <f t="shared" si="180"/>
        <v>0</v>
      </c>
      <c r="AB239" s="28">
        <f t="shared" si="181"/>
        <v>0</v>
      </c>
      <c r="AC239" s="28">
        <f t="shared" si="182"/>
        <v>0</v>
      </c>
      <c r="AD239" s="28">
        <f t="shared" si="183"/>
        <v>0</v>
      </c>
      <c r="AE239" s="28">
        <f t="shared" si="184"/>
        <v>0</v>
      </c>
      <c r="AF239" s="28">
        <f t="shared" si="185"/>
        <v>0</v>
      </c>
      <c r="AI239" s="32">
        <f t="shared" si="186"/>
        <v>0</v>
      </c>
      <c r="AJ239" s="32">
        <f t="shared" si="187"/>
        <v>0</v>
      </c>
      <c r="AK239" s="32">
        <f t="shared" si="188"/>
        <v>0</v>
      </c>
      <c r="AL239" s="32">
        <f t="shared" si="189"/>
        <v>0</v>
      </c>
      <c r="AM239" s="32"/>
      <c r="AN239" s="32">
        <f t="shared" si="190"/>
        <v>0</v>
      </c>
      <c r="AO239" s="32">
        <f t="shared" si="191"/>
        <v>0</v>
      </c>
      <c r="AP239" s="32">
        <f t="shared" si="192"/>
        <v>0</v>
      </c>
      <c r="AQ239" s="32">
        <f t="shared" si="193"/>
        <v>2</v>
      </c>
      <c r="AR239" s="44">
        <f t="shared" si="194"/>
        <v>4</v>
      </c>
      <c r="AS239" s="28">
        <f t="shared" si="195"/>
        <v>2</v>
      </c>
      <c r="AT239" s="32">
        <f t="shared" si="196"/>
        <v>0</v>
      </c>
      <c r="AU239" s="32">
        <f t="shared" si="197"/>
        <v>0</v>
      </c>
      <c r="AV239" s="32">
        <f t="shared" si="198"/>
        <v>0</v>
      </c>
      <c r="AX239" s="28">
        <f t="shared" si="199"/>
        <v>0</v>
      </c>
      <c r="AY239" s="28">
        <f t="shared" si="200"/>
        <v>0</v>
      </c>
      <c r="AZ239" s="28">
        <f t="shared" si="201"/>
        <v>0</v>
      </c>
      <c r="BA239" s="28">
        <f t="shared" si="202"/>
        <v>0</v>
      </c>
      <c r="CB239" s="31"/>
      <c r="CG239" s="31"/>
    </row>
    <row r="240" spans="1:85" ht="12.75" customHeight="1" x14ac:dyDescent="0.2">
      <c r="A240" s="28">
        <f t="shared" si="169"/>
        <v>0</v>
      </c>
      <c r="B240" s="152"/>
      <c r="C240" s="427" t="s">
        <v>363</v>
      </c>
      <c r="D240" s="431"/>
      <c r="E240" s="223"/>
      <c r="F240" s="223"/>
      <c r="G240" s="365"/>
      <c r="H240" s="432"/>
      <c r="I240" s="365"/>
      <c r="J240" s="365"/>
      <c r="K240" s="223"/>
      <c r="L240" s="405">
        <f t="shared" si="171"/>
        <v>0</v>
      </c>
      <c r="M240" s="433">
        <f t="shared" si="172"/>
        <v>0</v>
      </c>
      <c r="N240" s="405">
        <f t="shared" si="173"/>
        <v>0</v>
      </c>
      <c r="O240" s="425"/>
      <c r="P240" s="50" t="str">
        <f t="shared" si="170"/>
        <v/>
      </c>
      <c r="Q240" s="50"/>
      <c r="R240" s="3"/>
      <c r="S240" s="28">
        <f t="shared" si="174"/>
        <v>0</v>
      </c>
      <c r="U240" s="30">
        <f t="shared" si="175"/>
        <v>50</v>
      </c>
      <c r="V240" s="40">
        <v>50</v>
      </c>
      <c r="W240" s="32">
        <f t="shared" si="176"/>
        <v>0</v>
      </c>
      <c r="X240" s="28">
        <f t="shared" si="177"/>
        <v>0</v>
      </c>
      <c r="Y240" s="28">
        <f t="shared" si="178"/>
        <v>0</v>
      </c>
      <c r="Z240" s="28">
        <f t="shared" si="179"/>
        <v>0</v>
      </c>
      <c r="AA240" s="28">
        <f t="shared" si="180"/>
        <v>0</v>
      </c>
      <c r="AB240" s="28">
        <f t="shared" si="181"/>
        <v>0</v>
      </c>
      <c r="AC240" s="28">
        <f t="shared" si="182"/>
        <v>0</v>
      </c>
      <c r="AD240" s="28">
        <f t="shared" si="183"/>
        <v>0</v>
      </c>
      <c r="AE240" s="28">
        <f t="shared" si="184"/>
        <v>0</v>
      </c>
      <c r="AF240" s="28">
        <f t="shared" si="185"/>
        <v>0</v>
      </c>
      <c r="AI240" s="32">
        <f t="shared" si="186"/>
        <v>0</v>
      </c>
      <c r="AJ240" s="32">
        <f t="shared" si="187"/>
        <v>0</v>
      </c>
      <c r="AK240" s="32">
        <f t="shared" si="188"/>
        <v>0</v>
      </c>
      <c r="AL240" s="32">
        <f t="shared" si="189"/>
        <v>0</v>
      </c>
      <c r="AM240" s="32"/>
      <c r="AN240" s="32">
        <f t="shared" si="190"/>
        <v>0</v>
      </c>
      <c r="AO240" s="32">
        <f t="shared" si="191"/>
        <v>0</v>
      </c>
      <c r="AP240" s="32">
        <f t="shared" si="192"/>
        <v>0</v>
      </c>
      <c r="AQ240" s="32">
        <f t="shared" si="193"/>
        <v>2</v>
      </c>
      <c r="AR240" s="44">
        <f t="shared" si="194"/>
        <v>4</v>
      </c>
      <c r="AS240" s="28">
        <f t="shared" si="195"/>
        <v>2</v>
      </c>
      <c r="AT240" s="32">
        <f t="shared" si="196"/>
        <v>0</v>
      </c>
      <c r="AU240" s="32">
        <f t="shared" si="197"/>
        <v>0</v>
      </c>
      <c r="AV240" s="32">
        <f t="shared" si="198"/>
        <v>0</v>
      </c>
      <c r="AX240" s="28">
        <f t="shared" si="199"/>
        <v>0</v>
      </c>
      <c r="AY240" s="28">
        <f t="shared" si="200"/>
        <v>0</v>
      </c>
      <c r="AZ240" s="28">
        <f t="shared" si="201"/>
        <v>0</v>
      </c>
      <c r="BA240" s="28">
        <f t="shared" si="202"/>
        <v>0</v>
      </c>
      <c r="CB240" s="31"/>
      <c r="CG240" s="31"/>
    </row>
    <row r="241" spans="1:85" ht="12.75" customHeight="1" x14ac:dyDescent="0.2">
      <c r="A241" s="28">
        <f t="shared" si="169"/>
        <v>0</v>
      </c>
      <c r="B241" s="152"/>
      <c r="C241" s="427" t="s">
        <v>363</v>
      </c>
      <c r="D241" s="431"/>
      <c r="E241" s="223"/>
      <c r="F241" s="223"/>
      <c r="G241" s="365"/>
      <c r="H241" s="432"/>
      <c r="I241" s="365"/>
      <c r="J241" s="365"/>
      <c r="K241" s="223"/>
      <c r="L241" s="405">
        <f t="shared" si="171"/>
        <v>0</v>
      </c>
      <c r="M241" s="433">
        <f t="shared" si="172"/>
        <v>0</v>
      </c>
      <c r="N241" s="405">
        <f t="shared" si="173"/>
        <v>0</v>
      </c>
      <c r="O241" s="425"/>
      <c r="P241" s="50" t="str">
        <f t="shared" si="170"/>
        <v/>
      </c>
      <c r="Q241" s="50"/>
      <c r="R241" s="3"/>
      <c r="S241" s="28">
        <f t="shared" si="174"/>
        <v>0</v>
      </c>
      <c r="U241" s="30">
        <f t="shared" si="175"/>
        <v>50</v>
      </c>
      <c r="V241" s="40">
        <v>50</v>
      </c>
      <c r="W241" s="32">
        <f t="shared" si="176"/>
        <v>0</v>
      </c>
      <c r="X241" s="28">
        <f t="shared" si="177"/>
        <v>0</v>
      </c>
      <c r="Y241" s="28">
        <f t="shared" si="178"/>
        <v>0</v>
      </c>
      <c r="Z241" s="28">
        <f t="shared" si="179"/>
        <v>0</v>
      </c>
      <c r="AA241" s="28">
        <f t="shared" si="180"/>
        <v>0</v>
      </c>
      <c r="AB241" s="28">
        <f t="shared" si="181"/>
        <v>0</v>
      </c>
      <c r="AC241" s="28">
        <f t="shared" si="182"/>
        <v>0</v>
      </c>
      <c r="AD241" s="28">
        <f t="shared" si="183"/>
        <v>0</v>
      </c>
      <c r="AE241" s="28">
        <f t="shared" si="184"/>
        <v>0</v>
      </c>
      <c r="AF241" s="28">
        <f t="shared" si="185"/>
        <v>0</v>
      </c>
      <c r="AI241" s="32">
        <f t="shared" si="186"/>
        <v>0</v>
      </c>
      <c r="AJ241" s="32">
        <f t="shared" si="187"/>
        <v>0</v>
      </c>
      <c r="AK241" s="32">
        <f t="shared" si="188"/>
        <v>0</v>
      </c>
      <c r="AL241" s="32">
        <f t="shared" si="189"/>
        <v>0</v>
      </c>
      <c r="AM241" s="32"/>
      <c r="AN241" s="32">
        <f t="shared" si="190"/>
        <v>0</v>
      </c>
      <c r="AO241" s="32">
        <f t="shared" si="191"/>
        <v>0</v>
      </c>
      <c r="AP241" s="32">
        <f t="shared" si="192"/>
        <v>0</v>
      </c>
      <c r="AQ241" s="32">
        <f t="shared" si="193"/>
        <v>2</v>
      </c>
      <c r="AR241" s="44">
        <f t="shared" si="194"/>
        <v>4</v>
      </c>
      <c r="AS241" s="28">
        <f t="shared" si="195"/>
        <v>2</v>
      </c>
      <c r="AT241" s="32">
        <f t="shared" si="196"/>
        <v>0</v>
      </c>
      <c r="AU241" s="32">
        <f t="shared" si="197"/>
        <v>0</v>
      </c>
      <c r="AV241" s="32">
        <f t="shared" si="198"/>
        <v>0</v>
      </c>
      <c r="AX241" s="28">
        <f t="shared" si="199"/>
        <v>0</v>
      </c>
      <c r="AY241" s="28">
        <f t="shared" si="200"/>
        <v>0</v>
      </c>
      <c r="AZ241" s="28">
        <f t="shared" si="201"/>
        <v>0</v>
      </c>
      <c r="BA241" s="28">
        <f t="shared" si="202"/>
        <v>0</v>
      </c>
      <c r="CB241" s="31"/>
      <c r="CG241" s="31"/>
    </row>
    <row r="242" spans="1:85" ht="12.75" customHeight="1" x14ac:dyDescent="0.2">
      <c r="A242" s="28">
        <f t="shared" si="169"/>
        <v>0</v>
      </c>
      <c r="B242" s="152"/>
      <c r="C242" s="427" t="s">
        <v>363</v>
      </c>
      <c r="D242" s="431"/>
      <c r="E242" s="223"/>
      <c r="F242" s="223"/>
      <c r="G242" s="365"/>
      <c r="H242" s="432"/>
      <c r="I242" s="365"/>
      <c r="J242" s="365"/>
      <c r="K242" s="223"/>
      <c r="L242" s="405">
        <f t="shared" si="171"/>
        <v>0</v>
      </c>
      <c r="M242" s="433">
        <f t="shared" si="172"/>
        <v>0</v>
      </c>
      <c r="N242" s="405">
        <f t="shared" si="173"/>
        <v>0</v>
      </c>
      <c r="O242" s="425"/>
      <c r="P242" s="50" t="str">
        <f t="shared" si="170"/>
        <v/>
      </c>
      <c r="Q242" s="50"/>
      <c r="R242" s="3"/>
      <c r="S242" s="28">
        <f t="shared" si="174"/>
        <v>0</v>
      </c>
      <c r="U242" s="30">
        <f t="shared" si="175"/>
        <v>50</v>
      </c>
      <c r="V242" s="40">
        <v>50</v>
      </c>
      <c r="W242" s="32">
        <f t="shared" si="176"/>
        <v>0</v>
      </c>
      <c r="X242" s="28">
        <f t="shared" si="177"/>
        <v>0</v>
      </c>
      <c r="Y242" s="28">
        <f t="shared" si="178"/>
        <v>0</v>
      </c>
      <c r="Z242" s="28">
        <f t="shared" si="179"/>
        <v>0</v>
      </c>
      <c r="AA242" s="28">
        <f t="shared" si="180"/>
        <v>0</v>
      </c>
      <c r="AB242" s="28">
        <f t="shared" si="181"/>
        <v>0</v>
      </c>
      <c r="AC242" s="28">
        <f t="shared" si="182"/>
        <v>0</v>
      </c>
      <c r="AD242" s="28">
        <f t="shared" si="183"/>
        <v>0</v>
      </c>
      <c r="AE242" s="28">
        <f t="shared" si="184"/>
        <v>0</v>
      </c>
      <c r="AF242" s="28">
        <f t="shared" si="185"/>
        <v>0</v>
      </c>
      <c r="AI242" s="32">
        <f t="shared" si="186"/>
        <v>0</v>
      </c>
      <c r="AJ242" s="32">
        <f t="shared" si="187"/>
        <v>0</v>
      </c>
      <c r="AK242" s="32">
        <f t="shared" si="188"/>
        <v>0</v>
      </c>
      <c r="AL242" s="32">
        <f t="shared" si="189"/>
        <v>0</v>
      </c>
      <c r="AM242" s="32"/>
      <c r="AN242" s="32">
        <f t="shared" si="190"/>
        <v>0</v>
      </c>
      <c r="AO242" s="32">
        <f t="shared" si="191"/>
        <v>0</v>
      </c>
      <c r="AP242" s="32">
        <f t="shared" si="192"/>
        <v>0</v>
      </c>
      <c r="AQ242" s="32">
        <f t="shared" si="193"/>
        <v>2</v>
      </c>
      <c r="AR242" s="44">
        <f t="shared" si="194"/>
        <v>4</v>
      </c>
      <c r="AS242" s="28">
        <f t="shared" si="195"/>
        <v>2</v>
      </c>
      <c r="AT242" s="32">
        <f t="shared" si="196"/>
        <v>0</v>
      </c>
      <c r="AU242" s="32">
        <f t="shared" si="197"/>
        <v>0</v>
      </c>
      <c r="AV242" s="32">
        <f t="shared" si="198"/>
        <v>0</v>
      </c>
      <c r="AX242" s="28">
        <f t="shared" si="199"/>
        <v>0</v>
      </c>
      <c r="AY242" s="28">
        <f t="shared" si="200"/>
        <v>0</v>
      </c>
      <c r="AZ242" s="28">
        <f t="shared" si="201"/>
        <v>0</v>
      </c>
      <c r="BA242" s="28">
        <f t="shared" si="202"/>
        <v>0</v>
      </c>
      <c r="CB242" s="31"/>
      <c r="CG242" s="31"/>
    </row>
    <row r="243" spans="1:85" ht="12.75" customHeight="1" x14ac:dyDescent="0.2">
      <c r="A243" s="28">
        <f t="shared" si="169"/>
        <v>0</v>
      </c>
      <c r="B243" s="152"/>
      <c r="C243" s="427" t="s">
        <v>363</v>
      </c>
      <c r="D243" s="431"/>
      <c r="E243" s="223"/>
      <c r="F243" s="223"/>
      <c r="G243" s="365"/>
      <c r="H243" s="432"/>
      <c r="I243" s="365"/>
      <c r="J243" s="365"/>
      <c r="K243" s="223"/>
      <c r="L243" s="405">
        <f t="shared" si="171"/>
        <v>0</v>
      </c>
      <c r="M243" s="433">
        <f t="shared" si="172"/>
        <v>0</v>
      </c>
      <c r="N243" s="405">
        <f t="shared" si="173"/>
        <v>0</v>
      </c>
      <c r="O243" s="425"/>
      <c r="P243" s="50" t="str">
        <f t="shared" si="170"/>
        <v/>
      </c>
      <c r="Q243" s="50"/>
      <c r="R243" s="3"/>
      <c r="S243" s="28">
        <f t="shared" si="174"/>
        <v>0</v>
      </c>
      <c r="U243" s="30">
        <f t="shared" si="175"/>
        <v>50</v>
      </c>
      <c r="V243" s="40">
        <v>50</v>
      </c>
      <c r="W243" s="32">
        <f t="shared" si="176"/>
        <v>0</v>
      </c>
      <c r="X243" s="28">
        <f t="shared" si="177"/>
        <v>0</v>
      </c>
      <c r="Y243" s="28">
        <f t="shared" si="178"/>
        <v>0</v>
      </c>
      <c r="Z243" s="28">
        <f t="shared" si="179"/>
        <v>0</v>
      </c>
      <c r="AA243" s="28">
        <f t="shared" si="180"/>
        <v>0</v>
      </c>
      <c r="AB243" s="28">
        <f t="shared" si="181"/>
        <v>0</v>
      </c>
      <c r="AC243" s="28">
        <f t="shared" si="182"/>
        <v>0</v>
      </c>
      <c r="AD243" s="28">
        <f t="shared" si="183"/>
        <v>0</v>
      </c>
      <c r="AE243" s="28">
        <f t="shared" si="184"/>
        <v>0</v>
      </c>
      <c r="AF243" s="28">
        <f t="shared" si="185"/>
        <v>0</v>
      </c>
      <c r="AI243" s="32">
        <f t="shared" si="186"/>
        <v>0</v>
      </c>
      <c r="AJ243" s="32">
        <f t="shared" si="187"/>
        <v>0</v>
      </c>
      <c r="AK243" s="32">
        <f t="shared" si="188"/>
        <v>0</v>
      </c>
      <c r="AL243" s="32">
        <f t="shared" si="189"/>
        <v>0</v>
      </c>
      <c r="AM243" s="32"/>
      <c r="AN243" s="32">
        <f t="shared" si="190"/>
        <v>0</v>
      </c>
      <c r="AO243" s="32">
        <f t="shared" si="191"/>
        <v>0</v>
      </c>
      <c r="AP243" s="32">
        <f t="shared" si="192"/>
        <v>0</v>
      </c>
      <c r="AQ243" s="32">
        <f t="shared" si="193"/>
        <v>2</v>
      </c>
      <c r="AR243" s="44">
        <f t="shared" si="194"/>
        <v>4</v>
      </c>
      <c r="AS243" s="28">
        <f t="shared" si="195"/>
        <v>2</v>
      </c>
      <c r="AT243" s="32">
        <f t="shared" si="196"/>
        <v>0</v>
      </c>
      <c r="AU243" s="32">
        <f t="shared" si="197"/>
        <v>0</v>
      </c>
      <c r="AV243" s="32">
        <f t="shared" si="198"/>
        <v>0</v>
      </c>
      <c r="AX243" s="28">
        <f t="shared" si="199"/>
        <v>0</v>
      </c>
      <c r="AY243" s="28">
        <f t="shared" si="200"/>
        <v>0</v>
      </c>
      <c r="AZ243" s="28">
        <f t="shared" si="201"/>
        <v>0</v>
      </c>
      <c r="BA243" s="28">
        <f t="shared" si="202"/>
        <v>0</v>
      </c>
      <c r="CB243" s="31"/>
      <c r="CG243" s="31"/>
    </row>
    <row r="244" spans="1:85" ht="12.75" customHeight="1" x14ac:dyDescent="0.2">
      <c r="A244" s="28">
        <f t="shared" si="169"/>
        <v>0</v>
      </c>
      <c r="B244" s="152"/>
      <c r="C244" s="427" t="s">
        <v>363</v>
      </c>
      <c r="D244" s="431"/>
      <c r="E244" s="223"/>
      <c r="F244" s="223"/>
      <c r="G244" s="365"/>
      <c r="H244" s="432"/>
      <c r="I244" s="365"/>
      <c r="J244" s="365"/>
      <c r="K244" s="223"/>
      <c r="L244" s="405">
        <f t="shared" si="171"/>
        <v>0</v>
      </c>
      <c r="M244" s="433">
        <f t="shared" si="172"/>
        <v>0</v>
      </c>
      <c r="N244" s="405">
        <f t="shared" si="173"/>
        <v>0</v>
      </c>
      <c r="O244" s="425"/>
      <c r="P244" s="50" t="str">
        <f t="shared" si="170"/>
        <v/>
      </c>
      <c r="Q244" s="50"/>
      <c r="R244" s="3"/>
      <c r="S244" s="28">
        <f t="shared" si="174"/>
        <v>0</v>
      </c>
      <c r="U244" s="30">
        <f t="shared" si="175"/>
        <v>50</v>
      </c>
      <c r="V244" s="40">
        <v>50</v>
      </c>
      <c r="W244" s="32">
        <f t="shared" si="176"/>
        <v>0</v>
      </c>
      <c r="X244" s="28">
        <f t="shared" si="177"/>
        <v>0</v>
      </c>
      <c r="Y244" s="28">
        <f t="shared" si="178"/>
        <v>0</v>
      </c>
      <c r="Z244" s="28">
        <f t="shared" si="179"/>
        <v>0</v>
      </c>
      <c r="AA244" s="28">
        <f t="shared" si="180"/>
        <v>0</v>
      </c>
      <c r="AB244" s="28">
        <f t="shared" si="181"/>
        <v>0</v>
      </c>
      <c r="AC244" s="28">
        <f t="shared" si="182"/>
        <v>0</v>
      </c>
      <c r="AD244" s="28">
        <f t="shared" si="183"/>
        <v>0</v>
      </c>
      <c r="AE244" s="28">
        <f t="shared" si="184"/>
        <v>0</v>
      </c>
      <c r="AF244" s="28">
        <f t="shared" si="185"/>
        <v>0</v>
      </c>
      <c r="AI244" s="32">
        <f t="shared" si="186"/>
        <v>0</v>
      </c>
      <c r="AJ244" s="32">
        <f t="shared" si="187"/>
        <v>0</v>
      </c>
      <c r="AK244" s="32">
        <f t="shared" si="188"/>
        <v>0</v>
      </c>
      <c r="AL244" s="32">
        <f t="shared" si="189"/>
        <v>0</v>
      </c>
      <c r="AM244" s="32"/>
      <c r="AN244" s="32">
        <f t="shared" si="190"/>
        <v>0</v>
      </c>
      <c r="AO244" s="32">
        <f t="shared" si="191"/>
        <v>0</v>
      </c>
      <c r="AP244" s="32">
        <f t="shared" si="192"/>
        <v>0</v>
      </c>
      <c r="AQ244" s="32">
        <f t="shared" si="193"/>
        <v>2</v>
      </c>
      <c r="AR244" s="44">
        <f t="shared" si="194"/>
        <v>4</v>
      </c>
      <c r="AS244" s="28">
        <f t="shared" si="195"/>
        <v>2</v>
      </c>
      <c r="AT244" s="32">
        <f t="shared" si="196"/>
        <v>0</v>
      </c>
      <c r="AU244" s="32">
        <f t="shared" si="197"/>
        <v>0</v>
      </c>
      <c r="AV244" s="32">
        <f t="shared" si="198"/>
        <v>0</v>
      </c>
      <c r="AX244" s="28">
        <f t="shared" si="199"/>
        <v>0</v>
      </c>
      <c r="AY244" s="28">
        <f t="shared" si="200"/>
        <v>0</v>
      </c>
      <c r="AZ244" s="28">
        <f t="shared" si="201"/>
        <v>0</v>
      </c>
      <c r="BA244" s="28">
        <f t="shared" si="202"/>
        <v>0</v>
      </c>
      <c r="CB244" s="31"/>
      <c r="CG244" s="31"/>
    </row>
    <row r="245" spans="1:85" ht="12.75" customHeight="1" x14ac:dyDescent="0.2">
      <c r="A245" s="28">
        <f t="shared" si="169"/>
        <v>0</v>
      </c>
      <c r="B245" s="152"/>
      <c r="C245" s="427" t="s">
        <v>363</v>
      </c>
      <c r="D245" s="431"/>
      <c r="E245" s="223"/>
      <c r="F245" s="223"/>
      <c r="G245" s="365"/>
      <c r="H245" s="432"/>
      <c r="I245" s="365"/>
      <c r="J245" s="365"/>
      <c r="K245" s="223"/>
      <c r="L245" s="405">
        <f t="shared" si="171"/>
        <v>0</v>
      </c>
      <c r="M245" s="433">
        <f t="shared" si="172"/>
        <v>0</v>
      </c>
      <c r="N245" s="405">
        <f t="shared" si="173"/>
        <v>0</v>
      </c>
      <c r="O245" s="425"/>
      <c r="P245" s="50" t="str">
        <f t="shared" si="170"/>
        <v/>
      </c>
      <c r="Q245" s="50"/>
      <c r="R245" s="3"/>
      <c r="S245" s="28">
        <f t="shared" si="174"/>
        <v>0</v>
      </c>
      <c r="U245" s="30">
        <f t="shared" si="175"/>
        <v>50</v>
      </c>
      <c r="V245" s="40">
        <v>50</v>
      </c>
      <c r="W245" s="32">
        <f t="shared" si="176"/>
        <v>0</v>
      </c>
      <c r="X245" s="28">
        <f t="shared" si="177"/>
        <v>0</v>
      </c>
      <c r="Y245" s="28">
        <f t="shared" si="178"/>
        <v>0</v>
      </c>
      <c r="Z245" s="28">
        <f t="shared" si="179"/>
        <v>0</v>
      </c>
      <c r="AA245" s="28">
        <f t="shared" si="180"/>
        <v>0</v>
      </c>
      <c r="AB245" s="28">
        <f t="shared" si="181"/>
        <v>0</v>
      </c>
      <c r="AC245" s="28">
        <f t="shared" si="182"/>
        <v>0</v>
      </c>
      <c r="AD245" s="28">
        <f t="shared" si="183"/>
        <v>0</v>
      </c>
      <c r="AE245" s="28">
        <f t="shared" si="184"/>
        <v>0</v>
      </c>
      <c r="AF245" s="28">
        <f t="shared" si="185"/>
        <v>0</v>
      </c>
      <c r="AI245" s="32">
        <f t="shared" si="186"/>
        <v>0</v>
      </c>
      <c r="AJ245" s="32">
        <f t="shared" si="187"/>
        <v>0</v>
      </c>
      <c r="AK245" s="32">
        <f t="shared" si="188"/>
        <v>0</v>
      </c>
      <c r="AL245" s="32">
        <f t="shared" si="189"/>
        <v>0</v>
      </c>
      <c r="AM245" s="32"/>
      <c r="AN245" s="32">
        <f t="shared" si="190"/>
        <v>0</v>
      </c>
      <c r="AO245" s="32">
        <f t="shared" si="191"/>
        <v>0</v>
      </c>
      <c r="AP245" s="32">
        <f t="shared" si="192"/>
        <v>0</v>
      </c>
      <c r="AQ245" s="32">
        <f t="shared" si="193"/>
        <v>2</v>
      </c>
      <c r="AR245" s="44">
        <f t="shared" si="194"/>
        <v>4</v>
      </c>
      <c r="AS245" s="28">
        <f t="shared" si="195"/>
        <v>2</v>
      </c>
      <c r="AT245" s="32">
        <f t="shared" si="196"/>
        <v>0</v>
      </c>
      <c r="AU245" s="32">
        <f t="shared" si="197"/>
        <v>0</v>
      </c>
      <c r="AV245" s="32">
        <f t="shared" si="198"/>
        <v>0</v>
      </c>
      <c r="AX245" s="28">
        <f t="shared" si="199"/>
        <v>0</v>
      </c>
      <c r="AY245" s="28">
        <f t="shared" si="200"/>
        <v>0</v>
      </c>
      <c r="AZ245" s="28">
        <f t="shared" si="201"/>
        <v>0</v>
      </c>
      <c r="BA245" s="28">
        <f t="shared" si="202"/>
        <v>0</v>
      </c>
      <c r="CB245" s="31"/>
      <c r="CG245" s="31"/>
    </row>
    <row r="246" spans="1:85" ht="12.75" customHeight="1" x14ac:dyDescent="0.2">
      <c r="A246" s="28">
        <f t="shared" si="169"/>
        <v>0</v>
      </c>
      <c r="B246" s="152"/>
      <c r="C246" s="427" t="s">
        <v>363</v>
      </c>
      <c r="D246" s="431"/>
      <c r="E246" s="223"/>
      <c r="F246" s="223"/>
      <c r="G246" s="365"/>
      <c r="H246" s="432"/>
      <c r="I246" s="365"/>
      <c r="J246" s="365"/>
      <c r="K246" s="223"/>
      <c r="L246" s="405">
        <f t="shared" si="171"/>
        <v>0</v>
      </c>
      <c r="M246" s="433">
        <f t="shared" si="172"/>
        <v>0</v>
      </c>
      <c r="N246" s="405">
        <f t="shared" si="173"/>
        <v>0</v>
      </c>
      <c r="O246" s="425"/>
      <c r="P246" s="50" t="str">
        <f t="shared" si="170"/>
        <v/>
      </c>
      <c r="Q246" s="50"/>
      <c r="R246" s="3"/>
      <c r="S246" s="28">
        <f t="shared" si="174"/>
        <v>0</v>
      </c>
      <c r="U246" s="30">
        <f t="shared" si="175"/>
        <v>50</v>
      </c>
      <c r="V246" s="40">
        <v>50</v>
      </c>
      <c r="W246" s="32">
        <f t="shared" si="176"/>
        <v>0</v>
      </c>
      <c r="X246" s="28">
        <f t="shared" si="177"/>
        <v>0</v>
      </c>
      <c r="Y246" s="28">
        <f t="shared" si="178"/>
        <v>0</v>
      </c>
      <c r="Z246" s="28">
        <f t="shared" si="179"/>
        <v>0</v>
      </c>
      <c r="AA246" s="28">
        <f t="shared" si="180"/>
        <v>0</v>
      </c>
      <c r="AB246" s="28">
        <f t="shared" si="181"/>
        <v>0</v>
      </c>
      <c r="AC246" s="28">
        <f t="shared" si="182"/>
        <v>0</v>
      </c>
      <c r="AD246" s="28">
        <f t="shared" si="183"/>
        <v>0</v>
      </c>
      <c r="AE246" s="28">
        <f t="shared" si="184"/>
        <v>0</v>
      </c>
      <c r="AF246" s="28">
        <f t="shared" si="185"/>
        <v>0</v>
      </c>
      <c r="AI246" s="32">
        <f t="shared" si="186"/>
        <v>0</v>
      </c>
      <c r="AJ246" s="32">
        <f t="shared" si="187"/>
        <v>0</v>
      </c>
      <c r="AK246" s="32">
        <f t="shared" si="188"/>
        <v>0</v>
      </c>
      <c r="AL246" s="32">
        <f t="shared" si="189"/>
        <v>0</v>
      </c>
      <c r="AM246" s="32"/>
      <c r="AN246" s="32">
        <f t="shared" si="190"/>
        <v>0</v>
      </c>
      <c r="AO246" s="32">
        <f t="shared" si="191"/>
        <v>0</v>
      </c>
      <c r="AP246" s="32">
        <f t="shared" si="192"/>
        <v>0</v>
      </c>
      <c r="AQ246" s="32">
        <f t="shared" si="193"/>
        <v>2</v>
      </c>
      <c r="AR246" s="44">
        <f t="shared" si="194"/>
        <v>4</v>
      </c>
      <c r="AS246" s="28">
        <f t="shared" si="195"/>
        <v>2</v>
      </c>
      <c r="AT246" s="32">
        <f t="shared" si="196"/>
        <v>0</v>
      </c>
      <c r="AU246" s="32">
        <f t="shared" si="197"/>
        <v>0</v>
      </c>
      <c r="AV246" s="32">
        <f t="shared" si="198"/>
        <v>0</v>
      </c>
      <c r="AX246" s="28">
        <f t="shared" si="199"/>
        <v>0</v>
      </c>
      <c r="AY246" s="28">
        <f t="shared" si="200"/>
        <v>0</v>
      </c>
      <c r="AZ246" s="28">
        <f t="shared" si="201"/>
        <v>0</v>
      </c>
      <c r="BA246" s="28">
        <f t="shared" si="202"/>
        <v>0</v>
      </c>
      <c r="CB246" s="31"/>
      <c r="CG246" s="31"/>
    </row>
    <row r="247" spans="1:85" ht="12.75" customHeight="1" x14ac:dyDescent="0.2">
      <c r="A247" s="28">
        <f t="shared" si="169"/>
        <v>0</v>
      </c>
      <c r="B247" s="152"/>
      <c r="C247" s="427" t="s">
        <v>363</v>
      </c>
      <c r="D247" s="431"/>
      <c r="E247" s="223"/>
      <c r="F247" s="223"/>
      <c r="G247" s="365"/>
      <c r="H247" s="432"/>
      <c r="I247" s="365"/>
      <c r="J247" s="365"/>
      <c r="K247" s="223"/>
      <c r="L247" s="405">
        <f t="shared" si="171"/>
        <v>0</v>
      </c>
      <c r="M247" s="433">
        <f t="shared" si="172"/>
        <v>0</v>
      </c>
      <c r="N247" s="405">
        <f t="shared" si="173"/>
        <v>0</v>
      </c>
      <c r="O247" s="425"/>
      <c r="P247" s="50" t="str">
        <f t="shared" si="170"/>
        <v/>
      </c>
      <c r="Q247" s="50"/>
      <c r="R247" s="3"/>
      <c r="S247" s="28">
        <f t="shared" si="174"/>
        <v>0</v>
      </c>
      <c r="U247" s="30">
        <f t="shared" si="175"/>
        <v>50</v>
      </c>
      <c r="V247" s="40">
        <v>50</v>
      </c>
      <c r="W247" s="32">
        <f t="shared" si="176"/>
        <v>0</v>
      </c>
      <c r="X247" s="28">
        <f t="shared" si="177"/>
        <v>0</v>
      </c>
      <c r="Y247" s="28">
        <f t="shared" si="178"/>
        <v>0</v>
      </c>
      <c r="Z247" s="28">
        <f t="shared" si="179"/>
        <v>0</v>
      </c>
      <c r="AA247" s="28">
        <f t="shared" si="180"/>
        <v>0</v>
      </c>
      <c r="AB247" s="28">
        <f t="shared" si="181"/>
        <v>0</v>
      </c>
      <c r="AC247" s="28">
        <f t="shared" si="182"/>
        <v>0</v>
      </c>
      <c r="AD247" s="28">
        <f t="shared" si="183"/>
        <v>0</v>
      </c>
      <c r="AE247" s="28">
        <f t="shared" si="184"/>
        <v>0</v>
      </c>
      <c r="AF247" s="28">
        <f t="shared" si="185"/>
        <v>0</v>
      </c>
      <c r="AI247" s="32">
        <f t="shared" si="186"/>
        <v>0</v>
      </c>
      <c r="AJ247" s="32">
        <f t="shared" si="187"/>
        <v>0</v>
      </c>
      <c r="AK247" s="32">
        <f t="shared" si="188"/>
        <v>0</v>
      </c>
      <c r="AL247" s="32">
        <f t="shared" si="189"/>
        <v>0</v>
      </c>
      <c r="AM247" s="32"/>
      <c r="AN247" s="32">
        <f t="shared" si="190"/>
        <v>0</v>
      </c>
      <c r="AO247" s="32">
        <f t="shared" si="191"/>
        <v>0</v>
      </c>
      <c r="AP247" s="32">
        <f t="shared" si="192"/>
        <v>0</v>
      </c>
      <c r="AQ247" s="32">
        <f t="shared" si="193"/>
        <v>2</v>
      </c>
      <c r="AR247" s="44">
        <f t="shared" si="194"/>
        <v>4</v>
      </c>
      <c r="AS247" s="28">
        <f t="shared" si="195"/>
        <v>2</v>
      </c>
      <c r="AT247" s="32">
        <f t="shared" si="196"/>
        <v>0</v>
      </c>
      <c r="AU247" s="32">
        <f t="shared" si="197"/>
        <v>0</v>
      </c>
      <c r="AV247" s="32">
        <f t="shared" si="198"/>
        <v>0</v>
      </c>
      <c r="AX247" s="28">
        <f t="shared" si="199"/>
        <v>0</v>
      </c>
      <c r="AY247" s="28">
        <f t="shared" si="200"/>
        <v>0</v>
      </c>
      <c r="AZ247" s="28">
        <f t="shared" si="201"/>
        <v>0</v>
      </c>
      <c r="BA247" s="28">
        <f t="shared" si="202"/>
        <v>0</v>
      </c>
      <c r="CB247" s="31"/>
      <c r="CG247" s="31"/>
    </row>
    <row r="248" spans="1:85" ht="12.75" customHeight="1" x14ac:dyDescent="0.2">
      <c r="A248" s="28">
        <f t="shared" si="169"/>
        <v>0</v>
      </c>
      <c r="B248" s="152"/>
      <c r="C248" s="427" t="s">
        <v>363</v>
      </c>
      <c r="D248" s="431"/>
      <c r="E248" s="223"/>
      <c r="F248" s="223"/>
      <c r="G248" s="365"/>
      <c r="H248" s="432"/>
      <c r="I248" s="365"/>
      <c r="J248" s="365"/>
      <c r="K248" s="223"/>
      <c r="L248" s="405">
        <f t="shared" si="171"/>
        <v>0</v>
      </c>
      <c r="M248" s="433">
        <f t="shared" si="172"/>
        <v>0</v>
      </c>
      <c r="N248" s="405">
        <f t="shared" si="173"/>
        <v>0</v>
      </c>
      <c r="O248" s="425"/>
      <c r="P248" s="50" t="str">
        <f t="shared" si="170"/>
        <v/>
      </c>
      <c r="Q248" s="50"/>
      <c r="R248" s="3"/>
      <c r="S248" s="28">
        <f t="shared" si="174"/>
        <v>0</v>
      </c>
      <c r="U248" s="30">
        <f t="shared" si="175"/>
        <v>50</v>
      </c>
      <c r="V248" s="40">
        <v>50</v>
      </c>
      <c r="W248" s="32">
        <f t="shared" si="176"/>
        <v>0</v>
      </c>
      <c r="X248" s="28">
        <f t="shared" si="177"/>
        <v>0</v>
      </c>
      <c r="Y248" s="28">
        <f t="shared" si="178"/>
        <v>0</v>
      </c>
      <c r="Z248" s="28">
        <f t="shared" si="179"/>
        <v>0</v>
      </c>
      <c r="AA248" s="28">
        <f t="shared" si="180"/>
        <v>0</v>
      </c>
      <c r="AB248" s="28">
        <f t="shared" si="181"/>
        <v>0</v>
      </c>
      <c r="AC248" s="28">
        <f t="shared" si="182"/>
        <v>0</v>
      </c>
      <c r="AD248" s="28">
        <f t="shared" si="183"/>
        <v>0</v>
      </c>
      <c r="AE248" s="28">
        <f t="shared" si="184"/>
        <v>0</v>
      </c>
      <c r="AF248" s="28">
        <f t="shared" si="185"/>
        <v>0</v>
      </c>
      <c r="AI248" s="32">
        <f t="shared" si="186"/>
        <v>0</v>
      </c>
      <c r="AJ248" s="32">
        <f t="shared" si="187"/>
        <v>0</v>
      </c>
      <c r="AK248" s="32">
        <f t="shared" si="188"/>
        <v>0</v>
      </c>
      <c r="AL248" s="32">
        <f t="shared" si="189"/>
        <v>0</v>
      </c>
      <c r="AM248" s="32"/>
      <c r="AN248" s="32">
        <f t="shared" si="190"/>
        <v>0</v>
      </c>
      <c r="AO248" s="32">
        <f t="shared" si="191"/>
        <v>0</v>
      </c>
      <c r="AP248" s="32">
        <f t="shared" si="192"/>
        <v>0</v>
      </c>
      <c r="AQ248" s="32">
        <f t="shared" si="193"/>
        <v>2</v>
      </c>
      <c r="AR248" s="44">
        <f t="shared" si="194"/>
        <v>4</v>
      </c>
      <c r="AS248" s="28">
        <f t="shared" si="195"/>
        <v>2</v>
      </c>
      <c r="AT248" s="32">
        <f t="shared" si="196"/>
        <v>0</v>
      </c>
      <c r="AU248" s="32">
        <f t="shared" si="197"/>
        <v>0</v>
      </c>
      <c r="AV248" s="32">
        <f t="shared" si="198"/>
        <v>0</v>
      </c>
      <c r="AX248" s="28">
        <f t="shared" si="199"/>
        <v>0</v>
      </c>
      <c r="AY248" s="28">
        <f t="shared" si="200"/>
        <v>0</v>
      </c>
      <c r="AZ248" s="28">
        <f t="shared" si="201"/>
        <v>0</v>
      </c>
      <c r="BA248" s="28">
        <f t="shared" si="202"/>
        <v>0</v>
      </c>
      <c r="CB248" s="31"/>
      <c r="CG248" s="31"/>
    </row>
    <row r="249" spans="1:85" ht="12.75" customHeight="1" x14ac:dyDescent="0.2">
      <c r="A249" s="28">
        <f t="shared" si="169"/>
        <v>0</v>
      </c>
      <c r="B249" s="152"/>
      <c r="C249" s="427" t="s">
        <v>363</v>
      </c>
      <c r="D249" s="431"/>
      <c r="E249" s="223"/>
      <c r="F249" s="223"/>
      <c r="G249" s="365"/>
      <c r="H249" s="432"/>
      <c r="I249" s="365"/>
      <c r="J249" s="365"/>
      <c r="K249" s="223"/>
      <c r="L249" s="405">
        <f t="shared" si="171"/>
        <v>0</v>
      </c>
      <c r="M249" s="433">
        <f t="shared" si="172"/>
        <v>0</v>
      </c>
      <c r="N249" s="405">
        <f t="shared" si="173"/>
        <v>0</v>
      </c>
      <c r="O249" s="425"/>
      <c r="P249" s="50" t="str">
        <f t="shared" si="170"/>
        <v/>
      </c>
      <c r="Q249" s="50"/>
      <c r="R249" s="3"/>
      <c r="S249" s="28">
        <f t="shared" si="174"/>
        <v>0</v>
      </c>
      <c r="U249" s="30">
        <f t="shared" si="175"/>
        <v>50</v>
      </c>
      <c r="V249" s="40">
        <v>50</v>
      </c>
      <c r="W249" s="32">
        <f t="shared" si="176"/>
        <v>0</v>
      </c>
      <c r="X249" s="28">
        <f t="shared" si="177"/>
        <v>0</v>
      </c>
      <c r="Y249" s="28">
        <f t="shared" si="178"/>
        <v>0</v>
      </c>
      <c r="Z249" s="28">
        <f t="shared" si="179"/>
        <v>0</v>
      </c>
      <c r="AA249" s="28">
        <f t="shared" si="180"/>
        <v>0</v>
      </c>
      <c r="AB249" s="28">
        <f t="shared" si="181"/>
        <v>0</v>
      </c>
      <c r="AC249" s="28">
        <f t="shared" si="182"/>
        <v>0</v>
      </c>
      <c r="AD249" s="28">
        <f t="shared" si="183"/>
        <v>0</v>
      </c>
      <c r="AE249" s="28">
        <f t="shared" si="184"/>
        <v>0</v>
      </c>
      <c r="AF249" s="28">
        <f t="shared" si="185"/>
        <v>0</v>
      </c>
      <c r="AI249" s="32">
        <f t="shared" si="186"/>
        <v>0</v>
      </c>
      <c r="AJ249" s="32">
        <f t="shared" si="187"/>
        <v>0</v>
      </c>
      <c r="AK249" s="32">
        <f t="shared" si="188"/>
        <v>0</v>
      </c>
      <c r="AL249" s="32">
        <f t="shared" si="189"/>
        <v>0</v>
      </c>
      <c r="AM249" s="32"/>
      <c r="AN249" s="32">
        <f t="shared" si="190"/>
        <v>0</v>
      </c>
      <c r="AO249" s="32">
        <f t="shared" si="191"/>
        <v>0</v>
      </c>
      <c r="AP249" s="32">
        <f t="shared" si="192"/>
        <v>0</v>
      </c>
      <c r="AQ249" s="32">
        <f t="shared" si="193"/>
        <v>2</v>
      </c>
      <c r="AR249" s="44">
        <f t="shared" si="194"/>
        <v>4</v>
      </c>
      <c r="AS249" s="28">
        <f t="shared" si="195"/>
        <v>2</v>
      </c>
      <c r="AT249" s="32">
        <f t="shared" si="196"/>
        <v>0</v>
      </c>
      <c r="AU249" s="32">
        <f t="shared" si="197"/>
        <v>0</v>
      </c>
      <c r="AV249" s="32">
        <f t="shared" si="198"/>
        <v>0</v>
      </c>
      <c r="AX249" s="28">
        <f t="shared" si="199"/>
        <v>0</v>
      </c>
      <c r="AY249" s="28">
        <f t="shared" si="200"/>
        <v>0</v>
      </c>
      <c r="AZ249" s="28">
        <f t="shared" si="201"/>
        <v>0</v>
      </c>
      <c r="BA249" s="28">
        <f t="shared" si="202"/>
        <v>0</v>
      </c>
      <c r="CB249" s="31"/>
      <c r="CG249" s="31"/>
    </row>
    <row r="250" spans="1:85" ht="12.75" customHeight="1" x14ac:dyDescent="0.2">
      <c r="A250" s="28">
        <f t="shared" si="169"/>
        <v>0</v>
      </c>
      <c r="B250" s="152"/>
      <c r="C250" s="427" t="s">
        <v>363</v>
      </c>
      <c r="D250" s="431"/>
      <c r="E250" s="223"/>
      <c r="F250" s="223"/>
      <c r="G250" s="365"/>
      <c r="H250" s="432"/>
      <c r="I250" s="365"/>
      <c r="J250" s="365"/>
      <c r="K250" s="223"/>
      <c r="L250" s="405">
        <f t="shared" si="171"/>
        <v>0</v>
      </c>
      <c r="M250" s="433">
        <f t="shared" si="172"/>
        <v>0</v>
      </c>
      <c r="N250" s="405">
        <f t="shared" si="173"/>
        <v>0</v>
      </c>
      <c r="O250" s="425"/>
      <c r="P250" s="50" t="str">
        <f t="shared" si="170"/>
        <v/>
      </c>
      <c r="Q250" s="50"/>
      <c r="R250" s="3"/>
      <c r="S250" s="28">
        <f t="shared" si="174"/>
        <v>0</v>
      </c>
      <c r="U250" s="30">
        <f t="shared" si="175"/>
        <v>50</v>
      </c>
      <c r="V250" s="40">
        <v>50</v>
      </c>
      <c r="W250" s="32">
        <f t="shared" si="176"/>
        <v>0</v>
      </c>
      <c r="X250" s="28">
        <f t="shared" si="177"/>
        <v>0</v>
      </c>
      <c r="Y250" s="28">
        <f t="shared" si="178"/>
        <v>0</v>
      </c>
      <c r="Z250" s="28">
        <f t="shared" si="179"/>
        <v>0</v>
      </c>
      <c r="AA250" s="28">
        <f t="shared" si="180"/>
        <v>0</v>
      </c>
      <c r="AB250" s="28">
        <f t="shared" si="181"/>
        <v>0</v>
      </c>
      <c r="AC250" s="28">
        <f t="shared" si="182"/>
        <v>0</v>
      </c>
      <c r="AD250" s="28">
        <f t="shared" si="183"/>
        <v>0</v>
      </c>
      <c r="AE250" s="28">
        <f t="shared" si="184"/>
        <v>0</v>
      </c>
      <c r="AF250" s="28">
        <f t="shared" si="185"/>
        <v>0</v>
      </c>
      <c r="AI250" s="32">
        <f t="shared" si="186"/>
        <v>0</v>
      </c>
      <c r="AJ250" s="32">
        <f t="shared" si="187"/>
        <v>0</v>
      </c>
      <c r="AK250" s="32">
        <f t="shared" si="188"/>
        <v>0</v>
      </c>
      <c r="AL250" s="32">
        <f t="shared" si="189"/>
        <v>0</v>
      </c>
      <c r="AM250" s="32"/>
      <c r="AN250" s="32">
        <f t="shared" si="190"/>
        <v>0</v>
      </c>
      <c r="AO250" s="32">
        <f t="shared" si="191"/>
        <v>0</v>
      </c>
      <c r="AP250" s="32">
        <f t="shared" si="192"/>
        <v>0</v>
      </c>
      <c r="AQ250" s="32">
        <f t="shared" si="193"/>
        <v>2</v>
      </c>
      <c r="AR250" s="44">
        <f t="shared" si="194"/>
        <v>4</v>
      </c>
      <c r="AS250" s="28">
        <f t="shared" si="195"/>
        <v>2</v>
      </c>
      <c r="AT250" s="32">
        <f t="shared" si="196"/>
        <v>0</v>
      </c>
      <c r="AU250" s="32">
        <f t="shared" si="197"/>
        <v>0</v>
      </c>
      <c r="AV250" s="32">
        <f t="shared" si="198"/>
        <v>0</v>
      </c>
      <c r="AX250" s="28">
        <f t="shared" si="199"/>
        <v>0</v>
      </c>
      <c r="AY250" s="28">
        <f t="shared" si="200"/>
        <v>0</v>
      </c>
      <c r="AZ250" s="28">
        <f t="shared" si="201"/>
        <v>0</v>
      </c>
      <c r="BA250" s="28">
        <f t="shared" si="202"/>
        <v>0</v>
      </c>
      <c r="CB250" s="31"/>
      <c r="CG250" s="31"/>
    </row>
    <row r="251" spans="1:85" ht="12.75" customHeight="1" x14ac:dyDescent="0.2">
      <c r="A251" s="28">
        <f t="shared" si="169"/>
        <v>0</v>
      </c>
      <c r="B251" s="152"/>
      <c r="C251" s="427" t="s">
        <v>363</v>
      </c>
      <c r="D251" s="431"/>
      <c r="E251" s="223"/>
      <c r="F251" s="223"/>
      <c r="G251" s="365"/>
      <c r="H251" s="432"/>
      <c r="I251" s="365"/>
      <c r="J251" s="365"/>
      <c r="K251" s="223"/>
      <c r="L251" s="405">
        <f t="shared" ref="L251:L270" si="203">IF(V251=0,0,IF(W251&lt;0,0,W251))</f>
      </c>
      <c r="M251" s="433">
        <f t="shared" ref="M251:M270" si="204">IF(V251=0,0,Z251)</f>
      </c>
      <c r="N251" s="405">
        <f t="shared" ref="N251:N270" si="205">IF(U251=0,0,AA251)</f>
      </c>
      <c r="O251" s="425"/>
      <c r="P251" s="50" t="str">
        <f t="shared" si="170"/>
        <v/>
      </c>
      <c r="Q251" s="50"/>
      <c r="R251" s="3"/>
      <c r="S251" s="28">
        <f t="shared" ref="S251:S270" si="206">IF(P251="",0,1)</f>
      </c>
      <c r="U251" s="30">
        <f t="shared" si="168"/>
        <v>50</v>
      </c>
      <c r="V251" s="40">
        <v>50</v>
      </c>
      <c r="W251" s="32">
        <f t="shared" ref="W251:W270" si="207">IF(B251="",0,IF(D251=$Q$1,(G251+H251),E251-I251))</f>
      </c>
      <c r="X251" s="28">
        <f t="shared" ref="X251:X270" si="208">IF(B251="",0,IF(D251=$Q$1,W251,F251-J251))</f>
      </c>
      <c r="Y251" s="28">
        <f t="shared" ref="Y251:Y270" si="209">IF(U251=0,0,(W251/U251)+AB251)</f>
      </c>
      <c r="Z251" s="28">
        <f t="shared" ref="Z251:Z270" si="210">IF(Y251&lt;0,0,IF(Y251&gt;X251,X251,Y251))</f>
      </c>
      <c r="AA251" s="28">
        <f t="shared" ref="AA251:AA270" si="211">X251-Z251</f>
      </c>
      <c r="AB251" s="28">
        <f t="shared" ref="AB251:AB270" si="212">IF(D251=$Q$1,G251*0.1,0)</f>
      </c>
      <c r="AC251" s="28">
        <f t="shared" ref="AC251:AC270" si="213">IF(V251=0,0,IF(D251=$Q$1,0,IF(AD251&lt;&gt;2,0,F251*I251/E251)))</f>
      </c>
      <c r="AD251" s="28">
        <f t="shared" ref="AD251:AD270" si="214">SUM(AE251:AF251)</f>
      </c>
      <c r="AE251" s="28">
        <f t="shared" ref="AE251:AE270" si="215">IF(ISBLANK(F251),0,1)</f>
      </c>
      <c r="AF251" s="28">
        <f t="shared" ref="AF251:AF270" si="216">IF(ISBLANK(E251),0,1)</f>
      </c>
      <c r="AI251" s="32">
        <f t="shared" ref="AI251:AI270" si="217">IF($D251=$Q$1,0,E251)</f>
      </c>
      <c r="AJ251" s="32">
        <f t="shared" ref="AJ251:AJ270" si="218">IF($D251=$Q$1,0,F251)</f>
      </c>
      <c r="AK251" s="32">
        <f t="shared" ref="AK251:AK270" si="219">IF($D251=$Q$1,G251+H251,E251)</f>
      </c>
      <c r="AL251" s="32">
        <f t="shared" ref="AL251:AL270" si="220">IF($D251=$Q$1,H251+G251,F251)</f>
      </c>
      <c r="AM251" s="32"/>
      <c r="AN251" s="32">
        <f t="shared" ref="AN251:AN270" si="221">IF($D251=$Q$1,1,IF(ISBLANK(E251),0,1))</f>
      </c>
      <c r="AO251" s="32">
        <f t="shared" ref="AO251:AO270" si="222">IF($D251=$Q$1,1,IF(ISBLANK(F251),0,1))</f>
      </c>
      <c r="AP251" s="32">
        <f t="shared" ref="AP251:AP270" si="223">SUM(AN251:AO251)</f>
      </c>
      <c r="AQ251" s="32">
        <f t="shared" si="165"/>
        <v>2</v>
      </c>
      <c r="AR251" s="44">
        <f t="shared" ref="AR251:AR270" si="224">AQ251+AS251</f>
      </c>
      <c r="AS251" s="28">
        <f t="shared" ref="AS251:AS270" si="225">IF(AT251=0,2,AT251)</f>
      </c>
      <c r="AT251" s="32">
        <f t="shared" ref="AT251:AT270" si="226">AU251+AV251</f>
      </c>
      <c r="AU251" s="32">
        <f t="shared" ref="AU251:AU270" si="227">IF($D251=$Q$1,1,IF(ISBLANK(I251),0,1))</f>
      </c>
      <c r="AV251" s="32">
        <f t="shared" ref="AV251:AV270" si="228">IF($D251=$Q$1,1,IF(ISBLANK(J251),0,1))</f>
      </c>
      <c r="AX251" s="28">
        <f t="shared" ref="AX251:AX270" si="229">IF(BA251=2,AX250+1,AX250)</f>
      </c>
      <c r="AY251" s="28">
        <f t="shared" ref="AY251:AY270" si="230">IF($D251=$Q$1,0,IF(ISBLANK(I251),0,1))</f>
      </c>
      <c r="AZ251" s="28">
        <f t="shared" ref="AZ251:AZ270" si="231">IF($D251=$Q$1,0,IF(ISBLANK(J251),0,1))</f>
      </c>
      <c r="BA251" s="28">
        <f t="shared" ref="BA251:BA270" si="232">SUM(AY251:AZ251)</f>
      </c>
      <c r="CB251" s="31"/>
      <c r="CG251" s="31"/>
    </row>
    <row r="252" spans="1:85" ht="12.75" customHeight="1" x14ac:dyDescent="0.2">
      <c r="A252" s="28">
        <f t="shared" si="169"/>
        <v>0</v>
      </c>
      <c r="B252" s="152"/>
      <c r="C252" s="427" t="s">
        <v>363</v>
      </c>
      <c r="D252" s="431"/>
      <c r="E252" s="223"/>
      <c r="F252" s="223"/>
      <c r="G252" s="365"/>
      <c r="H252" s="432"/>
      <c r="I252" s="365"/>
      <c r="J252" s="365"/>
      <c r="K252" s="223"/>
      <c r="L252" s="405">
        <f t="shared" si="203"/>
        <v>0</v>
      </c>
      <c r="M252" s="433">
        <f t="shared" si="204"/>
        <v>0</v>
      </c>
      <c r="N252" s="405">
        <f t="shared" si="205"/>
        <v>0</v>
      </c>
      <c r="O252" s="425"/>
      <c r="P252" s="50" t="str">
        <f t="shared" si="170"/>
        <v/>
      </c>
      <c r="Q252" s="50"/>
      <c r="R252" s="3"/>
      <c r="S252" s="28">
        <f t="shared" si="206"/>
        <v>0</v>
      </c>
      <c r="U252" s="30">
        <f t="shared" si="168"/>
        <v>50</v>
      </c>
      <c r="V252" s="40">
        <v>50</v>
      </c>
      <c r="W252" s="32">
        <f t="shared" si="207"/>
        <v>0</v>
      </c>
      <c r="X252" s="28">
        <f t="shared" si="208"/>
        <v>0</v>
      </c>
      <c r="Y252" s="28">
        <f t="shared" si="209"/>
        <v>0</v>
      </c>
      <c r="Z252" s="28">
        <f t="shared" si="210"/>
        <v>0</v>
      </c>
      <c r="AA252" s="28">
        <f t="shared" si="211"/>
        <v>0</v>
      </c>
      <c r="AB252" s="28">
        <f t="shared" si="212"/>
        <v>0</v>
      </c>
      <c r="AC252" s="28">
        <f t="shared" si="213"/>
        <v>0</v>
      </c>
      <c r="AD252" s="28">
        <f t="shared" si="214"/>
        <v>0</v>
      </c>
      <c r="AE252" s="28">
        <f t="shared" si="215"/>
        <v>0</v>
      </c>
      <c r="AF252" s="28">
        <f t="shared" si="216"/>
        <v>0</v>
      </c>
      <c r="AI252" s="32">
        <f t="shared" si="217"/>
        <v>0</v>
      </c>
      <c r="AJ252" s="32">
        <f t="shared" si="218"/>
        <v>0</v>
      </c>
      <c r="AK252" s="32">
        <f t="shared" si="219"/>
        <v>0</v>
      </c>
      <c r="AL252" s="32">
        <f t="shared" si="220"/>
        <v>0</v>
      </c>
      <c r="AM252" s="32"/>
      <c r="AN252" s="32">
        <f t="shared" si="221"/>
        <v>0</v>
      </c>
      <c r="AO252" s="32">
        <f t="shared" si="222"/>
        <v>0</v>
      </c>
      <c r="AP252" s="32">
        <f t="shared" si="223"/>
        <v>0</v>
      </c>
      <c r="AQ252" s="32">
        <f t="shared" si="165"/>
        <v>2</v>
      </c>
      <c r="AR252" s="44">
        <f t="shared" si="224"/>
        <v>4</v>
      </c>
      <c r="AS252" s="28">
        <f t="shared" si="225"/>
        <v>2</v>
      </c>
      <c r="AT252" s="32">
        <f t="shared" si="226"/>
        <v>0</v>
      </c>
      <c r="AU252" s="32">
        <f t="shared" si="227"/>
        <v>0</v>
      </c>
      <c r="AV252" s="32">
        <f t="shared" si="228"/>
        <v>0</v>
      </c>
      <c r="AX252" s="28">
        <f t="shared" si="229"/>
        <v>0</v>
      </c>
      <c r="AY252" s="28">
        <f t="shared" si="230"/>
        <v>0</v>
      </c>
      <c r="AZ252" s="28">
        <f t="shared" si="231"/>
        <v>0</v>
      </c>
      <c r="BA252" s="28">
        <f t="shared" si="232"/>
        <v>0</v>
      </c>
      <c r="CB252" s="31"/>
      <c r="CG252" s="31"/>
    </row>
    <row r="253" spans="1:85" ht="12.75" customHeight="1" x14ac:dyDescent="0.2">
      <c r="A253" s="28">
        <f t="shared" si="169"/>
        <v>0</v>
      </c>
      <c r="B253" s="152"/>
      <c r="C253" s="427" t="s">
        <v>363</v>
      </c>
      <c r="D253" s="431"/>
      <c r="E253" s="223"/>
      <c r="F253" s="223"/>
      <c r="G253" s="365"/>
      <c r="H253" s="432"/>
      <c r="I253" s="365"/>
      <c r="J253" s="365"/>
      <c r="K253" s="223"/>
      <c r="L253" s="405">
        <f t="shared" si="203"/>
        <v>0</v>
      </c>
      <c r="M253" s="433">
        <f t="shared" si="204"/>
        <v>0</v>
      </c>
      <c r="N253" s="405">
        <f t="shared" si="205"/>
        <v>0</v>
      </c>
      <c r="O253" s="425"/>
      <c r="P253" s="50" t="str">
        <f t="shared" si="170"/>
        <v/>
      </c>
      <c r="Q253" s="50"/>
      <c r="R253" s="3"/>
      <c r="S253" s="28">
        <f t="shared" si="206"/>
        <v>0</v>
      </c>
      <c r="U253" s="30">
        <f t="shared" si="168"/>
        <v>50</v>
      </c>
      <c r="V253" s="40">
        <v>50</v>
      </c>
      <c r="W253" s="32">
        <f t="shared" si="207"/>
        <v>0</v>
      </c>
      <c r="X253" s="28">
        <f t="shared" si="208"/>
        <v>0</v>
      </c>
      <c r="Y253" s="28">
        <f t="shared" si="209"/>
        <v>0</v>
      </c>
      <c r="Z253" s="28">
        <f t="shared" si="210"/>
        <v>0</v>
      </c>
      <c r="AA253" s="28">
        <f t="shared" si="211"/>
        <v>0</v>
      </c>
      <c r="AB253" s="28">
        <f t="shared" si="212"/>
        <v>0</v>
      </c>
      <c r="AC253" s="28">
        <f t="shared" si="213"/>
        <v>0</v>
      </c>
      <c r="AD253" s="28">
        <f t="shared" si="214"/>
        <v>0</v>
      </c>
      <c r="AE253" s="28">
        <f t="shared" si="215"/>
        <v>0</v>
      </c>
      <c r="AF253" s="28">
        <f t="shared" si="216"/>
        <v>0</v>
      </c>
      <c r="AI253" s="32">
        <f t="shared" si="217"/>
        <v>0</v>
      </c>
      <c r="AJ253" s="32">
        <f t="shared" si="218"/>
        <v>0</v>
      </c>
      <c r="AK253" s="32">
        <f t="shared" si="219"/>
        <v>0</v>
      </c>
      <c r="AL253" s="32">
        <f t="shared" si="220"/>
        <v>0</v>
      </c>
      <c r="AM253" s="32"/>
      <c r="AN253" s="32">
        <f t="shared" si="221"/>
        <v>0</v>
      </c>
      <c r="AO253" s="32">
        <f t="shared" si="222"/>
        <v>0</v>
      </c>
      <c r="AP253" s="32">
        <f t="shared" si="223"/>
        <v>0</v>
      </c>
      <c r="AQ253" s="32">
        <f t="shared" si="165"/>
        <v>2</v>
      </c>
      <c r="AR253" s="44">
        <f t="shared" si="224"/>
        <v>4</v>
      </c>
      <c r="AS253" s="28">
        <f t="shared" si="225"/>
        <v>2</v>
      </c>
      <c r="AT253" s="32">
        <f t="shared" si="226"/>
        <v>0</v>
      </c>
      <c r="AU253" s="32">
        <f t="shared" si="227"/>
        <v>0</v>
      </c>
      <c r="AV253" s="32">
        <f t="shared" si="228"/>
        <v>0</v>
      </c>
      <c r="AX253" s="28">
        <f t="shared" si="229"/>
        <v>0</v>
      </c>
      <c r="AY253" s="28">
        <f t="shared" si="230"/>
        <v>0</v>
      </c>
      <c r="AZ253" s="28">
        <f t="shared" si="231"/>
        <v>0</v>
      </c>
      <c r="BA253" s="28">
        <f t="shared" si="232"/>
        <v>0</v>
      </c>
      <c r="CB253" s="31"/>
      <c r="CG253" s="31"/>
    </row>
    <row r="254" spans="1:85" ht="12.75" customHeight="1" x14ac:dyDescent="0.2">
      <c r="A254" s="28">
        <f t="shared" si="169"/>
        <v>0</v>
      </c>
      <c r="B254" s="152"/>
      <c r="C254" s="427" t="s">
        <v>363</v>
      </c>
      <c r="D254" s="431"/>
      <c r="E254" s="223"/>
      <c r="F254" s="223"/>
      <c r="G254" s="365"/>
      <c r="H254" s="432"/>
      <c r="I254" s="365"/>
      <c r="J254" s="365"/>
      <c r="K254" s="223"/>
      <c r="L254" s="405">
        <f t="shared" si="203"/>
        <v>0</v>
      </c>
      <c r="M254" s="433">
        <f t="shared" si="204"/>
        <v>0</v>
      </c>
      <c r="N254" s="405">
        <f t="shared" si="205"/>
        <v>0</v>
      </c>
      <c r="O254" s="425"/>
      <c r="P254" s="50" t="str">
        <f t="shared" si="170"/>
        <v/>
      </c>
      <c r="Q254" s="50"/>
      <c r="R254" s="3"/>
      <c r="S254" s="28">
        <f t="shared" si="206"/>
        <v>0</v>
      </c>
      <c r="U254" s="30">
        <f t="shared" si="168"/>
        <v>50</v>
      </c>
      <c r="V254" s="40">
        <v>50</v>
      </c>
      <c r="W254" s="32">
        <f t="shared" si="207"/>
        <v>0</v>
      </c>
      <c r="X254" s="28">
        <f t="shared" si="208"/>
        <v>0</v>
      </c>
      <c r="Y254" s="28">
        <f t="shared" si="209"/>
        <v>0</v>
      </c>
      <c r="Z254" s="28">
        <f t="shared" si="210"/>
        <v>0</v>
      </c>
      <c r="AA254" s="28">
        <f t="shared" si="211"/>
        <v>0</v>
      </c>
      <c r="AB254" s="28">
        <f t="shared" si="212"/>
        <v>0</v>
      </c>
      <c r="AC254" s="28">
        <f t="shared" si="213"/>
        <v>0</v>
      </c>
      <c r="AD254" s="28">
        <f t="shared" si="214"/>
        <v>0</v>
      </c>
      <c r="AE254" s="28">
        <f t="shared" si="215"/>
        <v>0</v>
      </c>
      <c r="AF254" s="28">
        <f t="shared" si="216"/>
        <v>0</v>
      </c>
      <c r="AI254" s="32">
        <f t="shared" si="217"/>
        <v>0</v>
      </c>
      <c r="AJ254" s="32">
        <f t="shared" si="218"/>
        <v>0</v>
      </c>
      <c r="AK254" s="32">
        <f t="shared" si="219"/>
        <v>0</v>
      </c>
      <c r="AL254" s="32">
        <f t="shared" si="220"/>
        <v>0</v>
      </c>
      <c r="AM254" s="32"/>
      <c r="AN254" s="32">
        <f t="shared" si="221"/>
        <v>0</v>
      </c>
      <c r="AO254" s="32">
        <f t="shared" si="222"/>
        <v>0</v>
      </c>
      <c r="AP254" s="32">
        <f t="shared" si="223"/>
        <v>0</v>
      </c>
      <c r="AQ254" s="32">
        <f t="shared" si="165"/>
        <v>2</v>
      </c>
      <c r="AR254" s="44">
        <f t="shared" si="224"/>
        <v>4</v>
      </c>
      <c r="AS254" s="28">
        <f t="shared" si="225"/>
        <v>2</v>
      </c>
      <c r="AT254" s="32">
        <f t="shared" si="226"/>
        <v>0</v>
      </c>
      <c r="AU254" s="32">
        <f t="shared" si="227"/>
        <v>0</v>
      </c>
      <c r="AV254" s="32">
        <f t="shared" si="228"/>
        <v>0</v>
      </c>
      <c r="AX254" s="28">
        <f t="shared" si="229"/>
        <v>0</v>
      </c>
      <c r="AY254" s="28">
        <f t="shared" si="230"/>
        <v>0</v>
      </c>
      <c r="AZ254" s="28">
        <f t="shared" si="231"/>
        <v>0</v>
      </c>
      <c r="BA254" s="28">
        <f t="shared" si="232"/>
        <v>0</v>
      </c>
      <c r="CB254" s="31"/>
      <c r="CG254" s="31"/>
    </row>
    <row r="255" spans="1:85" ht="12.75" customHeight="1" x14ac:dyDescent="0.2">
      <c r="A255" s="28">
        <f t="shared" si="169"/>
        <v>0</v>
      </c>
      <c r="B255" s="152"/>
      <c r="C255" s="427" t="s">
        <v>363</v>
      </c>
      <c r="D255" s="431"/>
      <c r="E255" s="223"/>
      <c r="F255" s="223"/>
      <c r="G255" s="365"/>
      <c r="H255" s="432"/>
      <c r="I255" s="365"/>
      <c r="J255" s="365"/>
      <c r="K255" s="223"/>
      <c r="L255" s="405">
        <f t="shared" si="203"/>
        <v>0</v>
      </c>
      <c r="M255" s="433">
        <f t="shared" si="204"/>
        <v>0</v>
      </c>
      <c r="N255" s="405">
        <f t="shared" si="205"/>
        <v>0</v>
      </c>
      <c r="O255" s="425"/>
      <c r="P255" s="50" t="str">
        <f t="shared" si="170"/>
        <v/>
      </c>
      <c r="Q255" s="50"/>
      <c r="R255" s="3"/>
      <c r="S255" s="28">
        <f t="shared" si="206"/>
        <v>0</v>
      </c>
      <c r="U255" s="30">
        <f t="shared" si="168"/>
        <v>50</v>
      </c>
      <c r="V255" s="40">
        <v>50</v>
      </c>
      <c r="W255" s="32">
        <f t="shared" si="207"/>
        <v>0</v>
      </c>
      <c r="X255" s="28">
        <f t="shared" si="208"/>
        <v>0</v>
      </c>
      <c r="Y255" s="28">
        <f t="shared" si="209"/>
        <v>0</v>
      </c>
      <c r="Z255" s="28">
        <f t="shared" si="210"/>
        <v>0</v>
      </c>
      <c r="AA255" s="28">
        <f t="shared" si="211"/>
        <v>0</v>
      </c>
      <c r="AB255" s="28">
        <f t="shared" si="212"/>
        <v>0</v>
      </c>
      <c r="AC255" s="28">
        <f t="shared" si="213"/>
        <v>0</v>
      </c>
      <c r="AD255" s="28">
        <f t="shared" si="214"/>
        <v>0</v>
      </c>
      <c r="AE255" s="28">
        <f t="shared" si="215"/>
        <v>0</v>
      </c>
      <c r="AF255" s="28">
        <f t="shared" si="216"/>
        <v>0</v>
      </c>
      <c r="AI255" s="32">
        <f t="shared" si="217"/>
        <v>0</v>
      </c>
      <c r="AJ255" s="32">
        <f t="shared" si="218"/>
        <v>0</v>
      </c>
      <c r="AK255" s="32">
        <f t="shared" si="219"/>
        <v>0</v>
      </c>
      <c r="AL255" s="32">
        <f t="shared" si="220"/>
        <v>0</v>
      </c>
      <c r="AM255" s="32"/>
      <c r="AN255" s="32">
        <f t="shared" si="221"/>
        <v>0</v>
      </c>
      <c r="AO255" s="32">
        <f t="shared" si="222"/>
        <v>0</v>
      </c>
      <c r="AP255" s="32">
        <f t="shared" si="223"/>
        <v>0</v>
      </c>
      <c r="AQ255" s="32">
        <f t="shared" si="165"/>
        <v>2</v>
      </c>
      <c r="AR255" s="44">
        <f t="shared" si="224"/>
        <v>4</v>
      </c>
      <c r="AS255" s="28">
        <f t="shared" si="225"/>
        <v>2</v>
      </c>
      <c r="AT255" s="32">
        <f t="shared" si="226"/>
        <v>0</v>
      </c>
      <c r="AU255" s="32">
        <f t="shared" si="227"/>
        <v>0</v>
      </c>
      <c r="AV255" s="32">
        <f t="shared" si="228"/>
        <v>0</v>
      </c>
      <c r="AX255" s="28">
        <f t="shared" si="229"/>
        <v>0</v>
      </c>
      <c r="AY255" s="28">
        <f t="shared" si="230"/>
        <v>0</v>
      </c>
      <c r="AZ255" s="28">
        <f t="shared" si="231"/>
        <v>0</v>
      </c>
      <c r="BA255" s="28">
        <f t="shared" si="232"/>
        <v>0</v>
      </c>
      <c r="CB255" s="31"/>
      <c r="CG255" s="31"/>
    </row>
    <row r="256" spans="1:85" ht="12.75" customHeight="1" x14ac:dyDescent="0.2">
      <c r="A256" s="28">
        <f t="shared" si="169"/>
        <v>0</v>
      </c>
      <c r="B256" s="152"/>
      <c r="C256" s="427" t="s">
        <v>363</v>
      </c>
      <c r="D256" s="431"/>
      <c r="E256" s="223"/>
      <c r="F256" s="223"/>
      <c r="G256" s="365"/>
      <c r="H256" s="432"/>
      <c r="I256" s="365"/>
      <c r="J256" s="365"/>
      <c r="K256" s="223"/>
      <c r="L256" s="405">
        <f t="shared" si="203"/>
        <v>0</v>
      </c>
      <c r="M256" s="433">
        <f t="shared" si="204"/>
        <v>0</v>
      </c>
      <c r="N256" s="405">
        <f t="shared" si="205"/>
        <v>0</v>
      </c>
      <c r="O256" s="425"/>
      <c r="P256" s="50" t="str">
        <f t="shared" si="170"/>
        <v/>
      </c>
      <c r="Q256" s="50"/>
      <c r="R256" s="3"/>
      <c r="S256" s="28">
        <f t="shared" si="206"/>
        <v>0</v>
      </c>
      <c r="U256" s="30">
        <f t="shared" si="168"/>
        <v>50</v>
      </c>
      <c r="V256" s="40">
        <v>50</v>
      </c>
      <c r="W256" s="32">
        <f t="shared" si="207"/>
        <v>0</v>
      </c>
      <c r="X256" s="28">
        <f t="shared" si="208"/>
        <v>0</v>
      </c>
      <c r="Y256" s="28">
        <f t="shared" si="209"/>
        <v>0</v>
      </c>
      <c r="Z256" s="28">
        <f t="shared" si="210"/>
        <v>0</v>
      </c>
      <c r="AA256" s="28">
        <f t="shared" si="211"/>
        <v>0</v>
      </c>
      <c r="AB256" s="28">
        <f t="shared" si="212"/>
        <v>0</v>
      </c>
      <c r="AC256" s="28">
        <f t="shared" si="213"/>
        <v>0</v>
      </c>
      <c r="AD256" s="28">
        <f t="shared" si="214"/>
        <v>0</v>
      </c>
      <c r="AE256" s="28">
        <f t="shared" si="215"/>
        <v>0</v>
      </c>
      <c r="AF256" s="28">
        <f t="shared" si="216"/>
        <v>0</v>
      </c>
      <c r="AI256" s="32">
        <f t="shared" si="217"/>
        <v>0</v>
      </c>
      <c r="AJ256" s="32">
        <f t="shared" si="218"/>
        <v>0</v>
      </c>
      <c r="AK256" s="32">
        <f t="shared" si="219"/>
        <v>0</v>
      </c>
      <c r="AL256" s="32">
        <f t="shared" si="220"/>
        <v>0</v>
      </c>
      <c r="AM256" s="32"/>
      <c r="AN256" s="32">
        <f t="shared" si="221"/>
        <v>0</v>
      </c>
      <c r="AO256" s="32">
        <f t="shared" si="222"/>
        <v>0</v>
      </c>
      <c r="AP256" s="32">
        <f t="shared" si="223"/>
        <v>0</v>
      </c>
      <c r="AQ256" s="32">
        <f t="shared" si="165"/>
        <v>2</v>
      </c>
      <c r="AR256" s="44">
        <f t="shared" si="224"/>
        <v>4</v>
      </c>
      <c r="AS256" s="28">
        <f t="shared" si="225"/>
        <v>2</v>
      </c>
      <c r="AT256" s="32">
        <f t="shared" si="226"/>
        <v>0</v>
      </c>
      <c r="AU256" s="32">
        <f t="shared" si="227"/>
        <v>0</v>
      </c>
      <c r="AV256" s="32">
        <f t="shared" si="228"/>
        <v>0</v>
      </c>
      <c r="AX256" s="28">
        <f t="shared" si="229"/>
        <v>0</v>
      </c>
      <c r="AY256" s="28">
        <f t="shared" si="230"/>
        <v>0</v>
      </c>
      <c r="AZ256" s="28">
        <f t="shared" si="231"/>
        <v>0</v>
      </c>
      <c r="BA256" s="28">
        <f t="shared" si="232"/>
        <v>0</v>
      </c>
      <c r="CB256" s="31"/>
      <c r="CG256" s="31"/>
    </row>
    <row r="257" spans="1:85" ht="12.75" customHeight="1" x14ac:dyDescent="0.2">
      <c r="A257" s="28">
        <f t="shared" si="169"/>
        <v>0</v>
      </c>
      <c r="B257" s="152"/>
      <c r="C257" s="427" t="s">
        <v>363</v>
      </c>
      <c r="D257" s="431"/>
      <c r="E257" s="223"/>
      <c r="F257" s="223"/>
      <c r="G257" s="365"/>
      <c r="H257" s="432"/>
      <c r="I257" s="365"/>
      <c r="J257" s="365"/>
      <c r="K257" s="223"/>
      <c r="L257" s="405">
        <f t="shared" si="203"/>
        <v>0</v>
      </c>
      <c r="M257" s="433">
        <f t="shared" si="204"/>
        <v>0</v>
      </c>
      <c r="N257" s="405">
        <f t="shared" si="205"/>
        <v>0</v>
      </c>
      <c r="O257" s="425"/>
      <c r="P257" s="50" t="str">
        <f t="shared" si="170"/>
        <v/>
      </c>
      <c r="Q257" s="50"/>
      <c r="R257" s="3"/>
      <c r="S257" s="28">
        <f t="shared" si="206"/>
        <v>0</v>
      </c>
      <c r="U257" s="30">
        <f t="shared" si="168"/>
        <v>50</v>
      </c>
      <c r="V257" s="40">
        <v>50</v>
      </c>
      <c r="W257" s="32">
        <f t="shared" si="207"/>
        <v>0</v>
      </c>
      <c r="X257" s="28">
        <f t="shared" si="208"/>
        <v>0</v>
      </c>
      <c r="Y257" s="28">
        <f t="shared" si="209"/>
        <v>0</v>
      </c>
      <c r="Z257" s="28">
        <f t="shared" si="210"/>
        <v>0</v>
      </c>
      <c r="AA257" s="28">
        <f t="shared" si="211"/>
        <v>0</v>
      </c>
      <c r="AB257" s="28">
        <f t="shared" si="212"/>
        <v>0</v>
      </c>
      <c r="AC257" s="28">
        <f t="shared" si="213"/>
        <v>0</v>
      </c>
      <c r="AD257" s="28">
        <f t="shared" si="214"/>
        <v>0</v>
      </c>
      <c r="AE257" s="28">
        <f t="shared" si="215"/>
        <v>0</v>
      </c>
      <c r="AF257" s="28">
        <f t="shared" si="216"/>
        <v>0</v>
      </c>
      <c r="AI257" s="32">
        <f t="shared" si="217"/>
        <v>0</v>
      </c>
      <c r="AJ257" s="32">
        <f t="shared" si="218"/>
        <v>0</v>
      </c>
      <c r="AK257" s="32">
        <f t="shared" si="219"/>
        <v>0</v>
      </c>
      <c r="AL257" s="32">
        <f t="shared" si="220"/>
        <v>0</v>
      </c>
      <c r="AM257" s="32"/>
      <c r="AN257" s="32">
        <f t="shared" si="221"/>
        <v>0</v>
      </c>
      <c r="AO257" s="32">
        <f t="shared" si="222"/>
        <v>0</v>
      </c>
      <c r="AP257" s="32">
        <f t="shared" si="223"/>
        <v>0</v>
      </c>
      <c r="AQ257" s="32">
        <f t="shared" si="165"/>
        <v>2</v>
      </c>
      <c r="AR257" s="44">
        <f t="shared" si="224"/>
        <v>4</v>
      </c>
      <c r="AS257" s="28">
        <f t="shared" si="225"/>
        <v>2</v>
      </c>
      <c r="AT257" s="32">
        <f t="shared" si="226"/>
        <v>0</v>
      </c>
      <c r="AU257" s="32">
        <f t="shared" si="227"/>
        <v>0</v>
      </c>
      <c r="AV257" s="32">
        <f t="shared" si="228"/>
        <v>0</v>
      </c>
      <c r="AX257" s="28">
        <f t="shared" si="229"/>
        <v>0</v>
      </c>
      <c r="AY257" s="28">
        <f t="shared" si="230"/>
        <v>0</v>
      </c>
      <c r="AZ257" s="28">
        <f t="shared" si="231"/>
        <v>0</v>
      </c>
      <c r="BA257" s="28">
        <f t="shared" si="232"/>
        <v>0</v>
      </c>
      <c r="CB257" s="31"/>
      <c r="CG257" s="31"/>
    </row>
    <row r="258" spans="1:85" ht="12.75" customHeight="1" x14ac:dyDescent="0.2">
      <c r="A258" s="28">
        <f t="shared" si="169"/>
        <v>0</v>
      </c>
      <c r="B258" s="152"/>
      <c r="C258" s="427" t="s">
        <v>363</v>
      </c>
      <c r="D258" s="431"/>
      <c r="E258" s="223"/>
      <c r="F258" s="223"/>
      <c r="G258" s="365"/>
      <c r="H258" s="432"/>
      <c r="I258" s="365"/>
      <c r="J258" s="365"/>
      <c r="K258" s="223"/>
      <c r="L258" s="405">
        <f t="shared" si="203"/>
        <v>0</v>
      </c>
      <c r="M258" s="433">
        <f t="shared" si="204"/>
        <v>0</v>
      </c>
      <c r="N258" s="405">
        <f t="shared" si="205"/>
        <v>0</v>
      </c>
      <c r="O258" s="425"/>
      <c r="P258" s="50" t="str">
        <f t="shared" si="170"/>
        <v/>
      </c>
      <c r="Q258" s="50"/>
      <c r="R258" s="3"/>
      <c r="S258" s="28">
        <f t="shared" si="206"/>
        <v>0</v>
      </c>
      <c r="U258" s="30">
        <f t="shared" si="168"/>
        <v>50</v>
      </c>
      <c r="V258" s="40">
        <v>50</v>
      </c>
      <c r="W258" s="32">
        <f t="shared" si="207"/>
        <v>0</v>
      </c>
      <c r="X258" s="28">
        <f t="shared" si="208"/>
        <v>0</v>
      </c>
      <c r="Y258" s="28">
        <f t="shared" si="209"/>
        <v>0</v>
      </c>
      <c r="Z258" s="28">
        <f t="shared" si="210"/>
        <v>0</v>
      </c>
      <c r="AA258" s="28">
        <f t="shared" si="211"/>
        <v>0</v>
      </c>
      <c r="AB258" s="28">
        <f t="shared" si="212"/>
        <v>0</v>
      </c>
      <c r="AC258" s="28">
        <f t="shared" si="213"/>
        <v>0</v>
      </c>
      <c r="AD258" s="28">
        <f t="shared" si="214"/>
        <v>0</v>
      </c>
      <c r="AE258" s="28">
        <f t="shared" si="215"/>
        <v>0</v>
      </c>
      <c r="AF258" s="28">
        <f t="shared" si="216"/>
        <v>0</v>
      </c>
      <c r="AI258" s="32">
        <f t="shared" si="217"/>
        <v>0</v>
      </c>
      <c r="AJ258" s="32">
        <f t="shared" si="218"/>
        <v>0</v>
      </c>
      <c r="AK258" s="32">
        <f t="shared" si="219"/>
        <v>0</v>
      </c>
      <c r="AL258" s="32">
        <f t="shared" si="220"/>
        <v>0</v>
      </c>
      <c r="AM258" s="32"/>
      <c r="AN258" s="32">
        <f t="shared" si="221"/>
        <v>0</v>
      </c>
      <c r="AO258" s="32">
        <f t="shared" si="222"/>
        <v>0</v>
      </c>
      <c r="AP258" s="32">
        <f t="shared" si="223"/>
        <v>0</v>
      </c>
      <c r="AQ258" s="32">
        <f t="shared" si="165"/>
        <v>2</v>
      </c>
      <c r="AR258" s="44">
        <f t="shared" si="224"/>
        <v>4</v>
      </c>
      <c r="AS258" s="28">
        <f t="shared" si="225"/>
        <v>2</v>
      </c>
      <c r="AT258" s="32">
        <f t="shared" si="226"/>
        <v>0</v>
      </c>
      <c r="AU258" s="32">
        <f t="shared" si="227"/>
        <v>0</v>
      </c>
      <c r="AV258" s="32">
        <f t="shared" si="228"/>
        <v>0</v>
      </c>
      <c r="AX258" s="28">
        <f t="shared" si="229"/>
        <v>0</v>
      </c>
      <c r="AY258" s="28">
        <f t="shared" si="230"/>
        <v>0</v>
      </c>
      <c r="AZ258" s="28">
        <f t="shared" si="231"/>
        <v>0</v>
      </c>
      <c r="BA258" s="28">
        <f t="shared" si="232"/>
        <v>0</v>
      </c>
      <c r="CB258" s="31"/>
      <c r="CG258" s="31"/>
    </row>
    <row r="259" spans="1:85" ht="12.75" customHeight="1" x14ac:dyDescent="0.2">
      <c r="A259" s="28">
        <f t="shared" si="169"/>
        <v>0</v>
      </c>
      <c r="B259" s="152"/>
      <c r="C259" s="427" t="s">
        <v>363</v>
      </c>
      <c r="D259" s="431"/>
      <c r="E259" s="223"/>
      <c r="F259" s="223"/>
      <c r="G259" s="365"/>
      <c r="H259" s="432"/>
      <c r="I259" s="365"/>
      <c r="J259" s="365"/>
      <c r="K259" s="223"/>
      <c r="L259" s="405">
        <f t="shared" si="203"/>
        <v>0</v>
      </c>
      <c r="M259" s="433">
        <f t="shared" si="204"/>
        <v>0</v>
      </c>
      <c r="N259" s="405">
        <f t="shared" si="205"/>
        <v>0</v>
      </c>
      <c r="O259" s="425"/>
      <c r="P259" s="50" t="str">
        <f t="shared" si="170"/>
        <v/>
      </c>
      <c r="Q259" s="50"/>
      <c r="R259" s="3"/>
      <c r="S259" s="28">
        <f t="shared" si="206"/>
        <v>0</v>
      </c>
      <c r="U259" s="30">
        <f t="shared" si="168"/>
        <v>50</v>
      </c>
      <c r="V259" s="40">
        <v>50</v>
      </c>
      <c r="W259" s="32">
        <f t="shared" si="207"/>
        <v>0</v>
      </c>
      <c r="X259" s="28">
        <f t="shared" si="208"/>
        <v>0</v>
      </c>
      <c r="Y259" s="28">
        <f t="shared" si="209"/>
        <v>0</v>
      </c>
      <c r="Z259" s="28">
        <f t="shared" si="210"/>
        <v>0</v>
      </c>
      <c r="AA259" s="28">
        <f t="shared" si="211"/>
        <v>0</v>
      </c>
      <c r="AB259" s="28">
        <f t="shared" si="212"/>
        <v>0</v>
      </c>
      <c r="AC259" s="28">
        <f t="shared" si="213"/>
        <v>0</v>
      </c>
      <c r="AD259" s="28">
        <f t="shared" si="214"/>
        <v>0</v>
      </c>
      <c r="AE259" s="28">
        <f t="shared" si="215"/>
        <v>0</v>
      </c>
      <c r="AF259" s="28">
        <f t="shared" si="216"/>
        <v>0</v>
      </c>
      <c r="AI259" s="32">
        <f t="shared" si="217"/>
        <v>0</v>
      </c>
      <c r="AJ259" s="32">
        <f t="shared" si="218"/>
        <v>0</v>
      </c>
      <c r="AK259" s="32">
        <f t="shared" si="219"/>
        <v>0</v>
      </c>
      <c r="AL259" s="32">
        <f t="shared" si="220"/>
        <v>0</v>
      </c>
      <c r="AM259" s="32"/>
      <c r="AN259" s="32">
        <f t="shared" si="221"/>
        <v>0</v>
      </c>
      <c r="AO259" s="32">
        <f t="shared" si="222"/>
        <v>0</v>
      </c>
      <c r="AP259" s="32">
        <f t="shared" si="223"/>
        <v>0</v>
      </c>
      <c r="AQ259" s="32">
        <f t="shared" si="165"/>
        <v>2</v>
      </c>
      <c r="AR259" s="44">
        <f t="shared" si="224"/>
        <v>4</v>
      </c>
      <c r="AS259" s="28">
        <f t="shared" si="225"/>
        <v>2</v>
      </c>
      <c r="AT259" s="32">
        <f t="shared" si="226"/>
        <v>0</v>
      </c>
      <c r="AU259" s="32">
        <f t="shared" si="227"/>
        <v>0</v>
      </c>
      <c r="AV259" s="32">
        <f t="shared" si="228"/>
        <v>0</v>
      </c>
      <c r="AX259" s="28">
        <f t="shared" si="229"/>
        <v>0</v>
      </c>
      <c r="AY259" s="28">
        <f t="shared" si="230"/>
        <v>0</v>
      </c>
      <c r="AZ259" s="28">
        <f t="shared" si="231"/>
        <v>0</v>
      </c>
      <c r="BA259" s="28">
        <f t="shared" si="232"/>
        <v>0</v>
      </c>
      <c r="CB259" s="31"/>
      <c r="CG259" s="31"/>
    </row>
    <row r="260" spans="1:85" ht="12.75" customHeight="1" x14ac:dyDescent="0.2">
      <c r="A260" s="28">
        <f>IF(AX260=AX228,0,AX260)</f>
      </c>
      <c r="B260" s="152"/>
      <c r="C260" s="427" t="s">
        <v>363</v>
      </c>
      <c r="D260" s="431"/>
      <c r="E260" s="223"/>
      <c r="F260" s="223"/>
      <c r="G260" s="365"/>
      <c r="H260" s="432"/>
      <c r="I260" s="365"/>
      <c r="J260" s="365"/>
      <c r="K260" s="223"/>
      <c r="L260" s="405">
        <f t="shared" si="203"/>
        <v>0</v>
      </c>
      <c r="M260" s="433">
        <f t="shared" si="204"/>
        <v>0</v>
      </c>
      <c r="N260" s="405">
        <f t="shared" si="205"/>
        <v>0</v>
      </c>
      <c r="O260" s="425"/>
      <c r="P260" s="50" t="str">
        <f t="shared" ref="P260:P270" si="233">IF(B260="","",IF(C260="",$AA$1,""))</f>
        <v/>
      </c>
      <c r="Q260" s="50"/>
      <c r="R260" s="3"/>
      <c r="S260" s="28">
        <f t="shared" si="206"/>
        <v>0</v>
      </c>
      <c r="U260" s="30">
        <f t="shared" si="168"/>
        <v>50</v>
      </c>
      <c r="V260" s="40">
        <v>50</v>
      </c>
      <c r="W260" s="32">
        <f t="shared" si="207"/>
        <v>0</v>
      </c>
      <c r="X260" s="28">
        <f t="shared" si="208"/>
        <v>0</v>
      </c>
      <c r="Y260" s="28">
        <f t="shared" si="209"/>
        <v>0</v>
      </c>
      <c r="Z260" s="28">
        <f t="shared" si="210"/>
        <v>0</v>
      </c>
      <c r="AA260" s="28">
        <f t="shared" si="211"/>
        <v>0</v>
      </c>
      <c r="AB260" s="28">
        <f t="shared" si="212"/>
        <v>0</v>
      </c>
      <c r="AC260" s="28">
        <f t="shared" si="213"/>
        <v>0</v>
      </c>
      <c r="AD260" s="28">
        <f t="shared" si="214"/>
        <v>0</v>
      </c>
      <c r="AE260" s="28">
        <f t="shared" si="215"/>
        <v>0</v>
      </c>
      <c r="AF260" s="28">
        <f t="shared" si="216"/>
        <v>0</v>
      </c>
      <c r="AI260" s="32">
        <f t="shared" si="217"/>
        <v>0</v>
      </c>
      <c r="AJ260" s="32">
        <f t="shared" si="218"/>
        <v>0</v>
      </c>
      <c r="AK260" s="32">
        <f t="shared" si="219"/>
        <v>0</v>
      </c>
      <c r="AL260" s="32">
        <f t="shared" si="220"/>
        <v>0</v>
      </c>
      <c r="AM260" s="32"/>
      <c r="AN260" s="32">
        <f t="shared" si="221"/>
        <v>0</v>
      </c>
      <c r="AO260" s="32">
        <f t="shared" si="222"/>
        <v>0</v>
      </c>
      <c r="AP260" s="32">
        <f t="shared" si="223"/>
        <v>0</v>
      </c>
      <c r="AQ260" s="32">
        <f t="shared" si="165"/>
        <v>2</v>
      </c>
      <c r="AR260" s="44">
        <f t="shared" si="224"/>
        <v>4</v>
      </c>
      <c r="AS260" s="28">
        <f t="shared" si="225"/>
        <v>2</v>
      </c>
      <c r="AT260" s="32">
        <f t="shared" si="226"/>
        <v>0</v>
      </c>
      <c r="AU260" s="32">
        <f t="shared" si="227"/>
        <v>0</v>
      </c>
      <c r="AV260" s="32">
        <f t="shared" si="228"/>
        <v>0</v>
      </c>
      <c r="AX260" s="28">
        <f t="shared" si="229"/>
        <v>0</v>
      </c>
      <c r="AY260" s="28">
        <f t="shared" si="230"/>
        <v>0</v>
      </c>
      <c r="AZ260" s="28">
        <f t="shared" si="231"/>
        <v>0</v>
      </c>
      <c r="BA260" s="28">
        <f t="shared" si="232"/>
        <v>0</v>
      </c>
      <c r="CB260" s="31"/>
      <c r="CG260" s="31"/>
    </row>
    <row r="261" spans="1:85" ht="12.75" customHeight="1" x14ac:dyDescent="0.2">
      <c r="A261" s="28">
        <f t="shared" ref="A261:A270" si="234">IF(AX261=AX260,0,AX261)</f>
      </c>
      <c r="B261" s="152"/>
      <c r="C261" s="427" t="s">
        <v>363</v>
      </c>
      <c r="D261" s="431"/>
      <c r="E261" s="223"/>
      <c r="F261" s="223"/>
      <c r="G261" s="365"/>
      <c r="H261" s="432"/>
      <c r="I261" s="365"/>
      <c r="J261" s="365"/>
      <c r="K261" s="223"/>
      <c r="L261" s="405">
        <f t="shared" si="203"/>
        <v>0</v>
      </c>
      <c r="M261" s="433">
        <f t="shared" si="204"/>
        <v>0</v>
      </c>
      <c r="N261" s="405">
        <f t="shared" si="205"/>
        <v>0</v>
      </c>
      <c r="O261" s="425"/>
      <c r="P261" s="50" t="str">
        <f t="shared" si="233"/>
        <v/>
      </c>
      <c r="Q261" s="50"/>
      <c r="R261" s="3"/>
      <c r="S261" s="28">
        <f t="shared" si="206"/>
        <v>0</v>
      </c>
      <c r="U261" s="30">
        <f t="shared" si="168"/>
        <v>50</v>
      </c>
      <c r="V261" s="40">
        <v>50</v>
      </c>
      <c r="W261" s="32">
        <f t="shared" si="207"/>
        <v>0</v>
      </c>
      <c r="X261" s="28">
        <f t="shared" si="208"/>
        <v>0</v>
      </c>
      <c r="Y261" s="28">
        <f t="shared" si="209"/>
        <v>0</v>
      </c>
      <c r="Z261" s="28">
        <f t="shared" si="210"/>
        <v>0</v>
      </c>
      <c r="AA261" s="28">
        <f t="shared" si="211"/>
        <v>0</v>
      </c>
      <c r="AB261" s="28">
        <f t="shared" si="212"/>
        <v>0</v>
      </c>
      <c r="AC261" s="28">
        <f t="shared" si="213"/>
        <v>0</v>
      </c>
      <c r="AD261" s="28">
        <f t="shared" si="214"/>
        <v>0</v>
      </c>
      <c r="AE261" s="28">
        <f t="shared" si="215"/>
        <v>0</v>
      </c>
      <c r="AF261" s="28">
        <f t="shared" si="216"/>
        <v>0</v>
      </c>
      <c r="AI261" s="32">
        <f t="shared" si="217"/>
        <v>0</v>
      </c>
      <c r="AJ261" s="32">
        <f t="shared" si="218"/>
        <v>0</v>
      </c>
      <c r="AK261" s="32">
        <f t="shared" si="219"/>
        <v>0</v>
      </c>
      <c r="AL261" s="32">
        <f t="shared" si="220"/>
        <v>0</v>
      </c>
      <c r="AM261" s="32"/>
      <c r="AN261" s="32">
        <f t="shared" si="221"/>
        <v>0</v>
      </c>
      <c r="AO261" s="32">
        <f t="shared" si="222"/>
        <v>0</v>
      </c>
      <c r="AP261" s="32">
        <f t="shared" si="223"/>
        <v>0</v>
      </c>
      <c r="AQ261" s="32">
        <f t="shared" si="165"/>
        <v>2</v>
      </c>
      <c r="AR261" s="44">
        <f t="shared" si="224"/>
        <v>4</v>
      </c>
      <c r="AS261" s="28">
        <f t="shared" si="225"/>
        <v>2</v>
      </c>
      <c r="AT261" s="32">
        <f t="shared" si="226"/>
        <v>0</v>
      </c>
      <c r="AU261" s="32">
        <f t="shared" si="227"/>
        <v>0</v>
      </c>
      <c r="AV261" s="32">
        <f t="shared" si="228"/>
        <v>0</v>
      </c>
      <c r="AX261" s="28">
        <f t="shared" si="229"/>
        <v>0</v>
      </c>
      <c r="AY261" s="28">
        <f t="shared" si="230"/>
        <v>0</v>
      </c>
      <c r="AZ261" s="28">
        <f t="shared" si="231"/>
        <v>0</v>
      </c>
      <c r="BA261" s="28">
        <f t="shared" si="232"/>
        <v>0</v>
      </c>
      <c r="CB261" s="31"/>
      <c r="CG261" s="31"/>
    </row>
    <row r="262" spans="1:85" ht="12.75" customHeight="1" x14ac:dyDescent="0.2">
      <c r="A262" s="28">
        <f t="shared" si="234"/>
        <v>0</v>
      </c>
      <c r="B262" s="152"/>
      <c r="C262" s="427" t="s">
        <v>363</v>
      </c>
      <c r="D262" s="431"/>
      <c r="E262" s="223"/>
      <c r="F262" s="223"/>
      <c r="G262" s="365"/>
      <c r="H262" s="432"/>
      <c r="I262" s="365"/>
      <c r="J262" s="365"/>
      <c r="K262" s="223"/>
      <c r="L262" s="405">
        <f t="shared" si="203"/>
        <v>0</v>
      </c>
      <c r="M262" s="433">
        <f t="shared" si="204"/>
        <v>0</v>
      </c>
      <c r="N262" s="405">
        <f t="shared" si="205"/>
        <v>0</v>
      </c>
      <c r="O262" s="425"/>
      <c r="P262" s="50" t="str">
        <f t="shared" si="233"/>
        <v/>
      </c>
      <c r="Q262" s="50"/>
      <c r="R262" s="3"/>
      <c r="S262" s="28">
        <f t="shared" si="206"/>
        <v>0</v>
      </c>
      <c r="U262" s="30">
        <f t="shared" si="168"/>
        <v>50</v>
      </c>
      <c r="V262" s="40">
        <v>50</v>
      </c>
      <c r="W262" s="32">
        <f t="shared" si="207"/>
        <v>0</v>
      </c>
      <c r="X262" s="28">
        <f t="shared" si="208"/>
        <v>0</v>
      </c>
      <c r="Y262" s="28">
        <f t="shared" si="209"/>
        <v>0</v>
      </c>
      <c r="Z262" s="28">
        <f t="shared" si="210"/>
        <v>0</v>
      </c>
      <c r="AA262" s="28">
        <f t="shared" si="211"/>
        <v>0</v>
      </c>
      <c r="AB262" s="28">
        <f t="shared" si="212"/>
        <v>0</v>
      </c>
      <c r="AC262" s="28">
        <f t="shared" si="213"/>
        <v>0</v>
      </c>
      <c r="AD262" s="28">
        <f t="shared" si="214"/>
        <v>0</v>
      </c>
      <c r="AE262" s="28">
        <f t="shared" si="215"/>
        <v>0</v>
      </c>
      <c r="AF262" s="28">
        <f t="shared" si="216"/>
        <v>0</v>
      </c>
      <c r="AI262" s="32">
        <f t="shared" si="217"/>
        <v>0</v>
      </c>
      <c r="AJ262" s="32">
        <f t="shared" si="218"/>
        <v>0</v>
      </c>
      <c r="AK262" s="32">
        <f t="shared" si="219"/>
        <v>0</v>
      </c>
      <c r="AL262" s="32">
        <f t="shared" si="220"/>
        <v>0</v>
      </c>
      <c r="AM262" s="32"/>
      <c r="AN262" s="32">
        <f t="shared" si="221"/>
        <v>0</v>
      </c>
      <c r="AO262" s="32">
        <f t="shared" si="222"/>
        <v>0</v>
      </c>
      <c r="AP262" s="32">
        <f t="shared" si="223"/>
        <v>0</v>
      </c>
      <c r="AQ262" s="32">
        <f t="shared" si="165"/>
        <v>2</v>
      </c>
      <c r="AR262" s="44">
        <f t="shared" si="224"/>
        <v>4</v>
      </c>
      <c r="AS262" s="28">
        <f t="shared" si="225"/>
        <v>2</v>
      </c>
      <c r="AT262" s="32">
        <f t="shared" si="226"/>
        <v>0</v>
      </c>
      <c r="AU262" s="32">
        <f t="shared" si="227"/>
        <v>0</v>
      </c>
      <c r="AV262" s="32">
        <f t="shared" si="228"/>
        <v>0</v>
      </c>
      <c r="AX262" s="28">
        <f t="shared" si="229"/>
        <v>0</v>
      </c>
      <c r="AY262" s="28">
        <f t="shared" si="230"/>
        <v>0</v>
      </c>
      <c r="AZ262" s="28">
        <f t="shared" si="231"/>
        <v>0</v>
      </c>
      <c r="BA262" s="28">
        <f t="shared" si="232"/>
        <v>0</v>
      </c>
      <c r="CB262" s="31"/>
      <c r="CG262" s="31"/>
    </row>
    <row r="263" spans="1:85" ht="12.75" customHeight="1" x14ac:dyDescent="0.2">
      <c r="A263" s="28">
        <f t="shared" si="234"/>
        <v>0</v>
      </c>
      <c r="B263" s="152"/>
      <c r="C263" s="427" t="s">
        <v>363</v>
      </c>
      <c r="D263" s="431"/>
      <c r="E263" s="223"/>
      <c r="F263" s="223"/>
      <c r="G263" s="365"/>
      <c r="H263" s="432"/>
      <c r="I263" s="365"/>
      <c r="J263" s="365"/>
      <c r="K263" s="223"/>
      <c r="L263" s="405">
        <f t="shared" si="203"/>
        <v>0</v>
      </c>
      <c r="M263" s="433">
        <f t="shared" si="204"/>
        <v>0</v>
      </c>
      <c r="N263" s="405">
        <f t="shared" si="205"/>
        <v>0</v>
      </c>
      <c r="O263" s="425"/>
      <c r="P263" s="50" t="str">
        <f t="shared" si="233"/>
        <v/>
      </c>
      <c r="Q263" s="50"/>
      <c r="R263" s="3"/>
      <c r="S263" s="28">
        <f t="shared" si="206"/>
        <v>0</v>
      </c>
      <c r="U263" s="30">
        <f t="shared" si="168"/>
        <v>50</v>
      </c>
      <c r="V263" s="40">
        <v>50</v>
      </c>
      <c r="W263" s="32">
        <f t="shared" si="207"/>
        <v>0</v>
      </c>
      <c r="X263" s="28">
        <f t="shared" si="208"/>
        <v>0</v>
      </c>
      <c r="Y263" s="28">
        <f t="shared" si="209"/>
        <v>0</v>
      </c>
      <c r="Z263" s="28">
        <f t="shared" si="210"/>
        <v>0</v>
      </c>
      <c r="AA263" s="28">
        <f t="shared" si="211"/>
        <v>0</v>
      </c>
      <c r="AB263" s="28">
        <f t="shared" si="212"/>
        <v>0</v>
      </c>
      <c r="AC263" s="28">
        <f t="shared" si="213"/>
        <v>0</v>
      </c>
      <c r="AD263" s="28">
        <f t="shared" si="214"/>
        <v>0</v>
      </c>
      <c r="AE263" s="28">
        <f t="shared" si="215"/>
        <v>0</v>
      </c>
      <c r="AF263" s="28">
        <f t="shared" si="216"/>
        <v>0</v>
      </c>
      <c r="AI263" s="32">
        <f t="shared" si="217"/>
        <v>0</v>
      </c>
      <c r="AJ263" s="32">
        <f t="shared" si="218"/>
        <v>0</v>
      </c>
      <c r="AK263" s="32">
        <f t="shared" si="219"/>
        <v>0</v>
      </c>
      <c r="AL263" s="32">
        <f t="shared" si="220"/>
        <v>0</v>
      </c>
      <c r="AM263" s="32"/>
      <c r="AN263" s="32">
        <f t="shared" si="221"/>
        <v>0</v>
      </c>
      <c r="AO263" s="32">
        <f t="shared" si="222"/>
        <v>0</v>
      </c>
      <c r="AP263" s="32">
        <f t="shared" si="223"/>
        <v>0</v>
      </c>
      <c r="AQ263" s="32">
        <f t="shared" si="165"/>
        <v>2</v>
      </c>
      <c r="AR263" s="44">
        <f t="shared" si="224"/>
        <v>4</v>
      </c>
      <c r="AS263" s="28">
        <f t="shared" si="225"/>
        <v>2</v>
      </c>
      <c r="AT263" s="32">
        <f t="shared" si="226"/>
        <v>0</v>
      </c>
      <c r="AU263" s="32">
        <f t="shared" si="227"/>
        <v>0</v>
      </c>
      <c r="AV263" s="32">
        <f t="shared" si="228"/>
        <v>0</v>
      </c>
      <c r="AX263" s="28">
        <f t="shared" si="229"/>
        <v>0</v>
      </c>
      <c r="AY263" s="28">
        <f t="shared" si="230"/>
        <v>0</v>
      </c>
      <c r="AZ263" s="28">
        <f t="shared" si="231"/>
        <v>0</v>
      </c>
      <c r="BA263" s="28">
        <f t="shared" si="232"/>
        <v>0</v>
      </c>
      <c r="CB263" s="31"/>
      <c r="CG263" s="31"/>
    </row>
    <row r="264" spans="1:85" ht="12.75" customHeight="1" x14ac:dyDescent="0.2">
      <c r="A264" s="28">
        <f t="shared" si="234"/>
        <v>0</v>
      </c>
      <c r="B264" s="152"/>
      <c r="C264" s="427" t="s">
        <v>363</v>
      </c>
      <c r="D264" s="431"/>
      <c r="E264" s="223"/>
      <c r="F264" s="223"/>
      <c r="G264" s="365"/>
      <c r="H264" s="432"/>
      <c r="I264" s="365"/>
      <c r="J264" s="365"/>
      <c r="K264" s="223"/>
      <c r="L264" s="405">
        <f t="shared" si="203"/>
        <v>0</v>
      </c>
      <c r="M264" s="433">
        <f t="shared" si="204"/>
        <v>0</v>
      </c>
      <c r="N264" s="405">
        <f t="shared" si="205"/>
        <v>0</v>
      </c>
      <c r="O264" s="425"/>
      <c r="P264" s="50" t="str">
        <f t="shared" si="233"/>
        <v/>
      </c>
      <c r="Q264" s="50"/>
      <c r="R264" s="3"/>
      <c r="S264" s="28">
        <f t="shared" si="206"/>
        <v>0</v>
      </c>
      <c r="U264" s="30">
        <f t="shared" si="168"/>
        <v>50</v>
      </c>
      <c r="V264" s="40">
        <v>50</v>
      </c>
      <c r="W264" s="32">
        <f t="shared" si="207"/>
        <v>0</v>
      </c>
      <c r="X264" s="28">
        <f t="shared" si="208"/>
        <v>0</v>
      </c>
      <c r="Y264" s="28">
        <f t="shared" si="209"/>
        <v>0</v>
      </c>
      <c r="Z264" s="28">
        <f t="shared" si="210"/>
        <v>0</v>
      </c>
      <c r="AA264" s="28">
        <f t="shared" si="211"/>
        <v>0</v>
      </c>
      <c r="AB264" s="28">
        <f t="shared" si="212"/>
        <v>0</v>
      </c>
      <c r="AC264" s="28">
        <f t="shared" si="213"/>
        <v>0</v>
      </c>
      <c r="AD264" s="28">
        <f t="shared" si="214"/>
        <v>0</v>
      </c>
      <c r="AE264" s="28">
        <f t="shared" si="215"/>
        <v>0</v>
      </c>
      <c r="AF264" s="28">
        <f t="shared" si="216"/>
        <v>0</v>
      </c>
      <c r="AI264" s="32">
        <f t="shared" si="217"/>
        <v>0</v>
      </c>
      <c r="AJ264" s="32">
        <f t="shared" si="218"/>
        <v>0</v>
      </c>
      <c r="AK264" s="32">
        <f t="shared" si="219"/>
        <v>0</v>
      </c>
      <c r="AL264" s="32">
        <f t="shared" si="220"/>
        <v>0</v>
      </c>
      <c r="AM264" s="32"/>
      <c r="AN264" s="32">
        <f t="shared" si="221"/>
        <v>0</v>
      </c>
      <c r="AO264" s="32">
        <f t="shared" si="222"/>
        <v>0</v>
      </c>
      <c r="AP264" s="32">
        <f t="shared" si="223"/>
        <v>0</v>
      </c>
      <c r="AQ264" s="32">
        <f t="shared" si="165"/>
        <v>2</v>
      </c>
      <c r="AR264" s="44">
        <f t="shared" si="224"/>
        <v>4</v>
      </c>
      <c r="AS264" s="28">
        <f t="shared" si="225"/>
        <v>2</v>
      </c>
      <c r="AT264" s="32">
        <f t="shared" si="226"/>
        <v>0</v>
      </c>
      <c r="AU264" s="32">
        <f t="shared" si="227"/>
        <v>0</v>
      </c>
      <c r="AV264" s="32">
        <f t="shared" si="228"/>
        <v>0</v>
      </c>
      <c r="AX264" s="28">
        <f t="shared" si="229"/>
        <v>0</v>
      </c>
      <c r="AY264" s="28">
        <f t="shared" si="230"/>
        <v>0</v>
      </c>
      <c r="AZ264" s="28">
        <f t="shared" si="231"/>
        <v>0</v>
      </c>
      <c r="BA264" s="28">
        <f t="shared" si="232"/>
        <v>0</v>
      </c>
      <c r="CB264" s="31"/>
      <c r="CG264" s="31"/>
    </row>
    <row r="265" spans="1:85" ht="12.75" customHeight="1" x14ac:dyDescent="0.2">
      <c r="A265" s="28">
        <f t="shared" si="234"/>
        <v>0</v>
      </c>
      <c r="B265" s="152"/>
      <c r="C265" s="427" t="s">
        <v>363</v>
      </c>
      <c r="D265" s="431"/>
      <c r="E265" s="223"/>
      <c r="F265" s="223"/>
      <c r="G265" s="365"/>
      <c r="H265" s="432"/>
      <c r="I265" s="365"/>
      <c r="J265" s="365"/>
      <c r="K265" s="223"/>
      <c r="L265" s="405">
        <f t="shared" si="203"/>
        <v>0</v>
      </c>
      <c r="M265" s="433">
        <f t="shared" si="204"/>
        <v>0</v>
      </c>
      <c r="N265" s="405">
        <f t="shared" si="205"/>
        <v>0</v>
      </c>
      <c r="O265" s="425"/>
      <c r="P265" s="50" t="str">
        <f t="shared" si="233"/>
        <v/>
      </c>
      <c r="Q265" s="50"/>
      <c r="R265" s="3"/>
      <c r="S265" s="28">
        <f t="shared" si="206"/>
        <v>0</v>
      </c>
      <c r="U265" s="30">
        <f t="shared" si="168"/>
        <v>50</v>
      </c>
      <c r="V265" s="40">
        <v>50</v>
      </c>
      <c r="W265" s="32">
        <f t="shared" si="207"/>
        <v>0</v>
      </c>
      <c r="X265" s="28">
        <f t="shared" si="208"/>
        <v>0</v>
      </c>
      <c r="Y265" s="28">
        <f t="shared" si="209"/>
        <v>0</v>
      </c>
      <c r="Z265" s="28">
        <f t="shared" si="210"/>
        <v>0</v>
      </c>
      <c r="AA265" s="28">
        <f t="shared" si="211"/>
        <v>0</v>
      </c>
      <c r="AB265" s="28">
        <f t="shared" si="212"/>
        <v>0</v>
      </c>
      <c r="AC265" s="28">
        <f t="shared" si="213"/>
        <v>0</v>
      </c>
      <c r="AD265" s="28">
        <f t="shared" si="214"/>
        <v>0</v>
      </c>
      <c r="AE265" s="28">
        <f t="shared" si="215"/>
        <v>0</v>
      </c>
      <c r="AF265" s="28">
        <f t="shared" si="216"/>
        <v>0</v>
      </c>
      <c r="AI265" s="32">
        <f t="shared" si="217"/>
        <v>0</v>
      </c>
      <c r="AJ265" s="32">
        <f t="shared" si="218"/>
        <v>0</v>
      </c>
      <c r="AK265" s="32">
        <f t="shared" si="219"/>
        <v>0</v>
      </c>
      <c r="AL265" s="32">
        <f t="shared" si="220"/>
        <v>0</v>
      </c>
      <c r="AM265" s="32"/>
      <c r="AN265" s="32">
        <f t="shared" si="221"/>
        <v>0</v>
      </c>
      <c r="AO265" s="32">
        <f t="shared" si="222"/>
        <v>0</v>
      </c>
      <c r="AP265" s="32">
        <f t="shared" si="223"/>
        <v>0</v>
      </c>
      <c r="AQ265" s="32">
        <f t="shared" si="165"/>
        <v>2</v>
      </c>
      <c r="AR265" s="44">
        <f t="shared" si="224"/>
        <v>4</v>
      </c>
      <c r="AS265" s="28">
        <f t="shared" si="225"/>
        <v>2</v>
      </c>
      <c r="AT265" s="32">
        <f t="shared" si="226"/>
        <v>0</v>
      </c>
      <c r="AU265" s="32">
        <f t="shared" si="227"/>
        <v>0</v>
      </c>
      <c r="AV265" s="32">
        <f t="shared" si="228"/>
        <v>0</v>
      </c>
      <c r="AX265" s="28">
        <f t="shared" si="229"/>
        <v>0</v>
      </c>
      <c r="AY265" s="28">
        <f t="shared" si="230"/>
        <v>0</v>
      </c>
      <c r="AZ265" s="28">
        <f t="shared" si="231"/>
        <v>0</v>
      </c>
      <c r="BA265" s="28">
        <f t="shared" si="232"/>
        <v>0</v>
      </c>
      <c r="CB265" s="31"/>
      <c r="CG265" s="31"/>
    </row>
    <row r="266" spans="1:85" ht="12.75" customHeight="1" x14ac:dyDescent="0.2">
      <c r="A266" s="28">
        <f t="shared" si="234"/>
        <v>0</v>
      </c>
      <c r="B266" s="152"/>
      <c r="C266" s="427" t="s">
        <v>363</v>
      </c>
      <c r="D266" s="431"/>
      <c r="E266" s="223"/>
      <c r="F266" s="223"/>
      <c r="G266" s="365"/>
      <c r="H266" s="432"/>
      <c r="I266" s="365"/>
      <c r="J266" s="365"/>
      <c r="K266" s="223"/>
      <c r="L266" s="405">
        <f t="shared" si="203"/>
        <v>0</v>
      </c>
      <c r="M266" s="433">
        <f t="shared" si="204"/>
        <v>0</v>
      </c>
      <c r="N266" s="405">
        <f t="shared" si="205"/>
        <v>0</v>
      </c>
      <c r="O266" s="425"/>
      <c r="P266" s="50" t="str">
        <f t="shared" si="233"/>
        <v/>
      </c>
      <c r="Q266" s="50"/>
      <c r="R266" s="3"/>
      <c r="S266" s="28">
        <f t="shared" si="206"/>
        <v>0</v>
      </c>
      <c r="U266" s="30">
        <f t="shared" si="168"/>
        <v>50</v>
      </c>
      <c r="V266" s="40">
        <v>50</v>
      </c>
      <c r="W266" s="32">
        <f t="shared" si="207"/>
        <v>0</v>
      </c>
      <c r="X266" s="28">
        <f t="shared" si="208"/>
        <v>0</v>
      </c>
      <c r="Y266" s="28">
        <f t="shared" si="209"/>
        <v>0</v>
      </c>
      <c r="Z266" s="28">
        <f t="shared" si="210"/>
        <v>0</v>
      </c>
      <c r="AA266" s="28">
        <f t="shared" si="211"/>
        <v>0</v>
      </c>
      <c r="AB266" s="28">
        <f t="shared" si="212"/>
        <v>0</v>
      </c>
      <c r="AC266" s="28">
        <f t="shared" si="213"/>
        <v>0</v>
      </c>
      <c r="AD266" s="28">
        <f t="shared" si="214"/>
        <v>0</v>
      </c>
      <c r="AE266" s="28">
        <f t="shared" si="215"/>
        <v>0</v>
      </c>
      <c r="AF266" s="28">
        <f t="shared" si="216"/>
        <v>0</v>
      </c>
      <c r="AI266" s="32">
        <f t="shared" si="217"/>
        <v>0</v>
      </c>
      <c r="AJ266" s="32">
        <f t="shared" si="218"/>
        <v>0</v>
      </c>
      <c r="AK266" s="32">
        <f t="shared" si="219"/>
        <v>0</v>
      </c>
      <c r="AL266" s="32">
        <f t="shared" si="220"/>
        <v>0</v>
      </c>
      <c r="AM266" s="32"/>
      <c r="AN266" s="32">
        <f t="shared" si="221"/>
        <v>0</v>
      </c>
      <c r="AO266" s="32">
        <f t="shared" si="222"/>
        <v>0</v>
      </c>
      <c r="AP266" s="32">
        <f t="shared" si="223"/>
        <v>0</v>
      </c>
      <c r="AQ266" s="32">
        <f t="shared" si="165"/>
        <v>2</v>
      </c>
      <c r="AR266" s="44">
        <f t="shared" si="224"/>
        <v>4</v>
      </c>
      <c r="AS266" s="28">
        <f t="shared" si="225"/>
        <v>2</v>
      </c>
      <c r="AT266" s="32">
        <f t="shared" si="226"/>
        <v>0</v>
      </c>
      <c r="AU266" s="32">
        <f t="shared" si="227"/>
        <v>0</v>
      </c>
      <c r="AV266" s="32">
        <f t="shared" si="228"/>
        <v>0</v>
      </c>
      <c r="AX266" s="28">
        <f t="shared" si="229"/>
        <v>0</v>
      </c>
      <c r="AY266" s="28">
        <f t="shared" si="230"/>
        <v>0</v>
      </c>
      <c r="AZ266" s="28">
        <f t="shared" si="231"/>
        <v>0</v>
      </c>
      <c r="BA266" s="28">
        <f t="shared" si="232"/>
        <v>0</v>
      </c>
      <c r="CB266" s="31"/>
      <c r="CG266" s="31"/>
    </row>
    <row r="267" spans="1:85" ht="12.75" customHeight="1" x14ac:dyDescent="0.2">
      <c r="A267" s="28">
        <f t="shared" si="234"/>
        <v>0</v>
      </c>
      <c r="B267" s="152"/>
      <c r="C267" s="427" t="s">
        <v>363</v>
      </c>
      <c r="D267" s="431"/>
      <c r="E267" s="223"/>
      <c r="F267" s="223"/>
      <c r="G267" s="365"/>
      <c r="H267" s="432"/>
      <c r="I267" s="365"/>
      <c r="J267" s="365"/>
      <c r="K267" s="223"/>
      <c r="L267" s="405">
        <f t="shared" si="203"/>
        <v>0</v>
      </c>
      <c r="M267" s="433">
        <f t="shared" si="204"/>
        <v>0</v>
      </c>
      <c r="N267" s="405">
        <f t="shared" si="205"/>
        <v>0</v>
      </c>
      <c r="O267" s="425"/>
      <c r="P267" s="50" t="str">
        <f t="shared" si="233"/>
        <v/>
      </c>
      <c r="Q267" s="50"/>
      <c r="R267" s="3"/>
      <c r="S267" s="28">
        <f t="shared" si="206"/>
        <v>0</v>
      </c>
      <c r="U267" s="30">
        <f t="shared" si="168"/>
        <v>50</v>
      </c>
      <c r="V267" s="40">
        <v>50</v>
      </c>
      <c r="W267" s="32">
        <f t="shared" si="207"/>
        <v>0</v>
      </c>
      <c r="X267" s="28">
        <f t="shared" si="208"/>
        <v>0</v>
      </c>
      <c r="Y267" s="28">
        <f t="shared" si="209"/>
        <v>0</v>
      </c>
      <c r="Z267" s="28">
        <f t="shared" si="210"/>
        <v>0</v>
      </c>
      <c r="AA267" s="28">
        <f t="shared" si="211"/>
        <v>0</v>
      </c>
      <c r="AB267" s="28">
        <f t="shared" si="212"/>
        <v>0</v>
      </c>
      <c r="AC267" s="28">
        <f t="shared" si="213"/>
        <v>0</v>
      </c>
      <c r="AD267" s="28">
        <f t="shared" si="214"/>
        <v>0</v>
      </c>
      <c r="AE267" s="28">
        <f t="shared" si="215"/>
        <v>0</v>
      </c>
      <c r="AF267" s="28">
        <f t="shared" si="216"/>
        <v>0</v>
      </c>
      <c r="AI267" s="32">
        <f t="shared" si="217"/>
        <v>0</v>
      </c>
      <c r="AJ267" s="32">
        <f t="shared" si="218"/>
        <v>0</v>
      </c>
      <c r="AK267" s="32">
        <f t="shared" si="219"/>
        <v>0</v>
      </c>
      <c r="AL267" s="32">
        <f t="shared" si="220"/>
        <v>0</v>
      </c>
      <c r="AM267" s="32"/>
      <c r="AN267" s="32">
        <f t="shared" si="221"/>
        <v>0</v>
      </c>
      <c r="AO267" s="32">
        <f t="shared" si="222"/>
        <v>0</v>
      </c>
      <c r="AP267" s="32">
        <f t="shared" si="223"/>
        <v>0</v>
      </c>
      <c r="AQ267" s="32">
        <f t="shared" si="165"/>
        <v>2</v>
      </c>
      <c r="AR267" s="44">
        <f t="shared" si="224"/>
        <v>4</v>
      </c>
      <c r="AS267" s="28">
        <f t="shared" si="225"/>
        <v>2</v>
      </c>
      <c r="AT267" s="32">
        <f t="shared" si="226"/>
        <v>0</v>
      </c>
      <c r="AU267" s="32">
        <f t="shared" si="227"/>
        <v>0</v>
      </c>
      <c r="AV267" s="32">
        <f t="shared" si="228"/>
        <v>0</v>
      </c>
      <c r="AX267" s="28">
        <f t="shared" si="229"/>
        <v>0</v>
      </c>
      <c r="AY267" s="28">
        <f t="shared" si="230"/>
        <v>0</v>
      </c>
      <c r="AZ267" s="28">
        <f t="shared" si="231"/>
        <v>0</v>
      </c>
      <c r="BA267" s="28">
        <f t="shared" si="232"/>
        <v>0</v>
      </c>
      <c r="CB267" s="31"/>
      <c r="CG267" s="31"/>
    </row>
    <row r="268" spans="1:85" ht="12.75" customHeight="1" x14ac:dyDescent="0.2">
      <c r="A268" s="28">
        <f t="shared" si="234"/>
        <v>0</v>
      </c>
      <c r="B268" s="152"/>
      <c r="C268" s="427" t="s">
        <v>363</v>
      </c>
      <c r="D268" s="431"/>
      <c r="E268" s="223"/>
      <c r="F268" s="223"/>
      <c r="G268" s="365"/>
      <c r="H268" s="432"/>
      <c r="I268" s="365"/>
      <c r="J268" s="365"/>
      <c r="K268" s="223"/>
      <c r="L268" s="405">
        <f t="shared" si="203"/>
        <v>0</v>
      </c>
      <c r="M268" s="433">
        <f t="shared" si="204"/>
        <v>0</v>
      </c>
      <c r="N268" s="405">
        <f t="shared" si="205"/>
        <v>0</v>
      </c>
      <c r="O268" s="425"/>
      <c r="P268" s="50" t="str">
        <f t="shared" si="233"/>
        <v/>
      </c>
      <c r="Q268" s="50"/>
      <c r="R268" s="3"/>
      <c r="S268" s="28">
        <f t="shared" si="206"/>
        <v>0</v>
      </c>
      <c r="U268" s="30">
        <f t="shared" si="168"/>
        <v>50</v>
      </c>
      <c r="V268" s="40">
        <v>50</v>
      </c>
      <c r="W268" s="32">
        <f t="shared" si="207"/>
        <v>0</v>
      </c>
      <c r="X268" s="28">
        <f t="shared" si="208"/>
        <v>0</v>
      </c>
      <c r="Y268" s="28">
        <f t="shared" si="209"/>
        <v>0</v>
      </c>
      <c r="Z268" s="28">
        <f t="shared" si="210"/>
        <v>0</v>
      </c>
      <c r="AA268" s="28">
        <f t="shared" si="211"/>
        <v>0</v>
      </c>
      <c r="AB268" s="28">
        <f t="shared" si="212"/>
        <v>0</v>
      </c>
      <c r="AC268" s="28">
        <f t="shared" si="213"/>
        <v>0</v>
      </c>
      <c r="AD268" s="28">
        <f t="shared" si="214"/>
        <v>0</v>
      </c>
      <c r="AE268" s="28">
        <f t="shared" si="215"/>
        <v>0</v>
      </c>
      <c r="AF268" s="28">
        <f t="shared" si="216"/>
        <v>0</v>
      </c>
      <c r="AI268" s="32">
        <f t="shared" si="217"/>
        <v>0</v>
      </c>
      <c r="AJ268" s="32">
        <f t="shared" si="218"/>
        <v>0</v>
      </c>
      <c r="AK268" s="32">
        <f t="shared" si="219"/>
        <v>0</v>
      </c>
      <c r="AL268" s="32">
        <f t="shared" si="220"/>
        <v>0</v>
      </c>
      <c r="AM268" s="32"/>
      <c r="AN268" s="32">
        <f t="shared" si="221"/>
        <v>0</v>
      </c>
      <c r="AO268" s="32">
        <f t="shared" si="222"/>
        <v>0</v>
      </c>
      <c r="AP268" s="32">
        <f t="shared" si="223"/>
        <v>0</v>
      </c>
      <c r="AQ268" s="32">
        <f t="shared" si="165"/>
        <v>2</v>
      </c>
      <c r="AR268" s="44">
        <f t="shared" si="224"/>
        <v>4</v>
      </c>
      <c r="AS268" s="28">
        <f t="shared" si="225"/>
        <v>2</v>
      </c>
      <c r="AT268" s="32">
        <f t="shared" si="226"/>
        <v>0</v>
      </c>
      <c r="AU268" s="32">
        <f t="shared" si="227"/>
        <v>0</v>
      </c>
      <c r="AV268" s="32">
        <f t="shared" si="228"/>
        <v>0</v>
      </c>
      <c r="AX268" s="28">
        <f t="shared" si="229"/>
        <v>0</v>
      </c>
      <c r="AY268" s="28">
        <f t="shared" si="230"/>
        <v>0</v>
      </c>
      <c r="AZ268" s="28">
        <f t="shared" si="231"/>
        <v>0</v>
      </c>
      <c r="BA268" s="28">
        <f t="shared" si="232"/>
        <v>0</v>
      </c>
      <c r="CB268" s="31"/>
      <c r="CG268" s="31"/>
    </row>
    <row r="269" spans="1:85" ht="12.75" customHeight="1" x14ac:dyDescent="0.2">
      <c r="A269" s="28">
        <f t="shared" si="234"/>
        <v>0</v>
      </c>
      <c r="B269" s="152"/>
      <c r="C269" s="427" t="s">
        <v>363</v>
      </c>
      <c r="D269" s="431"/>
      <c r="E269" s="223"/>
      <c r="F269" s="223"/>
      <c r="G269" s="365"/>
      <c r="H269" s="432"/>
      <c r="I269" s="365"/>
      <c r="J269" s="365"/>
      <c r="K269" s="223"/>
      <c r="L269" s="405">
        <f t="shared" si="203"/>
        <v>0</v>
      </c>
      <c r="M269" s="433">
        <f t="shared" si="204"/>
        <v>0</v>
      </c>
      <c r="N269" s="405">
        <f t="shared" si="205"/>
        <v>0</v>
      </c>
      <c r="O269" s="425"/>
      <c r="P269" s="50" t="str">
        <f t="shared" si="233"/>
        <v/>
      </c>
      <c r="Q269" s="50"/>
      <c r="R269" s="3"/>
      <c r="S269" s="28">
        <f t="shared" si="206"/>
        <v>0</v>
      </c>
      <c r="U269" s="30">
        <f t="shared" si="168"/>
        <v>50</v>
      </c>
      <c r="V269" s="40">
        <v>50</v>
      </c>
      <c r="W269" s="32">
        <f t="shared" si="207"/>
        <v>0</v>
      </c>
      <c r="X269" s="28">
        <f t="shared" si="208"/>
        <v>0</v>
      </c>
      <c r="Y269" s="28">
        <f t="shared" si="209"/>
        <v>0</v>
      </c>
      <c r="Z269" s="28">
        <f t="shared" si="210"/>
        <v>0</v>
      </c>
      <c r="AA269" s="28">
        <f t="shared" si="211"/>
        <v>0</v>
      </c>
      <c r="AB269" s="28">
        <f t="shared" si="212"/>
        <v>0</v>
      </c>
      <c r="AC269" s="28">
        <f t="shared" si="213"/>
        <v>0</v>
      </c>
      <c r="AD269" s="28">
        <f t="shared" si="214"/>
        <v>0</v>
      </c>
      <c r="AE269" s="28">
        <f t="shared" si="215"/>
        <v>0</v>
      </c>
      <c r="AF269" s="28">
        <f t="shared" si="216"/>
        <v>0</v>
      </c>
      <c r="AI269" s="32">
        <f t="shared" si="217"/>
        <v>0</v>
      </c>
      <c r="AJ269" s="32">
        <f t="shared" si="218"/>
        <v>0</v>
      </c>
      <c r="AK269" s="32">
        <f t="shared" si="219"/>
        <v>0</v>
      </c>
      <c r="AL269" s="32">
        <f t="shared" si="220"/>
        <v>0</v>
      </c>
      <c r="AM269" s="32"/>
      <c r="AN269" s="32">
        <f t="shared" si="221"/>
        <v>0</v>
      </c>
      <c r="AO269" s="32">
        <f t="shared" si="222"/>
        <v>0</v>
      </c>
      <c r="AP269" s="32">
        <f t="shared" si="223"/>
        <v>0</v>
      </c>
      <c r="AQ269" s="32">
        <f t="shared" si="165"/>
        <v>2</v>
      </c>
      <c r="AR269" s="44">
        <f t="shared" si="224"/>
        <v>4</v>
      </c>
      <c r="AS269" s="28">
        <f t="shared" si="225"/>
        <v>2</v>
      </c>
      <c r="AT269" s="32">
        <f t="shared" si="226"/>
        <v>0</v>
      </c>
      <c r="AU269" s="32">
        <f t="shared" si="227"/>
        <v>0</v>
      </c>
      <c r="AV269" s="32">
        <f t="shared" si="228"/>
        <v>0</v>
      </c>
      <c r="AX269" s="28">
        <f t="shared" si="229"/>
        <v>0</v>
      </c>
      <c r="AY269" s="28">
        <f t="shared" si="230"/>
        <v>0</v>
      </c>
      <c r="AZ269" s="28">
        <f t="shared" si="231"/>
        <v>0</v>
      </c>
      <c r="BA269" s="28">
        <f t="shared" si="232"/>
        <v>0</v>
      </c>
      <c r="CB269" s="31"/>
      <c r="CG269" s="31"/>
    </row>
    <row r="270" spans="1:85" x14ac:dyDescent="0.2">
      <c r="A270" s="28">
        <f t="shared" si="234"/>
        <v>0</v>
      </c>
      <c r="B270" s="152"/>
      <c r="C270" s="427" t="s">
        <v>363</v>
      </c>
      <c r="D270" s="431"/>
      <c r="E270" s="223"/>
      <c r="F270" s="223"/>
      <c r="G270" s="365"/>
      <c r="H270" s="432"/>
      <c r="I270" s="365"/>
      <c r="J270" s="365"/>
      <c r="K270" s="223"/>
      <c r="L270" s="405">
        <f t="shared" si="203"/>
        <v>0</v>
      </c>
      <c r="M270" s="433">
        <f t="shared" si="204"/>
        <v>0</v>
      </c>
      <c r="N270" s="405">
        <f t="shared" si="205"/>
        <v>0</v>
      </c>
      <c r="O270" s="425"/>
      <c r="P270" s="50" t="str">
        <f t="shared" si="233"/>
        <v/>
      </c>
      <c r="Q270" s="50"/>
      <c r="R270" s="3"/>
      <c r="S270" s="28">
        <f t="shared" si="206"/>
        <v>0</v>
      </c>
      <c r="U270" s="30">
        <f t="shared" si="168"/>
        <v>50</v>
      </c>
      <c r="V270" s="40">
        <v>50</v>
      </c>
      <c r="W270" s="32">
        <f t="shared" si="207"/>
        <v>0</v>
      </c>
      <c r="X270" s="28">
        <f t="shared" si="208"/>
        <v>0</v>
      </c>
      <c r="Y270" s="28">
        <f t="shared" si="209"/>
        <v>0</v>
      </c>
      <c r="Z270" s="28">
        <f t="shared" si="210"/>
        <v>0</v>
      </c>
      <c r="AA270" s="28">
        <f t="shared" si="211"/>
        <v>0</v>
      </c>
      <c r="AB270" s="28">
        <f t="shared" si="212"/>
        <v>0</v>
      </c>
      <c r="AC270" s="28">
        <f t="shared" si="213"/>
        <v>0</v>
      </c>
      <c r="AD270" s="28">
        <f t="shared" si="214"/>
        <v>0</v>
      </c>
      <c r="AE270" s="28">
        <f t="shared" si="215"/>
        <v>0</v>
      </c>
      <c r="AF270" s="28">
        <f t="shared" si="216"/>
        <v>0</v>
      </c>
      <c r="AI270" s="32">
        <f t="shared" si="217"/>
        <v>0</v>
      </c>
      <c r="AJ270" s="32">
        <f t="shared" si="218"/>
        <v>0</v>
      </c>
      <c r="AK270" s="32">
        <f t="shared" si="219"/>
        <v>0</v>
      </c>
      <c r="AL270" s="32">
        <f t="shared" si="220"/>
        <v>0</v>
      </c>
      <c r="AM270" s="32"/>
      <c r="AN270" s="32">
        <f t="shared" si="221"/>
        <v>0</v>
      </c>
      <c r="AO270" s="32">
        <f t="shared" si="222"/>
        <v>0</v>
      </c>
      <c r="AP270" s="32">
        <f t="shared" si="223"/>
        <v>0</v>
      </c>
      <c r="AQ270" s="32">
        <f t="shared" si="165"/>
        <v>2</v>
      </c>
      <c r="AR270" s="44">
        <f t="shared" si="224"/>
        <v>4</v>
      </c>
      <c r="AS270" s="28">
        <f t="shared" si="225"/>
        <v>2</v>
      </c>
      <c r="AT270" s="32">
        <f t="shared" si="226"/>
        <v>0</v>
      </c>
      <c r="AU270" s="32">
        <f t="shared" si="227"/>
        <v>0</v>
      </c>
      <c r="AV270" s="32">
        <f t="shared" si="228"/>
        <v>0</v>
      </c>
      <c r="AX270" s="28">
        <f t="shared" si="229"/>
        <v>0</v>
      </c>
      <c r="AY270" s="28">
        <f t="shared" si="230"/>
        <v>0</v>
      </c>
      <c r="AZ270" s="28">
        <f t="shared" si="231"/>
        <v>0</v>
      </c>
      <c r="BA270" s="28">
        <f t="shared" si="232"/>
        <v>0</v>
      </c>
      <c r="CB270" s="31"/>
      <c r="CG270" s="31"/>
    </row>
    <row r="271" spans="1:85" hidden="1" x14ac:dyDescent="0.2">
      <c r="B271" s="3474"/>
      <c r="C271" s="3485"/>
      <c r="D271" s="3486"/>
      <c r="E271" s="3487"/>
      <c r="F271" s="3487"/>
      <c r="G271" s="3488"/>
      <c r="H271" s="3487"/>
      <c r="I271" s="3488"/>
      <c r="J271" s="3488"/>
      <c r="K271" s="3487"/>
      <c r="L271" s="394"/>
      <c r="M271" s="433"/>
      <c r="N271" s="3481"/>
      <c r="O271" s="425"/>
      <c r="P271" s="50"/>
      <c r="Q271" s="50"/>
      <c r="R271" s="3"/>
      <c r="U271" s="30"/>
      <c r="V271" s="40"/>
      <c r="W271" s="32"/>
      <c r="AI271" s="32"/>
      <c r="AJ271" s="32"/>
      <c r="AK271" s="32"/>
      <c r="AL271" s="32"/>
      <c r="AM271" s="32"/>
      <c r="AN271" s="32"/>
      <c r="AO271" s="32"/>
      <c r="AP271" s="32"/>
      <c r="AQ271" s="32"/>
      <c r="AR271" s="44"/>
      <c r="AT271" s="32"/>
      <c r="AU271" s="32"/>
      <c r="AV271" s="32"/>
      <c r="CB271" s="31"/>
      <c r="CG271" s="31"/>
    </row>
    <row r="272" spans="1:85" hidden="1" x14ac:dyDescent="0.2">
      <c r="B272" s="3474"/>
      <c r="C272" s="3485"/>
      <c r="D272" s="3486"/>
      <c r="E272" s="3487"/>
      <c r="F272" s="3487"/>
      <c r="G272" s="3488"/>
      <c r="H272" s="3487"/>
      <c r="I272" s="3488"/>
      <c r="J272" s="3488"/>
      <c r="K272" s="3487"/>
      <c r="L272" s="394"/>
      <c r="M272" s="433"/>
      <c r="N272" s="3481"/>
      <c r="O272" s="425"/>
      <c r="P272" s="50"/>
      <c r="Q272" s="50"/>
      <c r="R272" s="3"/>
      <c r="U272" s="30"/>
      <c r="V272" s="40"/>
      <c r="W272" s="32"/>
      <c r="AI272" s="32"/>
      <c r="AJ272" s="32"/>
      <c r="AK272" s="32"/>
      <c r="AL272" s="32"/>
      <c r="AM272" s="32"/>
      <c r="AN272" s="32"/>
      <c r="AO272" s="32"/>
      <c r="AP272" s="32"/>
      <c r="AQ272" s="32"/>
      <c r="AR272" s="44"/>
      <c r="AT272" s="32"/>
      <c r="AU272" s="32"/>
      <c r="AV272" s="32"/>
      <c r="CB272" s="31"/>
      <c r="CG272" s="31"/>
    </row>
    <row r="273" spans="2:85" hidden="1" x14ac:dyDescent="0.2">
      <c r="B273" s="3474"/>
      <c r="C273" s="3485"/>
      <c r="D273" s="3486"/>
      <c r="E273" s="3487"/>
      <c r="F273" s="3487"/>
      <c r="G273" s="3488"/>
      <c r="H273" s="3487"/>
      <c r="I273" s="3488"/>
      <c r="J273" s="3488"/>
      <c r="K273" s="3487"/>
      <c r="L273" s="394"/>
      <c r="M273" s="433"/>
      <c r="N273" s="3481"/>
      <c r="O273" s="425"/>
      <c r="P273" s="50"/>
      <c r="Q273" s="50"/>
      <c r="R273" s="3"/>
      <c r="U273" s="30"/>
      <c r="V273" s="40"/>
      <c r="W273" s="32"/>
      <c r="AI273" s="32"/>
      <c r="AJ273" s="32"/>
      <c r="AK273" s="32"/>
      <c r="AL273" s="32"/>
      <c r="AM273" s="32"/>
      <c r="AN273" s="32"/>
      <c r="AO273" s="32"/>
      <c r="AP273" s="32"/>
      <c r="AQ273" s="32"/>
      <c r="AR273" s="44"/>
      <c r="AT273" s="32"/>
      <c r="AU273" s="32"/>
      <c r="AV273" s="32"/>
      <c r="CB273" s="31"/>
      <c r="CG273" s="31"/>
    </row>
    <row r="274" spans="2:85" hidden="1" x14ac:dyDescent="0.2">
      <c r="B274" s="3474"/>
      <c r="C274" s="3485"/>
      <c r="D274" s="3486"/>
      <c r="E274" s="3487"/>
      <c r="F274" s="3487"/>
      <c r="G274" s="3488"/>
      <c r="H274" s="3487"/>
      <c r="I274" s="3488"/>
      <c r="J274" s="3488"/>
      <c r="K274" s="3487"/>
      <c r="L274" s="394"/>
      <c r="M274" s="433"/>
      <c r="N274" s="3481"/>
      <c r="O274" s="425"/>
      <c r="P274" s="50"/>
      <c r="Q274" s="50"/>
      <c r="R274" s="3"/>
      <c r="U274" s="30"/>
      <c r="V274" s="40"/>
      <c r="W274" s="32"/>
      <c r="AI274" s="32"/>
      <c r="AJ274" s="32"/>
      <c r="AK274" s="32"/>
      <c r="AL274" s="32"/>
      <c r="AM274" s="32"/>
      <c r="AN274" s="32"/>
      <c r="AO274" s="32"/>
      <c r="AP274" s="32"/>
      <c r="AQ274" s="32"/>
      <c r="AR274" s="44"/>
      <c r="AT274" s="32"/>
      <c r="AU274" s="32"/>
      <c r="AV274" s="32"/>
      <c r="CB274" s="31"/>
      <c r="CG274" s="31"/>
    </row>
    <row r="275" spans="2:85" hidden="1" x14ac:dyDescent="0.2">
      <c r="B275" s="3474"/>
      <c r="C275" s="3485"/>
      <c r="D275" s="3486"/>
      <c r="E275" s="3487"/>
      <c r="F275" s="3487"/>
      <c r="G275" s="3488"/>
      <c r="H275" s="3487"/>
      <c r="I275" s="3488"/>
      <c r="J275" s="3488"/>
      <c r="K275" s="3487"/>
      <c r="L275" s="394"/>
      <c r="M275" s="433"/>
      <c r="N275" s="3481"/>
      <c r="O275" s="425"/>
      <c r="P275" s="50"/>
      <c r="Q275" s="50"/>
      <c r="R275" s="3"/>
      <c r="U275" s="30"/>
      <c r="V275" s="40"/>
      <c r="W275" s="32"/>
      <c r="AI275" s="32"/>
      <c r="AJ275" s="32"/>
      <c r="AK275" s="32"/>
      <c r="AL275" s="32"/>
      <c r="AM275" s="32"/>
      <c r="AN275" s="32"/>
      <c r="AO275" s="32"/>
      <c r="AP275" s="32"/>
      <c r="AQ275" s="32"/>
      <c r="AR275" s="44"/>
      <c r="AT275" s="32"/>
      <c r="AU275" s="32"/>
      <c r="AV275" s="32"/>
      <c r="CB275" s="31"/>
      <c r="CG275" s="31"/>
    </row>
    <row r="276" spans="2:85" hidden="1" x14ac:dyDescent="0.2">
      <c r="B276" s="3474"/>
      <c r="C276" s="3485"/>
      <c r="D276" s="3486"/>
      <c r="E276" s="3487"/>
      <c r="F276" s="3487"/>
      <c r="G276" s="3488"/>
      <c r="H276" s="3487"/>
      <c r="I276" s="3488"/>
      <c r="J276" s="3488"/>
      <c r="K276" s="3487"/>
      <c r="L276" s="394"/>
      <c r="M276" s="433"/>
      <c r="N276" s="3481"/>
      <c r="O276" s="425"/>
      <c r="P276" s="50"/>
      <c r="Q276" s="50"/>
      <c r="R276" s="3"/>
      <c r="U276" s="30"/>
      <c r="V276" s="40"/>
      <c r="W276" s="32"/>
      <c r="AI276" s="32"/>
      <c r="AJ276" s="32"/>
      <c r="AK276" s="32"/>
      <c r="AL276" s="32"/>
      <c r="AM276" s="32"/>
      <c r="AN276" s="32"/>
      <c r="AO276" s="32"/>
      <c r="AP276" s="32"/>
      <c r="AQ276" s="32"/>
      <c r="AR276" s="44"/>
      <c r="AT276" s="32"/>
      <c r="AU276" s="32"/>
      <c r="AV276" s="32"/>
      <c r="CB276" s="31"/>
      <c r="CG276" s="31"/>
    </row>
    <row r="277" spans="2:85" hidden="1" x14ac:dyDescent="0.2">
      <c r="B277" s="3474"/>
      <c r="C277" s="3485"/>
      <c r="D277" s="3486"/>
      <c r="E277" s="3487"/>
      <c r="F277" s="3487"/>
      <c r="G277" s="3488"/>
      <c r="H277" s="3487"/>
      <c r="I277" s="3488"/>
      <c r="J277" s="3488"/>
      <c r="K277" s="3487"/>
      <c r="L277" s="394"/>
      <c r="M277" s="433"/>
      <c r="N277" s="3481"/>
      <c r="O277" s="425"/>
      <c r="P277" s="50"/>
      <c r="Q277" s="50"/>
      <c r="R277" s="3"/>
      <c r="U277" s="30"/>
      <c r="V277" s="40"/>
      <c r="W277" s="32"/>
      <c r="AI277" s="32"/>
      <c r="AJ277" s="32"/>
      <c r="AK277" s="32"/>
      <c r="AL277" s="32"/>
      <c r="AM277" s="32"/>
      <c r="AN277" s="32"/>
      <c r="AO277" s="32"/>
      <c r="AP277" s="32"/>
      <c r="AQ277" s="32"/>
      <c r="AR277" s="44"/>
      <c r="AT277" s="32"/>
      <c r="AU277" s="32"/>
      <c r="AV277" s="32"/>
      <c r="CB277" s="31"/>
      <c r="CG277" s="31"/>
    </row>
    <row r="278" spans="2:85" hidden="1" x14ac:dyDescent="0.2">
      <c r="B278" s="3474"/>
      <c r="C278" s="3485"/>
      <c r="D278" s="3486"/>
      <c r="E278" s="3487"/>
      <c r="F278" s="3487"/>
      <c r="G278" s="3488"/>
      <c r="H278" s="3487"/>
      <c r="I278" s="3488"/>
      <c r="J278" s="3488"/>
      <c r="K278" s="3487"/>
      <c r="L278" s="394"/>
      <c r="M278" s="433"/>
      <c r="N278" s="3481"/>
      <c r="O278" s="425"/>
      <c r="P278" s="50"/>
      <c r="Q278" s="50"/>
      <c r="R278" s="3"/>
      <c r="U278" s="30"/>
      <c r="V278" s="40"/>
      <c r="W278" s="32"/>
      <c r="AI278" s="32"/>
      <c r="AJ278" s="32"/>
      <c r="AK278" s="32"/>
      <c r="AL278" s="32"/>
      <c r="AM278" s="32"/>
      <c r="AN278" s="32"/>
      <c r="AO278" s="32"/>
      <c r="AP278" s="32"/>
      <c r="AQ278" s="32"/>
      <c r="AR278" s="44"/>
      <c r="AT278" s="32"/>
      <c r="AU278" s="32"/>
      <c r="AV278" s="32"/>
      <c r="CB278" s="31"/>
      <c r="CG278" s="31"/>
    </row>
    <row r="279" spans="2:85" hidden="1" x14ac:dyDescent="0.2">
      <c r="B279" s="3474"/>
      <c r="C279" s="3485"/>
      <c r="D279" s="3486"/>
      <c r="E279" s="3487"/>
      <c r="F279" s="3487"/>
      <c r="G279" s="3488"/>
      <c r="H279" s="3487"/>
      <c r="I279" s="3488"/>
      <c r="J279" s="3488"/>
      <c r="K279" s="3487"/>
      <c r="L279" s="394"/>
      <c r="M279" s="433"/>
      <c r="N279" s="3481"/>
      <c r="O279" s="425"/>
      <c r="P279" s="50"/>
      <c r="Q279" s="50"/>
      <c r="R279" s="3"/>
      <c r="U279" s="30"/>
      <c r="V279" s="40"/>
      <c r="W279" s="32"/>
      <c r="AI279" s="32"/>
      <c r="AJ279" s="32"/>
      <c r="AK279" s="32"/>
      <c r="AL279" s="32"/>
      <c r="AM279" s="32"/>
      <c r="AN279" s="32"/>
      <c r="AO279" s="32"/>
      <c r="AP279" s="32"/>
      <c r="AQ279" s="32"/>
      <c r="AR279" s="44"/>
      <c r="AT279" s="32"/>
      <c r="AU279" s="32"/>
      <c r="AV279" s="32"/>
      <c r="CB279" s="31"/>
      <c r="CG279" s="31"/>
    </row>
    <row r="280" spans="2:85" hidden="1" x14ac:dyDescent="0.2">
      <c r="B280" s="3474"/>
      <c r="C280" s="3485"/>
      <c r="D280" s="3486"/>
      <c r="E280" s="3487"/>
      <c r="F280" s="3487"/>
      <c r="G280" s="3488"/>
      <c r="H280" s="3487"/>
      <c r="I280" s="3488"/>
      <c r="J280" s="3488"/>
      <c r="K280" s="3487"/>
      <c r="L280" s="394"/>
      <c r="M280" s="433"/>
      <c r="N280" s="3481"/>
      <c r="O280" s="425"/>
      <c r="P280" s="50"/>
      <c r="Q280" s="50"/>
      <c r="R280" s="3"/>
      <c r="U280" s="30"/>
      <c r="V280" s="40"/>
      <c r="W280" s="32"/>
      <c r="AI280" s="32"/>
      <c r="AJ280" s="32"/>
      <c r="AK280" s="32"/>
      <c r="AL280" s="32"/>
      <c r="AM280" s="32"/>
      <c r="AN280" s="32"/>
      <c r="AO280" s="32"/>
      <c r="AP280" s="32"/>
      <c r="AQ280" s="32"/>
      <c r="AR280" s="44"/>
      <c r="AT280" s="32"/>
      <c r="AU280" s="32"/>
      <c r="AV280" s="32"/>
      <c r="CB280" s="31"/>
      <c r="CG280" s="31"/>
    </row>
    <row r="281" spans="2:85" hidden="1" x14ac:dyDescent="0.2">
      <c r="B281" s="3474"/>
      <c r="C281" s="3485"/>
      <c r="D281" s="3486"/>
      <c r="E281" s="3487"/>
      <c r="F281" s="3487"/>
      <c r="G281" s="3488"/>
      <c r="H281" s="3487"/>
      <c r="I281" s="3488"/>
      <c r="J281" s="3488"/>
      <c r="K281" s="3487"/>
      <c r="L281" s="394"/>
      <c r="M281" s="433"/>
      <c r="N281" s="3481"/>
      <c r="O281" s="425"/>
      <c r="P281" s="50"/>
      <c r="Q281" s="50"/>
      <c r="R281" s="3"/>
      <c r="U281" s="30"/>
      <c r="V281" s="40"/>
      <c r="W281" s="32"/>
      <c r="AI281" s="32"/>
      <c r="AJ281" s="32"/>
      <c r="AK281" s="32"/>
      <c r="AL281" s="32"/>
      <c r="AM281" s="32"/>
      <c r="AN281" s="32"/>
      <c r="AO281" s="32"/>
      <c r="AP281" s="32"/>
      <c r="AQ281" s="32"/>
      <c r="AR281" s="44"/>
      <c r="AT281" s="32"/>
      <c r="AU281" s="32"/>
      <c r="AV281" s="32"/>
      <c r="CB281" s="31"/>
      <c r="CG281" s="31"/>
    </row>
    <row r="282" spans="2:85" hidden="1" x14ac:dyDescent="0.2">
      <c r="B282" s="3474"/>
      <c r="C282" s="3485"/>
      <c r="D282" s="3486"/>
      <c r="E282" s="3487"/>
      <c r="F282" s="3487"/>
      <c r="G282" s="3488"/>
      <c r="H282" s="3487"/>
      <c r="I282" s="3488"/>
      <c r="J282" s="3488"/>
      <c r="K282" s="3487"/>
      <c r="L282" s="394"/>
      <c r="M282" s="433"/>
      <c r="N282" s="3481"/>
      <c r="O282" s="425"/>
      <c r="P282" s="50"/>
      <c r="Q282" s="50"/>
      <c r="R282" s="3"/>
      <c r="U282" s="30"/>
      <c r="V282" s="40"/>
      <c r="W282" s="32"/>
      <c r="AI282" s="32"/>
      <c r="AJ282" s="32"/>
      <c r="AK282" s="32"/>
      <c r="AL282" s="32"/>
      <c r="AM282" s="32"/>
      <c r="AN282" s="32"/>
      <c r="AO282" s="32"/>
      <c r="AP282" s="32"/>
      <c r="AQ282" s="32"/>
      <c r="AR282" s="44"/>
      <c r="AT282" s="32"/>
      <c r="AU282" s="32"/>
      <c r="AV282" s="32"/>
      <c r="CB282" s="31"/>
      <c r="CG282" s="31"/>
    </row>
    <row r="283" spans="2:85" hidden="1" x14ac:dyDescent="0.2">
      <c r="B283" s="3474"/>
      <c r="C283" s="3485"/>
      <c r="D283" s="3486"/>
      <c r="E283" s="3487"/>
      <c r="F283" s="3487"/>
      <c r="G283" s="3488"/>
      <c r="H283" s="3487"/>
      <c r="I283" s="3488"/>
      <c r="J283" s="3488"/>
      <c r="K283" s="3487"/>
      <c r="L283" s="394"/>
      <c r="M283" s="433"/>
      <c r="N283" s="3481"/>
      <c r="O283" s="425"/>
      <c r="P283" s="50"/>
      <c r="Q283" s="50"/>
      <c r="R283" s="3"/>
      <c r="U283" s="30"/>
      <c r="V283" s="40"/>
      <c r="W283" s="32"/>
      <c r="AI283" s="32"/>
      <c r="AJ283" s="32"/>
      <c r="AK283" s="32"/>
      <c r="AL283" s="32"/>
      <c r="AM283" s="32"/>
      <c r="AN283" s="32"/>
      <c r="AO283" s="32"/>
      <c r="AP283" s="32"/>
      <c r="AQ283" s="32"/>
      <c r="AR283" s="44"/>
      <c r="AT283" s="32"/>
      <c r="AU283" s="32"/>
      <c r="AV283" s="32"/>
      <c r="CB283" s="31"/>
      <c r="CG283" s="31"/>
    </row>
    <row r="284" spans="2:85" hidden="1" x14ac:dyDescent="0.2">
      <c r="B284" s="3474"/>
      <c r="C284" s="3485"/>
      <c r="D284" s="3486"/>
      <c r="E284" s="3487"/>
      <c r="F284" s="3487"/>
      <c r="G284" s="3488"/>
      <c r="H284" s="3487"/>
      <c r="I284" s="3488"/>
      <c r="J284" s="3488"/>
      <c r="K284" s="3487"/>
      <c r="L284" s="394"/>
      <c r="M284" s="433"/>
      <c r="N284" s="3481"/>
      <c r="O284" s="425"/>
      <c r="P284" s="50"/>
      <c r="Q284" s="50"/>
      <c r="R284" s="3"/>
      <c r="U284" s="30"/>
      <c r="V284" s="40"/>
      <c r="W284" s="32"/>
      <c r="AI284" s="32"/>
      <c r="AJ284" s="32"/>
      <c r="AK284" s="32"/>
      <c r="AL284" s="32"/>
      <c r="AM284" s="32"/>
      <c r="AN284" s="32"/>
      <c r="AO284" s="32"/>
      <c r="AP284" s="32"/>
      <c r="AQ284" s="32"/>
      <c r="AR284" s="44"/>
      <c r="AT284" s="32"/>
      <c r="AU284" s="32"/>
      <c r="AV284" s="32"/>
      <c r="CB284" s="31"/>
      <c r="CG284" s="31"/>
    </row>
    <row r="285" spans="2:85" hidden="1" x14ac:dyDescent="0.2">
      <c r="B285" s="3474"/>
      <c r="C285" s="3485"/>
      <c r="D285" s="3486"/>
      <c r="E285" s="3487"/>
      <c r="F285" s="3487"/>
      <c r="G285" s="3488"/>
      <c r="H285" s="3487"/>
      <c r="I285" s="3488"/>
      <c r="J285" s="3488"/>
      <c r="K285" s="3487"/>
      <c r="L285" s="394"/>
      <c r="M285" s="433"/>
      <c r="N285" s="3481"/>
      <c r="O285" s="425"/>
      <c r="P285" s="50"/>
      <c r="Q285" s="50"/>
      <c r="R285" s="3"/>
      <c r="U285" s="30"/>
      <c r="V285" s="40"/>
      <c r="W285" s="32"/>
      <c r="AI285" s="32"/>
      <c r="AJ285" s="32"/>
      <c r="AK285" s="32"/>
      <c r="AL285" s="32"/>
      <c r="AM285" s="32"/>
      <c r="AN285" s="32"/>
      <c r="AO285" s="32"/>
      <c r="AP285" s="32"/>
      <c r="AQ285" s="32"/>
      <c r="AR285" s="44"/>
      <c r="AT285" s="32"/>
      <c r="AU285" s="32"/>
      <c r="AV285" s="32"/>
      <c r="CB285" s="31"/>
      <c r="CG285" s="31"/>
    </row>
    <row r="286" spans="2:85" hidden="1" x14ac:dyDescent="0.2">
      <c r="B286" s="3474"/>
      <c r="C286" s="3485"/>
      <c r="D286" s="3486"/>
      <c r="E286" s="3487"/>
      <c r="F286" s="3487"/>
      <c r="G286" s="3488"/>
      <c r="H286" s="3487"/>
      <c r="I286" s="3488"/>
      <c r="J286" s="3488"/>
      <c r="K286" s="3487"/>
      <c r="L286" s="394"/>
      <c r="M286" s="433"/>
      <c r="N286" s="3481"/>
      <c r="O286" s="425"/>
      <c r="P286" s="50"/>
      <c r="Q286" s="50"/>
      <c r="R286" s="3"/>
      <c r="U286" s="30"/>
      <c r="V286" s="40"/>
      <c r="W286" s="32"/>
      <c r="AI286" s="32"/>
      <c r="AJ286" s="32"/>
      <c r="AK286" s="32"/>
      <c r="AL286" s="32"/>
      <c r="AM286" s="32"/>
      <c r="AN286" s="32"/>
      <c r="AO286" s="32"/>
      <c r="AP286" s="32"/>
      <c r="AQ286" s="32"/>
      <c r="AR286" s="44"/>
      <c r="AT286" s="32"/>
      <c r="AU286" s="32"/>
      <c r="AV286" s="32"/>
      <c r="CB286" s="31"/>
      <c r="CG286" s="31"/>
    </row>
    <row r="287" spans="2:85" hidden="1" x14ac:dyDescent="0.2">
      <c r="B287" s="3474"/>
      <c r="C287" s="3485"/>
      <c r="D287" s="3486"/>
      <c r="E287" s="3487"/>
      <c r="F287" s="3487"/>
      <c r="G287" s="3488"/>
      <c r="H287" s="3487"/>
      <c r="I287" s="3488"/>
      <c r="J287" s="3488"/>
      <c r="K287" s="3487"/>
      <c r="L287" s="394"/>
      <c r="M287" s="433"/>
      <c r="N287" s="3481"/>
      <c r="O287" s="425"/>
      <c r="P287" s="50"/>
      <c r="Q287" s="50"/>
      <c r="R287" s="3"/>
      <c r="U287" s="30"/>
      <c r="V287" s="40"/>
      <c r="W287" s="32"/>
      <c r="AI287" s="32"/>
      <c r="AJ287" s="32"/>
      <c r="AK287" s="32"/>
      <c r="AL287" s="32"/>
      <c r="AM287" s="32"/>
      <c r="AN287" s="32"/>
      <c r="AO287" s="32"/>
      <c r="AP287" s="32"/>
      <c r="AQ287" s="32"/>
      <c r="AR287" s="44"/>
      <c r="AT287" s="32"/>
      <c r="AU287" s="32"/>
      <c r="AV287" s="32"/>
      <c r="CB287" s="31"/>
      <c r="CG287" s="31"/>
    </row>
    <row r="288" spans="2:85" hidden="1" x14ac:dyDescent="0.2">
      <c r="B288" s="3474"/>
      <c r="C288" s="3485"/>
      <c r="D288" s="3486"/>
      <c r="E288" s="3487"/>
      <c r="F288" s="3487"/>
      <c r="G288" s="3488"/>
      <c r="H288" s="3487"/>
      <c r="I288" s="3488"/>
      <c r="J288" s="3488"/>
      <c r="K288" s="3487"/>
      <c r="L288" s="394"/>
      <c r="M288" s="433"/>
      <c r="N288" s="3481"/>
      <c r="O288" s="425"/>
      <c r="P288" s="50"/>
      <c r="Q288" s="50"/>
      <c r="R288" s="3"/>
      <c r="U288" s="30"/>
      <c r="V288" s="40"/>
      <c r="W288" s="32"/>
      <c r="AI288" s="32"/>
      <c r="AJ288" s="32"/>
      <c r="AK288" s="32"/>
      <c r="AL288" s="32"/>
      <c r="AM288" s="32"/>
      <c r="AN288" s="32"/>
      <c r="AO288" s="32"/>
      <c r="AP288" s="32"/>
      <c r="AQ288" s="32"/>
      <c r="AR288" s="44"/>
      <c r="AT288" s="32"/>
      <c r="AU288" s="32"/>
      <c r="AV288" s="32"/>
      <c r="CB288" s="31"/>
      <c r="CG288" s="31"/>
    </row>
    <row r="289" spans="2:93" hidden="1" x14ac:dyDescent="0.2">
      <c r="B289" s="3474"/>
      <c r="C289" s="3485"/>
      <c r="D289" s="3486"/>
      <c r="E289" s="3487"/>
      <c r="F289" s="3487"/>
      <c r="G289" s="3488"/>
      <c r="H289" s="3487"/>
      <c r="I289" s="3488"/>
      <c r="J289" s="3488"/>
      <c r="K289" s="3487"/>
      <c r="L289" s="394"/>
      <c r="M289" s="433"/>
      <c r="N289" s="3481"/>
      <c r="O289" s="425"/>
      <c r="P289" s="50"/>
      <c r="Q289" s="50"/>
      <c r="R289" s="3"/>
      <c r="U289" s="30"/>
      <c r="V289" s="40"/>
      <c r="W289" s="32"/>
      <c r="AI289" s="32"/>
      <c r="AJ289" s="32"/>
      <c r="AK289" s="32"/>
      <c r="AL289" s="32"/>
      <c r="AM289" s="32"/>
      <c r="AN289" s="32"/>
      <c r="AO289" s="32"/>
      <c r="AP289" s="32"/>
      <c r="AQ289" s="32"/>
      <c r="AR289" s="44"/>
      <c r="AT289" s="32"/>
      <c r="AU289" s="32"/>
      <c r="AV289" s="32"/>
      <c r="CB289" s="31"/>
      <c r="CG289" s="31"/>
    </row>
    <row r="290" spans="2:93" hidden="1" x14ac:dyDescent="0.2">
      <c r="B290" s="3474"/>
      <c r="C290" s="3485"/>
      <c r="D290" s="3486"/>
      <c r="E290" s="3487"/>
      <c r="F290" s="3487"/>
      <c r="G290" s="3488"/>
      <c r="H290" s="3487"/>
      <c r="I290" s="3488"/>
      <c r="J290" s="3488"/>
      <c r="K290" s="3487"/>
      <c r="L290" s="394"/>
      <c r="M290" s="433"/>
      <c r="N290" s="3481"/>
      <c r="O290" s="425"/>
      <c r="P290" s="50"/>
      <c r="Q290" s="50"/>
      <c r="R290" s="3"/>
      <c r="U290" s="30"/>
      <c r="V290" s="40"/>
      <c r="W290" s="32"/>
      <c r="AI290" s="32"/>
      <c r="AJ290" s="32"/>
      <c r="AK290" s="32"/>
      <c r="AL290" s="32"/>
      <c r="AM290" s="32"/>
      <c r="AN290" s="32"/>
      <c r="AO290" s="32"/>
      <c r="AP290" s="32"/>
      <c r="AQ290" s="32"/>
      <c r="AR290" s="44"/>
      <c r="AT290" s="32"/>
      <c r="AU290" s="32"/>
      <c r="AV290" s="32"/>
      <c r="CB290" s="31"/>
      <c r="CG290" s="31"/>
    </row>
    <row r="291" spans="2:93" hidden="1" x14ac:dyDescent="0.2">
      <c r="B291" s="3474"/>
      <c r="C291" s="3485"/>
      <c r="D291" s="3486"/>
      <c r="E291" s="3487"/>
      <c r="F291" s="3487"/>
      <c r="G291" s="3488"/>
      <c r="H291" s="3487"/>
      <c r="I291" s="3488"/>
      <c r="J291" s="3488"/>
      <c r="K291" s="3487"/>
      <c r="L291" s="394"/>
      <c r="M291" s="433"/>
      <c r="N291" s="3481"/>
      <c r="O291" s="425"/>
      <c r="P291" s="50"/>
      <c r="Q291" s="50"/>
      <c r="R291" s="3"/>
      <c r="U291" s="30"/>
      <c r="V291" s="40"/>
      <c r="W291" s="32"/>
      <c r="AI291" s="32"/>
      <c r="AJ291" s="32"/>
      <c r="AK291" s="32"/>
      <c r="AL291" s="32"/>
      <c r="AM291" s="32"/>
      <c r="AN291" s="32"/>
      <c r="AO291" s="32"/>
      <c r="AP291" s="32"/>
      <c r="AQ291" s="32"/>
      <c r="AR291" s="44"/>
      <c r="AT291" s="32"/>
      <c r="AU291" s="32"/>
      <c r="AV291" s="32"/>
      <c r="CB291" s="31"/>
      <c r="CG291" s="31"/>
    </row>
    <row r="292" spans="2:93" hidden="1" x14ac:dyDescent="0.2">
      <c r="B292" s="3474"/>
      <c r="C292" s="3485"/>
      <c r="D292" s="3486"/>
      <c r="E292" s="3487"/>
      <c r="F292" s="3487"/>
      <c r="G292" s="3488"/>
      <c r="H292" s="3487"/>
      <c r="I292" s="3488"/>
      <c r="J292" s="3488"/>
      <c r="K292" s="3487"/>
      <c r="L292" s="394"/>
      <c r="M292" s="433"/>
      <c r="N292" s="3481"/>
      <c r="O292" s="425"/>
      <c r="P292" s="50"/>
      <c r="Q292" s="50"/>
      <c r="R292" s="3"/>
      <c r="U292" s="30"/>
      <c r="V292" s="40"/>
      <c r="W292" s="32"/>
      <c r="AI292" s="32"/>
      <c r="AJ292" s="32"/>
      <c r="AK292" s="32"/>
      <c r="AL292" s="32"/>
      <c r="AM292" s="32"/>
      <c r="AN292" s="32"/>
      <c r="AO292" s="32"/>
      <c r="AP292" s="32"/>
      <c r="AQ292" s="32"/>
      <c r="AR292" s="44"/>
      <c r="AT292" s="32"/>
      <c r="AU292" s="32"/>
      <c r="AV292" s="32"/>
      <c r="CB292" s="31"/>
      <c r="CG292" s="31"/>
    </row>
    <row r="293" spans="2:93" hidden="1" x14ac:dyDescent="0.2">
      <c r="B293" s="3474"/>
      <c r="C293" s="3485"/>
      <c r="D293" s="3486"/>
      <c r="E293" s="3487"/>
      <c r="F293" s="3487"/>
      <c r="G293" s="3488"/>
      <c r="H293" s="3487"/>
      <c r="I293" s="3488"/>
      <c r="J293" s="3488"/>
      <c r="K293" s="3487"/>
      <c r="L293" s="394"/>
      <c r="M293" s="433"/>
      <c r="N293" s="3481"/>
      <c r="O293" s="425"/>
      <c r="P293" s="50"/>
      <c r="Q293" s="50"/>
      <c r="R293" s="3"/>
      <c r="U293" s="30"/>
      <c r="V293" s="40"/>
      <c r="W293" s="32"/>
      <c r="AI293" s="32"/>
      <c r="AJ293" s="32"/>
      <c r="AK293" s="32"/>
      <c r="AL293" s="32"/>
      <c r="AM293" s="32"/>
      <c r="AN293" s="32"/>
      <c r="AO293" s="32"/>
      <c r="AP293" s="32"/>
      <c r="AQ293" s="32"/>
      <c r="AR293" s="44"/>
      <c r="AT293" s="32"/>
      <c r="AU293" s="32"/>
      <c r="AV293" s="32"/>
      <c r="CB293" s="31"/>
      <c r="CG293" s="31"/>
    </row>
    <row r="294" spans="2:93" hidden="1" x14ac:dyDescent="0.2">
      <c r="B294" s="3474"/>
      <c r="C294" s="3485"/>
      <c r="D294" s="3486"/>
      <c r="E294" s="3487"/>
      <c r="F294" s="3487"/>
      <c r="G294" s="3488"/>
      <c r="H294" s="3487"/>
      <c r="I294" s="3488"/>
      <c r="J294" s="3488"/>
      <c r="K294" s="3487"/>
      <c r="L294" s="394"/>
      <c r="M294" s="433"/>
      <c r="N294" s="3481"/>
      <c r="O294" s="425"/>
      <c r="P294" s="50"/>
      <c r="Q294" s="50"/>
      <c r="R294" s="3"/>
      <c r="U294" s="30"/>
      <c r="V294" s="40"/>
      <c r="W294" s="32"/>
      <c r="AI294" s="32"/>
      <c r="AJ294" s="32"/>
      <c r="AK294" s="32"/>
      <c r="AL294" s="32"/>
      <c r="AM294" s="32"/>
      <c r="AN294" s="32"/>
      <c r="AO294" s="32"/>
      <c r="AP294" s="32"/>
      <c r="AQ294" s="32"/>
      <c r="AR294" s="44"/>
      <c r="AT294" s="32"/>
      <c r="AU294" s="32"/>
      <c r="AV294" s="32"/>
      <c r="CB294" s="31"/>
      <c r="CG294" s="31"/>
    </row>
    <row r="295" spans="2:93" hidden="1" x14ac:dyDescent="0.2">
      <c r="B295" s="3474"/>
      <c r="C295" s="3485"/>
      <c r="D295" s="3486"/>
      <c r="E295" s="3487"/>
      <c r="F295" s="3487"/>
      <c r="G295" s="3488"/>
      <c r="H295" s="3487"/>
      <c r="I295" s="3488"/>
      <c r="J295" s="3488"/>
      <c r="K295" s="3487"/>
      <c r="L295" s="394"/>
      <c r="M295" s="433"/>
      <c r="N295" s="3481"/>
      <c r="O295" s="425"/>
      <c r="P295" s="50"/>
      <c r="Q295" s="50"/>
      <c r="R295" s="3"/>
      <c r="U295" s="30"/>
      <c r="V295" s="40"/>
      <c r="W295" s="32"/>
      <c r="AI295" s="32"/>
      <c r="AJ295" s="32"/>
      <c r="AK295" s="32"/>
      <c r="AL295" s="32"/>
      <c r="AM295" s="32"/>
      <c r="AN295" s="32"/>
      <c r="AO295" s="32"/>
      <c r="AP295" s="32"/>
      <c r="AQ295" s="32"/>
      <c r="AR295" s="44"/>
      <c r="AT295" s="32"/>
      <c r="AU295" s="32"/>
      <c r="AV295" s="32"/>
      <c r="CB295" s="31"/>
      <c r="CG295" s="31"/>
    </row>
    <row r="296" spans="2:93" hidden="1" x14ac:dyDescent="0.2">
      <c r="B296" s="3474"/>
      <c r="C296" s="3485"/>
      <c r="D296" s="3486"/>
      <c r="E296" s="3487"/>
      <c r="F296" s="3487"/>
      <c r="G296" s="3488"/>
      <c r="H296" s="3487"/>
      <c r="I296" s="3488"/>
      <c r="J296" s="3488"/>
      <c r="K296" s="3487"/>
      <c r="L296" s="394"/>
      <c r="M296" s="433"/>
      <c r="N296" s="3481"/>
      <c r="O296" s="425"/>
      <c r="P296" s="50"/>
      <c r="Q296" s="50"/>
      <c r="R296" s="3"/>
      <c r="U296" s="30"/>
      <c r="V296" s="40"/>
      <c r="W296" s="32"/>
      <c r="AI296" s="32"/>
      <c r="AJ296" s="32"/>
      <c r="AK296" s="32"/>
      <c r="AL296" s="32"/>
      <c r="AM296" s="32"/>
      <c r="AN296" s="32"/>
      <c r="AO296" s="32"/>
      <c r="AP296" s="32"/>
      <c r="AQ296" s="32"/>
      <c r="AR296" s="44"/>
      <c r="AT296" s="32"/>
      <c r="AU296" s="32"/>
      <c r="AV296" s="32"/>
      <c r="CB296" s="31"/>
      <c r="CG296" s="31"/>
    </row>
    <row r="297" spans="2:93" hidden="1" x14ac:dyDescent="0.2">
      <c r="B297" s="3474"/>
      <c r="C297" s="3485"/>
      <c r="D297" s="3486"/>
      <c r="E297" s="3487"/>
      <c r="F297" s="3487"/>
      <c r="G297" s="3488"/>
      <c r="H297" s="3487"/>
      <c r="I297" s="3488"/>
      <c r="J297" s="3488"/>
      <c r="K297" s="3487"/>
      <c r="L297" s="394"/>
      <c r="M297" s="433"/>
      <c r="N297" s="3481"/>
      <c r="O297" s="425"/>
      <c r="P297" s="50"/>
      <c r="Q297" s="50"/>
      <c r="R297" s="3"/>
      <c r="U297" s="30"/>
      <c r="V297" s="40"/>
      <c r="W297" s="32"/>
      <c r="AI297" s="32"/>
      <c r="AJ297" s="32"/>
      <c r="AK297" s="32"/>
      <c r="AL297" s="32"/>
      <c r="AM297" s="32"/>
      <c r="AN297" s="32"/>
      <c r="AO297" s="32"/>
      <c r="AP297" s="32"/>
      <c r="AQ297" s="32"/>
      <c r="AR297" s="44"/>
      <c r="AT297" s="32"/>
      <c r="AU297" s="32"/>
      <c r="AV297" s="32"/>
      <c r="CB297" s="31"/>
      <c r="CG297" s="31"/>
    </row>
    <row r="298" spans="2:93" hidden="1" x14ac:dyDescent="0.2">
      <c r="B298" s="3474"/>
      <c r="C298" s="3485"/>
      <c r="D298" s="3486"/>
      <c r="E298" s="3487"/>
      <c r="F298" s="3487"/>
      <c r="G298" s="3488"/>
      <c r="H298" s="3487"/>
      <c r="I298" s="3488"/>
      <c r="J298" s="3488"/>
      <c r="K298" s="3487"/>
      <c r="L298" s="394"/>
      <c r="M298" s="433"/>
      <c r="N298" s="3481"/>
      <c r="O298" s="425"/>
      <c r="P298" s="50"/>
      <c r="Q298" s="50"/>
      <c r="R298" s="3"/>
      <c r="U298" s="30"/>
      <c r="V298" s="40"/>
      <c r="W298" s="32"/>
      <c r="AI298" s="32"/>
      <c r="AJ298" s="32"/>
      <c r="AK298" s="32"/>
      <c r="AL298" s="32"/>
      <c r="AM298" s="32"/>
      <c r="AN298" s="32"/>
      <c r="AO298" s="32"/>
      <c r="AP298" s="32"/>
      <c r="AQ298" s="32"/>
      <c r="AR298" s="44"/>
      <c r="AT298" s="32"/>
      <c r="AU298" s="32"/>
      <c r="AV298" s="32"/>
      <c r="CB298" s="31"/>
      <c r="CG298" s="31"/>
    </row>
    <row r="299" spans="2:93" hidden="1" x14ac:dyDescent="0.2">
      <c r="B299" s="3474"/>
      <c r="C299" s="3485"/>
      <c r="D299" s="3486"/>
      <c r="E299" s="3487"/>
      <c r="F299" s="3487"/>
      <c r="G299" s="3488"/>
      <c r="H299" s="3487"/>
      <c r="I299" s="3488"/>
      <c r="J299" s="3488"/>
      <c r="K299" s="3487"/>
      <c r="L299" s="394"/>
      <c r="M299" s="433"/>
      <c r="N299" s="3481"/>
      <c r="O299" s="425"/>
      <c r="P299" s="50"/>
      <c r="Q299" s="50"/>
      <c r="R299" s="3"/>
      <c r="U299" s="30"/>
      <c r="V299" s="40"/>
      <c r="W299" s="32"/>
      <c r="AI299" s="32"/>
      <c r="AJ299" s="32"/>
      <c r="AK299" s="32"/>
      <c r="AL299" s="32"/>
      <c r="AM299" s="32"/>
      <c r="AN299" s="32"/>
      <c r="AO299" s="32"/>
      <c r="AP299" s="32"/>
      <c r="AQ299" s="32"/>
      <c r="AR299" s="44"/>
      <c r="AT299" s="32"/>
      <c r="AU299" s="32"/>
      <c r="AV299" s="32"/>
      <c r="CB299" s="31"/>
      <c r="CG299" s="31"/>
    </row>
    <row r="300" spans="2:93" hidden="1" x14ac:dyDescent="0.2">
      <c r="B300" s="3474"/>
      <c r="C300" s="3485"/>
      <c r="D300" s="3486"/>
      <c r="E300" s="3487"/>
      <c r="F300" s="3487"/>
      <c r="G300" s="3488"/>
      <c r="H300" s="3487"/>
      <c r="I300" s="3488"/>
      <c r="J300" s="3488"/>
      <c r="K300" s="3487"/>
      <c r="L300" s="394"/>
      <c r="M300" s="433"/>
      <c r="N300" s="3481"/>
      <c r="O300" s="425"/>
      <c r="P300" s="50"/>
      <c r="Q300" s="50"/>
      <c r="R300" s="3"/>
      <c r="U300" s="30"/>
      <c r="V300" s="40"/>
      <c r="W300" s="32"/>
      <c r="AI300" s="32"/>
      <c r="AJ300" s="32"/>
      <c r="AK300" s="32"/>
      <c r="AL300" s="32"/>
      <c r="AM300" s="32"/>
      <c r="AN300" s="32"/>
      <c r="AO300" s="32"/>
      <c r="AP300" s="32"/>
      <c r="AQ300" s="32"/>
      <c r="AR300" s="44"/>
      <c r="AT300" s="32"/>
      <c r="AU300" s="32"/>
      <c r="AV300" s="32"/>
      <c r="CB300" s="31"/>
      <c r="CG300" s="31"/>
    </row>
    <row r="301" spans="2:93" s="28" customFormat="1" x14ac:dyDescent="0.2">
      <c r="B301" s="837" t="s">
        <v>455</v>
      </c>
      <c r="C301" s="1047"/>
      <c r="D301" s="1047"/>
      <c r="E301" s="1048">
        <f>SUM(E227:E270,E74:E191,E6:E38)</f>
      </c>
      <c r="F301" s="1048">
        <f>SUM(F227:F270,F74:F191,F6:F38)</f>
      </c>
      <c r="G301" s="1048">
        <f>SUM(G227:G270,G74:G191,G6:G38)</f>
      </c>
      <c r="H301" s="1048">
        <f>SUM(H227:H270,H74:H191,H6:H38)</f>
      </c>
      <c r="I301" s="1049">
        <f>SUM(E301:H301)</f>
      </c>
      <c r="J301" s="1049"/>
      <c r="K301" s="1048"/>
      <c r="L301" s="1050"/>
      <c r="M301" s="410">
        <f>ROUND(SUM(M227:M270,M74:M191,M6:M38),0)</f>
      </c>
      <c r="N301" s="50"/>
      <c r="O301" s="3"/>
      <c r="P301" s="50"/>
      <c r="Q301" s="50"/>
      <c r="R301" s="3"/>
      <c r="V301" s="40"/>
      <c r="W301" s="32"/>
      <c r="AI301" s="32"/>
      <c r="AJ301" s="32"/>
      <c r="AK301" s="32"/>
      <c r="AL301" s="32"/>
      <c r="AM301" s="32"/>
      <c r="AN301" s="32"/>
      <c r="AO301" s="32"/>
      <c r="AP301" s="32"/>
      <c r="AQ301" s="32"/>
      <c r="AR301" s="44"/>
      <c r="AT301" s="32"/>
      <c r="AU301" s="32"/>
      <c r="AV301" s="32"/>
      <c r="BH301" s="40"/>
      <c r="BI301" s="32"/>
    </row>
    <row r="302" spans="2:93" s="28" customFormat="1" ht="42" customHeight="1" x14ac:dyDescent="0.2">
      <c r="B302" s="4506" t="s">
        <v>975</v>
      </c>
      <c r="C302" s="4507"/>
      <c r="D302" s="4507"/>
      <c r="E302" s="4507"/>
      <c r="F302" s="4507"/>
      <c r="G302" s="4507"/>
      <c r="H302" s="4507"/>
      <c r="I302" s="4508"/>
      <c r="J302" s="4484" t="s">
        <v>7444</v>
      </c>
      <c r="K302" s="4486" t="s">
        <v>1483</v>
      </c>
      <c r="L302" s="4487"/>
      <c r="M302" s="4488"/>
      <c r="N302" s="50"/>
      <c r="O302" s="3"/>
      <c r="P302" s="50"/>
      <c r="Q302" s="50"/>
      <c r="R302" s="3"/>
      <c r="V302" s="40"/>
      <c r="W302" s="32"/>
      <c r="AI302" s="32"/>
      <c r="AJ302" s="32"/>
      <c r="AK302" s="32"/>
      <c r="AL302" s="32"/>
      <c r="AM302" s="32"/>
      <c r="AN302" s="32"/>
      <c r="AO302" s="32"/>
      <c r="AP302" s="32"/>
      <c r="AQ302" s="32"/>
      <c r="AR302" s="44"/>
      <c r="AT302" s="32"/>
      <c r="AU302" s="32"/>
      <c r="AV302" s="32"/>
      <c r="BH302" s="40"/>
      <c r="BI302" s="32"/>
    </row>
    <row r="303" spans="2:93" s="28" customFormat="1" ht="43.5" customHeight="1" x14ac:dyDescent="0.2">
      <c r="B303" s="4509"/>
      <c r="C303" s="4510"/>
      <c r="D303" s="4510"/>
      <c r="E303" s="4510"/>
      <c r="F303" s="4510"/>
      <c r="G303" s="4510"/>
      <c r="H303" s="4510"/>
      <c r="I303" s="4511"/>
      <c r="J303" s="4485"/>
      <c r="K303" s="1089" t="str">
        <f>ip</f>
      </c>
      <c r="L303" s="412" t="str">
        <f>mt</f>
      </c>
      <c r="M303" s="412" t="str">
        <f>fi</f>
      </c>
      <c r="N303" s="50"/>
      <c r="O303" s="3"/>
      <c r="P303" s="3"/>
      <c r="Q303" s="3"/>
      <c r="R303" s="3"/>
      <c r="CB303" s="434"/>
      <c r="CC303" s="434"/>
      <c r="CD303" s="434"/>
      <c r="CE303" s="434"/>
      <c r="CF303" s="434"/>
      <c r="CG303" s="434"/>
      <c r="CH303" s="32"/>
      <c r="CI303" s="84"/>
      <c r="CJ303" s="84"/>
      <c r="CK303" s="84"/>
      <c r="CL303" s="84"/>
      <c r="CM303" s="84"/>
      <c r="CO303" s="84"/>
    </row>
    <row r="304" spans="2:93" s="28" customFormat="1" ht="13.5" customHeight="1" x14ac:dyDescent="0.2">
      <c r="B304" s="435"/>
      <c r="C304" s="436"/>
      <c r="D304" s="437"/>
      <c r="E304" s="437"/>
      <c r="F304" s="207"/>
      <c r="G304" s="207"/>
      <c r="H304" s="207"/>
      <c r="I304" s="207"/>
      <c r="J304" s="280">
        <v>0</v>
      </c>
      <c r="K304" s="438"/>
      <c r="L304" s="280"/>
      <c r="M304" s="280">
        <v>0</v>
      </c>
      <c r="N304" s="1309" t="str">
        <f>IF(AND(M301=0,V304=0),"",IF(CC304&lt;&gt;4,reo,IF(M301&lt;&gt;V304," Check values!","")))</f>
        <v/>
      </c>
      <c r="O304" s="3"/>
      <c r="P304" s="3"/>
      <c r="Q304" s="3"/>
      <c r="R304" s="3"/>
      <c r="S304" s="28">
        <f>IF(N304=reo,1,0)</f>
      </c>
      <c r="V304" s="32">
        <f>J304+K304+L304+M304</f>
      </c>
      <c r="AA304" s="32"/>
      <c r="BH304" s="32"/>
      <c r="CC304" s="28">
        <f>COUNT(J304:M304)</f>
      </c>
      <c r="CH304" s="84"/>
    </row>
    <row r="305" spans="1:80" s="28" customFormat="1" x14ac:dyDescent="0.2">
      <c r="B305" s="1306" t="str">
        <f>EUR</f>
        <v/>
      </c>
      <c r="C305" s="17"/>
      <c r="D305" s="17"/>
      <c r="E305" s="17"/>
      <c r="F305" s="17"/>
      <c r="G305" s="17"/>
      <c r="H305" s="17"/>
      <c r="I305" s="17"/>
      <c r="J305" s="439"/>
      <c r="K305" s="440" t="s">
        <v>192</v>
      </c>
      <c r="L305" s="441">
        <f>M301</f>
      </c>
      <c r="M305" s="439"/>
      <c r="N305" s="50"/>
      <c r="O305" s="3"/>
      <c r="P305" s="3"/>
      <c r="Q305" s="3"/>
      <c r="R305" s="3"/>
      <c r="S305" s="28">
        <f>SUM(S6:S304)</f>
      </c>
      <c r="AA305" s="32"/>
      <c r="CB305" s="28" t="s">
        <v>4457</v>
      </c>
    </row>
    <row r="306" spans="1:80" s="28" customFormat="1" ht="17.25" customHeight="1" x14ac:dyDescent="0.2">
      <c r="A306" s="46"/>
      <c r="B306" s="108" t="str">
        <f>_xlfn.SINGLE(MTCA)</f>
      </c>
      <c r="C306" s="41"/>
      <c r="D306" s="41"/>
      <c r="E306" s="151" t="str">
        <f>ver</f>
        <v>TA2_e-CO_2025_Ver 1.1</v>
      </c>
      <c r="F306" s="42"/>
      <c r="G306" s="42"/>
      <c r="H306" s="42"/>
      <c r="I306" s="42"/>
      <c r="J306" s="42"/>
      <c r="K306" s="42"/>
      <c r="L306" s="42"/>
      <c r="M306" s="328"/>
      <c r="N306" s="328" t="s">
        <v>3098</v>
      </c>
      <c r="O306" s="3"/>
      <c r="P306" s="3"/>
      <c r="Q306" s="3"/>
      <c r="R306" s="3"/>
      <c r="CB306" s="28" t="s">
        <v>1736</v>
      </c>
    </row>
    <row r="307" spans="1:80" s="28" customFormat="1" ht="12.75" customHeight="1" x14ac:dyDescent="0.2">
      <c r="B307" s="418" t="str">
        <f>COM</f>
      </c>
      <c r="C307" s="388" t="str">
        <f>COM</f>
      </c>
      <c r="D307" s="331"/>
      <c r="E307" s="1515" t="str">
        <f>IF(AND(M301&gt;0,D307=""),re,"")</f>
        <v/>
      </c>
      <c r="S307" s="40">
        <f>IF(I301=0,0,IF(S305&lt;&gt;0,100,IF(D307="YES",1,100)))</f>
      </c>
    </row>
    <row r="308" spans="1:80" ht="12.75" customHeight="1" x14ac:dyDescent="0.2">
      <c r="B308" s="28"/>
      <c r="C308" s="28"/>
      <c r="D308" s="28"/>
      <c r="E308" s="46"/>
      <c r="F308" s="28"/>
      <c r="G308" s="28"/>
      <c r="H308" s="28"/>
      <c r="I308" s="28"/>
      <c r="J308" s="28"/>
      <c r="K308" s="28"/>
      <c r="L308" s="28"/>
      <c r="M308" s="28"/>
      <c r="N308" s="28"/>
      <c r="O308" s="28"/>
      <c r="P308" s="28"/>
      <c r="Q308" s="28"/>
    </row>
    <row r="309" spans="1:80" ht="12.75" customHeight="1" x14ac:dyDescent="0.2">
      <c r="B309" s="4418" t="s">
        <v>6290</v>
      </c>
      <c r="C309" s="4418"/>
      <c r="D309" s="28"/>
      <c r="E309" s="46"/>
      <c r="F309" s="28"/>
      <c r="G309" s="28"/>
      <c r="H309" s="28"/>
      <c r="I309" s="28"/>
      <c r="J309" s="28"/>
      <c r="K309" s="28"/>
      <c r="L309" s="28"/>
      <c r="M309" s="28"/>
      <c r="N309" s="28"/>
      <c r="O309" s="28"/>
      <c r="P309" s="28"/>
      <c r="Q309" s="28"/>
      <c r="S309" s="28">
        <f>IF(AND(S304=0,N304&lt;&gt;""),1,0)</f>
      </c>
    </row>
    <row r="310" spans="1:80" ht="12.75" customHeight="1" x14ac:dyDescent="0.2">
      <c r="B310" s="28"/>
      <c r="C310" s="46"/>
      <c r="D310" s="46"/>
      <c r="E310" s="46"/>
      <c r="F310" s="28"/>
      <c r="G310" s="28"/>
      <c r="H310" s="28"/>
      <c r="I310" s="28"/>
      <c r="J310" s="28"/>
      <c r="K310" s="28"/>
      <c r="L310" s="28"/>
      <c r="M310" s="28"/>
      <c r="N310" s="28"/>
      <c r="O310" s="28"/>
      <c r="P310" s="28"/>
      <c r="Q310" s="28"/>
    </row>
    <row r="311" spans="1:80" ht="12.75" hidden="1" customHeight="1" x14ac:dyDescent="0.2">
      <c r="B311" s="28"/>
      <c r="C311" s="46"/>
      <c r="D311" s="46"/>
      <c r="E311" s="46"/>
      <c r="F311" s="28"/>
      <c r="G311" s="28"/>
      <c r="H311" s="28"/>
      <c r="I311" s="28"/>
      <c r="J311" s="28"/>
      <c r="K311" s="28"/>
      <c r="L311" s="28"/>
      <c r="M311" s="28"/>
      <c r="N311" s="28"/>
      <c r="O311" s="28"/>
      <c r="P311" s="28"/>
      <c r="Q311" s="28"/>
    </row>
    <row r="312" spans="1:80" ht="12.75" hidden="1" customHeight="1" x14ac:dyDescent="0.2">
      <c r="B312" s="28"/>
      <c r="C312" s="46"/>
      <c r="D312" s="46"/>
      <c r="E312" s="46"/>
      <c r="F312" s="28"/>
      <c r="G312" s="28"/>
      <c r="H312" s="28"/>
      <c r="I312" s="28"/>
      <c r="J312" s="28"/>
      <c r="K312" s="28"/>
      <c r="L312" s="28"/>
      <c r="M312" s="28"/>
      <c r="N312" s="28"/>
      <c r="O312" s="28"/>
      <c r="P312" s="28"/>
      <c r="Q312" s="28"/>
    </row>
    <row r="313" spans="1:80" ht="12.75" hidden="1" customHeight="1" x14ac:dyDescent="0.2">
      <c r="B313" s="28"/>
      <c r="C313" s="46"/>
      <c r="D313" s="46"/>
      <c r="E313" s="46"/>
      <c r="F313" s="28"/>
      <c r="G313" s="28"/>
      <c r="H313" s="28"/>
      <c r="I313" s="28"/>
      <c r="J313" s="28"/>
      <c r="K313" s="28"/>
      <c r="L313" s="28"/>
      <c r="M313" s="28"/>
      <c r="N313" s="28"/>
      <c r="O313" s="28"/>
      <c r="P313" s="28"/>
      <c r="Q313" s="28"/>
    </row>
    <row r="314" spans="1:80" ht="12.75" hidden="1" customHeight="1" x14ac:dyDescent="0.2">
      <c r="B314" s="28"/>
      <c r="C314" s="46"/>
      <c r="D314" s="46"/>
      <c r="E314" s="46"/>
      <c r="F314" s="28"/>
      <c r="G314" s="28"/>
      <c r="H314" s="28"/>
      <c r="I314" s="28"/>
      <c r="J314" s="28"/>
      <c r="K314" s="28"/>
      <c r="L314" s="28"/>
      <c r="M314" s="28"/>
      <c r="N314" s="28"/>
      <c r="O314" s="28"/>
      <c r="P314" s="28"/>
      <c r="Q314" s="28"/>
    </row>
    <row r="315" spans="1:80" ht="12.75" hidden="1" customHeight="1" x14ac:dyDescent="0.2">
      <c r="B315" s="28"/>
      <c r="C315" s="46"/>
      <c r="D315" s="46"/>
      <c r="E315" s="46"/>
      <c r="F315" s="28"/>
      <c r="G315" s="28"/>
      <c r="H315" s="28"/>
      <c r="I315" s="28"/>
      <c r="J315" s="28"/>
      <c r="K315" s="28"/>
      <c r="L315" s="28"/>
      <c r="M315" s="28"/>
      <c r="N315" s="28"/>
      <c r="O315" s="28"/>
      <c r="P315" s="28"/>
      <c r="Q315" s="28"/>
    </row>
    <row r="316" spans="1:80" ht="12.75" hidden="1" customHeight="1" x14ac:dyDescent="0.2">
      <c r="B316" s="28"/>
      <c r="C316" s="46"/>
      <c r="D316" s="46"/>
      <c r="E316" s="46"/>
      <c r="F316" s="28"/>
      <c r="G316" s="28"/>
      <c r="H316" s="28"/>
      <c r="I316" s="28"/>
      <c r="J316" s="28"/>
      <c r="K316" s="28"/>
      <c r="L316" s="28"/>
      <c r="M316" s="28"/>
      <c r="N316" s="28"/>
      <c r="O316" s="28"/>
      <c r="P316" s="28"/>
      <c r="Q316" s="28"/>
    </row>
    <row r="317" spans="1:80" ht="12.75" hidden="1" customHeight="1" x14ac:dyDescent="0.2">
      <c r="B317" s="28"/>
      <c r="C317" s="46"/>
      <c r="D317" s="46"/>
      <c r="E317" s="46"/>
      <c r="F317" s="28"/>
      <c r="G317" s="28"/>
      <c r="H317" s="28"/>
      <c r="I317" s="28"/>
      <c r="J317" s="28"/>
      <c r="K317" s="28"/>
      <c r="L317" s="28"/>
      <c r="M317" s="28"/>
      <c r="N317" s="28"/>
      <c r="O317" s="28"/>
      <c r="P317" s="28"/>
      <c r="Q317" s="28"/>
    </row>
    <row r="318" spans="1:80" ht="12.75" hidden="1" customHeight="1" x14ac:dyDescent="0.2">
      <c r="B318" s="28"/>
      <c r="C318" s="46"/>
      <c r="D318" s="46"/>
      <c r="E318" s="46"/>
      <c r="F318" s="28"/>
      <c r="G318" s="28"/>
      <c r="H318" s="28"/>
      <c r="I318" s="28"/>
      <c r="J318" s="28"/>
      <c r="K318" s="28"/>
      <c r="L318" s="28"/>
      <c r="M318" s="28"/>
      <c r="N318" s="28"/>
      <c r="O318" s="28"/>
      <c r="P318" s="28"/>
      <c r="Q318" s="28"/>
    </row>
    <row r="319" spans="1:80" ht="12.75" hidden="1" customHeight="1" x14ac:dyDescent="0.2">
      <c r="B319" s="28"/>
      <c r="C319" s="46"/>
      <c r="D319" s="46"/>
      <c r="E319" s="46"/>
      <c r="F319" s="28"/>
      <c r="G319" s="28"/>
      <c r="H319" s="28"/>
      <c r="I319" s="28"/>
      <c r="J319" s="28"/>
      <c r="K319" s="28"/>
      <c r="L319" s="28"/>
      <c r="M319" s="28"/>
      <c r="N319" s="28"/>
      <c r="O319" s="28"/>
      <c r="P319" s="28"/>
      <c r="Q319" s="28"/>
    </row>
    <row r="320" spans="1:80" hidden="1" x14ac:dyDescent="0.2">
      <c r="B320" s="28" t="s">
        <v>2965</v>
      </c>
      <c r="C320" s="28" t="s">
        <v>2966</v>
      </c>
      <c r="D320" s="28"/>
      <c r="E320" s="46"/>
      <c r="F320" s="28"/>
      <c r="G320" s="28"/>
      <c r="H320" s="28"/>
      <c r="I320" s="28"/>
      <c r="J320" s="28"/>
      <c r="K320" s="28"/>
      <c r="L320" s="28"/>
      <c r="M320" s="28"/>
      <c r="N320" s="28"/>
      <c r="O320" s="28"/>
      <c r="P320" s="28"/>
      <c r="Q320" s="28"/>
    </row>
    <row r="321" spans="2:17" hidden="1" x14ac:dyDescent="0.2">
      <c r="B321" s="28"/>
      <c r="C321" s="28"/>
      <c r="D321" s="28"/>
      <c r="E321" s="46"/>
      <c r="F321" s="28"/>
      <c r="G321" s="28"/>
      <c r="H321" s="28"/>
      <c r="I321" s="28"/>
      <c r="J321" s="28"/>
      <c r="K321" s="28"/>
      <c r="L321" s="28"/>
      <c r="M321" s="28"/>
      <c r="N321" s="28"/>
      <c r="O321" s="28"/>
      <c r="P321" s="28"/>
      <c r="Q321" s="28"/>
    </row>
    <row r="322" spans="2:17" hidden="1" x14ac:dyDescent="0.2">
      <c r="B322" s="46" t="s">
        <v>6535</v>
      </c>
      <c r="C322" s="40">
        <v>4</v>
      </c>
      <c r="D322" s="40"/>
      <c r="E322" s="46"/>
      <c r="F322" s="28"/>
      <c r="G322" s="28"/>
      <c r="H322" s="28"/>
      <c r="I322" s="28"/>
      <c r="J322" s="28"/>
      <c r="K322" s="28"/>
      <c r="L322" s="28"/>
      <c r="M322" s="28"/>
      <c r="N322" s="28"/>
      <c r="O322" s="28"/>
      <c r="P322" s="28"/>
      <c r="Q322" s="28"/>
    </row>
    <row r="323" spans="2:17" hidden="1" x14ac:dyDescent="0.2">
      <c r="B323" s="46" t="s">
        <v>528</v>
      </c>
      <c r="C323" s="40">
        <v>4</v>
      </c>
      <c r="D323" s="40"/>
      <c r="E323" s="46"/>
      <c r="F323" s="28"/>
      <c r="G323" s="28"/>
      <c r="H323" s="28"/>
      <c r="I323" s="28"/>
      <c r="J323" s="28"/>
      <c r="K323" s="28"/>
      <c r="L323" s="28"/>
      <c r="M323" s="28"/>
      <c r="N323" s="28"/>
      <c r="O323" s="28"/>
      <c r="P323" s="28"/>
      <c r="Q323" s="28"/>
    </row>
    <row r="324" spans="2:17" hidden="1" x14ac:dyDescent="0.2">
      <c r="B324" s="46" t="s">
        <v>6704</v>
      </c>
      <c r="C324" s="40">
        <v>5</v>
      </c>
      <c r="D324" s="40"/>
      <c r="E324" s="46"/>
      <c r="F324" s="28"/>
      <c r="G324" s="28"/>
      <c r="H324" s="28"/>
      <c r="I324" s="28"/>
      <c r="J324" s="28"/>
      <c r="K324" s="28"/>
      <c r="L324" s="28"/>
      <c r="M324" s="28"/>
      <c r="N324" s="28"/>
      <c r="O324" s="28"/>
      <c r="P324" s="28"/>
      <c r="Q324" s="28"/>
    </row>
    <row r="325" spans="2:17" hidden="1" x14ac:dyDescent="0.2">
      <c r="B325" s="46" t="s">
        <v>1898</v>
      </c>
      <c r="C325" s="40">
        <v>10</v>
      </c>
      <c r="D325" s="40"/>
      <c r="E325" s="46"/>
      <c r="F325" s="28"/>
      <c r="G325" s="28"/>
      <c r="H325" s="28"/>
      <c r="I325" s="28"/>
      <c r="J325" s="28"/>
      <c r="K325" s="28"/>
      <c r="L325" s="28"/>
      <c r="M325" s="28"/>
      <c r="N325" s="28"/>
      <c r="O325" s="28"/>
      <c r="P325" s="28"/>
      <c r="Q325" s="28"/>
    </row>
    <row r="326" spans="2:17" hidden="1" x14ac:dyDescent="0.2">
      <c r="B326" s="46" t="s">
        <v>5811</v>
      </c>
      <c r="C326" s="40">
        <v>6</v>
      </c>
      <c r="D326" s="40"/>
      <c r="E326" s="46"/>
      <c r="F326" s="28"/>
      <c r="G326" s="28"/>
      <c r="H326" s="28"/>
      <c r="I326" s="28"/>
      <c r="J326" s="28"/>
      <c r="K326" s="28"/>
      <c r="L326" s="28"/>
      <c r="M326" s="28"/>
      <c r="N326" s="28"/>
      <c r="O326" s="28"/>
      <c r="P326" s="28"/>
      <c r="Q326" s="28"/>
    </row>
    <row r="327" spans="2:17" hidden="1" x14ac:dyDescent="0.2">
      <c r="B327" s="46" t="s">
        <v>6635</v>
      </c>
      <c r="C327" s="40">
        <v>6</v>
      </c>
      <c r="D327" s="40"/>
      <c r="E327" s="46"/>
      <c r="F327" s="28"/>
      <c r="G327" s="28"/>
      <c r="H327" s="28"/>
      <c r="I327" s="28"/>
      <c r="J327" s="28"/>
      <c r="K327" s="28"/>
      <c r="L327" s="28"/>
      <c r="M327" s="28"/>
      <c r="N327" s="28"/>
      <c r="O327" s="28"/>
      <c r="P327" s="28"/>
      <c r="Q327" s="28"/>
    </row>
    <row r="328" spans="2:17" hidden="1" x14ac:dyDescent="0.2">
      <c r="B328" s="46" t="s">
        <v>9949</v>
      </c>
      <c r="C328" s="40">
        <v>12</v>
      </c>
      <c r="D328" s="40"/>
      <c r="E328" s="46"/>
      <c r="F328" s="28"/>
      <c r="G328" s="28"/>
      <c r="H328" s="28"/>
      <c r="I328" s="28"/>
      <c r="J328" s="28"/>
      <c r="K328" s="28"/>
      <c r="L328" s="28"/>
      <c r="M328" s="28"/>
      <c r="N328" s="28"/>
      <c r="O328" s="28"/>
      <c r="P328" s="28"/>
      <c r="Q328" s="28"/>
    </row>
    <row r="329" spans="2:17" hidden="1" x14ac:dyDescent="0.2">
      <c r="B329" s="46" t="s">
        <v>6533</v>
      </c>
      <c r="C329" s="40">
        <v>10</v>
      </c>
      <c r="D329" s="40"/>
      <c r="E329" s="46"/>
      <c r="F329" s="28"/>
      <c r="G329" s="28"/>
      <c r="H329" s="28"/>
      <c r="I329" s="28"/>
      <c r="J329" s="28"/>
      <c r="K329" s="28"/>
      <c r="L329" s="28"/>
      <c r="M329" s="28"/>
      <c r="N329" s="28"/>
      <c r="O329" s="28"/>
      <c r="P329" s="28"/>
      <c r="Q329" s="28"/>
    </row>
    <row r="330" spans="2:17" hidden="1" x14ac:dyDescent="0.2">
      <c r="B330" s="46" t="s">
        <v>6532</v>
      </c>
      <c r="C330" s="40">
        <v>15</v>
      </c>
      <c r="D330" s="40"/>
      <c r="E330" s="46"/>
      <c r="F330" s="28"/>
      <c r="G330" s="28"/>
      <c r="H330" s="28"/>
      <c r="I330" s="28"/>
      <c r="J330" s="28"/>
      <c r="K330" s="28"/>
      <c r="L330" s="28"/>
      <c r="M330" s="28"/>
      <c r="N330" s="28"/>
      <c r="O330" s="28"/>
      <c r="P330" s="28"/>
      <c r="Q330" s="28"/>
    </row>
    <row r="331" spans="2:17" hidden="1" x14ac:dyDescent="0.2">
      <c r="B331" s="46" t="s">
        <v>7327</v>
      </c>
      <c r="C331" s="40">
        <v>20</v>
      </c>
      <c r="D331" s="40"/>
      <c r="E331" s="46"/>
      <c r="F331" s="28"/>
      <c r="G331" s="28"/>
      <c r="H331" s="28"/>
      <c r="I331" s="28"/>
      <c r="J331" s="28"/>
      <c r="K331" s="28"/>
      <c r="L331" s="28"/>
      <c r="M331" s="28"/>
      <c r="N331" s="28"/>
      <c r="O331" s="28"/>
      <c r="P331" s="28"/>
      <c r="Q331" s="28"/>
    </row>
    <row r="332" spans="2:17" hidden="1" x14ac:dyDescent="0.2">
      <c r="B332" s="46" t="s">
        <v>5770</v>
      </c>
      <c r="C332" s="40">
        <v>20</v>
      </c>
      <c r="D332" s="40"/>
      <c r="E332" s="46"/>
      <c r="F332" s="28"/>
      <c r="G332" s="28"/>
      <c r="H332" s="28"/>
      <c r="I332" s="28"/>
      <c r="J332" s="28"/>
      <c r="K332" s="28"/>
      <c r="L332" s="28"/>
      <c r="M332" s="28"/>
      <c r="N332" s="28"/>
      <c r="O332" s="28"/>
      <c r="P332" s="28"/>
      <c r="Q332" s="28"/>
    </row>
    <row r="333" spans="2:17" hidden="1" x14ac:dyDescent="0.2">
      <c r="B333" s="46" t="s">
        <v>1044</v>
      </c>
      <c r="C333" s="40">
        <v>6</v>
      </c>
      <c r="D333" s="40"/>
      <c r="E333" s="46"/>
      <c r="F333" s="28"/>
      <c r="G333" s="28"/>
      <c r="H333" s="28"/>
      <c r="I333" s="28"/>
      <c r="J333" s="28"/>
      <c r="K333" s="28"/>
      <c r="L333" s="28"/>
      <c r="M333" s="28"/>
      <c r="N333" s="28"/>
      <c r="O333" s="28"/>
      <c r="P333" s="28"/>
      <c r="Q333" s="28"/>
    </row>
    <row r="334" spans="2:17" hidden="1" x14ac:dyDescent="0.2">
      <c r="B334" s="46" t="s">
        <v>1045</v>
      </c>
      <c r="C334" s="40">
        <v>6</v>
      </c>
      <c r="D334" s="40"/>
      <c r="E334" s="46"/>
      <c r="F334" s="28"/>
      <c r="G334" s="28"/>
      <c r="H334" s="28"/>
      <c r="I334" s="28"/>
      <c r="J334" s="28"/>
      <c r="K334" s="28"/>
      <c r="L334" s="28"/>
      <c r="M334" s="28"/>
      <c r="N334" s="28"/>
      <c r="O334" s="28"/>
      <c r="P334" s="28"/>
      <c r="Q334" s="28"/>
    </row>
    <row r="335" spans="2:17" hidden="1" x14ac:dyDescent="0.2">
      <c r="B335" s="46" t="s">
        <v>7328</v>
      </c>
      <c r="C335" s="40">
        <v>10</v>
      </c>
      <c r="D335" s="40"/>
      <c r="E335" s="46"/>
      <c r="F335" s="28"/>
      <c r="G335" s="28"/>
      <c r="H335" s="28"/>
      <c r="I335" s="28"/>
      <c r="J335" s="28"/>
      <c r="K335" s="28"/>
      <c r="L335" s="28"/>
      <c r="M335" s="28"/>
      <c r="N335" s="28"/>
      <c r="O335" s="28"/>
      <c r="P335" s="28"/>
      <c r="Q335" s="28"/>
    </row>
    <row r="336" spans="2:17" hidden="1" x14ac:dyDescent="0.2">
      <c r="B336" s="46" t="s">
        <v>6425</v>
      </c>
      <c r="C336" s="40">
        <v>6</v>
      </c>
      <c r="D336" s="40"/>
      <c r="E336" s="46"/>
      <c r="F336" s="28"/>
      <c r="G336" s="28"/>
      <c r="H336" s="28"/>
      <c r="I336" s="28"/>
      <c r="J336" s="28"/>
      <c r="K336" s="28"/>
      <c r="L336" s="28"/>
      <c r="M336" s="28"/>
      <c r="N336" s="28"/>
      <c r="O336" s="28"/>
      <c r="P336" s="28"/>
      <c r="Q336" s="28"/>
    </row>
    <row r="337" spans="2:17" hidden="1" x14ac:dyDescent="0.2">
      <c r="B337" s="46" t="s">
        <v>5812</v>
      </c>
      <c r="C337" s="40">
        <v>6</v>
      </c>
      <c r="D337" s="40"/>
      <c r="E337" s="46"/>
      <c r="F337" s="28"/>
      <c r="G337" s="28"/>
      <c r="H337" s="28"/>
      <c r="I337" s="28"/>
      <c r="J337" s="28"/>
      <c r="K337" s="28"/>
      <c r="L337" s="28"/>
      <c r="M337" s="28"/>
      <c r="N337" s="28"/>
      <c r="O337" s="28"/>
      <c r="P337" s="28"/>
      <c r="Q337" s="28"/>
    </row>
    <row r="338" spans="2:17" hidden="1" x14ac:dyDescent="0.2">
      <c r="B338" s="46" t="s">
        <v>1900</v>
      </c>
      <c r="C338" s="40">
        <v>5</v>
      </c>
      <c r="D338" s="40"/>
      <c r="E338" s="46"/>
      <c r="F338" s="28"/>
      <c r="G338" s="28"/>
      <c r="H338" s="28"/>
      <c r="I338" s="28"/>
      <c r="J338" s="28"/>
      <c r="K338" s="28"/>
      <c r="L338" s="28"/>
      <c r="M338" s="28"/>
      <c r="N338" s="28"/>
      <c r="O338" s="28"/>
      <c r="P338" s="28"/>
      <c r="Q338" s="28"/>
    </row>
    <row r="339" spans="2:17" hidden="1" x14ac:dyDescent="0.2">
      <c r="B339" s="46" t="s">
        <v>1899</v>
      </c>
      <c r="C339" s="40">
        <v>10</v>
      </c>
      <c r="D339" s="40"/>
      <c r="E339" s="46"/>
      <c r="F339" s="28"/>
      <c r="G339" s="28"/>
      <c r="H339" s="28"/>
      <c r="I339" s="28"/>
      <c r="J339" s="28"/>
      <c r="K339" s="28"/>
      <c r="L339" s="28"/>
      <c r="M339" s="28"/>
      <c r="N339" s="28"/>
      <c r="O339" s="28"/>
      <c r="P339" s="28"/>
      <c r="Q339" s="28"/>
    </row>
    <row r="340" spans="2:17" hidden="1" x14ac:dyDescent="0.2">
      <c r="B340" s="46" t="s">
        <v>9950</v>
      </c>
      <c r="C340" s="40">
        <v>6</v>
      </c>
      <c r="D340" s="40"/>
      <c r="E340" s="46"/>
      <c r="F340" s="28"/>
      <c r="G340" s="28"/>
      <c r="H340" s="28"/>
      <c r="I340" s="28"/>
      <c r="J340" s="28"/>
      <c r="K340" s="28"/>
      <c r="L340" s="28"/>
      <c r="M340" s="28"/>
      <c r="N340" s="28"/>
      <c r="O340" s="28"/>
      <c r="P340" s="28"/>
      <c r="Q340" s="28"/>
    </row>
    <row r="341" spans="2:17" ht="12.75" hidden="1" customHeight="1" x14ac:dyDescent="0.2">
      <c r="B341" s="46" t="s">
        <v>9951</v>
      </c>
      <c r="C341" s="40">
        <v>6</v>
      </c>
      <c r="D341" s="46"/>
      <c r="E341" s="46"/>
      <c r="F341" s="28"/>
      <c r="G341" s="28"/>
      <c r="H341" s="28"/>
      <c r="I341" s="28"/>
      <c r="J341" s="28"/>
      <c r="K341" s="28"/>
      <c r="L341" s="28"/>
      <c r="M341" s="28"/>
      <c r="N341" s="28"/>
      <c r="O341" s="28"/>
      <c r="P341" s="28"/>
      <c r="Q341" s="28"/>
    </row>
    <row r="342" spans="2:17" ht="12.75" hidden="1" customHeight="1" x14ac:dyDescent="0.2">
      <c r="B342" s="46" t="s">
        <v>9952</v>
      </c>
      <c r="C342" s="40">
        <v>4</v>
      </c>
    </row>
    <row r="343" spans="2:17" ht="12.75" hidden="1" customHeight="1" x14ac:dyDescent="0.2">
      <c r="B343" s="46" t="s">
        <v>9953</v>
      </c>
      <c r="C343" s="40">
        <v>4</v>
      </c>
    </row>
    <row r="344" spans="2:17" ht="12.75" hidden="1" customHeight="1" x14ac:dyDescent="0.2">
      <c r="B344" s="46"/>
    </row>
    <row r="807" spans="4:4" x14ac:dyDescent="0.2">
      <c r="D807"/>
    </row>
  </sheetData>
  <sheetProtection algorithmName="SHA-512" hashValue="/VOLcJplJ7S7ROurUPVUsdEiNVmm/mZvPHqL7pGq7BeloSX5nA6Lid65GCn8gJLveyTt9RvrFgn+BUSeyrT9vg==" saltValue="qXTT9wWc3yySwDPIgPUMdg==" spinCount="100000" sheet="1" objects="1" scenarios="1"/>
  <customSheetViews>
    <customSheetView guid="{99B5278F-6EA9-4B1A-8623-27A4DF4AD5E4}" showGridLines="0" hiddenRows="1" hiddenColumns="1" topLeftCell="B1">
      <selection activeCell="L6" sqref="L6"/>
      <rowBreaks count="2" manualBreakCount="2">
        <brk id="24" min="1" max="13" man="1"/>
        <brk id="106" min="1" max="13" man="1"/>
      </rowBreaks>
      <pageMargins left="0.11" right="0.23" top="0.39" bottom="0.6" header="0.37" footer="0.19685039370078741"/>
      <printOptions horizontalCentered="1"/>
      <pageSetup paperSize="9" scale="95" orientation="landscape" r:id="rId1"/>
      <headerFooter alignWithMargins="0">
        <oddFooter>&amp;LName&amp;CSignature&amp;RDate</oddFooter>
      </headerFooter>
    </customSheetView>
  </customSheetViews>
  <mergeCells count="56">
    <mergeCell ref="P71:P73"/>
    <mergeCell ref="P3:P5"/>
    <mergeCell ref="AM72:AO72"/>
    <mergeCell ref="Q71:Q73"/>
    <mergeCell ref="AH72:AI72"/>
    <mergeCell ref="Q3:Q5"/>
    <mergeCell ref="AJ72:AL72"/>
    <mergeCell ref="M71:M73"/>
    <mergeCell ref="N71:N73"/>
    <mergeCell ref="I3:I5"/>
    <mergeCell ref="H3:H5"/>
    <mergeCell ref="L71:L73"/>
    <mergeCell ref="K71:K73"/>
    <mergeCell ref="M3:M5"/>
    <mergeCell ref="N3:N5"/>
    <mergeCell ref="E71:E73"/>
    <mergeCell ref="H72:H73"/>
    <mergeCell ref="J71:J73"/>
    <mergeCell ref="F71:F73"/>
    <mergeCell ref="G72:G73"/>
    <mergeCell ref="I71:I73"/>
    <mergeCell ref="G71:H71"/>
    <mergeCell ref="B1:M1"/>
    <mergeCell ref="C3:C5"/>
    <mergeCell ref="D3:D5"/>
    <mergeCell ref="G3:G5"/>
    <mergeCell ref="F3:F5"/>
    <mergeCell ref="E3:E5"/>
    <mergeCell ref="K3:K5"/>
    <mergeCell ref="L3:L5"/>
    <mergeCell ref="B2:N2"/>
    <mergeCell ref="J3:J5"/>
    <mergeCell ref="B3:B5"/>
    <mergeCell ref="K302:M302"/>
    <mergeCell ref="B302:I303"/>
    <mergeCell ref="J302:J303"/>
    <mergeCell ref="E224:E226"/>
    <mergeCell ref="I224:I226"/>
    <mergeCell ref="G224:H224"/>
    <mergeCell ref="G225:G226"/>
    <mergeCell ref="H225:H226"/>
    <mergeCell ref="F224:F226"/>
    <mergeCell ref="Q224:Q226"/>
    <mergeCell ref="P224:P226"/>
    <mergeCell ref="L224:L226"/>
    <mergeCell ref="J224:J226"/>
    <mergeCell ref="K224:K226"/>
    <mergeCell ref="N224:N226"/>
    <mergeCell ref="M224:M226"/>
    <mergeCell ref="B71:B73"/>
    <mergeCell ref="C71:C73"/>
    <mergeCell ref="D71:D73"/>
    <mergeCell ref="B309:C309"/>
    <mergeCell ref="C224:C226"/>
    <mergeCell ref="D224:D226"/>
    <mergeCell ref="B224:B226"/>
  </mergeCells>
  <phoneticPr fontId="0" type="noConversion"/>
  <conditionalFormatting sqref="B228:B250 B252:B300">
    <cfRule type="expression" dxfId="910" priority="30" stopIfTrue="1">
      <formula>$B227=$T$1</formula>
    </cfRule>
  </conditionalFormatting>
  <conditionalFormatting sqref="B251">
    <cfRule type="expression" dxfId="909" priority="1901" stopIfTrue="1">
      <formula>$B229=$T$1</formula>
    </cfRule>
  </conditionalFormatting>
  <conditionalFormatting sqref="D227:H229">
    <cfRule type="expression" dxfId="908" priority="20" stopIfTrue="1">
      <formula>$B227=$U$1</formula>
    </cfRule>
  </conditionalFormatting>
  <conditionalFormatting sqref="D74:I222">
    <cfRule type="expression" dxfId="907" priority="9" stopIfTrue="1">
      <formula>$B74=$U$1</formula>
    </cfRule>
  </conditionalFormatting>
  <conditionalFormatting sqref="D6:K69 C301 L301 N301 P301:Q301 N305">
    <cfRule type="expression" dxfId="906" priority="24" stopIfTrue="1">
      <formula>$B6=$U$1</formula>
    </cfRule>
  </conditionalFormatting>
  <conditionalFormatting sqref="E74:F222 I74:I222">
    <cfRule type="expression" dxfId="905" priority="10" stopIfTrue="1">
      <formula>$D74&gt;$Q$1</formula>
    </cfRule>
  </conditionalFormatting>
  <conditionalFormatting sqref="E227:F229">
    <cfRule type="expression" dxfId="904" priority="21" stopIfTrue="1">
      <formula>$D227&gt;$Q$1</formula>
    </cfRule>
  </conditionalFormatting>
  <conditionalFormatting sqref="E230:F300">
    <cfRule type="expression" dxfId="903" priority="2" stopIfTrue="1">
      <formula>$D230&gt;$Q$1</formula>
    </cfRule>
  </conditionalFormatting>
  <conditionalFormatting sqref="E230:H300">
    <cfRule type="expression" dxfId="902" priority="1" stopIfTrue="1">
      <formula>$B230=$U$1</formula>
    </cfRule>
  </conditionalFormatting>
  <conditionalFormatting sqref="G74:H222">
    <cfRule type="expression" dxfId="901" priority="12" stopIfTrue="1">
      <formula>$D74&lt;$Q$1</formula>
    </cfRule>
  </conditionalFormatting>
  <conditionalFormatting sqref="G227:H229">
    <cfRule type="expression" dxfId="900" priority="23" stopIfTrue="1">
      <formula>$D227&lt;$Q$1</formula>
    </cfRule>
  </conditionalFormatting>
  <conditionalFormatting sqref="G230:H300">
    <cfRule type="expression" dxfId="899" priority="4" stopIfTrue="1">
      <formula>$D230&lt;$Q$1</formula>
    </cfRule>
  </conditionalFormatting>
  <conditionalFormatting sqref="H6:H69">
    <cfRule type="expression" dxfId="898" priority="36" stopIfTrue="1">
      <formula>$H6&gt;$F6</formula>
    </cfRule>
  </conditionalFormatting>
  <conditionalFormatting sqref="I6:I69">
    <cfRule type="expression" dxfId="897" priority="34" stopIfTrue="1">
      <formula>$I6&gt;$E6</formula>
    </cfRule>
  </conditionalFormatting>
  <conditionalFormatting sqref="I260:I300 J260:J301">
    <cfRule type="expression" dxfId="896" priority="28" stopIfTrue="1">
      <formula>$D260=$Q$1</formula>
    </cfRule>
    <cfRule type="expression" dxfId="895" priority="29" stopIfTrue="1">
      <formula>$B260=$T$1</formula>
    </cfRule>
  </conditionalFormatting>
  <conditionalFormatting sqref="I227:J259">
    <cfRule type="expression" dxfId="894" priority="6" stopIfTrue="1">
      <formula>$D227=$Q$1</formula>
    </cfRule>
    <cfRule type="expression" dxfId="893" priority="7" stopIfTrue="1">
      <formula>$B227=$T$1</formula>
    </cfRule>
  </conditionalFormatting>
  <conditionalFormatting sqref="J6:J69">
    <cfRule type="expression" dxfId="892" priority="38" stopIfTrue="1">
      <formula>$J6&gt;$G6</formula>
    </cfRule>
  </conditionalFormatting>
  <conditionalFormatting sqref="J74:J222">
    <cfRule type="expression" dxfId="891" priority="14" stopIfTrue="1">
      <formula>$J74&lt;&gt;$AC74</formula>
    </cfRule>
    <cfRule type="expression" dxfId="890" priority="15" stopIfTrue="1">
      <formula>$D74=$Q$1</formula>
    </cfRule>
    <cfRule type="expression" dxfId="889" priority="16" stopIfTrue="1">
      <formula>$B74=$T$1</formula>
    </cfRule>
  </conditionalFormatting>
  <conditionalFormatting sqref="K6:K69">
    <cfRule type="cellIs" dxfId="888" priority="32" stopIfTrue="1" operator="lessThan">
      <formula>$U6</formula>
    </cfRule>
  </conditionalFormatting>
  <conditionalFormatting sqref="K71:K73 K224">
    <cfRule type="expression" dxfId="887" priority="41" stopIfTrue="1">
      <formula>$Z$1=1</formula>
    </cfRule>
  </conditionalFormatting>
  <conditionalFormatting sqref="K74:K222">
    <cfRule type="expression" dxfId="886" priority="17" stopIfTrue="1">
      <formula>$B74=$U$1</formula>
    </cfRule>
    <cfRule type="cellIs" dxfId="885" priority="18" stopIfTrue="1" operator="lessThan">
      <formula>$U74</formula>
    </cfRule>
  </conditionalFormatting>
  <conditionalFormatting sqref="K227:K301 D230:D301">
    <cfRule type="expression" dxfId="884" priority="5" stopIfTrue="1">
      <formula>$B227=$U$1</formula>
    </cfRule>
  </conditionalFormatting>
  <conditionalFormatting sqref="N6:N69">
    <cfRule type="cellIs" dxfId="883" priority="19" stopIfTrue="1" operator="equal">
      <formula>$AL$1</formula>
    </cfRule>
  </conditionalFormatting>
  <conditionalFormatting sqref="N302 P302:Q302">
    <cfRule type="expression" dxfId="882" priority="61" stopIfTrue="1">
      <formula>#REF!=$U$1</formula>
    </cfRule>
  </conditionalFormatting>
  <conditionalFormatting sqref="N303">
    <cfRule type="expression" dxfId="881" priority="62" stopIfTrue="1">
      <formula>$B302=$U$1</formula>
    </cfRule>
  </conditionalFormatting>
  <conditionalFormatting sqref="N304:P304">
    <cfRule type="expression" dxfId="880" priority="141" stopIfTrue="1">
      <formula>$N$304=reo</formula>
    </cfRule>
  </conditionalFormatting>
  <conditionalFormatting sqref="Q6:Q69 CG6:CG69 P74:P222 CB74:CB222 CG74:CG222 P227:Q300 CB227:CB300 CG227:CG300">
    <cfRule type="cellIs" dxfId="879" priority="39" stopIfTrue="1" operator="equal">
      <formula>$AA$1</formula>
    </cfRule>
  </conditionalFormatting>
  <dataValidations count="23">
    <dataValidation type="whole" allowBlank="1" showInputMessage="1" showErrorMessage="1" errorTitle="WDV" error="Cannot exceed cost!" sqref="F74:F222 F227:F300" xr:uid="{00000000-0002-0000-0D00-000000000000}">
      <formula1>0</formula1>
      <formula2>AI74</formula2>
    </dataValidation>
    <dataValidation type="whole" allowBlank="1" showInputMessage="1" showErrorMessage="1" errorTitle="DISPOSALS" error="Cannot exceed cost!" sqref="I6:I69" xr:uid="{00000000-0002-0000-0D00-000001000000}">
      <formula1>0</formula1>
      <formula2>AI6</formula2>
    </dataValidation>
    <dataValidation type="whole" allowBlank="1" showInputMessage="1" showErrorMessage="1" errorTitle="DISPOSALS" error="Cannot exceed cost_x000a_OR_x000a_New asset and no capital allowances ever claimed!" sqref="I74:I222" xr:uid="{00000000-0002-0000-0D00-000002000000}">
      <formula1>0</formula1>
      <formula2>AK74</formula2>
    </dataValidation>
    <dataValidation type="whole" allowBlank="1" showInputMessage="1" showErrorMessage="1" errorTitle="DISPOSALS" error="Cannot exceed cost_x000a_OR_x000a_New property upon which no capital allowances have been claimed!" sqref="I227:I301" xr:uid="{00000000-0002-0000-0D00-000003000000}">
      <formula1>0</formula1>
      <formula2>AI227</formula2>
    </dataValidation>
    <dataValidation type="whole" allowBlank="1" showInputMessage="1" showErrorMessage="1" errorTitle="DISPOSALS" error="Cannot exceed WDV_x000a_OR_x000a_New property upon which no capital allowances have been claimed!" sqref="J227:J301" xr:uid="{00000000-0002-0000-0D00-000004000000}">
      <formula1>0</formula1>
      <formula2>AJ227</formula2>
    </dataValidation>
    <dataValidation type="whole" allowBlank="1" showInputMessage="1" showErrorMessage="1" errorTitle="WDV" error="Make sure that WDV does not exceed cost!" sqref="F6:F69" xr:uid="{00000000-0002-0000-0D00-000005000000}">
      <formula1>0</formula1>
      <formula2>AI6</formula2>
    </dataValidation>
    <dataValidation type="whole" allowBlank="1" showInputMessage="1" showErrorMessage="1" errorTitle="DISPOSALS" error="Cannot exceed WDV to-date!" sqref="J6:J69" xr:uid="{00000000-0002-0000-0D00-000006000000}">
      <formula1>0</formula1>
      <formula2>AK6</formula2>
    </dataValidation>
    <dataValidation type="list" errorStyle="information" allowBlank="1" showInputMessage="1" showErrorMessage="1" errorTitle="Assets" error="The asset indicated is not included in the wear and tear rules!" sqref="B6:B69 B74:B222" xr:uid="{00000000-0002-0000-0D00-000007000000}">
      <formula1>$B$321:$B$343</formula1>
    </dataValidation>
    <dataValidation type="whole" allowBlank="1" showInputMessage="1" showErrorMessage="1" errorTitle="YEAR OF PURCHASE" error="Cannot be less than Y/A 2002 or more than the current Y/A!" sqref="C301:D301" xr:uid="{00000000-0002-0000-0D00-000008000000}">
      <formula1>0</formula1>
      <formula2>$Q$1</formula2>
    </dataValidation>
    <dataValidation type="whole" allowBlank="1" showInputMessage="1" showErrorMessage="1" errorTitle="YEAR OF PURCHASE" error="Cannot be less than Y/A 2002 or more than the current Y/A!" sqref="D74:D222" xr:uid="{00000000-0002-0000-0D00-000009000000}">
      <formula1>2002</formula1>
      <formula2>ya</formula2>
    </dataValidation>
    <dataValidation type="whole" allowBlank="1" showInputMessage="1" showErrorMessage="1" errorTitle="YEAR OF PURCHASE" error="Cannot be less than 1948 or more than the current Y/A!" sqref="D227:D300" xr:uid="{00000000-0002-0000-0D00-00000A000000}">
      <formula1>1948</formula1>
      <formula2>ya</formula2>
    </dataValidation>
    <dataValidation type="whole" allowBlank="1" showInputMessage="1" showErrorMessage="1" errorTitle="Number of years" error="Number cannot be more than 2 digits!" sqref="K74:K222 K227:K300" xr:uid="{00000000-0002-0000-0D00-00000B000000}">
      <formula1>0</formula1>
      <formula2>99</formula2>
    </dataValidation>
    <dataValidation type="list" allowBlank="1" showInputMessage="1" showErrorMessage="1" errorTitle="Choose item from Dropdown list! " sqref="D307" xr:uid="{00000000-0002-0000-0D00-00000C000000}">
      <formula1>$CB$304:$CB$306</formula1>
    </dataValidation>
    <dataValidation type="whole" allowBlank="1" showInputMessage="1" showErrorMessage="1" errorTitle="Number of years" error="Number cannot be more than two digits!" sqref="K6:K69" xr:uid="{00000000-0002-0000-0D00-00000D000000}">
      <formula1>0</formula1>
      <formula2>99</formula2>
    </dataValidation>
    <dataValidation type="whole" operator="greaterThan" allowBlank="1" showInputMessage="1" showErrorMessage="1" errorTitle="Original cost" error="Please enter a positive numeric value!" sqref="E6:E69" xr:uid="{00000000-0002-0000-0D00-00000E000000}">
      <formula1>0</formula1>
    </dataValidation>
    <dataValidation type="whole" operator="greaterThan" allowBlank="1" showInputMessage="1" showErrorMessage="1" errorTitle="Assets at cost" error="Please enter a positive numeric value!" sqref="E74:E222 E227:E300" xr:uid="{00000000-0002-0000-0D00-00000F000000}">
      <formula1>0</formula1>
    </dataValidation>
    <dataValidation type="whole" operator="greaterThan" allowBlank="1" showInputMessage="1" showErrorMessage="1" errorTitle="Additions at cost" error="Please enter a positive numeric value!" sqref="G74:H222 G227:H300" xr:uid="{00000000-0002-0000-0D00-000010000000}">
      <formula1>0</formula1>
    </dataValidation>
    <dataValidation allowBlank="1" showInputMessage="1" showErrorMessage="1" errorTitle="Choose item from Dropdown list! " sqref="C6:C69 C74:C222 C227:C300" xr:uid="{00000000-0002-0000-0D00-000011000000}"/>
    <dataValidation type="whole" operator="greaterThanOrEqual" allowBlank="1" showInputMessage="1" showErrorMessage="1" errorTitle="Allocation" error="Please enter a positive value!" sqref="J304:M304" xr:uid="{00000000-0002-0000-0D00-000012000000}">
      <formula1>0</formula1>
    </dataValidation>
    <dataValidation errorStyle="warning" operator="equal" allowBlank="1" showInputMessage="1" showErrorMessage="1" errorTitle="Check value entered!" error=" " sqref="M303" xr:uid="{00000000-0002-0000-0D00-000013000000}"/>
    <dataValidation type="whole" allowBlank="1" showInputMessage="1" showErrorMessage="1" errorTitle="YEAR OF PURCHASE" error="MUST BE LESS THAN Y/A 2002 _x000a_OR_x000a_Less than Y/A 2010 in the case of AIRCRAFT!" sqref="D6:D69" xr:uid="{00000000-0002-0000-0D00-000014000000}">
      <formula1>1948</formula1>
      <formula2>BA6</formula2>
    </dataValidation>
    <dataValidation type="whole" allowBlank="1" showInputMessage="1" showErrorMessage="1" errorTitle="WDV b/fwd" error="Cannot exceed WDV start Y/A 2002 _x000a_OR_x000a_start Y/A 2010 in the case of AIRCRAFT!" sqref="G6:G69" xr:uid="{00000000-0002-0000-0D00-000015000000}">
      <formula1>0</formula1>
      <formula2>AJ6</formula2>
    </dataValidation>
    <dataValidation type="whole" allowBlank="1" showInputMessage="1" showErrorMessage="1" errorTitle="Disposals" error="Cannot exceed WDV start Y/A 2002_x000a_OR_x000a_start Y/A 2010 in the case of AIRCRAFT!" sqref="H6:H69" xr:uid="{00000000-0002-0000-0D00-000016000000}">
      <formula1>0</formula1>
      <formula2>AJ6</formula2>
    </dataValidation>
  </dataValidations>
  <hyperlinks>
    <hyperlink ref="B309" location="Index!A1" display="Index!A1" xr:uid="{00000000-0004-0000-0D00-000000000000}"/>
    <hyperlink ref="B309:C309" location="Index!A1" display="Index!A1" xr:uid="{00000000-0004-0000-0D00-000001000000}"/>
  </hyperlinks>
  <printOptions horizontalCentered="1"/>
  <pageMargins left="0.11" right="0.23" top="0.17" bottom="0.4" header="0.37" footer="0.19685039370078741"/>
  <pageSetup paperSize="9" scale="95" orientation="landscape" r:id="rId2"/>
  <headerFooter alignWithMargins="0">
    <oddFooter>&amp;LName&amp;CSignature&amp;RDate</oddFooter>
  </headerFooter>
  <rowBreaks count="2" manualBreakCount="2">
    <brk id="70" min="1" max="13" man="1"/>
    <brk id="223" min="1" max="13" man="1"/>
  </rowBreaks>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A1:IU70"/>
  <sheetViews>
    <sheetView showGridLines="0" topLeftCell="A35" workbookViewId="0">
      <selection activeCell="B35" sqref="B35:E35"/>
    </sheetView>
  </sheetViews>
  <sheetFormatPr defaultColWidth="0" defaultRowHeight="12.75" customHeight="1" zeroHeight="1" x14ac:dyDescent="0.2"/>
  <cols>
    <col min="1" max="1" width="0.5703125" style="28" customWidth="1"/>
    <col min="2" max="2" width="21.42578125" style="28" customWidth="1"/>
    <col min="3" max="3" width="12" style="28" customWidth="1"/>
    <col min="4" max="4" width="9.7109375" style="28" customWidth="1"/>
    <col min="5" max="5" width="10.42578125" style="28" customWidth="1"/>
    <col min="6" max="6" width="10.5703125" style="28" customWidth="1"/>
    <col min="7" max="7" width="9.7109375" style="31" hidden="1" customWidth="1"/>
    <col min="8" max="8" width="9.7109375" style="28" customWidth="1"/>
    <col min="9" max="9" width="9.7109375" style="28" hidden="1" customWidth="1"/>
    <col min="10" max="10" width="9.7109375" style="31" customWidth="1"/>
    <col min="11" max="11" width="17.5703125" style="31" customWidth="1"/>
    <col min="12" max="12" width="8.28515625" style="28" hidden="1" customWidth="1"/>
    <col min="13" max="13" width="0.7109375" style="28" hidden="1" customWidth="1"/>
    <col min="14" max="16" width="9.28515625" style="28" hidden="1" customWidth="1"/>
    <col min="17" max="17" width="4.7109375" style="28" hidden="1" customWidth="1"/>
    <col min="18" max="255" width="9.28515625" style="28" hidden="1" customWidth="1"/>
    <col min="256" max="16384" width="0" style="28" hidden="1"/>
  </cols>
  <sheetData>
    <row r="1" spans="1:32" x14ac:dyDescent="0.2">
      <c r="A1" s="3"/>
      <c r="B1" s="4542" t="str">
        <f>_ref1</f>
      </c>
      <c r="C1" s="4543"/>
      <c r="D1" s="4543"/>
      <c r="E1" s="4543"/>
      <c r="F1" s="4543"/>
      <c r="G1" s="4543"/>
      <c r="H1" s="4543"/>
      <c r="I1" s="4543"/>
      <c r="J1" s="4540" t="str">
        <f>_YA1</f>
      </c>
      <c r="K1" s="4541"/>
    </row>
    <row r="2" spans="1:32" ht="15" x14ac:dyDescent="0.2">
      <c r="A2" s="3"/>
      <c r="B2" s="611" t="s">
        <v>598</v>
      </c>
      <c r="C2" s="186"/>
      <c r="D2" s="186"/>
      <c r="E2" s="186"/>
      <c r="F2" s="186"/>
      <c r="G2" s="186"/>
      <c r="H2" s="186"/>
      <c r="I2" s="186"/>
      <c r="J2" s="186"/>
      <c r="K2" s="187"/>
      <c r="O2" s="28">
        <v>0.2</v>
      </c>
      <c r="P2" s="28">
        <v>0.5</v>
      </c>
    </row>
    <row r="3" spans="1:32" ht="27" customHeight="1" x14ac:dyDescent="0.2">
      <c r="A3" s="3"/>
      <c r="B3" s="471" t="s">
        <v>137</v>
      </c>
      <c r="C3" s="472"/>
      <c r="D3" s="472"/>
      <c r="E3" s="472"/>
      <c r="F3" s="472"/>
      <c r="G3" s="472"/>
      <c r="H3" s="472"/>
      <c r="I3" s="472"/>
      <c r="J3" s="472"/>
      <c r="K3" s="473"/>
      <c r="W3" s="28" t="s">
        <v>5806</v>
      </c>
    </row>
    <row r="4" spans="1:32" ht="4.5" customHeight="1" x14ac:dyDescent="0.2">
      <c r="A4" s="3"/>
      <c r="B4" s="474"/>
      <c r="C4" s="475"/>
      <c r="D4" s="475"/>
      <c r="E4" s="475"/>
      <c r="F4" s="475"/>
      <c r="G4" s="475"/>
      <c r="H4" s="475"/>
      <c r="I4" s="142"/>
      <c r="J4" s="475"/>
      <c r="K4" s="473"/>
      <c r="Q4" s="28" t="s">
        <v>4980</v>
      </c>
      <c r="W4" s="28" t="s">
        <v>363</v>
      </c>
    </row>
    <row r="5" spans="1:32" ht="15.75" customHeight="1" x14ac:dyDescent="0.2">
      <c r="A5" s="3"/>
      <c r="B5" s="4434" t="s">
        <v>3222</v>
      </c>
      <c r="C5" s="4435"/>
      <c r="D5" s="4435"/>
      <c r="E5" s="4435"/>
      <c r="F5" s="4435"/>
      <c r="G5" s="4435"/>
      <c r="H5" s="4436"/>
      <c r="I5" s="142"/>
      <c r="J5" s="4513" t="s">
        <v>464</v>
      </c>
      <c r="K5" s="473"/>
      <c r="Q5" s="28" t="s">
        <v>1829</v>
      </c>
      <c r="W5" s="28" t="s">
        <v>2372</v>
      </c>
    </row>
    <row r="6" spans="1:32" ht="6" customHeight="1" x14ac:dyDescent="0.2">
      <c r="A6" s="3"/>
      <c r="B6" s="443"/>
      <c r="C6" s="444"/>
      <c r="D6" s="444"/>
      <c r="E6" s="444"/>
      <c r="F6" s="444"/>
      <c r="G6" s="445"/>
      <c r="H6" s="49"/>
      <c r="I6" s="142"/>
      <c r="J6" s="4522"/>
      <c r="K6" s="473"/>
    </row>
    <row r="7" spans="1:32" x14ac:dyDescent="0.2">
      <c r="A7" s="3"/>
      <c r="B7" s="4469" t="s">
        <v>659</v>
      </c>
      <c r="C7" s="4469"/>
      <c r="D7" s="4469"/>
      <c r="E7" s="4469"/>
      <c r="F7" s="446" t="s">
        <v>660</v>
      </c>
      <c r="G7" s="447" t="s">
        <v>3263</v>
      </c>
      <c r="H7" s="448" t="s">
        <v>6959</v>
      </c>
      <c r="I7" s="142"/>
      <c r="J7" s="4514"/>
      <c r="K7" s="473"/>
      <c r="W7" s="28" t="s">
        <v>3710</v>
      </c>
      <c r="AA7" s="28" t="s">
        <v>3243</v>
      </c>
      <c r="AB7" s="28" t="s">
        <v>5806</v>
      </c>
      <c r="AC7" s="28" t="s">
        <v>3709</v>
      </c>
      <c r="AD7" s="28" t="s">
        <v>363</v>
      </c>
      <c r="AE7" s="28" t="s">
        <v>2372</v>
      </c>
      <c r="AF7" s="28" t="s">
        <v>3710</v>
      </c>
    </row>
    <row r="8" spans="1:32" x14ac:dyDescent="0.2">
      <c r="A8" s="3"/>
      <c r="B8" s="4533"/>
      <c r="C8" s="4533"/>
      <c r="D8" s="4533"/>
      <c r="E8" s="4533"/>
      <c r="F8" s="449"/>
      <c r="G8" s="450" t="s">
        <v>363</v>
      </c>
      <c r="H8" s="223"/>
      <c r="I8" s="142"/>
      <c r="J8" s="451" t="str">
        <f>IF($H8="","",ROUND($H8*$O$2,0))</f>
        <v/>
      </c>
      <c r="K8" s="452" t="str">
        <f>IF(N8=0,"",IF(N8&lt;&gt;3,"All details!",""))</f>
        <v/>
      </c>
      <c r="L8" s="28">
        <f>IF(K8="",0,1)</f>
      </c>
      <c r="N8" s="28">
        <f>COUNTA(B8,F8,H8)</f>
      </c>
      <c r="Q8" s="28" t="s">
        <v>363</v>
      </c>
    </row>
    <row r="9" spans="1:32" x14ac:dyDescent="0.2">
      <c r="A9" s="3"/>
      <c r="B9" s="4533"/>
      <c r="C9" s="4533"/>
      <c r="D9" s="4533"/>
      <c r="E9" s="4533"/>
      <c r="F9" s="449"/>
      <c r="G9" s="447" t="s">
        <v>363</v>
      </c>
      <c r="H9" s="223"/>
      <c r="I9" s="142"/>
      <c r="J9" s="451" t="str">
        <f t="shared" ref="J9:J14" si="0">IF($H9="","",ROUND($H9*$O$2,0))</f>
        <v/>
      </c>
      <c r="K9" s="452" t="str">
        <f t="shared" ref="K9:K14" si="1">IF(N9=0,"",IF(N9&lt;&gt;3,"All details!",""))</f>
        <v/>
      </c>
      <c r="L9" s="28">
        <f t="shared" ref="L9:L14" si="2">IF(K9="",0,1)</f>
      </c>
      <c r="N9" s="28">
        <f t="shared" ref="N9:N14" si="3">COUNTA(B9,F9,H9)</f>
      </c>
      <c r="Q9" s="28" t="s">
        <v>2372</v>
      </c>
    </row>
    <row r="10" spans="1:32" x14ac:dyDescent="0.2">
      <c r="A10" s="3"/>
      <c r="B10" s="4533"/>
      <c r="C10" s="4533"/>
      <c r="D10" s="4533"/>
      <c r="E10" s="4533"/>
      <c r="F10" s="449"/>
      <c r="G10" s="447" t="s">
        <v>363</v>
      </c>
      <c r="H10" s="223"/>
      <c r="I10" s="142"/>
      <c r="J10" s="451" t="str">
        <f t="shared" si="0"/>
        <v/>
      </c>
      <c r="K10" s="452" t="str">
        <f t="shared" si="1"/>
        <v/>
      </c>
      <c r="L10" s="28">
        <f t="shared" si="2"/>
        <v>0</v>
      </c>
      <c r="N10" s="28">
        <f t="shared" si="3"/>
        <v>0</v>
      </c>
    </row>
    <row r="11" spans="1:32" x14ac:dyDescent="0.2">
      <c r="A11" s="3"/>
      <c r="B11" s="4533"/>
      <c r="C11" s="4533"/>
      <c r="D11" s="4533"/>
      <c r="E11" s="4533"/>
      <c r="F11" s="449"/>
      <c r="G11" s="447" t="s">
        <v>363</v>
      </c>
      <c r="H11" s="223"/>
      <c r="I11" s="142"/>
      <c r="J11" s="451" t="str">
        <f t="shared" si="0"/>
        <v/>
      </c>
      <c r="K11" s="452" t="str">
        <f t="shared" si="1"/>
        <v/>
      </c>
      <c r="L11" s="28">
        <f t="shared" si="2"/>
        <v>0</v>
      </c>
      <c r="N11" s="28">
        <f t="shared" si="3"/>
        <v>0</v>
      </c>
    </row>
    <row r="12" spans="1:32" x14ac:dyDescent="0.2">
      <c r="A12" s="3"/>
      <c r="B12" s="4533"/>
      <c r="C12" s="4533"/>
      <c r="D12" s="4533"/>
      <c r="E12" s="4533"/>
      <c r="F12" s="449"/>
      <c r="G12" s="447" t="s">
        <v>363</v>
      </c>
      <c r="H12" s="223"/>
      <c r="I12" s="142"/>
      <c r="J12" s="451" t="str">
        <f t="shared" si="0"/>
        <v/>
      </c>
      <c r="K12" s="452" t="str">
        <f t="shared" si="1"/>
        <v/>
      </c>
      <c r="L12" s="28">
        <f t="shared" si="2"/>
        <v>0</v>
      </c>
      <c r="N12" s="28">
        <f t="shared" si="3"/>
        <v>0</v>
      </c>
    </row>
    <row r="13" spans="1:32" x14ac:dyDescent="0.2">
      <c r="A13" s="3"/>
      <c r="B13" s="4533"/>
      <c r="C13" s="4533"/>
      <c r="D13" s="4533"/>
      <c r="E13" s="4533"/>
      <c r="F13" s="449"/>
      <c r="G13" s="447" t="s">
        <v>363</v>
      </c>
      <c r="H13" s="223"/>
      <c r="I13" s="142"/>
      <c r="J13" s="451" t="str">
        <f t="shared" si="0"/>
        <v/>
      </c>
      <c r="K13" s="452" t="str">
        <f t="shared" si="1"/>
        <v/>
      </c>
      <c r="L13" s="28">
        <f t="shared" si="2"/>
        <v>0</v>
      </c>
      <c r="N13" s="28">
        <f t="shared" si="3"/>
        <v>0</v>
      </c>
    </row>
    <row r="14" spans="1:32" x14ac:dyDescent="0.2">
      <c r="A14" s="3"/>
      <c r="B14" s="4533"/>
      <c r="C14" s="4533"/>
      <c r="D14" s="4533"/>
      <c r="E14" s="4533"/>
      <c r="F14" s="449"/>
      <c r="G14" s="447" t="s">
        <v>363</v>
      </c>
      <c r="H14" s="223"/>
      <c r="I14" s="142"/>
      <c r="J14" s="451" t="str">
        <f t="shared" si="0"/>
        <v/>
      </c>
      <c r="K14" s="452" t="str">
        <f t="shared" si="1"/>
        <v/>
      </c>
      <c r="L14" s="28">
        <f t="shared" si="2"/>
        <v>0</v>
      </c>
      <c r="N14" s="28">
        <f t="shared" si="3"/>
        <v>0</v>
      </c>
    </row>
    <row r="15" spans="1:32" ht="13.5" hidden="1" thickBot="1" x14ac:dyDescent="0.25">
      <c r="A15" s="3"/>
      <c r="B15" s="453"/>
      <c r="C15" s="454"/>
      <c r="D15" s="454"/>
      <c r="E15" s="454"/>
      <c r="F15" s="454"/>
      <c r="G15" s="50"/>
      <c r="H15" s="455">
        <f>SUM(H8:H11)</f>
      </c>
      <c r="I15" s="142"/>
      <c r="J15" s="456">
        <f>SUM(J8:J11)</f>
      </c>
      <c r="K15" s="473"/>
      <c r="O15" s="28">
        <f>H15*O2</f>
      </c>
    </row>
    <row r="16" spans="1:32" ht="9.75" hidden="1" customHeight="1" thickTop="1" x14ac:dyDescent="0.2">
      <c r="A16" s="3"/>
      <c r="B16" s="5"/>
      <c r="C16" s="2"/>
      <c r="D16" s="2"/>
      <c r="E16" s="2"/>
      <c r="F16" s="2"/>
      <c r="G16" s="50"/>
      <c r="H16" s="3"/>
      <c r="I16" s="142"/>
      <c r="J16" s="50"/>
      <c r="K16" s="473"/>
    </row>
    <row r="17" spans="1:17" ht="19.5" customHeight="1" x14ac:dyDescent="0.2">
      <c r="A17" s="3"/>
      <c r="B17" s="4534" t="s">
        <v>6960</v>
      </c>
      <c r="C17" s="4535"/>
      <c r="D17" s="4535"/>
      <c r="E17" s="4535"/>
      <c r="F17" s="4535"/>
      <c r="G17" s="4535"/>
      <c r="H17" s="4536"/>
      <c r="I17" s="142"/>
      <c r="J17" s="475"/>
      <c r="K17" s="473"/>
    </row>
    <row r="18" spans="1:17" ht="3" customHeight="1" x14ac:dyDescent="0.2">
      <c r="A18" s="3"/>
      <c r="B18" s="4537"/>
      <c r="C18" s="4538"/>
      <c r="D18" s="4538"/>
      <c r="E18" s="4538"/>
      <c r="F18" s="4538"/>
      <c r="G18" s="4538"/>
      <c r="H18" s="4539"/>
      <c r="I18" s="142"/>
      <c r="J18" s="475"/>
      <c r="K18" s="473"/>
    </row>
    <row r="19" spans="1:17" x14ac:dyDescent="0.2">
      <c r="A19" s="3"/>
      <c r="B19" s="4469" t="s">
        <v>659</v>
      </c>
      <c r="C19" s="4469"/>
      <c r="D19" s="4469"/>
      <c r="E19" s="4469"/>
      <c r="F19" s="446" t="s">
        <v>660</v>
      </c>
      <c r="G19" s="447" t="s">
        <v>3263</v>
      </c>
      <c r="H19" s="448" t="s">
        <v>6959</v>
      </c>
      <c r="I19" s="142"/>
      <c r="J19" s="475"/>
      <c r="K19" s="473"/>
    </row>
    <row r="20" spans="1:17" x14ac:dyDescent="0.2">
      <c r="A20" s="3"/>
      <c r="B20" s="4527"/>
      <c r="C20" s="4527"/>
      <c r="D20" s="4527"/>
      <c r="E20" s="4527"/>
      <c r="F20" s="449"/>
      <c r="G20" s="450" t="s">
        <v>363</v>
      </c>
      <c r="H20" s="223"/>
      <c r="I20" s="142"/>
      <c r="J20" s="405" t="str">
        <f>IF($H20="","",ROUND($H20*$P$2,0))</f>
        <v/>
      </c>
      <c r="K20" s="452" t="str">
        <f>IF(N20=0,"",IF(N20&lt;&gt;3,"All details!",""))</f>
        <v/>
      </c>
      <c r="L20" s="28">
        <f t="shared" ref="L20:L38" si="4">IF(K20="",0,1)</f>
      </c>
      <c r="N20" s="28">
        <f t="shared" ref="N20:N38" si="5">COUNTA(B20,F20,H20)</f>
      </c>
      <c r="Q20" s="28" t="s">
        <v>4980</v>
      </c>
    </row>
    <row r="21" spans="1:17" x14ac:dyDescent="0.2">
      <c r="A21" s="3"/>
      <c r="B21" s="4527"/>
      <c r="C21" s="4527"/>
      <c r="D21" s="4527"/>
      <c r="E21" s="4527"/>
      <c r="F21" s="449"/>
      <c r="G21" s="450" t="s">
        <v>363</v>
      </c>
      <c r="H21" s="223"/>
      <c r="I21" s="142"/>
      <c r="J21" s="405" t="str">
        <f t="shared" ref="J21:J38" si="6">IF($H21="","",ROUND($H21*$P$2,0))</f>
        <v/>
      </c>
      <c r="K21" s="452" t="str">
        <f t="shared" ref="K21:K38" si="7">IF(N21=0,"",IF(N21&lt;&gt;3,"All details!",""))</f>
        <v/>
      </c>
      <c r="L21" s="28">
        <f t="shared" si="4"/>
        <v>0</v>
      </c>
      <c r="N21" s="28">
        <f t="shared" si="5"/>
        <v>0</v>
      </c>
      <c r="Q21" s="28" t="s">
        <v>5651</v>
      </c>
    </row>
    <row r="22" spans="1:17" x14ac:dyDescent="0.2">
      <c r="A22" s="3"/>
      <c r="B22" s="4527"/>
      <c r="C22" s="4527"/>
      <c r="D22" s="4527"/>
      <c r="E22" s="4527"/>
      <c r="F22" s="449"/>
      <c r="G22" s="450" t="s">
        <v>363</v>
      </c>
      <c r="H22" s="223"/>
      <c r="I22" s="142"/>
      <c r="J22" s="405" t="str">
        <f t="shared" si="6"/>
        <v/>
      </c>
      <c r="K22" s="452" t="str">
        <f t="shared" si="7"/>
        <v/>
      </c>
      <c r="L22" s="28">
        <f t="shared" si="4"/>
        <v>0</v>
      </c>
      <c r="N22" s="28">
        <f t="shared" si="5"/>
        <v>0</v>
      </c>
      <c r="Q22" s="28" t="s">
        <v>2390</v>
      </c>
    </row>
    <row r="23" spans="1:17" x14ac:dyDescent="0.2">
      <c r="A23" s="3"/>
      <c r="B23" s="4527"/>
      <c r="C23" s="4527"/>
      <c r="D23" s="4527"/>
      <c r="E23" s="4527"/>
      <c r="F23" s="449"/>
      <c r="G23" s="450" t="s">
        <v>363</v>
      </c>
      <c r="H23" s="223"/>
      <c r="I23" s="142"/>
      <c r="J23" s="405" t="str">
        <f t="shared" si="6"/>
        <v/>
      </c>
      <c r="K23" s="452" t="str">
        <f t="shared" si="7"/>
        <v/>
      </c>
      <c r="L23" s="28">
        <f t="shared" si="4"/>
        <v>0</v>
      </c>
      <c r="N23" s="28">
        <f t="shared" si="5"/>
        <v>0</v>
      </c>
    </row>
    <row r="24" spans="1:17" x14ac:dyDescent="0.2">
      <c r="A24" s="3"/>
      <c r="B24" s="4527"/>
      <c r="C24" s="4527"/>
      <c r="D24" s="4527"/>
      <c r="E24" s="4527"/>
      <c r="F24" s="449"/>
      <c r="G24" s="450" t="s">
        <v>363</v>
      </c>
      <c r="H24" s="223"/>
      <c r="I24" s="142"/>
      <c r="J24" s="405" t="str">
        <f t="shared" si="6"/>
        <v/>
      </c>
      <c r="K24" s="452" t="str">
        <f t="shared" si="7"/>
        <v/>
      </c>
      <c r="L24" s="28">
        <f t="shared" si="4"/>
        <v>0</v>
      </c>
      <c r="N24" s="28">
        <f t="shared" si="5"/>
        <v>0</v>
      </c>
    </row>
    <row r="25" spans="1:17" x14ac:dyDescent="0.2">
      <c r="A25" s="3"/>
      <c r="B25" s="4527"/>
      <c r="C25" s="4527"/>
      <c r="D25" s="4527"/>
      <c r="E25" s="4527"/>
      <c r="F25" s="449"/>
      <c r="G25" s="450" t="s">
        <v>363</v>
      </c>
      <c r="H25" s="223"/>
      <c r="I25" s="142"/>
      <c r="J25" s="405" t="str">
        <f t="shared" si="6"/>
        <v/>
      </c>
      <c r="K25" s="452" t="str">
        <f t="shared" si="7"/>
        <v/>
      </c>
      <c r="L25" s="28">
        <f t="shared" si="4"/>
        <v>0</v>
      </c>
      <c r="N25" s="28">
        <f t="shared" si="5"/>
        <v>0</v>
      </c>
    </row>
    <row r="26" spans="1:17" x14ac:dyDescent="0.2">
      <c r="A26" s="3"/>
      <c r="B26" s="4527"/>
      <c r="C26" s="4527"/>
      <c r="D26" s="4527"/>
      <c r="E26" s="4527"/>
      <c r="F26" s="449"/>
      <c r="G26" s="450" t="s">
        <v>363</v>
      </c>
      <c r="H26" s="223"/>
      <c r="I26" s="142"/>
      <c r="J26" s="405" t="str">
        <f t="shared" si="6"/>
        <v/>
      </c>
      <c r="K26" s="452" t="str">
        <f t="shared" si="7"/>
        <v/>
      </c>
      <c r="L26" s="28">
        <f t="shared" si="4"/>
        <v>0</v>
      </c>
      <c r="N26" s="28">
        <f t="shared" si="5"/>
        <v>0</v>
      </c>
    </row>
    <row r="27" spans="1:17" x14ac:dyDescent="0.2">
      <c r="A27" s="3"/>
      <c r="B27" s="4527"/>
      <c r="C27" s="4527"/>
      <c r="D27" s="4527"/>
      <c r="E27" s="4527"/>
      <c r="F27" s="449"/>
      <c r="G27" s="450" t="s">
        <v>363</v>
      </c>
      <c r="H27" s="223"/>
      <c r="I27" s="142"/>
      <c r="J27" s="405" t="str">
        <f t="shared" si="6"/>
        <v/>
      </c>
      <c r="K27" s="452" t="str">
        <f t="shared" si="7"/>
        <v/>
      </c>
      <c r="L27" s="28">
        <f t="shared" si="4"/>
        <v>0</v>
      </c>
      <c r="N27" s="28">
        <f t="shared" si="5"/>
        <v>0</v>
      </c>
    </row>
    <row r="28" spans="1:17" x14ac:dyDescent="0.2">
      <c r="A28" s="3"/>
      <c r="B28" s="4527"/>
      <c r="C28" s="4527"/>
      <c r="D28" s="4527"/>
      <c r="E28" s="4527"/>
      <c r="F28" s="449"/>
      <c r="G28" s="450" t="s">
        <v>363</v>
      </c>
      <c r="H28" s="223"/>
      <c r="I28" s="142"/>
      <c r="J28" s="405" t="str">
        <f t="shared" si="6"/>
        <v/>
      </c>
      <c r="K28" s="452" t="str">
        <f t="shared" si="7"/>
        <v/>
      </c>
      <c r="L28" s="28">
        <f t="shared" si="4"/>
        <v>0</v>
      </c>
      <c r="N28" s="28">
        <f t="shared" si="5"/>
        <v>0</v>
      </c>
    </row>
    <row r="29" spans="1:17" x14ac:dyDescent="0.2">
      <c r="A29" s="3"/>
      <c r="B29" s="4527"/>
      <c r="C29" s="4527"/>
      <c r="D29" s="4527"/>
      <c r="E29" s="4527"/>
      <c r="F29" s="449"/>
      <c r="G29" s="450" t="s">
        <v>363</v>
      </c>
      <c r="H29" s="223"/>
      <c r="I29" s="142"/>
      <c r="J29" s="405" t="str">
        <f t="shared" si="6"/>
        <v/>
      </c>
      <c r="K29" s="452" t="str">
        <f t="shared" si="7"/>
        <v/>
      </c>
      <c r="L29" s="28">
        <f t="shared" si="4"/>
        <v>0</v>
      </c>
      <c r="N29" s="28">
        <f t="shared" si="5"/>
        <v>0</v>
      </c>
    </row>
    <row r="30" spans="1:17" x14ac:dyDescent="0.2">
      <c r="A30" s="3"/>
      <c r="B30" s="4527"/>
      <c r="C30" s="4527"/>
      <c r="D30" s="4527"/>
      <c r="E30" s="4527"/>
      <c r="F30" s="449"/>
      <c r="G30" s="450" t="s">
        <v>363</v>
      </c>
      <c r="H30" s="223"/>
      <c r="I30" s="142"/>
      <c r="J30" s="405" t="str">
        <f t="shared" si="6"/>
        <v/>
      </c>
      <c r="K30" s="452" t="str">
        <f t="shared" si="7"/>
        <v/>
      </c>
      <c r="L30" s="28">
        <f t="shared" si="4"/>
        <v>0</v>
      </c>
      <c r="N30" s="28">
        <f t="shared" si="5"/>
        <v>0</v>
      </c>
    </row>
    <row r="31" spans="1:17" x14ac:dyDescent="0.2">
      <c r="A31" s="3"/>
      <c r="B31" s="4527"/>
      <c r="C31" s="4527"/>
      <c r="D31" s="4527"/>
      <c r="E31" s="4527"/>
      <c r="F31" s="449"/>
      <c r="G31" s="450" t="s">
        <v>363</v>
      </c>
      <c r="H31" s="223"/>
      <c r="I31" s="142"/>
      <c r="J31" s="405" t="str">
        <f t="shared" si="6"/>
        <v/>
      </c>
      <c r="K31" s="452" t="str">
        <f t="shared" si="7"/>
        <v/>
      </c>
      <c r="L31" s="28">
        <f t="shared" si="4"/>
        <v>0</v>
      </c>
      <c r="N31" s="28">
        <f t="shared" si="5"/>
        <v>0</v>
      </c>
    </row>
    <row r="32" spans="1:17" x14ac:dyDescent="0.2">
      <c r="A32" s="3"/>
      <c r="B32" s="4527"/>
      <c r="C32" s="4527"/>
      <c r="D32" s="4527"/>
      <c r="E32" s="4527"/>
      <c r="F32" s="449"/>
      <c r="G32" s="450" t="s">
        <v>363</v>
      </c>
      <c r="H32" s="223"/>
      <c r="I32" s="142"/>
      <c r="J32" s="405" t="str">
        <f t="shared" si="6"/>
        <v/>
      </c>
      <c r="K32" s="452" t="str">
        <f t="shared" si="7"/>
        <v/>
      </c>
      <c r="L32" s="28">
        <f t="shared" si="4"/>
        <v>0</v>
      </c>
      <c r="N32" s="28">
        <f t="shared" si="5"/>
        <v>0</v>
      </c>
    </row>
    <row r="33" spans="1:41" x14ac:dyDescent="0.2">
      <c r="A33" s="3"/>
      <c r="B33" s="4527"/>
      <c r="C33" s="4527"/>
      <c r="D33" s="4527"/>
      <c r="E33" s="4527"/>
      <c r="F33" s="449"/>
      <c r="G33" s="450" t="s">
        <v>363</v>
      </c>
      <c r="H33" s="223"/>
      <c r="I33" s="142"/>
      <c r="J33" s="405" t="str">
        <f t="shared" si="6"/>
        <v/>
      </c>
      <c r="K33" s="452" t="str">
        <f t="shared" si="7"/>
        <v/>
      </c>
      <c r="L33" s="28">
        <f t="shared" si="4"/>
        <v>0</v>
      </c>
      <c r="N33" s="28">
        <f t="shared" si="5"/>
        <v>0</v>
      </c>
    </row>
    <row r="34" spans="1:41" x14ac:dyDescent="0.2">
      <c r="A34" s="3"/>
      <c r="B34" s="4527"/>
      <c r="C34" s="4527"/>
      <c r="D34" s="4527"/>
      <c r="E34" s="4527"/>
      <c r="F34" s="449"/>
      <c r="G34" s="450" t="s">
        <v>363</v>
      </c>
      <c r="H34" s="223"/>
      <c r="I34" s="142"/>
      <c r="J34" s="405" t="str">
        <f t="shared" si="6"/>
        <v/>
      </c>
      <c r="K34" s="452" t="str">
        <f t="shared" si="7"/>
        <v/>
      </c>
      <c r="L34" s="28">
        <f t="shared" si="4"/>
        <v>0</v>
      </c>
      <c r="N34" s="28">
        <f t="shared" si="5"/>
        <v>0</v>
      </c>
    </row>
    <row r="35" spans="1:41" x14ac:dyDescent="0.2">
      <c r="A35" s="3"/>
      <c r="B35" s="4527"/>
      <c r="C35" s="4527"/>
      <c r="D35" s="4527"/>
      <c r="E35" s="4527"/>
      <c r="F35" s="449"/>
      <c r="G35" s="450" t="s">
        <v>363</v>
      </c>
      <c r="H35" s="223"/>
      <c r="I35" s="142"/>
      <c r="J35" s="405" t="str">
        <f t="shared" si="6"/>
        <v/>
      </c>
      <c r="K35" s="452" t="str">
        <f t="shared" si="7"/>
        <v/>
      </c>
      <c r="L35" s="28">
        <f t="shared" si="4"/>
        <v>0</v>
      </c>
      <c r="N35" s="28">
        <f t="shared" si="5"/>
        <v>0</v>
      </c>
    </row>
    <row r="36" spans="1:41" x14ac:dyDescent="0.2">
      <c r="A36" s="3"/>
      <c r="B36" s="4527"/>
      <c r="C36" s="4527"/>
      <c r="D36" s="4527"/>
      <c r="E36" s="4527"/>
      <c r="F36" s="449"/>
      <c r="G36" s="450" t="s">
        <v>363</v>
      </c>
      <c r="H36" s="223"/>
      <c r="I36" s="142"/>
      <c r="J36" s="405" t="str">
        <f t="shared" si="6"/>
        <v/>
      </c>
      <c r="K36" s="452" t="str">
        <f t="shared" si="7"/>
        <v/>
      </c>
      <c r="L36" s="28">
        <f t="shared" si="4"/>
        <v>0</v>
      </c>
      <c r="N36" s="28">
        <f t="shared" si="5"/>
        <v>0</v>
      </c>
    </row>
    <row r="37" spans="1:41" x14ac:dyDescent="0.2">
      <c r="A37" s="3"/>
      <c r="B37" s="4527"/>
      <c r="C37" s="4527"/>
      <c r="D37" s="4527"/>
      <c r="E37" s="4527"/>
      <c r="F37" s="449"/>
      <c r="G37" s="450" t="s">
        <v>363</v>
      </c>
      <c r="H37" s="223"/>
      <c r="I37" s="142"/>
      <c r="J37" s="405" t="str">
        <f t="shared" si="6"/>
        <v/>
      </c>
      <c r="K37" s="452" t="str">
        <f t="shared" si="7"/>
        <v/>
      </c>
      <c r="L37" s="28">
        <f t="shared" si="4"/>
        <v>0</v>
      </c>
      <c r="N37" s="28">
        <f t="shared" si="5"/>
        <v>0</v>
      </c>
    </row>
    <row r="38" spans="1:41" x14ac:dyDescent="0.2">
      <c r="A38" s="3"/>
      <c r="B38" s="4527"/>
      <c r="C38" s="4527"/>
      <c r="D38" s="4527"/>
      <c r="E38" s="4527"/>
      <c r="F38" s="449"/>
      <c r="G38" s="450" t="s">
        <v>363</v>
      </c>
      <c r="H38" s="223"/>
      <c r="I38" s="142"/>
      <c r="J38" s="405" t="str">
        <f t="shared" si="6"/>
        <v/>
      </c>
      <c r="K38" s="452" t="str">
        <f t="shared" si="7"/>
        <v/>
      </c>
      <c r="L38" s="28">
        <f t="shared" si="4"/>
        <v>0</v>
      </c>
      <c r="N38" s="28">
        <f t="shared" si="5"/>
        <v>0</v>
      </c>
    </row>
    <row r="39" spans="1:41" x14ac:dyDescent="0.2">
      <c r="A39" s="3"/>
      <c r="B39" s="457" t="s">
        <v>117</v>
      </c>
      <c r="C39" s="199"/>
      <c r="D39" s="199"/>
      <c r="E39" s="199"/>
      <c r="F39" s="200"/>
      <c r="G39" s="3"/>
      <c r="H39" s="410">
        <f>SUM(H20:H38,H8:H14)</f>
      </c>
      <c r="I39" s="142"/>
      <c r="J39" s="410">
        <f>SUM(J20:J38,J8:J14)</f>
      </c>
      <c r="K39" s="473"/>
    </row>
    <row r="40" spans="1:41" x14ac:dyDescent="0.2">
      <c r="A40" s="3"/>
      <c r="B40" s="4528" t="s">
        <v>118</v>
      </c>
      <c r="C40" s="4528"/>
      <c r="D40" s="4528"/>
      <c r="E40" s="4528"/>
      <c r="F40" s="4528"/>
      <c r="G40" s="4528"/>
      <c r="H40" s="4528"/>
      <c r="I40" s="142"/>
      <c r="J40" s="223"/>
      <c r="K40" s="462" t="str">
        <f>IF(AND(H39=0,J39=0),"",IF(J40="",reo,IF(J40&gt;J39,O40,"")))</f>
        <v/>
      </c>
      <c r="L40" s="28">
        <f>IF(K40=reo,1,0)</f>
      </c>
      <c r="N40" s="32">
        <f>SUM(N8:N14,N20:N38)</f>
      </c>
      <c r="O40" s="28" t="s">
        <v>119</v>
      </c>
      <c r="AA40" s="30"/>
      <c r="AB40" s="30"/>
      <c r="AC40" s="30"/>
      <c r="AD40" s="30"/>
      <c r="AE40" s="30"/>
      <c r="AF40" s="30"/>
    </row>
    <row r="41" spans="1:41" ht="24.75" customHeight="1" x14ac:dyDescent="0.2">
      <c r="A41" s="3"/>
      <c r="B41" s="4529" t="s">
        <v>115</v>
      </c>
      <c r="C41" s="4530"/>
      <c r="D41" s="4530"/>
      <c r="E41" s="4484" t="s">
        <v>3393</v>
      </c>
      <c r="F41" s="4524" t="s">
        <v>1028</v>
      </c>
      <c r="G41" s="4525"/>
      <c r="H41" s="4525"/>
      <c r="I41" s="4525"/>
      <c r="J41" s="4526"/>
      <c r="K41" s="473"/>
      <c r="O41" s="32"/>
    </row>
    <row r="42" spans="1:41" ht="15.75" customHeight="1" x14ac:dyDescent="0.2">
      <c r="A42" s="3"/>
      <c r="B42" s="4531" t="s">
        <v>116</v>
      </c>
      <c r="C42" s="4532"/>
      <c r="D42" s="4532"/>
      <c r="E42" s="4485"/>
      <c r="F42" s="1090" t="str">
        <f>ip</f>
      </c>
      <c r="G42" s="47"/>
      <c r="H42" s="1091" t="str">
        <f>mt</f>
      </c>
      <c r="I42" s="142"/>
      <c r="J42" s="1090" t="str">
        <f>fi</f>
      </c>
      <c r="K42" s="473"/>
      <c r="O42" s="32"/>
      <c r="R42" s="28">
        <f>COUNT(E43,F43,H43,J43)</f>
      </c>
    </row>
    <row r="43" spans="1:41" x14ac:dyDescent="0.2">
      <c r="A43" s="3"/>
      <c r="B43" s="459"/>
      <c r="C43" s="460"/>
      <c r="D43" s="461"/>
      <c r="E43" s="223"/>
      <c r="F43" s="223"/>
      <c r="G43" s="223"/>
      <c r="H43" s="223"/>
      <c r="I43" s="223"/>
      <c r="J43" s="223"/>
      <c r="K43" s="462" t="str">
        <f>IF(H39=0,"",IF(R42&lt;&gt;4,reo,IF(N43&lt;&gt;J39,cv,"")))</f>
        <v/>
      </c>
      <c r="L43" s="28">
        <f>IF(OR(K43="",K43=cv),0,1)</f>
      </c>
      <c r="N43" s="32">
        <f>SUM(E43,F43,H43,J43)</f>
      </c>
      <c r="O43" s="32"/>
      <c r="R43" s="28">
        <f>SUM(T43:V43)</f>
      </c>
    </row>
    <row r="44" spans="1:41" x14ac:dyDescent="0.2">
      <c r="A44" s="3"/>
      <c r="B44" s="458"/>
      <c r="C44" s="3"/>
      <c r="D44" s="3"/>
      <c r="E44" s="3"/>
      <c r="F44" s="463" t="s">
        <v>4645</v>
      </c>
      <c r="G44" s="464"/>
      <c r="H44" s="465">
        <f>J39</f>
      </c>
      <c r="I44" s="142"/>
      <c r="J44" s="466"/>
      <c r="K44" s="467"/>
      <c r="O44" s="32"/>
    </row>
    <row r="45" spans="1:41" ht="12.75" customHeight="1" x14ac:dyDescent="0.2">
      <c r="A45" s="3"/>
      <c r="B45" s="13" t="str">
        <f>_xlfn.SINGLE(MTCA)</f>
      </c>
      <c r="C45" s="14"/>
      <c r="D45" s="14"/>
      <c r="E45" s="468" t="str">
        <f>ver</f>
        <v>TA2_e-CO_2025_Ver 1.1</v>
      </c>
      <c r="F45" s="14"/>
      <c r="G45" s="55"/>
      <c r="H45" s="14"/>
      <c r="I45" s="142"/>
      <c r="J45" s="469" t="s">
        <v>5624</v>
      </c>
      <c r="K45" s="470"/>
      <c r="L45" s="28">
        <f>SUM(L43,L20:L40,L8:L14)</f>
      </c>
    </row>
    <row r="46" spans="1:41" ht="7.5" customHeight="1" x14ac:dyDescent="0.2">
      <c r="I46" s="142"/>
    </row>
    <row r="47" spans="1:41" ht="12.75" customHeight="1" x14ac:dyDescent="0.2">
      <c r="C47" s="418" t="str">
        <f>COM</f>
      </c>
      <c r="D47" s="331"/>
      <c r="I47" s="142"/>
      <c r="AO47" s="28" t="s">
        <v>4457</v>
      </c>
    </row>
    <row r="48" spans="1:41" ht="12.75" customHeight="1" x14ac:dyDescent="0.2">
      <c r="I48" s="142"/>
      <c r="L48" s="30">
        <f>IF(N40=0,0,IF(L45&lt;&gt;0,100,IF(D47="Yes",1,100)))</f>
      </c>
      <c r="AO48" s="28" t="s">
        <v>1736</v>
      </c>
    </row>
    <row r="49" spans="2:12" x14ac:dyDescent="0.2">
      <c r="B49" s="493" t="s">
        <v>6290</v>
      </c>
      <c r="I49" s="142"/>
      <c r="L49" s="28">
        <f>IF(OR(K43=cv,K40=O40),1,0)</f>
      </c>
    </row>
    <row r="50" spans="2:12" ht="12.75" customHeight="1" x14ac:dyDescent="0.2">
      <c r="I50" s="142"/>
    </row>
    <row r="53" spans="2:12" ht="12.75" hidden="1" customHeight="1" x14ac:dyDescent="0.2">
      <c r="B53" s="46" t="s">
        <v>6535</v>
      </c>
    </row>
    <row r="54" spans="2:12" ht="12.75" hidden="1" customHeight="1" x14ac:dyDescent="0.2">
      <c r="B54" s="46" t="s">
        <v>528</v>
      </c>
    </row>
    <row r="55" spans="2:12" ht="12.75" hidden="1" customHeight="1" x14ac:dyDescent="0.2">
      <c r="B55" s="46" t="s">
        <v>5652</v>
      </c>
    </row>
    <row r="56" spans="2:12" ht="12.75" hidden="1" customHeight="1" x14ac:dyDescent="0.2">
      <c r="B56" s="46" t="s">
        <v>1898</v>
      </c>
    </row>
    <row r="57" spans="2:12" ht="12.75" hidden="1" customHeight="1" x14ac:dyDescent="0.2">
      <c r="B57" s="46" t="s">
        <v>5811</v>
      </c>
    </row>
    <row r="58" spans="2:12" ht="12.75" hidden="1" customHeight="1" x14ac:dyDescent="0.2">
      <c r="B58" s="46" t="s">
        <v>6635</v>
      </c>
    </row>
    <row r="59" spans="2:12" ht="12.75" hidden="1" customHeight="1" x14ac:dyDescent="0.2">
      <c r="B59" s="46" t="s">
        <v>6534</v>
      </c>
    </row>
    <row r="60" spans="2:12" ht="12.75" hidden="1" customHeight="1" x14ac:dyDescent="0.2">
      <c r="B60" s="46" t="s">
        <v>6533</v>
      </c>
    </row>
    <row r="61" spans="2:12" ht="12.75" hidden="1" customHeight="1" x14ac:dyDescent="0.2">
      <c r="B61" s="46" t="s">
        <v>6532</v>
      </c>
    </row>
    <row r="62" spans="2:12" ht="12.75" hidden="1" customHeight="1" x14ac:dyDescent="0.2">
      <c r="B62" s="46" t="s">
        <v>6636</v>
      </c>
    </row>
    <row r="63" spans="2:12" ht="12.75" hidden="1" customHeight="1" x14ac:dyDescent="0.2">
      <c r="B63" s="46" t="s">
        <v>5770</v>
      </c>
    </row>
    <row r="64" spans="2:12" ht="12.75" hidden="1" customHeight="1" x14ac:dyDescent="0.2">
      <c r="B64" s="46" t="s">
        <v>1044</v>
      </c>
    </row>
    <row r="65" spans="2:2" ht="12.75" hidden="1" customHeight="1" x14ac:dyDescent="0.2">
      <c r="B65" s="46" t="s">
        <v>1045</v>
      </c>
    </row>
    <row r="66" spans="2:2" ht="12.75" hidden="1" customHeight="1" x14ac:dyDescent="0.2">
      <c r="B66" s="46" t="s">
        <v>1046</v>
      </c>
    </row>
    <row r="67" spans="2:2" ht="12.75" hidden="1" customHeight="1" x14ac:dyDescent="0.2">
      <c r="B67" s="46" t="s">
        <v>6425</v>
      </c>
    </row>
    <row r="68" spans="2:2" ht="12.75" hidden="1" customHeight="1" x14ac:dyDescent="0.2">
      <c r="B68" s="46" t="s">
        <v>5812</v>
      </c>
    </row>
    <row r="69" spans="2:2" ht="12.75" hidden="1" customHeight="1" x14ac:dyDescent="0.2">
      <c r="B69" s="46" t="s">
        <v>1900</v>
      </c>
    </row>
    <row r="70" spans="2:2" ht="12.75" hidden="1" customHeight="1" x14ac:dyDescent="0.2">
      <c r="B70" s="46" t="s">
        <v>1899</v>
      </c>
    </row>
  </sheetData>
  <sheetProtection algorithmName="SHA-512" hashValue="vJHFLh5JCZxz7njG5lutR1fgKcqE9w2m0nigo6bXIF3xVoBjw8nTN7xj0LkFsbbWrevu3uVbB9QXcIfi8cITXA==" saltValue="X/xUenpEvfjwI71y25RCIw==" spinCount="100000" sheet="1" objects="1" scenarios="1"/>
  <customSheetViews>
    <customSheetView guid="{99B5278F-6EA9-4B1A-8623-27A4DF4AD5E4}" showGridLines="0" hiddenRows="1" hiddenColumns="1">
      <selection activeCell="B8" sqref="B8:E8"/>
      <pageMargins left="0.27559055118110237" right="0.15748031496062992" top="0.39" bottom="0.15748031496062992" header="0.11811023622047245" footer="0.15748031496062992"/>
      <printOptions horizontalCentered="1"/>
      <pageSetup paperSize="9" orientation="landscape" horizontalDpi="300" verticalDpi="300" r:id="rId1"/>
      <headerFooter alignWithMargins="0">
        <oddFooter>&amp;LName&amp;CSignature&amp;RDate</oddFooter>
      </headerFooter>
    </customSheetView>
  </customSheetViews>
  <mergeCells count="38">
    <mergeCell ref="J1:K1"/>
    <mergeCell ref="B1:I1"/>
    <mergeCell ref="B13:E13"/>
    <mergeCell ref="B5:H5"/>
    <mergeCell ref="B10:E10"/>
    <mergeCell ref="B11:E11"/>
    <mergeCell ref="J5:J7"/>
    <mergeCell ref="B12:E12"/>
    <mergeCell ref="B21:E21"/>
    <mergeCell ref="B22:E22"/>
    <mergeCell ref="B7:E7"/>
    <mergeCell ref="B25:E25"/>
    <mergeCell ref="B9:E9"/>
    <mergeCell ref="B8:E8"/>
    <mergeCell ref="B17:H18"/>
    <mergeCell ref="B20:E20"/>
    <mergeCell ref="B19:E19"/>
    <mergeCell ref="B14:E14"/>
    <mergeCell ref="B42:D42"/>
    <mergeCell ref="B31:E31"/>
    <mergeCell ref="B34:E34"/>
    <mergeCell ref="B23:E23"/>
    <mergeCell ref="B38:E38"/>
    <mergeCell ref="E41:E42"/>
    <mergeCell ref="B32:E32"/>
    <mergeCell ref="B35:E35"/>
    <mergeCell ref="B30:E30"/>
    <mergeCell ref="B36:E36"/>
    <mergeCell ref="F41:J41"/>
    <mergeCell ref="B24:E24"/>
    <mergeCell ref="B40:H40"/>
    <mergeCell ref="B33:E33"/>
    <mergeCell ref="B37:E37"/>
    <mergeCell ref="B41:D41"/>
    <mergeCell ref="B29:E29"/>
    <mergeCell ref="B26:E26"/>
    <mergeCell ref="B27:E27"/>
    <mergeCell ref="B28:E28"/>
  </mergeCells>
  <phoneticPr fontId="0" type="noConversion"/>
  <conditionalFormatting sqref="K40">
    <cfRule type="expression" dxfId="878" priority="2" stopIfTrue="1">
      <formula>$K$40=$O$40</formula>
    </cfRule>
  </conditionalFormatting>
  <conditionalFormatting sqref="K43">
    <cfRule type="expression" dxfId="877" priority="1" stopIfTrue="1">
      <formula>$K$43=cv</formula>
    </cfRule>
  </conditionalFormatting>
  <dataValidations count="10">
    <dataValidation type="whole" errorStyle="warning" operator="lessThanOrEqual" allowBlank="1" showInputMessage="1" showErrorMessage="1" errorTitle="Check value entered!" error=" " sqref="J39" xr:uid="{00000000-0002-0000-0E00-000000000000}">
      <formula1>J41</formula1>
    </dataValidation>
    <dataValidation type="list" allowBlank="1" showInputMessage="1" showErrorMessage="1" errorTitle="Choose item from Dropdown list! " sqref="F8:F14" xr:uid="{00000000-0002-0000-0E00-000001000000}">
      <formula1>$Q$3:$Q$5</formula1>
    </dataValidation>
    <dataValidation type="list" allowBlank="1" showInputMessage="1" showErrorMessage="1" errorTitle="Choose item from Dropdown list! " sqref="F20:F38" xr:uid="{00000000-0002-0000-0E00-000002000000}">
      <formula1>$Q$19:$Q$22</formula1>
    </dataValidation>
    <dataValidation type="list" errorStyle="information" allowBlank="1" showInputMessage="1" showErrorMessage="1" error="THIS ASSET IS NOT IN THE LIST!" sqref="B20:E38" xr:uid="{00000000-0002-0000-0E00-000003000000}">
      <formula1>$B$52:$B$70</formula1>
    </dataValidation>
    <dataValidation type="list" allowBlank="1" showInputMessage="1" showErrorMessage="1" errorTitle="Choose item from Dropdown list! " sqref="D47" xr:uid="{00000000-0002-0000-0E00-000004000000}">
      <formula1>$AO$46:$AO$48</formula1>
    </dataValidation>
    <dataValidation type="whole" operator="greaterThan" allowBlank="1" showInputMessage="1" showErrorMessage="1" errorTitle="Cost" error="Please enter a positive numeric value!" sqref="H8:H14 H20:H38" xr:uid="{00000000-0002-0000-0E00-000005000000}">
      <formula1>0</formula1>
    </dataValidation>
    <dataValidation type="list" allowBlank="1" showInputMessage="1" showErrorMessage="1" errorTitle="Choose item from Dropdown list! " sqref="G9:G14" xr:uid="{00000000-0002-0000-0E00-000006000000}">
      <formula1>$W$2:$W$5</formula1>
    </dataValidation>
    <dataValidation allowBlank="1" showInputMessage="1" showErrorMessage="1" errorTitle="Choose item from Dropdown list! " sqref="G8 G20:G38" xr:uid="{00000000-0002-0000-0E00-000007000000}"/>
    <dataValidation type="whole" operator="greaterThanOrEqual" allowBlank="1" showInputMessage="1" showErrorMessage="1" errorTitle="Allocation" error="Please enter a positive value!" sqref="E43:J43" xr:uid="{00000000-0002-0000-0E00-000008000000}">
      <formula1>0</formula1>
    </dataValidation>
    <dataValidation type="whole" errorStyle="warning" allowBlank="1" showInputMessage="1" showErrorMessage="1" errorTitle="Allocation to the FTA" error="Please enter a positive value that does not exceed the total investment allowances for the year unless there are brought forwards!" sqref="J40" xr:uid="{00000000-0002-0000-0E00-000009000000}">
      <formula1>0</formula1>
      <formula2>J39</formula2>
    </dataValidation>
  </dataValidations>
  <hyperlinks>
    <hyperlink ref="B49" location="Index!A1" display="Index!A1" xr:uid="{00000000-0004-0000-0E00-000000000000}"/>
  </hyperlinks>
  <printOptions horizontalCentered="1"/>
  <pageMargins left="0.27559055118110237" right="0.15748031496062992" top="0.17" bottom="0.15748031496062992" header="0.11811023622047245" footer="0.15748031496062992"/>
  <pageSetup paperSize="9" orientation="landscape" r:id="rId2"/>
  <headerFooter alignWithMargins="0">
    <oddFooter>&amp;LName&amp;CSignature&amp;RDate</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pageSetUpPr autoPageBreaks="0" fitToPage="1"/>
  </sheetPr>
  <dimension ref="A1:BZ48"/>
  <sheetViews>
    <sheetView showGridLines="0" workbookViewId="0"/>
  </sheetViews>
  <sheetFormatPr defaultColWidth="0" defaultRowHeight="12.75" customHeight="1" zeroHeight="1" x14ac:dyDescent="0.2"/>
  <cols>
    <col min="1" max="1" width="1" style="28" customWidth="1"/>
    <col min="2" max="2" width="7.28515625" style="28" customWidth="1"/>
    <col min="3" max="3" width="11.7109375" style="28" customWidth="1"/>
    <col min="4" max="4" width="37.42578125" style="28" customWidth="1"/>
    <col min="5" max="5" width="9.7109375" style="28" customWidth="1"/>
    <col min="6" max="6" width="9.7109375" style="492" customWidth="1"/>
    <col min="7" max="8" width="9.7109375" style="31" customWidth="1"/>
    <col min="9" max="9" width="9.7109375" style="28" hidden="1" customWidth="1"/>
    <col min="10" max="11" width="9.7109375" style="31" customWidth="1"/>
    <col min="12" max="12" width="0.42578125" style="31" customWidth="1"/>
    <col min="13" max="13" width="10.5703125" style="31" bestFit="1" customWidth="1"/>
    <col min="14" max="14" width="9.7109375" style="31" customWidth="1"/>
    <col min="15" max="15" width="3" style="28" hidden="1" customWidth="1"/>
    <col min="16" max="19" width="0" style="28" hidden="1" customWidth="1"/>
    <col min="20" max="20" width="18.28515625" style="28" hidden="1" customWidth="1"/>
    <col min="21" max="78" width="0" style="28" hidden="1" customWidth="1"/>
    <col min="79" max="16384" width="0" style="142" hidden="1"/>
  </cols>
  <sheetData>
    <row r="1" spans="1:54" x14ac:dyDescent="0.2">
      <c r="B1" s="4515" t="str">
        <f>_ref1</f>
      </c>
      <c r="C1" s="4516"/>
      <c r="D1" s="4516"/>
      <c r="E1" s="4516"/>
      <c r="F1" s="4516"/>
      <c r="G1" s="4516"/>
      <c r="H1" s="4516"/>
      <c r="I1" s="4516"/>
      <c r="J1" s="4516"/>
      <c r="K1" s="4516"/>
      <c r="L1" s="4516"/>
      <c r="M1" s="476" t="s">
        <v>5210</v>
      </c>
      <c r="N1" s="442">
        <f>ya</f>
      </c>
    </row>
    <row r="2" spans="1:54" ht="15" x14ac:dyDescent="0.2">
      <c r="B2" s="4339" t="s">
        <v>4844</v>
      </c>
      <c r="C2" s="4340"/>
      <c r="D2" s="4340"/>
      <c r="E2" s="4340"/>
      <c r="F2" s="4340"/>
      <c r="G2" s="4340"/>
      <c r="H2" s="4340"/>
      <c r="I2" s="4340"/>
      <c r="J2" s="4340"/>
      <c r="K2" s="4340"/>
      <c r="L2" s="4340"/>
      <c r="M2" s="4340"/>
      <c r="N2" s="4341"/>
      <c r="P2" s="28">
        <v>0.05</v>
      </c>
      <c r="BB2" s="28" t="s">
        <v>4457</v>
      </c>
    </row>
    <row r="3" spans="1:54" x14ac:dyDescent="0.2">
      <c r="B3" s="11" t="s">
        <v>2009</v>
      </c>
      <c r="C3" s="3"/>
      <c r="D3" s="3"/>
      <c r="E3" s="3"/>
      <c r="F3" s="2"/>
      <c r="G3" s="50"/>
      <c r="H3" s="50"/>
      <c r="I3" s="3"/>
      <c r="J3" s="50"/>
      <c r="K3" s="50"/>
      <c r="L3" s="50"/>
      <c r="M3" s="50"/>
      <c r="N3" s="51"/>
      <c r="BB3" s="28" t="s">
        <v>1736</v>
      </c>
    </row>
    <row r="4" spans="1:54" ht="8.25" hidden="1" customHeight="1" x14ac:dyDescent="0.2">
      <c r="A4" s="493"/>
      <c r="B4" s="11"/>
      <c r="C4" s="3"/>
      <c r="D4" s="3"/>
      <c r="E4" s="3"/>
      <c r="F4" s="2"/>
      <c r="G4" s="50"/>
      <c r="H4" s="50"/>
      <c r="I4" s="3"/>
      <c r="J4" s="50"/>
      <c r="K4" s="50"/>
      <c r="L4" s="50"/>
      <c r="M4" s="50"/>
      <c r="N4" s="51"/>
      <c r="S4" s="92">
        <v>0.04</v>
      </c>
      <c r="T4" s="92">
        <v>0.25</v>
      </c>
    </row>
    <row r="5" spans="1:54" hidden="1" x14ac:dyDescent="0.2">
      <c r="B5" s="142"/>
      <c r="C5" s="142"/>
      <c r="D5" s="142"/>
      <c r="E5" s="142"/>
      <c r="F5" s="142"/>
      <c r="G5" s="142"/>
      <c r="H5" s="142"/>
      <c r="I5" s="3"/>
      <c r="J5" s="50"/>
      <c r="K5" s="50"/>
      <c r="L5" s="50"/>
      <c r="M5" s="50"/>
      <c r="N5" s="51"/>
      <c r="O5" s="29"/>
      <c r="S5" s="92">
        <v>0.05</v>
      </c>
      <c r="T5" s="477">
        <v>0.33333333333333298</v>
      </c>
    </row>
    <row r="6" spans="1:54" hidden="1" x14ac:dyDescent="0.2">
      <c r="B6" s="142"/>
      <c r="C6" s="142"/>
      <c r="D6" s="142"/>
      <c r="E6" s="142"/>
      <c r="F6" s="142"/>
      <c r="G6" s="142"/>
      <c r="H6" s="142"/>
      <c r="I6" s="4549" t="s">
        <v>2010</v>
      </c>
      <c r="J6" s="4549"/>
      <c r="K6" s="478">
        <v>0.05</v>
      </c>
      <c r="L6" s="50"/>
      <c r="M6" s="50"/>
      <c r="N6" s="51"/>
      <c r="O6" s="29"/>
      <c r="P6" s="28" t="s">
        <v>363</v>
      </c>
      <c r="U6" s="28" t="s">
        <v>2213</v>
      </c>
      <c r="W6" s="28" t="s">
        <v>2014</v>
      </c>
    </row>
    <row r="7" spans="1:54" hidden="1" x14ac:dyDescent="0.2">
      <c r="B7" s="142"/>
      <c r="C7" s="142"/>
      <c r="D7" s="142"/>
      <c r="E7" s="142"/>
      <c r="F7" s="142"/>
      <c r="G7" s="142"/>
      <c r="H7" s="142"/>
      <c r="I7" s="4549"/>
      <c r="J7" s="4549"/>
      <c r="K7" s="478">
        <v>0.33333333333333298</v>
      </c>
      <c r="L7" s="50"/>
      <c r="M7" s="50"/>
      <c r="N7" s="51"/>
      <c r="O7" s="29"/>
      <c r="P7" s="28" t="s">
        <v>2372</v>
      </c>
      <c r="W7" s="28" t="s">
        <v>4242</v>
      </c>
    </row>
    <row r="8" spans="1:54" ht="6" customHeight="1" x14ac:dyDescent="0.2">
      <c r="B8" s="11"/>
      <c r="C8" s="3"/>
      <c r="D8" s="3"/>
      <c r="E8" s="3"/>
      <c r="F8" s="479"/>
      <c r="G8" s="479"/>
      <c r="H8" s="479"/>
      <c r="I8" s="3"/>
      <c r="J8" s="50"/>
      <c r="K8" s="50"/>
      <c r="L8" s="50"/>
      <c r="M8" s="50"/>
      <c r="N8" s="51"/>
      <c r="O8" s="29"/>
    </row>
    <row r="9" spans="1:54" ht="15" x14ac:dyDescent="0.2">
      <c r="B9" s="4434" t="s">
        <v>6634</v>
      </c>
      <c r="C9" s="4435"/>
      <c r="D9" s="4435"/>
      <c r="E9" s="4435"/>
      <c r="F9" s="4435"/>
      <c r="G9" s="4435"/>
      <c r="H9" s="4435"/>
      <c r="I9" s="4435"/>
      <c r="J9" s="4435"/>
      <c r="K9" s="4436"/>
      <c r="L9" s="50"/>
      <c r="M9" s="50"/>
      <c r="N9" s="51"/>
      <c r="O9" s="29"/>
    </row>
    <row r="10" spans="1:54" ht="29.25" x14ac:dyDescent="0.2">
      <c r="B10" s="4550" t="s">
        <v>3556</v>
      </c>
      <c r="C10" s="4551"/>
      <c r="D10" s="4552"/>
      <c r="E10" s="269" t="s">
        <v>4244</v>
      </c>
      <c r="F10" s="480" t="s">
        <v>6153</v>
      </c>
      <c r="G10" s="401" t="s">
        <v>6959</v>
      </c>
      <c r="H10" s="481" t="s">
        <v>6154</v>
      </c>
      <c r="I10" s="482" t="s">
        <v>3263</v>
      </c>
      <c r="J10" s="401" t="s">
        <v>6174</v>
      </c>
      <c r="K10" s="481" t="s">
        <v>1950</v>
      </c>
      <c r="L10" s="50"/>
      <c r="M10" s="483" t="s">
        <v>6184</v>
      </c>
      <c r="N10" s="51"/>
      <c r="P10" s="28" t="s">
        <v>6959</v>
      </c>
      <c r="Q10" s="28" t="s">
        <v>3979</v>
      </c>
      <c r="R10" s="28" t="s">
        <v>5165</v>
      </c>
      <c r="AG10" s="28" t="s">
        <v>5806</v>
      </c>
      <c r="AH10" s="28" t="s">
        <v>3709</v>
      </c>
      <c r="AI10" s="28" t="s">
        <v>363</v>
      </c>
      <c r="AJ10" s="28" t="s">
        <v>2372</v>
      </c>
      <c r="AK10" s="28" t="s">
        <v>3710</v>
      </c>
    </row>
    <row r="11" spans="1:54" x14ac:dyDescent="0.2">
      <c r="A11" s="29">
        <f t="shared" ref="A11:A16" si="0">COUNTA(C11:H11)</f>
      </c>
      <c r="B11" s="484" t="str">
        <f t="shared" ref="B11:B16" si="1">IF(A11=0,"",IF(A11=5,"","Details!!"))</f>
        <v/>
      </c>
      <c r="C11" s="4317"/>
      <c r="D11" s="4319"/>
      <c r="E11" s="428"/>
      <c r="F11" s="485"/>
      <c r="G11" s="223"/>
      <c r="H11" s="223"/>
      <c r="I11" s="403" t="s">
        <v>363</v>
      </c>
      <c r="J11" s="223"/>
      <c r="K11" s="223"/>
      <c r="L11" s="50"/>
      <c r="M11" s="405" t="str">
        <f t="shared" ref="M11:M16" si="2">IF(G11="","",IF(H11="","",ROUND(S11,0)))</f>
        <v/>
      </c>
      <c r="N11" s="51"/>
      <c r="O11" s="30">
        <f t="shared" ref="O11:O16" si="3">IF(B11="",0,1)</f>
      </c>
      <c r="P11" s="28">
        <f t="shared" ref="P11:P16" si="4">IF(ISBLANK(B11),0,G11-J11)</f>
      </c>
      <c r="Q11" s="28">
        <f t="shared" ref="Q11:Q16" si="5">H11-K11</f>
      </c>
      <c r="R11" s="28">
        <f t="shared" ref="R11:R16" si="6">ROUND(P11*F11,0)</f>
      </c>
      <c r="S11" s="28">
        <f t="shared" ref="S11:S16" si="7">IF(Q11-R11&gt;0,R11,Q11)</f>
      </c>
      <c r="T11" s="32">
        <f t="shared" ref="T11:U16" si="8">G11</f>
      </c>
      <c r="U11" s="32">
        <f t="shared" si="8"/>
        <v>0</v>
      </c>
      <c r="AG11" s="142"/>
      <c r="AH11" s="142"/>
      <c r="AI11" s="142"/>
      <c r="AJ11" s="142"/>
    </row>
    <row r="12" spans="1:54" x14ac:dyDescent="0.2">
      <c r="A12" s="29">
        <f t="shared" si="0"/>
        <v>0</v>
      </c>
      <c r="B12" s="484" t="str">
        <f t="shared" si="1"/>
        <v/>
      </c>
      <c r="C12" s="4317"/>
      <c r="D12" s="4319"/>
      <c r="E12" s="428"/>
      <c r="F12" s="485"/>
      <c r="G12" s="223"/>
      <c r="H12" s="223"/>
      <c r="I12" s="403" t="s">
        <v>363</v>
      </c>
      <c r="J12" s="223"/>
      <c r="K12" s="223"/>
      <c r="L12" s="50"/>
      <c r="M12" s="405" t="str">
        <f t="shared" si="2"/>
        <v/>
      </c>
      <c r="N12" s="51"/>
      <c r="O12" s="30">
        <f t="shared" si="3"/>
        <v>0</v>
      </c>
      <c r="P12" s="28">
        <f t="shared" si="4"/>
        <v>0</v>
      </c>
      <c r="Q12" s="28">
        <f t="shared" si="5"/>
        <v>0</v>
      </c>
      <c r="R12" s="28">
        <f t="shared" si="6"/>
        <v>0</v>
      </c>
      <c r="S12" s="28">
        <f t="shared" si="7"/>
        <v>0</v>
      </c>
      <c r="T12" s="32">
        <f t="shared" si="8"/>
        <v>0</v>
      </c>
      <c r="U12" s="32">
        <f t="shared" si="8"/>
        <v>0</v>
      </c>
      <c r="AD12" s="28" t="s">
        <v>5806</v>
      </c>
      <c r="AG12" s="142"/>
      <c r="AH12" s="142"/>
      <c r="AI12" s="142"/>
      <c r="AJ12" s="142"/>
    </row>
    <row r="13" spans="1:54" x14ac:dyDescent="0.2">
      <c r="A13" s="29">
        <f t="shared" si="0"/>
        <v>0</v>
      </c>
      <c r="B13" s="484" t="str">
        <f t="shared" si="1"/>
        <v/>
      </c>
      <c r="C13" s="4317"/>
      <c r="D13" s="4319"/>
      <c r="E13" s="428"/>
      <c r="F13" s="485"/>
      <c r="G13" s="223"/>
      <c r="H13" s="223"/>
      <c r="I13" s="403" t="s">
        <v>363</v>
      </c>
      <c r="J13" s="223"/>
      <c r="K13" s="223"/>
      <c r="L13" s="50"/>
      <c r="M13" s="405" t="str">
        <f t="shared" si="2"/>
        <v/>
      </c>
      <c r="N13" s="51"/>
      <c r="O13" s="30">
        <f t="shared" si="3"/>
        <v>0</v>
      </c>
      <c r="P13" s="28">
        <f t="shared" si="4"/>
        <v>0</v>
      </c>
      <c r="Q13" s="28">
        <f t="shared" si="5"/>
        <v>0</v>
      </c>
      <c r="R13" s="28">
        <f t="shared" si="6"/>
        <v>0</v>
      </c>
      <c r="S13" s="28">
        <f t="shared" si="7"/>
        <v>0</v>
      </c>
      <c r="T13" s="32">
        <f t="shared" si="8"/>
        <v>0</v>
      </c>
      <c r="U13" s="32">
        <f t="shared" si="8"/>
        <v>0</v>
      </c>
      <c r="AD13" s="28" t="s">
        <v>363</v>
      </c>
      <c r="AG13" s="142"/>
      <c r="AH13" s="142"/>
      <c r="AI13" s="142"/>
      <c r="AJ13" s="142"/>
    </row>
    <row r="14" spans="1:54" x14ac:dyDescent="0.2">
      <c r="A14" s="29">
        <f t="shared" si="0"/>
        <v>0</v>
      </c>
      <c r="B14" s="484" t="str">
        <f t="shared" si="1"/>
        <v/>
      </c>
      <c r="C14" s="4317"/>
      <c r="D14" s="4319"/>
      <c r="E14" s="428"/>
      <c r="F14" s="485"/>
      <c r="G14" s="223"/>
      <c r="H14" s="223"/>
      <c r="I14" s="403" t="s">
        <v>363</v>
      </c>
      <c r="J14" s="223"/>
      <c r="K14" s="223"/>
      <c r="L14" s="50"/>
      <c r="M14" s="405" t="str">
        <f t="shared" si="2"/>
        <v/>
      </c>
      <c r="N14" s="51"/>
      <c r="O14" s="30">
        <f t="shared" si="3"/>
        <v>0</v>
      </c>
      <c r="P14" s="28">
        <f t="shared" si="4"/>
        <v>0</v>
      </c>
      <c r="Q14" s="28">
        <f t="shared" si="5"/>
        <v>0</v>
      </c>
      <c r="R14" s="28">
        <f t="shared" si="6"/>
        <v>0</v>
      </c>
      <c r="S14" s="28">
        <f t="shared" si="7"/>
        <v>0</v>
      </c>
      <c r="T14" s="32">
        <f t="shared" si="8"/>
        <v>0</v>
      </c>
      <c r="U14" s="32">
        <f t="shared" si="8"/>
        <v>0</v>
      </c>
      <c r="AD14" s="28" t="s">
        <v>2372</v>
      </c>
      <c r="AG14" s="142"/>
      <c r="AH14" s="142"/>
      <c r="AI14" s="142"/>
      <c r="AJ14" s="142"/>
    </row>
    <row r="15" spans="1:54" x14ac:dyDescent="0.2">
      <c r="A15" s="29">
        <f t="shared" si="0"/>
        <v>0</v>
      </c>
      <c r="B15" s="484" t="str">
        <f t="shared" si="1"/>
        <v/>
      </c>
      <c r="C15" s="4317"/>
      <c r="D15" s="4319"/>
      <c r="E15" s="428"/>
      <c r="F15" s="485"/>
      <c r="G15" s="223"/>
      <c r="H15" s="223"/>
      <c r="I15" s="403" t="s">
        <v>363</v>
      </c>
      <c r="J15" s="223"/>
      <c r="K15" s="223"/>
      <c r="L15" s="50"/>
      <c r="M15" s="405" t="str">
        <f t="shared" si="2"/>
        <v/>
      </c>
      <c r="N15" s="51"/>
      <c r="O15" s="30">
        <f t="shared" si="3"/>
        <v>0</v>
      </c>
      <c r="P15" s="28">
        <f t="shared" si="4"/>
        <v>0</v>
      </c>
      <c r="Q15" s="28">
        <f t="shared" si="5"/>
        <v>0</v>
      </c>
      <c r="R15" s="28">
        <f t="shared" si="6"/>
        <v>0</v>
      </c>
      <c r="S15" s="28">
        <f t="shared" si="7"/>
        <v>0</v>
      </c>
      <c r="T15" s="32">
        <f t="shared" si="8"/>
        <v>0</v>
      </c>
      <c r="U15" s="32">
        <f t="shared" si="8"/>
        <v>0</v>
      </c>
      <c r="AG15" s="142"/>
      <c r="AH15" s="142"/>
      <c r="AI15" s="142"/>
      <c r="AJ15" s="142"/>
    </row>
    <row r="16" spans="1:54" x14ac:dyDescent="0.2">
      <c r="A16" s="29">
        <f t="shared" si="0"/>
        <v>0</v>
      </c>
      <c r="B16" s="484" t="str">
        <f t="shared" si="1"/>
        <v/>
      </c>
      <c r="C16" s="4317"/>
      <c r="D16" s="4319"/>
      <c r="E16" s="428"/>
      <c r="F16" s="485"/>
      <c r="G16" s="223"/>
      <c r="H16" s="223"/>
      <c r="I16" s="403" t="s">
        <v>363</v>
      </c>
      <c r="J16" s="223"/>
      <c r="K16" s="223"/>
      <c r="L16" s="50"/>
      <c r="M16" s="405" t="str">
        <f t="shared" si="2"/>
        <v/>
      </c>
      <c r="N16" s="51"/>
      <c r="O16" s="30">
        <f t="shared" si="3"/>
        <v>0</v>
      </c>
      <c r="P16" s="28">
        <f t="shared" si="4"/>
        <v>0</v>
      </c>
      <c r="Q16" s="28">
        <f t="shared" si="5"/>
        <v>0</v>
      </c>
      <c r="R16" s="28">
        <f t="shared" si="6"/>
        <v>0</v>
      </c>
      <c r="S16" s="28">
        <f t="shared" si="7"/>
        <v>0</v>
      </c>
      <c r="T16" s="32">
        <f t="shared" si="8"/>
        <v>0</v>
      </c>
      <c r="U16" s="32">
        <f t="shared" si="8"/>
        <v>0</v>
      </c>
      <c r="AG16" s="142"/>
      <c r="AH16" s="142"/>
      <c r="AI16" s="142"/>
      <c r="AJ16" s="142"/>
    </row>
    <row r="17" spans="1:37" x14ac:dyDescent="0.2">
      <c r="A17" s="29">
        <f>SUM(A11:A16)</f>
      </c>
      <c r="B17" s="411" t="s">
        <v>3090</v>
      </c>
      <c r="C17" s="33"/>
      <c r="D17" s="33"/>
      <c r="E17" s="33"/>
      <c r="F17" s="486"/>
      <c r="G17" s="52"/>
      <c r="H17" s="53"/>
      <c r="I17" s="33"/>
      <c r="J17" s="53"/>
      <c r="K17" s="487" t="str">
        <f>IF(G18&lt;&gt;K18,"Tax A/cs !","")</f>
        <v/>
      </c>
      <c r="L17" s="50"/>
      <c r="M17" s="488">
        <f>SUM(M11:M16)</f>
      </c>
      <c r="N17" s="51"/>
      <c r="O17" s="173">
        <f>IF(K17="",0,1)</f>
      </c>
      <c r="P17" s="45">
        <f>SUM(M17:N17)</f>
      </c>
      <c r="Q17" s="40"/>
      <c r="R17" s="40"/>
      <c r="AF17" s="30"/>
      <c r="AG17" s="142"/>
      <c r="AH17" s="142"/>
      <c r="AI17" s="142"/>
      <c r="AJ17" s="142"/>
      <c r="AK17" s="30"/>
    </row>
    <row r="18" spans="1:37" ht="13.5" customHeight="1" x14ac:dyDescent="0.2">
      <c r="B18" s="11"/>
      <c r="C18" s="3"/>
      <c r="D18" s="3"/>
      <c r="E18" s="3"/>
      <c r="F18" s="489"/>
      <c r="G18" s="54">
        <f>COUNT(G11:G16)</f>
      </c>
      <c r="H18" s="50"/>
      <c r="I18" s="3"/>
      <c r="J18" s="56"/>
      <c r="K18" s="54">
        <f>COUNT(M11:N16)</f>
      </c>
      <c r="L18" s="50"/>
      <c r="M18" s="50"/>
      <c r="N18" s="51"/>
      <c r="O18" s="173">
        <f>SUM(O11:O17)+O21</f>
      </c>
      <c r="P18" s="32"/>
      <c r="Q18" s="172"/>
      <c r="R18" s="172"/>
      <c r="S18" s="28">
        <f>SUM(S11:S17)</f>
      </c>
      <c r="V18" s="28" t="s">
        <v>5166</v>
      </c>
      <c r="W18" s="28" t="s">
        <v>5167</v>
      </c>
      <c r="AD18" s="208"/>
      <c r="AE18" s="208"/>
      <c r="AF18" s="208"/>
    </row>
    <row r="19" spans="1:37" ht="25.5" customHeight="1" x14ac:dyDescent="0.2">
      <c r="B19" s="4489" t="s">
        <v>2597</v>
      </c>
      <c r="C19" s="4544"/>
      <c r="D19" s="4544"/>
      <c r="E19" s="4544"/>
      <c r="F19" s="4545"/>
      <c r="G19" s="4484" t="s">
        <v>3393</v>
      </c>
      <c r="H19" s="4486" t="s">
        <v>2596</v>
      </c>
      <c r="I19" s="4487"/>
      <c r="J19" s="4487"/>
      <c r="K19" s="4488"/>
      <c r="L19" s="50"/>
      <c r="M19" s="50"/>
      <c r="N19" s="51"/>
      <c r="O19" s="173"/>
      <c r="P19" s="32"/>
      <c r="Q19" s="172"/>
      <c r="R19" s="172"/>
      <c r="AD19" s="208"/>
      <c r="AE19" s="208"/>
      <c r="AF19" s="208"/>
    </row>
    <row r="20" spans="1:37" ht="13.5" customHeight="1" x14ac:dyDescent="0.2">
      <c r="B20" s="4546"/>
      <c r="C20" s="4547"/>
      <c r="D20" s="4547"/>
      <c r="E20" s="4547"/>
      <c r="F20" s="4548"/>
      <c r="G20" s="4485"/>
      <c r="H20" s="1090" t="s">
        <v>5806</v>
      </c>
      <c r="J20" s="1091" t="s">
        <v>363</v>
      </c>
      <c r="K20" s="1090" t="s">
        <v>2372</v>
      </c>
      <c r="L20" s="50"/>
      <c r="M20" s="50"/>
      <c r="N20" s="51"/>
      <c r="O20" s="173"/>
      <c r="P20" s="32"/>
      <c r="Q20" s="172"/>
      <c r="R20" s="172"/>
      <c r="AD20" s="208"/>
      <c r="AE20" s="208"/>
      <c r="AF20" s="208"/>
    </row>
    <row r="21" spans="1:37" ht="13.5" customHeight="1" x14ac:dyDescent="0.2">
      <c r="A21" s="28">
        <f>COUNT(G21,H21,J21,K21)</f>
      </c>
      <c r="B21" s="459"/>
      <c r="C21" s="460"/>
      <c r="D21" s="460"/>
      <c r="E21" s="460"/>
      <c r="F21" s="1051"/>
      <c r="G21" s="223"/>
      <c r="H21" s="223"/>
      <c r="J21" s="223"/>
      <c r="K21" s="223"/>
      <c r="L21" s="50"/>
      <c r="M21" s="503" t="str">
        <f>IF(AND(M17=0,AE21=0),"",IF(A21&lt;&gt;4,reo,IF(M17&lt;&gt;AE21,cv,"")))</f>
        <v/>
      </c>
      <c r="N21" s="50"/>
      <c r="O21" s="173">
        <f>IF(OR(M21="",M21=cv),0,1)</f>
      </c>
      <c r="P21" s="32">
        <f>COUNT(H21,J21,K21)</f>
      </c>
      <c r="Q21" s="172"/>
      <c r="R21" s="172"/>
      <c r="AD21" s="208"/>
      <c r="AE21" s="239">
        <f>SUM(G21,H21,J21,K21)</f>
      </c>
      <c r="AF21" s="208"/>
      <c r="AG21" s="208"/>
      <c r="AH21" s="208"/>
      <c r="AI21" s="208"/>
      <c r="AJ21" s="208"/>
      <c r="AK21" s="208"/>
    </row>
    <row r="22" spans="1:37" ht="13.5" customHeight="1" x14ac:dyDescent="0.2">
      <c r="B22" s="1310" t="str">
        <f>EUR</f>
        <v/>
      </c>
      <c r="C22" s="3"/>
      <c r="D22" s="3"/>
      <c r="E22" s="3"/>
      <c r="F22" s="3"/>
      <c r="G22" s="3"/>
      <c r="H22" s="414" t="s">
        <v>4645</v>
      </c>
      <c r="J22" s="415">
        <f>M17</f>
      </c>
      <c r="K22" s="414"/>
      <c r="L22" s="414">
        <f>AL17</f>
      </c>
      <c r="M22" s="50"/>
      <c r="N22" s="51"/>
      <c r="O22" s="173"/>
      <c r="P22" s="32"/>
      <c r="Q22" s="172"/>
      <c r="R22" s="172"/>
      <c r="AD22" s="208"/>
      <c r="AE22" s="208"/>
      <c r="AF22" s="208"/>
    </row>
    <row r="23" spans="1:37" ht="15.75" customHeight="1" x14ac:dyDescent="0.2">
      <c r="B23" s="13" t="str">
        <f>_xlfn.SINGLE(MTCA)</f>
      </c>
      <c r="C23" s="14"/>
      <c r="D23" s="14"/>
      <c r="E23" s="468" t="str">
        <f>ver</f>
        <v>TA2_e-CO_2025_Ver 1.1</v>
      </c>
      <c r="F23" s="490"/>
      <c r="G23" s="55"/>
      <c r="H23" s="55"/>
      <c r="I23" s="14"/>
      <c r="J23" s="55"/>
      <c r="K23" s="55"/>
      <c r="L23" s="55"/>
      <c r="M23" s="55"/>
      <c r="N23" s="491" t="s">
        <v>5626</v>
      </c>
      <c r="P23" s="30">
        <f>IF(O18&lt;&gt;0,100,IF(S18=0,0,IF(E25="yes",1,100)))</f>
      </c>
      <c r="V23" s="28" t="s">
        <v>5168</v>
      </c>
      <c r="W23" s="28" t="s">
        <v>5168</v>
      </c>
      <c r="Y23" s="4442" t="s">
        <v>2985</v>
      </c>
      <c r="Z23" s="4442"/>
      <c r="AA23" s="4442"/>
      <c r="AB23" s="40"/>
      <c r="AC23" s="40"/>
      <c r="AD23" s="208"/>
      <c r="AE23" s="208"/>
      <c r="AF23" s="208"/>
    </row>
    <row r="24" spans="1:37" ht="7.5" customHeight="1" x14ac:dyDescent="0.2">
      <c r="W24" s="28">
        <v>1999</v>
      </c>
      <c r="Y24" s="77" t="s">
        <v>3977</v>
      </c>
      <c r="Z24" s="77"/>
      <c r="AA24" s="77" t="s">
        <v>3978</v>
      </c>
      <c r="AC24" s="77"/>
    </row>
    <row r="25" spans="1:37" x14ac:dyDescent="0.2">
      <c r="D25" s="388" t="str">
        <f>COM</f>
      </c>
      <c r="E25" s="331"/>
      <c r="P25" s="28">
        <f>IF(M21=cv,1,0)</f>
      </c>
      <c r="T25" s="32"/>
      <c r="U25" s="32"/>
      <c r="W25" s="28">
        <f t="shared" ref="W25:W41" si="9">IF($N$1&gt;2003,0,IF(E32&lt;&gt;1999,0,IF($N$1=2002,$AA$26,IF($N$1=2003,$AA$25,0))))</f>
      </c>
      <c r="Y25" s="71">
        <v>2002</v>
      </c>
      <c r="AA25" s="92">
        <f>1-SUM(AA26:AA28)</f>
      </c>
      <c r="AD25" s="32"/>
      <c r="AE25" s="32"/>
      <c r="AF25" s="32"/>
    </row>
    <row r="26" spans="1:37" x14ac:dyDescent="0.2">
      <c r="T26" s="32"/>
      <c r="U26" s="32"/>
      <c r="W26" s="28">
        <f t="shared" si="9"/>
        <v>0</v>
      </c>
      <c r="Y26" s="71">
        <f>Y25-1</f>
      </c>
      <c r="Z26" s="92"/>
      <c r="AA26" s="92">
        <f>AA27</f>
      </c>
    </row>
    <row r="27" spans="1:37" x14ac:dyDescent="0.2">
      <c r="D27" s="1311" t="s">
        <v>1816</v>
      </c>
      <c r="T27" s="32"/>
      <c r="U27" s="32"/>
      <c r="W27" s="28">
        <f t="shared" si="9"/>
        <v>0</v>
      </c>
      <c r="Y27" s="71">
        <f>Y26-1</f>
      </c>
      <c r="Z27" s="92"/>
      <c r="AA27" s="92">
        <f>IF(D5=FO,G7,K7)</f>
      </c>
    </row>
    <row r="28" spans="1:37" x14ac:dyDescent="0.2">
      <c r="T28" s="32"/>
      <c r="U28" s="32"/>
      <c r="W28" s="28">
        <f t="shared" si="9"/>
        <v>0</v>
      </c>
      <c r="Y28" s="71">
        <f>Y27-1</f>
      </c>
      <c r="Z28" s="92"/>
      <c r="AA28" s="92">
        <v>0.25</v>
      </c>
    </row>
    <row r="29" spans="1:37" hidden="1" x14ac:dyDescent="0.2">
      <c r="T29" s="32"/>
      <c r="U29" s="32"/>
      <c r="W29" s="28">
        <f t="shared" si="9"/>
        <v>0</v>
      </c>
      <c r="Y29" s="71">
        <v>1998</v>
      </c>
      <c r="Z29" s="92"/>
    </row>
    <row r="30" spans="1:37" hidden="1" x14ac:dyDescent="0.2">
      <c r="B30" s="142"/>
      <c r="C30" s="142"/>
      <c r="D30" s="142"/>
      <c r="E30" s="142"/>
      <c r="F30" s="142"/>
      <c r="G30" s="142"/>
      <c r="H30" s="142"/>
      <c r="I30" s="142"/>
      <c r="J30" s="142"/>
      <c r="K30" s="142"/>
      <c r="L30" s="142"/>
      <c r="M30" s="142"/>
      <c r="N30" s="142"/>
      <c r="T30" s="32"/>
      <c r="U30" s="32"/>
      <c r="W30" s="28">
        <f t="shared" si="9"/>
        <v>0</v>
      </c>
      <c r="Y30" s="71"/>
      <c r="Z30" s="92"/>
      <c r="AA30" s="92"/>
      <c r="AC30" s="32"/>
    </row>
    <row r="31" spans="1:37" hidden="1" x14ac:dyDescent="0.2">
      <c r="B31" s="142"/>
      <c r="C31" s="142"/>
      <c r="D31" s="142"/>
      <c r="E31" s="142"/>
      <c r="F31" s="142"/>
      <c r="G31" s="142"/>
      <c r="H31" s="142"/>
      <c r="I31" s="142"/>
      <c r="J31" s="142"/>
      <c r="K31" s="142"/>
      <c r="L31" s="142"/>
      <c r="M31" s="142"/>
      <c r="N31" s="142"/>
      <c r="T31" s="32"/>
      <c r="U31" s="32"/>
      <c r="W31" s="28">
        <f t="shared" si="9"/>
        <v>0</v>
      </c>
    </row>
    <row r="32" spans="1:37" hidden="1" x14ac:dyDescent="0.2">
      <c r="B32" s="142"/>
      <c r="C32" s="142"/>
      <c r="D32" s="142"/>
      <c r="E32" s="142"/>
      <c r="F32" s="142"/>
      <c r="G32" s="142"/>
      <c r="H32" s="142"/>
      <c r="I32" s="142"/>
      <c r="J32" s="142"/>
      <c r="K32" s="142"/>
      <c r="L32" s="142"/>
      <c r="M32" s="142"/>
      <c r="N32" s="142"/>
      <c r="T32" s="32"/>
      <c r="U32" s="32"/>
      <c r="W32" s="28">
        <f t="shared" si="9"/>
        <v>0</v>
      </c>
    </row>
    <row r="33" spans="2:23" hidden="1" x14ac:dyDescent="0.2">
      <c r="B33" s="142"/>
      <c r="C33" s="142"/>
      <c r="D33" s="142"/>
      <c r="E33" s="142"/>
      <c r="F33" s="142"/>
      <c r="G33" s="142"/>
      <c r="H33" s="142"/>
      <c r="I33" s="142"/>
      <c r="J33" s="142"/>
      <c r="K33" s="142"/>
      <c r="L33" s="142"/>
      <c r="M33" s="142"/>
      <c r="N33" s="142"/>
      <c r="T33" s="32"/>
      <c r="U33" s="32"/>
      <c r="W33" s="28">
        <f t="shared" si="9"/>
        <v>0</v>
      </c>
    </row>
    <row r="34" spans="2:23" hidden="1" x14ac:dyDescent="0.2">
      <c r="B34" s="142"/>
      <c r="C34" s="142"/>
      <c r="D34" s="142"/>
      <c r="E34" s="142"/>
      <c r="F34" s="142"/>
      <c r="G34" s="142"/>
      <c r="H34" s="142"/>
      <c r="I34" s="142"/>
      <c r="J34" s="142"/>
      <c r="K34" s="142"/>
      <c r="L34" s="142"/>
      <c r="M34" s="142"/>
      <c r="N34" s="142"/>
      <c r="T34" s="32"/>
      <c r="U34" s="32"/>
      <c r="W34" s="28">
        <f t="shared" si="9"/>
        <v>0</v>
      </c>
    </row>
    <row r="35" spans="2:23" hidden="1" x14ac:dyDescent="0.2">
      <c r="B35" s="142"/>
      <c r="C35" s="142"/>
      <c r="D35" s="142"/>
      <c r="E35" s="142"/>
      <c r="F35" s="142"/>
      <c r="G35" s="142"/>
      <c r="H35" s="142"/>
      <c r="I35" s="142"/>
      <c r="J35" s="142"/>
      <c r="K35" s="142"/>
      <c r="L35" s="142"/>
      <c r="M35" s="142"/>
      <c r="N35" s="142"/>
      <c r="T35" s="32"/>
      <c r="U35" s="32"/>
      <c r="W35" s="28">
        <f t="shared" si="9"/>
        <v>0</v>
      </c>
    </row>
    <row r="36" spans="2:23" hidden="1" x14ac:dyDescent="0.2">
      <c r="B36" s="142"/>
      <c r="C36" s="142"/>
      <c r="D36" s="142"/>
      <c r="E36" s="142"/>
      <c r="F36" s="142"/>
      <c r="G36" s="142"/>
      <c r="H36" s="142"/>
      <c r="I36" s="142"/>
      <c r="J36" s="142"/>
      <c r="K36" s="142"/>
      <c r="L36" s="142"/>
      <c r="M36" s="142"/>
      <c r="N36" s="142"/>
      <c r="T36" s="32"/>
      <c r="U36" s="32"/>
      <c r="W36" s="28">
        <f t="shared" si="9"/>
        <v>0</v>
      </c>
    </row>
    <row r="37" spans="2:23" hidden="1" x14ac:dyDescent="0.2">
      <c r="B37" s="142"/>
      <c r="C37" s="142"/>
      <c r="D37" s="142"/>
      <c r="E37" s="142"/>
      <c r="F37" s="142"/>
      <c r="G37" s="142"/>
      <c r="H37" s="142"/>
      <c r="I37" s="142"/>
      <c r="J37" s="142"/>
      <c r="K37" s="142"/>
      <c r="L37" s="142"/>
      <c r="M37" s="142"/>
      <c r="N37" s="142"/>
      <c r="T37" s="32"/>
      <c r="U37" s="32"/>
      <c r="W37" s="28">
        <f t="shared" si="9"/>
        <v>0</v>
      </c>
    </row>
    <row r="38" spans="2:23" hidden="1" x14ac:dyDescent="0.2">
      <c r="B38" s="142"/>
      <c r="C38" s="142"/>
      <c r="D38" s="142"/>
      <c r="E38" s="142"/>
      <c r="F38" s="142"/>
      <c r="G38" s="142"/>
      <c r="H38" s="142"/>
      <c r="I38" s="142"/>
      <c r="J38" s="142"/>
      <c r="K38" s="142"/>
      <c r="L38" s="142"/>
      <c r="M38" s="142"/>
      <c r="N38" s="142"/>
      <c r="T38" s="32"/>
      <c r="U38" s="32"/>
      <c r="W38" s="28">
        <f t="shared" si="9"/>
        <v>0</v>
      </c>
    </row>
    <row r="39" spans="2:23" hidden="1" x14ac:dyDescent="0.2">
      <c r="B39" s="142"/>
      <c r="C39" s="142"/>
      <c r="D39" s="142"/>
      <c r="E39" s="142"/>
      <c r="F39" s="142"/>
      <c r="G39" s="142"/>
      <c r="H39" s="142"/>
      <c r="I39" s="142"/>
      <c r="J39" s="142"/>
      <c r="K39" s="142"/>
      <c r="L39" s="142"/>
      <c r="M39" s="142"/>
      <c r="N39" s="142"/>
      <c r="T39" s="32"/>
      <c r="U39" s="32"/>
      <c r="W39" s="28">
        <f t="shared" si="9"/>
        <v>0</v>
      </c>
    </row>
    <row r="40" spans="2:23" hidden="1" x14ac:dyDescent="0.2">
      <c r="B40" s="142"/>
      <c r="C40" s="142"/>
      <c r="D40" s="142"/>
      <c r="E40" s="142"/>
      <c r="F40" s="142"/>
      <c r="G40" s="142"/>
      <c r="H40" s="142"/>
      <c r="I40" s="142"/>
      <c r="J40" s="142"/>
      <c r="K40" s="142"/>
      <c r="L40" s="142"/>
      <c r="M40" s="142"/>
      <c r="N40" s="142"/>
      <c r="T40" s="32"/>
      <c r="U40" s="32"/>
      <c r="W40" s="28">
        <f t="shared" si="9"/>
        <v>0</v>
      </c>
    </row>
    <row r="41" spans="2:23" hidden="1" x14ac:dyDescent="0.2">
      <c r="B41" s="142"/>
      <c r="C41" s="142"/>
      <c r="D41" s="142"/>
      <c r="E41" s="142"/>
      <c r="F41" s="142"/>
      <c r="G41" s="142"/>
      <c r="H41" s="142"/>
      <c r="I41" s="142"/>
      <c r="J41" s="142"/>
      <c r="K41" s="142"/>
      <c r="L41" s="142"/>
      <c r="M41" s="142"/>
      <c r="N41" s="142"/>
      <c r="T41" s="32"/>
      <c r="U41" s="32"/>
      <c r="W41" s="28">
        <f t="shared" si="9"/>
        <v>0</v>
      </c>
    </row>
    <row r="42" spans="2:23" ht="12.75" hidden="1" customHeight="1" x14ac:dyDescent="0.2">
      <c r="B42" s="142"/>
      <c r="C42" s="142"/>
      <c r="D42" s="142"/>
      <c r="E42" s="142"/>
      <c r="F42" s="142"/>
      <c r="G42" s="142"/>
      <c r="H42" s="142"/>
      <c r="I42" s="142"/>
      <c r="J42" s="142"/>
      <c r="K42" s="142"/>
      <c r="L42" s="142"/>
      <c r="M42" s="142"/>
      <c r="N42" s="142"/>
      <c r="S42" s="28">
        <f>SUM(S25:S41)</f>
      </c>
    </row>
    <row r="43" spans="2:23" ht="12" hidden="1" customHeight="1" x14ac:dyDescent="0.2">
      <c r="B43" s="142"/>
      <c r="C43" s="142"/>
      <c r="D43" s="142"/>
      <c r="E43" s="142"/>
      <c r="F43" s="142"/>
      <c r="G43" s="142"/>
      <c r="H43" s="142"/>
      <c r="I43" s="142"/>
      <c r="J43" s="142"/>
      <c r="K43" s="142"/>
      <c r="L43" s="142"/>
      <c r="M43" s="142"/>
      <c r="N43" s="142"/>
    </row>
    <row r="44" spans="2:23" hidden="1" x14ac:dyDescent="0.2">
      <c r="B44" s="142"/>
      <c r="C44" s="142"/>
      <c r="D44" s="142"/>
      <c r="E44" s="142"/>
      <c r="F44" s="142"/>
      <c r="G44" s="142"/>
      <c r="H44" s="142"/>
      <c r="I44" s="142"/>
      <c r="J44" s="142"/>
      <c r="K44" s="142"/>
      <c r="L44" s="142"/>
      <c r="M44" s="142"/>
      <c r="N44" s="142"/>
    </row>
    <row r="45" spans="2:23" ht="12" hidden="1" customHeight="1" x14ac:dyDescent="0.2">
      <c r="B45" s="142"/>
      <c r="C45" s="142"/>
      <c r="D45" s="142"/>
      <c r="E45" s="142"/>
      <c r="F45" s="142"/>
      <c r="G45" s="142"/>
      <c r="H45" s="142"/>
      <c r="I45" s="142"/>
      <c r="J45" s="142"/>
      <c r="K45" s="142"/>
      <c r="L45" s="142"/>
      <c r="M45" s="142"/>
      <c r="N45" s="142"/>
    </row>
    <row r="46" spans="2:23" hidden="1" x14ac:dyDescent="0.2">
      <c r="B46" s="142"/>
      <c r="C46" s="142"/>
      <c r="D46" s="142"/>
      <c r="E46" s="142"/>
      <c r="F46" s="142"/>
      <c r="G46" s="142"/>
      <c r="H46" s="142"/>
      <c r="I46" s="142"/>
      <c r="J46" s="142"/>
      <c r="K46" s="142"/>
      <c r="L46" s="142"/>
      <c r="M46" s="142"/>
      <c r="N46" s="142"/>
    </row>
    <row r="47" spans="2:23" ht="12.75" hidden="1" customHeight="1" x14ac:dyDescent="0.2">
      <c r="B47" s="142"/>
      <c r="C47" s="142"/>
      <c r="D47" s="142"/>
      <c r="E47" s="142"/>
      <c r="F47" s="142"/>
      <c r="G47" s="142"/>
      <c r="H47" s="142"/>
      <c r="I47" s="142"/>
      <c r="J47" s="142"/>
      <c r="K47" s="142"/>
      <c r="L47" s="142"/>
      <c r="M47" s="142"/>
      <c r="N47" s="142"/>
    </row>
    <row r="48" spans="2:23" ht="12.75" hidden="1" customHeight="1" x14ac:dyDescent="0.2">
      <c r="B48" s="142"/>
      <c r="C48" s="142"/>
      <c r="D48" s="142"/>
      <c r="E48" s="142"/>
      <c r="F48" s="142"/>
      <c r="G48" s="142"/>
      <c r="H48" s="142"/>
      <c r="I48" s="142"/>
      <c r="J48" s="142"/>
      <c r="K48" s="142"/>
      <c r="L48" s="142"/>
      <c r="M48" s="142"/>
      <c r="N48" s="142"/>
    </row>
  </sheetData>
  <sheetProtection algorithmName="SHA-512" hashValue="QsQwfsgxr5K6ce1cYBM6Zg65N3KvlW2CrDs6yvJqm5O13DBKRAJF3uG8wEXn7gSM6KzV6JNF+2P1LcsAE+Ns+A==" saltValue="dhjWeH2szb1rcg9LgzPwkA==" spinCount="100000" sheet="1" objects="1" scenarios="1"/>
  <customSheetViews>
    <customSheetView guid="{99B5278F-6EA9-4B1A-8623-27A4DF4AD5E4}" showGridLines="0" fitToPage="1" hiddenRows="1" hiddenColumns="1">
      <selection activeCell="C11" sqref="C11:D11"/>
      <pageMargins left="0.3" right="0.59" top="0.72" bottom="0.37" header="0.13" footer="0.13"/>
      <pageSetup paperSize="9" orientation="landscape" horizontalDpi="300" verticalDpi="300" r:id="rId1"/>
      <headerFooter alignWithMargins="0">
        <oddFooter>&amp;LName&amp;CSignature&amp;RDate</oddFooter>
      </headerFooter>
    </customSheetView>
  </customSheetViews>
  <mergeCells count="16">
    <mergeCell ref="C14:D14"/>
    <mergeCell ref="B10:D10"/>
    <mergeCell ref="C11:D11"/>
    <mergeCell ref="C12:D12"/>
    <mergeCell ref="C13:D13"/>
    <mergeCell ref="B1:L1"/>
    <mergeCell ref="B9:K9"/>
    <mergeCell ref="I7:J7"/>
    <mergeCell ref="I6:J6"/>
    <mergeCell ref="B2:N2"/>
    <mergeCell ref="Y23:AA23"/>
    <mergeCell ref="C15:D15"/>
    <mergeCell ref="C16:D16"/>
    <mergeCell ref="G19:G20"/>
    <mergeCell ref="H19:K19"/>
    <mergeCell ref="B19:F20"/>
  </mergeCells>
  <phoneticPr fontId="0" type="noConversion"/>
  <conditionalFormatting sqref="I6:K7">
    <cfRule type="expression" dxfId="876" priority="1" stopIfTrue="1">
      <formula>$D$5=$W$5</formula>
    </cfRule>
  </conditionalFormatting>
  <conditionalFormatting sqref="M21">
    <cfRule type="expression" dxfId="875" priority="3" stopIfTrue="1">
      <formula>$M$21=cv</formula>
    </cfRule>
  </conditionalFormatting>
  <dataValidations count="10">
    <dataValidation type="whole" operator="lessThanOrEqual" allowBlank="1" showInputMessage="1" showErrorMessage="1" errorTitle="Disposals at WDV" error="Cannot exceed WDV at start of year!" sqref="K11:K16" xr:uid="{00000000-0002-0000-0F00-000000000000}">
      <formula1>U11</formula1>
    </dataValidation>
    <dataValidation type="whole" operator="lessThanOrEqual" allowBlank="1" showInputMessage="1" showErrorMessage="1" errorTitle="Disposals" error="Cannot exceed original cost!" sqref="J11:J16" xr:uid="{00000000-0002-0000-0F00-000001000000}">
      <formula1>T11</formula1>
    </dataValidation>
    <dataValidation type="whole" allowBlank="1" showInputMessage="1" showErrorMessage="1" errorTitle="Accelerated Depreciation" error="Cannot exceed cost_x000a_or_x000a_The original cost has not been indicated_x000a_or_x000a_The property description is blank!_x000a_" sqref="H11:H16" xr:uid="{00000000-0002-0000-0F00-000002000000}">
      <formula1>0</formula1>
      <formula2>P11</formula2>
    </dataValidation>
    <dataValidation allowBlank="1" showInputMessage="1" showErrorMessage="1" errorTitle="Choose item from Dropdown list! " sqref="I11:I16" xr:uid="{00000000-0002-0000-0F00-000003000000}"/>
    <dataValidation type="whole" allowBlank="1" showInputMessage="1" showErrorMessage="1" errorTitle="Accelerated Depreciation" error="Year of acquisition must be between 1987 and 2001 !" sqref="E11:E16" xr:uid="{00000000-0002-0000-0F00-000004000000}">
      <formula1>1987</formula1>
      <formula2>2001</formula2>
    </dataValidation>
    <dataValidation type="list" allowBlank="1" showInputMessage="1" showErrorMessage="1" errorTitle="Choose item from Dropdown list! " sqref="E25" xr:uid="{00000000-0002-0000-0F00-000005000000}">
      <formula1>$BB$1:$BB$3</formula1>
    </dataValidation>
    <dataValidation type="list" allowBlank="1" showInputMessage="1" showErrorMessage="1" errorTitle="Choose item from Dropdown list! " sqref="F11:F16" xr:uid="{00000000-0002-0000-0F00-000006000000}">
      <formula1>$S$3:$S$5</formula1>
    </dataValidation>
    <dataValidation type="textLength" operator="greaterThan" allowBlank="1" showInputMessage="1" showErrorMessage="1" errorTitle="Asset Description" error="Please enter proper asset description!" sqref="C11:D16" xr:uid="{00000000-0002-0000-0F00-000007000000}">
      <formula1>7</formula1>
    </dataValidation>
    <dataValidation type="whole" operator="greaterThanOrEqual" allowBlank="1" showInputMessage="1" showErrorMessage="1" errorTitle="Cost" error="Please enter a positive value!" sqref="G11:G16" xr:uid="{00000000-0002-0000-0F00-000008000000}">
      <formula1>0</formula1>
    </dataValidation>
    <dataValidation type="whole" operator="greaterThanOrEqual" allowBlank="1" showInputMessage="1" showErrorMessage="1" errorTitle="Allocation" error="Please enter a positive value!" sqref="G21:K21" xr:uid="{00000000-0002-0000-0F00-000009000000}">
      <formula1>0</formula1>
    </dataValidation>
  </dataValidations>
  <hyperlinks>
    <hyperlink ref="D27" location="Index!A1" display="Index!A1" xr:uid="{00000000-0004-0000-0F00-000000000000}"/>
  </hyperlinks>
  <pageMargins left="0.3" right="0.59" top="0.72" bottom="0.37" header="0.13" footer="0.13"/>
  <pageSetup paperSize="9" orientation="landscape" r:id="rId2"/>
  <headerFooter alignWithMargins="0">
    <oddFooter>&amp;LName&amp;CSignature&amp;RDate</oddFooter>
  </headerFooter>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CC127"/>
  <sheetViews>
    <sheetView showGridLines="0" workbookViewId="0">
      <selection activeCell="H24" sqref="H24"/>
    </sheetView>
  </sheetViews>
  <sheetFormatPr defaultColWidth="0" defaultRowHeight="18" customHeight="1" zeroHeight="1" x14ac:dyDescent="0.2"/>
  <cols>
    <col min="1" max="1" width="10.28515625" style="31" customWidth="1"/>
    <col min="2" max="2" width="37.42578125" style="31" customWidth="1"/>
    <col min="3" max="3" width="9.7109375" style="60" customWidth="1"/>
    <col min="4" max="4" width="10.28515625" style="60" customWidth="1"/>
    <col min="5" max="6" width="9.28515625" style="60" customWidth="1"/>
    <col min="7" max="7" width="9.42578125" style="60" customWidth="1"/>
    <col min="8" max="12" width="9.28515625" style="60" customWidth="1"/>
    <col min="13" max="13" width="2" style="28" customWidth="1"/>
    <col min="14" max="14" width="7.42578125" style="28" hidden="1" customWidth="1"/>
    <col min="15" max="78" width="9.28515625" style="28" hidden="1" customWidth="1"/>
    <col min="79" max="16384" width="9.28515625" style="142" hidden="1"/>
  </cols>
  <sheetData>
    <row r="1" spans="1:78" ht="12.75" x14ac:dyDescent="0.2">
      <c r="A1" s="4578" t="str">
        <f>_ref1</f>
      </c>
      <c r="B1" s="4579"/>
      <c r="C1" s="4579"/>
      <c r="D1" s="4579"/>
      <c r="E1" s="4579"/>
      <c r="F1" s="4579"/>
      <c r="G1" s="4579"/>
      <c r="H1" s="4579"/>
      <c r="I1" s="4579"/>
      <c r="J1" s="4579"/>
      <c r="K1" s="4580"/>
      <c r="L1" s="494" t="str">
        <f>_YA1</f>
      </c>
      <c r="AZ1" s="1736" t="s">
        <v>5806</v>
      </c>
    </row>
    <row r="2" spans="1:78" ht="15.75" x14ac:dyDescent="0.25">
      <c r="A2" s="4586" t="s">
        <v>2209</v>
      </c>
      <c r="B2" s="4587"/>
      <c r="C2" s="4587"/>
      <c r="D2" s="4587"/>
      <c r="E2" s="4587"/>
      <c r="F2" s="4587"/>
      <c r="G2" s="4587"/>
      <c r="H2" s="4587"/>
      <c r="I2" s="4587"/>
      <c r="J2" s="4587"/>
      <c r="K2" s="4587"/>
      <c r="L2" s="4588"/>
      <c r="AZ2" s="1736" t="s">
        <v>363</v>
      </c>
    </row>
    <row r="3" spans="1:78" ht="15" x14ac:dyDescent="0.2">
      <c r="A3" s="2122" t="s">
        <v>2210</v>
      </c>
      <c r="B3" s="519"/>
      <c r="C3" s="4600" t="str">
        <f>IF(nofs=0,"",IF(AND(Z3&lt;&gt;0,X3=0),"Dividend income reported in TIFD!",IF(AND(X3&gt;0,Z3=0),"No Dividend income reported in TIFD!","")))</f>
        <v/>
      </c>
      <c r="D3" s="4600"/>
      <c r="E3" s="4600"/>
      <c r="F3" s="4600"/>
      <c r="G3" s="4600"/>
      <c r="H3" s="4600"/>
      <c r="I3" s="4600"/>
      <c r="J3" s="4600"/>
      <c r="K3" s="4600"/>
      <c r="L3" s="4601"/>
      <c r="P3" s="30">
        <f>IF('p2'!G22="Y",0,1)</f>
      </c>
      <c r="R3" s="28">
        <f>IF(OR(C3&lt;&gt;"",H81&lt;&gt;"",H90&lt;&gt;"",O74&lt;&gt;0),1,0)</f>
      </c>
      <c r="X3" s="28">
        <f>COUNT(C7:K38,D71:E73,H71:H73,F81,C84:G90)</f>
      </c>
      <c r="Z3" s="28">
        <f>Income!BB37</f>
      </c>
    </row>
    <row r="4" spans="1:78" ht="25.5" customHeight="1" x14ac:dyDescent="0.2">
      <c r="A4" s="4581" t="s">
        <v>2211</v>
      </c>
      <c r="B4" s="4602" t="s">
        <v>3540</v>
      </c>
      <c r="C4" s="4602" t="s">
        <v>1946</v>
      </c>
      <c r="D4" s="4602"/>
      <c r="E4" s="4602"/>
      <c r="F4" s="4602"/>
      <c r="G4" s="4602"/>
      <c r="H4" s="4451" t="s">
        <v>1947</v>
      </c>
      <c r="I4" s="4451"/>
      <c r="J4" s="4451"/>
      <c r="K4" s="4451"/>
      <c r="L4" s="4451" t="s">
        <v>1948</v>
      </c>
    </row>
    <row r="5" spans="1:78" ht="40.5" customHeight="1" x14ac:dyDescent="0.2">
      <c r="A5" s="4581"/>
      <c r="B5" s="4602"/>
      <c r="C5" s="4589" t="s">
        <v>1767</v>
      </c>
      <c r="D5" s="4589" t="s">
        <v>3712</v>
      </c>
      <c r="E5" s="4589" t="s">
        <v>1949</v>
      </c>
      <c r="F5" s="4581" t="s">
        <v>1495</v>
      </c>
      <c r="G5" s="4581" t="s">
        <v>1496</v>
      </c>
      <c r="H5" s="4581" t="s">
        <v>1497</v>
      </c>
      <c r="I5" s="4581" t="s">
        <v>1498</v>
      </c>
      <c r="J5" s="4581" t="s">
        <v>1499</v>
      </c>
      <c r="K5" s="4581" t="s">
        <v>1500</v>
      </c>
      <c r="L5" s="4451"/>
    </row>
    <row r="6" spans="1:78" ht="5.25" customHeight="1" x14ac:dyDescent="0.2">
      <c r="A6" s="4581"/>
      <c r="B6" s="4602"/>
      <c r="C6" s="4590"/>
      <c r="D6" s="4590"/>
      <c r="E6" s="4590"/>
      <c r="F6" s="4581"/>
      <c r="G6" s="4581"/>
      <c r="H6" s="4581"/>
      <c r="I6" s="4581"/>
      <c r="J6" s="4581"/>
      <c r="K6" s="4581"/>
      <c r="L6" s="4451"/>
    </row>
    <row r="7" spans="1:78" s="143" customFormat="1" ht="12.75" x14ac:dyDescent="0.2">
      <c r="A7" s="495"/>
      <c r="B7" s="496"/>
      <c r="C7" s="497"/>
      <c r="D7" s="497"/>
      <c r="E7" s="223"/>
      <c r="F7" s="498"/>
      <c r="G7" s="498"/>
      <c r="H7" s="498"/>
      <c r="I7" s="498"/>
      <c r="J7" s="498"/>
      <c r="K7" s="498"/>
      <c r="L7" s="499">
        <f>ROUND((C7+D7+E7+F7+G7)-(H7+I7+J7+K7),0)</f>
      </c>
      <c r="M7" s="28"/>
      <c r="O7" s="28"/>
      <c r="P7" s="28"/>
      <c r="Q7" s="28"/>
      <c r="R7" s="28"/>
      <c r="S7" s="31"/>
      <c r="T7" s="31"/>
      <c r="U7" s="31"/>
      <c r="V7" s="28"/>
      <c r="W7" s="28"/>
      <c r="X7" s="28"/>
      <c r="Y7" s="28"/>
      <c r="Z7" s="28"/>
      <c r="AA7" s="28"/>
      <c r="AB7" s="28"/>
      <c r="AC7" s="28"/>
      <c r="AD7" s="28"/>
      <c r="AE7" s="28"/>
      <c r="AF7" s="28"/>
      <c r="AG7" s="28"/>
      <c r="AH7" s="28"/>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row>
    <row r="8" spans="1:78" s="143" customFormat="1" ht="12.75" x14ac:dyDescent="0.2">
      <c r="A8" s="495"/>
      <c r="B8" s="496"/>
      <c r="C8" s="497"/>
      <c r="D8" s="497"/>
      <c r="E8" s="497"/>
      <c r="F8" s="498"/>
      <c r="G8" s="498"/>
      <c r="H8" s="498"/>
      <c r="I8" s="498"/>
      <c r="J8" s="498"/>
      <c r="K8" s="498"/>
      <c r="L8" s="499">
        <f t="shared" ref="L8:L38" si="0">ROUND((C8+D8+E8+F8+G8)-(H8+I8+J8+K8),0)</f>
      </c>
      <c r="M8" s="28"/>
      <c r="O8" s="28"/>
      <c r="P8" s="28"/>
      <c r="Q8" s="28"/>
      <c r="R8" s="28"/>
      <c r="S8" s="31"/>
      <c r="T8" s="31"/>
      <c r="U8" s="31"/>
      <c r="V8" s="28"/>
      <c r="W8" s="28"/>
      <c r="X8" s="28"/>
      <c r="Y8" s="28"/>
      <c r="Z8" s="28"/>
      <c r="AA8" s="28"/>
      <c r="AB8" s="28"/>
      <c r="AC8" s="28"/>
      <c r="AD8" s="28"/>
      <c r="AE8" s="28"/>
      <c r="AF8" s="28"/>
      <c r="AG8" s="28"/>
      <c r="AH8" s="28"/>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row>
    <row r="9" spans="1:78" s="143" customFormat="1" ht="12.75" x14ac:dyDescent="0.2">
      <c r="A9" s="495"/>
      <c r="B9" s="496"/>
      <c r="C9" s="497"/>
      <c r="D9" s="497"/>
      <c r="E9" s="497"/>
      <c r="F9" s="498"/>
      <c r="G9" s="498"/>
      <c r="H9" s="498"/>
      <c r="I9" s="498"/>
      <c r="J9" s="498"/>
      <c r="K9" s="498"/>
      <c r="L9" s="499">
        <f t="shared" si="0"/>
        <v>0</v>
      </c>
      <c r="M9" s="28"/>
      <c r="O9" s="28"/>
      <c r="P9" s="28"/>
      <c r="Q9" s="28"/>
      <c r="R9" s="28"/>
      <c r="S9" s="31"/>
      <c r="T9" s="31"/>
      <c r="U9" s="31"/>
      <c r="V9" s="28"/>
      <c r="W9" s="28"/>
      <c r="X9" s="28"/>
      <c r="Y9" s="28"/>
      <c r="Z9" s="28"/>
      <c r="AA9" s="28"/>
      <c r="AB9" s="28"/>
      <c r="AC9" s="28"/>
      <c r="AD9" s="28"/>
      <c r="AE9" s="28"/>
      <c r="AF9" s="28"/>
      <c r="AG9" s="28"/>
      <c r="AH9" s="28"/>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row>
    <row r="10" spans="1:78" s="143" customFormat="1" ht="12.75" x14ac:dyDescent="0.2">
      <c r="A10" s="495"/>
      <c r="B10" s="496"/>
      <c r="C10" s="497"/>
      <c r="D10" s="497"/>
      <c r="E10" s="497"/>
      <c r="F10" s="498"/>
      <c r="G10" s="498"/>
      <c r="H10" s="498"/>
      <c r="I10" s="498"/>
      <c r="J10" s="498"/>
      <c r="K10" s="498"/>
      <c r="L10" s="499">
        <f t="shared" si="0"/>
        <v>0</v>
      </c>
      <c r="M10" s="28"/>
      <c r="O10" s="28"/>
      <c r="P10" s="28"/>
      <c r="Q10" s="28"/>
      <c r="R10" s="28"/>
      <c r="S10" s="31"/>
      <c r="T10" s="31"/>
      <c r="U10" s="31"/>
      <c r="V10" s="28"/>
      <c r="W10" s="28"/>
      <c r="X10" s="28"/>
      <c r="Y10" s="28"/>
      <c r="Z10" s="28"/>
      <c r="AA10" s="28"/>
      <c r="AB10" s="28"/>
      <c r="AC10" s="28"/>
      <c r="AD10" s="28"/>
      <c r="AE10" s="28"/>
      <c r="AF10" s="28"/>
      <c r="AG10" s="28"/>
      <c r="AH10" s="28"/>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row>
    <row r="11" spans="1:78" s="143" customFormat="1" ht="12.75" x14ac:dyDescent="0.2">
      <c r="A11" s="495"/>
      <c r="B11" s="496"/>
      <c r="C11" s="497"/>
      <c r="D11" s="497"/>
      <c r="E11" s="497"/>
      <c r="F11" s="498"/>
      <c r="G11" s="498"/>
      <c r="H11" s="498"/>
      <c r="I11" s="498"/>
      <c r="J11" s="498"/>
      <c r="K11" s="498"/>
      <c r="L11" s="499">
        <f t="shared" si="0"/>
        <v>0</v>
      </c>
      <c r="M11" s="28"/>
      <c r="O11" s="28"/>
      <c r="P11" s="28"/>
      <c r="Q11" s="28"/>
      <c r="R11" s="28"/>
      <c r="S11" s="31"/>
      <c r="T11" s="31"/>
      <c r="U11" s="31"/>
      <c r="V11" s="28"/>
      <c r="W11" s="28"/>
      <c r="X11" s="28"/>
      <c r="Y11" s="28"/>
      <c r="Z11" s="28"/>
      <c r="AA11" s="28"/>
      <c r="AB11" s="28"/>
      <c r="AC11" s="28"/>
      <c r="AD11" s="28"/>
      <c r="AE11" s="28"/>
      <c r="AF11" s="28"/>
      <c r="AG11" s="28"/>
      <c r="AH11" s="28"/>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row>
    <row r="12" spans="1:78" s="143" customFormat="1" ht="12.75" x14ac:dyDescent="0.2">
      <c r="A12" s="495"/>
      <c r="B12" s="496"/>
      <c r="C12" s="497"/>
      <c r="D12" s="497"/>
      <c r="E12" s="497"/>
      <c r="F12" s="498"/>
      <c r="G12" s="498"/>
      <c r="H12" s="498"/>
      <c r="I12" s="498"/>
      <c r="J12" s="498"/>
      <c r="K12" s="498"/>
      <c r="L12" s="499">
        <f t="shared" si="0"/>
        <v>0</v>
      </c>
      <c r="M12" s="28"/>
      <c r="O12" s="28"/>
      <c r="P12" s="28"/>
      <c r="Q12" s="28"/>
      <c r="R12" s="28"/>
      <c r="S12" s="31"/>
      <c r="T12" s="31"/>
      <c r="U12" s="31"/>
      <c r="V12" s="28"/>
      <c r="W12" s="28"/>
      <c r="X12" s="28"/>
      <c r="Y12" s="28"/>
      <c r="Z12" s="28"/>
      <c r="AA12" s="28"/>
      <c r="AB12" s="28"/>
      <c r="AC12" s="28"/>
      <c r="AD12" s="28"/>
      <c r="AE12" s="28"/>
      <c r="AF12" s="28"/>
      <c r="AG12" s="28"/>
      <c r="AH12" s="28"/>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row>
    <row r="13" spans="1:78" s="143" customFormat="1" ht="12.75" x14ac:dyDescent="0.2">
      <c r="A13" s="495"/>
      <c r="B13" s="496"/>
      <c r="C13" s="497"/>
      <c r="D13" s="497"/>
      <c r="E13" s="497"/>
      <c r="F13" s="498"/>
      <c r="G13" s="498"/>
      <c r="H13" s="498"/>
      <c r="I13" s="498"/>
      <c r="J13" s="498"/>
      <c r="K13" s="498"/>
      <c r="L13" s="499">
        <f t="shared" si="0"/>
        <v>0</v>
      </c>
      <c r="M13" s="28"/>
      <c r="O13" s="28"/>
      <c r="P13" s="28"/>
      <c r="Q13" s="28"/>
      <c r="R13" s="28"/>
      <c r="S13" s="31"/>
      <c r="T13" s="31"/>
      <c r="U13" s="31"/>
      <c r="V13" s="28"/>
      <c r="W13" s="28"/>
      <c r="X13" s="28"/>
      <c r="Y13" s="28"/>
      <c r="Z13" s="28"/>
      <c r="AA13" s="28"/>
      <c r="AB13" s="28"/>
      <c r="AC13" s="28"/>
      <c r="AD13" s="28"/>
      <c r="AE13" s="28"/>
      <c r="AF13" s="28"/>
      <c r="AG13" s="28"/>
      <c r="AH13" s="28"/>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row>
    <row r="14" spans="1:78" s="143" customFormat="1" ht="12.75" x14ac:dyDescent="0.2">
      <c r="A14" s="495"/>
      <c r="B14" s="496"/>
      <c r="C14" s="497"/>
      <c r="D14" s="497"/>
      <c r="E14" s="497"/>
      <c r="F14" s="498"/>
      <c r="G14" s="498"/>
      <c r="H14" s="498"/>
      <c r="I14" s="498"/>
      <c r="J14" s="498"/>
      <c r="K14" s="498"/>
      <c r="L14" s="499">
        <f t="shared" si="0"/>
        <v>0</v>
      </c>
      <c r="M14" s="28"/>
      <c r="O14" s="28"/>
      <c r="P14" s="28"/>
      <c r="Q14" s="28"/>
      <c r="R14" s="28"/>
      <c r="S14" s="31"/>
      <c r="T14" s="31"/>
      <c r="U14" s="31"/>
      <c r="V14" s="28"/>
      <c r="W14" s="28"/>
      <c r="X14" s="28"/>
      <c r="Y14" s="28"/>
      <c r="Z14" s="28"/>
      <c r="AA14" s="28"/>
      <c r="AB14" s="28"/>
      <c r="AC14" s="28"/>
      <c r="AD14" s="28"/>
      <c r="AE14" s="28"/>
      <c r="AF14" s="28"/>
      <c r="AG14" s="28"/>
      <c r="AH14" s="28"/>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row>
    <row r="15" spans="1:78" s="143" customFormat="1" ht="12.75" x14ac:dyDescent="0.2">
      <c r="A15" s="495"/>
      <c r="B15" s="496"/>
      <c r="C15" s="497"/>
      <c r="D15" s="497"/>
      <c r="E15" s="497"/>
      <c r="F15" s="498"/>
      <c r="G15" s="498"/>
      <c r="H15" s="498"/>
      <c r="I15" s="498"/>
      <c r="J15" s="498"/>
      <c r="K15" s="498"/>
      <c r="L15" s="499">
        <f t="shared" si="0"/>
        <v>0</v>
      </c>
      <c r="M15" s="28"/>
      <c r="O15" s="28"/>
      <c r="P15" s="28"/>
      <c r="Q15" s="28"/>
      <c r="R15" s="28"/>
      <c r="S15" s="31"/>
      <c r="T15" s="31"/>
      <c r="U15" s="31"/>
      <c r="V15" s="28"/>
      <c r="W15" s="28"/>
      <c r="X15" s="28"/>
      <c r="Y15" s="28"/>
      <c r="Z15" s="28"/>
      <c r="AA15" s="28"/>
      <c r="AB15" s="28"/>
      <c r="AC15" s="28"/>
      <c r="AD15" s="28"/>
      <c r="AE15" s="28"/>
      <c r="AF15" s="28"/>
      <c r="AG15" s="28"/>
      <c r="AH15" s="28"/>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row>
    <row r="16" spans="1:78" s="143" customFormat="1" ht="12.75" x14ac:dyDescent="0.2">
      <c r="A16" s="495"/>
      <c r="B16" s="496"/>
      <c r="C16" s="497"/>
      <c r="D16" s="497"/>
      <c r="E16" s="497"/>
      <c r="F16" s="498"/>
      <c r="G16" s="498"/>
      <c r="H16" s="498"/>
      <c r="I16" s="498"/>
      <c r="J16" s="498"/>
      <c r="K16" s="498"/>
      <c r="L16" s="499">
        <f t="shared" si="0"/>
        <v>0</v>
      </c>
      <c r="M16" s="28"/>
      <c r="O16" s="28"/>
      <c r="P16" s="28"/>
      <c r="Q16" s="28"/>
      <c r="R16" s="28"/>
      <c r="S16" s="31"/>
      <c r="T16" s="31"/>
      <c r="U16" s="31"/>
      <c r="V16" s="28"/>
      <c r="W16" s="28"/>
      <c r="X16" s="28"/>
      <c r="Y16" s="28"/>
      <c r="Z16" s="28"/>
      <c r="AA16" s="28"/>
      <c r="AB16" s="28"/>
      <c r="AC16" s="28"/>
      <c r="AD16" s="28"/>
      <c r="AE16" s="28"/>
      <c r="AF16" s="28"/>
      <c r="AG16" s="28"/>
      <c r="AH16" s="28"/>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row>
    <row r="17" spans="1:78" s="143" customFormat="1" ht="12.75" x14ac:dyDescent="0.2">
      <c r="A17" s="495"/>
      <c r="B17" s="496"/>
      <c r="C17" s="497"/>
      <c r="D17" s="497"/>
      <c r="E17" s="497"/>
      <c r="F17" s="498"/>
      <c r="G17" s="498"/>
      <c r="H17" s="498"/>
      <c r="I17" s="498"/>
      <c r="J17" s="498"/>
      <c r="K17" s="498"/>
      <c r="L17" s="499">
        <f t="shared" si="0"/>
        <v>0</v>
      </c>
      <c r="M17" s="28"/>
      <c r="O17" s="28"/>
      <c r="P17" s="28"/>
      <c r="Q17" s="28"/>
      <c r="R17" s="28"/>
      <c r="S17" s="31"/>
      <c r="T17" s="31"/>
      <c r="U17" s="31"/>
      <c r="V17" s="28"/>
      <c r="W17" s="28"/>
      <c r="X17" s="28"/>
      <c r="Y17" s="28"/>
      <c r="Z17" s="28"/>
      <c r="AA17" s="28"/>
      <c r="AB17" s="28"/>
      <c r="AC17" s="28"/>
      <c r="AD17" s="28"/>
      <c r="AE17" s="28"/>
      <c r="AF17" s="28"/>
      <c r="AG17" s="28"/>
      <c r="AH17" s="28"/>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row>
    <row r="18" spans="1:78" s="143" customFormat="1" ht="12.75" x14ac:dyDescent="0.2">
      <c r="A18" s="495"/>
      <c r="B18" s="496"/>
      <c r="C18" s="497"/>
      <c r="D18" s="497"/>
      <c r="E18" s="497"/>
      <c r="F18" s="498"/>
      <c r="G18" s="498"/>
      <c r="H18" s="498"/>
      <c r="I18" s="498"/>
      <c r="J18" s="498"/>
      <c r="K18" s="498"/>
      <c r="L18" s="499">
        <f t="shared" si="0"/>
        <v>0</v>
      </c>
      <c r="M18" s="28"/>
      <c r="O18" s="28"/>
      <c r="P18" s="28"/>
      <c r="Q18" s="28"/>
      <c r="R18" s="28"/>
      <c r="S18" s="31"/>
      <c r="T18" s="31"/>
      <c r="U18" s="31"/>
      <c r="V18" s="28"/>
      <c r="W18" s="28"/>
      <c r="X18" s="28"/>
      <c r="Y18" s="28"/>
      <c r="Z18" s="28"/>
      <c r="AA18" s="28"/>
      <c r="AB18" s="28"/>
      <c r="AC18" s="28"/>
      <c r="AD18" s="28"/>
      <c r="AE18" s="28"/>
      <c r="AF18" s="28"/>
      <c r="AG18" s="28"/>
      <c r="AH18" s="28"/>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row>
    <row r="19" spans="1:78" s="143" customFormat="1" ht="12.75" x14ac:dyDescent="0.2">
      <c r="A19" s="495"/>
      <c r="B19" s="496"/>
      <c r="C19" s="497"/>
      <c r="D19" s="497"/>
      <c r="E19" s="497"/>
      <c r="F19" s="498"/>
      <c r="G19" s="498"/>
      <c r="H19" s="498"/>
      <c r="I19" s="498"/>
      <c r="J19" s="498"/>
      <c r="K19" s="498"/>
      <c r="L19" s="499">
        <f t="shared" si="0"/>
        <v>0</v>
      </c>
      <c r="M19" s="28"/>
      <c r="O19" s="28"/>
      <c r="P19" s="28"/>
      <c r="Q19" s="28"/>
      <c r="R19" s="28"/>
      <c r="S19" s="31"/>
      <c r="T19" s="31"/>
      <c r="U19" s="31"/>
      <c r="V19" s="28"/>
      <c r="W19" s="28"/>
      <c r="X19" s="28"/>
      <c r="Y19" s="28"/>
      <c r="Z19" s="28"/>
      <c r="AA19" s="28"/>
      <c r="AB19" s="28"/>
      <c r="AC19" s="28"/>
      <c r="AD19" s="28"/>
      <c r="AE19" s="28"/>
      <c r="AF19" s="28"/>
      <c r="AG19" s="28"/>
      <c r="AH19" s="28"/>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row>
    <row r="20" spans="1:78" s="143" customFormat="1" ht="12.75" x14ac:dyDescent="0.2">
      <c r="A20" s="495"/>
      <c r="B20" s="496"/>
      <c r="C20" s="497"/>
      <c r="D20" s="497"/>
      <c r="E20" s="497"/>
      <c r="F20" s="498"/>
      <c r="G20" s="498"/>
      <c r="H20" s="498"/>
      <c r="I20" s="498"/>
      <c r="J20" s="498"/>
      <c r="K20" s="498"/>
      <c r="L20" s="499">
        <f t="shared" si="0"/>
        <v>0</v>
      </c>
      <c r="M20" s="28"/>
      <c r="O20" s="28"/>
      <c r="P20" s="28"/>
      <c r="Q20" s="28"/>
      <c r="R20" s="28"/>
      <c r="S20" s="31"/>
      <c r="T20" s="31"/>
      <c r="U20" s="31"/>
      <c r="V20" s="28"/>
      <c r="W20" s="28"/>
      <c r="X20" s="28"/>
      <c r="Y20" s="28"/>
      <c r="Z20" s="28"/>
      <c r="AA20" s="28"/>
      <c r="AB20" s="28"/>
      <c r="AC20" s="28"/>
      <c r="AD20" s="28"/>
      <c r="AE20" s="28"/>
      <c r="AF20" s="28"/>
      <c r="AG20" s="28"/>
      <c r="AH20" s="28"/>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row>
    <row r="21" spans="1:78" s="143" customFormat="1" ht="12.75" x14ac:dyDescent="0.2">
      <c r="A21" s="495"/>
      <c r="B21" s="496"/>
      <c r="C21" s="497"/>
      <c r="D21" s="497"/>
      <c r="E21" s="497"/>
      <c r="F21" s="498"/>
      <c r="G21" s="498"/>
      <c r="H21" s="498"/>
      <c r="I21" s="498"/>
      <c r="J21" s="498"/>
      <c r="K21" s="498"/>
      <c r="L21" s="499">
        <f t="shared" si="0"/>
        <v>0</v>
      </c>
      <c r="M21" s="28"/>
      <c r="O21" s="28"/>
      <c r="P21" s="28"/>
      <c r="Q21" s="28"/>
      <c r="R21" s="28"/>
      <c r="S21" s="31"/>
      <c r="T21" s="31"/>
      <c r="U21" s="31"/>
      <c r="V21" s="28"/>
      <c r="W21" s="28"/>
      <c r="X21" s="28"/>
      <c r="Y21" s="28"/>
      <c r="Z21" s="28"/>
      <c r="AA21" s="28"/>
      <c r="AB21" s="28"/>
      <c r="AC21" s="28"/>
      <c r="AD21" s="28"/>
      <c r="AE21" s="28"/>
      <c r="AF21" s="28"/>
      <c r="AG21" s="28"/>
      <c r="AH21" s="28"/>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row>
    <row r="22" spans="1:78" s="143" customFormat="1" ht="12.75" x14ac:dyDescent="0.2">
      <c r="A22" s="495"/>
      <c r="B22" s="496"/>
      <c r="C22" s="497"/>
      <c r="D22" s="497"/>
      <c r="E22" s="497"/>
      <c r="F22" s="498"/>
      <c r="G22" s="498"/>
      <c r="H22" s="498"/>
      <c r="I22" s="498"/>
      <c r="J22" s="498"/>
      <c r="K22" s="498"/>
      <c r="L22" s="499">
        <f t="shared" si="0"/>
        <v>0</v>
      </c>
      <c r="M22" s="28"/>
      <c r="O22" s="28"/>
      <c r="P22" s="28"/>
      <c r="Q22" s="28"/>
      <c r="R22" s="28"/>
      <c r="S22" s="31"/>
      <c r="T22" s="31"/>
      <c r="U22" s="31"/>
      <c r="V22" s="28"/>
      <c r="W22" s="28"/>
      <c r="X22" s="28"/>
      <c r="Y22" s="28"/>
      <c r="Z22" s="28"/>
      <c r="AA22" s="28"/>
      <c r="AB22" s="28"/>
      <c r="AC22" s="28"/>
      <c r="AD22" s="28"/>
      <c r="AE22" s="28"/>
      <c r="AF22" s="28"/>
      <c r="AG22" s="28"/>
      <c r="AH22" s="28"/>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row>
    <row r="23" spans="1:78" s="143" customFormat="1" ht="12.75" x14ac:dyDescent="0.2">
      <c r="A23" s="495"/>
      <c r="B23" s="496"/>
      <c r="C23" s="497"/>
      <c r="D23" s="497"/>
      <c r="E23" s="497"/>
      <c r="F23" s="498"/>
      <c r="G23" s="498"/>
      <c r="H23" s="498"/>
      <c r="I23" s="498"/>
      <c r="J23" s="498"/>
      <c r="K23" s="498"/>
      <c r="L23" s="499">
        <f t="shared" si="0"/>
        <v>0</v>
      </c>
      <c r="M23" s="28"/>
      <c r="O23" s="28"/>
      <c r="P23" s="28"/>
      <c r="Q23" s="28"/>
      <c r="R23" s="28"/>
      <c r="S23" s="31"/>
      <c r="T23" s="31"/>
      <c r="U23" s="31"/>
      <c r="V23" s="28"/>
      <c r="W23" s="28"/>
      <c r="X23" s="28"/>
      <c r="Y23" s="28"/>
      <c r="Z23" s="28"/>
      <c r="AA23" s="28"/>
      <c r="AB23" s="28"/>
      <c r="AC23" s="28"/>
      <c r="AD23" s="28"/>
      <c r="AE23" s="28"/>
      <c r="AF23" s="28"/>
      <c r="AG23" s="28"/>
      <c r="AH23" s="28"/>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row>
    <row r="24" spans="1:78" s="143" customFormat="1" ht="12.75" x14ac:dyDescent="0.2">
      <c r="A24" s="495"/>
      <c r="B24" s="496"/>
      <c r="C24" s="497"/>
      <c r="D24" s="497"/>
      <c r="E24" s="497"/>
      <c r="F24" s="498"/>
      <c r="G24" s="498"/>
      <c r="H24" s="498"/>
      <c r="I24" s="498"/>
      <c r="J24" s="498"/>
      <c r="K24" s="498"/>
      <c r="L24" s="499">
        <f t="shared" si="0"/>
        <v>0</v>
      </c>
      <c r="M24" s="28"/>
      <c r="O24" s="28"/>
      <c r="P24" s="28"/>
      <c r="Q24" s="28"/>
      <c r="R24" s="28"/>
      <c r="S24" s="31"/>
      <c r="T24" s="31"/>
      <c r="U24" s="31"/>
      <c r="V24" s="28"/>
      <c r="W24" s="28"/>
      <c r="X24" s="28"/>
      <c r="Y24" s="28"/>
      <c r="Z24" s="28"/>
      <c r="AA24" s="28"/>
      <c r="AB24" s="28"/>
      <c r="AC24" s="28"/>
      <c r="AD24" s="28"/>
      <c r="AE24" s="28"/>
      <c r="AF24" s="28"/>
      <c r="AG24" s="28"/>
      <c r="AH24" s="28"/>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row>
    <row r="25" spans="1:78" s="143" customFormat="1" ht="12.75" x14ac:dyDescent="0.2">
      <c r="A25" s="495"/>
      <c r="B25" s="496"/>
      <c r="C25" s="497"/>
      <c r="D25" s="497"/>
      <c r="E25" s="497"/>
      <c r="F25" s="498"/>
      <c r="G25" s="498"/>
      <c r="H25" s="498"/>
      <c r="I25" s="498"/>
      <c r="J25" s="498"/>
      <c r="K25" s="498"/>
      <c r="L25" s="499">
        <f t="shared" si="0"/>
        <v>0</v>
      </c>
      <c r="M25" s="28"/>
      <c r="O25" s="28"/>
      <c r="P25" s="28"/>
      <c r="Q25" s="28"/>
      <c r="R25" s="28"/>
      <c r="S25" s="31"/>
      <c r="T25" s="31"/>
      <c r="U25" s="31"/>
      <c r="V25" s="28"/>
      <c r="W25" s="28"/>
      <c r="X25" s="28"/>
      <c r="Y25" s="28"/>
      <c r="Z25" s="28"/>
      <c r="AA25" s="28"/>
      <c r="AB25" s="28"/>
      <c r="AC25" s="28"/>
      <c r="AD25" s="28"/>
      <c r="AE25" s="28"/>
      <c r="AF25" s="28"/>
      <c r="AG25" s="28"/>
      <c r="AH25" s="28"/>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row>
    <row r="26" spans="1:78" s="143" customFormat="1" ht="12.75" x14ac:dyDescent="0.2">
      <c r="A26" s="495"/>
      <c r="B26" s="496"/>
      <c r="C26" s="497"/>
      <c r="D26" s="497"/>
      <c r="E26" s="497"/>
      <c r="F26" s="498"/>
      <c r="G26" s="498"/>
      <c r="H26" s="498"/>
      <c r="I26" s="498"/>
      <c r="J26" s="498"/>
      <c r="K26" s="498"/>
      <c r="L26" s="499">
        <f t="shared" si="0"/>
        <v>0</v>
      </c>
      <c r="M26" s="28"/>
      <c r="O26" s="28"/>
      <c r="P26" s="28"/>
      <c r="Q26" s="28"/>
      <c r="R26" s="28"/>
      <c r="S26" s="31"/>
      <c r="T26" s="31"/>
      <c r="U26" s="31"/>
      <c r="V26" s="28"/>
      <c r="W26" s="28"/>
      <c r="X26" s="28"/>
      <c r="Y26" s="28"/>
      <c r="Z26" s="28"/>
      <c r="AA26" s="28"/>
      <c r="AB26" s="28"/>
      <c r="AC26" s="28"/>
      <c r="AD26" s="28"/>
      <c r="AE26" s="28"/>
      <c r="AF26" s="28"/>
      <c r="AG26" s="28"/>
      <c r="AH26" s="28"/>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row>
    <row r="27" spans="1:78" s="143" customFormat="1" ht="12.75" x14ac:dyDescent="0.2">
      <c r="A27" s="495"/>
      <c r="B27" s="496"/>
      <c r="C27" s="497"/>
      <c r="D27" s="497"/>
      <c r="E27" s="497"/>
      <c r="F27" s="498"/>
      <c r="G27" s="498"/>
      <c r="H27" s="498"/>
      <c r="I27" s="498"/>
      <c r="J27" s="498"/>
      <c r="K27" s="498"/>
      <c r="L27" s="499">
        <f t="shared" si="0"/>
        <v>0</v>
      </c>
      <c r="M27" s="28"/>
      <c r="O27" s="28"/>
      <c r="P27" s="28"/>
      <c r="Q27" s="28"/>
      <c r="R27" s="28"/>
      <c r="S27" s="31"/>
      <c r="T27" s="31"/>
      <c r="U27" s="31"/>
      <c r="V27" s="28"/>
      <c r="W27" s="28"/>
      <c r="X27" s="28"/>
      <c r="Y27" s="28"/>
      <c r="Z27" s="28"/>
      <c r="AA27" s="28"/>
      <c r="AB27" s="28"/>
      <c r="AC27" s="28"/>
      <c r="AD27" s="28"/>
      <c r="AE27" s="28"/>
      <c r="AF27" s="28"/>
      <c r="AG27" s="28"/>
      <c r="AH27" s="28"/>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row>
    <row r="28" spans="1:78" s="143" customFormat="1" ht="12.75" x14ac:dyDescent="0.2">
      <c r="A28" s="495"/>
      <c r="B28" s="496"/>
      <c r="C28" s="497"/>
      <c r="D28" s="497"/>
      <c r="E28" s="497"/>
      <c r="F28" s="498"/>
      <c r="G28" s="498"/>
      <c r="H28" s="498"/>
      <c r="I28" s="498"/>
      <c r="J28" s="498"/>
      <c r="K28" s="498"/>
      <c r="L28" s="499">
        <f t="shared" si="0"/>
        <v>0</v>
      </c>
      <c r="M28" s="28"/>
      <c r="O28" s="28"/>
      <c r="P28" s="28"/>
      <c r="Q28" s="28"/>
      <c r="R28" s="28"/>
      <c r="S28" s="31"/>
      <c r="T28" s="31"/>
      <c r="U28" s="31"/>
      <c r="V28" s="28"/>
      <c r="W28" s="28"/>
      <c r="X28" s="28"/>
      <c r="Y28" s="28"/>
      <c r="Z28" s="28"/>
      <c r="AA28" s="28"/>
      <c r="AB28" s="28"/>
      <c r="AC28" s="28"/>
      <c r="AD28" s="28"/>
      <c r="AE28" s="28"/>
      <c r="AF28" s="28"/>
      <c r="AG28" s="28"/>
      <c r="AH28" s="28"/>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row>
    <row r="29" spans="1:78" s="143" customFormat="1" ht="12.75" x14ac:dyDescent="0.2">
      <c r="A29" s="495"/>
      <c r="B29" s="496"/>
      <c r="C29" s="497"/>
      <c r="D29" s="497"/>
      <c r="E29" s="497"/>
      <c r="F29" s="498"/>
      <c r="G29" s="498"/>
      <c r="H29" s="498"/>
      <c r="I29" s="498"/>
      <c r="J29" s="498"/>
      <c r="K29" s="498"/>
      <c r="L29" s="499">
        <f t="shared" si="0"/>
        <v>0</v>
      </c>
      <c r="M29" s="28"/>
      <c r="O29" s="28"/>
      <c r="P29" s="28"/>
      <c r="Q29" s="28"/>
      <c r="R29" s="28"/>
      <c r="S29" s="31"/>
      <c r="T29" s="31"/>
      <c r="U29" s="31"/>
      <c r="V29" s="28"/>
      <c r="W29" s="28"/>
      <c r="X29" s="28"/>
      <c r="Y29" s="28"/>
      <c r="Z29" s="28"/>
      <c r="AA29" s="28"/>
      <c r="AB29" s="28"/>
      <c r="AC29" s="28"/>
      <c r="AD29" s="28"/>
      <c r="AE29" s="28"/>
      <c r="AF29" s="28"/>
      <c r="AG29" s="28"/>
      <c r="AH29" s="28"/>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row>
    <row r="30" spans="1:78" s="143" customFormat="1" ht="12.75" x14ac:dyDescent="0.2">
      <c r="A30" s="495"/>
      <c r="B30" s="496"/>
      <c r="C30" s="497"/>
      <c r="D30" s="497"/>
      <c r="E30" s="497"/>
      <c r="F30" s="498"/>
      <c r="G30" s="498"/>
      <c r="H30" s="498"/>
      <c r="I30" s="498"/>
      <c r="J30" s="498"/>
      <c r="K30" s="498"/>
      <c r="L30" s="499">
        <f t="shared" si="0"/>
        <v>0</v>
      </c>
      <c r="M30" s="28"/>
      <c r="O30" s="28"/>
      <c r="P30" s="28"/>
      <c r="Q30" s="28"/>
      <c r="R30" s="28"/>
      <c r="S30" s="31"/>
      <c r="T30" s="31"/>
      <c r="U30" s="31"/>
      <c r="V30" s="28"/>
      <c r="W30" s="28"/>
      <c r="X30" s="28"/>
      <c r="Y30" s="28"/>
      <c r="Z30" s="28"/>
      <c r="AA30" s="28"/>
      <c r="AB30" s="28"/>
      <c r="AC30" s="28"/>
      <c r="AD30" s="28"/>
      <c r="AE30" s="28"/>
      <c r="AF30" s="28"/>
      <c r="AG30" s="28"/>
      <c r="AH30" s="28"/>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row>
    <row r="31" spans="1:78" s="143" customFormat="1" ht="12.75" x14ac:dyDescent="0.2">
      <c r="A31" s="495"/>
      <c r="B31" s="496"/>
      <c r="C31" s="497"/>
      <c r="D31" s="497"/>
      <c r="E31" s="497"/>
      <c r="F31" s="498"/>
      <c r="G31" s="498"/>
      <c r="H31" s="498"/>
      <c r="I31" s="498"/>
      <c r="J31" s="498"/>
      <c r="K31" s="498"/>
      <c r="L31" s="499">
        <f t="shared" si="0"/>
        <v>0</v>
      </c>
      <c r="M31" s="28"/>
      <c r="O31" s="28"/>
      <c r="P31" s="28"/>
      <c r="Q31" s="28"/>
      <c r="R31" s="28"/>
      <c r="S31" s="31"/>
      <c r="T31" s="31"/>
      <c r="U31" s="31"/>
      <c r="V31" s="28"/>
      <c r="W31" s="28"/>
      <c r="X31" s="28"/>
      <c r="Y31" s="28"/>
      <c r="Z31" s="28"/>
      <c r="AA31" s="28"/>
      <c r="AB31" s="28"/>
      <c r="AC31" s="28"/>
      <c r="AD31" s="28"/>
      <c r="AE31" s="28"/>
      <c r="AF31" s="28"/>
      <c r="AG31" s="28"/>
      <c r="AH31" s="28"/>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row>
    <row r="32" spans="1:78" s="143" customFormat="1" ht="12.75" x14ac:dyDescent="0.2">
      <c r="A32" s="495"/>
      <c r="B32" s="496"/>
      <c r="C32" s="497"/>
      <c r="D32" s="497"/>
      <c r="E32" s="497"/>
      <c r="F32" s="498"/>
      <c r="G32" s="498"/>
      <c r="H32" s="498"/>
      <c r="I32" s="498"/>
      <c r="J32" s="498"/>
      <c r="K32" s="498"/>
      <c r="L32" s="499">
        <f t="shared" si="0"/>
        <v>0</v>
      </c>
      <c r="M32" s="28"/>
      <c r="O32" s="28"/>
      <c r="P32" s="28"/>
      <c r="Q32" s="28"/>
      <c r="R32" s="28"/>
      <c r="S32" s="31"/>
      <c r="T32" s="31"/>
      <c r="U32" s="31"/>
      <c r="V32" s="28"/>
      <c r="W32" s="28"/>
      <c r="X32" s="28"/>
      <c r="Y32" s="28"/>
      <c r="Z32" s="28"/>
      <c r="AA32" s="28"/>
      <c r="AB32" s="28"/>
      <c r="AC32" s="28"/>
      <c r="AD32" s="28"/>
      <c r="AE32" s="28"/>
      <c r="AF32" s="28"/>
      <c r="AG32" s="28"/>
      <c r="AH32" s="28"/>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row>
    <row r="33" spans="1:78" s="143" customFormat="1" ht="12.75" x14ac:dyDescent="0.2">
      <c r="A33" s="495"/>
      <c r="B33" s="496"/>
      <c r="C33" s="497"/>
      <c r="D33" s="497"/>
      <c r="E33" s="497"/>
      <c r="F33" s="498"/>
      <c r="G33" s="498"/>
      <c r="H33" s="498"/>
      <c r="I33" s="498"/>
      <c r="J33" s="498"/>
      <c r="K33" s="498"/>
      <c r="L33" s="499">
        <f t="shared" si="0"/>
        <v>0</v>
      </c>
      <c r="M33" s="28"/>
      <c r="O33" s="28"/>
      <c r="P33" s="28"/>
      <c r="Q33" s="28"/>
      <c r="R33" s="28"/>
      <c r="S33" s="31"/>
      <c r="T33" s="31"/>
      <c r="U33" s="31"/>
      <c r="V33" s="28"/>
      <c r="W33" s="28"/>
      <c r="X33" s="28"/>
      <c r="Y33" s="28"/>
      <c r="Z33" s="28"/>
      <c r="AA33" s="28"/>
      <c r="AB33" s="28"/>
      <c r="AC33" s="28"/>
      <c r="AD33" s="28"/>
      <c r="AE33" s="28"/>
      <c r="AF33" s="28"/>
      <c r="AG33" s="28"/>
      <c r="AH33" s="28"/>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row>
    <row r="34" spans="1:78" s="143" customFormat="1" ht="12.75" x14ac:dyDescent="0.2">
      <c r="A34" s="495"/>
      <c r="B34" s="496"/>
      <c r="C34" s="497"/>
      <c r="D34" s="497"/>
      <c r="E34" s="497"/>
      <c r="F34" s="498"/>
      <c r="G34" s="498"/>
      <c r="H34" s="498"/>
      <c r="I34" s="498"/>
      <c r="J34" s="498"/>
      <c r="K34" s="498"/>
      <c r="L34" s="499">
        <f t="shared" si="0"/>
        <v>0</v>
      </c>
      <c r="M34" s="28"/>
      <c r="O34" s="28"/>
      <c r="P34" s="28"/>
      <c r="Q34" s="28"/>
      <c r="R34" s="28"/>
      <c r="S34" s="31"/>
      <c r="T34" s="31"/>
      <c r="U34" s="31"/>
      <c r="V34" s="28"/>
      <c r="W34" s="28"/>
      <c r="X34" s="28"/>
      <c r="Y34" s="28"/>
      <c r="Z34" s="28"/>
      <c r="AA34" s="28"/>
      <c r="AB34" s="28"/>
      <c r="AC34" s="28"/>
      <c r="AD34" s="28"/>
      <c r="AE34" s="28"/>
      <c r="AF34" s="28"/>
      <c r="AG34" s="28"/>
      <c r="AH34" s="28"/>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row>
    <row r="35" spans="1:78" s="143" customFormat="1" ht="12.75" x14ac:dyDescent="0.2">
      <c r="A35" s="495"/>
      <c r="B35" s="496"/>
      <c r="C35" s="497"/>
      <c r="D35" s="497"/>
      <c r="E35" s="497"/>
      <c r="F35" s="498"/>
      <c r="G35" s="498"/>
      <c r="H35" s="498"/>
      <c r="I35" s="498"/>
      <c r="J35" s="498"/>
      <c r="K35" s="498"/>
      <c r="L35" s="499">
        <f t="shared" si="0"/>
        <v>0</v>
      </c>
      <c r="M35" s="28"/>
      <c r="O35" s="28"/>
      <c r="P35" s="28"/>
      <c r="Q35" s="28"/>
      <c r="R35" s="28"/>
      <c r="S35" s="31"/>
      <c r="T35" s="31"/>
      <c r="U35" s="31"/>
      <c r="V35" s="28"/>
      <c r="W35" s="28"/>
      <c r="X35" s="28"/>
      <c r="Y35" s="28"/>
      <c r="Z35" s="28"/>
      <c r="AA35" s="28"/>
      <c r="AB35" s="28"/>
      <c r="AC35" s="28"/>
      <c r="AD35" s="28"/>
      <c r="AE35" s="28"/>
      <c r="AF35" s="28"/>
      <c r="AG35" s="28"/>
      <c r="AH35" s="28"/>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row>
    <row r="36" spans="1:78" s="143" customFormat="1" ht="12.75" x14ac:dyDescent="0.2">
      <c r="A36" s="495"/>
      <c r="B36" s="496"/>
      <c r="C36" s="497"/>
      <c r="D36" s="497"/>
      <c r="E36" s="497"/>
      <c r="F36" s="498"/>
      <c r="G36" s="498"/>
      <c r="H36" s="498"/>
      <c r="I36" s="498"/>
      <c r="J36" s="498"/>
      <c r="K36" s="498"/>
      <c r="L36" s="499">
        <f t="shared" si="0"/>
        <v>0</v>
      </c>
      <c r="M36" s="28"/>
      <c r="O36" s="28"/>
      <c r="P36" s="28"/>
      <c r="Q36" s="28"/>
      <c r="R36" s="28"/>
      <c r="S36" s="31"/>
      <c r="T36" s="31"/>
      <c r="U36" s="31"/>
      <c r="V36" s="28"/>
      <c r="W36" s="28"/>
      <c r="X36" s="28"/>
      <c r="Y36" s="28"/>
      <c r="Z36" s="28"/>
      <c r="AA36" s="28"/>
      <c r="AB36" s="28"/>
      <c r="AC36" s="28"/>
      <c r="AD36" s="28"/>
      <c r="AE36" s="28"/>
      <c r="AF36" s="28"/>
      <c r="AG36" s="28"/>
      <c r="AH36" s="28"/>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row>
    <row r="37" spans="1:78" s="143" customFormat="1" ht="12.75" x14ac:dyDescent="0.2">
      <c r="A37" s="495"/>
      <c r="B37" s="496"/>
      <c r="C37" s="497"/>
      <c r="D37" s="497"/>
      <c r="E37" s="497"/>
      <c r="F37" s="498"/>
      <c r="G37" s="498"/>
      <c r="H37" s="498"/>
      <c r="I37" s="498"/>
      <c r="J37" s="498"/>
      <c r="K37" s="498"/>
      <c r="L37" s="499">
        <f t="shared" si="0"/>
        <v>0</v>
      </c>
      <c r="M37" s="28"/>
      <c r="O37" s="28"/>
      <c r="P37" s="28"/>
      <c r="Q37" s="28"/>
      <c r="R37" s="28"/>
      <c r="S37" s="31"/>
      <c r="T37" s="31"/>
      <c r="U37" s="31"/>
      <c r="V37" s="28"/>
      <c r="W37" s="28"/>
      <c r="X37" s="28"/>
      <c r="Y37" s="28"/>
      <c r="Z37" s="28"/>
      <c r="AA37" s="28"/>
      <c r="AB37" s="28"/>
      <c r="AC37" s="28"/>
      <c r="AD37" s="28"/>
      <c r="AE37" s="28"/>
      <c r="AF37" s="28"/>
      <c r="AG37" s="28"/>
      <c r="AH37" s="28"/>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row>
    <row r="38" spans="1:78" s="143" customFormat="1" ht="12.75" x14ac:dyDescent="0.2">
      <c r="A38" s="495"/>
      <c r="B38" s="496"/>
      <c r="C38" s="497"/>
      <c r="D38" s="497"/>
      <c r="E38" s="497"/>
      <c r="F38" s="498"/>
      <c r="G38" s="498"/>
      <c r="H38" s="498"/>
      <c r="I38" s="498"/>
      <c r="J38" s="498"/>
      <c r="K38" s="498"/>
      <c r="L38" s="499">
        <f t="shared" si="0"/>
        <v>0</v>
      </c>
      <c r="M38" s="28"/>
      <c r="O38" s="2235" t="s">
        <v>7830</v>
      </c>
      <c r="P38" s="28"/>
      <c r="Q38" s="28"/>
      <c r="R38" s="28"/>
      <c r="S38" s="31"/>
      <c r="T38" s="31"/>
      <c r="U38" s="31"/>
      <c r="V38" s="28"/>
      <c r="W38" s="28"/>
      <c r="X38" s="28"/>
      <c r="Y38" s="28"/>
      <c r="Z38" s="28"/>
      <c r="AA38" s="28"/>
      <c r="AB38" s="28"/>
      <c r="AC38" s="28"/>
      <c r="AD38" s="28"/>
      <c r="AE38" s="28"/>
      <c r="AF38" s="28"/>
      <c r="AG38" s="28"/>
      <c r="AH38" s="28"/>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row>
    <row r="39" spans="1:78" s="143" customFormat="1" ht="12.75" hidden="1" x14ac:dyDescent="0.2">
      <c r="A39" s="495"/>
      <c r="B39" s="496"/>
      <c r="C39" s="3493"/>
      <c r="D39" s="3493"/>
      <c r="E39" s="3493"/>
      <c r="F39" s="3494"/>
      <c r="G39" s="3494"/>
      <c r="H39" s="3494"/>
      <c r="I39" s="3494"/>
      <c r="J39" s="3494"/>
      <c r="K39" s="498"/>
      <c r="L39" s="3495"/>
      <c r="M39" s="28"/>
      <c r="O39" s="2235"/>
      <c r="P39" s="28"/>
      <c r="Q39" s="28"/>
      <c r="R39" s="28"/>
      <c r="S39" s="31"/>
      <c r="T39" s="31"/>
      <c r="U39" s="31"/>
      <c r="V39" s="28"/>
      <c r="W39" s="28"/>
      <c r="X39" s="28"/>
      <c r="Y39" s="28"/>
      <c r="Z39" s="28"/>
      <c r="AA39" s="28"/>
      <c r="AB39" s="28"/>
      <c r="AC39" s="28"/>
      <c r="AD39" s="28"/>
      <c r="AE39" s="28"/>
      <c r="AF39" s="28"/>
      <c r="AG39" s="28"/>
      <c r="AH39" s="28"/>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row>
    <row r="40" spans="1:78" s="143" customFormat="1" ht="12.75" hidden="1" x14ac:dyDescent="0.2">
      <c r="A40" s="495"/>
      <c r="B40" s="496"/>
      <c r="C40" s="3493"/>
      <c r="D40" s="3493"/>
      <c r="E40" s="3493"/>
      <c r="F40" s="3494"/>
      <c r="G40" s="3494"/>
      <c r="H40" s="3494"/>
      <c r="I40" s="3494"/>
      <c r="J40" s="3494"/>
      <c r="K40" s="498"/>
      <c r="L40" s="3495"/>
      <c r="M40" s="28"/>
      <c r="O40" s="2235"/>
      <c r="P40" s="28"/>
      <c r="Q40" s="28"/>
      <c r="R40" s="28"/>
      <c r="S40" s="31"/>
      <c r="T40" s="31"/>
      <c r="U40" s="31"/>
      <c r="V40" s="28"/>
      <c r="W40" s="28"/>
      <c r="X40" s="28"/>
      <c r="Y40" s="28"/>
      <c r="Z40" s="28"/>
      <c r="AA40" s="28"/>
      <c r="AB40" s="28"/>
      <c r="AC40" s="28"/>
      <c r="AD40" s="28"/>
      <c r="AE40" s="28"/>
      <c r="AF40" s="28"/>
      <c r="AG40" s="28"/>
      <c r="AH40" s="28"/>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row>
    <row r="41" spans="1:78" s="143" customFormat="1" ht="12.75" hidden="1" x14ac:dyDescent="0.2">
      <c r="A41" s="495"/>
      <c r="B41" s="496"/>
      <c r="C41" s="3493"/>
      <c r="D41" s="3493"/>
      <c r="E41" s="3493"/>
      <c r="F41" s="3494"/>
      <c r="G41" s="3494"/>
      <c r="H41" s="3494"/>
      <c r="I41" s="3494"/>
      <c r="J41" s="3494"/>
      <c r="K41" s="498"/>
      <c r="L41" s="3495"/>
      <c r="M41" s="28"/>
      <c r="O41" s="2235"/>
      <c r="P41" s="28"/>
      <c r="Q41" s="28"/>
      <c r="R41" s="28"/>
      <c r="S41" s="31"/>
      <c r="T41" s="31"/>
      <c r="U41" s="31"/>
      <c r="V41" s="28"/>
      <c r="W41" s="28"/>
      <c r="X41" s="28"/>
      <c r="Y41" s="28"/>
      <c r="Z41" s="28"/>
      <c r="AA41" s="28"/>
      <c r="AB41" s="28"/>
      <c r="AC41" s="28"/>
      <c r="AD41" s="28"/>
      <c r="AE41" s="28"/>
      <c r="AF41" s="28"/>
      <c r="AG41" s="28"/>
      <c r="AH41" s="28"/>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row>
    <row r="42" spans="1:78" s="143" customFormat="1" ht="12.75" hidden="1" x14ac:dyDescent="0.2">
      <c r="A42" s="495"/>
      <c r="B42" s="496"/>
      <c r="C42" s="3493"/>
      <c r="D42" s="3493"/>
      <c r="E42" s="3493"/>
      <c r="F42" s="3494"/>
      <c r="G42" s="3494"/>
      <c r="H42" s="3494"/>
      <c r="I42" s="3494"/>
      <c r="J42" s="3494"/>
      <c r="K42" s="498"/>
      <c r="L42" s="3495"/>
      <c r="M42" s="28"/>
      <c r="O42" s="2235"/>
      <c r="P42" s="28"/>
      <c r="Q42" s="28"/>
      <c r="R42" s="28"/>
      <c r="S42" s="31"/>
      <c r="T42" s="31"/>
      <c r="U42" s="31"/>
      <c r="V42" s="28"/>
      <c r="W42" s="28"/>
      <c r="X42" s="28"/>
      <c r="Y42" s="28"/>
      <c r="Z42" s="28"/>
      <c r="AA42" s="28"/>
      <c r="AB42" s="28"/>
      <c r="AC42" s="28"/>
      <c r="AD42" s="28"/>
      <c r="AE42" s="28"/>
      <c r="AF42" s="28"/>
      <c r="AG42" s="28"/>
      <c r="AH42" s="28"/>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row>
    <row r="43" spans="1:78" s="143" customFormat="1" ht="12.75" hidden="1" x14ac:dyDescent="0.2">
      <c r="A43" s="495"/>
      <c r="B43" s="496"/>
      <c r="C43" s="3493"/>
      <c r="D43" s="3493"/>
      <c r="E43" s="3493"/>
      <c r="F43" s="3494"/>
      <c r="G43" s="3494"/>
      <c r="H43" s="3494"/>
      <c r="I43" s="3494"/>
      <c r="J43" s="3494"/>
      <c r="K43" s="498"/>
      <c r="L43" s="3495"/>
      <c r="M43" s="28"/>
      <c r="O43" s="2235"/>
      <c r="P43" s="28"/>
      <c r="Q43" s="28"/>
      <c r="R43" s="28"/>
      <c r="S43" s="31"/>
      <c r="T43" s="31"/>
      <c r="U43" s="31"/>
      <c r="V43" s="28"/>
      <c r="W43" s="28"/>
      <c r="X43" s="28"/>
      <c r="Y43" s="28"/>
      <c r="Z43" s="28"/>
      <c r="AA43" s="28"/>
      <c r="AB43" s="28"/>
      <c r="AC43" s="28"/>
      <c r="AD43" s="28"/>
      <c r="AE43" s="28"/>
      <c r="AF43" s="28"/>
      <c r="AG43" s="28"/>
      <c r="AH43" s="28"/>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row>
    <row r="44" spans="1:78" s="143" customFormat="1" ht="12.75" hidden="1" x14ac:dyDescent="0.2">
      <c r="A44" s="495"/>
      <c r="B44" s="496"/>
      <c r="C44" s="3493"/>
      <c r="D44" s="3493"/>
      <c r="E44" s="3493"/>
      <c r="F44" s="3494"/>
      <c r="G44" s="3494"/>
      <c r="H44" s="3494"/>
      <c r="I44" s="3494"/>
      <c r="J44" s="3494"/>
      <c r="K44" s="498"/>
      <c r="L44" s="3495"/>
      <c r="M44" s="28"/>
      <c r="O44" s="2235"/>
      <c r="P44" s="28"/>
      <c r="Q44" s="28"/>
      <c r="R44" s="28"/>
      <c r="S44" s="31"/>
      <c r="T44" s="31"/>
      <c r="U44" s="31"/>
      <c r="V44" s="28"/>
      <c r="W44" s="28"/>
      <c r="X44" s="28"/>
      <c r="Y44" s="28"/>
      <c r="Z44" s="28"/>
      <c r="AA44" s="28"/>
      <c r="AB44" s="28"/>
      <c r="AC44" s="28"/>
      <c r="AD44" s="28"/>
      <c r="AE44" s="28"/>
      <c r="AF44" s="28"/>
      <c r="AG44" s="28"/>
      <c r="AH44" s="28"/>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row>
    <row r="45" spans="1:78" s="143" customFormat="1" ht="12.75" hidden="1" x14ac:dyDescent="0.2">
      <c r="A45" s="495"/>
      <c r="B45" s="496"/>
      <c r="C45" s="3493"/>
      <c r="D45" s="3493"/>
      <c r="E45" s="3493"/>
      <c r="F45" s="3494"/>
      <c r="G45" s="3494"/>
      <c r="H45" s="3494"/>
      <c r="I45" s="3494"/>
      <c r="J45" s="3494"/>
      <c r="K45" s="498"/>
      <c r="L45" s="3495"/>
      <c r="M45" s="28"/>
      <c r="O45" s="2235"/>
      <c r="P45" s="28"/>
      <c r="Q45" s="28"/>
      <c r="R45" s="28"/>
      <c r="S45" s="31"/>
      <c r="T45" s="31"/>
      <c r="U45" s="31"/>
      <c r="V45" s="28"/>
      <c r="W45" s="28"/>
      <c r="X45" s="28"/>
      <c r="Y45" s="28"/>
      <c r="Z45" s="28"/>
      <c r="AA45" s="28"/>
      <c r="AB45" s="28"/>
      <c r="AC45" s="28"/>
      <c r="AD45" s="28"/>
      <c r="AE45" s="28"/>
      <c r="AF45" s="28"/>
      <c r="AG45" s="28"/>
      <c r="AH45" s="28"/>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row>
    <row r="46" spans="1:78" s="143" customFormat="1" ht="12.75" hidden="1" x14ac:dyDescent="0.2">
      <c r="A46" s="495"/>
      <c r="B46" s="496"/>
      <c r="C46" s="3493"/>
      <c r="D46" s="3493"/>
      <c r="E46" s="3493"/>
      <c r="F46" s="3494"/>
      <c r="G46" s="3494"/>
      <c r="H46" s="3494"/>
      <c r="I46" s="3494"/>
      <c r="J46" s="3494"/>
      <c r="K46" s="498"/>
      <c r="L46" s="3495"/>
      <c r="M46" s="28"/>
      <c r="O46" s="2235"/>
      <c r="P46" s="28"/>
      <c r="Q46" s="28"/>
      <c r="R46" s="28"/>
      <c r="S46" s="31"/>
      <c r="T46" s="31"/>
      <c r="U46" s="31"/>
      <c r="V46" s="28"/>
      <c r="W46" s="28"/>
      <c r="X46" s="28"/>
      <c r="Y46" s="28"/>
      <c r="Z46" s="28"/>
      <c r="AA46" s="28"/>
      <c r="AB46" s="28"/>
      <c r="AC46" s="28"/>
      <c r="AD46" s="28"/>
      <c r="AE46" s="28"/>
      <c r="AF46" s="28"/>
      <c r="AG46" s="28"/>
      <c r="AH46" s="28"/>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row>
    <row r="47" spans="1:78" s="143" customFormat="1" ht="12.75" hidden="1" x14ac:dyDescent="0.2">
      <c r="A47" s="495"/>
      <c r="B47" s="496"/>
      <c r="C47" s="3493"/>
      <c r="D47" s="3493"/>
      <c r="E47" s="3493"/>
      <c r="F47" s="3494"/>
      <c r="G47" s="3494"/>
      <c r="H47" s="3494"/>
      <c r="I47" s="3494"/>
      <c r="J47" s="3494"/>
      <c r="K47" s="498"/>
      <c r="L47" s="3495"/>
      <c r="M47" s="28"/>
      <c r="O47" s="2235"/>
      <c r="P47" s="28"/>
      <c r="Q47" s="28"/>
      <c r="R47" s="28"/>
      <c r="S47" s="31"/>
      <c r="T47" s="31"/>
      <c r="U47" s="31"/>
      <c r="V47" s="28"/>
      <c r="W47" s="28"/>
      <c r="X47" s="28"/>
      <c r="Y47" s="28"/>
      <c r="Z47" s="28"/>
      <c r="AA47" s="28"/>
      <c r="AB47" s="28"/>
      <c r="AC47" s="28"/>
      <c r="AD47" s="28"/>
      <c r="AE47" s="28"/>
      <c r="AF47" s="28"/>
      <c r="AG47" s="28"/>
      <c r="AH47" s="28"/>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row>
    <row r="48" spans="1:78" s="143" customFormat="1" ht="12.75" hidden="1" x14ac:dyDescent="0.2">
      <c r="A48" s="495"/>
      <c r="B48" s="496"/>
      <c r="C48" s="3493"/>
      <c r="D48" s="3493"/>
      <c r="E48" s="3493"/>
      <c r="F48" s="3494"/>
      <c r="G48" s="3494"/>
      <c r="H48" s="3494"/>
      <c r="I48" s="3494"/>
      <c r="J48" s="3494"/>
      <c r="K48" s="498"/>
      <c r="L48" s="3495"/>
      <c r="M48" s="28"/>
      <c r="O48" s="2235"/>
      <c r="P48" s="28"/>
      <c r="Q48" s="28"/>
      <c r="R48" s="28"/>
      <c r="S48" s="31"/>
      <c r="T48" s="31"/>
      <c r="U48" s="31"/>
      <c r="V48" s="28"/>
      <c r="W48" s="28"/>
      <c r="X48" s="28"/>
      <c r="Y48" s="28"/>
      <c r="Z48" s="28"/>
      <c r="AA48" s="28"/>
      <c r="AB48" s="28"/>
      <c r="AC48" s="28"/>
      <c r="AD48" s="28"/>
      <c r="AE48" s="28"/>
      <c r="AF48" s="28"/>
      <c r="AG48" s="28"/>
      <c r="AH48" s="28"/>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row>
    <row r="49" spans="1:78" s="143" customFormat="1" ht="12.75" hidden="1" x14ac:dyDescent="0.2">
      <c r="A49" s="495"/>
      <c r="B49" s="496"/>
      <c r="C49" s="3493"/>
      <c r="D49" s="3493"/>
      <c r="E49" s="3493"/>
      <c r="F49" s="3494"/>
      <c r="G49" s="3494"/>
      <c r="H49" s="3494"/>
      <c r="I49" s="3494"/>
      <c r="J49" s="3494"/>
      <c r="K49" s="498"/>
      <c r="L49" s="3495"/>
      <c r="M49" s="28"/>
      <c r="O49" s="2235"/>
      <c r="P49" s="28"/>
      <c r="Q49" s="28"/>
      <c r="R49" s="28"/>
      <c r="S49" s="31"/>
      <c r="T49" s="31"/>
      <c r="U49" s="31"/>
      <c r="V49" s="28"/>
      <c r="W49" s="28"/>
      <c r="X49" s="28"/>
      <c r="Y49" s="28"/>
      <c r="Z49" s="28"/>
      <c r="AA49" s="28"/>
      <c r="AB49" s="28"/>
      <c r="AC49" s="28"/>
      <c r="AD49" s="28"/>
      <c r="AE49" s="28"/>
      <c r="AF49" s="28"/>
      <c r="AG49" s="28"/>
      <c r="AH49" s="28"/>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row>
    <row r="50" spans="1:78" s="143" customFormat="1" ht="12.75" hidden="1" x14ac:dyDescent="0.2">
      <c r="A50" s="495"/>
      <c r="B50" s="496"/>
      <c r="C50" s="3493"/>
      <c r="D50" s="3493"/>
      <c r="E50" s="3493"/>
      <c r="F50" s="3494"/>
      <c r="G50" s="3494"/>
      <c r="H50" s="3494"/>
      <c r="I50" s="3494"/>
      <c r="J50" s="3494"/>
      <c r="K50" s="498"/>
      <c r="L50" s="3495"/>
      <c r="M50" s="28"/>
      <c r="O50" s="2235"/>
      <c r="P50" s="28"/>
      <c r="Q50" s="28"/>
      <c r="R50" s="28"/>
      <c r="S50" s="31"/>
      <c r="T50" s="31"/>
      <c r="U50" s="31"/>
      <c r="V50" s="28"/>
      <c r="W50" s="28"/>
      <c r="X50" s="28"/>
      <c r="Y50" s="28"/>
      <c r="Z50" s="28"/>
      <c r="AA50" s="28"/>
      <c r="AB50" s="28"/>
      <c r="AC50" s="28"/>
      <c r="AD50" s="28"/>
      <c r="AE50" s="28"/>
      <c r="AF50" s="28"/>
      <c r="AG50" s="28"/>
      <c r="AH50" s="28"/>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row>
    <row r="51" spans="1:78" s="143" customFormat="1" ht="12.75" hidden="1" x14ac:dyDescent="0.2">
      <c r="A51" s="495"/>
      <c r="B51" s="496"/>
      <c r="C51" s="3493"/>
      <c r="D51" s="3493"/>
      <c r="E51" s="3493"/>
      <c r="F51" s="3494"/>
      <c r="G51" s="3494"/>
      <c r="H51" s="3494"/>
      <c r="I51" s="3494"/>
      <c r="J51" s="3494"/>
      <c r="K51" s="498"/>
      <c r="L51" s="3495"/>
      <c r="M51" s="28"/>
      <c r="O51" s="2235"/>
      <c r="P51" s="28"/>
      <c r="Q51" s="28"/>
      <c r="R51" s="28"/>
      <c r="S51" s="31"/>
      <c r="T51" s="31"/>
      <c r="U51" s="31"/>
      <c r="V51" s="28"/>
      <c r="W51" s="28"/>
      <c r="X51" s="28"/>
      <c r="Y51" s="28"/>
      <c r="Z51" s="28"/>
      <c r="AA51" s="28"/>
      <c r="AB51" s="28"/>
      <c r="AC51" s="28"/>
      <c r="AD51" s="28"/>
      <c r="AE51" s="28"/>
      <c r="AF51" s="28"/>
      <c r="AG51" s="28"/>
      <c r="AH51" s="28"/>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row>
    <row r="52" spans="1:78" s="143" customFormat="1" ht="12.75" hidden="1" x14ac:dyDescent="0.2">
      <c r="A52" s="495"/>
      <c r="B52" s="496"/>
      <c r="C52" s="3493"/>
      <c r="D52" s="3493"/>
      <c r="E52" s="3493"/>
      <c r="F52" s="3494"/>
      <c r="G52" s="3494"/>
      <c r="H52" s="3494"/>
      <c r="I52" s="3494"/>
      <c r="J52" s="3494"/>
      <c r="K52" s="498"/>
      <c r="L52" s="3495"/>
      <c r="M52" s="28"/>
      <c r="O52" s="2235"/>
      <c r="P52" s="28"/>
      <c r="Q52" s="28"/>
      <c r="R52" s="28"/>
      <c r="S52" s="31"/>
      <c r="T52" s="31"/>
      <c r="U52" s="31"/>
      <c r="V52" s="28"/>
      <c r="W52" s="28"/>
      <c r="X52" s="28"/>
      <c r="Y52" s="28"/>
      <c r="Z52" s="28"/>
      <c r="AA52" s="28"/>
      <c r="AB52" s="28"/>
      <c r="AC52" s="28"/>
      <c r="AD52" s="28"/>
      <c r="AE52" s="28"/>
      <c r="AF52" s="28"/>
      <c r="AG52" s="28"/>
      <c r="AH52" s="28"/>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row>
    <row r="53" spans="1:78" s="143" customFormat="1" ht="12.75" hidden="1" x14ac:dyDescent="0.2">
      <c r="A53" s="495"/>
      <c r="B53" s="496"/>
      <c r="C53" s="3493"/>
      <c r="D53" s="3493"/>
      <c r="E53" s="3493"/>
      <c r="F53" s="3494"/>
      <c r="G53" s="3494"/>
      <c r="H53" s="3494"/>
      <c r="I53" s="3494"/>
      <c r="J53" s="3494"/>
      <c r="K53" s="498"/>
      <c r="L53" s="3495"/>
      <c r="M53" s="28"/>
      <c r="O53" s="2235"/>
      <c r="P53" s="28"/>
      <c r="Q53" s="28"/>
      <c r="R53" s="28"/>
      <c r="S53" s="31"/>
      <c r="T53" s="31"/>
      <c r="U53" s="31"/>
      <c r="V53" s="28"/>
      <c r="W53" s="28"/>
      <c r="X53" s="28"/>
      <c r="Y53" s="28"/>
      <c r="Z53" s="28"/>
      <c r="AA53" s="28"/>
      <c r="AB53" s="28"/>
      <c r="AC53" s="28"/>
      <c r="AD53" s="28"/>
      <c r="AE53" s="28"/>
      <c r="AF53" s="28"/>
      <c r="AG53" s="28"/>
      <c r="AH53" s="28"/>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row>
    <row r="54" spans="1:78" s="143" customFormat="1" ht="12.75" hidden="1" x14ac:dyDescent="0.2">
      <c r="A54" s="495"/>
      <c r="B54" s="496"/>
      <c r="C54" s="3493"/>
      <c r="D54" s="3493"/>
      <c r="E54" s="3493"/>
      <c r="F54" s="3494"/>
      <c r="G54" s="3494"/>
      <c r="H54" s="3494"/>
      <c r="I54" s="3494"/>
      <c r="J54" s="3494"/>
      <c r="K54" s="498"/>
      <c r="L54" s="3495"/>
      <c r="M54" s="28"/>
      <c r="O54" s="2235"/>
      <c r="P54" s="28"/>
      <c r="Q54" s="28"/>
      <c r="R54" s="28"/>
      <c r="S54" s="31"/>
      <c r="T54" s="31"/>
      <c r="U54" s="31"/>
      <c r="V54" s="28"/>
      <c r="W54" s="28"/>
      <c r="X54" s="28"/>
      <c r="Y54" s="28"/>
      <c r="Z54" s="28"/>
      <c r="AA54" s="28"/>
      <c r="AB54" s="28"/>
      <c r="AC54" s="28"/>
      <c r="AD54" s="28"/>
      <c r="AE54" s="28"/>
      <c r="AF54" s="28"/>
      <c r="AG54" s="28"/>
      <c r="AH54" s="28"/>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row>
    <row r="55" spans="1:78" s="143" customFormat="1" ht="12.75" hidden="1" x14ac:dyDescent="0.2">
      <c r="A55" s="495"/>
      <c r="B55" s="496"/>
      <c r="C55" s="3493"/>
      <c r="D55" s="3493"/>
      <c r="E55" s="3493"/>
      <c r="F55" s="3494"/>
      <c r="G55" s="3494"/>
      <c r="H55" s="3494"/>
      <c r="I55" s="3494"/>
      <c r="J55" s="3494"/>
      <c r="K55" s="498"/>
      <c r="L55" s="3495"/>
      <c r="M55" s="28"/>
      <c r="O55" s="2235"/>
      <c r="P55" s="28"/>
      <c r="Q55" s="28"/>
      <c r="R55" s="28"/>
      <c r="S55" s="31"/>
      <c r="T55" s="31"/>
      <c r="U55" s="31"/>
      <c r="V55" s="28"/>
      <c r="W55" s="28"/>
      <c r="X55" s="28"/>
      <c r="Y55" s="28"/>
      <c r="Z55" s="28"/>
      <c r="AA55" s="28"/>
      <c r="AB55" s="28"/>
      <c r="AC55" s="28"/>
      <c r="AD55" s="28"/>
      <c r="AE55" s="28"/>
      <c r="AF55" s="28"/>
      <c r="AG55" s="28"/>
      <c r="AH55" s="28"/>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row>
    <row r="56" spans="1:78" s="143" customFormat="1" ht="12.75" hidden="1" x14ac:dyDescent="0.2">
      <c r="A56" s="495"/>
      <c r="B56" s="496"/>
      <c r="C56" s="3493"/>
      <c r="D56" s="3493"/>
      <c r="E56" s="3493"/>
      <c r="F56" s="3494"/>
      <c r="G56" s="3494"/>
      <c r="H56" s="3494"/>
      <c r="I56" s="3494"/>
      <c r="J56" s="3494"/>
      <c r="K56" s="498"/>
      <c r="L56" s="3495"/>
      <c r="M56" s="28"/>
      <c r="O56" s="2235"/>
      <c r="P56" s="28"/>
      <c r="Q56" s="28"/>
      <c r="R56" s="28"/>
      <c r="S56" s="31"/>
      <c r="T56" s="31"/>
      <c r="U56" s="31"/>
      <c r="V56" s="28"/>
      <c r="W56" s="28"/>
      <c r="X56" s="28"/>
      <c r="Y56" s="28"/>
      <c r="Z56" s="28"/>
      <c r="AA56" s="28"/>
      <c r="AB56" s="28"/>
      <c r="AC56" s="28"/>
      <c r="AD56" s="28"/>
      <c r="AE56" s="28"/>
      <c r="AF56" s="28"/>
      <c r="AG56" s="28"/>
      <c r="AH56" s="28"/>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row>
    <row r="57" spans="1:78" s="143" customFormat="1" ht="12.75" hidden="1" x14ac:dyDescent="0.2">
      <c r="A57" s="495"/>
      <c r="B57" s="496"/>
      <c r="C57" s="3493"/>
      <c r="D57" s="3493"/>
      <c r="E57" s="3493"/>
      <c r="F57" s="3494"/>
      <c r="G57" s="3494"/>
      <c r="H57" s="3494"/>
      <c r="I57" s="3494"/>
      <c r="J57" s="3494"/>
      <c r="K57" s="498"/>
      <c r="L57" s="3495"/>
      <c r="M57" s="28"/>
      <c r="O57" s="2235"/>
      <c r="P57" s="28"/>
      <c r="Q57" s="28"/>
      <c r="R57" s="28"/>
      <c r="S57" s="31"/>
      <c r="T57" s="31"/>
      <c r="U57" s="31"/>
      <c r="V57" s="28"/>
      <c r="W57" s="28"/>
      <c r="X57" s="28"/>
      <c r="Y57" s="28"/>
      <c r="Z57" s="28"/>
      <c r="AA57" s="28"/>
      <c r="AB57" s="28"/>
      <c r="AC57" s="28"/>
      <c r="AD57" s="28"/>
      <c r="AE57" s="28"/>
      <c r="AF57" s="28"/>
      <c r="AG57" s="28"/>
      <c r="AH57" s="28"/>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row>
    <row r="58" spans="1:78" s="143" customFormat="1" ht="12.75" hidden="1" x14ac:dyDescent="0.2">
      <c r="A58" s="495"/>
      <c r="B58" s="496"/>
      <c r="C58" s="3493"/>
      <c r="D58" s="3493"/>
      <c r="E58" s="3493"/>
      <c r="F58" s="3494"/>
      <c r="G58" s="3494"/>
      <c r="H58" s="3494"/>
      <c r="I58" s="3494"/>
      <c r="J58" s="3494"/>
      <c r="K58" s="498"/>
      <c r="L58" s="3495"/>
      <c r="M58" s="28"/>
      <c r="O58" s="2235"/>
      <c r="P58" s="28"/>
      <c r="Q58" s="28"/>
      <c r="R58" s="28"/>
      <c r="S58" s="31"/>
      <c r="T58" s="31"/>
      <c r="U58" s="31"/>
      <c r="V58" s="28"/>
      <c r="W58" s="28"/>
      <c r="X58" s="28"/>
      <c r="Y58" s="28"/>
      <c r="Z58" s="28"/>
      <c r="AA58" s="28"/>
      <c r="AB58" s="28"/>
      <c r="AC58" s="28"/>
      <c r="AD58" s="28"/>
      <c r="AE58" s="28"/>
      <c r="AF58" s="28"/>
      <c r="AG58" s="28"/>
      <c r="AH58" s="28"/>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row>
    <row r="59" spans="1:78" s="143" customFormat="1" ht="12.75" hidden="1" x14ac:dyDescent="0.2">
      <c r="A59" s="495"/>
      <c r="B59" s="496"/>
      <c r="C59" s="3493"/>
      <c r="D59" s="3493"/>
      <c r="E59" s="3493"/>
      <c r="F59" s="3494"/>
      <c r="G59" s="3494"/>
      <c r="H59" s="3494"/>
      <c r="I59" s="3494"/>
      <c r="J59" s="3494"/>
      <c r="K59" s="498"/>
      <c r="L59" s="3495"/>
      <c r="M59" s="28"/>
      <c r="O59" s="2235"/>
      <c r="P59" s="28"/>
      <c r="Q59" s="28"/>
      <c r="R59" s="28"/>
      <c r="S59" s="31"/>
      <c r="T59" s="31"/>
      <c r="U59" s="31"/>
      <c r="V59" s="28"/>
      <c r="W59" s="28"/>
      <c r="X59" s="28"/>
      <c r="Y59" s="28"/>
      <c r="Z59" s="28"/>
      <c r="AA59" s="28"/>
      <c r="AB59" s="28"/>
      <c r="AC59" s="28"/>
      <c r="AD59" s="28"/>
      <c r="AE59" s="28"/>
      <c r="AF59" s="28"/>
      <c r="AG59" s="28"/>
      <c r="AH59" s="28"/>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row>
    <row r="60" spans="1:78" s="143" customFormat="1" ht="12.75" hidden="1" x14ac:dyDescent="0.2">
      <c r="A60" s="495"/>
      <c r="B60" s="496"/>
      <c r="C60" s="3493"/>
      <c r="D60" s="3493"/>
      <c r="E60" s="3493"/>
      <c r="F60" s="3494"/>
      <c r="G60" s="3494"/>
      <c r="H60" s="3494"/>
      <c r="I60" s="3494"/>
      <c r="J60" s="3494"/>
      <c r="K60" s="498"/>
      <c r="L60" s="3495"/>
      <c r="M60" s="28"/>
      <c r="O60" s="2235"/>
      <c r="P60" s="28"/>
      <c r="Q60" s="28"/>
      <c r="R60" s="28"/>
      <c r="S60" s="31"/>
      <c r="T60" s="31"/>
      <c r="U60" s="31"/>
      <c r="V60" s="28"/>
      <c r="W60" s="28"/>
      <c r="X60" s="28"/>
      <c r="Y60" s="28"/>
      <c r="Z60" s="28"/>
      <c r="AA60" s="28"/>
      <c r="AB60" s="28"/>
      <c r="AC60" s="28"/>
      <c r="AD60" s="28"/>
      <c r="AE60" s="28"/>
      <c r="AF60" s="28"/>
      <c r="AG60" s="28"/>
      <c r="AH60" s="28"/>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row>
    <row r="61" spans="1:78" s="143" customFormat="1" ht="12.75" hidden="1" x14ac:dyDescent="0.2">
      <c r="A61" s="495"/>
      <c r="B61" s="496"/>
      <c r="C61" s="3493"/>
      <c r="D61" s="3493"/>
      <c r="E61" s="3493"/>
      <c r="F61" s="3494"/>
      <c r="G61" s="3494"/>
      <c r="H61" s="3494"/>
      <c r="I61" s="3494"/>
      <c r="J61" s="3494"/>
      <c r="K61" s="498"/>
      <c r="L61" s="3495"/>
      <c r="M61" s="28"/>
      <c r="O61" s="2235"/>
      <c r="P61" s="28"/>
      <c r="Q61" s="28"/>
      <c r="R61" s="28"/>
      <c r="S61" s="31"/>
      <c r="T61" s="31"/>
      <c r="U61" s="31"/>
      <c r="V61" s="28"/>
      <c r="W61" s="28"/>
      <c r="X61" s="28"/>
      <c r="Y61" s="28"/>
      <c r="Z61" s="28"/>
      <c r="AA61" s="28"/>
      <c r="AB61" s="28"/>
      <c r="AC61" s="28"/>
      <c r="AD61" s="28"/>
      <c r="AE61" s="28"/>
      <c r="AF61" s="28"/>
      <c r="AG61" s="28"/>
      <c r="AH61" s="28"/>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row>
    <row r="62" spans="1:78" s="143" customFormat="1" ht="12.75" hidden="1" x14ac:dyDescent="0.2">
      <c r="A62" s="495"/>
      <c r="B62" s="496"/>
      <c r="C62" s="3493"/>
      <c r="D62" s="3493"/>
      <c r="E62" s="3493"/>
      <c r="F62" s="3494"/>
      <c r="G62" s="3494"/>
      <c r="H62" s="3494"/>
      <c r="I62" s="3494"/>
      <c r="J62" s="3494"/>
      <c r="K62" s="498"/>
      <c r="L62" s="3495"/>
      <c r="M62" s="28"/>
      <c r="O62" s="2235"/>
      <c r="P62" s="28"/>
      <c r="Q62" s="28"/>
      <c r="R62" s="28"/>
      <c r="S62" s="31"/>
      <c r="T62" s="31"/>
      <c r="U62" s="31"/>
      <c r="V62" s="28"/>
      <c r="W62" s="28"/>
      <c r="X62" s="28"/>
      <c r="Y62" s="28"/>
      <c r="Z62" s="28"/>
      <c r="AA62" s="28"/>
      <c r="AB62" s="28"/>
      <c r="AC62" s="28"/>
      <c r="AD62" s="28"/>
      <c r="AE62" s="28"/>
      <c r="AF62" s="28"/>
      <c r="AG62" s="28"/>
      <c r="AH62" s="28"/>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row>
    <row r="63" spans="1:78" s="143" customFormat="1" ht="12.75" hidden="1" x14ac:dyDescent="0.2">
      <c r="A63" s="495"/>
      <c r="B63" s="496"/>
      <c r="C63" s="3493"/>
      <c r="D63" s="3493"/>
      <c r="E63" s="3493"/>
      <c r="F63" s="3494"/>
      <c r="G63" s="3494"/>
      <c r="H63" s="3494"/>
      <c r="I63" s="3494"/>
      <c r="J63" s="3494"/>
      <c r="K63" s="498"/>
      <c r="L63" s="3495"/>
      <c r="M63" s="28"/>
      <c r="O63" s="2235"/>
      <c r="P63" s="28"/>
      <c r="Q63" s="28"/>
      <c r="R63" s="28"/>
      <c r="S63" s="31"/>
      <c r="T63" s="31"/>
      <c r="U63" s="31"/>
      <c r="V63" s="28"/>
      <c r="W63" s="28"/>
      <c r="X63" s="28"/>
      <c r="Y63" s="28"/>
      <c r="Z63" s="28"/>
      <c r="AA63" s="28"/>
      <c r="AB63" s="28"/>
      <c r="AC63" s="28"/>
      <c r="AD63" s="28"/>
      <c r="AE63" s="28"/>
      <c r="AF63" s="28"/>
      <c r="AG63" s="28"/>
      <c r="AH63" s="28"/>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row>
    <row r="64" spans="1:78" s="143" customFormat="1" ht="12.75" hidden="1" x14ac:dyDescent="0.2">
      <c r="A64" s="495"/>
      <c r="B64" s="496"/>
      <c r="C64" s="3493"/>
      <c r="D64" s="3493"/>
      <c r="E64" s="3493"/>
      <c r="F64" s="3494"/>
      <c r="G64" s="3494"/>
      <c r="H64" s="3494"/>
      <c r="I64" s="3494"/>
      <c r="J64" s="3494"/>
      <c r="K64" s="498"/>
      <c r="L64" s="3495"/>
      <c r="M64" s="28"/>
      <c r="O64" s="2235"/>
      <c r="P64" s="28"/>
      <c r="Q64" s="28"/>
      <c r="R64" s="28"/>
      <c r="S64" s="31"/>
      <c r="T64" s="31"/>
      <c r="U64" s="31"/>
      <c r="V64" s="28"/>
      <c r="W64" s="28"/>
      <c r="X64" s="28"/>
      <c r="Y64" s="28"/>
      <c r="Z64" s="28"/>
      <c r="AA64" s="28"/>
      <c r="AB64" s="28"/>
      <c r="AC64" s="28"/>
      <c r="AD64" s="28"/>
      <c r="AE64" s="28"/>
      <c r="AF64" s="28"/>
      <c r="AG64" s="28"/>
      <c r="AH64" s="28"/>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row>
    <row r="65" spans="1:78" s="143" customFormat="1" ht="12.75" hidden="1" x14ac:dyDescent="0.2">
      <c r="A65" s="495"/>
      <c r="B65" s="496"/>
      <c r="C65" s="3493"/>
      <c r="D65" s="3493"/>
      <c r="E65" s="3493"/>
      <c r="F65" s="3494"/>
      <c r="G65" s="3494"/>
      <c r="H65" s="3494"/>
      <c r="I65" s="3494"/>
      <c r="J65" s="3494"/>
      <c r="K65" s="498"/>
      <c r="L65" s="3495"/>
      <c r="M65" s="28"/>
      <c r="O65" s="2235"/>
      <c r="P65" s="28"/>
      <c r="Q65" s="28"/>
      <c r="R65" s="28"/>
      <c r="S65" s="31"/>
      <c r="T65" s="31"/>
      <c r="U65" s="31"/>
      <c r="V65" s="28"/>
      <c r="W65" s="28"/>
      <c r="X65" s="28"/>
      <c r="Y65" s="28"/>
      <c r="Z65" s="28"/>
      <c r="AA65" s="28"/>
      <c r="AB65" s="28"/>
      <c r="AC65" s="28"/>
      <c r="AD65" s="28"/>
      <c r="AE65" s="28"/>
      <c r="AF65" s="28"/>
      <c r="AG65" s="28"/>
      <c r="AH65" s="28"/>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row>
    <row r="66" spans="1:78" s="143" customFormat="1" ht="12.75" hidden="1" x14ac:dyDescent="0.2">
      <c r="A66" s="495"/>
      <c r="B66" s="496"/>
      <c r="C66" s="3493"/>
      <c r="D66" s="3493"/>
      <c r="E66" s="3493"/>
      <c r="F66" s="3494"/>
      <c r="G66" s="3494"/>
      <c r="H66" s="3494"/>
      <c r="I66" s="3494"/>
      <c r="J66" s="3494"/>
      <c r="K66" s="498"/>
      <c r="L66" s="3495"/>
      <c r="M66" s="28"/>
      <c r="O66" s="2235"/>
      <c r="P66" s="28"/>
      <c r="Q66" s="28"/>
      <c r="R66" s="28"/>
      <c r="S66" s="31"/>
      <c r="T66" s="31"/>
      <c r="U66" s="31"/>
      <c r="V66" s="28"/>
      <c r="W66" s="28"/>
      <c r="X66" s="28"/>
      <c r="Y66" s="28"/>
      <c r="Z66" s="28"/>
      <c r="AA66" s="28"/>
      <c r="AB66" s="28"/>
      <c r="AC66" s="28"/>
      <c r="AD66" s="28"/>
      <c r="AE66" s="28"/>
      <c r="AF66" s="28"/>
      <c r="AG66" s="28"/>
      <c r="AH66" s="28"/>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row>
    <row r="67" spans="1:78" s="143" customFormat="1" ht="12.75" hidden="1" x14ac:dyDescent="0.2">
      <c r="A67" s="495"/>
      <c r="B67" s="496"/>
      <c r="C67" s="3493"/>
      <c r="D67" s="3493"/>
      <c r="E67" s="3493"/>
      <c r="F67" s="3494"/>
      <c r="G67" s="3494"/>
      <c r="H67" s="3494"/>
      <c r="I67" s="3494"/>
      <c r="J67" s="3494"/>
      <c r="K67" s="498"/>
      <c r="L67" s="3495"/>
      <c r="M67" s="28"/>
      <c r="O67" s="2235"/>
      <c r="P67" s="28"/>
      <c r="Q67" s="28"/>
      <c r="R67" s="28"/>
      <c r="S67" s="31"/>
      <c r="T67" s="31"/>
      <c r="U67" s="31"/>
      <c r="V67" s="28"/>
      <c r="W67" s="28"/>
      <c r="X67" s="28"/>
      <c r="Y67" s="28"/>
      <c r="Z67" s="28"/>
      <c r="AA67" s="28"/>
      <c r="AB67" s="28"/>
      <c r="AC67" s="28"/>
      <c r="AD67" s="28"/>
      <c r="AE67" s="28"/>
      <c r="AF67" s="28"/>
      <c r="AG67" s="28"/>
      <c r="AH67" s="28"/>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row>
    <row r="68" spans="1:78" s="143" customFormat="1" ht="12.75" hidden="1" x14ac:dyDescent="0.2">
      <c r="A68" s="495"/>
      <c r="B68" s="496"/>
      <c r="C68" s="3493"/>
      <c r="D68" s="3493"/>
      <c r="E68" s="3493"/>
      <c r="F68" s="3494"/>
      <c r="G68" s="3494"/>
      <c r="H68" s="3494"/>
      <c r="I68" s="3494"/>
      <c r="J68" s="3494"/>
      <c r="K68" s="498"/>
      <c r="L68" s="3495"/>
      <c r="M68" s="28"/>
      <c r="O68" s="2235"/>
      <c r="P68" s="28"/>
      <c r="Q68" s="28"/>
      <c r="R68" s="28"/>
      <c r="S68" s="31"/>
      <c r="T68" s="31"/>
      <c r="U68" s="31"/>
      <c r="V68" s="28"/>
      <c r="W68" s="28"/>
      <c r="X68" s="28"/>
      <c r="Y68" s="28"/>
      <c r="Z68" s="28"/>
      <c r="AA68" s="28"/>
      <c r="AB68" s="28"/>
      <c r="AC68" s="28"/>
      <c r="AD68" s="28"/>
      <c r="AE68" s="28"/>
      <c r="AF68" s="28"/>
      <c r="AG68" s="28"/>
      <c r="AH68" s="28"/>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row>
    <row r="69" spans="1:78" s="143" customFormat="1" ht="13.5" thickBot="1" x14ac:dyDescent="0.25">
      <c r="A69" s="4603" t="s">
        <v>6144</v>
      </c>
      <c r="B69" s="4604"/>
      <c r="C69" s="500">
        <f t="shared" ref="C69:L69" si="1">ROUND(SUM(C7:C38),0)</f>
      </c>
      <c r="D69" s="2109">
        <f t="shared" si="1"/>
        <v>0</v>
      </c>
      <c r="E69" s="2109">
        <f t="shared" si="1"/>
        <v>0</v>
      </c>
      <c r="F69" s="2109">
        <f t="shared" si="1"/>
        <v>0</v>
      </c>
      <c r="G69" s="2109">
        <f t="shared" si="1"/>
        <v>0</v>
      </c>
      <c r="H69" s="2109">
        <f t="shared" si="1"/>
        <v>0</v>
      </c>
      <c r="I69" s="2109">
        <f t="shared" si="1"/>
        <v>0</v>
      </c>
      <c r="J69" s="2109">
        <f t="shared" si="1"/>
        <v>0</v>
      </c>
      <c r="K69" s="368">
        <f t="shared" si="1"/>
        <v>0</v>
      </c>
      <c r="L69" s="500">
        <f t="shared" si="1"/>
        <v>0</v>
      </c>
      <c r="M69" s="28"/>
      <c r="O69" s="1736" t="s">
        <v>7831</v>
      </c>
      <c r="P69" s="28"/>
      <c r="Q69" s="28"/>
      <c r="R69" s="28"/>
      <c r="S69" s="31"/>
      <c r="T69" s="4556" t="s">
        <v>5806</v>
      </c>
      <c r="U69" s="4556"/>
      <c r="V69" s="4557" t="s">
        <v>363</v>
      </c>
      <c r="W69" s="4557"/>
      <c r="X69" s="28"/>
      <c r="Y69" s="28"/>
      <c r="Z69" s="28"/>
      <c r="AA69" s="28"/>
      <c r="AB69" s="28"/>
      <c r="AC69" s="28"/>
      <c r="AD69" s="28"/>
      <c r="AE69" s="28"/>
      <c r="AF69" s="28"/>
      <c r="AG69" s="28"/>
      <c r="AH69" s="28"/>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row>
    <row r="70" spans="1:78" s="143" customFormat="1" ht="15.75" thickTop="1" x14ac:dyDescent="0.25">
      <c r="A70" s="4605" t="s">
        <v>7642</v>
      </c>
      <c r="B70" s="4606"/>
      <c r="C70" s="4607"/>
      <c r="D70" s="2110" t="s">
        <v>5806</v>
      </c>
      <c r="E70" s="2123" t="s">
        <v>363</v>
      </c>
      <c r="F70" s="2129"/>
      <c r="G70" s="2130"/>
      <c r="H70" s="2132" t="s">
        <v>4528</v>
      </c>
      <c r="I70" s="2130"/>
      <c r="J70" s="2130"/>
      <c r="K70" s="4611"/>
      <c r="L70" s="4612"/>
      <c r="M70" s="28"/>
      <c r="O70" s="1760" t="s">
        <v>7832</v>
      </c>
      <c r="P70" s="28"/>
      <c r="Q70" s="28"/>
      <c r="R70" s="28"/>
      <c r="S70" s="31"/>
      <c r="T70" s="738" t="s">
        <v>7639</v>
      </c>
      <c r="U70" s="738" t="s">
        <v>7640</v>
      </c>
      <c r="V70" s="1769" t="s">
        <v>7639</v>
      </c>
      <c r="W70" s="1769" t="s">
        <v>7641</v>
      </c>
      <c r="X70" s="28"/>
      <c r="Y70" s="28"/>
      <c r="Z70" s="28"/>
      <c r="AA70" s="28"/>
      <c r="AB70" s="28"/>
      <c r="AC70" s="28"/>
      <c r="AD70" s="28"/>
      <c r="AE70" s="28"/>
      <c r="AF70" s="28"/>
      <c r="AG70" s="28"/>
      <c r="AH70" s="28"/>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row>
    <row r="71" spans="1:78" s="143" customFormat="1" ht="12.75" x14ac:dyDescent="0.2">
      <c r="A71" s="495"/>
      <c r="B71" s="2116"/>
      <c r="C71" s="2119"/>
      <c r="D71" s="2117"/>
      <c r="E71" s="2111"/>
      <c r="F71" s="2131" t="str">
        <f>IF(COUNTA(E71,D71,B71,A71,H71)=0,"",IF(COUNTA(E71,D71,B71,A71)&lt;&gt;3,O$38,""))</f>
        <v/>
      </c>
      <c r="G71" s="2128"/>
      <c r="H71" s="498"/>
      <c r="I71" s="2133" t="str">
        <f>IF(D71+E71=0,"",IF(AND(D71+E71&gt;0,H71=""),re,IF(OR(H71&lt;P71,H71&gt;Q71),O$69,"")))</f>
        <v/>
      </c>
      <c r="J71" s="2128"/>
      <c r="K71" s="4611"/>
      <c r="L71" s="4612"/>
      <c r="M71" s="28"/>
      <c r="N71" s="143">
        <f>-IF(F71=O$38,1,IF(I71=re,1,0))</f>
      </c>
      <c r="O71" s="28">
        <f>IF(I71=O$69,1,0)</f>
      </c>
      <c r="P71" s="1742">
        <f>IF(ROUND((D71+E71)*0.04,0)=0,1,ROUND((D71+E71)*0.04,0))</f>
      </c>
      <c r="Q71" s="1742">
        <f>ROUND((D71+E71)*0.35,0)</f>
      </c>
      <c r="R71" s="28"/>
      <c r="S71" s="31"/>
      <c r="T71" s="31">
        <f>IF(OR(D71=0,D71=""),0,D71)</f>
      </c>
      <c r="U71" s="31">
        <f>IF(T71&gt;0,H71,0)</f>
      </c>
      <c r="V71" s="28">
        <f>IF(OR(E71="",E71=0),0,E71)</f>
      </c>
      <c r="W71" s="28">
        <f>IF(V71&gt;0,H71,0)</f>
      </c>
      <c r="X71" s="28"/>
      <c r="Y71" s="28"/>
      <c r="Z71" s="28">
        <f>IF(E71&gt;0,0,10000000000)</f>
      </c>
      <c r="AA71" s="28">
        <f>IF(D71&gt;0,0,10000000000)</f>
      </c>
      <c r="AB71" s="28"/>
      <c r="AC71" s="28"/>
      <c r="AD71" s="28"/>
      <c r="AE71" s="28"/>
      <c r="AF71" s="28"/>
      <c r="AG71" s="28"/>
      <c r="AH71" s="28"/>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row>
    <row r="72" spans="1:78" s="143" customFormat="1" ht="12.75" x14ac:dyDescent="0.2">
      <c r="A72" s="495"/>
      <c r="B72" s="2116"/>
      <c r="C72" s="2120"/>
      <c r="D72" s="2117"/>
      <c r="E72" s="2111"/>
      <c r="F72" s="2131" t="str">
        <f>IF(COUNTA(E72,D72,B72,A72,H72)=0,"",IF(COUNTA(E72,D72,B72,A72)&lt;&gt;3,O$38,""))</f>
        <v/>
      </c>
      <c r="G72" s="2128"/>
      <c r="H72" s="498"/>
      <c r="I72" s="2133" t="str">
        <f>IF(D72+E72=0,"",IF(AND(D72+E72&gt;0,H72=""),re,IF(OR(H72&lt;P72,H72&gt;Q72),O$69,"")))</f>
        <v/>
      </c>
      <c r="J72" s="2128"/>
      <c r="K72" s="4611"/>
      <c r="L72" s="4612"/>
      <c r="M72" s="28"/>
      <c r="N72" s="143">
        <f>-IF(F72=O$38,1,IF(I72=re,1,0))</f>
      </c>
      <c r="O72" s="28">
        <f>IF(I72=O$69,1,0)</f>
      </c>
      <c r="P72" s="1742">
        <f>IF(ROUND((D72+E72)*0.04,0)=0,1,ROUND((D72+E72)*0.04,0))</f>
      </c>
      <c r="Q72" s="1742">
        <f>ROUND((D72+E72)*0.35,0)</f>
      </c>
      <c r="R72" s="28"/>
      <c r="S72" s="31"/>
      <c r="T72" s="31">
        <f>IF(OR(D72=0,D72=""),0,D72)</f>
      </c>
      <c r="U72" s="31">
        <f>IF(T72&gt;0,H72,0)</f>
      </c>
      <c r="V72" s="28">
        <f>IF(OR(E72="",E72=0),0,E72)</f>
      </c>
      <c r="W72" s="28">
        <f>IF(V72&gt;0,H72,0)</f>
      </c>
      <c r="X72" s="28"/>
      <c r="Y72" s="28"/>
      <c r="Z72" s="28">
        <f>IF(E72&gt;0,0,10000000000)</f>
      </c>
      <c r="AA72" s="28">
        <f>IF(D72&gt;0,0,10000000000)</f>
      </c>
      <c r="AB72" s="28"/>
      <c r="AC72" s="28"/>
      <c r="AD72" s="28"/>
      <c r="AE72" s="28"/>
      <c r="AF72" s="28"/>
      <c r="AG72" s="28"/>
      <c r="AH72" s="28"/>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row>
    <row r="73" spans="1:78" s="143" customFormat="1" ht="12.75" x14ac:dyDescent="0.2">
      <c r="A73" s="495"/>
      <c r="B73" s="2116"/>
      <c r="C73" s="2121"/>
      <c r="D73" s="2117"/>
      <c r="E73" s="2111"/>
      <c r="F73" s="2131" t="str">
        <f>IF(COUNTA(E73,D73,B73,A73,H73)=0,"",IF(COUNTA(E73,D73,B73,A73)&lt;&gt;3,O$38,""))</f>
        <v/>
      </c>
      <c r="G73" s="2128"/>
      <c r="H73" s="498"/>
      <c r="I73" s="2133" t="str">
        <f>IF(D73+E73=0,"",IF(AND(D73+E73&gt;0,H73=""),re,IF(OR(H73&lt;P73,H73&gt;Q73),O$69,"")))</f>
        <v/>
      </c>
      <c r="J73" s="2128"/>
      <c r="K73" s="4611"/>
      <c r="L73" s="4612"/>
      <c r="M73" s="28"/>
      <c r="N73" s="143">
        <f>-IF(F73=O$38,1,IF(I73=re,1,0))</f>
      </c>
      <c r="O73" s="28">
        <f>IF(I73=O$69,1,0)</f>
      </c>
      <c r="P73" s="1742">
        <f>IF(ROUND((D73+E73)*0.04,0)=0,1,ROUND((D73+E73)*0.04,0))</f>
      </c>
      <c r="Q73" s="1742">
        <f>ROUND((D73+E73)*0.35,0)</f>
      </c>
      <c r="R73" s="28"/>
      <c r="S73" s="31"/>
      <c r="T73" s="31">
        <f>IF(OR(D73=0,D73=""),0,D73)</f>
      </c>
      <c r="U73" s="31">
        <f>IF(T73&gt;0,H73,0)</f>
      </c>
      <c r="V73" s="28">
        <f>IF(OR(E73="",E73=0),0,E73)</f>
      </c>
      <c r="W73" s="28">
        <f>IF(V73&gt;0,H73,0)</f>
      </c>
      <c r="X73" s="28"/>
      <c r="Y73" s="28"/>
      <c r="Z73" s="28">
        <f>IF(E73&gt;0,0,10000000000)</f>
      </c>
      <c r="AA73" s="28">
        <f>IF(D73&gt;0,0,10000000000)</f>
      </c>
      <c r="AB73" s="28"/>
      <c r="AC73" s="28"/>
      <c r="AD73" s="28"/>
      <c r="AE73" s="28"/>
      <c r="AF73" s="28"/>
      <c r="AG73" s="28"/>
      <c r="AH73" s="28"/>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row>
    <row r="74" spans="1:78" ht="13.5" thickBot="1" x14ac:dyDescent="0.25">
      <c r="A74" s="4582" t="s">
        <v>6144</v>
      </c>
      <c r="B74" s="4583"/>
      <c r="C74" s="2118" t="s">
        <v>951</v>
      </c>
      <c r="D74" s="500">
        <f>ROUND(SUM(D71:D73),0)</f>
      </c>
      <c r="E74" s="2112">
        <f>ROUND(SUM(E71:E73),0)</f>
      </c>
      <c r="F74" s="2114"/>
      <c r="G74" s="2124" t="s">
        <v>951</v>
      </c>
      <c r="H74" s="2113">
        <f>ROUND(SUM(H71:H73),0)</f>
      </c>
      <c r="I74" s="2115"/>
      <c r="J74" s="2115"/>
      <c r="K74" s="4613"/>
      <c r="L74" s="4614"/>
      <c r="O74" s="28">
        <f>SUM(O71:O73)</f>
      </c>
      <c r="P74" s="32">
        <f>SUM(H74:K74)</f>
      </c>
      <c r="S74" s="1736" t="s">
        <v>6821</v>
      </c>
      <c r="T74" s="32">
        <f>SUM(T71:T73)</f>
      </c>
      <c r="U74" s="32">
        <f>SUM(U71:U73)</f>
      </c>
      <c r="V74" s="32">
        <f>SUM(V71:V73)</f>
      </c>
      <c r="W74" s="32">
        <f>SUM(W71:W73)</f>
      </c>
    </row>
    <row r="75" spans="1:78" ht="6.75" customHeight="1" thickTop="1" x14ac:dyDescent="0.2">
      <c r="A75" s="4584"/>
      <c r="B75" s="4585"/>
      <c r="C75" s="56"/>
      <c r="D75" s="56"/>
      <c r="E75" s="56"/>
      <c r="F75" s="56"/>
      <c r="G75" s="56"/>
      <c r="H75" s="56"/>
      <c r="I75" s="56"/>
      <c r="J75" s="56"/>
      <c r="K75" s="56"/>
      <c r="L75" s="57"/>
    </row>
    <row r="76" spans="1:78" ht="15" customHeight="1" x14ac:dyDescent="0.2">
      <c r="A76" s="4562" t="s">
        <v>6145</v>
      </c>
      <c r="B76" s="4563"/>
      <c r="C76" s="4568" t="s">
        <v>4243</v>
      </c>
      <c r="D76" s="4568"/>
      <c r="E76" s="4568"/>
      <c r="F76" s="4568"/>
      <c r="G76" s="4568"/>
      <c r="H76" s="4591" t="s">
        <v>7643</v>
      </c>
      <c r="I76" s="4592"/>
      <c r="J76" s="4592"/>
      <c r="K76" s="4592"/>
      <c r="L76" s="4593"/>
      <c r="N76" s="28">
        <f>COUNT(C7:K38,D71:E73,H71:H73)</f>
      </c>
    </row>
    <row r="77" spans="1:78" ht="30.75" customHeight="1" x14ac:dyDescent="0.2">
      <c r="A77" s="4564"/>
      <c r="B77" s="4565"/>
      <c r="C77" s="4570" t="s">
        <v>9857</v>
      </c>
      <c r="D77" s="4608" t="s">
        <v>4810</v>
      </c>
      <c r="E77" s="4609"/>
      <c r="F77" s="4610"/>
      <c r="G77" s="4475" t="s">
        <v>9858</v>
      </c>
      <c r="H77" s="4594"/>
      <c r="I77" s="4595"/>
      <c r="J77" s="4595"/>
      <c r="K77" s="4595"/>
      <c r="L77" s="4596"/>
      <c r="N77" s="28">
        <f>COUNT(F81,C84:G90,G98)</f>
      </c>
    </row>
    <row r="78" spans="1:78" ht="25.5" customHeight="1" x14ac:dyDescent="0.2">
      <c r="A78" s="4564"/>
      <c r="B78" s="4565"/>
      <c r="C78" s="4571"/>
      <c r="D78" s="4573" t="s">
        <v>3712</v>
      </c>
      <c r="E78" s="4573" t="s">
        <v>2105</v>
      </c>
      <c r="F78" s="4573" t="s">
        <v>1495</v>
      </c>
      <c r="G78" s="4475"/>
      <c r="H78" s="4594"/>
      <c r="I78" s="4595"/>
      <c r="J78" s="4595"/>
      <c r="K78" s="4595"/>
      <c r="L78" s="4596"/>
      <c r="N78" s="28">
        <f>SUM(N76:N77)+SUM(P92:R92)</f>
      </c>
    </row>
    <row r="79" spans="1:78" ht="23.25" customHeight="1" x14ac:dyDescent="0.2">
      <c r="A79" s="4566"/>
      <c r="B79" s="4567"/>
      <c r="C79" s="4572"/>
      <c r="D79" s="4574"/>
      <c r="E79" s="4574"/>
      <c r="F79" s="4574"/>
      <c r="G79" s="4475"/>
      <c r="H79" s="4597"/>
      <c r="I79" s="4598"/>
      <c r="J79" s="4598"/>
      <c r="K79" s="4598"/>
      <c r="L79" s="4599"/>
      <c r="P79" s="4553" t="s">
        <v>9206</v>
      </c>
      <c r="Q79" s="4554"/>
      <c r="R79" s="4554"/>
    </row>
    <row r="80" spans="1:78" ht="12.75" x14ac:dyDescent="0.2">
      <c r="A80" s="501" t="s">
        <v>3306</v>
      </c>
      <c r="B80" s="58"/>
      <c r="C80" s="502">
        <f>C69</f>
      </c>
      <c r="D80" s="502">
        <f>D74+D69</f>
      </c>
      <c r="E80" s="502">
        <f>E74+E69</f>
      </c>
      <c r="F80" s="502">
        <f>F69</f>
      </c>
      <c r="G80" s="502">
        <f>G69</f>
      </c>
      <c r="H80" s="503"/>
      <c r="I80" s="56"/>
      <c r="J80" s="56"/>
      <c r="K80" s="56"/>
      <c r="L80" s="210"/>
      <c r="P80" s="4555" t="s">
        <v>3712</v>
      </c>
      <c r="Q80" s="4555" t="s">
        <v>2105</v>
      </c>
      <c r="R80" s="4555" t="s">
        <v>2106</v>
      </c>
    </row>
    <row r="81" spans="1:81" ht="12.75" x14ac:dyDescent="0.2">
      <c r="A81" s="504" t="s">
        <v>1881</v>
      </c>
      <c r="B81" s="58"/>
      <c r="C81" s="4559"/>
      <c r="D81" s="4560"/>
      <c r="E81" s="4561"/>
      <c r="F81" s="223"/>
      <c r="G81" s="506"/>
      <c r="H81" s="1092" t="str">
        <f>IF(F81&gt;O81," Excessive!","")</f>
        <v/>
      </c>
      <c r="I81" s="56"/>
      <c r="J81" s="56"/>
      <c r="K81" s="56"/>
      <c r="L81" s="210"/>
      <c r="N81" s="28">
        <f>IF(H81="",0,1)</f>
      </c>
      <c r="O81" s="28">
        <f>ROUND(F80*0.25,0)</f>
      </c>
      <c r="P81" s="4555"/>
      <c r="Q81" s="4555"/>
      <c r="R81" s="4555"/>
    </row>
    <row r="82" spans="1:81" ht="12.75" x14ac:dyDescent="0.2">
      <c r="A82" s="4515" t="s">
        <v>3306</v>
      </c>
      <c r="B82" s="4569"/>
      <c r="C82" s="368">
        <f>C80</f>
      </c>
      <c r="D82" s="368">
        <f>D80</f>
      </c>
      <c r="E82" s="368">
        <f>E80</f>
      </c>
      <c r="F82" s="405">
        <f>SUM(F80:F81)</f>
      </c>
      <c r="G82" s="368">
        <f>G80</f>
      </c>
      <c r="H82" s="56"/>
      <c r="I82" s="211"/>
      <c r="J82" s="211"/>
      <c r="K82" s="211"/>
      <c r="L82" s="210"/>
      <c r="P82" s="91">
        <f>'TRA112'!E468</f>
      </c>
      <c r="Q82" s="91">
        <f>'TRA112'!F468</f>
      </c>
      <c r="R82" s="91">
        <f>'TRA112'!G468</f>
      </c>
    </row>
    <row r="83" spans="1:81" ht="12.75" x14ac:dyDescent="0.2">
      <c r="A83" s="4575" t="s">
        <v>2030</v>
      </c>
      <c r="B83" s="4575"/>
      <c r="C83" s="4576"/>
      <c r="D83" s="4577"/>
      <c r="E83" s="4577"/>
      <c r="F83" s="4577"/>
      <c r="G83" s="4561"/>
      <c r="H83" s="56"/>
      <c r="I83" s="211"/>
      <c r="J83" s="211"/>
      <c r="K83" s="211"/>
      <c r="L83" s="210"/>
    </row>
    <row r="84" spans="1:81" ht="12.75" x14ac:dyDescent="0.2">
      <c r="A84" s="1781" t="s">
        <v>8683</v>
      </c>
      <c r="B84" s="59"/>
      <c r="C84" s="223"/>
      <c r="D84" s="223"/>
      <c r="E84" s="223"/>
      <c r="F84" s="365"/>
      <c r="G84" s="365"/>
      <c r="H84" s="2797" t="str">
        <f>IF(AND(L69&gt;0,U84&lt;&gt;5),reo,"")</f>
        <v/>
      </c>
      <c r="I84" s="211"/>
      <c r="J84" s="211"/>
      <c r="K84" s="211"/>
      <c r="L84" s="210"/>
      <c r="N84" s="28">
        <f t="shared" ref="N84:N89" si="2">IF(H84="",0,1)</f>
      </c>
      <c r="U84" s="28">
        <f t="shared" ref="U84:U89" si="3">COUNT(C84:G84)</f>
      </c>
    </row>
    <row r="85" spans="1:81" ht="12.75" x14ac:dyDescent="0.2">
      <c r="A85" s="4558"/>
      <c r="B85" s="4558"/>
      <c r="C85" s="223"/>
      <c r="D85" s="223"/>
      <c r="E85" s="223"/>
      <c r="F85" s="365"/>
      <c r="G85" s="365"/>
      <c r="H85" s="503" t="str">
        <f>IF(AND(U85&gt;0,A85=""),"Description!","")</f>
        <v/>
      </c>
      <c r="I85" s="211"/>
      <c r="J85" s="211"/>
      <c r="K85" s="211"/>
      <c r="L85" s="210"/>
      <c r="N85" s="28">
        <f t="shared" si="2"/>
        <v>0</v>
      </c>
      <c r="U85" s="28">
        <f t="shared" si="3"/>
        <v>0</v>
      </c>
    </row>
    <row r="86" spans="1:81" ht="12.75" x14ac:dyDescent="0.2">
      <c r="A86" s="4558"/>
      <c r="B86" s="4558"/>
      <c r="C86" s="223"/>
      <c r="D86" s="223"/>
      <c r="E86" s="223"/>
      <c r="F86" s="365"/>
      <c r="G86" s="365"/>
      <c r="H86" s="503" t="str">
        <f>IF(AND(U86&gt;0,A86=""),"Description!","")</f>
        <v/>
      </c>
      <c r="I86" s="211"/>
      <c r="J86" s="211"/>
      <c r="K86" s="211"/>
      <c r="L86" s="210"/>
      <c r="N86" s="28">
        <f t="shared" si="2"/>
        <v>0</v>
      </c>
      <c r="U86" s="28">
        <f t="shared" si="3"/>
        <v>0</v>
      </c>
    </row>
    <row r="87" spans="1:81" ht="12.75" x14ac:dyDescent="0.2">
      <c r="A87" s="4558"/>
      <c r="B87" s="4558"/>
      <c r="C87" s="223"/>
      <c r="D87" s="223"/>
      <c r="E87" s="223"/>
      <c r="F87" s="365"/>
      <c r="G87" s="365"/>
      <c r="H87" s="503" t="str">
        <f>IF(AND(U87&gt;0,A87=""),"Description!","")</f>
        <v/>
      </c>
      <c r="I87" s="211"/>
      <c r="J87" s="211"/>
      <c r="K87" s="211"/>
      <c r="L87" s="210"/>
      <c r="N87" s="28">
        <f t="shared" si="2"/>
        <v>0</v>
      </c>
      <c r="U87" s="28">
        <f t="shared" si="3"/>
        <v>0</v>
      </c>
    </row>
    <row r="88" spans="1:81" ht="12.75" x14ac:dyDescent="0.2">
      <c r="A88" s="4558"/>
      <c r="B88" s="4558"/>
      <c r="C88" s="223"/>
      <c r="D88" s="223"/>
      <c r="E88" s="223"/>
      <c r="F88" s="365"/>
      <c r="G88" s="365"/>
      <c r="H88" s="503" t="str">
        <f>IF(AND(U88&gt;0,A88=""),"Description!","")</f>
        <v/>
      </c>
      <c r="I88" s="211"/>
      <c r="J88" s="211"/>
      <c r="K88" s="211"/>
      <c r="L88" s="210"/>
      <c r="N88" s="28">
        <f t="shared" si="2"/>
        <v>0</v>
      </c>
      <c r="U88" s="28">
        <f t="shared" si="3"/>
        <v>0</v>
      </c>
    </row>
    <row r="89" spans="1:81" ht="12.75" x14ac:dyDescent="0.2">
      <c r="A89" s="4558"/>
      <c r="B89" s="4558"/>
      <c r="C89" s="223"/>
      <c r="D89" s="223"/>
      <c r="E89" s="223"/>
      <c r="F89" s="365"/>
      <c r="G89" s="365"/>
      <c r="H89" s="503" t="str">
        <f>IF(AND(U89&gt;0,A89=""),"Description!","")</f>
        <v/>
      </c>
      <c r="I89" s="211"/>
      <c r="J89" s="211"/>
      <c r="K89" s="211"/>
      <c r="L89" s="210"/>
      <c r="N89" s="28">
        <f t="shared" si="2"/>
        <v>0</v>
      </c>
      <c r="O89" s="28">
        <f>SUM(C84:C89)</f>
      </c>
      <c r="P89" s="28">
        <f>SUM(D84:D89)</f>
      </c>
      <c r="Q89" s="28">
        <f>SUM(E84:E89)</f>
      </c>
      <c r="R89" s="28">
        <f>SUM(F84:F89)</f>
      </c>
      <c r="S89" s="60">
        <f>SUM(G84:G89)</f>
      </c>
      <c r="U89" s="28">
        <f t="shared" si="3"/>
        <v>0</v>
      </c>
    </row>
    <row r="90" spans="1:81" ht="12.75" customHeight="1" x14ac:dyDescent="0.2">
      <c r="A90" s="4465" t="s">
        <v>6410</v>
      </c>
      <c r="B90" s="4467"/>
      <c r="C90" s="507"/>
      <c r="D90" s="507"/>
      <c r="E90" s="507"/>
      <c r="F90" s="507"/>
      <c r="G90" s="507"/>
      <c r="H90" s="1093" t="str">
        <f>IF(O105&lt;&gt;0," Check amounts!","")</f>
        <v/>
      </c>
      <c r="I90" s="508"/>
      <c r="J90" s="56"/>
      <c r="K90" s="509"/>
      <c r="L90" s="210"/>
      <c r="P90" s="60"/>
    </row>
    <row r="91" spans="1:81" ht="12.75" x14ac:dyDescent="0.2">
      <c r="A91" s="113"/>
      <c r="B91" s="50"/>
      <c r="C91" s="466">
        <f>IF(O89&gt;C82,0,C82-O89)</f>
      </c>
      <c r="D91" s="466">
        <f>IF(P89&gt;D82,0,D82-P89)</f>
      </c>
      <c r="E91" s="466">
        <f>IF(Q89&gt;E82,0,E82-Q89)</f>
      </c>
      <c r="F91" s="466">
        <f>IF(R89&gt;F82,0,F82-R89)</f>
      </c>
      <c r="G91" s="466">
        <f>IF(S89&gt;G82,0,G82-S89)</f>
      </c>
      <c r="H91" s="56"/>
      <c r="I91" s="56"/>
      <c r="J91" s="56"/>
      <c r="K91" s="56"/>
      <c r="L91" s="210"/>
      <c r="N91" s="32">
        <f>SUM(N84:N90,N81,N71:N73)</f>
      </c>
      <c r="P91" s="60"/>
    </row>
    <row r="92" spans="1:81" ht="12.75" x14ac:dyDescent="0.2">
      <c r="A92" s="3372" t="s">
        <v>9250</v>
      </c>
      <c r="B92" s="3366"/>
      <c r="C92" s="466"/>
      <c r="D92" s="405">
        <f>P82</f>
      </c>
      <c r="E92" s="405">
        <f>Q82</f>
      </c>
      <c r="F92" s="405">
        <f>R82</f>
      </c>
      <c r="G92" s="63" t="s">
        <v>9206</v>
      </c>
      <c r="H92" s="56"/>
      <c r="I92" s="56"/>
      <c r="J92" s="56"/>
      <c r="K92" s="56"/>
      <c r="L92" s="210"/>
      <c r="M92" s="142"/>
      <c r="N92" s="142"/>
      <c r="O92" s="142"/>
      <c r="P92" s="28">
        <f>IF(D92&lt;=0,0,1)</f>
      </c>
      <c r="Q92" s="28">
        <f>IF(E92&lt;=0,0,1)</f>
      </c>
      <c r="R92" s="28">
        <f>IF(F92&lt;=0,0,1)</f>
      </c>
      <c r="S92" s="142"/>
      <c r="T92" s="142"/>
      <c r="U92" s="142"/>
      <c r="V92" s="142"/>
      <c r="CA92" s="28"/>
      <c r="CB92" s="28"/>
      <c r="CC92" s="28"/>
    </row>
    <row r="93" spans="1:81" ht="12.75" x14ac:dyDescent="0.2">
      <c r="A93" s="3373" t="s">
        <v>9249</v>
      </c>
      <c r="B93" s="3373"/>
      <c r="C93" s="466"/>
      <c r="D93" s="451">
        <f>D90+D92</f>
      </c>
      <c r="E93" s="451">
        <f>E90+E92</f>
      </c>
      <c r="F93" s="451">
        <f>F90+F92</f>
      </c>
      <c r="G93" s="3"/>
      <c r="H93" s="56"/>
      <c r="I93" s="56"/>
      <c r="J93" s="56"/>
      <c r="K93" s="56"/>
      <c r="L93" s="210"/>
      <c r="M93" s="32"/>
      <c r="N93" s="32"/>
      <c r="O93" s="32"/>
      <c r="P93" s="32"/>
      <c r="Q93" s="142"/>
      <c r="R93" s="142"/>
      <c r="S93" s="142"/>
      <c r="T93" s="142"/>
      <c r="U93" s="142"/>
      <c r="V93" s="142"/>
      <c r="CA93" s="28"/>
      <c r="CB93" s="28"/>
      <c r="CC93" s="28"/>
    </row>
    <row r="94" spans="1:81" ht="12.75" hidden="1" x14ac:dyDescent="0.2">
      <c r="A94" s="8"/>
      <c r="B94" s="50"/>
      <c r="C94" s="466"/>
      <c r="D94" s="466"/>
      <c r="E94" s="466"/>
      <c r="F94" s="466"/>
      <c r="G94" s="466"/>
      <c r="H94" s="56"/>
      <c r="I94" s="56"/>
      <c r="J94" s="56"/>
      <c r="K94" s="56"/>
      <c r="L94" s="210"/>
      <c r="N94" s="32"/>
      <c r="P94" s="60"/>
    </row>
    <row r="95" spans="1:81" ht="12.75" hidden="1" x14ac:dyDescent="0.2">
      <c r="A95" s="8"/>
      <c r="B95" s="50"/>
      <c r="C95" s="466"/>
      <c r="D95" s="466"/>
      <c r="E95" s="466"/>
      <c r="F95" s="466"/>
      <c r="G95" s="466"/>
      <c r="H95" s="56"/>
      <c r="I95" s="56"/>
      <c r="J95" s="56"/>
      <c r="K95" s="56"/>
      <c r="L95" s="210"/>
      <c r="N95" s="32"/>
      <c r="P95" s="60"/>
    </row>
    <row r="96" spans="1:81" ht="12.75" hidden="1" x14ac:dyDescent="0.2">
      <c r="A96" s="8"/>
      <c r="B96" s="50"/>
      <c r="C96" s="466"/>
      <c r="D96" s="466"/>
      <c r="E96" s="466"/>
      <c r="F96" s="466"/>
      <c r="G96" s="466"/>
      <c r="H96" s="56"/>
      <c r="I96" s="56"/>
      <c r="J96" s="56"/>
      <c r="K96" s="56"/>
      <c r="L96" s="210"/>
      <c r="N96" s="32"/>
      <c r="P96" s="60"/>
    </row>
    <row r="97" spans="1:33" ht="6" customHeight="1" x14ac:dyDescent="0.2">
      <c r="A97" s="8"/>
      <c r="B97" s="50"/>
      <c r="C97" s="466"/>
      <c r="D97" s="466"/>
      <c r="E97" s="466"/>
      <c r="F97" s="466"/>
      <c r="G97" s="466"/>
      <c r="H97" s="56"/>
      <c r="I97" s="56"/>
      <c r="J97" s="56"/>
      <c r="K97" s="56"/>
      <c r="L97" s="210"/>
      <c r="N97" s="32"/>
      <c r="P97" s="60"/>
    </row>
    <row r="98" spans="1:33" ht="12.75" x14ac:dyDescent="0.2">
      <c r="A98" s="151" t="s">
        <v>4138</v>
      </c>
      <c r="B98" s="50"/>
      <c r="C98" s="50"/>
      <c r="D98" s="466"/>
      <c r="E98" s="466"/>
      <c r="F98" s="466"/>
      <c r="G98" s="510"/>
      <c r="H98" s="56"/>
      <c r="I98" s="56"/>
      <c r="J98" s="56"/>
      <c r="K98" s="56"/>
      <c r="L98" s="210"/>
      <c r="P98" s="60"/>
    </row>
    <row r="99" spans="1:33" ht="4.5" customHeight="1" x14ac:dyDescent="0.2">
      <c r="A99" s="113"/>
      <c r="B99" s="50"/>
      <c r="C99" s="466"/>
      <c r="D99" s="466"/>
      <c r="E99" s="466"/>
      <c r="F99" s="466"/>
      <c r="G99" s="466"/>
      <c r="H99" s="56"/>
      <c r="I99" s="56"/>
      <c r="J99" s="56"/>
      <c r="K99" s="56"/>
      <c r="L99" s="210"/>
      <c r="P99" s="60"/>
    </row>
    <row r="100" spans="1:33" ht="12.75" x14ac:dyDescent="0.2">
      <c r="A100" s="151" t="s">
        <v>4139</v>
      </c>
      <c r="B100" s="50"/>
      <c r="C100" s="368">
        <f>IF(C90&lt;0,0,C90)</f>
      </c>
      <c r="D100" s="63" t="s">
        <v>1026</v>
      </c>
      <c r="E100" s="466"/>
      <c r="F100" s="466"/>
      <c r="G100" s="466"/>
      <c r="H100" s="56"/>
      <c r="I100" s="56"/>
      <c r="J100" s="56"/>
      <c r="K100" s="56"/>
      <c r="L100" s="210"/>
      <c r="P100" s="60"/>
    </row>
    <row r="101" spans="1:33" ht="4.5" customHeight="1" x14ac:dyDescent="0.2">
      <c r="A101" s="113"/>
      <c r="B101" s="50"/>
      <c r="C101" s="466"/>
      <c r="D101" s="466"/>
      <c r="E101" s="466"/>
      <c r="F101" s="466"/>
      <c r="G101" s="466"/>
      <c r="H101" s="56"/>
      <c r="I101" s="56"/>
      <c r="J101" s="56"/>
      <c r="K101" s="56"/>
      <c r="L101" s="210"/>
      <c r="P101" s="60"/>
    </row>
    <row r="102" spans="1:33" ht="12.75" x14ac:dyDescent="0.2">
      <c r="A102" s="151" t="s">
        <v>9121</v>
      </c>
      <c r="B102" s="50"/>
      <c r="C102" s="50"/>
      <c r="D102" s="63"/>
      <c r="E102" s="466"/>
      <c r="F102" s="466"/>
      <c r="G102" s="368">
        <f>IF(G90+G98&lt;0,0,G90+G98)</f>
      </c>
      <c r="H102" s="63" t="s">
        <v>313</v>
      </c>
      <c r="I102" s="56"/>
      <c r="J102" s="56"/>
      <c r="K102" s="56"/>
      <c r="L102" s="210"/>
      <c r="P102" s="60"/>
    </row>
    <row r="103" spans="1:33" ht="12.75" x14ac:dyDescent="0.2">
      <c r="A103" s="511"/>
      <c r="B103" s="151"/>
      <c r="C103" s="512"/>
      <c r="D103" s="65"/>
      <c r="E103" s="65"/>
      <c r="F103" s="65"/>
      <c r="G103" s="65"/>
      <c r="H103" s="65"/>
      <c r="I103" s="65"/>
      <c r="J103" s="65"/>
      <c r="K103" s="65"/>
      <c r="L103" s="513"/>
      <c r="V103" s="60"/>
      <c r="W103" s="60"/>
      <c r="X103" s="60"/>
      <c r="Y103" s="60"/>
      <c r="Z103" s="60"/>
      <c r="AA103" s="60"/>
      <c r="AB103" s="60"/>
      <c r="AC103" s="60"/>
      <c r="AD103" s="60"/>
      <c r="AE103" s="60"/>
      <c r="AF103" s="60"/>
      <c r="AG103" s="60"/>
    </row>
    <row r="104" spans="1:33" ht="21.75" customHeight="1" x14ac:dyDescent="0.2">
      <c r="A104" s="514" t="str">
        <f>_xlfn.SINGLE(MTCA)</f>
      </c>
      <c r="B104" s="515"/>
      <c r="C104" s="516"/>
      <c r="D104" s="517" t="str">
        <f>ver</f>
        <v>TA2_e-CO_2025_Ver 1.1</v>
      </c>
      <c r="E104" s="517"/>
      <c r="F104" s="517"/>
      <c r="G104" s="517"/>
      <c r="H104" s="517"/>
      <c r="I104" s="517"/>
      <c r="J104" s="517"/>
      <c r="K104" s="517"/>
      <c r="L104" s="518" t="s">
        <v>1501</v>
      </c>
      <c r="V104" s="60"/>
      <c r="W104" s="60"/>
      <c r="X104" s="60"/>
      <c r="Y104" s="60"/>
      <c r="Z104" s="60"/>
      <c r="AA104" s="60"/>
      <c r="AB104" s="60"/>
      <c r="AC104" s="60"/>
      <c r="AD104" s="60"/>
      <c r="AE104" s="60"/>
      <c r="AF104" s="60"/>
      <c r="AG104" s="60"/>
    </row>
    <row r="105" spans="1:33" ht="12.75" customHeight="1" x14ac:dyDescent="0.2">
      <c r="A105" s="192"/>
      <c r="B105" s="142"/>
      <c r="C105" s="142"/>
      <c r="D105" s="388" t="str">
        <f>COM</f>
      </c>
      <c r="E105" s="331"/>
      <c r="F105" s="545" t="str">
        <f>IF(N78=0,"",IF(E105="",re,""))</f>
        <v/>
      </c>
      <c r="N105" s="30">
        <f>IF(N78=0,0,IF(F105=re,100,IF(E105&lt;&gt;"yes",100,1)))</f>
      </c>
      <c r="O105" s="28">
        <f>SUM(P105:T105)</f>
      </c>
      <c r="P105" s="28">
        <f>IF(C90-C91&lt;&gt;0,1,0)</f>
      </c>
      <c r="Q105" s="28">
        <f>IF(D90-D91&lt;&gt;0,1,0)</f>
      </c>
      <c r="R105" s="28">
        <f>IF(E90-E91&lt;&gt;0,1,0)</f>
      </c>
      <c r="S105" s="28">
        <f>IF(F90-F91&lt;&gt;0,1,0)</f>
      </c>
      <c r="T105" s="28">
        <f>IF(G90-G91&lt;&gt;0,1,0)</f>
      </c>
    </row>
    <row r="106" spans="1:33" ht="12.75" customHeight="1" x14ac:dyDescent="0.2">
      <c r="A106" s="28"/>
      <c r="B106" s="28"/>
      <c r="C106" s="28"/>
      <c r="AA106" s="28" t="s">
        <v>4457</v>
      </c>
    </row>
    <row r="107" spans="1:33" ht="12.75" customHeight="1" x14ac:dyDescent="0.2">
      <c r="A107" s="4418" t="s">
        <v>6290</v>
      </c>
      <c r="B107" s="4418"/>
      <c r="C107" s="28"/>
      <c r="AA107" s="28" t="s">
        <v>1736</v>
      </c>
    </row>
    <row r="108" spans="1:33" ht="12.75" customHeight="1" x14ac:dyDescent="0.2"/>
    <row r="109" spans="1:33" ht="12.75" hidden="1" customHeight="1" x14ac:dyDescent="0.2"/>
    <row r="110" spans="1:33" ht="12.75" hidden="1" customHeight="1" x14ac:dyDescent="0.2"/>
    <row r="111" spans="1:33" ht="12.75" hidden="1" customHeight="1" x14ac:dyDescent="0.2">
      <c r="C111" s="60">
        <f>IF(ISBLANK(C90),0,C90)</f>
      </c>
      <c r="D111" s="60">
        <f>IF(ISBLANK(D93),0,D93)</f>
      </c>
      <c r="E111" s="60">
        <f>IF(ISBLANK(E93),0,E93)</f>
      </c>
      <c r="F111" s="60">
        <f>IF(ISBLANK(F93),0,F93)</f>
      </c>
      <c r="G111" s="60">
        <f>IF(ISBLANK(G90),0,G90)</f>
      </c>
      <c r="H111" s="205">
        <f>SUM(C111:G111)</f>
      </c>
      <c r="I111" s="205"/>
    </row>
    <row r="112" spans="1:33" ht="12.75" hidden="1" customHeight="1" x14ac:dyDescent="0.2"/>
    <row r="113" spans="2:6" ht="12.75" hidden="1" customHeight="1" x14ac:dyDescent="0.2"/>
    <row r="114" spans="2:6" ht="12.75" hidden="1" customHeight="1" x14ac:dyDescent="0.2"/>
    <row r="115" spans="2:6" ht="12.75" hidden="1" customHeight="1" x14ac:dyDescent="0.2"/>
    <row r="116" spans="2:6" ht="12.75" hidden="1" customHeight="1" x14ac:dyDescent="0.2"/>
    <row r="117" spans="2:6" ht="12.75" hidden="1" customHeight="1" x14ac:dyDescent="0.2"/>
    <row r="118" spans="2:6" ht="12.75" hidden="1" customHeight="1" x14ac:dyDescent="0.2"/>
    <row r="119" spans="2:6" ht="12.75" hidden="1" customHeight="1" x14ac:dyDescent="0.2"/>
    <row r="120" spans="2:6" ht="12.75" hidden="1" customHeight="1" x14ac:dyDescent="0.2"/>
    <row r="121" spans="2:6" ht="12.75" hidden="1" customHeight="1" x14ac:dyDescent="0.2"/>
    <row r="122" spans="2:6" ht="12.75" hidden="1" customHeight="1" x14ac:dyDescent="0.2"/>
    <row r="123" spans="2:6" ht="12.75" hidden="1" customHeight="1" x14ac:dyDescent="0.2">
      <c r="C123" s="60">
        <f>SUM(C111:E111)</f>
      </c>
      <c r="D123" s="148">
        <f>D111</f>
      </c>
      <c r="E123" s="148">
        <f>E111</f>
      </c>
    </row>
    <row r="124" spans="2:6" ht="18" hidden="1" customHeight="1" x14ac:dyDescent="0.2">
      <c r="C124" s="60" t="s">
        <v>363</v>
      </c>
      <c r="F124" s="60" t="s">
        <v>2372</v>
      </c>
    </row>
    <row r="125" spans="2:6" ht="18" hidden="1" customHeight="1" x14ac:dyDescent="0.2">
      <c r="B125" s="60" t="s">
        <v>1904</v>
      </c>
    </row>
    <row r="127" spans="2:6" ht="18" hidden="1" customHeight="1" x14ac:dyDescent="0.2">
      <c r="B127" s="60" t="s">
        <v>1905</v>
      </c>
      <c r="C127" s="60">
        <f>C111+C125</f>
      </c>
      <c r="F127" s="60">
        <f>F111+F125</f>
      </c>
    </row>
  </sheetData>
  <sheetProtection algorithmName="SHA-512" hashValue="khkF9y89u/D9R5xFQEkDyWAXzCZkNbm9tG4ecPVhX5l2ClCOJfYFCKECCxp4O/U/j6hQnmLhKxFmc+32uulciA==" saltValue="st6Ud0oCifNECeD8NQ7MIA==" spinCount="100000" sheet="1" objects="1" scenarios="1"/>
  <customSheetViews>
    <customSheetView guid="{99B5278F-6EA9-4B1A-8623-27A4DF4AD5E4}" showGridLines="0" fitToPage="1" hiddenRows="1" hiddenColumns="1">
      <selection activeCell="A7" sqref="A7"/>
      <pageMargins left="0.31496062992125984" right="0.59055118110236227" top="0.19685039370078741" bottom="0.51181102362204722" header="0.11811023622047245" footer="0.11811023622047245"/>
      <printOptions horizontalCentered="1"/>
      <pageSetup paperSize="9" scale="77" orientation="landscape" horizontalDpi="300" verticalDpi="300" r:id="rId1"/>
      <headerFooter alignWithMargins="0">
        <oddFooter>&amp;LName&amp;CSignature&amp;RDate</oddFooter>
      </headerFooter>
    </customSheetView>
  </customSheetViews>
  <mergeCells count="48">
    <mergeCell ref="F78:F79"/>
    <mergeCell ref="D77:F77"/>
    <mergeCell ref="K70:L74"/>
    <mergeCell ref="F5:F6"/>
    <mergeCell ref="I5:I6"/>
    <mergeCell ref="L4:L6"/>
    <mergeCell ref="B4:B6"/>
    <mergeCell ref="C4:G4"/>
    <mergeCell ref="A69:B69"/>
    <mergeCell ref="A70:C70"/>
    <mergeCell ref="C5:C6"/>
    <mergeCell ref="A1:K1"/>
    <mergeCell ref="G77:G79"/>
    <mergeCell ref="K5:K6"/>
    <mergeCell ref="A74:B74"/>
    <mergeCell ref="A75:B75"/>
    <mergeCell ref="A2:L2"/>
    <mergeCell ref="G5:G6"/>
    <mergeCell ref="D5:D6"/>
    <mergeCell ref="H76:L79"/>
    <mergeCell ref="J5:J6"/>
    <mergeCell ref="A4:A6"/>
    <mergeCell ref="H5:H6"/>
    <mergeCell ref="H4:K4"/>
    <mergeCell ref="C3:L3"/>
    <mergeCell ref="E5:E6"/>
    <mergeCell ref="D78:D79"/>
    <mergeCell ref="V69:W69"/>
    <mergeCell ref="A107:B107"/>
    <mergeCell ref="A90:B90"/>
    <mergeCell ref="A86:B86"/>
    <mergeCell ref="A87:B87"/>
    <mergeCell ref="A88:B88"/>
    <mergeCell ref="A89:B89"/>
    <mergeCell ref="C81:E81"/>
    <mergeCell ref="A76:B79"/>
    <mergeCell ref="C76:G76"/>
    <mergeCell ref="A85:B85"/>
    <mergeCell ref="A82:B82"/>
    <mergeCell ref="C77:C79"/>
    <mergeCell ref="E78:E79"/>
    <mergeCell ref="A83:B83"/>
    <mergeCell ref="C83:G83"/>
    <mergeCell ref="P79:R79"/>
    <mergeCell ref="P80:P81"/>
    <mergeCell ref="Q80:Q81"/>
    <mergeCell ref="R80:R81"/>
    <mergeCell ref="T69:U69"/>
  </mergeCells>
  <phoneticPr fontId="0" type="noConversion"/>
  <conditionalFormatting sqref="C90:G90">
    <cfRule type="expression" dxfId="874" priority="2" stopIfTrue="1">
      <formula>C$90&lt;&gt;C$91</formula>
    </cfRule>
  </conditionalFormatting>
  <conditionalFormatting sqref="I71:I73">
    <cfRule type="expression" dxfId="873" priority="1">
      <formula>$I71=$O$69</formula>
    </cfRule>
  </conditionalFormatting>
  <dataValidations count="12">
    <dataValidation type="whole" errorStyle="warning" operator="equal" allowBlank="1" showInputMessage="1" showErrorMessage="1" errorTitle="Check value entered!" error=" " sqref="C90:G90" xr:uid="{00000000-0002-0000-1000-000000000000}">
      <formula1>C91</formula1>
    </dataValidation>
    <dataValidation type="whole" errorStyle="warning" allowBlank="1" showInputMessage="1" showErrorMessage="1" errorTitle="Flat rate foreign Tax Credit" error="Cannot be more than 25% of gross dividend!" sqref="F81" xr:uid="{00000000-0002-0000-1000-000001000000}">
      <formula1>0</formula1>
      <formula2>O81</formula2>
    </dataValidation>
    <dataValidation type="whole" allowBlank="1" showInputMessage="1" showErrorMessage="1" errorTitle="Dividend -relieved by Tax Credit" error="A value has already been entered under the IPA!  Use another row for a different account.  Positive value required!" sqref="E71:E73" xr:uid="{00000000-0002-0000-1000-000002000000}">
      <formula1>0</formula1>
      <formula2>AA71</formula2>
    </dataValidation>
    <dataValidation type="whole" allowBlank="1" showInputMessage="1" showErrorMessage="1" errorTitle="Dividend -relieved by Tax Credit" error="A value has already been entered under the MTA!  Use another row for a different account.   Positive value required!" sqref="D71:D73" xr:uid="{00000000-0002-0000-1000-000003000000}">
      <formula1>0</formula1>
      <formula2>Z71</formula2>
    </dataValidation>
    <dataValidation type="whole" errorStyle="warning" operator="equal" allowBlank="1" showInputMessage="1" showErrorMessage="1" errorTitle="Check value entered!" error=" " sqref="C80:F80" xr:uid="{00000000-0002-0000-1000-000004000000}">
      <formula1>C74</formula1>
    </dataValidation>
    <dataValidation type="whole" errorStyle="warning" operator="equal" allowBlank="1" showInputMessage="1" showErrorMessage="1" errorTitle="Check value entered!" error=" " sqref="G80" xr:uid="{00000000-0002-0000-1000-000005000000}">
      <formula1>#REF!</formula1>
    </dataValidation>
    <dataValidation type="whole" operator="greaterThanOrEqual" allowBlank="1" showInputMessage="1" showErrorMessage="1" errorTitle="Dividends" error="Positive value required!" sqref="C7:K68" xr:uid="{00000000-0002-0000-1000-000006000000}">
      <formula1>0</formula1>
    </dataValidation>
    <dataValidation type="list" allowBlank="1" showInputMessage="1" showErrorMessage="1" errorTitle="Choose item from Dropdown list! " sqref="E105" xr:uid="{00000000-0002-0000-1000-000007000000}">
      <formula1>$AA$105:$AA$107</formula1>
    </dataValidation>
    <dataValidation type="whole" operator="greaterThanOrEqual" allowBlank="1" showInputMessage="1" showErrorMessage="1" errorTitle="Direct expenses" error="Please enter positive figure!" sqref="C84:G89" xr:uid="{00000000-0002-0000-1000-000008000000}">
      <formula1>0</formula1>
    </dataValidation>
    <dataValidation type="whole" operator="lessThanOrEqual" allowBlank="1" showInputMessage="1" showErrorMessage="1" errorTitle="Foreign tax paid" error="Please enter a negative figure!" sqref="G98" xr:uid="{00000000-0002-0000-1000-000009000000}">
      <formula1>0</formula1>
    </dataValidation>
    <dataValidation operator="greaterThanOrEqual" allowBlank="1" showInputMessage="1" showErrorMessage="1" errorTitle="Dividends" error="Positive value required!" sqref="G74 I74:J74 D70:K70 O38:O68 C71:C74 F71:F74" xr:uid="{00000000-0002-0000-1000-00000A000000}"/>
    <dataValidation type="whole" allowBlank="1" showInputMessage="1" showErrorMessage="1" errorTitle="Dividends" error="Positive value required equivalent to the tax relieved!" sqref="H71:H73" xr:uid="{00000000-0002-0000-1000-00000B000000}">
      <formula1>P71</formula1>
      <formula2>Q71</formula2>
    </dataValidation>
  </dataValidations>
  <hyperlinks>
    <hyperlink ref="A107" location="Index!A1" display="Index!A1" xr:uid="{00000000-0004-0000-1000-000000000000}"/>
    <hyperlink ref="A107:B107" location="Index!A1" display="Index!A1" xr:uid="{00000000-0004-0000-1000-000001000000}"/>
    <hyperlink ref="D100" location="TRA18!A1" display="  TRA 18" xr:uid="{00000000-0004-0000-1000-000002000000}"/>
    <hyperlink ref="C74" location="'TRA35'!A1" display="TRA 35" xr:uid="{00000000-0004-0000-1000-000003000000}"/>
    <hyperlink ref="G74" location="'TRA35'!A1" display="TRA 35" xr:uid="{00000000-0004-0000-1000-000004000000}"/>
    <hyperlink ref="H102" location="'TRA18'!A1" display="TRA18" xr:uid="{00000000-0004-0000-1000-000005000000}"/>
    <hyperlink ref="G92" location="'TRA112'!A1" display="TRA 112" xr:uid="{00000000-0004-0000-1000-000006000000}"/>
  </hyperlinks>
  <printOptions horizontalCentered="1"/>
  <pageMargins left="0.31496062992125984" right="0.59055118110236227" top="0.17" bottom="0.37" header="0.11811023622047245" footer="0.11811023622047245"/>
  <pageSetup paperSize="9" scale="60" orientation="landscape" r:id="rId2"/>
  <headerFooter alignWithMargins="0">
    <oddFooter>&amp;LName&amp;CSignature&amp;RDate</oddFooter>
  </headerFooter>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dimension ref="A1:IA166"/>
  <sheetViews>
    <sheetView showGridLines="0" topLeftCell="A127" zoomScale="121" zoomScaleNormal="121" workbookViewId="0">
      <selection activeCell="B116" sqref="B116"/>
    </sheetView>
  </sheetViews>
  <sheetFormatPr defaultColWidth="0" defaultRowHeight="12.75" customHeight="1" zeroHeight="1" x14ac:dyDescent="0.2"/>
  <cols>
    <col min="1" max="1" width="58.7109375" style="28" customWidth="1"/>
    <col min="2" max="2" width="10.28515625" style="32" customWidth="1"/>
    <col min="3" max="5" width="10.28515625" style="28" customWidth="1"/>
    <col min="6" max="6" width="1.28515625" style="28" hidden="1" customWidth="1"/>
    <col min="7" max="7" width="21.28515625" style="28" customWidth="1"/>
    <col min="8" max="81" width="8.7109375" style="28" hidden="1" customWidth="1"/>
    <col min="82" max="16384" width="8.7109375" style="142" hidden="1"/>
  </cols>
  <sheetData>
    <row r="1" spans="1:235" x14ac:dyDescent="0.2">
      <c r="A1" s="4624" t="str">
        <f>_ref1</f>
      </c>
      <c r="B1" s="4624"/>
      <c r="C1" s="4624"/>
      <c r="D1" s="4624"/>
      <c r="E1" s="2" t="str">
        <f>_YA1</f>
      </c>
      <c r="G1" s="2"/>
      <c r="P1" s="142"/>
      <c r="Q1" s="142"/>
      <c r="R1" s="142"/>
      <c r="S1" s="142"/>
    </row>
    <row r="2" spans="1:235" x14ac:dyDescent="0.2">
      <c r="A2" s="4615" t="s">
        <v>6411</v>
      </c>
      <c r="B2" s="4618" t="s">
        <v>4243</v>
      </c>
      <c r="C2" s="4619"/>
      <c r="D2" s="4619"/>
      <c r="E2" s="4620"/>
      <c r="G2" s="2"/>
      <c r="L2" s="4553" t="s">
        <v>9206</v>
      </c>
      <c r="M2" s="4554"/>
      <c r="N2" s="4554"/>
      <c r="P2" s="142"/>
      <c r="Q2" s="142"/>
      <c r="R2" s="142"/>
      <c r="S2" s="142"/>
      <c r="BD2" s="28" t="s">
        <v>4457</v>
      </c>
    </row>
    <row r="3" spans="1:235" ht="25.5" customHeight="1" x14ac:dyDescent="0.2">
      <c r="A3" s="4615"/>
      <c r="B3" s="4574" t="s">
        <v>2299</v>
      </c>
      <c r="C3" s="4574" t="s">
        <v>3712</v>
      </c>
      <c r="D3" s="4574" t="s">
        <v>2105</v>
      </c>
      <c r="E3" s="4574" t="s">
        <v>2106</v>
      </c>
      <c r="G3" s="2"/>
      <c r="L3" s="4555" t="s">
        <v>3712</v>
      </c>
      <c r="M3" s="4555" t="s">
        <v>2105</v>
      </c>
      <c r="N3" s="4555" t="s">
        <v>2106</v>
      </c>
      <c r="P3" s="142"/>
      <c r="Q3" s="142"/>
      <c r="R3" s="142"/>
      <c r="S3" s="142"/>
      <c r="BD3" s="28" t="s">
        <v>1736</v>
      </c>
    </row>
    <row r="4" spans="1:235" ht="15.75" customHeight="1" x14ac:dyDescent="0.2">
      <c r="A4" s="4615"/>
      <c r="B4" s="4621"/>
      <c r="C4" s="4621"/>
      <c r="D4" s="4621"/>
      <c r="E4" s="4621"/>
      <c r="G4" s="2"/>
      <c r="L4" s="4555"/>
      <c r="M4" s="4555"/>
      <c r="N4" s="4555"/>
      <c r="P4" s="142"/>
      <c r="Q4" s="142"/>
      <c r="R4" s="142"/>
      <c r="S4" s="142"/>
    </row>
    <row r="5" spans="1:235" hidden="1" x14ac:dyDescent="0.2">
      <c r="A5" s="4515" t="s">
        <v>6412</v>
      </c>
      <c r="B5" s="4516"/>
      <c r="C5" s="4625"/>
      <c r="D5" s="8"/>
      <c r="E5" s="3"/>
      <c r="G5" s="2"/>
      <c r="P5" s="142"/>
      <c r="Q5" s="142"/>
      <c r="R5" s="142"/>
      <c r="S5" s="142"/>
    </row>
    <row r="6" spans="1:235" x14ac:dyDescent="0.2">
      <c r="A6" s="1157"/>
      <c r="B6" s="2855"/>
      <c r="C6" s="522"/>
      <c r="D6" s="523"/>
      <c r="E6" s="523"/>
      <c r="G6" s="222" t="str">
        <f>IF(AND(B6&lt;&gt;"",A6=""),"Description required!",IF(AND(A6&lt;&gt;"",B6=""),"Amount required!",""))</f>
        <v/>
      </c>
      <c r="H6" s="28">
        <f>IF(G6="",0,1)</f>
      </c>
      <c r="L6" s="91">
        <f>'TRA112'!E469</f>
      </c>
      <c r="M6" s="91">
        <f>'TRA112'!F469</f>
      </c>
      <c r="N6" s="91">
        <f>'TRA112'!G469</f>
      </c>
      <c r="P6" s="142"/>
      <c r="Q6" s="142"/>
      <c r="R6" s="142"/>
      <c r="S6" s="142"/>
      <c r="IA6" s="1156" t="s">
        <v>2297</v>
      </c>
    </row>
    <row r="7" spans="1:235" x14ac:dyDescent="0.2">
      <c r="A7" s="527" t="s">
        <v>2298</v>
      </c>
      <c r="B7" s="1260"/>
      <c r="C7" s="2853"/>
      <c r="D7" s="524"/>
      <c r="E7" s="524"/>
      <c r="G7" s="2"/>
      <c r="P7" s="142"/>
      <c r="Q7" s="142"/>
      <c r="R7" s="142"/>
      <c r="S7" s="142"/>
      <c r="IA7" s="142" t="s">
        <v>6224</v>
      </c>
    </row>
    <row r="8" spans="1:235" x14ac:dyDescent="0.2">
      <c r="A8" s="2852" t="s">
        <v>8752</v>
      </c>
      <c r="B8" s="319"/>
      <c r="C8" s="2854"/>
      <c r="D8" s="526"/>
      <c r="E8" s="318"/>
      <c r="G8" s="2916" t="str">
        <f>IF(Y8=0,"",IF(COUNT(C8:D8)&lt;&gt;2,reo,""))</f>
        <v/>
      </c>
      <c r="H8" s="28">
        <f>IF(G8="",0,1)</f>
      </c>
      <c r="P8" s="142"/>
      <c r="Q8" s="142"/>
      <c r="R8" s="142"/>
      <c r="S8" s="142"/>
      <c r="Y8" s="28">
        <f>IF(OR(Z8=n,Z8=0),0,1)</f>
      </c>
      <c r="Z8" s="28">
        <f>'TRA100'!K12</f>
      </c>
    </row>
    <row r="9" spans="1:235" x14ac:dyDescent="0.2">
      <c r="A9" s="527" t="s">
        <v>1881</v>
      </c>
      <c r="B9" s="469"/>
      <c r="C9" s="528"/>
      <c r="D9" s="529"/>
      <c r="E9" s="365"/>
      <c r="G9" s="1094" t="str">
        <f>IF(E9&gt;L9," Excessive!","")</f>
        <v/>
      </c>
      <c r="L9" s="28">
        <f>ROUND(E7*0.25,0)</f>
      </c>
      <c r="P9" s="142"/>
      <c r="Q9" s="142"/>
      <c r="R9" s="142"/>
      <c r="S9" s="142"/>
    </row>
    <row r="10" spans="1:235" x14ac:dyDescent="0.2">
      <c r="A10" s="520" t="s">
        <v>6412</v>
      </c>
      <c r="B10" s="451">
        <f>B6</f>
      </c>
      <c r="C10" s="451">
        <f>C7+C8</f>
      </c>
      <c r="D10" s="451">
        <f>D7+D8</f>
      </c>
      <c r="E10" s="451">
        <f>E7+E9</f>
      </c>
      <c r="G10" s="2"/>
      <c r="P10" s="142"/>
      <c r="Q10" s="142"/>
      <c r="R10" s="142"/>
      <c r="S10" s="142"/>
    </row>
    <row r="11" spans="1:235" x14ac:dyDescent="0.2">
      <c r="A11" s="554" t="s">
        <v>2030</v>
      </c>
      <c r="B11" s="523"/>
      <c r="C11" s="3"/>
      <c r="D11" s="3"/>
      <c r="E11" s="3"/>
      <c r="G11" s="2"/>
      <c r="P11" s="142"/>
      <c r="Q11" s="142"/>
      <c r="R11" s="142"/>
      <c r="S11" s="142"/>
    </row>
    <row r="12" spans="1:235" x14ac:dyDescent="0.2">
      <c r="A12" s="2796" t="s">
        <v>8683</v>
      </c>
      <c r="B12" s="365"/>
      <c r="C12" s="365"/>
      <c r="D12" s="365"/>
      <c r="E12" s="365"/>
      <c r="G12" s="531" t="str">
        <f>IF(SUM(B10:E10)=0,"",IF(COUNT(B12:E12)&lt;&gt;4,reo,""))</f>
        <v/>
      </c>
      <c r="H12" s="28">
        <f t="shared" ref="H12:H19" si="0">IF(G12="",0,1)</f>
      </c>
      <c r="I12" s="28">
        <f>COUNT(B12:E12)</f>
      </c>
      <c r="P12" s="142"/>
      <c r="Q12" s="142"/>
      <c r="R12" s="142"/>
      <c r="S12" s="142"/>
    </row>
    <row r="13" spans="1:235" x14ac:dyDescent="0.2">
      <c r="A13" s="530"/>
      <c r="B13" s="365"/>
      <c r="C13" s="365"/>
      <c r="D13" s="365"/>
      <c r="E13" s="365"/>
      <c r="G13" s="531" t="str">
        <f t="shared" ref="G13:G19" si="1">IF(I13+J13=0,"",IF(ISBLANK(A13),"Details!",IF(J13=0,"",IF(I13=0,"Amount!",""))))</f>
        <v/>
      </c>
      <c r="H13" s="28">
        <f t="shared" si="0"/>
        <v>0</v>
      </c>
      <c r="I13" s="28">
        <f t="shared" ref="I13:I19" si="2">COUNT(B13:E13)</f>
      </c>
      <c r="J13" s="28">
        <f t="shared" ref="J13:J19" si="3">COUNTA(A13)</f>
      </c>
      <c r="P13" s="142"/>
      <c r="Q13" s="142"/>
      <c r="R13" s="142"/>
      <c r="S13" s="142"/>
    </row>
    <row r="14" spans="1:235" x14ac:dyDescent="0.2">
      <c r="A14" s="530"/>
      <c r="B14" s="365"/>
      <c r="C14" s="365"/>
      <c r="D14" s="365"/>
      <c r="E14" s="365"/>
      <c r="G14" s="531" t="str">
        <f t="shared" si="1"/>
        <v/>
      </c>
      <c r="H14" s="28">
        <f t="shared" si="0"/>
        <v>0</v>
      </c>
      <c r="I14" s="28">
        <f t="shared" si="2"/>
        <v>0</v>
      </c>
      <c r="J14" s="28">
        <f t="shared" si="3"/>
        <v>0</v>
      </c>
      <c r="P14" s="142"/>
      <c r="Q14" s="142"/>
      <c r="R14" s="142"/>
      <c r="S14" s="142"/>
    </row>
    <row r="15" spans="1:235" x14ac:dyDescent="0.2">
      <c r="A15" s="530"/>
      <c r="B15" s="365"/>
      <c r="C15" s="365"/>
      <c r="D15" s="365"/>
      <c r="E15" s="365"/>
      <c r="G15" s="531" t="str">
        <f t="shared" si="1"/>
        <v/>
      </c>
      <c r="H15" s="28">
        <f t="shared" si="0"/>
        <v>0</v>
      </c>
      <c r="I15" s="28">
        <f t="shared" si="2"/>
        <v>0</v>
      </c>
      <c r="J15" s="28">
        <f t="shared" si="3"/>
        <v>0</v>
      </c>
      <c r="P15" s="142"/>
      <c r="Q15" s="142"/>
      <c r="R15" s="142"/>
      <c r="S15" s="142"/>
    </row>
    <row r="16" spans="1:235" x14ac:dyDescent="0.2">
      <c r="A16" s="530"/>
      <c r="B16" s="365"/>
      <c r="C16" s="365"/>
      <c r="D16" s="365"/>
      <c r="E16" s="365"/>
      <c r="G16" s="531" t="str">
        <f t="shared" si="1"/>
        <v/>
      </c>
      <c r="H16" s="28">
        <f t="shared" si="0"/>
        <v>0</v>
      </c>
      <c r="I16" s="28">
        <f t="shared" si="2"/>
        <v>0</v>
      </c>
      <c r="J16" s="28">
        <f t="shared" si="3"/>
        <v>0</v>
      </c>
      <c r="P16" s="142"/>
      <c r="Q16" s="142"/>
      <c r="R16" s="142"/>
      <c r="S16" s="142"/>
    </row>
    <row r="17" spans="1:108" x14ac:dyDescent="0.2">
      <c r="A17" s="530"/>
      <c r="B17" s="365"/>
      <c r="C17" s="365"/>
      <c r="D17" s="365"/>
      <c r="E17" s="365"/>
      <c r="G17" s="531" t="str">
        <f t="shared" si="1"/>
        <v/>
      </c>
      <c r="H17" s="28">
        <f t="shared" si="0"/>
        <v>0</v>
      </c>
      <c r="I17" s="28">
        <f t="shared" si="2"/>
        <v>0</v>
      </c>
      <c r="J17" s="28">
        <f t="shared" si="3"/>
        <v>0</v>
      </c>
      <c r="P17" s="142"/>
      <c r="Q17" s="142"/>
      <c r="R17" s="142"/>
      <c r="S17" s="142"/>
    </row>
    <row r="18" spans="1:108" x14ac:dyDescent="0.2">
      <c r="A18" s="530"/>
      <c r="B18" s="365"/>
      <c r="C18" s="365"/>
      <c r="D18" s="365"/>
      <c r="E18" s="365"/>
      <c r="G18" s="531" t="str">
        <f t="shared" si="1"/>
        <v/>
      </c>
      <c r="H18" s="28">
        <f t="shared" si="0"/>
        <v>0</v>
      </c>
      <c r="I18" s="28">
        <f t="shared" si="2"/>
        <v>0</v>
      </c>
      <c r="J18" s="28">
        <f t="shared" si="3"/>
        <v>0</v>
      </c>
      <c r="S18" s="142"/>
      <c r="T18" s="142"/>
      <c r="U18" s="142"/>
      <c r="V18" s="142"/>
    </row>
    <row r="19" spans="1:108" x14ac:dyDescent="0.2">
      <c r="A19" s="530"/>
      <c r="B19" s="365"/>
      <c r="C19" s="365"/>
      <c r="D19" s="365"/>
      <c r="E19" s="365"/>
      <c r="G19" s="531" t="str">
        <f t="shared" si="1"/>
        <v/>
      </c>
      <c r="H19" s="28">
        <f t="shared" si="0"/>
        <v>0</v>
      </c>
      <c r="I19" s="28">
        <f t="shared" si="2"/>
        <v>0</v>
      </c>
      <c r="J19" s="28">
        <f t="shared" si="3"/>
        <v>0</v>
      </c>
      <c r="L19" s="28">
        <f>SUM(M19:P19)+SUM(M22:O22)</f>
      </c>
      <c r="M19" s="28">
        <f>COUNT(B6,B12:B20,B25)</f>
      </c>
      <c r="N19" s="28">
        <f>COUNT(C7,C12:C20)</f>
      </c>
      <c r="O19" s="28">
        <f>COUNT(D7,D12:D20)</f>
      </c>
      <c r="P19" s="28">
        <f>COUNT(E7,E9,E12:E20)</f>
      </c>
      <c r="Q19" s="30"/>
      <c r="S19" s="142"/>
      <c r="T19" s="142"/>
      <c r="U19" s="142"/>
      <c r="V19" s="142"/>
      <c r="W19" s="84"/>
    </row>
    <row r="20" spans="1:108" x14ac:dyDescent="0.2">
      <c r="A20" s="555" t="s">
        <v>6077</v>
      </c>
      <c r="B20" s="532"/>
      <c r="C20" s="532"/>
      <c r="D20" s="532"/>
      <c r="E20" s="532"/>
      <c r="G20" s="1095" t="str">
        <f>IF(L19=0,"",IF(S26&gt;0,J27,IF(L20&lt;&gt;0,ls,IF(L21&lt;&gt;L25,cv,""))))</f>
        <v/>
      </c>
      <c r="H20" s="28">
        <f>IF(G20=J27,1,0)</f>
      </c>
      <c r="L20" s="28">
        <f>SUM(M20:P20)</f>
      </c>
      <c r="M20" s="28">
        <f>IF(B20&lt;0,1,0)</f>
      </c>
      <c r="N20" s="28">
        <f>IF(C20&lt;0,1,0)</f>
      </c>
      <c r="O20" s="28">
        <f>IF(D20&lt;0,1,0)</f>
      </c>
      <c r="P20" s="28">
        <f>IF(E20&lt;0,1,0)</f>
      </c>
      <c r="T20" s="142"/>
      <c r="U20" s="142"/>
      <c r="V20" s="142"/>
      <c r="AH20" s="84">
        <f>SUM(B12:B19)</f>
      </c>
      <c r="AI20" s="84">
        <f>SUM(C12:C19)</f>
      </c>
      <c r="AJ20" s="84">
        <f>SUM(D12:D19)</f>
      </c>
      <c r="AK20" s="84">
        <f>SUM(E12:E19)</f>
      </c>
      <c r="AL20" s="84">
        <f>SUM(F12:F19)</f>
      </c>
    </row>
    <row r="21" spans="1:108" ht="18" customHeight="1" x14ac:dyDescent="0.2">
      <c r="A21" s="794" t="str">
        <f>IF(nofs=0,"",IF(AND(AB21=0,L25-(C8+D8)=0),"",IF(AND(AB21&lt;&gt;0,L19=0),"Investment income reported in TIFD!",IF(AND(L19&lt;&gt;0,AB21=0),"No investment income reported in TIFD!",""))))</f>
        <v/>
      </c>
      <c r="B21" s="416">
        <f>IF(AH20&gt;B10,0,B10-AH20)</f>
      </c>
      <c r="C21" s="416">
        <f>IF(AI20&gt;C10,0,C10-AI20)</f>
      </c>
      <c r="D21" s="416">
        <f>IF(AJ20&gt;D10,0,D10-AJ20)</f>
      </c>
      <c r="E21" s="416">
        <f>IF(AK20&gt;E10,0,E10-AK20)</f>
      </c>
      <c r="G21" s="3"/>
      <c r="H21" s="28">
        <f>SUM(H12:H20,H9,H6)</f>
      </c>
      <c r="L21" s="32">
        <f>SUM(B20:E20)</f>
      </c>
      <c r="P21" s="32"/>
      <c r="Q21" s="32"/>
      <c r="R21" s="44"/>
      <c r="S21" s="142"/>
      <c r="T21" s="142"/>
      <c r="U21" s="142"/>
      <c r="V21" s="142"/>
      <c r="AB21" s="28">
        <f>Income!BB35</f>
      </c>
    </row>
    <row r="22" spans="1:108" ht="12.75" customHeight="1" x14ac:dyDescent="0.2">
      <c r="A22" s="3367" t="s">
        <v>9250</v>
      </c>
      <c r="B22" s="3368"/>
      <c r="C22" s="405">
        <f>L6</f>
      </c>
      <c r="D22" s="405">
        <f>M6</f>
      </c>
      <c r="E22" s="405">
        <f>N6</f>
      </c>
      <c r="G22" s="3369" t="s">
        <v>9206</v>
      </c>
      <c r="L22" s="32"/>
      <c r="M22" s="28">
        <f>IF(C22&lt;=0,0,1)</f>
      </c>
      <c r="N22" s="28">
        <f>IF(D22&lt;=0,0,1)</f>
      </c>
      <c r="O22" s="28">
        <f>IF(E22&lt;=0,0,1)</f>
      </c>
      <c r="P22" s="32"/>
      <c r="Q22" s="32"/>
      <c r="R22" s="44"/>
      <c r="S22" s="142"/>
      <c r="T22" s="142"/>
      <c r="U22" s="142"/>
      <c r="V22" s="142"/>
    </row>
    <row r="23" spans="1:108" ht="12.75" customHeight="1" x14ac:dyDescent="0.2">
      <c r="A23" s="555" t="s">
        <v>9244</v>
      </c>
      <c r="B23" s="451">
        <f>B20</f>
      </c>
      <c r="C23" s="451">
        <f>C20+C22</f>
      </c>
      <c r="D23" s="451">
        <f>D20+D22</f>
      </c>
      <c r="E23" s="451">
        <f>E20+E22</f>
      </c>
      <c r="G23" s="3"/>
      <c r="L23" s="32"/>
      <c r="P23" s="32"/>
      <c r="Q23" s="32"/>
      <c r="R23" s="44"/>
      <c r="S23" s="142"/>
      <c r="T23" s="142"/>
      <c r="U23" s="142"/>
      <c r="V23" s="142"/>
    </row>
    <row r="24" spans="1:108" ht="6.75" customHeight="1" x14ac:dyDescent="0.2">
      <c r="A24" s="794"/>
      <c r="B24" s="416"/>
      <c r="C24" s="416"/>
      <c r="D24" s="416"/>
      <c r="E24" s="416"/>
      <c r="G24" s="3"/>
      <c r="L24" s="32"/>
      <c r="P24" s="32"/>
      <c r="Q24" s="32"/>
      <c r="R24" s="44"/>
      <c r="S24" s="142"/>
      <c r="T24" s="142"/>
      <c r="U24" s="142"/>
      <c r="V24" s="142"/>
    </row>
    <row r="25" spans="1:108" x14ac:dyDescent="0.2">
      <c r="A25" s="533" t="s">
        <v>318</v>
      </c>
      <c r="B25" s="223"/>
      <c r="C25" s="534" t="str">
        <f>IF(AND(B6&gt;0,B25=""),re,IF(AND(B25&gt;0,Q25=0),DC25,IF(DB25=1,DD25,"")))</f>
        <v/>
      </c>
      <c r="D25" s="3"/>
      <c r="E25" s="3"/>
      <c r="G25" s="3"/>
      <c r="L25" s="32">
        <f>SUM(B21:E21)</f>
      </c>
      <c r="Q25" s="28">
        <f>ROUND((R25+S25)/2,0)</f>
      </c>
      <c r="R25" s="28">
        <f>T25-2</f>
      </c>
      <c r="S25" s="142">
        <f>U25+2</f>
      </c>
      <c r="T25" s="142">
        <f>ROUND(B6*0.1,0)</f>
      </c>
      <c r="U25" s="142">
        <f>ROUND(B6*0.15,0)</f>
      </c>
      <c r="V25" s="142">
        <f>IF(U25-5&lt;0,0,U25-5)</f>
      </c>
      <c r="W25" s="28">
        <f>U25+5</f>
      </c>
      <c r="DA25" s="142">
        <f>IF(OR(B25="",B25=0),0,B25/B6)</f>
      </c>
      <c r="DB25" s="142">
        <f>IF(DA25=0,0,IF(OR(DA25&lt;9.9%,DA25&gt;15.9%),1,0))</f>
      </c>
      <c r="DC25" s="142" t="s">
        <v>5760</v>
      </c>
      <c r="DD25" s="142" t="s">
        <v>5759</v>
      </c>
    </row>
    <row r="26" spans="1:108" ht="5.25" customHeight="1" x14ac:dyDescent="0.2">
      <c r="A26" s="3"/>
      <c r="B26" s="34"/>
      <c r="C26" s="3"/>
      <c r="D26" s="3"/>
      <c r="E26" s="3"/>
      <c r="G26" s="3"/>
      <c r="J26" s="28">
        <f>ROUND(B6*0.15,0)</f>
      </c>
      <c r="M26" s="28">
        <f>IF(B21=0,0,IF(ISBLANK(B20),1,0))</f>
      </c>
      <c r="N26" s="28">
        <f>IF(C21=0,0,IF(ISBLANK(C20),1,0))</f>
      </c>
      <c r="O26" s="28">
        <f>IF(D21=0,0,IF(ISBLANK(D20),1,0))</f>
      </c>
      <c r="P26" s="28">
        <f>IF(E21=0,0,IF(ISBLANK(E20),1,0))</f>
      </c>
      <c r="S26" s="28">
        <f>SUM(M26:P26)</f>
      </c>
    </row>
    <row r="27" spans="1:108" x14ac:dyDescent="0.2">
      <c r="A27" s="533" t="s">
        <v>4797</v>
      </c>
      <c r="B27" s="535">
        <f>IF(B25&gt;B20,0,ROUND(B20-B25,0))</f>
      </c>
      <c r="C27" s="3"/>
      <c r="D27" s="3"/>
      <c r="E27" s="3"/>
      <c r="G27" s="3"/>
      <c r="I27" s="30">
        <f>IF(L19=0,0,IF(H21&lt;&gt;0,100,IF(S26&lt;&gt;0,100,IF(C25=re,100,IF(C25=DC25,100,IF(C31="Yes",1,100))))))</f>
      </c>
      <c r="J27" s="28" t="s">
        <v>4947</v>
      </c>
      <c r="P27" s="142"/>
      <c r="Q27" s="142"/>
      <c r="R27" s="142"/>
      <c r="S27" s="142"/>
    </row>
    <row r="28" spans="1:108" hidden="1" x14ac:dyDescent="0.2">
      <c r="C28" s="3"/>
      <c r="D28" s="3"/>
      <c r="E28" s="3"/>
      <c r="P28" s="142"/>
      <c r="Q28" s="142"/>
      <c r="R28" s="142"/>
      <c r="S28" s="142"/>
    </row>
    <row r="29" spans="1:108" ht="6" customHeight="1" x14ac:dyDescent="0.2">
      <c r="A29" s="3"/>
      <c r="B29" s="34"/>
      <c r="C29" s="3"/>
      <c r="D29" s="3"/>
      <c r="E29" s="3"/>
      <c r="G29" s="3"/>
      <c r="P29" s="142"/>
      <c r="Q29" s="142"/>
      <c r="R29" s="142"/>
      <c r="S29" s="142"/>
    </row>
    <row r="30" spans="1:108" x14ac:dyDescent="0.2">
      <c r="A30" s="17" t="str">
        <f>_xlfn.SINGLE(MTCA)</f>
      </c>
      <c r="B30" s="50"/>
      <c r="C30" s="50"/>
      <c r="D30" s="50"/>
      <c r="E30" s="536" t="s">
        <v>1503</v>
      </c>
      <c r="G30" s="3"/>
      <c r="J30" s="28">
        <f>IF(OR(G20=cv,A21&lt;&gt;"",G9&lt;&gt;"",C25=DD25),1,0)</f>
      </c>
      <c r="P30" s="142"/>
      <c r="Q30" s="142"/>
      <c r="R30" s="142"/>
      <c r="S30" s="142"/>
    </row>
    <row r="31" spans="1:108" ht="12.75" customHeight="1" x14ac:dyDescent="0.2">
      <c r="A31" s="388"/>
      <c r="B31" s="388" t="str">
        <f>COM</f>
      </c>
      <c r="C31" s="331"/>
      <c r="D31" s="434" t="str">
        <f>IF(L19=0,"",IF(C31="",re,""))</f>
        <v/>
      </c>
      <c r="E31" s="60"/>
      <c r="P31" s="142"/>
      <c r="Q31" s="142"/>
      <c r="R31" s="142"/>
      <c r="S31" s="142"/>
    </row>
    <row r="32" spans="1:108" ht="12.75" customHeight="1" x14ac:dyDescent="0.2">
      <c r="B32" s="28"/>
      <c r="E32" s="60"/>
      <c r="P32" s="142"/>
      <c r="Q32" s="142"/>
      <c r="R32" s="142"/>
      <c r="S32" s="142"/>
    </row>
    <row r="33" spans="1:19" ht="12.75" customHeight="1" x14ac:dyDescent="0.2">
      <c r="A33" s="4418" t="s">
        <v>6290</v>
      </c>
      <c r="B33" s="4418"/>
      <c r="E33" s="60"/>
      <c r="P33" s="142"/>
      <c r="Q33" s="142"/>
      <c r="R33" s="142"/>
      <c r="S33" s="142"/>
    </row>
    <row r="34" spans="1:19" ht="12.75" customHeight="1" x14ac:dyDescent="0.2">
      <c r="P34" s="142"/>
      <c r="Q34" s="142"/>
      <c r="R34" s="142"/>
      <c r="S34" s="142"/>
    </row>
    <row r="35" spans="1:19" ht="12.75" customHeight="1" x14ac:dyDescent="0.2">
      <c r="P35" s="142"/>
      <c r="Q35" s="142"/>
      <c r="R35" s="142"/>
      <c r="S35" s="142"/>
    </row>
    <row r="36" spans="1:19" ht="14.25" customHeight="1" x14ac:dyDescent="0.25">
      <c r="A36" s="4626" t="s">
        <v>733</v>
      </c>
      <c r="B36" s="4618" t="s">
        <v>4243</v>
      </c>
      <c r="C36" s="4619"/>
      <c r="D36" s="4619"/>
      <c r="E36" s="4620"/>
      <c r="G36" s="1312"/>
      <c r="H36" s="1313"/>
      <c r="N36" s="4553" t="s">
        <v>9206</v>
      </c>
      <c r="O36" s="4554"/>
      <c r="P36" s="4554"/>
      <c r="Q36" s="142"/>
      <c r="R36" s="142"/>
      <c r="S36" s="142"/>
    </row>
    <row r="37" spans="1:19" ht="15.75" customHeight="1" x14ac:dyDescent="0.2">
      <c r="A37" s="4627"/>
      <c r="B37" s="4616" t="s">
        <v>2299</v>
      </c>
      <c r="C37" s="4574" t="s">
        <v>3712</v>
      </c>
      <c r="D37" s="4574" t="s">
        <v>2105</v>
      </c>
      <c r="E37" s="4574" t="s">
        <v>2106</v>
      </c>
      <c r="G37" s="3"/>
      <c r="N37" s="4555" t="s">
        <v>3712</v>
      </c>
      <c r="O37" s="4555" t="s">
        <v>2105</v>
      </c>
      <c r="P37" s="4555" t="s">
        <v>2106</v>
      </c>
      <c r="Q37" s="142"/>
      <c r="R37" s="142"/>
      <c r="S37" s="142"/>
    </row>
    <row r="38" spans="1:19" ht="24" customHeight="1" x14ac:dyDescent="0.2">
      <c r="A38" s="4628"/>
      <c r="B38" s="4617"/>
      <c r="C38" s="4621"/>
      <c r="D38" s="4621"/>
      <c r="E38" s="4621"/>
      <c r="G38" s="3"/>
      <c r="N38" s="4555"/>
      <c r="O38" s="4555"/>
      <c r="P38" s="4555"/>
      <c r="Q38" s="142"/>
      <c r="R38" s="142"/>
      <c r="S38" s="142"/>
    </row>
    <row r="39" spans="1:19" ht="15" customHeight="1" x14ac:dyDescent="0.2">
      <c r="A39" s="504" t="s">
        <v>6151</v>
      </c>
      <c r="B39" s="3"/>
      <c r="C39" s="525"/>
      <c r="D39" s="525"/>
      <c r="E39" s="223"/>
      <c r="G39" s="3"/>
      <c r="N39" s="91">
        <f>'TRA112'!E470</f>
      </c>
      <c r="O39" s="91">
        <f>'TRA112'!F470</f>
      </c>
      <c r="P39" s="91">
        <f>'TRA112'!G470</f>
      </c>
      <c r="Q39" s="142"/>
      <c r="R39" s="142"/>
      <c r="S39" s="142"/>
    </row>
    <row r="40" spans="1:19" ht="15" customHeight="1" x14ac:dyDescent="0.2">
      <c r="A40" s="504" t="s">
        <v>1881</v>
      </c>
      <c r="B40" s="3"/>
      <c r="C40" s="522"/>
      <c r="D40" s="529"/>
      <c r="E40" s="365"/>
      <c r="G40" s="1094" t="str">
        <f>IF(E40&gt;L40," Excessive!","")</f>
        <v/>
      </c>
      <c r="L40" s="28">
        <f>ROUND(E39*0.25,0)</f>
      </c>
      <c r="P40" s="142"/>
      <c r="Q40" s="142"/>
      <c r="R40" s="142"/>
      <c r="S40" s="142"/>
    </row>
    <row r="41" spans="1:19" ht="15" customHeight="1" x14ac:dyDescent="0.2">
      <c r="A41" s="520" t="s">
        <v>4912</v>
      </c>
      <c r="B41" s="3"/>
      <c r="C41" s="537">
        <f>SUM(C39:C40)</f>
      </c>
      <c r="D41" s="537">
        <f>SUM(D39:D40)</f>
      </c>
      <c r="E41" s="538">
        <f>SUM(E39:E40)</f>
      </c>
      <c r="G41" s="2"/>
      <c r="P41" s="142"/>
      <c r="Q41" s="142"/>
      <c r="R41" s="142"/>
      <c r="S41" s="142"/>
    </row>
    <row r="42" spans="1:19" ht="15" customHeight="1" x14ac:dyDescent="0.2">
      <c r="A42" s="318" t="s">
        <v>2030</v>
      </c>
      <c r="B42" s="3"/>
      <c r="C42" s="11"/>
      <c r="D42" s="3"/>
      <c r="E42" s="6"/>
      <c r="G42" s="2"/>
      <c r="P42" s="142"/>
      <c r="Q42" s="142"/>
      <c r="R42" s="142"/>
      <c r="S42" s="142"/>
    </row>
    <row r="43" spans="1:19" ht="15" customHeight="1" x14ac:dyDescent="0.2">
      <c r="A43" s="2796" t="s">
        <v>8683</v>
      </c>
      <c r="B43" s="3"/>
      <c r="C43" s="223"/>
      <c r="D43" s="223"/>
      <c r="E43" s="223"/>
      <c r="G43" s="531" t="str">
        <f>IF(SUM(C41:E41)=0,"",IF(COUNT(C43:E43)&lt;&gt;3,reo,""))</f>
        <v/>
      </c>
      <c r="H43" s="28">
        <f t="shared" ref="H43:H50" si="4">IF(G43="",0,1)</f>
      </c>
      <c r="I43" s="28">
        <f>COUNT(C43:E43)</f>
      </c>
      <c r="J43" s="28">
        <f>COUNTA(A43)</f>
      </c>
      <c r="P43" s="142"/>
      <c r="Q43" s="142"/>
      <c r="R43" s="142"/>
      <c r="S43" s="142"/>
    </row>
    <row r="44" spans="1:19" ht="15" customHeight="1" x14ac:dyDescent="0.2">
      <c r="A44" s="530"/>
      <c r="B44" s="3"/>
      <c r="C44" s="223"/>
      <c r="D44" s="223"/>
      <c r="E44" s="223"/>
      <c r="G44" s="531" t="str">
        <f t="shared" ref="G44:G50" si="5">IF(I44+J44=0,"",IF(ISBLANK(A44),"Details!",IF(J44=0,"",IF(I44=0,"Amount!",""))))</f>
        <v/>
      </c>
      <c r="H44" s="28">
        <f t="shared" si="4"/>
        <v>0</v>
      </c>
      <c r="I44" s="28">
        <f t="shared" ref="I44:I50" si="6">COUNT(C44:E44)</f>
      </c>
      <c r="J44" s="28">
        <f t="shared" ref="J44:J50" si="7">COUNTA(A44)</f>
      </c>
      <c r="P44" s="142"/>
      <c r="Q44" s="142"/>
      <c r="R44" s="142"/>
      <c r="S44" s="142"/>
    </row>
    <row r="45" spans="1:19" ht="15" customHeight="1" x14ac:dyDescent="0.2">
      <c r="A45" s="530"/>
      <c r="B45" s="3"/>
      <c r="C45" s="223"/>
      <c r="D45" s="223"/>
      <c r="E45" s="223"/>
      <c r="G45" s="531" t="str">
        <f t="shared" si="5"/>
        <v/>
      </c>
      <c r="H45" s="28">
        <f t="shared" si="4"/>
        <v>0</v>
      </c>
      <c r="I45" s="28">
        <f t="shared" si="6"/>
        <v>0</v>
      </c>
      <c r="J45" s="28">
        <f t="shared" si="7"/>
        <v>0</v>
      </c>
      <c r="P45" s="142"/>
      <c r="Q45" s="142"/>
      <c r="R45" s="142"/>
      <c r="S45" s="142"/>
    </row>
    <row r="46" spans="1:19" ht="15" customHeight="1" x14ac:dyDescent="0.2">
      <c r="A46" s="530"/>
      <c r="B46" s="3"/>
      <c r="C46" s="223"/>
      <c r="D46" s="223"/>
      <c r="E46" s="223"/>
      <c r="G46" s="531" t="str">
        <f t="shared" si="5"/>
        <v/>
      </c>
      <c r="H46" s="28">
        <f t="shared" si="4"/>
        <v>0</v>
      </c>
      <c r="I46" s="28">
        <f t="shared" si="6"/>
        <v>0</v>
      </c>
      <c r="J46" s="28">
        <f t="shared" si="7"/>
        <v>0</v>
      </c>
      <c r="P46" s="142"/>
      <c r="Q46" s="142"/>
      <c r="R46" s="142"/>
      <c r="S46" s="142"/>
    </row>
    <row r="47" spans="1:19" ht="15" customHeight="1" x14ac:dyDescent="0.2">
      <c r="A47" s="530"/>
      <c r="B47" s="3"/>
      <c r="C47" s="223"/>
      <c r="D47" s="223"/>
      <c r="E47" s="223"/>
      <c r="G47" s="531" t="str">
        <f t="shared" si="5"/>
        <v/>
      </c>
      <c r="H47" s="28">
        <f t="shared" si="4"/>
        <v>0</v>
      </c>
      <c r="I47" s="28">
        <f t="shared" si="6"/>
        <v>0</v>
      </c>
      <c r="J47" s="28">
        <f t="shared" si="7"/>
        <v>0</v>
      </c>
      <c r="P47" s="142"/>
      <c r="Q47" s="142"/>
      <c r="R47" s="142"/>
      <c r="S47" s="142"/>
    </row>
    <row r="48" spans="1:19" ht="15" customHeight="1" x14ac:dyDescent="0.2">
      <c r="A48" s="530"/>
      <c r="B48" s="3"/>
      <c r="C48" s="223"/>
      <c r="D48" s="223"/>
      <c r="E48" s="223"/>
      <c r="G48" s="531" t="str">
        <f t="shared" si="5"/>
        <v/>
      </c>
      <c r="H48" s="28">
        <f t="shared" si="4"/>
        <v>0</v>
      </c>
      <c r="I48" s="28">
        <f t="shared" si="6"/>
        <v>0</v>
      </c>
      <c r="J48" s="28">
        <f t="shared" si="7"/>
        <v>0</v>
      </c>
      <c r="P48" s="142"/>
      <c r="Q48" s="142"/>
      <c r="R48" s="142"/>
      <c r="S48" s="142"/>
    </row>
    <row r="49" spans="1:38" ht="15" customHeight="1" x14ac:dyDescent="0.2">
      <c r="A49" s="530"/>
      <c r="B49" s="3"/>
      <c r="C49" s="223"/>
      <c r="D49" s="223"/>
      <c r="E49" s="223"/>
      <c r="G49" s="531" t="str">
        <f t="shared" si="5"/>
        <v/>
      </c>
      <c r="H49" s="28">
        <f t="shared" si="4"/>
        <v>0</v>
      </c>
      <c r="I49" s="28">
        <f t="shared" si="6"/>
        <v>0</v>
      </c>
      <c r="J49" s="28">
        <f t="shared" si="7"/>
        <v>0</v>
      </c>
      <c r="S49" s="142"/>
      <c r="T49" s="142"/>
      <c r="U49" s="142"/>
      <c r="V49" s="142"/>
    </row>
    <row r="50" spans="1:38" ht="15" customHeight="1" x14ac:dyDescent="0.2">
      <c r="A50" s="530"/>
      <c r="B50" s="3"/>
      <c r="C50" s="223"/>
      <c r="D50" s="223"/>
      <c r="E50" s="223"/>
      <c r="G50" s="531" t="str">
        <f t="shared" si="5"/>
        <v/>
      </c>
      <c r="H50" s="28">
        <f t="shared" si="4"/>
        <v>0</v>
      </c>
      <c r="I50" s="28">
        <f t="shared" si="6"/>
        <v>0</v>
      </c>
      <c r="J50" s="28">
        <f t="shared" si="7"/>
        <v>0</v>
      </c>
      <c r="L50" s="28">
        <f>SUM(M50:Q50)+SUM(M53:O53)</f>
      </c>
      <c r="N50" s="28">
        <f>COUNT(C39,C43:C51)</f>
      </c>
      <c r="O50" s="28">
        <f>COUNT(D39,D43:D51)</f>
      </c>
      <c r="P50" s="28">
        <f>COUNT(E39,E40,E43:E51)</f>
      </c>
      <c r="S50" s="142"/>
      <c r="T50" s="142"/>
      <c r="U50" s="142"/>
      <c r="V50" s="142"/>
      <c r="W50" s="84"/>
    </row>
    <row r="51" spans="1:38" ht="15" customHeight="1" x14ac:dyDescent="0.2">
      <c r="A51" s="555" t="s">
        <v>4913</v>
      </c>
      <c r="B51" s="3"/>
      <c r="C51" s="532"/>
      <c r="D51" s="532"/>
      <c r="E51" s="532"/>
      <c r="G51" s="1095" t="str">
        <f>IF(L50=0,"",IF(S56&gt;0,J27,IF(L51&lt;&gt;0,ls,IF(L52&lt;&gt;L55,cv,""))))</f>
        <v/>
      </c>
      <c r="H51" s="28">
        <f>IF(G51=J27,1,0)</f>
      </c>
      <c r="L51" s="28">
        <f>SUM(M51:Q51)</f>
      </c>
      <c r="N51" s="28">
        <f>IF(C51&lt;0,1,0)</f>
      </c>
      <c r="O51" s="28">
        <f>IF(D51&lt;0,1,0)</f>
      </c>
      <c r="P51" s="28">
        <f>IF(E51&lt;0,1,0)</f>
      </c>
      <c r="T51" s="142"/>
      <c r="U51" s="142"/>
      <c r="V51" s="142"/>
      <c r="AH51" s="84">
        <f>SUM(B43:B50)</f>
      </c>
      <c r="AI51" s="84">
        <f>SUM(C43:C50)</f>
      </c>
      <c r="AJ51" s="84">
        <f>SUM(D43:D50)</f>
      </c>
      <c r="AK51" s="84">
        <f>SUM(E43:E50)</f>
      </c>
      <c r="AL51" s="84">
        <f>SUM(F43:F50)</f>
      </c>
    </row>
    <row r="52" spans="1:38" x14ac:dyDescent="0.2">
      <c r="A52" s="3"/>
      <c r="B52" s="3"/>
      <c r="C52" s="416">
        <f>IF(AI51&gt;C41,0,C41-AI51)</f>
      </c>
      <c r="D52" s="416">
        <f>IF(AJ51&gt;D41,0,D41-AJ51)</f>
      </c>
      <c r="E52" s="416">
        <f>IF(AK51&gt;E41,0,E41-AK51)</f>
      </c>
      <c r="G52" s="3"/>
      <c r="H52" s="28">
        <f>SUM(H43:H51,H40)</f>
      </c>
      <c r="L52" s="32">
        <f>SUM(C51:E51)</f>
      </c>
      <c r="P52" s="32"/>
      <c r="Q52" s="32"/>
      <c r="R52" s="44"/>
      <c r="S52" s="142"/>
      <c r="T52" s="142"/>
      <c r="U52" s="142"/>
      <c r="V52" s="142"/>
      <c r="AB52" s="28">
        <f>Income!BB66</f>
      </c>
    </row>
    <row r="53" spans="1:38" x14ac:dyDescent="0.2">
      <c r="A53" s="3367" t="s">
        <v>9250</v>
      </c>
      <c r="B53" s="3"/>
      <c r="C53" s="405">
        <f>N39</f>
      </c>
      <c r="D53" s="405">
        <f>O39</f>
      </c>
      <c r="E53" s="405">
        <f>P39</f>
      </c>
      <c r="G53" s="3369" t="s">
        <v>9206</v>
      </c>
      <c r="L53" s="32"/>
      <c r="M53" s="28">
        <f>IF(C53&lt;=0,0,1)</f>
      </c>
      <c r="N53" s="28">
        <f>IF(D53&lt;=0,0,1)</f>
      </c>
      <c r="O53" s="28">
        <f>IF(E53&lt;=0,0,1)</f>
      </c>
      <c r="P53" s="32"/>
      <c r="Q53" s="32"/>
      <c r="R53" s="44"/>
      <c r="S53" s="142"/>
      <c r="T53" s="142"/>
      <c r="U53" s="142"/>
      <c r="V53" s="142"/>
    </row>
    <row r="54" spans="1:38" x14ac:dyDescent="0.2">
      <c r="A54" s="3367" t="s">
        <v>9245</v>
      </c>
      <c r="B54" s="3"/>
      <c r="C54" s="451">
        <f>C51+C53</f>
      </c>
      <c r="D54" s="451">
        <f>D51+D53</f>
      </c>
      <c r="E54" s="451">
        <f>E51+E53</f>
      </c>
      <c r="G54" s="3"/>
      <c r="L54" s="32"/>
      <c r="P54" s="32"/>
      <c r="Q54" s="32"/>
      <c r="R54" s="44"/>
      <c r="S54" s="142"/>
      <c r="T54" s="142"/>
      <c r="U54" s="142"/>
      <c r="V54" s="142"/>
    </row>
    <row r="55" spans="1:38" ht="9" customHeight="1" x14ac:dyDescent="0.2">
      <c r="A55" s="17"/>
      <c r="B55" s="151"/>
      <c r="C55" s="539"/>
      <c r="D55" s="539"/>
      <c r="E55" s="539"/>
      <c r="G55" s="3"/>
      <c r="L55" s="32">
        <f>SUM(B52:E52)</f>
      </c>
      <c r="S55" s="142"/>
      <c r="T55" s="142"/>
      <c r="U55" s="142"/>
      <c r="V55" s="142"/>
    </row>
    <row r="56" spans="1:38" ht="12.75" customHeight="1" x14ac:dyDescent="0.2">
      <c r="A56" s="17" t="str">
        <f>_xlfn.SINGLE(MTCA)</f>
      </c>
      <c r="B56" s="151"/>
      <c r="C56" s="539"/>
      <c r="D56" s="539"/>
      <c r="E56" s="539" t="s">
        <v>1505</v>
      </c>
      <c r="G56" s="3"/>
      <c r="N56" s="28">
        <f>IF(N50=0,0,IF(ISBLANK(C51),1,0))</f>
      </c>
      <c r="O56" s="28">
        <f>IF(O50=0,0,IF(ISBLANK(D51),1,0))</f>
      </c>
      <c r="P56" s="28">
        <f>IF(P50=0,0,IF(ISBLANK(E51),1,0))</f>
      </c>
      <c r="S56" s="28">
        <f>SUM(M56:P56)</f>
      </c>
    </row>
    <row r="57" spans="1:38" ht="12.75" customHeight="1" x14ac:dyDescent="0.2">
      <c r="A57" s="388"/>
      <c r="B57" s="388" t="str">
        <f>COM</f>
      </c>
      <c r="C57" s="331"/>
      <c r="D57" s="545" t="str">
        <f>IF(L50=0,"",IF(C57="",re,""))</f>
        <v/>
      </c>
      <c r="E57" s="493" t="s">
        <v>6290</v>
      </c>
      <c r="F57" s="493"/>
      <c r="I57" s="30">
        <f>IF(L50=0,0,IF(H52&lt;&gt;0,100,IF(S56&lt;&gt;0,100,IF(C57="Yes",1,100))))</f>
      </c>
      <c r="J57" s="28">
        <f>IF(OR(G51=cv,G40&lt;&gt;""),1,0)</f>
      </c>
      <c r="P57" s="142"/>
      <c r="Q57" s="142"/>
      <c r="R57" s="142"/>
      <c r="S57" s="142"/>
    </row>
    <row r="58" spans="1:38" ht="12.75" customHeight="1" x14ac:dyDescent="0.2">
      <c r="B58" s="28"/>
      <c r="P58" s="142"/>
      <c r="Q58" s="142"/>
      <c r="R58" s="142"/>
      <c r="S58" s="142"/>
    </row>
    <row r="59" spans="1:38" ht="12.75" customHeight="1" x14ac:dyDescent="0.2">
      <c r="P59" s="142"/>
      <c r="Q59" s="142"/>
      <c r="R59" s="142"/>
      <c r="S59" s="142"/>
    </row>
    <row r="60" spans="1:38" ht="12.75" customHeight="1" x14ac:dyDescent="0.25">
      <c r="A60" s="4623" t="s">
        <v>4914</v>
      </c>
      <c r="B60" s="4618" t="s">
        <v>4243</v>
      </c>
      <c r="C60" s="4619"/>
      <c r="D60" s="4619"/>
      <c r="E60" s="4620"/>
      <c r="G60" s="1312"/>
      <c r="N60" s="4553" t="s">
        <v>9206</v>
      </c>
      <c r="O60" s="4554"/>
      <c r="P60" s="4554"/>
      <c r="Q60" s="142"/>
      <c r="R60" s="142"/>
      <c r="S60" s="142"/>
    </row>
    <row r="61" spans="1:38" ht="15.75" customHeight="1" x14ac:dyDescent="0.2">
      <c r="A61" s="4623"/>
      <c r="B61" s="4574" t="s">
        <v>2299</v>
      </c>
      <c r="C61" s="4574" t="s">
        <v>3712</v>
      </c>
      <c r="D61" s="4616" t="s">
        <v>2105</v>
      </c>
      <c r="E61" s="4574" t="s">
        <v>2106</v>
      </c>
      <c r="G61" s="3"/>
      <c r="N61" s="4555" t="s">
        <v>3712</v>
      </c>
      <c r="O61" s="4555" t="s">
        <v>2105</v>
      </c>
      <c r="P61" s="4555" t="s">
        <v>2106</v>
      </c>
      <c r="Q61" s="142"/>
      <c r="R61" s="142"/>
      <c r="S61" s="142"/>
    </row>
    <row r="62" spans="1:38" ht="24.75" customHeight="1" x14ac:dyDescent="0.2">
      <c r="A62" s="4623"/>
      <c r="B62" s="4621"/>
      <c r="C62" s="4621"/>
      <c r="D62" s="4617"/>
      <c r="E62" s="4621"/>
      <c r="G62" s="3"/>
      <c r="N62" s="4555"/>
      <c r="O62" s="4555"/>
      <c r="P62" s="4555"/>
      <c r="Q62" s="142"/>
      <c r="R62" s="142"/>
      <c r="S62" s="142"/>
    </row>
    <row r="63" spans="1:38" x14ac:dyDescent="0.2">
      <c r="A63" s="504" t="s">
        <v>4915</v>
      </c>
      <c r="B63" s="3"/>
      <c r="C63" s="525"/>
      <c r="D63" s="416"/>
      <c r="E63" s="223"/>
      <c r="G63" s="3"/>
      <c r="N63" s="91">
        <f>'TRA112'!E471</f>
      </c>
      <c r="O63" s="91"/>
      <c r="P63" s="91">
        <f>'TRA112'!G471</f>
      </c>
      <c r="Q63" s="142"/>
      <c r="R63" s="142"/>
      <c r="S63" s="142"/>
    </row>
    <row r="64" spans="1:38" x14ac:dyDescent="0.2">
      <c r="A64" s="504" t="s">
        <v>1881</v>
      </c>
      <c r="B64" s="3"/>
      <c r="C64" s="58"/>
      <c r="D64" s="416"/>
      <c r="E64" s="365"/>
      <c r="G64" s="1094" t="str">
        <f>IF(E64&gt;L64," Excessive!","")</f>
        <v/>
      </c>
      <c r="K64" s="28">
        <f>COUNT(B63,C63,E63,E64)</f>
      </c>
      <c r="L64" s="28">
        <f>ROUND(E63*0.25,0)</f>
      </c>
      <c r="P64" s="142"/>
      <c r="Q64" s="142"/>
      <c r="R64" s="142"/>
      <c r="S64" s="142"/>
    </row>
    <row r="65" spans="1:38" x14ac:dyDescent="0.2">
      <c r="A65" s="504" t="s">
        <v>4916</v>
      </c>
      <c r="B65" s="3"/>
      <c r="C65" s="540">
        <f>C63+C64</f>
      </c>
      <c r="D65" s="416"/>
      <c r="E65" s="541">
        <f>SUM(E63+E64)</f>
      </c>
      <c r="G65" s="2"/>
      <c r="P65" s="142"/>
      <c r="Q65" s="142"/>
      <c r="R65" s="142"/>
      <c r="S65" s="142"/>
    </row>
    <row r="66" spans="1:38" x14ac:dyDescent="0.2">
      <c r="A66" s="318" t="s">
        <v>2030</v>
      </c>
      <c r="B66" s="3"/>
      <c r="C66" s="318"/>
      <c r="D66" s="416"/>
      <c r="E66" s="245"/>
      <c r="G66" s="2"/>
      <c r="P66" s="142"/>
      <c r="Q66" s="142"/>
      <c r="R66" s="142"/>
      <c r="S66" s="142"/>
    </row>
    <row r="67" spans="1:38" x14ac:dyDescent="0.2">
      <c r="A67" s="318" t="s">
        <v>962</v>
      </c>
      <c r="B67" s="3"/>
      <c r="C67" s="223"/>
      <c r="D67" s="416"/>
      <c r="E67" s="223"/>
      <c r="G67" s="531" t="str">
        <f>IF(Q67=0,"",reo)</f>
        <v/>
      </c>
      <c r="H67" s="28">
        <f t="shared" ref="H67:H74" si="8">IF(G67="",0,1)</f>
      </c>
      <c r="I67" s="28">
        <f>COUNT(B67:E67)</f>
      </c>
      <c r="Q67" s="28">
        <f>SUM(R67:U67)</f>
      </c>
      <c r="R67" s="28">
        <f t="shared" ref="R67:S70" si="9">IF(AND(B$65&lt;&gt;0,COUNT(B67)=0),1,0)</f>
      </c>
      <c r="S67" s="28">
        <f t="shared" si="9"/>
        <v>0</v>
      </c>
      <c r="U67" s="28">
        <f>IF(AND(E$65&lt;&gt;0,COUNT(E67)=0),1,0)</f>
      </c>
    </row>
    <row r="68" spans="1:38" x14ac:dyDescent="0.2">
      <c r="A68" s="1781" t="s">
        <v>8683</v>
      </c>
      <c r="B68" s="3"/>
      <c r="C68" s="223"/>
      <c r="D68" s="416"/>
      <c r="E68" s="223"/>
      <c r="G68" s="531" t="str">
        <f>IF(SUM(C65,E65)=0,"",IF(COUNT(C68,E68)&lt;&gt;2,reo,""))</f>
        <v/>
      </c>
      <c r="H68" s="28">
        <f t="shared" si="8"/>
        <v>0</v>
      </c>
      <c r="I68" s="28">
        <f t="shared" ref="I68:I74" si="10">COUNT(B68:E68)</f>
      </c>
      <c r="P68" s="142"/>
      <c r="Q68" s="28">
        <f>SUM(R68:U68)</f>
      </c>
      <c r="R68" s="28">
        <f t="shared" si="9"/>
        <v>0</v>
      </c>
      <c r="S68" s="28">
        <f t="shared" si="9"/>
        <v>0</v>
      </c>
      <c r="U68" s="28">
        <f>IF(AND(E$65&lt;&gt;0,COUNT(E68)=0),1,0)</f>
      </c>
    </row>
    <row r="69" spans="1:38" x14ac:dyDescent="0.2">
      <c r="A69" s="318" t="s">
        <v>2500</v>
      </c>
      <c r="B69" s="3"/>
      <c r="C69" s="223"/>
      <c r="D69" s="416"/>
      <c r="E69" s="223"/>
      <c r="G69" s="531" t="str">
        <f>IF(Q69=0,"",reo)</f>
        <v/>
      </c>
      <c r="H69" s="28">
        <f t="shared" si="8"/>
        <v>0</v>
      </c>
      <c r="I69" s="28">
        <f t="shared" si="10"/>
        <v>0</v>
      </c>
      <c r="P69" s="142"/>
      <c r="Q69" s="28">
        <f>SUM(R69:U69)</f>
      </c>
      <c r="R69" s="28">
        <f t="shared" si="9"/>
        <v>0</v>
      </c>
      <c r="S69" s="28">
        <f t="shared" si="9"/>
        <v>0</v>
      </c>
      <c r="U69" s="28">
        <f>IF(AND(E$65&lt;&gt;0,COUNT(E69)=0),1,0)</f>
      </c>
      <c r="AA69" s="32">
        <f>B63-(B69+B67)</f>
      </c>
      <c r="AB69" s="32">
        <f>C63-(C69+C67)</f>
      </c>
      <c r="AC69" s="32">
        <f>D63-(D69+D67)</f>
      </c>
      <c r="AD69" s="32">
        <f>E65-E69</f>
      </c>
      <c r="AE69" s="32">
        <f>F63-(F69+F67)</f>
      </c>
    </row>
    <row r="70" spans="1:38" x14ac:dyDescent="0.2">
      <c r="A70" s="542" t="s">
        <v>2501</v>
      </c>
      <c r="B70" s="3"/>
      <c r="C70" s="223"/>
      <c r="D70" s="416"/>
      <c r="E70" s="223"/>
      <c r="G70" s="531" t="str">
        <f>IF(Q70=0,"",reo)</f>
        <v/>
      </c>
      <c r="H70" s="28">
        <f t="shared" si="8"/>
        <v>0</v>
      </c>
      <c r="I70" s="28">
        <f t="shared" si="10"/>
        <v>0</v>
      </c>
      <c r="P70" s="142"/>
      <c r="Q70" s="28">
        <f>SUM(R70:U70)</f>
      </c>
      <c r="R70" s="28">
        <f t="shared" si="9"/>
        <v>0</v>
      </c>
      <c r="S70" s="28">
        <f t="shared" si="9"/>
        <v>0</v>
      </c>
      <c r="U70" s="28">
        <f>IF(AND(E$65&lt;&gt;0,COUNT(E70)=0),1,0)</f>
      </c>
      <c r="AA70" s="28">
        <f>ROUND(AA69*0.2,0)</f>
      </c>
      <c r="AB70" s="28">
        <f>ROUND(AB69*0.2,0)</f>
      </c>
      <c r="AC70" s="28">
        <f>ROUND(AC69*0.2,0)</f>
      </c>
      <c r="AD70" s="28">
        <f>ROUND(AD69*0.2,0)</f>
      </c>
      <c r="AE70" s="28">
        <f>ROUND(AE69*0.2,0)</f>
      </c>
    </row>
    <row r="71" spans="1:38" x14ac:dyDescent="0.2">
      <c r="A71" s="543"/>
      <c r="B71" s="3"/>
      <c r="C71" s="223"/>
      <c r="D71" s="416"/>
      <c r="E71" s="223"/>
      <c r="G71" s="531" t="str">
        <f>IF(AND(I71&gt;0,A71=""),"Description!","")</f>
        <v/>
      </c>
      <c r="H71" s="28">
        <f t="shared" si="8"/>
        <v>0</v>
      </c>
      <c r="I71" s="28">
        <f t="shared" si="10"/>
        <v>0</v>
      </c>
      <c r="P71" s="142"/>
    </row>
    <row r="72" spans="1:38" x14ac:dyDescent="0.2">
      <c r="A72" s="543"/>
      <c r="B72" s="3"/>
      <c r="C72" s="223"/>
      <c r="D72" s="416"/>
      <c r="E72" s="223"/>
      <c r="G72" s="531" t="str">
        <f>IF(AND(I72&gt;0,A72=""),"Description!","")</f>
        <v/>
      </c>
      <c r="H72" s="28">
        <f t="shared" si="8"/>
        <v>0</v>
      </c>
      <c r="I72" s="28">
        <f t="shared" si="10"/>
        <v>0</v>
      </c>
      <c r="P72" s="142"/>
    </row>
    <row r="73" spans="1:38" x14ac:dyDescent="0.2">
      <c r="A73" s="543"/>
      <c r="B73" s="3"/>
      <c r="C73" s="223"/>
      <c r="D73" s="416"/>
      <c r="E73" s="223"/>
      <c r="G73" s="531" t="str">
        <f>IF(AND(I73&gt;0,A73=""),"Description!","")</f>
        <v/>
      </c>
      <c r="H73" s="28">
        <f t="shared" si="8"/>
        <v>0</v>
      </c>
      <c r="I73" s="28">
        <f t="shared" si="10"/>
        <v>0</v>
      </c>
      <c r="V73" s="142"/>
    </row>
    <row r="74" spans="1:38" x14ac:dyDescent="0.2">
      <c r="A74" s="543"/>
      <c r="B74" s="3"/>
      <c r="C74" s="223"/>
      <c r="D74" s="416"/>
      <c r="E74" s="223"/>
      <c r="G74" s="531" t="str">
        <f>IF(AND(I74&gt;0,A74=""),"Description!","")</f>
        <v/>
      </c>
      <c r="H74" s="28">
        <f t="shared" si="8"/>
        <v>0</v>
      </c>
      <c r="I74" s="28">
        <f t="shared" si="10"/>
        <v>0</v>
      </c>
      <c r="L74" s="28">
        <f>SUM(M74:P74)+SUM(M80:O80)</f>
      </c>
      <c r="M74" s="28">
        <f>COUNT(B63,B67:B75)</f>
      </c>
      <c r="N74" s="28">
        <f>COUNT(C63,C67:C75)</f>
      </c>
      <c r="O74" s="28">
        <f>COUNT(D63,D67:D75)</f>
      </c>
      <c r="P74" s="28">
        <f>COUNT(E63,E64,E67:E75)</f>
      </c>
      <c r="V74" s="142"/>
      <c r="W74" s="84"/>
    </row>
    <row r="75" spans="1:38" x14ac:dyDescent="0.2">
      <c r="A75" s="555" t="s">
        <v>2259</v>
      </c>
      <c r="B75" s="3"/>
      <c r="C75" s="510"/>
      <c r="D75" s="416"/>
      <c r="E75" s="510"/>
      <c r="G75" s="1095" t="str">
        <f>IF(L74=0,"",IF(S78&gt;0,J27,IF(L75&lt;&gt;0,ls,IF(L76&lt;&gt;L77,cv,""))))</f>
        <v/>
      </c>
      <c r="H75" s="28">
        <f>IF(G75=J27,1,0)</f>
      </c>
      <c r="L75" s="28">
        <f>SUM(M75:P75)</f>
      </c>
      <c r="M75" s="28">
        <f>IF(B75&lt;0,1,0)</f>
      </c>
      <c r="N75" s="28">
        <f>IF(C75&lt;0,1,0)</f>
      </c>
      <c r="O75" s="28">
        <f>IF(D75&lt;0,1,0)</f>
      </c>
      <c r="P75" s="28">
        <f>IF(E75&lt;0,1,0)</f>
      </c>
      <c r="V75" s="142"/>
      <c r="AH75" s="84">
        <f>SUM(B67:B74)</f>
      </c>
      <c r="AI75" s="84">
        <f>SUM(C67:C74)</f>
      </c>
      <c r="AJ75" s="84">
        <f>SUM(D67:D74)</f>
      </c>
      <c r="AK75" s="84">
        <f>SUM(E67:E74)</f>
      </c>
      <c r="AL75" s="84">
        <f>SUM(F67:F74)</f>
      </c>
    </row>
    <row r="76" spans="1:38" ht="15" x14ac:dyDescent="0.2">
      <c r="A76" s="1096"/>
      <c r="B76" s="3"/>
      <c r="C76" s="416">
        <f>IF(AI75&gt;C65,0,C65-AI75)</f>
      </c>
      <c r="D76" s="416"/>
      <c r="E76" s="439">
        <f>IF(AK75&gt;E65,0,E65-AK75)</f>
      </c>
      <c r="G76" s="3"/>
      <c r="H76" s="28">
        <f>SUM(H67:H75,H64)</f>
      </c>
      <c r="L76" s="32">
        <f>SUM(B75:E75)</f>
      </c>
      <c r="P76" s="32"/>
      <c r="Q76" s="32"/>
      <c r="R76" s="44"/>
      <c r="S76" s="142"/>
      <c r="T76" s="142"/>
      <c r="U76" s="142"/>
      <c r="V76" s="142"/>
      <c r="AB76" s="28">
        <f>Income!BB41</f>
      </c>
      <c r="AC76" s="32">
        <f>'TRA76'!D39+'TRA75'!D39+'TRA77'!J39</f>
      </c>
    </row>
    <row r="77" spans="1:38" x14ac:dyDescent="0.2">
      <c r="A77" s="3367" t="s">
        <v>9250</v>
      </c>
      <c r="B77" s="3"/>
      <c r="C77" s="405">
        <f>N63</f>
      </c>
      <c r="D77" s="3"/>
      <c r="E77" s="405">
        <f>P63</f>
      </c>
      <c r="G77" s="3369" t="s">
        <v>9206</v>
      </c>
      <c r="L77" s="32">
        <f>SUM(B76:E76)</f>
      </c>
      <c r="S77" s="142">
        <f>ROUND(B63*0.05,0)-2</f>
      </c>
      <c r="T77" s="142">
        <f>ROUND(B63*0.05,0)+2</f>
      </c>
      <c r="U77" s="142">
        <f>ROUND(B63*0.05,0)</f>
      </c>
      <c r="V77" s="142">
        <f>IF(U77-5&lt;0,0,U77-5)</f>
      </c>
      <c r="W77" s="28">
        <f>U77+5</f>
      </c>
    </row>
    <row r="78" spans="1:38" ht="12.75" customHeight="1" x14ac:dyDescent="0.2">
      <c r="A78" s="3367" t="s">
        <v>9246</v>
      </c>
      <c r="B78" s="3"/>
      <c r="C78" s="451">
        <f>C75+C77</f>
      </c>
      <c r="D78" s="3"/>
      <c r="E78" s="451">
        <f>E75+E77</f>
      </c>
      <c r="G78" s="3"/>
      <c r="J78" s="28">
        <f>ROUND(B63*0.15,0)</f>
      </c>
      <c r="M78" s="28">
        <f>IF(M74=0,0,IF(ISBLANK(B75),1,0))</f>
      </c>
      <c r="N78" s="28">
        <f>IF(N74=0,0,IF(ISBLANK(C75),1,0))</f>
      </c>
      <c r="O78" s="28">
        <f>IF(O74=0,0,IF(ISBLANK(D75),1,0))</f>
      </c>
      <c r="P78" s="28">
        <f>IF(P74=0,0,IF(ISBLANK(E75),1,0))</f>
      </c>
      <c r="S78" s="28">
        <f>SUM(M78:P78)</f>
      </c>
    </row>
    <row r="79" spans="1:38" ht="23.25" customHeight="1" x14ac:dyDescent="0.2">
      <c r="A79" s="17" t="str">
        <f>_xlfn.SINGLE(MTCA)</f>
      </c>
      <c r="B79" s="50"/>
      <c r="C79" s="50"/>
      <c r="D79" s="536"/>
      <c r="E79" s="536" t="s">
        <v>1507</v>
      </c>
      <c r="G79" s="3"/>
      <c r="I79" s="30">
        <f>IF(L74=0,0,IF(H76&lt;&gt;0,100,IF(C80="Yes",1,100)))</f>
      </c>
      <c r="P79" s="142"/>
      <c r="Q79" s="142"/>
      <c r="R79" s="142"/>
      <c r="S79" s="142"/>
    </row>
    <row r="80" spans="1:38" ht="12.75" customHeight="1" x14ac:dyDescent="0.2">
      <c r="A80" s="388"/>
      <c r="B80" s="388" t="str">
        <f>COM</f>
      </c>
      <c r="C80" s="331"/>
      <c r="D80" s="545" t="str">
        <f>IF(L74=0,"",IF(C80="",re,""))</f>
        <v/>
      </c>
      <c r="I80" s="28">
        <f>IF(OR(G75=cv,A76&lt;&gt;"",G64&lt;&gt;""),1,0)</f>
      </c>
      <c r="M80" s="28">
        <f>IF(C77&lt;=0,0,1)</f>
      </c>
      <c r="O80" s="28">
        <f>IF(E77&lt;=0,0,1)</f>
      </c>
      <c r="P80" s="142"/>
      <c r="Q80" s="142"/>
      <c r="R80" s="142"/>
      <c r="S80" s="142"/>
    </row>
    <row r="81" spans="1:69" ht="12.75" customHeight="1" x14ac:dyDescent="0.2">
      <c r="A81" s="4418" t="s">
        <v>6290</v>
      </c>
      <c r="B81" s="4418"/>
      <c r="P81" s="142"/>
      <c r="Q81" s="142"/>
      <c r="R81" s="142"/>
      <c r="S81" s="142"/>
    </row>
    <row r="82" spans="1:69" ht="12.75" customHeight="1" x14ac:dyDescent="0.2">
      <c r="P82" s="142"/>
      <c r="Q82" s="142"/>
      <c r="R82" s="142"/>
      <c r="S82" s="142"/>
    </row>
    <row r="83" spans="1:69" ht="12.75" customHeight="1" x14ac:dyDescent="0.2">
      <c r="P83" s="142"/>
      <c r="Q83" s="142"/>
      <c r="R83" s="142"/>
      <c r="S83" s="142"/>
    </row>
    <row r="84" spans="1:69" x14ac:dyDescent="0.2">
      <c r="A84" s="4615" t="s">
        <v>2260</v>
      </c>
      <c r="B84" s="4618" t="s">
        <v>4243</v>
      </c>
      <c r="C84" s="4619"/>
      <c r="D84" s="4619"/>
      <c r="E84" s="4620"/>
      <c r="G84" s="3"/>
      <c r="N84" s="4553" t="s">
        <v>9206</v>
      </c>
      <c r="O84" s="4554"/>
      <c r="P84" s="4554"/>
      <c r="Q84" s="142"/>
      <c r="R84" s="142"/>
      <c r="S84" s="142"/>
    </row>
    <row r="85" spans="1:69" ht="15.75" customHeight="1" x14ac:dyDescent="0.2">
      <c r="A85" s="4615"/>
      <c r="B85" s="4616" t="s">
        <v>2299</v>
      </c>
      <c r="C85" s="4574" t="s">
        <v>3712</v>
      </c>
      <c r="D85" s="4616" t="s">
        <v>2105</v>
      </c>
      <c r="E85" s="4574" t="s">
        <v>2106</v>
      </c>
      <c r="G85" s="3"/>
      <c r="N85" s="4555" t="s">
        <v>3712</v>
      </c>
      <c r="O85" s="4555" t="s">
        <v>2105</v>
      </c>
      <c r="P85" s="4555" t="s">
        <v>2106</v>
      </c>
      <c r="Q85" s="142"/>
      <c r="R85" s="142"/>
      <c r="S85" s="142"/>
    </row>
    <row r="86" spans="1:69" ht="27" customHeight="1" x14ac:dyDescent="0.2">
      <c r="A86" s="4615"/>
      <c r="B86" s="4617"/>
      <c r="C86" s="4621"/>
      <c r="D86" s="4617"/>
      <c r="E86" s="4621"/>
      <c r="G86" s="3"/>
      <c r="N86" s="4555"/>
      <c r="O86" s="4555"/>
      <c r="P86" s="4555"/>
      <c r="Q86" s="142"/>
      <c r="R86" s="142"/>
      <c r="S86" s="142"/>
    </row>
    <row r="87" spans="1:69" x14ac:dyDescent="0.2">
      <c r="A87" s="318" t="s">
        <v>2261</v>
      </c>
      <c r="B87" s="539"/>
      <c r="C87" s="223"/>
      <c r="D87" s="539"/>
      <c r="E87" s="223"/>
      <c r="G87" s="3"/>
      <c r="N87" s="91">
        <f>'TRA112'!E472</f>
      </c>
      <c r="O87" s="91"/>
      <c r="P87" s="91">
        <f>'TRA112'!G472</f>
      </c>
      <c r="Q87" s="142"/>
      <c r="R87" s="142"/>
      <c r="S87" s="142"/>
    </row>
    <row r="88" spans="1:69" x14ac:dyDescent="0.2">
      <c r="A88" s="504" t="s">
        <v>1881</v>
      </c>
      <c r="B88" s="539"/>
      <c r="C88" s="546"/>
      <c r="D88" s="539"/>
      <c r="E88" s="365"/>
      <c r="G88" s="1094" t="str">
        <f>IF(E88&gt;L88," Excessive!","")</f>
        <v/>
      </c>
      <c r="K88" s="32">
        <f>COUNT(C87,E87:E88,C91:C97,E91:E97)+SUM(M99:O99)</f>
      </c>
      <c r="L88" s="28">
        <f>ROUND(E87*0.25,0)</f>
      </c>
      <c r="P88" s="142"/>
      <c r="Q88" s="142"/>
      <c r="R88" s="142"/>
      <c r="S88" s="142"/>
    </row>
    <row r="89" spans="1:69" x14ac:dyDescent="0.2">
      <c r="A89" s="504" t="s">
        <v>1802</v>
      </c>
      <c r="B89" s="539"/>
      <c r="C89" s="547">
        <f>C87</f>
      </c>
      <c r="D89" s="539"/>
      <c r="E89" s="547">
        <f>E87+E88</f>
      </c>
      <c r="G89" s="3"/>
      <c r="P89" s="142"/>
      <c r="Q89" s="142"/>
      <c r="R89" s="142"/>
      <c r="S89" s="142"/>
    </row>
    <row r="90" spans="1:69" x14ac:dyDescent="0.2">
      <c r="A90" s="504" t="s">
        <v>2030</v>
      </c>
      <c r="B90" s="3"/>
      <c r="C90" s="3"/>
      <c r="D90" s="3"/>
      <c r="E90" s="3"/>
      <c r="F90" s="3"/>
      <c r="G90" s="3"/>
      <c r="P90" s="142"/>
      <c r="Q90" s="142"/>
      <c r="R90" s="142"/>
      <c r="S90" s="142"/>
    </row>
    <row r="91" spans="1:69" x14ac:dyDescent="0.2">
      <c r="A91" s="520" t="s">
        <v>5216</v>
      </c>
      <c r="B91" s="539"/>
      <c r="C91" s="223"/>
      <c r="D91" s="539"/>
      <c r="E91" s="223"/>
      <c r="G91" s="531" t="str">
        <f>IF(K101=0,"",IF(I91=0,reo,""))</f>
        <v/>
      </c>
      <c r="H91" s="28">
        <f t="shared" ref="H91:H96" si="11">IF(G91="",0,1)</f>
      </c>
      <c r="I91" s="28">
        <f t="shared" ref="I91:I96" si="12">COUNT(C91,E91)</f>
      </c>
      <c r="P91" s="142"/>
      <c r="Q91" s="142"/>
      <c r="R91" s="142"/>
      <c r="S91" s="142"/>
      <c r="BQ91" s="28">
        <f>IF(B91&gt;0,B91*-1,B91)</f>
      </c>
    </row>
    <row r="92" spans="1:69" x14ac:dyDescent="0.2">
      <c r="A92" s="2796" t="s">
        <v>8683</v>
      </c>
      <c r="B92" s="539"/>
      <c r="C92" s="223"/>
      <c r="D92" s="539"/>
      <c r="E92" s="223"/>
      <c r="G92" s="531" t="str">
        <f>IF(SUM(C89,E89)=0,"",IF(COUNT(C92,E92)&lt;&gt;2,reo,""))</f>
        <v/>
      </c>
      <c r="H92" s="28">
        <f t="shared" si="11"/>
        <v>0</v>
      </c>
      <c r="I92" s="28">
        <f t="shared" si="12"/>
        <v>0</v>
      </c>
      <c r="P92" s="142"/>
      <c r="Q92" s="142"/>
      <c r="R92" s="142"/>
      <c r="S92" s="142"/>
    </row>
    <row r="93" spans="1:69" x14ac:dyDescent="0.2">
      <c r="A93" s="543"/>
      <c r="B93" s="539"/>
      <c r="C93" s="223"/>
      <c r="D93" s="539"/>
      <c r="E93" s="223"/>
      <c r="G93" s="531" t="str">
        <f>IF(I93+J93=0,"",IF(ISBLANK(A93),"Details!",IF(J93=0,"",IF(I93=0,"Amount!",""))))</f>
        <v/>
      </c>
      <c r="H93" s="28">
        <f t="shared" si="11"/>
        <v>0</v>
      </c>
      <c r="I93" s="28">
        <f t="shared" si="12"/>
        <v>0</v>
      </c>
      <c r="J93" s="28">
        <f>COUNTA(A93)</f>
      </c>
      <c r="P93" s="142"/>
      <c r="Q93" s="142"/>
      <c r="R93" s="142"/>
      <c r="S93" s="142"/>
    </row>
    <row r="94" spans="1:69" x14ac:dyDescent="0.2">
      <c r="A94" s="543"/>
      <c r="B94" s="539"/>
      <c r="C94" s="223"/>
      <c r="D94" s="539"/>
      <c r="E94" s="223"/>
      <c r="G94" s="531" t="str">
        <f>IF(I94+J94=0,"",IF(ISBLANK(A94),"Details!",IF(J94=0,"",IF(I94=0,"Amount!",""))))</f>
        <v/>
      </c>
      <c r="H94" s="28">
        <f t="shared" si="11"/>
        <v>0</v>
      </c>
      <c r="I94" s="28">
        <f t="shared" si="12"/>
        <v>0</v>
      </c>
      <c r="J94" s="28">
        <f>COUNTA(A94)</f>
      </c>
      <c r="P94" s="142"/>
      <c r="Q94" s="142"/>
      <c r="R94" s="142"/>
      <c r="S94" s="142"/>
    </row>
    <row r="95" spans="1:69" x14ac:dyDescent="0.2">
      <c r="A95" s="543"/>
      <c r="B95" s="539"/>
      <c r="C95" s="223"/>
      <c r="D95" s="539"/>
      <c r="E95" s="223"/>
      <c r="G95" s="531" t="str">
        <f>IF(I95+J95=0,"",IF(ISBLANK(A95),"Details!",IF(J95=0,"",IF(I95=0,"Amount!",""))))</f>
        <v/>
      </c>
      <c r="H95" s="28">
        <f t="shared" si="11"/>
        <v>0</v>
      </c>
      <c r="I95" s="28">
        <f t="shared" si="12"/>
        <v>0</v>
      </c>
      <c r="J95" s="28">
        <f>COUNTA(A95)</f>
      </c>
      <c r="R95" s="142"/>
      <c r="S95" s="142"/>
    </row>
    <row r="96" spans="1:69" x14ac:dyDescent="0.2">
      <c r="A96" s="543"/>
      <c r="B96" s="539"/>
      <c r="C96" s="223"/>
      <c r="D96" s="539"/>
      <c r="E96" s="223"/>
      <c r="G96" s="531" t="str">
        <f>IF(I96+J96=0,"",IF(ISBLANK(A96),"Details!",IF(J96=0,"",IF(I96=0,"Amount!",""))))</f>
        <v/>
      </c>
      <c r="H96" s="28">
        <f t="shared" si="11"/>
        <v>0</v>
      </c>
      <c r="I96" s="28">
        <f t="shared" si="12"/>
        <v>0</v>
      </c>
      <c r="J96" s="28">
        <f>COUNTA(A96)</f>
      </c>
      <c r="K96" s="32"/>
      <c r="L96" s="32">
        <f>SUM(C91:C96)</f>
      </c>
      <c r="M96" s="32">
        <f>SUM(D91:D96)</f>
      </c>
      <c r="N96" s="32">
        <f>SUM(E91:E96)</f>
      </c>
      <c r="O96" s="32">
        <f>SUM(F91:F96)</f>
      </c>
      <c r="R96" s="142"/>
      <c r="S96" s="142"/>
    </row>
    <row r="97" spans="1:28" x14ac:dyDescent="0.2">
      <c r="A97" s="555" t="s">
        <v>1803</v>
      </c>
      <c r="B97" s="539"/>
      <c r="C97" s="532"/>
      <c r="D97" s="539"/>
      <c r="E97" s="532"/>
      <c r="G97" s="1095" t="str">
        <f>IF(K88=0,"",IF(R97&lt;&gt;0,K103,IF(K97&lt;&gt;0,ls,IF(K98&lt;&gt;K101,cv,""))))</f>
        <v/>
      </c>
      <c r="H97" s="28">
        <f>IF(G97=K103,1,0)</f>
      </c>
      <c r="K97" s="28">
        <f>SUM(L97:M97)</f>
      </c>
      <c r="L97" s="28">
        <f>IF(C97&lt;0,1,0)</f>
      </c>
      <c r="M97" s="28">
        <f>IF(E97&lt;0,1,0)</f>
      </c>
      <c r="O97" s="28">
        <f>IF(C98=0,0,IF(ISBLANK(C97),1,0))</f>
      </c>
      <c r="P97" s="28">
        <f>IF(E98=0,0,IF(ISBLANK(E97),1,0))</f>
      </c>
      <c r="R97" s="28">
        <f>SUM(O97:P97)</f>
      </c>
      <c r="S97" s="142"/>
    </row>
    <row r="98" spans="1:28" ht="15" x14ac:dyDescent="0.2">
      <c r="A98" s="1096" t="str">
        <f>IF(nofs=0,"",IF(AND(AB98=0,K101=0),"",IF(AND(AB98&lt;&gt;0,K88=0),"Ground Rents reported in TIFD!",IF(AND(K88&lt;&gt;0,AB98=0),"No Grount Rents reported in TIFD!",""))))</f>
        <v/>
      </c>
      <c r="B98" s="463"/>
      <c r="C98" s="414">
        <f>IF(C89&lt;L96,0,C89-L96)</f>
      </c>
      <c r="D98" s="414"/>
      <c r="E98" s="414">
        <f>IF(E89&lt;N96,0,E89-N96)</f>
      </c>
      <c r="G98" s="3"/>
      <c r="H98" s="28">
        <f>SUM(H91:H97,H88)</f>
      </c>
      <c r="K98" s="32">
        <f>SUM(C97,E97)</f>
      </c>
      <c r="O98" s="32">
        <f>B97</f>
      </c>
      <c r="P98" s="32">
        <f>C97</f>
      </c>
      <c r="R98" s="142"/>
      <c r="S98" s="142"/>
      <c r="AB98" s="28">
        <f>Income!BB42</f>
      </c>
    </row>
    <row r="99" spans="1:28" x14ac:dyDescent="0.2">
      <c r="A99" s="3367" t="s">
        <v>9250</v>
      </c>
      <c r="B99" s="3"/>
      <c r="C99" s="405">
        <f>N87</f>
      </c>
      <c r="D99" s="3"/>
      <c r="E99" s="405">
        <f>P87</f>
      </c>
      <c r="G99" s="3369" t="s">
        <v>9206</v>
      </c>
      <c r="K99" s="32"/>
      <c r="M99" s="28">
        <f>IF(C99&lt;=0,0,1)</f>
      </c>
      <c r="O99" s="28">
        <f>IF(E99&lt;=0,0,1)</f>
      </c>
      <c r="P99" s="32"/>
      <c r="R99" s="142"/>
      <c r="S99" s="142"/>
    </row>
    <row r="100" spans="1:28" x14ac:dyDescent="0.2">
      <c r="A100" s="3367" t="s">
        <v>9247</v>
      </c>
      <c r="B100" s="3"/>
      <c r="C100" s="451">
        <f>C97+C99</f>
      </c>
      <c r="D100" s="3"/>
      <c r="E100" s="451">
        <f>E97+E99</f>
      </c>
      <c r="G100" s="3"/>
      <c r="K100" s="32"/>
      <c r="O100" s="32"/>
      <c r="P100" s="32"/>
      <c r="R100" s="142"/>
      <c r="S100" s="142"/>
    </row>
    <row r="101" spans="1:28" ht="6" customHeight="1" x14ac:dyDescent="0.2">
      <c r="A101" s="151"/>
      <c r="B101" s="151"/>
      <c r="C101" s="3"/>
      <c r="D101" s="539"/>
      <c r="E101" s="536"/>
      <c r="G101" s="3"/>
      <c r="K101" s="32">
        <f>SUM(C98,E98)</f>
      </c>
      <c r="R101" s="142"/>
      <c r="S101" s="142"/>
    </row>
    <row r="102" spans="1:28" ht="12.75" customHeight="1" x14ac:dyDescent="0.2">
      <c r="A102" s="17" t="str">
        <f>_xlfn.SINGLE(MTCA)</f>
      </c>
      <c r="B102" s="3"/>
      <c r="C102" s="3"/>
      <c r="D102" s="3"/>
      <c r="E102" s="536" t="s">
        <v>1509</v>
      </c>
      <c r="G102" s="536"/>
      <c r="P102" s="142"/>
      <c r="Q102" s="142"/>
      <c r="R102" s="142"/>
      <c r="S102" s="142"/>
    </row>
    <row r="103" spans="1:28" ht="12.75" customHeight="1" x14ac:dyDescent="0.2">
      <c r="A103" s="388"/>
      <c r="B103" s="388" t="str">
        <f>COM</f>
      </c>
      <c r="C103" s="331"/>
      <c r="D103" s="545" t="str">
        <f>IF(K88=0,"",IF(C103="",re,""))</f>
        <v/>
      </c>
      <c r="E103" s="493" t="s">
        <v>6290</v>
      </c>
      <c r="F103" s="493"/>
      <c r="I103" s="30">
        <f>IF(K88=0,0,IF(H98&lt;&gt;0,100,IF(R97&lt;&gt;0,100,IF(C103="Yes",1,100))))</f>
      </c>
      <c r="K103" s="28" t="s">
        <v>4947</v>
      </c>
      <c r="P103" s="142"/>
      <c r="Q103" s="142"/>
      <c r="R103" s="142"/>
      <c r="S103" s="142"/>
    </row>
    <row r="104" spans="1:28" ht="12.75" customHeight="1" x14ac:dyDescent="0.2">
      <c r="B104" s="28"/>
      <c r="I104" s="28">
        <f>IF(OR(G97=cv,A98&lt;&gt;"",G88&lt;&gt;""),1,0)</f>
      </c>
      <c r="P104" s="142"/>
      <c r="Q104" s="142"/>
      <c r="R104" s="142"/>
      <c r="S104" s="142"/>
    </row>
    <row r="105" spans="1:28" ht="12.75" customHeight="1" x14ac:dyDescent="0.2">
      <c r="A105" s="142"/>
      <c r="B105" s="142"/>
      <c r="P105" s="142"/>
      <c r="Q105" s="142"/>
      <c r="R105" s="142"/>
      <c r="S105" s="142"/>
    </row>
    <row r="106" spans="1:28" ht="12.75" customHeight="1" x14ac:dyDescent="0.2">
      <c r="P106" s="142"/>
      <c r="Q106" s="142"/>
      <c r="R106" s="142"/>
      <c r="S106" s="142"/>
    </row>
    <row r="107" spans="1:28" x14ac:dyDescent="0.2">
      <c r="A107" s="4622" t="s">
        <v>3325</v>
      </c>
      <c r="B107" s="4618" t="s">
        <v>4243</v>
      </c>
      <c r="C107" s="4619"/>
      <c r="D107" s="4619"/>
      <c r="E107" s="4620"/>
      <c r="G107" s="3"/>
      <c r="N107" s="4553" t="s">
        <v>9206</v>
      </c>
      <c r="O107" s="4554"/>
      <c r="P107" s="4554"/>
      <c r="Q107" s="142"/>
      <c r="R107" s="4553" t="s">
        <v>9234</v>
      </c>
      <c r="S107" s="4554"/>
      <c r="T107" s="4554"/>
    </row>
    <row r="108" spans="1:28" ht="15.75" customHeight="1" x14ac:dyDescent="0.2">
      <c r="A108" s="4622"/>
      <c r="B108" s="4616" t="s">
        <v>2299</v>
      </c>
      <c r="C108" s="4574" t="s">
        <v>3712</v>
      </c>
      <c r="D108" s="4574" t="s">
        <v>2105</v>
      </c>
      <c r="E108" s="4574" t="s">
        <v>2106</v>
      </c>
      <c r="G108" s="3"/>
      <c r="N108" s="4555" t="s">
        <v>3712</v>
      </c>
      <c r="O108" s="4555" t="s">
        <v>2105</v>
      </c>
      <c r="P108" s="4555" t="s">
        <v>2106</v>
      </c>
      <c r="Q108" s="142"/>
      <c r="R108" s="4555" t="s">
        <v>3712</v>
      </c>
      <c r="S108" s="4555" t="s">
        <v>2105</v>
      </c>
      <c r="T108" s="4555" t="s">
        <v>2106</v>
      </c>
    </row>
    <row r="109" spans="1:28" ht="23.25" customHeight="1" x14ac:dyDescent="0.2">
      <c r="A109" s="4622"/>
      <c r="B109" s="4617"/>
      <c r="C109" s="4621"/>
      <c r="D109" s="4621"/>
      <c r="E109" s="4621"/>
      <c r="G109" s="3"/>
      <c r="N109" s="4555"/>
      <c r="O109" s="4555"/>
      <c r="P109" s="4555"/>
      <c r="Q109" s="142"/>
      <c r="R109" s="4555"/>
      <c r="S109" s="4555"/>
      <c r="T109" s="4555"/>
    </row>
    <row r="110" spans="1:28" x14ac:dyDescent="0.2">
      <c r="A110" s="504" t="s">
        <v>4481</v>
      </c>
      <c r="B110" s="3"/>
      <c r="C110" s="223"/>
      <c r="D110" s="223"/>
      <c r="E110" s="223"/>
      <c r="G110" s="531" t="str">
        <f>IF(OR(AND(C110="",C117&gt;0),AND(D110="",D117&gt;0),AND(E110="",E117&gt;0)),re,"")</f>
        <v/>
      </c>
      <c r="H110" s="28">
        <f>IF(G110="",0,1)</f>
      </c>
      <c r="N110" s="91">
        <f>'TRA112'!E473</f>
      </c>
      <c r="O110" s="91">
        <f>'TRA112'!F473</f>
      </c>
      <c r="P110" s="91">
        <f>'TRA112'!G473</f>
      </c>
      <c r="Q110" s="142"/>
      <c r="R110" s="89">
        <f>'TRA113'!L96</f>
      </c>
      <c r="S110" s="89">
        <f>'TRA113'!M96</f>
      </c>
      <c r="T110" s="89">
        <f>'TRA113'!N96</f>
      </c>
    </row>
    <row r="111" spans="1:28" x14ac:dyDescent="0.2">
      <c r="A111" s="504" t="s">
        <v>732</v>
      </c>
      <c r="B111" s="3"/>
      <c r="C111" s="223"/>
      <c r="D111" s="223"/>
      <c r="E111" s="223"/>
      <c r="G111" s="3"/>
      <c r="P111" s="142"/>
      <c r="Q111" s="142"/>
      <c r="R111" s="142"/>
      <c r="S111" s="142"/>
    </row>
    <row r="112" spans="1:28" x14ac:dyDescent="0.2">
      <c r="A112" s="504" t="s">
        <v>1881</v>
      </c>
      <c r="B112" s="3"/>
      <c r="C112" s="11"/>
      <c r="D112" s="3"/>
      <c r="E112" s="365"/>
      <c r="G112" s="1094" t="str">
        <f>IF(E112&gt;L112," Excessive!","")</f>
        <v/>
      </c>
      <c r="L112" s="28">
        <f>ROUND((E110+E111)*0.25,0)</f>
      </c>
      <c r="P112" s="142"/>
      <c r="Q112" s="142"/>
      <c r="R112" s="142"/>
      <c r="S112" s="142"/>
    </row>
    <row r="113" spans="1:28" x14ac:dyDescent="0.2">
      <c r="A113" s="520" t="s">
        <v>3828</v>
      </c>
      <c r="B113" s="3"/>
      <c r="C113" s="405">
        <f>SUM(C110:C112)</f>
      </c>
      <c r="D113" s="405">
        <f>SUM(D110:D112)</f>
      </c>
      <c r="E113" s="405">
        <f>SUM(E110:E112)</f>
      </c>
      <c r="G113" s="3"/>
      <c r="P113" s="142"/>
      <c r="Q113" s="142"/>
      <c r="R113" s="142"/>
      <c r="S113" s="142"/>
    </row>
    <row r="114" spans="1:28" x14ac:dyDescent="0.2">
      <c r="A114" s="520" t="s">
        <v>2030</v>
      </c>
      <c r="B114" s="3"/>
      <c r="C114" s="11"/>
      <c r="D114" s="3"/>
      <c r="E114" s="6"/>
      <c r="G114" s="3"/>
      <c r="P114" s="142"/>
      <c r="Q114" s="142"/>
      <c r="R114" s="142"/>
      <c r="S114" s="142"/>
    </row>
    <row r="115" spans="1:28" x14ac:dyDescent="0.2">
      <c r="A115" s="1781" t="s">
        <v>8683</v>
      </c>
      <c r="B115" s="3"/>
      <c r="C115" s="223"/>
      <c r="D115" s="223"/>
      <c r="E115" s="223"/>
      <c r="G115" s="531" t="str">
        <f>IF(SUM(C113:E113)=0,"",IF(COUNT(C115:E115)&lt;&gt;3,reo,""))</f>
        <v/>
      </c>
      <c r="H115" s="28">
        <f t="shared" ref="H115:H120" si="13">IF(G115="",0,1)</f>
      </c>
      <c r="I115" s="28">
        <f t="shared" ref="I115:I120" si="14">COUNT(C115:E115)</f>
      </c>
      <c r="P115" s="142"/>
      <c r="Q115" s="142"/>
      <c r="R115" s="142"/>
      <c r="S115" s="142"/>
    </row>
    <row r="116" spans="1:28" x14ac:dyDescent="0.2">
      <c r="A116" s="3104" t="s">
        <v>8685</v>
      </c>
      <c r="B116" s="3461" t="s">
        <v>9113</v>
      </c>
      <c r="C116" s="405">
        <f>'TRA107'!Y30</f>
      </c>
      <c r="D116" s="405">
        <f>'TRA107'!Z30</f>
      </c>
      <c r="E116" s="405">
        <f>'TRA107'!AA30</f>
      </c>
      <c r="G116" s="531"/>
      <c r="I116" s="28">
        <f>IF(SUM(C116:E116)=0,0,COUNT(C116:E116))</f>
      </c>
      <c r="P116" s="142"/>
      <c r="Q116" s="142"/>
      <c r="R116" s="142"/>
      <c r="S116" s="142"/>
    </row>
    <row r="117" spans="1:28" x14ac:dyDescent="0.2">
      <c r="A117" s="3104" t="s">
        <v>9351</v>
      </c>
      <c r="B117" s="3461" t="s">
        <v>9234</v>
      </c>
      <c r="C117" s="405">
        <f>R110</f>
      </c>
      <c r="D117" s="405">
        <f>S110</f>
      </c>
      <c r="E117" s="405">
        <f>T110</f>
      </c>
      <c r="G117" s="531" t="str">
        <f>IF(I117+J117=0,"",IF(ISBLANK(A117),"Details!",IF(J117=0,"",IF(I117=0,"Amount!",""))))</f>
        <v/>
      </c>
      <c r="I117" s="28">
        <f>IF(SUM(C117:E117)=0,0,COUNT(C117:E117))</f>
      </c>
      <c r="M117" s="28">
        <f>IF(C117&lt;=0,0,1)</f>
      </c>
      <c r="N117" s="28">
        <f>IF(D117&lt;=0,0,1)</f>
      </c>
      <c r="O117" s="28">
        <f>IF(E117&lt;=0,0,1)</f>
      </c>
      <c r="P117" s="142"/>
      <c r="Q117" s="142"/>
      <c r="R117" s="142"/>
      <c r="S117" s="142"/>
    </row>
    <row r="118" spans="1:28" x14ac:dyDescent="0.2">
      <c r="A118" s="543"/>
      <c r="B118" s="3"/>
      <c r="C118" s="223"/>
      <c r="D118" s="223"/>
      <c r="E118" s="223"/>
      <c r="G118" s="531" t="str">
        <f>IF(I118+J118=0,"",IF(ISBLANK(A118),"Details!",IF(J118=0,"",IF(I118=0,"Amount!",""))))</f>
        <v/>
      </c>
      <c r="H118" s="28">
        <f t="shared" si="13"/>
        <v>0</v>
      </c>
      <c r="I118" s="28">
        <f t="shared" si="14"/>
        <v>0</v>
      </c>
      <c r="J118" s="28">
        <f>COUNTA(A118)</f>
      </c>
      <c r="P118" s="142"/>
      <c r="Q118" s="142"/>
      <c r="R118" s="142"/>
      <c r="S118" s="142"/>
    </row>
    <row r="119" spans="1:28" x14ac:dyDescent="0.2">
      <c r="A119" s="543"/>
      <c r="B119" s="3"/>
      <c r="C119" s="223"/>
      <c r="D119" s="223"/>
      <c r="E119" s="223"/>
      <c r="G119" s="531" t="str">
        <f>IF(I119+J119=0,"",IF(ISBLANK(A119),"Details!",IF(J119=0,"",IF(I119=0,"Amount!",""))))</f>
        <v/>
      </c>
      <c r="H119" s="28">
        <f t="shared" si="13"/>
        <v>0</v>
      </c>
      <c r="I119" s="28">
        <f t="shared" si="14"/>
        <v>0</v>
      </c>
      <c r="J119" s="28">
        <f>COUNTA(A119)</f>
      </c>
      <c r="K119" s="32">
        <f>COUNT(C110:E111,E112,C115:E115,C118:E121)+SUM(C116:E116)+SUM(M123:O123)+SUM(M117:O117)</f>
      </c>
      <c r="R119" s="142"/>
      <c r="S119" s="142"/>
    </row>
    <row r="120" spans="1:28" x14ac:dyDescent="0.2">
      <c r="A120" s="543"/>
      <c r="B120" s="3"/>
      <c r="C120" s="223"/>
      <c r="D120" s="223"/>
      <c r="E120" s="223"/>
      <c r="G120" s="531" t="str">
        <f>IF(I120+J120=0,"",IF(ISBLANK(A120),"Details!",IF(J120=0,"",IF(I120=0,"Amount!",""))))</f>
        <v/>
      </c>
      <c r="H120" s="28">
        <f t="shared" si="13"/>
        <v>0</v>
      </c>
      <c r="I120" s="28">
        <f t="shared" si="14"/>
        <v>0</v>
      </c>
      <c r="J120" s="28">
        <f>COUNTA(A120)</f>
      </c>
      <c r="K120" s="32"/>
      <c r="L120" s="32">
        <f>SUM(C115:C120)</f>
      </c>
      <c r="M120" s="32">
        <f>SUM(D115:D120)</f>
      </c>
      <c r="N120" s="32">
        <f>SUM(E115:E120)</f>
      </c>
      <c r="O120" s="32"/>
      <c r="R120" s="142"/>
      <c r="S120" s="142"/>
    </row>
    <row r="121" spans="1:28" x14ac:dyDescent="0.2">
      <c r="A121" s="243" t="s">
        <v>448</v>
      </c>
      <c r="B121" s="3"/>
      <c r="C121" s="532"/>
      <c r="D121" s="532"/>
      <c r="E121" s="532"/>
      <c r="G121" s="1095" t="str">
        <f>IF(K119=0,"",IF(T121&lt;&gt;0,K127,IF(K121&lt;&gt;0,ls,IF(K122&lt;&gt;K125,cv,""))))</f>
        <v/>
      </c>
      <c r="H121" s="28">
        <f>IF(OR(G121=K127,G121=ls),1,0)</f>
      </c>
      <c r="K121" s="28">
        <f>SUM(M121:O121)</f>
      </c>
      <c r="M121" s="28">
        <f>IF(C121&lt;0,1,0)</f>
      </c>
      <c r="N121" s="28">
        <f>IF(D121&lt;0,1,0)</f>
      </c>
      <c r="O121" s="28">
        <f>IF(E121&lt;0,1,0)</f>
      </c>
      <c r="Q121" s="28">
        <f>IF(C122=0,0,IF(ISBLANK(C121),1,0))</f>
      </c>
      <c r="R121" s="28">
        <f>IF(D122=0,0,IF(ISBLANK(D121),1,0))</f>
      </c>
      <c r="S121" s="28">
        <f>IF(E122=0,0,IF(ISBLANK(E121),1,0))</f>
      </c>
      <c r="T121" s="28">
        <f>SUM(P121:S121)</f>
      </c>
    </row>
    <row r="122" spans="1:28" ht="15" x14ac:dyDescent="0.2">
      <c r="A122" s="1096" t="str">
        <f>IF(nofs=0,"",IF(AND(AA122=0,AB122=0),"",IF(AND(AA122=0,Z122=0,AB122&lt;&gt;0),"Royalties reported in TIFD!",IF(AND(AA122&lt;&gt;0,AB122=0),"No Royalties reported in TIFD!",""))))</f>
        <v/>
      </c>
      <c r="B122" s="3"/>
      <c r="C122" s="416">
        <f>IF(C113&lt;L120,0,C113-L120)</f>
      </c>
      <c r="D122" s="416">
        <f>IF(D113&lt;M120,0,D113-M120)</f>
      </c>
      <c r="E122" s="416">
        <f>IF(E113&lt;N120,0,E113-N120)</f>
      </c>
      <c r="G122" s="3"/>
      <c r="H122" s="28">
        <f>SUM(H115:H121,H112,H110)</f>
      </c>
      <c r="K122" s="32">
        <f>SUM(C121:E121)</f>
      </c>
      <c r="P122" s="32"/>
      <c r="Q122" s="32">
        <f>C121</f>
      </c>
      <c r="S122" s="142"/>
      <c r="Z122" s="32">
        <f>'TRA67'!D20</f>
      </c>
      <c r="AA122" s="32">
        <f>SUM(C110:E110)</f>
      </c>
      <c r="AB122" s="28">
        <f>Income!BB59</f>
      </c>
    </row>
    <row r="123" spans="1:28" x14ac:dyDescent="0.2">
      <c r="A123" s="3367" t="s">
        <v>9250</v>
      </c>
      <c r="B123" s="3459" t="s">
        <v>9206</v>
      </c>
      <c r="C123" s="405">
        <f>N110</f>
      </c>
      <c r="D123" s="405">
        <f>O110</f>
      </c>
      <c r="E123" s="405">
        <f>P110</f>
      </c>
      <c r="G123" s="3"/>
      <c r="K123" s="32"/>
      <c r="M123" s="28">
        <f>IF(C123&lt;=0,0,1)</f>
      </c>
      <c r="N123" s="28">
        <f>IF(D123&lt;=0,0,1)</f>
      </c>
      <c r="O123" s="28">
        <f>IF(E123&lt;=0,0,1)</f>
      </c>
      <c r="P123" s="32"/>
      <c r="Q123" s="32"/>
      <c r="S123" s="142"/>
      <c r="Z123" s="32"/>
      <c r="AA123" s="32"/>
    </row>
    <row r="124" spans="1:28" x14ac:dyDescent="0.2">
      <c r="A124" s="3367" t="s">
        <v>9248</v>
      </c>
      <c r="B124" s="3"/>
      <c r="C124" s="451">
        <f>C121+C123</f>
      </c>
      <c r="D124" s="451">
        <f>D121+D123</f>
      </c>
      <c r="E124" s="451">
        <f>E121+E123</f>
      </c>
      <c r="G124" s="3"/>
      <c r="K124" s="32"/>
      <c r="P124" s="32"/>
      <c r="Q124" s="32"/>
      <c r="S124" s="142"/>
      <c r="Z124" s="32"/>
      <c r="AA124" s="32"/>
    </row>
    <row r="125" spans="1:28" x14ac:dyDescent="0.2">
      <c r="A125" s="151"/>
      <c r="B125" s="151"/>
      <c r="C125" s="539"/>
      <c r="D125" s="539"/>
      <c r="E125" s="539"/>
      <c r="F125" s="142"/>
      <c r="G125" s="3"/>
      <c r="K125" s="32">
        <f>SUM(C122:E122)</f>
      </c>
      <c r="R125" s="142"/>
      <c r="S125" s="142"/>
    </row>
    <row r="126" spans="1:28" ht="12.75" customHeight="1" x14ac:dyDescent="0.2">
      <c r="A126" s="17" t="str">
        <f>_xlfn.SINGLE(MTCA)</f>
      </c>
      <c r="B126" s="151"/>
      <c r="C126" s="539"/>
      <c r="D126" s="539"/>
      <c r="E126" s="536" t="s">
        <v>3091</v>
      </c>
      <c r="G126" s="3"/>
      <c r="P126" s="142"/>
      <c r="Q126" s="142"/>
      <c r="R126" s="142"/>
      <c r="S126" s="142"/>
    </row>
    <row r="127" spans="1:28" ht="12.75" customHeight="1" x14ac:dyDescent="0.2">
      <c r="A127" s="388"/>
      <c r="B127" s="388" t="str">
        <f>COM</f>
      </c>
      <c r="C127" s="331"/>
      <c r="D127" s="545" t="str">
        <f>IF(K119=0,"",IF(C127="",re,""))</f>
        <v/>
      </c>
      <c r="E127" s="493" t="s">
        <v>6290</v>
      </c>
      <c r="F127" s="493"/>
      <c r="I127" s="30">
        <f>IF(K119=0,0,IF(H122&lt;&gt;0,100,IF(T121&lt;&gt;0,100,IF(C127="Yes",1,100))))</f>
      </c>
      <c r="K127" s="28" t="s">
        <v>4947</v>
      </c>
      <c r="P127" s="142"/>
      <c r="Q127" s="142"/>
      <c r="R127" s="142"/>
      <c r="S127" s="142"/>
    </row>
    <row r="128" spans="1:28" ht="12.75" customHeight="1" x14ac:dyDescent="0.2">
      <c r="B128" s="28"/>
      <c r="I128" s="28">
        <f>IF(OR(G121=cv,A122&lt;&gt;"",G112&lt;&gt;""),1,0)</f>
      </c>
      <c r="P128" s="142"/>
      <c r="Q128" s="142"/>
      <c r="R128" s="142"/>
      <c r="S128" s="142"/>
    </row>
    <row r="129" spans="1:19" x14ac:dyDescent="0.2">
      <c r="A129" s="4615" t="s">
        <v>1826</v>
      </c>
      <c r="B129" s="4618" t="s">
        <v>4243</v>
      </c>
      <c r="C129" s="4619"/>
      <c r="D129" s="4619"/>
      <c r="E129" s="4620"/>
      <c r="G129" s="3"/>
      <c r="N129" s="4553" t="s">
        <v>9206</v>
      </c>
      <c r="O129" s="4554"/>
      <c r="P129" s="4554"/>
      <c r="Q129" s="142"/>
      <c r="R129" s="142"/>
      <c r="S129" s="142"/>
    </row>
    <row r="130" spans="1:19" ht="15.75" customHeight="1" x14ac:dyDescent="0.2">
      <c r="A130" s="4615"/>
      <c r="B130" s="4616" t="s">
        <v>2299</v>
      </c>
      <c r="C130" s="4574" t="s">
        <v>3712</v>
      </c>
      <c r="D130" s="4574" t="s">
        <v>2105</v>
      </c>
      <c r="E130" s="4574" t="s">
        <v>2106</v>
      </c>
      <c r="G130" s="3"/>
      <c r="N130" s="4555" t="s">
        <v>3712</v>
      </c>
      <c r="O130" s="4555" t="s">
        <v>2105</v>
      </c>
      <c r="P130" s="4555" t="s">
        <v>2106</v>
      </c>
      <c r="Q130" s="142"/>
      <c r="R130" s="142"/>
      <c r="S130" s="142"/>
    </row>
    <row r="131" spans="1:19" ht="24" customHeight="1" x14ac:dyDescent="0.2">
      <c r="A131" s="4615"/>
      <c r="B131" s="4617"/>
      <c r="C131" s="4621"/>
      <c r="D131" s="4621"/>
      <c r="E131" s="4621"/>
      <c r="G131" s="3"/>
      <c r="N131" s="4555"/>
      <c r="O131" s="4555"/>
      <c r="P131" s="4555"/>
      <c r="Q131" s="142"/>
      <c r="R131" s="142"/>
      <c r="S131" s="142"/>
    </row>
    <row r="132" spans="1:19" x14ac:dyDescent="0.2">
      <c r="A132" s="504" t="s">
        <v>6510</v>
      </c>
      <c r="B132" s="539"/>
      <c r="C132" s="548"/>
      <c r="D132" s="549"/>
      <c r="E132" s="10"/>
      <c r="G132" s="3"/>
      <c r="N132" s="91">
        <f>'TRA112'!E474</f>
      </c>
      <c r="O132" s="91">
        <f>'TRA112'!F474</f>
      </c>
      <c r="P132" s="91">
        <f>'TRA112'!G474</f>
      </c>
      <c r="Q132" s="142"/>
      <c r="R132" s="142"/>
      <c r="S132" s="142"/>
    </row>
    <row r="133" spans="1:19" x14ac:dyDescent="0.2">
      <c r="A133" s="2849"/>
      <c r="B133" s="539"/>
      <c r="C133" s="223"/>
      <c r="D133" s="223"/>
      <c r="E133" s="223"/>
      <c r="G133" s="531" t="str">
        <f>IF(I133+J133=0,"",IF(ISBLANK(A133),"Details!",IF(J133=0,"",IF(I133=0,"Amount!",""))))</f>
        <v/>
      </c>
      <c r="H133" s="28">
        <f>IF(G133="",0,1)</f>
      </c>
      <c r="I133" s="28">
        <f>COUNT(B133:E133)</f>
      </c>
      <c r="J133" s="28">
        <f>COUNTA(A133)</f>
      </c>
      <c r="P133" s="142"/>
      <c r="Q133" s="142"/>
      <c r="R133" s="142"/>
      <c r="S133" s="142"/>
    </row>
    <row r="134" spans="1:19" x14ac:dyDescent="0.2">
      <c r="A134" s="543"/>
      <c r="B134" s="539"/>
      <c r="C134" s="223"/>
      <c r="D134" s="223"/>
      <c r="E134" s="223"/>
      <c r="G134" s="531" t="str">
        <f>IF(I134+J134=0,"",IF(ISBLANK(A134),"Details!",IF(J134=0,"",IF(I134=0,"Amount!",""))))</f>
        <v/>
      </c>
      <c r="H134" s="28">
        <f>IF(G134="",0,1)</f>
      </c>
      <c r="I134" s="28">
        <f>COUNT(B134:E134)</f>
      </c>
      <c r="J134" s="28">
        <f>COUNTA(A134)</f>
      </c>
      <c r="P134" s="142"/>
      <c r="Q134" s="142"/>
      <c r="R134" s="142"/>
      <c r="S134" s="142"/>
    </row>
    <row r="135" spans="1:19" x14ac:dyDescent="0.2">
      <c r="A135" s="543"/>
      <c r="B135" s="539"/>
      <c r="C135" s="223"/>
      <c r="D135" s="223"/>
      <c r="E135" s="223"/>
      <c r="G135" s="531" t="str">
        <f>IF(I135+J135=0,"",IF(ISBLANK(A135),"Details!",IF(J135=0,"",IF(I135=0,"Amount!",""))))</f>
        <v/>
      </c>
      <c r="H135" s="28">
        <f>IF(G135="",0,1)</f>
      </c>
      <c r="I135" s="28">
        <f>COUNT(B135:E135)</f>
      </c>
      <c r="J135" s="28">
        <f>COUNTA(A135)</f>
      </c>
      <c r="P135" s="142"/>
      <c r="Q135" s="142"/>
      <c r="R135" s="142"/>
      <c r="S135" s="142"/>
    </row>
    <row r="136" spans="1:19" x14ac:dyDescent="0.2">
      <c r="A136" s="543"/>
      <c r="B136" s="539"/>
      <c r="C136" s="223"/>
      <c r="D136" s="223"/>
      <c r="E136" s="223"/>
      <c r="G136" s="531" t="str">
        <f>IF(I136+J136=0,"",IF(ISBLANK(A136),"Details!",IF(J136=0,"",IF(I136=0,"Amount!",""))))</f>
        <v/>
      </c>
      <c r="H136" s="28">
        <f>IF(G136="",0,1)</f>
      </c>
      <c r="I136" s="28">
        <f>COUNT(B136:E136)</f>
      </c>
      <c r="J136" s="28">
        <f>COUNTA(A136)</f>
      </c>
      <c r="P136" s="142"/>
      <c r="Q136" s="142"/>
      <c r="R136" s="142"/>
      <c r="S136" s="142"/>
    </row>
    <row r="137" spans="1:19" x14ac:dyDescent="0.2">
      <c r="A137" s="543"/>
      <c r="B137" s="539"/>
      <c r="C137" s="525"/>
      <c r="D137" s="525"/>
      <c r="E137" s="525"/>
      <c r="G137" s="531" t="str">
        <f>IF(I137+J137=0,"",IF(ISBLANK(A137),"Details!",IF(J137=0,"",IF(I137=0,"Amount!",""))))</f>
        <v/>
      </c>
      <c r="H137" s="28">
        <f>IF(G137="",0,1)</f>
      </c>
      <c r="I137" s="28">
        <f>COUNT(B137:E137)</f>
      </c>
      <c r="J137" s="28">
        <f>COUNTA(A137)</f>
      </c>
      <c r="P137" s="142"/>
      <c r="Q137" s="142"/>
      <c r="R137" s="142"/>
      <c r="S137" s="142"/>
    </row>
    <row r="138" spans="1:19" x14ac:dyDescent="0.2">
      <c r="A138" s="504" t="s">
        <v>1881</v>
      </c>
      <c r="B138" s="539"/>
      <c r="C138" s="522"/>
      <c r="D138" s="550"/>
      <c r="E138" s="551"/>
      <c r="G138" s="1094" t="str">
        <f>IF(E138&gt;L138," Excessive!","")</f>
        <v/>
      </c>
      <c r="J138" s="32">
        <f>COUNT(C133:E137,E138,C141:E147)</f>
      </c>
      <c r="K138" s="32">
        <f>SUM(E133:E137)</f>
      </c>
      <c r="L138" s="28">
        <f>ROUND(K138*0.25,0)</f>
      </c>
      <c r="P138" s="142"/>
      <c r="Q138" s="142"/>
      <c r="R138" s="142"/>
      <c r="S138" s="142"/>
    </row>
    <row r="139" spans="1:19" x14ac:dyDescent="0.2">
      <c r="A139" s="520" t="s">
        <v>1827</v>
      </c>
      <c r="B139" s="539"/>
      <c r="C139" s="451">
        <f>SUM(C133:C137)</f>
      </c>
      <c r="D139" s="451">
        <f>SUM(D133:D137)</f>
      </c>
      <c r="E139" s="451">
        <f>SUM(E133:E138)</f>
      </c>
      <c r="G139" s="3"/>
      <c r="J139" s="32">
        <f>J138+SUM(M149:O149)</f>
      </c>
      <c r="P139" s="142"/>
      <c r="Q139" s="142"/>
      <c r="R139" s="142"/>
      <c r="S139" s="142"/>
    </row>
    <row r="140" spans="1:19" x14ac:dyDescent="0.2">
      <c r="A140" s="520" t="s">
        <v>2030</v>
      </c>
      <c r="B140" s="539"/>
      <c r="C140" s="552"/>
      <c r="D140" s="539"/>
      <c r="E140" s="6"/>
      <c r="G140" s="3"/>
      <c r="J140" s="32">
        <f>SUM(J138:J139)</f>
      </c>
      <c r="P140" s="142"/>
      <c r="Q140" s="142"/>
      <c r="R140" s="142"/>
      <c r="S140" s="142"/>
    </row>
    <row r="141" spans="1:19" x14ac:dyDescent="0.2">
      <c r="A141" s="2796" t="s">
        <v>8683</v>
      </c>
      <c r="B141" s="539"/>
      <c r="C141" s="223"/>
      <c r="D141" s="223"/>
      <c r="E141" s="223"/>
      <c r="G141" s="531" t="str">
        <f>IF(SUM(C139:E139)=0,"",IF(COUNT(C141:E141)&lt;&gt;3,reo,""))</f>
        <v/>
      </c>
      <c r="H141" s="28">
        <f t="shared" ref="H141:H146" si="15">IF(G141="",0,1)</f>
      </c>
      <c r="I141" s="28">
        <f t="shared" ref="I141:I146" si="16">COUNT(B141:E141)</f>
      </c>
      <c r="P141" s="142"/>
      <c r="Q141" s="142"/>
      <c r="R141" s="142"/>
      <c r="S141" s="142"/>
    </row>
    <row r="142" spans="1:19" x14ac:dyDescent="0.2">
      <c r="A142" s="543"/>
      <c r="B142" s="539"/>
      <c r="C142" s="223"/>
      <c r="D142" s="223"/>
      <c r="E142" s="223"/>
      <c r="G142" s="531" t="str">
        <f>IF(I142+J142=0,"",IF(ISBLANK(A142),"Details!",IF(J142=0,"",IF(I142=0,"Amount!",""))))</f>
        <v/>
      </c>
      <c r="H142" s="28">
        <f t="shared" si="15"/>
        <v>0</v>
      </c>
      <c r="I142" s="28">
        <f t="shared" si="16"/>
        <v>0</v>
      </c>
      <c r="J142" s="28">
        <f>COUNTA(A142)</f>
      </c>
      <c r="P142" s="142"/>
      <c r="Q142" s="142"/>
      <c r="R142" s="142"/>
      <c r="S142" s="142"/>
    </row>
    <row r="143" spans="1:19" x14ac:dyDescent="0.2">
      <c r="A143" s="543"/>
      <c r="B143" s="539"/>
      <c r="C143" s="223"/>
      <c r="D143" s="223"/>
      <c r="E143" s="223"/>
      <c r="G143" s="531" t="str">
        <f>IF(I143+J143=0,"",IF(ISBLANK(A143),"Details!",IF(J143=0,"",IF(I143=0,"Amount!",""))))</f>
        <v/>
      </c>
      <c r="H143" s="28">
        <f t="shared" si="15"/>
        <v>0</v>
      </c>
      <c r="I143" s="28">
        <f t="shared" si="16"/>
        <v>0</v>
      </c>
      <c r="J143" s="28">
        <f>COUNTA(A143)</f>
      </c>
      <c r="P143" s="142"/>
      <c r="Q143" s="142"/>
      <c r="R143" s="142"/>
      <c r="S143" s="142"/>
    </row>
    <row r="144" spans="1:19" x14ac:dyDescent="0.2">
      <c r="A144" s="543"/>
      <c r="B144" s="539"/>
      <c r="C144" s="223"/>
      <c r="D144" s="223"/>
      <c r="E144" s="223"/>
      <c r="G144" s="531" t="str">
        <f>IF(I144+J144=0,"",IF(ISBLANK(A144),"Details!",IF(J144=0,"",IF(I144=0,"Amount!",""))))</f>
        <v/>
      </c>
      <c r="H144" s="28">
        <f t="shared" si="15"/>
        <v>0</v>
      </c>
      <c r="I144" s="28">
        <f t="shared" si="16"/>
        <v>0</v>
      </c>
      <c r="J144" s="28">
        <f>COUNTA(A144)</f>
      </c>
      <c r="P144" s="142"/>
      <c r="Q144" s="142"/>
      <c r="R144" s="142"/>
      <c r="S144" s="142"/>
    </row>
    <row r="145" spans="1:23" x14ac:dyDescent="0.2">
      <c r="A145" s="543"/>
      <c r="B145" s="539"/>
      <c r="C145" s="223"/>
      <c r="D145" s="223"/>
      <c r="E145" s="223"/>
      <c r="G145" s="531" t="str">
        <f>IF(I145+J145=0,"",IF(ISBLANK(A145),"Details!",IF(J145=0,"",IF(I145=0,"Amount!",""))))</f>
        <v/>
      </c>
      <c r="H145" s="28">
        <f t="shared" si="15"/>
        <v>0</v>
      </c>
      <c r="I145" s="28">
        <f t="shared" si="16"/>
        <v>0</v>
      </c>
      <c r="J145" s="28">
        <f>COUNTA(A145)</f>
      </c>
      <c r="P145" s="142"/>
      <c r="Q145" s="142"/>
      <c r="R145" s="142"/>
      <c r="S145" s="142"/>
    </row>
    <row r="146" spans="1:23" x14ac:dyDescent="0.2">
      <c r="A146" s="543"/>
      <c r="B146" s="539"/>
      <c r="C146" s="223"/>
      <c r="D146" s="223"/>
      <c r="E146" s="223"/>
      <c r="G146" s="531" t="str">
        <f>IF(I146+J146=0,"",IF(ISBLANK(A146),"Details!",IF(J146=0,"",IF(I146=0,"Amount!",""))))</f>
        <v/>
      </c>
      <c r="H146" s="28">
        <f t="shared" si="15"/>
        <v>0</v>
      </c>
      <c r="I146" s="28">
        <f t="shared" si="16"/>
        <v>0</v>
      </c>
      <c r="J146" s="28">
        <f>COUNTA(A146)</f>
      </c>
      <c r="P146" s="142"/>
      <c r="Q146" s="142"/>
      <c r="R146" s="142"/>
      <c r="S146" s="142"/>
    </row>
    <row r="147" spans="1:23" x14ac:dyDescent="0.2">
      <c r="A147" s="243" t="s">
        <v>5574</v>
      </c>
      <c r="B147" s="539"/>
      <c r="C147" s="510"/>
      <c r="D147" s="510"/>
      <c r="E147" s="510"/>
      <c r="G147" s="1095" t="str">
        <f>IF(J138=0,"",IF(COUNT(C147:E147)&lt;&gt;3,K153,IF(I147&lt;&gt;0,ls,IF(I148&lt;&gt;I151,cv,""))))</f>
        <v/>
      </c>
      <c r="H147" s="28">
        <f>IF(G147=$K$153,1,0)</f>
      </c>
      <c r="I147" s="28">
        <f>SUM(K147:M147)</f>
      </c>
      <c r="K147" s="28">
        <f>IF(C147&lt;0,1,0)</f>
      </c>
      <c r="L147" s="28">
        <f>IF(D147&lt;0,1,0)</f>
      </c>
      <c r="M147" s="28">
        <f>IF(E147&lt;0,1,0)</f>
      </c>
      <c r="P147" s="142"/>
      <c r="Q147" s="553"/>
      <c r="R147" s="553">
        <f>SUM(C141:C146)</f>
      </c>
      <c r="S147" s="553">
        <f>SUM(D141:D146)</f>
      </c>
      <c r="T147" s="553">
        <f>SUM(E141:E146)</f>
      </c>
      <c r="U147" s="553"/>
      <c r="V147" s="553"/>
      <c r="W147" s="553"/>
    </row>
    <row r="148" spans="1:23" x14ac:dyDescent="0.2">
      <c r="A148" s="8"/>
      <c r="B148" s="539"/>
      <c r="C148" s="466">
        <f>IF(C139&lt;R147,0,C139-R147)</f>
      </c>
      <c r="D148" s="466">
        <f>IF(D139&lt;S147,0,D139-S147)</f>
      </c>
      <c r="E148" s="466">
        <f>IF(E139&lt;T147,0,E139-T147)</f>
      </c>
      <c r="G148" s="3"/>
      <c r="H148" s="28">
        <f>SUM(H132:H147)</f>
      </c>
      <c r="I148" s="32">
        <f>SUM(C147:E147)</f>
      </c>
      <c r="M148" s="32"/>
      <c r="N148" s="32">
        <f>C147</f>
      </c>
      <c r="O148" s="32">
        <f>D147</f>
      </c>
      <c r="P148" s="32">
        <f>E147</f>
      </c>
      <c r="Q148" s="142">
        <f>SUM(M147:P147)</f>
      </c>
      <c r="R148" s="142"/>
      <c r="S148" s="142">
        <f>IF(AND(C148&gt;0,ISBLANK(C147)),1,0)</f>
      </c>
      <c r="T148" s="142">
        <f>IF(AND(D148&gt;0,ISBLANK(D147)),1,0)</f>
      </c>
      <c r="U148" s="142">
        <f>IF(AND(E148&gt;0,ISBLANK(E147)),1,0)</f>
      </c>
      <c r="V148" s="142"/>
      <c r="W148" s="28">
        <f>SUM(R148:V148)</f>
      </c>
    </row>
    <row r="149" spans="1:23" x14ac:dyDescent="0.2">
      <c r="A149" s="3367" t="s">
        <v>9250</v>
      </c>
      <c r="B149" s="3"/>
      <c r="C149" s="405">
        <f>N132</f>
      </c>
      <c r="D149" s="405">
        <f>O132</f>
      </c>
      <c r="E149" s="405">
        <f>P132</f>
      </c>
      <c r="G149" s="3369" t="s">
        <v>9206</v>
      </c>
      <c r="I149" s="32"/>
      <c r="M149" s="28">
        <f>IF(C149&lt;=0,0,1)</f>
      </c>
      <c r="N149" s="28">
        <f>IF(D149&lt;=0,0,1)</f>
      </c>
      <c r="O149" s="28">
        <f>IF(E149&lt;=0,0,1)</f>
      </c>
      <c r="P149" s="32"/>
      <c r="Q149" s="142"/>
      <c r="R149" s="142"/>
      <c r="S149" s="142"/>
      <c r="T149" s="142"/>
      <c r="U149" s="142"/>
      <c r="V149" s="142"/>
    </row>
    <row r="150" spans="1:23" x14ac:dyDescent="0.2">
      <c r="A150" s="3367" t="s">
        <v>9248</v>
      </c>
      <c r="B150" s="3"/>
      <c r="C150" s="451">
        <f>C147+C149</f>
      </c>
      <c r="D150" s="451">
        <f>D147+D149</f>
      </c>
      <c r="E150" s="451">
        <f>E147+E149</f>
      </c>
      <c r="G150" s="3"/>
      <c r="I150" s="32"/>
      <c r="M150" s="32"/>
      <c r="N150" s="32"/>
      <c r="O150" s="32"/>
      <c r="P150" s="32"/>
      <c r="Q150" s="142"/>
      <c r="R150" s="142"/>
      <c r="S150" s="142"/>
      <c r="T150" s="142"/>
      <c r="U150" s="142"/>
      <c r="V150" s="142"/>
    </row>
    <row r="151" spans="1:23" x14ac:dyDescent="0.2">
      <c r="A151" s="8"/>
      <c r="B151" s="151"/>
      <c r="C151" s="539"/>
      <c r="D151" s="539"/>
      <c r="E151" s="8"/>
      <c r="G151" s="3"/>
      <c r="I151" s="32">
        <f>SUM(C148:E148)</f>
      </c>
      <c r="P151" s="142"/>
      <c r="Q151" s="553">
        <f>SUM(M148:P148)</f>
      </c>
      <c r="R151" s="142"/>
      <c r="S151" s="142"/>
    </row>
    <row r="152" spans="1:23" ht="12.75" customHeight="1" x14ac:dyDescent="0.2">
      <c r="A152" s="17" t="str">
        <f>_xlfn.SINGLE(MTCA)</f>
      </c>
      <c r="B152" s="151"/>
      <c r="C152" s="539"/>
      <c r="D152" s="539"/>
      <c r="E152" s="536" t="s">
        <v>3286</v>
      </c>
      <c r="G152" s="8"/>
      <c r="P152" s="142"/>
      <c r="Q152" s="142"/>
      <c r="R152" s="142"/>
      <c r="S152" s="142"/>
    </row>
    <row r="153" spans="1:23" ht="12.75" customHeight="1" x14ac:dyDescent="0.2">
      <c r="A153" s="192"/>
      <c r="B153" s="388" t="str">
        <f>COM</f>
      </c>
      <c r="C153" s="331"/>
      <c r="D153" s="545" t="str">
        <f>IF(J140=0,"",IF(C153="",re,""))</f>
        <v/>
      </c>
      <c r="E153" s="493" t="s">
        <v>6290</v>
      </c>
      <c r="F153" s="493"/>
      <c r="I153" s="30">
        <f>IF(J140=0,0,IF(H148&lt;&gt;0,100,IF(C153="Yes",1,100)))</f>
      </c>
      <c r="K153" s="28" t="s">
        <v>4947</v>
      </c>
      <c r="P153" s="142"/>
      <c r="Q153" s="142"/>
      <c r="R153" s="142"/>
      <c r="S153" s="142"/>
    </row>
    <row r="154" spans="1:23" ht="12.75" customHeight="1" x14ac:dyDescent="0.2">
      <c r="B154" s="28"/>
      <c r="I154" s="28">
        <f>IF(OR(G147=cv,G138&lt;&gt;""),1,0)</f>
      </c>
      <c r="P154" s="142"/>
      <c r="Q154" s="142"/>
      <c r="R154" s="142"/>
      <c r="S154" s="142"/>
    </row>
    <row r="155" spans="1:23" ht="12.75" customHeight="1" x14ac:dyDescent="0.2">
      <c r="A155" s="142"/>
      <c r="B155" s="142"/>
      <c r="K155" s="28" t="s">
        <v>4948</v>
      </c>
      <c r="P155" s="142"/>
      <c r="Q155" s="142"/>
      <c r="R155" s="142"/>
      <c r="S155" s="142"/>
    </row>
    <row r="156" spans="1:23" ht="12.75" customHeight="1" x14ac:dyDescent="0.2">
      <c r="P156" s="142"/>
      <c r="Q156" s="142"/>
      <c r="R156" s="142"/>
      <c r="S156" s="142"/>
    </row>
    <row r="157" spans="1:23" ht="12.75" customHeight="1" x14ac:dyDescent="0.2"/>
    <row r="158" spans="1:23" ht="12.75" customHeight="1" x14ac:dyDescent="0.2"/>
    <row r="159" spans="1:23" ht="12.75" customHeight="1" x14ac:dyDescent="0.2"/>
    <row r="160" spans="1:23"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sheetData>
  <sheetProtection algorithmName="SHA-512" hashValue="JKPX02h3ylODXRD27Xr3E7HJRlx6D93uWgplV5fLAZKik6lei6MbGrfd9N7EREhhOK6t/hET2/RgIFB9sUEBbQ==" saltValue="KvYWdjeDRbdhGoAmnzDllw==" spinCount="100000" sheet="1" objects="1" scenarios="1"/>
  <customSheetViews>
    <customSheetView guid="{99B5278F-6EA9-4B1A-8623-27A4DF4AD5E4}" showGridLines="0" printArea="1" hiddenRows="1" hiddenColumns="1">
      <selection activeCell="B7" sqref="B7"/>
      <rowBreaks count="5" manualBreakCount="5">
        <brk id="35" max="6" man="1"/>
        <brk id="59" max="6" man="1"/>
        <brk id="83" max="6" man="1"/>
        <brk id="106" max="6" man="1"/>
        <brk id="128" max="6" man="1"/>
      </rowBreaks>
      <pageMargins left="0.13" right="0.13" top="0.98425196850393704" bottom="1.9685039370078741" header="0.51181102362204722" footer="1.1417322834645669"/>
      <printOptions horizontalCentered="1"/>
      <pageSetup paperSize="9" orientation="landscape" r:id="rId1"/>
      <headerFooter alignWithMargins="0">
        <oddFooter>&amp;LName&amp;CSignature&amp;RDate</oddFooter>
      </headerFooter>
    </customSheetView>
  </customSheetViews>
  <mergeCells count="68">
    <mergeCell ref="N85:N86"/>
    <mergeCell ref="O85:O86"/>
    <mergeCell ref="P85:P86"/>
    <mergeCell ref="N107:P107"/>
    <mergeCell ref="N108:N109"/>
    <mergeCell ref="O108:O109"/>
    <mergeCell ref="P108:P109"/>
    <mergeCell ref="N60:P60"/>
    <mergeCell ref="N61:N62"/>
    <mergeCell ref="O61:O62"/>
    <mergeCell ref="P61:P62"/>
    <mergeCell ref="N84:P84"/>
    <mergeCell ref="L2:N2"/>
    <mergeCell ref="B3:B4"/>
    <mergeCell ref="E3:E4"/>
    <mergeCell ref="C37:C38"/>
    <mergeCell ref="D37:D38"/>
    <mergeCell ref="E37:E38"/>
    <mergeCell ref="N37:N38"/>
    <mergeCell ref="N36:P36"/>
    <mergeCell ref="O37:O38"/>
    <mergeCell ref="P37:P38"/>
    <mergeCell ref="L3:L4"/>
    <mergeCell ref="M3:M4"/>
    <mergeCell ref="N3:N4"/>
    <mergeCell ref="A1:D1"/>
    <mergeCell ref="B2:E2"/>
    <mergeCell ref="B36:E36"/>
    <mergeCell ref="A5:C5"/>
    <mergeCell ref="A33:B33"/>
    <mergeCell ref="A2:A4"/>
    <mergeCell ref="A36:A38"/>
    <mergeCell ref="B37:B38"/>
    <mergeCell ref="C3:C4"/>
    <mergeCell ref="D3:D4"/>
    <mergeCell ref="A81:B81"/>
    <mergeCell ref="B61:B62"/>
    <mergeCell ref="B60:E60"/>
    <mergeCell ref="C85:C86"/>
    <mergeCell ref="B84:E84"/>
    <mergeCell ref="A60:A62"/>
    <mergeCell ref="C61:C62"/>
    <mergeCell ref="E61:E62"/>
    <mergeCell ref="D61:D62"/>
    <mergeCell ref="B85:B86"/>
    <mergeCell ref="E85:E86"/>
    <mergeCell ref="D85:D86"/>
    <mergeCell ref="B108:B109"/>
    <mergeCell ref="C108:C109"/>
    <mergeCell ref="D108:D109"/>
    <mergeCell ref="E108:E109"/>
    <mergeCell ref="A84:A86"/>
    <mergeCell ref="R107:T107"/>
    <mergeCell ref="R108:R109"/>
    <mergeCell ref="S108:S109"/>
    <mergeCell ref="T108:T109"/>
    <mergeCell ref="A129:A131"/>
    <mergeCell ref="B130:B131"/>
    <mergeCell ref="B129:E129"/>
    <mergeCell ref="D130:D131"/>
    <mergeCell ref="E130:E131"/>
    <mergeCell ref="C130:C131"/>
    <mergeCell ref="A107:A109"/>
    <mergeCell ref="N129:P129"/>
    <mergeCell ref="N130:N131"/>
    <mergeCell ref="O130:O131"/>
    <mergeCell ref="P130:P131"/>
    <mergeCell ref="B107:E107"/>
  </mergeCells>
  <phoneticPr fontId="0" type="noConversion"/>
  <conditionalFormatting sqref="A25 A27">
    <cfRule type="expression" dxfId="872" priority="6" stopIfTrue="1">
      <formula>$B$10=0</formula>
    </cfRule>
  </conditionalFormatting>
  <conditionalFormatting sqref="B25">
    <cfRule type="expression" dxfId="871" priority="7" stopIfTrue="1">
      <formula>$B$10=0</formula>
    </cfRule>
  </conditionalFormatting>
  <conditionalFormatting sqref="B27">
    <cfRule type="expression" dxfId="870" priority="16" stopIfTrue="1">
      <formula>$B$10=0</formula>
    </cfRule>
  </conditionalFormatting>
  <conditionalFormatting sqref="B20:E20">
    <cfRule type="cellIs" dxfId="869" priority="5" stopIfTrue="1" operator="notEqual">
      <formula>B21</formula>
    </cfRule>
  </conditionalFormatting>
  <conditionalFormatting sqref="C25">
    <cfRule type="expression" dxfId="868" priority="50" stopIfTrue="1">
      <formula>$C$25=$DD$25</formula>
    </cfRule>
  </conditionalFormatting>
  <conditionalFormatting sqref="C75 E75 C121:E121 C147:E147">
    <cfRule type="cellIs" dxfId="867" priority="2" stopIfTrue="1" operator="notEqual">
      <formula>C76</formula>
    </cfRule>
  </conditionalFormatting>
  <conditionalFormatting sqref="C97 E97">
    <cfRule type="cellIs" dxfId="866" priority="4" stopIfTrue="1" operator="notEqual">
      <formula>C98</formula>
    </cfRule>
  </conditionalFormatting>
  <conditionalFormatting sqref="C51:E51">
    <cfRule type="cellIs" dxfId="865" priority="3" stopIfTrue="1" operator="notEqual">
      <formula>C52</formula>
    </cfRule>
  </conditionalFormatting>
  <conditionalFormatting sqref="G20">
    <cfRule type="expression" dxfId="864" priority="33" stopIfTrue="1">
      <formula>$G$20=$J$27</formula>
    </cfRule>
  </conditionalFormatting>
  <conditionalFormatting sqref="G51">
    <cfRule type="expression" dxfId="863" priority="14" stopIfTrue="1">
      <formula>$G$51=$J$27</formula>
    </cfRule>
  </conditionalFormatting>
  <conditionalFormatting sqref="G75">
    <cfRule type="expression" dxfId="862" priority="32" stopIfTrue="1">
      <formula>$G$75=$J$27</formula>
    </cfRule>
  </conditionalFormatting>
  <conditionalFormatting sqref="G97">
    <cfRule type="expression" dxfId="861" priority="1886" stopIfTrue="1">
      <formula>$G$97=$K$153</formula>
    </cfRule>
  </conditionalFormatting>
  <conditionalFormatting sqref="G121">
    <cfRule type="expression" dxfId="860" priority="1884">
      <formula>$G$121=ls</formula>
    </cfRule>
    <cfRule type="expression" dxfId="859" priority="1885" stopIfTrue="1">
      <formula>$G$121=$K$153</formula>
    </cfRule>
  </conditionalFormatting>
  <conditionalFormatting sqref="G147">
    <cfRule type="expression" dxfId="858" priority="29" stopIfTrue="1">
      <formula>$G$147=$K$153</formula>
    </cfRule>
  </conditionalFormatting>
  <dataValidations count="12">
    <dataValidation type="whole" errorStyle="warning" operator="equal" allowBlank="1" showInputMessage="1" showErrorMessage="1" errorTitle="Check value entered!" error=" " sqref="C51:E51 C121:E121 C97 E97 C147:E147 E75 C75" xr:uid="{00000000-0002-0000-1100-000000000000}">
      <formula1>C52</formula1>
    </dataValidation>
    <dataValidation type="whole" errorStyle="warning" allowBlank="1" showInputMessage="1" showErrorMessage="1" errorTitle="Flat rate foreign tax credit" error="Cannot be more than 25% of gross income!" sqref="E138 E9 E40 E64 E88 E112" xr:uid="{00000000-0002-0000-1100-000001000000}">
      <formula1>0</formula1>
      <formula2>L9</formula2>
    </dataValidation>
    <dataValidation type="whole" errorStyle="warning" allowBlank="1" showInputMessage="1" showErrorMessage="1" errorTitle="Final Withholding Tax" error="Not equal to the prescribed percentage!" promptTitle="FWT" prompt="10% or 15%" sqref="B25" xr:uid="{00000000-0002-0000-1100-000002000000}">
      <formula1>R25</formula1>
      <formula2>S25</formula2>
    </dataValidation>
    <dataValidation type="whole" errorStyle="warning" operator="equal" allowBlank="1" showInputMessage="1" showErrorMessage="1" errorTitle="Check value entered!" sqref="B20:E20" xr:uid="{00000000-0002-0000-1100-000003000000}">
      <formula1>B21</formula1>
    </dataValidation>
    <dataValidation type="whole" errorStyle="warning" allowBlank="1" showInputMessage="1" showErrorMessage="1" errorTitle="Further Deduction" error="Cannot exceed 20% of gross rents less ground rents and NTOM licence!" sqref="C70" xr:uid="{00000000-0002-0000-1100-000004000000}">
      <formula1>0</formula1>
      <formula2>AB70</formula2>
    </dataValidation>
    <dataValidation type="list" allowBlank="1" showInputMessage="1" showErrorMessage="1" errorTitle="Choose item from Dropdown list! " sqref="C153 C103 C127 C57 C31 C80" xr:uid="{00000000-0002-0000-1100-000005000000}">
      <formula1>$BD$1:$BD$3</formula1>
    </dataValidation>
    <dataValidation type="whole" operator="greaterThanOrEqual" allowBlank="1" showInputMessage="1" showErrorMessage="1" errorTitle="Positive value!" error=" " sqref="C141:E146 C133:E137 C138 C110:E111 C71:C74 B91:C96 C43:E50 C63:C64 C40:D40 C67:C69 E87 E91:E96 E67:E74 C39:E39 B12:E19 E63 B87:C87 C115:E120" xr:uid="{00000000-0002-0000-1100-000006000000}">
      <formula1>0</formula1>
    </dataValidation>
    <dataValidation type="whole" operator="greaterThanOrEqual" allowBlank="1" showInputMessage="1" showErrorMessage="1" errorTitle="POSITIVE VALUE!" error=" " sqref="D7:D8 E7 C7:C9 B6:B9" xr:uid="{00000000-0002-0000-1100-000007000000}">
      <formula1>0</formula1>
    </dataValidation>
    <dataValidation type="list" allowBlank="1" showInputMessage="1" sqref="S98:S100 R31:S31" xr:uid="{00000000-0002-0000-1100-000008000000}">
      <formula1>yn</formula1>
    </dataValidation>
    <dataValidation allowBlank="1" showInputMessage="1" sqref="P31" xr:uid="{00000000-0002-0000-1100-000009000000}"/>
    <dataValidation errorStyle="warning" operator="equal" allowBlank="1" showInputMessage="1" showErrorMessage="1" errorTitle="Check value entered!" error=" " sqref="B97" xr:uid="{00000000-0002-0000-1100-00000A000000}"/>
    <dataValidation type="list" allowBlank="1" showInputMessage="1" showErrorMessage="1" sqref="A6" xr:uid="{00000000-0002-0000-1100-00000B000000}">
      <formula1>$IA$5:$IA$7</formula1>
    </dataValidation>
  </dataValidations>
  <hyperlinks>
    <hyperlink ref="A33" location="Index!A1" display="Index!A1" xr:uid="{00000000-0004-0000-1100-000000000000}"/>
    <hyperlink ref="E57" location="Index!A1" display="Index!A1" xr:uid="{00000000-0004-0000-1100-000001000000}"/>
    <hyperlink ref="A81" location="Index!A1" display="Index!A1" xr:uid="{00000000-0004-0000-1100-000002000000}"/>
    <hyperlink ref="E103" location="Index!A1" display="Index!A1" xr:uid="{00000000-0004-0000-1100-000003000000}"/>
    <hyperlink ref="E127" location="Index!A1" display="Index!A1" xr:uid="{00000000-0004-0000-1100-000004000000}"/>
    <hyperlink ref="E153" location="Index!A1" display="Index!A1" xr:uid="{00000000-0004-0000-1100-000005000000}"/>
    <hyperlink ref="B116" location="'TRA107'!H15" display="      TRA 107" xr:uid="{00000000-0004-0000-1100-000006000000}"/>
    <hyperlink ref="G22" location="'TRA112'!A1" display="TRA 112" xr:uid="{00000000-0004-0000-1100-000007000000}"/>
    <hyperlink ref="G53" location="'TRA112'!A1" display="TRA 112" xr:uid="{00000000-0004-0000-1100-000008000000}"/>
    <hyperlink ref="G77" location="'TRA112'!A1" display="TRA 112" xr:uid="{00000000-0004-0000-1100-000009000000}"/>
    <hyperlink ref="G99" location="'TRA112'!A1" display="TRA 112" xr:uid="{00000000-0004-0000-1100-00000A000000}"/>
    <hyperlink ref="B123" location="'TRA112'!A1" display="TRA 112" xr:uid="{00000000-0004-0000-1100-00000B000000}"/>
    <hyperlink ref="G149" location="'TRA112'!A1" display="TRA 112" xr:uid="{00000000-0004-0000-1100-00000C000000}"/>
    <hyperlink ref="B117" location="'TRA 113'!A1" display="TRA 113" xr:uid="{00000000-0004-0000-1100-00000D000000}"/>
  </hyperlinks>
  <printOptions horizontalCentered="1"/>
  <pageMargins left="0.13" right="0.13" top="0.98425196850393704" bottom="1.9685039370078741" header="0.51181102362204722" footer="1.1417322834645669"/>
  <pageSetup paperSize="9" orientation="landscape" r:id="rId2"/>
  <headerFooter alignWithMargins="0">
    <oddFooter>&amp;LName&amp;CSignature&amp;RDate</oddFooter>
  </headerFooter>
  <rowBreaks count="5" manualBreakCount="5">
    <brk id="35" max="6" man="1"/>
    <brk id="59" max="6" man="1"/>
    <brk id="83" max="6" man="1"/>
    <brk id="106" max="6" man="1"/>
    <brk id="128" max="6" man="1"/>
  </rowBreak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1"/>
  <dimension ref="A1:AW94"/>
  <sheetViews>
    <sheetView topLeftCell="A13" workbookViewId="0">
      <selection activeCell="G13" sqref="G13"/>
    </sheetView>
  </sheetViews>
  <sheetFormatPr defaultColWidth="0" defaultRowHeight="12.75" zeroHeight="1" x14ac:dyDescent="0.2"/>
  <cols>
    <col min="1" max="1" width="2" style="28" customWidth="1"/>
    <col min="2" max="2" width="18" style="28" customWidth="1"/>
    <col min="3" max="3" width="18.28515625" style="28" customWidth="1"/>
    <col min="4" max="8" width="10.7109375" style="28" customWidth="1"/>
    <col min="9" max="9" width="11" style="28" customWidth="1"/>
    <col min="10" max="10" width="19.42578125" style="28" customWidth="1"/>
    <col min="11" max="11" width="8.42578125" style="28" hidden="1" customWidth="1"/>
    <col min="12" max="16384" width="8.7109375" style="28" hidden="1"/>
  </cols>
  <sheetData>
    <row r="1" spans="1:42" x14ac:dyDescent="0.2">
      <c r="A1" s="3"/>
      <c r="B1" s="4408" t="str">
        <f>_ref1</f>
      </c>
      <c r="C1" s="4408"/>
      <c r="D1" s="4408"/>
      <c r="E1" s="4408"/>
      <c r="F1" s="4408"/>
      <c r="G1" s="4408"/>
      <c r="H1" s="61"/>
      <c r="I1" s="539" t="str">
        <f>_YA1</f>
      </c>
      <c r="J1" s="61"/>
    </row>
    <row r="2" spans="1:42" ht="15" x14ac:dyDescent="0.2">
      <c r="A2" s="3"/>
      <c r="B2" s="4339" t="s">
        <v>5409</v>
      </c>
      <c r="C2" s="4340"/>
      <c r="D2" s="4340"/>
      <c r="E2" s="4340"/>
      <c r="F2" s="4340"/>
      <c r="G2" s="4340"/>
      <c r="H2" s="4340"/>
      <c r="I2" s="4341"/>
      <c r="J2" s="61"/>
    </row>
    <row r="3" spans="1:42" ht="5.25" customHeight="1" x14ac:dyDescent="0.2">
      <c r="A3" s="3"/>
      <c r="B3" s="3"/>
      <c r="C3" s="3"/>
      <c r="D3" s="3"/>
      <c r="E3" s="3"/>
      <c r="F3" s="3"/>
      <c r="G3" s="3"/>
      <c r="H3" s="3"/>
      <c r="I3" s="3"/>
      <c r="J3" s="61"/>
    </row>
    <row r="4" spans="1:42" ht="24" customHeight="1" x14ac:dyDescent="0.2">
      <c r="A4" s="3"/>
      <c r="B4" s="557" t="s">
        <v>2097</v>
      </c>
      <c r="C4" s="558"/>
      <c r="D4" s="558"/>
      <c r="E4" s="558"/>
      <c r="F4" s="4633" t="s">
        <v>2198</v>
      </c>
      <c r="G4" s="4634"/>
      <c r="H4" s="4634"/>
      <c r="I4" s="4635"/>
      <c r="J4" s="61"/>
    </row>
    <row r="5" spans="1:42" ht="12.75" customHeight="1" x14ac:dyDescent="0.2">
      <c r="A5" s="3"/>
      <c r="B5" s="457" t="s">
        <v>5411</v>
      </c>
      <c r="C5" s="199"/>
      <c r="D5" s="199"/>
      <c r="E5" s="3646" t="s">
        <v>5412</v>
      </c>
      <c r="F5" s="841" t="s">
        <v>9125</v>
      </c>
      <c r="G5" s="841" t="s">
        <v>5806</v>
      </c>
      <c r="H5" s="841" t="s">
        <v>363</v>
      </c>
      <c r="I5" s="841" t="s">
        <v>2372</v>
      </c>
      <c r="J5" s="222"/>
      <c r="AA5" s="46"/>
      <c r="AB5" s="46" t="s">
        <v>47</v>
      </c>
      <c r="AC5" s="46"/>
      <c r="AD5" s="46"/>
      <c r="AE5" s="3643" t="s">
        <v>3331</v>
      </c>
      <c r="AF5" s="1591" t="s">
        <v>9125</v>
      </c>
      <c r="AG5" s="1591" t="s">
        <v>5806</v>
      </c>
      <c r="AH5" s="1591" t="s">
        <v>363</v>
      </c>
      <c r="AI5" s="1591" t="s">
        <v>2372</v>
      </c>
      <c r="AJ5" s="46"/>
      <c r="AK5" s="46"/>
      <c r="AL5" s="3648" t="s">
        <v>3331</v>
      </c>
      <c r="AM5" s="1591" t="s">
        <v>9125</v>
      </c>
      <c r="AN5" s="1591" t="s">
        <v>5806</v>
      </c>
      <c r="AO5" s="1591" t="s">
        <v>363</v>
      </c>
      <c r="AP5" s="1591" t="s">
        <v>2372</v>
      </c>
    </row>
    <row r="6" spans="1:42" x14ac:dyDescent="0.2">
      <c r="A6" s="3"/>
      <c r="B6" s="135" t="str">
        <f>IF(AK6=0,"",AL6)</f>
        <v/>
      </c>
      <c r="C6" s="129"/>
      <c r="D6" s="129"/>
      <c r="E6" s="3476" t="str">
        <f>IF(AK6=0,"",CONCATENATE("TRA 16_",AK6))</f>
        <v/>
      </c>
      <c r="F6" s="3"/>
      <c r="G6" s="544" t="str">
        <f>IF(AK6=0,"",AN6)</f>
        <v/>
      </c>
      <c r="H6" s="3"/>
      <c r="I6" s="544" t="str">
        <f>IF(AK6=0,"",AP6)</f>
        <v/>
      </c>
      <c r="J6" s="222"/>
      <c r="L6" s="177">
        <f>IF(E6&lt;&gt;"",1,0)</f>
      </c>
      <c r="AA6" s="1591">
        <v>1</v>
      </c>
      <c r="AB6" s="1591">
        <f>'TRA16'!$F$7</f>
      </c>
      <c r="AC6" s="1591">
        <f>IF(AB6="no",1,0)</f>
      </c>
      <c r="AD6" s="1591" t="str">
        <f t="shared" ref="AD6:AD17" si="0">CONCATENATE(AA6,",",AC6)</f>
      </c>
      <c r="AE6" s="3643">
        <f>'TRA16'!$E$20</f>
      </c>
      <c r="AF6" s="46"/>
      <c r="AG6" s="3650" t="str">
        <f>'TRA16'!$H$60</f>
        <v/>
      </c>
      <c r="AH6" s="46"/>
      <c r="AI6" s="1591" t="str">
        <f>'TRA16'!$I$60</f>
        <v/>
      </c>
      <c r="AJ6" s="46">
        <f>IF(ISERROR(MATCH("1,1",$AD$6:$AD$17,0))=FALSE,1,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6" s="3649">
        <f>IF($AJ$6&gt;0,AJ6,IF(ISERROR(INDEX($AJ$6:$AJ$17,MATCH(AJ6,$AJ$6:$AJ$17,0)+COUNTIF($AJ$6:$AJ$17,AJ6)))=TRUE,0,(INDEX($AJ$6:$AJ$17,MATCH(AJ6,$AJ$6:$AJ$17,0)+COUNTIF($AJ$7:$AJ$18,AJ6)))))</f>
      </c>
      <c r="AL6" s="1591" t="str">
        <f>IF(ISERROR(VLOOKUP(AK6,$AA$6:$AI$17,5,FALSE))=TRUE,"",(VLOOKUP(AK6,$AA$6:$AI$17,5,FALSE)))</f>
        <v/>
      </c>
      <c r="AM6" s="46"/>
      <c r="AN6" s="1591" t="str">
        <f>IF(ISERROR(VLOOKUP(AK6,$AA$6:$AI$17,7,FALSE))=TRUE,"",(VLOOKUP(AK6,$AA$6:$AI$17,7,FALSE)))</f>
        <v/>
      </c>
      <c r="AO6" s="46"/>
      <c r="AP6" s="1591" t="str">
        <f>IF(ISERROR(VLOOKUP(AK6,$AA$6:$AI$17,9,FALSE))=TRUE,"",(VLOOKUP(AK6,$AA$6:$AI$17,9,FALSE)))</f>
        <v/>
      </c>
    </row>
    <row r="7" spans="1:42" x14ac:dyDescent="0.2">
      <c r="A7" s="3"/>
      <c r="B7" s="135" t="str">
        <f t="shared" ref="B7:B17" si="1">IF(AK7=0,"",AL7)</f>
        <v/>
      </c>
      <c r="C7" s="129"/>
      <c r="D7" s="129"/>
      <c r="E7" s="3476" t="str">
        <f>IF(AK7=0,"",CONCATENATE("TRA 16_",AK7))</f>
        <v/>
      </c>
      <c r="F7" s="3"/>
      <c r="G7" s="544" t="str">
        <f t="shared" ref="G7:G17" si="2">IF(AK7=0,"",AN7)</f>
        <v/>
      </c>
      <c r="H7" s="3"/>
      <c r="I7" s="544" t="str">
        <f t="shared" ref="I7:I17" si="3">IF(AK7=0,"",AP7)</f>
        <v/>
      </c>
      <c r="J7" s="222"/>
      <c r="L7" s="177">
        <f t="shared" ref="L7:L15" si="4">IF(E7&lt;&gt;"",1,0)</f>
      </c>
      <c r="AA7" s="1591">
        <v>2</v>
      </c>
      <c r="AB7" s="1591">
        <f>'TRA16'!$F$68</f>
      </c>
      <c r="AC7" s="1591">
        <f t="shared" ref="AC7:AC17" si="5">IF(AB7="no",1,0)</f>
      </c>
      <c r="AD7" s="1591" t="str">
        <f t="shared" si="0"/>
        <v>2,0</v>
      </c>
      <c r="AE7" s="3643">
        <f>'TRA16'!$E$81</f>
      </c>
      <c r="AF7" s="46"/>
      <c r="AG7" s="1591" t="str">
        <f>'TRA16'!$H$121</f>
        <v/>
      </c>
      <c r="AH7" s="46"/>
      <c r="AI7" s="1591" t="str">
        <f>'TRA16'!$I$121</f>
        <v/>
      </c>
      <c r="AJ7" s="46">
        <f>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7" s="3649">
        <f>IF(ISERROR(INDEX($AJ$6:$AJ$17,MATCH(AK6,$AJ$6:$AJ$17,0)+COUNTIF($AJ$6:$AJ$17,AK6)))=TRUE,0,(INDEX($AJ$6:$AJ$17,MATCH(AK6,$AJ$6:$AJ$17,0)+COUNTIF($AJ$6:$AJ$17,AK6))))</f>
      </c>
      <c r="AL7" s="1591" t="str">
        <f t="shared" ref="AL7:AL17" si="6">IF(ISERROR(VLOOKUP(AK7,$AA$6:$AI$17,5,FALSE))=TRUE,"",(VLOOKUP(AK7,$AA$6:$AI$17,5,FALSE)))</f>
        <v/>
      </c>
      <c r="AM7" s="46"/>
      <c r="AN7" s="1591" t="str">
        <f t="shared" ref="AN7:AN17" si="7">IF(ISERROR(VLOOKUP(AK7,$AA$6:$AI$17,7,FALSE))=TRUE,"",(VLOOKUP(AK7,$AA$6:$AI$17,7,FALSE)))</f>
        <v/>
      </c>
      <c r="AO7" s="46"/>
      <c r="AP7" s="1591" t="str">
        <f t="shared" ref="AP7:AP17" si="8">IF(ISERROR(VLOOKUP(AK7,$AA$6:$AI$17,9,FALSE))=TRUE,"",(VLOOKUP(AK7,$AA$6:$AI$17,9,FALSE)))</f>
        <v/>
      </c>
    </row>
    <row r="8" spans="1:42" x14ac:dyDescent="0.2">
      <c r="A8" s="3"/>
      <c r="B8" s="135" t="str">
        <f t="shared" si="1"/>
        <v/>
      </c>
      <c r="C8" s="129"/>
      <c r="D8" s="129"/>
      <c r="E8" s="3476" t="str">
        <f t="shared" ref="E8:E17" si="9">IF(AK8=0,"",CONCATENATE("TRA 16_",AK8))</f>
        <v/>
      </c>
      <c r="F8" s="3"/>
      <c r="G8" s="544" t="str">
        <f t="shared" si="2"/>
        <v/>
      </c>
      <c r="H8" s="3"/>
      <c r="I8" s="544" t="str">
        <f t="shared" si="3"/>
        <v/>
      </c>
      <c r="J8" s="222"/>
      <c r="L8" s="177">
        <f t="shared" si="4"/>
        <v>0</v>
      </c>
      <c r="AA8" s="1591">
        <v>3</v>
      </c>
      <c r="AB8" s="1591">
        <f>'TRA16'!$F$129</f>
      </c>
      <c r="AC8" s="1591">
        <f t="shared" si="5"/>
        <v>0</v>
      </c>
      <c r="AD8" s="1591" t="str">
        <f t="shared" si="0"/>
        <v>3,0</v>
      </c>
      <c r="AE8" s="3643">
        <f>'TRA16'!$E$142</f>
      </c>
      <c r="AF8" s="46"/>
      <c r="AG8" s="1591" t="str">
        <f>'TRA16'!$H$182</f>
        <v/>
      </c>
      <c r="AH8" s="46"/>
      <c r="AI8" s="1591" t="str">
        <f>'TRA16'!$I$182</f>
        <v/>
      </c>
      <c r="AJ8" s="46">
        <f>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8" s="3649">
        <f t="shared" ref="AK8:AK16" si="10">IF(ISERROR(INDEX($AJ$6:$AJ$17,MATCH(AK7,$AJ$6:$AJ$17,0)+COUNTIF($AJ$6:$AJ$17,AK7)))=TRUE,0,(INDEX($AJ$6:$AJ$17,MATCH(AK7,$AJ$6:$AJ$17,0)+COUNTIF($AJ$6:$AJ$17,AK7))))</f>
      </c>
      <c r="AL8" s="1591" t="str">
        <f t="shared" si="6"/>
        <v/>
      </c>
      <c r="AM8" s="46"/>
      <c r="AN8" s="1591" t="str">
        <f t="shared" si="7"/>
        <v/>
      </c>
      <c r="AO8" s="46"/>
      <c r="AP8" s="1591" t="str">
        <f t="shared" si="8"/>
        <v/>
      </c>
    </row>
    <row r="9" spans="1:42" x14ac:dyDescent="0.2">
      <c r="A9" s="3"/>
      <c r="B9" s="135" t="str">
        <f t="shared" si="1"/>
        <v/>
      </c>
      <c r="C9" s="129"/>
      <c r="D9" s="129"/>
      <c r="E9" s="3476" t="str">
        <f t="shared" si="9"/>
        <v/>
      </c>
      <c r="F9" s="3"/>
      <c r="G9" s="544" t="str">
        <f t="shared" si="2"/>
        <v/>
      </c>
      <c r="H9" s="3"/>
      <c r="I9" s="544" t="str">
        <f t="shared" si="3"/>
        <v/>
      </c>
      <c r="J9" s="222"/>
      <c r="L9" s="177">
        <f t="shared" si="4"/>
        <v>0</v>
      </c>
      <c r="AA9" s="1591">
        <v>4</v>
      </c>
      <c r="AB9" s="1591">
        <f>'TRA16'!$F$190</f>
      </c>
      <c r="AC9" s="1591">
        <f t="shared" si="5"/>
        <v>0</v>
      </c>
      <c r="AD9" s="1591" t="str">
        <f t="shared" si="0"/>
        <v>4,0</v>
      </c>
      <c r="AE9" s="3643">
        <f>'TRA16'!$E$203</f>
      </c>
      <c r="AF9" s="46"/>
      <c r="AG9" s="1591" t="str">
        <f>'TRA16'!$H$243</f>
        <v/>
      </c>
      <c r="AH9" s="46"/>
      <c r="AI9" s="1591" t="str">
        <f>'TRA16'!$I$243</f>
        <v/>
      </c>
      <c r="AJ9" s="46">
        <f>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9" s="3649">
        <f t="shared" si="10"/>
        <v>0</v>
      </c>
      <c r="AL9" s="1591" t="str">
        <f t="shared" si="6"/>
        <v/>
      </c>
      <c r="AM9" s="46"/>
      <c r="AN9" s="1591" t="str">
        <f t="shared" si="7"/>
        <v/>
      </c>
      <c r="AO9" s="46"/>
      <c r="AP9" s="1591" t="str">
        <f t="shared" si="8"/>
        <v/>
      </c>
    </row>
    <row r="10" spans="1:42" x14ac:dyDescent="0.2">
      <c r="A10" s="3"/>
      <c r="B10" s="135" t="str">
        <f t="shared" si="1"/>
        <v/>
      </c>
      <c r="C10" s="129"/>
      <c r="D10" s="129"/>
      <c r="E10" s="3476" t="str">
        <f t="shared" si="9"/>
        <v/>
      </c>
      <c r="F10" s="3"/>
      <c r="G10" s="544" t="str">
        <f t="shared" si="2"/>
        <v/>
      </c>
      <c r="H10" s="3"/>
      <c r="I10" s="544" t="str">
        <f t="shared" si="3"/>
        <v/>
      </c>
      <c r="J10" s="222"/>
      <c r="L10" s="177">
        <f t="shared" si="4"/>
        <v>0</v>
      </c>
      <c r="AA10" s="1591">
        <v>5</v>
      </c>
      <c r="AB10" s="1591">
        <f>'TRA16'!$F$251</f>
      </c>
      <c r="AC10" s="1591">
        <f t="shared" si="5"/>
        <v>0</v>
      </c>
      <c r="AD10" s="1591" t="str">
        <f t="shared" si="0"/>
        <v>5,0</v>
      </c>
      <c r="AE10" s="3643">
        <f>'TRA16'!$E$264</f>
      </c>
      <c r="AF10" s="46"/>
      <c r="AG10" s="1591" t="str">
        <f>'TRA16'!$H$304</f>
        <v/>
      </c>
      <c r="AH10" s="46"/>
      <c r="AI10" s="1591" t="str">
        <f>'TRA16'!$I$304</f>
        <v/>
      </c>
      <c r="AJ10" s="46">
        <f>IF(ISERROR(MATCH("5,1",$AD$6:$AD$17,0))=FALSE,5,IF(ISERROR(MATCH("6,1",$AD$6:$AD$17,0))=FALSE,6,IF(ISERROR(MATCH("7,1",$AD$6:$AD$17,0))=FALSE,7,IF(ISERROR(MATCH("8,1",$AD$6:$AD$17,0))=FALSE,8,IF(ISERROR(MATCH("9,1",$AD$6:$AD$17,0))=FALSE,9,IF(ISERROR(MATCH("10,1",$AD$6:$AD$17,0))=FALSE,10,IF(ISERROR(MATCH("11,1",$AD$6:$AD$17,0))=FALSE,11,IF(ISERROR(MATCH("12,1",$AD$6:$AD$17,0))=FALSE,12,0))))))))</f>
      </c>
      <c r="AK10" s="3649">
        <f t="shared" si="10"/>
        <v>0</v>
      </c>
      <c r="AL10" s="1591" t="str">
        <f t="shared" si="6"/>
        <v/>
      </c>
      <c r="AM10" s="46"/>
      <c r="AN10" s="1591" t="str">
        <f t="shared" si="7"/>
        <v/>
      </c>
      <c r="AO10" s="46"/>
      <c r="AP10" s="1591" t="str">
        <f t="shared" si="8"/>
        <v/>
      </c>
    </row>
    <row r="11" spans="1:42" x14ac:dyDescent="0.2">
      <c r="A11" s="3"/>
      <c r="B11" s="135" t="str">
        <f t="shared" si="1"/>
        <v/>
      </c>
      <c r="C11" s="129"/>
      <c r="D11" s="129"/>
      <c r="E11" s="3476" t="str">
        <f t="shared" si="9"/>
        <v/>
      </c>
      <c r="F11" s="3"/>
      <c r="G11" s="544" t="str">
        <f t="shared" si="2"/>
        <v/>
      </c>
      <c r="H11" s="3"/>
      <c r="I11" s="544" t="str">
        <f t="shared" si="3"/>
        <v/>
      </c>
      <c r="J11" s="222"/>
      <c r="L11" s="177">
        <f t="shared" si="4"/>
        <v>0</v>
      </c>
      <c r="AA11" s="1591">
        <v>6</v>
      </c>
      <c r="AB11" s="1591">
        <f>'TRA16'!$F$312</f>
      </c>
      <c r="AC11" s="1591">
        <f t="shared" si="5"/>
        <v>0</v>
      </c>
      <c r="AD11" s="1591" t="str">
        <f t="shared" si="0"/>
        <v>6,0</v>
      </c>
      <c r="AE11" s="3643">
        <f>'TRA16'!$E$325</f>
      </c>
      <c r="AF11" s="46"/>
      <c r="AG11" s="1591" t="str">
        <f>'TRA16'!$H$365</f>
        <v/>
      </c>
      <c r="AH11" s="46"/>
      <c r="AI11" s="1591" t="str">
        <f>'TRA16'!$I$365</f>
        <v/>
      </c>
      <c r="AJ11" s="46">
        <f>IF(ISERROR(MATCH("6,1",$AD$6:$AD$17,0))=FALSE,6,IF(ISERROR(MATCH("7,1",$AD$6:$AD$17,0))=FALSE,7,IF(ISERROR(MATCH("8,1",$AD$6:$AD$17,0))=FALSE,8,IF(ISERROR(MATCH("9,1",$AD$6:$AD$17,0))=FALSE,9,IF(ISERROR(MATCH("10,1",$AD$6:$AD$17,0))=FALSE,10,IF(ISERROR(MATCH("11,1",$AD$6:$AD$17,0))=FALSE,11,IF(ISERROR(MATCH("12,1",$AD$6:$AD$17,0))=FALSE,12,0)))))))</f>
      </c>
      <c r="AK11" s="3649">
        <f t="shared" si="10"/>
        <v>0</v>
      </c>
      <c r="AL11" s="1591" t="str">
        <f t="shared" si="6"/>
        <v/>
      </c>
      <c r="AM11" s="46"/>
      <c r="AN11" s="1591" t="str">
        <f t="shared" si="7"/>
        <v/>
      </c>
      <c r="AO11" s="46"/>
      <c r="AP11" s="1591" t="str">
        <f t="shared" si="8"/>
        <v/>
      </c>
    </row>
    <row r="12" spans="1:42" x14ac:dyDescent="0.2">
      <c r="A12" s="3"/>
      <c r="B12" s="135" t="str">
        <f t="shared" si="1"/>
        <v/>
      </c>
      <c r="C12" s="129"/>
      <c r="D12" s="129"/>
      <c r="E12" s="3476" t="str">
        <f t="shared" si="9"/>
        <v/>
      </c>
      <c r="F12" s="3"/>
      <c r="G12" s="544" t="str">
        <f t="shared" si="2"/>
        <v/>
      </c>
      <c r="H12" s="3"/>
      <c r="I12" s="544" t="str">
        <f t="shared" si="3"/>
        <v/>
      </c>
      <c r="J12" s="222"/>
      <c r="L12" s="177">
        <f t="shared" si="4"/>
        <v>0</v>
      </c>
      <c r="AA12" s="1591">
        <v>7</v>
      </c>
      <c r="AB12" s="1591">
        <f>'TRA16'!$F$373</f>
      </c>
      <c r="AC12" s="1591">
        <f t="shared" si="5"/>
        <v>0</v>
      </c>
      <c r="AD12" s="1591" t="str">
        <f t="shared" si="0"/>
        <v>7,0</v>
      </c>
      <c r="AE12" s="3643">
        <f>'TRA16'!$E$386</f>
      </c>
      <c r="AF12" s="46"/>
      <c r="AG12" s="1591" t="str">
        <f>'TRA16'!$H$426</f>
        <v/>
      </c>
      <c r="AH12" s="46"/>
      <c r="AI12" s="1591" t="str">
        <f>'TRA16'!$I$426</f>
        <v/>
      </c>
      <c r="AJ12" s="46">
        <f>IF(ISERROR(MATCH("7,1",$AD$6:$AD$17,0))=FALSE,7,IF(ISERROR(MATCH("8,1",$AD$6:$AD$17,0))=FALSE,8,IF(ISERROR(MATCH("9,1",$AD$6:$AD$17,0))=FALSE,9,IF(ISERROR(MATCH("10,1",$AD$6:$AD$17,0))=FALSE,10,IF(ISERROR(MATCH("11,1",$AD$6:$AD$17,0))=FALSE,11,IF(ISERROR(MATCH("12,1",$AD$6:$AD$17,0))=FALSE,12,0))))))</f>
      </c>
      <c r="AK12" s="3649">
        <f t="shared" si="10"/>
        <v>0</v>
      </c>
      <c r="AL12" s="1591" t="str">
        <f t="shared" si="6"/>
        <v/>
      </c>
      <c r="AM12" s="46"/>
      <c r="AN12" s="1591" t="str">
        <f t="shared" si="7"/>
        <v/>
      </c>
      <c r="AO12" s="46"/>
      <c r="AP12" s="1591" t="str">
        <f t="shared" si="8"/>
        <v/>
      </c>
    </row>
    <row r="13" spans="1:42" x14ac:dyDescent="0.2">
      <c r="A13" s="3"/>
      <c r="B13" s="135" t="str">
        <f t="shared" si="1"/>
        <v/>
      </c>
      <c r="C13" s="129"/>
      <c r="D13" s="129"/>
      <c r="E13" s="3476" t="str">
        <f t="shared" si="9"/>
        <v/>
      </c>
      <c r="F13" s="3"/>
      <c r="G13" s="544" t="str">
        <f t="shared" si="2"/>
        <v/>
      </c>
      <c r="H13" s="3"/>
      <c r="I13" s="544" t="str">
        <f t="shared" si="3"/>
        <v/>
      </c>
      <c r="J13" s="222"/>
      <c r="L13" s="177">
        <f t="shared" si="4"/>
        <v>0</v>
      </c>
      <c r="AA13" s="1591">
        <v>8</v>
      </c>
      <c r="AB13" s="1591">
        <f>'TRA16'!$F$434</f>
      </c>
      <c r="AC13" s="1591">
        <f t="shared" si="5"/>
        <v>0</v>
      </c>
      <c r="AD13" s="1591" t="str">
        <f t="shared" si="0"/>
        <v>8,0</v>
      </c>
      <c r="AE13" s="3643">
        <f>'TRA16'!$E$447</f>
      </c>
      <c r="AF13" s="46"/>
      <c r="AG13" s="1591" t="str">
        <f>'TRA16'!$H$487</f>
        <v/>
      </c>
      <c r="AH13" s="46"/>
      <c r="AI13" s="1591" t="str">
        <f>'TRA16'!$I$487</f>
        <v/>
      </c>
      <c r="AJ13" s="46">
        <f>IF(ISERROR(MATCH("8,1",$AD$6:$AD$17,0))=FALSE,8,IF(ISERROR(MATCH("9,1",$AD$6:$AD$17,0))=FALSE,9,IF(ISERROR(MATCH("10,1",$AD$6:$AD$17,0))=FALSE,10,IF(ISERROR(MATCH("11,1",$AD$6:$AD$17,0))=FALSE,11,IF(ISERROR(MATCH("12,1",$AD$6:$AD$17,0))=FALSE,12,0)))))</f>
      </c>
      <c r="AK13" s="3649">
        <f t="shared" si="10"/>
        <v>0</v>
      </c>
      <c r="AL13" s="1591" t="str">
        <f t="shared" si="6"/>
        <v/>
      </c>
      <c r="AM13" s="46"/>
      <c r="AN13" s="1591" t="str">
        <f t="shared" si="7"/>
        <v/>
      </c>
      <c r="AO13" s="46"/>
      <c r="AP13" s="1591" t="str">
        <f t="shared" si="8"/>
        <v/>
      </c>
    </row>
    <row r="14" spans="1:42" x14ac:dyDescent="0.2">
      <c r="A14" s="3"/>
      <c r="B14" s="135" t="str">
        <f t="shared" si="1"/>
        <v/>
      </c>
      <c r="C14" s="129"/>
      <c r="D14" s="129"/>
      <c r="E14" s="3476" t="str">
        <f t="shared" si="9"/>
        <v/>
      </c>
      <c r="F14" s="3"/>
      <c r="G14" s="544" t="str">
        <f t="shared" si="2"/>
        <v/>
      </c>
      <c r="H14" s="3"/>
      <c r="I14" s="544" t="str">
        <f t="shared" si="3"/>
        <v/>
      </c>
      <c r="J14" s="222"/>
      <c r="L14" s="177">
        <f t="shared" si="4"/>
        <v>0</v>
      </c>
      <c r="AA14" s="1591">
        <v>9</v>
      </c>
      <c r="AB14" s="1591">
        <f>'TRA16'!$F$495</f>
      </c>
      <c r="AC14" s="1591">
        <f t="shared" si="5"/>
        <v>0</v>
      </c>
      <c r="AD14" s="1591" t="str">
        <f t="shared" si="0"/>
        <v>9,0</v>
      </c>
      <c r="AE14" s="3643">
        <f>'TRA16'!$E$508</f>
      </c>
      <c r="AF14" s="46"/>
      <c r="AG14" s="1591" t="str">
        <f>'TRA16'!$H$548</f>
        <v/>
      </c>
      <c r="AH14" s="46"/>
      <c r="AI14" s="1591" t="str">
        <f>'TRA16'!$I$548</f>
        <v/>
      </c>
      <c r="AJ14" s="46">
        <f>IF(ISERROR(MATCH("9,1",$AD$6:$AD$17,0))=FALSE,9,IF(ISERROR(MATCH("10,1",$AD$6:$AD$17,0))=FALSE,10,IF(ISERROR(MATCH("11,1",$AD$6:$AD$17,0))=FALSE,11,IF(ISERROR(MATCH("12,1",$AD$6:$AD$17,0))=FALSE,12,0))))</f>
      </c>
      <c r="AK14" s="3649">
        <f t="shared" si="10"/>
        <v>0</v>
      </c>
      <c r="AL14" s="1591" t="str">
        <f t="shared" si="6"/>
        <v/>
      </c>
      <c r="AM14" s="46"/>
      <c r="AN14" s="1591" t="str">
        <f t="shared" si="7"/>
        <v/>
      </c>
      <c r="AO14" s="46"/>
      <c r="AP14" s="1591" t="str">
        <f t="shared" si="8"/>
        <v/>
      </c>
    </row>
    <row r="15" spans="1:42" x14ac:dyDescent="0.2">
      <c r="A15" s="3"/>
      <c r="B15" s="135" t="str">
        <f t="shared" si="1"/>
        <v/>
      </c>
      <c r="C15" s="129"/>
      <c r="D15" s="129"/>
      <c r="E15" s="3476" t="str">
        <f t="shared" si="9"/>
        <v/>
      </c>
      <c r="F15" s="3"/>
      <c r="G15" s="544" t="str">
        <f t="shared" si="2"/>
        <v/>
      </c>
      <c r="H15" s="3"/>
      <c r="I15" s="544" t="str">
        <f t="shared" si="3"/>
        <v/>
      </c>
      <c r="J15" s="222"/>
      <c r="L15" s="177">
        <f t="shared" si="4"/>
        <v>0</v>
      </c>
      <c r="AA15" s="1591">
        <v>10</v>
      </c>
      <c r="AB15" s="1591">
        <f>'TRA16'!$F$556</f>
      </c>
      <c r="AC15" s="1591">
        <f t="shared" si="5"/>
        <v>0</v>
      </c>
      <c r="AD15" s="1591" t="str">
        <f t="shared" si="0"/>
        <v>10,0</v>
      </c>
      <c r="AE15" s="3643">
        <f>'TRA16'!$E$569</f>
      </c>
      <c r="AF15" s="46"/>
      <c r="AG15" s="1591" t="str">
        <f>'TRA16'!$H$609</f>
        <v/>
      </c>
      <c r="AH15" s="46"/>
      <c r="AI15" s="1591" t="str">
        <f>'TRA16'!$I$609</f>
        <v/>
      </c>
      <c r="AJ15" s="46">
        <f>IF(ISERROR(MATCH("10,1",$AD$6:$AD$17,0))=FALSE,10,IF(ISERROR(MATCH("11,1",$AD$6:$AD$17,0))=FALSE,11,IF(ISERROR(MATCH("12,1",$AD$6:$AD$17,0))=FALSE,12,0)))</f>
      </c>
      <c r="AK15" s="3649">
        <f t="shared" si="10"/>
        <v>0</v>
      </c>
      <c r="AL15" s="1591" t="str">
        <f t="shared" si="6"/>
        <v/>
      </c>
      <c r="AM15" s="46"/>
      <c r="AN15" s="1591" t="str">
        <f t="shared" si="7"/>
        <v/>
      </c>
      <c r="AO15" s="46"/>
      <c r="AP15" s="1591" t="str">
        <f t="shared" si="8"/>
        <v/>
      </c>
    </row>
    <row r="16" spans="1:42" ht="12.75" customHeight="1" x14ac:dyDescent="0.2">
      <c r="A16" s="3"/>
      <c r="B16" s="135" t="str">
        <f t="shared" si="1"/>
        <v/>
      </c>
      <c r="C16" s="129"/>
      <c r="D16" s="129"/>
      <c r="E16" s="3476" t="str">
        <f t="shared" si="9"/>
        <v/>
      </c>
      <c r="F16" s="3"/>
      <c r="G16" s="544" t="str">
        <f t="shared" si="2"/>
        <v/>
      </c>
      <c r="H16" s="3"/>
      <c r="I16" s="544" t="str">
        <f t="shared" si="3"/>
        <v/>
      </c>
      <c r="J16" s="222"/>
      <c r="L16" s="177">
        <f>IF(E16&lt;&gt;"",1,0)</f>
      </c>
      <c r="N16" s="4553" t="s">
        <v>9206</v>
      </c>
      <c r="O16" s="4554"/>
      <c r="P16" s="4554"/>
      <c r="R16" s="3444"/>
      <c r="S16" s="3432"/>
      <c r="T16" s="4630" t="s">
        <v>9234</v>
      </c>
      <c r="U16" s="4631"/>
      <c r="V16" s="4632"/>
      <c r="AA16" s="3642">
        <v>11</v>
      </c>
      <c r="AB16" s="1591">
        <f>'TRA16'!$F$617</f>
      </c>
      <c r="AC16" s="1591">
        <f t="shared" si="5"/>
        <v>0</v>
      </c>
      <c r="AD16" s="1591" t="str">
        <f t="shared" si="0"/>
        <v>11,0</v>
      </c>
      <c r="AE16" s="3643">
        <f>'TRA16'!$E$630</f>
      </c>
      <c r="AF16" s="46"/>
      <c r="AG16" s="1591" t="str">
        <f>'TRA16'!$H$670</f>
        <v/>
      </c>
      <c r="AH16" s="46"/>
      <c r="AI16" s="1591" t="str">
        <f>'TRA16'!$I$670</f>
        <v/>
      </c>
      <c r="AJ16" s="46">
        <f>IF(ISERROR(MATCH("11,1",$AD$6:$AD$17,0))=FALSE,11,IF(ISERROR(MATCH("12,1",$AD$6:$AD$17,0))=FALSE,12,0))</f>
      </c>
      <c r="AK16" s="3649">
        <f t="shared" si="10"/>
        <v>0</v>
      </c>
      <c r="AL16" s="1591" t="str">
        <f t="shared" si="6"/>
        <v/>
      </c>
      <c r="AM16" s="46"/>
      <c r="AN16" s="1591" t="str">
        <f t="shared" si="7"/>
        <v/>
      </c>
      <c r="AO16" s="46"/>
      <c r="AP16" s="1591" t="str">
        <f t="shared" si="8"/>
        <v/>
      </c>
    </row>
    <row r="17" spans="1:42" x14ac:dyDescent="0.2">
      <c r="A17" s="3"/>
      <c r="B17" s="135" t="str">
        <f t="shared" si="1"/>
        <v/>
      </c>
      <c r="C17" s="129"/>
      <c r="D17" s="129"/>
      <c r="E17" s="3476" t="str">
        <f t="shared" si="9"/>
        <v/>
      </c>
      <c r="F17" s="3"/>
      <c r="G17" s="544" t="str">
        <f t="shared" si="2"/>
        <v/>
      </c>
      <c r="H17" s="3"/>
      <c r="I17" s="544" t="str">
        <f t="shared" si="3"/>
        <v/>
      </c>
      <c r="J17" s="222"/>
      <c r="L17" s="177">
        <f>IF(E17&lt;&gt;"",1,0)</f>
      </c>
      <c r="N17" s="4555" t="s">
        <v>3712</v>
      </c>
      <c r="O17" s="4555" t="s">
        <v>2105</v>
      </c>
      <c r="P17" s="4555" t="s">
        <v>2106</v>
      </c>
      <c r="R17" s="3444"/>
      <c r="S17" s="3432"/>
      <c r="T17" s="4555" t="s">
        <v>3712</v>
      </c>
      <c r="U17" s="4555" t="s">
        <v>2105</v>
      </c>
      <c r="V17" s="4555" t="s">
        <v>2106</v>
      </c>
      <c r="AA17" s="3642">
        <v>12</v>
      </c>
      <c r="AB17" s="1591">
        <f>'TRA16'!$F$678</f>
      </c>
      <c r="AC17" s="1591">
        <f t="shared" si="5"/>
        <v>0</v>
      </c>
      <c r="AD17" s="1591" t="str">
        <f t="shared" si="0"/>
        <v>12,0</v>
      </c>
      <c r="AE17" s="3643">
        <f>'TRA16'!$E$691</f>
      </c>
      <c r="AF17" s="46"/>
      <c r="AG17" s="1591" t="str">
        <f>'TRA16'!$H$731</f>
        <v/>
      </c>
      <c r="AH17" s="46"/>
      <c r="AI17" s="1591" t="str">
        <f>'TRA16'!$I$731</f>
        <v/>
      </c>
      <c r="AJ17" s="46">
        <f>IF(ISERROR(MATCH("12,1",$AD$6:$AD$17,0))=FALSE,12,0)</f>
      </c>
      <c r="AK17" s="3649">
        <f>IF(ISERROR(INDEX($AJ$6:$AJ$17,MATCH(AJ17,$AJ$6:$AJ$17,0)+COUNTIF($AJ$6:$AJ$17,AJ17)))=TRUE,0,(INDEX($AJ$6:$AJ$17,MATCH(AJ17,$AJ$6:$AJ$17,0)+COUNTIF($AJ$6:$AJ$17,AJ17))))</f>
      </c>
      <c r="AL17" s="1591" t="str">
        <f t="shared" si="6"/>
        <v/>
      </c>
      <c r="AM17" s="46"/>
      <c r="AN17" s="1591" t="str">
        <f t="shared" si="7"/>
        <v/>
      </c>
      <c r="AO17" s="46"/>
      <c r="AP17" s="1591" t="str">
        <f t="shared" si="8"/>
        <v/>
      </c>
    </row>
    <row r="18" spans="1:42" hidden="1" x14ac:dyDescent="0.2">
      <c r="A18" s="3"/>
      <c r="B18" s="135"/>
      <c r="C18" s="129"/>
      <c r="D18" s="129"/>
      <c r="E18" s="122"/>
      <c r="F18" s="3"/>
      <c r="G18" s="3498"/>
      <c r="H18" s="3"/>
      <c r="I18" s="3499"/>
      <c r="J18" s="222"/>
      <c r="L18" s="177"/>
      <c r="N18" s="4555"/>
      <c r="O18" s="4555"/>
      <c r="P18" s="4555"/>
      <c r="R18" s="3444"/>
      <c r="S18" s="3432"/>
      <c r="T18" s="4555"/>
      <c r="U18" s="4555"/>
      <c r="V18" s="4555"/>
      <c r="AA18" s="3653"/>
      <c r="AB18" s="3653"/>
      <c r="AC18" s="3653"/>
      <c r="AD18" s="3653"/>
      <c r="AE18" s="3653"/>
      <c r="AF18" s="3653"/>
      <c r="AG18" s="3653"/>
      <c r="AH18" s="46" t="str">
        <f>IF(AND(AA18=AP17,AC18="yes"),0,IF(AND(AB17=0,AC18="yes"),2,IF(AND(AC18=0,AC19="yes"),3,IF(AND(AC18=0,AC19=0,AC20="yes"),4,IF(AND(AC18=0,AC19=0,AC20=0,AC21="yes"),5,IF(AND(AC18=0,AC19=0,AC20=0,AC21=0,AC22="yes"),6,IF(AND(AC18=0,AC19=0,AC20=0,AC21=0,AC22=0,AC23="yes"),7,IF(AND(AC18=0,AC19=0,AC20=0,AC21=0,AC22=0,AC23=0,AC24="yes"),8,IF(AND(AC18=0,AC19=0,AC20=0,AC21=0,AC22=0,AC23=0,AC24=0,AC25="yes"),9,IF(AND(AC18=0,AC19=0,AC20=0,AC21=0,AC22=0,AC23=0,AC24=0,AC25=0,AC26="yes"),10,IF(AND(AC18=0,AC19=0,AC20=0,AC21=0,AC22=0,AC23=0,AC24=0,AC25=0,AC26=0,AC27="yes"),11,IF(AND(AC18=0,AC19=0,AC20=0,AC21=0,AC22=0,AC23=0,AC24=0,AC25=0,AC26=0,AC27=0,AC28="yes"),12,""))))))))))))</f>
        <v/>
      </c>
      <c r="AI18" s="46"/>
      <c r="AJ18" s="46">
        <f t="shared" ref="AJ18:AJ24" si="11">IF(ISERROR(MATCH("1,1",$AD$6:$AD$17,0))=FALSE,1,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18" s="3653"/>
      <c r="AL18" s="3653"/>
      <c r="AM18" s="3653"/>
      <c r="AN18" s="3653"/>
      <c r="AO18" s="3653"/>
      <c r="AP18" s="3653"/>
    </row>
    <row r="19" spans="1:42" hidden="1" x14ac:dyDescent="0.2">
      <c r="A19" s="3"/>
      <c r="B19" s="135"/>
      <c r="C19" s="129"/>
      <c r="D19" s="129"/>
      <c r="E19" s="122"/>
      <c r="F19" s="3"/>
      <c r="G19" s="3498"/>
      <c r="H19" s="3"/>
      <c r="I19" s="3499"/>
      <c r="J19" s="222"/>
      <c r="L19" s="177"/>
      <c r="N19" s="4555"/>
      <c r="O19" s="4555"/>
      <c r="P19" s="4555"/>
      <c r="R19" s="3444"/>
      <c r="S19" s="3432"/>
      <c r="T19" s="4555"/>
      <c r="U19" s="4555"/>
      <c r="V19" s="4555"/>
      <c r="AA19" s="3653"/>
      <c r="AB19" s="3653"/>
      <c r="AC19" s="3653"/>
      <c r="AD19" s="3653"/>
      <c r="AE19" s="3653"/>
      <c r="AF19" s="3653"/>
      <c r="AG19" s="3653"/>
      <c r="AH19" s="46" t="str">
        <f t="shared" ref="AH19:AH24" si="12">IF(AND(AA19=AH18,AC19="yes"),0,IF(AND(AC18=0,AC19="yes"),2,IF(AND(AC19=0,AC20="yes"),3,IF(AND(AC19=0,AC20=0,AC21="yes"),4,IF(AND(AC19=0,AC20=0,AC21=0,AC22="yes"),5,IF(AND(AC19=0,AC20=0,AC21=0,AC22=0,AC23="yes"),6,IF(AND(AC19=0,AC20=0,AC21=0,AC22=0,AC23=0,AC24="yes"),7,IF(AND(AC19=0,AC20=0,AC21=0,AC22=0,AC23=0,AC24=0,AC25="yes"),8,IF(AND(AC19=0,AC20=0,AC21=0,AC22=0,AC23=0,AC24=0,AC25=0,AC26="yes"),9,IF(AND(AC19=0,AC20=0,AC21=0,AC22=0,AC23=0,AC24=0,AC25=0,AC26=0,AC27="yes"),10,IF(AND(AC19=0,AC20=0,AC21=0,AC22=0,AC23=0,AC24=0,AC25=0,AC26=0,AC27=0,AC28="yes"),11,IF(AND(AC19=0,AC20=0,AC21=0,AC22=0,AC23=0,AC24=0,AC25=0,AC26=0,AC27=0,AC28=0,AC29="yes"),12,""))))))))))))</f>
        <v/>
      </c>
      <c r="AI19" s="46"/>
      <c r="AJ19" s="46">
        <f t="shared" si="11"/>
        <v>0</v>
      </c>
      <c r="AK19" s="3653"/>
      <c r="AL19" s="3653"/>
      <c r="AM19" s="3653"/>
      <c r="AN19" s="3653"/>
      <c r="AO19" s="3653"/>
      <c r="AP19" s="3653"/>
    </row>
    <row r="20" spans="1:42" hidden="1" x14ac:dyDescent="0.2">
      <c r="A20" s="3"/>
      <c r="B20" s="135"/>
      <c r="C20" s="129"/>
      <c r="D20" s="129"/>
      <c r="E20" s="122"/>
      <c r="F20" s="3"/>
      <c r="G20" s="3498"/>
      <c r="H20" s="3"/>
      <c r="I20" s="3499"/>
      <c r="J20" s="222"/>
      <c r="L20" s="177"/>
      <c r="N20" s="4555"/>
      <c r="O20" s="4555"/>
      <c r="P20" s="4555"/>
      <c r="R20" s="3444"/>
      <c r="S20" s="3432"/>
      <c r="T20" s="4555"/>
      <c r="U20" s="4555"/>
      <c r="V20" s="4555"/>
      <c r="AA20" s="3653"/>
      <c r="AB20" s="3653"/>
      <c r="AC20" s="3653"/>
      <c r="AD20" s="3653"/>
      <c r="AE20" s="3653"/>
      <c r="AF20" s="3653"/>
      <c r="AG20" s="3653"/>
      <c r="AH20" s="46" t="str">
        <f t="shared" si="12"/>
        <v/>
      </c>
      <c r="AI20" s="46"/>
      <c r="AJ20" s="46">
        <f t="shared" si="11"/>
        <v>0</v>
      </c>
      <c r="AK20" s="3653"/>
      <c r="AL20" s="3653"/>
      <c r="AM20" s="3653"/>
      <c r="AN20" s="3653"/>
      <c r="AO20" s="3653"/>
      <c r="AP20" s="3653"/>
    </row>
    <row r="21" spans="1:42" hidden="1" x14ac:dyDescent="0.2">
      <c r="A21" s="3"/>
      <c r="B21" s="135"/>
      <c r="C21" s="129"/>
      <c r="D21" s="129"/>
      <c r="E21" s="122"/>
      <c r="F21" s="3"/>
      <c r="G21" s="3498"/>
      <c r="H21" s="3"/>
      <c r="I21" s="3499"/>
      <c r="J21" s="222"/>
      <c r="L21" s="177"/>
      <c r="N21" s="4555"/>
      <c r="O21" s="4555"/>
      <c r="P21" s="4555"/>
      <c r="R21" s="3444"/>
      <c r="S21" s="3432"/>
      <c r="T21" s="4555"/>
      <c r="U21" s="4555"/>
      <c r="V21" s="4555"/>
      <c r="AA21" s="3653"/>
      <c r="AB21" s="3653"/>
      <c r="AC21" s="3653"/>
      <c r="AD21" s="3653"/>
      <c r="AE21" s="3653"/>
      <c r="AF21" s="3653"/>
      <c r="AG21" s="3653"/>
      <c r="AH21" s="46" t="str">
        <f t="shared" si="12"/>
        <v/>
      </c>
      <c r="AI21" s="46"/>
      <c r="AJ21" s="46">
        <f t="shared" si="11"/>
        <v>0</v>
      </c>
      <c r="AK21" s="3653"/>
      <c r="AL21" s="3653"/>
      <c r="AM21" s="3653"/>
      <c r="AN21" s="3653"/>
      <c r="AO21" s="3653"/>
      <c r="AP21" s="3653"/>
    </row>
    <row r="22" spans="1:42" hidden="1" x14ac:dyDescent="0.2">
      <c r="A22" s="3"/>
      <c r="B22" s="135"/>
      <c r="C22" s="129"/>
      <c r="D22" s="129"/>
      <c r="E22" s="122"/>
      <c r="F22" s="3"/>
      <c r="G22" s="3498"/>
      <c r="H22" s="3"/>
      <c r="I22" s="3499"/>
      <c r="J22" s="222"/>
      <c r="L22" s="177"/>
      <c r="N22" s="4555"/>
      <c r="O22" s="4555"/>
      <c r="P22" s="4555"/>
      <c r="R22" s="3444"/>
      <c r="S22" s="3432"/>
      <c r="T22" s="4555"/>
      <c r="U22" s="4555"/>
      <c r="V22" s="4555"/>
      <c r="AA22" s="3653"/>
      <c r="AB22" s="3653"/>
      <c r="AC22" s="3653"/>
      <c r="AD22" s="3653"/>
      <c r="AE22" s="3653"/>
      <c r="AF22" s="3653"/>
      <c r="AG22" s="3653"/>
      <c r="AH22" s="46" t="str">
        <f t="shared" si="12"/>
        <v/>
      </c>
      <c r="AI22" s="46"/>
      <c r="AJ22" s="46">
        <f t="shared" si="11"/>
        <v>0</v>
      </c>
      <c r="AK22" s="3653"/>
      <c r="AL22" s="3653"/>
      <c r="AM22" s="3653"/>
      <c r="AN22" s="3653"/>
      <c r="AO22" s="3653"/>
      <c r="AP22" s="3653"/>
    </row>
    <row r="23" spans="1:42" hidden="1" x14ac:dyDescent="0.2">
      <c r="A23" s="3"/>
      <c r="B23" s="135"/>
      <c r="C23" s="129"/>
      <c r="D23" s="129"/>
      <c r="E23" s="122"/>
      <c r="F23" s="3"/>
      <c r="G23" s="3498"/>
      <c r="H23" s="3"/>
      <c r="I23" s="3499"/>
      <c r="J23" s="222"/>
      <c r="L23" s="177"/>
      <c r="N23" s="4555"/>
      <c r="O23" s="4555"/>
      <c r="P23" s="4555"/>
      <c r="R23" s="3444"/>
      <c r="S23" s="3432"/>
      <c r="T23" s="4555"/>
      <c r="U23" s="4555"/>
      <c r="V23" s="4555"/>
      <c r="AA23" s="3653"/>
      <c r="AB23" s="3653"/>
      <c r="AC23" s="3653"/>
      <c r="AD23" s="3653"/>
      <c r="AE23" s="3653"/>
      <c r="AF23" s="3653"/>
      <c r="AG23" s="3653"/>
      <c r="AH23" s="46" t="str">
        <f t="shared" si="12"/>
        <v/>
      </c>
      <c r="AI23" s="46"/>
      <c r="AJ23" s="46">
        <f t="shared" si="11"/>
        <v>0</v>
      </c>
      <c r="AK23" s="3653"/>
      <c r="AL23" s="3653"/>
      <c r="AM23" s="3653"/>
      <c r="AN23" s="3653"/>
      <c r="AO23" s="3653"/>
      <c r="AP23" s="3653"/>
    </row>
    <row r="24" spans="1:42" hidden="1" x14ac:dyDescent="0.2">
      <c r="A24" s="3"/>
      <c r="B24" s="135"/>
      <c r="C24" s="129"/>
      <c r="D24" s="129"/>
      <c r="E24" s="122"/>
      <c r="F24" s="3"/>
      <c r="G24" s="3498"/>
      <c r="H24" s="3"/>
      <c r="I24" s="3499"/>
      <c r="J24" s="222"/>
      <c r="L24" s="177"/>
      <c r="N24" s="4555"/>
      <c r="O24" s="4555"/>
      <c r="P24" s="4555"/>
      <c r="R24" s="3444"/>
      <c r="S24" s="3432"/>
      <c r="T24" s="4555"/>
      <c r="U24" s="4555"/>
      <c r="V24" s="4555"/>
      <c r="AA24" s="3653"/>
      <c r="AB24" s="3653"/>
      <c r="AC24" s="3653"/>
      <c r="AD24" s="3653"/>
      <c r="AE24" s="3653"/>
      <c r="AF24" s="3653"/>
      <c r="AG24" s="3653"/>
      <c r="AH24" s="46" t="str">
        <f t="shared" si="12"/>
        <v/>
      </c>
      <c r="AI24" s="46"/>
      <c r="AJ24" s="46">
        <f t="shared" si="11"/>
        <v>0</v>
      </c>
      <c r="AK24" s="3653"/>
      <c r="AL24" s="3653"/>
      <c r="AM24" s="3653"/>
      <c r="AN24" s="3653"/>
      <c r="AO24" s="3653"/>
      <c r="AP24" s="3653"/>
    </row>
    <row r="25" spans="1:42" ht="12.75" customHeight="1" x14ac:dyDescent="0.2">
      <c r="A25" s="3"/>
      <c r="B25" s="457" t="s">
        <v>4468</v>
      </c>
      <c r="C25" s="199"/>
      <c r="D25" s="199"/>
      <c r="E25" s="3646" t="s">
        <v>5412</v>
      </c>
      <c r="F25" s="3"/>
      <c r="G25" s="1068"/>
      <c r="H25" s="3"/>
      <c r="I25" s="1069"/>
      <c r="J25" s="222"/>
      <c r="L25" s="177"/>
      <c r="N25" s="4555"/>
      <c r="O25" s="4555"/>
      <c r="P25" s="4555"/>
      <c r="R25" s="3444"/>
      <c r="S25" s="3432"/>
      <c r="T25" s="4555"/>
      <c r="U25" s="4555"/>
      <c r="V25" s="4555"/>
      <c r="AA25" s="3653"/>
      <c r="AB25" s="3653" t="s">
        <v>1025</v>
      </c>
      <c r="AC25" s="3653"/>
      <c r="AD25" s="3653"/>
      <c r="AE25" s="3653"/>
      <c r="AF25" s="3653"/>
      <c r="AG25" s="3653"/>
      <c r="AH25" s="46"/>
      <c r="AI25" s="46"/>
      <c r="AJ25" s="46"/>
      <c r="AK25" s="3653"/>
      <c r="AL25" s="3653"/>
      <c r="AM25" s="3653"/>
      <c r="AN25" s="3653"/>
      <c r="AO25" s="3653"/>
      <c r="AP25" s="3653"/>
    </row>
    <row r="26" spans="1:42" x14ac:dyDescent="0.2">
      <c r="A26" s="3"/>
      <c r="B26" s="135" t="str">
        <f>IF(AK26=0,"",AL26)</f>
        <v/>
      </c>
      <c r="C26" s="129"/>
      <c r="D26" s="129"/>
      <c r="E26" s="122" t="str">
        <f>IF(AK26=0,"",CONCATENATE("TRA17_",AK26))</f>
        <v/>
      </c>
      <c r="F26" s="544" t="str">
        <f>IF(AJ26=0,"",AM26)</f>
        <v/>
      </c>
      <c r="G26" s="544" t="str">
        <f>IF(AK26=0,"",AN26)</f>
        <v/>
      </c>
      <c r="H26" s="544" t="str">
        <f>IF(AK26=0,"",AO26)</f>
        <v/>
      </c>
      <c r="I26" s="544" t="str">
        <f>IF(AK26=0,"",AP26)</f>
        <v/>
      </c>
      <c r="J26" s="222"/>
      <c r="L26" s="177">
        <f>IF(E26&lt;&gt;"",1,0)</f>
      </c>
      <c r="N26" s="91">
        <f>'TRA112'!E475</f>
      </c>
      <c r="O26" s="91">
        <f>'TRA112'!F475</f>
      </c>
      <c r="P26" s="91">
        <f>'TRA112'!G475</f>
      </c>
      <c r="R26" s="3444"/>
      <c r="S26" s="3432"/>
      <c r="T26" s="3446">
        <f>'TRA113'!L92</f>
      </c>
      <c r="U26" s="3446">
        <f>'TRA113'!M92</f>
      </c>
      <c r="V26" s="3446">
        <f>'TRA113'!N92</f>
      </c>
      <c r="AA26" s="1591">
        <v>1</v>
      </c>
      <c r="AB26" s="1591">
        <f>'TRA17'!$F$7</f>
      </c>
      <c r="AC26" s="1591">
        <f t="shared" ref="AC26:AC37" si="13">IF(AB26="no",1,0)</f>
      </c>
      <c r="AD26" s="1591" t="str">
        <f t="shared" ref="AD26:AD37" si="14">CONCATENATE(AA26,",",AC26)</f>
      </c>
      <c r="AE26" s="3643">
        <f>'TRA17'!$E$20</f>
      </c>
      <c r="AF26" s="1591" t="str">
        <f>'TRA17'!$F$45</f>
        <v/>
      </c>
      <c r="AG26" s="1591" t="str">
        <f>'TRA17'!$G$45</f>
        <v/>
      </c>
      <c r="AH26" s="1591" t="str">
        <f>'TRA17'!$H$45</f>
        <v/>
      </c>
      <c r="AI26" s="1591" t="str">
        <f>'TRA17'!$I$45</f>
        <v/>
      </c>
      <c r="AJ26" s="46">
        <f>IF(ISERROR(MATCH("1,1",$AD$26:$AD$37,0))=FALSE,1,IF(ISERROR(MATCH("2,1",$AD$26:$AD$37,0))=FALSE,2,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6" s="3649">
        <f>IF($AJ$26&gt;0,AJ26,IF(ISERROR(INDEX($AJ$26:$AJ$37,MATCH(AJ26,$AJ$26:$AJ$37,0)+COUNTIF($AJ$26:$AJ$37,AJ26)))=TRUE,0,(INDEX($AJ$26:$AJ$37,MATCH(AJ26,$AJ$26:$AJ$37,0)+COUNTIF($AJ$26:$AJ$37,AJ26)))))</f>
      </c>
      <c r="AL26" s="1591" t="str">
        <f>IF(ISERROR(VLOOKUP(AK26,$AA$26:$AI$37,5,FALSE))=TRUE,"",(VLOOKUP(AK26,$AA$26:$AI$37,5,FALSE)))</f>
        <v/>
      </c>
      <c r="AM26" s="1591" t="str">
        <f>IF(ISERROR(VLOOKUP(AK26,$AA$26:$AI$37,6,FALSE))=TRUE,"",(VLOOKUP(AK26,$AA$26:$AI$37,6,FALSE)))</f>
        <v/>
      </c>
      <c r="AN26" s="1591" t="str">
        <f>IF(ISERROR(VLOOKUP(AK26,$AA$26:$AI$37,7,FALSE))=TRUE,"",(VLOOKUP(AK26,$AA$26:$AI$37,7,FALSE)))</f>
        <v/>
      </c>
      <c r="AO26" s="1591" t="str">
        <f>IF(ISERROR(VLOOKUP(AK26,$AA$26:$AI$37,8,FALSE))=TRUE,"",(VLOOKUP(AK26,$AA$26:$AI$37,8,FALSE)))</f>
        <v/>
      </c>
      <c r="AP26" s="1591" t="str">
        <f>IF(ISERROR(VLOOKUP(AK26,$AA$26:$AI$37,9,FALSE))=TRUE,"",(VLOOKUP(AK26,$AA$26:$AI$37,9,FALSE)))</f>
        <v/>
      </c>
    </row>
    <row r="27" spans="1:42" x14ac:dyDescent="0.2">
      <c r="A27" s="3"/>
      <c r="B27" s="135" t="str">
        <f t="shared" ref="B27:B37" si="15">IF(AK27=0,"",AL27)</f>
        <v/>
      </c>
      <c r="C27" s="129"/>
      <c r="D27" s="129"/>
      <c r="E27" s="122" t="str">
        <f t="shared" ref="E27:E37" si="16">IF(AK27=0,"",CONCATENATE("TRA17_",AK27))</f>
        <v/>
      </c>
      <c r="F27" s="544" t="str">
        <f t="shared" ref="F27:F37" si="17">IF(AJ27=0,"",AM27)</f>
        <v/>
      </c>
      <c r="G27" s="544" t="str">
        <f t="shared" ref="G27:G37" si="18">IF(AK27=0,"",AN27)</f>
        <v/>
      </c>
      <c r="H27" s="544" t="str">
        <f t="shared" ref="H27:H37" si="19">IF(AK27=0,"",AO27)</f>
        <v/>
      </c>
      <c r="I27" s="544" t="str">
        <f t="shared" ref="I27:I37" si="20">IF(AK27=0,"",AP27)</f>
        <v/>
      </c>
      <c r="J27" s="222"/>
      <c r="L27" s="177">
        <f>IF(E27&lt;&gt;"",1,0)</f>
      </c>
      <c r="R27" s="3444"/>
      <c r="S27" s="3432"/>
      <c r="T27" s="3432"/>
      <c r="U27" s="3432"/>
      <c r="V27" s="3432"/>
      <c r="W27" s="3432"/>
      <c r="AA27" s="1591">
        <v>2</v>
      </c>
      <c r="AB27" s="1591">
        <f>'TRA17'!$F$55</f>
      </c>
      <c r="AC27" s="1591">
        <f t="shared" si="13"/>
        <v>0</v>
      </c>
      <c r="AD27" s="1591" t="str">
        <f t="shared" si="14"/>
        <v>2,0</v>
      </c>
      <c r="AE27" s="3643">
        <f>'TRA17'!$E$68</f>
      </c>
      <c r="AF27" s="1591" t="str">
        <f>'TRA17'!$F$93</f>
        <v/>
      </c>
      <c r="AG27" s="1591" t="str">
        <f>'TRA17'!$G$93</f>
        <v/>
      </c>
      <c r="AH27" s="1591" t="str">
        <f>'TRA17'!$H$93</f>
        <v/>
      </c>
      <c r="AI27" s="1591" t="str">
        <f>'TRA17'!$I$93</f>
        <v/>
      </c>
      <c r="AJ27" s="46">
        <f>IF(ISERROR(MATCH("2,1",$AD$26:$AD$37,0))=FALSE,2,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7" s="3649">
        <f>IF(ISERROR(INDEX($AJ$26:$AJ$37,MATCH(AK26,$AJ$26:$AJ$37,0)+COUNTIF($AJ$26:$AJ$37,AK26)))=TRUE,0,(INDEX($AJ$26:$AJ$37,MATCH(AK26,$AJ$26:$AJ$37,0)+COUNTIF($AJ$26:$AJ$37,AK26))))</f>
      </c>
      <c r="AL27" s="1591" t="str">
        <f t="shared" ref="AL27:AL37" si="21">IF(ISERROR(VLOOKUP(AK27,$AA$26:$AI$37,5,FALSE))=TRUE,"",(VLOOKUP(AK27,$AA$26:$AI$37,5,FALSE)))</f>
        <v/>
      </c>
      <c r="AM27" s="1591" t="str">
        <f t="shared" ref="AM27:AM37" si="22">IF(ISERROR(VLOOKUP(AK27,$AA$26:$AI$37,6,FALSE))=TRUE,"",(VLOOKUP(AK27,$AA$26:$AI$37,6,FALSE)))</f>
        <v/>
      </c>
      <c r="AN27" s="1591" t="str">
        <f t="shared" ref="AN27:AN37" si="23">IF(ISERROR(VLOOKUP(AK27,$AA$26:$AI$37,7,FALSE))=TRUE,"",(VLOOKUP(AK27,$AA$26:$AI$37,7,FALSE)))</f>
        <v/>
      </c>
      <c r="AO27" s="1591" t="str">
        <f t="shared" ref="AO27:AO36" si="24">IF(ISERROR(VLOOKUP(AK27,$AA$26:$AI$37,8,FALSE))=TRUE,"",(VLOOKUP(AK27,$AA$26:$AI$37,8,FALSE)))</f>
        <v/>
      </c>
      <c r="AP27" s="1591" t="str">
        <f t="shared" ref="AP27:AP37" si="25">IF(ISERROR(VLOOKUP(AK27,$AA$26:$AI$37,9,FALSE))=TRUE,"",(VLOOKUP(AK27,$AA$26:$AI$37,9,FALSE)))</f>
        <v/>
      </c>
    </row>
    <row r="28" spans="1:42" x14ac:dyDescent="0.2">
      <c r="A28" s="3"/>
      <c r="B28" s="135" t="str">
        <f t="shared" si="15"/>
        <v/>
      </c>
      <c r="C28" s="129"/>
      <c r="D28" s="129"/>
      <c r="E28" s="122" t="str">
        <f t="shared" si="16"/>
        <v/>
      </c>
      <c r="F28" s="544" t="str">
        <f t="shared" si="17"/>
        <v/>
      </c>
      <c r="G28" s="544" t="str">
        <f t="shared" si="18"/>
        <v/>
      </c>
      <c r="H28" s="544" t="str">
        <f t="shared" si="19"/>
        <v/>
      </c>
      <c r="I28" s="544" t="str">
        <f t="shared" si="20"/>
        <v/>
      </c>
      <c r="J28" s="222"/>
      <c r="L28" s="177">
        <f>IF(E28&lt;&gt;"",1,0)</f>
      </c>
      <c r="R28" s="3444"/>
      <c r="S28" s="3432"/>
      <c r="AA28" s="1591">
        <v>3</v>
      </c>
      <c r="AB28" s="1591">
        <f>'TRA17'!$F$103</f>
      </c>
      <c r="AC28" s="1591">
        <f t="shared" si="13"/>
        <v>0</v>
      </c>
      <c r="AD28" s="1591" t="str">
        <f t="shared" si="14"/>
        <v>3,0</v>
      </c>
      <c r="AE28" s="3643">
        <f>'TRA17'!$E$116</f>
      </c>
      <c r="AF28" s="1591" t="str">
        <f>'TRA17'!$F$141</f>
        <v/>
      </c>
      <c r="AG28" s="1591" t="str">
        <f>'TRA17'!$G$141</f>
        <v/>
      </c>
      <c r="AH28" s="1591" t="str">
        <f>'TRA17'!$H$141</f>
        <v/>
      </c>
      <c r="AI28" s="1591" t="str">
        <f>'TRA17'!$I$141</f>
        <v/>
      </c>
      <c r="AJ28" s="46">
        <f>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8" s="3649">
        <f>IF(ISERROR(INDEX($AJ$26:$AJ$37,MATCH(AK27,$AJ$26:$AJ$37,0)+COUNTIF($AJ$26:$AJ$37,AK27)))=TRUE,0,(INDEX($AJ$26:$AJ$37,MATCH(AK27,$AJ$26:$AJ$37,0)+COUNTIF($AJ$26:$AJ$37,AK27))))</f>
      </c>
      <c r="AL28" s="1591" t="str">
        <f t="shared" si="21"/>
        <v/>
      </c>
      <c r="AM28" s="1591" t="str">
        <f t="shared" si="22"/>
        <v/>
      </c>
      <c r="AN28" s="1591" t="str">
        <f t="shared" si="23"/>
        <v/>
      </c>
      <c r="AO28" s="1591" t="str">
        <f t="shared" si="24"/>
        <v/>
      </c>
      <c r="AP28" s="1591" t="str">
        <f t="shared" si="25"/>
        <v/>
      </c>
    </row>
    <row r="29" spans="1:42" x14ac:dyDescent="0.2">
      <c r="A29" s="3"/>
      <c r="B29" s="135" t="str">
        <f t="shared" si="15"/>
        <v/>
      </c>
      <c r="C29" s="129"/>
      <c r="D29" s="129"/>
      <c r="E29" s="122" t="str">
        <f t="shared" si="16"/>
        <v/>
      </c>
      <c r="F29" s="544" t="str">
        <f t="shared" si="17"/>
        <v/>
      </c>
      <c r="G29" s="544" t="str">
        <f t="shared" si="18"/>
        <v/>
      </c>
      <c r="H29" s="544" t="str">
        <f t="shared" si="19"/>
        <v/>
      </c>
      <c r="I29" s="544" t="str">
        <f t="shared" si="20"/>
        <v/>
      </c>
      <c r="J29" s="222"/>
      <c r="L29" s="177">
        <f t="shared" ref="L29:L37" si="26">IF(E29&lt;&gt;"",1,0)</f>
      </c>
      <c r="M29" s="177"/>
      <c r="R29" s="3444"/>
      <c r="S29" s="3432"/>
      <c r="AA29" s="1591">
        <v>4</v>
      </c>
      <c r="AB29" s="1591">
        <f>'TRA17'!$F$151</f>
      </c>
      <c r="AC29" s="1591">
        <f t="shared" si="13"/>
        <v>0</v>
      </c>
      <c r="AD29" s="1591" t="str">
        <f t="shared" si="14"/>
        <v>4,0</v>
      </c>
      <c r="AE29" s="3643">
        <f>'TRA17'!$E$164</f>
      </c>
      <c r="AF29" s="1591" t="str">
        <f>'TRA17'!$F$189</f>
        <v/>
      </c>
      <c r="AG29" s="1591" t="str">
        <f>'TRA17'!$G$189</f>
        <v/>
      </c>
      <c r="AH29" s="1591" t="str">
        <f>'TRA17'!$H$189</f>
        <v/>
      </c>
      <c r="AI29" s="1591" t="str">
        <f>'TRA17'!$I$189</f>
        <v/>
      </c>
      <c r="AJ29" s="46">
        <f>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9" s="3649">
        <f>IF(ISERROR(INDEX($AJ$26:$AJ$37,MATCH(AK28,$AJ$26:$AJ$37,0)+COUNTIF($AJ$26:$AJ$37,AK28)))=TRUE,0,(INDEX($AJ$26:$AJ$37,MATCH(AK28,$AJ$26:$AJ$37,0)+COUNTIF($AJ$26:$AJ$37,AK28))))</f>
      </c>
      <c r="AL29" s="1591" t="str">
        <f t="shared" si="21"/>
        <v/>
      </c>
      <c r="AM29" s="1591" t="str">
        <f t="shared" si="22"/>
        <v/>
      </c>
      <c r="AN29" s="1591" t="str">
        <f t="shared" si="23"/>
        <v/>
      </c>
      <c r="AO29" s="1591" t="str">
        <f t="shared" si="24"/>
        <v/>
      </c>
      <c r="AP29" s="1591" t="str">
        <f t="shared" si="25"/>
        <v/>
      </c>
    </row>
    <row r="30" spans="1:42" x14ac:dyDescent="0.2">
      <c r="A30" s="3"/>
      <c r="B30" s="135" t="str">
        <f t="shared" si="15"/>
        <v/>
      </c>
      <c r="C30" s="129"/>
      <c r="D30" s="129"/>
      <c r="E30" s="122" t="str">
        <f t="shared" si="16"/>
        <v/>
      </c>
      <c r="F30" s="544" t="str">
        <f t="shared" si="17"/>
        <v/>
      </c>
      <c r="G30" s="544" t="str">
        <f t="shared" si="18"/>
        <v/>
      </c>
      <c r="H30" s="544" t="str">
        <f t="shared" si="19"/>
        <v/>
      </c>
      <c r="I30" s="544" t="str">
        <f t="shared" si="20"/>
        <v/>
      </c>
      <c r="J30" s="222"/>
      <c r="L30" s="177">
        <f t="shared" si="26"/>
        <v>0</v>
      </c>
      <c r="M30" s="177"/>
      <c r="R30" s="3444"/>
      <c r="S30" s="3432"/>
      <c r="AA30" s="1591">
        <v>5</v>
      </c>
      <c r="AB30" s="1591">
        <f>'TRA17'!$F$199</f>
      </c>
      <c r="AC30" s="1591">
        <f t="shared" si="13"/>
        <v>0</v>
      </c>
      <c r="AD30" s="1591" t="str">
        <f t="shared" si="14"/>
        <v>5,0</v>
      </c>
      <c r="AE30" s="3643">
        <f>'TRA17'!$E$212</f>
      </c>
      <c r="AF30" s="1591" t="str">
        <f>'TRA17'!$F$237</f>
        <v/>
      </c>
      <c r="AG30" s="1591" t="str">
        <f>'TRA17'!$G$237</f>
        <v/>
      </c>
      <c r="AH30" s="1591" t="str">
        <f>'TRA17'!$H$237</f>
        <v/>
      </c>
      <c r="AI30" s="1591" t="str">
        <f>'TRA17'!$I$237</f>
        <v/>
      </c>
      <c r="AJ30" s="46">
        <f>IF(ISERROR(MATCH("5,1",$AD$26:$AD$37,0))=FALSE,5,IF(ISERROR(MATCH("6,1",$AD$26:$AD$37,0))=FALSE,6,IF(ISERROR(MATCH("7,1",$AD$26:$AD$37,0))=FALSE,7,IF(ISERROR(MATCH("8,1",$AD$26:$AD$37,0))=FALSE,8,IF(ISERROR(MATCH("9,1",$AD$26:$AD$37,0))=FALSE,9,IF(ISERROR(MATCH("10,1",$AD$26:$AD$37,0))=FALSE,10,IF(ISERROR(MATCH("11,1",$AD$26:$AD$37,0))=FALSE,11,IF(ISERROR(MATCH("12,1",$AD$26:$AD$37,0))=FALSE,12,0))))))))</f>
      </c>
      <c r="AK30" s="3649">
        <f t="shared" ref="AK30:AK36" si="27">IF(ISERROR(INDEX($AJ$26:$AJ$37,MATCH(AK29,$AJ$26:$AJ$37,0)+COUNTIF($AJ$26:$AJ$37,AK29)))=TRUE,0,(INDEX($AJ$26:$AJ$37,MATCH(AK29,$AJ$26:$AJ$37,0)+COUNTIF($AJ$26:$AJ$37,AK29))))</f>
      </c>
      <c r="AL30" s="1591" t="str">
        <f t="shared" si="21"/>
        <v/>
      </c>
      <c r="AM30" s="1591" t="str">
        <f t="shared" si="22"/>
        <v/>
      </c>
      <c r="AN30" s="1591" t="str">
        <f t="shared" si="23"/>
        <v/>
      </c>
      <c r="AO30" s="1591" t="str">
        <f t="shared" si="24"/>
        <v/>
      </c>
      <c r="AP30" s="1591" t="str">
        <f t="shared" si="25"/>
        <v/>
      </c>
    </row>
    <row r="31" spans="1:42" x14ac:dyDescent="0.2">
      <c r="A31" s="3"/>
      <c r="B31" s="135" t="str">
        <f t="shared" si="15"/>
        <v/>
      </c>
      <c r="C31" s="129"/>
      <c r="D31" s="129"/>
      <c r="E31" s="122" t="str">
        <f t="shared" si="16"/>
        <v/>
      </c>
      <c r="F31" s="544" t="str">
        <f t="shared" si="17"/>
        <v/>
      </c>
      <c r="G31" s="544" t="str">
        <f t="shared" si="18"/>
        <v/>
      </c>
      <c r="H31" s="544" t="str">
        <f t="shared" si="19"/>
        <v/>
      </c>
      <c r="I31" s="544" t="str">
        <f t="shared" si="20"/>
        <v/>
      </c>
      <c r="J31" s="222"/>
      <c r="L31" s="177">
        <f t="shared" si="26"/>
        <v>0</v>
      </c>
      <c r="M31" s="177"/>
      <c r="R31" s="3444"/>
      <c r="S31" s="3432"/>
      <c r="AA31" s="1591">
        <v>6</v>
      </c>
      <c r="AB31" s="1591">
        <f>'TRA17'!$F$247</f>
      </c>
      <c r="AC31" s="1591">
        <f t="shared" si="13"/>
        <v>0</v>
      </c>
      <c r="AD31" s="1591" t="str">
        <f t="shared" si="14"/>
        <v>6,0</v>
      </c>
      <c r="AE31" s="3643">
        <f>'TRA17'!$E$260</f>
      </c>
      <c r="AF31" s="1591" t="str">
        <f>'TRA17'!$F$285</f>
        <v/>
      </c>
      <c r="AG31" s="1591" t="str">
        <f>'TRA17'!$G$285</f>
        <v/>
      </c>
      <c r="AH31" s="1591" t="str">
        <f>'TRA17'!$H$285</f>
        <v/>
      </c>
      <c r="AI31" s="1591" t="str">
        <f>'TRA17'!$I$285</f>
        <v/>
      </c>
      <c r="AJ31" s="46">
        <f>IF(ISERROR(MATCH("6,1",$AD$26:$AD$37,0))=FALSE,6,IF(ISERROR(MATCH("7,1",$AD$26:$AD$37,0))=FALSE,7,IF(ISERROR(MATCH("8,1",$AD$26:$AD$37,0))=FALSE,8,IF(ISERROR(MATCH("9,1",$AD$26:$AD$37,0))=FALSE,9,IF(ISERROR(MATCH("10,1",$AD$26:$AD$37,0))=FALSE,10,IF(ISERROR(MATCH("11,1",$AD$26:$AD$37,0))=FALSE,11,IF(ISERROR(MATCH("12,1",$AD$26:$AD$37,0))=FALSE,12,0)))))))</f>
      </c>
      <c r="AK31" s="3649">
        <f t="shared" si="27"/>
        <v>0</v>
      </c>
      <c r="AL31" s="1591" t="str">
        <f t="shared" si="21"/>
        <v/>
      </c>
      <c r="AM31" s="1591" t="str">
        <f t="shared" si="22"/>
        <v/>
      </c>
      <c r="AN31" s="1591" t="str">
        <f t="shared" si="23"/>
        <v/>
      </c>
      <c r="AO31" s="1591" t="str">
        <f t="shared" si="24"/>
        <v/>
      </c>
      <c r="AP31" s="1591" t="str">
        <f t="shared" si="25"/>
        <v/>
      </c>
    </row>
    <row r="32" spans="1:42" x14ac:dyDescent="0.2">
      <c r="A32" s="3"/>
      <c r="B32" s="135" t="str">
        <f t="shared" si="15"/>
        <v/>
      </c>
      <c r="C32" s="129"/>
      <c r="D32" s="129"/>
      <c r="E32" s="122" t="str">
        <f t="shared" si="16"/>
        <v/>
      </c>
      <c r="F32" s="544" t="str">
        <f t="shared" si="17"/>
        <v/>
      </c>
      <c r="G32" s="544" t="str">
        <f t="shared" si="18"/>
        <v/>
      </c>
      <c r="H32" s="544" t="str">
        <f t="shared" si="19"/>
        <v/>
      </c>
      <c r="I32" s="544" t="str">
        <f t="shared" si="20"/>
        <v/>
      </c>
      <c r="J32" s="222"/>
      <c r="L32" s="177">
        <f t="shared" si="26"/>
        <v>0</v>
      </c>
      <c r="M32" s="177"/>
      <c r="R32" s="3444"/>
      <c r="S32" s="3432"/>
      <c r="AA32" s="1591">
        <v>7</v>
      </c>
      <c r="AB32" s="1591">
        <f>'TRA17'!$F$295</f>
      </c>
      <c r="AC32" s="1591">
        <f t="shared" si="13"/>
        <v>0</v>
      </c>
      <c r="AD32" s="1591" t="str">
        <f t="shared" si="14"/>
        <v>7,0</v>
      </c>
      <c r="AE32" s="3643">
        <f>'TRA17'!$E$308</f>
      </c>
      <c r="AF32" s="1591" t="str">
        <f>'TRA17'!$F$333</f>
        <v/>
      </c>
      <c r="AG32" s="1591" t="str">
        <f>'TRA17'!$G$333</f>
        <v/>
      </c>
      <c r="AH32" s="1591" t="str">
        <f>'TRA17'!$H$333</f>
        <v/>
      </c>
      <c r="AI32" s="1591" t="str">
        <f>'TRA17'!$I$333</f>
        <v/>
      </c>
      <c r="AJ32" s="46">
        <f>IF(ISERROR(MATCH("7,1",$AD$26:$AD$37,0))=FALSE,7,IF(ISERROR(MATCH("8,1",$AD$26:$AD$37,0))=FALSE,8,IF(ISERROR(MATCH("9,1",$AD$26:$AD$37,0))=FALSE,9,IF(ISERROR(MATCH("10,1",$AD$26:$AD$37,0))=FALSE,10,IF(ISERROR(MATCH("11,1",$AD$26:$AD$37,0))=FALSE,11,IF(ISERROR(MATCH("12,1",$AD$26:$AD$37,0))=FALSE,12,0))))))</f>
      </c>
      <c r="AK32" s="3649">
        <f t="shared" si="27"/>
        <v>0</v>
      </c>
      <c r="AL32" s="1591" t="str">
        <f t="shared" si="21"/>
        <v/>
      </c>
      <c r="AM32" s="1591" t="str">
        <f t="shared" si="22"/>
        <v/>
      </c>
      <c r="AN32" s="1591" t="str">
        <f t="shared" si="23"/>
        <v/>
      </c>
      <c r="AO32" s="1591" t="str">
        <f t="shared" si="24"/>
        <v/>
      </c>
      <c r="AP32" s="1591" t="str">
        <f t="shared" si="25"/>
        <v/>
      </c>
    </row>
    <row r="33" spans="1:42" x14ac:dyDescent="0.2">
      <c r="A33" s="3"/>
      <c r="B33" s="135" t="str">
        <f t="shared" si="15"/>
        <v/>
      </c>
      <c r="C33" s="129"/>
      <c r="D33" s="129"/>
      <c r="E33" s="122" t="str">
        <f t="shared" si="16"/>
        <v/>
      </c>
      <c r="F33" s="544" t="str">
        <f t="shared" si="17"/>
        <v/>
      </c>
      <c r="G33" s="544" t="str">
        <f t="shared" si="18"/>
        <v/>
      </c>
      <c r="H33" s="544" t="str">
        <f t="shared" si="19"/>
        <v/>
      </c>
      <c r="I33" s="544" t="str">
        <f t="shared" si="20"/>
        <v/>
      </c>
      <c r="J33" s="222"/>
      <c r="L33" s="177">
        <f t="shared" si="26"/>
        <v>0</v>
      </c>
      <c r="M33" s="177"/>
      <c r="R33" s="3444"/>
      <c r="S33" s="3432"/>
      <c r="AA33" s="1591">
        <v>8</v>
      </c>
      <c r="AB33" s="1591">
        <f>'TRA17'!$F$343</f>
      </c>
      <c r="AC33" s="1591">
        <f t="shared" si="13"/>
        <v>0</v>
      </c>
      <c r="AD33" s="1591" t="str">
        <f t="shared" si="14"/>
        <v>8,0</v>
      </c>
      <c r="AE33" s="3643">
        <f>'TRA17'!$E$356</f>
      </c>
      <c r="AF33" s="1591" t="str">
        <f>'TRA17'!$F$381</f>
        <v/>
      </c>
      <c r="AG33" s="1591" t="str">
        <f>'TRA17'!$G$381</f>
        <v/>
      </c>
      <c r="AH33" s="1591" t="str">
        <f>'TRA17'!$H$381</f>
        <v/>
      </c>
      <c r="AI33" s="1591" t="str">
        <f>'TRA17'!$I$381</f>
        <v/>
      </c>
      <c r="AJ33" s="46">
        <f>IF(ISERROR(MATCH("8,1",$AD$26:$AD$37,0))=FALSE,8,IF(ISERROR(MATCH("9,1",$AD$26:$AD$37,0))=FALSE,9,IF(ISERROR(MATCH("10,1",$AD$26:$AD$37,0))=FALSE,10,IF(ISERROR(MATCH("11,1",$AD$26:$AD$37,0))=FALSE,11,IF(ISERROR(MATCH("12,1",$AD$26:$AD$37,0))=FALSE,12,0)))))</f>
      </c>
      <c r="AK33" s="3649">
        <f t="shared" si="27"/>
        <v>0</v>
      </c>
      <c r="AL33" s="1591" t="str">
        <f t="shared" si="21"/>
        <v/>
      </c>
      <c r="AM33" s="1591" t="str">
        <f t="shared" si="22"/>
        <v/>
      </c>
      <c r="AN33" s="1591" t="str">
        <f t="shared" si="23"/>
        <v/>
      </c>
      <c r="AO33" s="1591" t="str">
        <f t="shared" si="24"/>
        <v/>
      </c>
      <c r="AP33" s="1591" t="str">
        <f t="shared" si="25"/>
        <v/>
      </c>
    </row>
    <row r="34" spans="1:42" x14ac:dyDescent="0.2">
      <c r="A34" s="3"/>
      <c r="B34" s="135" t="str">
        <f t="shared" si="15"/>
        <v/>
      </c>
      <c r="C34" s="129"/>
      <c r="D34" s="129"/>
      <c r="E34" s="122" t="str">
        <f t="shared" si="16"/>
        <v/>
      </c>
      <c r="F34" s="544" t="str">
        <f t="shared" si="17"/>
        <v/>
      </c>
      <c r="G34" s="544" t="str">
        <f t="shared" si="18"/>
        <v/>
      </c>
      <c r="H34" s="544" t="str">
        <f t="shared" si="19"/>
        <v/>
      </c>
      <c r="I34" s="544" t="str">
        <f t="shared" si="20"/>
        <v/>
      </c>
      <c r="J34" s="222"/>
      <c r="L34" s="177">
        <f t="shared" si="26"/>
        <v>0</v>
      </c>
      <c r="M34" s="177"/>
      <c r="R34" s="3444"/>
      <c r="S34" s="3432"/>
      <c r="AA34" s="1591">
        <v>9</v>
      </c>
      <c r="AB34" s="1591">
        <f>'TRA17'!$F$391</f>
      </c>
      <c r="AC34" s="1591">
        <f t="shared" si="13"/>
        <v>0</v>
      </c>
      <c r="AD34" s="1591" t="str">
        <f t="shared" si="14"/>
        <v>9,0</v>
      </c>
      <c r="AE34" s="3643">
        <f>'TRA17'!$E$404</f>
      </c>
      <c r="AF34" s="1591" t="str">
        <f>'TRA17'!$F$429</f>
        <v/>
      </c>
      <c r="AG34" s="1591" t="str">
        <f>'TRA17'!$G$429</f>
        <v/>
      </c>
      <c r="AH34" s="1591" t="str">
        <f>'TRA17'!$H$429</f>
        <v/>
      </c>
      <c r="AI34" s="1591" t="str">
        <f>'TRA17'!$I$429</f>
        <v/>
      </c>
      <c r="AJ34" s="46">
        <f>IF(ISERROR(MATCH("9,1",$AD$26:$AD$37,0))=FALSE,9,IF(ISERROR(MATCH("10,1",$AD$26:$AD$37,0))=FALSE,10,IF(ISERROR(MATCH("11,1",$AD$26:$AD$37,0))=FALSE,11,IF(ISERROR(MATCH("12,1",$AD$26:$AD$37,0))=FALSE,12,0))))</f>
      </c>
      <c r="AK34" s="3649">
        <f t="shared" si="27"/>
        <v>0</v>
      </c>
      <c r="AL34" s="1591" t="str">
        <f t="shared" si="21"/>
        <v/>
      </c>
      <c r="AM34" s="1591" t="str">
        <f t="shared" si="22"/>
        <v/>
      </c>
      <c r="AN34" s="1591" t="str">
        <f t="shared" si="23"/>
        <v/>
      </c>
      <c r="AO34" s="1591" t="str">
        <f t="shared" si="24"/>
        <v/>
      </c>
      <c r="AP34" s="1591" t="str">
        <f t="shared" si="25"/>
        <v/>
      </c>
    </row>
    <row r="35" spans="1:42" x14ac:dyDescent="0.2">
      <c r="A35" s="3"/>
      <c r="B35" s="135" t="str">
        <f t="shared" si="15"/>
        <v/>
      </c>
      <c r="C35" s="129"/>
      <c r="D35" s="129"/>
      <c r="E35" s="122" t="str">
        <f t="shared" si="16"/>
        <v/>
      </c>
      <c r="F35" s="544" t="str">
        <f t="shared" si="17"/>
        <v/>
      </c>
      <c r="G35" s="544" t="str">
        <f t="shared" si="18"/>
        <v/>
      </c>
      <c r="H35" s="544" t="str">
        <f t="shared" si="19"/>
        <v/>
      </c>
      <c r="I35" s="544" t="str">
        <f t="shared" si="20"/>
        <v/>
      </c>
      <c r="J35" s="222"/>
      <c r="L35" s="177">
        <f t="shared" si="26"/>
        <v>0</v>
      </c>
      <c r="M35" s="177"/>
      <c r="R35" s="3444"/>
      <c r="S35" s="3432"/>
      <c r="AA35" s="1591">
        <v>10</v>
      </c>
      <c r="AB35" s="1591">
        <f>'TRA17'!$F$439</f>
      </c>
      <c r="AC35" s="1591">
        <f t="shared" si="13"/>
        <v>0</v>
      </c>
      <c r="AD35" s="1591" t="str">
        <f t="shared" si="14"/>
        <v>10,0</v>
      </c>
      <c r="AE35" s="3643">
        <f>'TRA17'!$E$452</f>
      </c>
      <c r="AF35" s="1591" t="str">
        <f>'TRA17'!$F$477</f>
        <v/>
      </c>
      <c r="AG35" s="1591" t="str">
        <f>'TRA17'!$G$477</f>
        <v/>
      </c>
      <c r="AH35" s="1591" t="str">
        <f>'TRA17'!$H$477</f>
        <v/>
      </c>
      <c r="AI35" s="1591" t="str">
        <f>'TRA17'!$I$477</f>
        <v/>
      </c>
      <c r="AJ35" s="46">
        <f>IF(ISERROR(MATCH("10,1",$AD$26:$AD$37,0))=FALSE,10,IF(ISERROR(MATCH("11,1",$AD$26:$AD$37,0))=FALSE,11,IF(ISERROR(MATCH("12,1",$AD$26:$AD$37,0))=FALSE,12,0)))</f>
      </c>
      <c r="AK35" s="3649">
        <f t="shared" si="27"/>
        <v>0</v>
      </c>
      <c r="AL35" s="1591" t="str">
        <f t="shared" si="21"/>
        <v/>
      </c>
      <c r="AM35" s="1591" t="str">
        <f t="shared" si="22"/>
        <v/>
      </c>
      <c r="AN35" s="1591" t="str">
        <f t="shared" si="23"/>
        <v/>
      </c>
      <c r="AO35" s="1591" t="str">
        <f t="shared" si="24"/>
        <v/>
      </c>
      <c r="AP35" s="1591" t="str">
        <f t="shared" si="25"/>
        <v/>
      </c>
    </row>
    <row r="36" spans="1:42" x14ac:dyDescent="0.2">
      <c r="A36" s="3"/>
      <c r="B36" s="135" t="str">
        <f t="shared" si="15"/>
        <v/>
      </c>
      <c r="C36" s="129"/>
      <c r="D36" s="129"/>
      <c r="E36" s="122" t="str">
        <f t="shared" si="16"/>
        <v/>
      </c>
      <c r="F36" s="544" t="str">
        <f t="shared" si="17"/>
        <v/>
      </c>
      <c r="G36" s="544" t="str">
        <f t="shared" si="18"/>
        <v/>
      </c>
      <c r="H36" s="544" t="str">
        <f t="shared" si="19"/>
        <v/>
      </c>
      <c r="I36" s="544" t="str">
        <f t="shared" si="20"/>
        <v/>
      </c>
      <c r="J36" s="222"/>
      <c r="L36" s="177">
        <f t="shared" si="26"/>
        <v>0</v>
      </c>
      <c r="M36" s="177"/>
      <c r="R36" s="3444"/>
      <c r="S36" s="3432"/>
      <c r="AA36" s="3642">
        <v>11</v>
      </c>
      <c r="AB36" s="1591">
        <f>'TRA17'!$F$487</f>
      </c>
      <c r="AC36" s="1591">
        <f t="shared" si="13"/>
        <v>0</v>
      </c>
      <c r="AD36" s="1591" t="str">
        <f t="shared" si="14"/>
        <v>11,0</v>
      </c>
      <c r="AE36" s="3643">
        <f>'TRA17'!$E$500</f>
      </c>
      <c r="AF36" s="1591" t="str">
        <f>'TRA17'!$F$525</f>
        <v/>
      </c>
      <c r="AG36" s="1591" t="str">
        <f>'TRA17'!$G$525</f>
        <v/>
      </c>
      <c r="AH36" s="1591" t="str">
        <f>'TRA17'!$H$525</f>
        <v/>
      </c>
      <c r="AI36" s="1591" t="str">
        <f>'TRA17'!$I$525</f>
        <v/>
      </c>
      <c r="AJ36" s="46">
        <f>IF(ISERROR(MATCH("11,1",$AD$26:$AD$37,0))=FALSE,11,IF(ISERROR(MATCH("12,1",$AD$26:$AD$37,0))=FALSE,12,0))</f>
      </c>
      <c r="AK36" s="3649">
        <f t="shared" si="27"/>
        <v>0</v>
      </c>
      <c r="AL36" s="1591" t="str">
        <f t="shared" si="21"/>
        <v/>
      </c>
      <c r="AM36" s="1591" t="str">
        <f t="shared" si="22"/>
        <v/>
      </c>
      <c r="AN36" s="1591" t="str">
        <f t="shared" si="23"/>
        <v/>
      </c>
      <c r="AO36" s="1591" t="str">
        <f t="shared" si="24"/>
        <v/>
      </c>
      <c r="AP36" s="1591" t="str">
        <f t="shared" si="25"/>
        <v/>
      </c>
    </row>
    <row r="37" spans="1:42" x14ac:dyDescent="0.2">
      <c r="A37" s="3"/>
      <c r="B37" s="135" t="str">
        <f t="shared" si="15"/>
        <v/>
      </c>
      <c r="C37" s="129"/>
      <c r="D37" s="129"/>
      <c r="E37" s="122" t="str">
        <f t="shared" si="16"/>
        <v/>
      </c>
      <c r="F37" s="544" t="str">
        <f t="shared" si="17"/>
        <v/>
      </c>
      <c r="G37" s="544" t="str">
        <f t="shared" si="18"/>
        <v/>
      </c>
      <c r="H37" s="544" t="str">
        <f t="shared" si="19"/>
        <v/>
      </c>
      <c r="I37" s="544" t="str">
        <f t="shared" si="20"/>
        <v/>
      </c>
      <c r="J37" s="222"/>
      <c r="L37" s="177">
        <f t="shared" si="26"/>
        <v>0</v>
      </c>
      <c r="M37" s="177">
        <f>SUM(L6:L37)</f>
      </c>
      <c r="R37" s="3444"/>
      <c r="S37" s="3432"/>
      <c r="AA37" s="3642">
        <v>12</v>
      </c>
      <c r="AB37" s="1591">
        <f>'TRA17'!$F$535</f>
      </c>
      <c r="AC37" s="1591">
        <f t="shared" si="13"/>
        <v>0</v>
      </c>
      <c r="AD37" s="1591" t="str">
        <f t="shared" si="14"/>
        <v>12,0</v>
      </c>
      <c r="AE37" s="3643">
        <f>'TRA17'!$E$548</f>
      </c>
      <c r="AF37" s="1591" t="str">
        <f>'TRA17'!$F$573</f>
        <v/>
      </c>
      <c r="AG37" s="1591" t="str">
        <f>'TRA17'!$G$573</f>
        <v/>
      </c>
      <c r="AH37" s="1591" t="str">
        <f>'TRA17'!$H$573</f>
        <v/>
      </c>
      <c r="AI37" s="1591" t="str">
        <f>'TRA17'!$I$573</f>
        <v/>
      </c>
      <c r="AJ37" s="46">
        <f>IF(ISERROR(MATCH("12,1",$AD$26:$AD$37,0))=FALSE,12,0)</f>
      </c>
      <c r="AK37" s="3649">
        <f>IF(ISERROR(INDEX($AJ$26:$AJ$37,MATCH(AJ37,$AJ$26:$AJ$37,0)+COUNTIF($AJ$26:$AJ$37,AJ37)))=TRUE,0,(INDEX($AJ$26:$AJ$37,MATCH(AJ37,$AJ$26:$AJ$37,0)+COUNTIF($AJ$26:$AJ$37,AJ37))))</f>
      </c>
      <c r="AL37" s="1591" t="str">
        <f t="shared" si="21"/>
        <v/>
      </c>
      <c r="AM37" s="1591" t="str">
        <f t="shared" si="22"/>
        <v/>
      </c>
      <c r="AN37" s="1591" t="str">
        <f t="shared" si="23"/>
        <v/>
      </c>
      <c r="AO37" s="1591" t="str">
        <f>IF(ISERROR(VLOOKUP(AK37,$AA$26:$AI$37,8,FALSE))=TRUE,"",(VLOOKUP(AK37,$AA$26:$AI$37,8,FALSE)))</f>
        <v/>
      </c>
      <c r="AP37" s="1591" t="str">
        <f t="shared" si="25"/>
        <v/>
      </c>
    </row>
    <row r="38" spans="1:42" hidden="1" x14ac:dyDescent="0.2">
      <c r="A38" s="3"/>
      <c r="B38" s="135"/>
      <c r="C38" s="129"/>
      <c r="D38" s="129"/>
      <c r="E38" s="1063"/>
      <c r="F38" s="3501"/>
      <c r="G38" s="3502"/>
      <c r="H38" s="3503"/>
      <c r="I38" s="3504"/>
      <c r="J38" s="222"/>
      <c r="L38" s="177"/>
      <c r="M38" s="177"/>
      <c r="R38" s="3444"/>
      <c r="S38" s="3432"/>
    </row>
    <row r="39" spans="1:42" hidden="1" x14ac:dyDescent="0.2">
      <c r="A39" s="3"/>
      <c r="B39" s="135"/>
      <c r="C39" s="129"/>
      <c r="D39" s="129"/>
      <c r="E39" s="1063"/>
      <c r="F39" s="3501"/>
      <c r="G39" s="3502"/>
      <c r="H39" s="3503"/>
      <c r="I39" s="3504"/>
      <c r="J39" s="222"/>
      <c r="L39" s="177"/>
      <c r="M39" s="177"/>
      <c r="R39" s="3444"/>
      <c r="S39" s="3432"/>
    </row>
    <row r="40" spans="1:42" hidden="1" x14ac:dyDescent="0.2">
      <c r="A40" s="3"/>
      <c r="B40" s="135"/>
      <c r="C40" s="129"/>
      <c r="D40" s="129"/>
      <c r="E40" s="1063"/>
      <c r="F40" s="3501"/>
      <c r="G40" s="3502"/>
      <c r="H40" s="3503"/>
      <c r="I40" s="3504"/>
      <c r="J40" s="222"/>
      <c r="L40" s="177"/>
      <c r="M40" s="177"/>
      <c r="R40" s="3444"/>
      <c r="S40" s="3432"/>
    </row>
    <row r="41" spans="1:42" hidden="1" x14ac:dyDescent="0.2">
      <c r="A41" s="3"/>
      <c r="B41" s="135"/>
      <c r="C41" s="129"/>
      <c r="D41" s="129"/>
      <c r="E41" s="1063"/>
      <c r="F41" s="3501"/>
      <c r="G41" s="3502"/>
      <c r="H41" s="3503"/>
      <c r="I41" s="3504"/>
      <c r="J41" s="222"/>
      <c r="L41" s="177"/>
      <c r="M41" s="177"/>
      <c r="R41" s="3444"/>
      <c r="S41" s="3432"/>
    </row>
    <row r="42" spans="1:42" x14ac:dyDescent="0.2">
      <c r="A42" s="3"/>
      <c r="B42" s="1314" t="s">
        <v>4138</v>
      </c>
      <c r="C42" s="129"/>
      <c r="D42" s="129"/>
      <c r="E42" s="1063"/>
      <c r="F42" s="1080"/>
      <c r="G42" s="1067"/>
      <c r="H42" s="1066"/>
      <c r="I42" s="966"/>
      <c r="J42" s="222"/>
      <c r="L42" s="177"/>
      <c r="M42" s="177"/>
    </row>
    <row r="43" spans="1:42" x14ac:dyDescent="0.2">
      <c r="A43" s="3"/>
      <c r="B43" s="1097" t="s">
        <v>3663</v>
      </c>
      <c r="C43" s="1070"/>
      <c r="D43" s="1070"/>
      <c r="E43" s="1070"/>
      <c r="F43" s="1071"/>
      <c r="G43" s="1072"/>
      <c r="H43" s="1072"/>
      <c r="I43" s="1073"/>
      <c r="J43" s="222"/>
    </row>
    <row r="44" spans="1:42" ht="24" x14ac:dyDescent="0.2">
      <c r="A44" s="3"/>
      <c r="B44" s="314" t="s">
        <v>3556</v>
      </c>
      <c r="C44" s="560"/>
      <c r="D44" s="400" t="s">
        <v>960</v>
      </c>
      <c r="E44" s="3645" t="s">
        <v>3664</v>
      </c>
      <c r="F44" s="947"/>
      <c r="G44" s="1061" t="s">
        <v>5806</v>
      </c>
      <c r="H44" s="258" t="s">
        <v>363</v>
      </c>
      <c r="I44" s="258" t="s">
        <v>2372</v>
      </c>
      <c r="J44" s="222"/>
    </row>
    <row r="45" spans="1:42" x14ac:dyDescent="0.2">
      <c r="A45" s="3"/>
      <c r="B45" s="924" t="s">
        <v>145</v>
      </c>
      <c r="C45" s="3374"/>
      <c r="D45" s="365"/>
      <c r="E45" s="521"/>
      <c r="F45" s="1081"/>
      <c r="G45" s="1064"/>
      <c r="H45" s="561"/>
      <c r="I45" s="561"/>
      <c r="J45" s="222" t="str">
        <f>IF(AND(L45&gt;0,P45=0),"Deemed Transfer Value!",IF(AND(P45&gt;0,L45=0),"Tax Account!",IF(R45&lt;&gt;Q45,ck,"")))</f>
        <v/>
      </c>
      <c r="K45" s="28">
        <f>IF(J45&lt;&gt;"",1,0)</f>
      </c>
      <c r="L45" s="28">
        <f>COUNT(G45:I45)</f>
      </c>
      <c r="N45" s="28">
        <f>COUNT(G45:I45)</f>
      </c>
      <c r="P45" s="32">
        <f>D45</f>
      </c>
      <c r="Q45" s="84">
        <f>SUM(G45:I45)</f>
      </c>
      <c r="R45" s="32">
        <f>D45-E45</f>
      </c>
    </row>
    <row r="46" spans="1:42" x14ac:dyDescent="0.2">
      <c r="A46" s="3"/>
      <c r="B46" s="4317"/>
      <c r="C46" s="4319"/>
      <c r="D46" s="365"/>
      <c r="E46" s="521"/>
      <c r="F46" s="1081"/>
      <c r="G46" s="1064"/>
      <c r="H46" s="561"/>
      <c r="I46" s="561"/>
      <c r="J46" s="222" t="str">
        <f t="shared" ref="J46:J60" si="28">IF(AND(L46=0,SUM(M68:O68)&gt;0),re,IF(L46=0,"",IF(L46&lt;4,"All Details!",IF(N46&gt;1,"Multiple Tax Accounts!",""))))</f>
        <v/>
      </c>
      <c r="K46" s="28">
        <f>IF(J46&lt;&gt;"",1,0)</f>
      </c>
      <c r="L46" s="28">
        <f>COUNTA(B46:I46)</f>
      </c>
      <c r="N46" s="28">
        <f>COUNT(G46:I46)</f>
      </c>
    </row>
    <row r="47" spans="1:42" x14ac:dyDescent="0.2">
      <c r="A47" s="3"/>
      <c r="B47" s="4317"/>
      <c r="C47" s="4319"/>
      <c r="D47" s="526"/>
      <c r="E47" s="526"/>
      <c r="F47" s="56"/>
      <c r="G47" s="561"/>
      <c r="H47" s="561"/>
      <c r="I47" s="561"/>
      <c r="J47" s="222" t="str">
        <f t="shared" si="28"/>
        <v/>
      </c>
      <c r="K47" s="28">
        <f t="shared" ref="K47:K60" si="29">IF(J47&lt;&gt;"",1,0)</f>
      </c>
      <c r="L47" s="28">
        <f t="shared" ref="L47:L60" si="30">COUNTA(B47:I47)</f>
      </c>
      <c r="N47" s="28">
        <f t="shared" ref="N47:N60" si="31">COUNT(G47:I47)</f>
      </c>
    </row>
    <row r="48" spans="1:42" x14ac:dyDescent="0.2">
      <c r="A48" s="3"/>
      <c r="B48" s="4317"/>
      <c r="C48" s="4319"/>
      <c r="D48" s="526"/>
      <c r="E48" s="526"/>
      <c r="F48" s="56"/>
      <c r="G48" s="561"/>
      <c r="H48" s="561"/>
      <c r="I48" s="561"/>
      <c r="J48" s="222" t="str">
        <f t="shared" si="28"/>
        <v/>
      </c>
      <c r="K48" s="28">
        <f t="shared" si="29"/>
        <v>0</v>
      </c>
      <c r="L48" s="28">
        <f t="shared" si="30"/>
        <v>0</v>
      </c>
      <c r="N48" s="28">
        <f t="shared" si="31"/>
        <v>0</v>
      </c>
    </row>
    <row r="49" spans="1:14" x14ac:dyDescent="0.2">
      <c r="A49" s="3"/>
      <c r="B49" s="4317"/>
      <c r="C49" s="4319"/>
      <c r="D49" s="526"/>
      <c r="E49" s="526"/>
      <c r="F49" s="56"/>
      <c r="G49" s="561"/>
      <c r="H49" s="561"/>
      <c r="I49" s="561"/>
      <c r="J49" s="222" t="str">
        <f t="shared" si="28"/>
        <v/>
      </c>
      <c r="K49" s="28">
        <f t="shared" si="29"/>
        <v>0</v>
      </c>
      <c r="L49" s="28">
        <f t="shared" si="30"/>
        <v>0</v>
      </c>
      <c r="N49" s="28">
        <f t="shared" si="31"/>
        <v>0</v>
      </c>
    </row>
    <row r="50" spans="1:14" x14ac:dyDescent="0.2">
      <c r="A50" s="3"/>
      <c r="B50" s="4317"/>
      <c r="C50" s="4319"/>
      <c r="D50" s="526"/>
      <c r="E50" s="526"/>
      <c r="F50" s="56"/>
      <c r="G50" s="561"/>
      <c r="H50" s="561"/>
      <c r="I50" s="561"/>
      <c r="J50" s="222" t="str">
        <f t="shared" si="28"/>
        <v/>
      </c>
      <c r="K50" s="28">
        <f t="shared" si="29"/>
        <v>0</v>
      </c>
      <c r="L50" s="28">
        <f t="shared" si="30"/>
        <v>0</v>
      </c>
      <c r="N50" s="28">
        <f t="shared" si="31"/>
        <v>0</v>
      </c>
    </row>
    <row r="51" spans="1:14" x14ac:dyDescent="0.2">
      <c r="A51" s="3"/>
      <c r="B51" s="4317"/>
      <c r="C51" s="4319"/>
      <c r="D51" s="526"/>
      <c r="E51" s="526"/>
      <c r="F51" s="56"/>
      <c r="G51" s="561"/>
      <c r="H51" s="561"/>
      <c r="I51" s="561"/>
      <c r="J51" s="222" t="str">
        <f t="shared" si="28"/>
        <v/>
      </c>
      <c r="K51" s="28">
        <f t="shared" si="29"/>
        <v>0</v>
      </c>
      <c r="L51" s="28">
        <f t="shared" si="30"/>
        <v>0</v>
      </c>
      <c r="N51" s="28">
        <f t="shared" si="31"/>
        <v>0</v>
      </c>
    </row>
    <row r="52" spans="1:14" x14ac:dyDescent="0.2">
      <c r="A52" s="3"/>
      <c r="B52" s="4317"/>
      <c r="C52" s="4319"/>
      <c r="D52" s="526"/>
      <c r="E52" s="526"/>
      <c r="F52" s="56"/>
      <c r="G52" s="561"/>
      <c r="H52" s="561"/>
      <c r="I52" s="561"/>
      <c r="J52" s="222" t="str">
        <f t="shared" si="28"/>
        <v/>
      </c>
      <c r="K52" s="28">
        <f t="shared" si="29"/>
        <v>0</v>
      </c>
      <c r="L52" s="28">
        <f t="shared" si="30"/>
        <v>0</v>
      </c>
      <c r="N52" s="28">
        <f t="shared" si="31"/>
        <v>0</v>
      </c>
    </row>
    <row r="53" spans="1:14" x14ac:dyDescent="0.2">
      <c r="A53" s="3"/>
      <c r="B53" s="4317"/>
      <c r="C53" s="4319"/>
      <c r="D53" s="526"/>
      <c r="E53" s="526"/>
      <c r="F53" s="56"/>
      <c r="G53" s="561"/>
      <c r="H53" s="561"/>
      <c r="I53" s="561"/>
      <c r="J53" s="222" t="str">
        <f t="shared" si="28"/>
        <v/>
      </c>
      <c r="K53" s="28">
        <f t="shared" si="29"/>
        <v>0</v>
      </c>
      <c r="L53" s="28">
        <f t="shared" si="30"/>
        <v>0</v>
      </c>
      <c r="N53" s="28">
        <f t="shared" si="31"/>
        <v>0</v>
      </c>
    </row>
    <row r="54" spans="1:14" x14ac:dyDescent="0.2">
      <c r="A54" s="3"/>
      <c r="B54" s="4317"/>
      <c r="C54" s="4319"/>
      <c r="D54" s="526"/>
      <c r="E54" s="526"/>
      <c r="F54" s="56"/>
      <c r="G54" s="561"/>
      <c r="H54" s="561"/>
      <c r="I54" s="561"/>
      <c r="J54" s="222" t="str">
        <f t="shared" si="28"/>
        <v/>
      </c>
      <c r="K54" s="28">
        <f t="shared" si="29"/>
        <v>0</v>
      </c>
      <c r="L54" s="28">
        <f t="shared" si="30"/>
        <v>0</v>
      </c>
      <c r="N54" s="28">
        <f t="shared" si="31"/>
        <v>0</v>
      </c>
    </row>
    <row r="55" spans="1:14" x14ac:dyDescent="0.2">
      <c r="A55" s="3"/>
      <c r="B55" s="4317"/>
      <c r="C55" s="4319"/>
      <c r="D55" s="526"/>
      <c r="E55" s="526"/>
      <c r="F55" s="56"/>
      <c r="G55" s="561"/>
      <c r="H55" s="561"/>
      <c r="I55" s="561"/>
      <c r="J55" s="222" t="str">
        <f t="shared" si="28"/>
        <v/>
      </c>
      <c r="K55" s="28">
        <f t="shared" si="29"/>
        <v>0</v>
      </c>
      <c r="L55" s="28">
        <f t="shared" si="30"/>
        <v>0</v>
      </c>
      <c r="N55" s="28">
        <f t="shared" si="31"/>
        <v>0</v>
      </c>
    </row>
    <row r="56" spans="1:14" x14ac:dyDescent="0.2">
      <c r="A56" s="3"/>
      <c r="B56" s="4317"/>
      <c r="C56" s="4319"/>
      <c r="D56" s="526"/>
      <c r="E56" s="526"/>
      <c r="F56" s="56"/>
      <c r="G56" s="561"/>
      <c r="H56" s="561"/>
      <c r="I56" s="561"/>
      <c r="J56" s="222" t="str">
        <f t="shared" si="28"/>
        <v/>
      </c>
      <c r="K56" s="28">
        <f t="shared" si="29"/>
        <v>0</v>
      </c>
      <c r="L56" s="28">
        <f t="shared" si="30"/>
        <v>0</v>
      </c>
      <c r="N56" s="28">
        <f t="shared" si="31"/>
        <v>0</v>
      </c>
    </row>
    <row r="57" spans="1:14" x14ac:dyDescent="0.2">
      <c r="A57" s="3"/>
      <c r="B57" s="4317"/>
      <c r="C57" s="4319"/>
      <c r="D57" s="526"/>
      <c r="E57" s="526"/>
      <c r="F57" s="56"/>
      <c r="G57" s="561"/>
      <c r="H57" s="561"/>
      <c r="I57" s="561"/>
      <c r="J57" s="222" t="str">
        <f t="shared" si="28"/>
        <v/>
      </c>
      <c r="K57" s="28">
        <f t="shared" si="29"/>
        <v>0</v>
      </c>
      <c r="L57" s="28">
        <f t="shared" si="30"/>
        <v>0</v>
      </c>
      <c r="N57" s="28">
        <f t="shared" si="31"/>
        <v>0</v>
      </c>
    </row>
    <row r="58" spans="1:14" x14ac:dyDescent="0.2">
      <c r="A58" s="3"/>
      <c r="B58" s="4317"/>
      <c r="C58" s="4319"/>
      <c r="D58" s="526"/>
      <c r="E58" s="526"/>
      <c r="F58" s="56"/>
      <c r="G58" s="561"/>
      <c r="H58" s="561"/>
      <c r="I58" s="561"/>
      <c r="J58" s="222" t="str">
        <f t="shared" si="28"/>
        <v/>
      </c>
      <c r="K58" s="28">
        <f t="shared" si="29"/>
        <v>0</v>
      </c>
      <c r="L58" s="28">
        <f t="shared" si="30"/>
        <v>0</v>
      </c>
      <c r="N58" s="28">
        <f t="shared" si="31"/>
        <v>0</v>
      </c>
    </row>
    <row r="59" spans="1:14" x14ac:dyDescent="0.2">
      <c r="A59" s="3"/>
      <c r="B59" s="4317"/>
      <c r="C59" s="4319"/>
      <c r="D59" s="526"/>
      <c r="E59" s="526"/>
      <c r="F59" s="56"/>
      <c r="G59" s="561"/>
      <c r="H59" s="561"/>
      <c r="I59" s="561"/>
      <c r="J59" s="222" t="str">
        <f t="shared" si="28"/>
        <v/>
      </c>
      <c r="K59" s="28">
        <f t="shared" si="29"/>
        <v>0</v>
      </c>
      <c r="L59" s="28">
        <f t="shared" si="30"/>
        <v>0</v>
      </c>
      <c r="N59" s="28">
        <f t="shared" si="31"/>
        <v>0</v>
      </c>
    </row>
    <row r="60" spans="1:14" x14ac:dyDescent="0.2">
      <c r="A60" s="3"/>
      <c r="B60" s="4317"/>
      <c r="C60" s="4319"/>
      <c r="D60" s="526"/>
      <c r="E60" s="526"/>
      <c r="F60" s="56"/>
      <c r="G60" s="561"/>
      <c r="H60" s="561"/>
      <c r="I60" s="561"/>
      <c r="J60" s="222" t="str">
        <f t="shared" si="28"/>
        <v/>
      </c>
      <c r="K60" s="28">
        <f t="shared" si="29"/>
        <v>0</v>
      </c>
      <c r="L60" s="28">
        <f t="shared" si="30"/>
        <v>0</v>
      </c>
      <c r="N60" s="28">
        <f t="shared" si="31"/>
        <v>0</v>
      </c>
    </row>
    <row r="61" spans="1:14" hidden="1" x14ac:dyDescent="0.2">
      <c r="A61" s="3"/>
      <c r="B61" s="4639"/>
      <c r="C61" s="4640"/>
      <c r="D61" s="3656"/>
      <c r="E61" s="3656"/>
      <c r="F61" s="56"/>
      <c r="G61" s="3655"/>
      <c r="H61" s="3655"/>
      <c r="I61" s="3655"/>
      <c r="J61" s="222"/>
    </row>
    <row r="62" spans="1:14" hidden="1" x14ac:dyDescent="0.2">
      <c r="A62" s="3"/>
      <c r="B62" s="4639"/>
      <c r="C62" s="4640"/>
      <c r="D62" s="3656"/>
      <c r="E62" s="3656"/>
      <c r="F62" s="56"/>
      <c r="G62" s="3655"/>
      <c r="H62" s="3655"/>
      <c r="I62" s="3655"/>
      <c r="J62" s="222"/>
    </row>
    <row r="63" spans="1:14" hidden="1" x14ac:dyDescent="0.2">
      <c r="A63" s="3"/>
      <c r="B63" s="4639"/>
      <c r="C63" s="4640"/>
      <c r="D63" s="3656"/>
      <c r="E63" s="3656"/>
      <c r="F63" s="56"/>
      <c r="G63" s="3655"/>
      <c r="H63" s="3655"/>
      <c r="I63" s="3655"/>
      <c r="J63" s="222"/>
    </row>
    <row r="64" spans="1:14" hidden="1" x14ac:dyDescent="0.2">
      <c r="A64" s="3"/>
      <c r="B64" s="4639"/>
      <c r="C64" s="4640"/>
      <c r="D64" s="3656"/>
      <c r="E64" s="3656"/>
      <c r="F64" s="56"/>
      <c r="G64" s="3655"/>
      <c r="H64" s="3655"/>
      <c r="I64" s="3655"/>
      <c r="J64" s="222"/>
    </row>
    <row r="65" spans="1:31" hidden="1" x14ac:dyDescent="0.2">
      <c r="A65" s="3"/>
      <c r="B65" s="4639"/>
      <c r="C65" s="4640"/>
      <c r="D65" s="3656"/>
      <c r="E65" s="3656"/>
      <c r="F65" s="56"/>
      <c r="G65" s="3655"/>
      <c r="H65" s="3655"/>
      <c r="I65" s="3655"/>
      <c r="J65" s="222"/>
    </row>
    <row r="66" spans="1:31" hidden="1" x14ac:dyDescent="0.2">
      <c r="A66" s="3"/>
      <c r="B66" s="4639"/>
      <c r="C66" s="4640"/>
      <c r="D66" s="3656"/>
      <c r="E66" s="3654"/>
      <c r="F66" s="56"/>
      <c r="G66" s="3655"/>
      <c r="H66" s="3655"/>
      <c r="I66" s="3655"/>
      <c r="J66" s="222"/>
    </row>
    <row r="67" spans="1:31" x14ac:dyDescent="0.2">
      <c r="A67" s="3"/>
      <c r="B67" s="4629" t="s">
        <v>10060</v>
      </c>
      <c r="C67" s="4629"/>
      <c r="D67" s="4629"/>
      <c r="E67" s="4629"/>
      <c r="F67" s="3760" t="s">
        <v>10059</v>
      </c>
      <c r="G67" s="544">
        <f>'TRA116'!I80</f>
      </c>
      <c r="H67" s="544">
        <f>'TRA116'!J80</f>
      </c>
      <c r="I67" s="544">
        <f>'TRA116'!K80</f>
      </c>
      <c r="J67" s="222"/>
      <c r="M67" s="177">
        <f>SUM(L45:L67)</f>
      </c>
      <c r="N67" s="28">
        <f>COUNT(G67:I67)</f>
      </c>
      <c r="P67" s="1760" t="s">
        <v>10241</v>
      </c>
      <c r="Q67" s="84">
        <f>SUM(G67:I67)</f>
      </c>
    </row>
    <row r="68" spans="1:31" x14ac:dyDescent="0.2">
      <c r="A68" s="3"/>
      <c r="B68" s="3119" t="s">
        <v>9351</v>
      </c>
      <c r="C68" s="3464"/>
      <c r="D68" s="3464"/>
      <c r="E68" s="3465"/>
      <c r="F68" s="3463" t="s">
        <v>9234</v>
      </c>
      <c r="G68" s="544">
        <f>T26*-1</f>
      </c>
      <c r="H68" s="544">
        <f>U26*-1</f>
      </c>
      <c r="I68" s="544">
        <f>V26*-1</f>
      </c>
      <c r="J68" s="222"/>
      <c r="L68" s="1760" t="s">
        <v>9352</v>
      </c>
      <c r="M68" s="28">
        <f>IF(G68=0,0,1)</f>
      </c>
      <c r="N68" s="28">
        <f>IF(H68=0,0,1)</f>
      </c>
      <c r="O68" s="28">
        <f>IF(I68=0,0,1)</f>
      </c>
      <c r="P68" s="32"/>
      <c r="Q68" s="84"/>
      <c r="R68" s="32"/>
    </row>
    <row r="69" spans="1:31" x14ac:dyDescent="0.2">
      <c r="A69" s="3"/>
      <c r="B69" s="3462" t="s">
        <v>1881</v>
      </c>
      <c r="C69" s="1065"/>
      <c r="D69" s="1065"/>
      <c r="E69" s="1065"/>
      <c r="F69" s="1065"/>
      <c r="G69" s="333"/>
      <c r="H69" s="333"/>
      <c r="I69" s="510"/>
      <c r="J69" s="222"/>
      <c r="L69" s="1760"/>
    </row>
    <row r="70" spans="1:31" ht="12.75" customHeight="1" x14ac:dyDescent="0.2">
      <c r="A70" s="3"/>
      <c r="B70" s="411" t="s">
        <v>3596</v>
      </c>
      <c r="C70" s="33"/>
      <c r="D70" s="33"/>
      <c r="E70" s="33"/>
      <c r="F70" s="544">
        <f>SUM(F26:F42)</f>
      </c>
      <c r="G70" s="544">
        <f>IF(SUM(G6:G17,G26:G37,G45:G68)=0,0,SUM(G6:G17,G26:G37,G45:G68))</f>
      </c>
      <c r="H70" s="544">
        <f>IF(SUM(H6:H17,H26:H37,H45:H68)=0,0,SUM(H6:H17,H26:H37,H45:H68))</f>
      </c>
      <c r="I70" s="544">
        <f>IF(SUM(I6:I17,I26:I37,I45:I68)=0,0,SUM(I6:I17,I26:I37,I45:I68,I69))</f>
      </c>
      <c r="J70" s="222"/>
      <c r="P70" s="30">
        <f>SUM(Q70:T70)</f>
      </c>
      <c r="Q70" s="28">
        <f>IF(G70&lt;0,1,0)</f>
      </c>
      <c r="R70" s="28">
        <f>IF(H70&lt;0,1,0)</f>
      </c>
      <c r="S70" s="28">
        <f>IF(I70&lt;0,1,0)</f>
      </c>
      <c r="T70" s="28">
        <v>0</v>
      </c>
      <c r="V70" s="28">
        <f>COUNT(G70:I70)</f>
      </c>
      <c r="AB70" s="28">
        <f>IF(G86&lt;0,1,0)</f>
      </c>
      <c r="AC70" s="28">
        <f>IF(H86&lt;0,1,0)</f>
      </c>
      <c r="AD70" s="28">
        <f>IF(I86&lt;0,1,0)</f>
      </c>
      <c r="AE70" s="28">
        <v>0</v>
      </c>
    </row>
    <row r="71" spans="1:31" ht="12.75" customHeight="1" x14ac:dyDescent="0.2">
      <c r="A71" s="3"/>
      <c r="B71" s="3"/>
      <c r="C71" s="3"/>
      <c r="D71" s="3"/>
      <c r="E71" s="3"/>
      <c r="F71" s="3"/>
      <c r="G71" s="3"/>
      <c r="H71" s="3"/>
      <c r="I71" s="3"/>
      <c r="J71" s="222"/>
      <c r="P71" s="30"/>
    </row>
    <row r="72" spans="1:31" x14ac:dyDescent="0.2">
      <c r="A72" s="3"/>
      <c r="B72" s="3119" t="s">
        <v>9250</v>
      </c>
      <c r="C72" s="33"/>
      <c r="D72" s="33"/>
      <c r="E72" s="33"/>
      <c r="F72" s="350"/>
      <c r="G72" s="405">
        <f>N26</f>
      </c>
      <c r="H72" s="405">
        <f>O26</f>
      </c>
      <c r="I72" s="405">
        <f>P26</f>
      </c>
      <c r="J72" s="3369" t="s">
        <v>9206</v>
      </c>
      <c r="L72" s="3460"/>
      <c r="M72" s="28">
        <f>IF(G72&lt;=0,0,1)</f>
      </c>
      <c r="N72" s="28">
        <f>IF(H72&lt;=0,0,1)</f>
      </c>
      <c r="O72" s="28">
        <f>IF(I72&lt;=0,0,1)</f>
      </c>
      <c r="P72" s="32"/>
      <c r="Q72" s="32"/>
      <c r="R72" s="44"/>
    </row>
    <row r="73" spans="1:31" x14ac:dyDescent="0.2">
      <c r="A73" s="3"/>
      <c r="B73" s="3119" t="s">
        <v>9356</v>
      </c>
      <c r="C73" s="33"/>
      <c r="D73" s="33"/>
      <c r="E73" s="33"/>
      <c r="F73" s="350"/>
      <c r="G73" s="544">
        <f>G70+G72</f>
      </c>
      <c r="H73" s="544">
        <f>H70+H72</f>
      </c>
      <c r="I73" s="544">
        <f>I70+I72</f>
      </c>
      <c r="J73" s="3"/>
      <c r="L73" s="32"/>
      <c r="P73" s="32"/>
      <c r="Q73" s="32"/>
      <c r="R73" s="44"/>
    </row>
    <row r="74" spans="1:31" ht="12.75" customHeight="1" x14ac:dyDescent="0.2">
      <c r="A74" s="3"/>
      <c r="B74" s="3"/>
      <c r="C74" s="3"/>
      <c r="D74" s="3"/>
      <c r="E74" s="3"/>
      <c r="F74" s="3"/>
      <c r="G74" s="3"/>
      <c r="H74" s="3"/>
      <c r="I74" s="3"/>
      <c r="J74" s="222"/>
      <c r="P74" s="30"/>
    </row>
    <row r="75" spans="1:31" ht="12.75" hidden="1" customHeight="1" x14ac:dyDescent="0.2">
      <c r="A75" s="3"/>
      <c r="B75" s="3"/>
      <c r="C75" s="3"/>
      <c r="D75" s="3"/>
      <c r="E75" s="3"/>
      <c r="F75" s="3"/>
      <c r="G75" s="3"/>
      <c r="H75" s="3"/>
      <c r="I75" s="3"/>
      <c r="J75" s="222"/>
      <c r="P75" s="30"/>
    </row>
    <row r="76" spans="1:31" ht="12.75" hidden="1" customHeight="1" x14ac:dyDescent="0.2">
      <c r="A76" s="3"/>
      <c r="B76" s="3"/>
      <c r="C76" s="3"/>
      <c r="D76" s="3"/>
      <c r="E76" s="3"/>
      <c r="F76" s="3"/>
      <c r="G76" s="3"/>
      <c r="H76" s="3"/>
      <c r="I76" s="3"/>
      <c r="J76" s="222"/>
      <c r="P76" s="30"/>
    </row>
    <row r="77" spans="1:31" ht="12.75" hidden="1" customHeight="1" x14ac:dyDescent="0.2">
      <c r="A77" s="3"/>
      <c r="B77" s="3"/>
      <c r="C77" s="3"/>
      <c r="D77" s="3"/>
      <c r="E77" s="3"/>
      <c r="F77" s="3"/>
      <c r="G77" s="3"/>
      <c r="H77" s="3"/>
      <c r="I77" s="3"/>
      <c r="J77" s="222"/>
      <c r="P77" s="30"/>
    </row>
    <row r="78" spans="1:31" ht="12.75" hidden="1" customHeight="1" x14ac:dyDescent="0.2">
      <c r="A78" s="3"/>
      <c r="B78" s="3"/>
      <c r="C78" s="3"/>
      <c r="D78" s="3"/>
      <c r="E78" s="3"/>
      <c r="F78" s="3"/>
      <c r="G78" s="3"/>
      <c r="H78" s="3"/>
      <c r="I78" s="3"/>
      <c r="J78" s="222"/>
      <c r="P78" s="30"/>
    </row>
    <row r="79" spans="1:31" ht="12.75" hidden="1" customHeight="1" x14ac:dyDescent="0.2">
      <c r="A79" s="3"/>
      <c r="B79" s="3"/>
      <c r="C79" s="3"/>
      <c r="D79" s="3"/>
      <c r="E79" s="3"/>
      <c r="F79" s="3"/>
      <c r="G79" s="3"/>
      <c r="H79" s="3"/>
      <c r="I79" s="3"/>
      <c r="J79" s="222"/>
      <c r="P79" s="30"/>
    </row>
    <row r="80" spans="1:31" ht="12.75" hidden="1" customHeight="1" x14ac:dyDescent="0.2">
      <c r="A80" s="3"/>
      <c r="B80" s="3"/>
      <c r="C80" s="3"/>
      <c r="D80" s="3"/>
      <c r="E80" s="3"/>
      <c r="F80" s="3"/>
      <c r="G80" s="3"/>
      <c r="H80" s="3"/>
      <c r="I80" s="3"/>
      <c r="J80" s="222"/>
      <c r="P80" s="30"/>
    </row>
    <row r="81" spans="1:49" ht="12.75" hidden="1" customHeight="1" x14ac:dyDescent="0.2">
      <c r="A81" s="3"/>
      <c r="B81" s="3"/>
      <c r="C81" s="3"/>
      <c r="D81" s="3"/>
      <c r="E81" s="3"/>
      <c r="F81" s="3"/>
      <c r="G81" s="3"/>
      <c r="H81" s="3"/>
      <c r="I81" s="3"/>
      <c r="J81" s="222"/>
      <c r="P81" s="30"/>
    </row>
    <row r="82" spans="1:49" ht="12.75" hidden="1" customHeight="1" x14ac:dyDescent="0.2">
      <c r="A82" s="3"/>
      <c r="B82" s="3"/>
      <c r="C82" s="3"/>
      <c r="D82" s="3"/>
      <c r="E82" s="3"/>
      <c r="F82" s="3"/>
      <c r="G82" s="3"/>
      <c r="H82" s="3"/>
      <c r="I82" s="3"/>
      <c r="J82" s="222"/>
      <c r="Q82" s="28">
        <f>IF(Q70=1,G70,0)</f>
      </c>
      <c r="R82" s="28">
        <f>IF(R70=1,H70,0)</f>
      </c>
      <c r="S82" s="28">
        <f>IF(S70=1,I70,0)</f>
      </c>
      <c r="T82" s="28">
        <v>0</v>
      </c>
      <c r="U82" s="28">
        <f>SUM(Q82:T82)</f>
      </c>
      <c r="AB82" s="28">
        <f>IF(AB70=1,G86,0)</f>
      </c>
      <c r="AC82" s="28">
        <f>IF(AC70=1,H86,0)</f>
      </c>
      <c r="AD82" s="28">
        <f>IF(AD70=1,I86,0)</f>
      </c>
      <c r="AE82" s="28">
        <v>0</v>
      </c>
      <c r="AF82" s="28">
        <f>SUM(AB82:AE82)</f>
      </c>
    </row>
    <row r="83" spans="1:49" hidden="1" x14ac:dyDescent="0.2">
      <c r="A83" s="3"/>
      <c r="B83" s="1306" t="str">
        <f>EUR</f>
        <v/>
      </c>
      <c r="C83" s="3"/>
      <c r="D83" s="3"/>
      <c r="E83" s="3"/>
      <c r="F83" s="3"/>
      <c r="G83" s="3"/>
      <c r="H83" s="3"/>
      <c r="I83" s="3"/>
      <c r="J83" s="222"/>
      <c r="L83" s="84"/>
      <c r="Q83" s="28">
        <f>IF(G70="",0,IF(Q70=0,G70,0))</f>
      </c>
      <c r="R83" s="28">
        <f>IF(H70="",0,IF(R70=0,H70,0))</f>
      </c>
      <c r="S83" s="28">
        <f>IF(I70="",0,IF(S70=0,I70,0))</f>
      </c>
      <c r="T83" s="28">
        <v>0</v>
      </c>
      <c r="U83" s="28">
        <f>SUM(Q83:T83)</f>
      </c>
      <c r="V83" s="28">
        <f>U82+U83</f>
      </c>
      <c r="AB83" s="28">
        <f>IF(AB70=0,G86,0)</f>
      </c>
      <c r="AC83" s="28">
        <f>IF(AC70=0,H86,0)</f>
      </c>
      <c r="AD83" s="28">
        <f>IF(AD70=0,I86,0)</f>
      </c>
      <c r="AE83" s="28">
        <v>0</v>
      </c>
      <c r="AF83" s="28">
        <f>SUM(AB83:AE83)</f>
      </c>
      <c r="AG83" s="28">
        <f>AF82+AF83</f>
      </c>
    </row>
    <row r="84" spans="1:49" x14ac:dyDescent="0.2">
      <c r="A84" s="3"/>
      <c r="B84" s="457" t="s">
        <v>6644</v>
      </c>
      <c r="C84" s="199"/>
      <c r="D84" s="199"/>
      <c r="E84" s="199"/>
      <c r="F84" s="1098">
        <f>IF(F70+F42&lt;0,0,F70+F42)</f>
      </c>
      <c r="G84" s="1098">
        <f>G73</f>
      </c>
      <c r="H84" s="1098">
        <f>H73</f>
      </c>
      <c r="I84" s="1098">
        <f>I73</f>
      </c>
      <c r="J84" s="222"/>
      <c r="M84" s="84">
        <f>SUM(G84:I84)</f>
      </c>
      <c r="Q84" s="28">
        <f>IF(G70="",0,IF(Q70=1,G70,0))</f>
      </c>
      <c r="R84" s="28">
        <f>IF(H70="",0,IF(R70=1,H70,0))</f>
      </c>
      <c r="S84" s="28">
        <f>IF(I70="",0,IF(S70=1,I70,0))</f>
      </c>
      <c r="T84" s="28">
        <v>0</v>
      </c>
      <c r="AB84" s="28">
        <f>IF(AB70=1,G86,0)</f>
      </c>
      <c r="AC84" s="28">
        <f>IF(AC70=1,H86,0)</f>
      </c>
      <c r="AD84" s="28">
        <f>IF(AD70=1,I86,0)</f>
      </c>
      <c r="AE84" s="28">
        <v>0</v>
      </c>
    </row>
    <row r="85" spans="1:49" x14ac:dyDescent="0.2">
      <c r="A85" s="61"/>
      <c r="B85" s="533" t="s">
        <v>476</v>
      </c>
      <c r="C85" s="128"/>
      <c r="D85" s="128"/>
      <c r="E85" s="174"/>
      <c r="F85" s="1260"/>
      <c r="G85" s="561"/>
      <c r="H85" s="561"/>
      <c r="I85" s="561"/>
      <c r="J85" s="222" t="str">
        <f>IF(M84=0,"",IF(L85&lt;&gt;3,reo,""))</f>
        <v/>
      </c>
      <c r="K85" s="28">
        <f>IF(J85&lt;&gt;"",1,0)</f>
      </c>
      <c r="L85" s="28">
        <f>COUNT(G85:I85)</f>
      </c>
      <c r="M85" s="299">
        <f>SUM(G70:I70)</f>
      </c>
      <c r="N85" s="30">
        <f>COUNT(G85:I85,G87:I87)</f>
      </c>
      <c r="Q85" s="28">
        <f>IF(Q70=1,0,IF(Q83&gt;V85*-1,V85,Q83*-1))</f>
      </c>
      <c r="R85" s="28">
        <f>IF(R70=1,0,IF(R83&gt;W85*-1,W85,R83*-1))</f>
      </c>
      <c r="S85" s="28">
        <f>IF(S70=1,0,IF(S83&gt;X85*-1,X85,S83*-1))</f>
      </c>
      <c r="T85" s="28">
        <f>IF(T70=1,0,IF(T83&gt;Y85*-1,Y85,T83*-1))</f>
      </c>
      <c r="V85" s="28">
        <f>U82</f>
      </c>
      <c r="W85" s="28">
        <f t="shared" ref="W85:Y86" si="32">V85-Q85</f>
      </c>
      <c r="X85" s="28">
        <f t="shared" si="32"/>
        <v>0</v>
      </c>
      <c r="Y85" s="28">
        <f t="shared" si="32"/>
        <v>0</v>
      </c>
      <c r="AB85" s="28">
        <f>IF(AB70=1,0,IF(AB83&gt;AG85*-1,AG85,AB83*-1))</f>
      </c>
      <c r="AC85" s="28">
        <f>IF(AC70=1,0,IF(AC83&gt;AH85*-1,AH85,AC83*-1))</f>
      </c>
      <c r="AD85" s="28">
        <f>IF(AD70=1,0,IF(AD83&gt;AI85*-1,AI85,AD83*-1))</f>
      </c>
      <c r="AE85" s="28">
        <v>0</v>
      </c>
      <c r="AG85" s="28">
        <f>AF82</f>
      </c>
      <c r="AH85" s="28">
        <f t="shared" ref="AH85:AJ86" si="33">AG85-AB85</f>
      </c>
      <c r="AI85" s="28">
        <f t="shared" si="33"/>
        <v>0</v>
      </c>
      <c r="AJ85" s="28">
        <f t="shared" si="33"/>
        <v>0</v>
      </c>
      <c r="AL85" s="84">
        <f>SUM(AM85:AO85)</f>
      </c>
      <c r="AM85" s="84">
        <f>G86</f>
      </c>
      <c r="AN85" s="84">
        <f>H86</f>
      </c>
      <c r="AO85" s="84">
        <f>I86</f>
      </c>
      <c r="AP85" s="28">
        <f>SUM(AQ85:AS85)</f>
      </c>
      <c r="AQ85" s="28">
        <f>IF($AM85&lt;0,1,0)</f>
      </c>
      <c r="AR85" s="28">
        <f>IF(AN85&lt;0,1,0)</f>
      </c>
      <c r="AS85" s="28">
        <f>IF(AO85&lt;0,1,0)</f>
      </c>
      <c r="AT85" s="28">
        <f>SUM(AU85:AW85)</f>
      </c>
      <c r="AU85" s="28">
        <f>IF(AM85&gt;0,1,0)</f>
      </c>
      <c r="AV85" s="28">
        <f>IF(AN85&gt;0,1,0)</f>
      </c>
      <c r="AW85" s="28">
        <f>IF(AO85&gt;0,1,0)</f>
      </c>
    </row>
    <row r="86" spans="1:49" x14ac:dyDescent="0.2">
      <c r="A86" s="61"/>
      <c r="B86" s="533" t="s">
        <v>547</v>
      </c>
      <c r="C86" s="128"/>
      <c r="D86" s="128"/>
      <c r="E86" s="174"/>
      <c r="F86" s="245"/>
      <c r="G86" s="535">
        <f>G84+G85</f>
      </c>
      <c r="H86" s="535">
        <f>H84+H85</f>
      </c>
      <c r="I86" s="535">
        <f>I84+I85</f>
      </c>
      <c r="J86" s="222"/>
      <c r="Q86" s="28">
        <f>IF(Q70=0,0,IF(Q84&gt;V86*-1,Q84*-1,V86))</f>
      </c>
      <c r="R86" s="28">
        <f>IF(R70=0,0,IF(R84&gt;W86*-1,R84*-1,W86))</f>
      </c>
      <c r="S86" s="28">
        <f>IF(S70=0,0,IF(S84&gt;X86*-1,S84*-1,X86))</f>
      </c>
      <c r="T86" s="28">
        <v>0</v>
      </c>
      <c r="V86" s="28">
        <f>U83</f>
      </c>
      <c r="W86" s="28">
        <f t="shared" si="32"/>
        <v>0</v>
      </c>
      <c r="X86" s="28">
        <f t="shared" si="32"/>
        <v>0</v>
      </c>
      <c r="Y86" s="28">
        <f t="shared" si="32"/>
        <v>0</v>
      </c>
      <c r="AB86" s="28">
        <f>IF(AB70=0,0,IF(AB84&gt;AG86*-1,AB84*-1,AG86))</f>
      </c>
      <c r="AC86" s="28">
        <f>IF(AC70=0,0,IF(AC84&gt;AH86*-1,AC84*-1,AH86))</f>
      </c>
      <c r="AD86" s="28">
        <f>IF(AD70=0,0,IF(AD84&gt;AI86*-1,AD84*-1,AI86))</f>
      </c>
      <c r="AE86" s="28">
        <v>0</v>
      </c>
      <c r="AG86" s="28">
        <f>AF83</f>
      </c>
      <c r="AH86" s="28">
        <f t="shared" si="33"/>
        <v>0</v>
      </c>
      <c r="AI86" s="28">
        <f t="shared" si="33"/>
        <v>0</v>
      </c>
      <c r="AJ86" s="28">
        <f t="shared" si="33"/>
        <v>0</v>
      </c>
      <c r="AL86" s="84">
        <f>SUM(G86:I86)</f>
      </c>
      <c r="AP86" s="28">
        <f>SUM(AQ86:AS86)</f>
      </c>
      <c r="AQ86" s="28">
        <f>IF(AM85&lt;0,AM85,0)</f>
      </c>
      <c r="AR86" s="28">
        <f>IF(AN85&lt;0,AN85,0)</f>
      </c>
      <c r="AS86" s="28">
        <f>IF(AO85&lt;0,AO85,0)</f>
      </c>
    </row>
    <row r="87" spans="1:49" x14ac:dyDescent="0.2">
      <c r="A87" s="3"/>
      <c r="B87" s="4637" t="s">
        <v>3330</v>
      </c>
      <c r="C87" s="4638"/>
      <c r="D87" s="4638"/>
      <c r="E87" s="128"/>
      <c r="F87" s="245"/>
      <c r="G87" s="510"/>
      <c r="H87" s="510"/>
      <c r="I87" s="510"/>
      <c r="J87" s="222" t="str">
        <f>IF(OR(AP85=0,AT85=0),"",IF(AND(AP85&lt;&gt;0,G87="",H87="",I87=""),re,IF(AU91&lt;&gt;0," Check values!",IF(AND(M89&gt;0,M90&lt;0,M89+N89&gt;0),N87,""))))</f>
        <v/>
      </c>
      <c r="K87" s="28">
        <f>IF(J87&lt;&gt;"",1,0)</f>
      </c>
      <c r="M87" s="28">
        <f>COUNT(I87:I87)</f>
      </c>
      <c r="N87" s="28" t="s">
        <v>781</v>
      </c>
      <c r="AL87" s="84">
        <f>SUM(G88:I88)</f>
      </c>
      <c r="AM87" s="28">
        <f>IF(OR($AP$85=0,$AP$85=3,$AT$85=0,$AT$85=3),0,IF(AM$85&gt;0,AM$85*-1,0))</f>
      </c>
      <c r="AN87" s="28">
        <f>IF(OR($AP$85=0,$AP$85=3,$AT$85=0,$AT$85=3),0,IF(AN$85&gt;0,AN$85*-1,0))</f>
      </c>
      <c r="AO87" s="28">
        <f>IF(OR($AP$85=0,$AP$85=3,$AT$85=0,$AT$85=3),0,IF(AO$85&gt;0,AO$85*-1,0))</f>
      </c>
      <c r="AP87" s="28">
        <f>SUM(AQ87:AS87)</f>
      </c>
      <c r="AQ87" s="28">
        <f>IF(AM85&gt;=0,AM85,0)</f>
      </c>
      <c r="AR87" s="28">
        <f>IF(AN85&gt;=0,AN85,0)</f>
      </c>
      <c r="AS87" s="28">
        <f>IF(AO85&gt;=0,AO85,0)</f>
      </c>
    </row>
    <row r="88" spans="1:49" x14ac:dyDescent="0.2">
      <c r="A88" s="3"/>
      <c r="B88" s="559" t="s">
        <v>547</v>
      </c>
      <c r="C88" s="128"/>
      <c r="D88" s="128"/>
      <c r="E88" s="128"/>
      <c r="F88" s="245"/>
      <c r="G88" s="535">
        <f>G86+G87</f>
      </c>
      <c r="H88" s="535">
        <f>H86+H87</f>
      </c>
      <c r="I88" s="535">
        <f>I86+I87</f>
      </c>
      <c r="J88" s="222"/>
      <c r="AM88" s="28">
        <f>IF(OR($AP$85=0,$AP$85=3,$AT$85=0,$AT$85=3),0,IF(AM$85&lt;0,AM$85*-1,0))</f>
      </c>
      <c r="AN88" s="28">
        <f>IF(OR($AP$85=0,$AP$85=3,$AT$85=0,$AT$85=3),0,IF(AN$85&lt;0,AN$85*-1,0))</f>
      </c>
      <c r="AO88" s="28">
        <f>IF(OR($AP$85=0,$AP$85=3,$AT$85=0,$AT$85=3),0,IF(AO$85&lt;0,AO$85*-1,0))</f>
      </c>
      <c r="AP88" s="28">
        <f>AP86+AP87</f>
      </c>
    </row>
    <row r="89" spans="1:49" x14ac:dyDescent="0.2">
      <c r="A89" s="3"/>
      <c r="B89" s="559" t="s">
        <v>4817</v>
      </c>
      <c r="C89" s="128"/>
      <c r="D89" s="128"/>
      <c r="E89" s="128"/>
      <c r="F89" s="245"/>
      <c r="G89" s="535">
        <f>IF(G88&lt;0,0,G88)</f>
      </c>
      <c r="H89" s="535">
        <f>IF(H88&lt;0,0,H88)</f>
      </c>
      <c r="I89" s="535">
        <f>IF(I88&lt;0,0,I88)</f>
      </c>
      <c r="J89" s="222"/>
      <c r="M89" s="84">
        <f>SUM(G89:I89)</f>
      </c>
      <c r="N89" s="28">
        <f>'p4'!K32+'p4'!O32+'p4'!R32</f>
      </c>
      <c r="O89" s="30"/>
      <c r="Q89" s="28">
        <f>SUM(Q85:Q86)</f>
      </c>
      <c r="R89" s="28">
        <f>SUM(R85:R86)</f>
      </c>
      <c r="S89" s="28">
        <f>SUM(S85:S86)</f>
      </c>
      <c r="T89" s="28">
        <v>0</v>
      </c>
      <c r="AB89" s="28">
        <f>SUM(AB85:AB86)</f>
      </c>
      <c r="AC89" s="28">
        <f>SUM(AC85:AC86)</f>
      </c>
      <c r="AD89" s="28">
        <f>SUM(AD85:AD86)</f>
      </c>
      <c r="AE89" s="28">
        <v>0</v>
      </c>
    </row>
    <row r="90" spans="1:49" x14ac:dyDescent="0.2">
      <c r="A90" s="61"/>
      <c r="B90" s="559" t="s">
        <v>4818</v>
      </c>
      <c r="C90" s="128"/>
      <c r="D90" s="128"/>
      <c r="E90" s="128"/>
      <c r="F90" s="319"/>
      <c r="G90" s="535">
        <f>G88-G89</f>
      </c>
      <c r="H90" s="535">
        <f>H88-H89</f>
      </c>
      <c r="I90" s="535">
        <f>I88-I89</f>
      </c>
      <c r="J90" s="222"/>
      <c r="K90" s="28">
        <f>SUM(K45:K67,K85,K87)</f>
      </c>
      <c r="M90" s="84">
        <f>SUM(G90:I90)</f>
      </c>
      <c r="AM90" s="28">
        <f t="shared" ref="AM90:AO91" si="34">IF(G86&lt;0,G86*-1,G86)</f>
      </c>
      <c r="AN90" s="28">
        <f t="shared" si="34"/>
        <v>0</v>
      </c>
      <c r="AO90" s="28">
        <f t="shared" si="34"/>
        <v>0</v>
      </c>
    </row>
    <row r="91" spans="1:49" ht="20.25" customHeight="1" x14ac:dyDescent="0.2">
      <c r="A91" s="3"/>
      <c r="B91" s="20" t="str">
        <f>_xlfn.SINGLE(MTCA)</f>
      </c>
      <c r="C91" s="20"/>
      <c r="D91" s="20" t="str">
        <f>ver</f>
        <v>TA2_e-CO_2025_Ver 1.1</v>
      </c>
      <c r="E91" s="562"/>
      <c r="F91" s="562"/>
      <c r="G91" s="20"/>
      <c r="H91" s="20"/>
      <c r="I91" s="119" t="s">
        <v>3288</v>
      </c>
      <c r="J91" s="61"/>
      <c r="Z91" s="28" t="s">
        <v>4457</v>
      </c>
      <c r="AM91" s="28">
        <f t="shared" si="34"/>
        <v>0</v>
      </c>
      <c r="AN91" s="28">
        <f t="shared" si="34"/>
        <v>0</v>
      </c>
      <c r="AO91" s="28">
        <f t="shared" si="34"/>
        <v>0</v>
      </c>
      <c r="AP91" s="28">
        <f>IF(AM91&gt;AM90,1,0)</f>
      </c>
      <c r="AQ91" s="28">
        <f>IF(AN91&gt;AN90,1,0)</f>
      </c>
      <c r="AR91" s="28">
        <f>IF(AO91&gt;AO90,1,0)</f>
      </c>
      <c r="AS91" s="28">
        <f>IF(G87+H87+I87&lt;&gt;0,1,0)</f>
      </c>
      <c r="AU91" s="28">
        <f>SUM(AP91:AS91)</f>
      </c>
    </row>
    <row r="92" spans="1:49" x14ac:dyDescent="0.2">
      <c r="A92" s="3"/>
      <c r="B92" s="237"/>
      <c r="C92" s="3"/>
      <c r="D92" s="3"/>
      <c r="E92" s="3"/>
      <c r="F92" s="3"/>
      <c r="G92" s="563" t="str">
        <f>COM</f>
      </c>
      <c r="H92" s="275"/>
      <c r="I92" s="61" t="str">
        <f>IF(M37+M67+N85+SUM(M72:O72)+SUM(M68:O68)=0,"",IF(H92="",re,""))</f>
        <v/>
      </c>
      <c r="J92" s="61"/>
      <c r="K92" s="28">
        <f>IF(M37+M67+N85+SUM(M72:O72)+Q67+SUM(M68:O68)=0,0,IF(K90&lt;&gt;0,100,IF(H92=Z91,1,100)))</f>
      </c>
      <c r="Z92" s="28" t="s">
        <v>1736</v>
      </c>
    </row>
    <row r="93" spans="1:49" ht="18" customHeight="1" x14ac:dyDescent="0.2">
      <c r="A93" s="3"/>
      <c r="B93" s="4636" t="s">
        <v>6290</v>
      </c>
      <c r="C93" s="4636"/>
      <c r="D93" s="4636"/>
      <c r="E93" s="1175"/>
      <c r="F93" s="1"/>
      <c r="G93" s="1"/>
      <c r="H93" s="1"/>
      <c r="I93" s="61"/>
      <c r="J93" s="61"/>
    </row>
    <row r="94" spans="1:49" x14ac:dyDescent="0.2">
      <c r="A94" s="3"/>
      <c r="B94" s="3"/>
      <c r="C94" s="3"/>
      <c r="D94" s="3"/>
      <c r="E94" s="3"/>
      <c r="F94" s="1"/>
      <c r="G94" s="1"/>
      <c r="H94" s="1"/>
      <c r="I94" s="61"/>
      <c r="J94" s="61"/>
    </row>
  </sheetData>
  <sheetProtection algorithmName="SHA-512" hashValue="aFg8QZlE3uPwInaTV919Rex5rg25TdECsMiH7YhPi9iLy/g4JwqJSupUGAwpFVChJL+ayc6ffSBlT4lep0y/4Q==" saltValue="IkGQNAVzXNNGk4l+NBRNQQ==" spinCount="100000" sheet="1" objects="1" scenarios="1"/>
  <customSheetViews>
    <customSheetView guid="{99B5278F-6EA9-4B1A-8623-27A4DF4AD5E4}" hiddenRows="1" hiddenColumns="1" topLeftCell="A3">
      <selection activeCell="B9" sqref="B9"/>
      <pageMargins left="0.75" right="0.75" top="1" bottom="1" header="0.5" footer="0.5"/>
      <pageSetup paperSize="9" orientation="landscape" horizontalDpi="300" verticalDpi="300" r:id="rId1"/>
      <headerFooter alignWithMargins="0">
        <oddFooter>&amp;LName&amp;CSignature&amp;RDate</oddFooter>
      </headerFooter>
    </customSheetView>
  </customSheetViews>
  <mergeCells count="35">
    <mergeCell ref="B1:G1"/>
    <mergeCell ref="B2:I2"/>
    <mergeCell ref="F4:I4"/>
    <mergeCell ref="B93:D93"/>
    <mergeCell ref="B46:C46"/>
    <mergeCell ref="B87:D87"/>
    <mergeCell ref="B58:C58"/>
    <mergeCell ref="B59:C59"/>
    <mergeCell ref="B60:C60"/>
    <mergeCell ref="B61:C61"/>
    <mergeCell ref="B62:C62"/>
    <mergeCell ref="B63:C63"/>
    <mergeCell ref="B64:C64"/>
    <mergeCell ref="B65:C65"/>
    <mergeCell ref="B66:C66"/>
    <mergeCell ref="B47:C47"/>
    <mergeCell ref="T17:T25"/>
    <mergeCell ref="U17:U25"/>
    <mergeCell ref="V17:V25"/>
    <mergeCell ref="T16:V16"/>
    <mergeCell ref="N16:P16"/>
    <mergeCell ref="N17:N25"/>
    <mergeCell ref="O17:O25"/>
    <mergeCell ref="P17:P25"/>
    <mergeCell ref="B48:C48"/>
    <mergeCell ref="B49:C49"/>
    <mergeCell ref="B50:C50"/>
    <mergeCell ref="B51:C51"/>
    <mergeCell ref="B67:E67"/>
    <mergeCell ref="B57:C57"/>
    <mergeCell ref="B52:C52"/>
    <mergeCell ref="B53:C53"/>
    <mergeCell ref="B54:C54"/>
    <mergeCell ref="B55:C55"/>
    <mergeCell ref="B56:C56"/>
  </mergeCells>
  <phoneticPr fontId="0" type="noConversion"/>
  <conditionalFormatting sqref="B6:D24 B26:D26 B27:B41 B43:B44 C44">
    <cfRule type="cellIs" dxfId="857" priority="13" stopIfTrue="1" operator="equal">
      <formula>0</formula>
    </cfRule>
  </conditionalFormatting>
  <conditionalFormatting sqref="C27:D42">
    <cfRule type="cellIs" dxfId="856" priority="10" stopIfTrue="1" operator="equal">
      <formula>0</formula>
    </cfRule>
  </conditionalFormatting>
  <conditionalFormatting sqref="J83:J84 A85:A86 J86">
    <cfRule type="expression" dxfId="855" priority="12" stopIfTrue="1">
      <formula>$L$83=0</formula>
    </cfRule>
  </conditionalFormatting>
  <conditionalFormatting sqref="AE6:AE17">
    <cfRule type="cellIs" dxfId="854" priority="3" stopIfTrue="1" operator="equal">
      <formula>0</formula>
    </cfRule>
  </conditionalFormatting>
  <conditionalFormatting sqref="AE26:AE37">
    <cfRule type="cellIs" dxfId="853" priority="1" stopIfTrue="1" operator="equal">
      <formula>0</formula>
    </cfRule>
  </conditionalFormatting>
  <dataValidations disablePrompts="1" count="8">
    <dataValidation type="whole" errorStyle="warning" operator="equal" allowBlank="1" showInputMessage="1" showErrorMessage="1" errorTitle="Check value entered!" error="  " sqref="G84:I84" xr:uid="{00000000-0002-0000-1200-000000000000}">
      <formula1>G86</formula1>
    </dataValidation>
    <dataValidation type="whole" allowBlank="1" showInputMessage="1" showErrorMessage="1" errorTitle="Set-off" error="Check sign!_x000a_OR_x000a_Amount entered is excessve!" sqref="G87:I87" xr:uid="{00000000-0002-0000-1200-000001000000}">
      <formula1>AM87</formula1>
      <formula2>AM88</formula2>
    </dataValidation>
    <dataValidation type="whole" operator="lessThanOrEqual" allowBlank="1" showInputMessage="1" showErrorMessage="1" errorTitle="CAPITAL LOSS B/Fwd" error="Please enter a negative amount!" sqref="G85:I85" xr:uid="{00000000-0002-0000-1200-000002000000}">
      <formula1>0</formula1>
    </dataValidation>
    <dataValidation type="whole" operator="greaterThanOrEqual" allowBlank="1" showInputMessage="1" showErrorMessage="1" errorTitle="PRICE / COST" error="Positive amount required!" sqref="G89:I89 D45:E66" xr:uid="{00000000-0002-0000-1200-000003000000}">
      <formula1>0</formula1>
    </dataValidation>
    <dataValidation type="whole" operator="greaterThan" allowBlank="1" showInputMessage="1" showErrorMessage="1" errorTitle="GROSSED UP ELEMENT" error="Positive amount required!" sqref="I69" xr:uid="{00000000-0002-0000-1200-000004000000}">
      <formula1>0</formula1>
    </dataValidation>
    <dataValidation type="list" allowBlank="1" showInputMessage="1" showErrorMessage="1" errorTitle="Choose item from Dropdown list! " sqref="H92" xr:uid="{00000000-0002-0000-1200-000005000000}">
      <formula1>$Z$90:$Z$92</formula1>
    </dataValidation>
    <dataValidation type="whole" operator="lessThanOrEqual" allowBlank="1" showInputMessage="1" showErrorMessage="1" errorTitle="Foreign tax paid" error="Please enter a negative value!" sqref="F42" xr:uid="{00000000-0002-0000-1200-000006000000}">
      <formula1>0</formula1>
    </dataValidation>
    <dataValidation operator="greaterThanOrEqual" allowBlank="1" showInputMessage="1" showErrorMessage="1" errorTitle="Tax Account" error="Positive amount required!" sqref="G45:I68" xr:uid="{00000000-0002-0000-1200-000007000000}"/>
  </dataValidations>
  <hyperlinks>
    <hyperlink ref="B93" location="Index!A1" display="Index!A1" xr:uid="{00000000-0004-0000-1200-000000000000}"/>
    <hyperlink ref="J72" location="'TRA112'!A1" display="TRA 112" xr:uid="{00000000-0004-0000-1200-000001000000}"/>
    <hyperlink ref="F68" location="'TRA 113'!A1" display="TRA 113" xr:uid="{00000000-0004-0000-1200-000002000000}"/>
    <hyperlink ref="F67" location="'TRA116'!A1" display="TRA 116" xr:uid="{00000000-0004-0000-1200-000003000000}"/>
  </hyperlinks>
  <pageMargins left="0.75" right="0.75" top="1" bottom="1" header="0.5" footer="0.5"/>
  <pageSetup paperSize="9" orientation="landscape" r:id="rId2"/>
  <headerFooter alignWithMargins="0">
    <oddFooter>&amp;LName&amp;CSignature&amp;RDate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dimension ref="A1:BZ1037"/>
  <sheetViews>
    <sheetView showGridLines="0" zoomScale="96" zoomScaleNormal="96" workbookViewId="0">
      <selection activeCell="F7" sqref="F7"/>
    </sheetView>
  </sheetViews>
  <sheetFormatPr defaultColWidth="0" defaultRowHeight="16.149999999999999" customHeight="1" zeroHeight="1" x14ac:dyDescent="0.2"/>
  <cols>
    <col min="1" max="1" width="3.5703125" style="46" customWidth="1"/>
    <col min="2" max="2" width="10.7109375" style="46" customWidth="1"/>
    <col min="3" max="3" width="16.28515625" style="46" customWidth="1"/>
    <col min="4" max="4" width="12.7109375" style="46" customWidth="1"/>
    <col min="5" max="5" width="10.28515625" style="46" customWidth="1"/>
    <col min="6" max="6" width="11.7109375" style="46" customWidth="1"/>
    <col min="7" max="7" width="8" style="46" customWidth="1"/>
    <col min="8" max="9" width="9.7109375" style="46" customWidth="1"/>
    <col min="10" max="10" width="1.28515625" style="46" customWidth="1"/>
    <col min="11" max="14" width="9.28515625" style="46" hidden="1" customWidth="1"/>
    <col min="15" max="16" width="10.28515625" style="46" hidden="1" customWidth="1"/>
    <col min="17" max="74" width="9.28515625" style="46" hidden="1" customWidth="1"/>
    <col min="75" max="75" width="9.28515625" style="142" hidden="1" customWidth="1"/>
    <col min="76" max="78" width="9.28515625" style="46" hidden="1" customWidth="1"/>
    <col min="79" max="16384" width="9.28515625" style="591" hidden="1"/>
  </cols>
  <sheetData>
    <row r="1" spans="1:75" s="142" customFormat="1" ht="16.149999999999999" customHeight="1" x14ac:dyDescent="0.2">
      <c r="A1" s="17"/>
      <c r="B1" s="4408" t="str">
        <f>_ref1</f>
      </c>
      <c r="C1" s="4408"/>
      <c r="D1" s="4408"/>
      <c r="E1" s="4408"/>
      <c r="F1" s="4408"/>
      <c r="G1" s="4408"/>
      <c r="H1" s="4408"/>
      <c r="I1" s="64" t="str">
        <f>_YA1</f>
      </c>
      <c r="J1" s="242"/>
      <c r="L1" s="1634"/>
      <c r="O1" s="1634" t="s">
        <v>9958</v>
      </c>
      <c r="P1" s="142" t="str">
        <f>'p2'!G36</f>
      </c>
    </row>
    <row r="2" spans="1:75" s="142" customFormat="1" ht="3.75" customHeight="1" x14ac:dyDescent="0.2">
      <c r="A2" s="17"/>
      <c r="B2" s="17"/>
      <c r="C2" s="17"/>
      <c r="D2" s="17"/>
      <c r="E2" s="17"/>
      <c r="F2" s="17"/>
      <c r="G2" s="17"/>
      <c r="H2" s="17"/>
      <c r="I2" s="17"/>
      <c r="J2" s="242"/>
      <c r="BW2" s="142" t="s">
        <v>5195</v>
      </c>
    </row>
    <row r="3" spans="1:75" s="142" customFormat="1" ht="15" x14ac:dyDescent="0.2">
      <c r="A3" s="781">
        <v>1</v>
      </c>
      <c r="B3" s="4645" t="s">
        <v>5196</v>
      </c>
      <c r="C3" s="4645"/>
      <c r="D3" s="4645"/>
      <c r="E3" s="4645"/>
      <c r="F3" s="4645"/>
      <c r="G3" s="4645"/>
      <c r="H3" s="4645"/>
      <c r="I3" s="4645"/>
      <c r="J3" s="242"/>
      <c r="O3" s="1634" t="s">
        <v>10037</v>
      </c>
      <c r="P3" s="142" t="str">
        <f>'p2'!G38</f>
      </c>
      <c r="BW3" s="142" t="s">
        <v>4202</v>
      </c>
    </row>
    <row r="4" spans="1:75" s="142" customFormat="1" ht="12.75" x14ac:dyDescent="0.2">
      <c r="A4" s="242"/>
      <c r="B4" s="242"/>
      <c r="C4" s="242"/>
      <c r="D4" s="242"/>
      <c r="E4" s="242"/>
      <c r="F4" s="242"/>
      <c r="G4" s="242"/>
      <c r="H4" s="242"/>
      <c r="I4" s="242"/>
      <c r="J4" s="242"/>
      <c r="BW4" s="142" t="s">
        <v>3632</v>
      </c>
    </row>
    <row r="5" spans="1:75" s="142" customFormat="1" ht="14.25" x14ac:dyDescent="0.2">
      <c r="A5" s="242"/>
      <c r="B5" s="3574" t="s">
        <v>9959</v>
      </c>
      <c r="C5" s="242"/>
      <c r="D5" s="242"/>
      <c r="E5" s="20"/>
      <c r="F5" s="569"/>
      <c r="G5" s="572" t="str">
        <f>IF(L29=0,"",IF(AND($P$1="n",F5&lt;&gt;""),"No details required!",IF(AND($P$1="y",ISBLANK(F5)),"Required !","")))</f>
        <v/>
      </c>
      <c r="H5" s="242"/>
      <c r="I5" s="242"/>
      <c r="J5" s="242"/>
      <c r="L5" s="142">
        <f>IF(ISBLANK(F5),0,1)</f>
      </c>
      <c r="M5" s="167">
        <f>IF(G5=$M$1,0,1)</f>
      </c>
    </row>
    <row r="6" spans="1:75" s="142" customFormat="1" ht="6" customHeight="1" x14ac:dyDescent="0.2">
      <c r="A6" s="242"/>
      <c r="B6" s="3574"/>
      <c r="C6" s="242"/>
      <c r="D6" s="242"/>
      <c r="E6" s="242"/>
      <c r="F6" s="242"/>
      <c r="G6" s="572"/>
      <c r="H6" s="242"/>
      <c r="I6" s="242"/>
      <c r="J6" s="242"/>
      <c r="M6" s="167"/>
    </row>
    <row r="7" spans="1:75" s="142" customFormat="1" ht="14.25" x14ac:dyDescent="0.2">
      <c r="A7" s="242"/>
      <c r="B7" s="4641" t="s">
        <v>10035</v>
      </c>
      <c r="C7" s="4641"/>
      <c r="D7" s="4641"/>
      <c r="E7" s="4641"/>
      <c r="F7" s="569"/>
      <c r="G7" s="572" t="str">
        <f>IF(L29=0,"",IF(ISBLANK(F7),"Required!",IF(AND($P$3="n",F7="yes"),"Check Pg2 Q32!","")))</f>
        <v/>
      </c>
      <c r="H7" s="242"/>
      <c r="I7" s="242"/>
      <c r="J7" s="242"/>
      <c r="L7" s="142">
        <f>IF(ISBLANK(F7),0,1)</f>
      </c>
      <c r="M7" s="167">
        <f>IF(G7=$M$1,0,1)</f>
      </c>
      <c r="N7" s="142">
        <f>IF(AND($P$3="n",F7="yes"),1,0)</f>
      </c>
    </row>
    <row r="8" spans="1:75" s="142" customFormat="1" ht="12.75" x14ac:dyDescent="0.2">
      <c r="A8" s="242"/>
      <c r="B8" s="4642" t="s">
        <v>10036</v>
      </c>
      <c r="C8" s="4642"/>
      <c r="D8" s="4642"/>
      <c r="E8" s="4642"/>
      <c r="F8" s="242"/>
      <c r="G8" s="572"/>
      <c r="H8" s="242"/>
      <c r="I8" s="242"/>
      <c r="J8" s="242"/>
      <c r="M8" s="167"/>
    </row>
    <row r="9" spans="1:75" s="142" customFormat="1" ht="4.5" customHeight="1" x14ac:dyDescent="0.2">
      <c r="A9" s="242"/>
      <c r="B9" s="3574"/>
      <c r="C9" s="242"/>
      <c r="D9" s="242"/>
      <c r="E9" s="242"/>
      <c r="F9" s="242"/>
      <c r="G9" s="572"/>
      <c r="H9" s="242"/>
      <c r="I9" s="242"/>
      <c r="J9" s="242"/>
      <c r="M9" s="167"/>
    </row>
    <row r="10" spans="1:75" s="142" customFormat="1" ht="12.75" hidden="1" x14ac:dyDescent="0.2">
      <c r="A10" s="242"/>
      <c r="B10" s="3574"/>
      <c r="C10" s="242"/>
      <c r="D10" s="242"/>
      <c r="E10" s="242"/>
      <c r="F10" s="242"/>
      <c r="G10" s="572"/>
      <c r="H10" s="242"/>
      <c r="I10" s="242"/>
      <c r="J10" s="242"/>
      <c r="M10" s="167"/>
    </row>
    <row r="11" spans="1:75" s="142" customFormat="1" ht="12.75" hidden="1" x14ac:dyDescent="0.2">
      <c r="A11" s="242"/>
      <c r="B11" s="3574"/>
      <c r="C11" s="242"/>
      <c r="D11" s="242"/>
      <c r="E11" s="242"/>
      <c r="F11" s="242"/>
      <c r="G11" s="572"/>
      <c r="H11" s="242"/>
      <c r="I11" s="242"/>
      <c r="J11" s="242"/>
      <c r="M11" s="167"/>
    </row>
    <row r="12" spans="1:75" s="142" customFormat="1" ht="12.75" hidden="1" x14ac:dyDescent="0.2">
      <c r="A12" s="242"/>
      <c r="B12" s="3574"/>
      <c r="C12" s="242"/>
      <c r="D12" s="242"/>
      <c r="E12" s="242"/>
      <c r="F12" s="242"/>
      <c r="G12" s="572"/>
      <c r="H12" s="242"/>
      <c r="I12" s="242"/>
      <c r="J12" s="242"/>
      <c r="M12" s="167"/>
    </row>
    <row r="13" spans="1:75" s="142" customFormat="1" ht="12.75" hidden="1" x14ac:dyDescent="0.2">
      <c r="A13" s="242"/>
      <c r="B13" s="3574"/>
      <c r="C13" s="242"/>
      <c r="D13" s="242"/>
      <c r="E13" s="242"/>
      <c r="F13" s="242"/>
      <c r="G13" s="572"/>
      <c r="H13" s="242"/>
      <c r="I13" s="242"/>
      <c r="J13" s="242"/>
      <c r="M13" s="167"/>
    </row>
    <row r="14" spans="1:75" s="142" customFormat="1" ht="12.75" hidden="1" x14ac:dyDescent="0.2">
      <c r="A14" s="242"/>
      <c r="B14" s="3574"/>
      <c r="C14" s="242"/>
      <c r="D14" s="242"/>
      <c r="E14" s="242"/>
      <c r="F14" s="242"/>
      <c r="G14" s="572"/>
      <c r="H14" s="242"/>
      <c r="I14" s="242"/>
      <c r="J14" s="242"/>
      <c r="M14" s="167"/>
    </row>
    <row r="15" spans="1:75" s="142" customFormat="1" ht="12.75" hidden="1" x14ac:dyDescent="0.2">
      <c r="A15" s="242"/>
      <c r="B15" s="3574"/>
      <c r="C15" s="242"/>
      <c r="D15" s="242"/>
      <c r="E15" s="242"/>
      <c r="F15" s="242"/>
      <c r="G15" s="572"/>
      <c r="H15" s="242"/>
      <c r="I15" s="242"/>
      <c r="J15" s="242"/>
      <c r="M15" s="167"/>
    </row>
    <row r="16" spans="1:75" s="142" customFormat="1" ht="12.75" hidden="1" x14ac:dyDescent="0.2">
      <c r="A16" s="242"/>
      <c r="B16" s="3574"/>
      <c r="C16" s="242"/>
      <c r="D16" s="242"/>
      <c r="E16" s="242"/>
      <c r="F16" s="242"/>
      <c r="G16" s="572"/>
      <c r="H16" s="242"/>
      <c r="I16" s="242"/>
      <c r="J16" s="242"/>
      <c r="M16" s="167"/>
    </row>
    <row r="17" spans="1:75" s="142" customFormat="1" ht="12.75" hidden="1" x14ac:dyDescent="0.2">
      <c r="A17" s="242"/>
      <c r="B17" s="3574"/>
      <c r="C17" s="242"/>
      <c r="D17" s="242"/>
      <c r="E17" s="242"/>
      <c r="F17" s="242"/>
      <c r="G17" s="572"/>
      <c r="H17" s="242"/>
      <c r="I17" s="242"/>
      <c r="J17" s="242"/>
      <c r="M17" s="167"/>
    </row>
    <row r="18" spans="1:75" s="142" customFormat="1" ht="12.75" hidden="1" x14ac:dyDescent="0.2">
      <c r="A18" s="242"/>
      <c r="B18" s="242"/>
      <c r="C18" s="242"/>
      <c r="D18" s="242"/>
      <c r="E18" s="20"/>
      <c r="F18" s="242"/>
      <c r="G18" s="242"/>
      <c r="H18" s="242"/>
      <c r="I18" s="242"/>
      <c r="J18" s="242"/>
    </row>
    <row r="19" spans="1:75" s="142" customFormat="1" ht="15" x14ac:dyDescent="0.2">
      <c r="A19" s="17"/>
      <c r="B19" s="564" t="str">
        <f>IF(N20=1,"Details of property deemed to be transferred ","Details of property sold")</f>
      </c>
      <c r="C19" s="564"/>
      <c r="D19" s="564"/>
      <c r="E19" s="20"/>
      <c r="F19" s="20"/>
      <c r="G19" s="20"/>
      <c r="H19" s="20"/>
      <c r="I19" s="20"/>
      <c r="J19" s="242"/>
    </row>
    <row r="20" spans="1:75" s="142" customFormat="1" ht="15.75" customHeight="1" x14ac:dyDescent="0.2">
      <c r="A20" s="17"/>
      <c r="B20" s="565" t="s">
        <v>3331</v>
      </c>
      <c r="C20" s="565"/>
      <c r="D20" s="3617" t="str">
        <f>IF(L29=0,"",IF(ISBLANK(E20),"Required!",""))</f>
        <v/>
      </c>
      <c r="E20" s="4646"/>
      <c r="F20" s="4646"/>
      <c r="G20" s="4646"/>
      <c r="H20" s="4646"/>
      <c r="I20" s="4646"/>
      <c r="J20" s="242"/>
      <c r="L20" s="142">
        <f>IF(ISBLANK(E20),0,1)</f>
      </c>
      <c r="M20" s="167">
        <f>IF(D20=$M$1,0,1)</f>
      </c>
      <c r="N20" s="142">
        <f>IF(AND(F7="yes",$P$3="y"),1,0)</f>
      </c>
    </row>
    <row r="21" spans="1:75" s="142" customFormat="1" ht="6" customHeight="1" x14ac:dyDescent="0.2">
      <c r="A21" s="17"/>
      <c r="B21" s="565"/>
      <c r="C21" s="565"/>
      <c r="D21" s="565"/>
      <c r="E21" s="185"/>
      <c r="F21" s="185"/>
      <c r="G21" s="185"/>
      <c r="H21" s="185"/>
      <c r="I21" s="185"/>
      <c r="J21" s="242"/>
    </row>
    <row r="22" spans="1:75" s="142" customFormat="1" ht="14.25" x14ac:dyDescent="0.2">
      <c r="A22" s="17"/>
      <c r="B22" s="567" t="str">
        <f>IF(N20=1,"Year of transfer [Basis Year]","Year of sale [Basis Year]")</f>
      </c>
      <c r="C22" s="567"/>
      <c r="D22" s="566" t="str">
        <f>IF(L29=0,"",IF(ISBLANK(E22),"Required!",""))</f>
        <v/>
      </c>
      <c r="E22" s="568"/>
      <c r="F22" s="4651" t="s">
        <v>5115</v>
      </c>
      <c r="G22" s="4652"/>
      <c r="H22" s="569"/>
      <c r="I22" s="570" t="str">
        <f>IF(L29=0,"",IF(ISBLANK(H22),"A/c ?",""))</f>
        <v/>
      </c>
      <c r="J22" s="242"/>
      <c r="L22" s="142">
        <f>IF(ISBLANK(E22),0,1)</f>
      </c>
      <c r="M22" s="142">
        <f>IF(I22=$M$1,0,1)</f>
      </c>
      <c r="BW22" s="142" t="s">
        <v>363</v>
      </c>
    </row>
    <row r="23" spans="1:75" s="142" customFormat="1" ht="6" customHeight="1" x14ac:dyDescent="0.2">
      <c r="A23" s="17"/>
      <c r="B23" s="565"/>
      <c r="C23" s="565"/>
      <c r="D23" s="565"/>
      <c r="E23" s="20"/>
      <c r="F23" s="20"/>
      <c r="G23" s="20"/>
      <c r="H23" s="20"/>
      <c r="I23" s="20"/>
      <c r="J23" s="242"/>
      <c r="L23" s="142">
        <f>IF(ISBLANK(H22),0,1)</f>
      </c>
      <c r="M23" s="167">
        <f>IF(D22=$M$1,0,1)</f>
      </c>
      <c r="BW23" s="142" t="s">
        <v>2372</v>
      </c>
    </row>
    <row r="24" spans="1:75" s="142" customFormat="1" ht="15" x14ac:dyDescent="0.2">
      <c r="A24" s="17"/>
      <c r="B24" s="564" t="str">
        <f>IF(N20=1,"Market value of property","Selling price of property")</f>
      </c>
      <c r="C24" s="564"/>
      <c r="D24" s="566" t="str">
        <f>IF($L$29=0,"",IF(ISBLANK(E24),"Required!",""))</f>
        <v/>
      </c>
      <c r="E24" s="571"/>
      <c r="F24" s="20"/>
      <c r="G24" s="573"/>
      <c r="H24" s="574"/>
      <c r="I24" s="20"/>
      <c r="J24" s="242"/>
      <c r="L24" s="142">
        <f>IF(ISBLANK(E24),0,1)</f>
      </c>
      <c r="M24" s="142">
        <f>IF(D24=$M$1,0,1)</f>
      </c>
    </row>
    <row r="25" spans="1:75" s="142" customFormat="1" ht="6.75" customHeight="1" x14ac:dyDescent="0.2">
      <c r="A25" s="17"/>
      <c r="B25" s="565"/>
      <c r="C25" s="565"/>
      <c r="D25" s="565"/>
      <c r="E25" s="20"/>
      <c r="F25" s="20"/>
      <c r="G25" s="573"/>
      <c r="H25" s="574"/>
      <c r="I25" s="20"/>
      <c r="J25" s="242"/>
    </row>
    <row r="26" spans="1:75" s="142" customFormat="1" ht="15" x14ac:dyDescent="0.2">
      <c r="A26" s="17"/>
      <c r="B26" s="564" t="s">
        <v>3333</v>
      </c>
      <c r="C26" s="564"/>
      <c r="D26" s="572" t="str">
        <f>IF(N27=1,"Delete!","")</f>
        <v/>
      </c>
      <c r="E26" s="571"/>
      <c r="F26" s="20"/>
      <c r="G26" s="573" t="s">
        <v>3213</v>
      </c>
      <c r="H26" s="575"/>
      <c r="I26" s="570" t="str">
        <f>IF(L29=0,"",IF(AND(N20=1,H26&lt;&gt;""),"Delete!",IF(N20=1,"",IF(ISBLANK(H26),"Date ?",""))))</f>
        <v/>
      </c>
      <c r="J26" s="242"/>
      <c r="L26" s="142">
        <f>IF(ISBLANK(E26),0,1)</f>
      </c>
      <c r="M26" s="142">
        <f>IF(I26=$M$1,0,1)</f>
      </c>
      <c r="N26" s="142">
        <f>IF(AND(N20=1,H26&lt;&gt;""),1,0)</f>
      </c>
      <c r="O26" s="166">
        <f>DATE(ya-2,1,2)</f>
      </c>
      <c r="P26" s="166">
        <f>DATE(ya-1,12,31)</f>
      </c>
    </row>
    <row r="27" spans="1:75" s="142" customFormat="1" ht="4.5" customHeight="1" x14ac:dyDescent="0.2">
      <c r="A27" s="17"/>
      <c r="B27" s="565"/>
      <c r="C27" s="565"/>
      <c r="D27" s="565"/>
      <c r="E27" s="576"/>
      <c r="F27" s="20"/>
      <c r="G27" s="573"/>
      <c r="H27" s="574"/>
      <c r="I27" s="20"/>
      <c r="J27" s="242"/>
      <c r="L27" s="142">
        <f>IF(ISBLANK(H26),0,1)</f>
      </c>
      <c r="M27" s="142">
        <f>IF(D26=$M$1,0,1)</f>
      </c>
      <c r="N27" s="142">
        <f>IF(AND(N20=1,E26&lt;&gt;0),1,0)</f>
      </c>
      <c r="O27" s="166">
        <v>37949</v>
      </c>
    </row>
    <row r="28" spans="1:75" s="142" customFormat="1" ht="15" x14ac:dyDescent="0.2">
      <c r="A28" s="17"/>
      <c r="B28" s="4647" t="s">
        <v>4245</v>
      </c>
      <c r="C28" s="4647"/>
      <c r="D28" s="4647"/>
      <c r="E28" s="4649" t="s">
        <v>1511</v>
      </c>
      <c r="F28" s="4649"/>
      <c r="G28" s="577"/>
      <c r="H28" s="574"/>
      <c r="I28" s="20"/>
      <c r="J28" s="242"/>
      <c r="M28" s="142">
        <f>IF(G28=$M$1,0,1)</f>
      </c>
    </row>
    <row r="29" spans="1:75" s="142" customFormat="1" ht="4.5" customHeight="1" x14ac:dyDescent="0.2">
      <c r="A29" s="17"/>
      <c r="B29" s="17"/>
      <c r="C29" s="17"/>
      <c r="D29" s="578"/>
      <c r="E29" s="579"/>
      <c r="F29" s="17"/>
      <c r="G29" s="580"/>
      <c r="H29" s="578"/>
      <c r="I29" s="17"/>
      <c r="J29" s="242"/>
      <c r="L29" s="142">
        <f>SUM(L5:L28)</f>
      </c>
      <c r="BW29" s="142" t="s">
        <v>5806</v>
      </c>
    </row>
    <row r="30" spans="1:75" s="142" customFormat="1" ht="22.5" x14ac:dyDescent="0.2">
      <c r="A30" s="17"/>
      <c r="B30" s="581" t="s">
        <v>4244</v>
      </c>
      <c r="C30" s="581" t="s">
        <v>4246</v>
      </c>
      <c r="D30" s="582" t="s">
        <v>1475</v>
      </c>
      <c r="E30" s="583" t="s">
        <v>1476</v>
      </c>
      <c r="F30" s="269" t="s">
        <v>1477</v>
      </c>
      <c r="G30" s="17"/>
      <c r="H30" s="584"/>
      <c r="I30" s="17"/>
      <c r="J30" s="242"/>
      <c r="BW30" s="142" t="s">
        <v>2372</v>
      </c>
    </row>
    <row r="31" spans="1:75" s="142" customFormat="1" ht="16.149999999999999" customHeight="1" x14ac:dyDescent="0.2">
      <c r="A31" s="17"/>
      <c r="B31" s="431"/>
      <c r="C31" s="297"/>
      <c r="D31" s="297"/>
      <c r="E31" s="297"/>
      <c r="F31" s="297"/>
      <c r="G31" s="222" t="str">
        <f>IF(L29=0,"",IF(L31=5,"","All details !"))</f>
        <v/>
      </c>
      <c r="H31" s="17"/>
      <c r="I31" s="17"/>
      <c r="J31" s="242"/>
      <c r="L31" s="142">
        <f t="shared" ref="L31:L56" si="0">COUNT(B31:F31)</f>
      </c>
      <c r="M31" s="142">
        <f t="shared" ref="M31:M57" si="1">IF(G31=$M$1,0,1)</f>
      </c>
    </row>
    <row r="32" spans="1:75" s="142" customFormat="1" ht="16.149999999999999" customHeight="1" x14ac:dyDescent="0.2">
      <c r="A32" s="17"/>
      <c r="B32" s="431"/>
      <c r="C32" s="297"/>
      <c r="D32" s="297"/>
      <c r="E32" s="297"/>
      <c r="F32" s="297"/>
      <c r="G32" s="222" t="str">
        <f t="shared" ref="G32:G56" si="2">IF(L32=0,"",IF(L32=5,"","All details !"))</f>
        <v/>
      </c>
      <c r="H32" s="17"/>
      <c r="I32" s="17"/>
      <c r="J32" s="242"/>
      <c r="L32" s="142">
        <f t="shared" si="0"/>
        <v>0</v>
      </c>
      <c r="M32" s="142">
        <f t="shared" si="1"/>
        <v>0</v>
      </c>
    </row>
    <row r="33" spans="1:13" s="142" customFormat="1" ht="16.149999999999999" customHeight="1" x14ac:dyDescent="0.2">
      <c r="A33" s="17"/>
      <c r="B33" s="431"/>
      <c r="C33" s="297"/>
      <c r="D33" s="297"/>
      <c r="E33" s="297"/>
      <c r="F33" s="297"/>
      <c r="G33" s="222" t="str">
        <f t="shared" si="2"/>
        <v/>
      </c>
      <c r="H33" s="17"/>
      <c r="I33" s="17"/>
      <c r="J33" s="242"/>
      <c r="L33" s="142">
        <f t="shared" si="0"/>
        <v>0</v>
      </c>
      <c r="M33" s="142">
        <f t="shared" si="1"/>
        <v>0</v>
      </c>
    </row>
    <row r="34" spans="1:13" s="142" customFormat="1" ht="16.149999999999999" customHeight="1" x14ac:dyDescent="0.2">
      <c r="A34" s="17"/>
      <c r="B34" s="431"/>
      <c r="C34" s="297"/>
      <c r="D34" s="297"/>
      <c r="E34" s="297"/>
      <c r="F34" s="297"/>
      <c r="G34" s="222" t="str">
        <f t="shared" si="2"/>
        <v/>
      </c>
      <c r="H34" s="17"/>
      <c r="I34" s="17"/>
      <c r="J34" s="242"/>
      <c r="L34" s="142">
        <f t="shared" si="0"/>
        <v>0</v>
      </c>
      <c r="M34" s="142">
        <f t="shared" si="1"/>
        <v>0</v>
      </c>
    </row>
    <row r="35" spans="1:13" s="142" customFormat="1" ht="16.149999999999999" customHeight="1" x14ac:dyDescent="0.2">
      <c r="A35" s="17"/>
      <c r="B35" s="431"/>
      <c r="C35" s="297"/>
      <c r="D35" s="297"/>
      <c r="E35" s="297"/>
      <c r="F35" s="297"/>
      <c r="G35" s="222" t="str">
        <f t="shared" si="2"/>
        <v/>
      </c>
      <c r="H35" s="17"/>
      <c r="I35" s="17"/>
      <c r="J35" s="242"/>
      <c r="L35" s="142">
        <f t="shared" si="0"/>
        <v>0</v>
      </c>
      <c r="M35" s="142">
        <f t="shared" si="1"/>
        <v>0</v>
      </c>
    </row>
    <row r="36" spans="1:13" s="142" customFormat="1" ht="16.149999999999999" customHeight="1" x14ac:dyDescent="0.2">
      <c r="A36" s="17"/>
      <c r="B36" s="431"/>
      <c r="C36" s="297"/>
      <c r="D36" s="297"/>
      <c r="E36" s="297"/>
      <c r="F36" s="297"/>
      <c r="G36" s="222" t="str">
        <f t="shared" si="2"/>
        <v/>
      </c>
      <c r="H36" s="17"/>
      <c r="I36" s="17"/>
      <c r="J36" s="242"/>
      <c r="L36" s="142">
        <f t="shared" si="0"/>
        <v>0</v>
      </c>
      <c r="M36" s="142">
        <f t="shared" si="1"/>
        <v>0</v>
      </c>
    </row>
    <row r="37" spans="1:13" s="142" customFormat="1" ht="16.149999999999999" customHeight="1" x14ac:dyDescent="0.2">
      <c r="A37" s="17"/>
      <c r="B37" s="431"/>
      <c r="C37" s="297"/>
      <c r="D37" s="297"/>
      <c r="E37" s="297"/>
      <c r="F37" s="297"/>
      <c r="G37" s="222" t="str">
        <f t="shared" si="2"/>
        <v/>
      </c>
      <c r="H37" s="17"/>
      <c r="I37" s="17"/>
      <c r="J37" s="242"/>
      <c r="L37" s="142">
        <f t="shared" si="0"/>
        <v>0</v>
      </c>
      <c r="M37" s="142">
        <f t="shared" si="1"/>
        <v>0</v>
      </c>
    </row>
    <row r="38" spans="1:13" s="142" customFormat="1" ht="16.149999999999999" customHeight="1" x14ac:dyDescent="0.2">
      <c r="A38" s="17"/>
      <c r="B38" s="431"/>
      <c r="C38" s="297"/>
      <c r="D38" s="297"/>
      <c r="E38" s="297"/>
      <c r="F38" s="297"/>
      <c r="G38" s="222" t="str">
        <f t="shared" si="2"/>
        <v/>
      </c>
      <c r="H38" s="17"/>
      <c r="I38" s="17"/>
      <c r="J38" s="242"/>
      <c r="L38" s="142">
        <f t="shared" si="0"/>
        <v>0</v>
      </c>
      <c r="M38" s="142">
        <f t="shared" si="1"/>
        <v>0</v>
      </c>
    </row>
    <row r="39" spans="1:13" s="142" customFormat="1" ht="16.149999999999999" customHeight="1" x14ac:dyDescent="0.2">
      <c r="A39" s="17"/>
      <c r="B39" s="431"/>
      <c r="C39" s="297"/>
      <c r="D39" s="297"/>
      <c r="E39" s="297"/>
      <c r="F39" s="297"/>
      <c r="G39" s="222" t="str">
        <f t="shared" si="2"/>
        <v/>
      </c>
      <c r="H39" s="17"/>
      <c r="I39" s="17"/>
      <c r="J39" s="242"/>
      <c r="L39" s="142">
        <f t="shared" si="0"/>
        <v>0</v>
      </c>
      <c r="M39" s="142">
        <f t="shared" si="1"/>
        <v>0</v>
      </c>
    </row>
    <row r="40" spans="1:13" s="142" customFormat="1" ht="16.149999999999999" customHeight="1" x14ac:dyDescent="0.2">
      <c r="A40" s="17"/>
      <c r="B40" s="431"/>
      <c r="C40" s="297"/>
      <c r="D40" s="297"/>
      <c r="E40" s="297"/>
      <c r="F40" s="297"/>
      <c r="G40" s="222" t="str">
        <f t="shared" si="2"/>
        <v/>
      </c>
      <c r="H40" s="17"/>
      <c r="I40" s="17"/>
      <c r="J40" s="242"/>
      <c r="L40" s="142">
        <f t="shared" si="0"/>
        <v>0</v>
      </c>
      <c r="M40" s="142">
        <f t="shared" si="1"/>
        <v>0</v>
      </c>
    </row>
    <row r="41" spans="1:13" s="142" customFormat="1" ht="16.149999999999999" customHeight="1" x14ac:dyDescent="0.2">
      <c r="A41" s="17"/>
      <c r="B41" s="431"/>
      <c r="C41" s="297"/>
      <c r="D41" s="297"/>
      <c r="E41" s="297"/>
      <c r="F41" s="297"/>
      <c r="G41" s="222" t="str">
        <f t="shared" si="2"/>
        <v/>
      </c>
      <c r="H41" s="17"/>
      <c r="I41" s="17"/>
      <c r="J41" s="242"/>
      <c r="L41" s="142">
        <f t="shared" si="0"/>
        <v>0</v>
      </c>
      <c r="M41" s="142">
        <f t="shared" si="1"/>
        <v>0</v>
      </c>
    </row>
    <row r="42" spans="1:13" s="142" customFormat="1" ht="16.149999999999999" customHeight="1" x14ac:dyDescent="0.2">
      <c r="A42" s="17"/>
      <c r="B42" s="431"/>
      <c r="C42" s="297"/>
      <c r="D42" s="297"/>
      <c r="E42" s="297"/>
      <c r="F42" s="297"/>
      <c r="G42" s="222" t="str">
        <f t="shared" si="2"/>
        <v/>
      </c>
      <c r="H42" s="17"/>
      <c r="I42" s="17"/>
      <c r="J42" s="242"/>
      <c r="L42" s="142">
        <f t="shared" si="0"/>
        <v>0</v>
      </c>
      <c r="M42" s="142">
        <f t="shared" si="1"/>
        <v>0</v>
      </c>
    </row>
    <row r="43" spans="1:13" s="142" customFormat="1" ht="16.149999999999999" customHeight="1" x14ac:dyDescent="0.2">
      <c r="A43" s="17"/>
      <c r="B43" s="431"/>
      <c r="C43" s="297"/>
      <c r="D43" s="297"/>
      <c r="E43" s="297"/>
      <c r="F43" s="297"/>
      <c r="G43" s="222" t="str">
        <f t="shared" si="2"/>
        <v/>
      </c>
      <c r="H43" s="17"/>
      <c r="I43" s="17"/>
      <c r="J43" s="242"/>
      <c r="L43" s="142">
        <f t="shared" si="0"/>
        <v>0</v>
      </c>
      <c r="M43" s="142">
        <f t="shared" si="1"/>
        <v>0</v>
      </c>
    </row>
    <row r="44" spans="1:13" s="142" customFormat="1" ht="16.149999999999999" customHeight="1" x14ac:dyDescent="0.2">
      <c r="A44" s="17"/>
      <c r="B44" s="431"/>
      <c r="C44" s="297"/>
      <c r="D44" s="297"/>
      <c r="E44" s="297"/>
      <c r="F44" s="297"/>
      <c r="G44" s="222" t="str">
        <f t="shared" si="2"/>
        <v/>
      </c>
      <c r="H44" s="17"/>
      <c r="I44" s="17"/>
      <c r="J44" s="242"/>
      <c r="L44" s="142">
        <f t="shared" si="0"/>
        <v>0</v>
      </c>
      <c r="M44" s="142">
        <f t="shared" si="1"/>
        <v>0</v>
      </c>
    </row>
    <row r="45" spans="1:13" s="142" customFormat="1" ht="16.149999999999999" customHeight="1" x14ac:dyDescent="0.2">
      <c r="A45" s="17"/>
      <c r="B45" s="431"/>
      <c r="C45" s="297"/>
      <c r="D45" s="297"/>
      <c r="E45" s="297"/>
      <c r="F45" s="297"/>
      <c r="G45" s="222" t="str">
        <f t="shared" si="2"/>
        <v/>
      </c>
      <c r="H45" s="17"/>
      <c r="I45" s="17"/>
      <c r="J45" s="242"/>
      <c r="L45" s="142">
        <f t="shared" si="0"/>
        <v>0</v>
      </c>
      <c r="M45" s="142">
        <f t="shared" si="1"/>
        <v>0</v>
      </c>
    </row>
    <row r="46" spans="1:13" s="142" customFormat="1" ht="16.149999999999999" customHeight="1" x14ac:dyDescent="0.2">
      <c r="A46" s="17"/>
      <c r="B46" s="431"/>
      <c r="C46" s="297"/>
      <c r="D46" s="297"/>
      <c r="E46" s="297"/>
      <c r="F46" s="297"/>
      <c r="G46" s="222" t="str">
        <f t="shared" si="2"/>
        <v/>
      </c>
      <c r="H46" s="17"/>
      <c r="I46" s="17"/>
      <c r="J46" s="242"/>
      <c r="L46" s="142">
        <f t="shared" si="0"/>
        <v>0</v>
      </c>
      <c r="M46" s="142">
        <f t="shared" si="1"/>
        <v>0</v>
      </c>
    </row>
    <row r="47" spans="1:13" s="142" customFormat="1" ht="16.149999999999999" customHeight="1" x14ac:dyDescent="0.2">
      <c r="A47" s="17"/>
      <c r="B47" s="431"/>
      <c r="C47" s="297"/>
      <c r="D47" s="297"/>
      <c r="E47" s="297"/>
      <c r="F47" s="297"/>
      <c r="G47" s="222" t="str">
        <f t="shared" si="2"/>
        <v/>
      </c>
      <c r="H47" s="17"/>
      <c r="I47" s="17"/>
      <c r="J47" s="242"/>
      <c r="L47" s="142">
        <f t="shared" si="0"/>
        <v>0</v>
      </c>
      <c r="M47" s="142">
        <f t="shared" si="1"/>
        <v>0</v>
      </c>
    </row>
    <row r="48" spans="1:13" s="142" customFormat="1" ht="16.149999999999999" customHeight="1" x14ac:dyDescent="0.2">
      <c r="A48" s="17"/>
      <c r="B48" s="431"/>
      <c r="C48" s="297"/>
      <c r="D48" s="297"/>
      <c r="E48" s="297"/>
      <c r="F48" s="297"/>
      <c r="G48" s="222" t="str">
        <f t="shared" si="2"/>
        <v/>
      </c>
      <c r="H48" s="17"/>
      <c r="I48" s="17"/>
      <c r="J48" s="242"/>
      <c r="L48" s="142">
        <f t="shared" si="0"/>
        <v>0</v>
      </c>
      <c r="M48" s="142">
        <f t="shared" si="1"/>
        <v>0</v>
      </c>
    </row>
    <row r="49" spans="1:24" s="142" customFormat="1" ht="16.149999999999999" customHeight="1" x14ac:dyDescent="0.2">
      <c r="A49" s="17"/>
      <c r="B49" s="431"/>
      <c r="C49" s="297"/>
      <c r="D49" s="297"/>
      <c r="E49" s="297"/>
      <c r="F49" s="297"/>
      <c r="G49" s="222" t="str">
        <f t="shared" si="2"/>
        <v/>
      </c>
      <c r="H49" s="17"/>
      <c r="I49" s="17"/>
      <c r="J49" s="242"/>
      <c r="L49" s="142">
        <f t="shared" si="0"/>
        <v>0</v>
      </c>
      <c r="M49" s="142">
        <f t="shared" si="1"/>
        <v>0</v>
      </c>
    </row>
    <row r="50" spans="1:24" s="142" customFormat="1" ht="16.149999999999999" customHeight="1" x14ac:dyDescent="0.2">
      <c r="A50" s="17"/>
      <c r="B50" s="431"/>
      <c r="C50" s="297"/>
      <c r="D50" s="297"/>
      <c r="E50" s="297"/>
      <c r="F50" s="297"/>
      <c r="G50" s="222" t="str">
        <f t="shared" si="2"/>
        <v/>
      </c>
      <c r="H50" s="17"/>
      <c r="I50" s="17"/>
      <c r="J50" s="242"/>
      <c r="L50" s="142">
        <f t="shared" si="0"/>
        <v>0</v>
      </c>
      <c r="M50" s="142">
        <f t="shared" si="1"/>
        <v>0</v>
      </c>
    </row>
    <row r="51" spans="1:24" s="142" customFormat="1" ht="16.149999999999999" customHeight="1" x14ac:dyDescent="0.2">
      <c r="A51" s="17"/>
      <c r="B51" s="431"/>
      <c r="C51" s="297"/>
      <c r="D51" s="297"/>
      <c r="E51" s="297"/>
      <c r="F51" s="297"/>
      <c r="G51" s="222" t="str">
        <f t="shared" si="2"/>
        <v/>
      </c>
      <c r="H51" s="17"/>
      <c r="I51" s="17"/>
      <c r="J51" s="242"/>
      <c r="L51" s="142">
        <f t="shared" si="0"/>
        <v>0</v>
      </c>
      <c r="M51" s="142">
        <f t="shared" si="1"/>
        <v>0</v>
      </c>
    </row>
    <row r="52" spans="1:24" s="142" customFormat="1" ht="16.149999999999999" customHeight="1" x14ac:dyDescent="0.2">
      <c r="A52" s="17"/>
      <c r="B52" s="431"/>
      <c r="C52" s="297"/>
      <c r="D52" s="297"/>
      <c r="E52" s="297"/>
      <c r="F52" s="297"/>
      <c r="G52" s="222" t="str">
        <f t="shared" si="2"/>
        <v/>
      </c>
      <c r="H52" s="17"/>
      <c r="I52" s="17"/>
      <c r="J52" s="242"/>
      <c r="L52" s="142">
        <f t="shared" si="0"/>
        <v>0</v>
      </c>
      <c r="M52" s="142">
        <f t="shared" si="1"/>
        <v>0</v>
      </c>
    </row>
    <row r="53" spans="1:24" s="142" customFormat="1" ht="16.149999999999999" customHeight="1" x14ac:dyDescent="0.2">
      <c r="A53" s="17"/>
      <c r="B53" s="431"/>
      <c r="C53" s="297"/>
      <c r="D53" s="297"/>
      <c r="E53" s="297"/>
      <c r="F53" s="297"/>
      <c r="G53" s="222" t="str">
        <f t="shared" si="2"/>
        <v/>
      </c>
      <c r="H53" s="17"/>
      <c r="I53" s="17"/>
      <c r="J53" s="242"/>
      <c r="L53" s="142">
        <f t="shared" si="0"/>
        <v>0</v>
      </c>
      <c r="M53" s="142">
        <f t="shared" si="1"/>
        <v>0</v>
      </c>
    </row>
    <row r="54" spans="1:24" s="142" customFormat="1" ht="16.149999999999999" customHeight="1" x14ac:dyDescent="0.2">
      <c r="A54" s="17"/>
      <c r="B54" s="431"/>
      <c r="C54" s="297"/>
      <c r="D54" s="297"/>
      <c r="E54" s="297"/>
      <c r="F54" s="297"/>
      <c r="G54" s="222" t="str">
        <f t="shared" si="2"/>
        <v/>
      </c>
      <c r="H54" s="17"/>
      <c r="I54" s="17"/>
      <c r="J54" s="242"/>
      <c r="L54" s="142">
        <f t="shared" si="0"/>
        <v>0</v>
      </c>
      <c r="M54" s="142">
        <f t="shared" si="1"/>
        <v>0</v>
      </c>
    </row>
    <row r="55" spans="1:24" s="142" customFormat="1" ht="16.149999999999999" customHeight="1" x14ac:dyDescent="0.2">
      <c r="A55" s="17"/>
      <c r="B55" s="431"/>
      <c r="C55" s="297"/>
      <c r="D55" s="297"/>
      <c r="E55" s="297"/>
      <c r="F55" s="297"/>
      <c r="G55" s="222" t="str">
        <f t="shared" si="2"/>
        <v/>
      </c>
      <c r="H55" s="17"/>
      <c r="I55" s="17"/>
      <c r="J55" s="242"/>
      <c r="L55" s="142">
        <f t="shared" si="0"/>
        <v>0</v>
      </c>
      <c r="M55" s="142">
        <f t="shared" si="1"/>
        <v>0</v>
      </c>
    </row>
    <row r="56" spans="1:24" s="142" customFormat="1" ht="16.149999999999999" customHeight="1" x14ac:dyDescent="0.2">
      <c r="A56" s="17"/>
      <c r="B56" s="585"/>
      <c r="C56" s="313"/>
      <c r="D56" s="313"/>
      <c r="E56" s="313"/>
      <c r="F56" s="313"/>
      <c r="G56" s="222" t="str">
        <f t="shared" si="2"/>
        <v/>
      </c>
      <c r="H56" s="17"/>
      <c r="I56" s="17"/>
      <c r="J56" s="242"/>
      <c r="L56" s="142">
        <f t="shared" si="0"/>
        <v>0</v>
      </c>
      <c r="M56" s="142">
        <f t="shared" si="1"/>
        <v>0</v>
      </c>
    </row>
    <row r="57" spans="1:24" s="142" customFormat="1" ht="16.149999999999999" customHeight="1" x14ac:dyDescent="0.2">
      <c r="A57" s="17"/>
      <c r="B57" s="586" t="s">
        <v>5590</v>
      </c>
      <c r="C57" s="587">
        <f>SUM(C31:C56)</f>
      </c>
      <c r="D57" s="587">
        <f>SUM(D31:D56)</f>
      </c>
      <c r="E57" s="587">
        <f>SUM(E31:E56)</f>
      </c>
      <c r="F57" s="587">
        <f>SUM(F31:F56)</f>
      </c>
      <c r="G57" s="222" t="str">
        <f>IF(D57&lt;&gt;E24,"Check Selling Price !","")</f>
        <v/>
      </c>
      <c r="H57" s="17"/>
      <c r="I57" s="17"/>
      <c r="J57" s="242"/>
      <c r="M57" s="142">
        <f t="shared" si="1"/>
        <v>0</v>
      </c>
    </row>
    <row r="58" spans="1:24" s="142" customFormat="1" ht="16.149999999999999" customHeight="1" x14ac:dyDescent="0.2">
      <c r="A58" s="17"/>
      <c r="B58" s="4648" t="s">
        <v>1478</v>
      </c>
      <c r="C58" s="4648"/>
      <c r="D58" s="4648"/>
      <c r="E58" s="4648"/>
      <c r="F58" s="588">
        <f>E26</f>
      </c>
      <c r="G58" s="17"/>
      <c r="H58" s="17"/>
      <c r="I58" s="17"/>
      <c r="J58" s="242"/>
      <c r="M58" s="167">
        <f>SUM(M5:M57)</f>
      </c>
    </row>
    <row r="59" spans="1:24" s="142" customFormat="1" ht="16.149999999999999" customHeight="1" x14ac:dyDescent="0.2">
      <c r="A59" s="17"/>
      <c r="B59" s="589"/>
      <c r="C59" s="589"/>
      <c r="D59" s="589"/>
      <c r="E59" s="589"/>
      <c r="F59" s="310"/>
      <c r="G59" s="17"/>
      <c r="H59" s="279" t="str">
        <f>ip</f>
      </c>
      <c r="I59" s="279" t="s">
        <v>2372</v>
      </c>
      <c r="J59" s="242"/>
    </row>
    <row r="60" spans="1:24" s="142" customFormat="1" ht="16.149999999999999" customHeight="1" x14ac:dyDescent="0.2">
      <c r="A60" s="17"/>
      <c r="B60" s="4650" t="s">
        <v>5410</v>
      </c>
      <c r="C60" s="4650"/>
      <c r="D60" s="4650"/>
      <c r="E60" s="4650"/>
      <c r="F60" s="4650"/>
      <c r="G60" s="17"/>
      <c r="H60" s="590" t="str">
        <f>IF($H22=ip,K60,"")</f>
        <v/>
      </c>
      <c r="I60" s="590" t="str">
        <f>IF($H22=fi,K60,"")</f>
        <v/>
      </c>
      <c r="J60" s="242"/>
      <c r="K60" s="142">
        <f>F57-F58</f>
      </c>
    </row>
    <row r="61" spans="1:24" ht="15.75" customHeight="1" x14ac:dyDescent="0.2">
      <c r="A61" s="17"/>
      <c r="B61" s="17" t="str">
        <f>_xlfn.SINGLE(MTCA)</f>
      </c>
      <c r="C61" s="17"/>
      <c r="D61" s="17" t="str">
        <f>ver</f>
        <v>TA2_e-CO_2025_Ver 1.1</v>
      </c>
      <c r="E61" s="17"/>
      <c r="F61" s="17"/>
      <c r="G61" s="17"/>
      <c r="H61" s="17"/>
      <c r="I61" s="536" t="s">
        <v>1479</v>
      </c>
      <c r="J61" s="242"/>
      <c r="Q61" s="142"/>
      <c r="R61" s="142"/>
      <c r="S61" s="142"/>
      <c r="T61" s="142"/>
      <c r="U61" s="142"/>
      <c r="V61" s="142"/>
      <c r="W61" s="142"/>
      <c r="X61" s="142"/>
    </row>
    <row r="62" spans="1:24" ht="16.149999999999999" customHeight="1" x14ac:dyDescent="0.2">
      <c r="A62" s="17"/>
      <c r="B62" s="4408"/>
      <c r="C62" s="4408"/>
      <c r="D62" s="4408"/>
      <c r="E62" s="4408"/>
      <c r="F62" s="4408"/>
      <c r="G62" s="4408"/>
      <c r="H62" s="4408"/>
      <c r="I62" s="64"/>
      <c r="J62" s="242"/>
      <c r="Q62" s="142"/>
      <c r="R62" s="142"/>
      <c r="S62" s="142"/>
      <c r="T62" s="142"/>
      <c r="U62" s="142"/>
      <c r="V62" s="142"/>
      <c r="W62" s="142"/>
      <c r="X62" s="142"/>
    </row>
    <row r="63" spans="1:24" ht="12.75" x14ac:dyDescent="0.2">
      <c r="A63" s="17"/>
      <c r="B63" s="17"/>
      <c r="C63" s="17"/>
      <c r="D63" s="17"/>
      <c r="E63" s="17"/>
      <c r="F63" s="17"/>
      <c r="G63" s="17"/>
      <c r="H63" s="17"/>
      <c r="I63" s="17"/>
      <c r="J63" s="242"/>
      <c r="Q63" s="142"/>
      <c r="R63" s="142"/>
      <c r="S63" s="142"/>
      <c r="T63" s="142"/>
      <c r="U63" s="142"/>
      <c r="V63" s="142"/>
      <c r="W63" s="142"/>
      <c r="X63" s="142"/>
    </row>
    <row r="64" spans="1:24" ht="15" x14ac:dyDescent="0.2">
      <c r="A64" s="781">
        <v>2</v>
      </c>
      <c r="B64" s="4645" t="s">
        <v>5196</v>
      </c>
      <c r="C64" s="4645"/>
      <c r="D64" s="4645"/>
      <c r="E64" s="4645"/>
      <c r="F64" s="4645"/>
      <c r="G64" s="4645"/>
      <c r="H64" s="4645"/>
      <c r="I64" s="4645"/>
      <c r="J64" s="242"/>
      <c r="K64" s="62"/>
      <c r="L64" s="62"/>
      <c r="Q64" s="142"/>
      <c r="R64" s="142"/>
      <c r="S64" s="142"/>
      <c r="T64" s="142"/>
      <c r="U64" s="142"/>
      <c r="V64" s="142"/>
      <c r="W64" s="142"/>
      <c r="X64" s="142"/>
    </row>
    <row r="65" spans="1:24" ht="6" customHeight="1" x14ac:dyDescent="0.2">
      <c r="A65" s="242"/>
      <c r="B65" s="242"/>
      <c r="C65" s="242"/>
      <c r="D65" s="242"/>
      <c r="E65" s="242"/>
      <c r="F65" s="242"/>
      <c r="G65" s="242"/>
      <c r="H65" s="242"/>
      <c r="I65" s="242"/>
      <c r="J65" s="242"/>
      <c r="K65" s="62"/>
      <c r="L65" s="62"/>
      <c r="Q65" s="142"/>
      <c r="R65" s="142"/>
      <c r="S65" s="142"/>
      <c r="T65" s="142"/>
      <c r="U65" s="142"/>
      <c r="V65" s="142"/>
      <c r="W65" s="142"/>
      <c r="X65" s="142"/>
    </row>
    <row r="66" spans="1:24" s="142" customFormat="1" ht="14.25" x14ac:dyDescent="0.2">
      <c r="A66" s="242"/>
      <c r="B66" s="3574" t="s">
        <v>9959</v>
      </c>
      <c r="C66" s="242"/>
      <c r="D66" s="242"/>
      <c r="E66" s="20"/>
      <c r="F66" s="569"/>
      <c r="G66" s="572" t="str">
        <f>IF(L90=0,"",IF(AND($P$1="n",F66&lt;&gt;""),"No details required!",IF(AND($P$1="y",ISBLANK(F66)),"Required !","")))</f>
        <v/>
      </c>
      <c r="H66" s="242"/>
      <c r="I66" s="242"/>
      <c r="J66" s="242"/>
      <c r="L66" s="142">
        <f>IF(ISBLANK(F66),0,1)</f>
      </c>
      <c r="M66" s="167">
        <f>IF(G66=$M$1,0,1)</f>
      </c>
    </row>
    <row r="67" spans="1:24" ht="6" customHeight="1" x14ac:dyDescent="0.2">
      <c r="A67" s="242"/>
      <c r="B67" s="242"/>
      <c r="C67" s="242"/>
      <c r="D67" s="242"/>
      <c r="E67" s="20"/>
      <c r="F67" s="242"/>
      <c r="G67" s="242"/>
      <c r="H67" s="242"/>
      <c r="I67" s="242"/>
      <c r="J67" s="242"/>
      <c r="K67" s="62"/>
      <c r="L67" s="62"/>
      <c r="Q67" s="142"/>
      <c r="R67" s="142"/>
      <c r="S67" s="142"/>
      <c r="T67" s="142"/>
      <c r="U67" s="142"/>
      <c r="V67" s="142"/>
      <c r="W67" s="142"/>
      <c r="X67" s="142"/>
    </row>
    <row r="68" spans="1:24" ht="14.25" customHeight="1" x14ac:dyDescent="0.2">
      <c r="A68" s="242"/>
      <c r="B68" s="4641" t="s">
        <v>10035</v>
      </c>
      <c r="C68" s="4641"/>
      <c r="D68" s="4641"/>
      <c r="E68" s="4641"/>
      <c r="F68" s="569"/>
      <c r="G68" s="572" t="str">
        <f>IF(L90=0,"",IF(ISBLANK(F68),"Required!",IF(AND($P$3="n",F68="yes"),"Check Pg2 Q32!","")))</f>
        <v/>
      </c>
      <c r="H68" s="242"/>
      <c r="I68" s="242"/>
      <c r="J68" s="242"/>
      <c r="K68" s="62"/>
      <c r="L68" s="142">
        <f>IF(ISBLANK(F68),0,1)</f>
      </c>
      <c r="M68" s="167">
        <f>IF(G68=$M$1,0,1)</f>
      </c>
      <c r="N68" s="142">
        <f>IF(AND($P$3="n",F68="yes"),1,0)</f>
      </c>
      <c r="Q68" s="142"/>
      <c r="R68" s="142"/>
      <c r="S68" s="142"/>
      <c r="T68" s="142"/>
      <c r="U68" s="142"/>
      <c r="V68" s="142"/>
      <c r="W68" s="142"/>
      <c r="X68" s="142"/>
    </row>
    <row r="69" spans="1:24" ht="12.75" x14ac:dyDescent="0.2">
      <c r="A69" s="242"/>
      <c r="B69" s="4642" t="s">
        <v>10036</v>
      </c>
      <c r="C69" s="4642"/>
      <c r="D69" s="4642"/>
      <c r="E69" s="4642"/>
      <c r="F69" s="242"/>
      <c r="G69" s="242"/>
      <c r="H69" s="242"/>
      <c r="I69" s="242"/>
      <c r="J69" s="242"/>
      <c r="K69" s="62"/>
      <c r="L69" s="62"/>
      <c r="Q69" s="142"/>
      <c r="R69" s="142"/>
      <c r="S69" s="142"/>
      <c r="T69" s="142"/>
      <c r="U69" s="142"/>
      <c r="V69" s="142"/>
      <c r="W69" s="142"/>
      <c r="X69" s="142"/>
    </row>
    <row r="70" spans="1:24" ht="3" customHeight="1" x14ac:dyDescent="0.2">
      <c r="A70" s="242"/>
      <c r="B70" s="242"/>
      <c r="C70" s="242"/>
      <c r="D70" s="242"/>
      <c r="E70" s="20"/>
      <c r="F70" s="242"/>
      <c r="G70" s="242"/>
      <c r="H70" s="242"/>
      <c r="I70" s="242"/>
      <c r="J70" s="242"/>
      <c r="K70" s="62"/>
      <c r="L70" s="62"/>
      <c r="Q70" s="142"/>
      <c r="R70" s="142"/>
      <c r="S70" s="142"/>
      <c r="T70" s="142"/>
      <c r="U70" s="142"/>
      <c r="V70" s="142"/>
      <c r="W70" s="142"/>
      <c r="X70" s="142"/>
    </row>
    <row r="71" spans="1:24" ht="12.75" hidden="1" x14ac:dyDescent="0.2">
      <c r="A71" s="242"/>
      <c r="B71" s="242"/>
      <c r="C71" s="242"/>
      <c r="D71" s="242"/>
      <c r="E71" s="20"/>
      <c r="F71" s="242"/>
      <c r="G71" s="242"/>
      <c r="H71" s="242"/>
      <c r="I71" s="242"/>
      <c r="J71" s="242"/>
      <c r="K71" s="62"/>
      <c r="L71" s="62"/>
      <c r="Q71" s="142"/>
      <c r="R71" s="142"/>
      <c r="S71" s="142"/>
      <c r="T71" s="142"/>
      <c r="U71" s="142"/>
      <c r="V71" s="142"/>
      <c r="W71" s="142"/>
      <c r="X71" s="142"/>
    </row>
    <row r="72" spans="1:24" ht="12.75" hidden="1" x14ac:dyDescent="0.2">
      <c r="A72" s="242"/>
      <c r="B72" s="242"/>
      <c r="C72" s="242"/>
      <c r="D72" s="242"/>
      <c r="E72" s="20"/>
      <c r="F72" s="242"/>
      <c r="G72" s="242"/>
      <c r="H72" s="242"/>
      <c r="I72" s="242"/>
      <c r="J72" s="242"/>
      <c r="K72" s="62"/>
      <c r="L72" s="62"/>
      <c r="Q72" s="142"/>
      <c r="R72" s="142"/>
      <c r="S72" s="142"/>
      <c r="T72" s="142"/>
      <c r="U72" s="142"/>
      <c r="V72" s="142"/>
      <c r="W72" s="142"/>
      <c r="X72" s="142"/>
    </row>
    <row r="73" spans="1:24" ht="12.75" hidden="1" x14ac:dyDescent="0.2">
      <c r="A73" s="242"/>
      <c r="B73" s="242"/>
      <c r="C73" s="242"/>
      <c r="D73" s="242"/>
      <c r="E73" s="20"/>
      <c r="F73" s="242"/>
      <c r="G73" s="242"/>
      <c r="H73" s="242"/>
      <c r="I73" s="242"/>
      <c r="J73" s="242"/>
      <c r="K73" s="62"/>
      <c r="L73" s="62"/>
      <c r="Q73" s="142"/>
      <c r="R73" s="142"/>
      <c r="S73" s="142"/>
      <c r="T73" s="142"/>
      <c r="U73" s="142"/>
      <c r="V73" s="142"/>
      <c r="W73" s="142"/>
      <c r="X73" s="142"/>
    </row>
    <row r="74" spans="1:24" ht="12.75" hidden="1" x14ac:dyDescent="0.2">
      <c r="A74" s="242"/>
      <c r="B74" s="242"/>
      <c r="C74" s="242"/>
      <c r="D74" s="242"/>
      <c r="E74" s="20"/>
      <c r="F74" s="242"/>
      <c r="G74" s="242"/>
      <c r="H74" s="242"/>
      <c r="I74" s="242"/>
      <c r="J74" s="242"/>
      <c r="K74" s="62"/>
      <c r="L74" s="62"/>
      <c r="Q74" s="142"/>
      <c r="R74" s="142"/>
      <c r="S74" s="142"/>
      <c r="T74" s="142"/>
      <c r="U74" s="142"/>
      <c r="V74" s="142"/>
      <c r="W74" s="142"/>
      <c r="X74" s="142"/>
    </row>
    <row r="75" spans="1:24" ht="12.75" hidden="1" x14ac:dyDescent="0.2">
      <c r="A75" s="242"/>
      <c r="B75" s="242"/>
      <c r="C75" s="242"/>
      <c r="D75" s="242"/>
      <c r="E75" s="20"/>
      <c r="F75" s="242"/>
      <c r="G75" s="242"/>
      <c r="H75" s="242"/>
      <c r="I75" s="242"/>
      <c r="J75" s="242"/>
      <c r="K75" s="62"/>
      <c r="L75" s="62"/>
      <c r="Q75" s="142"/>
      <c r="R75" s="142"/>
      <c r="S75" s="142"/>
      <c r="T75" s="142"/>
      <c r="U75" s="142"/>
      <c r="V75" s="142"/>
      <c r="W75" s="142"/>
      <c r="X75" s="142"/>
    </row>
    <row r="76" spans="1:24" ht="12.75" hidden="1" x14ac:dyDescent="0.2">
      <c r="A76" s="242"/>
      <c r="B76" s="242"/>
      <c r="C76" s="242"/>
      <c r="D76" s="242"/>
      <c r="E76" s="20"/>
      <c r="F76" s="242"/>
      <c r="G76" s="242"/>
      <c r="H76" s="242"/>
      <c r="I76" s="242"/>
      <c r="J76" s="242"/>
      <c r="K76" s="62"/>
      <c r="L76" s="62"/>
      <c r="Q76" s="142"/>
      <c r="R76" s="142"/>
      <c r="S76" s="142"/>
      <c r="T76" s="142"/>
      <c r="U76" s="142"/>
      <c r="V76" s="142"/>
      <c r="W76" s="142"/>
      <c r="X76" s="142"/>
    </row>
    <row r="77" spans="1:24" ht="12.75" hidden="1" x14ac:dyDescent="0.2">
      <c r="A77" s="242"/>
      <c r="B77" s="242"/>
      <c r="C77" s="242"/>
      <c r="D77" s="242"/>
      <c r="E77" s="20"/>
      <c r="F77" s="242"/>
      <c r="G77" s="242"/>
      <c r="H77" s="242"/>
      <c r="I77" s="242"/>
      <c r="J77" s="242"/>
      <c r="K77" s="62"/>
      <c r="L77" s="62"/>
      <c r="Q77" s="142"/>
      <c r="R77" s="142"/>
      <c r="S77" s="142"/>
      <c r="T77" s="142"/>
      <c r="U77" s="142"/>
      <c r="V77" s="142"/>
      <c r="W77" s="142"/>
      <c r="X77" s="142"/>
    </row>
    <row r="78" spans="1:24" ht="12.75" hidden="1" x14ac:dyDescent="0.2">
      <c r="A78" s="242"/>
      <c r="B78" s="242"/>
      <c r="C78" s="242"/>
      <c r="D78" s="242"/>
      <c r="E78" s="20"/>
      <c r="F78" s="242"/>
      <c r="G78" s="242"/>
      <c r="H78" s="242"/>
      <c r="I78" s="242"/>
      <c r="J78" s="242"/>
      <c r="K78" s="62"/>
      <c r="L78" s="62"/>
      <c r="Q78" s="142"/>
      <c r="R78" s="142"/>
      <c r="S78" s="142"/>
      <c r="T78" s="142"/>
      <c r="U78" s="142"/>
      <c r="V78" s="142"/>
      <c r="W78" s="142"/>
      <c r="X78" s="142"/>
    </row>
    <row r="79" spans="1:24" ht="12.75" hidden="1" x14ac:dyDescent="0.2">
      <c r="A79" s="242"/>
      <c r="B79" s="242"/>
      <c r="C79" s="242"/>
      <c r="D79" s="242"/>
      <c r="E79" s="20"/>
      <c r="F79" s="242"/>
      <c r="G79" s="242"/>
      <c r="H79" s="242"/>
      <c r="I79" s="242"/>
      <c r="J79" s="242"/>
      <c r="K79" s="62"/>
      <c r="L79" s="62"/>
      <c r="Q79" s="142"/>
      <c r="R79" s="142"/>
      <c r="S79" s="142"/>
      <c r="T79" s="142"/>
      <c r="U79" s="142"/>
      <c r="V79" s="142"/>
      <c r="W79" s="142"/>
      <c r="X79" s="142"/>
    </row>
    <row r="80" spans="1:24" ht="15" x14ac:dyDescent="0.2">
      <c r="A80" s="17"/>
      <c r="B80" s="564" t="str">
        <f>IF(N81=1,"Details of property deemed to be transferred ","Details of property sold")</f>
      </c>
      <c r="C80" s="564"/>
      <c r="D80" s="564"/>
      <c r="E80" s="20"/>
      <c r="F80" s="20"/>
      <c r="G80" s="20"/>
      <c r="H80" s="20"/>
      <c r="I80" s="20"/>
      <c r="J80" s="242"/>
      <c r="Q80" s="142"/>
      <c r="R80" s="142"/>
      <c r="S80" s="142"/>
      <c r="T80" s="142"/>
      <c r="U80" s="142"/>
      <c r="V80" s="142"/>
      <c r="W80" s="142"/>
      <c r="X80" s="142"/>
    </row>
    <row r="81" spans="1:24" ht="15" x14ac:dyDescent="0.2">
      <c r="A81" s="17"/>
      <c r="B81" s="565" t="s">
        <v>3331</v>
      </c>
      <c r="C81" s="565"/>
      <c r="D81" s="566" t="str">
        <f>IF(L90=0,"",IF(ISBLANK(E81),"Required!",""))</f>
        <v/>
      </c>
      <c r="E81" s="4646"/>
      <c r="F81" s="4646"/>
      <c r="G81" s="4646"/>
      <c r="H81" s="4646"/>
      <c r="I81" s="4646"/>
      <c r="J81" s="242"/>
      <c r="L81" s="46">
        <f>IF(ISBLANK(E81),0,1)</f>
      </c>
      <c r="M81" s="167">
        <f>IF(D81=$M$1,0,1)</f>
      </c>
      <c r="N81" s="142">
        <f>IF(AND(F68="yes",$P$3="y"),1,0)</f>
      </c>
      <c r="Q81" s="142"/>
      <c r="R81" s="142"/>
      <c r="S81" s="142"/>
      <c r="T81" s="142"/>
      <c r="U81" s="142"/>
      <c r="V81" s="142"/>
      <c r="W81" s="142"/>
      <c r="X81" s="142"/>
    </row>
    <row r="82" spans="1:24" ht="6" customHeight="1" x14ac:dyDescent="0.2">
      <c r="A82" s="17"/>
      <c r="B82" s="565"/>
      <c r="C82" s="565"/>
      <c r="D82" s="565"/>
      <c r="E82" s="185"/>
      <c r="F82" s="185"/>
      <c r="G82" s="185"/>
      <c r="H82" s="185"/>
      <c r="I82" s="185"/>
      <c r="J82" s="242"/>
      <c r="M82" s="28"/>
      <c r="Q82" s="142"/>
      <c r="R82" s="142"/>
      <c r="S82" s="142"/>
      <c r="T82" s="142"/>
      <c r="U82" s="142"/>
      <c r="V82" s="142"/>
      <c r="W82" s="142"/>
      <c r="X82" s="142"/>
    </row>
    <row r="83" spans="1:24" ht="14.25" x14ac:dyDescent="0.2">
      <c r="A83" s="17"/>
      <c r="B83" s="567" t="str">
        <f>IF(N81=1,"Year of transfer [Basis Year]","Year of sale [Basis Year]")</f>
      </c>
      <c r="C83" s="567"/>
      <c r="D83" s="566" t="str">
        <f>IF(L90=0,"",IF(ISBLANK(E83),"Required!",""))</f>
        <v/>
      </c>
      <c r="E83" s="568"/>
      <c r="F83" s="4643" t="s">
        <v>3332</v>
      </c>
      <c r="G83" s="4644"/>
      <c r="H83" s="569"/>
      <c r="I83" s="570" t="str">
        <f>IF(L90=0,"",IF(ISBLANK(H83),"A/c ?",""))</f>
        <v/>
      </c>
      <c r="J83" s="242"/>
      <c r="L83" s="46">
        <f>IF(ISBLANK(E83),0,1)</f>
      </c>
      <c r="M83" s="28">
        <f>IF(I83=$M$1,0,1)</f>
      </c>
      <c r="Q83" s="142"/>
      <c r="R83" s="142"/>
      <c r="S83" s="142"/>
      <c r="T83" s="142"/>
      <c r="U83" s="142"/>
      <c r="V83" s="142"/>
      <c r="W83" s="142"/>
      <c r="X83" s="142"/>
    </row>
    <row r="84" spans="1:24" ht="6" customHeight="1" x14ac:dyDescent="0.2">
      <c r="A84" s="17"/>
      <c r="B84" s="565"/>
      <c r="C84" s="565"/>
      <c r="D84" s="565"/>
      <c r="E84" s="20"/>
      <c r="F84" s="20"/>
      <c r="G84" s="20"/>
      <c r="H84" s="20"/>
      <c r="I84" s="20"/>
      <c r="J84" s="242"/>
      <c r="L84" s="46">
        <f>IF(ISBLANK(H83),0,1)</f>
      </c>
      <c r="M84" s="167">
        <f>IF(D83=$M$1,0,1)</f>
      </c>
      <c r="Q84" s="142"/>
      <c r="R84" s="142"/>
      <c r="S84" s="142"/>
      <c r="T84" s="142"/>
      <c r="U84" s="142"/>
      <c r="V84" s="142"/>
      <c r="W84" s="142"/>
      <c r="X84" s="142"/>
    </row>
    <row r="85" spans="1:24" ht="15" x14ac:dyDescent="0.2">
      <c r="A85" s="17"/>
      <c r="B85" s="564" t="str">
        <f>IF(N81=1,"Market value of property","Selling price of property")</f>
      </c>
      <c r="C85" s="564"/>
      <c r="D85" s="566" t="str">
        <f>IF($L$90=0,"",IF(ISBLANK(E85),"Required!",""))</f>
        <v/>
      </c>
      <c r="E85" s="571"/>
      <c r="F85" s="3618"/>
      <c r="G85" s="573"/>
      <c r="H85" s="574"/>
      <c r="I85" s="20"/>
      <c r="J85" s="242"/>
      <c r="L85" s="46">
        <f>IF(ISBLANK(E85),0,1)</f>
      </c>
      <c r="M85" s="28">
        <f>IF(D85=$M$1,0,1)</f>
      </c>
      <c r="Q85" s="142"/>
      <c r="R85" s="142"/>
      <c r="S85" s="142"/>
      <c r="T85" s="142"/>
      <c r="U85" s="142"/>
      <c r="V85" s="142"/>
      <c r="W85" s="142"/>
      <c r="X85" s="142"/>
    </row>
    <row r="86" spans="1:24" ht="6.75" customHeight="1" x14ac:dyDescent="0.2">
      <c r="A86" s="17"/>
      <c r="B86" s="565"/>
      <c r="C86" s="565"/>
      <c r="D86" s="565"/>
      <c r="E86" s="20"/>
      <c r="F86" s="20"/>
      <c r="G86" s="573"/>
      <c r="H86" s="574"/>
      <c r="I86" s="20"/>
      <c r="J86" s="242"/>
      <c r="M86" s="28"/>
      <c r="Q86" s="142"/>
      <c r="R86" s="142"/>
      <c r="S86" s="142"/>
      <c r="T86" s="142"/>
      <c r="U86" s="142"/>
      <c r="V86" s="142"/>
      <c r="W86" s="142"/>
      <c r="X86" s="142"/>
    </row>
    <row r="87" spans="1:24" ht="15" x14ac:dyDescent="0.2">
      <c r="A87" s="17"/>
      <c r="B87" s="564" t="s">
        <v>3333</v>
      </c>
      <c r="C87" s="564"/>
      <c r="D87" s="566" t="str">
        <f>IF(N88=1,"Delete!","")</f>
        <v/>
      </c>
      <c r="E87" s="571"/>
      <c r="F87" s="20"/>
      <c r="G87" s="573" t="s">
        <v>3213</v>
      </c>
      <c r="H87" s="575"/>
      <c r="I87" s="570" t="str">
        <f>IF(L90=0,"",IF(AND(N81=1,H87&lt;&gt;""),"Delete!",IF(N81=1,"",IF(ISBLANK(H87),"Date ?",""))))</f>
        <v/>
      </c>
      <c r="J87" s="242"/>
      <c r="L87" s="46">
        <f>IF(ISBLANK(E87),0,1)</f>
      </c>
      <c r="M87" s="142">
        <f>IF(I87=$M$1,0,1)</f>
      </c>
      <c r="N87" s="142">
        <f>IF(AND(N81=1,H87&lt;&gt;""),1,0)</f>
      </c>
      <c r="Q87" s="142"/>
      <c r="R87" s="142"/>
      <c r="S87" s="142"/>
      <c r="T87" s="142"/>
      <c r="U87" s="142"/>
      <c r="V87" s="142"/>
      <c r="W87" s="142"/>
      <c r="X87" s="142"/>
    </row>
    <row r="88" spans="1:24" ht="4.5" customHeight="1" x14ac:dyDescent="0.2">
      <c r="A88" s="17"/>
      <c r="B88" s="565"/>
      <c r="C88" s="565"/>
      <c r="D88" s="565"/>
      <c r="E88" s="576"/>
      <c r="F88" s="20"/>
      <c r="G88" s="573"/>
      <c r="H88" s="574"/>
      <c r="I88" s="20"/>
      <c r="J88" s="242"/>
      <c r="L88" s="142">
        <f>IF(ISBLANK(H87),0,1)</f>
      </c>
      <c r="M88" s="142">
        <f>IF(D87=$M$1,0,1)</f>
      </c>
      <c r="N88" s="142">
        <f>IF(AND(N81=1,E87&lt;&gt;0),1,0)</f>
      </c>
      <c r="Q88" s="142"/>
      <c r="R88" s="142"/>
      <c r="S88" s="142"/>
      <c r="T88" s="142"/>
      <c r="U88" s="142"/>
      <c r="V88" s="142"/>
      <c r="W88" s="142"/>
      <c r="X88" s="142"/>
    </row>
    <row r="89" spans="1:24" ht="15" x14ac:dyDescent="0.2">
      <c r="A89" s="17"/>
      <c r="B89" s="4647" t="s">
        <v>4245</v>
      </c>
      <c r="C89" s="4647"/>
      <c r="D89" s="4647"/>
      <c r="E89" s="4649" t="s">
        <v>1511</v>
      </c>
      <c r="F89" s="4649"/>
      <c r="G89" s="577"/>
      <c r="H89" s="574"/>
      <c r="I89" s="20"/>
      <c r="J89" s="242"/>
      <c r="M89" s="28">
        <f>IF(G89=$M$1,0,1)</f>
      </c>
      <c r="Q89" s="142"/>
      <c r="R89" s="142"/>
      <c r="S89" s="142"/>
      <c r="T89" s="142"/>
      <c r="U89" s="142"/>
      <c r="V89" s="142"/>
      <c r="W89" s="142"/>
      <c r="X89" s="142"/>
    </row>
    <row r="90" spans="1:24" ht="6.75" customHeight="1" x14ac:dyDescent="0.2">
      <c r="A90" s="17"/>
      <c r="B90" s="17"/>
      <c r="C90" s="17"/>
      <c r="D90" s="578"/>
      <c r="E90" s="579"/>
      <c r="F90" s="17"/>
      <c r="G90" s="580"/>
      <c r="H90" s="578"/>
      <c r="I90" s="17"/>
      <c r="J90" s="242"/>
      <c r="L90" s="46">
        <f>SUM(L66:L89)</f>
      </c>
      <c r="M90" s="28"/>
      <c r="Q90" s="142"/>
      <c r="R90" s="142"/>
      <c r="S90" s="142"/>
      <c r="T90" s="142"/>
      <c r="U90" s="142"/>
      <c r="V90" s="142"/>
      <c r="W90" s="142"/>
      <c r="X90" s="142"/>
    </row>
    <row r="91" spans="1:24" ht="22.5" x14ac:dyDescent="0.2">
      <c r="A91" s="17"/>
      <c r="B91" s="581" t="s">
        <v>4244</v>
      </c>
      <c r="C91" s="581" t="s">
        <v>4246</v>
      </c>
      <c r="D91" s="582" t="s">
        <v>1475</v>
      </c>
      <c r="E91" s="583" t="s">
        <v>1476</v>
      </c>
      <c r="F91" s="269" t="s">
        <v>1477</v>
      </c>
      <c r="G91" s="17"/>
      <c r="H91" s="584"/>
      <c r="I91" s="17"/>
      <c r="J91" s="242"/>
      <c r="M91" s="28"/>
      <c r="Q91" s="142"/>
      <c r="R91" s="142"/>
      <c r="S91" s="142"/>
      <c r="T91" s="142"/>
      <c r="U91" s="142"/>
      <c r="V91" s="142"/>
      <c r="W91" s="142"/>
      <c r="X91" s="142"/>
    </row>
    <row r="92" spans="1:24" ht="16.149999999999999" customHeight="1" x14ac:dyDescent="0.2">
      <c r="A92" s="17"/>
      <c r="B92" s="431"/>
      <c r="C92" s="297"/>
      <c r="D92" s="297"/>
      <c r="E92" s="297"/>
      <c r="F92" s="297"/>
      <c r="G92" s="222" t="str">
        <f>IF(L90=0,"",IF(L92=5,"","All details !"))</f>
        <v/>
      </c>
      <c r="H92" s="17"/>
      <c r="I92" s="17"/>
      <c r="J92" s="242"/>
      <c r="L92" s="46">
        <f t="shared" ref="L92:L117" si="3">COUNT(B92:F92)</f>
      </c>
      <c r="M92" s="28">
        <f t="shared" ref="M92:M118" si="4">IF(G92=$M$1,0,1)</f>
      </c>
      <c r="Q92" s="142"/>
      <c r="R92" s="142"/>
      <c r="S92" s="142"/>
      <c r="T92" s="142"/>
      <c r="U92" s="142"/>
      <c r="V92" s="142"/>
      <c r="W92" s="142"/>
      <c r="X92" s="142"/>
    </row>
    <row r="93" spans="1:24" ht="16.149999999999999" customHeight="1" x14ac:dyDescent="0.2">
      <c r="A93" s="17"/>
      <c r="B93" s="431"/>
      <c r="C93" s="297"/>
      <c r="D93" s="297"/>
      <c r="E93" s="297"/>
      <c r="F93" s="297"/>
      <c r="G93" s="222" t="str">
        <f t="shared" ref="G93:G117" si="5">IF(L93=0,"",IF(L93=5,"","All details !"))</f>
        <v/>
      </c>
      <c r="H93" s="17"/>
      <c r="I93" s="17"/>
      <c r="J93" s="242"/>
      <c r="L93" s="46">
        <f t="shared" si="3"/>
        <v>0</v>
      </c>
      <c r="M93" s="28">
        <f t="shared" si="4"/>
        <v>0</v>
      </c>
      <c r="Q93" s="142"/>
      <c r="R93" s="142"/>
      <c r="S93" s="142"/>
      <c r="T93" s="142"/>
      <c r="U93" s="142"/>
      <c r="V93" s="142"/>
      <c r="W93" s="142"/>
      <c r="X93" s="142"/>
    </row>
    <row r="94" spans="1:24" ht="16.149999999999999" customHeight="1" x14ac:dyDescent="0.2">
      <c r="A94" s="17"/>
      <c r="B94" s="431"/>
      <c r="C94" s="297"/>
      <c r="D94" s="297"/>
      <c r="E94" s="297"/>
      <c r="F94" s="297"/>
      <c r="G94" s="222" t="str">
        <f t="shared" si="5"/>
        <v/>
      </c>
      <c r="H94" s="17"/>
      <c r="I94" s="17"/>
      <c r="J94" s="242"/>
      <c r="L94" s="46">
        <f t="shared" si="3"/>
        <v>0</v>
      </c>
      <c r="M94" s="28">
        <f t="shared" si="4"/>
        <v>0</v>
      </c>
      <c r="Q94" s="142"/>
      <c r="R94" s="142"/>
      <c r="S94" s="142"/>
      <c r="T94" s="142"/>
      <c r="U94" s="142"/>
      <c r="V94" s="142"/>
      <c r="W94" s="142"/>
      <c r="X94" s="142"/>
    </row>
    <row r="95" spans="1:24" ht="16.149999999999999" customHeight="1" x14ac:dyDescent="0.2">
      <c r="A95" s="17"/>
      <c r="B95" s="431"/>
      <c r="C95" s="297"/>
      <c r="D95" s="297"/>
      <c r="E95" s="297"/>
      <c r="F95" s="297"/>
      <c r="G95" s="222" t="str">
        <f t="shared" si="5"/>
        <v/>
      </c>
      <c r="H95" s="17"/>
      <c r="I95" s="17"/>
      <c r="J95" s="242"/>
      <c r="L95" s="46">
        <f t="shared" si="3"/>
        <v>0</v>
      </c>
      <c r="M95" s="28">
        <f t="shared" si="4"/>
        <v>0</v>
      </c>
      <c r="Q95" s="142"/>
      <c r="R95" s="142"/>
      <c r="S95" s="142"/>
      <c r="T95" s="142"/>
      <c r="U95" s="142"/>
      <c r="V95" s="142"/>
      <c r="W95" s="142"/>
      <c r="X95" s="142"/>
    </row>
    <row r="96" spans="1:24" ht="16.149999999999999" customHeight="1" x14ac:dyDescent="0.2">
      <c r="A96" s="17"/>
      <c r="B96" s="431"/>
      <c r="C96" s="297"/>
      <c r="D96" s="297"/>
      <c r="E96" s="297"/>
      <c r="F96" s="297"/>
      <c r="G96" s="222" t="str">
        <f t="shared" si="5"/>
        <v/>
      </c>
      <c r="H96" s="17"/>
      <c r="I96" s="17"/>
      <c r="J96" s="242"/>
      <c r="L96" s="46">
        <f t="shared" si="3"/>
        <v>0</v>
      </c>
      <c r="M96" s="28">
        <f t="shared" si="4"/>
        <v>0</v>
      </c>
      <c r="Q96" s="142"/>
      <c r="R96" s="142"/>
      <c r="S96" s="142"/>
      <c r="T96" s="142"/>
      <c r="U96" s="142"/>
      <c r="V96" s="142"/>
      <c r="W96" s="142"/>
      <c r="X96" s="142"/>
    </row>
    <row r="97" spans="1:24" ht="16.149999999999999" customHeight="1" x14ac:dyDescent="0.2">
      <c r="A97" s="17"/>
      <c r="B97" s="431"/>
      <c r="C97" s="297"/>
      <c r="D97" s="297"/>
      <c r="E97" s="297"/>
      <c r="F97" s="297"/>
      <c r="G97" s="222" t="str">
        <f t="shared" si="5"/>
        <v/>
      </c>
      <c r="H97" s="17"/>
      <c r="I97" s="17"/>
      <c r="J97" s="242"/>
      <c r="L97" s="46">
        <f t="shared" si="3"/>
        <v>0</v>
      </c>
      <c r="M97" s="28">
        <f t="shared" si="4"/>
        <v>0</v>
      </c>
      <c r="Q97" s="142"/>
      <c r="R97" s="142"/>
      <c r="S97" s="142"/>
      <c r="T97" s="142"/>
      <c r="U97" s="142"/>
      <c r="V97" s="142"/>
      <c r="W97" s="142"/>
      <c r="X97" s="142"/>
    </row>
    <row r="98" spans="1:24" ht="16.149999999999999" customHeight="1" x14ac:dyDescent="0.2">
      <c r="A98" s="17"/>
      <c r="B98" s="431"/>
      <c r="C98" s="297"/>
      <c r="D98" s="297"/>
      <c r="E98" s="297"/>
      <c r="F98" s="297"/>
      <c r="G98" s="222" t="str">
        <f t="shared" si="5"/>
        <v/>
      </c>
      <c r="H98" s="17"/>
      <c r="I98" s="17"/>
      <c r="J98" s="242"/>
      <c r="L98" s="46">
        <f t="shared" si="3"/>
        <v>0</v>
      </c>
      <c r="M98" s="28">
        <f t="shared" si="4"/>
        <v>0</v>
      </c>
      <c r="Q98" s="142"/>
      <c r="R98" s="142"/>
      <c r="S98" s="142"/>
      <c r="T98" s="142"/>
      <c r="U98" s="142"/>
      <c r="V98" s="142"/>
      <c r="W98" s="142"/>
      <c r="X98" s="142"/>
    </row>
    <row r="99" spans="1:24" ht="16.149999999999999" customHeight="1" x14ac:dyDescent="0.2">
      <c r="A99" s="17"/>
      <c r="B99" s="431"/>
      <c r="C99" s="297"/>
      <c r="D99" s="297"/>
      <c r="E99" s="297"/>
      <c r="F99" s="297"/>
      <c r="G99" s="222" t="str">
        <f t="shared" si="5"/>
        <v/>
      </c>
      <c r="H99" s="17"/>
      <c r="I99" s="17"/>
      <c r="J99" s="242"/>
      <c r="L99" s="46">
        <f t="shared" si="3"/>
        <v>0</v>
      </c>
      <c r="M99" s="28">
        <f t="shared" si="4"/>
        <v>0</v>
      </c>
      <c r="Q99" s="142"/>
      <c r="R99" s="142"/>
      <c r="S99" s="142"/>
      <c r="T99" s="142"/>
      <c r="U99" s="142"/>
      <c r="V99" s="142"/>
      <c r="W99" s="142"/>
      <c r="X99" s="142"/>
    </row>
    <row r="100" spans="1:24" ht="16.149999999999999" customHeight="1" x14ac:dyDescent="0.2">
      <c r="A100" s="17"/>
      <c r="B100" s="431"/>
      <c r="C100" s="297"/>
      <c r="D100" s="297"/>
      <c r="E100" s="297"/>
      <c r="F100" s="297"/>
      <c r="G100" s="222" t="str">
        <f t="shared" si="5"/>
        <v/>
      </c>
      <c r="H100" s="17"/>
      <c r="I100" s="17"/>
      <c r="J100" s="242"/>
      <c r="L100" s="46">
        <f t="shared" si="3"/>
        <v>0</v>
      </c>
      <c r="M100" s="28">
        <f t="shared" si="4"/>
        <v>0</v>
      </c>
      <c r="Q100" s="142"/>
      <c r="R100" s="142"/>
      <c r="S100" s="142"/>
      <c r="T100" s="142"/>
      <c r="U100" s="142"/>
      <c r="V100" s="142"/>
      <c r="W100" s="142"/>
      <c r="X100" s="142"/>
    </row>
    <row r="101" spans="1:24" ht="16.149999999999999" customHeight="1" x14ac:dyDescent="0.2">
      <c r="A101" s="17"/>
      <c r="B101" s="431"/>
      <c r="C101" s="297"/>
      <c r="D101" s="297"/>
      <c r="E101" s="297"/>
      <c r="F101" s="297"/>
      <c r="G101" s="222" t="str">
        <f t="shared" si="5"/>
        <v/>
      </c>
      <c r="H101" s="17"/>
      <c r="I101" s="17"/>
      <c r="J101" s="242"/>
      <c r="L101" s="46">
        <f t="shared" si="3"/>
        <v>0</v>
      </c>
      <c r="M101" s="28">
        <f t="shared" si="4"/>
        <v>0</v>
      </c>
      <c r="Q101" s="142"/>
      <c r="R101" s="142"/>
      <c r="S101" s="142"/>
      <c r="T101" s="142"/>
      <c r="U101" s="142"/>
      <c r="V101" s="142"/>
      <c r="W101" s="142"/>
      <c r="X101" s="142"/>
    </row>
    <row r="102" spans="1:24" ht="16.149999999999999" customHeight="1" x14ac:dyDescent="0.2">
      <c r="A102" s="17"/>
      <c r="B102" s="431"/>
      <c r="C102" s="297"/>
      <c r="D102" s="297"/>
      <c r="E102" s="297"/>
      <c r="F102" s="297"/>
      <c r="G102" s="222" t="str">
        <f t="shared" si="5"/>
        <v/>
      </c>
      <c r="H102" s="17"/>
      <c r="I102" s="17"/>
      <c r="J102" s="242"/>
      <c r="L102" s="46">
        <f t="shared" si="3"/>
        <v>0</v>
      </c>
      <c r="M102" s="28">
        <f t="shared" si="4"/>
        <v>0</v>
      </c>
      <c r="Q102" s="142"/>
      <c r="R102" s="142"/>
      <c r="S102" s="142"/>
      <c r="T102" s="142"/>
      <c r="U102" s="142"/>
      <c r="V102" s="142"/>
      <c r="W102" s="142"/>
      <c r="X102" s="142"/>
    </row>
    <row r="103" spans="1:24" ht="16.149999999999999" customHeight="1" x14ac:dyDescent="0.2">
      <c r="A103" s="17"/>
      <c r="B103" s="431"/>
      <c r="C103" s="297"/>
      <c r="D103" s="297"/>
      <c r="E103" s="297"/>
      <c r="F103" s="297"/>
      <c r="G103" s="222" t="str">
        <f t="shared" si="5"/>
        <v/>
      </c>
      <c r="H103" s="17"/>
      <c r="I103" s="17"/>
      <c r="J103" s="242"/>
      <c r="L103" s="46">
        <f t="shared" si="3"/>
        <v>0</v>
      </c>
      <c r="M103" s="28">
        <f t="shared" si="4"/>
        <v>0</v>
      </c>
      <c r="Q103" s="142"/>
      <c r="R103" s="142"/>
      <c r="S103" s="142"/>
      <c r="T103" s="142"/>
      <c r="U103" s="142"/>
      <c r="V103" s="142"/>
      <c r="W103" s="142"/>
      <c r="X103" s="142"/>
    </row>
    <row r="104" spans="1:24" ht="16.149999999999999" customHeight="1" x14ac:dyDescent="0.2">
      <c r="A104" s="17"/>
      <c r="B104" s="431"/>
      <c r="C104" s="297"/>
      <c r="D104" s="297"/>
      <c r="E104" s="297"/>
      <c r="F104" s="297"/>
      <c r="G104" s="222" t="str">
        <f t="shared" si="5"/>
        <v/>
      </c>
      <c r="H104" s="17"/>
      <c r="I104" s="17"/>
      <c r="J104" s="242"/>
      <c r="L104" s="46">
        <f t="shared" si="3"/>
        <v>0</v>
      </c>
      <c r="M104" s="28">
        <f t="shared" si="4"/>
        <v>0</v>
      </c>
      <c r="Q104" s="142"/>
      <c r="R104" s="142"/>
      <c r="S104" s="142"/>
      <c r="T104" s="142"/>
      <c r="U104" s="142"/>
      <c r="V104" s="142"/>
      <c r="W104" s="142"/>
      <c r="X104" s="142"/>
    </row>
    <row r="105" spans="1:24" ht="16.149999999999999" customHeight="1" x14ac:dyDescent="0.2">
      <c r="A105" s="17"/>
      <c r="B105" s="431"/>
      <c r="C105" s="297"/>
      <c r="D105" s="297"/>
      <c r="E105" s="297"/>
      <c r="F105" s="297"/>
      <c r="G105" s="222" t="str">
        <f t="shared" si="5"/>
        <v/>
      </c>
      <c r="H105" s="17"/>
      <c r="I105" s="17"/>
      <c r="J105" s="242"/>
      <c r="L105" s="46">
        <f t="shared" si="3"/>
        <v>0</v>
      </c>
      <c r="M105" s="28">
        <f t="shared" si="4"/>
        <v>0</v>
      </c>
      <c r="Q105" s="142"/>
      <c r="R105" s="142"/>
      <c r="S105" s="142"/>
      <c r="T105" s="142"/>
      <c r="U105" s="142"/>
      <c r="V105" s="142"/>
      <c r="W105" s="142"/>
      <c r="X105" s="142"/>
    </row>
    <row r="106" spans="1:24" ht="16.149999999999999" customHeight="1" x14ac:dyDescent="0.2">
      <c r="A106" s="17"/>
      <c r="B106" s="431"/>
      <c r="C106" s="297"/>
      <c r="D106" s="297"/>
      <c r="E106" s="297"/>
      <c r="F106" s="297"/>
      <c r="G106" s="222" t="str">
        <f t="shared" si="5"/>
        <v/>
      </c>
      <c r="H106" s="17"/>
      <c r="I106" s="17"/>
      <c r="J106" s="242"/>
      <c r="L106" s="46">
        <f t="shared" si="3"/>
        <v>0</v>
      </c>
      <c r="M106" s="28">
        <f t="shared" si="4"/>
        <v>0</v>
      </c>
      <c r="Q106" s="142"/>
      <c r="R106" s="142"/>
      <c r="S106" s="142"/>
      <c r="T106" s="142"/>
      <c r="U106" s="142"/>
      <c r="V106" s="142"/>
      <c r="W106" s="142"/>
      <c r="X106" s="142"/>
    </row>
    <row r="107" spans="1:24" ht="16.149999999999999" customHeight="1" x14ac:dyDescent="0.2">
      <c r="A107" s="17"/>
      <c r="B107" s="431"/>
      <c r="C107" s="297"/>
      <c r="D107" s="297"/>
      <c r="E107" s="297"/>
      <c r="F107" s="297"/>
      <c r="G107" s="222" t="str">
        <f t="shared" si="5"/>
        <v/>
      </c>
      <c r="H107" s="17"/>
      <c r="I107" s="17"/>
      <c r="J107" s="242"/>
      <c r="L107" s="46">
        <f t="shared" si="3"/>
        <v>0</v>
      </c>
      <c r="M107" s="28">
        <f t="shared" si="4"/>
        <v>0</v>
      </c>
      <c r="Q107" s="142"/>
      <c r="R107" s="142"/>
      <c r="S107" s="142"/>
      <c r="T107" s="142"/>
      <c r="U107" s="142"/>
      <c r="V107" s="142"/>
      <c r="W107" s="142"/>
      <c r="X107" s="142"/>
    </row>
    <row r="108" spans="1:24" ht="16.149999999999999" customHeight="1" x14ac:dyDescent="0.2">
      <c r="A108" s="17"/>
      <c r="B108" s="431"/>
      <c r="C108" s="297"/>
      <c r="D108" s="297"/>
      <c r="E108" s="297"/>
      <c r="F108" s="297"/>
      <c r="G108" s="222" t="str">
        <f t="shared" si="5"/>
        <v/>
      </c>
      <c r="H108" s="17"/>
      <c r="I108" s="17"/>
      <c r="J108" s="242"/>
      <c r="L108" s="46">
        <f t="shared" si="3"/>
        <v>0</v>
      </c>
      <c r="M108" s="28">
        <f t="shared" si="4"/>
        <v>0</v>
      </c>
      <c r="Q108" s="142"/>
      <c r="R108" s="142"/>
      <c r="S108" s="142"/>
      <c r="T108" s="142"/>
      <c r="U108" s="142"/>
      <c r="V108" s="142"/>
      <c r="W108" s="142"/>
      <c r="X108" s="142"/>
    </row>
    <row r="109" spans="1:24" ht="16.149999999999999" customHeight="1" x14ac:dyDescent="0.2">
      <c r="A109" s="17"/>
      <c r="B109" s="431"/>
      <c r="C109" s="297"/>
      <c r="D109" s="297"/>
      <c r="E109" s="297"/>
      <c r="F109" s="297"/>
      <c r="G109" s="222" t="str">
        <f t="shared" si="5"/>
        <v/>
      </c>
      <c r="H109" s="17"/>
      <c r="I109" s="17"/>
      <c r="J109" s="242"/>
      <c r="L109" s="46">
        <f t="shared" si="3"/>
        <v>0</v>
      </c>
      <c r="M109" s="28">
        <f t="shared" si="4"/>
        <v>0</v>
      </c>
      <c r="Q109" s="142"/>
      <c r="R109" s="142"/>
      <c r="S109" s="142"/>
      <c r="T109" s="142"/>
      <c r="U109" s="142"/>
      <c r="V109" s="142"/>
      <c r="W109" s="142"/>
      <c r="X109" s="142"/>
    </row>
    <row r="110" spans="1:24" ht="16.149999999999999" customHeight="1" x14ac:dyDescent="0.2">
      <c r="A110" s="17"/>
      <c r="B110" s="431"/>
      <c r="C110" s="297"/>
      <c r="D110" s="297"/>
      <c r="E110" s="297"/>
      <c r="F110" s="297"/>
      <c r="G110" s="222" t="str">
        <f t="shared" si="5"/>
        <v/>
      </c>
      <c r="H110" s="17"/>
      <c r="I110" s="17"/>
      <c r="J110" s="242"/>
      <c r="L110" s="46">
        <f t="shared" si="3"/>
        <v>0</v>
      </c>
      <c r="M110" s="28">
        <f t="shared" si="4"/>
        <v>0</v>
      </c>
      <c r="Q110" s="142"/>
      <c r="R110" s="142"/>
      <c r="S110" s="142"/>
      <c r="T110" s="142"/>
      <c r="U110" s="142"/>
      <c r="V110" s="142"/>
      <c r="W110" s="142"/>
      <c r="X110" s="142"/>
    </row>
    <row r="111" spans="1:24" ht="16.149999999999999" customHeight="1" x14ac:dyDescent="0.2">
      <c r="A111" s="17"/>
      <c r="B111" s="431"/>
      <c r="C111" s="297"/>
      <c r="D111" s="297"/>
      <c r="E111" s="297"/>
      <c r="F111" s="297"/>
      <c r="G111" s="222" t="str">
        <f t="shared" si="5"/>
        <v/>
      </c>
      <c r="H111" s="17"/>
      <c r="I111" s="17"/>
      <c r="J111" s="242"/>
      <c r="L111" s="46">
        <f t="shared" si="3"/>
        <v>0</v>
      </c>
      <c r="M111" s="28">
        <f t="shared" si="4"/>
        <v>0</v>
      </c>
      <c r="Q111" s="142"/>
      <c r="R111" s="142"/>
      <c r="S111" s="142"/>
      <c r="T111" s="142"/>
      <c r="U111" s="142"/>
      <c r="V111" s="142"/>
      <c r="W111" s="142"/>
      <c r="X111" s="142"/>
    </row>
    <row r="112" spans="1:24" ht="16.149999999999999" customHeight="1" x14ac:dyDescent="0.2">
      <c r="A112" s="17"/>
      <c r="B112" s="431"/>
      <c r="C112" s="297"/>
      <c r="D112" s="297"/>
      <c r="E112" s="297"/>
      <c r="F112" s="297"/>
      <c r="G112" s="222" t="str">
        <f t="shared" si="5"/>
        <v/>
      </c>
      <c r="H112" s="17"/>
      <c r="I112" s="17"/>
      <c r="J112" s="242"/>
      <c r="L112" s="46">
        <f t="shared" si="3"/>
        <v>0</v>
      </c>
      <c r="M112" s="28">
        <f t="shared" si="4"/>
        <v>0</v>
      </c>
      <c r="Q112" s="142"/>
      <c r="R112" s="142"/>
      <c r="S112" s="142"/>
      <c r="T112" s="142"/>
      <c r="U112" s="142"/>
      <c r="V112" s="142"/>
      <c r="W112" s="142"/>
      <c r="X112" s="142"/>
    </row>
    <row r="113" spans="1:24" ht="16.149999999999999" customHeight="1" x14ac:dyDescent="0.2">
      <c r="A113" s="17"/>
      <c r="B113" s="431"/>
      <c r="C113" s="297"/>
      <c r="D113" s="297"/>
      <c r="E113" s="297"/>
      <c r="F113" s="297"/>
      <c r="G113" s="222" t="str">
        <f t="shared" si="5"/>
        <v/>
      </c>
      <c r="H113" s="17"/>
      <c r="I113" s="17"/>
      <c r="J113" s="242"/>
      <c r="L113" s="46">
        <f t="shared" si="3"/>
        <v>0</v>
      </c>
      <c r="M113" s="28">
        <f t="shared" si="4"/>
        <v>0</v>
      </c>
      <c r="Q113" s="142"/>
      <c r="R113" s="142"/>
      <c r="S113" s="142"/>
      <c r="T113" s="142"/>
      <c r="U113" s="142"/>
      <c r="V113" s="142"/>
      <c r="W113" s="142"/>
      <c r="X113" s="142"/>
    </row>
    <row r="114" spans="1:24" ht="16.149999999999999" customHeight="1" x14ac:dyDescent="0.2">
      <c r="A114" s="17"/>
      <c r="B114" s="431"/>
      <c r="C114" s="297"/>
      <c r="D114" s="297"/>
      <c r="E114" s="297"/>
      <c r="F114" s="297"/>
      <c r="G114" s="222" t="str">
        <f t="shared" si="5"/>
        <v/>
      </c>
      <c r="H114" s="17"/>
      <c r="I114" s="17"/>
      <c r="J114" s="242"/>
      <c r="L114" s="46">
        <f t="shared" si="3"/>
        <v>0</v>
      </c>
      <c r="M114" s="28">
        <f t="shared" si="4"/>
        <v>0</v>
      </c>
      <c r="Q114" s="142"/>
      <c r="R114" s="142"/>
      <c r="S114" s="142"/>
      <c r="T114" s="142"/>
      <c r="U114" s="142"/>
      <c r="V114" s="142"/>
      <c r="W114" s="142"/>
      <c r="X114" s="142"/>
    </row>
    <row r="115" spans="1:24" ht="16.149999999999999" customHeight="1" x14ac:dyDescent="0.2">
      <c r="A115" s="17"/>
      <c r="B115" s="431"/>
      <c r="C115" s="297"/>
      <c r="D115" s="297"/>
      <c r="E115" s="297"/>
      <c r="F115" s="297"/>
      <c r="G115" s="222" t="str">
        <f t="shared" si="5"/>
        <v/>
      </c>
      <c r="H115" s="17"/>
      <c r="I115" s="17"/>
      <c r="J115" s="242"/>
      <c r="L115" s="46">
        <f t="shared" si="3"/>
        <v>0</v>
      </c>
      <c r="M115" s="28">
        <f t="shared" si="4"/>
        <v>0</v>
      </c>
      <c r="Q115" s="142"/>
      <c r="R115" s="142"/>
      <c r="S115" s="142"/>
      <c r="T115" s="142"/>
      <c r="U115" s="142"/>
      <c r="V115" s="142"/>
      <c r="W115" s="142"/>
      <c r="X115" s="142"/>
    </row>
    <row r="116" spans="1:24" ht="16.149999999999999" customHeight="1" x14ac:dyDescent="0.2">
      <c r="A116" s="17"/>
      <c r="B116" s="431"/>
      <c r="C116" s="297"/>
      <c r="D116" s="297"/>
      <c r="E116" s="297"/>
      <c r="F116" s="297"/>
      <c r="G116" s="222" t="str">
        <f t="shared" si="5"/>
        <v/>
      </c>
      <c r="H116" s="17"/>
      <c r="I116" s="17"/>
      <c r="J116" s="242"/>
      <c r="L116" s="46">
        <f t="shared" si="3"/>
        <v>0</v>
      </c>
      <c r="M116" s="28">
        <f t="shared" si="4"/>
        <v>0</v>
      </c>
      <c r="Q116" s="142"/>
      <c r="R116" s="142"/>
      <c r="S116" s="142"/>
      <c r="T116" s="142"/>
      <c r="U116" s="142"/>
      <c r="V116" s="142"/>
      <c r="W116" s="142"/>
      <c r="X116" s="142"/>
    </row>
    <row r="117" spans="1:24" ht="16.149999999999999" customHeight="1" x14ac:dyDescent="0.2">
      <c r="A117" s="17"/>
      <c r="B117" s="585"/>
      <c r="C117" s="313"/>
      <c r="D117" s="313"/>
      <c r="E117" s="313"/>
      <c r="F117" s="313"/>
      <c r="G117" s="222" t="str">
        <f t="shared" si="5"/>
        <v/>
      </c>
      <c r="H117" s="17"/>
      <c r="I117" s="17"/>
      <c r="J117" s="242"/>
      <c r="L117" s="46">
        <f t="shared" si="3"/>
        <v>0</v>
      </c>
      <c r="M117" s="28">
        <f t="shared" si="4"/>
        <v>0</v>
      </c>
      <c r="Q117" s="142"/>
      <c r="R117" s="142"/>
      <c r="S117" s="142"/>
      <c r="T117" s="142"/>
      <c r="U117" s="142"/>
      <c r="V117" s="142"/>
      <c r="W117" s="142"/>
      <c r="X117" s="142"/>
    </row>
    <row r="118" spans="1:24" ht="16.149999999999999" customHeight="1" x14ac:dyDescent="0.2">
      <c r="A118" s="17"/>
      <c r="B118" s="586" t="s">
        <v>5590</v>
      </c>
      <c r="C118" s="587">
        <f>SUM(C92:C117)</f>
      </c>
      <c r="D118" s="587">
        <f>SUM(D92:D117)</f>
      </c>
      <c r="E118" s="587">
        <f>SUM(E92:E117)</f>
      </c>
      <c r="F118" s="587">
        <f>SUM(F92:F117)</f>
      </c>
      <c r="G118" s="222" t="str">
        <f>IF(D118&lt;&gt;E85,"Check Selling Price !","")</f>
        <v/>
      </c>
      <c r="H118" s="17"/>
      <c r="I118" s="17"/>
      <c r="J118" s="242"/>
      <c r="M118" s="28">
        <f t="shared" si="4"/>
        <v>0</v>
      </c>
      <c r="Q118" s="142"/>
      <c r="R118" s="142"/>
      <c r="S118" s="142"/>
      <c r="T118" s="142"/>
      <c r="U118" s="142"/>
      <c r="V118" s="142"/>
      <c r="W118" s="142"/>
      <c r="X118" s="142"/>
    </row>
    <row r="119" spans="1:24" ht="16.149999999999999" customHeight="1" x14ac:dyDescent="0.2">
      <c r="A119" s="17"/>
      <c r="B119" s="4648" t="s">
        <v>1478</v>
      </c>
      <c r="C119" s="4648"/>
      <c r="D119" s="4648"/>
      <c r="E119" s="4648"/>
      <c r="F119" s="588">
        <f>E87</f>
      </c>
      <c r="G119" s="17"/>
      <c r="H119" s="17"/>
      <c r="I119" s="17"/>
      <c r="J119" s="242"/>
      <c r="M119" s="167">
        <f>SUM(M66:M118)</f>
      </c>
      <c r="Q119" s="142"/>
      <c r="R119" s="142"/>
      <c r="S119" s="142"/>
      <c r="T119" s="142"/>
      <c r="U119" s="142"/>
      <c r="V119" s="142"/>
      <c r="W119" s="142"/>
      <c r="X119" s="142"/>
    </row>
    <row r="120" spans="1:24" ht="16.149999999999999" customHeight="1" x14ac:dyDescent="0.2">
      <c r="A120" s="17"/>
      <c r="B120" s="589"/>
      <c r="C120" s="589"/>
      <c r="D120" s="589"/>
      <c r="E120" s="589"/>
      <c r="F120" s="310"/>
      <c r="G120" s="17"/>
      <c r="H120" s="279" t="str">
        <f>ip</f>
      </c>
      <c r="I120" s="279" t="s">
        <v>2372</v>
      </c>
      <c r="J120" s="242"/>
      <c r="Q120" s="142"/>
      <c r="R120" s="142"/>
      <c r="S120" s="142"/>
      <c r="T120" s="142"/>
      <c r="U120" s="142"/>
      <c r="V120" s="142"/>
      <c r="W120" s="142"/>
      <c r="X120" s="142"/>
    </row>
    <row r="121" spans="1:24" ht="16.149999999999999" customHeight="1" x14ac:dyDescent="0.2">
      <c r="A121" s="17"/>
      <c r="B121" s="4650" t="s">
        <v>5410</v>
      </c>
      <c r="C121" s="4650"/>
      <c r="D121" s="4650"/>
      <c r="E121" s="4650"/>
      <c r="F121" s="4650"/>
      <c r="G121" s="17"/>
      <c r="H121" s="590" t="str">
        <f>IF($H83=ip,K121,"")</f>
        <v/>
      </c>
      <c r="I121" s="590" t="str">
        <f>IF($H83=fi,K121,"")</f>
        <v/>
      </c>
      <c r="J121" s="242"/>
      <c r="K121" s="236">
        <f>F118-F119</f>
      </c>
      <c r="Q121" s="142"/>
      <c r="R121" s="142"/>
      <c r="S121" s="142"/>
      <c r="T121" s="142"/>
      <c r="U121" s="142"/>
      <c r="V121" s="142"/>
      <c r="W121" s="142"/>
      <c r="X121" s="142"/>
    </row>
    <row r="122" spans="1:24" ht="12.75" x14ac:dyDescent="0.2">
      <c r="A122" s="17"/>
      <c r="B122" s="17" t="str">
        <f>_xlfn.SINGLE(MTCA)</f>
      </c>
      <c r="C122" s="17"/>
      <c r="D122" s="17" t="str">
        <f>ver</f>
        <v>TA2_e-CO_2025_Ver 1.1</v>
      </c>
      <c r="E122" s="17"/>
      <c r="F122" s="17"/>
      <c r="G122" s="17"/>
      <c r="H122" s="17"/>
      <c r="I122" s="536" t="s">
        <v>1480</v>
      </c>
      <c r="J122" s="242"/>
      <c r="Q122" s="142"/>
      <c r="R122" s="142"/>
      <c r="S122" s="142"/>
      <c r="T122" s="142"/>
      <c r="U122" s="142"/>
      <c r="V122" s="142"/>
      <c r="W122" s="142"/>
      <c r="X122" s="142"/>
    </row>
    <row r="123" spans="1:24" ht="16.149999999999999" customHeight="1" x14ac:dyDescent="0.2">
      <c r="A123" s="17"/>
      <c r="B123" s="4408"/>
      <c r="C123" s="4408"/>
      <c r="D123" s="4408"/>
      <c r="E123" s="4408"/>
      <c r="F123" s="4408"/>
      <c r="G123" s="4408"/>
      <c r="H123" s="4408"/>
      <c r="I123" s="64"/>
      <c r="J123" s="242"/>
      <c r="Q123" s="142"/>
      <c r="R123" s="142"/>
      <c r="S123" s="142"/>
      <c r="T123" s="142"/>
      <c r="U123" s="142"/>
      <c r="V123" s="142"/>
      <c r="W123" s="142"/>
      <c r="X123" s="142"/>
    </row>
    <row r="124" spans="1:24" ht="6" customHeight="1" x14ac:dyDescent="0.2">
      <c r="A124" s="17"/>
      <c r="B124" s="17"/>
      <c r="C124" s="17"/>
      <c r="D124" s="17"/>
      <c r="E124" s="17"/>
      <c r="F124" s="17"/>
      <c r="G124" s="17"/>
      <c r="H124" s="17"/>
      <c r="I124" s="17"/>
      <c r="J124" s="242"/>
      <c r="Q124" s="142"/>
      <c r="R124" s="142"/>
      <c r="S124" s="142"/>
      <c r="T124" s="142"/>
      <c r="U124" s="142"/>
      <c r="V124" s="142"/>
      <c r="W124" s="142"/>
      <c r="X124" s="142"/>
    </row>
    <row r="125" spans="1:24" ht="16.149999999999999" customHeight="1" x14ac:dyDescent="0.2">
      <c r="A125" s="781">
        <v>3</v>
      </c>
      <c r="B125" s="4645" t="s">
        <v>5196</v>
      </c>
      <c r="C125" s="4645"/>
      <c r="D125" s="4645"/>
      <c r="E125" s="4645"/>
      <c r="F125" s="4645"/>
      <c r="G125" s="4645"/>
      <c r="H125" s="4645"/>
      <c r="I125" s="4645"/>
      <c r="J125" s="242"/>
      <c r="K125" s="62"/>
      <c r="L125" s="62"/>
      <c r="Q125" s="142"/>
      <c r="R125" s="142"/>
      <c r="S125" s="142"/>
      <c r="T125" s="142"/>
      <c r="U125" s="142"/>
      <c r="V125" s="142"/>
      <c r="W125" s="142"/>
      <c r="X125" s="142"/>
    </row>
    <row r="126" spans="1:24" ht="6" customHeight="1" x14ac:dyDescent="0.2">
      <c r="A126" s="242"/>
      <c r="B126" s="242"/>
      <c r="C126" s="242"/>
      <c r="D126" s="242"/>
      <c r="E126" s="242"/>
      <c r="F126" s="242"/>
      <c r="G126" s="242"/>
      <c r="H126" s="242"/>
      <c r="I126" s="242"/>
      <c r="J126" s="242"/>
      <c r="K126" s="62"/>
      <c r="L126" s="62"/>
      <c r="Q126" s="142"/>
      <c r="R126" s="142"/>
      <c r="S126" s="142"/>
      <c r="T126" s="142"/>
      <c r="U126" s="142"/>
      <c r="V126" s="142"/>
      <c r="W126" s="142"/>
      <c r="X126" s="142"/>
    </row>
    <row r="127" spans="1:24" s="142" customFormat="1" ht="14.25" x14ac:dyDescent="0.2">
      <c r="A127" s="242"/>
      <c r="B127" s="3574" t="s">
        <v>9959</v>
      </c>
      <c r="C127" s="242"/>
      <c r="D127" s="242"/>
      <c r="E127" s="242"/>
      <c r="F127" s="569"/>
      <c r="G127" s="572" t="str">
        <f>IF(L151=0,"",IF(AND($P$1="n",F127&lt;&gt;""),"No details required!",IF(AND($P$1="y",ISBLANK(F127)),"Required !","")))</f>
        <v/>
      </c>
      <c r="H127" s="242"/>
      <c r="I127" s="242"/>
      <c r="J127" s="242"/>
      <c r="L127" s="142">
        <f>IF(ISBLANK(F127),0,1)</f>
      </c>
      <c r="M127" s="167">
        <f>IF(G127=$M$1,0,1)</f>
      </c>
    </row>
    <row r="128" spans="1:24" ht="6" customHeight="1" x14ac:dyDescent="0.2">
      <c r="A128" s="242"/>
      <c r="B128" s="242"/>
      <c r="C128" s="242"/>
      <c r="D128" s="242"/>
      <c r="E128" s="242"/>
      <c r="F128" s="242"/>
      <c r="G128" s="242"/>
      <c r="H128" s="242"/>
      <c r="I128" s="242"/>
      <c r="J128" s="242"/>
      <c r="K128" s="62"/>
      <c r="L128" s="62"/>
      <c r="Q128" s="142"/>
      <c r="R128" s="142"/>
      <c r="S128" s="142"/>
      <c r="T128" s="142"/>
      <c r="U128" s="142"/>
      <c r="V128" s="142"/>
      <c r="W128" s="142"/>
      <c r="X128" s="142"/>
    </row>
    <row r="129" spans="1:24" ht="14.25" customHeight="1" x14ac:dyDescent="0.2">
      <c r="A129" s="242"/>
      <c r="B129" s="4641" t="s">
        <v>10035</v>
      </c>
      <c r="C129" s="4641"/>
      <c r="D129" s="4641"/>
      <c r="E129" s="4641"/>
      <c r="F129" s="569"/>
      <c r="G129" s="572" t="str">
        <f>IF(L151=0,"",IF(ISBLANK(F129),"Required!",IF(AND($P$3="n",F129="yes"),"Check Pg2 Q32!","")))</f>
        <v/>
      </c>
      <c r="H129" s="242"/>
      <c r="I129" s="242"/>
      <c r="J129" s="242"/>
      <c r="K129" s="62"/>
      <c r="L129" s="142">
        <f>IF(ISBLANK(F129),0,1)</f>
      </c>
      <c r="M129" s="167">
        <f>IF(G129=$M$1,0,1)</f>
      </c>
      <c r="N129" s="142">
        <f>IF(AND($P$3="n",F129="yes"),1,0)</f>
      </c>
      <c r="Q129" s="142"/>
      <c r="R129" s="142"/>
      <c r="S129" s="142"/>
      <c r="T129" s="142"/>
      <c r="U129" s="142"/>
      <c r="V129" s="142"/>
      <c r="W129" s="142"/>
      <c r="X129" s="142"/>
    </row>
    <row r="130" spans="1:24" ht="12.75" x14ac:dyDescent="0.2">
      <c r="A130" s="242"/>
      <c r="B130" s="4642" t="s">
        <v>10036</v>
      </c>
      <c r="C130" s="4642"/>
      <c r="D130" s="4642"/>
      <c r="E130" s="4642"/>
      <c r="F130" s="242"/>
      <c r="G130" s="242"/>
      <c r="H130" s="242"/>
      <c r="I130" s="242"/>
      <c r="J130" s="242"/>
      <c r="K130" s="62"/>
      <c r="L130" s="62"/>
      <c r="Q130" s="142"/>
      <c r="R130" s="142"/>
      <c r="S130" s="142"/>
      <c r="T130" s="142"/>
      <c r="U130" s="142"/>
      <c r="V130" s="142"/>
      <c r="W130" s="142"/>
      <c r="X130" s="142"/>
    </row>
    <row r="131" spans="1:24" ht="12.75" hidden="1" x14ac:dyDescent="0.2">
      <c r="A131" s="242"/>
      <c r="B131" s="242"/>
      <c r="C131" s="242"/>
      <c r="D131" s="242"/>
      <c r="E131" s="242"/>
      <c r="F131" s="242"/>
      <c r="G131" s="242"/>
      <c r="H131" s="242"/>
      <c r="I131" s="242"/>
      <c r="J131" s="242"/>
      <c r="K131" s="62"/>
      <c r="L131" s="62"/>
      <c r="Q131" s="142"/>
      <c r="R131" s="142"/>
      <c r="S131" s="142"/>
      <c r="T131" s="142"/>
      <c r="U131" s="142"/>
      <c r="V131" s="142"/>
      <c r="W131" s="142"/>
      <c r="X131" s="142"/>
    </row>
    <row r="132" spans="1:24" ht="12.75" hidden="1" x14ac:dyDescent="0.2">
      <c r="A132" s="242"/>
      <c r="B132" s="242"/>
      <c r="C132" s="242"/>
      <c r="D132" s="242"/>
      <c r="E132" s="242"/>
      <c r="F132" s="242"/>
      <c r="G132" s="242"/>
      <c r="H132" s="242"/>
      <c r="I132" s="242"/>
      <c r="J132" s="242"/>
      <c r="K132" s="62"/>
      <c r="L132" s="62"/>
      <c r="Q132" s="142"/>
      <c r="R132" s="142"/>
      <c r="S132" s="142"/>
      <c r="T132" s="142"/>
      <c r="U132" s="142"/>
      <c r="V132" s="142"/>
      <c r="W132" s="142"/>
      <c r="X132" s="142"/>
    </row>
    <row r="133" spans="1:24" ht="12.75" hidden="1" x14ac:dyDescent="0.2">
      <c r="A133" s="242"/>
      <c r="B133" s="242"/>
      <c r="C133" s="242"/>
      <c r="D133" s="242"/>
      <c r="E133" s="242"/>
      <c r="F133" s="242"/>
      <c r="G133" s="242"/>
      <c r="H133" s="242"/>
      <c r="I133" s="242"/>
      <c r="J133" s="242"/>
      <c r="K133" s="62"/>
      <c r="L133" s="62"/>
      <c r="Q133" s="142"/>
      <c r="R133" s="142"/>
      <c r="S133" s="142"/>
      <c r="T133" s="142"/>
      <c r="U133" s="142"/>
      <c r="V133" s="142"/>
      <c r="W133" s="142"/>
      <c r="X133" s="142"/>
    </row>
    <row r="134" spans="1:24" ht="12.75" hidden="1" x14ac:dyDescent="0.2">
      <c r="A134" s="242"/>
      <c r="B134" s="242"/>
      <c r="C134" s="242"/>
      <c r="D134" s="242"/>
      <c r="E134" s="242"/>
      <c r="F134" s="242"/>
      <c r="G134" s="242"/>
      <c r="H134" s="242"/>
      <c r="I134" s="242"/>
      <c r="J134" s="242"/>
      <c r="K134" s="62"/>
      <c r="L134" s="62"/>
      <c r="Q134" s="142"/>
      <c r="R134" s="142"/>
      <c r="S134" s="142"/>
      <c r="T134" s="142"/>
      <c r="U134" s="142"/>
      <c r="V134" s="142"/>
      <c r="W134" s="142"/>
      <c r="X134" s="142"/>
    </row>
    <row r="135" spans="1:24" ht="12.75" hidden="1" x14ac:dyDescent="0.2">
      <c r="A135" s="242"/>
      <c r="B135" s="242"/>
      <c r="C135" s="242"/>
      <c r="D135" s="242"/>
      <c r="E135" s="242"/>
      <c r="F135" s="242"/>
      <c r="G135" s="242"/>
      <c r="H135" s="242"/>
      <c r="I135" s="242"/>
      <c r="J135" s="242"/>
      <c r="K135" s="62"/>
      <c r="L135" s="62"/>
      <c r="Q135" s="142"/>
      <c r="R135" s="142"/>
      <c r="S135" s="142"/>
      <c r="T135" s="142"/>
      <c r="U135" s="142"/>
      <c r="V135" s="142"/>
      <c r="W135" s="142"/>
      <c r="X135" s="142"/>
    </row>
    <row r="136" spans="1:24" ht="12.75" hidden="1" x14ac:dyDescent="0.2">
      <c r="A136" s="242"/>
      <c r="B136" s="242"/>
      <c r="C136" s="242"/>
      <c r="D136" s="242"/>
      <c r="E136" s="242"/>
      <c r="F136" s="242"/>
      <c r="G136" s="242"/>
      <c r="H136" s="242"/>
      <c r="I136" s="242"/>
      <c r="J136" s="242"/>
      <c r="K136" s="62"/>
      <c r="L136" s="62"/>
      <c r="Q136" s="142"/>
      <c r="R136" s="142"/>
      <c r="S136" s="142"/>
      <c r="T136" s="142"/>
      <c r="U136" s="142"/>
      <c r="V136" s="142"/>
      <c r="W136" s="142"/>
      <c r="X136" s="142"/>
    </row>
    <row r="137" spans="1:24" ht="12.75" hidden="1" x14ac:dyDescent="0.2">
      <c r="A137" s="242"/>
      <c r="B137" s="242"/>
      <c r="C137" s="242"/>
      <c r="D137" s="242"/>
      <c r="E137" s="242"/>
      <c r="F137" s="242"/>
      <c r="G137" s="242"/>
      <c r="H137" s="242"/>
      <c r="I137" s="242"/>
      <c r="J137" s="242"/>
      <c r="K137" s="62"/>
      <c r="L137" s="62"/>
      <c r="Q137" s="142"/>
      <c r="R137" s="142"/>
      <c r="S137" s="142"/>
      <c r="T137" s="142"/>
      <c r="U137" s="142"/>
      <c r="V137" s="142"/>
      <c r="W137" s="142"/>
      <c r="X137" s="142"/>
    </row>
    <row r="138" spans="1:24" ht="12.75" hidden="1" x14ac:dyDescent="0.2">
      <c r="A138" s="242"/>
      <c r="B138" s="242"/>
      <c r="C138" s="242"/>
      <c r="D138" s="242"/>
      <c r="E138" s="242"/>
      <c r="F138" s="242"/>
      <c r="G138" s="242"/>
      <c r="H138" s="242"/>
      <c r="I138" s="242"/>
      <c r="J138" s="242"/>
      <c r="K138" s="62"/>
      <c r="L138" s="62"/>
      <c r="Q138" s="142"/>
      <c r="R138" s="142"/>
      <c r="S138" s="142"/>
      <c r="T138" s="142"/>
      <c r="U138" s="142"/>
      <c r="V138" s="142"/>
      <c r="W138" s="142"/>
      <c r="X138" s="142"/>
    </row>
    <row r="139" spans="1:24" ht="12.75" hidden="1" x14ac:dyDescent="0.2">
      <c r="A139" s="242"/>
      <c r="B139" s="242"/>
      <c r="C139" s="242"/>
      <c r="D139" s="242"/>
      <c r="E139" s="242"/>
      <c r="F139" s="242"/>
      <c r="G139" s="242"/>
      <c r="H139" s="242"/>
      <c r="I139" s="242"/>
      <c r="J139" s="242"/>
      <c r="K139" s="62"/>
      <c r="L139" s="62"/>
      <c r="Q139" s="142"/>
      <c r="R139" s="142"/>
      <c r="S139" s="142"/>
      <c r="T139" s="142"/>
      <c r="U139" s="142"/>
      <c r="V139" s="142"/>
      <c r="W139" s="142"/>
      <c r="X139" s="142"/>
    </row>
    <row r="140" spans="1:24" ht="4.5" customHeight="1" x14ac:dyDescent="0.2">
      <c r="A140" s="242"/>
      <c r="B140" s="242"/>
      <c r="C140" s="242"/>
      <c r="D140" s="242"/>
      <c r="E140" s="242"/>
      <c r="F140" s="242"/>
      <c r="G140" s="242"/>
      <c r="H140" s="242"/>
      <c r="I140" s="242"/>
      <c r="J140" s="242"/>
      <c r="K140" s="62"/>
      <c r="L140" s="62"/>
      <c r="Q140" s="142"/>
      <c r="R140" s="142"/>
      <c r="S140" s="142"/>
      <c r="T140" s="142"/>
      <c r="U140" s="142"/>
      <c r="V140" s="142"/>
      <c r="W140" s="142"/>
      <c r="X140" s="142"/>
    </row>
    <row r="141" spans="1:24" ht="16.149999999999999" customHeight="1" x14ac:dyDescent="0.2">
      <c r="A141" s="17"/>
      <c r="B141" s="564" t="str">
        <f>IF(N142=1,"Details of property deemed to be transferred ","Details of property sold")</f>
      </c>
      <c r="C141" s="564"/>
      <c r="D141" s="564"/>
      <c r="E141" s="20"/>
      <c r="F141" s="20"/>
      <c r="G141" s="20"/>
      <c r="H141" s="20"/>
      <c r="I141" s="20"/>
      <c r="J141" s="242"/>
      <c r="Q141" s="142"/>
      <c r="R141" s="142"/>
      <c r="S141" s="142"/>
      <c r="T141" s="142"/>
      <c r="U141" s="142"/>
      <c r="V141" s="142"/>
      <c r="W141" s="142"/>
      <c r="X141" s="142"/>
    </row>
    <row r="142" spans="1:24" ht="16.149999999999999" customHeight="1" x14ac:dyDescent="0.2">
      <c r="A142" s="17"/>
      <c r="B142" s="565" t="s">
        <v>3331</v>
      </c>
      <c r="C142" s="565"/>
      <c r="D142" s="566" t="str">
        <f>IF(L151=0,"",IF(ISBLANK(E142),"Required!",""))</f>
        <v/>
      </c>
      <c r="E142" s="4646"/>
      <c r="F142" s="4646"/>
      <c r="G142" s="4646"/>
      <c r="H142" s="4646"/>
      <c r="I142" s="4646"/>
      <c r="J142" s="242"/>
      <c r="L142" s="46">
        <f>IF(ISBLANK(E142),0,1)</f>
      </c>
      <c r="M142" s="167">
        <f>IF(D142=$M$1,0,1)</f>
      </c>
      <c r="N142" s="142">
        <f>IF(AND(F129="yes",$P$3="y"),1,0)</f>
      </c>
      <c r="Q142" s="142"/>
      <c r="R142" s="142"/>
      <c r="S142" s="142"/>
      <c r="T142" s="142"/>
      <c r="U142" s="142"/>
      <c r="V142" s="142"/>
      <c r="W142" s="142"/>
      <c r="X142" s="142"/>
    </row>
    <row r="143" spans="1:24" ht="6" customHeight="1" x14ac:dyDescent="0.2">
      <c r="A143" s="17"/>
      <c r="B143" s="565"/>
      <c r="C143" s="565"/>
      <c r="D143" s="565"/>
      <c r="E143" s="185"/>
      <c r="F143" s="185"/>
      <c r="G143" s="185"/>
      <c r="H143" s="185"/>
      <c r="I143" s="185"/>
      <c r="J143" s="242"/>
      <c r="M143" s="28"/>
      <c r="Q143" s="142"/>
      <c r="R143" s="142"/>
      <c r="S143" s="142"/>
      <c r="T143" s="142"/>
      <c r="U143" s="142"/>
      <c r="V143" s="142"/>
      <c r="W143" s="142"/>
      <c r="X143" s="142"/>
    </row>
    <row r="144" spans="1:24" ht="16.149999999999999" customHeight="1" x14ac:dyDescent="0.2">
      <c r="A144" s="17"/>
      <c r="B144" s="567" t="str">
        <f>IF(N142=1,"Year of transfer [Basis Year]","Year of sale [Basis Year]")</f>
      </c>
      <c r="C144" s="567"/>
      <c r="D144" s="566" t="str">
        <f>IF(L151=0,"",IF(ISBLANK(E144),"Required!",""))</f>
        <v/>
      </c>
      <c r="E144" s="568"/>
      <c r="F144" s="4643" t="s">
        <v>3332</v>
      </c>
      <c r="G144" s="4644"/>
      <c r="H144" s="569"/>
      <c r="I144" s="570" t="str">
        <f>IF(L151=0,"",IF(ISBLANK(H144),"A/c ?",""))</f>
        <v/>
      </c>
      <c r="J144" s="242"/>
      <c r="L144" s="46">
        <f>IF(ISBLANK(E144),0,1)</f>
      </c>
      <c r="M144" s="28">
        <f>IF(I144=$M$1,0,1)</f>
      </c>
      <c r="Q144" s="142"/>
      <c r="R144" s="142"/>
      <c r="S144" s="142"/>
      <c r="T144" s="142"/>
      <c r="U144" s="142"/>
      <c r="V144" s="142"/>
      <c r="W144" s="142"/>
      <c r="X144" s="142"/>
    </row>
    <row r="145" spans="1:24" ht="6" customHeight="1" x14ac:dyDescent="0.2">
      <c r="A145" s="17"/>
      <c r="B145" s="565"/>
      <c r="C145" s="565"/>
      <c r="D145" s="565"/>
      <c r="E145" s="20"/>
      <c r="F145" s="20"/>
      <c r="G145" s="20"/>
      <c r="H145" s="20"/>
      <c r="I145" s="20"/>
      <c r="J145" s="242"/>
      <c r="L145" s="46">
        <f>IF(ISBLANK(H144),0,1)</f>
      </c>
      <c r="M145" s="167">
        <f>IF(D144=$M$1,0,1)</f>
      </c>
      <c r="Q145" s="142"/>
      <c r="R145" s="142"/>
      <c r="S145" s="142"/>
      <c r="T145" s="142"/>
      <c r="U145" s="142"/>
      <c r="V145" s="142"/>
      <c r="W145" s="142"/>
      <c r="X145" s="142"/>
    </row>
    <row r="146" spans="1:24" ht="16.149999999999999" customHeight="1" x14ac:dyDescent="0.2">
      <c r="A146" s="17"/>
      <c r="B146" s="564" t="str">
        <f>IF(N142=1,"Market value of property","Selling price of property")</f>
      </c>
      <c r="C146" s="564"/>
      <c r="D146" s="566" t="str">
        <f>IF($L$151=0,"",IF(ISBLANK(E146),"Required!",""))</f>
        <v/>
      </c>
      <c r="E146" s="571"/>
      <c r="F146" s="572" t="str">
        <f>IF(L151=0,"",IF(ISBLANK(E146),"Required !",""))</f>
        <v/>
      </c>
      <c r="G146" s="573"/>
      <c r="H146" s="574"/>
      <c r="I146" s="20"/>
      <c r="J146" s="242"/>
      <c r="L146" s="46">
        <f>IF(ISBLANK(E146),0,1)</f>
      </c>
      <c r="M146" s="28">
        <f>IF(F146=$M$1,0,1)</f>
      </c>
      <c r="Q146" s="142"/>
      <c r="R146" s="142"/>
      <c r="S146" s="142"/>
      <c r="T146" s="142"/>
      <c r="U146" s="142"/>
      <c r="V146" s="142"/>
      <c r="W146" s="142"/>
      <c r="X146" s="142"/>
    </row>
    <row r="147" spans="1:24" ht="6" customHeight="1" x14ac:dyDescent="0.2">
      <c r="A147" s="17"/>
      <c r="B147" s="565"/>
      <c r="C147" s="565"/>
      <c r="D147" s="565"/>
      <c r="E147" s="20"/>
      <c r="F147" s="20"/>
      <c r="G147" s="573"/>
      <c r="H147" s="574"/>
      <c r="I147" s="20"/>
      <c r="J147" s="242"/>
      <c r="M147" s="28"/>
      <c r="Q147" s="142"/>
      <c r="R147" s="142"/>
      <c r="S147" s="142"/>
      <c r="T147" s="142"/>
      <c r="U147" s="142"/>
      <c r="V147" s="142"/>
      <c r="W147" s="142"/>
      <c r="X147" s="142"/>
    </row>
    <row r="148" spans="1:24" ht="16.149999999999999" customHeight="1" x14ac:dyDescent="0.2">
      <c r="A148" s="17"/>
      <c r="B148" s="564" t="s">
        <v>3333</v>
      </c>
      <c r="C148" s="564"/>
      <c r="D148" s="566" t="str">
        <f>IF(N149=1,"Delete!","")</f>
        <v/>
      </c>
      <c r="E148" s="571"/>
      <c r="F148" s="20"/>
      <c r="G148" s="573" t="s">
        <v>3213</v>
      </c>
      <c r="H148" s="575"/>
      <c r="I148" s="570" t="str">
        <f>IF(L151=0,"",IF(AND(N142=1,H148&lt;&gt;""),"Delete!",IF(N142=1,"",IF(ISBLANK(H148),"Date ?",""))))</f>
        <v/>
      </c>
      <c r="J148" s="242"/>
      <c r="L148" s="46">
        <f>IF(ISBLANK(E148),0,1)</f>
      </c>
      <c r="M148" s="142">
        <f>IF(I148=$M$1,0,1)</f>
      </c>
      <c r="N148" s="142">
        <f>IF(AND(N142=1,H148&lt;&gt;""),1,0)</f>
      </c>
      <c r="Q148" s="142"/>
      <c r="R148" s="142"/>
      <c r="S148" s="142"/>
      <c r="T148" s="142"/>
      <c r="U148" s="142"/>
      <c r="V148" s="142"/>
      <c r="W148" s="142"/>
      <c r="X148" s="142"/>
    </row>
    <row r="149" spans="1:24" ht="6" customHeight="1" x14ac:dyDescent="0.2">
      <c r="A149" s="17"/>
      <c r="B149" s="565"/>
      <c r="C149" s="565"/>
      <c r="D149" s="565"/>
      <c r="E149" s="576"/>
      <c r="F149" s="20"/>
      <c r="G149" s="573"/>
      <c r="H149" s="574"/>
      <c r="I149" s="20"/>
      <c r="J149" s="242"/>
      <c r="L149" s="142">
        <f>IF(ISBLANK(H148),0,1)</f>
      </c>
      <c r="M149" s="142">
        <f>IF(D148=$M$1,0,1)</f>
      </c>
      <c r="N149" s="142">
        <f>IF(AND(N142=1,E148&lt;&gt;0),1,0)</f>
      </c>
      <c r="Q149" s="142"/>
      <c r="R149" s="142"/>
      <c r="S149" s="142"/>
      <c r="T149" s="142"/>
      <c r="U149" s="142"/>
      <c r="V149" s="142"/>
      <c r="W149" s="142"/>
      <c r="X149" s="142"/>
    </row>
    <row r="150" spans="1:24" ht="16.149999999999999" customHeight="1" x14ac:dyDescent="0.2">
      <c r="A150" s="17"/>
      <c r="B150" s="4647" t="s">
        <v>4245</v>
      </c>
      <c r="C150" s="4647"/>
      <c r="D150" s="4647"/>
      <c r="E150" s="4649" t="s">
        <v>1511</v>
      </c>
      <c r="F150" s="4649"/>
      <c r="G150" s="577"/>
      <c r="H150" s="574"/>
      <c r="I150" s="20"/>
      <c r="J150" s="242"/>
      <c r="M150" s="28">
        <f>IF(G150=$M$1,0,1)</f>
      </c>
      <c r="Q150" s="142"/>
      <c r="R150" s="142"/>
      <c r="S150" s="142"/>
      <c r="T150" s="142"/>
      <c r="U150" s="142"/>
      <c r="V150" s="142"/>
      <c r="W150" s="142"/>
      <c r="X150" s="142"/>
    </row>
    <row r="151" spans="1:24" ht="6" customHeight="1" x14ac:dyDescent="0.2">
      <c r="A151" s="17"/>
      <c r="B151" s="17"/>
      <c r="C151" s="17"/>
      <c r="D151" s="578"/>
      <c r="E151" s="579"/>
      <c r="F151" s="17"/>
      <c r="G151" s="580"/>
      <c r="H151" s="578"/>
      <c r="I151" s="17"/>
      <c r="J151" s="242"/>
      <c r="L151" s="176">
        <f>SUM(L127:L150)</f>
      </c>
      <c r="M151" s="28"/>
      <c r="Q151" s="142"/>
      <c r="R151" s="142"/>
      <c r="S151" s="142"/>
      <c r="T151" s="142"/>
      <c r="U151" s="142"/>
      <c r="V151" s="142"/>
      <c r="W151" s="142"/>
      <c r="X151" s="142"/>
    </row>
    <row r="152" spans="1:24" ht="22.5" x14ac:dyDescent="0.2">
      <c r="A152" s="17"/>
      <c r="B152" s="581" t="s">
        <v>4244</v>
      </c>
      <c r="C152" s="581" t="s">
        <v>4246</v>
      </c>
      <c r="D152" s="582" t="s">
        <v>1475</v>
      </c>
      <c r="E152" s="583" t="s">
        <v>1476</v>
      </c>
      <c r="F152" s="269" t="s">
        <v>1477</v>
      </c>
      <c r="G152" s="17"/>
      <c r="H152" s="584"/>
      <c r="I152" s="17"/>
      <c r="J152" s="242"/>
      <c r="M152" s="28"/>
      <c r="Q152" s="142"/>
      <c r="R152" s="142"/>
      <c r="S152" s="142"/>
      <c r="T152" s="142"/>
      <c r="U152" s="142"/>
      <c r="V152" s="142"/>
      <c r="W152" s="142"/>
      <c r="X152" s="142"/>
    </row>
    <row r="153" spans="1:24" ht="16.149999999999999" customHeight="1" x14ac:dyDescent="0.2">
      <c r="A153" s="17"/>
      <c r="B153" s="431"/>
      <c r="C153" s="297"/>
      <c r="D153" s="297"/>
      <c r="E153" s="297"/>
      <c r="F153" s="297"/>
      <c r="G153" s="222" t="str">
        <f>IF(L151=0,"",IF(L153=5,"","All details !"))</f>
        <v/>
      </c>
      <c r="H153" s="17"/>
      <c r="I153" s="17"/>
      <c r="J153" s="242"/>
      <c r="L153" s="46">
        <f t="shared" ref="L153:L178" si="6">COUNT(B153:F153)</f>
      </c>
      <c r="M153" s="28">
        <f t="shared" ref="M153:M179" si="7">IF(G153=$M$1,0,1)</f>
      </c>
      <c r="Q153" s="142"/>
      <c r="R153" s="142"/>
      <c r="S153" s="142"/>
      <c r="T153" s="142"/>
      <c r="U153" s="142"/>
      <c r="V153" s="142"/>
      <c r="W153" s="142"/>
      <c r="X153" s="142"/>
    </row>
    <row r="154" spans="1:24" ht="16.149999999999999" customHeight="1" x14ac:dyDescent="0.2">
      <c r="A154" s="17"/>
      <c r="B154" s="431"/>
      <c r="C154" s="297"/>
      <c r="D154" s="297"/>
      <c r="E154" s="297"/>
      <c r="F154" s="297"/>
      <c r="G154" s="222" t="str">
        <f t="shared" ref="G154:G178" si="8">IF(L154=0,"",IF(L154=5,"","All details !"))</f>
        <v/>
      </c>
      <c r="H154" s="17"/>
      <c r="I154" s="17"/>
      <c r="J154" s="242"/>
      <c r="L154" s="46">
        <f t="shared" si="6"/>
        <v>0</v>
      </c>
      <c r="M154" s="28">
        <f t="shared" si="7"/>
        <v>0</v>
      </c>
      <c r="Q154" s="142"/>
      <c r="R154" s="142"/>
      <c r="S154" s="142"/>
      <c r="T154" s="142"/>
      <c r="U154" s="142"/>
      <c r="V154" s="142"/>
      <c r="W154" s="142"/>
      <c r="X154" s="142"/>
    </row>
    <row r="155" spans="1:24" ht="16.149999999999999" customHeight="1" x14ac:dyDescent="0.2">
      <c r="A155" s="17"/>
      <c r="B155" s="431"/>
      <c r="C155" s="297"/>
      <c r="D155" s="297"/>
      <c r="E155" s="297"/>
      <c r="F155" s="297"/>
      <c r="G155" s="222" t="str">
        <f t="shared" si="8"/>
        <v/>
      </c>
      <c r="H155" s="17"/>
      <c r="I155" s="17"/>
      <c r="J155" s="242"/>
      <c r="L155" s="46">
        <f t="shared" si="6"/>
        <v>0</v>
      </c>
      <c r="M155" s="28">
        <f t="shared" si="7"/>
        <v>0</v>
      </c>
      <c r="Q155" s="142"/>
      <c r="R155" s="142"/>
      <c r="S155" s="142"/>
      <c r="T155" s="142"/>
      <c r="U155" s="142"/>
      <c r="V155" s="142"/>
      <c r="W155" s="142"/>
      <c r="X155" s="142"/>
    </row>
    <row r="156" spans="1:24" ht="16.149999999999999" customHeight="1" x14ac:dyDescent="0.2">
      <c r="A156" s="17"/>
      <c r="B156" s="431"/>
      <c r="C156" s="297"/>
      <c r="D156" s="297"/>
      <c r="E156" s="297"/>
      <c r="F156" s="297"/>
      <c r="G156" s="222" t="str">
        <f t="shared" si="8"/>
        <v/>
      </c>
      <c r="H156" s="17"/>
      <c r="I156" s="17"/>
      <c r="J156" s="242"/>
      <c r="L156" s="46">
        <f t="shared" si="6"/>
        <v>0</v>
      </c>
      <c r="M156" s="28">
        <f t="shared" si="7"/>
        <v>0</v>
      </c>
      <c r="Q156" s="142"/>
      <c r="R156" s="142"/>
      <c r="S156" s="142"/>
      <c r="T156" s="142"/>
      <c r="U156" s="142"/>
      <c r="V156" s="142"/>
      <c r="W156" s="142"/>
      <c r="X156" s="142"/>
    </row>
    <row r="157" spans="1:24" ht="16.149999999999999" customHeight="1" x14ac:dyDescent="0.2">
      <c r="A157" s="17"/>
      <c r="B157" s="431"/>
      <c r="C157" s="297"/>
      <c r="D157" s="297"/>
      <c r="E157" s="297"/>
      <c r="F157" s="297"/>
      <c r="G157" s="222" t="str">
        <f t="shared" si="8"/>
        <v/>
      </c>
      <c r="H157" s="17"/>
      <c r="I157" s="17"/>
      <c r="J157" s="242"/>
      <c r="L157" s="46">
        <f t="shared" si="6"/>
        <v>0</v>
      </c>
      <c r="M157" s="28">
        <f t="shared" si="7"/>
        <v>0</v>
      </c>
      <c r="Q157" s="142"/>
      <c r="R157" s="142"/>
      <c r="S157" s="142"/>
      <c r="T157" s="142"/>
      <c r="U157" s="142"/>
      <c r="V157" s="142"/>
      <c r="W157" s="142"/>
      <c r="X157" s="142"/>
    </row>
    <row r="158" spans="1:24" ht="16.149999999999999" customHeight="1" x14ac:dyDescent="0.2">
      <c r="A158" s="17"/>
      <c r="B158" s="431"/>
      <c r="C158" s="297"/>
      <c r="D158" s="297"/>
      <c r="E158" s="297"/>
      <c r="F158" s="297"/>
      <c r="G158" s="222" t="str">
        <f t="shared" si="8"/>
        <v/>
      </c>
      <c r="H158" s="17"/>
      <c r="I158" s="17"/>
      <c r="J158" s="242"/>
      <c r="L158" s="46">
        <f t="shared" si="6"/>
        <v>0</v>
      </c>
      <c r="M158" s="28">
        <f t="shared" si="7"/>
        <v>0</v>
      </c>
      <c r="Q158" s="142"/>
      <c r="R158" s="142"/>
      <c r="S158" s="142"/>
      <c r="T158" s="142"/>
      <c r="U158" s="142"/>
      <c r="V158" s="142"/>
      <c r="W158" s="142"/>
      <c r="X158" s="142"/>
    </row>
    <row r="159" spans="1:24" ht="16.149999999999999" customHeight="1" x14ac:dyDescent="0.2">
      <c r="A159" s="17"/>
      <c r="B159" s="431"/>
      <c r="C159" s="297"/>
      <c r="D159" s="297"/>
      <c r="E159" s="297"/>
      <c r="F159" s="297"/>
      <c r="G159" s="222" t="str">
        <f t="shared" si="8"/>
        <v/>
      </c>
      <c r="H159" s="17"/>
      <c r="I159" s="17"/>
      <c r="J159" s="242"/>
      <c r="L159" s="46">
        <f t="shared" si="6"/>
        <v>0</v>
      </c>
      <c r="M159" s="28">
        <f t="shared" si="7"/>
        <v>0</v>
      </c>
      <c r="Q159" s="142"/>
      <c r="R159" s="142"/>
      <c r="S159" s="142"/>
      <c r="T159" s="142"/>
      <c r="U159" s="142"/>
      <c r="V159" s="142"/>
      <c r="W159" s="142"/>
      <c r="X159" s="142"/>
    </row>
    <row r="160" spans="1:24" ht="16.149999999999999" customHeight="1" x14ac:dyDescent="0.2">
      <c r="A160" s="17"/>
      <c r="B160" s="431"/>
      <c r="C160" s="297"/>
      <c r="D160" s="297"/>
      <c r="E160" s="297"/>
      <c r="F160" s="297"/>
      <c r="G160" s="222" t="str">
        <f t="shared" si="8"/>
        <v/>
      </c>
      <c r="H160" s="17"/>
      <c r="I160" s="17"/>
      <c r="J160" s="242"/>
      <c r="L160" s="46">
        <f t="shared" si="6"/>
        <v>0</v>
      </c>
      <c r="M160" s="28">
        <f t="shared" si="7"/>
        <v>0</v>
      </c>
      <c r="Q160" s="142"/>
      <c r="R160" s="142"/>
      <c r="S160" s="142"/>
      <c r="T160" s="142"/>
      <c r="U160" s="142"/>
      <c r="V160" s="142"/>
      <c r="W160" s="142"/>
      <c r="X160" s="142"/>
    </row>
    <row r="161" spans="1:24" ht="16.149999999999999" customHeight="1" x14ac:dyDescent="0.2">
      <c r="A161" s="17"/>
      <c r="B161" s="431"/>
      <c r="C161" s="297"/>
      <c r="D161" s="297"/>
      <c r="E161" s="297"/>
      <c r="F161" s="297"/>
      <c r="G161" s="222" t="str">
        <f t="shared" si="8"/>
        <v/>
      </c>
      <c r="H161" s="17"/>
      <c r="I161" s="17"/>
      <c r="J161" s="242"/>
      <c r="L161" s="46">
        <f t="shared" si="6"/>
        <v>0</v>
      </c>
      <c r="M161" s="28">
        <f t="shared" si="7"/>
        <v>0</v>
      </c>
      <c r="Q161" s="142"/>
      <c r="R161" s="142"/>
      <c r="S161" s="142"/>
      <c r="T161" s="142"/>
      <c r="U161" s="142"/>
      <c r="V161" s="142"/>
      <c r="W161" s="142"/>
      <c r="X161" s="142"/>
    </row>
    <row r="162" spans="1:24" ht="16.149999999999999" customHeight="1" x14ac:dyDescent="0.2">
      <c r="A162" s="17"/>
      <c r="B162" s="431"/>
      <c r="C162" s="297"/>
      <c r="D162" s="297"/>
      <c r="E162" s="297"/>
      <c r="F162" s="297"/>
      <c r="G162" s="222" t="str">
        <f t="shared" si="8"/>
        <v/>
      </c>
      <c r="H162" s="17"/>
      <c r="I162" s="17"/>
      <c r="J162" s="242"/>
      <c r="L162" s="46">
        <f t="shared" si="6"/>
        <v>0</v>
      </c>
      <c r="M162" s="28">
        <f t="shared" si="7"/>
        <v>0</v>
      </c>
      <c r="Q162" s="142"/>
      <c r="R162" s="142"/>
      <c r="S162" s="142"/>
      <c r="T162" s="142"/>
      <c r="U162" s="142"/>
      <c r="V162" s="142"/>
      <c r="W162" s="142"/>
      <c r="X162" s="142"/>
    </row>
    <row r="163" spans="1:24" ht="16.149999999999999" customHeight="1" x14ac:dyDescent="0.2">
      <c r="A163" s="17"/>
      <c r="B163" s="431"/>
      <c r="C163" s="297"/>
      <c r="D163" s="297"/>
      <c r="E163" s="297"/>
      <c r="F163" s="297"/>
      <c r="G163" s="222" t="str">
        <f t="shared" si="8"/>
        <v/>
      </c>
      <c r="H163" s="17"/>
      <c r="I163" s="17"/>
      <c r="J163" s="242"/>
      <c r="L163" s="46">
        <f t="shared" si="6"/>
        <v>0</v>
      </c>
      <c r="M163" s="28">
        <f t="shared" si="7"/>
        <v>0</v>
      </c>
      <c r="Q163" s="142"/>
      <c r="R163" s="142"/>
      <c r="S163" s="142"/>
      <c r="T163" s="142"/>
      <c r="U163" s="142"/>
      <c r="V163" s="142"/>
      <c r="W163" s="142"/>
      <c r="X163" s="142"/>
    </row>
    <row r="164" spans="1:24" ht="16.149999999999999" customHeight="1" x14ac:dyDescent="0.2">
      <c r="A164" s="17"/>
      <c r="B164" s="431"/>
      <c r="C164" s="297"/>
      <c r="D164" s="297"/>
      <c r="E164" s="297"/>
      <c r="F164" s="297"/>
      <c r="G164" s="222" t="str">
        <f t="shared" si="8"/>
        <v/>
      </c>
      <c r="H164" s="17"/>
      <c r="I164" s="17"/>
      <c r="J164" s="242"/>
      <c r="L164" s="46">
        <f t="shared" si="6"/>
        <v>0</v>
      </c>
      <c r="M164" s="28">
        <f t="shared" si="7"/>
        <v>0</v>
      </c>
      <c r="Q164" s="142"/>
      <c r="R164" s="142"/>
      <c r="S164" s="142"/>
      <c r="T164" s="142"/>
      <c r="U164" s="142"/>
      <c r="V164" s="142"/>
      <c r="W164" s="142"/>
      <c r="X164" s="142"/>
    </row>
    <row r="165" spans="1:24" ht="16.149999999999999" customHeight="1" x14ac:dyDescent="0.2">
      <c r="A165" s="17"/>
      <c r="B165" s="431"/>
      <c r="C165" s="297"/>
      <c r="D165" s="297"/>
      <c r="E165" s="297"/>
      <c r="F165" s="297"/>
      <c r="G165" s="222" t="str">
        <f t="shared" si="8"/>
        <v/>
      </c>
      <c r="H165" s="17"/>
      <c r="I165" s="17"/>
      <c r="J165" s="242"/>
      <c r="L165" s="46">
        <f t="shared" si="6"/>
        <v>0</v>
      </c>
      <c r="M165" s="28">
        <f t="shared" si="7"/>
        <v>0</v>
      </c>
      <c r="Q165" s="142"/>
      <c r="R165" s="142"/>
      <c r="S165" s="142"/>
      <c r="T165" s="142"/>
      <c r="U165" s="142"/>
      <c r="V165" s="142"/>
      <c r="W165" s="142"/>
      <c r="X165" s="142"/>
    </row>
    <row r="166" spans="1:24" ht="16.149999999999999" customHeight="1" x14ac:dyDescent="0.2">
      <c r="A166" s="17"/>
      <c r="B166" s="431"/>
      <c r="C166" s="297"/>
      <c r="D166" s="297"/>
      <c r="E166" s="297"/>
      <c r="F166" s="297"/>
      <c r="G166" s="222" t="str">
        <f t="shared" si="8"/>
        <v/>
      </c>
      <c r="H166" s="17"/>
      <c r="I166" s="17"/>
      <c r="J166" s="242"/>
      <c r="L166" s="46">
        <f t="shared" si="6"/>
        <v>0</v>
      </c>
      <c r="M166" s="28">
        <f t="shared" si="7"/>
        <v>0</v>
      </c>
      <c r="Q166" s="142"/>
      <c r="R166" s="142"/>
      <c r="S166" s="142"/>
      <c r="T166" s="142"/>
      <c r="U166" s="142"/>
      <c r="V166" s="142"/>
      <c r="W166" s="142"/>
      <c r="X166" s="142"/>
    </row>
    <row r="167" spans="1:24" ht="16.149999999999999" customHeight="1" x14ac:dyDescent="0.2">
      <c r="A167" s="17"/>
      <c r="B167" s="431"/>
      <c r="C167" s="297"/>
      <c r="D167" s="297"/>
      <c r="E167" s="297"/>
      <c r="F167" s="297"/>
      <c r="G167" s="222" t="str">
        <f t="shared" si="8"/>
        <v/>
      </c>
      <c r="H167" s="17"/>
      <c r="I167" s="17"/>
      <c r="J167" s="242"/>
      <c r="L167" s="46">
        <f t="shared" si="6"/>
        <v>0</v>
      </c>
      <c r="M167" s="28">
        <f t="shared" si="7"/>
        <v>0</v>
      </c>
      <c r="Q167" s="142"/>
      <c r="R167" s="142"/>
      <c r="S167" s="142"/>
      <c r="T167" s="142"/>
      <c r="U167" s="142"/>
      <c r="V167" s="142"/>
      <c r="W167" s="142"/>
      <c r="X167" s="142"/>
    </row>
    <row r="168" spans="1:24" ht="16.149999999999999" customHeight="1" x14ac:dyDescent="0.2">
      <c r="A168" s="17"/>
      <c r="B168" s="431"/>
      <c r="C168" s="297"/>
      <c r="D168" s="297"/>
      <c r="E168" s="297"/>
      <c r="F168" s="297"/>
      <c r="G168" s="222" t="str">
        <f t="shared" si="8"/>
        <v/>
      </c>
      <c r="H168" s="17"/>
      <c r="I168" s="17"/>
      <c r="J168" s="242"/>
      <c r="L168" s="46">
        <f t="shared" si="6"/>
        <v>0</v>
      </c>
      <c r="M168" s="28">
        <f t="shared" si="7"/>
        <v>0</v>
      </c>
      <c r="Q168" s="142"/>
      <c r="R168" s="142"/>
      <c r="S168" s="142"/>
      <c r="T168" s="142"/>
      <c r="U168" s="142"/>
      <c r="V168" s="142"/>
      <c r="W168" s="142"/>
      <c r="X168" s="142"/>
    </row>
    <row r="169" spans="1:24" ht="16.149999999999999" customHeight="1" x14ac:dyDescent="0.2">
      <c r="A169" s="17"/>
      <c r="B169" s="431"/>
      <c r="C169" s="297"/>
      <c r="D169" s="297"/>
      <c r="E169" s="297"/>
      <c r="F169" s="297"/>
      <c r="G169" s="222" t="str">
        <f t="shared" si="8"/>
        <v/>
      </c>
      <c r="H169" s="17"/>
      <c r="I169" s="17"/>
      <c r="J169" s="242"/>
      <c r="L169" s="46">
        <f t="shared" si="6"/>
        <v>0</v>
      </c>
      <c r="M169" s="28">
        <f t="shared" si="7"/>
        <v>0</v>
      </c>
      <c r="Q169" s="142"/>
      <c r="R169" s="142"/>
      <c r="S169" s="142"/>
      <c r="T169" s="142"/>
      <c r="U169" s="142"/>
      <c r="V169" s="142"/>
      <c r="W169" s="142"/>
      <c r="X169" s="142"/>
    </row>
    <row r="170" spans="1:24" ht="16.149999999999999" customHeight="1" x14ac:dyDescent="0.2">
      <c r="A170" s="17"/>
      <c r="B170" s="431"/>
      <c r="C170" s="297"/>
      <c r="D170" s="297"/>
      <c r="E170" s="297"/>
      <c r="F170" s="297"/>
      <c r="G170" s="222" t="str">
        <f t="shared" si="8"/>
        <v/>
      </c>
      <c r="H170" s="17"/>
      <c r="I170" s="17"/>
      <c r="J170" s="242"/>
      <c r="L170" s="46">
        <f t="shared" si="6"/>
        <v>0</v>
      </c>
      <c r="M170" s="28">
        <f t="shared" si="7"/>
        <v>0</v>
      </c>
      <c r="Q170" s="142"/>
      <c r="R170" s="142"/>
      <c r="S170" s="142"/>
      <c r="T170" s="142"/>
      <c r="U170" s="142"/>
      <c r="V170" s="142"/>
      <c r="W170" s="142"/>
      <c r="X170" s="142"/>
    </row>
    <row r="171" spans="1:24" ht="16.149999999999999" customHeight="1" x14ac:dyDescent="0.2">
      <c r="A171" s="17"/>
      <c r="B171" s="431"/>
      <c r="C171" s="297"/>
      <c r="D171" s="297"/>
      <c r="E171" s="297"/>
      <c r="F171" s="297"/>
      <c r="G171" s="222" t="str">
        <f t="shared" si="8"/>
        <v/>
      </c>
      <c r="H171" s="17"/>
      <c r="I171" s="17"/>
      <c r="J171" s="242"/>
      <c r="L171" s="46">
        <f t="shared" si="6"/>
        <v>0</v>
      </c>
      <c r="M171" s="28">
        <f t="shared" si="7"/>
        <v>0</v>
      </c>
      <c r="Q171" s="142"/>
      <c r="R171" s="142"/>
      <c r="S171" s="142"/>
      <c r="T171" s="142"/>
      <c r="U171" s="142"/>
      <c r="V171" s="142"/>
      <c r="W171" s="142"/>
      <c r="X171" s="142"/>
    </row>
    <row r="172" spans="1:24" ht="16.149999999999999" customHeight="1" x14ac:dyDescent="0.2">
      <c r="A172" s="17"/>
      <c r="B172" s="431"/>
      <c r="C172" s="297"/>
      <c r="D172" s="297"/>
      <c r="E172" s="297"/>
      <c r="F172" s="297"/>
      <c r="G172" s="222" t="str">
        <f t="shared" si="8"/>
        <v/>
      </c>
      <c r="H172" s="17"/>
      <c r="I172" s="17"/>
      <c r="J172" s="242"/>
      <c r="L172" s="46">
        <f t="shared" si="6"/>
        <v>0</v>
      </c>
      <c r="M172" s="28">
        <f t="shared" si="7"/>
        <v>0</v>
      </c>
      <c r="Q172" s="142"/>
      <c r="R172" s="142"/>
      <c r="S172" s="142"/>
      <c r="T172" s="142"/>
      <c r="U172" s="142"/>
      <c r="V172" s="142"/>
      <c r="W172" s="142"/>
      <c r="X172" s="142"/>
    </row>
    <row r="173" spans="1:24" ht="16.149999999999999" customHeight="1" x14ac:dyDescent="0.2">
      <c r="A173" s="17"/>
      <c r="B173" s="431"/>
      <c r="C173" s="297"/>
      <c r="D173" s="297"/>
      <c r="E173" s="297"/>
      <c r="F173" s="297"/>
      <c r="G173" s="222" t="str">
        <f t="shared" si="8"/>
        <v/>
      </c>
      <c r="H173" s="17"/>
      <c r="I173" s="17"/>
      <c r="J173" s="242"/>
      <c r="L173" s="46">
        <f t="shared" si="6"/>
        <v>0</v>
      </c>
      <c r="M173" s="28">
        <f t="shared" si="7"/>
        <v>0</v>
      </c>
      <c r="Q173" s="142"/>
      <c r="R173" s="142"/>
      <c r="S173" s="142"/>
      <c r="T173" s="142"/>
      <c r="U173" s="142"/>
      <c r="V173" s="142"/>
      <c r="W173" s="142"/>
      <c r="X173" s="142"/>
    </row>
    <row r="174" spans="1:24" ht="16.149999999999999" customHeight="1" x14ac:dyDescent="0.2">
      <c r="A174" s="17"/>
      <c r="B174" s="431"/>
      <c r="C174" s="297"/>
      <c r="D174" s="297"/>
      <c r="E174" s="297"/>
      <c r="F174" s="297"/>
      <c r="G174" s="222" t="str">
        <f t="shared" si="8"/>
        <v/>
      </c>
      <c r="H174" s="17"/>
      <c r="I174" s="17"/>
      <c r="J174" s="242"/>
      <c r="L174" s="46">
        <f t="shared" si="6"/>
        <v>0</v>
      </c>
      <c r="M174" s="28">
        <f t="shared" si="7"/>
        <v>0</v>
      </c>
      <c r="Q174" s="142"/>
      <c r="R174" s="142"/>
      <c r="S174" s="142"/>
      <c r="T174" s="142"/>
      <c r="U174" s="142"/>
      <c r="V174" s="142"/>
      <c r="W174" s="142"/>
      <c r="X174" s="142"/>
    </row>
    <row r="175" spans="1:24" ht="16.149999999999999" customHeight="1" x14ac:dyDescent="0.2">
      <c r="A175" s="17"/>
      <c r="B175" s="431"/>
      <c r="C175" s="297"/>
      <c r="D175" s="297"/>
      <c r="E175" s="297"/>
      <c r="F175" s="297"/>
      <c r="G175" s="222" t="str">
        <f t="shared" si="8"/>
        <v/>
      </c>
      <c r="H175" s="17"/>
      <c r="I175" s="17"/>
      <c r="J175" s="242"/>
      <c r="L175" s="46">
        <f t="shared" si="6"/>
        <v>0</v>
      </c>
      <c r="M175" s="28">
        <f t="shared" si="7"/>
        <v>0</v>
      </c>
      <c r="Q175" s="142"/>
      <c r="R175" s="142"/>
      <c r="S175" s="142"/>
      <c r="T175" s="142"/>
      <c r="U175" s="142"/>
      <c r="V175" s="142"/>
      <c r="W175" s="142"/>
      <c r="X175" s="142"/>
    </row>
    <row r="176" spans="1:24" ht="16.149999999999999" customHeight="1" x14ac:dyDescent="0.2">
      <c r="A176" s="17"/>
      <c r="B176" s="431"/>
      <c r="C176" s="297"/>
      <c r="D176" s="297"/>
      <c r="E176" s="297"/>
      <c r="F176" s="297"/>
      <c r="G176" s="222" t="str">
        <f t="shared" si="8"/>
        <v/>
      </c>
      <c r="H176" s="17"/>
      <c r="I176" s="17"/>
      <c r="J176" s="242"/>
      <c r="L176" s="46">
        <f t="shared" si="6"/>
        <v>0</v>
      </c>
      <c r="M176" s="28">
        <f t="shared" si="7"/>
        <v>0</v>
      </c>
      <c r="Q176" s="142"/>
      <c r="R176" s="142"/>
      <c r="S176" s="142"/>
      <c r="T176" s="142"/>
      <c r="U176" s="142"/>
      <c r="V176" s="142"/>
      <c r="W176" s="142"/>
      <c r="X176" s="142"/>
    </row>
    <row r="177" spans="1:24" ht="16.149999999999999" customHeight="1" x14ac:dyDescent="0.2">
      <c r="A177" s="17"/>
      <c r="B177" s="431"/>
      <c r="C177" s="297"/>
      <c r="D177" s="297"/>
      <c r="E177" s="297"/>
      <c r="F177" s="297"/>
      <c r="G177" s="222" t="str">
        <f t="shared" si="8"/>
        <v/>
      </c>
      <c r="H177" s="17"/>
      <c r="I177" s="17"/>
      <c r="J177" s="242"/>
      <c r="L177" s="46">
        <f t="shared" si="6"/>
        <v>0</v>
      </c>
      <c r="M177" s="28">
        <f t="shared" si="7"/>
        <v>0</v>
      </c>
      <c r="Q177" s="142"/>
      <c r="R177" s="142"/>
      <c r="S177" s="142"/>
      <c r="T177" s="142"/>
      <c r="U177" s="142"/>
      <c r="V177" s="142"/>
      <c r="W177" s="142"/>
      <c r="X177" s="142"/>
    </row>
    <row r="178" spans="1:24" ht="16.149999999999999" customHeight="1" x14ac:dyDescent="0.2">
      <c r="A178" s="17"/>
      <c r="B178" s="585"/>
      <c r="C178" s="313"/>
      <c r="D178" s="313"/>
      <c r="E178" s="313"/>
      <c r="F178" s="313"/>
      <c r="G178" s="222" t="str">
        <f t="shared" si="8"/>
        <v/>
      </c>
      <c r="H178" s="17"/>
      <c r="I178" s="17"/>
      <c r="J178" s="242"/>
      <c r="L178" s="46">
        <f t="shared" si="6"/>
        <v>0</v>
      </c>
      <c r="M178" s="28">
        <f t="shared" si="7"/>
        <v>0</v>
      </c>
      <c r="Q178" s="142"/>
      <c r="R178" s="142"/>
      <c r="S178" s="142"/>
      <c r="T178" s="142"/>
      <c r="U178" s="142"/>
      <c r="V178" s="142"/>
      <c r="W178" s="142"/>
      <c r="X178" s="142"/>
    </row>
    <row r="179" spans="1:24" ht="16.149999999999999" customHeight="1" x14ac:dyDescent="0.2">
      <c r="A179" s="17"/>
      <c r="B179" s="586" t="s">
        <v>5590</v>
      </c>
      <c r="C179" s="587">
        <f>SUM(C153:C178)</f>
      </c>
      <c r="D179" s="587">
        <f>SUM(D153:D178)</f>
      </c>
      <c r="E179" s="587">
        <f>SUM(E153:E178)</f>
      </c>
      <c r="F179" s="587">
        <f>SUM(F153:F178)</f>
      </c>
      <c r="G179" s="222" t="str">
        <f>IF(D179&lt;&gt;E146,"Check Selling Price !","")</f>
        <v/>
      </c>
      <c r="H179" s="17"/>
      <c r="I179" s="17"/>
      <c r="J179" s="242"/>
      <c r="M179" s="28">
        <f t="shared" si="7"/>
        <v>0</v>
      </c>
      <c r="Q179" s="142"/>
      <c r="R179" s="142"/>
      <c r="S179" s="142"/>
      <c r="T179" s="142"/>
      <c r="U179" s="142"/>
      <c r="V179" s="142"/>
      <c r="W179" s="142"/>
      <c r="X179" s="142"/>
    </row>
    <row r="180" spans="1:24" ht="16.149999999999999" customHeight="1" x14ac:dyDescent="0.2">
      <c r="A180" s="17"/>
      <c r="B180" s="4648" t="s">
        <v>1478</v>
      </c>
      <c r="C180" s="4648"/>
      <c r="D180" s="4648"/>
      <c r="E180" s="4648"/>
      <c r="F180" s="588">
        <f>E148</f>
      </c>
      <c r="G180" s="17"/>
      <c r="H180" s="17"/>
      <c r="I180" s="17"/>
      <c r="J180" s="242"/>
      <c r="M180" s="167">
        <f>SUM(M127:M179)</f>
      </c>
      <c r="Q180" s="142"/>
      <c r="R180" s="142"/>
      <c r="S180" s="142"/>
      <c r="T180" s="142"/>
      <c r="U180" s="142"/>
      <c r="V180" s="142"/>
      <c r="W180" s="142"/>
      <c r="X180" s="142"/>
    </row>
    <row r="181" spans="1:24" ht="16.149999999999999" customHeight="1" x14ac:dyDescent="0.2">
      <c r="A181" s="17"/>
      <c r="B181" s="589"/>
      <c r="C181" s="589"/>
      <c r="D181" s="589"/>
      <c r="E181" s="589"/>
      <c r="F181" s="310"/>
      <c r="G181" s="17"/>
      <c r="H181" s="279" t="str">
        <f>ip</f>
      </c>
      <c r="I181" s="279" t="s">
        <v>2372</v>
      </c>
      <c r="J181" s="242"/>
      <c r="Q181" s="142"/>
      <c r="R181" s="142"/>
      <c r="S181" s="142"/>
      <c r="T181" s="142"/>
      <c r="U181" s="142"/>
      <c r="V181" s="142"/>
      <c r="W181" s="142"/>
      <c r="X181" s="142"/>
    </row>
    <row r="182" spans="1:24" ht="16.149999999999999" customHeight="1" x14ac:dyDescent="0.2">
      <c r="A182" s="17"/>
      <c r="B182" s="4650" t="s">
        <v>5410</v>
      </c>
      <c r="C182" s="4650"/>
      <c r="D182" s="4650"/>
      <c r="E182" s="4650"/>
      <c r="F182" s="4650"/>
      <c r="G182" s="17"/>
      <c r="H182" s="590" t="str">
        <f>IF($H144=ip,K182,"")</f>
        <v/>
      </c>
      <c r="I182" s="590" t="str">
        <f>IF($H144=fi,K182,"")</f>
        <v/>
      </c>
      <c r="J182" s="242"/>
      <c r="K182" s="236">
        <f>F179-F180</f>
      </c>
      <c r="Q182" s="142"/>
      <c r="R182" s="142"/>
      <c r="S182" s="142"/>
      <c r="T182" s="142"/>
      <c r="U182" s="142"/>
      <c r="V182" s="142"/>
      <c r="W182" s="142"/>
      <c r="X182" s="142"/>
    </row>
    <row r="183" spans="1:24" ht="16.149999999999999" customHeight="1" x14ac:dyDescent="0.2">
      <c r="A183" s="17"/>
      <c r="B183" s="17" t="str">
        <f>_xlfn.SINGLE(MTCA)</f>
      </c>
      <c r="C183" s="17"/>
      <c r="D183" s="17" t="str">
        <f>ver</f>
        <v>TA2_e-CO_2025_Ver 1.1</v>
      </c>
      <c r="E183" s="17"/>
      <c r="F183" s="17"/>
      <c r="G183" s="17"/>
      <c r="H183" s="17"/>
      <c r="I183" s="536" t="s">
        <v>3153</v>
      </c>
      <c r="J183" s="242"/>
      <c r="Q183" s="142"/>
      <c r="R183" s="142"/>
      <c r="S183" s="142"/>
      <c r="T183" s="142"/>
      <c r="U183" s="142"/>
      <c r="V183" s="142"/>
      <c r="W183" s="142"/>
      <c r="X183" s="142"/>
    </row>
    <row r="184" spans="1:24" ht="16.149999999999999" customHeight="1" x14ac:dyDescent="0.2">
      <c r="A184" s="17"/>
      <c r="B184" s="17"/>
      <c r="C184" s="17"/>
      <c r="D184" s="17"/>
      <c r="E184" s="17"/>
      <c r="F184" s="17"/>
      <c r="G184" s="17"/>
      <c r="H184" s="17"/>
      <c r="I184" s="536"/>
      <c r="J184" s="242"/>
      <c r="Q184" s="142"/>
      <c r="R184" s="142"/>
      <c r="S184" s="142"/>
      <c r="T184" s="142"/>
      <c r="U184" s="142"/>
      <c r="V184" s="142"/>
      <c r="W184" s="142"/>
      <c r="X184" s="142"/>
    </row>
    <row r="185" spans="1:24" ht="16.149999999999999" customHeight="1" x14ac:dyDescent="0.2">
      <c r="A185" s="17"/>
      <c r="B185" s="17"/>
      <c r="C185" s="17"/>
      <c r="D185" s="17"/>
      <c r="E185" s="17"/>
      <c r="F185" s="17"/>
      <c r="G185" s="17"/>
      <c r="H185" s="17"/>
      <c r="I185" s="536"/>
      <c r="J185" s="242"/>
      <c r="Q185" s="142"/>
      <c r="R185" s="142"/>
      <c r="S185" s="142"/>
      <c r="T185" s="142"/>
      <c r="U185" s="142"/>
      <c r="V185" s="142"/>
      <c r="W185" s="142"/>
      <c r="X185" s="142"/>
    </row>
    <row r="186" spans="1:24" ht="16.149999999999999" customHeight="1" x14ac:dyDescent="0.2">
      <c r="A186" s="781">
        <v>4</v>
      </c>
      <c r="B186" s="4645" t="s">
        <v>5196</v>
      </c>
      <c r="C186" s="4645"/>
      <c r="D186" s="4645"/>
      <c r="E186" s="4645"/>
      <c r="F186" s="4645"/>
      <c r="G186" s="4645"/>
      <c r="H186" s="4645"/>
      <c r="I186" s="4645"/>
      <c r="J186" s="242"/>
      <c r="K186" s="62"/>
      <c r="L186" s="62"/>
      <c r="Q186" s="142"/>
      <c r="R186" s="142"/>
      <c r="S186" s="142"/>
      <c r="T186" s="142"/>
      <c r="U186" s="142"/>
      <c r="V186" s="142"/>
      <c r="W186" s="142"/>
      <c r="X186" s="142"/>
    </row>
    <row r="187" spans="1:24" ht="6" customHeight="1" x14ac:dyDescent="0.2">
      <c r="A187" s="242"/>
      <c r="B187" s="242"/>
      <c r="C187" s="242"/>
      <c r="D187" s="242"/>
      <c r="E187" s="242"/>
      <c r="F187" s="242"/>
      <c r="G187" s="242"/>
      <c r="H187" s="242"/>
      <c r="I187" s="242"/>
      <c r="J187" s="242"/>
      <c r="K187" s="62"/>
      <c r="L187" s="62"/>
      <c r="Q187" s="142"/>
      <c r="R187" s="142"/>
      <c r="S187" s="142"/>
      <c r="T187" s="142"/>
      <c r="U187" s="142"/>
      <c r="V187" s="142"/>
      <c r="W187" s="142"/>
      <c r="X187" s="142"/>
    </row>
    <row r="188" spans="1:24" s="142" customFormat="1" ht="14.25" x14ac:dyDescent="0.2">
      <c r="A188" s="242"/>
      <c r="B188" s="3574" t="s">
        <v>9959</v>
      </c>
      <c r="C188" s="242"/>
      <c r="D188" s="242"/>
      <c r="E188" s="242"/>
      <c r="F188" s="569"/>
      <c r="G188" s="572" t="str">
        <f>IF(L212=0,"",IF(AND($P$1="n",F188&lt;&gt;""),"No details required!",IF(AND($P$1="y",ISBLANK(F188)),"Required !","")))</f>
        <v/>
      </c>
      <c r="H188" s="242"/>
      <c r="I188" s="242"/>
      <c r="J188" s="242"/>
      <c r="L188" s="142">
        <f>IF(ISBLANK(F188),0,1)</f>
      </c>
      <c r="M188" s="167">
        <f>IF(G188=$M$1,0,1)</f>
      </c>
    </row>
    <row r="189" spans="1:24" ht="6" customHeight="1" x14ac:dyDescent="0.2">
      <c r="A189" s="242"/>
      <c r="B189" s="242"/>
      <c r="C189" s="242"/>
      <c r="D189" s="242"/>
      <c r="E189" s="242"/>
      <c r="F189" s="242"/>
      <c r="G189" s="242"/>
      <c r="H189" s="242"/>
      <c r="I189" s="242"/>
      <c r="J189" s="242"/>
      <c r="K189" s="62"/>
      <c r="L189" s="62"/>
      <c r="Q189" s="142"/>
      <c r="R189" s="142"/>
      <c r="S189" s="142"/>
      <c r="T189" s="142"/>
      <c r="U189" s="142"/>
      <c r="V189" s="142"/>
      <c r="W189" s="142"/>
      <c r="X189" s="142"/>
    </row>
    <row r="190" spans="1:24" ht="14.25" customHeight="1" x14ac:dyDescent="0.2">
      <c r="A190" s="242"/>
      <c r="B190" s="4641" t="s">
        <v>10035</v>
      </c>
      <c r="C190" s="4641"/>
      <c r="D190" s="4641"/>
      <c r="E190" s="4641"/>
      <c r="F190" s="569"/>
      <c r="G190" s="572" t="str">
        <f>IF(L212=0,"",IF(ISBLANK(F190),"Required!",IF(AND($P$3="n",F190="yes"),"Check Pg2 Q32!","")))</f>
        <v/>
      </c>
      <c r="H190" s="242"/>
      <c r="I190" s="242"/>
      <c r="J190" s="242"/>
      <c r="K190" s="62"/>
      <c r="L190" s="142">
        <f>IF(ISBLANK(F190),0,1)</f>
      </c>
      <c r="M190" s="167">
        <f>IF(G190=$M$1,0,1)</f>
      </c>
      <c r="N190" s="142">
        <f>IF(AND($P$3="n",F190="yes"),1,0)</f>
      </c>
      <c r="Q190" s="142"/>
      <c r="R190" s="142"/>
      <c r="S190" s="142"/>
      <c r="T190" s="142"/>
      <c r="U190" s="142"/>
      <c r="V190" s="142"/>
      <c r="W190" s="142"/>
      <c r="X190" s="142"/>
    </row>
    <row r="191" spans="1:24" ht="12.75" x14ac:dyDescent="0.2">
      <c r="A191" s="242"/>
      <c r="B191" s="4642" t="s">
        <v>10036</v>
      </c>
      <c r="C191" s="4642"/>
      <c r="D191" s="4642"/>
      <c r="E191" s="4642"/>
      <c r="F191" s="242"/>
      <c r="G191" s="242"/>
      <c r="H191" s="242"/>
      <c r="I191" s="242"/>
      <c r="J191" s="242"/>
      <c r="K191" s="62"/>
      <c r="L191" s="62"/>
      <c r="Q191" s="142"/>
      <c r="R191" s="142"/>
      <c r="S191" s="142"/>
      <c r="T191" s="142"/>
      <c r="U191" s="142"/>
      <c r="V191" s="142"/>
      <c r="W191" s="142"/>
      <c r="X191" s="142"/>
    </row>
    <row r="192" spans="1:24" ht="12.75" hidden="1" x14ac:dyDescent="0.2">
      <c r="A192" s="242"/>
      <c r="B192" s="242"/>
      <c r="C192" s="242"/>
      <c r="D192" s="242"/>
      <c r="E192" s="242"/>
      <c r="F192" s="242"/>
      <c r="G192" s="242"/>
      <c r="H192" s="242"/>
      <c r="I192" s="242"/>
      <c r="J192" s="242"/>
      <c r="K192" s="62"/>
      <c r="L192" s="62"/>
      <c r="Q192" s="142"/>
      <c r="R192" s="142"/>
      <c r="S192" s="142"/>
      <c r="T192" s="142"/>
      <c r="U192" s="142"/>
      <c r="V192" s="142"/>
      <c r="W192" s="142"/>
      <c r="X192" s="142"/>
    </row>
    <row r="193" spans="1:24" ht="12.75" hidden="1" x14ac:dyDescent="0.2">
      <c r="A193" s="242"/>
      <c r="B193" s="242"/>
      <c r="C193" s="242"/>
      <c r="D193" s="242"/>
      <c r="E193" s="242"/>
      <c r="F193" s="242"/>
      <c r="G193" s="242"/>
      <c r="H193" s="242"/>
      <c r="I193" s="242"/>
      <c r="J193" s="242"/>
      <c r="K193" s="62"/>
      <c r="L193" s="62"/>
      <c r="Q193" s="142"/>
      <c r="R193" s="142"/>
      <c r="S193" s="142"/>
      <c r="T193" s="142"/>
      <c r="U193" s="142"/>
      <c r="V193" s="142"/>
      <c r="W193" s="142"/>
      <c r="X193" s="142"/>
    </row>
    <row r="194" spans="1:24" ht="12.75" hidden="1" x14ac:dyDescent="0.2">
      <c r="A194" s="242"/>
      <c r="B194" s="242"/>
      <c r="C194" s="242"/>
      <c r="D194" s="242"/>
      <c r="E194" s="242"/>
      <c r="F194" s="242"/>
      <c r="G194" s="242"/>
      <c r="H194" s="242"/>
      <c r="I194" s="242"/>
      <c r="J194" s="242"/>
      <c r="K194" s="62"/>
      <c r="L194" s="62"/>
      <c r="Q194" s="142"/>
      <c r="R194" s="142"/>
      <c r="S194" s="142"/>
      <c r="T194" s="142"/>
      <c r="U194" s="142"/>
      <c r="V194" s="142"/>
      <c r="W194" s="142"/>
      <c r="X194" s="142"/>
    </row>
    <row r="195" spans="1:24" ht="12.75" hidden="1" x14ac:dyDescent="0.2">
      <c r="A195" s="242"/>
      <c r="B195" s="242"/>
      <c r="C195" s="242"/>
      <c r="D195" s="242"/>
      <c r="E195" s="242"/>
      <c r="F195" s="242"/>
      <c r="G195" s="242"/>
      <c r="H195" s="242"/>
      <c r="I195" s="242"/>
      <c r="J195" s="242"/>
      <c r="K195" s="62"/>
      <c r="L195" s="62"/>
      <c r="Q195" s="142"/>
      <c r="R195" s="142"/>
      <c r="S195" s="142"/>
      <c r="T195" s="142"/>
      <c r="U195" s="142"/>
      <c r="V195" s="142"/>
      <c r="W195" s="142"/>
      <c r="X195" s="142"/>
    </row>
    <row r="196" spans="1:24" ht="12.75" hidden="1" x14ac:dyDescent="0.2">
      <c r="A196" s="242"/>
      <c r="B196" s="242"/>
      <c r="C196" s="242"/>
      <c r="D196" s="242"/>
      <c r="E196" s="242"/>
      <c r="F196" s="242"/>
      <c r="G196" s="242"/>
      <c r="H196" s="242"/>
      <c r="I196" s="242"/>
      <c r="J196" s="242"/>
      <c r="K196" s="62"/>
      <c r="L196" s="62"/>
      <c r="Q196" s="142"/>
      <c r="R196" s="142"/>
      <c r="S196" s="142"/>
      <c r="T196" s="142"/>
      <c r="U196" s="142"/>
      <c r="V196" s="142"/>
      <c r="W196" s="142"/>
      <c r="X196" s="142"/>
    </row>
    <row r="197" spans="1:24" ht="12.75" hidden="1" x14ac:dyDescent="0.2">
      <c r="A197" s="242"/>
      <c r="B197" s="242"/>
      <c r="C197" s="242"/>
      <c r="D197" s="242"/>
      <c r="E197" s="242"/>
      <c r="F197" s="242"/>
      <c r="G197" s="242"/>
      <c r="H197" s="242"/>
      <c r="I197" s="242"/>
      <c r="J197" s="242"/>
      <c r="K197" s="62"/>
      <c r="L197" s="62"/>
      <c r="Q197" s="142"/>
      <c r="R197" s="142"/>
      <c r="S197" s="142"/>
      <c r="T197" s="142"/>
      <c r="U197" s="142"/>
      <c r="V197" s="142"/>
      <c r="W197" s="142"/>
      <c r="X197" s="142"/>
    </row>
    <row r="198" spans="1:24" ht="12.75" hidden="1" x14ac:dyDescent="0.2">
      <c r="A198" s="242"/>
      <c r="B198" s="242"/>
      <c r="C198" s="242"/>
      <c r="D198" s="242"/>
      <c r="E198" s="242"/>
      <c r="F198" s="242"/>
      <c r="G198" s="242"/>
      <c r="H198" s="242"/>
      <c r="I198" s="242"/>
      <c r="J198" s="242"/>
      <c r="K198" s="62"/>
      <c r="L198" s="62"/>
      <c r="Q198" s="142"/>
      <c r="R198" s="142"/>
      <c r="S198" s="142"/>
      <c r="T198" s="142"/>
      <c r="U198" s="142"/>
      <c r="V198" s="142"/>
      <c r="W198" s="142"/>
      <c r="X198" s="142"/>
    </row>
    <row r="199" spans="1:24" ht="12.75" hidden="1" x14ac:dyDescent="0.2">
      <c r="A199" s="242"/>
      <c r="B199" s="242"/>
      <c r="C199" s="242"/>
      <c r="D199" s="242"/>
      <c r="E199" s="242"/>
      <c r="F199" s="242"/>
      <c r="G199" s="242"/>
      <c r="H199" s="242"/>
      <c r="I199" s="242"/>
      <c r="J199" s="242"/>
      <c r="K199" s="62"/>
      <c r="L199" s="62"/>
      <c r="Q199" s="142"/>
      <c r="R199" s="142"/>
      <c r="S199" s="142"/>
      <c r="T199" s="142"/>
      <c r="U199" s="142"/>
      <c r="V199" s="142"/>
      <c r="W199" s="142"/>
      <c r="X199" s="142"/>
    </row>
    <row r="200" spans="1:24" ht="12.75" hidden="1" x14ac:dyDescent="0.2">
      <c r="A200" s="242"/>
      <c r="B200" s="242"/>
      <c r="C200" s="242"/>
      <c r="D200" s="242"/>
      <c r="E200" s="242"/>
      <c r="F200" s="242"/>
      <c r="G200" s="242"/>
      <c r="H200" s="242"/>
      <c r="I200" s="242"/>
      <c r="J200" s="242"/>
      <c r="K200" s="62"/>
      <c r="L200" s="62"/>
      <c r="Q200" s="142"/>
      <c r="R200" s="142"/>
      <c r="S200" s="142"/>
      <c r="T200" s="142"/>
      <c r="U200" s="142"/>
      <c r="V200" s="142"/>
      <c r="W200" s="142"/>
      <c r="X200" s="142"/>
    </row>
    <row r="201" spans="1:24" ht="5.25" customHeight="1" x14ac:dyDescent="0.2">
      <c r="A201" s="242"/>
      <c r="B201" s="242"/>
      <c r="C201" s="242"/>
      <c r="D201" s="242"/>
      <c r="E201" s="242"/>
      <c r="F201" s="242"/>
      <c r="G201" s="242"/>
      <c r="H201" s="242"/>
      <c r="I201" s="242"/>
      <c r="J201" s="242"/>
      <c r="K201" s="62"/>
      <c r="L201" s="62"/>
      <c r="Q201" s="142"/>
      <c r="R201" s="142"/>
      <c r="S201" s="142"/>
      <c r="T201" s="142"/>
      <c r="U201" s="142"/>
      <c r="V201" s="142"/>
      <c r="W201" s="142"/>
      <c r="X201" s="142"/>
    </row>
    <row r="202" spans="1:24" ht="16.149999999999999" customHeight="1" x14ac:dyDescent="0.2">
      <c r="A202" s="17"/>
      <c r="B202" s="564" t="str">
        <f>IF(N203=1,"Details of property deemed to be transferred ","Details of property sold")</f>
      </c>
      <c r="C202" s="564"/>
      <c r="D202" s="564"/>
      <c r="E202" s="20"/>
      <c r="F202" s="20"/>
      <c r="G202" s="20"/>
      <c r="H202" s="20"/>
      <c r="I202" s="20"/>
      <c r="J202" s="242"/>
      <c r="Q202" s="142"/>
      <c r="R202" s="142"/>
      <c r="S202" s="142"/>
      <c r="T202" s="142"/>
      <c r="U202" s="142"/>
      <c r="V202" s="142"/>
      <c r="W202" s="142"/>
      <c r="X202" s="142"/>
    </row>
    <row r="203" spans="1:24" ht="16.149999999999999" customHeight="1" x14ac:dyDescent="0.2">
      <c r="A203" s="17"/>
      <c r="B203" s="565" t="s">
        <v>3331</v>
      </c>
      <c r="C203" s="565"/>
      <c r="D203" s="566" t="str">
        <f>IF(L212=0,"",IF(ISBLANK(E203),"Required!",""))</f>
        <v/>
      </c>
      <c r="E203" s="4646"/>
      <c r="F203" s="4646"/>
      <c r="G203" s="4646"/>
      <c r="H203" s="4646"/>
      <c r="I203" s="4646"/>
      <c r="J203" s="242"/>
      <c r="L203" s="46">
        <f>IF(ISBLANK(E203),0,1)</f>
      </c>
      <c r="M203" s="167">
        <f>IF(D203=$M$1,0,1)</f>
      </c>
      <c r="N203" s="142">
        <f>IF(AND(F190="yes",$P$3="y"),1,0)</f>
      </c>
      <c r="Q203" s="142"/>
      <c r="R203" s="142"/>
      <c r="S203" s="142"/>
      <c r="T203" s="142"/>
      <c r="U203" s="142"/>
      <c r="V203" s="142"/>
      <c r="W203" s="142"/>
      <c r="X203" s="142"/>
    </row>
    <row r="204" spans="1:24" ht="6" customHeight="1" x14ac:dyDescent="0.2">
      <c r="A204" s="17"/>
      <c r="B204" s="565"/>
      <c r="C204" s="565"/>
      <c r="D204" s="565"/>
      <c r="E204" s="185"/>
      <c r="F204" s="185"/>
      <c r="G204" s="185"/>
      <c r="H204" s="185"/>
      <c r="I204" s="185"/>
      <c r="J204" s="242"/>
      <c r="M204" s="28"/>
      <c r="Q204" s="142"/>
      <c r="R204" s="142"/>
      <c r="S204" s="142"/>
      <c r="T204" s="142"/>
      <c r="U204" s="142"/>
      <c r="V204" s="142"/>
      <c r="W204" s="142"/>
      <c r="X204" s="142"/>
    </row>
    <row r="205" spans="1:24" ht="16.149999999999999" customHeight="1" x14ac:dyDescent="0.2">
      <c r="A205" s="17"/>
      <c r="B205" s="567" t="str">
        <f>IF(N203=1,"Year of transfer [Basis Year]","Year of sale [Basis Year]")</f>
      </c>
      <c r="C205" s="567"/>
      <c r="D205" s="566" t="str">
        <f>IF(L212=0,"",IF(ISBLANK(E205),"Required!",""))</f>
        <v/>
      </c>
      <c r="E205" s="568"/>
      <c r="F205" s="4643" t="s">
        <v>3332</v>
      </c>
      <c r="G205" s="4644"/>
      <c r="H205" s="569"/>
      <c r="I205" s="570" t="str">
        <f>IF(L212=0,"",IF(ISBLANK(H205),"A/c ?",""))</f>
        <v/>
      </c>
      <c r="J205" s="242"/>
      <c r="L205" s="46">
        <f>IF(ISBLANK(E205),0,1)</f>
      </c>
      <c r="M205" s="28">
        <f>IF(I205=$M$1,0,1)</f>
      </c>
      <c r="Q205" s="142"/>
      <c r="R205" s="142"/>
      <c r="S205" s="142"/>
      <c r="T205" s="142"/>
      <c r="U205" s="142"/>
      <c r="V205" s="142"/>
      <c r="W205" s="142"/>
      <c r="X205" s="142"/>
    </row>
    <row r="206" spans="1:24" ht="6" customHeight="1" x14ac:dyDescent="0.2">
      <c r="A206" s="17"/>
      <c r="B206" s="565"/>
      <c r="C206" s="565"/>
      <c r="D206" s="565"/>
      <c r="E206" s="20"/>
      <c r="F206" s="20"/>
      <c r="G206" s="20"/>
      <c r="H206" s="20"/>
      <c r="I206" s="20"/>
      <c r="J206" s="242"/>
      <c r="L206" s="46">
        <f>IF(ISBLANK(H205),0,1)</f>
      </c>
      <c r="M206" s="167">
        <f>IF(D205=$M$1,0,1)</f>
      </c>
      <c r="Q206" s="142"/>
      <c r="R206" s="142"/>
      <c r="S206" s="142"/>
      <c r="T206" s="142"/>
      <c r="U206" s="142"/>
      <c r="V206" s="142"/>
      <c r="W206" s="142"/>
      <c r="X206" s="142"/>
    </row>
    <row r="207" spans="1:24" ht="16.149999999999999" customHeight="1" x14ac:dyDescent="0.2">
      <c r="A207" s="17"/>
      <c r="B207" s="564" t="str">
        <f>IF(N203=1,"Market value of property","Selling price of property")</f>
      </c>
      <c r="C207" s="564"/>
      <c r="D207" s="566" t="str">
        <f>IF(L212=0,"",IF(ISBLANK(E207),"Required!",""))</f>
        <v/>
      </c>
      <c r="E207" s="571"/>
      <c r="F207" s="20"/>
      <c r="G207" s="573"/>
      <c r="H207" s="574"/>
      <c r="I207" s="20"/>
      <c r="J207" s="242"/>
      <c r="L207" s="46">
        <f>IF(ISBLANK(E207),0,1)</f>
      </c>
      <c r="M207" s="28">
        <f>IF(D207=$M$1,0,1)</f>
      </c>
      <c r="Q207" s="142"/>
      <c r="R207" s="142"/>
      <c r="S207" s="142"/>
      <c r="T207" s="142"/>
      <c r="U207" s="142"/>
      <c r="V207" s="142"/>
      <c r="W207" s="142"/>
      <c r="X207" s="142"/>
    </row>
    <row r="208" spans="1:24" ht="6" customHeight="1" x14ac:dyDescent="0.2">
      <c r="A208" s="17"/>
      <c r="B208" s="565"/>
      <c r="C208" s="565"/>
      <c r="D208" s="565"/>
      <c r="E208" s="20"/>
      <c r="F208" s="20"/>
      <c r="G208" s="573"/>
      <c r="H208" s="574"/>
      <c r="I208" s="20"/>
      <c r="J208" s="242"/>
      <c r="M208" s="28"/>
      <c r="Q208" s="142"/>
      <c r="R208" s="142"/>
      <c r="S208" s="142"/>
      <c r="T208" s="142"/>
      <c r="U208" s="142"/>
      <c r="V208" s="142"/>
      <c r="W208" s="142"/>
      <c r="X208" s="142"/>
    </row>
    <row r="209" spans="1:24" ht="16.149999999999999" customHeight="1" x14ac:dyDescent="0.2">
      <c r="A209" s="17"/>
      <c r="B209" s="564" t="s">
        <v>3333</v>
      </c>
      <c r="C209" s="564"/>
      <c r="D209" s="572" t="str">
        <f>IF(N210=1,"Delete!","")</f>
        <v/>
      </c>
      <c r="E209" s="571"/>
      <c r="F209" s="20"/>
      <c r="G209" s="573" t="s">
        <v>3213</v>
      </c>
      <c r="H209" s="575"/>
      <c r="I209" s="570" t="str">
        <f>IF(L212=0,"",IF(AND(N203=1,H209&lt;&gt;""),"Delete!",IF(N203=1,"",IF(ISBLANK(H209),"Date ?",""))))</f>
        <v/>
      </c>
      <c r="J209" s="242"/>
      <c r="L209" s="46">
        <f>IF(ISBLANK(E209),0,1)</f>
      </c>
      <c r="M209" s="142">
        <f>IF(I209=$M$1,0,1)</f>
      </c>
      <c r="N209" s="142">
        <f>IF(AND(N203=1,H209&lt;&gt;""),1,0)</f>
      </c>
      <c r="Q209" s="142"/>
      <c r="R209" s="142"/>
      <c r="S209" s="142"/>
      <c r="T209" s="142"/>
      <c r="U209" s="142"/>
      <c r="V209" s="142"/>
      <c r="W209" s="142"/>
      <c r="X209" s="142"/>
    </row>
    <row r="210" spans="1:24" ht="6" customHeight="1" x14ac:dyDescent="0.2">
      <c r="A210" s="17"/>
      <c r="B210" s="565"/>
      <c r="C210" s="565"/>
      <c r="D210" s="565"/>
      <c r="E210" s="576"/>
      <c r="F210" s="20"/>
      <c r="G210" s="573"/>
      <c r="H210" s="574"/>
      <c r="I210" s="20"/>
      <c r="J210" s="242"/>
      <c r="L210" s="142">
        <f>IF(ISBLANK(H209),0,1)</f>
      </c>
      <c r="M210" s="142">
        <f>IF(D209=$M$1,0,1)</f>
      </c>
      <c r="N210" s="142">
        <f>IF(AND(N203=1,E209&lt;&gt;0),1,0)</f>
      </c>
      <c r="Q210" s="142"/>
      <c r="R210" s="142"/>
      <c r="S210" s="142"/>
      <c r="T210" s="142"/>
      <c r="U210" s="142"/>
      <c r="V210" s="142"/>
      <c r="W210" s="142"/>
      <c r="X210" s="142"/>
    </row>
    <row r="211" spans="1:24" ht="16.149999999999999" customHeight="1" x14ac:dyDescent="0.2">
      <c r="A211" s="17"/>
      <c r="B211" s="4647" t="s">
        <v>4245</v>
      </c>
      <c r="C211" s="4647"/>
      <c r="D211" s="4647"/>
      <c r="E211" s="4649" t="s">
        <v>1511</v>
      </c>
      <c r="F211" s="4649"/>
      <c r="G211" s="577"/>
      <c r="H211" s="574"/>
      <c r="I211" s="20"/>
      <c r="J211" s="242"/>
      <c r="M211" s="28">
        <f>IF(G211=$M$1,0,1)</f>
      </c>
      <c r="Q211" s="142"/>
      <c r="R211" s="142"/>
      <c r="S211" s="142"/>
      <c r="T211" s="142"/>
      <c r="U211" s="142"/>
      <c r="V211" s="142"/>
      <c r="W211" s="142"/>
      <c r="X211" s="142"/>
    </row>
    <row r="212" spans="1:24" ht="6" customHeight="1" x14ac:dyDescent="0.2">
      <c r="A212" s="17"/>
      <c r="B212" s="17"/>
      <c r="C212" s="17"/>
      <c r="D212" s="578"/>
      <c r="E212" s="579"/>
      <c r="F212" s="17"/>
      <c r="G212" s="580"/>
      <c r="H212" s="578"/>
      <c r="I212" s="17"/>
      <c r="J212" s="242"/>
      <c r="L212" s="176">
        <f>SUM(L188:L211)</f>
      </c>
      <c r="M212" s="28"/>
      <c r="Q212" s="142"/>
      <c r="R212" s="142"/>
      <c r="S212" s="142"/>
      <c r="T212" s="142"/>
      <c r="U212" s="142"/>
      <c r="V212" s="142"/>
      <c r="W212" s="142"/>
      <c r="X212" s="142"/>
    </row>
    <row r="213" spans="1:24" ht="22.5" x14ac:dyDescent="0.2">
      <c r="A213" s="17"/>
      <c r="B213" s="581" t="s">
        <v>4244</v>
      </c>
      <c r="C213" s="581" t="s">
        <v>4246</v>
      </c>
      <c r="D213" s="582" t="s">
        <v>1475</v>
      </c>
      <c r="E213" s="583" t="s">
        <v>1476</v>
      </c>
      <c r="F213" s="269" t="s">
        <v>1477</v>
      </c>
      <c r="G213" s="17"/>
      <c r="H213" s="584"/>
      <c r="I213" s="17"/>
      <c r="J213" s="242"/>
      <c r="M213" s="28"/>
      <c r="Q213" s="142"/>
      <c r="R213" s="142"/>
      <c r="S213" s="142"/>
      <c r="T213" s="142"/>
      <c r="U213" s="142"/>
      <c r="V213" s="142"/>
      <c r="W213" s="142"/>
      <c r="X213" s="142"/>
    </row>
    <row r="214" spans="1:24" ht="16.149999999999999" customHeight="1" x14ac:dyDescent="0.2">
      <c r="A214" s="17"/>
      <c r="B214" s="431"/>
      <c r="C214" s="297"/>
      <c r="D214" s="297"/>
      <c r="E214" s="297"/>
      <c r="F214" s="297"/>
      <c r="G214" s="222" t="str">
        <f>IF(L212=0,"",IF(L214=5,"","All details !"))</f>
        <v/>
      </c>
      <c r="H214" s="17"/>
      <c r="I214" s="17"/>
      <c r="J214" s="242"/>
      <c r="L214" s="46">
        <f t="shared" ref="L214:L239" si="9">COUNT(B214:F214)</f>
      </c>
      <c r="M214" s="28">
        <f t="shared" ref="M214:M240" si="10">IF(G214=$M$1,0,1)</f>
      </c>
      <c r="Q214" s="142"/>
      <c r="R214" s="142"/>
      <c r="S214" s="142"/>
      <c r="T214" s="142"/>
      <c r="U214" s="142"/>
      <c r="V214" s="142"/>
      <c r="W214" s="142"/>
      <c r="X214" s="142"/>
    </row>
    <row r="215" spans="1:24" ht="16.149999999999999" customHeight="1" x14ac:dyDescent="0.2">
      <c r="A215" s="17"/>
      <c r="B215" s="431"/>
      <c r="C215" s="297"/>
      <c r="D215" s="297"/>
      <c r="E215" s="297"/>
      <c r="F215" s="297"/>
      <c r="G215" s="222" t="str">
        <f t="shared" ref="G215:G239" si="11">IF(L215=0,"",IF(L215=5,"","All details !"))</f>
        <v/>
      </c>
      <c r="H215" s="17"/>
      <c r="I215" s="17"/>
      <c r="J215" s="242"/>
      <c r="L215" s="46">
        <f t="shared" si="9"/>
        <v>0</v>
      </c>
      <c r="M215" s="28">
        <f t="shared" si="10"/>
        <v>0</v>
      </c>
      <c r="Q215" s="142"/>
      <c r="R215" s="142"/>
      <c r="S215" s="142"/>
      <c r="T215" s="142"/>
      <c r="U215" s="142"/>
      <c r="V215" s="142"/>
      <c r="W215" s="142"/>
      <c r="X215" s="142"/>
    </row>
    <row r="216" spans="1:24" ht="16.149999999999999" customHeight="1" x14ac:dyDescent="0.2">
      <c r="A216" s="17"/>
      <c r="B216" s="431"/>
      <c r="C216" s="297"/>
      <c r="D216" s="297"/>
      <c r="E216" s="297"/>
      <c r="F216" s="297"/>
      <c r="G216" s="222" t="str">
        <f t="shared" si="11"/>
        <v/>
      </c>
      <c r="H216" s="17"/>
      <c r="I216" s="17"/>
      <c r="J216" s="242"/>
      <c r="L216" s="46">
        <f t="shared" si="9"/>
        <v>0</v>
      </c>
      <c r="M216" s="28">
        <f t="shared" si="10"/>
        <v>0</v>
      </c>
      <c r="Q216" s="142"/>
      <c r="R216" s="142"/>
      <c r="S216" s="142"/>
      <c r="T216" s="142"/>
      <c r="U216" s="142"/>
      <c r="V216" s="142"/>
      <c r="W216" s="142"/>
      <c r="X216" s="142"/>
    </row>
    <row r="217" spans="1:24" ht="16.149999999999999" customHeight="1" x14ac:dyDescent="0.2">
      <c r="A217" s="17"/>
      <c r="B217" s="431"/>
      <c r="C217" s="297"/>
      <c r="D217" s="297"/>
      <c r="E217" s="297"/>
      <c r="F217" s="297"/>
      <c r="G217" s="222" t="str">
        <f t="shared" si="11"/>
        <v/>
      </c>
      <c r="H217" s="17"/>
      <c r="I217" s="17"/>
      <c r="J217" s="242"/>
      <c r="L217" s="46">
        <f t="shared" si="9"/>
        <v>0</v>
      </c>
      <c r="M217" s="28">
        <f t="shared" si="10"/>
        <v>0</v>
      </c>
      <c r="Q217" s="142"/>
      <c r="R217" s="142"/>
      <c r="S217" s="142"/>
      <c r="T217" s="142"/>
      <c r="U217" s="142"/>
      <c r="V217" s="142"/>
      <c r="W217" s="142"/>
      <c r="X217" s="142"/>
    </row>
    <row r="218" spans="1:24" ht="16.149999999999999" customHeight="1" x14ac:dyDescent="0.2">
      <c r="A218" s="17"/>
      <c r="B218" s="431"/>
      <c r="C218" s="297"/>
      <c r="D218" s="297"/>
      <c r="E218" s="297"/>
      <c r="F218" s="297"/>
      <c r="G218" s="222" t="str">
        <f t="shared" si="11"/>
        <v/>
      </c>
      <c r="H218" s="17"/>
      <c r="I218" s="17"/>
      <c r="J218" s="242"/>
      <c r="L218" s="46">
        <f t="shared" si="9"/>
        <v>0</v>
      </c>
      <c r="M218" s="28">
        <f t="shared" si="10"/>
        <v>0</v>
      </c>
      <c r="Q218" s="142"/>
      <c r="R218" s="142"/>
      <c r="S218" s="142"/>
      <c r="T218" s="142"/>
      <c r="U218" s="142"/>
      <c r="V218" s="142"/>
      <c r="W218" s="142"/>
      <c r="X218" s="142"/>
    </row>
    <row r="219" spans="1:24" ht="16.149999999999999" customHeight="1" x14ac:dyDescent="0.2">
      <c r="A219" s="17"/>
      <c r="B219" s="431"/>
      <c r="C219" s="297"/>
      <c r="D219" s="297"/>
      <c r="E219" s="297"/>
      <c r="F219" s="297"/>
      <c r="G219" s="222" t="str">
        <f t="shared" si="11"/>
        <v/>
      </c>
      <c r="H219" s="17"/>
      <c r="I219" s="17"/>
      <c r="J219" s="242"/>
      <c r="L219" s="46">
        <f t="shared" si="9"/>
        <v>0</v>
      </c>
      <c r="M219" s="28">
        <f t="shared" si="10"/>
        <v>0</v>
      </c>
      <c r="Q219" s="142"/>
      <c r="R219" s="142"/>
      <c r="S219" s="142"/>
      <c r="T219" s="142"/>
      <c r="U219" s="142"/>
      <c r="V219" s="142"/>
      <c r="W219" s="142"/>
      <c r="X219" s="142"/>
    </row>
    <row r="220" spans="1:24" ht="16.149999999999999" customHeight="1" x14ac:dyDescent="0.2">
      <c r="A220" s="17"/>
      <c r="B220" s="431"/>
      <c r="C220" s="297"/>
      <c r="D220" s="297"/>
      <c r="E220" s="297"/>
      <c r="F220" s="297"/>
      <c r="G220" s="222" t="str">
        <f t="shared" si="11"/>
        <v/>
      </c>
      <c r="H220" s="17"/>
      <c r="I220" s="17"/>
      <c r="J220" s="242"/>
      <c r="L220" s="46">
        <f t="shared" si="9"/>
        <v>0</v>
      </c>
      <c r="M220" s="28">
        <f t="shared" si="10"/>
        <v>0</v>
      </c>
      <c r="Q220" s="142"/>
      <c r="R220" s="142"/>
      <c r="S220" s="142"/>
      <c r="T220" s="142"/>
      <c r="U220" s="142"/>
      <c r="V220" s="142"/>
      <c r="W220" s="142"/>
      <c r="X220" s="142"/>
    </row>
    <row r="221" spans="1:24" ht="16.149999999999999" customHeight="1" x14ac:dyDescent="0.2">
      <c r="A221" s="17"/>
      <c r="B221" s="431"/>
      <c r="C221" s="297"/>
      <c r="D221" s="297"/>
      <c r="E221" s="297"/>
      <c r="F221" s="297"/>
      <c r="G221" s="222" t="str">
        <f t="shared" si="11"/>
        <v/>
      </c>
      <c r="H221" s="17"/>
      <c r="I221" s="17"/>
      <c r="J221" s="242"/>
      <c r="L221" s="46">
        <f t="shared" si="9"/>
        <v>0</v>
      </c>
      <c r="M221" s="28">
        <f t="shared" si="10"/>
        <v>0</v>
      </c>
      <c r="Q221" s="142"/>
      <c r="R221" s="142"/>
      <c r="S221" s="142"/>
      <c r="T221" s="142"/>
      <c r="U221" s="142"/>
      <c r="V221" s="142"/>
      <c r="W221" s="142"/>
      <c r="X221" s="142"/>
    </row>
    <row r="222" spans="1:24" ht="16.149999999999999" customHeight="1" x14ac:dyDescent="0.2">
      <c r="A222" s="17"/>
      <c r="B222" s="431"/>
      <c r="C222" s="297"/>
      <c r="D222" s="297"/>
      <c r="E222" s="297"/>
      <c r="F222" s="297"/>
      <c r="G222" s="222" t="str">
        <f t="shared" si="11"/>
        <v/>
      </c>
      <c r="H222" s="17"/>
      <c r="I222" s="17"/>
      <c r="J222" s="242"/>
      <c r="L222" s="46">
        <f t="shared" si="9"/>
        <v>0</v>
      </c>
      <c r="M222" s="28">
        <f t="shared" si="10"/>
        <v>0</v>
      </c>
      <c r="Q222" s="142"/>
      <c r="R222" s="142"/>
      <c r="S222" s="142"/>
      <c r="T222" s="142"/>
      <c r="U222" s="142"/>
      <c r="V222" s="142"/>
      <c r="W222" s="142"/>
      <c r="X222" s="142"/>
    </row>
    <row r="223" spans="1:24" ht="16.149999999999999" customHeight="1" x14ac:dyDescent="0.2">
      <c r="A223" s="17"/>
      <c r="B223" s="431"/>
      <c r="C223" s="297"/>
      <c r="D223" s="297"/>
      <c r="E223" s="297"/>
      <c r="F223" s="297"/>
      <c r="G223" s="222" t="str">
        <f t="shared" si="11"/>
        <v/>
      </c>
      <c r="H223" s="17"/>
      <c r="I223" s="17"/>
      <c r="J223" s="242"/>
      <c r="L223" s="46">
        <f t="shared" si="9"/>
        <v>0</v>
      </c>
      <c r="M223" s="28">
        <f t="shared" si="10"/>
        <v>0</v>
      </c>
      <c r="Q223" s="142"/>
      <c r="R223" s="142"/>
      <c r="S223" s="142"/>
      <c r="T223" s="142"/>
      <c r="U223" s="142"/>
      <c r="V223" s="142"/>
      <c r="W223" s="142"/>
      <c r="X223" s="142"/>
    </row>
    <row r="224" spans="1:24" ht="16.149999999999999" customHeight="1" x14ac:dyDescent="0.2">
      <c r="A224" s="17"/>
      <c r="B224" s="431"/>
      <c r="C224" s="297"/>
      <c r="D224" s="297"/>
      <c r="E224" s="297"/>
      <c r="F224" s="297"/>
      <c r="G224" s="222" t="str">
        <f t="shared" si="11"/>
        <v/>
      </c>
      <c r="H224" s="17"/>
      <c r="I224" s="17"/>
      <c r="J224" s="242"/>
      <c r="L224" s="46">
        <f t="shared" si="9"/>
        <v>0</v>
      </c>
      <c r="M224" s="28">
        <f t="shared" si="10"/>
        <v>0</v>
      </c>
      <c r="Q224" s="142"/>
      <c r="R224" s="142"/>
      <c r="S224" s="142"/>
      <c r="T224" s="142"/>
      <c r="U224" s="142"/>
      <c r="V224" s="142"/>
      <c r="W224" s="142"/>
      <c r="X224" s="142"/>
    </row>
    <row r="225" spans="1:24" ht="16.149999999999999" customHeight="1" x14ac:dyDescent="0.2">
      <c r="A225" s="17"/>
      <c r="B225" s="431"/>
      <c r="C225" s="297"/>
      <c r="D225" s="297"/>
      <c r="E225" s="297"/>
      <c r="F225" s="297"/>
      <c r="G225" s="222" t="str">
        <f t="shared" si="11"/>
        <v/>
      </c>
      <c r="H225" s="17"/>
      <c r="I225" s="17"/>
      <c r="J225" s="242"/>
      <c r="L225" s="46">
        <f t="shared" si="9"/>
        <v>0</v>
      </c>
      <c r="M225" s="28">
        <f t="shared" si="10"/>
        <v>0</v>
      </c>
      <c r="Q225" s="142"/>
      <c r="R225" s="142"/>
      <c r="S225" s="142"/>
      <c r="T225" s="142"/>
      <c r="U225" s="142"/>
      <c r="V225" s="142"/>
      <c r="W225" s="142"/>
      <c r="X225" s="142"/>
    </row>
    <row r="226" spans="1:24" ht="16.149999999999999" customHeight="1" x14ac:dyDescent="0.2">
      <c r="A226" s="17"/>
      <c r="B226" s="431"/>
      <c r="C226" s="297"/>
      <c r="D226" s="297"/>
      <c r="E226" s="297"/>
      <c r="F226" s="297"/>
      <c r="G226" s="222" t="str">
        <f t="shared" si="11"/>
        <v/>
      </c>
      <c r="H226" s="17"/>
      <c r="I226" s="17"/>
      <c r="J226" s="242"/>
      <c r="L226" s="46">
        <f t="shared" si="9"/>
        <v>0</v>
      </c>
      <c r="M226" s="28">
        <f t="shared" si="10"/>
        <v>0</v>
      </c>
      <c r="Q226" s="142"/>
      <c r="R226" s="142"/>
      <c r="S226" s="142"/>
      <c r="T226" s="142"/>
      <c r="U226" s="142"/>
      <c r="V226" s="142"/>
      <c r="W226" s="142"/>
      <c r="X226" s="142"/>
    </row>
    <row r="227" spans="1:24" ht="16.149999999999999" customHeight="1" x14ac:dyDescent="0.2">
      <c r="A227" s="17"/>
      <c r="B227" s="431"/>
      <c r="C227" s="297"/>
      <c r="D227" s="297"/>
      <c r="E227" s="297"/>
      <c r="F227" s="297"/>
      <c r="G227" s="222" t="str">
        <f t="shared" si="11"/>
        <v/>
      </c>
      <c r="H227" s="17"/>
      <c r="I227" s="17"/>
      <c r="J227" s="242"/>
      <c r="L227" s="46">
        <f t="shared" si="9"/>
        <v>0</v>
      </c>
      <c r="M227" s="28">
        <f t="shared" si="10"/>
        <v>0</v>
      </c>
      <c r="Q227" s="142"/>
      <c r="R227" s="142"/>
      <c r="S227" s="142"/>
      <c r="T227" s="142"/>
      <c r="U227" s="142"/>
      <c r="V227" s="142"/>
      <c r="W227" s="142"/>
      <c r="X227" s="142"/>
    </row>
    <row r="228" spans="1:24" ht="16.149999999999999" customHeight="1" x14ac:dyDescent="0.2">
      <c r="A228" s="17"/>
      <c r="B228" s="431"/>
      <c r="C228" s="297"/>
      <c r="D228" s="297"/>
      <c r="E228" s="297"/>
      <c r="F228" s="297"/>
      <c r="G228" s="222" t="str">
        <f t="shared" si="11"/>
        <v/>
      </c>
      <c r="H228" s="17"/>
      <c r="I228" s="17"/>
      <c r="J228" s="242"/>
      <c r="L228" s="46">
        <f t="shared" si="9"/>
        <v>0</v>
      </c>
      <c r="M228" s="28">
        <f t="shared" si="10"/>
        <v>0</v>
      </c>
      <c r="Q228" s="142"/>
      <c r="R228" s="142"/>
      <c r="S228" s="142"/>
      <c r="T228" s="142"/>
      <c r="U228" s="142"/>
      <c r="V228" s="142"/>
      <c r="W228" s="142"/>
      <c r="X228" s="142"/>
    </row>
    <row r="229" spans="1:24" ht="16.149999999999999" customHeight="1" x14ac:dyDescent="0.2">
      <c r="A229" s="17"/>
      <c r="B229" s="431"/>
      <c r="C229" s="297"/>
      <c r="D229" s="297"/>
      <c r="E229" s="297"/>
      <c r="F229" s="297"/>
      <c r="G229" s="222" t="str">
        <f t="shared" si="11"/>
        <v/>
      </c>
      <c r="H229" s="17"/>
      <c r="I229" s="17"/>
      <c r="J229" s="242"/>
      <c r="L229" s="46">
        <f t="shared" si="9"/>
        <v>0</v>
      </c>
      <c r="M229" s="28">
        <f t="shared" si="10"/>
        <v>0</v>
      </c>
      <c r="Q229" s="142"/>
      <c r="R229" s="142"/>
      <c r="S229" s="142"/>
      <c r="T229" s="142"/>
      <c r="U229" s="142"/>
      <c r="V229" s="142"/>
      <c r="W229" s="142"/>
      <c r="X229" s="142"/>
    </row>
    <row r="230" spans="1:24" ht="16.149999999999999" customHeight="1" x14ac:dyDescent="0.2">
      <c r="A230" s="17"/>
      <c r="B230" s="431"/>
      <c r="C230" s="297"/>
      <c r="D230" s="297"/>
      <c r="E230" s="297"/>
      <c r="F230" s="297"/>
      <c r="G230" s="222" t="str">
        <f t="shared" si="11"/>
        <v/>
      </c>
      <c r="H230" s="17"/>
      <c r="I230" s="17"/>
      <c r="J230" s="242"/>
      <c r="L230" s="46">
        <f t="shared" si="9"/>
        <v>0</v>
      </c>
      <c r="M230" s="28">
        <f t="shared" si="10"/>
        <v>0</v>
      </c>
      <c r="Q230" s="142"/>
      <c r="R230" s="142"/>
      <c r="S230" s="142"/>
      <c r="T230" s="142"/>
      <c r="U230" s="142"/>
      <c r="V230" s="142"/>
      <c r="W230" s="142"/>
      <c r="X230" s="142"/>
    </row>
    <row r="231" spans="1:24" ht="16.149999999999999" customHeight="1" x14ac:dyDescent="0.2">
      <c r="A231" s="17"/>
      <c r="B231" s="431"/>
      <c r="C231" s="297"/>
      <c r="D231" s="297"/>
      <c r="E231" s="297"/>
      <c r="F231" s="297"/>
      <c r="G231" s="222" t="str">
        <f t="shared" si="11"/>
        <v/>
      </c>
      <c r="H231" s="17"/>
      <c r="I231" s="17"/>
      <c r="J231" s="242"/>
      <c r="L231" s="46">
        <f t="shared" si="9"/>
        <v>0</v>
      </c>
      <c r="M231" s="28">
        <f t="shared" si="10"/>
        <v>0</v>
      </c>
      <c r="Q231" s="142"/>
      <c r="R231" s="142"/>
      <c r="S231" s="142"/>
      <c r="T231" s="142"/>
      <c r="U231" s="142"/>
      <c r="V231" s="142"/>
      <c r="W231" s="142"/>
      <c r="X231" s="142"/>
    </row>
    <row r="232" spans="1:24" ht="16.149999999999999" customHeight="1" x14ac:dyDescent="0.2">
      <c r="A232" s="17"/>
      <c r="B232" s="431"/>
      <c r="C232" s="297"/>
      <c r="D232" s="297"/>
      <c r="E232" s="297"/>
      <c r="F232" s="297"/>
      <c r="G232" s="222" t="str">
        <f t="shared" si="11"/>
        <v/>
      </c>
      <c r="H232" s="17"/>
      <c r="I232" s="17"/>
      <c r="J232" s="242"/>
      <c r="L232" s="46">
        <f t="shared" si="9"/>
        <v>0</v>
      </c>
      <c r="M232" s="28">
        <f t="shared" si="10"/>
        <v>0</v>
      </c>
      <c r="Q232" s="142"/>
      <c r="R232" s="142"/>
      <c r="S232" s="142"/>
      <c r="T232" s="142"/>
      <c r="U232" s="142"/>
      <c r="V232" s="142"/>
      <c r="W232" s="142"/>
      <c r="X232" s="142"/>
    </row>
    <row r="233" spans="1:24" ht="16.149999999999999" customHeight="1" x14ac:dyDescent="0.2">
      <c r="A233" s="17"/>
      <c r="B233" s="431"/>
      <c r="C233" s="297"/>
      <c r="D233" s="297"/>
      <c r="E233" s="297"/>
      <c r="F233" s="297"/>
      <c r="G233" s="222" t="str">
        <f t="shared" si="11"/>
        <v/>
      </c>
      <c r="H233" s="17"/>
      <c r="I233" s="17"/>
      <c r="J233" s="242"/>
      <c r="L233" s="46">
        <f t="shared" si="9"/>
        <v>0</v>
      </c>
      <c r="M233" s="28">
        <f t="shared" si="10"/>
        <v>0</v>
      </c>
      <c r="Q233" s="142"/>
      <c r="R233" s="142"/>
      <c r="S233" s="142"/>
      <c r="T233" s="142"/>
      <c r="U233" s="142"/>
      <c r="V233" s="142"/>
      <c r="W233" s="142"/>
      <c r="X233" s="142"/>
    </row>
    <row r="234" spans="1:24" ht="16.149999999999999" customHeight="1" x14ac:dyDescent="0.2">
      <c r="A234" s="17"/>
      <c r="B234" s="431"/>
      <c r="C234" s="297"/>
      <c r="D234" s="297"/>
      <c r="E234" s="297"/>
      <c r="F234" s="297"/>
      <c r="G234" s="222" t="str">
        <f t="shared" si="11"/>
        <v/>
      </c>
      <c r="H234" s="17"/>
      <c r="I234" s="17"/>
      <c r="J234" s="242"/>
      <c r="L234" s="46">
        <f t="shared" si="9"/>
        <v>0</v>
      </c>
      <c r="M234" s="28">
        <f t="shared" si="10"/>
        <v>0</v>
      </c>
      <c r="Q234" s="142"/>
      <c r="R234" s="142"/>
      <c r="S234" s="142"/>
      <c r="T234" s="142"/>
      <c r="U234" s="142"/>
      <c r="V234" s="142"/>
      <c r="W234" s="142"/>
      <c r="X234" s="142"/>
    </row>
    <row r="235" spans="1:24" ht="16.149999999999999" customHeight="1" x14ac:dyDescent="0.2">
      <c r="A235" s="17"/>
      <c r="B235" s="431"/>
      <c r="C235" s="297"/>
      <c r="D235" s="297"/>
      <c r="E235" s="297"/>
      <c r="F235" s="297"/>
      <c r="G235" s="222" t="str">
        <f t="shared" si="11"/>
        <v/>
      </c>
      <c r="H235" s="17"/>
      <c r="I235" s="17"/>
      <c r="J235" s="242"/>
      <c r="L235" s="46">
        <f t="shared" si="9"/>
        <v>0</v>
      </c>
      <c r="M235" s="28">
        <f t="shared" si="10"/>
        <v>0</v>
      </c>
      <c r="Q235" s="142"/>
      <c r="R235" s="142"/>
      <c r="S235" s="142"/>
      <c r="T235" s="142"/>
      <c r="U235" s="142"/>
      <c r="V235" s="142"/>
      <c r="W235" s="142"/>
      <c r="X235" s="142"/>
    </row>
    <row r="236" spans="1:24" ht="16.149999999999999" customHeight="1" x14ac:dyDescent="0.2">
      <c r="A236" s="17"/>
      <c r="B236" s="431"/>
      <c r="C236" s="297"/>
      <c r="D236" s="297"/>
      <c r="E236" s="297"/>
      <c r="F236" s="297"/>
      <c r="G236" s="222" t="str">
        <f t="shared" si="11"/>
        <v/>
      </c>
      <c r="H236" s="17"/>
      <c r="I236" s="17"/>
      <c r="J236" s="242"/>
      <c r="L236" s="46">
        <f t="shared" si="9"/>
        <v>0</v>
      </c>
      <c r="M236" s="28">
        <f t="shared" si="10"/>
        <v>0</v>
      </c>
      <c r="Q236" s="142"/>
      <c r="R236" s="142"/>
      <c r="S236" s="142"/>
      <c r="T236" s="142"/>
      <c r="U236" s="142"/>
      <c r="V236" s="142"/>
      <c r="W236" s="142"/>
      <c r="X236" s="142"/>
    </row>
    <row r="237" spans="1:24" ht="16.149999999999999" customHeight="1" x14ac:dyDescent="0.2">
      <c r="A237" s="17"/>
      <c r="B237" s="431"/>
      <c r="C237" s="297"/>
      <c r="D237" s="297"/>
      <c r="E237" s="297"/>
      <c r="F237" s="297"/>
      <c r="G237" s="222" t="str">
        <f t="shared" si="11"/>
        <v/>
      </c>
      <c r="H237" s="17"/>
      <c r="I237" s="17"/>
      <c r="J237" s="242"/>
      <c r="L237" s="46">
        <f t="shared" si="9"/>
        <v>0</v>
      </c>
      <c r="M237" s="28">
        <f t="shared" si="10"/>
        <v>0</v>
      </c>
      <c r="Q237" s="142"/>
      <c r="R237" s="142"/>
      <c r="S237" s="142"/>
      <c r="T237" s="142"/>
      <c r="U237" s="142"/>
      <c r="V237" s="142"/>
      <c r="W237" s="142"/>
      <c r="X237" s="142"/>
    </row>
    <row r="238" spans="1:24" ht="16.149999999999999" customHeight="1" x14ac:dyDescent="0.2">
      <c r="A238" s="17"/>
      <c r="B238" s="431"/>
      <c r="C238" s="297"/>
      <c r="D238" s="297"/>
      <c r="E238" s="297"/>
      <c r="F238" s="297"/>
      <c r="G238" s="222" t="str">
        <f t="shared" si="11"/>
        <v/>
      </c>
      <c r="H238" s="17"/>
      <c r="I238" s="17"/>
      <c r="J238" s="242"/>
      <c r="L238" s="46">
        <f t="shared" si="9"/>
        <v>0</v>
      </c>
      <c r="M238" s="28">
        <f t="shared" si="10"/>
        <v>0</v>
      </c>
      <c r="Q238" s="142"/>
      <c r="R238" s="142"/>
      <c r="S238" s="142"/>
      <c r="T238" s="142"/>
      <c r="U238" s="142"/>
      <c r="V238" s="142"/>
      <c r="W238" s="142"/>
      <c r="X238" s="142"/>
    </row>
    <row r="239" spans="1:24" ht="16.149999999999999" customHeight="1" x14ac:dyDescent="0.2">
      <c r="A239" s="17"/>
      <c r="B239" s="585"/>
      <c r="C239" s="313"/>
      <c r="D239" s="313"/>
      <c r="E239" s="313"/>
      <c r="F239" s="313"/>
      <c r="G239" s="222" t="str">
        <f t="shared" si="11"/>
        <v/>
      </c>
      <c r="H239" s="17"/>
      <c r="I239" s="17"/>
      <c r="J239" s="242"/>
      <c r="L239" s="46">
        <f t="shared" si="9"/>
        <v>0</v>
      </c>
      <c r="M239" s="28">
        <f t="shared" si="10"/>
        <v>0</v>
      </c>
      <c r="Q239" s="142"/>
      <c r="R239" s="142"/>
      <c r="S239" s="142"/>
      <c r="T239" s="142"/>
      <c r="U239" s="142"/>
      <c r="V239" s="142"/>
      <c r="W239" s="142"/>
      <c r="X239" s="142"/>
    </row>
    <row r="240" spans="1:24" ht="16.149999999999999" customHeight="1" x14ac:dyDescent="0.2">
      <c r="A240" s="17"/>
      <c r="B240" s="586" t="s">
        <v>5590</v>
      </c>
      <c r="C240" s="587">
        <f>SUM(C214:C239)</f>
      </c>
      <c r="D240" s="587">
        <f>SUM(D214:D239)</f>
      </c>
      <c r="E240" s="587">
        <f>SUM(E214:E239)</f>
      </c>
      <c r="F240" s="587">
        <f>SUM(F214:F239)</f>
      </c>
      <c r="G240" s="222" t="str">
        <f>IF(D240&lt;&gt;E207,"Check Selling Price !","")</f>
        <v/>
      </c>
      <c r="H240" s="17"/>
      <c r="I240" s="17"/>
      <c r="J240" s="242"/>
      <c r="M240" s="28">
        <f t="shared" si="10"/>
        <v>0</v>
      </c>
      <c r="Q240" s="142"/>
      <c r="R240" s="142"/>
      <c r="S240" s="142"/>
      <c r="T240" s="142"/>
      <c r="U240" s="142"/>
      <c r="V240" s="142"/>
      <c r="W240" s="142"/>
      <c r="X240" s="142"/>
    </row>
    <row r="241" spans="1:24" ht="16.149999999999999" customHeight="1" x14ac:dyDescent="0.2">
      <c r="A241" s="17"/>
      <c r="B241" s="4648" t="s">
        <v>1478</v>
      </c>
      <c r="C241" s="4648"/>
      <c r="D241" s="4648"/>
      <c r="E241" s="4648"/>
      <c r="F241" s="588">
        <f>E209</f>
      </c>
      <c r="G241" s="17"/>
      <c r="H241" s="17"/>
      <c r="I241" s="17"/>
      <c r="J241" s="242"/>
      <c r="M241" s="167">
        <f>SUM(M188:M240)</f>
      </c>
      <c r="Q241" s="142"/>
      <c r="R241" s="142"/>
      <c r="S241" s="142"/>
      <c r="T241" s="142"/>
      <c r="U241" s="142"/>
      <c r="V241" s="142"/>
      <c r="W241" s="142"/>
      <c r="X241" s="142"/>
    </row>
    <row r="242" spans="1:24" ht="16.149999999999999" customHeight="1" x14ac:dyDescent="0.2">
      <c r="A242" s="17"/>
      <c r="B242" s="589"/>
      <c r="C242" s="589"/>
      <c r="D242" s="589"/>
      <c r="E242" s="589"/>
      <c r="F242" s="310"/>
      <c r="G242" s="17"/>
      <c r="H242" s="279" t="str">
        <f>ip</f>
      </c>
      <c r="I242" s="279" t="s">
        <v>2372</v>
      </c>
      <c r="J242" s="242"/>
      <c r="Q242" s="142"/>
      <c r="R242" s="142"/>
      <c r="S242" s="142"/>
      <c r="T242" s="142"/>
      <c r="U242" s="142"/>
      <c r="V242" s="142"/>
      <c r="W242" s="142"/>
      <c r="X242" s="142"/>
    </row>
    <row r="243" spans="1:24" ht="16.149999999999999" customHeight="1" x14ac:dyDescent="0.2">
      <c r="A243" s="17"/>
      <c r="B243" s="4650" t="s">
        <v>5410</v>
      </c>
      <c r="C243" s="4650"/>
      <c r="D243" s="4650"/>
      <c r="E243" s="4650"/>
      <c r="F243" s="4650"/>
      <c r="G243" s="17"/>
      <c r="H243" s="590" t="str">
        <f>IF($H205=ip,K243,"")</f>
        <v/>
      </c>
      <c r="I243" s="590" t="str">
        <f>IF($H205=fi,K243,"")</f>
        <v/>
      </c>
      <c r="J243" s="242"/>
      <c r="K243" s="236">
        <f>F240-F241</f>
      </c>
      <c r="Q243" s="142"/>
      <c r="R243" s="142"/>
      <c r="S243" s="142"/>
      <c r="T243" s="142"/>
      <c r="U243" s="142"/>
      <c r="V243" s="142"/>
      <c r="W243" s="142"/>
      <c r="X243" s="142"/>
    </row>
    <row r="244" spans="1:24" ht="16.149999999999999" customHeight="1" x14ac:dyDescent="0.2">
      <c r="A244" s="17"/>
      <c r="B244" s="17" t="str">
        <f>_xlfn.SINGLE(MTCA)</f>
      </c>
      <c r="C244" s="17"/>
      <c r="D244" s="17" t="str">
        <f>ver</f>
        <v>TA2_e-CO_2025_Ver 1.1</v>
      </c>
      <c r="E244" s="17"/>
      <c r="F244" s="17"/>
      <c r="G244" s="17"/>
      <c r="H244" s="17"/>
      <c r="I244" s="536" t="s">
        <v>9864</v>
      </c>
      <c r="J244" s="242"/>
      <c r="Q244" s="142"/>
      <c r="R244" s="142"/>
      <c r="S244" s="142"/>
      <c r="T244" s="142"/>
      <c r="U244" s="142"/>
      <c r="V244" s="142"/>
      <c r="W244" s="142"/>
      <c r="X244" s="142"/>
    </row>
    <row r="245" spans="1:24" ht="16.149999999999999" customHeight="1" x14ac:dyDescent="0.2">
      <c r="A245" s="17"/>
      <c r="B245" s="17"/>
      <c r="C245" s="17"/>
      <c r="D245" s="17"/>
      <c r="E245" s="17"/>
      <c r="F245" s="17"/>
      <c r="G245" s="17"/>
      <c r="H245" s="17"/>
      <c r="I245" s="536"/>
      <c r="J245" s="242"/>
      <c r="Q245" s="142"/>
      <c r="R245" s="142"/>
      <c r="S245" s="142"/>
      <c r="T245" s="142"/>
      <c r="U245" s="142"/>
      <c r="V245" s="142"/>
      <c r="W245" s="142"/>
      <c r="X245" s="142"/>
    </row>
    <row r="246" spans="1:24" ht="16.149999999999999" customHeight="1" x14ac:dyDescent="0.2">
      <c r="A246" s="17"/>
      <c r="B246" s="17"/>
      <c r="C246" s="17"/>
      <c r="D246" s="17"/>
      <c r="E246" s="17"/>
      <c r="F246" s="17"/>
      <c r="G246" s="17"/>
      <c r="H246" s="17"/>
      <c r="I246" s="536"/>
      <c r="J246" s="242"/>
      <c r="Q246" s="142"/>
      <c r="R246" s="142"/>
      <c r="S246" s="142"/>
      <c r="T246" s="142"/>
      <c r="U246" s="142"/>
      <c r="V246" s="142"/>
      <c r="W246" s="142"/>
      <c r="X246" s="142"/>
    </row>
    <row r="247" spans="1:24" ht="16.149999999999999" customHeight="1" x14ac:dyDescent="0.2">
      <c r="A247" s="781">
        <v>5</v>
      </c>
      <c r="B247" s="4645" t="s">
        <v>5196</v>
      </c>
      <c r="C247" s="4645"/>
      <c r="D247" s="4645"/>
      <c r="E247" s="4645"/>
      <c r="F247" s="4645"/>
      <c r="G247" s="4645"/>
      <c r="H247" s="4645"/>
      <c r="I247" s="4645"/>
      <c r="J247" s="242"/>
      <c r="K247" s="62"/>
      <c r="L247" s="62"/>
      <c r="Q247" s="142"/>
      <c r="R247" s="142"/>
      <c r="S247" s="142"/>
      <c r="T247" s="142"/>
      <c r="U247" s="142"/>
      <c r="V247" s="142"/>
      <c r="W247" s="142"/>
      <c r="X247" s="142"/>
    </row>
    <row r="248" spans="1:24" ht="6" customHeight="1" x14ac:dyDescent="0.2">
      <c r="A248" s="242"/>
      <c r="B248" s="242"/>
      <c r="C248" s="242"/>
      <c r="D248" s="242"/>
      <c r="E248" s="242"/>
      <c r="F248" s="242"/>
      <c r="G248" s="242"/>
      <c r="H248" s="242"/>
      <c r="I248" s="242"/>
      <c r="J248" s="242"/>
      <c r="K248" s="62"/>
      <c r="L248" s="62"/>
      <c r="Q248" s="142"/>
      <c r="R248" s="142"/>
      <c r="S248" s="142"/>
      <c r="T248" s="142"/>
      <c r="U248" s="142"/>
      <c r="V248" s="142"/>
      <c r="W248" s="142"/>
      <c r="X248" s="142"/>
    </row>
    <row r="249" spans="1:24" s="142" customFormat="1" ht="14.25" x14ac:dyDescent="0.2">
      <c r="A249" s="242"/>
      <c r="B249" s="3574" t="s">
        <v>9959</v>
      </c>
      <c r="C249" s="242"/>
      <c r="D249" s="242"/>
      <c r="E249" s="242"/>
      <c r="F249" s="569"/>
      <c r="G249" s="572" t="str">
        <f>IF(L273=0,"",IF(AND($P$1="n",F249&lt;&gt;""),"No details required!",IF(AND($P$1="y",ISBLANK(F249)),"Required !","")))</f>
        <v/>
      </c>
      <c r="H249" s="242"/>
      <c r="I249" s="242"/>
      <c r="J249" s="242"/>
      <c r="L249" s="142">
        <f>IF(ISBLANK(F249),0,1)</f>
      </c>
      <c r="M249" s="167">
        <f>IF(G249=$M$1,0,1)</f>
      </c>
    </row>
    <row r="250" spans="1:24" ht="6" customHeight="1" x14ac:dyDescent="0.2">
      <c r="A250" s="242"/>
      <c r="B250" s="242"/>
      <c r="C250" s="242"/>
      <c r="D250" s="242"/>
      <c r="E250" s="242"/>
      <c r="F250" s="242"/>
      <c r="G250" s="242"/>
      <c r="H250" s="242"/>
      <c r="I250" s="242"/>
      <c r="J250" s="242"/>
      <c r="K250" s="62"/>
      <c r="L250" s="62"/>
      <c r="Q250" s="142"/>
      <c r="R250" s="142"/>
      <c r="S250" s="142"/>
      <c r="T250" s="142"/>
      <c r="U250" s="142"/>
      <c r="V250" s="142"/>
      <c r="W250" s="142"/>
      <c r="X250" s="142"/>
    </row>
    <row r="251" spans="1:24" ht="14.25" customHeight="1" x14ac:dyDescent="0.2">
      <c r="A251" s="242"/>
      <c r="B251" s="4641" t="s">
        <v>10035</v>
      </c>
      <c r="C251" s="4641"/>
      <c r="D251" s="4641"/>
      <c r="E251" s="4641"/>
      <c r="F251" s="569"/>
      <c r="G251" s="572" t="str">
        <f>IF(L273=0,"",IF(ISBLANK(F251),"Required!",IF(AND($P$3="n",F251="yes"),"Check Pg2 Q32!","")))</f>
        <v/>
      </c>
      <c r="H251" s="242"/>
      <c r="I251" s="242"/>
      <c r="J251" s="242"/>
      <c r="K251" s="62"/>
      <c r="L251" s="142">
        <f>IF(ISBLANK(F251),0,1)</f>
      </c>
      <c r="M251" s="167">
        <f>IF(G251=$M$1,0,1)</f>
      </c>
      <c r="N251" s="142">
        <f>IF(AND($P$3="n",F251="yes"),1,0)</f>
      </c>
      <c r="Q251" s="142"/>
      <c r="R251" s="142"/>
      <c r="S251" s="142"/>
      <c r="T251" s="142"/>
      <c r="U251" s="142"/>
      <c r="V251" s="142"/>
      <c r="W251" s="142"/>
      <c r="X251" s="142"/>
    </row>
    <row r="252" spans="1:24" ht="12.75" x14ac:dyDescent="0.2">
      <c r="A252" s="242"/>
      <c r="B252" s="4642" t="s">
        <v>10036</v>
      </c>
      <c r="C252" s="4642"/>
      <c r="D252" s="4642"/>
      <c r="E252" s="4642"/>
      <c r="F252" s="242"/>
      <c r="G252" s="242"/>
      <c r="H252" s="242"/>
      <c r="I252" s="242"/>
      <c r="J252" s="242"/>
      <c r="K252" s="62"/>
      <c r="L252" s="62"/>
      <c r="Q252" s="142"/>
      <c r="R252" s="142"/>
      <c r="S252" s="142"/>
      <c r="T252" s="142"/>
      <c r="U252" s="142"/>
      <c r="V252" s="142"/>
      <c r="W252" s="142"/>
      <c r="X252" s="142"/>
    </row>
    <row r="253" spans="1:24" ht="5.25" customHeight="1" x14ac:dyDescent="0.2">
      <c r="A253" s="242"/>
      <c r="B253" s="242"/>
      <c r="C253" s="242"/>
      <c r="D253" s="242"/>
      <c r="E253" s="242"/>
      <c r="F253" s="242"/>
      <c r="G253" s="242"/>
      <c r="H253" s="242"/>
      <c r="I253" s="242"/>
      <c r="J253" s="242"/>
      <c r="K253" s="62"/>
      <c r="L253" s="62"/>
      <c r="Q253" s="142"/>
      <c r="R253" s="142"/>
      <c r="S253" s="142"/>
      <c r="T253" s="142"/>
      <c r="U253" s="142"/>
      <c r="V253" s="142"/>
      <c r="W253" s="142"/>
      <c r="X253" s="142"/>
    </row>
    <row r="254" spans="1:24" ht="5.25" hidden="1" customHeight="1" x14ac:dyDescent="0.2">
      <c r="A254" s="242"/>
      <c r="B254" s="242"/>
      <c r="C254" s="242"/>
      <c r="D254" s="242"/>
      <c r="E254" s="242"/>
      <c r="F254" s="242"/>
      <c r="G254" s="242"/>
      <c r="H254" s="242"/>
      <c r="I254" s="242"/>
      <c r="J254" s="242"/>
      <c r="K254" s="62"/>
      <c r="L254" s="62"/>
      <c r="Q254" s="142"/>
      <c r="R254" s="142"/>
      <c r="S254" s="142"/>
      <c r="T254" s="142"/>
      <c r="U254" s="142"/>
      <c r="V254" s="142"/>
      <c r="W254" s="142"/>
      <c r="X254" s="142"/>
    </row>
    <row r="255" spans="1:24" ht="5.25" hidden="1" customHeight="1" x14ac:dyDescent="0.2">
      <c r="A255" s="242"/>
      <c r="B255" s="242"/>
      <c r="C255" s="242"/>
      <c r="D255" s="242"/>
      <c r="E255" s="242"/>
      <c r="F255" s="242"/>
      <c r="G255" s="242"/>
      <c r="H255" s="242"/>
      <c r="I255" s="242"/>
      <c r="J255" s="242"/>
      <c r="K255" s="62"/>
      <c r="L255" s="62"/>
      <c r="Q255" s="142"/>
      <c r="R255" s="142"/>
      <c r="S255" s="142"/>
      <c r="T255" s="142"/>
      <c r="U255" s="142"/>
      <c r="V255" s="142"/>
      <c r="W255" s="142"/>
      <c r="X255" s="142"/>
    </row>
    <row r="256" spans="1:24" ht="5.25" hidden="1" customHeight="1" x14ac:dyDescent="0.2">
      <c r="A256" s="242"/>
      <c r="B256" s="242"/>
      <c r="C256" s="242"/>
      <c r="D256" s="242"/>
      <c r="E256" s="242"/>
      <c r="F256" s="242"/>
      <c r="G256" s="242"/>
      <c r="H256" s="242"/>
      <c r="I256" s="242"/>
      <c r="J256" s="242"/>
      <c r="K256" s="62"/>
      <c r="L256" s="62"/>
      <c r="Q256" s="142"/>
      <c r="R256" s="142"/>
      <c r="S256" s="142"/>
      <c r="T256" s="142"/>
      <c r="U256" s="142"/>
      <c r="V256" s="142"/>
      <c r="W256" s="142"/>
      <c r="X256" s="142"/>
    </row>
    <row r="257" spans="1:24" ht="5.25" hidden="1" customHeight="1" x14ac:dyDescent="0.2">
      <c r="A257" s="242"/>
      <c r="B257" s="242"/>
      <c r="C257" s="242"/>
      <c r="D257" s="242"/>
      <c r="E257" s="242"/>
      <c r="F257" s="242"/>
      <c r="G257" s="242"/>
      <c r="H257" s="242"/>
      <c r="I257" s="242"/>
      <c r="J257" s="242"/>
      <c r="K257" s="62"/>
      <c r="L257" s="62"/>
      <c r="Q257" s="142"/>
      <c r="R257" s="142"/>
      <c r="S257" s="142"/>
      <c r="T257" s="142"/>
      <c r="U257" s="142"/>
      <c r="V257" s="142"/>
      <c r="W257" s="142"/>
      <c r="X257" s="142"/>
    </row>
    <row r="258" spans="1:24" ht="5.25" hidden="1" customHeight="1" x14ac:dyDescent="0.2">
      <c r="A258" s="242"/>
      <c r="B258" s="242"/>
      <c r="C258" s="242"/>
      <c r="D258" s="242"/>
      <c r="E258" s="242"/>
      <c r="F258" s="242"/>
      <c r="G258" s="242"/>
      <c r="H258" s="242"/>
      <c r="I258" s="242"/>
      <c r="J258" s="242"/>
      <c r="K258" s="62"/>
      <c r="L258" s="62"/>
      <c r="Q258" s="142"/>
      <c r="R258" s="142"/>
      <c r="S258" s="142"/>
      <c r="T258" s="142"/>
      <c r="U258" s="142"/>
      <c r="V258" s="142"/>
      <c r="W258" s="142"/>
      <c r="X258" s="142"/>
    </row>
    <row r="259" spans="1:24" ht="5.25" hidden="1" customHeight="1" x14ac:dyDescent="0.2">
      <c r="A259" s="242"/>
      <c r="B259" s="242"/>
      <c r="C259" s="242"/>
      <c r="D259" s="242"/>
      <c r="E259" s="242"/>
      <c r="F259" s="242"/>
      <c r="G259" s="242"/>
      <c r="H259" s="242"/>
      <c r="I259" s="242"/>
      <c r="J259" s="242"/>
      <c r="K259" s="62"/>
      <c r="L259" s="62"/>
      <c r="Q259" s="142"/>
      <c r="R259" s="142"/>
      <c r="S259" s="142"/>
      <c r="T259" s="142"/>
      <c r="U259" s="142"/>
      <c r="V259" s="142"/>
      <c r="W259" s="142"/>
      <c r="X259" s="142"/>
    </row>
    <row r="260" spans="1:24" ht="5.25" hidden="1" customHeight="1" x14ac:dyDescent="0.2">
      <c r="A260" s="242"/>
      <c r="B260" s="242"/>
      <c r="C260" s="242"/>
      <c r="D260" s="242"/>
      <c r="E260" s="242"/>
      <c r="F260" s="242"/>
      <c r="G260" s="242"/>
      <c r="H260" s="242"/>
      <c r="I260" s="242"/>
      <c r="J260" s="242"/>
      <c r="K260" s="62"/>
      <c r="L260" s="62"/>
      <c r="Q260" s="142"/>
      <c r="R260" s="142"/>
      <c r="S260" s="142"/>
      <c r="T260" s="142"/>
      <c r="U260" s="142"/>
      <c r="V260" s="142"/>
      <c r="W260" s="142"/>
      <c r="X260" s="142"/>
    </row>
    <row r="261" spans="1:24" ht="5.25" hidden="1" customHeight="1" x14ac:dyDescent="0.2">
      <c r="A261" s="242"/>
      <c r="B261" s="242"/>
      <c r="C261" s="242"/>
      <c r="D261" s="242"/>
      <c r="E261" s="242"/>
      <c r="F261" s="242"/>
      <c r="G261" s="242"/>
      <c r="H261" s="242"/>
      <c r="I261" s="242"/>
      <c r="J261" s="242"/>
      <c r="K261" s="62"/>
      <c r="L261" s="62"/>
      <c r="Q261" s="142"/>
      <c r="R261" s="142"/>
      <c r="S261" s="142"/>
      <c r="T261" s="142"/>
      <c r="U261" s="142"/>
      <c r="V261" s="142"/>
      <c r="W261" s="142"/>
      <c r="X261" s="142"/>
    </row>
    <row r="262" spans="1:24" ht="5.25" hidden="1" customHeight="1" x14ac:dyDescent="0.2">
      <c r="A262" s="242"/>
      <c r="B262" s="242"/>
      <c r="C262" s="242"/>
      <c r="D262" s="242"/>
      <c r="E262" s="242"/>
      <c r="F262" s="242"/>
      <c r="G262" s="242"/>
      <c r="H262" s="242"/>
      <c r="I262" s="242"/>
      <c r="J262" s="242"/>
      <c r="K262" s="62"/>
      <c r="L262" s="62"/>
      <c r="Q262" s="142"/>
      <c r="R262" s="142"/>
      <c r="S262" s="142"/>
      <c r="T262" s="142"/>
      <c r="U262" s="142"/>
      <c r="V262" s="142"/>
      <c r="W262" s="142"/>
      <c r="X262" s="142"/>
    </row>
    <row r="263" spans="1:24" ht="16.149999999999999" customHeight="1" x14ac:dyDescent="0.2">
      <c r="A263" s="17"/>
      <c r="B263" s="564" t="str">
        <f>IF(N264=1,"Details of property deemed to be transferred ","Details of property sold")</f>
      </c>
      <c r="C263" s="564"/>
      <c r="D263" s="564"/>
      <c r="E263" s="20"/>
      <c r="F263" s="20"/>
      <c r="G263" s="20"/>
      <c r="H263" s="20"/>
      <c r="I263" s="20"/>
      <c r="J263" s="242"/>
      <c r="Q263" s="142"/>
      <c r="R263" s="142"/>
      <c r="S263" s="142"/>
      <c r="T263" s="142"/>
      <c r="U263" s="142"/>
      <c r="V263" s="142"/>
      <c r="W263" s="142"/>
      <c r="X263" s="142"/>
    </row>
    <row r="264" spans="1:24" ht="16.149999999999999" customHeight="1" x14ac:dyDescent="0.2">
      <c r="A264" s="17"/>
      <c r="B264" s="565" t="s">
        <v>3331</v>
      </c>
      <c r="C264" s="565"/>
      <c r="D264" s="566" t="str">
        <f>IF(L273=0,"",IF(ISBLANK(E264),"Required!",""))</f>
        <v/>
      </c>
      <c r="E264" s="4646"/>
      <c r="F264" s="4646"/>
      <c r="G264" s="4646"/>
      <c r="H264" s="4646"/>
      <c r="I264" s="4646"/>
      <c r="J264" s="242"/>
      <c r="L264" s="46">
        <f>IF(ISBLANK(E264),0,1)</f>
      </c>
      <c r="M264" s="167">
        <f>IF(D264=$M$1,0,1)</f>
      </c>
      <c r="N264" s="142">
        <f>IF(AND(F251="yes",$P$3="y"),1,0)</f>
      </c>
      <c r="Q264" s="142"/>
      <c r="R264" s="142"/>
      <c r="S264" s="142"/>
      <c r="T264" s="142"/>
      <c r="U264" s="142"/>
      <c r="V264" s="142"/>
      <c r="W264" s="142"/>
      <c r="X264" s="142"/>
    </row>
    <row r="265" spans="1:24" ht="6" customHeight="1" x14ac:dyDescent="0.2">
      <c r="A265" s="17"/>
      <c r="B265" s="565"/>
      <c r="C265" s="565"/>
      <c r="D265" s="565"/>
      <c r="E265" s="185"/>
      <c r="F265" s="185"/>
      <c r="G265" s="185"/>
      <c r="H265" s="185"/>
      <c r="I265" s="185"/>
      <c r="J265" s="242"/>
      <c r="M265" s="28"/>
      <c r="Q265" s="142"/>
      <c r="R265" s="142"/>
      <c r="S265" s="142"/>
      <c r="T265" s="142"/>
      <c r="U265" s="142"/>
      <c r="V265" s="142"/>
      <c r="W265" s="142"/>
      <c r="X265" s="142"/>
    </row>
    <row r="266" spans="1:24" ht="16.149999999999999" customHeight="1" x14ac:dyDescent="0.2">
      <c r="A266" s="17"/>
      <c r="B266" s="567" t="str">
        <f>IF(N264=1,"Year of transfer [Basis Year]","Year of sale [Basis Year]")</f>
      </c>
      <c r="C266" s="567"/>
      <c r="D266" s="566" t="str">
        <f>IF(L273=0,"",IF(ISBLANK(E266),"Required!",""))</f>
        <v/>
      </c>
      <c r="E266" s="568"/>
      <c r="F266" s="4643" t="s">
        <v>3332</v>
      </c>
      <c r="G266" s="4644"/>
      <c r="H266" s="569"/>
      <c r="I266" s="570" t="str">
        <f>IF(L273=0,"",IF(ISBLANK(H266),"A/c ?",""))</f>
        <v/>
      </c>
      <c r="J266" s="242"/>
      <c r="L266" s="46">
        <f>IF(ISBLANK(E266),0,1)</f>
      </c>
      <c r="M266" s="28">
        <f>IF(I266=$M$1,0,1)</f>
      </c>
      <c r="Q266" s="142"/>
      <c r="R266" s="142"/>
      <c r="S266" s="142"/>
      <c r="T266" s="142"/>
      <c r="U266" s="142"/>
      <c r="V266" s="142"/>
      <c r="W266" s="142"/>
      <c r="X266" s="142"/>
    </row>
    <row r="267" spans="1:24" ht="6" customHeight="1" x14ac:dyDescent="0.2">
      <c r="A267" s="17"/>
      <c r="B267" s="565"/>
      <c r="C267" s="565"/>
      <c r="D267" s="565"/>
      <c r="E267" s="20"/>
      <c r="F267" s="20"/>
      <c r="G267" s="20"/>
      <c r="H267" s="20"/>
      <c r="I267" s="20"/>
      <c r="J267" s="242"/>
      <c r="L267" s="46">
        <f>IF(ISBLANK(H266),0,1)</f>
      </c>
      <c r="M267" s="167">
        <f>IF(D266=$M$1,0,1)</f>
      </c>
      <c r="Q267" s="142"/>
      <c r="R267" s="142"/>
      <c r="S267" s="142"/>
      <c r="T267" s="142"/>
      <c r="U267" s="142"/>
      <c r="V267" s="142"/>
      <c r="W267" s="142"/>
      <c r="X267" s="142"/>
    </row>
    <row r="268" spans="1:24" ht="16.149999999999999" customHeight="1" x14ac:dyDescent="0.2">
      <c r="A268" s="17"/>
      <c r="B268" s="564" t="str">
        <f>IF(N264=1,"Market value of property","Selling price of property")</f>
      </c>
      <c r="C268" s="564"/>
      <c r="D268" s="566" t="str">
        <f>IF(L273=0,"",IF(ISBLANK(E268),"Required!",""))</f>
        <v/>
      </c>
      <c r="E268" s="571"/>
      <c r="F268" s="20"/>
      <c r="G268" s="573"/>
      <c r="H268" s="574"/>
      <c r="I268" s="20"/>
      <c r="J268" s="242"/>
      <c r="L268" s="46">
        <f>IF(ISBLANK(E268),0,1)</f>
      </c>
      <c r="M268" s="28">
        <f>IF(D268=$M$1,0,1)</f>
      </c>
      <c r="Q268" s="142"/>
      <c r="R268" s="142"/>
      <c r="S268" s="142"/>
      <c r="T268" s="142"/>
      <c r="U268" s="142"/>
      <c r="V268" s="142"/>
      <c r="W268" s="142"/>
      <c r="X268" s="142"/>
    </row>
    <row r="269" spans="1:24" ht="6" customHeight="1" x14ac:dyDescent="0.2">
      <c r="A269" s="17"/>
      <c r="B269" s="565"/>
      <c r="C269" s="565"/>
      <c r="D269" s="565"/>
      <c r="E269" s="20"/>
      <c r="F269" s="20"/>
      <c r="G269" s="573"/>
      <c r="H269" s="574"/>
      <c r="I269" s="20"/>
      <c r="J269" s="242"/>
      <c r="M269" s="28"/>
      <c r="Q269" s="142"/>
      <c r="R269" s="142"/>
      <c r="S269" s="142"/>
      <c r="T269" s="142"/>
      <c r="U269" s="142"/>
      <c r="V269" s="142"/>
      <c r="W269" s="142"/>
      <c r="X269" s="142"/>
    </row>
    <row r="270" spans="1:24" ht="16.149999999999999" customHeight="1" x14ac:dyDescent="0.2">
      <c r="A270" s="17"/>
      <c r="B270" s="564" t="s">
        <v>3333</v>
      </c>
      <c r="C270" s="564"/>
      <c r="D270" s="566" t="str">
        <f>IF(N271=1,"Delete!","")</f>
        <v/>
      </c>
      <c r="E270" s="571"/>
      <c r="F270" s="20"/>
      <c r="G270" s="573" t="s">
        <v>3213</v>
      </c>
      <c r="H270" s="575"/>
      <c r="I270" s="570" t="str">
        <f>IF(L273=0,"",IF(AND(N264=1,H270&lt;&gt;""),"Delete!",IF(N264=1,"",IF(ISBLANK(H270),"Date ?",""))))</f>
        <v/>
      </c>
      <c r="J270" s="242"/>
      <c r="L270" s="46">
        <f>IF(ISBLANK(E270),0,1)</f>
      </c>
      <c r="M270" s="142">
        <f>IF(I270=$M$1,0,1)</f>
      </c>
      <c r="N270" s="142">
        <f>IF(AND(N264=1,H270&lt;&gt;""),1,0)</f>
      </c>
      <c r="Q270" s="142"/>
      <c r="R270" s="142"/>
      <c r="S270" s="142"/>
      <c r="T270" s="142"/>
      <c r="U270" s="142"/>
      <c r="V270" s="142"/>
      <c r="W270" s="142"/>
      <c r="X270" s="142"/>
    </row>
    <row r="271" spans="1:24" ht="6" customHeight="1" x14ac:dyDescent="0.2">
      <c r="A271" s="17"/>
      <c r="B271" s="565"/>
      <c r="C271" s="565"/>
      <c r="D271" s="565"/>
      <c r="E271" s="576"/>
      <c r="F271" s="20"/>
      <c r="G271" s="573"/>
      <c r="H271" s="574"/>
      <c r="I271" s="20"/>
      <c r="J271" s="242"/>
      <c r="L271" s="142">
        <f>IF(ISBLANK(H270),0,1)</f>
      </c>
      <c r="M271" s="142">
        <f>IF(D270=$M$1,0,1)</f>
      </c>
      <c r="N271" s="142">
        <f>IF(AND(N264=1,E270&lt;&gt;0),1,0)</f>
      </c>
      <c r="Q271" s="142"/>
      <c r="R271" s="142"/>
      <c r="S271" s="142"/>
      <c r="T271" s="142"/>
      <c r="U271" s="142"/>
      <c r="V271" s="142"/>
      <c r="W271" s="142"/>
      <c r="X271" s="142"/>
    </row>
    <row r="272" spans="1:24" ht="16.149999999999999" customHeight="1" x14ac:dyDescent="0.2">
      <c r="A272" s="17"/>
      <c r="B272" s="4647" t="s">
        <v>4245</v>
      </c>
      <c r="C272" s="4647"/>
      <c r="D272" s="4647"/>
      <c r="E272" s="4649" t="s">
        <v>1511</v>
      </c>
      <c r="F272" s="4649"/>
      <c r="G272" s="577"/>
      <c r="H272" s="574"/>
      <c r="I272" s="20"/>
      <c r="J272" s="242"/>
      <c r="M272" s="28">
        <f>IF(G272=$M$1,0,1)</f>
      </c>
      <c r="Q272" s="142"/>
      <c r="R272" s="142"/>
      <c r="S272" s="142"/>
      <c r="T272" s="142"/>
      <c r="U272" s="142"/>
      <c r="V272" s="142"/>
      <c r="W272" s="142"/>
      <c r="X272" s="142"/>
    </row>
    <row r="273" spans="1:24" ht="6" customHeight="1" x14ac:dyDescent="0.2">
      <c r="A273" s="17"/>
      <c r="B273" s="17"/>
      <c r="C273" s="17"/>
      <c r="D273" s="578"/>
      <c r="E273" s="579"/>
      <c r="F273" s="17"/>
      <c r="G273" s="580"/>
      <c r="H273" s="578"/>
      <c r="I273" s="17"/>
      <c r="J273" s="242"/>
      <c r="L273" s="176">
        <f>SUM(L249:L272)</f>
      </c>
      <c r="M273" s="28"/>
      <c r="Q273" s="142"/>
      <c r="R273" s="142"/>
      <c r="S273" s="142"/>
      <c r="T273" s="142"/>
      <c r="U273" s="142"/>
      <c r="V273" s="142"/>
      <c r="W273" s="142"/>
      <c r="X273" s="142"/>
    </row>
    <row r="274" spans="1:24" ht="22.5" x14ac:dyDescent="0.2">
      <c r="A274" s="17"/>
      <c r="B274" s="581" t="s">
        <v>4244</v>
      </c>
      <c r="C274" s="581" t="s">
        <v>4246</v>
      </c>
      <c r="D274" s="582" t="s">
        <v>1475</v>
      </c>
      <c r="E274" s="583" t="s">
        <v>1476</v>
      </c>
      <c r="F274" s="269" t="s">
        <v>1477</v>
      </c>
      <c r="G274" s="17"/>
      <c r="H274" s="584"/>
      <c r="I274" s="17"/>
      <c r="J274" s="242"/>
      <c r="M274" s="28"/>
      <c r="Q274" s="142"/>
      <c r="R274" s="142"/>
      <c r="S274" s="142"/>
      <c r="T274" s="142"/>
      <c r="U274" s="142"/>
      <c r="V274" s="142"/>
      <c r="W274" s="142"/>
      <c r="X274" s="142"/>
    </row>
    <row r="275" spans="1:24" ht="16.149999999999999" customHeight="1" x14ac:dyDescent="0.2">
      <c r="A275" s="17"/>
      <c r="B275" s="431"/>
      <c r="C275" s="297"/>
      <c r="D275" s="297"/>
      <c r="E275" s="297"/>
      <c r="F275" s="297"/>
      <c r="G275" s="222" t="str">
        <f>IF(L273=0,"",IF(L275=5,"","All details !"))</f>
        <v/>
      </c>
      <c r="H275" s="17"/>
      <c r="I275" s="17"/>
      <c r="J275" s="242"/>
      <c r="L275" s="46">
        <f t="shared" ref="L275:L300" si="12">COUNT(B275:F275)</f>
      </c>
      <c r="M275" s="28">
        <f t="shared" ref="M275:M301" si="13">IF(G275=$M$1,0,1)</f>
      </c>
      <c r="Q275" s="142"/>
      <c r="R275" s="142"/>
      <c r="S275" s="142"/>
      <c r="T275" s="142"/>
      <c r="U275" s="142"/>
      <c r="V275" s="142"/>
      <c r="W275" s="142"/>
      <c r="X275" s="142"/>
    </row>
    <row r="276" spans="1:24" ht="16.149999999999999" customHeight="1" x14ac:dyDescent="0.2">
      <c r="A276" s="17"/>
      <c r="B276" s="431"/>
      <c r="C276" s="297"/>
      <c r="D276" s="297"/>
      <c r="E276" s="297"/>
      <c r="F276" s="297"/>
      <c r="G276" s="222" t="str">
        <f t="shared" ref="G276:G300" si="14">IF(L276=0,"",IF(L276=5,"","All details !"))</f>
        <v/>
      </c>
      <c r="H276" s="17"/>
      <c r="I276" s="17"/>
      <c r="J276" s="242"/>
      <c r="L276" s="46">
        <f t="shared" si="12"/>
        <v>0</v>
      </c>
      <c r="M276" s="28">
        <f t="shared" si="13"/>
        <v>0</v>
      </c>
      <c r="Q276" s="142"/>
      <c r="R276" s="142"/>
      <c r="S276" s="142"/>
      <c r="T276" s="142"/>
      <c r="U276" s="142"/>
      <c r="V276" s="142"/>
      <c r="W276" s="142"/>
      <c r="X276" s="142"/>
    </row>
    <row r="277" spans="1:24" ht="16.149999999999999" customHeight="1" x14ac:dyDescent="0.2">
      <c r="A277" s="17"/>
      <c r="B277" s="431"/>
      <c r="C277" s="297"/>
      <c r="D277" s="297"/>
      <c r="E277" s="297"/>
      <c r="F277" s="297"/>
      <c r="G277" s="222" t="str">
        <f t="shared" si="14"/>
        <v/>
      </c>
      <c r="H277" s="17"/>
      <c r="I277" s="17"/>
      <c r="J277" s="242"/>
      <c r="L277" s="46">
        <f t="shared" si="12"/>
        <v>0</v>
      </c>
      <c r="M277" s="28">
        <f t="shared" si="13"/>
        <v>0</v>
      </c>
      <c r="Q277" s="142"/>
      <c r="R277" s="142"/>
      <c r="S277" s="142"/>
      <c r="T277" s="142"/>
      <c r="U277" s="142"/>
      <c r="V277" s="142"/>
      <c r="W277" s="142"/>
      <c r="X277" s="142"/>
    </row>
    <row r="278" spans="1:24" ht="16.149999999999999" customHeight="1" x14ac:dyDescent="0.2">
      <c r="A278" s="17"/>
      <c r="B278" s="431"/>
      <c r="C278" s="297"/>
      <c r="D278" s="297"/>
      <c r="E278" s="297"/>
      <c r="F278" s="297"/>
      <c r="G278" s="222" t="str">
        <f t="shared" si="14"/>
        <v/>
      </c>
      <c r="H278" s="17"/>
      <c r="I278" s="17"/>
      <c r="J278" s="242"/>
      <c r="L278" s="46">
        <f t="shared" si="12"/>
        <v>0</v>
      </c>
      <c r="M278" s="28">
        <f t="shared" si="13"/>
        <v>0</v>
      </c>
      <c r="Q278" s="142"/>
      <c r="R278" s="142"/>
      <c r="S278" s="142"/>
      <c r="T278" s="142"/>
      <c r="U278" s="142"/>
      <c r="V278" s="142"/>
      <c r="W278" s="142"/>
      <c r="X278" s="142"/>
    </row>
    <row r="279" spans="1:24" ht="16.149999999999999" customHeight="1" x14ac:dyDescent="0.2">
      <c r="A279" s="17"/>
      <c r="B279" s="431"/>
      <c r="C279" s="297"/>
      <c r="D279" s="297"/>
      <c r="E279" s="297"/>
      <c r="F279" s="297"/>
      <c r="G279" s="222" t="str">
        <f t="shared" si="14"/>
        <v/>
      </c>
      <c r="H279" s="17"/>
      <c r="I279" s="17"/>
      <c r="J279" s="242"/>
      <c r="L279" s="46">
        <f t="shared" si="12"/>
        <v>0</v>
      </c>
      <c r="M279" s="28">
        <f t="shared" si="13"/>
        <v>0</v>
      </c>
      <c r="Q279" s="142"/>
      <c r="R279" s="142"/>
      <c r="S279" s="142"/>
      <c r="T279" s="142"/>
      <c r="U279" s="142"/>
      <c r="V279" s="142"/>
      <c r="W279" s="142"/>
      <c r="X279" s="142"/>
    </row>
    <row r="280" spans="1:24" ht="16.149999999999999" customHeight="1" x14ac:dyDescent="0.2">
      <c r="A280" s="17"/>
      <c r="B280" s="431"/>
      <c r="C280" s="297"/>
      <c r="D280" s="297"/>
      <c r="E280" s="297"/>
      <c r="F280" s="297"/>
      <c r="G280" s="222" t="str">
        <f t="shared" si="14"/>
        <v/>
      </c>
      <c r="H280" s="17"/>
      <c r="I280" s="17"/>
      <c r="J280" s="242"/>
      <c r="L280" s="46">
        <f t="shared" si="12"/>
        <v>0</v>
      </c>
      <c r="M280" s="28">
        <f t="shared" si="13"/>
        <v>0</v>
      </c>
      <c r="Q280" s="142"/>
      <c r="R280" s="142"/>
      <c r="S280" s="142"/>
      <c r="T280" s="142"/>
      <c r="U280" s="142"/>
      <c r="V280" s="142"/>
      <c r="W280" s="142"/>
      <c r="X280" s="142"/>
    </row>
    <row r="281" spans="1:24" ht="16.149999999999999" customHeight="1" x14ac:dyDescent="0.2">
      <c r="A281" s="17"/>
      <c r="B281" s="431"/>
      <c r="C281" s="297"/>
      <c r="D281" s="297"/>
      <c r="E281" s="297"/>
      <c r="F281" s="297"/>
      <c r="G281" s="222" t="str">
        <f t="shared" si="14"/>
        <v/>
      </c>
      <c r="H281" s="17"/>
      <c r="I281" s="17"/>
      <c r="J281" s="242"/>
      <c r="L281" s="46">
        <f t="shared" si="12"/>
        <v>0</v>
      </c>
      <c r="M281" s="28">
        <f t="shared" si="13"/>
        <v>0</v>
      </c>
      <c r="Q281" s="142"/>
      <c r="R281" s="142"/>
      <c r="S281" s="142"/>
      <c r="T281" s="142"/>
      <c r="U281" s="142"/>
      <c r="V281" s="142"/>
      <c r="W281" s="142"/>
      <c r="X281" s="142"/>
    </row>
    <row r="282" spans="1:24" ht="16.149999999999999" customHeight="1" x14ac:dyDescent="0.2">
      <c r="A282" s="17"/>
      <c r="B282" s="431"/>
      <c r="C282" s="297"/>
      <c r="D282" s="297"/>
      <c r="E282" s="297"/>
      <c r="F282" s="297"/>
      <c r="G282" s="222" t="str">
        <f t="shared" si="14"/>
        <v/>
      </c>
      <c r="H282" s="17"/>
      <c r="I282" s="17"/>
      <c r="J282" s="242"/>
      <c r="L282" s="46">
        <f t="shared" si="12"/>
        <v>0</v>
      </c>
      <c r="M282" s="28">
        <f t="shared" si="13"/>
        <v>0</v>
      </c>
      <c r="Q282" s="142"/>
      <c r="R282" s="142"/>
      <c r="S282" s="142"/>
      <c r="T282" s="142"/>
      <c r="U282" s="142"/>
      <c r="V282" s="142"/>
      <c r="W282" s="142"/>
      <c r="X282" s="142"/>
    </row>
    <row r="283" spans="1:24" ht="16.149999999999999" customHeight="1" x14ac:dyDescent="0.2">
      <c r="A283" s="17"/>
      <c r="B283" s="431"/>
      <c r="C283" s="297"/>
      <c r="D283" s="297"/>
      <c r="E283" s="297"/>
      <c r="F283" s="297"/>
      <c r="G283" s="222" t="str">
        <f t="shared" si="14"/>
        <v/>
      </c>
      <c r="H283" s="17"/>
      <c r="I283" s="17"/>
      <c r="J283" s="242"/>
      <c r="L283" s="46">
        <f t="shared" si="12"/>
        <v>0</v>
      </c>
      <c r="M283" s="28">
        <f t="shared" si="13"/>
        <v>0</v>
      </c>
      <c r="Q283" s="142"/>
      <c r="R283" s="142"/>
      <c r="S283" s="142"/>
      <c r="T283" s="142"/>
      <c r="U283" s="142"/>
      <c r="V283" s="142"/>
      <c r="W283" s="142"/>
      <c r="X283" s="142"/>
    </row>
    <row r="284" spans="1:24" ht="16.149999999999999" customHeight="1" x14ac:dyDescent="0.2">
      <c r="A284" s="17"/>
      <c r="B284" s="431"/>
      <c r="C284" s="297"/>
      <c r="D284" s="297"/>
      <c r="E284" s="297"/>
      <c r="F284" s="297"/>
      <c r="G284" s="222" t="str">
        <f t="shared" si="14"/>
        <v/>
      </c>
      <c r="H284" s="17"/>
      <c r="I284" s="17"/>
      <c r="J284" s="242"/>
      <c r="L284" s="46">
        <f t="shared" si="12"/>
        <v>0</v>
      </c>
      <c r="M284" s="28">
        <f t="shared" si="13"/>
        <v>0</v>
      </c>
      <c r="Q284" s="142"/>
      <c r="R284" s="142"/>
      <c r="S284" s="142"/>
      <c r="T284" s="142"/>
      <c r="U284" s="142"/>
      <c r="V284" s="142"/>
      <c r="W284" s="142"/>
      <c r="X284" s="142"/>
    </row>
    <row r="285" spans="1:24" ht="16.149999999999999" customHeight="1" x14ac:dyDescent="0.2">
      <c r="A285" s="17"/>
      <c r="B285" s="431"/>
      <c r="C285" s="297"/>
      <c r="D285" s="297"/>
      <c r="E285" s="297"/>
      <c r="F285" s="297"/>
      <c r="G285" s="222" t="str">
        <f t="shared" si="14"/>
        <v/>
      </c>
      <c r="H285" s="17"/>
      <c r="I285" s="17"/>
      <c r="J285" s="242"/>
      <c r="L285" s="46">
        <f t="shared" si="12"/>
        <v>0</v>
      </c>
      <c r="M285" s="28">
        <f t="shared" si="13"/>
        <v>0</v>
      </c>
      <c r="Q285" s="142"/>
      <c r="R285" s="142"/>
      <c r="S285" s="142"/>
      <c r="T285" s="142"/>
      <c r="U285" s="142"/>
      <c r="V285" s="142"/>
      <c r="W285" s="142"/>
      <c r="X285" s="142"/>
    </row>
    <row r="286" spans="1:24" ht="16.149999999999999" customHeight="1" x14ac:dyDescent="0.2">
      <c r="A286" s="17"/>
      <c r="B286" s="431"/>
      <c r="C286" s="297"/>
      <c r="D286" s="297"/>
      <c r="E286" s="297"/>
      <c r="F286" s="297"/>
      <c r="G286" s="222" t="str">
        <f t="shared" si="14"/>
        <v/>
      </c>
      <c r="H286" s="17"/>
      <c r="I286" s="17"/>
      <c r="J286" s="242"/>
      <c r="L286" s="46">
        <f t="shared" si="12"/>
        <v>0</v>
      </c>
      <c r="M286" s="28">
        <f t="shared" si="13"/>
        <v>0</v>
      </c>
      <c r="Q286" s="142"/>
      <c r="R286" s="142"/>
      <c r="S286" s="142"/>
      <c r="T286" s="142"/>
      <c r="U286" s="142"/>
      <c r="V286" s="142"/>
      <c r="W286" s="142"/>
      <c r="X286" s="142"/>
    </row>
    <row r="287" spans="1:24" ht="16.149999999999999" customHeight="1" x14ac:dyDescent="0.2">
      <c r="A287" s="17"/>
      <c r="B287" s="431"/>
      <c r="C287" s="297"/>
      <c r="D287" s="297"/>
      <c r="E287" s="297"/>
      <c r="F287" s="297"/>
      <c r="G287" s="222" t="str">
        <f t="shared" si="14"/>
        <v/>
      </c>
      <c r="H287" s="17"/>
      <c r="I287" s="17"/>
      <c r="J287" s="242"/>
      <c r="L287" s="46">
        <f t="shared" si="12"/>
        <v>0</v>
      </c>
      <c r="M287" s="28">
        <f t="shared" si="13"/>
        <v>0</v>
      </c>
      <c r="Q287" s="142"/>
      <c r="R287" s="142"/>
      <c r="S287" s="142"/>
      <c r="T287" s="142"/>
      <c r="U287" s="142"/>
      <c r="V287" s="142"/>
      <c r="W287" s="142"/>
      <c r="X287" s="142"/>
    </row>
    <row r="288" spans="1:24" ht="16.149999999999999" customHeight="1" x14ac:dyDescent="0.2">
      <c r="A288" s="17"/>
      <c r="B288" s="431"/>
      <c r="C288" s="297"/>
      <c r="D288" s="297"/>
      <c r="E288" s="297"/>
      <c r="F288" s="297"/>
      <c r="G288" s="222" t="str">
        <f t="shared" si="14"/>
        <v/>
      </c>
      <c r="H288" s="17"/>
      <c r="I288" s="17"/>
      <c r="J288" s="242"/>
      <c r="L288" s="46">
        <f t="shared" si="12"/>
        <v>0</v>
      </c>
      <c r="M288" s="28">
        <f t="shared" si="13"/>
        <v>0</v>
      </c>
      <c r="Q288" s="142"/>
      <c r="R288" s="142"/>
      <c r="S288" s="142"/>
      <c r="T288" s="142"/>
      <c r="U288" s="142"/>
      <c r="V288" s="142"/>
      <c r="W288" s="142"/>
      <c r="X288" s="142"/>
    </row>
    <row r="289" spans="1:24" ht="16.149999999999999" customHeight="1" x14ac:dyDescent="0.2">
      <c r="A289" s="17"/>
      <c r="B289" s="431"/>
      <c r="C289" s="297"/>
      <c r="D289" s="297"/>
      <c r="E289" s="297"/>
      <c r="F289" s="297"/>
      <c r="G289" s="222" t="str">
        <f t="shared" si="14"/>
        <v/>
      </c>
      <c r="H289" s="17"/>
      <c r="I289" s="17"/>
      <c r="J289" s="242"/>
      <c r="L289" s="46">
        <f t="shared" si="12"/>
        <v>0</v>
      </c>
      <c r="M289" s="28">
        <f t="shared" si="13"/>
        <v>0</v>
      </c>
      <c r="Q289" s="142"/>
      <c r="R289" s="142"/>
      <c r="S289" s="142"/>
      <c r="T289" s="142"/>
      <c r="U289" s="142"/>
      <c r="V289" s="142"/>
      <c r="W289" s="142"/>
      <c r="X289" s="142"/>
    </row>
    <row r="290" spans="1:24" ht="16.149999999999999" customHeight="1" x14ac:dyDescent="0.2">
      <c r="A290" s="17"/>
      <c r="B290" s="431"/>
      <c r="C290" s="297"/>
      <c r="D290" s="297"/>
      <c r="E290" s="297"/>
      <c r="F290" s="297"/>
      <c r="G290" s="222" t="str">
        <f t="shared" si="14"/>
        <v/>
      </c>
      <c r="H290" s="17"/>
      <c r="I290" s="17"/>
      <c r="J290" s="242"/>
      <c r="L290" s="46">
        <f t="shared" si="12"/>
        <v>0</v>
      </c>
      <c r="M290" s="28">
        <f t="shared" si="13"/>
        <v>0</v>
      </c>
      <c r="Q290" s="142"/>
      <c r="R290" s="142"/>
      <c r="S290" s="142"/>
      <c r="T290" s="142"/>
      <c r="U290" s="142"/>
      <c r="V290" s="142"/>
      <c r="W290" s="142"/>
      <c r="X290" s="142"/>
    </row>
    <row r="291" spans="1:24" ht="16.149999999999999" customHeight="1" x14ac:dyDescent="0.2">
      <c r="A291" s="17"/>
      <c r="B291" s="431"/>
      <c r="C291" s="297"/>
      <c r="D291" s="297"/>
      <c r="E291" s="297"/>
      <c r="F291" s="297"/>
      <c r="G291" s="222" t="str">
        <f t="shared" si="14"/>
        <v/>
      </c>
      <c r="H291" s="17"/>
      <c r="I291" s="17"/>
      <c r="J291" s="242"/>
      <c r="L291" s="46">
        <f t="shared" si="12"/>
        <v>0</v>
      </c>
      <c r="M291" s="28">
        <f t="shared" si="13"/>
        <v>0</v>
      </c>
      <c r="Q291" s="142"/>
      <c r="R291" s="142"/>
      <c r="S291" s="142"/>
      <c r="T291" s="142"/>
      <c r="U291" s="142"/>
      <c r="V291" s="142"/>
      <c r="W291" s="142"/>
      <c r="X291" s="142"/>
    </row>
    <row r="292" spans="1:24" ht="16.149999999999999" customHeight="1" x14ac:dyDescent="0.2">
      <c r="A292" s="17"/>
      <c r="B292" s="431"/>
      <c r="C292" s="297"/>
      <c r="D292" s="297"/>
      <c r="E292" s="297"/>
      <c r="F292" s="297"/>
      <c r="G292" s="222" t="str">
        <f t="shared" si="14"/>
        <v/>
      </c>
      <c r="H292" s="17"/>
      <c r="I292" s="17"/>
      <c r="J292" s="242"/>
      <c r="L292" s="46">
        <f t="shared" si="12"/>
        <v>0</v>
      </c>
      <c r="M292" s="28">
        <f t="shared" si="13"/>
        <v>0</v>
      </c>
      <c r="Q292" s="142"/>
      <c r="R292" s="142"/>
      <c r="S292" s="142"/>
      <c r="T292" s="142"/>
      <c r="U292" s="142"/>
      <c r="V292" s="142"/>
      <c r="W292" s="142"/>
      <c r="X292" s="142"/>
    </row>
    <row r="293" spans="1:24" ht="16.149999999999999" customHeight="1" x14ac:dyDescent="0.2">
      <c r="A293" s="17"/>
      <c r="B293" s="431"/>
      <c r="C293" s="297"/>
      <c r="D293" s="297"/>
      <c r="E293" s="297"/>
      <c r="F293" s="297"/>
      <c r="G293" s="222" t="str">
        <f t="shared" si="14"/>
        <v/>
      </c>
      <c r="H293" s="17"/>
      <c r="I293" s="17"/>
      <c r="J293" s="242"/>
      <c r="L293" s="46">
        <f t="shared" si="12"/>
        <v>0</v>
      </c>
      <c r="M293" s="28">
        <f t="shared" si="13"/>
        <v>0</v>
      </c>
      <c r="Q293" s="142"/>
      <c r="R293" s="142"/>
      <c r="S293" s="142"/>
      <c r="T293" s="142"/>
      <c r="U293" s="142"/>
      <c r="V293" s="142"/>
      <c r="W293" s="142"/>
      <c r="X293" s="142"/>
    </row>
    <row r="294" spans="1:24" ht="16.149999999999999" customHeight="1" x14ac:dyDescent="0.2">
      <c r="A294" s="17"/>
      <c r="B294" s="431"/>
      <c r="C294" s="297"/>
      <c r="D294" s="297"/>
      <c r="E294" s="297"/>
      <c r="F294" s="297"/>
      <c r="G294" s="222" t="str">
        <f t="shared" si="14"/>
        <v/>
      </c>
      <c r="H294" s="17"/>
      <c r="I294" s="17"/>
      <c r="J294" s="242"/>
      <c r="L294" s="46">
        <f t="shared" si="12"/>
        <v>0</v>
      </c>
      <c r="M294" s="28">
        <f t="shared" si="13"/>
        <v>0</v>
      </c>
      <c r="Q294" s="142"/>
      <c r="R294" s="142"/>
      <c r="S294" s="142"/>
      <c r="T294" s="142"/>
      <c r="U294" s="142"/>
      <c r="V294" s="142"/>
      <c r="W294" s="142"/>
      <c r="X294" s="142"/>
    </row>
    <row r="295" spans="1:24" ht="16.149999999999999" customHeight="1" x14ac:dyDescent="0.2">
      <c r="A295" s="17"/>
      <c r="B295" s="431"/>
      <c r="C295" s="297"/>
      <c r="D295" s="297"/>
      <c r="E295" s="297"/>
      <c r="F295" s="297"/>
      <c r="G295" s="222" t="str">
        <f t="shared" si="14"/>
        <v/>
      </c>
      <c r="H295" s="17"/>
      <c r="I295" s="17"/>
      <c r="J295" s="242"/>
      <c r="L295" s="46">
        <f t="shared" si="12"/>
        <v>0</v>
      </c>
      <c r="M295" s="28">
        <f t="shared" si="13"/>
        <v>0</v>
      </c>
      <c r="Q295" s="142"/>
      <c r="R295" s="142"/>
      <c r="S295" s="142"/>
      <c r="T295" s="142"/>
      <c r="U295" s="142"/>
      <c r="V295" s="142"/>
      <c r="W295" s="142"/>
      <c r="X295" s="142"/>
    </row>
    <row r="296" spans="1:24" ht="16.149999999999999" customHeight="1" x14ac:dyDescent="0.2">
      <c r="A296" s="17"/>
      <c r="B296" s="431"/>
      <c r="C296" s="297"/>
      <c r="D296" s="297"/>
      <c r="E296" s="297"/>
      <c r="F296" s="297"/>
      <c r="G296" s="222" t="str">
        <f t="shared" si="14"/>
        <v/>
      </c>
      <c r="H296" s="17"/>
      <c r="I296" s="17"/>
      <c r="J296" s="242"/>
      <c r="L296" s="46">
        <f t="shared" si="12"/>
        <v>0</v>
      </c>
      <c r="M296" s="28">
        <f t="shared" si="13"/>
        <v>0</v>
      </c>
      <c r="Q296" s="142"/>
      <c r="R296" s="142"/>
      <c r="S296" s="142"/>
      <c r="T296" s="142"/>
      <c r="U296" s="142"/>
      <c r="V296" s="142"/>
      <c r="W296" s="142"/>
      <c r="X296" s="142"/>
    </row>
    <row r="297" spans="1:24" ht="16.149999999999999" customHeight="1" x14ac:dyDescent="0.2">
      <c r="A297" s="17"/>
      <c r="B297" s="431"/>
      <c r="C297" s="297"/>
      <c r="D297" s="297"/>
      <c r="E297" s="297"/>
      <c r="F297" s="297"/>
      <c r="G297" s="222" t="str">
        <f t="shared" si="14"/>
        <v/>
      </c>
      <c r="H297" s="17"/>
      <c r="I297" s="17"/>
      <c r="J297" s="242"/>
      <c r="L297" s="46">
        <f t="shared" si="12"/>
        <v>0</v>
      </c>
      <c r="M297" s="28">
        <f t="shared" si="13"/>
        <v>0</v>
      </c>
      <c r="Q297" s="142"/>
      <c r="R297" s="142"/>
      <c r="S297" s="142"/>
      <c r="T297" s="142"/>
      <c r="U297" s="142"/>
      <c r="V297" s="142"/>
      <c r="W297" s="142"/>
      <c r="X297" s="142"/>
    </row>
    <row r="298" spans="1:24" ht="16.149999999999999" customHeight="1" x14ac:dyDescent="0.2">
      <c r="A298" s="17"/>
      <c r="B298" s="431"/>
      <c r="C298" s="297"/>
      <c r="D298" s="297"/>
      <c r="E298" s="297"/>
      <c r="F298" s="297"/>
      <c r="G298" s="222" t="str">
        <f t="shared" si="14"/>
        <v/>
      </c>
      <c r="H298" s="17"/>
      <c r="I298" s="17"/>
      <c r="J298" s="242"/>
      <c r="L298" s="46">
        <f t="shared" si="12"/>
        <v>0</v>
      </c>
      <c r="M298" s="28">
        <f t="shared" si="13"/>
        <v>0</v>
      </c>
      <c r="Q298" s="142"/>
      <c r="R298" s="142"/>
      <c r="S298" s="142"/>
      <c r="T298" s="142"/>
      <c r="U298" s="142"/>
      <c r="V298" s="142"/>
      <c r="W298" s="142"/>
      <c r="X298" s="142"/>
    </row>
    <row r="299" spans="1:24" ht="16.149999999999999" customHeight="1" x14ac:dyDescent="0.2">
      <c r="A299" s="17"/>
      <c r="B299" s="431"/>
      <c r="C299" s="297"/>
      <c r="D299" s="297"/>
      <c r="E299" s="297"/>
      <c r="F299" s="297"/>
      <c r="G299" s="222" t="str">
        <f t="shared" si="14"/>
        <v/>
      </c>
      <c r="H299" s="17"/>
      <c r="I299" s="17"/>
      <c r="J299" s="242"/>
      <c r="L299" s="46">
        <f t="shared" si="12"/>
        <v>0</v>
      </c>
      <c r="M299" s="28">
        <f t="shared" si="13"/>
        <v>0</v>
      </c>
      <c r="Q299" s="142"/>
      <c r="R299" s="142"/>
      <c r="S299" s="142"/>
      <c r="T299" s="142"/>
      <c r="U299" s="142"/>
      <c r="V299" s="142"/>
      <c r="W299" s="142"/>
      <c r="X299" s="142"/>
    </row>
    <row r="300" spans="1:24" ht="16.149999999999999" customHeight="1" x14ac:dyDescent="0.2">
      <c r="A300" s="17"/>
      <c r="B300" s="585"/>
      <c r="C300" s="313"/>
      <c r="D300" s="313"/>
      <c r="E300" s="313"/>
      <c r="F300" s="313"/>
      <c r="G300" s="222" t="str">
        <f t="shared" si="14"/>
        <v/>
      </c>
      <c r="H300" s="17"/>
      <c r="I300" s="17"/>
      <c r="J300" s="242"/>
      <c r="L300" s="46">
        <f t="shared" si="12"/>
        <v>0</v>
      </c>
      <c r="M300" s="28">
        <f t="shared" si="13"/>
        <v>0</v>
      </c>
      <c r="Q300" s="142"/>
      <c r="R300" s="142"/>
      <c r="S300" s="142"/>
      <c r="T300" s="142"/>
      <c r="U300" s="142"/>
      <c r="V300" s="142"/>
      <c r="W300" s="142"/>
      <c r="X300" s="142"/>
    </row>
    <row r="301" spans="1:24" ht="16.149999999999999" customHeight="1" x14ac:dyDescent="0.2">
      <c r="A301" s="17"/>
      <c r="B301" s="586" t="s">
        <v>5590</v>
      </c>
      <c r="C301" s="587">
        <f>SUM(C275:C300)</f>
      </c>
      <c r="D301" s="587">
        <f>SUM(D275:D300)</f>
      </c>
      <c r="E301" s="587">
        <f>SUM(E275:E300)</f>
      </c>
      <c r="F301" s="587">
        <f>SUM(F275:F300)</f>
      </c>
      <c r="G301" s="222" t="str">
        <f>IF(D301&lt;&gt;E268,"Check Selling Price !","")</f>
        <v/>
      </c>
      <c r="H301" s="17"/>
      <c r="I301" s="17"/>
      <c r="J301" s="242"/>
      <c r="M301" s="28">
        <f t="shared" si="13"/>
        <v>0</v>
      </c>
      <c r="Q301" s="142"/>
      <c r="R301" s="142"/>
      <c r="S301" s="142"/>
      <c r="T301" s="142"/>
      <c r="U301" s="142"/>
      <c r="V301" s="142"/>
      <c r="W301" s="142"/>
      <c r="X301" s="142"/>
    </row>
    <row r="302" spans="1:24" ht="16.149999999999999" customHeight="1" x14ac:dyDescent="0.2">
      <c r="A302" s="17"/>
      <c r="B302" s="4648" t="s">
        <v>1478</v>
      </c>
      <c r="C302" s="4648"/>
      <c r="D302" s="4648"/>
      <c r="E302" s="4648"/>
      <c r="F302" s="588">
        <f>E270</f>
      </c>
      <c r="G302" s="17"/>
      <c r="H302" s="17"/>
      <c r="I302" s="17"/>
      <c r="J302" s="242"/>
      <c r="M302" s="167">
        <f>SUM(M249:M301)</f>
      </c>
      <c r="Q302" s="142"/>
      <c r="R302" s="142"/>
      <c r="S302" s="142"/>
      <c r="T302" s="142"/>
      <c r="U302" s="142"/>
      <c r="V302" s="142"/>
      <c r="W302" s="142"/>
      <c r="X302" s="142"/>
    </row>
    <row r="303" spans="1:24" ht="16.149999999999999" customHeight="1" x14ac:dyDescent="0.2">
      <c r="A303" s="17"/>
      <c r="B303" s="589"/>
      <c r="C303" s="589"/>
      <c r="D303" s="589"/>
      <c r="E303" s="589"/>
      <c r="F303" s="310"/>
      <c r="G303" s="17"/>
      <c r="H303" s="279" t="str">
        <f>ip</f>
      </c>
      <c r="I303" s="279" t="s">
        <v>2372</v>
      </c>
      <c r="J303" s="242"/>
      <c r="Q303" s="142"/>
      <c r="R303" s="142"/>
      <c r="S303" s="142"/>
      <c r="T303" s="142"/>
      <c r="U303" s="142"/>
      <c r="V303" s="142"/>
      <c r="W303" s="142"/>
      <c r="X303" s="142"/>
    </row>
    <row r="304" spans="1:24" ht="16.149999999999999" customHeight="1" x14ac:dyDescent="0.2">
      <c r="A304" s="17"/>
      <c r="B304" s="4650" t="s">
        <v>5410</v>
      </c>
      <c r="C304" s="4650"/>
      <c r="D304" s="4650"/>
      <c r="E304" s="4650"/>
      <c r="F304" s="4650"/>
      <c r="G304" s="17"/>
      <c r="H304" s="590" t="str">
        <f>IF($H266=ip,K304,"")</f>
        <v/>
      </c>
      <c r="I304" s="590" t="str">
        <f>IF($H266=fi,K304,"")</f>
        <v/>
      </c>
      <c r="J304" s="242"/>
      <c r="K304" s="236">
        <f>F301-F302</f>
      </c>
      <c r="Q304" s="142"/>
      <c r="R304" s="142"/>
      <c r="S304" s="142"/>
      <c r="T304" s="142"/>
      <c r="U304" s="142"/>
      <c r="V304" s="142"/>
      <c r="W304" s="142"/>
      <c r="X304" s="142"/>
    </row>
    <row r="305" spans="1:24" ht="16.149999999999999" customHeight="1" x14ac:dyDescent="0.2">
      <c r="A305" s="17"/>
      <c r="B305" s="17" t="str">
        <f>_xlfn.SINGLE(MTCA)</f>
      </c>
      <c r="C305" s="17"/>
      <c r="D305" s="17" t="str">
        <f>ver</f>
        <v>TA2_e-CO_2025_Ver 1.1</v>
      </c>
      <c r="E305" s="17"/>
      <c r="F305" s="17"/>
      <c r="G305" s="17"/>
      <c r="H305" s="17"/>
      <c r="I305" s="536" t="s">
        <v>9865</v>
      </c>
      <c r="J305" s="242"/>
      <c r="Q305" s="142"/>
      <c r="R305" s="142"/>
      <c r="S305" s="142"/>
      <c r="T305" s="142"/>
      <c r="U305" s="142"/>
      <c r="V305" s="142"/>
      <c r="W305" s="142"/>
      <c r="X305" s="142"/>
    </row>
    <row r="306" spans="1:24" ht="16.149999999999999" customHeight="1" x14ac:dyDescent="0.2">
      <c r="A306" s="17"/>
      <c r="B306" s="17"/>
      <c r="C306" s="17"/>
      <c r="D306" s="17"/>
      <c r="E306" s="17"/>
      <c r="F306" s="17"/>
      <c r="G306" s="17"/>
      <c r="H306" s="17"/>
      <c r="I306" s="536"/>
      <c r="J306" s="242"/>
      <c r="Q306" s="142"/>
      <c r="R306" s="142"/>
      <c r="S306" s="142"/>
      <c r="T306" s="142"/>
      <c r="U306" s="142"/>
      <c r="V306" s="142"/>
      <c r="W306" s="142"/>
      <c r="X306" s="142"/>
    </row>
    <row r="307" spans="1:24" ht="16.149999999999999" customHeight="1" x14ac:dyDescent="0.2">
      <c r="A307" s="17"/>
      <c r="B307" s="17"/>
      <c r="C307" s="17"/>
      <c r="D307" s="17"/>
      <c r="E307" s="17"/>
      <c r="F307" s="17"/>
      <c r="G307" s="17"/>
      <c r="H307" s="17"/>
      <c r="I307" s="536"/>
      <c r="J307" s="242"/>
      <c r="Q307" s="142"/>
      <c r="R307" s="142"/>
      <c r="S307" s="142"/>
      <c r="T307" s="142"/>
      <c r="U307" s="142"/>
      <c r="V307" s="142"/>
      <c r="W307" s="142"/>
      <c r="X307" s="142"/>
    </row>
    <row r="308" spans="1:24" ht="16.149999999999999" customHeight="1" x14ac:dyDescent="0.2">
      <c r="A308" s="781">
        <v>6</v>
      </c>
      <c r="B308" s="4645" t="s">
        <v>5196</v>
      </c>
      <c r="C308" s="4645"/>
      <c r="D308" s="4645"/>
      <c r="E308" s="4645"/>
      <c r="F308" s="4645"/>
      <c r="G308" s="4645"/>
      <c r="H308" s="4645"/>
      <c r="I308" s="4645"/>
      <c r="J308" s="242"/>
      <c r="K308" s="62"/>
      <c r="L308" s="62"/>
      <c r="Q308" s="142"/>
      <c r="R308" s="142"/>
      <c r="S308" s="142"/>
      <c r="T308" s="142"/>
      <c r="U308" s="142"/>
      <c r="V308" s="142"/>
      <c r="W308" s="142"/>
      <c r="X308" s="142"/>
    </row>
    <row r="309" spans="1:24" ht="6" customHeight="1" x14ac:dyDescent="0.2">
      <c r="A309" s="242"/>
      <c r="B309" s="242"/>
      <c r="C309" s="242"/>
      <c r="D309" s="242"/>
      <c r="E309" s="242"/>
      <c r="F309" s="242"/>
      <c r="G309" s="242"/>
      <c r="H309" s="242"/>
      <c r="I309" s="242"/>
      <c r="J309" s="242"/>
      <c r="K309" s="62"/>
      <c r="L309" s="62"/>
      <c r="Q309" s="142"/>
      <c r="R309" s="142"/>
      <c r="S309" s="142"/>
      <c r="T309" s="142"/>
      <c r="U309" s="142"/>
      <c r="V309" s="142"/>
      <c r="W309" s="142"/>
      <c r="X309" s="142"/>
    </row>
    <row r="310" spans="1:24" s="142" customFormat="1" ht="14.25" x14ac:dyDescent="0.2">
      <c r="A310" s="242"/>
      <c r="B310" s="3574" t="s">
        <v>9959</v>
      </c>
      <c r="C310" s="242"/>
      <c r="D310" s="242"/>
      <c r="E310" s="242"/>
      <c r="F310" s="569"/>
      <c r="G310" s="572" t="str">
        <f>IF(L334=0,"",IF(AND($P$1="n",F310&lt;&gt;""),"No details required!",IF(AND($P$1="y",ISBLANK(F310)),"Required !","")))</f>
        <v/>
      </c>
      <c r="H310" s="242"/>
      <c r="I310" s="242"/>
      <c r="J310" s="242"/>
      <c r="L310" s="142">
        <f>IF(ISBLANK(F310),0,1)</f>
      </c>
      <c r="M310" s="167">
        <f>IF(G310=$M$1,0,1)</f>
      </c>
    </row>
    <row r="311" spans="1:24" s="142" customFormat="1" ht="6.75" customHeight="1" x14ac:dyDescent="0.2">
      <c r="A311" s="242"/>
      <c r="B311" s="3574"/>
      <c r="C311" s="242"/>
      <c r="D311" s="242"/>
      <c r="E311" s="242"/>
      <c r="F311" s="242"/>
      <c r="G311" s="572"/>
      <c r="H311" s="242"/>
      <c r="I311" s="242"/>
      <c r="J311" s="242"/>
      <c r="M311" s="167"/>
    </row>
    <row r="312" spans="1:24" ht="14.25" customHeight="1" x14ac:dyDescent="0.2">
      <c r="A312" s="242"/>
      <c r="B312" s="4641" t="s">
        <v>10035</v>
      </c>
      <c r="C312" s="4641"/>
      <c r="D312" s="4641"/>
      <c r="E312" s="4641"/>
      <c r="F312" s="569"/>
      <c r="G312" s="572" t="str">
        <f>IF(L333=0,"",IF(ISBLANK(F312),"Required!",IF(AND($P$3="n",F312="yes"),"Check Pg2 Q32!","")))</f>
        <v/>
      </c>
      <c r="H312" s="242"/>
      <c r="I312" s="242"/>
      <c r="J312" s="242"/>
      <c r="K312" s="62"/>
      <c r="L312" s="142">
        <f>IF(ISBLANK(F312),0,1)</f>
      </c>
      <c r="M312" s="167">
        <f>IF(G312=$M$1,0,1)</f>
      </c>
      <c r="N312" s="142">
        <f>IF(AND($P$3="n",F312="yes"),1,0)</f>
      </c>
      <c r="Q312" s="142"/>
      <c r="R312" s="142"/>
      <c r="S312" s="142"/>
      <c r="T312" s="142"/>
      <c r="U312" s="142"/>
      <c r="V312" s="142"/>
      <c r="W312" s="142"/>
      <c r="X312" s="142"/>
    </row>
    <row r="313" spans="1:24" ht="12.75" x14ac:dyDescent="0.2">
      <c r="A313" s="242"/>
      <c r="B313" s="4642" t="s">
        <v>10036</v>
      </c>
      <c r="C313" s="4642"/>
      <c r="D313" s="4642"/>
      <c r="E313" s="4642"/>
      <c r="F313" s="242"/>
      <c r="G313" s="242"/>
      <c r="H313" s="242"/>
      <c r="I313" s="242"/>
      <c r="J313" s="242"/>
      <c r="K313" s="62"/>
      <c r="L313" s="62"/>
      <c r="Q313" s="142"/>
      <c r="R313" s="142"/>
      <c r="S313" s="142"/>
      <c r="T313" s="142"/>
      <c r="U313" s="142"/>
      <c r="V313" s="142"/>
      <c r="W313" s="142"/>
      <c r="X313" s="142"/>
    </row>
    <row r="314" spans="1:24" s="142" customFormat="1" ht="12.75" hidden="1" x14ac:dyDescent="0.2">
      <c r="A314" s="242"/>
      <c r="B314" s="3574"/>
      <c r="C314" s="242"/>
      <c r="D314" s="242"/>
      <c r="E314" s="242"/>
      <c r="F314" s="242"/>
      <c r="G314" s="572"/>
      <c r="H314" s="242"/>
      <c r="I314" s="242"/>
      <c r="J314" s="242"/>
      <c r="M314" s="167"/>
    </row>
    <row r="315" spans="1:24" s="142" customFormat="1" ht="12.75" hidden="1" x14ac:dyDescent="0.2">
      <c r="A315" s="242"/>
      <c r="B315" s="3574"/>
      <c r="C315" s="242"/>
      <c r="D315" s="242"/>
      <c r="E315" s="242"/>
      <c r="F315" s="242"/>
      <c r="G315" s="572"/>
      <c r="H315" s="242"/>
      <c r="I315" s="242"/>
      <c r="J315" s="242"/>
      <c r="M315" s="167"/>
    </row>
    <row r="316" spans="1:24" s="142" customFormat="1" ht="12.75" hidden="1" x14ac:dyDescent="0.2">
      <c r="A316" s="242"/>
      <c r="B316" s="3574"/>
      <c r="C316" s="242"/>
      <c r="D316" s="242"/>
      <c r="E316" s="242"/>
      <c r="F316" s="242"/>
      <c r="G316" s="572"/>
      <c r="H316" s="242"/>
      <c r="I316" s="242"/>
      <c r="J316" s="242"/>
      <c r="M316" s="167"/>
    </row>
    <row r="317" spans="1:24" s="142" customFormat="1" ht="12.75" hidden="1" x14ac:dyDescent="0.2">
      <c r="A317" s="242"/>
      <c r="B317" s="3574"/>
      <c r="C317" s="242"/>
      <c r="D317" s="242"/>
      <c r="E317" s="242"/>
      <c r="F317" s="242"/>
      <c r="G317" s="572"/>
      <c r="H317" s="242"/>
      <c r="I317" s="242"/>
      <c r="J317" s="242"/>
      <c r="M317" s="167"/>
    </row>
    <row r="318" spans="1:24" s="142" customFormat="1" ht="12.75" hidden="1" x14ac:dyDescent="0.2">
      <c r="A318" s="242"/>
      <c r="B318" s="3574"/>
      <c r="C318" s="242"/>
      <c r="D318" s="242"/>
      <c r="E318" s="242"/>
      <c r="F318" s="242"/>
      <c r="G318" s="572"/>
      <c r="H318" s="242"/>
      <c r="I318" s="242"/>
      <c r="J318" s="242"/>
      <c r="M318" s="167"/>
    </row>
    <row r="319" spans="1:24" s="142" customFormat="1" ht="12.75" hidden="1" x14ac:dyDescent="0.2">
      <c r="A319" s="242"/>
      <c r="B319" s="3574"/>
      <c r="C319" s="242"/>
      <c r="D319" s="242"/>
      <c r="E319" s="242"/>
      <c r="F319" s="242"/>
      <c r="G319" s="572"/>
      <c r="H319" s="242"/>
      <c r="I319" s="242"/>
      <c r="J319" s="242"/>
      <c r="M319" s="167"/>
    </row>
    <row r="320" spans="1:24" s="142" customFormat="1" ht="12.75" hidden="1" x14ac:dyDescent="0.2">
      <c r="A320" s="242"/>
      <c r="B320" s="3574"/>
      <c r="C320" s="242"/>
      <c r="D320" s="242"/>
      <c r="E320" s="242"/>
      <c r="F320" s="242"/>
      <c r="G320" s="572"/>
      <c r="H320" s="242"/>
      <c r="I320" s="242"/>
      <c r="J320" s="242"/>
      <c r="M320" s="167"/>
    </row>
    <row r="321" spans="1:24" s="142" customFormat="1" ht="12.75" hidden="1" x14ac:dyDescent="0.2">
      <c r="A321" s="242"/>
      <c r="B321" s="3574"/>
      <c r="C321" s="242"/>
      <c r="D321" s="242"/>
      <c r="E321" s="242"/>
      <c r="F321" s="242"/>
      <c r="G321" s="572"/>
      <c r="H321" s="242"/>
      <c r="I321" s="242"/>
      <c r="J321" s="242"/>
      <c r="M321" s="167"/>
    </row>
    <row r="322" spans="1:24" s="142" customFormat="1" ht="12.75" hidden="1" x14ac:dyDescent="0.2">
      <c r="A322" s="242"/>
      <c r="B322" s="3574"/>
      <c r="C322" s="242"/>
      <c r="D322" s="242"/>
      <c r="E322" s="242"/>
      <c r="F322" s="242"/>
      <c r="G322" s="572"/>
      <c r="H322" s="242"/>
      <c r="I322" s="242"/>
      <c r="J322" s="242"/>
      <c r="M322" s="167"/>
    </row>
    <row r="323" spans="1:24" ht="2.25" customHeight="1" x14ac:dyDescent="0.2">
      <c r="A323" s="242"/>
      <c r="B323" s="242"/>
      <c r="C323" s="242"/>
      <c r="D323" s="242"/>
      <c r="E323" s="242"/>
      <c r="F323" s="242"/>
      <c r="G323" s="242"/>
      <c r="H323" s="242"/>
      <c r="I323" s="242"/>
      <c r="J323" s="242"/>
      <c r="K323" s="62"/>
      <c r="L323" s="62"/>
      <c r="Q323" s="142"/>
      <c r="R323" s="142"/>
      <c r="S323" s="142"/>
      <c r="T323" s="142"/>
      <c r="U323" s="142"/>
      <c r="V323" s="142"/>
      <c r="W323" s="142"/>
      <c r="X323" s="142"/>
    </row>
    <row r="324" spans="1:24" ht="15.75" customHeight="1" x14ac:dyDescent="0.2">
      <c r="A324" s="17"/>
      <c r="B324" s="564" t="str">
        <f>IF(N325=1,"Details of property deemed to be transferred ","Details of property sold")</f>
      </c>
      <c r="C324" s="564"/>
      <c r="D324" s="564"/>
      <c r="E324" s="20"/>
      <c r="F324" s="20"/>
      <c r="G324" s="20"/>
      <c r="H324" s="20"/>
      <c r="I324" s="20"/>
      <c r="J324" s="242"/>
      <c r="Q324" s="142"/>
      <c r="R324" s="142"/>
      <c r="S324" s="142"/>
      <c r="T324" s="142"/>
      <c r="U324" s="142"/>
      <c r="V324" s="142"/>
      <c r="W324" s="142"/>
      <c r="X324" s="142"/>
    </row>
    <row r="325" spans="1:24" ht="16.149999999999999" customHeight="1" x14ac:dyDescent="0.2">
      <c r="A325" s="17"/>
      <c r="B325" s="565" t="s">
        <v>3331</v>
      </c>
      <c r="C325" s="565"/>
      <c r="D325" s="566" t="str">
        <f>IF(L334=0,"",IF(ISBLANK(E325),"Required!",""))</f>
        <v/>
      </c>
      <c r="E325" s="4646"/>
      <c r="F325" s="4646"/>
      <c r="G325" s="4646"/>
      <c r="H325" s="4646"/>
      <c r="I325" s="4646"/>
      <c r="J325" s="242"/>
      <c r="L325" s="46">
        <f>IF(ISBLANK(E325),0,1)</f>
      </c>
      <c r="M325" s="167">
        <f>IF(D325=$M$1,0,1)</f>
      </c>
      <c r="N325" s="142">
        <f>IF(AND(F312="yes",$P$3="y"),1,0)</f>
      </c>
      <c r="Q325" s="142"/>
      <c r="R325" s="142"/>
      <c r="S325" s="142"/>
      <c r="T325" s="142"/>
      <c r="U325" s="142"/>
      <c r="V325" s="142"/>
      <c r="W325" s="142"/>
      <c r="X325" s="142"/>
    </row>
    <row r="326" spans="1:24" ht="6" customHeight="1" x14ac:dyDescent="0.2">
      <c r="A326" s="17"/>
      <c r="B326" s="565"/>
      <c r="C326" s="565"/>
      <c r="D326" s="565"/>
      <c r="E326" s="185"/>
      <c r="F326" s="185"/>
      <c r="G326" s="185"/>
      <c r="H326" s="185"/>
      <c r="I326" s="185"/>
      <c r="J326" s="242"/>
      <c r="M326" s="28"/>
      <c r="Q326" s="142"/>
      <c r="R326" s="142"/>
      <c r="S326" s="142"/>
      <c r="T326" s="142"/>
      <c r="U326" s="142"/>
      <c r="V326" s="142"/>
      <c r="W326" s="142"/>
      <c r="X326" s="142"/>
    </row>
    <row r="327" spans="1:24" ht="16.149999999999999" customHeight="1" x14ac:dyDescent="0.2">
      <c r="A327" s="17"/>
      <c r="B327" s="567" t="str">
        <f>IF(N325=1,"Year of transfer [Basis Year]","Year of sale [Basis Year]")</f>
      </c>
      <c r="C327" s="567"/>
      <c r="D327" s="566" t="str">
        <f>IF(L334=0,"",IF(ISBLANK(E327),"Required!",""))</f>
        <v/>
      </c>
      <c r="E327" s="568"/>
      <c r="F327" s="4643" t="s">
        <v>3332</v>
      </c>
      <c r="G327" s="4644"/>
      <c r="H327" s="569"/>
      <c r="I327" s="570" t="str">
        <f>IF(L334=0,"",IF(ISBLANK(H327),"A/c ?",""))</f>
        <v/>
      </c>
      <c r="J327" s="242"/>
      <c r="L327" s="46">
        <f>IF(ISBLANK(E327),0,1)</f>
      </c>
      <c r="M327" s="28">
        <f>IF(I327=$M$1,0,1)</f>
      </c>
      <c r="Q327" s="142"/>
      <c r="R327" s="142"/>
      <c r="S327" s="142"/>
      <c r="T327" s="142"/>
      <c r="U327" s="142"/>
      <c r="V327" s="142"/>
      <c r="W327" s="142"/>
      <c r="X327" s="142"/>
    </row>
    <row r="328" spans="1:24" ht="6" customHeight="1" x14ac:dyDescent="0.2">
      <c r="A328" s="17"/>
      <c r="B328" s="565"/>
      <c r="C328" s="565"/>
      <c r="D328" s="565"/>
      <c r="E328" s="20"/>
      <c r="F328" s="20"/>
      <c r="G328" s="20"/>
      <c r="H328" s="20"/>
      <c r="I328" s="20"/>
      <c r="J328" s="242"/>
      <c r="L328" s="46">
        <f>IF(ISBLANK(H327),0,1)</f>
      </c>
      <c r="M328" s="167">
        <f>IF(D327=$M$1,0,1)</f>
      </c>
      <c r="Q328" s="142"/>
      <c r="R328" s="142"/>
      <c r="S328" s="142"/>
      <c r="T328" s="142"/>
      <c r="U328" s="142"/>
      <c r="V328" s="142"/>
      <c r="W328" s="142"/>
      <c r="X328" s="142"/>
    </row>
    <row r="329" spans="1:24" ht="16.149999999999999" customHeight="1" x14ac:dyDescent="0.2">
      <c r="A329" s="17"/>
      <c r="B329" s="564" t="str">
        <f>IF(N325=1,"Market value of property","Selling price of property")</f>
      </c>
      <c r="C329" s="564"/>
      <c r="D329" s="566" t="str">
        <f>IF(L334=0,"",IF(ISBLANK(E329),"Required!",""))</f>
        <v/>
      </c>
      <c r="E329" s="571"/>
      <c r="F329" s="20"/>
      <c r="G329" s="573"/>
      <c r="H329" s="574"/>
      <c r="I329" s="20"/>
      <c r="J329" s="242"/>
      <c r="L329" s="46">
        <f>IF(ISBLANK(E329),0,1)</f>
      </c>
      <c r="M329" s="28">
        <f>IF(D329=$M$1,0,1)</f>
      </c>
      <c r="Q329" s="142"/>
      <c r="R329" s="142"/>
      <c r="S329" s="142"/>
      <c r="T329" s="142"/>
      <c r="U329" s="142"/>
      <c r="V329" s="142"/>
      <c r="W329" s="142"/>
      <c r="X329" s="142"/>
    </row>
    <row r="330" spans="1:24" ht="6" customHeight="1" x14ac:dyDescent="0.2">
      <c r="A330" s="17"/>
      <c r="B330" s="565"/>
      <c r="C330" s="565"/>
      <c r="D330" s="565"/>
      <c r="E330" s="20"/>
      <c r="F330" s="20"/>
      <c r="G330" s="573"/>
      <c r="H330" s="574"/>
      <c r="I330" s="20"/>
      <c r="J330" s="242"/>
      <c r="M330" s="28"/>
      <c r="Q330" s="142"/>
      <c r="R330" s="142"/>
      <c r="S330" s="142"/>
      <c r="T330" s="142"/>
      <c r="U330" s="142"/>
      <c r="V330" s="142"/>
      <c r="W330" s="142"/>
      <c r="X330" s="142"/>
    </row>
    <row r="331" spans="1:24" ht="16.149999999999999" customHeight="1" x14ac:dyDescent="0.2">
      <c r="A331" s="17"/>
      <c r="B331" s="564" t="s">
        <v>3333</v>
      </c>
      <c r="C331" s="564"/>
      <c r="D331" s="566" t="str">
        <f>IF(N332=1,"Delete!","")</f>
        <v/>
      </c>
      <c r="E331" s="571"/>
      <c r="F331" s="20"/>
      <c r="G331" s="573" t="s">
        <v>3213</v>
      </c>
      <c r="H331" s="575"/>
      <c r="I331" s="570" t="str">
        <f>IF(L334=0,"",IF(AND(N325=1,H331&lt;&gt;""),"Delete!",IF(N325=1,"",IF(ISBLANK(H331),"Date ?",""))))</f>
        <v/>
      </c>
      <c r="J331" s="242"/>
      <c r="L331" s="46">
        <f>IF(ISBLANK(E331),0,1)</f>
      </c>
      <c r="M331" s="142">
        <f>IF(I331=$M$1,0,1)</f>
      </c>
      <c r="N331" s="142">
        <f>IF(AND(N325=1,H331&lt;&gt;""),1,0)</f>
      </c>
      <c r="Q331" s="142"/>
      <c r="R331" s="142"/>
      <c r="S331" s="142"/>
      <c r="T331" s="142"/>
      <c r="U331" s="142"/>
      <c r="V331" s="142"/>
      <c r="W331" s="142"/>
      <c r="X331" s="142"/>
    </row>
    <row r="332" spans="1:24" ht="6" customHeight="1" x14ac:dyDescent="0.2">
      <c r="A332" s="17"/>
      <c r="B332" s="565"/>
      <c r="C332" s="565"/>
      <c r="D332" s="565"/>
      <c r="E332" s="576"/>
      <c r="F332" s="20"/>
      <c r="G332" s="573"/>
      <c r="H332" s="574"/>
      <c r="I332" s="20"/>
      <c r="J332" s="242"/>
      <c r="L332" s="142">
        <f>IF(ISBLANK(H331),0,1)</f>
      </c>
      <c r="M332" s="142">
        <f>IF(D331=$M$1,0,1)</f>
      </c>
      <c r="N332" s="142">
        <f>IF(AND(N325=1,E331&lt;&gt;0),1,0)</f>
      </c>
      <c r="Q332" s="142"/>
      <c r="R332" s="142"/>
      <c r="S332" s="142"/>
      <c r="T332" s="142"/>
      <c r="U332" s="142"/>
      <c r="V332" s="142"/>
      <c r="W332" s="142"/>
      <c r="X332" s="142"/>
    </row>
    <row r="333" spans="1:24" ht="16.149999999999999" customHeight="1" x14ac:dyDescent="0.2">
      <c r="A333" s="17"/>
      <c r="B333" s="4647" t="s">
        <v>4245</v>
      </c>
      <c r="C333" s="4647"/>
      <c r="D333" s="4647"/>
      <c r="E333" s="4649" t="s">
        <v>1511</v>
      </c>
      <c r="F333" s="4649"/>
      <c r="G333" s="577"/>
      <c r="H333" s="574"/>
      <c r="I333" s="20"/>
      <c r="J333" s="242"/>
      <c r="M333" s="28">
        <f>IF(G333=$M$1,0,1)</f>
      </c>
      <c r="Q333" s="142"/>
      <c r="R333" s="142"/>
      <c r="S333" s="142"/>
      <c r="T333" s="142"/>
      <c r="U333" s="142"/>
      <c r="V333" s="142"/>
      <c r="W333" s="142"/>
      <c r="X333" s="142"/>
    </row>
    <row r="334" spans="1:24" ht="6" customHeight="1" x14ac:dyDescent="0.2">
      <c r="A334" s="17"/>
      <c r="B334" s="17"/>
      <c r="C334" s="17"/>
      <c r="D334" s="578"/>
      <c r="E334" s="579"/>
      <c r="F334" s="17"/>
      <c r="G334" s="580"/>
      <c r="H334" s="578"/>
      <c r="I334" s="17"/>
      <c r="J334" s="242"/>
      <c r="L334" s="176">
        <f>SUM(L310:L333)</f>
      </c>
      <c r="M334" s="28"/>
      <c r="Q334" s="142"/>
      <c r="R334" s="142"/>
      <c r="S334" s="142"/>
      <c r="T334" s="142"/>
      <c r="U334" s="142"/>
      <c r="V334" s="142"/>
      <c r="W334" s="142"/>
      <c r="X334" s="142"/>
    </row>
    <row r="335" spans="1:24" ht="22.5" x14ac:dyDescent="0.2">
      <c r="A335" s="17"/>
      <c r="B335" s="581" t="s">
        <v>4244</v>
      </c>
      <c r="C335" s="581" t="s">
        <v>4246</v>
      </c>
      <c r="D335" s="582" t="s">
        <v>1475</v>
      </c>
      <c r="E335" s="583" t="s">
        <v>1476</v>
      </c>
      <c r="F335" s="269" t="s">
        <v>1477</v>
      </c>
      <c r="G335" s="17"/>
      <c r="H335" s="584"/>
      <c r="I335" s="17"/>
      <c r="J335" s="242"/>
      <c r="M335" s="28"/>
      <c r="Q335" s="142"/>
      <c r="R335" s="142"/>
      <c r="S335" s="142"/>
      <c r="T335" s="142"/>
      <c r="U335" s="142"/>
      <c r="V335" s="142"/>
      <c r="W335" s="142"/>
      <c r="X335" s="142"/>
    </row>
    <row r="336" spans="1:24" ht="16.149999999999999" customHeight="1" x14ac:dyDescent="0.2">
      <c r="A336" s="17"/>
      <c r="B336" s="431"/>
      <c r="C336" s="297"/>
      <c r="D336" s="297"/>
      <c r="E336" s="297"/>
      <c r="F336" s="297"/>
      <c r="G336" s="222" t="str">
        <f>IF(L334=0,"",IF(L336=5,"","All details !"))</f>
        <v/>
      </c>
      <c r="H336" s="17"/>
      <c r="I336" s="17"/>
      <c r="J336" s="242"/>
      <c r="L336" s="46">
        <f t="shared" ref="L336:L361" si="15">COUNT(B336:F336)</f>
      </c>
      <c r="M336" s="28">
        <f t="shared" ref="M336:M362" si="16">IF(G336=$M$1,0,1)</f>
      </c>
      <c r="Q336" s="142"/>
      <c r="R336" s="142"/>
      <c r="S336" s="142"/>
      <c r="T336" s="142"/>
      <c r="U336" s="142"/>
      <c r="V336" s="142"/>
      <c r="W336" s="142"/>
      <c r="X336" s="142"/>
    </row>
    <row r="337" spans="1:24" ht="16.149999999999999" customHeight="1" x14ac:dyDescent="0.2">
      <c r="A337" s="17"/>
      <c r="B337" s="431"/>
      <c r="C337" s="297"/>
      <c r="D337" s="297"/>
      <c r="E337" s="297"/>
      <c r="F337" s="297"/>
      <c r="G337" s="222" t="str">
        <f t="shared" ref="G337:G361" si="17">IF(L337=0,"",IF(L337=5,"","All details !"))</f>
        <v/>
      </c>
      <c r="H337" s="17"/>
      <c r="I337" s="17"/>
      <c r="J337" s="242"/>
      <c r="L337" s="46">
        <f t="shared" si="15"/>
        <v>0</v>
      </c>
      <c r="M337" s="28">
        <f t="shared" si="16"/>
        <v>0</v>
      </c>
      <c r="Q337" s="142"/>
      <c r="R337" s="142"/>
      <c r="S337" s="142"/>
      <c r="T337" s="142"/>
      <c r="U337" s="142"/>
      <c r="V337" s="142"/>
      <c r="W337" s="142"/>
      <c r="X337" s="142"/>
    </row>
    <row r="338" spans="1:24" ht="16.149999999999999" customHeight="1" x14ac:dyDescent="0.2">
      <c r="A338" s="17"/>
      <c r="B338" s="431"/>
      <c r="C338" s="297"/>
      <c r="D338" s="297"/>
      <c r="E338" s="297"/>
      <c r="F338" s="297"/>
      <c r="G338" s="222" t="str">
        <f t="shared" si="17"/>
        <v/>
      </c>
      <c r="H338" s="17"/>
      <c r="I338" s="17"/>
      <c r="J338" s="242"/>
      <c r="L338" s="46">
        <f t="shared" si="15"/>
        <v>0</v>
      </c>
      <c r="M338" s="28">
        <f t="shared" si="16"/>
        <v>0</v>
      </c>
      <c r="Q338" s="142"/>
      <c r="R338" s="142"/>
      <c r="S338" s="142"/>
      <c r="T338" s="142"/>
      <c r="U338" s="142"/>
      <c r="V338" s="142"/>
      <c r="W338" s="142"/>
      <c r="X338" s="142"/>
    </row>
    <row r="339" spans="1:24" ht="16.149999999999999" customHeight="1" x14ac:dyDescent="0.2">
      <c r="A339" s="17"/>
      <c r="B339" s="431"/>
      <c r="C339" s="297"/>
      <c r="D339" s="297"/>
      <c r="E339" s="297"/>
      <c r="F339" s="297"/>
      <c r="G339" s="222" t="str">
        <f t="shared" si="17"/>
        <v/>
      </c>
      <c r="H339" s="17"/>
      <c r="I339" s="17"/>
      <c r="J339" s="242"/>
      <c r="L339" s="46">
        <f t="shared" si="15"/>
        <v>0</v>
      </c>
      <c r="M339" s="28">
        <f t="shared" si="16"/>
        <v>0</v>
      </c>
      <c r="Q339" s="142"/>
      <c r="R339" s="142"/>
      <c r="S339" s="142"/>
      <c r="T339" s="142"/>
      <c r="U339" s="142"/>
      <c r="V339" s="142"/>
      <c r="W339" s="142"/>
      <c r="X339" s="142"/>
    </row>
    <row r="340" spans="1:24" ht="16.149999999999999" customHeight="1" x14ac:dyDescent="0.2">
      <c r="A340" s="17"/>
      <c r="B340" s="431"/>
      <c r="C340" s="297"/>
      <c r="D340" s="297"/>
      <c r="E340" s="297"/>
      <c r="F340" s="297"/>
      <c r="G340" s="222" t="str">
        <f t="shared" si="17"/>
        <v/>
      </c>
      <c r="H340" s="17"/>
      <c r="I340" s="17"/>
      <c r="J340" s="242"/>
      <c r="L340" s="46">
        <f t="shared" si="15"/>
        <v>0</v>
      </c>
      <c r="M340" s="28">
        <f t="shared" si="16"/>
        <v>0</v>
      </c>
      <c r="Q340" s="142"/>
      <c r="R340" s="142"/>
      <c r="S340" s="142"/>
      <c r="T340" s="142"/>
      <c r="U340" s="142"/>
      <c r="V340" s="142"/>
      <c r="W340" s="142"/>
      <c r="X340" s="142"/>
    </row>
    <row r="341" spans="1:24" ht="16.149999999999999" customHeight="1" x14ac:dyDescent="0.2">
      <c r="A341" s="17"/>
      <c r="B341" s="431"/>
      <c r="C341" s="297"/>
      <c r="D341" s="297"/>
      <c r="E341" s="297"/>
      <c r="F341" s="297"/>
      <c r="G341" s="222" t="str">
        <f t="shared" si="17"/>
        <v/>
      </c>
      <c r="H341" s="17"/>
      <c r="I341" s="17"/>
      <c r="J341" s="242"/>
      <c r="L341" s="46">
        <f t="shared" si="15"/>
        <v>0</v>
      </c>
      <c r="M341" s="28">
        <f t="shared" si="16"/>
        <v>0</v>
      </c>
      <c r="Q341" s="142"/>
      <c r="R341" s="142"/>
      <c r="S341" s="142"/>
      <c r="T341" s="142"/>
      <c r="U341" s="142"/>
      <c r="V341" s="142"/>
      <c r="W341" s="142"/>
      <c r="X341" s="142"/>
    </row>
    <row r="342" spans="1:24" ht="16.149999999999999" customHeight="1" x14ac:dyDescent="0.2">
      <c r="A342" s="17"/>
      <c r="B342" s="431"/>
      <c r="C342" s="297"/>
      <c r="D342" s="297"/>
      <c r="E342" s="297"/>
      <c r="F342" s="297"/>
      <c r="G342" s="222" t="str">
        <f t="shared" si="17"/>
        <v/>
      </c>
      <c r="H342" s="17"/>
      <c r="I342" s="17"/>
      <c r="J342" s="242"/>
      <c r="L342" s="46">
        <f t="shared" si="15"/>
        <v>0</v>
      </c>
      <c r="M342" s="28">
        <f t="shared" si="16"/>
        <v>0</v>
      </c>
      <c r="Q342" s="142"/>
      <c r="R342" s="142"/>
      <c r="S342" s="142"/>
      <c r="T342" s="142"/>
      <c r="U342" s="142"/>
      <c r="V342" s="142"/>
      <c r="W342" s="142"/>
      <c r="X342" s="142"/>
    </row>
    <row r="343" spans="1:24" ht="16.149999999999999" customHeight="1" x14ac:dyDescent="0.2">
      <c r="A343" s="17"/>
      <c r="B343" s="431"/>
      <c r="C343" s="297"/>
      <c r="D343" s="297"/>
      <c r="E343" s="297"/>
      <c r="F343" s="297"/>
      <c r="G343" s="222" t="str">
        <f t="shared" si="17"/>
        <v/>
      </c>
      <c r="H343" s="17"/>
      <c r="I343" s="17"/>
      <c r="J343" s="242"/>
      <c r="L343" s="46">
        <f t="shared" si="15"/>
        <v>0</v>
      </c>
      <c r="M343" s="28">
        <f t="shared" si="16"/>
        <v>0</v>
      </c>
      <c r="Q343" s="142"/>
      <c r="R343" s="142"/>
      <c r="S343" s="142"/>
      <c r="T343" s="142"/>
      <c r="U343" s="142"/>
      <c r="V343" s="142"/>
      <c r="W343" s="142"/>
      <c r="X343" s="142"/>
    </row>
    <row r="344" spans="1:24" ht="16.149999999999999" customHeight="1" x14ac:dyDescent="0.2">
      <c r="A344" s="17"/>
      <c r="B344" s="431"/>
      <c r="C344" s="297"/>
      <c r="D344" s="297"/>
      <c r="E344" s="297"/>
      <c r="F344" s="297"/>
      <c r="G344" s="222" t="str">
        <f t="shared" si="17"/>
        <v/>
      </c>
      <c r="H344" s="17"/>
      <c r="I344" s="17"/>
      <c r="J344" s="242"/>
      <c r="L344" s="46">
        <f t="shared" si="15"/>
        <v>0</v>
      </c>
      <c r="M344" s="28">
        <f t="shared" si="16"/>
        <v>0</v>
      </c>
      <c r="Q344" s="142"/>
      <c r="R344" s="142"/>
      <c r="S344" s="142"/>
      <c r="T344" s="142"/>
      <c r="U344" s="142"/>
      <c r="V344" s="142"/>
      <c r="W344" s="142"/>
      <c r="X344" s="142"/>
    </row>
    <row r="345" spans="1:24" ht="16.149999999999999" customHeight="1" x14ac:dyDescent="0.2">
      <c r="A345" s="17"/>
      <c r="B345" s="431"/>
      <c r="C345" s="297"/>
      <c r="D345" s="297"/>
      <c r="E345" s="297"/>
      <c r="F345" s="297"/>
      <c r="G345" s="222" t="str">
        <f t="shared" si="17"/>
        <v/>
      </c>
      <c r="H345" s="17"/>
      <c r="I345" s="17"/>
      <c r="J345" s="242"/>
      <c r="L345" s="46">
        <f t="shared" si="15"/>
        <v>0</v>
      </c>
      <c r="M345" s="28">
        <f t="shared" si="16"/>
        <v>0</v>
      </c>
      <c r="Q345" s="142"/>
      <c r="R345" s="142"/>
      <c r="S345" s="142"/>
      <c r="T345" s="142"/>
      <c r="U345" s="142"/>
      <c r="V345" s="142"/>
      <c r="W345" s="142"/>
      <c r="X345" s="142"/>
    </row>
    <row r="346" spans="1:24" ht="16.149999999999999" customHeight="1" x14ac:dyDescent="0.2">
      <c r="A346" s="17"/>
      <c r="B346" s="431"/>
      <c r="C346" s="297"/>
      <c r="D346" s="297"/>
      <c r="E346" s="297"/>
      <c r="F346" s="297"/>
      <c r="G346" s="222" t="str">
        <f t="shared" si="17"/>
        <v/>
      </c>
      <c r="H346" s="17"/>
      <c r="I346" s="17"/>
      <c r="J346" s="242"/>
      <c r="L346" s="46">
        <f t="shared" si="15"/>
        <v>0</v>
      </c>
      <c r="M346" s="28">
        <f t="shared" si="16"/>
        <v>0</v>
      </c>
      <c r="Q346" s="142"/>
      <c r="R346" s="142"/>
      <c r="S346" s="142"/>
      <c r="T346" s="142"/>
      <c r="U346" s="142"/>
      <c r="V346" s="142"/>
      <c r="W346" s="142"/>
      <c r="X346" s="142"/>
    </row>
    <row r="347" spans="1:24" ht="16.149999999999999" customHeight="1" x14ac:dyDescent="0.2">
      <c r="A347" s="17"/>
      <c r="B347" s="431"/>
      <c r="C347" s="297"/>
      <c r="D347" s="297"/>
      <c r="E347" s="297"/>
      <c r="F347" s="297"/>
      <c r="G347" s="222" t="str">
        <f t="shared" si="17"/>
        <v/>
      </c>
      <c r="H347" s="17"/>
      <c r="I347" s="17"/>
      <c r="J347" s="242"/>
      <c r="L347" s="46">
        <f t="shared" si="15"/>
        <v>0</v>
      </c>
      <c r="M347" s="28">
        <f t="shared" si="16"/>
        <v>0</v>
      </c>
      <c r="Q347" s="142"/>
      <c r="R347" s="142"/>
      <c r="S347" s="142"/>
      <c r="T347" s="142"/>
      <c r="U347" s="142"/>
      <c r="V347" s="142"/>
      <c r="W347" s="142"/>
      <c r="X347" s="142"/>
    </row>
    <row r="348" spans="1:24" ht="16.149999999999999" customHeight="1" x14ac:dyDescent="0.2">
      <c r="A348" s="17"/>
      <c r="B348" s="431"/>
      <c r="C348" s="297"/>
      <c r="D348" s="297"/>
      <c r="E348" s="297"/>
      <c r="F348" s="297"/>
      <c r="G348" s="222" t="str">
        <f t="shared" si="17"/>
        <v/>
      </c>
      <c r="H348" s="17"/>
      <c r="I348" s="17"/>
      <c r="J348" s="242"/>
      <c r="L348" s="46">
        <f t="shared" si="15"/>
        <v>0</v>
      </c>
      <c r="M348" s="28">
        <f t="shared" si="16"/>
        <v>0</v>
      </c>
      <c r="Q348" s="142"/>
      <c r="R348" s="142"/>
      <c r="S348" s="142"/>
      <c r="T348" s="142"/>
      <c r="U348" s="142"/>
      <c r="V348" s="142"/>
      <c r="W348" s="142"/>
      <c r="X348" s="142"/>
    </row>
    <row r="349" spans="1:24" ht="16.149999999999999" customHeight="1" x14ac:dyDescent="0.2">
      <c r="A349" s="17"/>
      <c r="B349" s="431"/>
      <c r="C349" s="297"/>
      <c r="D349" s="297"/>
      <c r="E349" s="297"/>
      <c r="F349" s="297"/>
      <c r="G349" s="222" t="str">
        <f t="shared" si="17"/>
        <v/>
      </c>
      <c r="H349" s="17"/>
      <c r="I349" s="17"/>
      <c r="J349" s="242"/>
      <c r="L349" s="46">
        <f t="shared" si="15"/>
        <v>0</v>
      </c>
      <c r="M349" s="28">
        <f t="shared" si="16"/>
        <v>0</v>
      </c>
      <c r="Q349" s="142"/>
      <c r="R349" s="142"/>
      <c r="S349" s="142"/>
      <c r="T349" s="142"/>
      <c r="U349" s="142"/>
      <c r="V349" s="142"/>
      <c r="W349" s="142"/>
      <c r="X349" s="142"/>
    </row>
    <row r="350" spans="1:24" ht="16.149999999999999" customHeight="1" x14ac:dyDescent="0.2">
      <c r="A350" s="17"/>
      <c r="B350" s="431"/>
      <c r="C350" s="297"/>
      <c r="D350" s="297"/>
      <c r="E350" s="297"/>
      <c r="F350" s="297"/>
      <c r="G350" s="222" t="str">
        <f t="shared" si="17"/>
        <v/>
      </c>
      <c r="H350" s="17"/>
      <c r="I350" s="17"/>
      <c r="J350" s="242"/>
      <c r="L350" s="46">
        <f t="shared" si="15"/>
        <v>0</v>
      </c>
      <c r="M350" s="28">
        <f t="shared" si="16"/>
        <v>0</v>
      </c>
      <c r="Q350" s="142"/>
      <c r="R350" s="142"/>
      <c r="S350" s="142"/>
      <c r="T350" s="142"/>
      <c r="U350" s="142"/>
      <c r="V350" s="142"/>
      <c r="W350" s="142"/>
      <c r="X350" s="142"/>
    </row>
    <row r="351" spans="1:24" ht="16.149999999999999" customHeight="1" x14ac:dyDescent="0.2">
      <c r="A351" s="17"/>
      <c r="B351" s="431"/>
      <c r="C351" s="297"/>
      <c r="D351" s="297"/>
      <c r="E351" s="297"/>
      <c r="F351" s="297"/>
      <c r="G351" s="222" t="str">
        <f t="shared" si="17"/>
        <v/>
      </c>
      <c r="H351" s="17"/>
      <c r="I351" s="17"/>
      <c r="J351" s="242"/>
      <c r="L351" s="46">
        <f t="shared" si="15"/>
        <v>0</v>
      </c>
      <c r="M351" s="28">
        <f t="shared" si="16"/>
        <v>0</v>
      </c>
      <c r="Q351" s="142"/>
      <c r="R351" s="142"/>
      <c r="S351" s="142"/>
      <c r="T351" s="142"/>
      <c r="U351" s="142"/>
      <c r="V351" s="142"/>
      <c r="W351" s="142"/>
      <c r="X351" s="142"/>
    </row>
    <row r="352" spans="1:24" ht="16.149999999999999" customHeight="1" x14ac:dyDescent="0.2">
      <c r="A352" s="17"/>
      <c r="B352" s="431"/>
      <c r="C352" s="297"/>
      <c r="D352" s="297"/>
      <c r="E352" s="297"/>
      <c r="F352" s="297"/>
      <c r="G352" s="222" t="str">
        <f t="shared" si="17"/>
        <v/>
      </c>
      <c r="H352" s="17"/>
      <c r="I352" s="17"/>
      <c r="J352" s="242"/>
      <c r="L352" s="46">
        <f t="shared" si="15"/>
        <v>0</v>
      </c>
      <c r="M352" s="28">
        <f t="shared" si="16"/>
        <v>0</v>
      </c>
      <c r="Q352" s="142"/>
      <c r="R352" s="142"/>
      <c r="S352" s="142"/>
      <c r="T352" s="142"/>
      <c r="U352" s="142"/>
      <c r="V352" s="142"/>
      <c r="W352" s="142"/>
      <c r="X352" s="142"/>
    </row>
    <row r="353" spans="1:24" ht="16.149999999999999" customHeight="1" x14ac:dyDescent="0.2">
      <c r="A353" s="17"/>
      <c r="B353" s="431"/>
      <c r="C353" s="297"/>
      <c r="D353" s="297"/>
      <c r="E353" s="297"/>
      <c r="F353" s="297"/>
      <c r="G353" s="222" t="str">
        <f t="shared" si="17"/>
        <v/>
      </c>
      <c r="H353" s="17"/>
      <c r="I353" s="17"/>
      <c r="J353" s="242"/>
      <c r="L353" s="46">
        <f t="shared" si="15"/>
        <v>0</v>
      </c>
      <c r="M353" s="28">
        <f t="shared" si="16"/>
        <v>0</v>
      </c>
      <c r="Q353" s="142"/>
      <c r="R353" s="142"/>
      <c r="S353" s="142"/>
      <c r="T353" s="142"/>
      <c r="U353" s="142"/>
      <c r="V353" s="142"/>
      <c r="W353" s="142"/>
      <c r="X353" s="142"/>
    </row>
    <row r="354" spans="1:24" ht="16.149999999999999" customHeight="1" x14ac:dyDescent="0.2">
      <c r="A354" s="17"/>
      <c r="B354" s="431"/>
      <c r="C354" s="297"/>
      <c r="D354" s="297"/>
      <c r="E354" s="297"/>
      <c r="F354" s="297"/>
      <c r="G354" s="222" t="str">
        <f t="shared" si="17"/>
        <v/>
      </c>
      <c r="H354" s="17"/>
      <c r="I354" s="17"/>
      <c r="J354" s="242"/>
      <c r="L354" s="46">
        <f t="shared" si="15"/>
        <v>0</v>
      </c>
      <c r="M354" s="28">
        <f t="shared" si="16"/>
        <v>0</v>
      </c>
      <c r="Q354" s="142"/>
      <c r="R354" s="142"/>
      <c r="S354" s="142"/>
      <c r="T354" s="142"/>
      <c r="U354" s="142"/>
      <c r="V354" s="142"/>
      <c r="W354" s="142"/>
      <c r="X354" s="142"/>
    </row>
    <row r="355" spans="1:24" ht="16.149999999999999" customHeight="1" x14ac:dyDescent="0.2">
      <c r="A355" s="17"/>
      <c r="B355" s="431"/>
      <c r="C355" s="297"/>
      <c r="D355" s="297"/>
      <c r="E355" s="297"/>
      <c r="F355" s="297"/>
      <c r="G355" s="222" t="str">
        <f t="shared" si="17"/>
        <v/>
      </c>
      <c r="H355" s="17"/>
      <c r="I355" s="17"/>
      <c r="J355" s="242"/>
      <c r="L355" s="46">
        <f t="shared" si="15"/>
        <v>0</v>
      </c>
      <c r="M355" s="28">
        <f t="shared" si="16"/>
        <v>0</v>
      </c>
      <c r="Q355" s="142"/>
      <c r="R355" s="142"/>
      <c r="S355" s="142"/>
      <c r="T355" s="142"/>
      <c r="U355" s="142"/>
      <c r="V355" s="142"/>
      <c r="W355" s="142"/>
      <c r="X355" s="142"/>
    </row>
    <row r="356" spans="1:24" ht="16.149999999999999" customHeight="1" x14ac:dyDescent="0.2">
      <c r="A356" s="17"/>
      <c r="B356" s="431"/>
      <c r="C356" s="297"/>
      <c r="D356" s="297"/>
      <c r="E356" s="297"/>
      <c r="F356" s="297"/>
      <c r="G356" s="222" t="str">
        <f t="shared" si="17"/>
        <v/>
      </c>
      <c r="H356" s="17"/>
      <c r="I356" s="17"/>
      <c r="J356" s="242"/>
      <c r="L356" s="46">
        <f t="shared" si="15"/>
        <v>0</v>
      </c>
      <c r="M356" s="28">
        <f t="shared" si="16"/>
        <v>0</v>
      </c>
      <c r="Q356" s="142"/>
      <c r="R356" s="142"/>
      <c r="S356" s="142"/>
      <c r="T356" s="142"/>
      <c r="U356" s="142"/>
      <c r="V356" s="142"/>
      <c r="W356" s="142"/>
      <c r="X356" s="142"/>
    </row>
    <row r="357" spans="1:24" ht="16.149999999999999" customHeight="1" x14ac:dyDescent="0.2">
      <c r="A357" s="17"/>
      <c r="B357" s="431"/>
      <c r="C357" s="297"/>
      <c r="D357" s="297"/>
      <c r="E357" s="297"/>
      <c r="F357" s="297"/>
      <c r="G357" s="222" t="str">
        <f t="shared" si="17"/>
        <v/>
      </c>
      <c r="H357" s="17"/>
      <c r="I357" s="17"/>
      <c r="J357" s="242"/>
      <c r="L357" s="46">
        <f t="shared" si="15"/>
        <v>0</v>
      </c>
      <c r="M357" s="28">
        <f t="shared" si="16"/>
        <v>0</v>
      </c>
      <c r="Q357" s="142"/>
      <c r="R357" s="142"/>
      <c r="S357" s="142"/>
      <c r="T357" s="142"/>
      <c r="U357" s="142"/>
      <c r="V357" s="142"/>
      <c r="W357" s="142"/>
      <c r="X357" s="142"/>
    </row>
    <row r="358" spans="1:24" ht="16.149999999999999" customHeight="1" x14ac:dyDescent="0.2">
      <c r="A358" s="17"/>
      <c r="B358" s="431"/>
      <c r="C358" s="297"/>
      <c r="D358" s="297"/>
      <c r="E358" s="297"/>
      <c r="F358" s="297"/>
      <c r="G358" s="222" t="str">
        <f t="shared" si="17"/>
        <v/>
      </c>
      <c r="H358" s="17"/>
      <c r="I358" s="17"/>
      <c r="J358" s="242"/>
      <c r="L358" s="46">
        <f t="shared" si="15"/>
        <v>0</v>
      </c>
      <c r="M358" s="28">
        <f t="shared" si="16"/>
        <v>0</v>
      </c>
      <c r="Q358" s="142"/>
      <c r="R358" s="142"/>
      <c r="S358" s="142"/>
      <c r="T358" s="142"/>
      <c r="U358" s="142"/>
      <c r="V358" s="142"/>
      <c r="W358" s="142"/>
      <c r="X358" s="142"/>
    </row>
    <row r="359" spans="1:24" ht="16.149999999999999" customHeight="1" x14ac:dyDescent="0.2">
      <c r="A359" s="17"/>
      <c r="B359" s="431"/>
      <c r="C359" s="297"/>
      <c r="D359" s="297"/>
      <c r="E359" s="297"/>
      <c r="F359" s="297"/>
      <c r="G359" s="222" t="str">
        <f t="shared" si="17"/>
        <v/>
      </c>
      <c r="H359" s="17"/>
      <c r="I359" s="17"/>
      <c r="J359" s="242"/>
      <c r="L359" s="46">
        <f t="shared" si="15"/>
        <v>0</v>
      </c>
      <c r="M359" s="28">
        <f t="shared" si="16"/>
        <v>0</v>
      </c>
      <c r="Q359" s="142"/>
      <c r="R359" s="142"/>
      <c r="S359" s="142"/>
      <c r="T359" s="142"/>
      <c r="U359" s="142"/>
      <c r="V359" s="142"/>
      <c r="W359" s="142"/>
      <c r="X359" s="142"/>
    </row>
    <row r="360" spans="1:24" ht="16.149999999999999" customHeight="1" x14ac:dyDescent="0.2">
      <c r="A360" s="17"/>
      <c r="B360" s="431"/>
      <c r="C360" s="297"/>
      <c r="D360" s="297"/>
      <c r="E360" s="297"/>
      <c r="F360" s="297"/>
      <c r="G360" s="222" t="str">
        <f t="shared" si="17"/>
        <v/>
      </c>
      <c r="H360" s="17"/>
      <c r="I360" s="17"/>
      <c r="J360" s="242"/>
      <c r="L360" s="46">
        <f t="shared" si="15"/>
        <v>0</v>
      </c>
      <c r="M360" s="28">
        <f t="shared" si="16"/>
        <v>0</v>
      </c>
      <c r="Q360" s="142"/>
      <c r="R360" s="142"/>
      <c r="S360" s="142"/>
      <c r="T360" s="142"/>
      <c r="U360" s="142"/>
      <c r="V360" s="142"/>
      <c r="W360" s="142"/>
      <c r="X360" s="142"/>
    </row>
    <row r="361" spans="1:24" ht="16.149999999999999" customHeight="1" x14ac:dyDescent="0.2">
      <c r="A361" s="17"/>
      <c r="B361" s="585"/>
      <c r="C361" s="313"/>
      <c r="D361" s="313"/>
      <c r="E361" s="313"/>
      <c r="F361" s="313"/>
      <c r="G361" s="222" t="str">
        <f t="shared" si="17"/>
        <v/>
      </c>
      <c r="H361" s="17"/>
      <c r="I361" s="17"/>
      <c r="J361" s="242"/>
      <c r="L361" s="46">
        <f t="shared" si="15"/>
        <v>0</v>
      </c>
      <c r="M361" s="28">
        <f t="shared" si="16"/>
        <v>0</v>
      </c>
      <c r="Q361" s="142"/>
      <c r="R361" s="142"/>
      <c r="S361" s="142"/>
      <c r="T361" s="142"/>
      <c r="U361" s="142"/>
      <c r="V361" s="142"/>
      <c r="W361" s="142"/>
      <c r="X361" s="142"/>
    </row>
    <row r="362" spans="1:24" ht="16.149999999999999" customHeight="1" x14ac:dyDescent="0.2">
      <c r="A362" s="17"/>
      <c r="B362" s="586" t="s">
        <v>5590</v>
      </c>
      <c r="C362" s="587">
        <f>SUM(C336:C361)</f>
      </c>
      <c r="D362" s="587">
        <f>SUM(D336:D361)</f>
      </c>
      <c r="E362" s="587">
        <f>SUM(E336:E361)</f>
      </c>
      <c r="F362" s="587">
        <f>SUM(F336:F361)</f>
      </c>
      <c r="G362" s="222" t="str">
        <f>IF(D362&lt;&gt;E329,"Check Selling Price !","")</f>
        <v/>
      </c>
      <c r="H362" s="17"/>
      <c r="I362" s="17"/>
      <c r="J362" s="242"/>
      <c r="M362" s="28">
        <f t="shared" si="16"/>
        <v>0</v>
      </c>
      <c r="Q362" s="142"/>
      <c r="R362" s="142"/>
      <c r="S362" s="142"/>
      <c r="T362" s="142"/>
      <c r="U362" s="142"/>
      <c r="V362" s="142"/>
      <c r="W362" s="142"/>
      <c r="X362" s="142"/>
    </row>
    <row r="363" spans="1:24" ht="16.149999999999999" customHeight="1" x14ac:dyDescent="0.2">
      <c r="A363" s="17"/>
      <c r="B363" s="4648" t="s">
        <v>1478</v>
      </c>
      <c r="C363" s="4648"/>
      <c r="D363" s="4648"/>
      <c r="E363" s="4648"/>
      <c r="F363" s="588">
        <f>E331</f>
      </c>
      <c r="G363" s="17"/>
      <c r="H363" s="17"/>
      <c r="I363" s="17"/>
      <c r="J363" s="242"/>
      <c r="M363" s="167">
        <f>SUM(M310:M362)</f>
      </c>
      <c r="Q363" s="142"/>
      <c r="R363" s="142"/>
      <c r="S363" s="142"/>
      <c r="T363" s="142"/>
      <c r="U363" s="142"/>
      <c r="V363" s="142"/>
      <c r="W363" s="142"/>
      <c r="X363" s="142"/>
    </row>
    <row r="364" spans="1:24" ht="16.149999999999999" customHeight="1" x14ac:dyDescent="0.2">
      <c r="A364" s="17"/>
      <c r="B364" s="589"/>
      <c r="C364" s="589"/>
      <c r="D364" s="589"/>
      <c r="E364" s="589"/>
      <c r="F364" s="310"/>
      <c r="G364" s="17"/>
      <c r="H364" s="279" t="str">
        <f>ip</f>
      </c>
      <c r="I364" s="279" t="s">
        <v>2372</v>
      </c>
      <c r="J364" s="242"/>
      <c r="Q364" s="142"/>
      <c r="R364" s="142"/>
      <c r="S364" s="142"/>
      <c r="T364" s="142"/>
      <c r="U364" s="142"/>
      <c r="V364" s="142"/>
      <c r="W364" s="142"/>
      <c r="X364" s="142"/>
    </row>
    <row r="365" spans="1:24" ht="16.149999999999999" customHeight="1" x14ac:dyDescent="0.2">
      <c r="A365" s="17"/>
      <c r="B365" s="4650" t="s">
        <v>5410</v>
      </c>
      <c r="C365" s="4650"/>
      <c r="D365" s="4650"/>
      <c r="E365" s="4650"/>
      <c r="F365" s="4650"/>
      <c r="G365" s="17"/>
      <c r="H365" s="590" t="str">
        <f>IF($H327=ip,K365,"")</f>
        <v/>
      </c>
      <c r="I365" s="590" t="str">
        <f>IF($H327=fi,K365,"")</f>
        <v/>
      </c>
      <c r="J365" s="242"/>
      <c r="K365" s="236">
        <f>F362-F363</f>
      </c>
      <c r="Q365" s="142"/>
      <c r="R365" s="142"/>
      <c r="S365" s="142"/>
      <c r="T365" s="142"/>
      <c r="U365" s="142"/>
      <c r="V365" s="142"/>
      <c r="W365" s="142"/>
      <c r="X365" s="142"/>
    </row>
    <row r="366" spans="1:24" ht="16.149999999999999" customHeight="1" x14ac:dyDescent="0.2">
      <c r="A366" s="17"/>
      <c r="B366" s="17" t="str">
        <f>_xlfn.SINGLE(MTCA)</f>
      </c>
      <c r="C366" s="17"/>
      <c r="D366" s="17" t="str">
        <f>ver</f>
        <v>TA2_e-CO_2025_Ver 1.1</v>
      </c>
      <c r="E366" s="17"/>
      <c r="F366" s="17"/>
      <c r="G366" s="17"/>
      <c r="H366" s="17"/>
      <c r="I366" s="536" t="s">
        <v>9866</v>
      </c>
      <c r="J366" s="242"/>
      <c r="Q366" s="142"/>
      <c r="R366" s="142"/>
      <c r="S366" s="142"/>
      <c r="T366" s="142"/>
      <c r="U366" s="142"/>
      <c r="V366" s="142"/>
      <c r="W366" s="142"/>
      <c r="X366" s="142"/>
    </row>
    <row r="367" spans="1:24" ht="16.149999999999999" customHeight="1" x14ac:dyDescent="0.2">
      <c r="A367" s="17"/>
      <c r="B367" s="17"/>
      <c r="C367" s="17"/>
      <c r="D367" s="17"/>
      <c r="E367" s="17"/>
      <c r="F367" s="17"/>
      <c r="G367" s="17"/>
      <c r="H367" s="17"/>
      <c r="I367" s="536"/>
      <c r="J367" s="242"/>
      <c r="Q367" s="142"/>
      <c r="R367" s="142"/>
      <c r="S367" s="142"/>
      <c r="T367" s="142"/>
      <c r="U367" s="142"/>
      <c r="V367" s="142"/>
      <c r="W367" s="142"/>
      <c r="X367" s="142"/>
    </row>
    <row r="368" spans="1:24" ht="16.149999999999999" customHeight="1" x14ac:dyDescent="0.2">
      <c r="A368" s="17"/>
      <c r="B368" s="17"/>
      <c r="C368" s="17"/>
      <c r="D368" s="17"/>
      <c r="E368" s="17"/>
      <c r="F368" s="17"/>
      <c r="G368" s="17"/>
      <c r="H368" s="17"/>
      <c r="I368" s="536"/>
      <c r="J368" s="242"/>
      <c r="Q368" s="142"/>
      <c r="R368" s="142"/>
      <c r="S368" s="142"/>
      <c r="T368" s="142"/>
      <c r="U368" s="142"/>
      <c r="V368" s="142"/>
      <c r="W368" s="142"/>
      <c r="X368" s="142"/>
    </row>
    <row r="369" spans="1:24" ht="16.149999999999999" customHeight="1" x14ac:dyDescent="0.2">
      <c r="A369" s="781">
        <v>7</v>
      </c>
      <c r="B369" s="4645" t="s">
        <v>5196</v>
      </c>
      <c r="C369" s="4645"/>
      <c r="D369" s="4645"/>
      <c r="E369" s="4645"/>
      <c r="F369" s="4645"/>
      <c r="G369" s="4645"/>
      <c r="H369" s="4645"/>
      <c r="I369" s="4645"/>
      <c r="J369" s="242"/>
      <c r="K369" s="62"/>
      <c r="L369" s="62"/>
      <c r="Q369" s="142"/>
      <c r="R369" s="142"/>
      <c r="S369" s="142"/>
      <c r="T369" s="142"/>
      <c r="U369" s="142"/>
      <c r="V369" s="142"/>
      <c r="W369" s="142"/>
      <c r="X369" s="142"/>
    </row>
    <row r="370" spans="1:24" ht="6" customHeight="1" x14ac:dyDescent="0.2">
      <c r="A370" s="242"/>
      <c r="B370" s="242"/>
      <c r="C370" s="242"/>
      <c r="D370" s="242"/>
      <c r="E370" s="242"/>
      <c r="F370" s="242"/>
      <c r="G370" s="242"/>
      <c r="H370" s="242"/>
      <c r="I370" s="242"/>
      <c r="J370" s="242"/>
      <c r="K370" s="62"/>
      <c r="L370" s="62"/>
      <c r="Q370" s="142"/>
      <c r="R370" s="142"/>
      <c r="S370" s="142"/>
      <c r="T370" s="142"/>
      <c r="U370" s="142"/>
      <c r="V370" s="142"/>
      <c r="W370" s="142"/>
      <c r="X370" s="142"/>
    </row>
    <row r="371" spans="1:24" s="142" customFormat="1" ht="14.25" x14ac:dyDescent="0.2">
      <c r="A371" s="242"/>
      <c r="B371" s="3574" t="s">
        <v>9959</v>
      </c>
      <c r="C371" s="242"/>
      <c r="D371" s="242"/>
      <c r="E371" s="242"/>
      <c r="F371" s="569"/>
      <c r="G371" s="572" t="str">
        <f>IF(L395=0,"",IF(AND($P$1="n",F371&lt;&gt;""),"No details required!",IF(AND($P$1="y",ISBLANK(F371)),"Required !","")))</f>
        <v/>
      </c>
      <c r="H371" s="242"/>
      <c r="I371" s="242"/>
      <c r="J371" s="242"/>
      <c r="L371" s="142">
        <f>IF(ISBLANK(F371),0,1)</f>
      </c>
      <c r="M371" s="167">
        <f>IF(G371=$M$1,0,1)</f>
      </c>
    </row>
    <row r="372" spans="1:24" s="142" customFormat="1" ht="6.75" customHeight="1" x14ac:dyDescent="0.2">
      <c r="A372" s="242"/>
      <c r="B372" s="3574"/>
      <c r="C372" s="242"/>
      <c r="D372" s="242"/>
      <c r="E372" s="242"/>
      <c r="F372" s="242"/>
      <c r="G372" s="572"/>
      <c r="H372" s="242"/>
      <c r="I372" s="242"/>
      <c r="J372" s="242"/>
      <c r="M372" s="167"/>
    </row>
    <row r="373" spans="1:24" ht="14.25" customHeight="1" x14ac:dyDescent="0.2">
      <c r="A373" s="242"/>
      <c r="B373" s="4641" t="s">
        <v>10035</v>
      </c>
      <c r="C373" s="4641"/>
      <c r="D373" s="4641"/>
      <c r="E373" s="4641"/>
      <c r="F373" s="569"/>
      <c r="G373" s="572" t="str">
        <f>IF(L393=0,"",IF(ISBLANK(F373),"Required!",IF(AND($P$3="n",F373="yes"),"Check Pg2 Q32!","")))</f>
        <v/>
      </c>
      <c r="H373" s="242"/>
      <c r="I373" s="242"/>
      <c r="J373" s="242"/>
      <c r="K373" s="62"/>
      <c r="L373" s="142">
        <f>IF(ISBLANK(F373),0,1)</f>
      </c>
      <c r="M373" s="167">
        <f>IF(G373=$M$1,0,1)</f>
      </c>
      <c r="N373" s="142">
        <f>IF(AND($P$3="n",F373="yes"),1,0)</f>
      </c>
      <c r="Q373" s="142"/>
      <c r="R373" s="142"/>
      <c r="S373" s="142"/>
      <c r="T373" s="142"/>
      <c r="U373" s="142"/>
      <c r="V373" s="142"/>
      <c r="W373" s="142"/>
      <c r="X373" s="142"/>
    </row>
    <row r="374" spans="1:24" ht="12.75" x14ac:dyDescent="0.2">
      <c r="A374" s="242"/>
      <c r="B374" s="4642" t="s">
        <v>10036</v>
      </c>
      <c r="C374" s="4642"/>
      <c r="D374" s="4642"/>
      <c r="E374" s="4642"/>
      <c r="F374" s="242"/>
      <c r="G374" s="242"/>
      <c r="H374" s="242"/>
      <c r="I374" s="242"/>
      <c r="J374" s="242"/>
      <c r="K374" s="62"/>
      <c r="L374" s="62"/>
      <c r="Q374" s="142"/>
      <c r="R374" s="142"/>
      <c r="S374" s="142"/>
      <c r="T374" s="142"/>
      <c r="U374" s="142"/>
      <c r="V374" s="142"/>
      <c r="W374" s="142"/>
      <c r="X374" s="142"/>
    </row>
    <row r="375" spans="1:24" s="142" customFormat="1" ht="12.75" hidden="1" x14ac:dyDescent="0.2">
      <c r="A375" s="242"/>
      <c r="B375" s="3574"/>
      <c r="C375" s="242"/>
      <c r="D375" s="242"/>
      <c r="E375" s="242"/>
      <c r="F375" s="242"/>
      <c r="G375" s="572"/>
      <c r="H375" s="242"/>
      <c r="I375" s="242"/>
      <c r="J375" s="242"/>
      <c r="M375" s="167"/>
    </row>
    <row r="376" spans="1:24" s="142" customFormat="1" ht="12.75" hidden="1" x14ac:dyDescent="0.2">
      <c r="A376" s="242"/>
      <c r="B376" s="3574"/>
      <c r="C376" s="242"/>
      <c r="D376" s="242"/>
      <c r="E376" s="242"/>
      <c r="F376" s="242"/>
      <c r="G376" s="572"/>
      <c r="H376" s="242"/>
      <c r="I376" s="242"/>
      <c r="J376" s="242"/>
      <c r="M376" s="167"/>
    </row>
    <row r="377" spans="1:24" s="142" customFormat="1" ht="12.75" hidden="1" x14ac:dyDescent="0.2">
      <c r="A377" s="242"/>
      <c r="B377" s="3574"/>
      <c r="C377" s="242"/>
      <c r="D377" s="242"/>
      <c r="E377" s="242"/>
      <c r="F377" s="242"/>
      <c r="G377" s="572"/>
      <c r="H377" s="242"/>
      <c r="I377" s="242"/>
      <c r="J377" s="242"/>
      <c r="M377" s="167"/>
    </row>
    <row r="378" spans="1:24" s="142" customFormat="1" ht="12.75" hidden="1" x14ac:dyDescent="0.2">
      <c r="A378" s="242"/>
      <c r="B378" s="3574"/>
      <c r="C378" s="242"/>
      <c r="D378" s="242"/>
      <c r="E378" s="242"/>
      <c r="F378" s="242"/>
      <c r="G378" s="572"/>
      <c r="H378" s="242"/>
      <c r="I378" s="242"/>
      <c r="J378" s="242"/>
      <c r="M378" s="167"/>
    </row>
    <row r="379" spans="1:24" s="142" customFormat="1" ht="12.75" hidden="1" x14ac:dyDescent="0.2">
      <c r="A379" s="242"/>
      <c r="B379" s="3574"/>
      <c r="C379" s="242"/>
      <c r="D379" s="242"/>
      <c r="E379" s="242"/>
      <c r="F379" s="242"/>
      <c r="G379" s="572"/>
      <c r="H379" s="242"/>
      <c r="I379" s="242"/>
      <c r="J379" s="242"/>
      <c r="M379" s="167"/>
    </row>
    <row r="380" spans="1:24" s="142" customFormat="1" ht="12.75" hidden="1" x14ac:dyDescent="0.2">
      <c r="A380" s="242"/>
      <c r="B380" s="3574"/>
      <c r="C380" s="242"/>
      <c r="D380" s="242"/>
      <c r="E380" s="242"/>
      <c r="F380" s="242"/>
      <c r="G380" s="572"/>
      <c r="H380" s="242"/>
      <c r="I380" s="242"/>
      <c r="J380" s="242"/>
      <c r="M380" s="167"/>
    </row>
    <row r="381" spans="1:24" s="142" customFormat="1" ht="12.75" hidden="1" x14ac:dyDescent="0.2">
      <c r="A381" s="242"/>
      <c r="B381" s="3574"/>
      <c r="C381" s="242"/>
      <c r="D381" s="242"/>
      <c r="E381" s="242"/>
      <c r="F381" s="242"/>
      <c r="G381" s="572"/>
      <c r="H381" s="242"/>
      <c r="I381" s="242"/>
      <c r="J381" s="242"/>
      <c r="M381" s="167"/>
    </row>
    <row r="382" spans="1:24" s="142" customFormat="1" ht="12.75" hidden="1" x14ac:dyDescent="0.2">
      <c r="A382" s="242"/>
      <c r="B382" s="3574"/>
      <c r="C382" s="242"/>
      <c r="D382" s="242"/>
      <c r="E382" s="242"/>
      <c r="F382" s="242"/>
      <c r="G382" s="572"/>
      <c r="H382" s="242"/>
      <c r="I382" s="242"/>
      <c r="J382" s="242"/>
      <c r="M382" s="167"/>
    </row>
    <row r="383" spans="1:24" s="142" customFormat="1" ht="12.75" hidden="1" x14ac:dyDescent="0.2">
      <c r="A383" s="242"/>
      <c r="B383" s="3574"/>
      <c r="C383" s="242"/>
      <c r="D383" s="242"/>
      <c r="E383" s="242"/>
      <c r="F383" s="242"/>
      <c r="G383" s="572"/>
      <c r="H383" s="242"/>
      <c r="I383" s="242"/>
      <c r="J383" s="242"/>
      <c r="M383" s="167"/>
    </row>
    <row r="384" spans="1:24" ht="3" customHeight="1" x14ac:dyDescent="0.2">
      <c r="A384" s="242"/>
      <c r="B384" s="242"/>
      <c r="C384" s="242"/>
      <c r="D384" s="242"/>
      <c r="E384" s="242"/>
      <c r="F384" s="242"/>
      <c r="G384" s="242"/>
      <c r="H384" s="242"/>
      <c r="I384" s="242"/>
      <c r="J384" s="242"/>
      <c r="K384" s="62"/>
      <c r="L384" s="62"/>
      <c r="Q384" s="142"/>
      <c r="R384" s="142"/>
      <c r="S384" s="142"/>
      <c r="T384" s="142"/>
      <c r="U384" s="142"/>
      <c r="V384" s="142"/>
      <c r="W384" s="142"/>
      <c r="X384" s="142"/>
    </row>
    <row r="385" spans="1:24" ht="16.149999999999999" customHeight="1" x14ac:dyDescent="0.2">
      <c r="A385" s="17"/>
      <c r="B385" s="564" t="str">
        <f>IF(N386=1,"Details of property deemed to be transferred ","Details of property sold")</f>
      </c>
      <c r="C385" s="564"/>
      <c r="D385" s="564"/>
      <c r="E385" s="20"/>
      <c r="F385" s="20"/>
      <c r="G385" s="20"/>
      <c r="H385" s="20"/>
      <c r="I385" s="20"/>
      <c r="J385" s="242"/>
      <c r="Q385" s="142"/>
      <c r="R385" s="142"/>
      <c r="S385" s="142"/>
      <c r="T385" s="142"/>
      <c r="U385" s="142"/>
      <c r="V385" s="142"/>
      <c r="W385" s="142"/>
      <c r="X385" s="142"/>
    </row>
    <row r="386" spans="1:24" ht="16.149999999999999" customHeight="1" x14ac:dyDescent="0.2">
      <c r="A386" s="17"/>
      <c r="B386" s="565" t="s">
        <v>3331</v>
      </c>
      <c r="C386" s="565"/>
      <c r="D386" s="566" t="str">
        <f>IF(L395=0,"",IF(ISBLANK(E386),"Required!",""))</f>
        <v/>
      </c>
      <c r="E386" s="4646"/>
      <c r="F386" s="4646"/>
      <c r="G386" s="4646"/>
      <c r="H386" s="4646"/>
      <c r="I386" s="4646"/>
      <c r="J386" s="242"/>
      <c r="L386" s="46">
        <f>IF(ISBLANK(E386),0,1)</f>
      </c>
      <c r="M386" s="167">
        <f>IF(D386=$M$1,0,1)</f>
      </c>
      <c r="N386" s="142">
        <f>IF(AND(F373="yes",$P$3="y"),1,0)</f>
      </c>
      <c r="Q386" s="142"/>
      <c r="R386" s="142"/>
      <c r="S386" s="142"/>
      <c r="T386" s="142"/>
      <c r="U386" s="142"/>
      <c r="V386" s="142"/>
      <c r="W386" s="142"/>
      <c r="X386" s="142"/>
    </row>
    <row r="387" spans="1:24" ht="6" customHeight="1" x14ac:dyDescent="0.2">
      <c r="A387" s="17"/>
      <c r="B387" s="565"/>
      <c r="C387" s="565"/>
      <c r="D387" s="565"/>
      <c r="E387" s="185"/>
      <c r="F387" s="185"/>
      <c r="G387" s="185"/>
      <c r="H387" s="185"/>
      <c r="I387" s="185"/>
      <c r="J387" s="242"/>
      <c r="M387" s="28"/>
      <c r="Q387" s="142"/>
      <c r="R387" s="142"/>
      <c r="S387" s="142"/>
      <c r="T387" s="142"/>
      <c r="U387" s="142"/>
      <c r="V387" s="142"/>
      <c r="W387" s="142"/>
      <c r="X387" s="142"/>
    </row>
    <row r="388" spans="1:24" ht="16.149999999999999" customHeight="1" x14ac:dyDescent="0.2">
      <c r="A388" s="17"/>
      <c r="B388" s="567" t="str">
        <f>IF(N386=1,"Year of transfer [Basis Year]","Year of sale [Basis Year]")</f>
      </c>
      <c r="C388" s="567"/>
      <c r="D388" s="566" t="str">
        <f>IF(L395=0,"",IF(ISBLANK(E388),"Required!",""))</f>
        <v/>
      </c>
      <c r="E388" s="568"/>
      <c r="F388" s="4643" t="s">
        <v>3332</v>
      </c>
      <c r="G388" s="4644"/>
      <c r="H388" s="569"/>
      <c r="I388" s="570" t="str">
        <f>IF(L395=0,"",IF(ISBLANK(H388),"A/c ?",""))</f>
        <v/>
      </c>
      <c r="J388" s="242"/>
      <c r="L388" s="46">
        <f>IF(ISBLANK(E388),0,1)</f>
      </c>
      <c r="M388" s="28">
        <f>IF(I388=$M$1,0,1)</f>
      </c>
      <c r="Q388" s="142"/>
      <c r="R388" s="142"/>
      <c r="S388" s="142"/>
      <c r="T388" s="142"/>
      <c r="U388" s="142"/>
      <c r="V388" s="142"/>
      <c r="W388" s="142"/>
      <c r="X388" s="142"/>
    </row>
    <row r="389" spans="1:24" ht="6" customHeight="1" x14ac:dyDescent="0.2">
      <c r="A389" s="17"/>
      <c r="B389" s="565"/>
      <c r="C389" s="565"/>
      <c r="D389" s="565"/>
      <c r="E389" s="20"/>
      <c r="F389" s="20"/>
      <c r="G389" s="20"/>
      <c r="H389" s="20"/>
      <c r="I389" s="20"/>
      <c r="J389" s="242"/>
      <c r="L389" s="46">
        <f>IF(ISBLANK(H388),0,1)</f>
      </c>
      <c r="M389" s="167">
        <f>IF(D388=$M$1,0,1)</f>
      </c>
      <c r="Q389" s="142"/>
      <c r="R389" s="142"/>
      <c r="S389" s="142"/>
      <c r="T389" s="142"/>
      <c r="U389" s="142"/>
      <c r="V389" s="142"/>
      <c r="W389" s="142"/>
      <c r="X389" s="142"/>
    </row>
    <row r="390" spans="1:24" ht="16.149999999999999" customHeight="1" x14ac:dyDescent="0.2">
      <c r="A390" s="17"/>
      <c r="B390" s="564" t="str">
        <f>IF(N386=1,"Market value of property","Selling price of property")</f>
      </c>
      <c r="C390" s="564"/>
      <c r="D390" s="566" t="str">
        <f>IF(L395=0,"",IF(ISBLANK(E390),"Required!",""))</f>
        <v/>
      </c>
      <c r="E390" s="571"/>
      <c r="F390" s="20"/>
      <c r="G390" s="573"/>
      <c r="H390" s="574"/>
      <c r="I390" s="20"/>
      <c r="J390" s="242"/>
      <c r="L390" s="46">
        <f>IF(ISBLANK(E390),0,1)</f>
      </c>
      <c r="M390" s="28">
        <f>IF(D390=$M$1,0,1)</f>
      </c>
      <c r="Q390" s="142"/>
      <c r="R390" s="142"/>
      <c r="S390" s="142"/>
      <c r="T390" s="142"/>
      <c r="U390" s="142"/>
      <c r="V390" s="142"/>
      <c r="W390" s="142"/>
      <c r="X390" s="142"/>
    </row>
    <row r="391" spans="1:24" ht="6" customHeight="1" x14ac:dyDescent="0.2">
      <c r="A391" s="17"/>
      <c r="B391" s="565"/>
      <c r="C391" s="565"/>
      <c r="D391" s="565"/>
      <c r="E391" s="20"/>
      <c r="F391" s="20"/>
      <c r="G391" s="573"/>
      <c r="H391" s="574"/>
      <c r="I391" s="20"/>
      <c r="J391" s="242"/>
      <c r="M391" s="28"/>
      <c r="Q391" s="142"/>
      <c r="R391" s="142"/>
      <c r="S391" s="142"/>
      <c r="T391" s="142"/>
      <c r="U391" s="142"/>
      <c r="V391" s="142"/>
      <c r="W391" s="142"/>
      <c r="X391" s="142"/>
    </row>
    <row r="392" spans="1:24" ht="16.149999999999999" customHeight="1" x14ac:dyDescent="0.2">
      <c r="A392" s="17"/>
      <c r="B392" s="564" t="s">
        <v>3333</v>
      </c>
      <c r="C392" s="564"/>
      <c r="D392" s="566" t="str">
        <f>IF(N393=1,"Delete!","")</f>
        <v/>
      </c>
      <c r="E392" s="571"/>
      <c r="F392" s="20"/>
      <c r="G392" s="573" t="s">
        <v>3213</v>
      </c>
      <c r="H392" s="575"/>
      <c r="I392" s="570" t="str">
        <f>IF(L395=0,"",IF(AND(N386=1,H392&lt;&gt;""),"Delete!",IF(N386=1,"",IF(ISBLANK(H392),"Date ?",""))))</f>
        <v/>
      </c>
      <c r="J392" s="242"/>
      <c r="L392" s="46">
        <f>IF(ISBLANK(E392),0,1)</f>
      </c>
      <c r="M392" s="142">
        <f>IF(I392=$M$1,0,1)</f>
      </c>
      <c r="N392" s="142">
        <f>IF(AND(N386=1,H392&lt;&gt;""),1,0)</f>
      </c>
      <c r="Q392" s="142"/>
      <c r="R392" s="142"/>
      <c r="S392" s="142"/>
      <c r="T392" s="142"/>
      <c r="U392" s="142"/>
      <c r="V392" s="142"/>
      <c r="W392" s="142"/>
      <c r="X392" s="142"/>
    </row>
    <row r="393" spans="1:24" ht="6" customHeight="1" x14ac:dyDescent="0.2">
      <c r="A393" s="17"/>
      <c r="B393" s="565"/>
      <c r="C393" s="565"/>
      <c r="D393" s="565"/>
      <c r="E393" s="576"/>
      <c r="F393" s="20"/>
      <c r="G393" s="573"/>
      <c r="H393" s="574"/>
      <c r="I393" s="20"/>
      <c r="J393" s="242"/>
      <c r="L393" s="142">
        <f>IF(ISBLANK(H392),0,1)</f>
      </c>
      <c r="M393" s="142">
        <f>IF(D392=$M$1,0,1)</f>
      </c>
      <c r="N393" s="142">
        <f>IF(AND(N386=1,E392&lt;&gt;0),1,0)</f>
      </c>
      <c r="Q393" s="142"/>
      <c r="R393" s="142"/>
      <c r="S393" s="142"/>
      <c r="T393" s="142"/>
      <c r="U393" s="142"/>
      <c r="V393" s="142"/>
      <c r="W393" s="142"/>
      <c r="X393" s="142"/>
    </row>
    <row r="394" spans="1:24" ht="16.149999999999999" customHeight="1" x14ac:dyDescent="0.2">
      <c r="A394" s="17"/>
      <c r="B394" s="4647" t="s">
        <v>4245</v>
      </c>
      <c r="C394" s="4647"/>
      <c r="D394" s="4647"/>
      <c r="E394" s="4649" t="s">
        <v>1511</v>
      </c>
      <c r="F394" s="4649"/>
      <c r="G394" s="577"/>
      <c r="H394" s="574"/>
      <c r="I394" s="20"/>
      <c r="J394" s="242"/>
      <c r="M394" s="28">
        <f>IF(G394=$M$1,0,1)</f>
      </c>
      <c r="Q394" s="142"/>
      <c r="R394" s="142"/>
      <c r="S394" s="142"/>
      <c r="T394" s="142"/>
      <c r="U394" s="142"/>
      <c r="V394" s="142"/>
      <c r="W394" s="142"/>
      <c r="X394" s="142"/>
    </row>
    <row r="395" spans="1:24" ht="6" customHeight="1" x14ac:dyDescent="0.2">
      <c r="A395" s="17"/>
      <c r="B395" s="17"/>
      <c r="C395" s="17"/>
      <c r="D395" s="578"/>
      <c r="E395" s="579"/>
      <c r="F395" s="17"/>
      <c r="G395" s="580"/>
      <c r="H395" s="578"/>
      <c r="I395" s="17"/>
      <c r="J395" s="242"/>
      <c r="L395" s="176">
        <f>SUM(L371:L394)</f>
      </c>
      <c r="M395" s="28"/>
      <c r="Q395" s="142"/>
      <c r="R395" s="142"/>
      <c r="S395" s="142"/>
      <c r="T395" s="142"/>
      <c r="U395" s="142"/>
      <c r="V395" s="142"/>
      <c r="W395" s="142"/>
      <c r="X395" s="142"/>
    </row>
    <row r="396" spans="1:24" ht="22.5" x14ac:dyDescent="0.2">
      <c r="A396" s="17"/>
      <c r="B396" s="581" t="s">
        <v>4244</v>
      </c>
      <c r="C396" s="581" t="s">
        <v>4246</v>
      </c>
      <c r="D396" s="582" t="s">
        <v>1475</v>
      </c>
      <c r="E396" s="583" t="s">
        <v>1476</v>
      </c>
      <c r="F396" s="269" t="s">
        <v>1477</v>
      </c>
      <c r="G396" s="17"/>
      <c r="H396" s="584"/>
      <c r="I396" s="17"/>
      <c r="J396" s="242"/>
      <c r="M396" s="28"/>
      <c r="Q396" s="142"/>
      <c r="R396" s="142"/>
      <c r="S396" s="142"/>
      <c r="T396" s="142"/>
      <c r="U396" s="142"/>
      <c r="V396" s="142"/>
      <c r="W396" s="142"/>
      <c r="X396" s="142"/>
    </row>
    <row r="397" spans="1:24" ht="16.149999999999999" customHeight="1" x14ac:dyDescent="0.2">
      <c r="A397" s="17"/>
      <c r="B397" s="431"/>
      <c r="C397" s="297"/>
      <c r="D397" s="297"/>
      <c r="E397" s="297"/>
      <c r="F397" s="297"/>
      <c r="G397" s="222" t="str">
        <f>IF(L395=0,"",IF(L397=5,"","All details !"))</f>
        <v/>
      </c>
      <c r="H397" s="17"/>
      <c r="I397" s="17"/>
      <c r="J397" s="242"/>
      <c r="L397" s="46">
        <f t="shared" ref="L397:L422" si="18">COUNT(B397:F397)</f>
      </c>
      <c r="M397" s="28">
        <f t="shared" ref="M397:M423" si="19">IF(G397=$M$1,0,1)</f>
      </c>
      <c r="Q397" s="142"/>
      <c r="R397" s="142"/>
      <c r="S397" s="142"/>
      <c r="T397" s="142"/>
      <c r="U397" s="142"/>
      <c r="V397" s="142"/>
      <c r="W397" s="142"/>
      <c r="X397" s="142"/>
    </row>
    <row r="398" spans="1:24" ht="16.149999999999999" customHeight="1" x14ac:dyDescent="0.2">
      <c r="A398" s="17"/>
      <c r="B398" s="431"/>
      <c r="C398" s="297"/>
      <c r="D398" s="297"/>
      <c r="E398" s="297"/>
      <c r="F398" s="297"/>
      <c r="G398" s="222" t="str">
        <f t="shared" ref="G398:G422" si="20">IF(L398=0,"",IF(L398=5,"","All details !"))</f>
        <v/>
      </c>
      <c r="H398" s="17"/>
      <c r="I398" s="17"/>
      <c r="J398" s="242"/>
      <c r="L398" s="46">
        <f t="shared" si="18"/>
        <v>0</v>
      </c>
      <c r="M398" s="28">
        <f t="shared" si="19"/>
        <v>0</v>
      </c>
      <c r="Q398" s="142"/>
      <c r="R398" s="142"/>
      <c r="S398" s="142"/>
      <c r="T398" s="142"/>
      <c r="U398" s="142"/>
      <c r="V398" s="142"/>
      <c r="W398" s="142"/>
      <c r="X398" s="142"/>
    </row>
    <row r="399" spans="1:24" ht="16.149999999999999" customHeight="1" x14ac:dyDescent="0.2">
      <c r="A399" s="17"/>
      <c r="B399" s="431"/>
      <c r="C399" s="297"/>
      <c r="D399" s="297"/>
      <c r="E399" s="297"/>
      <c r="F399" s="297"/>
      <c r="G399" s="222" t="str">
        <f t="shared" si="20"/>
        <v/>
      </c>
      <c r="H399" s="17"/>
      <c r="I399" s="17"/>
      <c r="J399" s="242"/>
      <c r="L399" s="46">
        <f t="shared" si="18"/>
        <v>0</v>
      </c>
      <c r="M399" s="28">
        <f t="shared" si="19"/>
        <v>0</v>
      </c>
      <c r="Q399" s="142"/>
      <c r="R399" s="142"/>
      <c r="S399" s="142"/>
      <c r="T399" s="142"/>
      <c r="U399" s="142"/>
      <c r="V399" s="142"/>
      <c r="W399" s="142"/>
      <c r="X399" s="142"/>
    </row>
    <row r="400" spans="1:24" ht="16.149999999999999" customHeight="1" x14ac:dyDescent="0.2">
      <c r="A400" s="17"/>
      <c r="B400" s="431"/>
      <c r="C400" s="297"/>
      <c r="D400" s="297"/>
      <c r="E400" s="297"/>
      <c r="F400" s="297"/>
      <c r="G400" s="222" t="str">
        <f t="shared" si="20"/>
        <v/>
      </c>
      <c r="H400" s="17"/>
      <c r="I400" s="17"/>
      <c r="J400" s="242"/>
      <c r="L400" s="46">
        <f t="shared" si="18"/>
        <v>0</v>
      </c>
      <c r="M400" s="28">
        <f t="shared" si="19"/>
        <v>0</v>
      </c>
      <c r="Q400" s="142"/>
      <c r="R400" s="142"/>
      <c r="S400" s="142"/>
      <c r="T400" s="142"/>
      <c r="U400" s="142"/>
      <c r="V400" s="142"/>
      <c r="W400" s="142"/>
      <c r="X400" s="142"/>
    </row>
    <row r="401" spans="1:24" ht="16.149999999999999" customHeight="1" x14ac:dyDescent="0.2">
      <c r="A401" s="17"/>
      <c r="B401" s="431"/>
      <c r="C401" s="297"/>
      <c r="D401" s="297"/>
      <c r="E401" s="297"/>
      <c r="F401" s="297"/>
      <c r="G401" s="222" t="str">
        <f t="shared" si="20"/>
        <v/>
      </c>
      <c r="H401" s="17"/>
      <c r="I401" s="17"/>
      <c r="J401" s="242"/>
      <c r="L401" s="46">
        <f t="shared" si="18"/>
        <v>0</v>
      </c>
      <c r="M401" s="28">
        <f t="shared" si="19"/>
        <v>0</v>
      </c>
      <c r="Q401" s="142"/>
      <c r="R401" s="142"/>
      <c r="S401" s="142"/>
      <c r="T401" s="142"/>
      <c r="U401" s="142"/>
      <c r="V401" s="142"/>
      <c r="W401" s="142"/>
      <c r="X401" s="142"/>
    </row>
    <row r="402" spans="1:24" ht="16.149999999999999" customHeight="1" x14ac:dyDescent="0.2">
      <c r="A402" s="17"/>
      <c r="B402" s="431"/>
      <c r="C402" s="297"/>
      <c r="D402" s="297"/>
      <c r="E402" s="297"/>
      <c r="F402" s="297"/>
      <c r="G402" s="222" t="str">
        <f t="shared" si="20"/>
        <v/>
      </c>
      <c r="H402" s="17"/>
      <c r="I402" s="17"/>
      <c r="J402" s="242"/>
      <c r="L402" s="46">
        <f t="shared" si="18"/>
        <v>0</v>
      </c>
      <c r="M402" s="28">
        <f t="shared" si="19"/>
        <v>0</v>
      </c>
      <c r="Q402" s="142"/>
      <c r="R402" s="142"/>
      <c r="S402" s="142"/>
      <c r="T402" s="142"/>
      <c r="U402" s="142"/>
      <c r="V402" s="142"/>
      <c r="W402" s="142"/>
      <c r="X402" s="142"/>
    </row>
    <row r="403" spans="1:24" ht="16.149999999999999" customHeight="1" x14ac:dyDescent="0.2">
      <c r="A403" s="17"/>
      <c r="B403" s="431"/>
      <c r="C403" s="297"/>
      <c r="D403" s="297"/>
      <c r="E403" s="297"/>
      <c r="F403" s="297"/>
      <c r="G403" s="222" t="str">
        <f t="shared" si="20"/>
        <v/>
      </c>
      <c r="H403" s="17"/>
      <c r="I403" s="17"/>
      <c r="J403" s="242"/>
      <c r="L403" s="46">
        <f t="shared" si="18"/>
        <v>0</v>
      </c>
      <c r="M403" s="28">
        <f t="shared" si="19"/>
        <v>0</v>
      </c>
      <c r="Q403" s="142"/>
      <c r="R403" s="142"/>
      <c r="S403" s="142"/>
      <c r="T403" s="142"/>
      <c r="U403" s="142"/>
      <c r="V403" s="142"/>
      <c r="W403" s="142"/>
      <c r="X403" s="142"/>
    </row>
    <row r="404" spans="1:24" ht="16.149999999999999" customHeight="1" x14ac:dyDescent="0.2">
      <c r="A404" s="17"/>
      <c r="B404" s="431"/>
      <c r="C404" s="297"/>
      <c r="D404" s="297"/>
      <c r="E404" s="297"/>
      <c r="F404" s="297"/>
      <c r="G404" s="222" t="str">
        <f t="shared" si="20"/>
        <v/>
      </c>
      <c r="H404" s="17"/>
      <c r="I404" s="17"/>
      <c r="J404" s="242"/>
      <c r="L404" s="46">
        <f t="shared" si="18"/>
        <v>0</v>
      </c>
      <c r="M404" s="28">
        <f t="shared" si="19"/>
        <v>0</v>
      </c>
      <c r="Q404" s="142"/>
      <c r="R404" s="142"/>
      <c r="S404" s="142"/>
      <c r="T404" s="142"/>
      <c r="U404" s="142"/>
      <c r="V404" s="142"/>
      <c r="W404" s="142"/>
      <c r="X404" s="142"/>
    </row>
    <row r="405" spans="1:24" ht="16.149999999999999" customHeight="1" x14ac:dyDescent="0.2">
      <c r="A405" s="17"/>
      <c r="B405" s="431"/>
      <c r="C405" s="297"/>
      <c r="D405" s="297"/>
      <c r="E405" s="297"/>
      <c r="F405" s="297"/>
      <c r="G405" s="222" t="str">
        <f t="shared" si="20"/>
        <v/>
      </c>
      <c r="H405" s="17"/>
      <c r="I405" s="17"/>
      <c r="J405" s="242"/>
      <c r="L405" s="46">
        <f t="shared" si="18"/>
        <v>0</v>
      </c>
      <c r="M405" s="28">
        <f t="shared" si="19"/>
        <v>0</v>
      </c>
      <c r="Q405" s="142"/>
      <c r="R405" s="142"/>
      <c r="S405" s="142"/>
      <c r="T405" s="142"/>
      <c r="U405" s="142"/>
      <c r="V405" s="142"/>
      <c r="W405" s="142"/>
      <c r="X405" s="142"/>
    </row>
    <row r="406" spans="1:24" ht="16.149999999999999" customHeight="1" x14ac:dyDescent="0.2">
      <c r="A406" s="17"/>
      <c r="B406" s="431"/>
      <c r="C406" s="297"/>
      <c r="D406" s="297"/>
      <c r="E406" s="297"/>
      <c r="F406" s="297"/>
      <c r="G406" s="222" t="str">
        <f t="shared" si="20"/>
        <v/>
      </c>
      <c r="H406" s="17"/>
      <c r="I406" s="17"/>
      <c r="J406" s="242"/>
      <c r="L406" s="46">
        <f t="shared" si="18"/>
        <v>0</v>
      </c>
      <c r="M406" s="28">
        <f t="shared" si="19"/>
        <v>0</v>
      </c>
      <c r="Q406" s="142"/>
      <c r="R406" s="142"/>
      <c r="S406" s="142"/>
      <c r="T406" s="142"/>
      <c r="U406" s="142"/>
      <c r="V406" s="142"/>
      <c r="W406" s="142"/>
      <c r="X406" s="142"/>
    </row>
    <row r="407" spans="1:24" ht="16.149999999999999" customHeight="1" x14ac:dyDescent="0.2">
      <c r="A407" s="17"/>
      <c r="B407" s="431"/>
      <c r="C407" s="297"/>
      <c r="D407" s="297"/>
      <c r="E407" s="297"/>
      <c r="F407" s="297"/>
      <c r="G407" s="222" t="str">
        <f t="shared" si="20"/>
        <v/>
      </c>
      <c r="H407" s="17"/>
      <c r="I407" s="17"/>
      <c r="J407" s="242"/>
      <c r="L407" s="46">
        <f t="shared" si="18"/>
        <v>0</v>
      </c>
      <c r="M407" s="28">
        <f t="shared" si="19"/>
        <v>0</v>
      </c>
      <c r="Q407" s="142"/>
      <c r="R407" s="142"/>
      <c r="S407" s="142"/>
      <c r="T407" s="142"/>
      <c r="U407" s="142"/>
      <c r="V407" s="142"/>
      <c r="W407" s="142"/>
      <c r="X407" s="142"/>
    </row>
    <row r="408" spans="1:24" ht="16.149999999999999" customHeight="1" x14ac:dyDescent="0.2">
      <c r="A408" s="17"/>
      <c r="B408" s="431"/>
      <c r="C408" s="297"/>
      <c r="D408" s="297"/>
      <c r="E408" s="297"/>
      <c r="F408" s="297"/>
      <c r="G408" s="222" t="str">
        <f t="shared" si="20"/>
        <v/>
      </c>
      <c r="H408" s="17"/>
      <c r="I408" s="17"/>
      <c r="J408" s="242"/>
      <c r="L408" s="46">
        <f t="shared" si="18"/>
        <v>0</v>
      </c>
      <c r="M408" s="28">
        <f t="shared" si="19"/>
        <v>0</v>
      </c>
      <c r="Q408" s="142"/>
      <c r="R408" s="142"/>
      <c r="S408" s="142"/>
      <c r="T408" s="142"/>
      <c r="U408" s="142"/>
      <c r="V408" s="142"/>
      <c r="W408" s="142"/>
      <c r="X408" s="142"/>
    </row>
    <row r="409" spans="1:24" ht="16.149999999999999" customHeight="1" x14ac:dyDescent="0.2">
      <c r="A409" s="17"/>
      <c r="B409" s="431"/>
      <c r="C409" s="297"/>
      <c r="D409" s="297"/>
      <c r="E409" s="297"/>
      <c r="F409" s="297"/>
      <c r="G409" s="222" t="str">
        <f t="shared" si="20"/>
        <v/>
      </c>
      <c r="H409" s="17"/>
      <c r="I409" s="17"/>
      <c r="J409" s="242"/>
      <c r="L409" s="46">
        <f t="shared" si="18"/>
        <v>0</v>
      </c>
      <c r="M409" s="28">
        <f t="shared" si="19"/>
        <v>0</v>
      </c>
      <c r="Q409" s="142"/>
      <c r="R409" s="142"/>
      <c r="S409" s="142"/>
      <c r="T409" s="142"/>
      <c r="U409" s="142"/>
      <c r="V409" s="142"/>
      <c r="W409" s="142"/>
      <c r="X409" s="142"/>
    </row>
    <row r="410" spans="1:24" ht="16.149999999999999" customHeight="1" x14ac:dyDescent="0.2">
      <c r="A410" s="17"/>
      <c r="B410" s="431"/>
      <c r="C410" s="297"/>
      <c r="D410" s="297"/>
      <c r="E410" s="297"/>
      <c r="F410" s="297"/>
      <c r="G410" s="222" t="str">
        <f t="shared" si="20"/>
        <v/>
      </c>
      <c r="H410" s="17"/>
      <c r="I410" s="17"/>
      <c r="J410" s="242"/>
      <c r="L410" s="46">
        <f t="shared" si="18"/>
        <v>0</v>
      </c>
      <c r="M410" s="28">
        <f t="shared" si="19"/>
        <v>0</v>
      </c>
      <c r="Q410" s="142"/>
      <c r="R410" s="142"/>
      <c r="S410" s="142"/>
      <c r="T410" s="142"/>
      <c r="U410" s="142"/>
      <c r="V410" s="142"/>
      <c r="W410" s="142"/>
      <c r="X410" s="142"/>
    </row>
    <row r="411" spans="1:24" ht="16.149999999999999" customHeight="1" x14ac:dyDescent="0.2">
      <c r="A411" s="17"/>
      <c r="B411" s="431"/>
      <c r="C411" s="297"/>
      <c r="D411" s="297"/>
      <c r="E411" s="297"/>
      <c r="F411" s="297"/>
      <c r="G411" s="222" t="str">
        <f t="shared" si="20"/>
        <v/>
      </c>
      <c r="H411" s="17"/>
      <c r="I411" s="17"/>
      <c r="J411" s="242"/>
      <c r="L411" s="46">
        <f t="shared" si="18"/>
        <v>0</v>
      </c>
      <c r="M411" s="28">
        <f t="shared" si="19"/>
        <v>0</v>
      </c>
      <c r="Q411" s="142"/>
      <c r="R411" s="142"/>
      <c r="S411" s="142"/>
      <c r="T411" s="142"/>
      <c r="U411" s="142"/>
      <c r="V411" s="142"/>
      <c r="W411" s="142"/>
      <c r="X411" s="142"/>
    </row>
    <row r="412" spans="1:24" ht="16.149999999999999" customHeight="1" x14ac:dyDescent="0.2">
      <c r="A412" s="17"/>
      <c r="B412" s="431"/>
      <c r="C412" s="297"/>
      <c r="D412" s="297"/>
      <c r="E412" s="297"/>
      <c r="F412" s="297"/>
      <c r="G412" s="222" t="str">
        <f t="shared" si="20"/>
        <v/>
      </c>
      <c r="H412" s="17"/>
      <c r="I412" s="17"/>
      <c r="J412" s="242"/>
      <c r="L412" s="46">
        <f t="shared" si="18"/>
        <v>0</v>
      </c>
      <c r="M412" s="28">
        <f t="shared" si="19"/>
        <v>0</v>
      </c>
      <c r="Q412" s="142"/>
      <c r="R412" s="142"/>
      <c r="S412" s="142"/>
      <c r="T412" s="142"/>
      <c r="U412" s="142"/>
      <c r="V412" s="142"/>
      <c r="W412" s="142"/>
      <c r="X412" s="142"/>
    </row>
    <row r="413" spans="1:24" ht="16.149999999999999" customHeight="1" x14ac:dyDescent="0.2">
      <c r="A413" s="17"/>
      <c r="B413" s="431"/>
      <c r="C413" s="297"/>
      <c r="D413" s="297"/>
      <c r="E413" s="297"/>
      <c r="F413" s="297"/>
      <c r="G413" s="222" t="str">
        <f t="shared" si="20"/>
        <v/>
      </c>
      <c r="H413" s="17"/>
      <c r="I413" s="17"/>
      <c r="J413" s="242"/>
      <c r="L413" s="46">
        <f t="shared" si="18"/>
        <v>0</v>
      </c>
      <c r="M413" s="28">
        <f t="shared" si="19"/>
        <v>0</v>
      </c>
      <c r="Q413" s="142"/>
      <c r="R413" s="142"/>
      <c r="S413" s="142"/>
      <c r="T413" s="142"/>
      <c r="U413" s="142"/>
      <c r="V413" s="142"/>
      <c r="W413" s="142"/>
      <c r="X413" s="142"/>
    </row>
    <row r="414" spans="1:24" ht="16.149999999999999" customHeight="1" x14ac:dyDescent="0.2">
      <c r="A414" s="17"/>
      <c r="B414" s="431"/>
      <c r="C414" s="297"/>
      <c r="D414" s="297"/>
      <c r="E414" s="297"/>
      <c r="F414" s="297"/>
      <c r="G414" s="222" t="str">
        <f t="shared" si="20"/>
        <v/>
      </c>
      <c r="H414" s="17"/>
      <c r="I414" s="17"/>
      <c r="J414" s="242"/>
      <c r="L414" s="46">
        <f t="shared" si="18"/>
        <v>0</v>
      </c>
      <c r="M414" s="28">
        <f t="shared" si="19"/>
        <v>0</v>
      </c>
      <c r="Q414" s="142"/>
      <c r="R414" s="142"/>
      <c r="S414" s="142"/>
      <c r="T414" s="142"/>
      <c r="U414" s="142"/>
      <c r="V414" s="142"/>
      <c r="W414" s="142"/>
      <c r="X414" s="142"/>
    </row>
    <row r="415" spans="1:24" ht="16.149999999999999" customHeight="1" x14ac:dyDescent="0.2">
      <c r="A415" s="17"/>
      <c r="B415" s="431"/>
      <c r="C415" s="297"/>
      <c r="D415" s="297"/>
      <c r="E415" s="297"/>
      <c r="F415" s="297"/>
      <c r="G415" s="222" t="str">
        <f t="shared" si="20"/>
        <v/>
      </c>
      <c r="H415" s="17"/>
      <c r="I415" s="17"/>
      <c r="J415" s="242"/>
      <c r="L415" s="46">
        <f t="shared" si="18"/>
        <v>0</v>
      </c>
      <c r="M415" s="28">
        <f t="shared" si="19"/>
        <v>0</v>
      </c>
      <c r="Q415" s="142"/>
      <c r="R415" s="142"/>
      <c r="S415" s="142"/>
      <c r="T415" s="142"/>
      <c r="U415" s="142"/>
      <c r="V415" s="142"/>
      <c r="W415" s="142"/>
      <c r="X415" s="142"/>
    </row>
    <row r="416" spans="1:24" ht="16.149999999999999" customHeight="1" x14ac:dyDescent="0.2">
      <c r="A416" s="17"/>
      <c r="B416" s="431"/>
      <c r="C416" s="297"/>
      <c r="D416" s="297"/>
      <c r="E416" s="297"/>
      <c r="F416" s="297"/>
      <c r="G416" s="222" t="str">
        <f t="shared" si="20"/>
        <v/>
      </c>
      <c r="H416" s="17"/>
      <c r="I416" s="17"/>
      <c r="J416" s="242"/>
      <c r="L416" s="46">
        <f t="shared" si="18"/>
        <v>0</v>
      </c>
      <c r="M416" s="28">
        <f t="shared" si="19"/>
        <v>0</v>
      </c>
      <c r="Q416" s="142"/>
      <c r="R416" s="142"/>
      <c r="S416" s="142"/>
      <c r="T416" s="142"/>
      <c r="U416" s="142"/>
      <c r="V416" s="142"/>
      <c r="W416" s="142"/>
      <c r="X416" s="142"/>
    </row>
    <row r="417" spans="1:24" ht="16.149999999999999" customHeight="1" x14ac:dyDescent="0.2">
      <c r="A417" s="17"/>
      <c r="B417" s="431"/>
      <c r="C417" s="297"/>
      <c r="D417" s="297"/>
      <c r="E417" s="297"/>
      <c r="F417" s="297"/>
      <c r="G417" s="222" t="str">
        <f t="shared" si="20"/>
        <v/>
      </c>
      <c r="H417" s="17"/>
      <c r="I417" s="17"/>
      <c r="J417" s="242"/>
      <c r="L417" s="46">
        <f t="shared" si="18"/>
        <v>0</v>
      </c>
      <c r="M417" s="28">
        <f t="shared" si="19"/>
        <v>0</v>
      </c>
      <c r="Q417" s="142"/>
      <c r="R417" s="142"/>
      <c r="S417" s="142"/>
      <c r="T417" s="142"/>
      <c r="U417" s="142"/>
      <c r="V417" s="142"/>
      <c r="W417" s="142"/>
      <c r="X417" s="142"/>
    </row>
    <row r="418" spans="1:24" ht="16.149999999999999" customHeight="1" x14ac:dyDescent="0.2">
      <c r="A418" s="17"/>
      <c r="B418" s="431"/>
      <c r="C418" s="297"/>
      <c r="D418" s="297"/>
      <c r="E418" s="297"/>
      <c r="F418" s="297"/>
      <c r="G418" s="222" t="str">
        <f t="shared" si="20"/>
        <v/>
      </c>
      <c r="H418" s="17"/>
      <c r="I418" s="17"/>
      <c r="J418" s="242"/>
      <c r="L418" s="46">
        <f t="shared" si="18"/>
        <v>0</v>
      </c>
      <c r="M418" s="28">
        <f t="shared" si="19"/>
        <v>0</v>
      </c>
      <c r="Q418" s="142"/>
      <c r="R418" s="142"/>
      <c r="S418" s="142"/>
      <c r="T418" s="142"/>
      <c r="U418" s="142"/>
      <c r="V418" s="142"/>
      <c r="W418" s="142"/>
      <c r="X418" s="142"/>
    </row>
    <row r="419" spans="1:24" ht="16.149999999999999" customHeight="1" x14ac:dyDescent="0.2">
      <c r="A419" s="17"/>
      <c r="B419" s="431"/>
      <c r="C419" s="297"/>
      <c r="D419" s="297"/>
      <c r="E419" s="297"/>
      <c r="F419" s="297"/>
      <c r="G419" s="222" t="str">
        <f t="shared" si="20"/>
        <v/>
      </c>
      <c r="H419" s="17"/>
      <c r="I419" s="17"/>
      <c r="J419" s="242"/>
      <c r="L419" s="46">
        <f t="shared" si="18"/>
        <v>0</v>
      </c>
      <c r="M419" s="28">
        <f t="shared" si="19"/>
        <v>0</v>
      </c>
      <c r="Q419" s="142"/>
      <c r="R419" s="142"/>
      <c r="S419" s="142"/>
      <c r="T419" s="142"/>
      <c r="U419" s="142"/>
      <c r="V419" s="142"/>
      <c r="W419" s="142"/>
      <c r="X419" s="142"/>
    </row>
    <row r="420" spans="1:24" ht="16.149999999999999" customHeight="1" x14ac:dyDescent="0.2">
      <c r="A420" s="17"/>
      <c r="B420" s="431"/>
      <c r="C420" s="297"/>
      <c r="D420" s="297"/>
      <c r="E420" s="297"/>
      <c r="F420" s="297"/>
      <c r="G420" s="222" t="str">
        <f t="shared" si="20"/>
        <v/>
      </c>
      <c r="H420" s="17"/>
      <c r="I420" s="17"/>
      <c r="J420" s="242"/>
      <c r="L420" s="46">
        <f t="shared" si="18"/>
        <v>0</v>
      </c>
      <c r="M420" s="28">
        <f t="shared" si="19"/>
        <v>0</v>
      </c>
      <c r="Q420" s="142"/>
      <c r="R420" s="142"/>
      <c r="S420" s="142"/>
      <c r="T420" s="142"/>
      <c r="U420" s="142"/>
      <c r="V420" s="142"/>
      <c r="W420" s="142"/>
      <c r="X420" s="142"/>
    </row>
    <row r="421" spans="1:24" ht="16.149999999999999" customHeight="1" x14ac:dyDescent="0.2">
      <c r="A421" s="17"/>
      <c r="B421" s="431"/>
      <c r="C421" s="297"/>
      <c r="D421" s="297"/>
      <c r="E421" s="297"/>
      <c r="F421" s="297"/>
      <c r="G421" s="222" t="str">
        <f t="shared" si="20"/>
        <v/>
      </c>
      <c r="H421" s="17"/>
      <c r="I421" s="17"/>
      <c r="J421" s="242"/>
      <c r="L421" s="46">
        <f t="shared" si="18"/>
        <v>0</v>
      </c>
      <c r="M421" s="28">
        <f t="shared" si="19"/>
        <v>0</v>
      </c>
      <c r="Q421" s="142"/>
      <c r="R421" s="142"/>
      <c r="S421" s="142"/>
      <c r="T421" s="142"/>
      <c r="U421" s="142"/>
      <c r="V421" s="142"/>
      <c r="W421" s="142"/>
      <c r="X421" s="142"/>
    </row>
    <row r="422" spans="1:24" ht="16.149999999999999" customHeight="1" x14ac:dyDescent="0.2">
      <c r="A422" s="17"/>
      <c r="B422" s="585"/>
      <c r="C422" s="313"/>
      <c r="D422" s="313"/>
      <c r="E422" s="313"/>
      <c r="F422" s="313"/>
      <c r="G422" s="222" t="str">
        <f t="shared" si="20"/>
        <v/>
      </c>
      <c r="H422" s="17"/>
      <c r="I422" s="17"/>
      <c r="J422" s="242"/>
      <c r="L422" s="46">
        <f t="shared" si="18"/>
        <v>0</v>
      </c>
      <c r="M422" s="28">
        <f t="shared" si="19"/>
        <v>0</v>
      </c>
      <c r="Q422" s="142"/>
      <c r="R422" s="142"/>
      <c r="S422" s="142"/>
      <c r="T422" s="142"/>
      <c r="U422" s="142"/>
      <c r="V422" s="142"/>
      <c r="W422" s="142"/>
      <c r="X422" s="142"/>
    </row>
    <row r="423" spans="1:24" ht="16.149999999999999" customHeight="1" x14ac:dyDescent="0.2">
      <c r="A423" s="17"/>
      <c r="B423" s="586" t="s">
        <v>5590</v>
      </c>
      <c r="C423" s="587">
        <f>SUM(C397:C422)</f>
      </c>
      <c r="D423" s="587">
        <f>SUM(D397:D422)</f>
      </c>
      <c r="E423" s="587">
        <f>SUM(E397:E422)</f>
      </c>
      <c r="F423" s="587">
        <f>SUM(F397:F422)</f>
      </c>
      <c r="G423" s="222" t="str">
        <f>IF(D423&lt;&gt;E390,"Check Selling Price !","")</f>
        <v/>
      </c>
      <c r="H423" s="17"/>
      <c r="I423" s="17"/>
      <c r="J423" s="242"/>
      <c r="M423" s="28">
        <f t="shared" si="19"/>
        <v>0</v>
      </c>
      <c r="Q423" s="142"/>
      <c r="R423" s="142"/>
      <c r="S423" s="142"/>
      <c r="T423" s="142"/>
      <c r="U423" s="142"/>
      <c r="V423" s="142"/>
      <c r="W423" s="142"/>
      <c r="X423" s="142"/>
    </row>
    <row r="424" spans="1:24" ht="16.149999999999999" customHeight="1" x14ac:dyDescent="0.2">
      <c r="A424" s="17"/>
      <c r="B424" s="4648" t="s">
        <v>1478</v>
      </c>
      <c r="C424" s="4648"/>
      <c r="D424" s="4648"/>
      <c r="E424" s="4648"/>
      <c r="F424" s="588">
        <f>E392</f>
      </c>
      <c r="G424" s="17"/>
      <c r="H424" s="17"/>
      <c r="I424" s="17"/>
      <c r="J424" s="242"/>
      <c r="M424" s="167">
        <f>SUM(M371:M423)</f>
      </c>
      <c r="Q424" s="142"/>
      <c r="R424" s="142"/>
      <c r="S424" s="142"/>
      <c r="T424" s="142"/>
      <c r="U424" s="142"/>
      <c r="V424" s="142"/>
      <c r="W424" s="142"/>
      <c r="X424" s="142"/>
    </row>
    <row r="425" spans="1:24" ht="16.149999999999999" customHeight="1" x14ac:dyDescent="0.2">
      <c r="A425" s="17"/>
      <c r="B425" s="589"/>
      <c r="C425" s="589"/>
      <c r="D425" s="589"/>
      <c r="E425" s="589"/>
      <c r="F425" s="310"/>
      <c r="G425" s="17"/>
      <c r="H425" s="279" t="str">
        <f>ip</f>
      </c>
      <c r="I425" s="279" t="s">
        <v>2372</v>
      </c>
      <c r="J425" s="242"/>
      <c r="Q425" s="142"/>
      <c r="R425" s="142"/>
      <c r="S425" s="142"/>
      <c r="T425" s="142"/>
      <c r="U425" s="142"/>
      <c r="V425" s="142"/>
      <c r="W425" s="142"/>
      <c r="X425" s="142"/>
    </row>
    <row r="426" spans="1:24" ht="16.149999999999999" customHeight="1" x14ac:dyDescent="0.2">
      <c r="A426" s="17"/>
      <c r="B426" s="4650" t="s">
        <v>5410</v>
      </c>
      <c r="C426" s="4650"/>
      <c r="D426" s="4650"/>
      <c r="E426" s="4650"/>
      <c r="F426" s="4650"/>
      <c r="G426" s="17"/>
      <c r="H426" s="590" t="str">
        <f>IF($H388=ip,K426,"")</f>
        <v/>
      </c>
      <c r="I426" s="590" t="str">
        <f>IF($H388=fi,K426,"")</f>
        <v/>
      </c>
      <c r="J426" s="242"/>
      <c r="K426" s="236">
        <f>F423-F424</f>
      </c>
      <c r="Q426" s="142"/>
      <c r="R426" s="142"/>
      <c r="S426" s="142"/>
      <c r="T426" s="142"/>
      <c r="U426" s="142"/>
      <c r="V426" s="142"/>
      <c r="W426" s="142"/>
      <c r="X426" s="142"/>
    </row>
    <row r="427" spans="1:24" ht="16.149999999999999" customHeight="1" x14ac:dyDescent="0.2">
      <c r="A427" s="17"/>
      <c r="B427" s="17" t="str">
        <f>_xlfn.SINGLE(MTCA)</f>
      </c>
      <c r="C427" s="17"/>
      <c r="D427" s="17" t="str">
        <f>ver</f>
        <v>TA2_e-CO_2025_Ver 1.1</v>
      </c>
      <c r="E427" s="17"/>
      <c r="F427" s="17"/>
      <c r="G427" s="17"/>
      <c r="H427" s="17"/>
      <c r="I427" s="536" t="s">
        <v>9867</v>
      </c>
      <c r="J427" s="242"/>
      <c r="Q427" s="142"/>
      <c r="R427" s="142"/>
      <c r="S427" s="142"/>
      <c r="T427" s="142"/>
      <c r="U427" s="142"/>
      <c r="V427" s="142"/>
      <c r="W427" s="142"/>
      <c r="X427" s="142"/>
    </row>
    <row r="428" spans="1:24" ht="16.149999999999999" customHeight="1" x14ac:dyDescent="0.2">
      <c r="A428" s="17"/>
      <c r="B428" s="17"/>
      <c r="C428" s="17"/>
      <c r="D428" s="17"/>
      <c r="E428" s="17"/>
      <c r="F428" s="17"/>
      <c r="G428" s="17"/>
      <c r="H428" s="17"/>
      <c r="I428" s="536"/>
      <c r="J428" s="242"/>
      <c r="Q428" s="142"/>
      <c r="R428" s="142"/>
      <c r="S428" s="142"/>
      <c r="T428" s="142"/>
      <c r="U428" s="142"/>
      <c r="V428" s="142"/>
      <c r="W428" s="142"/>
      <c r="X428" s="142"/>
    </row>
    <row r="429" spans="1:24" ht="16.149999999999999" customHeight="1" x14ac:dyDescent="0.2">
      <c r="A429" s="17"/>
      <c r="B429" s="17"/>
      <c r="C429" s="17"/>
      <c r="D429" s="17"/>
      <c r="E429" s="17"/>
      <c r="F429" s="17"/>
      <c r="G429" s="17"/>
      <c r="H429" s="17"/>
      <c r="I429" s="536"/>
      <c r="J429" s="242"/>
      <c r="Q429" s="142"/>
      <c r="R429" s="142"/>
      <c r="S429" s="142"/>
      <c r="T429" s="142"/>
      <c r="U429" s="142"/>
      <c r="V429" s="142"/>
      <c r="W429" s="142"/>
      <c r="X429" s="142"/>
    </row>
    <row r="430" spans="1:24" ht="16.149999999999999" customHeight="1" x14ac:dyDescent="0.2">
      <c r="A430" s="781">
        <v>8</v>
      </c>
      <c r="B430" s="4645" t="s">
        <v>5196</v>
      </c>
      <c r="C430" s="4645"/>
      <c r="D430" s="4645"/>
      <c r="E430" s="4645"/>
      <c r="F430" s="4645"/>
      <c r="G430" s="4645"/>
      <c r="H430" s="4645"/>
      <c r="I430" s="4645"/>
      <c r="J430" s="242"/>
      <c r="K430" s="62"/>
      <c r="L430" s="62"/>
      <c r="Q430" s="142"/>
      <c r="R430" s="142"/>
      <c r="S430" s="142"/>
      <c r="T430" s="142"/>
      <c r="U430" s="142"/>
      <c r="V430" s="142"/>
      <c r="W430" s="142"/>
      <c r="X430" s="142"/>
    </row>
    <row r="431" spans="1:24" ht="6" customHeight="1" x14ac:dyDescent="0.2">
      <c r="A431" s="242"/>
      <c r="B431" s="242"/>
      <c r="C431" s="242"/>
      <c r="D431" s="242"/>
      <c r="E431" s="242"/>
      <c r="F431" s="242"/>
      <c r="G431" s="242"/>
      <c r="H431" s="242"/>
      <c r="I431" s="242"/>
      <c r="J431" s="242"/>
      <c r="K431" s="62"/>
      <c r="L431" s="62"/>
      <c r="Q431" s="142"/>
      <c r="R431" s="142"/>
      <c r="S431" s="142"/>
      <c r="T431" s="142"/>
      <c r="U431" s="142"/>
      <c r="V431" s="142"/>
      <c r="W431" s="142"/>
      <c r="X431" s="142"/>
    </row>
    <row r="432" spans="1:24" s="142" customFormat="1" ht="14.25" x14ac:dyDescent="0.2">
      <c r="A432" s="242"/>
      <c r="B432" s="3574" t="s">
        <v>9959</v>
      </c>
      <c r="C432" s="242"/>
      <c r="D432" s="242"/>
      <c r="E432" s="242"/>
      <c r="F432" s="569"/>
      <c r="G432" s="572" t="str">
        <f>IF(L456=0,"",IF(AND($P$1="n",F432&lt;&gt;""),"No details required!",IF(AND($P$1="y",ISBLANK(F432)),"Required !","")))</f>
        <v/>
      </c>
      <c r="H432" s="242"/>
      <c r="I432" s="242"/>
      <c r="J432" s="242"/>
      <c r="L432" s="142">
        <f>IF(ISBLANK(F432),0,1)</f>
      </c>
      <c r="M432" s="167">
        <f>IF(G432=$M$1,0,1)</f>
      </c>
    </row>
    <row r="433" spans="1:24" s="142" customFormat="1" ht="6" customHeight="1" x14ac:dyDescent="0.2">
      <c r="A433" s="242"/>
      <c r="B433" s="3574"/>
      <c r="C433" s="242"/>
      <c r="D433" s="242"/>
      <c r="E433" s="242"/>
      <c r="F433" s="242"/>
      <c r="G433" s="572"/>
      <c r="H433" s="242"/>
      <c r="I433" s="242"/>
      <c r="J433" s="242"/>
      <c r="M433" s="167"/>
    </row>
    <row r="434" spans="1:24" ht="14.25" customHeight="1" x14ac:dyDescent="0.2">
      <c r="A434" s="242"/>
      <c r="B434" s="4641" t="s">
        <v>10035</v>
      </c>
      <c r="C434" s="4641"/>
      <c r="D434" s="4641"/>
      <c r="E434" s="4641"/>
      <c r="F434" s="569"/>
      <c r="G434" s="572" t="str">
        <f>IF(L454=0,"",IF(ISBLANK(F434),"Required!",IF(AND($P$3="n",F434="yes"),"Check Pg2 Q32!","")))</f>
        <v/>
      </c>
      <c r="H434" s="242"/>
      <c r="I434" s="242"/>
      <c r="J434" s="242"/>
      <c r="K434" s="62"/>
      <c r="L434" s="142">
        <f>IF(ISBLANK(F434),0,1)</f>
      </c>
      <c r="M434" s="167">
        <f>IF(G434=$M$1,0,1)</f>
      </c>
      <c r="N434" s="142">
        <f>IF(AND($P$3="n",F434="yes"),1,0)</f>
      </c>
      <c r="Q434" s="142"/>
      <c r="R434" s="142"/>
      <c r="S434" s="142"/>
      <c r="T434" s="142"/>
      <c r="U434" s="142"/>
      <c r="V434" s="142"/>
      <c r="W434" s="142"/>
      <c r="X434" s="142"/>
    </row>
    <row r="435" spans="1:24" ht="12.75" x14ac:dyDescent="0.2">
      <c r="A435" s="242"/>
      <c r="B435" s="4642" t="s">
        <v>10036</v>
      </c>
      <c r="C435" s="4642"/>
      <c r="D435" s="4642"/>
      <c r="E435" s="4642"/>
      <c r="F435" s="242"/>
      <c r="G435" s="242"/>
      <c r="H435" s="242"/>
      <c r="I435" s="242"/>
      <c r="J435" s="242"/>
      <c r="K435" s="62"/>
      <c r="L435" s="62"/>
      <c r="Q435" s="142"/>
      <c r="R435" s="142"/>
      <c r="S435" s="142"/>
      <c r="T435" s="142"/>
      <c r="U435" s="142"/>
      <c r="V435" s="142"/>
      <c r="W435" s="142"/>
      <c r="X435" s="142"/>
    </row>
    <row r="436" spans="1:24" s="142" customFormat="1" ht="3.75" customHeight="1" x14ac:dyDescent="0.2">
      <c r="A436" s="242"/>
      <c r="B436" s="3574"/>
      <c r="C436" s="242"/>
      <c r="D436" s="242"/>
      <c r="E436" s="242"/>
      <c r="F436" s="242"/>
      <c r="G436" s="572"/>
      <c r="H436" s="242"/>
      <c r="I436" s="242"/>
      <c r="J436" s="242"/>
      <c r="M436" s="167"/>
    </row>
    <row r="437" spans="1:24" s="142" customFormat="1" ht="12.75" hidden="1" x14ac:dyDescent="0.2">
      <c r="A437" s="242"/>
      <c r="B437" s="3574"/>
      <c r="C437" s="242"/>
      <c r="D437" s="242"/>
      <c r="E437" s="242"/>
      <c r="F437" s="242"/>
      <c r="G437" s="572"/>
      <c r="H437" s="242"/>
      <c r="I437" s="242"/>
      <c r="J437" s="242"/>
      <c r="M437" s="167"/>
    </row>
    <row r="438" spans="1:24" s="142" customFormat="1" ht="12.75" hidden="1" x14ac:dyDescent="0.2">
      <c r="A438" s="242"/>
      <c r="B438" s="3574"/>
      <c r="C438" s="242"/>
      <c r="D438" s="242"/>
      <c r="E438" s="242"/>
      <c r="F438" s="242"/>
      <c r="G438" s="572"/>
      <c r="H438" s="242"/>
      <c r="I438" s="242"/>
      <c r="J438" s="242"/>
      <c r="M438" s="167"/>
    </row>
    <row r="439" spans="1:24" s="142" customFormat="1" ht="12.75" hidden="1" x14ac:dyDescent="0.2">
      <c r="A439" s="242"/>
      <c r="B439" s="3574"/>
      <c r="C439" s="242"/>
      <c r="D439" s="242"/>
      <c r="E439" s="242"/>
      <c r="F439" s="242"/>
      <c r="G439" s="572"/>
      <c r="H439" s="242"/>
      <c r="I439" s="242"/>
      <c r="J439" s="242"/>
      <c r="M439" s="167"/>
    </row>
    <row r="440" spans="1:24" s="142" customFormat="1" ht="12.75" hidden="1" x14ac:dyDescent="0.2">
      <c r="A440" s="242"/>
      <c r="B440" s="3574"/>
      <c r="C440" s="242"/>
      <c r="D440" s="242"/>
      <c r="E440" s="242"/>
      <c r="F440" s="242"/>
      <c r="G440" s="572"/>
      <c r="H440" s="242"/>
      <c r="I440" s="242"/>
      <c r="J440" s="242"/>
      <c r="M440" s="167"/>
    </row>
    <row r="441" spans="1:24" s="142" customFormat="1" ht="12.75" hidden="1" x14ac:dyDescent="0.2">
      <c r="A441" s="242"/>
      <c r="B441" s="3574"/>
      <c r="C441" s="242"/>
      <c r="D441" s="242"/>
      <c r="E441" s="242"/>
      <c r="F441" s="242"/>
      <c r="G441" s="572"/>
      <c r="H441" s="242"/>
      <c r="I441" s="242"/>
      <c r="J441" s="242"/>
      <c r="M441" s="167"/>
    </row>
    <row r="442" spans="1:24" s="142" customFormat="1" ht="12.75" hidden="1" x14ac:dyDescent="0.2">
      <c r="A442" s="242"/>
      <c r="B442" s="3574"/>
      <c r="C442" s="242"/>
      <c r="D442" s="242"/>
      <c r="E442" s="242"/>
      <c r="F442" s="242"/>
      <c r="G442" s="572"/>
      <c r="H442" s="242"/>
      <c r="I442" s="242"/>
      <c r="J442" s="242"/>
      <c r="M442" s="167"/>
    </row>
    <row r="443" spans="1:24" s="142" customFormat="1" ht="12.75" hidden="1" x14ac:dyDescent="0.2">
      <c r="A443" s="242"/>
      <c r="B443" s="3574"/>
      <c r="C443" s="242"/>
      <c r="D443" s="242"/>
      <c r="E443" s="242"/>
      <c r="F443" s="242"/>
      <c r="G443" s="572"/>
      <c r="H443" s="242"/>
      <c r="I443" s="242"/>
      <c r="J443" s="242"/>
      <c r="M443" s="167"/>
    </row>
    <row r="444" spans="1:24" s="142" customFormat="1" ht="12.75" hidden="1" x14ac:dyDescent="0.2">
      <c r="A444" s="242"/>
      <c r="B444" s="3574"/>
      <c r="C444" s="242"/>
      <c r="D444" s="242"/>
      <c r="E444" s="242"/>
      <c r="F444" s="242"/>
      <c r="G444" s="572"/>
      <c r="H444" s="242"/>
      <c r="I444" s="242"/>
      <c r="J444" s="242"/>
      <c r="M444" s="167"/>
    </row>
    <row r="445" spans="1:24" ht="12.75" hidden="1" x14ac:dyDescent="0.2">
      <c r="A445" s="242"/>
      <c r="B445" s="242"/>
      <c r="C445" s="242"/>
      <c r="D445" s="242"/>
      <c r="E445" s="242"/>
      <c r="F445" s="242"/>
      <c r="G445" s="242"/>
      <c r="H445" s="242"/>
      <c r="I445" s="242"/>
      <c r="J445" s="242"/>
      <c r="K445" s="62"/>
      <c r="L445" s="62"/>
      <c r="Q445" s="142"/>
      <c r="R445" s="142"/>
      <c r="S445" s="142"/>
      <c r="T445" s="142"/>
      <c r="U445" s="142"/>
      <c r="V445" s="142"/>
      <c r="W445" s="142"/>
      <c r="X445" s="142"/>
    </row>
    <row r="446" spans="1:24" ht="16.149999999999999" customHeight="1" x14ac:dyDescent="0.2">
      <c r="A446" s="17"/>
      <c r="B446" s="564" t="str">
        <f>IF(N447=1,"Details of property deemed to be transferred ","Details of property sold")</f>
      </c>
      <c r="C446" s="564"/>
      <c r="D446" s="564"/>
      <c r="E446" s="20"/>
      <c r="F446" s="20"/>
      <c r="G446" s="20"/>
      <c r="H446" s="20"/>
      <c r="I446" s="20"/>
      <c r="J446" s="242"/>
      <c r="Q446" s="142"/>
      <c r="R446" s="142"/>
      <c r="S446" s="142"/>
      <c r="T446" s="142"/>
      <c r="U446" s="142"/>
      <c r="V446" s="142"/>
      <c r="W446" s="142"/>
      <c r="X446" s="142"/>
    </row>
    <row r="447" spans="1:24" ht="16.149999999999999" customHeight="1" x14ac:dyDescent="0.2">
      <c r="A447" s="17"/>
      <c r="B447" s="565" t="s">
        <v>3331</v>
      </c>
      <c r="C447" s="565"/>
      <c r="D447" s="566" t="str">
        <f>IF(L456=0,"",IF(ISBLANK(E447),"Required!",""))</f>
        <v/>
      </c>
      <c r="E447" s="4646"/>
      <c r="F447" s="4646"/>
      <c r="G447" s="4646"/>
      <c r="H447" s="4646"/>
      <c r="I447" s="4646"/>
      <c r="J447" s="242"/>
      <c r="L447" s="46">
        <f>IF(ISBLANK(E447),0,1)</f>
      </c>
      <c r="M447" s="167">
        <f>IF(D447=$M$1,0,1)</f>
      </c>
      <c r="N447" s="142">
        <f>IF(AND(F434="yes",$P$3="y"),1,0)</f>
      </c>
      <c r="Q447" s="142"/>
      <c r="R447" s="142"/>
      <c r="S447" s="142"/>
      <c r="T447" s="142"/>
      <c r="U447" s="142"/>
      <c r="V447" s="142"/>
      <c r="W447" s="142"/>
      <c r="X447" s="142"/>
    </row>
    <row r="448" spans="1:24" ht="6" customHeight="1" x14ac:dyDescent="0.2">
      <c r="A448" s="17"/>
      <c r="B448" s="565"/>
      <c r="C448" s="565"/>
      <c r="D448" s="565"/>
      <c r="E448" s="185"/>
      <c r="F448" s="185"/>
      <c r="G448" s="185"/>
      <c r="H448" s="185"/>
      <c r="I448" s="185"/>
      <c r="J448" s="242"/>
      <c r="M448" s="28"/>
      <c r="Q448" s="142"/>
      <c r="R448" s="142"/>
      <c r="S448" s="142"/>
      <c r="T448" s="142"/>
      <c r="U448" s="142"/>
      <c r="V448" s="142"/>
      <c r="W448" s="142"/>
      <c r="X448" s="142"/>
    </row>
    <row r="449" spans="1:24" ht="16.149999999999999" customHeight="1" x14ac:dyDescent="0.2">
      <c r="A449" s="17"/>
      <c r="B449" s="567" t="str">
        <f>IF(N447=1,"Year of transfer [Basis Year]","Year of sale [Basis Year]")</f>
      </c>
      <c r="C449" s="567"/>
      <c r="D449" s="566" t="str">
        <f>IF(L456=0,"",IF(ISBLANK(E449),"Required!",""))</f>
        <v/>
      </c>
      <c r="E449" s="568"/>
      <c r="F449" s="4643" t="s">
        <v>3332</v>
      </c>
      <c r="G449" s="4644"/>
      <c r="H449" s="569"/>
      <c r="I449" s="570" t="str">
        <f>IF(L456=0,"",IF(ISBLANK(H449),"A/c ?",""))</f>
        <v/>
      </c>
      <c r="J449" s="242"/>
      <c r="L449" s="46">
        <f>IF(ISBLANK(E449),0,1)</f>
      </c>
      <c r="M449" s="28">
        <f>IF(I449=$M$1,0,1)</f>
      </c>
      <c r="Q449" s="142"/>
      <c r="R449" s="142"/>
      <c r="S449" s="142"/>
      <c r="T449" s="142"/>
      <c r="U449" s="142"/>
      <c r="V449" s="142"/>
      <c r="W449" s="142"/>
      <c r="X449" s="142"/>
    </row>
    <row r="450" spans="1:24" ht="6" customHeight="1" x14ac:dyDescent="0.2">
      <c r="A450" s="17"/>
      <c r="B450" s="565"/>
      <c r="C450" s="565"/>
      <c r="D450" s="565"/>
      <c r="E450" s="20"/>
      <c r="F450" s="20"/>
      <c r="G450" s="20"/>
      <c r="H450" s="20"/>
      <c r="I450" s="20"/>
      <c r="J450" s="242"/>
      <c r="L450" s="46">
        <f>IF(ISBLANK(H449),0,1)</f>
      </c>
      <c r="M450" s="167">
        <f>IF(D449=$M$1,0,1)</f>
      </c>
      <c r="Q450" s="142"/>
      <c r="R450" s="142"/>
      <c r="S450" s="142"/>
      <c r="T450" s="142"/>
      <c r="U450" s="142"/>
      <c r="V450" s="142"/>
      <c r="W450" s="142"/>
      <c r="X450" s="142"/>
    </row>
    <row r="451" spans="1:24" ht="16.149999999999999" customHeight="1" x14ac:dyDescent="0.2">
      <c r="A451" s="17"/>
      <c r="B451" s="564" t="str">
        <f>IF(N447=1,"Market value of property","Selling price of property")</f>
      </c>
      <c r="C451" s="564"/>
      <c r="D451" s="566" t="str">
        <f>IF(L456=0,"",IF(ISBLANK(E451),"Required!",""))</f>
        <v/>
      </c>
      <c r="E451" s="571"/>
      <c r="F451" s="20"/>
      <c r="G451" s="573"/>
      <c r="H451" s="574"/>
      <c r="I451" s="20"/>
      <c r="J451" s="242"/>
      <c r="L451" s="46">
        <f>IF(ISBLANK(E451),0,1)</f>
      </c>
      <c r="M451" s="28">
        <f>IF(D451=$M$1,0,1)</f>
      </c>
      <c r="Q451" s="142"/>
      <c r="R451" s="142"/>
      <c r="S451" s="142"/>
      <c r="T451" s="142"/>
      <c r="U451" s="142"/>
      <c r="V451" s="142"/>
      <c r="W451" s="142"/>
      <c r="X451" s="142"/>
    </row>
    <row r="452" spans="1:24" ht="6" customHeight="1" x14ac:dyDescent="0.2">
      <c r="A452" s="17"/>
      <c r="B452" s="565"/>
      <c r="C452" s="565"/>
      <c r="D452" s="565"/>
      <c r="E452" s="20"/>
      <c r="F452" s="20"/>
      <c r="G452" s="573"/>
      <c r="H452" s="574"/>
      <c r="I452" s="20"/>
      <c r="J452" s="242"/>
      <c r="M452" s="28"/>
      <c r="Q452" s="142"/>
      <c r="R452" s="142"/>
      <c r="S452" s="142"/>
      <c r="T452" s="142"/>
      <c r="U452" s="142"/>
      <c r="V452" s="142"/>
      <c r="W452" s="142"/>
      <c r="X452" s="142"/>
    </row>
    <row r="453" spans="1:24" ht="16.149999999999999" customHeight="1" x14ac:dyDescent="0.2">
      <c r="A453" s="17"/>
      <c r="B453" s="564" t="s">
        <v>3333</v>
      </c>
      <c r="C453" s="564"/>
      <c r="D453" s="566" t="str">
        <f>IF(N454=1,"Delete!","")</f>
        <v/>
      </c>
      <c r="E453" s="571"/>
      <c r="F453" s="20"/>
      <c r="G453" s="573" t="s">
        <v>3213</v>
      </c>
      <c r="H453" s="575"/>
      <c r="I453" s="570" t="str">
        <f>IF(L456=0,"",IF(AND(N447=1,H453&lt;&gt;""),"Delete!",IF(N447=1,"",IF(ISBLANK(H453),"Date ?",""))))</f>
        <v/>
      </c>
      <c r="J453" s="242"/>
      <c r="L453" s="46">
        <f>IF(ISBLANK(E453),0,1)</f>
      </c>
      <c r="M453" s="142">
        <f>IF(I453=$M$1,0,1)</f>
      </c>
      <c r="N453" s="142">
        <f>IF(AND(N447=1,H453&lt;&gt;""),1,0)</f>
      </c>
      <c r="Q453" s="142"/>
      <c r="R453" s="142"/>
      <c r="S453" s="142"/>
      <c r="T453" s="142"/>
      <c r="U453" s="142"/>
      <c r="V453" s="142"/>
      <c r="W453" s="142"/>
      <c r="X453" s="142"/>
    </row>
    <row r="454" spans="1:24" ht="6" customHeight="1" x14ac:dyDescent="0.2">
      <c r="A454" s="17"/>
      <c r="B454" s="565"/>
      <c r="C454" s="565"/>
      <c r="D454" s="565"/>
      <c r="E454" s="576"/>
      <c r="F454" s="20"/>
      <c r="G454" s="573"/>
      <c r="H454" s="574"/>
      <c r="I454" s="20"/>
      <c r="J454" s="242"/>
      <c r="L454" s="142">
        <f>IF(ISBLANK(H453),0,1)</f>
      </c>
      <c r="M454" s="142">
        <f>IF(D453=$M$1,0,1)</f>
      </c>
      <c r="N454" s="142">
        <f>IF(AND(N447=1,E453&lt;&gt;0),1,0)</f>
      </c>
      <c r="Q454" s="142"/>
      <c r="R454" s="142"/>
      <c r="S454" s="142"/>
      <c r="T454" s="142"/>
      <c r="U454" s="142"/>
      <c r="V454" s="142"/>
      <c r="W454" s="142"/>
      <c r="X454" s="142"/>
    </row>
    <row r="455" spans="1:24" ht="16.149999999999999" customHeight="1" x14ac:dyDescent="0.2">
      <c r="A455" s="17"/>
      <c r="B455" s="4647" t="s">
        <v>4245</v>
      </c>
      <c r="C455" s="4647"/>
      <c r="D455" s="4647"/>
      <c r="E455" s="4649" t="s">
        <v>1511</v>
      </c>
      <c r="F455" s="4649"/>
      <c r="G455" s="577"/>
      <c r="H455" s="574"/>
      <c r="I455" s="20"/>
      <c r="J455" s="242"/>
      <c r="M455" s="28">
        <f>IF(G455=$M$1,0,1)</f>
      </c>
      <c r="Q455" s="142"/>
      <c r="R455" s="142"/>
      <c r="S455" s="142"/>
      <c r="T455" s="142"/>
      <c r="U455" s="142"/>
      <c r="V455" s="142"/>
      <c r="W455" s="142"/>
      <c r="X455" s="142"/>
    </row>
    <row r="456" spans="1:24" ht="6" customHeight="1" x14ac:dyDescent="0.2">
      <c r="A456" s="17"/>
      <c r="B456" s="17"/>
      <c r="C456" s="17"/>
      <c r="D456" s="578"/>
      <c r="E456" s="579"/>
      <c r="F456" s="17"/>
      <c r="G456" s="580"/>
      <c r="H456" s="578"/>
      <c r="I456" s="17"/>
      <c r="J456" s="242"/>
      <c r="L456" s="176">
        <f>SUM(L432:L455)</f>
      </c>
      <c r="M456" s="28"/>
      <c r="Q456" s="142"/>
      <c r="R456" s="142"/>
      <c r="S456" s="142"/>
      <c r="T456" s="142"/>
      <c r="U456" s="142"/>
      <c r="V456" s="142"/>
      <c r="W456" s="142"/>
      <c r="X456" s="142"/>
    </row>
    <row r="457" spans="1:24" ht="22.5" x14ac:dyDescent="0.2">
      <c r="A457" s="17"/>
      <c r="B457" s="581" t="s">
        <v>4244</v>
      </c>
      <c r="C457" s="581" t="s">
        <v>4246</v>
      </c>
      <c r="D457" s="582" t="s">
        <v>1475</v>
      </c>
      <c r="E457" s="583" t="s">
        <v>1476</v>
      </c>
      <c r="F457" s="269" t="s">
        <v>1477</v>
      </c>
      <c r="G457" s="17"/>
      <c r="H457" s="584"/>
      <c r="I457" s="17"/>
      <c r="J457" s="242"/>
      <c r="M457" s="28"/>
      <c r="Q457" s="142"/>
      <c r="R457" s="142"/>
      <c r="S457" s="142"/>
      <c r="T457" s="142"/>
      <c r="U457" s="142"/>
      <c r="V457" s="142"/>
      <c r="W457" s="142"/>
      <c r="X457" s="142"/>
    </row>
    <row r="458" spans="1:24" ht="16.149999999999999" customHeight="1" x14ac:dyDescent="0.2">
      <c r="A458" s="17"/>
      <c r="B458" s="431"/>
      <c r="C458" s="297"/>
      <c r="D458" s="297"/>
      <c r="E458" s="297"/>
      <c r="F458" s="297"/>
      <c r="G458" s="222" t="str">
        <f>IF(L456=0,"",IF(L458=5,"","All details !"))</f>
        <v/>
      </c>
      <c r="H458" s="17"/>
      <c r="I458" s="17"/>
      <c r="J458" s="242"/>
      <c r="L458" s="46">
        <f t="shared" ref="L458:L483" si="21">COUNT(B458:F458)</f>
      </c>
      <c r="M458" s="28">
        <f t="shared" ref="M458:M484" si="22">IF(G458=$M$1,0,1)</f>
      </c>
      <c r="Q458" s="142"/>
      <c r="R458" s="142"/>
      <c r="S458" s="142"/>
      <c r="T458" s="142"/>
      <c r="U458" s="142"/>
      <c r="V458" s="142"/>
      <c r="W458" s="142"/>
      <c r="X458" s="142"/>
    </row>
    <row r="459" spans="1:24" ht="16.149999999999999" customHeight="1" x14ac:dyDescent="0.2">
      <c r="A459" s="17"/>
      <c r="B459" s="431"/>
      <c r="C459" s="297"/>
      <c r="D459" s="297"/>
      <c r="E459" s="297"/>
      <c r="F459" s="297"/>
      <c r="G459" s="222" t="str">
        <f t="shared" ref="G459:G483" si="23">IF(L459=0,"",IF(L459=5,"","All details !"))</f>
        <v/>
      </c>
      <c r="H459" s="17"/>
      <c r="I459" s="17"/>
      <c r="J459" s="242"/>
      <c r="L459" s="46">
        <f t="shared" si="21"/>
        <v>0</v>
      </c>
      <c r="M459" s="28">
        <f t="shared" si="22"/>
        <v>0</v>
      </c>
      <c r="Q459" s="142"/>
      <c r="R459" s="142"/>
      <c r="S459" s="142"/>
      <c r="T459" s="142"/>
      <c r="U459" s="142"/>
      <c r="V459" s="142"/>
      <c r="W459" s="142"/>
      <c r="X459" s="142"/>
    </row>
    <row r="460" spans="1:24" ht="16.149999999999999" customHeight="1" x14ac:dyDescent="0.2">
      <c r="A460" s="17"/>
      <c r="B460" s="431"/>
      <c r="C460" s="297"/>
      <c r="D460" s="297"/>
      <c r="E460" s="297"/>
      <c r="F460" s="297"/>
      <c r="G460" s="222" t="str">
        <f t="shared" si="23"/>
        <v/>
      </c>
      <c r="H460" s="17"/>
      <c r="I460" s="17"/>
      <c r="J460" s="242"/>
      <c r="L460" s="46">
        <f t="shared" si="21"/>
        <v>0</v>
      </c>
      <c r="M460" s="28">
        <f t="shared" si="22"/>
        <v>0</v>
      </c>
      <c r="Q460" s="142"/>
      <c r="R460" s="142"/>
      <c r="S460" s="142"/>
      <c r="T460" s="142"/>
      <c r="U460" s="142"/>
      <c r="V460" s="142"/>
      <c r="W460" s="142"/>
      <c r="X460" s="142"/>
    </row>
    <row r="461" spans="1:24" ht="16.149999999999999" customHeight="1" x14ac:dyDescent="0.2">
      <c r="A461" s="17"/>
      <c r="B461" s="431"/>
      <c r="C461" s="297"/>
      <c r="D461" s="297"/>
      <c r="E461" s="297"/>
      <c r="F461" s="297"/>
      <c r="G461" s="222" t="str">
        <f t="shared" si="23"/>
        <v/>
      </c>
      <c r="H461" s="17"/>
      <c r="I461" s="17"/>
      <c r="J461" s="242"/>
      <c r="L461" s="46">
        <f t="shared" si="21"/>
        <v>0</v>
      </c>
      <c r="M461" s="28">
        <f t="shared" si="22"/>
        <v>0</v>
      </c>
      <c r="Q461" s="142"/>
      <c r="R461" s="142"/>
      <c r="S461" s="142"/>
      <c r="T461" s="142"/>
      <c r="U461" s="142"/>
      <c r="V461" s="142"/>
      <c r="W461" s="142"/>
      <c r="X461" s="142"/>
    </row>
    <row r="462" spans="1:24" ht="16.149999999999999" customHeight="1" x14ac:dyDescent="0.2">
      <c r="A462" s="17"/>
      <c r="B462" s="431"/>
      <c r="C462" s="297"/>
      <c r="D462" s="297"/>
      <c r="E462" s="297"/>
      <c r="F462" s="297"/>
      <c r="G462" s="222" t="str">
        <f t="shared" si="23"/>
        <v/>
      </c>
      <c r="H462" s="17"/>
      <c r="I462" s="17"/>
      <c r="J462" s="242"/>
      <c r="L462" s="46">
        <f t="shared" si="21"/>
        <v>0</v>
      </c>
      <c r="M462" s="28">
        <f t="shared" si="22"/>
        <v>0</v>
      </c>
      <c r="Q462" s="142"/>
      <c r="R462" s="142"/>
      <c r="S462" s="142"/>
      <c r="T462" s="142"/>
      <c r="U462" s="142"/>
      <c r="V462" s="142"/>
      <c r="W462" s="142"/>
      <c r="X462" s="142"/>
    </row>
    <row r="463" spans="1:24" ht="16.149999999999999" customHeight="1" x14ac:dyDescent="0.2">
      <c r="A463" s="17"/>
      <c r="B463" s="431"/>
      <c r="C463" s="297"/>
      <c r="D463" s="297"/>
      <c r="E463" s="297"/>
      <c r="F463" s="297"/>
      <c r="G463" s="222" t="str">
        <f t="shared" si="23"/>
        <v/>
      </c>
      <c r="H463" s="17"/>
      <c r="I463" s="17"/>
      <c r="J463" s="242"/>
      <c r="L463" s="46">
        <f t="shared" si="21"/>
        <v>0</v>
      </c>
      <c r="M463" s="28">
        <f t="shared" si="22"/>
        <v>0</v>
      </c>
      <c r="Q463" s="142"/>
      <c r="R463" s="142"/>
      <c r="S463" s="142"/>
      <c r="T463" s="142"/>
      <c r="U463" s="142"/>
      <c r="V463" s="142"/>
      <c r="W463" s="142"/>
      <c r="X463" s="142"/>
    </row>
    <row r="464" spans="1:24" ht="16.149999999999999" customHeight="1" x14ac:dyDescent="0.2">
      <c r="A464" s="17"/>
      <c r="B464" s="431"/>
      <c r="C464" s="297"/>
      <c r="D464" s="297"/>
      <c r="E464" s="297"/>
      <c r="F464" s="297"/>
      <c r="G464" s="222" t="str">
        <f t="shared" si="23"/>
        <v/>
      </c>
      <c r="H464" s="17"/>
      <c r="I464" s="17"/>
      <c r="J464" s="242"/>
      <c r="L464" s="46">
        <f t="shared" si="21"/>
        <v>0</v>
      </c>
      <c r="M464" s="28">
        <f t="shared" si="22"/>
        <v>0</v>
      </c>
      <c r="Q464" s="142"/>
      <c r="R464" s="142"/>
      <c r="S464" s="142"/>
      <c r="T464" s="142"/>
      <c r="U464" s="142"/>
      <c r="V464" s="142"/>
      <c r="W464" s="142"/>
      <c r="X464" s="142"/>
    </row>
    <row r="465" spans="1:24" ht="16.149999999999999" customHeight="1" x14ac:dyDescent="0.2">
      <c r="A465" s="17"/>
      <c r="B465" s="431"/>
      <c r="C465" s="297"/>
      <c r="D465" s="297"/>
      <c r="E465" s="297"/>
      <c r="F465" s="297"/>
      <c r="G465" s="222" t="str">
        <f t="shared" si="23"/>
        <v/>
      </c>
      <c r="H465" s="17"/>
      <c r="I465" s="17"/>
      <c r="J465" s="242"/>
      <c r="L465" s="46">
        <f t="shared" si="21"/>
        <v>0</v>
      </c>
      <c r="M465" s="28">
        <f t="shared" si="22"/>
        <v>0</v>
      </c>
      <c r="Q465" s="142"/>
      <c r="R465" s="142"/>
      <c r="S465" s="142"/>
      <c r="T465" s="142"/>
      <c r="U465" s="142"/>
      <c r="V465" s="142"/>
      <c r="W465" s="142"/>
      <c r="X465" s="142"/>
    </row>
    <row r="466" spans="1:24" ht="16.149999999999999" customHeight="1" x14ac:dyDescent="0.2">
      <c r="A466" s="17"/>
      <c r="B466" s="431"/>
      <c r="C466" s="297"/>
      <c r="D466" s="297"/>
      <c r="E466" s="297"/>
      <c r="F466" s="297"/>
      <c r="G466" s="222" t="str">
        <f t="shared" si="23"/>
        <v/>
      </c>
      <c r="H466" s="17"/>
      <c r="I466" s="17"/>
      <c r="J466" s="242"/>
      <c r="L466" s="46">
        <f t="shared" si="21"/>
        <v>0</v>
      </c>
      <c r="M466" s="28">
        <f t="shared" si="22"/>
        <v>0</v>
      </c>
      <c r="Q466" s="142"/>
      <c r="R466" s="142"/>
      <c r="S466" s="142"/>
      <c r="T466" s="142"/>
      <c r="U466" s="142"/>
      <c r="V466" s="142"/>
      <c r="W466" s="142"/>
      <c r="X466" s="142"/>
    </row>
    <row r="467" spans="1:24" ht="16.149999999999999" customHeight="1" x14ac:dyDescent="0.2">
      <c r="A467" s="17"/>
      <c r="B467" s="431"/>
      <c r="C467" s="297"/>
      <c r="D467" s="297"/>
      <c r="E467" s="297"/>
      <c r="F467" s="297"/>
      <c r="G467" s="222" t="str">
        <f t="shared" si="23"/>
        <v/>
      </c>
      <c r="H467" s="17"/>
      <c r="I467" s="17"/>
      <c r="J467" s="242"/>
      <c r="L467" s="46">
        <f t="shared" si="21"/>
        <v>0</v>
      </c>
      <c r="M467" s="28">
        <f t="shared" si="22"/>
        <v>0</v>
      </c>
      <c r="Q467" s="142"/>
      <c r="R467" s="142"/>
      <c r="S467" s="142"/>
      <c r="T467" s="142"/>
      <c r="U467" s="142"/>
      <c r="V467" s="142"/>
      <c r="W467" s="142"/>
      <c r="X467" s="142"/>
    </row>
    <row r="468" spans="1:24" ht="16.149999999999999" customHeight="1" x14ac:dyDescent="0.2">
      <c r="A468" s="17"/>
      <c r="B468" s="431"/>
      <c r="C468" s="297"/>
      <c r="D468" s="297"/>
      <c r="E468" s="297"/>
      <c r="F468" s="297"/>
      <c r="G468" s="222" t="str">
        <f t="shared" si="23"/>
        <v/>
      </c>
      <c r="H468" s="17"/>
      <c r="I468" s="17"/>
      <c r="J468" s="242"/>
      <c r="L468" s="46">
        <f t="shared" si="21"/>
        <v>0</v>
      </c>
      <c r="M468" s="28">
        <f t="shared" si="22"/>
        <v>0</v>
      </c>
      <c r="Q468" s="142"/>
      <c r="R468" s="142"/>
      <c r="S468" s="142"/>
      <c r="T468" s="142"/>
      <c r="U468" s="142"/>
      <c r="V468" s="142"/>
      <c r="W468" s="142"/>
      <c r="X468" s="142"/>
    </row>
    <row r="469" spans="1:24" ht="16.149999999999999" customHeight="1" x14ac:dyDescent="0.2">
      <c r="A469" s="17"/>
      <c r="B469" s="431"/>
      <c r="C469" s="297"/>
      <c r="D469" s="297"/>
      <c r="E469" s="297"/>
      <c r="F469" s="297"/>
      <c r="G469" s="222" t="str">
        <f t="shared" si="23"/>
        <v/>
      </c>
      <c r="H469" s="17"/>
      <c r="I469" s="17"/>
      <c r="J469" s="242"/>
      <c r="L469" s="46">
        <f t="shared" si="21"/>
        <v>0</v>
      </c>
      <c r="M469" s="28">
        <f t="shared" si="22"/>
        <v>0</v>
      </c>
      <c r="Q469" s="142"/>
      <c r="R469" s="142"/>
      <c r="S469" s="142"/>
      <c r="T469" s="142"/>
      <c r="U469" s="142"/>
      <c r="V469" s="142"/>
      <c r="W469" s="142"/>
      <c r="X469" s="142"/>
    </row>
    <row r="470" spans="1:24" ht="16.149999999999999" customHeight="1" x14ac:dyDescent="0.2">
      <c r="A470" s="17"/>
      <c r="B470" s="431"/>
      <c r="C470" s="297"/>
      <c r="D470" s="297"/>
      <c r="E470" s="297"/>
      <c r="F470" s="297"/>
      <c r="G470" s="222" t="str">
        <f t="shared" si="23"/>
        <v/>
      </c>
      <c r="H470" s="17"/>
      <c r="I470" s="17"/>
      <c r="J470" s="242"/>
      <c r="L470" s="46">
        <f t="shared" si="21"/>
        <v>0</v>
      </c>
      <c r="M470" s="28">
        <f t="shared" si="22"/>
        <v>0</v>
      </c>
      <c r="Q470" s="142"/>
      <c r="R470" s="142"/>
      <c r="S470" s="142"/>
      <c r="T470" s="142"/>
      <c r="U470" s="142"/>
      <c r="V470" s="142"/>
      <c r="W470" s="142"/>
      <c r="X470" s="142"/>
    </row>
    <row r="471" spans="1:24" ht="16.149999999999999" customHeight="1" x14ac:dyDescent="0.2">
      <c r="A471" s="17"/>
      <c r="B471" s="431"/>
      <c r="C471" s="297"/>
      <c r="D471" s="297"/>
      <c r="E471" s="297"/>
      <c r="F471" s="297"/>
      <c r="G471" s="222" t="str">
        <f t="shared" si="23"/>
        <v/>
      </c>
      <c r="H471" s="17"/>
      <c r="I471" s="17"/>
      <c r="J471" s="242"/>
      <c r="L471" s="46">
        <f t="shared" si="21"/>
        <v>0</v>
      </c>
      <c r="M471" s="28">
        <f t="shared" si="22"/>
        <v>0</v>
      </c>
      <c r="Q471" s="142"/>
      <c r="R471" s="142"/>
      <c r="S471" s="142"/>
      <c r="T471" s="142"/>
      <c r="U471" s="142"/>
      <c r="V471" s="142"/>
      <c r="W471" s="142"/>
      <c r="X471" s="142"/>
    </row>
    <row r="472" spans="1:24" ht="16.149999999999999" customHeight="1" x14ac:dyDescent="0.2">
      <c r="A472" s="17"/>
      <c r="B472" s="431"/>
      <c r="C472" s="297"/>
      <c r="D472" s="297"/>
      <c r="E472" s="297"/>
      <c r="F472" s="297"/>
      <c r="G472" s="222" t="str">
        <f t="shared" si="23"/>
        <v/>
      </c>
      <c r="H472" s="17"/>
      <c r="I472" s="17"/>
      <c r="J472" s="242"/>
      <c r="L472" s="46">
        <f t="shared" si="21"/>
        <v>0</v>
      </c>
      <c r="M472" s="28">
        <f t="shared" si="22"/>
        <v>0</v>
      </c>
      <c r="Q472" s="142"/>
      <c r="R472" s="142"/>
      <c r="S472" s="142"/>
      <c r="T472" s="142"/>
      <c r="U472" s="142"/>
      <c r="V472" s="142"/>
      <c r="W472" s="142"/>
      <c r="X472" s="142"/>
    </row>
    <row r="473" spans="1:24" ht="16.149999999999999" customHeight="1" x14ac:dyDescent="0.2">
      <c r="A473" s="17"/>
      <c r="B473" s="431"/>
      <c r="C473" s="297"/>
      <c r="D473" s="297"/>
      <c r="E473" s="297"/>
      <c r="F473" s="297"/>
      <c r="G473" s="222" t="str">
        <f t="shared" si="23"/>
        <v/>
      </c>
      <c r="H473" s="17"/>
      <c r="I473" s="17"/>
      <c r="J473" s="242"/>
      <c r="L473" s="46">
        <f t="shared" si="21"/>
        <v>0</v>
      </c>
      <c r="M473" s="28">
        <f t="shared" si="22"/>
        <v>0</v>
      </c>
      <c r="Q473" s="142"/>
      <c r="R473" s="142"/>
      <c r="S473" s="142"/>
      <c r="T473" s="142"/>
      <c r="U473" s="142"/>
      <c r="V473" s="142"/>
      <c r="W473" s="142"/>
      <c r="X473" s="142"/>
    </row>
    <row r="474" spans="1:24" ht="16.149999999999999" customHeight="1" x14ac:dyDescent="0.2">
      <c r="A474" s="17"/>
      <c r="B474" s="431"/>
      <c r="C474" s="297"/>
      <c r="D474" s="297"/>
      <c r="E474" s="297"/>
      <c r="F474" s="297"/>
      <c r="G474" s="222" t="str">
        <f t="shared" si="23"/>
        <v/>
      </c>
      <c r="H474" s="17"/>
      <c r="I474" s="17"/>
      <c r="J474" s="242"/>
      <c r="L474" s="46">
        <f t="shared" si="21"/>
        <v>0</v>
      </c>
      <c r="M474" s="28">
        <f t="shared" si="22"/>
        <v>0</v>
      </c>
      <c r="Q474" s="142"/>
      <c r="R474" s="142"/>
      <c r="S474" s="142"/>
      <c r="T474" s="142"/>
      <c r="U474" s="142"/>
      <c r="V474" s="142"/>
      <c r="W474" s="142"/>
      <c r="X474" s="142"/>
    </row>
    <row r="475" spans="1:24" ht="16.149999999999999" customHeight="1" x14ac:dyDescent="0.2">
      <c r="A475" s="17"/>
      <c r="B475" s="431"/>
      <c r="C475" s="297"/>
      <c r="D475" s="297"/>
      <c r="E475" s="297"/>
      <c r="F475" s="297"/>
      <c r="G475" s="222" t="str">
        <f t="shared" si="23"/>
        <v/>
      </c>
      <c r="H475" s="17"/>
      <c r="I475" s="17"/>
      <c r="J475" s="242"/>
      <c r="L475" s="46">
        <f t="shared" si="21"/>
        <v>0</v>
      </c>
      <c r="M475" s="28">
        <f t="shared" si="22"/>
        <v>0</v>
      </c>
      <c r="Q475" s="142"/>
      <c r="R475" s="142"/>
      <c r="S475" s="142"/>
      <c r="T475" s="142"/>
      <c r="U475" s="142"/>
      <c r="V475" s="142"/>
      <c r="W475" s="142"/>
      <c r="X475" s="142"/>
    </row>
    <row r="476" spans="1:24" ht="16.149999999999999" customHeight="1" x14ac:dyDescent="0.2">
      <c r="A476" s="17"/>
      <c r="B476" s="431"/>
      <c r="C476" s="297"/>
      <c r="D476" s="297"/>
      <c r="E476" s="297"/>
      <c r="F476" s="297"/>
      <c r="G476" s="222" t="str">
        <f t="shared" si="23"/>
        <v/>
      </c>
      <c r="H476" s="17"/>
      <c r="I476" s="17"/>
      <c r="J476" s="242"/>
      <c r="L476" s="46">
        <f t="shared" si="21"/>
        <v>0</v>
      </c>
      <c r="M476" s="28">
        <f t="shared" si="22"/>
        <v>0</v>
      </c>
      <c r="Q476" s="142"/>
      <c r="R476" s="142"/>
      <c r="S476" s="142"/>
      <c r="T476" s="142"/>
      <c r="U476" s="142"/>
      <c r="V476" s="142"/>
      <c r="W476" s="142"/>
      <c r="X476" s="142"/>
    </row>
    <row r="477" spans="1:24" ht="16.149999999999999" customHeight="1" x14ac:dyDescent="0.2">
      <c r="A477" s="17"/>
      <c r="B477" s="431"/>
      <c r="C477" s="297"/>
      <c r="D477" s="297"/>
      <c r="E477" s="297"/>
      <c r="F477" s="297"/>
      <c r="G477" s="222" t="str">
        <f t="shared" si="23"/>
        <v/>
      </c>
      <c r="H477" s="17"/>
      <c r="I477" s="17"/>
      <c r="J477" s="242"/>
      <c r="L477" s="46">
        <f t="shared" si="21"/>
        <v>0</v>
      </c>
      <c r="M477" s="28">
        <f t="shared" si="22"/>
        <v>0</v>
      </c>
      <c r="Q477" s="142"/>
      <c r="R477" s="142"/>
      <c r="S477" s="142"/>
      <c r="T477" s="142"/>
      <c r="U477" s="142"/>
      <c r="V477" s="142"/>
      <c r="W477" s="142"/>
      <c r="X477" s="142"/>
    </row>
    <row r="478" spans="1:24" ht="16.149999999999999" customHeight="1" x14ac:dyDescent="0.2">
      <c r="A478" s="17"/>
      <c r="B478" s="431"/>
      <c r="C478" s="297"/>
      <c r="D478" s="297"/>
      <c r="E478" s="297"/>
      <c r="F478" s="297"/>
      <c r="G478" s="222" t="str">
        <f t="shared" si="23"/>
        <v/>
      </c>
      <c r="H478" s="17"/>
      <c r="I478" s="17"/>
      <c r="J478" s="242"/>
      <c r="L478" s="46">
        <f t="shared" si="21"/>
        <v>0</v>
      </c>
      <c r="M478" s="28">
        <f t="shared" si="22"/>
        <v>0</v>
      </c>
      <c r="Q478" s="142"/>
      <c r="R478" s="142"/>
      <c r="S478" s="142"/>
      <c r="T478" s="142"/>
      <c r="U478" s="142"/>
      <c r="V478" s="142"/>
      <c r="W478" s="142"/>
      <c r="X478" s="142"/>
    </row>
    <row r="479" spans="1:24" ht="16.149999999999999" customHeight="1" x14ac:dyDescent="0.2">
      <c r="A479" s="17"/>
      <c r="B479" s="431"/>
      <c r="C479" s="297"/>
      <c r="D479" s="297"/>
      <c r="E479" s="297"/>
      <c r="F479" s="297"/>
      <c r="G479" s="222" t="str">
        <f t="shared" si="23"/>
        <v/>
      </c>
      <c r="H479" s="17"/>
      <c r="I479" s="17"/>
      <c r="J479" s="242"/>
      <c r="L479" s="46">
        <f t="shared" si="21"/>
        <v>0</v>
      </c>
      <c r="M479" s="28">
        <f t="shared" si="22"/>
        <v>0</v>
      </c>
      <c r="Q479" s="142"/>
      <c r="R479" s="142"/>
      <c r="S479" s="142"/>
      <c r="T479" s="142"/>
      <c r="U479" s="142"/>
      <c r="V479" s="142"/>
      <c r="W479" s="142"/>
      <c r="X479" s="142"/>
    </row>
    <row r="480" spans="1:24" ht="16.149999999999999" customHeight="1" x14ac:dyDescent="0.2">
      <c r="A480" s="17"/>
      <c r="B480" s="431"/>
      <c r="C480" s="297"/>
      <c r="D480" s="297"/>
      <c r="E480" s="297"/>
      <c r="F480" s="297"/>
      <c r="G480" s="222" t="str">
        <f t="shared" si="23"/>
        <v/>
      </c>
      <c r="H480" s="17"/>
      <c r="I480" s="17"/>
      <c r="J480" s="242"/>
      <c r="L480" s="46">
        <f t="shared" si="21"/>
        <v>0</v>
      </c>
      <c r="M480" s="28">
        <f t="shared" si="22"/>
        <v>0</v>
      </c>
      <c r="Q480" s="142"/>
      <c r="R480" s="142"/>
      <c r="S480" s="142"/>
      <c r="T480" s="142"/>
      <c r="U480" s="142"/>
      <c r="V480" s="142"/>
      <c r="W480" s="142"/>
      <c r="X480" s="142"/>
    </row>
    <row r="481" spans="1:24" ht="16.149999999999999" customHeight="1" x14ac:dyDescent="0.2">
      <c r="A481" s="17"/>
      <c r="B481" s="431"/>
      <c r="C481" s="297"/>
      <c r="D481" s="297"/>
      <c r="E481" s="297"/>
      <c r="F481" s="297"/>
      <c r="G481" s="222" t="str">
        <f t="shared" si="23"/>
        <v/>
      </c>
      <c r="H481" s="17"/>
      <c r="I481" s="17"/>
      <c r="J481" s="242"/>
      <c r="L481" s="46">
        <f t="shared" si="21"/>
        <v>0</v>
      </c>
      <c r="M481" s="28">
        <f t="shared" si="22"/>
        <v>0</v>
      </c>
      <c r="Q481" s="142"/>
      <c r="R481" s="142"/>
      <c r="S481" s="142"/>
      <c r="T481" s="142"/>
      <c r="U481" s="142"/>
      <c r="V481" s="142"/>
      <c r="W481" s="142"/>
      <c r="X481" s="142"/>
    </row>
    <row r="482" spans="1:24" ht="16.149999999999999" customHeight="1" x14ac:dyDescent="0.2">
      <c r="A482" s="17"/>
      <c r="B482" s="431"/>
      <c r="C482" s="297"/>
      <c r="D482" s="297"/>
      <c r="E482" s="297"/>
      <c r="F482" s="297"/>
      <c r="G482" s="222" t="str">
        <f t="shared" si="23"/>
        <v/>
      </c>
      <c r="H482" s="17"/>
      <c r="I482" s="17"/>
      <c r="J482" s="242"/>
      <c r="L482" s="46">
        <f t="shared" si="21"/>
        <v>0</v>
      </c>
      <c r="M482" s="28">
        <f t="shared" si="22"/>
        <v>0</v>
      </c>
      <c r="Q482" s="142"/>
      <c r="R482" s="142"/>
      <c r="S482" s="142"/>
      <c r="T482" s="142"/>
      <c r="U482" s="142"/>
      <c r="V482" s="142"/>
      <c r="W482" s="142"/>
      <c r="X482" s="142"/>
    </row>
    <row r="483" spans="1:24" ht="16.149999999999999" customHeight="1" x14ac:dyDescent="0.2">
      <c r="A483" s="17"/>
      <c r="B483" s="585"/>
      <c r="C483" s="313"/>
      <c r="D483" s="313"/>
      <c r="E483" s="313"/>
      <c r="F483" s="313"/>
      <c r="G483" s="222" t="str">
        <f t="shared" si="23"/>
        <v/>
      </c>
      <c r="H483" s="17"/>
      <c r="I483" s="17"/>
      <c r="J483" s="242"/>
      <c r="L483" s="46">
        <f t="shared" si="21"/>
        <v>0</v>
      </c>
      <c r="M483" s="28">
        <f t="shared" si="22"/>
        <v>0</v>
      </c>
      <c r="Q483" s="142"/>
      <c r="R483" s="142"/>
      <c r="S483" s="142"/>
      <c r="T483" s="142"/>
      <c r="U483" s="142"/>
      <c r="V483" s="142"/>
      <c r="W483" s="142"/>
      <c r="X483" s="142"/>
    </row>
    <row r="484" spans="1:24" ht="16.149999999999999" customHeight="1" x14ac:dyDescent="0.2">
      <c r="A484" s="17"/>
      <c r="B484" s="586" t="s">
        <v>5590</v>
      </c>
      <c r="C484" s="587">
        <f>SUM(C458:C483)</f>
      </c>
      <c r="D484" s="587">
        <f>SUM(D458:D483)</f>
      </c>
      <c r="E484" s="587">
        <f>SUM(E458:E483)</f>
      </c>
      <c r="F484" s="587">
        <f>SUM(F458:F483)</f>
      </c>
      <c r="G484" s="222" t="str">
        <f>IF(D484&lt;&gt;E451,"Check Selling Price !","")</f>
        <v/>
      </c>
      <c r="H484" s="17"/>
      <c r="I484" s="17"/>
      <c r="J484" s="242"/>
      <c r="M484" s="28">
        <f t="shared" si="22"/>
        <v>0</v>
      </c>
      <c r="Q484" s="142"/>
      <c r="R484" s="142"/>
      <c r="S484" s="142"/>
      <c r="T484" s="142"/>
      <c r="U484" s="142"/>
      <c r="V484" s="142"/>
      <c r="W484" s="142"/>
      <c r="X484" s="142"/>
    </row>
    <row r="485" spans="1:24" ht="16.149999999999999" customHeight="1" x14ac:dyDescent="0.2">
      <c r="A485" s="17"/>
      <c r="B485" s="4648" t="s">
        <v>1478</v>
      </c>
      <c r="C485" s="4648"/>
      <c r="D485" s="4648"/>
      <c r="E485" s="4648"/>
      <c r="F485" s="588">
        <f>E453</f>
      </c>
      <c r="G485" s="17"/>
      <c r="H485" s="17"/>
      <c r="I485" s="17"/>
      <c r="J485" s="242"/>
      <c r="M485" s="167">
        <f>SUM(M432:M484)</f>
      </c>
      <c r="Q485" s="142"/>
      <c r="R485" s="142"/>
      <c r="S485" s="142"/>
      <c r="T485" s="142"/>
      <c r="U485" s="142"/>
      <c r="V485" s="142"/>
      <c r="W485" s="142"/>
      <c r="X485" s="142"/>
    </row>
    <row r="486" spans="1:24" ht="16.149999999999999" customHeight="1" x14ac:dyDescent="0.2">
      <c r="A486" s="17"/>
      <c r="B486" s="589"/>
      <c r="C486" s="589"/>
      <c r="D486" s="589"/>
      <c r="E486" s="589"/>
      <c r="F486" s="310"/>
      <c r="G486" s="17"/>
      <c r="H486" s="279" t="str">
        <f>ip</f>
      </c>
      <c r="I486" s="279" t="s">
        <v>2372</v>
      </c>
      <c r="J486" s="242"/>
      <c r="Q486" s="142"/>
      <c r="R486" s="142"/>
      <c r="S486" s="142"/>
      <c r="T486" s="142"/>
      <c r="U486" s="142"/>
      <c r="V486" s="142"/>
      <c r="W486" s="142"/>
      <c r="X486" s="142"/>
    </row>
    <row r="487" spans="1:24" ht="16.149999999999999" customHeight="1" x14ac:dyDescent="0.2">
      <c r="A487" s="17"/>
      <c r="B487" s="4650" t="s">
        <v>5410</v>
      </c>
      <c r="C487" s="4650"/>
      <c r="D487" s="4650"/>
      <c r="E487" s="4650"/>
      <c r="F487" s="4650"/>
      <c r="G487" s="17"/>
      <c r="H487" s="590" t="str">
        <f>IF($H449=ip,K487,"")</f>
        <v/>
      </c>
      <c r="I487" s="590" t="str">
        <f>IF($H449=fi,K487,"")</f>
        <v/>
      </c>
      <c r="J487" s="242"/>
      <c r="K487" s="236">
        <f>F484-F485</f>
      </c>
      <c r="Q487" s="142"/>
      <c r="R487" s="142"/>
      <c r="S487" s="142"/>
      <c r="T487" s="142"/>
      <c r="U487" s="142"/>
      <c r="V487" s="142"/>
      <c r="W487" s="142"/>
      <c r="X487" s="142"/>
    </row>
    <row r="488" spans="1:24" ht="16.149999999999999" customHeight="1" x14ac:dyDescent="0.2">
      <c r="A488" s="17"/>
      <c r="B488" s="17" t="str">
        <f>_xlfn.SINGLE(MTCA)</f>
      </c>
      <c r="C488" s="17"/>
      <c r="D488" s="17" t="str">
        <f>ver</f>
        <v>TA2_e-CO_2025_Ver 1.1</v>
      </c>
      <c r="E488" s="17"/>
      <c r="F488" s="17"/>
      <c r="G488" s="17"/>
      <c r="H488" s="17"/>
      <c r="I488" s="536" t="s">
        <v>9868</v>
      </c>
      <c r="J488" s="242"/>
      <c r="Q488" s="142"/>
      <c r="R488" s="142"/>
      <c r="S488" s="142"/>
      <c r="T488" s="142"/>
      <c r="U488" s="142"/>
      <c r="V488" s="142"/>
      <c r="W488" s="142"/>
      <c r="X488" s="142"/>
    </row>
    <row r="489" spans="1:24" ht="16.149999999999999" customHeight="1" x14ac:dyDescent="0.2">
      <c r="A489" s="17"/>
      <c r="B489" s="17"/>
      <c r="C489" s="17"/>
      <c r="D489" s="17"/>
      <c r="E489" s="17"/>
      <c r="F489" s="17"/>
      <c r="G489" s="17"/>
      <c r="H489" s="17"/>
      <c r="I489" s="536"/>
      <c r="J489" s="242"/>
      <c r="Q489" s="142"/>
      <c r="R489" s="142"/>
      <c r="S489" s="142"/>
      <c r="T489" s="142"/>
      <c r="U489" s="142"/>
      <c r="V489" s="142"/>
      <c r="W489" s="142"/>
      <c r="X489" s="142"/>
    </row>
    <row r="490" spans="1:24" ht="16.149999999999999" customHeight="1" x14ac:dyDescent="0.2">
      <c r="A490" s="17"/>
      <c r="B490" s="17"/>
      <c r="C490" s="17"/>
      <c r="D490" s="17"/>
      <c r="E490" s="17"/>
      <c r="F490" s="17"/>
      <c r="G490" s="17"/>
      <c r="H490" s="17"/>
      <c r="I490" s="536"/>
      <c r="J490" s="242"/>
      <c r="Q490" s="142"/>
      <c r="R490" s="142"/>
      <c r="S490" s="142"/>
      <c r="T490" s="142"/>
      <c r="U490" s="142"/>
      <c r="V490" s="142"/>
      <c r="W490" s="142"/>
      <c r="X490" s="142"/>
    </row>
    <row r="491" spans="1:24" ht="16.149999999999999" customHeight="1" x14ac:dyDescent="0.2">
      <c r="A491" s="781">
        <v>9</v>
      </c>
      <c r="B491" s="4645" t="s">
        <v>5196</v>
      </c>
      <c r="C491" s="4645"/>
      <c r="D491" s="4645"/>
      <c r="E491" s="4645"/>
      <c r="F491" s="4645"/>
      <c r="G491" s="4645"/>
      <c r="H491" s="4645"/>
      <c r="I491" s="4645"/>
      <c r="J491" s="242"/>
      <c r="K491" s="62"/>
      <c r="L491" s="62"/>
      <c r="Q491" s="142"/>
      <c r="R491" s="142"/>
      <c r="S491" s="142"/>
      <c r="T491" s="142"/>
      <c r="U491" s="142"/>
      <c r="V491" s="142"/>
      <c r="W491" s="142"/>
      <c r="X491" s="142"/>
    </row>
    <row r="492" spans="1:24" ht="6" customHeight="1" x14ac:dyDescent="0.2">
      <c r="A492" s="242"/>
      <c r="B492" s="242"/>
      <c r="C492" s="242"/>
      <c r="D492" s="242"/>
      <c r="E492" s="242"/>
      <c r="F492" s="242"/>
      <c r="G492" s="242"/>
      <c r="H492" s="242"/>
      <c r="I492" s="242"/>
      <c r="J492" s="242"/>
      <c r="K492" s="62"/>
      <c r="L492" s="62"/>
      <c r="Q492" s="142"/>
      <c r="R492" s="142"/>
      <c r="S492" s="142"/>
      <c r="T492" s="142"/>
      <c r="U492" s="142"/>
      <c r="V492" s="142"/>
      <c r="W492" s="142"/>
      <c r="X492" s="142"/>
    </row>
    <row r="493" spans="1:24" s="142" customFormat="1" ht="14.25" x14ac:dyDescent="0.2">
      <c r="A493" s="242"/>
      <c r="B493" s="3574" t="s">
        <v>9959</v>
      </c>
      <c r="C493" s="242"/>
      <c r="D493" s="242"/>
      <c r="E493" s="242"/>
      <c r="F493" s="569"/>
      <c r="G493" s="572" t="str">
        <f>IF(L517=0,"",IF(AND($P$1="n",F493&lt;&gt;""),"No details required!",IF(AND($P$1="y",ISBLANK(F493)),"Required !","")))</f>
        <v/>
      </c>
      <c r="H493" s="242"/>
      <c r="I493" s="242"/>
      <c r="J493" s="242"/>
      <c r="L493" s="142">
        <f>IF(ISBLANK(F493),0,1)</f>
      </c>
      <c r="M493" s="167">
        <f>IF(G493=$M$1,0,1)</f>
      </c>
    </row>
    <row r="494" spans="1:24" s="142" customFormat="1" ht="6.75" customHeight="1" x14ac:dyDescent="0.2">
      <c r="A494" s="242"/>
      <c r="B494" s="3574"/>
      <c r="C494" s="242"/>
      <c r="D494" s="242"/>
      <c r="E494" s="242"/>
      <c r="F494" s="242"/>
      <c r="G494" s="242"/>
      <c r="H494" s="242"/>
      <c r="I494" s="242"/>
      <c r="J494" s="242"/>
      <c r="M494" s="167"/>
    </row>
    <row r="495" spans="1:24" ht="14.25" customHeight="1" x14ac:dyDescent="0.2">
      <c r="A495" s="242"/>
      <c r="B495" s="4641" t="s">
        <v>10035</v>
      </c>
      <c r="C495" s="4641"/>
      <c r="D495" s="4641"/>
      <c r="E495" s="4641"/>
      <c r="F495" s="569"/>
      <c r="G495" s="572" t="str">
        <f>IF(L515=0,"",IF(ISBLANK(F495),"Required!",IF(AND($P$3="n",F495="yes"),"Check Pg2 Q32!","")))</f>
        <v/>
      </c>
      <c r="H495" s="242"/>
      <c r="I495" s="242"/>
      <c r="J495" s="242"/>
      <c r="K495" s="62"/>
      <c r="L495" s="142">
        <f>IF(ISBLANK(F495),0,1)</f>
      </c>
      <c r="M495" s="167">
        <f>IF(G495=$M$1,0,1)</f>
      </c>
      <c r="N495" s="142">
        <f>IF(AND($P$3="n",F495="yes"),1,0)</f>
      </c>
      <c r="Q495" s="142"/>
      <c r="R495" s="142"/>
      <c r="S495" s="142"/>
      <c r="T495" s="142"/>
      <c r="U495" s="142"/>
      <c r="V495" s="142"/>
      <c r="W495" s="142"/>
      <c r="X495" s="142"/>
    </row>
    <row r="496" spans="1:24" ht="12.75" x14ac:dyDescent="0.2">
      <c r="A496" s="242"/>
      <c r="B496" s="4642" t="s">
        <v>10036</v>
      </c>
      <c r="C496" s="4642"/>
      <c r="D496" s="4642"/>
      <c r="E496" s="4642"/>
      <c r="F496" s="242"/>
      <c r="G496" s="242"/>
      <c r="H496" s="242"/>
      <c r="I496" s="242"/>
      <c r="J496" s="242"/>
      <c r="K496" s="62"/>
      <c r="L496" s="62"/>
      <c r="Q496" s="142"/>
      <c r="R496" s="142"/>
      <c r="S496" s="142"/>
      <c r="T496" s="142"/>
      <c r="U496" s="142"/>
      <c r="V496" s="142"/>
      <c r="W496" s="142"/>
      <c r="X496" s="142"/>
    </row>
    <row r="497" spans="1:24" s="142" customFormat="1" ht="12.75" hidden="1" x14ac:dyDescent="0.2">
      <c r="A497" s="242"/>
      <c r="B497" s="3574"/>
      <c r="C497" s="242"/>
      <c r="D497" s="242"/>
      <c r="E497" s="242"/>
      <c r="F497" s="242"/>
      <c r="G497" s="242"/>
      <c r="H497" s="242"/>
      <c r="I497" s="242"/>
      <c r="J497" s="242"/>
      <c r="M497" s="167"/>
    </row>
    <row r="498" spans="1:24" s="142" customFormat="1" ht="12.75" hidden="1" x14ac:dyDescent="0.2">
      <c r="A498" s="242"/>
      <c r="B498" s="3574"/>
      <c r="C498" s="242"/>
      <c r="D498" s="242"/>
      <c r="E498" s="242"/>
      <c r="F498" s="242"/>
      <c r="G498" s="242"/>
      <c r="H498" s="242"/>
      <c r="I498" s="242"/>
      <c r="J498" s="242"/>
      <c r="M498" s="167"/>
    </row>
    <row r="499" spans="1:24" s="142" customFormat="1" ht="12.75" hidden="1" x14ac:dyDescent="0.2">
      <c r="A499" s="242"/>
      <c r="B499" s="3574"/>
      <c r="C499" s="242"/>
      <c r="D499" s="242"/>
      <c r="E499" s="242"/>
      <c r="F499" s="242"/>
      <c r="G499" s="242"/>
      <c r="H499" s="242"/>
      <c r="I499" s="242"/>
      <c r="J499" s="242"/>
      <c r="M499" s="167"/>
    </row>
    <row r="500" spans="1:24" s="142" customFormat="1" ht="12.75" hidden="1" x14ac:dyDescent="0.2">
      <c r="A500" s="242"/>
      <c r="B500" s="3574"/>
      <c r="C500" s="242"/>
      <c r="D500" s="242"/>
      <c r="E500" s="242"/>
      <c r="F500" s="242"/>
      <c r="G500" s="242"/>
      <c r="H500" s="242"/>
      <c r="I500" s="242"/>
      <c r="J500" s="242"/>
      <c r="M500" s="167"/>
    </row>
    <row r="501" spans="1:24" s="142" customFormat="1" ht="12.75" hidden="1" x14ac:dyDescent="0.2">
      <c r="A501" s="242"/>
      <c r="B501" s="3574"/>
      <c r="C501" s="242"/>
      <c r="D501" s="242"/>
      <c r="E501" s="242"/>
      <c r="F501" s="242"/>
      <c r="G501" s="242"/>
      <c r="H501" s="242"/>
      <c r="I501" s="242"/>
      <c r="J501" s="242"/>
      <c r="M501" s="167"/>
    </row>
    <row r="502" spans="1:24" s="142" customFormat="1" ht="12.75" hidden="1" x14ac:dyDescent="0.2">
      <c r="A502" s="242"/>
      <c r="B502" s="3574"/>
      <c r="C502" s="242"/>
      <c r="D502" s="242"/>
      <c r="E502" s="242"/>
      <c r="F502" s="242"/>
      <c r="G502" s="242"/>
      <c r="H502" s="242"/>
      <c r="I502" s="242"/>
      <c r="J502" s="242"/>
      <c r="M502" s="167"/>
    </row>
    <row r="503" spans="1:24" s="142" customFormat="1" ht="12.75" hidden="1" x14ac:dyDescent="0.2">
      <c r="A503" s="242"/>
      <c r="B503" s="3574"/>
      <c r="C503" s="242"/>
      <c r="D503" s="242"/>
      <c r="E503" s="242"/>
      <c r="F503" s="242"/>
      <c r="G503" s="242"/>
      <c r="H503" s="242"/>
      <c r="I503" s="242"/>
      <c r="J503" s="242"/>
      <c r="M503" s="167"/>
    </row>
    <row r="504" spans="1:24" s="142" customFormat="1" ht="12.75" hidden="1" x14ac:dyDescent="0.2">
      <c r="A504" s="242"/>
      <c r="B504" s="3574"/>
      <c r="C504" s="242"/>
      <c r="D504" s="242"/>
      <c r="E504" s="242"/>
      <c r="F504" s="242"/>
      <c r="G504" s="242"/>
      <c r="H504" s="242"/>
      <c r="I504" s="242"/>
      <c r="J504" s="242"/>
      <c r="M504" s="167"/>
    </row>
    <row r="505" spans="1:24" s="142" customFormat="1" ht="12.75" hidden="1" x14ac:dyDescent="0.2">
      <c r="A505" s="242"/>
      <c r="B505" s="3574"/>
      <c r="C505" s="242"/>
      <c r="D505" s="242"/>
      <c r="E505" s="242"/>
      <c r="F505" s="242"/>
      <c r="G505" s="242"/>
      <c r="H505" s="242"/>
      <c r="I505" s="242"/>
      <c r="J505" s="242"/>
      <c r="M505" s="167"/>
    </row>
    <row r="506" spans="1:24" ht="2.25" customHeight="1" x14ac:dyDescent="0.2">
      <c r="A506" s="242"/>
      <c r="B506" s="242"/>
      <c r="C506" s="242"/>
      <c r="D506" s="242"/>
      <c r="E506" s="242"/>
      <c r="F506" s="242"/>
      <c r="G506" s="242"/>
      <c r="H506" s="242"/>
      <c r="I506" s="242"/>
      <c r="J506" s="242"/>
      <c r="K506" s="62"/>
      <c r="L506" s="62"/>
      <c r="Q506" s="142"/>
      <c r="R506" s="142"/>
      <c r="S506" s="142"/>
      <c r="T506" s="142"/>
      <c r="U506" s="142"/>
      <c r="V506" s="142"/>
      <c r="W506" s="142"/>
      <c r="X506" s="142"/>
    </row>
    <row r="507" spans="1:24" ht="16.149999999999999" customHeight="1" x14ac:dyDescent="0.2">
      <c r="A507" s="17"/>
      <c r="B507" s="564" t="str">
        <f>IF(N508=1,"Details of property deemed to be transferred ","Details of property sold")</f>
      </c>
      <c r="C507" s="564"/>
      <c r="D507" s="564"/>
      <c r="E507" s="20"/>
      <c r="F507" s="20"/>
      <c r="G507" s="20"/>
      <c r="H507" s="20"/>
      <c r="I507" s="20"/>
      <c r="J507" s="242"/>
      <c r="Q507" s="142"/>
      <c r="R507" s="142"/>
      <c r="S507" s="142"/>
      <c r="T507" s="142"/>
      <c r="U507" s="142"/>
      <c r="V507" s="142"/>
      <c r="W507" s="142"/>
      <c r="X507" s="142"/>
    </row>
    <row r="508" spans="1:24" ht="16.149999999999999" customHeight="1" x14ac:dyDescent="0.2">
      <c r="A508" s="17"/>
      <c r="B508" s="565" t="s">
        <v>3331</v>
      </c>
      <c r="C508" s="565"/>
      <c r="D508" s="566" t="str">
        <f>IF(L517=0,"",IF(ISBLANK(E508),"Required!",""))</f>
        <v/>
      </c>
      <c r="E508" s="4646"/>
      <c r="F508" s="4646"/>
      <c r="G508" s="4646"/>
      <c r="H508" s="4646"/>
      <c r="I508" s="4646"/>
      <c r="J508" s="242"/>
      <c r="L508" s="46">
        <f>IF(ISBLANK(E508),0,1)</f>
      </c>
      <c r="M508" s="167">
        <f>IF(D508=$M$1,0,1)</f>
      </c>
      <c r="N508" s="142">
        <f>IF(AND(F495="yes",$P$3="y"),1,0)</f>
      </c>
      <c r="Q508" s="142"/>
      <c r="R508" s="142"/>
      <c r="S508" s="142"/>
      <c r="T508" s="142"/>
      <c r="U508" s="142"/>
      <c r="V508" s="142"/>
      <c r="W508" s="142"/>
      <c r="X508" s="142"/>
    </row>
    <row r="509" spans="1:24" ht="6" customHeight="1" x14ac:dyDescent="0.2">
      <c r="A509" s="17"/>
      <c r="B509" s="565"/>
      <c r="C509" s="565"/>
      <c r="D509" s="565"/>
      <c r="E509" s="185"/>
      <c r="F509" s="185"/>
      <c r="G509" s="185"/>
      <c r="H509" s="185"/>
      <c r="I509" s="185"/>
      <c r="J509" s="242"/>
      <c r="M509" s="28"/>
      <c r="Q509" s="142"/>
      <c r="R509" s="142"/>
      <c r="S509" s="142"/>
      <c r="T509" s="142"/>
      <c r="U509" s="142"/>
      <c r="V509" s="142"/>
      <c r="W509" s="142"/>
      <c r="X509" s="142"/>
    </row>
    <row r="510" spans="1:24" ht="16.149999999999999" customHeight="1" x14ac:dyDescent="0.2">
      <c r="A510" s="17"/>
      <c r="B510" s="567" t="str">
        <f>IF(N508=1,"Year of transfer [Basis Year]","Year of sale [Basis Year]")</f>
      </c>
      <c r="C510" s="567"/>
      <c r="D510" s="566" t="str">
        <f>IF(L517=0,"",IF(ISBLANK(E510),"Required!",""))</f>
        <v/>
      </c>
      <c r="E510" s="568"/>
      <c r="F510" s="4643" t="s">
        <v>3332</v>
      </c>
      <c r="G510" s="4644"/>
      <c r="H510" s="569"/>
      <c r="I510" s="570" t="str">
        <f>IF(L517=0,"",IF(ISBLANK(H510),"A/c ?",""))</f>
        <v/>
      </c>
      <c r="J510" s="242"/>
      <c r="L510" s="46">
        <f>IF(ISBLANK(E510),0,1)</f>
      </c>
      <c r="M510" s="28">
        <f>IF(I510=$M$1,0,1)</f>
      </c>
      <c r="Q510" s="142"/>
      <c r="R510" s="142"/>
      <c r="S510" s="142"/>
      <c r="T510" s="142"/>
      <c r="U510" s="142"/>
      <c r="V510" s="142"/>
      <c r="W510" s="142"/>
      <c r="X510" s="142"/>
    </row>
    <row r="511" spans="1:24" ht="6" customHeight="1" x14ac:dyDescent="0.2">
      <c r="A511" s="17"/>
      <c r="B511" s="565"/>
      <c r="C511" s="565"/>
      <c r="D511" s="565"/>
      <c r="E511" s="20"/>
      <c r="F511" s="20"/>
      <c r="G511" s="20"/>
      <c r="H511" s="20"/>
      <c r="I511" s="20"/>
      <c r="J511" s="242"/>
      <c r="L511" s="46">
        <f>IF(ISBLANK(H510),0,1)</f>
      </c>
      <c r="M511" s="167">
        <f>IF(D510=$M$1,0,1)</f>
      </c>
      <c r="Q511" s="142"/>
      <c r="R511" s="142"/>
      <c r="S511" s="142"/>
      <c r="T511" s="142"/>
      <c r="U511" s="142"/>
      <c r="V511" s="142"/>
      <c r="W511" s="142"/>
      <c r="X511" s="142"/>
    </row>
    <row r="512" spans="1:24" ht="16.149999999999999" customHeight="1" x14ac:dyDescent="0.2">
      <c r="A512" s="17"/>
      <c r="B512" s="564" t="str">
        <f>IF(N508=1,"Market value of property","Selling price of property")</f>
      </c>
      <c r="C512" s="564"/>
      <c r="D512" s="566" t="str">
        <f>IF(L517=0,"",IF(ISBLANK(E512),"Required !",""))</f>
        <v/>
      </c>
      <c r="E512" s="571"/>
      <c r="F512" s="20"/>
      <c r="G512" s="573"/>
      <c r="H512" s="574"/>
      <c r="I512" s="20"/>
      <c r="J512" s="242"/>
      <c r="L512" s="46">
        <f>IF(ISBLANK(E512),0,1)</f>
      </c>
      <c r="M512" s="28">
        <f>IF(D512=$M$1,0,1)</f>
      </c>
      <c r="Q512" s="142"/>
      <c r="R512" s="142"/>
      <c r="S512" s="142"/>
      <c r="T512" s="142"/>
      <c r="U512" s="142"/>
      <c r="V512" s="142"/>
      <c r="W512" s="142"/>
      <c r="X512" s="142"/>
    </row>
    <row r="513" spans="1:24" ht="6" customHeight="1" x14ac:dyDescent="0.2">
      <c r="A513" s="17"/>
      <c r="B513" s="565"/>
      <c r="C513" s="565"/>
      <c r="D513" s="565"/>
      <c r="E513" s="20"/>
      <c r="F513" s="20"/>
      <c r="G513" s="573"/>
      <c r="H513" s="574"/>
      <c r="I513" s="20"/>
      <c r="J513" s="242"/>
      <c r="M513" s="28"/>
      <c r="Q513" s="142"/>
      <c r="R513" s="142"/>
      <c r="S513" s="142"/>
      <c r="T513" s="142"/>
      <c r="U513" s="142"/>
      <c r="V513" s="142"/>
      <c r="W513" s="142"/>
      <c r="X513" s="142"/>
    </row>
    <row r="514" spans="1:24" ht="16.149999999999999" customHeight="1" x14ac:dyDescent="0.2">
      <c r="A514" s="17"/>
      <c r="B514" s="564" t="s">
        <v>3333</v>
      </c>
      <c r="C514" s="564"/>
      <c r="D514" s="566" t="str">
        <f>IF(N515=1,"Delete!","")</f>
        <v/>
      </c>
      <c r="E514" s="571"/>
      <c r="F514" s="20"/>
      <c r="G514" s="573" t="s">
        <v>3213</v>
      </c>
      <c r="H514" s="575"/>
      <c r="I514" s="570" t="str">
        <f>IF(L517=0,"",IF(AND(N508=1,H514&lt;&gt;""),"Delete!",IF(N508=1,"",IF(ISBLANK(H514),"Date ?",""))))</f>
        <v/>
      </c>
      <c r="J514" s="242"/>
      <c r="L514" s="46">
        <f>IF(ISBLANK(E514),0,1)</f>
      </c>
      <c r="M514" s="142">
        <f>IF(I514=$M$1,0,1)</f>
      </c>
      <c r="N514" s="142">
        <f>IF(AND(N508=1,H514&lt;&gt;""),1,0)</f>
      </c>
      <c r="Q514" s="142"/>
      <c r="R514" s="142"/>
      <c r="S514" s="142"/>
      <c r="T514" s="142"/>
      <c r="U514" s="142"/>
      <c r="V514" s="142"/>
      <c r="W514" s="142"/>
      <c r="X514" s="142"/>
    </row>
    <row r="515" spans="1:24" ht="6" customHeight="1" x14ac:dyDescent="0.2">
      <c r="A515" s="17"/>
      <c r="B515" s="565"/>
      <c r="C515" s="565"/>
      <c r="D515" s="565"/>
      <c r="E515" s="576"/>
      <c r="F515" s="20"/>
      <c r="G515" s="573"/>
      <c r="H515" s="574"/>
      <c r="I515" s="20"/>
      <c r="J515" s="242"/>
      <c r="L515" s="142">
        <f>IF(ISBLANK(H514),0,1)</f>
      </c>
      <c r="M515" s="142">
        <f>IF(D514=$M$1,0,1)</f>
      </c>
      <c r="N515" s="142">
        <f>IF(AND(N508=1,E514&lt;&gt;0),1,0)</f>
      </c>
      <c r="Q515" s="142"/>
      <c r="R515" s="142"/>
      <c r="S515" s="142"/>
      <c r="T515" s="142"/>
      <c r="U515" s="142"/>
      <c r="V515" s="142"/>
      <c r="W515" s="142"/>
      <c r="X515" s="142"/>
    </row>
    <row r="516" spans="1:24" ht="16.149999999999999" customHeight="1" x14ac:dyDescent="0.2">
      <c r="A516" s="17"/>
      <c r="B516" s="4647" t="s">
        <v>4245</v>
      </c>
      <c r="C516" s="4647"/>
      <c r="D516" s="4647"/>
      <c r="E516" s="4649" t="s">
        <v>1511</v>
      </c>
      <c r="F516" s="4649"/>
      <c r="G516" s="577"/>
      <c r="H516" s="574"/>
      <c r="I516" s="20"/>
      <c r="J516" s="242"/>
      <c r="M516" s="28">
        <f>IF(G516=$M$1,0,1)</f>
      </c>
      <c r="Q516" s="142"/>
      <c r="R516" s="142"/>
      <c r="S516" s="142"/>
      <c r="T516" s="142"/>
      <c r="U516" s="142"/>
      <c r="V516" s="142"/>
      <c r="W516" s="142"/>
      <c r="X516" s="142"/>
    </row>
    <row r="517" spans="1:24" ht="6" customHeight="1" x14ac:dyDescent="0.2">
      <c r="A517" s="17"/>
      <c r="B517" s="17"/>
      <c r="C517" s="17"/>
      <c r="D517" s="578"/>
      <c r="E517" s="579"/>
      <c r="F517" s="17"/>
      <c r="G517" s="580"/>
      <c r="H517" s="578"/>
      <c r="I517" s="17"/>
      <c r="J517" s="242"/>
      <c r="L517" s="176">
        <f>SUM(L493:L516)</f>
      </c>
      <c r="M517" s="28"/>
      <c r="Q517" s="142"/>
      <c r="R517" s="142"/>
      <c r="S517" s="142"/>
      <c r="T517" s="142"/>
      <c r="U517" s="142"/>
      <c r="V517" s="142"/>
      <c r="W517" s="142"/>
      <c r="X517" s="142"/>
    </row>
    <row r="518" spans="1:24" ht="22.5" x14ac:dyDescent="0.2">
      <c r="A518" s="17"/>
      <c r="B518" s="581" t="s">
        <v>4244</v>
      </c>
      <c r="C518" s="581" t="s">
        <v>4246</v>
      </c>
      <c r="D518" s="582" t="s">
        <v>1475</v>
      </c>
      <c r="E518" s="583" t="s">
        <v>1476</v>
      </c>
      <c r="F518" s="269" t="s">
        <v>1477</v>
      </c>
      <c r="G518" s="17"/>
      <c r="H518" s="584"/>
      <c r="I518" s="17"/>
      <c r="J518" s="242"/>
      <c r="M518" s="28"/>
      <c r="Q518" s="142"/>
      <c r="R518" s="142"/>
      <c r="S518" s="142"/>
      <c r="T518" s="142"/>
      <c r="U518" s="142"/>
      <c r="V518" s="142"/>
      <c r="W518" s="142"/>
      <c r="X518" s="142"/>
    </row>
    <row r="519" spans="1:24" ht="16.149999999999999" customHeight="1" x14ac:dyDescent="0.2">
      <c r="A519" s="17"/>
      <c r="B519" s="431"/>
      <c r="C519" s="297"/>
      <c r="D519" s="297"/>
      <c r="E519" s="297"/>
      <c r="F519" s="297"/>
      <c r="G519" s="222" t="str">
        <f>IF(L517=0,"",IF(L519=5,"","All details !"))</f>
        <v/>
      </c>
      <c r="H519" s="17"/>
      <c r="I519" s="17"/>
      <c r="J519" s="242"/>
      <c r="L519" s="46">
        <f t="shared" ref="L519:L544" si="24">COUNT(B519:F519)</f>
      </c>
      <c r="M519" s="28">
        <f t="shared" ref="M519:M545" si="25">IF(G519=$M$1,0,1)</f>
      </c>
      <c r="Q519" s="142"/>
      <c r="R519" s="142"/>
      <c r="S519" s="142"/>
      <c r="T519" s="142"/>
      <c r="U519" s="142"/>
      <c r="V519" s="142"/>
      <c r="W519" s="142"/>
      <c r="X519" s="142"/>
    </row>
    <row r="520" spans="1:24" ht="16.149999999999999" customHeight="1" x14ac:dyDescent="0.2">
      <c r="A520" s="17"/>
      <c r="B520" s="431"/>
      <c r="C520" s="297"/>
      <c r="D520" s="297"/>
      <c r="E520" s="297"/>
      <c r="F520" s="297"/>
      <c r="G520" s="222" t="str">
        <f t="shared" ref="G520:G544" si="26">IF(L520=0,"",IF(L520=5,"","All details !"))</f>
        <v/>
      </c>
      <c r="H520" s="17"/>
      <c r="I520" s="17"/>
      <c r="J520" s="242"/>
      <c r="L520" s="46">
        <f t="shared" si="24"/>
        <v>0</v>
      </c>
      <c r="M520" s="28">
        <f t="shared" si="25"/>
        <v>0</v>
      </c>
      <c r="Q520" s="142"/>
      <c r="R520" s="142"/>
      <c r="S520" s="142"/>
      <c r="T520" s="142"/>
      <c r="U520" s="142"/>
      <c r="V520" s="142"/>
      <c r="W520" s="142"/>
      <c r="X520" s="142"/>
    </row>
    <row r="521" spans="1:24" ht="16.149999999999999" customHeight="1" x14ac:dyDescent="0.2">
      <c r="A521" s="17"/>
      <c r="B521" s="431"/>
      <c r="C521" s="297"/>
      <c r="D521" s="297"/>
      <c r="E521" s="297"/>
      <c r="F521" s="297"/>
      <c r="G521" s="222" t="str">
        <f t="shared" si="26"/>
        <v/>
      </c>
      <c r="H521" s="17"/>
      <c r="I521" s="17"/>
      <c r="J521" s="242"/>
      <c r="L521" s="46">
        <f t="shared" si="24"/>
        <v>0</v>
      </c>
      <c r="M521" s="28">
        <f t="shared" si="25"/>
        <v>0</v>
      </c>
      <c r="Q521" s="142"/>
      <c r="R521" s="142"/>
      <c r="S521" s="142"/>
      <c r="T521" s="142"/>
      <c r="U521" s="142"/>
      <c r="V521" s="142"/>
      <c r="W521" s="142"/>
      <c r="X521" s="142"/>
    </row>
    <row r="522" spans="1:24" ht="16.149999999999999" customHeight="1" x14ac:dyDescent="0.2">
      <c r="A522" s="17"/>
      <c r="B522" s="431"/>
      <c r="C522" s="297"/>
      <c r="D522" s="297"/>
      <c r="E522" s="297"/>
      <c r="F522" s="297"/>
      <c r="G522" s="222" t="str">
        <f t="shared" si="26"/>
        <v/>
      </c>
      <c r="H522" s="17"/>
      <c r="I522" s="17"/>
      <c r="J522" s="242"/>
      <c r="L522" s="46">
        <f t="shared" si="24"/>
        <v>0</v>
      </c>
      <c r="M522" s="28">
        <f t="shared" si="25"/>
        <v>0</v>
      </c>
      <c r="Q522" s="142"/>
      <c r="R522" s="142"/>
      <c r="S522" s="142"/>
      <c r="T522" s="142"/>
      <c r="U522" s="142"/>
      <c r="V522" s="142"/>
      <c r="W522" s="142"/>
      <c r="X522" s="142"/>
    </row>
    <row r="523" spans="1:24" ht="16.149999999999999" customHeight="1" x14ac:dyDescent="0.2">
      <c r="A523" s="17"/>
      <c r="B523" s="431"/>
      <c r="C523" s="297"/>
      <c r="D523" s="297"/>
      <c r="E523" s="297"/>
      <c r="F523" s="297"/>
      <c r="G523" s="222" t="str">
        <f t="shared" si="26"/>
        <v/>
      </c>
      <c r="H523" s="17"/>
      <c r="I523" s="17"/>
      <c r="J523" s="242"/>
      <c r="L523" s="46">
        <f t="shared" si="24"/>
        <v>0</v>
      </c>
      <c r="M523" s="28">
        <f t="shared" si="25"/>
        <v>0</v>
      </c>
      <c r="Q523" s="142"/>
      <c r="R523" s="142"/>
      <c r="S523" s="142"/>
      <c r="T523" s="142"/>
      <c r="U523" s="142"/>
      <c r="V523" s="142"/>
      <c r="W523" s="142"/>
      <c r="X523" s="142"/>
    </row>
    <row r="524" spans="1:24" ht="16.149999999999999" customHeight="1" x14ac:dyDescent="0.2">
      <c r="A524" s="17"/>
      <c r="B524" s="431"/>
      <c r="C524" s="297"/>
      <c r="D524" s="297"/>
      <c r="E524" s="297"/>
      <c r="F524" s="297"/>
      <c r="G524" s="222" t="str">
        <f t="shared" si="26"/>
        <v/>
      </c>
      <c r="H524" s="17"/>
      <c r="I524" s="17"/>
      <c r="J524" s="242"/>
      <c r="L524" s="46">
        <f t="shared" si="24"/>
        <v>0</v>
      </c>
      <c r="M524" s="28">
        <f t="shared" si="25"/>
        <v>0</v>
      </c>
      <c r="Q524" s="142"/>
      <c r="R524" s="142"/>
      <c r="S524" s="142"/>
      <c r="T524" s="142"/>
      <c r="U524" s="142"/>
      <c r="V524" s="142"/>
      <c r="W524" s="142"/>
      <c r="X524" s="142"/>
    </row>
    <row r="525" spans="1:24" ht="16.149999999999999" customHeight="1" x14ac:dyDescent="0.2">
      <c r="A525" s="17"/>
      <c r="B525" s="431"/>
      <c r="C525" s="297"/>
      <c r="D525" s="297"/>
      <c r="E525" s="297"/>
      <c r="F525" s="297"/>
      <c r="G525" s="222" t="str">
        <f t="shared" si="26"/>
        <v/>
      </c>
      <c r="H525" s="17"/>
      <c r="I525" s="17"/>
      <c r="J525" s="242"/>
      <c r="L525" s="46">
        <f t="shared" si="24"/>
        <v>0</v>
      </c>
      <c r="M525" s="28">
        <f t="shared" si="25"/>
        <v>0</v>
      </c>
      <c r="Q525" s="142"/>
      <c r="R525" s="142"/>
      <c r="S525" s="142"/>
      <c r="T525" s="142"/>
      <c r="U525" s="142"/>
      <c r="V525" s="142"/>
      <c r="W525" s="142"/>
      <c r="X525" s="142"/>
    </row>
    <row r="526" spans="1:24" ht="16.149999999999999" customHeight="1" x14ac:dyDescent="0.2">
      <c r="A526" s="17"/>
      <c r="B526" s="431"/>
      <c r="C526" s="297"/>
      <c r="D526" s="297"/>
      <c r="E526" s="297"/>
      <c r="F526" s="297"/>
      <c r="G526" s="222" t="str">
        <f t="shared" si="26"/>
        <v/>
      </c>
      <c r="H526" s="17"/>
      <c r="I526" s="17"/>
      <c r="J526" s="242"/>
      <c r="L526" s="46">
        <f t="shared" si="24"/>
        <v>0</v>
      </c>
      <c r="M526" s="28">
        <f t="shared" si="25"/>
        <v>0</v>
      </c>
      <c r="Q526" s="142"/>
      <c r="R526" s="142"/>
      <c r="S526" s="142"/>
      <c r="T526" s="142"/>
      <c r="U526" s="142"/>
      <c r="V526" s="142"/>
      <c r="W526" s="142"/>
      <c r="X526" s="142"/>
    </row>
    <row r="527" spans="1:24" ht="16.149999999999999" customHeight="1" x14ac:dyDescent="0.2">
      <c r="A527" s="17"/>
      <c r="B527" s="431"/>
      <c r="C527" s="297"/>
      <c r="D527" s="297"/>
      <c r="E527" s="297"/>
      <c r="F527" s="297"/>
      <c r="G527" s="222" t="str">
        <f t="shared" si="26"/>
        <v/>
      </c>
      <c r="H527" s="17"/>
      <c r="I527" s="17"/>
      <c r="J527" s="242"/>
      <c r="L527" s="46">
        <f t="shared" si="24"/>
        <v>0</v>
      </c>
      <c r="M527" s="28">
        <f t="shared" si="25"/>
        <v>0</v>
      </c>
      <c r="Q527" s="142"/>
      <c r="R527" s="142"/>
      <c r="S527" s="142"/>
      <c r="T527" s="142"/>
      <c r="U527" s="142"/>
      <c r="V527" s="142"/>
      <c r="W527" s="142"/>
      <c r="X527" s="142"/>
    </row>
    <row r="528" spans="1:24" ht="16.149999999999999" customHeight="1" x14ac:dyDescent="0.2">
      <c r="A528" s="17"/>
      <c r="B528" s="431"/>
      <c r="C528" s="297"/>
      <c r="D528" s="297"/>
      <c r="E528" s="297"/>
      <c r="F528" s="297"/>
      <c r="G528" s="222" t="str">
        <f t="shared" si="26"/>
        <v/>
      </c>
      <c r="H528" s="17"/>
      <c r="I528" s="17"/>
      <c r="J528" s="242"/>
      <c r="L528" s="46">
        <f t="shared" si="24"/>
        <v>0</v>
      </c>
      <c r="M528" s="28">
        <f t="shared" si="25"/>
        <v>0</v>
      </c>
      <c r="Q528" s="142"/>
      <c r="R528" s="142"/>
      <c r="S528" s="142"/>
      <c r="T528" s="142"/>
      <c r="U528" s="142"/>
      <c r="V528" s="142"/>
      <c r="W528" s="142"/>
      <c r="X528" s="142"/>
    </row>
    <row r="529" spans="1:24" ht="16.149999999999999" customHeight="1" x14ac:dyDescent="0.2">
      <c r="A529" s="17"/>
      <c r="B529" s="431"/>
      <c r="C529" s="297"/>
      <c r="D529" s="297"/>
      <c r="E529" s="297"/>
      <c r="F529" s="297"/>
      <c r="G529" s="222" t="str">
        <f t="shared" si="26"/>
        <v/>
      </c>
      <c r="H529" s="17"/>
      <c r="I529" s="17"/>
      <c r="J529" s="242"/>
      <c r="L529" s="46">
        <f t="shared" si="24"/>
        <v>0</v>
      </c>
      <c r="M529" s="28">
        <f t="shared" si="25"/>
        <v>0</v>
      </c>
      <c r="Q529" s="142"/>
      <c r="R529" s="142"/>
      <c r="S529" s="142"/>
      <c r="T529" s="142"/>
      <c r="U529" s="142"/>
      <c r="V529" s="142"/>
      <c r="W529" s="142"/>
      <c r="X529" s="142"/>
    </row>
    <row r="530" spans="1:24" ht="16.149999999999999" customHeight="1" x14ac:dyDescent="0.2">
      <c r="A530" s="17"/>
      <c r="B530" s="431"/>
      <c r="C530" s="297"/>
      <c r="D530" s="297"/>
      <c r="E530" s="297"/>
      <c r="F530" s="297"/>
      <c r="G530" s="222" t="str">
        <f t="shared" si="26"/>
        <v/>
      </c>
      <c r="H530" s="17"/>
      <c r="I530" s="17"/>
      <c r="J530" s="242"/>
      <c r="L530" s="46">
        <f t="shared" si="24"/>
        <v>0</v>
      </c>
      <c r="M530" s="28">
        <f t="shared" si="25"/>
        <v>0</v>
      </c>
      <c r="Q530" s="142"/>
      <c r="R530" s="142"/>
      <c r="S530" s="142"/>
      <c r="T530" s="142"/>
      <c r="U530" s="142"/>
      <c r="V530" s="142"/>
      <c r="W530" s="142"/>
      <c r="X530" s="142"/>
    </row>
    <row r="531" spans="1:24" ht="16.149999999999999" customHeight="1" x14ac:dyDescent="0.2">
      <c r="A531" s="17"/>
      <c r="B531" s="431"/>
      <c r="C531" s="297"/>
      <c r="D531" s="297"/>
      <c r="E531" s="297"/>
      <c r="F531" s="297"/>
      <c r="G531" s="222" t="str">
        <f t="shared" si="26"/>
        <v/>
      </c>
      <c r="H531" s="17"/>
      <c r="I531" s="17"/>
      <c r="J531" s="242"/>
      <c r="L531" s="46">
        <f t="shared" si="24"/>
        <v>0</v>
      </c>
      <c r="M531" s="28">
        <f t="shared" si="25"/>
        <v>0</v>
      </c>
      <c r="Q531" s="142"/>
      <c r="R531" s="142"/>
      <c r="S531" s="142"/>
      <c r="T531" s="142"/>
      <c r="U531" s="142"/>
      <c r="V531" s="142"/>
      <c r="W531" s="142"/>
      <c r="X531" s="142"/>
    </row>
    <row r="532" spans="1:24" ht="16.149999999999999" customHeight="1" x14ac:dyDescent="0.2">
      <c r="A532" s="17"/>
      <c r="B532" s="431"/>
      <c r="C532" s="297"/>
      <c r="D532" s="297"/>
      <c r="E532" s="297"/>
      <c r="F532" s="297"/>
      <c r="G532" s="222" t="str">
        <f t="shared" si="26"/>
        <v/>
      </c>
      <c r="H532" s="17"/>
      <c r="I532" s="17"/>
      <c r="J532" s="242"/>
      <c r="L532" s="46">
        <f t="shared" si="24"/>
        <v>0</v>
      </c>
      <c r="M532" s="28">
        <f t="shared" si="25"/>
        <v>0</v>
      </c>
      <c r="Q532" s="142"/>
      <c r="R532" s="142"/>
      <c r="S532" s="142"/>
      <c r="T532" s="142"/>
      <c r="U532" s="142"/>
      <c r="V532" s="142"/>
      <c r="W532" s="142"/>
      <c r="X532" s="142"/>
    </row>
    <row r="533" spans="1:24" ht="16.149999999999999" customHeight="1" x14ac:dyDescent="0.2">
      <c r="A533" s="17"/>
      <c r="B533" s="431"/>
      <c r="C533" s="297"/>
      <c r="D533" s="297"/>
      <c r="E533" s="297"/>
      <c r="F533" s="297"/>
      <c r="G533" s="222" t="str">
        <f t="shared" si="26"/>
        <v/>
      </c>
      <c r="H533" s="17"/>
      <c r="I533" s="17"/>
      <c r="J533" s="242"/>
      <c r="L533" s="46">
        <f t="shared" si="24"/>
        <v>0</v>
      </c>
      <c r="M533" s="28">
        <f t="shared" si="25"/>
        <v>0</v>
      </c>
      <c r="Q533" s="142"/>
      <c r="R533" s="142"/>
      <c r="S533" s="142"/>
      <c r="T533" s="142"/>
      <c r="U533" s="142"/>
      <c r="V533" s="142"/>
      <c r="W533" s="142"/>
      <c r="X533" s="142"/>
    </row>
    <row r="534" spans="1:24" ht="16.149999999999999" customHeight="1" x14ac:dyDescent="0.2">
      <c r="A534" s="17"/>
      <c r="B534" s="431"/>
      <c r="C534" s="297"/>
      <c r="D534" s="297"/>
      <c r="E534" s="297"/>
      <c r="F534" s="297"/>
      <c r="G534" s="222" t="str">
        <f t="shared" si="26"/>
        <v/>
      </c>
      <c r="H534" s="17"/>
      <c r="I534" s="17"/>
      <c r="J534" s="242"/>
      <c r="L534" s="46">
        <f t="shared" si="24"/>
        <v>0</v>
      </c>
      <c r="M534" s="28">
        <f t="shared" si="25"/>
        <v>0</v>
      </c>
      <c r="Q534" s="142"/>
      <c r="R534" s="142"/>
      <c r="S534" s="142"/>
      <c r="T534" s="142"/>
      <c r="U534" s="142"/>
      <c r="V534" s="142"/>
      <c r="W534" s="142"/>
      <c r="X534" s="142"/>
    </row>
    <row r="535" spans="1:24" ht="16.149999999999999" customHeight="1" x14ac:dyDescent="0.2">
      <c r="A535" s="17"/>
      <c r="B535" s="431"/>
      <c r="C535" s="297"/>
      <c r="D535" s="297"/>
      <c r="E535" s="297"/>
      <c r="F535" s="297"/>
      <c r="G535" s="222" t="str">
        <f t="shared" si="26"/>
        <v/>
      </c>
      <c r="H535" s="17"/>
      <c r="I535" s="17"/>
      <c r="J535" s="242"/>
      <c r="L535" s="46">
        <f t="shared" si="24"/>
        <v>0</v>
      </c>
      <c r="M535" s="28">
        <f t="shared" si="25"/>
        <v>0</v>
      </c>
      <c r="Q535" s="142"/>
      <c r="R535" s="142"/>
      <c r="S535" s="142"/>
      <c r="T535" s="142"/>
      <c r="U535" s="142"/>
      <c r="V535" s="142"/>
      <c r="W535" s="142"/>
      <c r="X535" s="142"/>
    </row>
    <row r="536" spans="1:24" ht="16.149999999999999" customHeight="1" x14ac:dyDescent="0.2">
      <c r="A536" s="17"/>
      <c r="B536" s="431"/>
      <c r="C536" s="297"/>
      <c r="D536" s="297"/>
      <c r="E536" s="297"/>
      <c r="F536" s="297"/>
      <c r="G536" s="222" t="str">
        <f t="shared" si="26"/>
        <v/>
      </c>
      <c r="H536" s="17"/>
      <c r="I536" s="17"/>
      <c r="J536" s="242"/>
      <c r="L536" s="46">
        <f t="shared" si="24"/>
        <v>0</v>
      </c>
      <c r="M536" s="28">
        <f t="shared" si="25"/>
        <v>0</v>
      </c>
      <c r="Q536" s="142"/>
      <c r="R536" s="142"/>
      <c r="S536" s="142"/>
      <c r="T536" s="142"/>
      <c r="U536" s="142"/>
      <c r="V536" s="142"/>
      <c r="W536" s="142"/>
      <c r="X536" s="142"/>
    </row>
    <row r="537" spans="1:24" ht="16.149999999999999" customHeight="1" x14ac:dyDescent="0.2">
      <c r="A537" s="17"/>
      <c r="B537" s="431"/>
      <c r="C537" s="297"/>
      <c r="D537" s="297"/>
      <c r="E537" s="297"/>
      <c r="F537" s="297"/>
      <c r="G537" s="222" t="str">
        <f t="shared" si="26"/>
        <v/>
      </c>
      <c r="H537" s="17"/>
      <c r="I537" s="17"/>
      <c r="J537" s="242"/>
      <c r="L537" s="46">
        <f t="shared" si="24"/>
        <v>0</v>
      </c>
      <c r="M537" s="28">
        <f t="shared" si="25"/>
        <v>0</v>
      </c>
      <c r="Q537" s="142"/>
      <c r="R537" s="142"/>
      <c r="S537" s="142"/>
      <c r="T537" s="142"/>
      <c r="U537" s="142"/>
      <c r="V537" s="142"/>
      <c r="W537" s="142"/>
      <c r="X537" s="142"/>
    </row>
    <row r="538" spans="1:24" ht="16.149999999999999" customHeight="1" x14ac:dyDescent="0.2">
      <c r="A538" s="17"/>
      <c r="B538" s="431"/>
      <c r="C538" s="297"/>
      <c r="D538" s="297"/>
      <c r="E538" s="297"/>
      <c r="F538" s="297"/>
      <c r="G538" s="222" t="str">
        <f t="shared" si="26"/>
        <v/>
      </c>
      <c r="H538" s="17"/>
      <c r="I538" s="17"/>
      <c r="J538" s="242"/>
      <c r="L538" s="46">
        <f t="shared" si="24"/>
        <v>0</v>
      </c>
      <c r="M538" s="28">
        <f t="shared" si="25"/>
        <v>0</v>
      </c>
      <c r="Q538" s="142"/>
      <c r="R538" s="142"/>
      <c r="S538" s="142"/>
      <c r="T538" s="142"/>
      <c r="U538" s="142"/>
      <c r="V538" s="142"/>
      <c r="W538" s="142"/>
      <c r="X538" s="142"/>
    </row>
    <row r="539" spans="1:24" ht="16.149999999999999" customHeight="1" x14ac:dyDescent="0.2">
      <c r="A539" s="17"/>
      <c r="B539" s="431"/>
      <c r="C539" s="297"/>
      <c r="D539" s="297"/>
      <c r="E539" s="297"/>
      <c r="F539" s="297"/>
      <c r="G539" s="222" t="str">
        <f t="shared" si="26"/>
        <v/>
      </c>
      <c r="H539" s="17"/>
      <c r="I539" s="17"/>
      <c r="J539" s="242"/>
      <c r="L539" s="46">
        <f t="shared" si="24"/>
        <v>0</v>
      </c>
      <c r="M539" s="28">
        <f t="shared" si="25"/>
        <v>0</v>
      </c>
      <c r="Q539" s="142"/>
      <c r="R539" s="142"/>
      <c r="S539" s="142"/>
      <c r="T539" s="142"/>
      <c r="U539" s="142"/>
      <c r="V539" s="142"/>
      <c r="W539" s="142"/>
      <c r="X539" s="142"/>
    </row>
    <row r="540" spans="1:24" ht="16.149999999999999" customHeight="1" x14ac:dyDescent="0.2">
      <c r="A540" s="17"/>
      <c r="B540" s="431"/>
      <c r="C540" s="297"/>
      <c r="D540" s="297"/>
      <c r="E540" s="297"/>
      <c r="F540" s="297"/>
      <c r="G540" s="222" t="str">
        <f t="shared" si="26"/>
        <v/>
      </c>
      <c r="H540" s="17"/>
      <c r="I540" s="17"/>
      <c r="J540" s="242"/>
      <c r="L540" s="46">
        <f t="shared" si="24"/>
        <v>0</v>
      </c>
      <c r="M540" s="28">
        <f t="shared" si="25"/>
        <v>0</v>
      </c>
      <c r="Q540" s="142"/>
      <c r="R540" s="142"/>
      <c r="S540" s="142"/>
      <c r="T540" s="142"/>
      <c r="U540" s="142"/>
      <c r="V540" s="142"/>
      <c r="W540" s="142"/>
      <c r="X540" s="142"/>
    </row>
    <row r="541" spans="1:24" ht="16.149999999999999" customHeight="1" x14ac:dyDescent="0.2">
      <c r="A541" s="17"/>
      <c r="B541" s="431"/>
      <c r="C541" s="297"/>
      <c r="D541" s="297"/>
      <c r="E541" s="297"/>
      <c r="F541" s="297"/>
      <c r="G541" s="222" t="str">
        <f t="shared" si="26"/>
        <v/>
      </c>
      <c r="H541" s="17"/>
      <c r="I541" s="17"/>
      <c r="J541" s="242"/>
      <c r="L541" s="46">
        <f t="shared" si="24"/>
        <v>0</v>
      </c>
      <c r="M541" s="28">
        <f t="shared" si="25"/>
        <v>0</v>
      </c>
      <c r="Q541" s="142"/>
      <c r="R541" s="142"/>
      <c r="S541" s="142"/>
      <c r="T541" s="142"/>
      <c r="U541" s="142"/>
      <c r="V541" s="142"/>
      <c r="W541" s="142"/>
      <c r="X541" s="142"/>
    </row>
    <row r="542" spans="1:24" ht="16.149999999999999" customHeight="1" x14ac:dyDescent="0.2">
      <c r="A542" s="17"/>
      <c r="B542" s="431"/>
      <c r="C542" s="297"/>
      <c r="D542" s="297"/>
      <c r="E542" s="297"/>
      <c r="F542" s="297"/>
      <c r="G542" s="222" t="str">
        <f t="shared" si="26"/>
        <v/>
      </c>
      <c r="H542" s="17"/>
      <c r="I542" s="17"/>
      <c r="J542" s="242"/>
      <c r="L542" s="46">
        <f t="shared" si="24"/>
        <v>0</v>
      </c>
      <c r="M542" s="28">
        <f t="shared" si="25"/>
        <v>0</v>
      </c>
      <c r="Q542" s="142"/>
      <c r="R542" s="142"/>
      <c r="S542" s="142"/>
      <c r="T542" s="142"/>
      <c r="U542" s="142"/>
      <c r="V542" s="142"/>
      <c r="W542" s="142"/>
      <c r="X542" s="142"/>
    </row>
    <row r="543" spans="1:24" ht="16.149999999999999" customHeight="1" x14ac:dyDescent="0.2">
      <c r="A543" s="17"/>
      <c r="B543" s="431"/>
      <c r="C543" s="297"/>
      <c r="D543" s="297"/>
      <c r="E543" s="297"/>
      <c r="F543" s="297"/>
      <c r="G543" s="222" t="str">
        <f t="shared" si="26"/>
        <v/>
      </c>
      <c r="H543" s="17"/>
      <c r="I543" s="17"/>
      <c r="J543" s="242"/>
      <c r="L543" s="46">
        <f t="shared" si="24"/>
        <v>0</v>
      </c>
      <c r="M543" s="28">
        <f t="shared" si="25"/>
        <v>0</v>
      </c>
      <c r="Q543" s="142"/>
      <c r="R543" s="142"/>
      <c r="S543" s="142"/>
      <c r="T543" s="142"/>
      <c r="U543" s="142"/>
      <c r="V543" s="142"/>
      <c r="W543" s="142"/>
      <c r="X543" s="142"/>
    </row>
    <row r="544" spans="1:24" ht="16.149999999999999" customHeight="1" x14ac:dyDescent="0.2">
      <c r="A544" s="17"/>
      <c r="B544" s="585"/>
      <c r="C544" s="313"/>
      <c r="D544" s="313"/>
      <c r="E544" s="313"/>
      <c r="F544" s="313"/>
      <c r="G544" s="222" t="str">
        <f t="shared" si="26"/>
        <v/>
      </c>
      <c r="H544" s="17"/>
      <c r="I544" s="17"/>
      <c r="J544" s="242"/>
      <c r="L544" s="46">
        <f t="shared" si="24"/>
        <v>0</v>
      </c>
      <c r="M544" s="28">
        <f t="shared" si="25"/>
        <v>0</v>
      </c>
      <c r="Q544" s="142"/>
      <c r="R544" s="142"/>
      <c r="S544" s="142"/>
      <c r="T544" s="142"/>
      <c r="U544" s="142"/>
      <c r="V544" s="142"/>
      <c r="W544" s="142"/>
      <c r="X544" s="142"/>
    </row>
    <row r="545" spans="1:24" ht="16.149999999999999" customHeight="1" x14ac:dyDescent="0.2">
      <c r="A545" s="17"/>
      <c r="B545" s="586" t="s">
        <v>5590</v>
      </c>
      <c r="C545" s="587">
        <f>SUM(C519:C544)</f>
      </c>
      <c r="D545" s="587">
        <f>SUM(D519:D544)</f>
      </c>
      <c r="E545" s="587">
        <f>SUM(E519:E544)</f>
      </c>
      <c r="F545" s="587">
        <f>SUM(F519:F544)</f>
      </c>
      <c r="G545" s="222" t="str">
        <f>IF(D545&lt;&gt;E512,"Check Selling Price !","")</f>
        <v/>
      </c>
      <c r="H545" s="17"/>
      <c r="I545" s="17"/>
      <c r="J545" s="242"/>
      <c r="M545" s="28">
        <f t="shared" si="25"/>
        <v>0</v>
      </c>
      <c r="Q545" s="142"/>
      <c r="R545" s="142"/>
      <c r="S545" s="142"/>
      <c r="T545" s="142"/>
      <c r="U545" s="142"/>
      <c r="V545" s="142"/>
      <c r="W545" s="142"/>
      <c r="X545" s="142"/>
    </row>
    <row r="546" spans="1:24" ht="16.149999999999999" customHeight="1" x14ac:dyDescent="0.2">
      <c r="A546" s="17"/>
      <c r="B546" s="4648" t="s">
        <v>1478</v>
      </c>
      <c r="C546" s="4648"/>
      <c r="D546" s="4648"/>
      <c r="E546" s="4648"/>
      <c r="F546" s="588">
        <f>E514</f>
      </c>
      <c r="G546" s="17"/>
      <c r="H546" s="17"/>
      <c r="I546" s="17"/>
      <c r="J546" s="242"/>
      <c r="M546" s="167">
        <f>SUM(M493:M545)</f>
      </c>
      <c r="Q546" s="142"/>
      <c r="R546" s="142"/>
      <c r="S546" s="142"/>
      <c r="T546" s="142"/>
      <c r="U546" s="142"/>
      <c r="V546" s="142"/>
      <c r="W546" s="142"/>
      <c r="X546" s="142"/>
    </row>
    <row r="547" spans="1:24" ht="16.149999999999999" customHeight="1" x14ac:dyDescent="0.2">
      <c r="A547" s="17"/>
      <c r="B547" s="589"/>
      <c r="C547" s="589"/>
      <c r="D547" s="589"/>
      <c r="E547" s="589"/>
      <c r="F547" s="310"/>
      <c r="G547" s="17"/>
      <c r="H547" s="279" t="str">
        <f>ip</f>
      </c>
      <c r="I547" s="279" t="s">
        <v>2372</v>
      </c>
      <c r="J547" s="242"/>
      <c r="Q547" s="142"/>
      <c r="R547" s="142"/>
      <c r="S547" s="142"/>
      <c r="T547" s="142"/>
      <c r="U547" s="142"/>
      <c r="V547" s="142"/>
      <c r="W547" s="142"/>
      <c r="X547" s="142"/>
    </row>
    <row r="548" spans="1:24" ht="16.149999999999999" customHeight="1" x14ac:dyDescent="0.2">
      <c r="A548" s="17"/>
      <c r="B548" s="4650" t="s">
        <v>5410</v>
      </c>
      <c r="C548" s="4650"/>
      <c r="D548" s="4650"/>
      <c r="E548" s="4650"/>
      <c r="F548" s="4650"/>
      <c r="G548" s="17"/>
      <c r="H548" s="590" t="str">
        <f>IF($H510=ip,K548,"")</f>
        <v/>
      </c>
      <c r="I548" s="590" t="str">
        <f>IF($H510=fi,K548,"")</f>
        <v/>
      </c>
      <c r="J548" s="242"/>
      <c r="K548" s="236">
        <f>F545-F546</f>
      </c>
      <c r="Q548" s="142"/>
      <c r="R548" s="142"/>
      <c r="S548" s="142"/>
      <c r="T548" s="142"/>
      <c r="U548" s="142"/>
      <c r="V548" s="142"/>
      <c r="W548" s="142"/>
      <c r="X548" s="142"/>
    </row>
    <row r="549" spans="1:24" ht="16.149999999999999" customHeight="1" x14ac:dyDescent="0.2">
      <c r="A549" s="17"/>
      <c r="B549" s="17" t="str">
        <f>_xlfn.SINGLE(MTCA)</f>
      </c>
      <c r="C549" s="17"/>
      <c r="D549" s="17" t="str">
        <f>ver</f>
        <v>TA2_e-CO_2025_Ver 1.1</v>
      </c>
      <c r="E549" s="17"/>
      <c r="F549" s="17"/>
      <c r="G549" s="17"/>
      <c r="H549" s="17"/>
      <c r="I549" s="536" t="s">
        <v>9869</v>
      </c>
      <c r="J549" s="242"/>
      <c r="Q549" s="142"/>
      <c r="R549" s="142"/>
      <c r="S549" s="142"/>
      <c r="T549" s="142"/>
      <c r="U549" s="142"/>
      <c r="V549" s="142"/>
      <c r="W549" s="142"/>
      <c r="X549" s="142"/>
    </row>
    <row r="550" spans="1:24" ht="16.149999999999999" customHeight="1" x14ac:dyDescent="0.2">
      <c r="A550" s="17"/>
      <c r="B550" s="17"/>
      <c r="C550" s="17"/>
      <c r="D550" s="17"/>
      <c r="E550" s="17"/>
      <c r="F550" s="17"/>
      <c r="G550" s="17"/>
      <c r="H550" s="17"/>
      <c r="I550" s="536"/>
      <c r="J550" s="242"/>
      <c r="Q550" s="142"/>
      <c r="R550" s="142"/>
      <c r="S550" s="142"/>
      <c r="T550" s="142"/>
      <c r="U550" s="142"/>
      <c r="V550" s="142"/>
      <c r="W550" s="142"/>
      <c r="X550" s="142"/>
    </row>
    <row r="551" spans="1:24" ht="16.149999999999999" customHeight="1" x14ac:dyDescent="0.2">
      <c r="A551" s="17"/>
      <c r="B551" s="17"/>
      <c r="C551" s="17"/>
      <c r="D551" s="17"/>
      <c r="E551" s="17"/>
      <c r="F551" s="17"/>
      <c r="G551" s="17"/>
      <c r="H551" s="17"/>
      <c r="I551" s="536"/>
      <c r="J551" s="242"/>
      <c r="Q551" s="142"/>
      <c r="R551" s="142"/>
      <c r="S551" s="142"/>
      <c r="T551" s="142"/>
      <c r="U551" s="142"/>
      <c r="V551" s="142"/>
      <c r="W551" s="142"/>
      <c r="X551" s="142"/>
    </row>
    <row r="552" spans="1:24" ht="16.149999999999999" customHeight="1" x14ac:dyDescent="0.2">
      <c r="A552" s="781">
        <v>10</v>
      </c>
      <c r="B552" s="4645" t="s">
        <v>5196</v>
      </c>
      <c r="C552" s="4645"/>
      <c r="D552" s="4645"/>
      <c r="E552" s="4645"/>
      <c r="F552" s="4645"/>
      <c r="G552" s="4645"/>
      <c r="H552" s="4645"/>
      <c r="I552" s="4645"/>
      <c r="J552" s="242"/>
      <c r="K552" s="62"/>
      <c r="L552" s="62"/>
      <c r="Q552" s="142"/>
      <c r="R552" s="142"/>
      <c r="S552" s="142"/>
      <c r="T552" s="142"/>
      <c r="U552" s="142"/>
      <c r="V552" s="142"/>
      <c r="W552" s="142"/>
      <c r="X552" s="142"/>
    </row>
    <row r="553" spans="1:24" ht="6" customHeight="1" x14ac:dyDescent="0.2">
      <c r="A553" s="242"/>
      <c r="B553" s="242"/>
      <c r="C553" s="242"/>
      <c r="D553" s="242"/>
      <c r="E553" s="242"/>
      <c r="F553" s="242"/>
      <c r="G553" s="242"/>
      <c r="H553" s="242"/>
      <c r="I553" s="242"/>
      <c r="J553" s="242"/>
      <c r="K553" s="62"/>
      <c r="L553" s="62"/>
      <c r="Q553" s="142"/>
      <c r="R553" s="142"/>
      <c r="S553" s="142"/>
      <c r="T553" s="142"/>
      <c r="U553" s="142"/>
      <c r="V553" s="142"/>
      <c r="W553" s="142"/>
      <c r="X553" s="142"/>
    </row>
    <row r="554" spans="1:24" s="142" customFormat="1" ht="14.25" x14ac:dyDescent="0.2">
      <c r="A554" s="242"/>
      <c r="B554" s="3574" t="s">
        <v>9959</v>
      </c>
      <c r="C554" s="242"/>
      <c r="D554" s="242"/>
      <c r="E554" s="242"/>
      <c r="F554" s="569"/>
      <c r="G554" s="572" t="str">
        <f>IF(L578=0,"",IF(AND($P$1="n",F554&lt;&gt;""),"No details required!",IF(AND($P$1="y",ISBLANK(F554)),"Required !","")))</f>
        <v/>
      </c>
      <c r="H554" s="242"/>
      <c r="I554" s="242"/>
      <c r="J554" s="242"/>
      <c r="L554" s="142">
        <f>IF(ISBLANK(F554),0,1)</f>
      </c>
      <c r="M554" s="167">
        <f>IF(G554=$M$1,0,1)</f>
      </c>
    </row>
    <row r="555" spans="1:24" s="142" customFormat="1" ht="6" customHeight="1" x14ac:dyDescent="0.2">
      <c r="A555" s="242"/>
      <c r="B555" s="3574"/>
      <c r="C555" s="242"/>
      <c r="D555" s="242"/>
      <c r="E555" s="242"/>
      <c r="F555" s="242"/>
      <c r="G555" s="572"/>
      <c r="H555" s="242"/>
      <c r="I555" s="242"/>
      <c r="J555" s="242"/>
      <c r="M555" s="167"/>
    </row>
    <row r="556" spans="1:24" ht="14.25" customHeight="1" x14ac:dyDescent="0.2">
      <c r="A556" s="242"/>
      <c r="B556" s="4641" t="s">
        <v>10035</v>
      </c>
      <c r="C556" s="4641"/>
      <c r="D556" s="4641"/>
      <c r="E556" s="4641"/>
      <c r="F556" s="569"/>
      <c r="G556" s="572" t="str">
        <f>IF(L576=0,"",IF(ISBLANK(F556),"Required!",IF(AND($P$3="n",F556="yes"),"Check Pg2 Q32!","")))</f>
        <v/>
      </c>
      <c r="H556" s="242"/>
      <c r="I556" s="242"/>
      <c r="J556" s="242"/>
      <c r="K556" s="62"/>
      <c r="L556" s="142">
        <f>IF(ISBLANK(F556),0,1)</f>
      </c>
      <c r="M556" s="167">
        <f>IF(G556=$M$1,0,1)</f>
      </c>
      <c r="N556" s="142">
        <f>IF(AND($P$3="n",F556="yes"),1,0)</f>
      </c>
      <c r="Q556" s="142"/>
      <c r="R556" s="142"/>
      <c r="S556" s="142"/>
      <c r="T556" s="142"/>
      <c r="U556" s="142"/>
      <c r="V556" s="142"/>
      <c r="W556" s="142"/>
      <c r="X556" s="142"/>
    </row>
    <row r="557" spans="1:24" ht="12.75" x14ac:dyDescent="0.2">
      <c r="A557" s="242"/>
      <c r="B557" s="4642" t="s">
        <v>10036</v>
      </c>
      <c r="C557" s="4642"/>
      <c r="D557" s="4642"/>
      <c r="E557" s="4642"/>
      <c r="F557" s="242"/>
      <c r="G557" s="242"/>
      <c r="H557" s="242"/>
      <c r="I557" s="242"/>
      <c r="J557" s="242"/>
      <c r="K557" s="62"/>
      <c r="L557" s="62"/>
      <c r="Q557" s="142"/>
      <c r="R557" s="142"/>
      <c r="S557" s="142"/>
      <c r="T557" s="142"/>
      <c r="U557" s="142"/>
      <c r="V557" s="142"/>
      <c r="W557" s="142"/>
      <c r="X557" s="142"/>
    </row>
    <row r="558" spans="1:24" s="142" customFormat="1" ht="12.75" hidden="1" x14ac:dyDescent="0.2">
      <c r="A558" s="242"/>
      <c r="B558" s="3574"/>
      <c r="C558" s="242"/>
      <c r="D558" s="242"/>
      <c r="E558" s="242"/>
      <c r="F558" s="242"/>
      <c r="G558" s="572"/>
      <c r="H558" s="242"/>
      <c r="I558" s="242"/>
      <c r="J558" s="242"/>
      <c r="M558" s="167"/>
    </row>
    <row r="559" spans="1:24" s="142" customFormat="1" ht="12.75" hidden="1" x14ac:dyDescent="0.2">
      <c r="A559" s="242"/>
      <c r="B559" s="3574"/>
      <c r="C559" s="242"/>
      <c r="D559" s="242"/>
      <c r="E559" s="242"/>
      <c r="F559" s="242"/>
      <c r="G559" s="572"/>
      <c r="H559" s="242"/>
      <c r="I559" s="242"/>
      <c r="J559" s="242"/>
      <c r="M559" s="167"/>
    </row>
    <row r="560" spans="1:24" s="142" customFormat="1" ht="12.75" hidden="1" x14ac:dyDescent="0.2">
      <c r="A560" s="242"/>
      <c r="B560" s="3574"/>
      <c r="C560" s="242"/>
      <c r="D560" s="242"/>
      <c r="E560" s="242"/>
      <c r="F560" s="242"/>
      <c r="G560" s="572"/>
      <c r="H560" s="242"/>
      <c r="I560" s="242"/>
      <c r="J560" s="242"/>
      <c r="M560" s="167"/>
    </row>
    <row r="561" spans="1:24" s="142" customFormat="1" ht="12.75" hidden="1" x14ac:dyDescent="0.2">
      <c r="A561" s="242"/>
      <c r="B561" s="3574"/>
      <c r="C561" s="242"/>
      <c r="D561" s="242"/>
      <c r="E561" s="242"/>
      <c r="F561" s="242"/>
      <c r="G561" s="572"/>
      <c r="H561" s="242"/>
      <c r="I561" s="242"/>
      <c r="J561" s="242"/>
      <c r="M561" s="167"/>
    </row>
    <row r="562" spans="1:24" s="142" customFormat="1" ht="12.75" hidden="1" x14ac:dyDescent="0.2">
      <c r="A562" s="242"/>
      <c r="B562" s="3574"/>
      <c r="C562" s="242"/>
      <c r="D562" s="242"/>
      <c r="E562" s="242"/>
      <c r="F562" s="242"/>
      <c r="G562" s="572"/>
      <c r="H562" s="242"/>
      <c r="I562" s="242"/>
      <c r="J562" s="242"/>
      <c r="M562" s="167"/>
    </row>
    <row r="563" spans="1:24" s="142" customFormat="1" ht="12.75" hidden="1" x14ac:dyDescent="0.2">
      <c r="A563" s="242"/>
      <c r="B563" s="3574"/>
      <c r="C563" s="242"/>
      <c r="D563" s="242"/>
      <c r="E563" s="242"/>
      <c r="F563" s="242"/>
      <c r="G563" s="572"/>
      <c r="H563" s="242"/>
      <c r="I563" s="242"/>
      <c r="J563" s="242"/>
      <c r="M563" s="167"/>
    </row>
    <row r="564" spans="1:24" s="142" customFormat="1" ht="12.75" hidden="1" x14ac:dyDescent="0.2">
      <c r="A564" s="242"/>
      <c r="B564" s="3574"/>
      <c r="C564" s="242"/>
      <c r="D564" s="242"/>
      <c r="E564" s="242"/>
      <c r="F564" s="242"/>
      <c r="G564" s="572"/>
      <c r="H564" s="242"/>
      <c r="I564" s="242"/>
      <c r="J564" s="242"/>
      <c r="M564" s="167"/>
    </row>
    <row r="565" spans="1:24" s="142" customFormat="1" ht="12.75" hidden="1" x14ac:dyDescent="0.2">
      <c r="A565" s="242"/>
      <c r="B565" s="3574"/>
      <c r="C565" s="242"/>
      <c r="D565" s="242"/>
      <c r="E565" s="242"/>
      <c r="F565" s="242"/>
      <c r="G565" s="572"/>
      <c r="H565" s="242"/>
      <c r="I565" s="242"/>
      <c r="J565" s="242"/>
      <c r="M565" s="167"/>
    </row>
    <row r="566" spans="1:24" s="142" customFormat="1" ht="12.75" hidden="1" x14ac:dyDescent="0.2">
      <c r="A566" s="242"/>
      <c r="B566" s="3574"/>
      <c r="C566" s="242"/>
      <c r="D566" s="242"/>
      <c r="E566" s="242"/>
      <c r="F566" s="242"/>
      <c r="G566" s="572"/>
      <c r="H566" s="242"/>
      <c r="I566" s="242"/>
      <c r="J566" s="242"/>
      <c r="M566" s="167"/>
    </row>
    <row r="567" spans="1:24" ht="6" customHeight="1" x14ac:dyDescent="0.2">
      <c r="A567" s="242"/>
      <c r="B567" s="242"/>
      <c r="C567" s="242"/>
      <c r="D567" s="242"/>
      <c r="E567" s="242"/>
      <c r="F567" s="242"/>
      <c r="G567" s="242"/>
      <c r="H567" s="242"/>
      <c r="I567" s="242"/>
      <c r="J567" s="242"/>
      <c r="K567" s="62"/>
      <c r="L567" s="62"/>
      <c r="Q567" s="142"/>
      <c r="R567" s="142"/>
      <c r="S567" s="142"/>
      <c r="T567" s="142"/>
      <c r="U567" s="142"/>
      <c r="V567" s="142"/>
      <c r="W567" s="142"/>
      <c r="X567" s="142"/>
    </row>
    <row r="568" spans="1:24" ht="16.149999999999999" customHeight="1" x14ac:dyDescent="0.2">
      <c r="A568" s="17"/>
      <c r="B568" s="564" t="str">
        <f>IF(N569=1,"Details of property deemed to be transferred ","Details of property sold")</f>
      </c>
      <c r="C568" s="564"/>
      <c r="D568" s="564"/>
      <c r="E568" s="20"/>
      <c r="F568" s="20"/>
      <c r="G568" s="20"/>
      <c r="H568" s="20"/>
      <c r="I568" s="20"/>
      <c r="J568" s="242"/>
      <c r="Q568" s="142"/>
      <c r="R568" s="142"/>
      <c r="S568" s="142"/>
      <c r="T568" s="142"/>
      <c r="U568" s="142"/>
      <c r="V568" s="142"/>
      <c r="W568" s="142"/>
      <c r="X568" s="142"/>
    </row>
    <row r="569" spans="1:24" ht="16.149999999999999" customHeight="1" x14ac:dyDescent="0.2">
      <c r="A569" s="17"/>
      <c r="B569" s="565" t="s">
        <v>3331</v>
      </c>
      <c r="C569" s="565"/>
      <c r="D569" s="566" t="str">
        <f>IF(L578=0,"",IF(ISBLANK(E569),"Required!",""))</f>
        <v/>
      </c>
      <c r="E569" s="4646"/>
      <c r="F569" s="4646"/>
      <c r="G569" s="4646"/>
      <c r="H569" s="4646"/>
      <c r="I569" s="4646"/>
      <c r="J569" s="242"/>
      <c r="L569" s="46">
        <f>IF(ISBLANK(E569),0,1)</f>
      </c>
      <c r="M569" s="167">
        <f>IF(D569=$M$1,0,1)</f>
      </c>
      <c r="N569" s="142">
        <f>IF(AND(F556="yes",$P$3="y"),1,0)</f>
      </c>
      <c r="Q569" s="142"/>
      <c r="R569" s="142"/>
      <c r="S569" s="142"/>
      <c r="T569" s="142"/>
      <c r="U569" s="142"/>
      <c r="V569" s="142"/>
      <c r="W569" s="142"/>
      <c r="X569" s="142"/>
    </row>
    <row r="570" spans="1:24" ht="6" customHeight="1" x14ac:dyDescent="0.2">
      <c r="A570" s="17"/>
      <c r="B570" s="565"/>
      <c r="C570" s="565"/>
      <c r="D570" s="565"/>
      <c r="E570" s="185"/>
      <c r="F570" s="185"/>
      <c r="G570" s="185"/>
      <c r="H570" s="185"/>
      <c r="I570" s="185"/>
      <c r="J570" s="242"/>
      <c r="M570" s="28"/>
      <c r="Q570" s="142"/>
      <c r="R570" s="142"/>
      <c r="S570" s="142"/>
      <c r="T570" s="142"/>
      <c r="U570" s="142"/>
      <c r="V570" s="142"/>
      <c r="W570" s="142"/>
      <c r="X570" s="142"/>
    </row>
    <row r="571" spans="1:24" ht="16.149999999999999" customHeight="1" x14ac:dyDescent="0.2">
      <c r="A571" s="17"/>
      <c r="B571" s="567" t="str">
        <f>IF(N569=1,"Year of transfer [Basis Year]","Year of sale [Basis Year]")</f>
      </c>
      <c r="C571" s="567"/>
      <c r="D571" s="566" t="str">
        <f>IF(L578=0,"",IF(ISBLANK(E571),"Required!",""))</f>
        <v/>
      </c>
      <c r="E571" s="568"/>
      <c r="F571" s="4643" t="s">
        <v>3332</v>
      </c>
      <c r="G571" s="4644"/>
      <c r="H571" s="569"/>
      <c r="I571" s="570" t="str">
        <f>IF(L578=0,"",IF(ISBLANK(H571),"A/c ?",""))</f>
        <v/>
      </c>
      <c r="J571" s="242"/>
      <c r="L571" s="46">
        <f>IF(ISBLANK(E571),0,1)</f>
      </c>
      <c r="M571" s="28">
        <f>IF(I571=$M$1,0,1)</f>
      </c>
      <c r="Q571" s="142"/>
      <c r="R571" s="142"/>
      <c r="S571" s="142"/>
      <c r="T571" s="142"/>
      <c r="U571" s="142"/>
      <c r="V571" s="142"/>
      <c r="W571" s="142"/>
      <c r="X571" s="142"/>
    </row>
    <row r="572" spans="1:24" ht="6" customHeight="1" x14ac:dyDescent="0.2">
      <c r="A572" s="17"/>
      <c r="B572" s="565"/>
      <c r="C572" s="565"/>
      <c r="D572" s="565"/>
      <c r="E572" s="20"/>
      <c r="F572" s="20"/>
      <c r="G572" s="20"/>
      <c r="H572" s="20"/>
      <c r="I572" s="20"/>
      <c r="J572" s="242"/>
      <c r="L572" s="46">
        <f>IF(ISBLANK(H571),0,1)</f>
      </c>
      <c r="M572" s="167">
        <f>IF(D571=$M$1,0,1)</f>
      </c>
      <c r="Q572" s="142"/>
      <c r="R572" s="142"/>
      <c r="S572" s="142"/>
      <c r="T572" s="142"/>
      <c r="U572" s="142"/>
      <c r="V572" s="142"/>
      <c r="W572" s="142"/>
      <c r="X572" s="142"/>
    </row>
    <row r="573" spans="1:24" ht="16.149999999999999" customHeight="1" x14ac:dyDescent="0.2">
      <c r="A573" s="17"/>
      <c r="B573" s="564" t="str">
        <f>IF(N569=1,"Market value of property","Selling price of property")</f>
      </c>
      <c r="C573" s="564"/>
      <c r="D573" s="566" t="str">
        <f>IF(L578=0,"",IF(ISBLANK(E573),"Required !",""))</f>
        <v/>
      </c>
      <c r="E573" s="571"/>
      <c r="F573" s="20"/>
      <c r="G573" s="573"/>
      <c r="H573" s="574"/>
      <c r="I573" s="20"/>
      <c r="J573" s="242"/>
      <c r="L573" s="46">
        <f>IF(ISBLANK(E573),0,1)</f>
      </c>
      <c r="M573" s="28">
        <f>IF(D573=$M$1,0,1)</f>
      </c>
      <c r="Q573" s="142"/>
      <c r="R573" s="142"/>
      <c r="S573" s="142"/>
      <c r="T573" s="142"/>
      <c r="U573" s="142"/>
      <c r="V573" s="142"/>
      <c r="W573" s="142"/>
      <c r="X573" s="142"/>
    </row>
    <row r="574" spans="1:24" ht="6" customHeight="1" x14ac:dyDescent="0.2">
      <c r="A574" s="17"/>
      <c r="B574" s="565"/>
      <c r="C574" s="565"/>
      <c r="D574" s="565"/>
      <c r="E574" s="20"/>
      <c r="F574" s="20"/>
      <c r="G574" s="573"/>
      <c r="H574" s="574"/>
      <c r="I574" s="20"/>
      <c r="J574" s="242"/>
      <c r="M574" s="28"/>
      <c r="Q574" s="142"/>
      <c r="R574" s="142"/>
      <c r="S574" s="142"/>
      <c r="T574" s="142"/>
      <c r="U574" s="142"/>
      <c r="V574" s="142"/>
      <c r="W574" s="142"/>
      <c r="X574" s="142"/>
    </row>
    <row r="575" spans="1:24" ht="16.149999999999999" customHeight="1" x14ac:dyDescent="0.2">
      <c r="A575" s="17"/>
      <c r="B575" s="564" t="s">
        <v>3333</v>
      </c>
      <c r="C575" s="564"/>
      <c r="D575" s="566" t="str">
        <f>IF(N576=1,"Delete!","")</f>
        <v/>
      </c>
      <c r="E575" s="571"/>
      <c r="F575" s="20"/>
      <c r="G575" s="573" t="s">
        <v>3213</v>
      </c>
      <c r="H575" s="575"/>
      <c r="I575" s="570" t="str">
        <f>IF(L578=0,"",IF(AND(N569=1,H575&lt;&gt;""),"Delete!",IF(N569=1,"",IF(ISBLANK(H575),"Date ?",""))))</f>
        <v/>
      </c>
      <c r="J575" s="242"/>
      <c r="L575" s="46">
        <f>IF(ISBLANK(E575),0,1)</f>
      </c>
      <c r="M575" s="142">
        <f>IF(I575=$M$1,0,1)</f>
      </c>
      <c r="N575" s="142">
        <f>IF(AND(N569=1,H575&lt;&gt;""),1,0)</f>
      </c>
      <c r="Q575" s="142"/>
      <c r="R575" s="142"/>
      <c r="S575" s="142"/>
      <c r="T575" s="142"/>
      <c r="U575" s="142"/>
      <c r="V575" s="142"/>
      <c r="W575" s="142"/>
      <c r="X575" s="142"/>
    </row>
    <row r="576" spans="1:24" ht="6" customHeight="1" x14ac:dyDescent="0.2">
      <c r="A576" s="17"/>
      <c r="B576" s="565"/>
      <c r="C576" s="565"/>
      <c r="D576" s="565"/>
      <c r="E576" s="576"/>
      <c r="F576" s="20"/>
      <c r="G576" s="573"/>
      <c r="H576" s="574"/>
      <c r="I576" s="20"/>
      <c r="J576" s="242"/>
      <c r="L576" s="142">
        <f>IF(ISBLANK(H575),0,1)</f>
      </c>
      <c r="M576" s="142">
        <f>IF(D575=$M$1,0,1)</f>
      </c>
      <c r="N576" s="142">
        <f>IF(AND(N569=1,E575&lt;&gt;0),1,0)</f>
      </c>
      <c r="Q576" s="142"/>
      <c r="R576" s="142"/>
      <c r="S576" s="142"/>
      <c r="T576" s="142"/>
      <c r="U576" s="142"/>
      <c r="V576" s="142"/>
      <c r="W576" s="142"/>
      <c r="X576" s="142"/>
    </row>
    <row r="577" spans="1:24" ht="16.149999999999999" customHeight="1" x14ac:dyDescent="0.2">
      <c r="A577" s="17"/>
      <c r="B577" s="4647" t="s">
        <v>4245</v>
      </c>
      <c r="C577" s="4647"/>
      <c r="D577" s="4647"/>
      <c r="E577" s="4649" t="s">
        <v>1511</v>
      </c>
      <c r="F577" s="4649"/>
      <c r="G577" s="577"/>
      <c r="H577" s="574"/>
      <c r="I577" s="20"/>
      <c r="J577" s="242"/>
      <c r="M577" s="28">
        <f>IF(G577=$M$1,0,1)</f>
      </c>
      <c r="Q577" s="142"/>
      <c r="R577" s="142"/>
      <c r="S577" s="142"/>
      <c r="T577" s="142"/>
      <c r="U577" s="142"/>
      <c r="V577" s="142"/>
      <c r="W577" s="142"/>
      <c r="X577" s="142"/>
    </row>
    <row r="578" spans="1:24" ht="6" customHeight="1" x14ac:dyDescent="0.2">
      <c r="A578" s="17"/>
      <c r="B578" s="17"/>
      <c r="C578" s="17"/>
      <c r="D578" s="578"/>
      <c r="E578" s="579"/>
      <c r="F578" s="17"/>
      <c r="G578" s="580"/>
      <c r="H578" s="578"/>
      <c r="I578" s="17"/>
      <c r="J578" s="242"/>
      <c r="L578" s="176">
        <f>SUM(L554:L577)</f>
      </c>
      <c r="M578" s="28"/>
      <c r="Q578" s="142"/>
      <c r="R578" s="142"/>
      <c r="S578" s="142"/>
      <c r="T578" s="142"/>
      <c r="U578" s="142"/>
      <c r="V578" s="142"/>
      <c r="W578" s="142"/>
      <c r="X578" s="142"/>
    </row>
    <row r="579" spans="1:24" ht="22.5" x14ac:dyDescent="0.2">
      <c r="A579" s="17"/>
      <c r="B579" s="581" t="s">
        <v>4244</v>
      </c>
      <c r="C579" s="581" t="s">
        <v>4246</v>
      </c>
      <c r="D579" s="582" t="s">
        <v>1475</v>
      </c>
      <c r="E579" s="583" t="s">
        <v>1476</v>
      </c>
      <c r="F579" s="269" t="s">
        <v>1477</v>
      </c>
      <c r="G579" s="17"/>
      <c r="H579" s="584"/>
      <c r="I579" s="17"/>
      <c r="J579" s="242"/>
      <c r="M579" s="28"/>
      <c r="Q579" s="142"/>
      <c r="R579" s="142"/>
      <c r="S579" s="142"/>
      <c r="T579" s="142"/>
      <c r="U579" s="142"/>
      <c r="V579" s="142"/>
      <c r="W579" s="142"/>
      <c r="X579" s="142"/>
    </row>
    <row r="580" spans="1:24" ht="16.149999999999999" customHeight="1" x14ac:dyDescent="0.2">
      <c r="A580" s="17"/>
      <c r="B580" s="431"/>
      <c r="C580" s="297"/>
      <c r="D580" s="297"/>
      <c r="E580" s="297"/>
      <c r="F580" s="297"/>
      <c r="G580" s="222" t="str">
        <f>IF(L578=0,"",IF(L580=5,"","All details !"))</f>
        <v/>
      </c>
      <c r="H580" s="17"/>
      <c r="I580" s="17"/>
      <c r="J580" s="242"/>
      <c r="L580" s="46">
        <f t="shared" ref="L580:L605" si="27">COUNT(B580:F580)</f>
      </c>
      <c r="M580" s="28">
        <f t="shared" ref="M580:M606" si="28">IF(G580=$M$1,0,1)</f>
      </c>
      <c r="Q580" s="142"/>
      <c r="R580" s="142"/>
      <c r="S580" s="142"/>
      <c r="T580" s="142"/>
      <c r="U580" s="142"/>
      <c r="V580" s="142"/>
      <c r="W580" s="142"/>
      <c r="X580" s="142"/>
    </row>
    <row r="581" spans="1:24" ht="16.149999999999999" customHeight="1" x14ac:dyDescent="0.2">
      <c r="A581" s="17"/>
      <c r="B581" s="431"/>
      <c r="C581" s="297"/>
      <c r="D581" s="297"/>
      <c r="E581" s="297"/>
      <c r="F581" s="297"/>
      <c r="G581" s="222" t="str">
        <f t="shared" ref="G581:G605" si="29">IF(L581=0,"",IF(L581=5,"","All details !"))</f>
        <v/>
      </c>
      <c r="H581" s="17"/>
      <c r="I581" s="17"/>
      <c r="J581" s="242"/>
      <c r="L581" s="46">
        <f t="shared" si="27"/>
        <v>0</v>
      </c>
      <c r="M581" s="28">
        <f t="shared" si="28"/>
        <v>0</v>
      </c>
      <c r="Q581" s="142"/>
      <c r="R581" s="142"/>
      <c r="S581" s="142"/>
      <c r="T581" s="142"/>
      <c r="U581" s="142"/>
      <c r="V581" s="142"/>
      <c r="W581" s="142"/>
      <c r="X581" s="142"/>
    </row>
    <row r="582" spans="1:24" ht="16.149999999999999" customHeight="1" x14ac:dyDescent="0.2">
      <c r="A582" s="17"/>
      <c r="B582" s="431"/>
      <c r="C582" s="297"/>
      <c r="D582" s="297"/>
      <c r="E582" s="297"/>
      <c r="F582" s="297"/>
      <c r="G582" s="222" t="str">
        <f t="shared" si="29"/>
        <v/>
      </c>
      <c r="H582" s="17"/>
      <c r="I582" s="17"/>
      <c r="J582" s="242"/>
      <c r="L582" s="46">
        <f t="shared" si="27"/>
        <v>0</v>
      </c>
      <c r="M582" s="28">
        <f t="shared" si="28"/>
        <v>0</v>
      </c>
      <c r="Q582" s="142"/>
      <c r="R582" s="142"/>
      <c r="S582" s="142"/>
      <c r="T582" s="142"/>
      <c r="U582" s="142"/>
      <c r="V582" s="142"/>
      <c r="W582" s="142"/>
      <c r="X582" s="142"/>
    </row>
    <row r="583" spans="1:24" ht="16.149999999999999" customHeight="1" x14ac:dyDescent="0.2">
      <c r="A583" s="17"/>
      <c r="B583" s="431"/>
      <c r="C583" s="297"/>
      <c r="D583" s="297"/>
      <c r="E583" s="297"/>
      <c r="F583" s="297"/>
      <c r="G583" s="222" t="str">
        <f t="shared" si="29"/>
        <v/>
      </c>
      <c r="H583" s="17"/>
      <c r="I583" s="17"/>
      <c r="J583" s="242"/>
      <c r="L583" s="46">
        <f t="shared" si="27"/>
        <v>0</v>
      </c>
      <c r="M583" s="28">
        <f t="shared" si="28"/>
        <v>0</v>
      </c>
      <c r="Q583" s="142"/>
      <c r="R583" s="142"/>
      <c r="S583" s="142"/>
      <c r="T583" s="142"/>
      <c r="U583" s="142"/>
      <c r="V583" s="142"/>
      <c r="W583" s="142"/>
      <c r="X583" s="142"/>
    </row>
    <row r="584" spans="1:24" ht="16.149999999999999" customHeight="1" x14ac:dyDescent="0.2">
      <c r="A584" s="17"/>
      <c r="B584" s="431"/>
      <c r="C584" s="297"/>
      <c r="D584" s="297"/>
      <c r="E584" s="297"/>
      <c r="F584" s="297"/>
      <c r="G584" s="222" t="str">
        <f t="shared" si="29"/>
        <v/>
      </c>
      <c r="H584" s="17"/>
      <c r="I584" s="17"/>
      <c r="J584" s="242"/>
      <c r="L584" s="46">
        <f t="shared" si="27"/>
        <v>0</v>
      </c>
      <c r="M584" s="28">
        <f t="shared" si="28"/>
        <v>0</v>
      </c>
      <c r="Q584" s="142"/>
      <c r="R584" s="142"/>
      <c r="S584" s="142"/>
      <c r="T584" s="142"/>
      <c r="U584" s="142"/>
      <c r="V584" s="142"/>
      <c r="W584" s="142"/>
      <c r="X584" s="142"/>
    </row>
    <row r="585" spans="1:24" ht="16.149999999999999" customHeight="1" x14ac:dyDescent="0.2">
      <c r="A585" s="17"/>
      <c r="B585" s="431"/>
      <c r="C585" s="297"/>
      <c r="D585" s="297"/>
      <c r="E585" s="297"/>
      <c r="F585" s="297"/>
      <c r="G585" s="222" t="str">
        <f t="shared" si="29"/>
        <v/>
      </c>
      <c r="H585" s="17"/>
      <c r="I585" s="17"/>
      <c r="J585" s="242"/>
      <c r="L585" s="46">
        <f t="shared" si="27"/>
        <v>0</v>
      </c>
      <c r="M585" s="28">
        <f t="shared" si="28"/>
        <v>0</v>
      </c>
      <c r="Q585" s="142"/>
      <c r="R585" s="142"/>
      <c r="S585" s="142"/>
      <c r="T585" s="142"/>
      <c r="U585" s="142"/>
      <c r="V585" s="142"/>
      <c r="W585" s="142"/>
      <c r="X585" s="142"/>
    </row>
    <row r="586" spans="1:24" ht="16.149999999999999" customHeight="1" x14ac:dyDescent="0.2">
      <c r="A586" s="17"/>
      <c r="B586" s="431"/>
      <c r="C586" s="297"/>
      <c r="D586" s="297"/>
      <c r="E586" s="297"/>
      <c r="F586" s="297"/>
      <c r="G586" s="222" t="str">
        <f t="shared" si="29"/>
        <v/>
      </c>
      <c r="H586" s="17"/>
      <c r="I586" s="17"/>
      <c r="J586" s="242"/>
      <c r="L586" s="46">
        <f t="shared" si="27"/>
        <v>0</v>
      </c>
      <c r="M586" s="28">
        <f t="shared" si="28"/>
        <v>0</v>
      </c>
      <c r="Q586" s="142"/>
      <c r="R586" s="142"/>
      <c r="S586" s="142"/>
      <c r="T586" s="142"/>
      <c r="U586" s="142"/>
      <c r="V586" s="142"/>
      <c r="W586" s="142"/>
      <c r="X586" s="142"/>
    </row>
    <row r="587" spans="1:24" ht="16.149999999999999" customHeight="1" x14ac:dyDescent="0.2">
      <c r="A587" s="17"/>
      <c r="B587" s="431"/>
      <c r="C587" s="297"/>
      <c r="D587" s="297"/>
      <c r="E587" s="297"/>
      <c r="F587" s="297"/>
      <c r="G587" s="222" t="str">
        <f t="shared" si="29"/>
        <v/>
      </c>
      <c r="H587" s="17"/>
      <c r="I587" s="17"/>
      <c r="J587" s="242"/>
      <c r="L587" s="46">
        <f t="shared" si="27"/>
        <v>0</v>
      </c>
      <c r="M587" s="28">
        <f t="shared" si="28"/>
        <v>0</v>
      </c>
      <c r="Q587" s="142"/>
      <c r="R587" s="142"/>
      <c r="S587" s="142"/>
      <c r="T587" s="142"/>
      <c r="U587" s="142"/>
      <c r="V587" s="142"/>
      <c r="W587" s="142"/>
      <c r="X587" s="142"/>
    </row>
    <row r="588" spans="1:24" ht="16.149999999999999" customHeight="1" x14ac:dyDescent="0.2">
      <c r="A588" s="17"/>
      <c r="B588" s="431"/>
      <c r="C588" s="297"/>
      <c r="D588" s="297"/>
      <c r="E588" s="297"/>
      <c r="F588" s="297"/>
      <c r="G588" s="222" t="str">
        <f t="shared" si="29"/>
        <v/>
      </c>
      <c r="H588" s="17"/>
      <c r="I588" s="17"/>
      <c r="J588" s="242"/>
      <c r="L588" s="46">
        <f t="shared" si="27"/>
        <v>0</v>
      </c>
      <c r="M588" s="28">
        <f t="shared" si="28"/>
        <v>0</v>
      </c>
      <c r="Q588" s="142"/>
      <c r="R588" s="142"/>
      <c r="S588" s="142"/>
      <c r="T588" s="142"/>
      <c r="U588" s="142"/>
      <c r="V588" s="142"/>
      <c r="W588" s="142"/>
      <c r="X588" s="142"/>
    </row>
    <row r="589" spans="1:24" ht="16.149999999999999" customHeight="1" x14ac:dyDescent="0.2">
      <c r="A589" s="17"/>
      <c r="B589" s="431"/>
      <c r="C589" s="297"/>
      <c r="D589" s="297"/>
      <c r="E589" s="297"/>
      <c r="F589" s="297"/>
      <c r="G589" s="222" t="str">
        <f t="shared" si="29"/>
        <v/>
      </c>
      <c r="H589" s="17"/>
      <c r="I589" s="17"/>
      <c r="J589" s="242"/>
      <c r="L589" s="46">
        <f t="shared" si="27"/>
        <v>0</v>
      </c>
      <c r="M589" s="28">
        <f t="shared" si="28"/>
        <v>0</v>
      </c>
      <c r="Q589" s="142"/>
      <c r="R589" s="142"/>
      <c r="S589" s="142"/>
      <c r="T589" s="142"/>
      <c r="U589" s="142"/>
      <c r="V589" s="142"/>
      <c r="W589" s="142"/>
      <c r="X589" s="142"/>
    </row>
    <row r="590" spans="1:24" ht="16.149999999999999" customHeight="1" x14ac:dyDescent="0.2">
      <c r="A590" s="17"/>
      <c r="B590" s="431"/>
      <c r="C590" s="297"/>
      <c r="D590" s="297"/>
      <c r="E590" s="297"/>
      <c r="F590" s="297"/>
      <c r="G590" s="222" t="str">
        <f t="shared" si="29"/>
        <v/>
      </c>
      <c r="H590" s="17"/>
      <c r="I590" s="17"/>
      <c r="J590" s="242"/>
      <c r="L590" s="46">
        <f t="shared" si="27"/>
        <v>0</v>
      </c>
      <c r="M590" s="28">
        <f t="shared" si="28"/>
        <v>0</v>
      </c>
      <c r="Q590" s="142"/>
      <c r="R590" s="142"/>
      <c r="S590" s="142"/>
      <c r="T590" s="142"/>
      <c r="U590" s="142"/>
      <c r="V590" s="142"/>
      <c r="W590" s="142"/>
      <c r="X590" s="142"/>
    </row>
    <row r="591" spans="1:24" ht="16.149999999999999" customHeight="1" x14ac:dyDescent="0.2">
      <c r="A591" s="17"/>
      <c r="B591" s="431"/>
      <c r="C591" s="297"/>
      <c r="D591" s="297"/>
      <c r="E591" s="297"/>
      <c r="F591" s="297"/>
      <c r="G591" s="222" t="str">
        <f t="shared" si="29"/>
        <v/>
      </c>
      <c r="H591" s="17"/>
      <c r="I591" s="17"/>
      <c r="J591" s="242"/>
      <c r="L591" s="46">
        <f t="shared" si="27"/>
        <v>0</v>
      </c>
      <c r="M591" s="28">
        <f t="shared" si="28"/>
        <v>0</v>
      </c>
      <c r="Q591" s="142"/>
      <c r="R591" s="142"/>
      <c r="S591" s="142"/>
      <c r="T591" s="142"/>
      <c r="U591" s="142"/>
      <c r="V591" s="142"/>
      <c r="W591" s="142"/>
      <c r="X591" s="142"/>
    </row>
    <row r="592" spans="1:24" ht="16.149999999999999" customHeight="1" x14ac:dyDescent="0.2">
      <c r="A592" s="17"/>
      <c r="B592" s="431"/>
      <c r="C592" s="297"/>
      <c r="D592" s="297"/>
      <c r="E592" s="297"/>
      <c r="F592" s="297"/>
      <c r="G592" s="222" t="str">
        <f t="shared" si="29"/>
        <v/>
      </c>
      <c r="H592" s="17"/>
      <c r="I592" s="17"/>
      <c r="J592" s="242"/>
      <c r="L592" s="46">
        <f t="shared" si="27"/>
        <v>0</v>
      </c>
      <c r="M592" s="28">
        <f t="shared" si="28"/>
        <v>0</v>
      </c>
      <c r="Q592" s="142"/>
      <c r="R592" s="142"/>
      <c r="S592" s="142"/>
      <c r="T592" s="142"/>
      <c r="U592" s="142"/>
      <c r="V592" s="142"/>
      <c r="W592" s="142"/>
      <c r="X592" s="142"/>
    </row>
    <row r="593" spans="1:24" ht="16.149999999999999" customHeight="1" x14ac:dyDescent="0.2">
      <c r="A593" s="17"/>
      <c r="B593" s="431"/>
      <c r="C593" s="297"/>
      <c r="D593" s="297"/>
      <c r="E593" s="297"/>
      <c r="F593" s="297"/>
      <c r="G593" s="222" t="str">
        <f t="shared" si="29"/>
        <v/>
      </c>
      <c r="H593" s="17"/>
      <c r="I593" s="17"/>
      <c r="J593" s="242"/>
      <c r="L593" s="46">
        <f t="shared" si="27"/>
        <v>0</v>
      </c>
      <c r="M593" s="28">
        <f t="shared" si="28"/>
        <v>0</v>
      </c>
      <c r="Q593" s="142"/>
      <c r="R593" s="142"/>
      <c r="S593" s="142"/>
      <c r="T593" s="142"/>
      <c r="U593" s="142"/>
      <c r="V593" s="142"/>
      <c r="W593" s="142"/>
      <c r="X593" s="142"/>
    </row>
    <row r="594" spans="1:24" ht="16.149999999999999" customHeight="1" x14ac:dyDescent="0.2">
      <c r="A594" s="17"/>
      <c r="B594" s="431"/>
      <c r="C594" s="297"/>
      <c r="D594" s="297"/>
      <c r="E594" s="297"/>
      <c r="F594" s="297"/>
      <c r="G594" s="222" t="str">
        <f t="shared" si="29"/>
        <v/>
      </c>
      <c r="H594" s="17"/>
      <c r="I594" s="17"/>
      <c r="J594" s="242"/>
      <c r="L594" s="46">
        <f t="shared" si="27"/>
        <v>0</v>
      </c>
      <c r="M594" s="28">
        <f t="shared" si="28"/>
        <v>0</v>
      </c>
      <c r="Q594" s="142"/>
      <c r="R594" s="142"/>
      <c r="S594" s="142"/>
      <c r="T594" s="142"/>
      <c r="U594" s="142"/>
      <c r="V594" s="142"/>
      <c r="W594" s="142"/>
      <c r="X594" s="142"/>
    </row>
    <row r="595" spans="1:24" ht="16.149999999999999" customHeight="1" x14ac:dyDescent="0.2">
      <c r="A595" s="17"/>
      <c r="B595" s="431"/>
      <c r="C595" s="297"/>
      <c r="D595" s="297"/>
      <c r="E595" s="297"/>
      <c r="F595" s="297"/>
      <c r="G595" s="222" t="str">
        <f t="shared" si="29"/>
        <v/>
      </c>
      <c r="H595" s="17"/>
      <c r="I595" s="17"/>
      <c r="J595" s="242"/>
      <c r="L595" s="46">
        <f t="shared" si="27"/>
        <v>0</v>
      </c>
      <c r="M595" s="28">
        <f t="shared" si="28"/>
        <v>0</v>
      </c>
      <c r="Q595" s="142"/>
      <c r="R595" s="142"/>
      <c r="S595" s="142"/>
      <c r="T595" s="142"/>
      <c r="U595" s="142"/>
      <c r="V595" s="142"/>
      <c r="W595" s="142"/>
      <c r="X595" s="142"/>
    </row>
    <row r="596" spans="1:24" ht="16.149999999999999" customHeight="1" x14ac:dyDescent="0.2">
      <c r="A596" s="17"/>
      <c r="B596" s="431"/>
      <c r="C596" s="297"/>
      <c r="D596" s="297"/>
      <c r="E596" s="297"/>
      <c r="F596" s="297"/>
      <c r="G596" s="222" t="str">
        <f t="shared" si="29"/>
        <v/>
      </c>
      <c r="H596" s="17"/>
      <c r="I596" s="17"/>
      <c r="J596" s="242"/>
      <c r="L596" s="46">
        <f t="shared" si="27"/>
        <v>0</v>
      </c>
      <c r="M596" s="28">
        <f t="shared" si="28"/>
        <v>0</v>
      </c>
      <c r="Q596" s="142"/>
      <c r="R596" s="142"/>
      <c r="S596" s="142"/>
      <c r="T596" s="142"/>
      <c r="U596" s="142"/>
      <c r="V596" s="142"/>
      <c r="W596" s="142"/>
      <c r="X596" s="142"/>
    </row>
    <row r="597" spans="1:24" ht="16.149999999999999" customHeight="1" x14ac:dyDescent="0.2">
      <c r="A597" s="17"/>
      <c r="B597" s="431"/>
      <c r="C597" s="297"/>
      <c r="D597" s="297"/>
      <c r="E597" s="297"/>
      <c r="F597" s="297"/>
      <c r="G597" s="222" t="str">
        <f t="shared" si="29"/>
        <v/>
      </c>
      <c r="H597" s="17"/>
      <c r="I597" s="17"/>
      <c r="J597" s="242"/>
      <c r="L597" s="46">
        <f t="shared" si="27"/>
        <v>0</v>
      </c>
      <c r="M597" s="28">
        <f t="shared" si="28"/>
        <v>0</v>
      </c>
      <c r="Q597" s="142"/>
      <c r="R597" s="142"/>
      <c r="S597" s="142"/>
      <c r="T597" s="142"/>
      <c r="U597" s="142"/>
      <c r="V597" s="142"/>
      <c r="W597" s="142"/>
      <c r="X597" s="142"/>
    </row>
    <row r="598" spans="1:24" ht="16.149999999999999" customHeight="1" x14ac:dyDescent="0.2">
      <c r="A598" s="17"/>
      <c r="B598" s="431"/>
      <c r="C598" s="297"/>
      <c r="D598" s="297"/>
      <c r="E598" s="297"/>
      <c r="F598" s="297"/>
      <c r="G598" s="222" t="str">
        <f t="shared" si="29"/>
        <v/>
      </c>
      <c r="H598" s="17"/>
      <c r="I598" s="17"/>
      <c r="J598" s="242"/>
      <c r="L598" s="46">
        <f t="shared" si="27"/>
        <v>0</v>
      </c>
      <c r="M598" s="28">
        <f t="shared" si="28"/>
        <v>0</v>
      </c>
      <c r="Q598" s="142"/>
      <c r="R598" s="142"/>
      <c r="S598" s="142"/>
      <c r="T598" s="142"/>
      <c r="U598" s="142"/>
      <c r="V598" s="142"/>
      <c r="W598" s="142"/>
      <c r="X598" s="142"/>
    </row>
    <row r="599" spans="1:24" ht="16.149999999999999" customHeight="1" x14ac:dyDescent="0.2">
      <c r="A599" s="17"/>
      <c r="B599" s="431"/>
      <c r="C599" s="297"/>
      <c r="D599" s="297"/>
      <c r="E599" s="297"/>
      <c r="F599" s="297"/>
      <c r="G599" s="222" t="str">
        <f t="shared" si="29"/>
        <v/>
      </c>
      <c r="H599" s="17"/>
      <c r="I599" s="17"/>
      <c r="J599" s="242"/>
      <c r="L599" s="46">
        <f t="shared" si="27"/>
        <v>0</v>
      </c>
      <c r="M599" s="28">
        <f t="shared" si="28"/>
        <v>0</v>
      </c>
      <c r="Q599" s="142"/>
      <c r="R599" s="142"/>
      <c r="S599" s="142"/>
      <c r="T599" s="142"/>
      <c r="U599" s="142"/>
      <c r="V599" s="142"/>
      <c r="W599" s="142"/>
      <c r="X599" s="142"/>
    </row>
    <row r="600" spans="1:24" ht="16.149999999999999" customHeight="1" x14ac:dyDescent="0.2">
      <c r="A600" s="17"/>
      <c r="B600" s="431"/>
      <c r="C600" s="297"/>
      <c r="D600" s="297"/>
      <c r="E600" s="297"/>
      <c r="F600" s="297"/>
      <c r="G600" s="222" t="str">
        <f t="shared" si="29"/>
        <v/>
      </c>
      <c r="H600" s="17"/>
      <c r="I600" s="17"/>
      <c r="J600" s="242"/>
      <c r="L600" s="46">
        <f t="shared" si="27"/>
        <v>0</v>
      </c>
      <c r="M600" s="28">
        <f t="shared" si="28"/>
        <v>0</v>
      </c>
      <c r="Q600" s="142"/>
      <c r="R600" s="142"/>
      <c r="S600" s="142"/>
      <c r="T600" s="142"/>
      <c r="U600" s="142"/>
      <c r="V600" s="142"/>
      <c r="W600" s="142"/>
      <c r="X600" s="142"/>
    </row>
    <row r="601" spans="1:24" ht="16.149999999999999" customHeight="1" x14ac:dyDescent="0.2">
      <c r="A601" s="17"/>
      <c r="B601" s="431"/>
      <c r="C601" s="297"/>
      <c r="D601" s="297"/>
      <c r="E601" s="297"/>
      <c r="F601" s="297"/>
      <c r="G601" s="222" t="str">
        <f t="shared" si="29"/>
        <v/>
      </c>
      <c r="H601" s="17"/>
      <c r="I601" s="17"/>
      <c r="J601" s="242"/>
      <c r="L601" s="46">
        <f t="shared" si="27"/>
        <v>0</v>
      </c>
      <c r="M601" s="28">
        <f t="shared" si="28"/>
        <v>0</v>
      </c>
      <c r="Q601" s="142"/>
      <c r="R601" s="142"/>
      <c r="S601" s="142"/>
      <c r="T601" s="142"/>
      <c r="U601" s="142"/>
      <c r="V601" s="142"/>
      <c r="W601" s="142"/>
      <c r="X601" s="142"/>
    </row>
    <row r="602" spans="1:24" ht="16.149999999999999" customHeight="1" x14ac:dyDescent="0.2">
      <c r="A602" s="17"/>
      <c r="B602" s="431"/>
      <c r="C602" s="297"/>
      <c r="D602" s="297"/>
      <c r="E602" s="297"/>
      <c r="F602" s="297"/>
      <c r="G602" s="222" t="str">
        <f t="shared" si="29"/>
        <v/>
      </c>
      <c r="H602" s="17"/>
      <c r="I602" s="17"/>
      <c r="J602" s="242"/>
      <c r="L602" s="46">
        <f t="shared" si="27"/>
        <v>0</v>
      </c>
      <c r="M602" s="28">
        <f t="shared" si="28"/>
        <v>0</v>
      </c>
      <c r="Q602" s="142"/>
      <c r="R602" s="142"/>
      <c r="S602" s="142"/>
      <c r="T602" s="142"/>
      <c r="U602" s="142"/>
      <c r="V602" s="142"/>
      <c r="W602" s="142"/>
      <c r="X602" s="142"/>
    </row>
    <row r="603" spans="1:24" ht="16.149999999999999" customHeight="1" x14ac:dyDescent="0.2">
      <c r="A603" s="17"/>
      <c r="B603" s="431"/>
      <c r="C603" s="297"/>
      <c r="D603" s="297"/>
      <c r="E603" s="297"/>
      <c r="F603" s="297"/>
      <c r="G603" s="222" t="str">
        <f t="shared" si="29"/>
        <v/>
      </c>
      <c r="H603" s="17"/>
      <c r="I603" s="17"/>
      <c r="J603" s="242"/>
      <c r="L603" s="46">
        <f t="shared" si="27"/>
        <v>0</v>
      </c>
      <c r="M603" s="28">
        <f t="shared" si="28"/>
        <v>0</v>
      </c>
      <c r="Q603" s="142"/>
      <c r="R603" s="142"/>
      <c r="S603" s="142"/>
      <c r="T603" s="142"/>
      <c r="U603" s="142"/>
      <c r="V603" s="142"/>
      <c r="W603" s="142"/>
      <c r="X603" s="142"/>
    </row>
    <row r="604" spans="1:24" ht="16.149999999999999" customHeight="1" x14ac:dyDescent="0.2">
      <c r="A604" s="17"/>
      <c r="B604" s="431"/>
      <c r="C604" s="297"/>
      <c r="D604" s="297"/>
      <c r="E604" s="297"/>
      <c r="F604" s="297"/>
      <c r="G604" s="222" t="str">
        <f t="shared" si="29"/>
        <v/>
      </c>
      <c r="H604" s="17"/>
      <c r="I604" s="17"/>
      <c r="J604" s="242"/>
      <c r="L604" s="46">
        <f t="shared" si="27"/>
        <v>0</v>
      </c>
      <c r="M604" s="28">
        <f t="shared" si="28"/>
        <v>0</v>
      </c>
      <c r="Q604" s="142"/>
      <c r="R604" s="142"/>
      <c r="S604" s="142"/>
      <c r="T604" s="142"/>
      <c r="U604" s="142"/>
      <c r="V604" s="142"/>
      <c r="W604" s="142"/>
      <c r="X604" s="142"/>
    </row>
    <row r="605" spans="1:24" ht="16.149999999999999" customHeight="1" x14ac:dyDescent="0.2">
      <c r="A605" s="17"/>
      <c r="B605" s="585"/>
      <c r="C605" s="313"/>
      <c r="D605" s="313"/>
      <c r="E605" s="313"/>
      <c r="F605" s="313"/>
      <c r="G605" s="222" t="str">
        <f t="shared" si="29"/>
        <v/>
      </c>
      <c r="H605" s="17"/>
      <c r="I605" s="17"/>
      <c r="J605" s="242"/>
      <c r="L605" s="46">
        <f t="shared" si="27"/>
        <v>0</v>
      </c>
      <c r="M605" s="28">
        <f t="shared" si="28"/>
        <v>0</v>
      </c>
      <c r="Q605" s="142"/>
      <c r="R605" s="142"/>
      <c r="S605" s="142"/>
      <c r="T605" s="142"/>
      <c r="U605" s="142"/>
      <c r="V605" s="142"/>
      <c r="W605" s="142"/>
      <c r="X605" s="142"/>
    </row>
    <row r="606" spans="1:24" ht="16.149999999999999" customHeight="1" x14ac:dyDescent="0.2">
      <c r="A606" s="17"/>
      <c r="B606" s="586" t="s">
        <v>5590</v>
      </c>
      <c r="C606" s="587">
        <f>SUM(C580:C605)</f>
      </c>
      <c r="D606" s="587">
        <f>SUM(D580:D605)</f>
      </c>
      <c r="E606" s="587">
        <f>SUM(E580:E605)</f>
      </c>
      <c r="F606" s="587">
        <f>SUM(F580:F605)</f>
      </c>
      <c r="G606" s="222" t="str">
        <f>IF(D606&lt;&gt;E573,"Check Selling Price !","")</f>
        <v/>
      </c>
      <c r="H606" s="17"/>
      <c r="I606" s="17"/>
      <c r="J606" s="242"/>
      <c r="M606" s="28">
        <f t="shared" si="28"/>
        <v>0</v>
      </c>
      <c r="Q606" s="142"/>
      <c r="R606" s="142"/>
      <c r="S606" s="142"/>
      <c r="T606" s="142"/>
      <c r="U606" s="142"/>
      <c r="V606" s="142"/>
      <c r="W606" s="142"/>
      <c r="X606" s="142"/>
    </row>
    <row r="607" spans="1:24" ht="16.149999999999999" customHeight="1" x14ac:dyDescent="0.2">
      <c r="A607" s="17"/>
      <c r="B607" s="4648" t="s">
        <v>1478</v>
      </c>
      <c r="C607" s="4648"/>
      <c r="D607" s="4648"/>
      <c r="E607" s="4648"/>
      <c r="F607" s="588">
        <f>E575</f>
      </c>
      <c r="G607" s="17"/>
      <c r="H607" s="17"/>
      <c r="I607" s="17"/>
      <c r="J607" s="242"/>
      <c r="M607" s="167">
        <f>SUM(M554:M606)</f>
      </c>
      <c r="Q607" s="142"/>
      <c r="R607" s="142"/>
      <c r="S607" s="142"/>
      <c r="T607" s="142"/>
      <c r="U607" s="142"/>
      <c r="V607" s="142"/>
      <c r="W607" s="142"/>
      <c r="X607" s="142"/>
    </row>
    <row r="608" spans="1:24" ht="16.149999999999999" customHeight="1" x14ac:dyDescent="0.2">
      <c r="A608" s="17"/>
      <c r="B608" s="589"/>
      <c r="C608" s="589"/>
      <c r="D608" s="589"/>
      <c r="E608" s="589"/>
      <c r="F608" s="310"/>
      <c r="G608" s="17"/>
      <c r="H608" s="279" t="str">
        <f>ip</f>
      </c>
      <c r="I608" s="279" t="s">
        <v>2372</v>
      </c>
      <c r="J608" s="242"/>
      <c r="Q608" s="142"/>
      <c r="R608" s="142"/>
      <c r="S608" s="142"/>
      <c r="T608" s="142"/>
      <c r="U608" s="142"/>
      <c r="V608" s="142"/>
      <c r="W608" s="142"/>
      <c r="X608" s="142"/>
    </row>
    <row r="609" spans="1:24" ht="16.149999999999999" customHeight="1" x14ac:dyDescent="0.2">
      <c r="A609" s="17"/>
      <c r="B609" s="4650" t="s">
        <v>5410</v>
      </c>
      <c r="C609" s="4650"/>
      <c r="D609" s="4650"/>
      <c r="E609" s="4650"/>
      <c r="F609" s="4650"/>
      <c r="G609" s="17"/>
      <c r="H609" s="590" t="str">
        <f>IF($H571=ip,K609,"")</f>
        <v/>
      </c>
      <c r="I609" s="590" t="str">
        <f>IF($H571=fi,K609,"")</f>
        <v/>
      </c>
      <c r="J609" s="242"/>
      <c r="K609" s="236">
        <f>F606-F607</f>
      </c>
      <c r="Q609" s="142"/>
      <c r="R609" s="142"/>
      <c r="S609" s="142"/>
      <c r="T609" s="142"/>
      <c r="U609" s="142"/>
      <c r="V609" s="142"/>
      <c r="W609" s="142"/>
      <c r="X609" s="142"/>
    </row>
    <row r="610" spans="1:24" ht="16.149999999999999" customHeight="1" x14ac:dyDescent="0.2">
      <c r="A610" s="17"/>
      <c r="B610" s="17" t="str">
        <f>_xlfn.SINGLE(MTCA)</f>
      </c>
      <c r="C610" s="17"/>
      <c r="D610" s="17" t="str">
        <f>ver</f>
        <v>TA2_e-CO_2025_Ver 1.1</v>
      </c>
      <c r="E610" s="17"/>
      <c r="F610" s="17"/>
      <c r="G610" s="17"/>
      <c r="H610" s="17"/>
      <c r="I610" s="536" t="s">
        <v>9870</v>
      </c>
      <c r="J610" s="242"/>
      <c r="Q610" s="142"/>
      <c r="R610" s="142"/>
      <c r="S610" s="142"/>
      <c r="T610" s="142"/>
      <c r="U610" s="142"/>
      <c r="V610" s="142"/>
      <c r="W610" s="142"/>
      <c r="X610" s="142"/>
    </row>
    <row r="611" spans="1:24" ht="16.149999999999999" customHeight="1" x14ac:dyDescent="0.2">
      <c r="A611" s="17"/>
      <c r="B611" s="17"/>
      <c r="C611" s="17"/>
      <c r="D611" s="17"/>
      <c r="E611" s="17"/>
      <c r="F611" s="17"/>
      <c r="G611" s="17"/>
      <c r="H611" s="17"/>
      <c r="I611" s="536"/>
      <c r="J611" s="242"/>
      <c r="Q611" s="142"/>
      <c r="R611" s="142"/>
      <c r="S611" s="142"/>
      <c r="T611" s="142"/>
      <c r="U611" s="142"/>
      <c r="V611" s="142"/>
      <c r="W611" s="142"/>
      <c r="X611" s="142"/>
    </row>
    <row r="612" spans="1:24" ht="16.149999999999999" customHeight="1" x14ac:dyDescent="0.2">
      <c r="A612" s="17"/>
      <c r="B612" s="17"/>
      <c r="C612" s="17"/>
      <c r="D612" s="17"/>
      <c r="E612" s="17"/>
      <c r="F612" s="17"/>
      <c r="G612" s="17"/>
      <c r="H612" s="17"/>
      <c r="I612" s="536"/>
      <c r="J612" s="242"/>
      <c r="Q612" s="142"/>
      <c r="R612" s="142"/>
      <c r="S612" s="142"/>
      <c r="T612" s="142"/>
      <c r="U612" s="142"/>
      <c r="V612" s="142"/>
      <c r="W612" s="142"/>
      <c r="X612" s="142"/>
    </row>
    <row r="613" spans="1:24" ht="16.149999999999999" customHeight="1" x14ac:dyDescent="0.2">
      <c r="A613" s="781">
        <v>11</v>
      </c>
      <c r="B613" s="4645" t="s">
        <v>5196</v>
      </c>
      <c r="C613" s="4645"/>
      <c r="D613" s="4645"/>
      <c r="E613" s="4645"/>
      <c r="F613" s="4645"/>
      <c r="G613" s="4645"/>
      <c r="H613" s="4645"/>
      <c r="I613" s="4645"/>
      <c r="J613" s="242"/>
      <c r="K613" s="62"/>
      <c r="L613" s="62"/>
      <c r="Q613" s="142"/>
      <c r="R613" s="142"/>
      <c r="S613" s="142"/>
      <c r="T613" s="142"/>
      <c r="U613" s="142"/>
      <c r="V613" s="142"/>
      <c r="W613" s="142"/>
      <c r="X613" s="142"/>
    </row>
    <row r="614" spans="1:24" ht="6" customHeight="1" x14ac:dyDescent="0.2">
      <c r="A614" s="242"/>
      <c r="B614" s="242"/>
      <c r="C614" s="242"/>
      <c r="D614" s="242"/>
      <c r="E614" s="242"/>
      <c r="F614" s="242"/>
      <c r="G614" s="242"/>
      <c r="H614" s="242"/>
      <c r="I614" s="242"/>
      <c r="J614" s="242"/>
      <c r="K614" s="62"/>
      <c r="L614" s="62"/>
      <c r="Q614" s="142"/>
      <c r="R614" s="142"/>
      <c r="S614" s="142"/>
      <c r="T614" s="142"/>
      <c r="U614" s="142"/>
      <c r="V614" s="142"/>
      <c r="W614" s="142"/>
      <c r="X614" s="142"/>
    </row>
    <row r="615" spans="1:24" s="142" customFormat="1" ht="14.25" x14ac:dyDescent="0.2">
      <c r="A615" s="242"/>
      <c r="B615" s="3574" t="s">
        <v>9959</v>
      </c>
      <c r="C615" s="242"/>
      <c r="D615" s="242"/>
      <c r="E615" s="242"/>
      <c r="F615" s="569"/>
      <c r="G615" s="572" t="str">
        <f>IF(L639=0,"",IF(AND($P$1="n",F615&lt;&gt;""),"No details required!",IF(AND($P$1="y",ISBLANK(F615)),"Required !","")))</f>
        <v/>
      </c>
      <c r="H615" s="242"/>
      <c r="I615" s="242"/>
      <c r="J615" s="242"/>
      <c r="L615" s="142">
        <f>IF(ISBLANK(F615),0,1)</f>
      </c>
      <c r="M615" s="167">
        <f>IF(G615=$M$1,0,1)</f>
      </c>
    </row>
    <row r="616" spans="1:24" s="142" customFormat="1" ht="6" customHeight="1" x14ac:dyDescent="0.2">
      <c r="A616" s="242"/>
      <c r="B616" s="3574"/>
      <c r="C616" s="242"/>
      <c r="D616" s="242"/>
      <c r="E616" s="242"/>
      <c r="F616" s="242"/>
      <c r="G616" s="242"/>
      <c r="H616" s="242"/>
      <c r="I616" s="242"/>
      <c r="J616" s="242"/>
      <c r="M616" s="167"/>
    </row>
    <row r="617" spans="1:24" ht="13.5" customHeight="1" x14ac:dyDescent="0.2">
      <c r="A617" s="242"/>
      <c r="B617" s="4641" t="s">
        <v>10035</v>
      </c>
      <c r="C617" s="4641"/>
      <c r="D617" s="4641"/>
      <c r="E617" s="4641"/>
      <c r="F617" s="569"/>
      <c r="G617" s="572" t="str">
        <f>IF(L637=0,"",IF(ISBLANK(F617),"Required!",IF(AND($P$3="n",F617="yes"),"Check Pg2 Q32!","")))</f>
        <v/>
      </c>
      <c r="H617" s="242"/>
      <c r="I617" s="242"/>
      <c r="J617" s="242"/>
      <c r="K617" s="62"/>
      <c r="L617" s="142">
        <f>IF(ISBLANK(F617),0,1)</f>
      </c>
      <c r="M617" s="167">
        <f>IF(G617=$M$1,0,1)</f>
      </c>
      <c r="N617" s="142">
        <f>IF(AND($P$3="n",F617="yes"),1,0)</f>
      </c>
      <c r="Q617" s="142"/>
      <c r="R617" s="142"/>
      <c r="S617" s="142"/>
      <c r="T617" s="142"/>
      <c r="U617" s="142"/>
      <c r="V617" s="142"/>
      <c r="W617" s="142"/>
      <c r="X617" s="142"/>
    </row>
    <row r="618" spans="1:24" ht="12.75" x14ac:dyDescent="0.2">
      <c r="A618" s="242"/>
      <c r="B618" s="4642" t="s">
        <v>10036</v>
      </c>
      <c r="C618" s="4642"/>
      <c r="D618" s="4642"/>
      <c r="E618" s="4642"/>
      <c r="F618" s="242"/>
      <c r="G618" s="242"/>
      <c r="H618" s="242"/>
      <c r="I618" s="242"/>
      <c r="J618" s="242"/>
      <c r="K618" s="62"/>
      <c r="L618" s="62"/>
      <c r="Q618" s="142"/>
      <c r="R618" s="142"/>
      <c r="S618" s="142"/>
      <c r="T618" s="142"/>
      <c r="U618" s="142"/>
      <c r="V618" s="142"/>
      <c r="W618" s="142"/>
      <c r="X618" s="142"/>
    </row>
    <row r="619" spans="1:24" s="142" customFormat="1" ht="12.75" hidden="1" x14ac:dyDescent="0.2">
      <c r="A619" s="242"/>
      <c r="B619" s="3574"/>
      <c r="C619" s="242"/>
      <c r="D619" s="242"/>
      <c r="E619" s="242"/>
      <c r="F619" s="242"/>
      <c r="G619" s="242"/>
      <c r="H619" s="242"/>
      <c r="I619" s="242"/>
      <c r="J619" s="242"/>
      <c r="M619" s="167"/>
    </row>
    <row r="620" spans="1:24" s="142" customFormat="1" ht="12.75" hidden="1" x14ac:dyDescent="0.2">
      <c r="A620" s="242"/>
      <c r="B620" s="3574"/>
      <c r="C620" s="242"/>
      <c r="D620" s="242"/>
      <c r="E620" s="242"/>
      <c r="F620" s="242"/>
      <c r="G620" s="242"/>
      <c r="H620" s="242"/>
      <c r="I620" s="242"/>
      <c r="J620" s="242"/>
      <c r="M620" s="167"/>
    </row>
    <row r="621" spans="1:24" s="142" customFormat="1" ht="12.75" hidden="1" x14ac:dyDescent="0.2">
      <c r="A621" s="242"/>
      <c r="B621" s="3574"/>
      <c r="C621" s="242"/>
      <c r="D621" s="242"/>
      <c r="E621" s="242"/>
      <c r="F621" s="242"/>
      <c r="G621" s="242"/>
      <c r="H621" s="242"/>
      <c r="I621" s="242"/>
      <c r="J621" s="242"/>
      <c r="M621" s="167"/>
    </row>
    <row r="622" spans="1:24" s="142" customFormat="1" ht="12.75" hidden="1" x14ac:dyDescent="0.2">
      <c r="A622" s="242"/>
      <c r="B622" s="3574"/>
      <c r="C622" s="242"/>
      <c r="D622" s="242"/>
      <c r="E622" s="242"/>
      <c r="F622" s="242"/>
      <c r="G622" s="242"/>
      <c r="H622" s="242"/>
      <c r="I622" s="242"/>
      <c r="J622" s="242"/>
      <c r="M622" s="167"/>
    </row>
    <row r="623" spans="1:24" s="142" customFormat="1" ht="12.75" hidden="1" x14ac:dyDescent="0.2">
      <c r="A623" s="242"/>
      <c r="B623" s="3574"/>
      <c r="C623" s="242"/>
      <c r="D623" s="242"/>
      <c r="E623" s="242"/>
      <c r="F623" s="242"/>
      <c r="G623" s="242"/>
      <c r="H623" s="242"/>
      <c r="I623" s="242"/>
      <c r="J623" s="242"/>
      <c r="M623" s="167"/>
    </row>
    <row r="624" spans="1:24" s="142" customFormat="1" ht="12.75" hidden="1" x14ac:dyDescent="0.2">
      <c r="A624" s="242"/>
      <c r="B624" s="3574"/>
      <c r="C624" s="242"/>
      <c r="D624" s="242"/>
      <c r="E624" s="242"/>
      <c r="F624" s="242"/>
      <c r="G624" s="242"/>
      <c r="H624" s="242"/>
      <c r="I624" s="242"/>
      <c r="J624" s="242"/>
      <c r="M624" s="167"/>
    </row>
    <row r="625" spans="1:24" s="142" customFormat="1" ht="12.75" hidden="1" x14ac:dyDescent="0.2">
      <c r="A625" s="242"/>
      <c r="B625" s="3574"/>
      <c r="C625" s="242"/>
      <c r="D625" s="242"/>
      <c r="E625" s="242"/>
      <c r="F625" s="242"/>
      <c r="G625" s="242"/>
      <c r="H625" s="242"/>
      <c r="I625" s="242"/>
      <c r="J625" s="242"/>
      <c r="M625" s="167"/>
    </row>
    <row r="626" spans="1:24" s="142" customFormat="1" ht="12.75" hidden="1" x14ac:dyDescent="0.2">
      <c r="A626" s="242"/>
      <c r="B626" s="3574"/>
      <c r="C626" s="242"/>
      <c r="D626" s="242"/>
      <c r="E626" s="242"/>
      <c r="F626" s="242"/>
      <c r="G626" s="242"/>
      <c r="H626" s="242"/>
      <c r="I626" s="242"/>
      <c r="J626" s="242"/>
      <c r="M626" s="167"/>
    </row>
    <row r="627" spans="1:24" s="142" customFormat="1" ht="12.75" hidden="1" x14ac:dyDescent="0.2">
      <c r="A627" s="242"/>
      <c r="B627" s="3574"/>
      <c r="C627" s="242"/>
      <c r="D627" s="242"/>
      <c r="E627" s="242"/>
      <c r="F627" s="242"/>
      <c r="G627" s="242"/>
      <c r="H627" s="242"/>
      <c r="I627" s="242"/>
      <c r="J627" s="242"/>
      <c r="M627" s="167"/>
    </row>
    <row r="628" spans="1:24" ht="5.25" customHeight="1" x14ac:dyDescent="0.2">
      <c r="A628" s="242"/>
      <c r="B628" s="242"/>
      <c r="C628" s="242"/>
      <c r="D628" s="242"/>
      <c r="E628" s="242"/>
      <c r="F628" s="242"/>
      <c r="G628" s="242"/>
      <c r="H628" s="242"/>
      <c r="I628" s="242"/>
      <c r="J628" s="242"/>
      <c r="K628" s="62"/>
      <c r="L628" s="62"/>
      <c r="Q628" s="142"/>
      <c r="R628" s="142"/>
      <c r="S628" s="142"/>
      <c r="T628" s="142"/>
      <c r="U628" s="142"/>
      <c r="V628" s="142"/>
      <c r="W628" s="142"/>
      <c r="X628" s="142"/>
    </row>
    <row r="629" spans="1:24" ht="16.149999999999999" customHeight="1" x14ac:dyDescent="0.2">
      <c r="A629" s="17"/>
      <c r="B629" s="564" t="str">
        <f>IF(N630=1,"Details of property deemed to be transferred ","Details of property sold")</f>
      </c>
      <c r="C629" s="564"/>
      <c r="D629" s="564"/>
      <c r="E629" s="20"/>
      <c r="F629" s="20"/>
      <c r="G629" s="20"/>
      <c r="H629" s="20"/>
      <c r="I629" s="20"/>
      <c r="J629" s="242"/>
      <c r="Q629" s="142"/>
      <c r="R629" s="142"/>
      <c r="S629" s="142"/>
      <c r="T629" s="142"/>
      <c r="U629" s="142"/>
      <c r="V629" s="142"/>
      <c r="W629" s="142"/>
      <c r="X629" s="142"/>
    </row>
    <row r="630" spans="1:24" ht="16.149999999999999" customHeight="1" x14ac:dyDescent="0.2">
      <c r="A630" s="17"/>
      <c r="B630" s="565" t="s">
        <v>3331</v>
      </c>
      <c r="C630" s="565"/>
      <c r="D630" s="566" t="str">
        <f>IF(L639=0,"",IF(ISBLANK(E630),"Required!",""))</f>
        <v/>
      </c>
      <c r="E630" s="4646"/>
      <c r="F630" s="4646"/>
      <c r="G630" s="4646"/>
      <c r="H630" s="4646"/>
      <c r="I630" s="4646"/>
      <c r="J630" s="242"/>
      <c r="L630" s="46">
        <f>IF(ISBLANK(E630),0,1)</f>
      </c>
      <c r="M630" s="167">
        <f>IF(D630=$M$1,0,1)</f>
      </c>
      <c r="N630" s="142">
        <f>IF(AND(F617="yes",$P$3="y"),1,0)</f>
      </c>
      <c r="Q630" s="142"/>
      <c r="R630" s="142"/>
      <c r="S630" s="142"/>
      <c r="T630" s="142"/>
      <c r="U630" s="142"/>
      <c r="V630" s="142"/>
      <c r="W630" s="142"/>
      <c r="X630" s="142"/>
    </row>
    <row r="631" spans="1:24" ht="6" customHeight="1" x14ac:dyDescent="0.2">
      <c r="A631" s="17"/>
      <c r="B631" s="565"/>
      <c r="C631" s="565"/>
      <c r="D631" s="565"/>
      <c r="E631" s="185"/>
      <c r="F631" s="185"/>
      <c r="G631" s="185"/>
      <c r="H631" s="185"/>
      <c r="I631" s="185"/>
      <c r="J631" s="242"/>
      <c r="M631" s="28"/>
      <c r="Q631" s="142"/>
      <c r="R631" s="142"/>
      <c r="S631" s="142"/>
      <c r="T631" s="142"/>
      <c r="U631" s="142"/>
      <c r="V631" s="142"/>
      <c r="W631" s="142"/>
      <c r="X631" s="142"/>
    </row>
    <row r="632" spans="1:24" ht="16.149999999999999" customHeight="1" x14ac:dyDescent="0.2">
      <c r="A632" s="17"/>
      <c r="B632" s="567" t="str">
        <f>IF(N630=1,"Year of transfer [Basis Year]","Year of sale [Basis Year]")</f>
      </c>
      <c r="C632" s="567"/>
      <c r="D632" s="566" t="str">
        <f>IF(L639=0,"",IF(ISBLANK(E632),"Required!",""))</f>
        <v/>
      </c>
      <c r="E632" s="568"/>
      <c r="F632" s="4643" t="s">
        <v>3332</v>
      </c>
      <c r="G632" s="4644"/>
      <c r="H632" s="569"/>
      <c r="I632" s="570" t="str">
        <f>IF(L639=0,"",IF(ISBLANK(H632),"A/c ?",""))</f>
        <v/>
      </c>
      <c r="J632" s="242"/>
      <c r="L632" s="46">
        <f>IF(ISBLANK(E632),0,1)</f>
      </c>
      <c r="M632" s="28">
        <f>IF(I632=$M$1,0,1)</f>
      </c>
      <c r="Q632" s="142"/>
      <c r="R632" s="142"/>
      <c r="S632" s="142"/>
      <c r="T632" s="142"/>
      <c r="U632" s="142"/>
      <c r="V632" s="142"/>
      <c r="W632" s="142"/>
      <c r="X632" s="142"/>
    </row>
    <row r="633" spans="1:24" ht="6" customHeight="1" x14ac:dyDescent="0.2">
      <c r="A633" s="17"/>
      <c r="B633" s="565"/>
      <c r="C633" s="565"/>
      <c r="D633" s="565"/>
      <c r="E633" s="20"/>
      <c r="F633" s="20"/>
      <c r="G633" s="20"/>
      <c r="H633" s="20"/>
      <c r="I633" s="20"/>
      <c r="J633" s="242"/>
      <c r="L633" s="46">
        <f>IF(ISBLANK(H632),0,1)</f>
      </c>
      <c r="M633" s="167">
        <f>IF(D632=$M$1,0,1)</f>
      </c>
      <c r="Q633" s="142"/>
      <c r="R633" s="142"/>
      <c r="S633" s="142"/>
      <c r="T633" s="142"/>
      <c r="U633" s="142"/>
      <c r="V633" s="142"/>
      <c r="W633" s="142"/>
      <c r="X633" s="142"/>
    </row>
    <row r="634" spans="1:24" ht="16.149999999999999" customHeight="1" x14ac:dyDescent="0.2">
      <c r="A634" s="17"/>
      <c r="B634" s="564" t="str">
        <f>IF(N630=1,"Market value of property","Selling price of property")</f>
      </c>
      <c r="C634" s="564"/>
      <c r="D634" s="566" t="str">
        <f>IF(L639=0,"",IF(ISBLANK(E634),"Required!",""))</f>
        <v/>
      </c>
      <c r="E634" s="571"/>
      <c r="F634" s="20"/>
      <c r="G634" s="573"/>
      <c r="H634" s="574"/>
      <c r="I634" s="20"/>
      <c r="J634" s="242"/>
      <c r="L634" s="46">
        <f>IF(ISBLANK(E634),0,1)</f>
      </c>
      <c r="M634" s="28">
        <f>IF(D634=$M$1,0,1)</f>
      </c>
      <c r="Q634" s="142"/>
      <c r="R634" s="142"/>
      <c r="S634" s="142"/>
      <c r="T634" s="142"/>
      <c r="U634" s="142"/>
      <c r="V634" s="142"/>
      <c r="W634" s="142"/>
      <c r="X634" s="142"/>
    </row>
    <row r="635" spans="1:24" ht="6" customHeight="1" x14ac:dyDescent="0.2">
      <c r="A635" s="17"/>
      <c r="B635" s="565"/>
      <c r="C635" s="565"/>
      <c r="D635" s="565"/>
      <c r="E635" s="20"/>
      <c r="F635" s="20"/>
      <c r="G635" s="573"/>
      <c r="H635" s="574"/>
      <c r="I635" s="20"/>
      <c r="J635" s="242"/>
      <c r="M635" s="28"/>
      <c r="Q635" s="142"/>
      <c r="R635" s="142"/>
      <c r="S635" s="142"/>
      <c r="T635" s="142"/>
      <c r="U635" s="142"/>
      <c r="V635" s="142"/>
      <c r="W635" s="142"/>
      <c r="X635" s="142"/>
    </row>
    <row r="636" spans="1:24" ht="16.149999999999999" customHeight="1" x14ac:dyDescent="0.2">
      <c r="A636" s="17"/>
      <c r="B636" s="564" t="s">
        <v>3333</v>
      </c>
      <c r="C636" s="564"/>
      <c r="D636" s="566" t="str">
        <f>IF(N637=1,"Delete!","")</f>
        <v/>
      </c>
      <c r="E636" s="571"/>
      <c r="F636" s="20"/>
      <c r="G636" s="573" t="s">
        <v>3213</v>
      </c>
      <c r="H636" s="575"/>
      <c r="I636" s="570" t="str">
        <f>IF(L639=0,"",IF(AND(N630=1,H636&lt;&gt;""),"Delete!",IF(N630=1,"",IF(ISBLANK(H636),"Date ?",""))))</f>
        <v/>
      </c>
      <c r="J636" s="242"/>
      <c r="L636" s="46">
        <f>IF(ISBLANK(E636),0,1)</f>
      </c>
      <c r="M636" s="142">
        <f>IF(I636=$M$1,0,1)</f>
      </c>
      <c r="N636" s="142">
        <f>IF(AND(N630=1,H636&lt;&gt;""),1,0)</f>
      </c>
      <c r="Q636" s="142"/>
      <c r="R636" s="142"/>
      <c r="S636" s="142"/>
      <c r="T636" s="142"/>
      <c r="U636" s="142"/>
      <c r="V636" s="142"/>
      <c r="W636" s="142"/>
      <c r="X636" s="142"/>
    </row>
    <row r="637" spans="1:24" ht="6" customHeight="1" x14ac:dyDescent="0.2">
      <c r="A637" s="17"/>
      <c r="B637" s="565"/>
      <c r="C637" s="565"/>
      <c r="D637" s="565"/>
      <c r="E637" s="576"/>
      <c r="F637" s="20"/>
      <c r="G637" s="573"/>
      <c r="H637" s="574"/>
      <c r="I637" s="20"/>
      <c r="J637" s="242"/>
      <c r="L637" s="142">
        <f>IF(ISBLANK(H636),0,1)</f>
      </c>
      <c r="M637" s="142">
        <f>IF(D636=$M$1,0,1)</f>
      </c>
      <c r="N637" s="142">
        <f>IF(AND(N630=1,E636&lt;&gt;0),1,0)</f>
      </c>
      <c r="Q637" s="142"/>
      <c r="R637" s="142"/>
      <c r="S637" s="142"/>
      <c r="T637" s="142"/>
      <c r="U637" s="142"/>
      <c r="V637" s="142"/>
      <c r="W637" s="142"/>
      <c r="X637" s="142"/>
    </row>
    <row r="638" spans="1:24" ht="16.149999999999999" customHeight="1" x14ac:dyDescent="0.2">
      <c r="A638" s="17"/>
      <c r="B638" s="4647" t="s">
        <v>4245</v>
      </c>
      <c r="C638" s="4647"/>
      <c r="D638" s="4647"/>
      <c r="E638" s="4649" t="s">
        <v>1511</v>
      </c>
      <c r="F638" s="4649"/>
      <c r="G638" s="577"/>
      <c r="H638" s="574"/>
      <c r="I638" s="20"/>
      <c r="J638" s="242"/>
      <c r="M638" s="28">
        <f>IF(G638=$M$1,0,1)</f>
      </c>
      <c r="Q638" s="142"/>
      <c r="R638" s="142"/>
      <c r="S638" s="142"/>
      <c r="T638" s="142"/>
      <c r="U638" s="142"/>
      <c r="V638" s="142"/>
      <c r="W638" s="142"/>
      <c r="X638" s="142"/>
    </row>
    <row r="639" spans="1:24" ht="6" customHeight="1" x14ac:dyDescent="0.2">
      <c r="A639" s="17"/>
      <c r="B639" s="17"/>
      <c r="C639" s="17"/>
      <c r="D639" s="578"/>
      <c r="E639" s="579"/>
      <c r="F639" s="17"/>
      <c r="G639" s="580"/>
      <c r="H639" s="578"/>
      <c r="I639" s="17"/>
      <c r="J639" s="242"/>
      <c r="L639" s="176">
        <f>SUM(L615:L638)</f>
      </c>
      <c r="M639" s="28"/>
      <c r="Q639" s="142"/>
      <c r="R639" s="142"/>
      <c r="S639" s="142"/>
      <c r="T639" s="142"/>
      <c r="U639" s="142"/>
      <c r="V639" s="142"/>
      <c r="W639" s="142"/>
      <c r="X639" s="142"/>
    </row>
    <row r="640" spans="1:24" ht="22.5" x14ac:dyDescent="0.2">
      <c r="A640" s="17"/>
      <c r="B640" s="581" t="s">
        <v>4244</v>
      </c>
      <c r="C640" s="581" t="s">
        <v>4246</v>
      </c>
      <c r="D640" s="582" t="s">
        <v>1475</v>
      </c>
      <c r="E640" s="583" t="s">
        <v>1476</v>
      </c>
      <c r="F640" s="269" t="s">
        <v>1477</v>
      </c>
      <c r="G640" s="17"/>
      <c r="H640" s="584"/>
      <c r="I640" s="17"/>
      <c r="J640" s="242"/>
      <c r="M640" s="28"/>
      <c r="Q640" s="142"/>
      <c r="R640" s="142"/>
      <c r="S640" s="142"/>
      <c r="T640" s="142"/>
      <c r="U640" s="142"/>
      <c r="V640" s="142"/>
      <c r="W640" s="142"/>
      <c r="X640" s="142"/>
    </row>
    <row r="641" spans="1:24" ht="16.149999999999999" customHeight="1" x14ac:dyDescent="0.2">
      <c r="A641" s="17"/>
      <c r="B641" s="431"/>
      <c r="C641" s="297"/>
      <c r="D641" s="297"/>
      <c r="E641" s="297"/>
      <c r="F641" s="297"/>
      <c r="G641" s="222" t="str">
        <f>IF(L639=0,"",IF(L641=5,"","All details !"))</f>
        <v/>
      </c>
      <c r="H641" s="17"/>
      <c r="I641" s="17"/>
      <c r="J641" s="242"/>
      <c r="L641" s="46">
        <f t="shared" ref="L641:L666" si="30">COUNT(B641:F641)</f>
      </c>
      <c r="M641" s="28">
        <f t="shared" ref="M641:M667" si="31">IF(G641=$M$1,0,1)</f>
      </c>
      <c r="Q641" s="142"/>
      <c r="R641" s="142"/>
      <c r="S641" s="142"/>
      <c r="T641" s="142"/>
      <c r="U641" s="142"/>
      <c r="V641" s="142"/>
      <c r="W641" s="142"/>
      <c r="X641" s="142"/>
    </row>
    <row r="642" spans="1:24" ht="16.149999999999999" customHeight="1" x14ac:dyDescent="0.2">
      <c r="A642" s="17"/>
      <c r="B642" s="431"/>
      <c r="C642" s="297"/>
      <c r="D642" s="297"/>
      <c r="E642" s="297"/>
      <c r="F642" s="297"/>
      <c r="G642" s="222" t="str">
        <f t="shared" ref="G642:G666" si="32">IF(L642=0,"",IF(L642=5,"","All details !"))</f>
        <v/>
      </c>
      <c r="H642" s="17"/>
      <c r="I642" s="17"/>
      <c r="J642" s="242"/>
      <c r="L642" s="46">
        <f t="shared" si="30"/>
        <v>0</v>
      </c>
      <c r="M642" s="28">
        <f t="shared" si="31"/>
        <v>0</v>
      </c>
      <c r="Q642" s="142"/>
      <c r="R642" s="142"/>
      <c r="S642" s="142"/>
      <c r="T642" s="142"/>
      <c r="U642" s="142"/>
      <c r="V642" s="142"/>
      <c r="W642" s="142"/>
      <c r="X642" s="142"/>
    </row>
    <row r="643" spans="1:24" ht="16.149999999999999" customHeight="1" x14ac:dyDescent="0.2">
      <c r="A643" s="17"/>
      <c r="B643" s="431"/>
      <c r="C643" s="297"/>
      <c r="D643" s="297"/>
      <c r="E643" s="297"/>
      <c r="F643" s="297"/>
      <c r="G643" s="222" t="str">
        <f t="shared" si="32"/>
        <v/>
      </c>
      <c r="H643" s="17"/>
      <c r="I643" s="17"/>
      <c r="J643" s="242"/>
      <c r="L643" s="46">
        <f t="shared" si="30"/>
        <v>0</v>
      </c>
      <c r="M643" s="28">
        <f t="shared" si="31"/>
        <v>0</v>
      </c>
      <c r="Q643" s="142"/>
      <c r="R643" s="142"/>
      <c r="S643" s="142"/>
      <c r="T643" s="142"/>
      <c r="U643" s="142"/>
      <c r="V643" s="142"/>
      <c r="W643" s="142"/>
      <c r="X643" s="142"/>
    </row>
    <row r="644" spans="1:24" ht="16.149999999999999" customHeight="1" x14ac:dyDescent="0.2">
      <c r="A644" s="17"/>
      <c r="B644" s="431"/>
      <c r="C644" s="297"/>
      <c r="D644" s="297"/>
      <c r="E644" s="297"/>
      <c r="F644" s="297"/>
      <c r="G644" s="222" t="str">
        <f t="shared" si="32"/>
        <v/>
      </c>
      <c r="H644" s="17"/>
      <c r="I644" s="17"/>
      <c r="J644" s="242"/>
      <c r="L644" s="46">
        <f t="shared" si="30"/>
        <v>0</v>
      </c>
      <c r="M644" s="28">
        <f t="shared" si="31"/>
        <v>0</v>
      </c>
      <c r="Q644" s="142"/>
      <c r="R644" s="142"/>
      <c r="S644" s="142"/>
      <c r="T644" s="142"/>
      <c r="U644" s="142"/>
      <c r="V644" s="142"/>
      <c r="W644" s="142"/>
      <c r="X644" s="142"/>
    </row>
    <row r="645" spans="1:24" ht="16.149999999999999" customHeight="1" x14ac:dyDescent="0.2">
      <c r="A645" s="17"/>
      <c r="B645" s="431"/>
      <c r="C645" s="297"/>
      <c r="D645" s="297"/>
      <c r="E645" s="297"/>
      <c r="F645" s="297"/>
      <c r="G645" s="222" t="str">
        <f t="shared" si="32"/>
        <v/>
      </c>
      <c r="H645" s="17"/>
      <c r="I645" s="17"/>
      <c r="J645" s="242"/>
      <c r="L645" s="46">
        <f t="shared" si="30"/>
        <v>0</v>
      </c>
      <c r="M645" s="28">
        <f t="shared" si="31"/>
        <v>0</v>
      </c>
      <c r="Q645" s="142"/>
      <c r="R645" s="142"/>
      <c r="S645" s="142"/>
      <c r="T645" s="142"/>
      <c r="U645" s="142"/>
      <c r="V645" s="142"/>
      <c r="W645" s="142"/>
      <c r="X645" s="142"/>
    </row>
    <row r="646" spans="1:24" ht="16.149999999999999" customHeight="1" x14ac:dyDescent="0.2">
      <c r="A646" s="17"/>
      <c r="B646" s="431"/>
      <c r="C646" s="297"/>
      <c r="D646" s="297"/>
      <c r="E646" s="297"/>
      <c r="F646" s="297"/>
      <c r="G646" s="222" t="str">
        <f t="shared" si="32"/>
        <v/>
      </c>
      <c r="H646" s="17"/>
      <c r="I646" s="17"/>
      <c r="J646" s="242"/>
      <c r="L646" s="46">
        <f t="shared" si="30"/>
        <v>0</v>
      </c>
      <c r="M646" s="28">
        <f t="shared" si="31"/>
        <v>0</v>
      </c>
      <c r="Q646" s="142"/>
      <c r="R646" s="142"/>
      <c r="S646" s="142"/>
      <c r="T646" s="142"/>
      <c r="U646" s="142"/>
      <c r="V646" s="142"/>
      <c r="W646" s="142"/>
      <c r="X646" s="142"/>
    </row>
    <row r="647" spans="1:24" ht="16.149999999999999" customHeight="1" x14ac:dyDescent="0.2">
      <c r="A647" s="17"/>
      <c r="B647" s="431"/>
      <c r="C647" s="297"/>
      <c r="D647" s="297"/>
      <c r="E647" s="297"/>
      <c r="F647" s="297"/>
      <c r="G647" s="222" t="str">
        <f t="shared" si="32"/>
        <v/>
      </c>
      <c r="H647" s="17"/>
      <c r="I647" s="17"/>
      <c r="J647" s="242"/>
      <c r="L647" s="46">
        <f t="shared" si="30"/>
        <v>0</v>
      </c>
      <c r="M647" s="28">
        <f t="shared" si="31"/>
        <v>0</v>
      </c>
      <c r="Q647" s="142"/>
      <c r="R647" s="142"/>
      <c r="S647" s="142"/>
      <c r="T647" s="142"/>
      <c r="U647" s="142"/>
      <c r="V647" s="142"/>
      <c r="W647" s="142"/>
      <c r="X647" s="142"/>
    </row>
    <row r="648" spans="1:24" ht="16.149999999999999" customHeight="1" x14ac:dyDescent="0.2">
      <c r="A648" s="17"/>
      <c r="B648" s="431"/>
      <c r="C648" s="297"/>
      <c r="D648" s="297"/>
      <c r="E648" s="297"/>
      <c r="F648" s="297"/>
      <c r="G648" s="222" t="str">
        <f t="shared" si="32"/>
        <v/>
      </c>
      <c r="H648" s="17"/>
      <c r="I648" s="17"/>
      <c r="J648" s="242"/>
      <c r="L648" s="46">
        <f t="shared" si="30"/>
        <v>0</v>
      </c>
      <c r="M648" s="28">
        <f t="shared" si="31"/>
        <v>0</v>
      </c>
      <c r="Q648" s="142"/>
      <c r="R648" s="142"/>
      <c r="S648" s="142"/>
      <c r="T648" s="142"/>
      <c r="U648" s="142"/>
      <c r="V648" s="142"/>
      <c r="W648" s="142"/>
      <c r="X648" s="142"/>
    </row>
    <row r="649" spans="1:24" ht="16.149999999999999" customHeight="1" x14ac:dyDescent="0.2">
      <c r="A649" s="17"/>
      <c r="B649" s="431"/>
      <c r="C649" s="297"/>
      <c r="D649" s="297"/>
      <c r="E649" s="297"/>
      <c r="F649" s="297"/>
      <c r="G649" s="222" t="str">
        <f t="shared" si="32"/>
        <v/>
      </c>
      <c r="H649" s="17"/>
      <c r="I649" s="17"/>
      <c r="J649" s="242"/>
      <c r="L649" s="46">
        <f t="shared" si="30"/>
        <v>0</v>
      </c>
      <c r="M649" s="28">
        <f t="shared" si="31"/>
        <v>0</v>
      </c>
      <c r="Q649" s="142"/>
      <c r="R649" s="142"/>
      <c r="S649" s="142"/>
      <c r="T649" s="142"/>
      <c r="U649" s="142"/>
      <c r="V649" s="142"/>
      <c r="W649" s="142"/>
      <c r="X649" s="142"/>
    </row>
    <row r="650" spans="1:24" ht="16.149999999999999" customHeight="1" x14ac:dyDescent="0.2">
      <c r="A650" s="17"/>
      <c r="B650" s="431"/>
      <c r="C650" s="297"/>
      <c r="D650" s="297"/>
      <c r="E650" s="297"/>
      <c r="F650" s="297"/>
      <c r="G650" s="222" t="str">
        <f t="shared" si="32"/>
        <v/>
      </c>
      <c r="H650" s="17"/>
      <c r="I650" s="17"/>
      <c r="J650" s="242"/>
      <c r="L650" s="46">
        <f t="shared" si="30"/>
        <v>0</v>
      </c>
      <c r="M650" s="28">
        <f t="shared" si="31"/>
        <v>0</v>
      </c>
      <c r="Q650" s="142"/>
      <c r="R650" s="142"/>
      <c r="S650" s="142"/>
      <c r="T650" s="142"/>
      <c r="U650" s="142"/>
      <c r="V650" s="142"/>
      <c r="W650" s="142"/>
      <c r="X650" s="142"/>
    </row>
    <row r="651" spans="1:24" ht="16.149999999999999" customHeight="1" x14ac:dyDescent="0.2">
      <c r="A651" s="17"/>
      <c r="B651" s="431"/>
      <c r="C651" s="297"/>
      <c r="D651" s="297"/>
      <c r="E651" s="297"/>
      <c r="F651" s="297"/>
      <c r="G651" s="222" t="str">
        <f t="shared" si="32"/>
        <v/>
      </c>
      <c r="H651" s="17"/>
      <c r="I651" s="17"/>
      <c r="J651" s="242"/>
      <c r="L651" s="46">
        <f t="shared" si="30"/>
        <v>0</v>
      </c>
      <c r="M651" s="28">
        <f t="shared" si="31"/>
        <v>0</v>
      </c>
      <c r="Q651" s="142"/>
      <c r="R651" s="142"/>
      <c r="S651" s="142"/>
      <c r="T651" s="142"/>
      <c r="U651" s="142"/>
      <c r="V651" s="142"/>
      <c r="W651" s="142"/>
      <c r="X651" s="142"/>
    </row>
    <row r="652" spans="1:24" ht="16.149999999999999" customHeight="1" x14ac:dyDescent="0.2">
      <c r="A652" s="17"/>
      <c r="B652" s="431"/>
      <c r="C652" s="297"/>
      <c r="D652" s="297"/>
      <c r="E652" s="297"/>
      <c r="F652" s="297"/>
      <c r="G652" s="222" t="str">
        <f t="shared" si="32"/>
        <v/>
      </c>
      <c r="H652" s="17"/>
      <c r="I652" s="17"/>
      <c r="J652" s="242"/>
      <c r="L652" s="46">
        <f t="shared" si="30"/>
        <v>0</v>
      </c>
      <c r="M652" s="28">
        <f t="shared" si="31"/>
        <v>0</v>
      </c>
      <c r="Q652" s="142"/>
      <c r="R652" s="142"/>
      <c r="S652" s="142"/>
      <c r="T652" s="142"/>
      <c r="U652" s="142"/>
      <c r="V652" s="142"/>
      <c r="W652" s="142"/>
      <c r="X652" s="142"/>
    </row>
    <row r="653" spans="1:24" ht="16.149999999999999" customHeight="1" x14ac:dyDescent="0.2">
      <c r="A653" s="17"/>
      <c r="B653" s="431"/>
      <c r="C653" s="297"/>
      <c r="D653" s="297"/>
      <c r="E653" s="297"/>
      <c r="F653" s="297"/>
      <c r="G653" s="222" t="str">
        <f t="shared" si="32"/>
        <v/>
      </c>
      <c r="H653" s="17"/>
      <c r="I653" s="17"/>
      <c r="J653" s="242"/>
      <c r="L653" s="46">
        <f t="shared" si="30"/>
        <v>0</v>
      </c>
      <c r="M653" s="28">
        <f t="shared" si="31"/>
        <v>0</v>
      </c>
      <c r="Q653" s="142"/>
      <c r="R653" s="142"/>
      <c r="S653" s="142"/>
      <c r="T653" s="142"/>
      <c r="U653" s="142"/>
      <c r="V653" s="142"/>
      <c r="W653" s="142"/>
      <c r="X653" s="142"/>
    </row>
    <row r="654" spans="1:24" ht="16.149999999999999" customHeight="1" x14ac:dyDescent="0.2">
      <c r="A654" s="17"/>
      <c r="B654" s="431"/>
      <c r="C654" s="297"/>
      <c r="D654" s="297"/>
      <c r="E654" s="297"/>
      <c r="F654" s="297"/>
      <c r="G654" s="222" t="str">
        <f t="shared" si="32"/>
        <v/>
      </c>
      <c r="H654" s="17"/>
      <c r="I654" s="17"/>
      <c r="J654" s="242"/>
      <c r="L654" s="46">
        <f t="shared" si="30"/>
        <v>0</v>
      </c>
      <c r="M654" s="28">
        <f t="shared" si="31"/>
        <v>0</v>
      </c>
      <c r="Q654" s="142"/>
      <c r="R654" s="142"/>
      <c r="S654" s="142"/>
      <c r="T654" s="142"/>
      <c r="U654" s="142"/>
      <c r="V654" s="142"/>
      <c r="W654" s="142"/>
      <c r="X654" s="142"/>
    </row>
    <row r="655" spans="1:24" ht="16.149999999999999" customHeight="1" x14ac:dyDescent="0.2">
      <c r="A655" s="17"/>
      <c r="B655" s="431"/>
      <c r="C655" s="297"/>
      <c r="D655" s="297"/>
      <c r="E655" s="297"/>
      <c r="F655" s="297"/>
      <c r="G655" s="222" t="str">
        <f t="shared" si="32"/>
        <v/>
      </c>
      <c r="H655" s="17"/>
      <c r="I655" s="17"/>
      <c r="J655" s="242"/>
      <c r="L655" s="46">
        <f t="shared" si="30"/>
        <v>0</v>
      </c>
      <c r="M655" s="28">
        <f t="shared" si="31"/>
        <v>0</v>
      </c>
      <c r="Q655" s="142"/>
      <c r="R655" s="142"/>
      <c r="S655" s="142"/>
      <c r="T655" s="142"/>
      <c r="U655" s="142"/>
      <c r="V655" s="142"/>
      <c r="W655" s="142"/>
      <c r="X655" s="142"/>
    </row>
    <row r="656" spans="1:24" ht="16.149999999999999" customHeight="1" x14ac:dyDescent="0.2">
      <c r="A656" s="17"/>
      <c r="B656" s="431"/>
      <c r="C656" s="297"/>
      <c r="D656" s="297"/>
      <c r="E656" s="297"/>
      <c r="F656" s="297"/>
      <c r="G656" s="222" t="str">
        <f t="shared" si="32"/>
        <v/>
      </c>
      <c r="H656" s="17"/>
      <c r="I656" s="17"/>
      <c r="J656" s="242"/>
      <c r="L656" s="46">
        <f t="shared" si="30"/>
        <v>0</v>
      </c>
      <c r="M656" s="28">
        <f t="shared" si="31"/>
        <v>0</v>
      </c>
      <c r="Q656" s="142"/>
      <c r="R656" s="142"/>
      <c r="S656" s="142"/>
      <c r="T656" s="142"/>
      <c r="U656" s="142"/>
      <c r="V656" s="142"/>
      <c r="W656" s="142"/>
      <c r="X656" s="142"/>
    </row>
    <row r="657" spans="1:24" ht="16.149999999999999" customHeight="1" x14ac:dyDescent="0.2">
      <c r="A657" s="17"/>
      <c r="B657" s="431"/>
      <c r="C657" s="297"/>
      <c r="D657" s="297"/>
      <c r="E657" s="297"/>
      <c r="F657" s="297"/>
      <c r="G657" s="222" t="str">
        <f t="shared" si="32"/>
        <v/>
      </c>
      <c r="H657" s="17"/>
      <c r="I657" s="17"/>
      <c r="J657" s="242"/>
      <c r="L657" s="46">
        <f t="shared" si="30"/>
        <v>0</v>
      </c>
      <c r="M657" s="28">
        <f t="shared" si="31"/>
        <v>0</v>
      </c>
      <c r="Q657" s="142"/>
      <c r="R657" s="142"/>
      <c r="S657" s="142"/>
      <c r="T657" s="142"/>
      <c r="U657" s="142"/>
      <c r="V657" s="142"/>
      <c r="W657" s="142"/>
      <c r="X657" s="142"/>
    </row>
    <row r="658" spans="1:24" ht="16.149999999999999" customHeight="1" x14ac:dyDescent="0.2">
      <c r="A658" s="17"/>
      <c r="B658" s="431"/>
      <c r="C658" s="297"/>
      <c r="D658" s="297"/>
      <c r="E658" s="297"/>
      <c r="F658" s="297"/>
      <c r="G658" s="222" t="str">
        <f t="shared" si="32"/>
        <v/>
      </c>
      <c r="H658" s="17"/>
      <c r="I658" s="17"/>
      <c r="J658" s="242"/>
      <c r="L658" s="46">
        <f t="shared" si="30"/>
        <v>0</v>
      </c>
      <c r="M658" s="28">
        <f t="shared" si="31"/>
        <v>0</v>
      </c>
      <c r="Q658" s="142"/>
      <c r="R658" s="142"/>
      <c r="S658" s="142"/>
      <c r="T658" s="142"/>
      <c r="U658" s="142"/>
      <c r="V658" s="142"/>
      <c r="W658" s="142"/>
      <c r="X658" s="142"/>
    </row>
    <row r="659" spans="1:24" ht="16.149999999999999" customHeight="1" x14ac:dyDescent="0.2">
      <c r="A659" s="17"/>
      <c r="B659" s="431"/>
      <c r="C659" s="297"/>
      <c r="D659" s="297"/>
      <c r="E659" s="297"/>
      <c r="F659" s="297"/>
      <c r="G659" s="222" t="str">
        <f t="shared" si="32"/>
        <v/>
      </c>
      <c r="H659" s="17"/>
      <c r="I659" s="17"/>
      <c r="J659" s="242"/>
      <c r="L659" s="46">
        <f t="shared" si="30"/>
        <v>0</v>
      </c>
      <c r="M659" s="28">
        <f t="shared" si="31"/>
        <v>0</v>
      </c>
      <c r="Q659" s="142"/>
      <c r="R659" s="142"/>
      <c r="S659" s="142"/>
      <c r="T659" s="142"/>
      <c r="U659" s="142"/>
      <c r="V659" s="142"/>
      <c r="W659" s="142"/>
      <c r="X659" s="142"/>
    </row>
    <row r="660" spans="1:24" ht="16.149999999999999" customHeight="1" x14ac:dyDescent="0.2">
      <c r="A660" s="17"/>
      <c r="B660" s="431"/>
      <c r="C660" s="297"/>
      <c r="D660" s="297"/>
      <c r="E660" s="297"/>
      <c r="F660" s="297"/>
      <c r="G660" s="222" t="str">
        <f t="shared" si="32"/>
        <v/>
      </c>
      <c r="H660" s="17"/>
      <c r="I660" s="17"/>
      <c r="J660" s="242"/>
      <c r="L660" s="46">
        <f t="shared" si="30"/>
        <v>0</v>
      </c>
      <c r="M660" s="28">
        <f t="shared" si="31"/>
        <v>0</v>
      </c>
      <c r="Q660" s="142"/>
      <c r="R660" s="142"/>
      <c r="S660" s="142"/>
      <c r="T660" s="142"/>
      <c r="U660" s="142"/>
      <c r="V660" s="142"/>
      <c r="W660" s="142"/>
      <c r="X660" s="142"/>
    </row>
    <row r="661" spans="1:24" ht="16.149999999999999" customHeight="1" x14ac:dyDescent="0.2">
      <c r="A661" s="17"/>
      <c r="B661" s="431"/>
      <c r="C661" s="297"/>
      <c r="D661" s="297"/>
      <c r="E661" s="297"/>
      <c r="F661" s="297"/>
      <c r="G661" s="222" t="str">
        <f t="shared" si="32"/>
        <v/>
      </c>
      <c r="H661" s="17"/>
      <c r="I661" s="17"/>
      <c r="J661" s="242"/>
      <c r="L661" s="46">
        <f t="shared" si="30"/>
        <v>0</v>
      </c>
      <c r="M661" s="28">
        <f t="shared" si="31"/>
        <v>0</v>
      </c>
      <c r="Q661" s="142"/>
      <c r="R661" s="142"/>
      <c r="S661" s="142"/>
      <c r="T661" s="142"/>
      <c r="U661" s="142"/>
      <c r="V661" s="142"/>
      <c r="W661" s="142"/>
      <c r="X661" s="142"/>
    </row>
    <row r="662" spans="1:24" ht="16.149999999999999" customHeight="1" x14ac:dyDescent="0.2">
      <c r="A662" s="17"/>
      <c r="B662" s="431"/>
      <c r="C662" s="297"/>
      <c r="D662" s="297"/>
      <c r="E662" s="297"/>
      <c r="F662" s="297"/>
      <c r="G662" s="222" t="str">
        <f t="shared" si="32"/>
        <v/>
      </c>
      <c r="H662" s="17"/>
      <c r="I662" s="17"/>
      <c r="J662" s="242"/>
      <c r="L662" s="46">
        <f t="shared" si="30"/>
        <v>0</v>
      </c>
      <c r="M662" s="28">
        <f t="shared" si="31"/>
        <v>0</v>
      </c>
      <c r="Q662" s="142"/>
      <c r="R662" s="142"/>
      <c r="S662" s="142"/>
      <c r="T662" s="142"/>
      <c r="U662" s="142"/>
      <c r="V662" s="142"/>
      <c r="W662" s="142"/>
      <c r="X662" s="142"/>
    </row>
    <row r="663" spans="1:24" ht="16.149999999999999" customHeight="1" x14ac:dyDescent="0.2">
      <c r="A663" s="17"/>
      <c r="B663" s="431"/>
      <c r="C663" s="297"/>
      <c r="D663" s="297"/>
      <c r="E663" s="297"/>
      <c r="F663" s="297"/>
      <c r="G663" s="222" t="str">
        <f t="shared" si="32"/>
        <v/>
      </c>
      <c r="H663" s="17"/>
      <c r="I663" s="17"/>
      <c r="J663" s="242"/>
      <c r="L663" s="46">
        <f t="shared" si="30"/>
        <v>0</v>
      </c>
      <c r="M663" s="28">
        <f t="shared" si="31"/>
        <v>0</v>
      </c>
      <c r="Q663" s="142"/>
      <c r="R663" s="142"/>
      <c r="S663" s="142"/>
      <c r="T663" s="142"/>
      <c r="U663" s="142"/>
      <c r="V663" s="142"/>
      <c r="W663" s="142"/>
      <c r="X663" s="142"/>
    </row>
    <row r="664" spans="1:24" ht="16.149999999999999" customHeight="1" x14ac:dyDescent="0.2">
      <c r="A664" s="17"/>
      <c r="B664" s="431"/>
      <c r="C664" s="297"/>
      <c r="D664" s="297"/>
      <c r="E664" s="297"/>
      <c r="F664" s="297"/>
      <c r="G664" s="222" t="str">
        <f t="shared" si="32"/>
        <v/>
      </c>
      <c r="H664" s="17"/>
      <c r="I664" s="17"/>
      <c r="J664" s="242"/>
      <c r="L664" s="46">
        <f t="shared" si="30"/>
        <v>0</v>
      </c>
      <c r="M664" s="28">
        <f t="shared" si="31"/>
        <v>0</v>
      </c>
      <c r="Q664" s="142"/>
      <c r="R664" s="142"/>
      <c r="S664" s="142"/>
      <c r="T664" s="142"/>
      <c r="U664" s="142"/>
      <c r="V664" s="142"/>
      <c r="W664" s="142"/>
      <c r="X664" s="142"/>
    </row>
    <row r="665" spans="1:24" ht="16.149999999999999" customHeight="1" x14ac:dyDescent="0.2">
      <c r="A665" s="17"/>
      <c r="B665" s="431"/>
      <c r="C665" s="297"/>
      <c r="D665" s="297"/>
      <c r="E665" s="297"/>
      <c r="F665" s="297"/>
      <c r="G665" s="222" t="str">
        <f t="shared" si="32"/>
        <v/>
      </c>
      <c r="H665" s="17"/>
      <c r="I665" s="17"/>
      <c r="J665" s="242"/>
      <c r="L665" s="46">
        <f t="shared" si="30"/>
        <v>0</v>
      </c>
      <c r="M665" s="28">
        <f t="shared" si="31"/>
        <v>0</v>
      </c>
      <c r="Q665" s="142"/>
      <c r="R665" s="142"/>
      <c r="S665" s="142"/>
      <c r="T665" s="142"/>
      <c r="U665" s="142"/>
      <c r="V665" s="142"/>
      <c r="W665" s="142"/>
      <c r="X665" s="142"/>
    </row>
    <row r="666" spans="1:24" ht="16.149999999999999" customHeight="1" x14ac:dyDescent="0.2">
      <c r="A666" s="17"/>
      <c r="B666" s="585"/>
      <c r="C666" s="313"/>
      <c r="D666" s="313"/>
      <c r="E666" s="313"/>
      <c r="F666" s="313"/>
      <c r="G666" s="222" t="str">
        <f t="shared" si="32"/>
        <v/>
      </c>
      <c r="H666" s="17"/>
      <c r="I666" s="17"/>
      <c r="J666" s="242"/>
      <c r="L666" s="46">
        <f t="shared" si="30"/>
        <v>0</v>
      </c>
      <c r="M666" s="28">
        <f t="shared" si="31"/>
        <v>0</v>
      </c>
      <c r="Q666" s="142"/>
      <c r="R666" s="142"/>
      <c r="S666" s="142"/>
      <c r="T666" s="142"/>
      <c r="U666" s="142"/>
      <c r="V666" s="142"/>
      <c r="W666" s="142"/>
      <c r="X666" s="142"/>
    </row>
    <row r="667" spans="1:24" ht="16.149999999999999" customHeight="1" x14ac:dyDescent="0.2">
      <c r="A667" s="17"/>
      <c r="B667" s="586" t="s">
        <v>5590</v>
      </c>
      <c r="C667" s="587">
        <f>SUM(C641:C666)</f>
      </c>
      <c r="D667" s="587">
        <f>SUM(D641:D666)</f>
      </c>
      <c r="E667" s="587">
        <f>SUM(E641:E666)</f>
      </c>
      <c r="F667" s="587">
        <f>SUM(F641:F666)</f>
      </c>
      <c r="G667" s="222" t="str">
        <f>IF(D667&lt;&gt;E634,"Check Selling Price !","")</f>
        <v/>
      </c>
      <c r="H667" s="17"/>
      <c r="I667" s="17"/>
      <c r="J667" s="242"/>
      <c r="M667" s="28">
        <f t="shared" si="31"/>
        <v>0</v>
      </c>
      <c r="Q667" s="142"/>
      <c r="R667" s="142"/>
      <c r="S667" s="142"/>
      <c r="T667" s="142"/>
      <c r="U667" s="142"/>
      <c r="V667" s="142"/>
      <c r="W667" s="142"/>
      <c r="X667" s="142"/>
    </row>
    <row r="668" spans="1:24" ht="16.149999999999999" customHeight="1" x14ac:dyDescent="0.2">
      <c r="A668" s="17"/>
      <c r="B668" s="4648" t="s">
        <v>1478</v>
      </c>
      <c r="C668" s="4648"/>
      <c r="D668" s="4648"/>
      <c r="E668" s="4648"/>
      <c r="F668" s="588">
        <f>E636</f>
      </c>
      <c r="G668" s="17"/>
      <c r="H668" s="17"/>
      <c r="I668" s="17"/>
      <c r="J668" s="242"/>
      <c r="M668" s="167">
        <f>SUM(M615:M667)</f>
      </c>
      <c r="Q668" s="142"/>
      <c r="R668" s="142"/>
      <c r="S668" s="142"/>
      <c r="T668" s="142"/>
      <c r="U668" s="142"/>
      <c r="V668" s="142"/>
      <c r="W668" s="142"/>
      <c r="X668" s="142"/>
    </row>
    <row r="669" spans="1:24" ht="16.149999999999999" customHeight="1" x14ac:dyDescent="0.2">
      <c r="A669" s="17"/>
      <c r="B669" s="589"/>
      <c r="C669" s="589"/>
      <c r="D669" s="589"/>
      <c r="E669" s="589"/>
      <c r="F669" s="310"/>
      <c r="G669" s="17"/>
      <c r="H669" s="279" t="str">
        <f>ip</f>
      </c>
      <c r="I669" s="279" t="s">
        <v>2372</v>
      </c>
      <c r="J669" s="242"/>
      <c r="Q669" s="142"/>
      <c r="R669" s="142"/>
      <c r="S669" s="142"/>
      <c r="T669" s="142"/>
      <c r="U669" s="142"/>
      <c r="V669" s="142"/>
      <c r="W669" s="142"/>
      <c r="X669" s="142"/>
    </row>
    <row r="670" spans="1:24" ht="16.149999999999999" customHeight="1" x14ac:dyDescent="0.2">
      <c r="A670" s="17"/>
      <c r="B670" s="4650" t="s">
        <v>5410</v>
      </c>
      <c r="C670" s="4650"/>
      <c r="D670" s="4650"/>
      <c r="E670" s="4650"/>
      <c r="F670" s="4650"/>
      <c r="G670" s="17"/>
      <c r="H670" s="590" t="str">
        <f>IF($H632=ip,K670,"")</f>
        <v/>
      </c>
      <c r="I670" s="590" t="str">
        <f>IF($H632=fi,K670,"")</f>
        <v/>
      </c>
      <c r="J670" s="242"/>
      <c r="K670" s="236">
        <f>F667-F668</f>
      </c>
      <c r="Q670" s="142"/>
      <c r="R670" s="142"/>
      <c r="S670" s="142"/>
      <c r="T670" s="142"/>
      <c r="U670" s="142"/>
      <c r="V670" s="142"/>
      <c r="W670" s="142"/>
      <c r="X670" s="142"/>
    </row>
    <row r="671" spans="1:24" ht="16.149999999999999" customHeight="1" x14ac:dyDescent="0.2">
      <c r="A671" s="17"/>
      <c r="B671" s="17" t="str">
        <f>_xlfn.SINGLE(MTCA)</f>
      </c>
      <c r="C671" s="17"/>
      <c r="D671" s="17" t="str">
        <f>ver</f>
        <v>TA2_e-CO_2025_Ver 1.1</v>
      </c>
      <c r="E671" s="17"/>
      <c r="F671" s="17"/>
      <c r="G671" s="17"/>
      <c r="H671" s="17"/>
      <c r="I671" s="536" t="s">
        <v>9871</v>
      </c>
      <c r="J671" s="242"/>
      <c r="Q671" s="142"/>
      <c r="R671" s="142"/>
      <c r="S671" s="142"/>
      <c r="T671" s="142"/>
      <c r="U671" s="142"/>
      <c r="V671" s="142"/>
      <c r="W671" s="142"/>
      <c r="X671" s="142"/>
    </row>
    <row r="672" spans="1:24" ht="16.149999999999999" customHeight="1" x14ac:dyDescent="0.2">
      <c r="A672" s="17"/>
      <c r="B672" s="17"/>
      <c r="C672" s="17"/>
      <c r="D672" s="17"/>
      <c r="E672" s="17"/>
      <c r="F672" s="17"/>
      <c r="G672" s="17"/>
      <c r="H672" s="17"/>
      <c r="I672" s="536"/>
      <c r="J672" s="242"/>
      <c r="Q672" s="142"/>
      <c r="R672" s="142"/>
      <c r="S672" s="142"/>
      <c r="T672" s="142"/>
      <c r="U672" s="142"/>
      <c r="V672" s="142"/>
      <c r="W672" s="142"/>
      <c r="X672" s="142"/>
    </row>
    <row r="673" spans="1:24" ht="16.149999999999999" customHeight="1" x14ac:dyDescent="0.2">
      <c r="A673" s="17"/>
      <c r="B673" s="17"/>
      <c r="C673" s="17"/>
      <c r="D673" s="17"/>
      <c r="E673" s="17"/>
      <c r="F673" s="17"/>
      <c r="G673" s="17"/>
      <c r="H673" s="17"/>
      <c r="I673" s="536"/>
      <c r="J673" s="242"/>
      <c r="Q673" s="142"/>
      <c r="R673" s="142"/>
      <c r="S673" s="142"/>
      <c r="T673" s="142"/>
      <c r="U673" s="142"/>
      <c r="V673" s="142"/>
      <c r="W673" s="142"/>
      <c r="X673" s="142"/>
    </row>
    <row r="674" spans="1:24" ht="16.149999999999999" customHeight="1" x14ac:dyDescent="0.2">
      <c r="A674" s="781">
        <v>12</v>
      </c>
      <c r="B674" s="4645" t="s">
        <v>5196</v>
      </c>
      <c r="C674" s="4645"/>
      <c r="D674" s="4645"/>
      <c r="E674" s="4645"/>
      <c r="F674" s="4645"/>
      <c r="G674" s="4645"/>
      <c r="H674" s="4645"/>
      <c r="I674" s="4645"/>
      <c r="J674" s="242"/>
      <c r="K674" s="62"/>
      <c r="L674" s="62"/>
      <c r="Q674" s="142"/>
      <c r="R674" s="142"/>
      <c r="S674" s="142"/>
      <c r="T674" s="142"/>
      <c r="U674" s="142"/>
      <c r="V674" s="142"/>
      <c r="W674" s="142"/>
      <c r="X674" s="142"/>
    </row>
    <row r="675" spans="1:24" ht="6" customHeight="1" x14ac:dyDescent="0.2">
      <c r="A675" s="242"/>
      <c r="B675" s="242"/>
      <c r="C675" s="242"/>
      <c r="D675" s="242"/>
      <c r="E675" s="242"/>
      <c r="F675" s="242"/>
      <c r="G675" s="242"/>
      <c r="H675" s="242"/>
      <c r="I675" s="242"/>
      <c r="J675" s="242"/>
      <c r="K675" s="62"/>
      <c r="L675" s="62"/>
      <c r="Q675" s="142"/>
      <c r="R675" s="142"/>
      <c r="S675" s="142"/>
      <c r="T675" s="142"/>
      <c r="U675" s="142"/>
      <c r="V675" s="142"/>
      <c r="W675" s="142"/>
      <c r="X675" s="142"/>
    </row>
    <row r="676" spans="1:24" s="142" customFormat="1" ht="14.25" x14ac:dyDescent="0.2">
      <c r="A676" s="242"/>
      <c r="B676" s="3574" t="s">
        <v>9959</v>
      </c>
      <c r="C676" s="242"/>
      <c r="D676" s="242"/>
      <c r="E676" s="242"/>
      <c r="F676" s="569"/>
      <c r="G676" s="572" t="str">
        <f>IF(L700=0,"",IF(AND($P$1="n",F676&lt;&gt;""),"No details required!",IF(AND($P$1="y",ISBLANK(F676)),"Required !","")))</f>
        <v/>
      </c>
      <c r="H676" s="242"/>
      <c r="I676" s="242"/>
      <c r="J676" s="242"/>
      <c r="L676" s="142">
        <f>IF(ISBLANK(F676),0,1)</f>
      </c>
      <c r="M676" s="167">
        <f>IF(G676=$M$1,0,1)</f>
      </c>
    </row>
    <row r="677" spans="1:24" s="142" customFormat="1" ht="7.5" customHeight="1" x14ac:dyDescent="0.2">
      <c r="A677" s="242"/>
      <c r="B677" s="3574"/>
      <c r="C677" s="242"/>
      <c r="D677" s="242"/>
      <c r="E677" s="242"/>
      <c r="F677" s="242"/>
      <c r="G677" s="242"/>
      <c r="H677" s="242"/>
      <c r="I677" s="242"/>
      <c r="J677" s="242"/>
      <c r="M677" s="167"/>
    </row>
    <row r="678" spans="1:24" ht="14.25" customHeight="1" x14ac:dyDescent="0.2">
      <c r="A678" s="242"/>
      <c r="B678" s="4641" t="s">
        <v>10035</v>
      </c>
      <c r="C678" s="4641"/>
      <c r="D678" s="4641"/>
      <c r="E678" s="4641"/>
      <c r="F678" s="569"/>
      <c r="G678" s="572" t="str">
        <f>IF(L698=0,"",IF(ISBLANK(F678),"Required!",IF(AND($P$3="n",F678="yes"),"Check Pg2 Q32!","")))</f>
        <v/>
      </c>
      <c r="H678" s="242"/>
      <c r="I678" s="242"/>
      <c r="J678" s="242"/>
      <c r="K678" s="62"/>
      <c r="L678" s="142">
        <f>IF(ISBLANK(F678),0,1)</f>
      </c>
      <c r="M678" s="167">
        <f>IF(G678=$M$1,0,1)</f>
      </c>
      <c r="N678" s="142">
        <f>IF(AND($P$3="n",F678="yes"),1,0)</f>
      </c>
      <c r="Q678" s="142"/>
      <c r="R678" s="142"/>
      <c r="S678" s="142"/>
      <c r="T678" s="142"/>
      <c r="U678" s="142"/>
      <c r="V678" s="142"/>
      <c r="W678" s="142"/>
      <c r="X678" s="142"/>
    </row>
    <row r="679" spans="1:24" ht="12.75" x14ac:dyDescent="0.2">
      <c r="A679" s="242"/>
      <c r="B679" s="4642" t="s">
        <v>10036</v>
      </c>
      <c r="C679" s="4642"/>
      <c r="D679" s="4642"/>
      <c r="E679" s="4642"/>
      <c r="F679" s="242"/>
      <c r="G679" s="242"/>
      <c r="H679" s="242"/>
      <c r="I679" s="242"/>
      <c r="J679" s="242"/>
      <c r="K679" s="62"/>
      <c r="L679" s="62"/>
      <c r="Q679" s="142"/>
      <c r="R679" s="142"/>
      <c r="S679" s="142"/>
      <c r="T679" s="142"/>
      <c r="U679" s="142"/>
      <c r="V679" s="142"/>
      <c r="W679" s="142"/>
      <c r="X679" s="142"/>
    </row>
    <row r="680" spans="1:24" s="142" customFormat="1" ht="12.75" hidden="1" x14ac:dyDescent="0.2">
      <c r="A680" s="242"/>
      <c r="B680" s="3574"/>
      <c r="C680" s="242"/>
      <c r="D680" s="242"/>
      <c r="E680" s="242"/>
      <c r="F680" s="242"/>
      <c r="G680" s="242"/>
      <c r="H680" s="242"/>
      <c r="I680" s="242"/>
      <c r="J680" s="242"/>
      <c r="M680" s="167"/>
    </row>
    <row r="681" spans="1:24" s="142" customFormat="1" ht="12.75" hidden="1" x14ac:dyDescent="0.2">
      <c r="A681" s="242"/>
      <c r="B681" s="3574"/>
      <c r="C681" s="242"/>
      <c r="D681" s="242"/>
      <c r="E681" s="242"/>
      <c r="F681" s="242"/>
      <c r="G681" s="242"/>
      <c r="H681" s="242"/>
      <c r="I681" s="242"/>
      <c r="J681" s="242"/>
      <c r="M681" s="167"/>
    </row>
    <row r="682" spans="1:24" s="142" customFormat="1" ht="12.75" hidden="1" x14ac:dyDescent="0.2">
      <c r="A682" s="242"/>
      <c r="B682" s="3574"/>
      <c r="C682" s="242"/>
      <c r="D682" s="242"/>
      <c r="E682" s="242"/>
      <c r="F682" s="242"/>
      <c r="G682" s="242"/>
      <c r="H682" s="242"/>
      <c r="I682" s="242"/>
      <c r="J682" s="242"/>
      <c r="M682" s="167"/>
    </row>
    <row r="683" spans="1:24" s="142" customFormat="1" ht="12.75" hidden="1" x14ac:dyDescent="0.2">
      <c r="A683" s="242"/>
      <c r="B683" s="3574"/>
      <c r="C683" s="242"/>
      <c r="D683" s="242"/>
      <c r="E683" s="242"/>
      <c r="F683" s="242"/>
      <c r="G683" s="242"/>
      <c r="H683" s="242"/>
      <c r="I683" s="242"/>
      <c r="J683" s="242"/>
      <c r="M683" s="167"/>
    </row>
    <row r="684" spans="1:24" s="142" customFormat="1" ht="12.75" hidden="1" x14ac:dyDescent="0.2">
      <c r="A684" s="242"/>
      <c r="B684" s="3574"/>
      <c r="C684" s="242"/>
      <c r="D684" s="242"/>
      <c r="E684" s="242"/>
      <c r="F684" s="242"/>
      <c r="G684" s="242"/>
      <c r="H684" s="242"/>
      <c r="I684" s="242"/>
      <c r="J684" s="242"/>
      <c r="M684" s="167"/>
    </row>
    <row r="685" spans="1:24" s="142" customFormat="1" ht="12.75" hidden="1" x14ac:dyDescent="0.2">
      <c r="A685" s="242"/>
      <c r="B685" s="3574"/>
      <c r="C685" s="242"/>
      <c r="D685" s="242"/>
      <c r="E685" s="242"/>
      <c r="F685" s="242"/>
      <c r="G685" s="242"/>
      <c r="H685" s="242"/>
      <c r="I685" s="242"/>
      <c r="J685" s="242"/>
      <c r="M685" s="167"/>
    </row>
    <row r="686" spans="1:24" s="142" customFormat="1" ht="12.75" hidden="1" x14ac:dyDescent="0.2">
      <c r="A686" s="242"/>
      <c r="B686" s="3574"/>
      <c r="C686" s="242"/>
      <c r="D686" s="242"/>
      <c r="E686" s="242"/>
      <c r="F686" s="242"/>
      <c r="G686" s="242"/>
      <c r="H686" s="242"/>
      <c r="I686" s="242"/>
      <c r="J686" s="242"/>
      <c r="M686" s="167"/>
    </row>
    <row r="687" spans="1:24" s="142" customFormat="1" ht="12.75" hidden="1" x14ac:dyDescent="0.2">
      <c r="A687" s="242"/>
      <c r="B687" s="3574"/>
      <c r="C687" s="242"/>
      <c r="D687" s="242"/>
      <c r="E687" s="242"/>
      <c r="F687" s="242"/>
      <c r="G687" s="242"/>
      <c r="H687" s="242"/>
      <c r="I687" s="242"/>
      <c r="J687" s="242"/>
      <c r="M687" s="167"/>
    </row>
    <row r="688" spans="1:24" s="142" customFormat="1" ht="12.75" hidden="1" x14ac:dyDescent="0.2">
      <c r="A688" s="242"/>
      <c r="B688" s="3574"/>
      <c r="C688" s="242"/>
      <c r="D688" s="242"/>
      <c r="E688" s="242"/>
      <c r="F688" s="242"/>
      <c r="G688" s="242"/>
      <c r="H688" s="242"/>
      <c r="I688" s="242"/>
      <c r="J688" s="242"/>
      <c r="M688" s="167"/>
    </row>
    <row r="689" spans="1:24" ht="4.5" customHeight="1" x14ac:dyDescent="0.2">
      <c r="A689" s="242"/>
      <c r="B689" s="242"/>
      <c r="C689" s="242"/>
      <c r="D689" s="242"/>
      <c r="E689" s="242"/>
      <c r="F689" s="242"/>
      <c r="G689" s="242"/>
      <c r="H689" s="242"/>
      <c r="I689" s="242"/>
      <c r="J689" s="242"/>
      <c r="K689" s="62"/>
      <c r="L689" s="62"/>
      <c r="Q689" s="142"/>
      <c r="R689" s="142"/>
      <c r="S689" s="142"/>
      <c r="T689" s="142"/>
      <c r="U689" s="142"/>
      <c r="V689" s="142"/>
      <c r="W689" s="142"/>
      <c r="X689" s="142"/>
    </row>
    <row r="690" spans="1:24" ht="16.149999999999999" customHeight="1" x14ac:dyDescent="0.2">
      <c r="A690" s="17"/>
      <c r="B690" s="564" t="str">
        <f>IF(N691=1,"Details of property deemed to be transferred ","Details of property sold")</f>
      </c>
      <c r="C690" s="564"/>
      <c r="D690" s="564"/>
      <c r="E690" s="20"/>
      <c r="F690" s="20"/>
      <c r="G690" s="20"/>
      <c r="H690" s="20"/>
      <c r="I690" s="20"/>
      <c r="J690" s="242"/>
      <c r="Q690" s="142"/>
      <c r="R690" s="142"/>
      <c r="S690" s="142"/>
      <c r="T690" s="142"/>
      <c r="U690" s="142"/>
      <c r="V690" s="142"/>
      <c r="W690" s="142"/>
      <c r="X690" s="142"/>
    </row>
    <row r="691" spans="1:24" ht="16.149999999999999" customHeight="1" x14ac:dyDescent="0.2">
      <c r="A691" s="17"/>
      <c r="B691" s="565" t="s">
        <v>3331</v>
      </c>
      <c r="C691" s="565"/>
      <c r="D691" s="566" t="str">
        <f>IF(L700=0,"",IF(ISBLANK(E691),"Required!",""))</f>
        <v/>
      </c>
      <c r="E691" s="4646"/>
      <c r="F691" s="4646"/>
      <c r="G691" s="4646"/>
      <c r="H691" s="4646"/>
      <c r="I691" s="4646"/>
      <c r="J691" s="242"/>
      <c r="L691" s="46">
        <f>IF(ISBLANK(E691),0,1)</f>
      </c>
      <c r="M691" s="167">
        <f>IF(D691=$M$1,0,1)</f>
      </c>
      <c r="N691" s="142">
        <f>IF(AND(F678="yes",$P$3="y"),1,0)</f>
      </c>
      <c r="Q691" s="142"/>
      <c r="R691" s="142"/>
      <c r="S691" s="142"/>
      <c r="T691" s="142"/>
      <c r="U691" s="142"/>
      <c r="V691" s="142"/>
      <c r="W691" s="142"/>
      <c r="X691" s="142"/>
    </row>
    <row r="692" spans="1:24" ht="6" customHeight="1" x14ac:dyDescent="0.2">
      <c r="A692" s="17"/>
      <c r="B692" s="565"/>
      <c r="C692" s="565"/>
      <c r="D692" s="565"/>
      <c r="E692" s="185"/>
      <c r="F692" s="185"/>
      <c r="G692" s="185"/>
      <c r="H692" s="185"/>
      <c r="I692" s="185"/>
      <c r="J692" s="242"/>
      <c r="M692" s="28"/>
      <c r="Q692" s="142"/>
      <c r="R692" s="142"/>
      <c r="S692" s="142"/>
      <c r="T692" s="142"/>
      <c r="U692" s="142"/>
      <c r="V692" s="142"/>
      <c r="W692" s="142"/>
      <c r="X692" s="142"/>
    </row>
    <row r="693" spans="1:24" ht="16.149999999999999" customHeight="1" x14ac:dyDescent="0.2">
      <c r="A693" s="17"/>
      <c r="B693" s="567" t="str">
        <f>IF(N691=1,"Year of transfer [Basis Year]","Year of sale [Basis Year]")</f>
      </c>
      <c r="C693" s="567"/>
      <c r="D693" s="566" t="str">
        <f>IF(L700=0,"",IF(ISBLANK(E693),"Required!",""))</f>
        <v/>
      </c>
      <c r="E693" s="568"/>
      <c r="F693" s="4643" t="s">
        <v>3332</v>
      </c>
      <c r="G693" s="4644"/>
      <c r="H693" s="569"/>
      <c r="I693" s="570" t="str">
        <f>IF(L700=0,"",IF(ISBLANK(H693),"A/c ?",""))</f>
        <v/>
      </c>
      <c r="J693" s="242"/>
      <c r="L693" s="46">
        <f>IF(ISBLANK(E693),0,1)</f>
      </c>
      <c r="M693" s="28">
        <f>IF(I693=$M$1,0,1)</f>
      </c>
      <c r="Q693" s="142"/>
      <c r="R693" s="142"/>
      <c r="S693" s="142"/>
      <c r="T693" s="142"/>
      <c r="U693" s="142"/>
      <c r="V693" s="142"/>
      <c r="W693" s="142"/>
      <c r="X693" s="142"/>
    </row>
    <row r="694" spans="1:24" ht="6" customHeight="1" x14ac:dyDescent="0.2">
      <c r="A694" s="17"/>
      <c r="B694" s="565"/>
      <c r="C694" s="565"/>
      <c r="D694" s="565"/>
      <c r="E694" s="20"/>
      <c r="F694" s="20"/>
      <c r="G694" s="20"/>
      <c r="H694" s="20"/>
      <c r="I694" s="20"/>
      <c r="J694" s="242"/>
      <c r="L694" s="46">
        <f>IF(ISBLANK(H693),0,1)</f>
      </c>
      <c r="M694" s="167">
        <f>IF(D693=$M$1,0,1)</f>
      </c>
      <c r="Q694" s="142"/>
      <c r="R694" s="142"/>
      <c r="S694" s="142"/>
      <c r="T694" s="142"/>
      <c r="U694" s="142"/>
      <c r="V694" s="142"/>
      <c r="W694" s="142"/>
      <c r="X694" s="142"/>
    </row>
    <row r="695" spans="1:24" ht="16.149999999999999" customHeight="1" x14ac:dyDescent="0.2">
      <c r="A695" s="17"/>
      <c r="B695" s="564" t="str">
        <f>IF(N691=1,"Market value of property","Selling price of property")</f>
      </c>
      <c r="C695" s="564"/>
      <c r="D695" s="566" t="str">
        <f>IF(L700=0,"",IF(ISBLANK(E695),"Required!",""))</f>
        <v/>
      </c>
      <c r="E695" s="571"/>
      <c r="F695" s="20"/>
      <c r="G695" s="573"/>
      <c r="H695" s="574"/>
      <c r="I695" s="20"/>
      <c r="J695" s="242"/>
      <c r="L695" s="46">
        <f>IF(ISBLANK(E695),0,1)</f>
      </c>
      <c r="M695" s="28">
        <f>IF(D695=$M$1,0,1)</f>
      </c>
      <c r="Q695" s="142"/>
      <c r="R695" s="142"/>
      <c r="S695" s="142"/>
      <c r="T695" s="142"/>
      <c r="U695" s="142"/>
      <c r="V695" s="142"/>
      <c r="W695" s="142"/>
      <c r="X695" s="142"/>
    </row>
    <row r="696" spans="1:24" ht="6" customHeight="1" x14ac:dyDescent="0.2">
      <c r="A696" s="17"/>
      <c r="B696" s="565"/>
      <c r="C696" s="565"/>
      <c r="D696" s="565"/>
      <c r="E696" s="20"/>
      <c r="F696" s="20"/>
      <c r="G696" s="573"/>
      <c r="H696" s="574"/>
      <c r="I696" s="20"/>
      <c r="J696" s="242"/>
      <c r="M696" s="28"/>
      <c r="Q696" s="142"/>
      <c r="R696" s="142"/>
      <c r="S696" s="142"/>
      <c r="T696" s="142"/>
      <c r="U696" s="142"/>
      <c r="V696" s="142"/>
      <c r="W696" s="142"/>
      <c r="X696" s="142"/>
    </row>
    <row r="697" spans="1:24" ht="16.149999999999999" customHeight="1" x14ac:dyDescent="0.2">
      <c r="A697" s="17"/>
      <c r="B697" s="564" t="s">
        <v>3333</v>
      </c>
      <c r="C697" s="564"/>
      <c r="D697" s="566" t="str">
        <f>IF(N698=1,"Delete!","")</f>
        <v/>
      </c>
      <c r="E697" s="571"/>
      <c r="F697" s="20"/>
      <c r="G697" s="573" t="s">
        <v>3213</v>
      </c>
      <c r="H697" s="575"/>
      <c r="I697" s="570" t="str">
        <f>IF(L700=0,"",IF(AND(N691=1,H697&lt;&gt;""),"Delete!",IF(N691=1,"",IF(ISBLANK(H697),"Date ?",""))))</f>
        <v/>
      </c>
      <c r="J697" s="242"/>
      <c r="L697" s="46">
        <f>IF(ISBLANK(E697),0,1)</f>
      </c>
      <c r="M697" s="142">
        <f>IF(I697=$M$1,0,1)</f>
      </c>
      <c r="N697" s="142">
        <f>IF(AND(N691=1,H697&lt;&gt;""),1,0)</f>
      </c>
      <c r="Q697" s="142"/>
      <c r="R697" s="142"/>
      <c r="S697" s="142"/>
      <c r="T697" s="142"/>
      <c r="U697" s="142"/>
      <c r="V697" s="142"/>
      <c r="W697" s="142"/>
      <c r="X697" s="142"/>
    </row>
    <row r="698" spans="1:24" ht="6" customHeight="1" x14ac:dyDescent="0.2">
      <c r="A698" s="17"/>
      <c r="B698" s="565"/>
      <c r="C698" s="565"/>
      <c r="D698" s="565"/>
      <c r="E698" s="576"/>
      <c r="F698" s="20"/>
      <c r="G698" s="573"/>
      <c r="H698" s="574"/>
      <c r="I698" s="20"/>
      <c r="J698" s="242"/>
      <c r="L698" s="142">
        <f>IF(ISBLANK(H697),0,1)</f>
      </c>
      <c r="M698" s="142">
        <f>IF(D697=$M$1,0,1)</f>
      </c>
      <c r="N698" s="142">
        <f>IF(AND(N691=1,E697&lt;&gt;0),1,0)</f>
      </c>
      <c r="Q698" s="142"/>
      <c r="R698" s="142"/>
      <c r="S698" s="142"/>
      <c r="T698" s="142"/>
      <c r="U698" s="142"/>
      <c r="V698" s="142"/>
      <c r="W698" s="142"/>
      <c r="X698" s="142"/>
    </row>
    <row r="699" spans="1:24" ht="16.149999999999999" customHeight="1" x14ac:dyDescent="0.2">
      <c r="A699" s="17"/>
      <c r="B699" s="4647" t="s">
        <v>4245</v>
      </c>
      <c r="C699" s="4647"/>
      <c r="D699" s="4647"/>
      <c r="E699" s="4649" t="s">
        <v>1511</v>
      </c>
      <c r="F699" s="4649"/>
      <c r="G699" s="577"/>
      <c r="H699" s="574"/>
      <c r="I699" s="20"/>
      <c r="J699" s="242"/>
      <c r="M699" s="28">
        <f>IF(G699=$M$1,0,1)</f>
      </c>
      <c r="Q699" s="142"/>
      <c r="R699" s="142"/>
      <c r="S699" s="142"/>
      <c r="T699" s="142"/>
      <c r="U699" s="142"/>
      <c r="V699" s="142"/>
      <c r="W699" s="142"/>
      <c r="X699" s="142"/>
    </row>
    <row r="700" spans="1:24" ht="6" customHeight="1" x14ac:dyDescent="0.2">
      <c r="A700" s="17"/>
      <c r="B700" s="17"/>
      <c r="C700" s="17"/>
      <c r="D700" s="578"/>
      <c r="E700" s="579"/>
      <c r="F700" s="17"/>
      <c r="G700" s="580"/>
      <c r="H700" s="578"/>
      <c r="I700" s="17"/>
      <c r="J700" s="242"/>
      <c r="L700" s="176">
        <f>SUM(L676:L699)</f>
      </c>
      <c r="M700" s="28"/>
      <c r="Q700" s="142"/>
      <c r="R700" s="142"/>
      <c r="S700" s="142"/>
      <c r="T700" s="142"/>
      <c r="U700" s="142"/>
      <c r="V700" s="142"/>
      <c r="W700" s="142"/>
      <c r="X700" s="142"/>
    </row>
    <row r="701" spans="1:24" ht="22.5" x14ac:dyDescent="0.2">
      <c r="A701" s="17"/>
      <c r="B701" s="581" t="s">
        <v>4244</v>
      </c>
      <c r="C701" s="581" t="s">
        <v>4246</v>
      </c>
      <c r="D701" s="582" t="s">
        <v>1475</v>
      </c>
      <c r="E701" s="583" t="s">
        <v>1476</v>
      </c>
      <c r="F701" s="269" t="s">
        <v>1477</v>
      </c>
      <c r="G701" s="17"/>
      <c r="H701" s="584"/>
      <c r="I701" s="17"/>
      <c r="J701" s="242"/>
      <c r="M701" s="28"/>
      <c r="Q701" s="142"/>
      <c r="R701" s="142"/>
      <c r="S701" s="142"/>
      <c r="T701" s="142"/>
      <c r="U701" s="142"/>
      <c r="V701" s="142"/>
      <c r="W701" s="142"/>
      <c r="X701" s="142"/>
    </row>
    <row r="702" spans="1:24" ht="16.149999999999999" customHeight="1" x14ac:dyDescent="0.2">
      <c r="A702" s="17"/>
      <c r="B702" s="431"/>
      <c r="C702" s="297"/>
      <c r="D702" s="297"/>
      <c r="E702" s="297"/>
      <c r="F702" s="297"/>
      <c r="G702" s="222" t="str">
        <f>IF(L700=0,"",IF(L702=5,"","All details !"))</f>
        <v/>
      </c>
      <c r="H702" s="17"/>
      <c r="I702" s="17"/>
      <c r="J702" s="242"/>
      <c r="L702" s="46">
        <f t="shared" ref="L702:L727" si="33">COUNT(B702:F702)</f>
      </c>
      <c r="M702" s="28">
        <f t="shared" ref="M702:M728" si="34">IF(G702=$M$1,0,1)</f>
      </c>
      <c r="Q702" s="142"/>
      <c r="R702" s="142"/>
      <c r="S702" s="142"/>
      <c r="T702" s="142"/>
      <c r="U702" s="142"/>
      <c r="V702" s="142"/>
      <c r="W702" s="142"/>
      <c r="X702" s="142"/>
    </row>
    <row r="703" spans="1:24" ht="16.149999999999999" customHeight="1" x14ac:dyDescent="0.2">
      <c r="A703" s="17"/>
      <c r="B703" s="431"/>
      <c r="C703" s="297"/>
      <c r="D703" s="297"/>
      <c r="E703" s="297"/>
      <c r="F703" s="297"/>
      <c r="G703" s="222" t="str">
        <f t="shared" ref="G703:G727" si="35">IF(L703=0,"",IF(L703=5,"","All details !"))</f>
        <v/>
      </c>
      <c r="H703" s="17"/>
      <c r="I703" s="17"/>
      <c r="J703" s="242"/>
      <c r="L703" s="46">
        <f t="shared" si="33"/>
        <v>0</v>
      </c>
      <c r="M703" s="28">
        <f t="shared" si="34"/>
        <v>0</v>
      </c>
      <c r="Q703" s="142"/>
      <c r="R703" s="142"/>
      <c r="S703" s="142"/>
      <c r="T703" s="142"/>
      <c r="U703" s="142"/>
      <c r="V703" s="142"/>
      <c r="W703" s="142"/>
      <c r="X703" s="142"/>
    </row>
    <row r="704" spans="1:24" ht="16.149999999999999" customHeight="1" x14ac:dyDescent="0.2">
      <c r="A704" s="17"/>
      <c r="B704" s="431"/>
      <c r="C704" s="297"/>
      <c r="D704" s="297"/>
      <c r="E704" s="297"/>
      <c r="F704" s="297"/>
      <c r="G704" s="222" t="str">
        <f t="shared" si="35"/>
        <v/>
      </c>
      <c r="H704" s="17"/>
      <c r="I704" s="17"/>
      <c r="J704" s="242"/>
      <c r="L704" s="46">
        <f t="shared" si="33"/>
        <v>0</v>
      </c>
      <c r="M704" s="28">
        <f t="shared" si="34"/>
        <v>0</v>
      </c>
      <c r="Q704" s="142"/>
      <c r="R704" s="142"/>
      <c r="S704" s="142"/>
      <c r="T704" s="142"/>
      <c r="U704" s="142"/>
      <c r="V704" s="142"/>
      <c r="W704" s="142"/>
      <c r="X704" s="142"/>
    </row>
    <row r="705" spans="1:24" ht="16.149999999999999" customHeight="1" x14ac:dyDescent="0.2">
      <c r="A705" s="17"/>
      <c r="B705" s="431"/>
      <c r="C705" s="297"/>
      <c r="D705" s="297"/>
      <c r="E705" s="297"/>
      <c r="F705" s="297"/>
      <c r="G705" s="222" t="str">
        <f t="shared" si="35"/>
        <v/>
      </c>
      <c r="H705" s="17"/>
      <c r="I705" s="17"/>
      <c r="J705" s="242"/>
      <c r="L705" s="46">
        <f t="shared" si="33"/>
        <v>0</v>
      </c>
      <c r="M705" s="28">
        <f t="shared" si="34"/>
        <v>0</v>
      </c>
      <c r="Q705" s="142"/>
      <c r="R705" s="142"/>
      <c r="S705" s="142"/>
      <c r="T705" s="142"/>
      <c r="U705" s="142"/>
      <c r="V705" s="142"/>
      <c r="W705" s="142"/>
      <c r="X705" s="142"/>
    </row>
    <row r="706" spans="1:24" ht="16.149999999999999" customHeight="1" x14ac:dyDescent="0.2">
      <c r="A706" s="17"/>
      <c r="B706" s="431"/>
      <c r="C706" s="297"/>
      <c r="D706" s="297"/>
      <c r="E706" s="297"/>
      <c r="F706" s="297"/>
      <c r="G706" s="222" t="str">
        <f t="shared" si="35"/>
        <v/>
      </c>
      <c r="H706" s="17"/>
      <c r="I706" s="17"/>
      <c r="J706" s="242"/>
      <c r="L706" s="46">
        <f t="shared" si="33"/>
        <v>0</v>
      </c>
      <c r="M706" s="28">
        <f t="shared" si="34"/>
        <v>0</v>
      </c>
      <c r="Q706" s="142"/>
      <c r="R706" s="142"/>
      <c r="S706" s="142"/>
      <c r="T706" s="142"/>
      <c r="U706" s="142"/>
      <c r="V706" s="142"/>
      <c r="W706" s="142"/>
      <c r="X706" s="142"/>
    </row>
    <row r="707" spans="1:24" ht="16.149999999999999" customHeight="1" x14ac:dyDescent="0.2">
      <c r="A707" s="17"/>
      <c r="B707" s="431"/>
      <c r="C707" s="297"/>
      <c r="D707" s="297"/>
      <c r="E707" s="297"/>
      <c r="F707" s="297"/>
      <c r="G707" s="222" t="str">
        <f t="shared" si="35"/>
        <v/>
      </c>
      <c r="H707" s="17"/>
      <c r="I707" s="17"/>
      <c r="J707" s="242"/>
      <c r="L707" s="46">
        <f t="shared" si="33"/>
        <v>0</v>
      </c>
      <c r="M707" s="28">
        <f t="shared" si="34"/>
        <v>0</v>
      </c>
      <c r="Q707" s="142"/>
      <c r="R707" s="142"/>
      <c r="S707" s="142"/>
      <c r="T707" s="142"/>
      <c r="U707" s="142"/>
      <c r="V707" s="142"/>
      <c r="W707" s="142"/>
      <c r="X707" s="142"/>
    </row>
    <row r="708" spans="1:24" ht="16.149999999999999" customHeight="1" x14ac:dyDescent="0.2">
      <c r="A708" s="17"/>
      <c r="B708" s="431"/>
      <c r="C708" s="297"/>
      <c r="D708" s="297"/>
      <c r="E708" s="297"/>
      <c r="F708" s="297"/>
      <c r="G708" s="222" t="str">
        <f t="shared" si="35"/>
        <v/>
      </c>
      <c r="H708" s="17"/>
      <c r="I708" s="17"/>
      <c r="J708" s="242"/>
      <c r="L708" s="46">
        <f t="shared" si="33"/>
        <v>0</v>
      </c>
      <c r="M708" s="28">
        <f t="shared" si="34"/>
        <v>0</v>
      </c>
      <c r="Q708" s="142"/>
      <c r="R708" s="142"/>
      <c r="S708" s="142"/>
      <c r="T708" s="142"/>
      <c r="U708" s="142"/>
      <c r="V708" s="142"/>
      <c r="W708" s="142"/>
      <c r="X708" s="142"/>
    </row>
    <row r="709" spans="1:24" ht="16.149999999999999" customHeight="1" x14ac:dyDescent="0.2">
      <c r="A709" s="17"/>
      <c r="B709" s="431"/>
      <c r="C709" s="297"/>
      <c r="D709" s="297"/>
      <c r="E709" s="297"/>
      <c r="F709" s="297"/>
      <c r="G709" s="222" t="str">
        <f t="shared" si="35"/>
        <v/>
      </c>
      <c r="H709" s="17"/>
      <c r="I709" s="17"/>
      <c r="J709" s="242"/>
      <c r="L709" s="46">
        <f t="shared" si="33"/>
        <v>0</v>
      </c>
      <c r="M709" s="28">
        <f t="shared" si="34"/>
        <v>0</v>
      </c>
      <c r="Q709" s="142"/>
      <c r="R709" s="142"/>
      <c r="S709" s="142"/>
      <c r="T709" s="142"/>
      <c r="U709" s="142"/>
      <c r="V709" s="142"/>
      <c r="W709" s="142"/>
      <c r="X709" s="142"/>
    </row>
    <row r="710" spans="1:24" ht="16.149999999999999" customHeight="1" x14ac:dyDescent="0.2">
      <c r="A710" s="17"/>
      <c r="B710" s="431"/>
      <c r="C710" s="297"/>
      <c r="D710" s="297"/>
      <c r="E710" s="297"/>
      <c r="F710" s="297"/>
      <c r="G710" s="222" t="str">
        <f t="shared" si="35"/>
        <v/>
      </c>
      <c r="H710" s="17"/>
      <c r="I710" s="17"/>
      <c r="J710" s="242"/>
      <c r="L710" s="46">
        <f t="shared" si="33"/>
        <v>0</v>
      </c>
      <c r="M710" s="28">
        <f t="shared" si="34"/>
        <v>0</v>
      </c>
      <c r="Q710" s="142"/>
      <c r="R710" s="142"/>
      <c r="S710" s="142"/>
      <c r="T710" s="142"/>
      <c r="U710" s="142"/>
      <c r="V710" s="142"/>
      <c r="W710" s="142"/>
      <c r="X710" s="142"/>
    </row>
    <row r="711" spans="1:24" ht="16.149999999999999" customHeight="1" x14ac:dyDescent="0.2">
      <c r="A711" s="17"/>
      <c r="B711" s="431"/>
      <c r="C711" s="297"/>
      <c r="D711" s="297"/>
      <c r="E711" s="297"/>
      <c r="F711" s="297"/>
      <c r="G711" s="222" t="str">
        <f t="shared" si="35"/>
        <v/>
      </c>
      <c r="H711" s="17"/>
      <c r="I711" s="17"/>
      <c r="J711" s="242"/>
      <c r="L711" s="46">
        <f t="shared" si="33"/>
        <v>0</v>
      </c>
      <c r="M711" s="28">
        <f t="shared" si="34"/>
        <v>0</v>
      </c>
      <c r="Q711" s="142"/>
      <c r="R711" s="142"/>
      <c r="S711" s="142"/>
      <c r="T711" s="142"/>
      <c r="U711" s="142"/>
      <c r="V711" s="142"/>
      <c r="W711" s="142"/>
      <c r="X711" s="142"/>
    </row>
    <row r="712" spans="1:24" ht="16.149999999999999" customHeight="1" x14ac:dyDescent="0.2">
      <c r="A712" s="17"/>
      <c r="B712" s="431"/>
      <c r="C712" s="297"/>
      <c r="D712" s="297"/>
      <c r="E712" s="297"/>
      <c r="F712" s="297"/>
      <c r="G712" s="222" t="str">
        <f t="shared" si="35"/>
        <v/>
      </c>
      <c r="H712" s="17"/>
      <c r="I712" s="17"/>
      <c r="J712" s="242"/>
      <c r="L712" s="46">
        <f t="shared" si="33"/>
        <v>0</v>
      </c>
      <c r="M712" s="28">
        <f t="shared" si="34"/>
        <v>0</v>
      </c>
      <c r="Q712" s="142"/>
      <c r="R712" s="142"/>
      <c r="S712" s="142"/>
      <c r="T712" s="142"/>
      <c r="U712" s="142"/>
      <c r="V712" s="142"/>
      <c r="W712" s="142"/>
      <c r="X712" s="142"/>
    </row>
    <row r="713" spans="1:24" ht="16.149999999999999" customHeight="1" x14ac:dyDescent="0.2">
      <c r="A713" s="17"/>
      <c r="B713" s="431"/>
      <c r="C713" s="297"/>
      <c r="D713" s="297"/>
      <c r="E713" s="297"/>
      <c r="F713" s="297"/>
      <c r="G713" s="222" t="str">
        <f t="shared" si="35"/>
        <v/>
      </c>
      <c r="H713" s="17"/>
      <c r="I713" s="17"/>
      <c r="J713" s="242"/>
      <c r="L713" s="46">
        <f t="shared" si="33"/>
        <v>0</v>
      </c>
      <c r="M713" s="28">
        <f t="shared" si="34"/>
        <v>0</v>
      </c>
      <c r="Q713" s="142"/>
      <c r="R713" s="142"/>
      <c r="S713" s="142"/>
      <c r="T713" s="142"/>
      <c r="U713" s="142"/>
      <c r="V713" s="142"/>
      <c r="W713" s="142"/>
      <c r="X713" s="142"/>
    </row>
    <row r="714" spans="1:24" ht="16.149999999999999" customHeight="1" x14ac:dyDescent="0.2">
      <c r="A714" s="17"/>
      <c r="B714" s="431"/>
      <c r="C714" s="297"/>
      <c r="D714" s="297"/>
      <c r="E714" s="297"/>
      <c r="F714" s="297"/>
      <c r="G714" s="222" t="str">
        <f t="shared" si="35"/>
        <v/>
      </c>
      <c r="H714" s="17"/>
      <c r="I714" s="17"/>
      <c r="J714" s="242"/>
      <c r="L714" s="46">
        <f t="shared" si="33"/>
        <v>0</v>
      </c>
      <c r="M714" s="28">
        <f t="shared" si="34"/>
        <v>0</v>
      </c>
      <c r="Q714" s="142"/>
      <c r="R714" s="142"/>
      <c r="S714" s="142"/>
      <c r="T714" s="142"/>
      <c r="U714" s="142"/>
      <c r="V714" s="142"/>
      <c r="W714" s="142"/>
      <c r="X714" s="142"/>
    </row>
    <row r="715" spans="1:24" ht="16.149999999999999" customHeight="1" x14ac:dyDescent="0.2">
      <c r="A715" s="17"/>
      <c r="B715" s="431"/>
      <c r="C715" s="297"/>
      <c r="D715" s="297"/>
      <c r="E715" s="297"/>
      <c r="F715" s="297"/>
      <c r="G715" s="222" t="str">
        <f t="shared" si="35"/>
        <v/>
      </c>
      <c r="H715" s="17"/>
      <c r="I715" s="17"/>
      <c r="J715" s="242"/>
      <c r="L715" s="46">
        <f t="shared" si="33"/>
        <v>0</v>
      </c>
      <c r="M715" s="28">
        <f t="shared" si="34"/>
        <v>0</v>
      </c>
      <c r="Q715" s="142"/>
      <c r="R715" s="142"/>
      <c r="S715" s="142"/>
      <c r="T715" s="142"/>
      <c r="U715" s="142"/>
      <c r="V715" s="142"/>
      <c r="W715" s="142"/>
      <c r="X715" s="142"/>
    </row>
    <row r="716" spans="1:24" ht="16.149999999999999" customHeight="1" x14ac:dyDescent="0.2">
      <c r="A716" s="17"/>
      <c r="B716" s="431"/>
      <c r="C716" s="297"/>
      <c r="D716" s="297"/>
      <c r="E716" s="297"/>
      <c r="F716" s="297"/>
      <c r="G716" s="222" t="str">
        <f t="shared" si="35"/>
        <v/>
      </c>
      <c r="H716" s="17"/>
      <c r="I716" s="17"/>
      <c r="J716" s="242"/>
      <c r="L716" s="46">
        <f t="shared" si="33"/>
        <v>0</v>
      </c>
      <c r="M716" s="28">
        <f t="shared" si="34"/>
        <v>0</v>
      </c>
      <c r="Q716" s="142"/>
      <c r="R716" s="142"/>
      <c r="S716" s="142"/>
      <c r="T716" s="142"/>
      <c r="U716" s="142"/>
      <c r="V716" s="142"/>
      <c r="W716" s="142"/>
      <c r="X716" s="142"/>
    </row>
    <row r="717" spans="1:24" ht="16.149999999999999" customHeight="1" x14ac:dyDescent="0.2">
      <c r="A717" s="17"/>
      <c r="B717" s="431"/>
      <c r="C717" s="297"/>
      <c r="D717" s="297"/>
      <c r="E717" s="297"/>
      <c r="F717" s="297"/>
      <c r="G717" s="222" t="str">
        <f t="shared" si="35"/>
        <v/>
      </c>
      <c r="H717" s="17"/>
      <c r="I717" s="17"/>
      <c r="J717" s="242"/>
      <c r="L717" s="46">
        <f t="shared" si="33"/>
        <v>0</v>
      </c>
      <c r="M717" s="28">
        <f t="shared" si="34"/>
        <v>0</v>
      </c>
      <c r="Q717" s="142"/>
      <c r="R717" s="142"/>
      <c r="S717" s="142"/>
      <c r="T717" s="142"/>
      <c r="U717" s="142"/>
      <c r="V717" s="142"/>
      <c r="W717" s="142"/>
      <c r="X717" s="142"/>
    </row>
    <row r="718" spans="1:24" ht="16.149999999999999" customHeight="1" x14ac:dyDescent="0.2">
      <c r="A718" s="17"/>
      <c r="B718" s="431"/>
      <c r="C718" s="297"/>
      <c r="D718" s="297"/>
      <c r="E718" s="297"/>
      <c r="F718" s="297"/>
      <c r="G718" s="222" t="str">
        <f t="shared" si="35"/>
        <v/>
      </c>
      <c r="H718" s="17"/>
      <c r="I718" s="17"/>
      <c r="J718" s="242"/>
      <c r="L718" s="46">
        <f t="shared" si="33"/>
        <v>0</v>
      </c>
      <c r="M718" s="28">
        <f t="shared" si="34"/>
        <v>0</v>
      </c>
      <c r="Q718" s="142"/>
      <c r="R718" s="142"/>
      <c r="S718" s="142"/>
      <c r="T718" s="142"/>
      <c r="U718" s="142"/>
      <c r="V718" s="142"/>
      <c r="W718" s="142"/>
      <c r="X718" s="142"/>
    </row>
    <row r="719" spans="1:24" ht="16.149999999999999" customHeight="1" x14ac:dyDescent="0.2">
      <c r="A719" s="17"/>
      <c r="B719" s="431"/>
      <c r="C719" s="297"/>
      <c r="D719" s="297"/>
      <c r="E719" s="297"/>
      <c r="F719" s="297"/>
      <c r="G719" s="222" t="str">
        <f t="shared" si="35"/>
        <v/>
      </c>
      <c r="H719" s="17"/>
      <c r="I719" s="17"/>
      <c r="J719" s="242"/>
      <c r="L719" s="46">
        <f t="shared" si="33"/>
        <v>0</v>
      </c>
      <c r="M719" s="28">
        <f t="shared" si="34"/>
        <v>0</v>
      </c>
      <c r="Q719" s="142"/>
      <c r="R719" s="142"/>
      <c r="S719" s="142"/>
      <c r="T719" s="142"/>
      <c r="U719" s="142"/>
      <c r="V719" s="142"/>
      <c r="W719" s="142"/>
      <c r="X719" s="142"/>
    </row>
    <row r="720" spans="1:24" ht="16.149999999999999" customHeight="1" x14ac:dyDescent="0.2">
      <c r="A720" s="17"/>
      <c r="B720" s="431"/>
      <c r="C720" s="297"/>
      <c r="D720" s="297"/>
      <c r="E720" s="297"/>
      <c r="F720" s="297"/>
      <c r="G720" s="222" t="str">
        <f t="shared" si="35"/>
        <v/>
      </c>
      <c r="H720" s="17"/>
      <c r="I720" s="17"/>
      <c r="J720" s="242"/>
      <c r="L720" s="46">
        <f t="shared" si="33"/>
        <v>0</v>
      </c>
      <c r="M720" s="28">
        <f t="shared" si="34"/>
        <v>0</v>
      </c>
      <c r="Q720" s="142"/>
      <c r="R720" s="142"/>
      <c r="S720" s="142"/>
      <c r="T720" s="142"/>
      <c r="U720" s="142"/>
      <c r="V720" s="142"/>
      <c r="W720" s="142"/>
      <c r="X720" s="142"/>
    </row>
    <row r="721" spans="1:24" ht="16.149999999999999" customHeight="1" x14ac:dyDescent="0.2">
      <c r="A721" s="17"/>
      <c r="B721" s="431"/>
      <c r="C721" s="297"/>
      <c r="D721" s="297"/>
      <c r="E721" s="297"/>
      <c r="F721" s="297"/>
      <c r="G721" s="222" t="str">
        <f t="shared" si="35"/>
        <v/>
      </c>
      <c r="H721" s="17"/>
      <c r="I721" s="17"/>
      <c r="J721" s="242"/>
      <c r="L721" s="46">
        <f t="shared" si="33"/>
        <v>0</v>
      </c>
      <c r="M721" s="28">
        <f t="shared" si="34"/>
        <v>0</v>
      </c>
      <c r="Q721" s="142"/>
      <c r="R721" s="142"/>
      <c r="S721" s="142"/>
      <c r="T721" s="142"/>
      <c r="U721" s="142"/>
      <c r="V721" s="142"/>
      <c r="W721" s="142"/>
      <c r="X721" s="142"/>
    </row>
    <row r="722" spans="1:24" ht="16.149999999999999" customHeight="1" x14ac:dyDescent="0.2">
      <c r="A722" s="17"/>
      <c r="B722" s="431"/>
      <c r="C722" s="297"/>
      <c r="D722" s="297"/>
      <c r="E722" s="297"/>
      <c r="F722" s="297"/>
      <c r="G722" s="222" t="str">
        <f t="shared" si="35"/>
        <v/>
      </c>
      <c r="H722" s="17"/>
      <c r="I722" s="17"/>
      <c r="J722" s="242"/>
      <c r="L722" s="46">
        <f t="shared" si="33"/>
        <v>0</v>
      </c>
      <c r="M722" s="28">
        <f t="shared" si="34"/>
        <v>0</v>
      </c>
      <c r="Q722" s="142"/>
      <c r="R722" s="142"/>
      <c r="S722" s="142"/>
      <c r="T722" s="142"/>
      <c r="U722" s="142"/>
      <c r="V722" s="142"/>
      <c r="W722" s="142"/>
      <c r="X722" s="142"/>
    </row>
    <row r="723" spans="1:24" ht="16.149999999999999" customHeight="1" x14ac:dyDescent="0.2">
      <c r="A723" s="17"/>
      <c r="B723" s="431"/>
      <c r="C723" s="297"/>
      <c r="D723" s="297"/>
      <c r="E723" s="297"/>
      <c r="F723" s="297"/>
      <c r="G723" s="222" t="str">
        <f t="shared" si="35"/>
        <v/>
      </c>
      <c r="H723" s="17"/>
      <c r="I723" s="17"/>
      <c r="J723" s="242"/>
      <c r="L723" s="46">
        <f t="shared" si="33"/>
        <v>0</v>
      </c>
      <c r="M723" s="28">
        <f t="shared" si="34"/>
        <v>0</v>
      </c>
      <c r="Q723" s="142"/>
      <c r="R723" s="142"/>
      <c r="S723" s="142"/>
      <c r="T723" s="142"/>
      <c r="U723" s="142"/>
      <c r="V723" s="142"/>
      <c r="W723" s="142"/>
      <c r="X723" s="142"/>
    </row>
    <row r="724" spans="1:24" ht="16.149999999999999" customHeight="1" x14ac:dyDescent="0.2">
      <c r="A724" s="17"/>
      <c r="B724" s="431"/>
      <c r="C724" s="297"/>
      <c r="D724" s="297"/>
      <c r="E724" s="297"/>
      <c r="F724" s="297"/>
      <c r="G724" s="222" t="str">
        <f t="shared" si="35"/>
        <v/>
      </c>
      <c r="H724" s="17"/>
      <c r="I724" s="17"/>
      <c r="J724" s="242"/>
      <c r="L724" s="46">
        <f t="shared" si="33"/>
        <v>0</v>
      </c>
      <c r="M724" s="28">
        <f t="shared" si="34"/>
        <v>0</v>
      </c>
      <c r="Q724" s="142"/>
      <c r="R724" s="142"/>
      <c r="S724" s="142"/>
      <c r="T724" s="142"/>
      <c r="U724" s="142"/>
      <c r="V724" s="142"/>
      <c r="W724" s="142"/>
      <c r="X724" s="142"/>
    </row>
    <row r="725" spans="1:24" ht="16.149999999999999" customHeight="1" x14ac:dyDescent="0.2">
      <c r="A725" s="17"/>
      <c r="B725" s="431"/>
      <c r="C725" s="297"/>
      <c r="D725" s="297"/>
      <c r="E725" s="297"/>
      <c r="F725" s="297"/>
      <c r="G725" s="222" t="str">
        <f t="shared" si="35"/>
        <v/>
      </c>
      <c r="H725" s="17"/>
      <c r="I725" s="17"/>
      <c r="J725" s="242"/>
      <c r="L725" s="46">
        <f t="shared" si="33"/>
        <v>0</v>
      </c>
      <c r="M725" s="28">
        <f t="shared" si="34"/>
        <v>0</v>
      </c>
      <c r="Q725" s="142"/>
      <c r="R725" s="142"/>
      <c r="S725" s="142"/>
      <c r="T725" s="142"/>
      <c r="U725" s="142"/>
      <c r="V725" s="142"/>
      <c r="W725" s="142"/>
      <c r="X725" s="142"/>
    </row>
    <row r="726" spans="1:24" ht="16.149999999999999" customHeight="1" x14ac:dyDescent="0.2">
      <c r="A726" s="17"/>
      <c r="B726" s="431"/>
      <c r="C726" s="297"/>
      <c r="D726" s="297"/>
      <c r="E726" s="297"/>
      <c r="F726" s="297"/>
      <c r="G726" s="222" t="str">
        <f t="shared" si="35"/>
        <v/>
      </c>
      <c r="H726" s="17"/>
      <c r="I726" s="17"/>
      <c r="J726" s="242"/>
      <c r="L726" s="46">
        <f t="shared" si="33"/>
        <v>0</v>
      </c>
      <c r="M726" s="28">
        <f t="shared" si="34"/>
        <v>0</v>
      </c>
      <c r="Q726" s="142"/>
      <c r="R726" s="142"/>
      <c r="S726" s="142"/>
      <c r="T726" s="142"/>
      <c r="U726" s="142"/>
      <c r="V726" s="142"/>
      <c r="W726" s="142"/>
      <c r="X726" s="142"/>
    </row>
    <row r="727" spans="1:24" ht="16.149999999999999" customHeight="1" x14ac:dyDescent="0.2">
      <c r="A727" s="17"/>
      <c r="B727" s="585"/>
      <c r="C727" s="313"/>
      <c r="D727" s="313"/>
      <c r="E727" s="313"/>
      <c r="F727" s="313"/>
      <c r="G727" s="222" t="str">
        <f t="shared" si="35"/>
        <v/>
      </c>
      <c r="H727" s="17"/>
      <c r="I727" s="17"/>
      <c r="J727" s="242"/>
      <c r="L727" s="46">
        <f t="shared" si="33"/>
        <v>0</v>
      </c>
      <c r="M727" s="28">
        <f t="shared" si="34"/>
        <v>0</v>
      </c>
      <c r="Q727" s="142"/>
      <c r="R727" s="142"/>
      <c r="S727" s="142"/>
      <c r="T727" s="142"/>
      <c r="U727" s="142"/>
      <c r="V727" s="142"/>
      <c r="W727" s="142"/>
      <c r="X727" s="142"/>
    </row>
    <row r="728" spans="1:24" ht="16.149999999999999" customHeight="1" x14ac:dyDescent="0.2">
      <c r="A728" s="17"/>
      <c r="B728" s="586" t="s">
        <v>5590</v>
      </c>
      <c r="C728" s="587">
        <f>SUM(C702:C727)</f>
      </c>
      <c r="D728" s="587">
        <f>SUM(D702:D727)</f>
      </c>
      <c r="E728" s="587">
        <f>SUM(E702:E727)</f>
      </c>
      <c r="F728" s="587">
        <f>SUM(F702:F727)</f>
      </c>
      <c r="G728" s="222" t="str">
        <f>IF(D728&lt;&gt;E695,"Check Selling Price !","")</f>
        <v/>
      </c>
      <c r="H728" s="17"/>
      <c r="I728" s="17"/>
      <c r="J728" s="242"/>
      <c r="M728" s="28">
        <f t="shared" si="34"/>
        <v>0</v>
      </c>
      <c r="Q728" s="142"/>
      <c r="R728" s="142"/>
      <c r="S728" s="142"/>
      <c r="T728" s="142"/>
      <c r="U728" s="142"/>
      <c r="V728" s="142"/>
      <c r="W728" s="142"/>
      <c r="X728" s="142"/>
    </row>
    <row r="729" spans="1:24" ht="16.149999999999999" customHeight="1" x14ac:dyDescent="0.2">
      <c r="A729" s="17"/>
      <c r="B729" s="4648" t="s">
        <v>1478</v>
      </c>
      <c r="C729" s="4648"/>
      <c r="D729" s="4648"/>
      <c r="E729" s="4648"/>
      <c r="F729" s="588">
        <f>E697</f>
      </c>
      <c r="G729" s="17"/>
      <c r="H729" s="17"/>
      <c r="I729" s="17"/>
      <c r="J729" s="242"/>
      <c r="M729" s="167">
        <f>SUM(M676:M728)</f>
      </c>
      <c r="Q729" s="142"/>
      <c r="R729" s="142"/>
      <c r="S729" s="142"/>
      <c r="T729" s="142"/>
      <c r="U729" s="142"/>
      <c r="V729" s="142"/>
      <c r="W729" s="142"/>
      <c r="X729" s="142"/>
    </row>
    <row r="730" spans="1:24" ht="16.149999999999999" customHeight="1" x14ac:dyDescent="0.2">
      <c r="A730" s="17"/>
      <c r="B730" s="589"/>
      <c r="C730" s="589"/>
      <c r="D730" s="589"/>
      <c r="E730" s="589"/>
      <c r="F730" s="310"/>
      <c r="G730" s="17"/>
      <c r="H730" s="279" t="str">
        <f>ip</f>
      </c>
      <c r="I730" s="279" t="s">
        <v>2372</v>
      </c>
      <c r="J730" s="242"/>
      <c r="Q730" s="142"/>
      <c r="R730" s="142"/>
      <c r="S730" s="142"/>
      <c r="T730" s="142"/>
      <c r="U730" s="142"/>
      <c r="V730" s="142"/>
      <c r="W730" s="142"/>
      <c r="X730" s="142"/>
    </row>
    <row r="731" spans="1:24" ht="16.149999999999999" customHeight="1" x14ac:dyDescent="0.2">
      <c r="A731" s="17"/>
      <c r="B731" s="4650" t="s">
        <v>5410</v>
      </c>
      <c r="C731" s="4650"/>
      <c r="D731" s="4650"/>
      <c r="E731" s="4650"/>
      <c r="F731" s="4650"/>
      <c r="G731" s="17"/>
      <c r="H731" s="590" t="str">
        <f>IF($H693=ip,K731,"")</f>
        <v/>
      </c>
      <c r="I731" s="590" t="str">
        <f>IF($H693=fi,K731,"")</f>
        <v/>
      </c>
      <c r="J731" s="242"/>
      <c r="K731" s="236">
        <f>F728-F729</f>
      </c>
      <c r="Q731" s="142"/>
      <c r="R731" s="142"/>
      <c r="S731" s="142"/>
      <c r="T731" s="142"/>
      <c r="U731" s="142"/>
      <c r="V731" s="142"/>
      <c r="W731" s="142"/>
      <c r="X731" s="142"/>
    </row>
    <row r="732" spans="1:24" ht="16.149999999999999" hidden="1" customHeight="1" x14ac:dyDescent="0.2">
      <c r="A732" s="17"/>
      <c r="B732" s="3496"/>
      <c r="C732" s="3496"/>
      <c r="D732" s="3496"/>
      <c r="E732" s="3496"/>
      <c r="F732" s="3496"/>
      <c r="G732" s="17"/>
      <c r="H732" s="3497"/>
      <c r="I732" s="3497"/>
      <c r="J732" s="242"/>
      <c r="K732" s="236"/>
      <c r="Q732" s="142"/>
      <c r="R732" s="142"/>
      <c r="S732" s="142"/>
      <c r="T732" s="142"/>
      <c r="U732" s="142"/>
      <c r="V732" s="142"/>
      <c r="W732" s="142"/>
      <c r="X732" s="142"/>
    </row>
    <row r="733" spans="1:24" ht="16.149999999999999" hidden="1" customHeight="1" x14ac:dyDescent="0.2">
      <c r="A733" s="17"/>
      <c r="B733" s="3496"/>
      <c r="C733" s="3496"/>
      <c r="D733" s="3496"/>
      <c r="E733" s="3496"/>
      <c r="F733" s="3496"/>
      <c r="G733" s="17"/>
      <c r="H733" s="3497"/>
      <c r="I733" s="3497"/>
      <c r="J733" s="242"/>
      <c r="K733" s="236"/>
      <c r="Q733" s="142"/>
      <c r="R733" s="142"/>
      <c r="S733" s="142"/>
      <c r="T733" s="142"/>
      <c r="U733" s="142"/>
      <c r="V733" s="142"/>
      <c r="W733" s="142"/>
      <c r="X733" s="142"/>
    </row>
    <row r="734" spans="1:24" ht="16.149999999999999" hidden="1" customHeight="1" x14ac:dyDescent="0.2">
      <c r="A734" s="17"/>
      <c r="B734" s="3496"/>
      <c r="C734" s="3496"/>
      <c r="D734" s="3496"/>
      <c r="E734" s="3496"/>
      <c r="F734" s="3496"/>
      <c r="G734" s="17"/>
      <c r="H734" s="3497"/>
      <c r="I734" s="3497"/>
      <c r="J734" s="242"/>
      <c r="K734" s="236"/>
      <c r="Q734" s="142"/>
      <c r="R734" s="142"/>
      <c r="S734" s="142"/>
      <c r="T734" s="142"/>
      <c r="U734" s="142"/>
      <c r="V734" s="142"/>
      <c r="W734" s="142"/>
      <c r="X734" s="142"/>
    </row>
    <row r="735" spans="1:24" ht="16.149999999999999" hidden="1" customHeight="1" x14ac:dyDescent="0.2">
      <c r="A735" s="17"/>
      <c r="B735" s="3496"/>
      <c r="C735" s="3496"/>
      <c r="D735" s="3496"/>
      <c r="E735" s="3496"/>
      <c r="F735" s="3496"/>
      <c r="G735" s="17"/>
      <c r="H735" s="3497"/>
      <c r="I735" s="3497"/>
      <c r="J735" s="242"/>
      <c r="K735" s="236"/>
      <c r="Q735" s="142"/>
      <c r="R735" s="142"/>
      <c r="S735" s="142"/>
      <c r="T735" s="142"/>
      <c r="U735" s="142"/>
      <c r="V735" s="142"/>
      <c r="W735" s="142"/>
      <c r="X735" s="142"/>
    </row>
    <row r="736" spans="1:24" ht="16.149999999999999" hidden="1" customHeight="1" x14ac:dyDescent="0.2">
      <c r="A736" s="17"/>
      <c r="B736" s="3496"/>
      <c r="C736" s="3496"/>
      <c r="D736" s="3496"/>
      <c r="E736" s="3496"/>
      <c r="F736" s="3496"/>
      <c r="G736" s="17"/>
      <c r="H736" s="3497"/>
      <c r="I736" s="3497"/>
      <c r="J736" s="242"/>
      <c r="K736" s="236"/>
      <c r="Q736" s="142"/>
      <c r="R736" s="142"/>
      <c r="S736" s="142"/>
      <c r="T736" s="142"/>
      <c r="U736" s="142"/>
      <c r="V736" s="142"/>
      <c r="W736" s="142"/>
      <c r="X736" s="142"/>
    </row>
    <row r="737" spans="1:24" ht="16.149999999999999" hidden="1" customHeight="1" x14ac:dyDescent="0.2">
      <c r="A737" s="17"/>
      <c r="B737" s="3496"/>
      <c r="C737" s="3496"/>
      <c r="D737" s="3496"/>
      <c r="E737" s="3496"/>
      <c r="F737" s="3496"/>
      <c r="G737" s="17"/>
      <c r="H737" s="3497"/>
      <c r="I737" s="3497"/>
      <c r="J737" s="242"/>
      <c r="K737" s="236"/>
      <c r="Q737" s="142"/>
      <c r="R737" s="142"/>
      <c r="S737" s="142"/>
      <c r="T737" s="142"/>
      <c r="U737" s="142"/>
      <c r="V737" s="142"/>
      <c r="W737" s="142"/>
      <c r="X737" s="142"/>
    </row>
    <row r="738" spans="1:24" ht="16.149999999999999" hidden="1" customHeight="1" x14ac:dyDescent="0.2">
      <c r="A738" s="17"/>
      <c r="B738" s="3496"/>
      <c r="C738" s="3496"/>
      <c r="D738" s="3496"/>
      <c r="E738" s="3496"/>
      <c r="F738" s="3496"/>
      <c r="G738" s="17"/>
      <c r="H738" s="3497"/>
      <c r="I738" s="3497"/>
      <c r="J738" s="242"/>
      <c r="K738" s="236"/>
      <c r="Q738" s="142"/>
      <c r="R738" s="142"/>
      <c r="S738" s="142"/>
      <c r="T738" s="142"/>
      <c r="U738" s="142"/>
      <c r="V738" s="142"/>
      <c r="W738" s="142"/>
      <c r="X738" s="142"/>
    </row>
    <row r="739" spans="1:24" ht="16.149999999999999" hidden="1" customHeight="1" x14ac:dyDescent="0.2">
      <c r="A739" s="17"/>
      <c r="B739" s="3496"/>
      <c r="C739" s="3496"/>
      <c r="D739" s="3496"/>
      <c r="E739" s="3496"/>
      <c r="F739" s="3496"/>
      <c r="G739" s="17"/>
      <c r="H739" s="3497"/>
      <c r="I739" s="3497"/>
      <c r="J739" s="242"/>
      <c r="K739" s="236"/>
      <c r="Q739" s="142"/>
      <c r="R739" s="142"/>
      <c r="S739" s="142"/>
      <c r="T739" s="142"/>
      <c r="U739" s="142"/>
      <c r="V739" s="142"/>
      <c r="W739" s="142"/>
      <c r="X739" s="142"/>
    </row>
    <row r="740" spans="1:24" ht="16.149999999999999" hidden="1" customHeight="1" x14ac:dyDescent="0.2">
      <c r="A740" s="17"/>
      <c r="B740" s="3496"/>
      <c r="C740" s="3496"/>
      <c r="D740" s="3496"/>
      <c r="E740" s="3496"/>
      <c r="F740" s="3496"/>
      <c r="G740" s="17"/>
      <c r="H740" s="3497"/>
      <c r="I740" s="3497"/>
      <c r="J740" s="242"/>
      <c r="K740" s="236"/>
      <c r="Q740" s="142"/>
      <c r="R740" s="142"/>
      <c r="S740" s="142"/>
      <c r="T740" s="142"/>
      <c r="U740" s="142"/>
      <c r="V740" s="142"/>
      <c r="W740" s="142"/>
      <c r="X740" s="142"/>
    </row>
    <row r="741" spans="1:24" ht="16.149999999999999" hidden="1" customHeight="1" x14ac:dyDescent="0.2">
      <c r="A741" s="17"/>
      <c r="B741" s="3496"/>
      <c r="C741" s="3496"/>
      <c r="D741" s="3496"/>
      <c r="E741" s="3496"/>
      <c r="F741" s="3496"/>
      <c r="G741" s="17"/>
      <c r="H741" s="3497"/>
      <c r="I741" s="3497"/>
      <c r="J741" s="242"/>
      <c r="K741" s="236"/>
      <c r="Q741" s="142"/>
      <c r="R741" s="142"/>
      <c r="S741" s="142"/>
      <c r="T741" s="142"/>
      <c r="U741" s="142"/>
      <c r="V741" s="142"/>
      <c r="W741" s="142"/>
      <c r="X741" s="142"/>
    </row>
    <row r="742" spans="1:24" ht="16.149999999999999" hidden="1" customHeight="1" x14ac:dyDescent="0.2">
      <c r="A742" s="17"/>
      <c r="B742" s="3496"/>
      <c r="C742" s="3496"/>
      <c r="D742" s="3496"/>
      <c r="E742" s="3496"/>
      <c r="F742" s="3496"/>
      <c r="G742" s="17"/>
      <c r="H742" s="3497"/>
      <c r="I742" s="3497"/>
      <c r="J742" s="242"/>
      <c r="K742" s="236"/>
      <c r="Q742" s="142"/>
      <c r="R742" s="142"/>
      <c r="S742" s="142"/>
      <c r="T742" s="142"/>
      <c r="U742" s="142"/>
      <c r="V742" s="142"/>
      <c r="W742" s="142"/>
      <c r="X742" s="142"/>
    </row>
    <row r="743" spans="1:24" ht="16.149999999999999" hidden="1" customHeight="1" x14ac:dyDescent="0.2">
      <c r="A743" s="17"/>
      <c r="B743" s="3496"/>
      <c r="C743" s="3496"/>
      <c r="D743" s="3496"/>
      <c r="E743" s="3496"/>
      <c r="F743" s="3496"/>
      <c r="G743" s="17"/>
      <c r="H743" s="3497"/>
      <c r="I743" s="3497"/>
      <c r="J743" s="242"/>
      <c r="K743" s="236"/>
      <c r="Q743" s="142"/>
      <c r="R743" s="142"/>
      <c r="S743" s="142"/>
      <c r="T743" s="142"/>
      <c r="U743" s="142"/>
      <c r="V743" s="142"/>
      <c r="W743" s="142"/>
      <c r="X743" s="142"/>
    </row>
    <row r="744" spans="1:24" ht="16.149999999999999" hidden="1" customHeight="1" x14ac:dyDescent="0.2">
      <c r="A744" s="17"/>
      <c r="B744" s="3496"/>
      <c r="C744" s="3496"/>
      <c r="D744" s="3496"/>
      <c r="E744" s="3496"/>
      <c r="F744" s="3496"/>
      <c r="G744" s="17"/>
      <c r="H744" s="3497"/>
      <c r="I744" s="3497"/>
      <c r="J744" s="242"/>
      <c r="K744" s="236"/>
      <c r="Q744" s="142"/>
      <c r="R744" s="142"/>
      <c r="S744" s="142"/>
      <c r="T744" s="142"/>
      <c r="U744" s="142"/>
      <c r="V744" s="142"/>
      <c r="W744" s="142"/>
      <c r="X744" s="142"/>
    </row>
    <row r="745" spans="1:24" ht="16.149999999999999" hidden="1" customHeight="1" x14ac:dyDescent="0.2">
      <c r="A745" s="17"/>
      <c r="B745" s="3496"/>
      <c r="C745" s="3496"/>
      <c r="D745" s="3496"/>
      <c r="E745" s="3496"/>
      <c r="F745" s="3496"/>
      <c r="G745" s="17"/>
      <c r="H745" s="3497"/>
      <c r="I745" s="3497"/>
      <c r="J745" s="242"/>
      <c r="K745" s="236"/>
      <c r="Q745" s="142"/>
      <c r="R745" s="142"/>
      <c r="S745" s="142"/>
      <c r="T745" s="142"/>
      <c r="U745" s="142"/>
      <c r="V745" s="142"/>
      <c r="W745" s="142"/>
      <c r="X745" s="142"/>
    </row>
    <row r="746" spans="1:24" ht="16.149999999999999" hidden="1" customHeight="1" x14ac:dyDescent="0.2">
      <c r="A746" s="17"/>
      <c r="B746" s="3496"/>
      <c r="C746" s="3496"/>
      <c r="D746" s="3496"/>
      <c r="E746" s="3496"/>
      <c r="F746" s="3496"/>
      <c r="G746" s="17"/>
      <c r="H746" s="3497"/>
      <c r="I746" s="3497"/>
      <c r="J746" s="242"/>
      <c r="K746" s="236"/>
      <c r="Q746" s="142"/>
      <c r="R746" s="142"/>
      <c r="S746" s="142"/>
      <c r="T746" s="142"/>
      <c r="U746" s="142"/>
      <c r="V746" s="142"/>
      <c r="W746" s="142"/>
      <c r="X746" s="142"/>
    </row>
    <row r="747" spans="1:24" ht="16.149999999999999" hidden="1" customHeight="1" x14ac:dyDescent="0.2">
      <c r="A747" s="17"/>
      <c r="B747" s="3496"/>
      <c r="C747" s="3496"/>
      <c r="D747" s="3496"/>
      <c r="E747" s="3496"/>
      <c r="F747" s="3496"/>
      <c r="G747" s="17"/>
      <c r="H747" s="3497"/>
      <c r="I747" s="3497"/>
      <c r="J747" s="242"/>
      <c r="K747" s="236"/>
      <c r="Q747" s="142"/>
      <c r="R747" s="142"/>
      <c r="S747" s="142"/>
      <c r="T747" s="142"/>
      <c r="U747" s="142"/>
      <c r="V747" s="142"/>
      <c r="W747" s="142"/>
      <c r="X747" s="142"/>
    </row>
    <row r="748" spans="1:24" ht="16.149999999999999" hidden="1" customHeight="1" x14ac:dyDescent="0.2">
      <c r="A748" s="17"/>
      <c r="B748" s="3496"/>
      <c r="C748" s="3496"/>
      <c r="D748" s="3496"/>
      <c r="E748" s="3496"/>
      <c r="F748" s="3496"/>
      <c r="G748" s="17"/>
      <c r="H748" s="3497"/>
      <c r="I748" s="3497"/>
      <c r="J748" s="242"/>
      <c r="K748" s="236"/>
      <c r="Q748" s="142"/>
      <c r="R748" s="142"/>
      <c r="S748" s="142"/>
      <c r="T748" s="142"/>
      <c r="U748" s="142"/>
      <c r="V748" s="142"/>
      <c r="W748" s="142"/>
      <c r="X748" s="142"/>
    </row>
    <row r="749" spans="1:24" ht="16.149999999999999" hidden="1" customHeight="1" x14ac:dyDescent="0.2">
      <c r="A749" s="17"/>
      <c r="B749" s="3496"/>
      <c r="C749" s="3496"/>
      <c r="D749" s="3496"/>
      <c r="E749" s="3496"/>
      <c r="F749" s="3496"/>
      <c r="G749" s="17"/>
      <c r="H749" s="3497"/>
      <c r="I749" s="3497"/>
      <c r="J749" s="242"/>
      <c r="K749" s="236"/>
      <c r="Q749" s="142"/>
      <c r="R749" s="142"/>
      <c r="S749" s="142"/>
      <c r="T749" s="142"/>
      <c r="U749" s="142"/>
      <c r="V749" s="142"/>
      <c r="W749" s="142"/>
      <c r="X749" s="142"/>
    </row>
    <row r="750" spans="1:24" ht="16.149999999999999" hidden="1" customHeight="1" x14ac:dyDescent="0.2">
      <c r="A750" s="17"/>
      <c r="B750" s="3496"/>
      <c r="C750" s="3496"/>
      <c r="D750" s="3496"/>
      <c r="E750" s="3496"/>
      <c r="F750" s="3496"/>
      <c r="G750" s="17"/>
      <c r="H750" s="3497"/>
      <c r="I750" s="3497"/>
      <c r="J750" s="242"/>
      <c r="K750" s="236"/>
      <c r="Q750" s="142"/>
      <c r="R750" s="142"/>
      <c r="S750" s="142"/>
      <c r="T750" s="142"/>
      <c r="U750" s="142"/>
      <c r="V750" s="142"/>
      <c r="W750" s="142"/>
      <c r="X750" s="142"/>
    </row>
    <row r="751" spans="1:24" ht="16.149999999999999" hidden="1" customHeight="1" x14ac:dyDescent="0.2">
      <c r="A751" s="17"/>
      <c r="B751" s="3496"/>
      <c r="C751" s="3496"/>
      <c r="D751" s="3496"/>
      <c r="E751" s="3496"/>
      <c r="F751" s="3496"/>
      <c r="G751" s="17"/>
      <c r="H751" s="3497"/>
      <c r="I751" s="3497"/>
      <c r="J751" s="242"/>
      <c r="K751" s="236"/>
      <c r="Q751" s="142"/>
      <c r="R751" s="142"/>
      <c r="S751" s="142"/>
      <c r="T751" s="142"/>
      <c r="U751" s="142"/>
      <c r="V751" s="142"/>
      <c r="W751" s="142"/>
      <c r="X751" s="142"/>
    </row>
    <row r="752" spans="1:24" ht="16.149999999999999" hidden="1" customHeight="1" x14ac:dyDescent="0.2">
      <c r="A752" s="17"/>
      <c r="B752" s="3496"/>
      <c r="C752" s="3496"/>
      <c r="D752" s="3496"/>
      <c r="E752" s="3496"/>
      <c r="F752" s="3496"/>
      <c r="G752" s="17"/>
      <c r="H752" s="3497"/>
      <c r="I752" s="3497"/>
      <c r="J752" s="242"/>
      <c r="K752" s="236"/>
      <c r="Q752" s="142"/>
      <c r="R752" s="142"/>
      <c r="S752" s="142"/>
      <c r="T752" s="142"/>
      <c r="U752" s="142"/>
      <c r="V752" s="142"/>
      <c r="W752" s="142"/>
      <c r="X752" s="142"/>
    </row>
    <row r="753" spans="1:24" ht="16.149999999999999" hidden="1" customHeight="1" x14ac:dyDescent="0.2">
      <c r="A753" s="17"/>
      <c r="B753" s="3496"/>
      <c r="C753" s="3496"/>
      <c r="D753" s="3496"/>
      <c r="E753" s="3496"/>
      <c r="F753" s="3496"/>
      <c r="G753" s="17"/>
      <c r="H753" s="3497"/>
      <c r="I753" s="3497"/>
      <c r="J753" s="242"/>
      <c r="K753" s="236"/>
      <c r="Q753" s="142"/>
      <c r="R753" s="142"/>
      <c r="S753" s="142"/>
      <c r="T753" s="142"/>
      <c r="U753" s="142"/>
      <c r="V753" s="142"/>
      <c r="W753" s="142"/>
      <c r="X753" s="142"/>
    </row>
    <row r="754" spans="1:24" ht="16.149999999999999" hidden="1" customHeight="1" x14ac:dyDescent="0.2">
      <c r="A754" s="17"/>
      <c r="B754" s="3496"/>
      <c r="C754" s="3496"/>
      <c r="D754" s="3496"/>
      <c r="E754" s="3496"/>
      <c r="F754" s="3496"/>
      <c r="G754" s="17"/>
      <c r="H754" s="3497"/>
      <c r="I754" s="3497"/>
      <c r="J754" s="242"/>
      <c r="K754" s="236"/>
      <c r="Q754" s="142"/>
      <c r="R754" s="142"/>
      <c r="S754" s="142"/>
      <c r="T754" s="142"/>
      <c r="U754" s="142"/>
      <c r="V754" s="142"/>
      <c r="W754" s="142"/>
      <c r="X754" s="142"/>
    </row>
    <row r="755" spans="1:24" ht="16.149999999999999" hidden="1" customHeight="1" x14ac:dyDescent="0.2">
      <c r="A755" s="17"/>
      <c r="B755" s="3496"/>
      <c r="C755" s="3496"/>
      <c r="D755" s="3496"/>
      <c r="E755" s="3496"/>
      <c r="F755" s="3496"/>
      <c r="G755" s="17"/>
      <c r="H755" s="3497"/>
      <c r="I755" s="3497"/>
      <c r="J755" s="242"/>
      <c r="K755" s="236"/>
      <c r="Q755" s="142"/>
      <c r="R755" s="142"/>
      <c r="S755" s="142"/>
      <c r="T755" s="142"/>
      <c r="U755" s="142"/>
      <c r="V755" s="142"/>
      <c r="W755" s="142"/>
      <c r="X755" s="142"/>
    </row>
    <row r="756" spans="1:24" ht="16.149999999999999" hidden="1" customHeight="1" x14ac:dyDescent="0.2">
      <c r="A756" s="17"/>
      <c r="B756" s="3496"/>
      <c r="C756" s="3496"/>
      <c r="D756" s="3496"/>
      <c r="E756" s="3496"/>
      <c r="F756" s="3496"/>
      <c r="G756" s="17"/>
      <c r="H756" s="3497"/>
      <c r="I756" s="3497"/>
      <c r="J756" s="242"/>
      <c r="K756" s="236"/>
      <c r="Q756" s="142"/>
      <c r="R756" s="142"/>
      <c r="S756" s="142"/>
      <c r="T756" s="142"/>
      <c r="U756" s="142"/>
      <c r="V756" s="142"/>
      <c r="W756" s="142"/>
      <c r="X756" s="142"/>
    </row>
    <row r="757" spans="1:24" ht="16.149999999999999" hidden="1" customHeight="1" x14ac:dyDescent="0.2">
      <c r="A757" s="17"/>
      <c r="B757" s="3496"/>
      <c r="C757" s="3496"/>
      <c r="D757" s="3496"/>
      <c r="E757" s="3496"/>
      <c r="F757" s="3496"/>
      <c r="G757" s="17"/>
      <c r="H757" s="3497"/>
      <c r="I757" s="3497"/>
      <c r="J757" s="242"/>
      <c r="K757" s="236"/>
      <c r="Q757" s="142"/>
      <c r="R757" s="142"/>
      <c r="S757" s="142"/>
      <c r="T757" s="142"/>
      <c r="U757" s="142"/>
      <c r="V757" s="142"/>
      <c r="W757" s="142"/>
      <c r="X757" s="142"/>
    </row>
    <row r="758" spans="1:24" ht="16.149999999999999" hidden="1" customHeight="1" x14ac:dyDescent="0.2">
      <c r="A758" s="17"/>
      <c r="B758" s="3496"/>
      <c r="C758" s="3496"/>
      <c r="D758" s="3496"/>
      <c r="E758" s="3496"/>
      <c r="F758" s="3496"/>
      <c r="G758" s="17"/>
      <c r="H758" s="3497"/>
      <c r="I758" s="3497"/>
      <c r="J758" s="242"/>
      <c r="K758" s="236"/>
      <c r="Q758" s="142"/>
      <c r="R758" s="142"/>
      <c r="S758" s="142"/>
      <c r="T758" s="142"/>
      <c r="U758" s="142"/>
      <c r="V758" s="142"/>
      <c r="W758" s="142"/>
      <c r="X758" s="142"/>
    </row>
    <row r="759" spans="1:24" ht="16.149999999999999" hidden="1" customHeight="1" x14ac:dyDescent="0.2">
      <c r="A759" s="17"/>
      <c r="B759" s="3496"/>
      <c r="C759" s="3496"/>
      <c r="D759" s="3496"/>
      <c r="E759" s="3496"/>
      <c r="F759" s="3496"/>
      <c r="G759" s="17"/>
      <c r="H759" s="3497"/>
      <c r="I759" s="3497"/>
      <c r="J759" s="242"/>
      <c r="K759" s="236"/>
      <c r="Q759" s="142"/>
      <c r="R759" s="142"/>
      <c r="S759" s="142"/>
      <c r="T759" s="142"/>
      <c r="U759" s="142"/>
      <c r="V759" s="142"/>
      <c r="W759" s="142"/>
      <c r="X759" s="142"/>
    </row>
    <row r="760" spans="1:24" ht="16.149999999999999" hidden="1" customHeight="1" x14ac:dyDescent="0.2">
      <c r="A760" s="17"/>
      <c r="B760" s="3496"/>
      <c r="C760" s="3496"/>
      <c r="D760" s="3496"/>
      <c r="E760" s="3496"/>
      <c r="F760" s="3496"/>
      <c r="G760" s="17"/>
      <c r="H760" s="3497"/>
      <c r="I760" s="3497"/>
      <c r="J760" s="242"/>
      <c r="K760" s="236"/>
      <c r="Q760" s="142"/>
      <c r="R760" s="142"/>
      <c r="S760" s="142"/>
      <c r="T760" s="142"/>
      <c r="U760" s="142"/>
      <c r="V760" s="142"/>
      <c r="W760" s="142"/>
      <c r="X760" s="142"/>
    </row>
    <row r="761" spans="1:24" ht="16.149999999999999" hidden="1" customHeight="1" x14ac:dyDescent="0.2">
      <c r="A761" s="17"/>
      <c r="B761" s="3496"/>
      <c r="C761" s="3496"/>
      <c r="D761" s="3496"/>
      <c r="E761" s="3496"/>
      <c r="F761" s="3496"/>
      <c r="G761" s="17"/>
      <c r="H761" s="3497"/>
      <c r="I761" s="3497"/>
      <c r="J761" s="242"/>
      <c r="K761" s="236"/>
      <c r="Q761" s="142"/>
      <c r="R761" s="142"/>
      <c r="S761" s="142"/>
      <c r="T761" s="142"/>
      <c r="U761" s="142"/>
      <c r="V761" s="142"/>
      <c r="W761" s="142"/>
      <c r="X761" s="142"/>
    </row>
    <row r="762" spans="1:24" ht="16.149999999999999" hidden="1" customHeight="1" x14ac:dyDescent="0.2">
      <c r="A762" s="17"/>
      <c r="B762" s="3496"/>
      <c r="C762" s="3496"/>
      <c r="D762" s="3496"/>
      <c r="E762" s="3496"/>
      <c r="F762" s="3496"/>
      <c r="G762" s="17"/>
      <c r="H762" s="3497"/>
      <c r="I762" s="3497"/>
      <c r="J762" s="242"/>
      <c r="K762" s="236"/>
      <c r="Q762" s="142"/>
      <c r="R762" s="142"/>
      <c r="S762" s="142"/>
      <c r="T762" s="142"/>
      <c r="U762" s="142"/>
      <c r="V762" s="142"/>
      <c r="W762" s="142"/>
      <c r="X762" s="142"/>
    </row>
    <row r="763" spans="1:24" ht="16.149999999999999" hidden="1" customHeight="1" x14ac:dyDescent="0.2">
      <c r="A763" s="17"/>
      <c r="B763" s="3496"/>
      <c r="C763" s="3496"/>
      <c r="D763" s="3496"/>
      <c r="E763" s="3496"/>
      <c r="F763" s="3496"/>
      <c r="G763" s="17"/>
      <c r="H763" s="3497"/>
      <c r="I763" s="3497"/>
      <c r="J763" s="242"/>
      <c r="K763" s="236"/>
      <c r="Q763" s="142"/>
      <c r="R763" s="142"/>
      <c r="S763" s="142"/>
      <c r="T763" s="142"/>
      <c r="U763" s="142"/>
      <c r="V763" s="142"/>
      <c r="W763" s="142"/>
      <c r="X763" s="142"/>
    </row>
    <row r="764" spans="1:24" ht="16.149999999999999" hidden="1" customHeight="1" x14ac:dyDescent="0.2">
      <c r="A764" s="17"/>
      <c r="B764" s="3496"/>
      <c r="C764" s="3496"/>
      <c r="D764" s="3496"/>
      <c r="E764" s="3496"/>
      <c r="F764" s="3496"/>
      <c r="G764" s="17"/>
      <c r="H764" s="3497"/>
      <c r="I764" s="3497"/>
      <c r="J764" s="242"/>
      <c r="K764" s="236"/>
      <c r="Q764" s="142"/>
      <c r="R764" s="142"/>
      <c r="S764" s="142"/>
      <c r="T764" s="142"/>
      <c r="U764" s="142"/>
      <c r="V764" s="142"/>
      <c r="W764" s="142"/>
      <c r="X764" s="142"/>
    </row>
    <row r="765" spans="1:24" ht="16.149999999999999" hidden="1" customHeight="1" x14ac:dyDescent="0.2">
      <c r="A765" s="17"/>
      <c r="B765" s="3496"/>
      <c r="C765" s="3496"/>
      <c r="D765" s="3496"/>
      <c r="E765" s="3496"/>
      <c r="F765" s="3496"/>
      <c r="G765" s="17"/>
      <c r="H765" s="3497"/>
      <c r="I765" s="3497"/>
      <c r="J765" s="242"/>
      <c r="K765" s="236"/>
      <c r="Q765" s="142"/>
      <c r="R765" s="142"/>
      <c r="S765" s="142"/>
      <c r="T765" s="142"/>
      <c r="U765" s="142"/>
      <c r="V765" s="142"/>
      <c r="W765" s="142"/>
      <c r="X765" s="142"/>
    </row>
    <row r="766" spans="1:24" ht="16.149999999999999" hidden="1" customHeight="1" x14ac:dyDescent="0.2">
      <c r="A766" s="17"/>
      <c r="B766" s="3496"/>
      <c r="C766" s="3496"/>
      <c r="D766" s="3496"/>
      <c r="E766" s="3496"/>
      <c r="F766" s="3496"/>
      <c r="G766" s="17"/>
      <c r="H766" s="3497"/>
      <c r="I766" s="3497"/>
      <c r="J766" s="242"/>
      <c r="K766" s="236"/>
      <c r="Q766" s="142"/>
      <c r="R766" s="142"/>
      <c r="S766" s="142"/>
      <c r="T766" s="142"/>
      <c r="U766" s="142"/>
      <c r="V766" s="142"/>
      <c r="W766" s="142"/>
      <c r="X766" s="142"/>
    </row>
    <row r="767" spans="1:24" ht="16.149999999999999" hidden="1" customHeight="1" x14ac:dyDescent="0.2">
      <c r="A767" s="17"/>
      <c r="B767" s="3496"/>
      <c r="C767" s="3496"/>
      <c r="D767" s="3496"/>
      <c r="E767" s="3496"/>
      <c r="F767" s="3496"/>
      <c r="G767" s="17"/>
      <c r="H767" s="3497"/>
      <c r="I767" s="3497"/>
      <c r="J767" s="242"/>
      <c r="K767" s="236"/>
      <c r="Q767" s="142"/>
      <c r="R767" s="142"/>
      <c r="S767" s="142"/>
      <c r="T767" s="142"/>
      <c r="U767" s="142"/>
      <c r="V767" s="142"/>
      <c r="W767" s="142"/>
      <c r="X767" s="142"/>
    </row>
    <row r="768" spans="1:24" ht="16.149999999999999" hidden="1" customHeight="1" x14ac:dyDescent="0.2">
      <c r="A768" s="17"/>
      <c r="B768" s="3496"/>
      <c r="C768" s="3496"/>
      <c r="D768" s="3496"/>
      <c r="E768" s="3496"/>
      <c r="F768" s="3496"/>
      <c r="G768" s="17"/>
      <c r="H768" s="3497"/>
      <c r="I768" s="3497"/>
      <c r="J768" s="242"/>
      <c r="K768" s="236"/>
      <c r="Q768" s="142"/>
      <c r="R768" s="142"/>
      <c r="S768" s="142"/>
      <c r="T768" s="142"/>
      <c r="U768" s="142"/>
      <c r="V768" s="142"/>
      <c r="W768" s="142"/>
      <c r="X768" s="142"/>
    </row>
    <row r="769" spans="1:24" ht="16.149999999999999" hidden="1" customHeight="1" x14ac:dyDescent="0.2">
      <c r="A769" s="17"/>
      <c r="B769" s="3496"/>
      <c r="C769" s="3496"/>
      <c r="D769" s="3496"/>
      <c r="E769" s="3496"/>
      <c r="F769" s="3496"/>
      <c r="G769" s="17"/>
      <c r="H769" s="3497"/>
      <c r="I769" s="3497"/>
      <c r="J769" s="242"/>
      <c r="K769" s="236"/>
      <c r="Q769" s="142"/>
      <c r="R769" s="142"/>
      <c r="S769" s="142"/>
      <c r="T769" s="142"/>
      <c r="U769" s="142"/>
      <c r="V769" s="142"/>
      <c r="W769" s="142"/>
      <c r="X769" s="142"/>
    </row>
    <row r="770" spans="1:24" ht="16.149999999999999" hidden="1" customHeight="1" x14ac:dyDescent="0.2">
      <c r="A770" s="17"/>
      <c r="B770" s="3496"/>
      <c r="C770" s="3496"/>
      <c r="D770" s="3496"/>
      <c r="E770" s="3496"/>
      <c r="F770" s="3496"/>
      <c r="G770" s="17"/>
      <c r="H770" s="3497"/>
      <c r="I770" s="3497"/>
      <c r="J770" s="242"/>
      <c r="K770" s="236"/>
      <c r="Q770" s="142"/>
      <c r="R770" s="142"/>
      <c r="S770" s="142"/>
      <c r="T770" s="142"/>
      <c r="U770" s="142"/>
      <c r="V770" s="142"/>
      <c r="W770" s="142"/>
      <c r="X770" s="142"/>
    </row>
    <row r="771" spans="1:24" ht="16.149999999999999" hidden="1" customHeight="1" x14ac:dyDescent="0.2">
      <c r="A771" s="17"/>
      <c r="B771" s="3496"/>
      <c r="C771" s="3496"/>
      <c r="D771" s="3496"/>
      <c r="E771" s="3496"/>
      <c r="F771" s="3496"/>
      <c r="G771" s="17"/>
      <c r="H771" s="3497"/>
      <c r="I771" s="3497"/>
      <c r="J771" s="242"/>
      <c r="K771" s="236"/>
      <c r="Q771" s="142"/>
      <c r="R771" s="142"/>
      <c r="S771" s="142"/>
      <c r="T771" s="142"/>
      <c r="U771" s="142"/>
      <c r="V771" s="142"/>
      <c r="W771" s="142"/>
      <c r="X771" s="142"/>
    </row>
    <row r="772" spans="1:24" ht="16.149999999999999" hidden="1" customHeight="1" x14ac:dyDescent="0.2">
      <c r="A772" s="17"/>
      <c r="B772" s="3496"/>
      <c r="C772" s="3496"/>
      <c r="D772" s="3496"/>
      <c r="E772" s="3496"/>
      <c r="F772" s="3496"/>
      <c r="G772" s="17"/>
      <c r="H772" s="3497"/>
      <c r="I772" s="3497"/>
      <c r="J772" s="242"/>
      <c r="K772" s="236"/>
      <c r="Q772" s="142"/>
      <c r="R772" s="142"/>
      <c r="S772" s="142"/>
      <c r="T772" s="142"/>
      <c r="U772" s="142"/>
      <c r="V772" s="142"/>
      <c r="W772" s="142"/>
      <c r="X772" s="142"/>
    </row>
    <row r="773" spans="1:24" ht="16.149999999999999" hidden="1" customHeight="1" x14ac:dyDescent="0.2">
      <c r="A773" s="17"/>
      <c r="B773" s="3496"/>
      <c r="C773" s="3496"/>
      <c r="D773" s="3496"/>
      <c r="E773" s="3496"/>
      <c r="F773" s="3496"/>
      <c r="G773" s="17"/>
      <c r="H773" s="3497"/>
      <c r="I773" s="3497"/>
      <c r="J773" s="242"/>
      <c r="K773" s="236"/>
      <c r="Q773" s="142"/>
      <c r="R773" s="142"/>
      <c r="S773" s="142"/>
      <c r="T773" s="142"/>
      <c r="U773" s="142"/>
      <c r="V773" s="142"/>
      <c r="W773" s="142"/>
      <c r="X773" s="142"/>
    </row>
    <row r="774" spans="1:24" ht="16.149999999999999" hidden="1" customHeight="1" x14ac:dyDescent="0.2">
      <c r="A774" s="17"/>
      <c r="B774" s="3496"/>
      <c r="C774" s="3496"/>
      <c r="D774" s="3496"/>
      <c r="E774" s="3496"/>
      <c r="F774" s="3496"/>
      <c r="G774" s="17"/>
      <c r="H774" s="3497"/>
      <c r="I774" s="3497"/>
      <c r="J774" s="242"/>
      <c r="K774" s="236"/>
      <c r="Q774" s="142"/>
      <c r="R774" s="142"/>
      <c r="S774" s="142"/>
      <c r="T774" s="142"/>
      <c r="U774" s="142"/>
      <c r="V774" s="142"/>
      <c r="W774" s="142"/>
      <c r="X774" s="142"/>
    </row>
    <row r="775" spans="1:24" ht="16.149999999999999" hidden="1" customHeight="1" x14ac:dyDescent="0.2">
      <c r="A775" s="17"/>
      <c r="B775" s="3496"/>
      <c r="C775" s="3496"/>
      <c r="D775" s="3496"/>
      <c r="E775" s="3496"/>
      <c r="F775" s="3496"/>
      <c r="G775" s="17"/>
      <c r="H775" s="3497"/>
      <c r="I775" s="3497"/>
      <c r="J775" s="242"/>
      <c r="K775" s="236"/>
      <c r="Q775" s="142"/>
      <c r="R775" s="142"/>
      <c r="S775" s="142"/>
      <c r="T775" s="142"/>
      <c r="U775" s="142"/>
      <c r="V775" s="142"/>
      <c r="W775" s="142"/>
      <c r="X775" s="142"/>
    </row>
    <row r="776" spans="1:24" ht="16.149999999999999" hidden="1" customHeight="1" x14ac:dyDescent="0.2">
      <c r="A776" s="17"/>
      <c r="B776" s="3496"/>
      <c r="C776" s="3496"/>
      <c r="D776" s="3496"/>
      <c r="E776" s="3496"/>
      <c r="F776" s="3496"/>
      <c r="G776" s="17"/>
      <c r="H776" s="3497"/>
      <c r="I776" s="3497"/>
      <c r="J776" s="242"/>
      <c r="K776" s="236"/>
      <c r="Q776" s="142"/>
      <c r="R776" s="142"/>
      <c r="S776" s="142"/>
      <c r="T776" s="142"/>
      <c r="U776" s="142"/>
      <c r="V776" s="142"/>
      <c r="W776" s="142"/>
      <c r="X776" s="142"/>
    </row>
    <row r="777" spans="1:24" ht="16.149999999999999" hidden="1" customHeight="1" x14ac:dyDescent="0.2">
      <c r="A777" s="17"/>
      <c r="B777" s="3496"/>
      <c r="C777" s="3496"/>
      <c r="D777" s="3496"/>
      <c r="E777" s="3496"/>
      <c r="F777" s="3496"/>
      <c r="G777" s="17"/>
      <c r="H777" s="3497"/>
      <c r="I777" s="3497"/>
      <c r="J777" s="242"/>
      <c r="K777" s="236"/>
      <c r="Q777" s="142"/>
      <c r="R777" s="142"/>
      <c r="S777" s="142"/>
      <c r="T777" s="142"/>
      <c r="U777" s="142"/>
      <c r="V777" s="142"/>
      <c r="W777" s="142"/>
      <c r="X777" s="142"/>
    </row>
    <row r="778" spans="1:24" ht="16.149999999999999" hidden="1" customHeight="1" x14ac:dyDescent="0.2">
      <c r="A778" s="17"/>
      <c r="B778" s="3496"/>
      <c r="C778" s="3496"/>
      <c r="D778" s="3496"/>
      <c r="E778" s="3496"/>
      <c r="F778" s="3496"/>
      <c r="G778" s="17"/>
      <c r="H778" s="3497"/>
      <c r="I778" s="3497"/>
      <c r="J778" s="242"/>
      <c r="K778" s="236"/>
      <c r="Q778" s="142"/>
      <c r="R778" s="142"/>
      <c r="S778" s="142"/>
      <c r="T778" s="142"/>
      <c r="U778" s="142"/>
      <c r="V778" s="142"/>
      <c r="W778" s="142"/>
      <c r="X778" s="142"/>
    </row>
    <row r="779" spans="1:24" ht="16.149999999999999" hidden="1" customHeight="1" x14ac:dyDescent="0.2">
      <c r="A779" s="17"/>
      <c r="B779" s="3496"/>
      <c r="C779" s="3496"/>
      <c r="D779" s="3496"/>
      <c r="E779" s="3496"/>
      <c r="F779" s="3496"/>
      <c r="G779" s="17"/>
      <c r="H779" s="3497"/>
      <c r="I779" s="3497"/>
      <c r="J779" s="242"/>
      <c r="K779" s="236"/>
      <c r="Q779" s="142"/>
      <c r="R779" s="142"/>
      <c r="S779" s="142"/>
      <c r="T779" s="142"/>
      <c r="U779" s="142"/>
      <c r="V779" s="142"/>
      <c r="W779" s="142"/>
      <c r="X779" s="142"/>
    </row>
    <row r="780" spans="1:24" ht="16.149999999999999" hidden="1" customHeight="1" x14ac:dyDescent="0.2">
      <c r="A780" s="17"/>
      <c r="B780" s="3496"/>
      <c r="C780" s="3496"/>
      <c r="D780" s="3496"/>
      <c r="E780" s="3496"/>
      <c r="F780" s="3496"/>
      <c r="G780" s="17"/>
      <c r="H780" s="3497"/>
      <c r="I780" s="3497"/>
      <c r="J780" s="242"/>
      <c r="K780" s="236"/>
      <c r="Q780" s="142"/>
      <c r="R780" s="142"/>
      <c r="S780" s="142"/>
      <c r="T780" s="142"/>
      <c r="U780" s="142"/>
      <c r="V780" s="142"/>
      <c r="W780" s="142"/>
      <c r="X780" s="142"/>
    </row>
    <row r="781" spans="1:24" ht="16.149999999999999" hidden="1" customHeight="1" x14ac:dyDescent="0.2">
      <c r="A781" s="17"/>
      <c r="B781" s="3496"/>
      <c r="C781" s="3496"/>
      <c r="D781" s="3496"/>
      <c r="E781" s="3496"/>
      <c r="F781" s="3496"/>
      <c r="G781" s="17"/>
      <c r="H781" s="3497"/>
      <c r="I781" s="3497"/>
      <c r="J781" s="242"/>
      <c r="K781" s="236"/>
      <c r="Q781" s="142"/>
      <c r="R781" s="142"/>
      <c r="S781" s="142"/>
      <c r="T781" s="142"/>
      <c r="U781" s="142"/>
      <c r="V781" s="142"/>
      <c r="W781" s="142"/>
      <c r="X781" s="142"/>
    </row>
    <row r="782" spans="1:24" ht="16.149999999999999" hidden="1" customHeight="1" x14ac:dyDescent="0.2">
      <c r="A782" s="17"/>
      <c r="B782" s="3496"/>
      <c r="C782" s="3496"/>
      <c r="D782" s="3496"/>
      <c r="E782" s="3496"/>
      <c r="F782" s="3496"/>
      <c r="G782" s="17"/>
      <c r="H782" s="3497"/>
      <c r="I782" s="3497"/>
      <c r="J782" s="242"/>
      <c r="K782" s="236"/>
      <c r="Q782" s="142"/>
      <c r="R782" s="142"/>
      <c r="S782" s="142"/>
      <c r="T782" s="142"/>
      <c r="U782" s="142"/>
      <c r="V782" s="142"/>
      <c r="W782" s="142"/>
      <c r="X782" s="142"/>
    </row>
    <row r="783" spans="1:24" ht="16.149999999999999" hidden="1" customHeight="1" x14ac:dyDescent="0.2">
      <c r="A783" s="17"/>
      <c r="B783" s="3496"/>
      <c r="C783" s="3496"/>
      <c r="D783" s="3496"/>
      <c r="E783" s="3496"/>
      <c r="F783" s="3496"/>
      <c r="G783" s="17"/>
      <c r="H783" s="3497"/>
      <c r="I783" s="3497"/>
      <c r="J783" s="242"/>
      <c r="K783" s="236"/>
      <c r="Q783" s="142"/>
      <c r="R783" s="142"/>
      <c r="S783" s="142"/>
      <c r="T783" s="142"/>
      <c r="U783" s="142"/>
      <c r="V783" s="142"/>
      <c r="W783" s="142"/>
      <c r="X783" s="142"/>
    </row>
    <row r="784" spans="1:24" ht="16.149999999999999" hidden="1" customHeight="1" x14ac:dyDescent="0.2">
      <c r="A784" s="17"/>
      <c r="B784" s="3496"/>
      <c r="C784" s="3496"/>
      <c r="D784" s="3496"/>
      <c r="E784" s="3496"/>
      <c r="F784" s="3496"/>
      <c r="G784" s="17"/>
      <c r="H784" s="3497"/>
      <c r="I784" s="3497"/>
      <c r="J784" s="242"/>
      <c r="K784" s="236"/>
      <c r="Q784" s="142"/>
      <c r="R784" s="142"/>
      <c r="S784" s="142"/>
      <c r="T784" s="142"/>
      <c r="U784" s="142"/>
      <c r="V784" s="142"/>
      <c r="W784" s="142"/>
      <c r="X784" s="142"/>
    </row>
    <row r="785" spans="1:24" ht="16.149999999999999" hidden="1" customHeight="1" x14ac:dyDescent="0.2">
      <c r="A785" s="17"/>
      <c r="B785" s="3496"/>
      <c r="C785" s="3496"/>
      <c r="D785" s="3496"/>
      <c r="E785" s="3496"/>
      <c r="F785" s="3496"/>
      <c r="G785" s="17"/>
      <c r="H785" s="3497"/>
      <c r="I785" s="3497"/>
      <c r="J785" s="242"/>
      <c r="K785" s="236"/>
      <c r="Q785" s="142"/>
      <c r="R785" s="142"/>
      <c r="S785" s="142"/>
      <c r="T785" s="142"/>
      <c r="U785" s="142"/>
      <c r="V785" s="142"/>
      <c r="W785" s="142"/>
      <c r="X785" s="142"/>
    </row>
    <row r="786" spans="1:24" ht="16.149999999999999" hidden="1" customHeight="1" x14ac:dyDescent="0.2">
      <c r="A786" s="17"/>
      <c r="B786" s="3496"/>
      <c r="C786" s="3496"/>
      <c r="D786" s="3496"/>
      <c r="E786" s="3496"/>
      <c r="F786" s="3496"/>
      <c r="G786" s="17"/>
      <c r="H786" s="3497"/>
      <c r="I786" s="3497"/>
      <c r="J786" s="242"/>
      <c r="K786" s="236"/>
      <c r="Q786" s="142"/>
      <c r="R786" s="142"/>
      <c r="S786" s="142"/>
      <c r="T786" s="142"/>
      <c r="U786" s="142"/>
      <c r="V786" s="142"/>
      <c r="W786" s="142"/>
      <c r="X786" s="142"/>
    </row>
    <row r="787" spans="1:24" ht="16.149999999999999" hidden="1" customHeight="1" x14ac:dyDescent="0.2">
      <c r="A787" s="17"/>
      <c r="B787" s="3496"/>
      <c r="C787" s="3496"/>
      <c r="D787" s="3496"/>
      <c r="E787" s="3496"/>
      <c r="F787" s="3496"/>
      <c r="G787" s="17"/>
      <c r="H787" s="3497"/>
      <c r="I787" s="3497"/>
      <c r="J787" s="242"/>
      <c r="K787" s="236"/>
      <c r="Q787" s="142"/>
      <c r="R787" s="142"/>
      <c r="S787" s="142"/>
      <c r="T787" s="142"/>
      <c r="U787" s="142"/>
      <c r="V787" s="142"/>
      <c r="W787" s="142"/>
      <c r="X787" s="142"/>
    </row>
    <row r="788" spans="1:24" ht="16.149999999999999" hidden="1" customHeight="1" x14ac:dyDescent="0.2">
      <c r="A788" s="17"/>
      <c r="B788" s="3496"/>
      <c r="C788" s="3496"/>
      <c r="D788" s="3496"/>
      <c r="E788" s="3496"/>
      <c r="F788" s="3496"/>
      <c r="G788" s="17"/>
      <c r="H788" s="3497"/>
      <c r="I788" s="3497"/>
      <c r="J788" s="242"/>
      <c r="K788" s="236"/>
      <c r="Q788" s="142"/>
      <c r="R788" s="142"/>
      <c r="S788" s="142"/>
      <c r="T788" s="142"/>
      <c r="U788" s="142"/>
      <c r="V788" s="142"/>
      <c r="W788" s="142"/>
      <c r="X788" s="142"/>
    </row>
    <row r="789" spans="1:24" ht="16.149999999999999" hidden="1" customHeight="1" x14ac:dyDescent="0.2">
      <c r="A789" s="17"/>
      <c r="B789" s="3496"/>
      <c r="C789" s="3496"/>
      <c r="D789" s="3496"/>
      <c r="E789" s="3496"/>
      <c r="F789" s="3496"/>
      <c r="G789" s="17"/>
      <c r="H789" s="3497"/>
      <c r="I789" s="3497"/>
      <c r="J789" s="242"/>
      <c r="K789" s="236"/>
      <c r="Q789" s="142"/>
      <c r="R789" s="142"/>
      <c r="S789" s="142"/>
      <c r="T789" s="142"/>
      <c r="U789" s="142"/>
      <c r="V789" s="142"/>
      <c r="W789" s="142"/>
      <c r="X789" s="142"/>
    </row>
    <row r="790" spans="1:24" ht="16.149999999999999" hidden="1" customHeight="1" x14ac:dyDescent="0.2">
      <c r="A790" s="17"/>
      <c r="B790" s="3496"/>
      <c r="C790" s="3496"/>
      <c r="D790" s="3496"/>
      <c r="E790" s="3496"/>
      <c r="F790" s="3496"/>
      <c r="G790" s="17"/>
      <c r="H790" s="3497"/>
      <c r="I790" s="3497"/>
      <c r="J790" s="242"/>
      <c r="K790" s="236"/>
      <c r="Q790" s="142"/>
      <c r="R790" s="142"/>
      <c r="S790" s="142"/>
      <c r="T790" s="142"/>
      <c r="U790" s="142"/>
      <c r="V790" s="142"/>
      <c r="W790" s="142"/>
      <c r="X790" s="142"/>
    </row>
    <row r="791" spans="1:24" ht="16.149999999999999" hidden="1" customHeight="1" x14ac:dyDescent="0.2">
      <c r="A791" s="17"/>
      <c r="B791" s="3496"/>
      <c r="C791" s="3496"/>
      <c r="D791" s="3496"/>
      <c r="E791" s="3496"/>
      <c r="F791" s="3496"/>
      <c r="G791" s="17"/>
      <c r="H791" s="3497"/>
      <c r="I791" s="3497"/>
      <c r="J791" s="242"/>
      <c r="K791" s="236"/>
      <c r="Q791" s="142"/>
      <c r="R791" s="142"/>
      <c r="S791" s="142"/>
      <c r="T791" s="142"/>
      <c r="U791" s="142"/>
      <c r="V791" s="142"/>
      <c r="W791" s="142"/>
      <c r="X791" s="142"/>
    </row>
    <row r="792" spans="1:24" ht="16.149999999999999" hidden="1" customHeight="1" x14ac:dyDescent="0.2">
      <c r="A792" s="17"/>
      <c r="B792" s="3496"/>
      <c r="C792" s="3496"/>
      <c r="D792" s="3496"/>
      <c r="E792" s="3496"/>
      <c r="F792" s="3496"/>
      <c r="G792" s="17"/>
      <c r="H792" s="3497"/>
      <c r="I792" s="3497"/>
      <c r="J792" s="242"/>
      <c r="K792" s="236"/>
      <c r="Q792" s="142"/>
      <c r="R792" s="142"/>
      <c r="S792" s="142"/>
      <c r="T792" s="142"/>
      <c r="U792" s="142"/>
      <c r="V792" s="142"/>
      <c r="W792" s="142"/>
      <c r="X792" s="142"/>
    </row>
    <row r="793" spans="1:24" ht="16.149999999999999" hidden="1" customHeight="1" x14ac:dyDescent="0.2">
      <c r="A793" s="17"/>
      <c r="B793" s="3496"/>
      <c r="C793" s="3496"/>
      <c r="D793" s="3496"/>
      <c r="E793" s="3496"/>
      <c r="F793" s="3496"/>
      <c r="G793" s="17"/>
      <c r="H793" s="3497"/>
      <c r="I793" s="3497"/>
      <c r="J793" s="242"/>
      <c r="K793" s="236"/>
      <c r="Q793" s="142"/>
      <c r="R793" s="142"/>
      <c r="S793" s="142"/>
      <c r="T793" s="142"/>
      <c r="U793" s="142"/>
      <c r="V793" s="142"/>
      <c r="W793" s="142"/>
      <c r="X793" s="142"/>
    </row>
    <row r="794" spans="1:24" ht="16.149999999999999" hidden="1" customHeight="1" x14ac:dyDescent="0.2">
      <c r="A794" s="17"/>
      <c r="B794" s="3496"/>
      <c r="C794" s="3496"/>
      <c r="D794" s="3496"/>
      <c r="E794" s="3496"/>
      <c r="F794" s="3496"/>
      <c r="G794" s="17"/>
      <c r="H794" s="3497"/>
      <c r="I794" s="3497"/>
      <c r="J794" s="242"/>
      <c r="K794" s="236"/>
      <c r="Q794" s="142"/>
      <c r="R794" s="142"/>
      <c r="S794" s="142"/>
      <c r="T794" s="142"/>
      <c r="U794" s="142"/>
      <c r="V794" s="142"/>
      <c r="W794" s="142"/>
      <c r="X794" s="142"/>
    </row>
    <row r="795" spans="1:24" ht="16.149999999999999" hidden="1" customHeight="1" x14ac:dyDescent="0.2">
      <c r="A795" s="17"/>
      <c r="B795" s="3496"/>
      <c r="C795" s="3496"/>
      <c r="D795" s="3496"/>
      <c r="E795" s="3496"/>
      <c r="F795" s="3496"/>
      <c r="G795" s="17"/>
      <c r="H795" s="3497"/>
      <c r="I795" s="3497"/>
      <c r="J795" s="242"/>
      <c r="K795" s="236"/>
      <c r="Q795" s="142"/>
      <c r="R795" s="142"/>
      <c r="S795" s="142"/>
      <c r="T795" s="142"/>
      <c r="U795" s="142"/>
      <c r="V795" s="142"/>
      <c r="W795" s="142"/>
      <c r="X795" s="142"/>
    </row>
    <row r="796" spans="1:24" ht="16.149999999999999" hidden="1" customHeight="1" x14ac:dyDescent="0.2">
      <c r="A796" s="17"/>
      <c r="B796" s="3496"/>
      <c r="C796" s="3496"/>
      <c r="D796" s="3496"/>
      <c r="E796" s="3496"/>
      <c r="F796" s="3496"/>
      <c r="G796" s="17"/>
      <c r="H796" s="3497"/>
      <c r="I796" s="3497"/>
      <c r="J796" s="242"/>
      <c r="K796" s="236"/>
      <c r="Q796" s="142"/>
      <c r="R796" s="142"/>
      <c r="S796" s="142"/>
      <c r="T796" s="142"/>
      <c r="U796" s="142"/>
      <c r="V796" s="142"/>
      <c r="W796" s="142"/>
      <c r="X796" s="142"/>
    </row>
    <row r="797" spans="1:24" ht="16.149999999999999" hidden="1" customHeight="1" x14ac:dyDescent="0.2">
      <c r="A797" s="17"/>
      <c r="B797" s="3496"/>
      <c r="C797" s="3496"/>
      <c r="D797" s="3496"/>
      <c r="E797" s="3496"/>
      <c r="F797" s="3496"/>
      <c r="G797" s="17"/>
      <c r="H797" s="3497"/>
      <c r="I797" s="3497"/>
      <c r="J797" s="242"/>
      <c r="K797" s="236"/>
      <c r="Q797" s="142"/>
      <c r="R797" s="142"/>
      <c r="S797" s="142"/>
      <c r="T797" s="142"/>
      <c r="U797" s="142"/>
      <c r="V797" s="142"/>
      <c r="W797" s="142"/>
      <c r="X797" s="142"/>
    </row>
    <row r="798" spans="1:24" ht="16.149999999999999" hidden="1" customHeight="1" x14ac:dyDescent="0.2">
      <c r="A798" s="17"/>
      <c r="B798" s="3496"/>
      <c r="C798" s="3496"/>
      <c r="D798" s="3496"/>
      <c r="E798" s="3496"/>
      <c r="F798" s="3496"/>
      <c r="G798" s="17"/>
      <c r="H798" s="3497"/>
      <c r="I798" s="3497"/>
      <c r="J798" s="242"/>
      <c r="K798" s="236"/>
      <c r="Q798" s="142"/>
      <c r="R798" s="142"/>
      <c r="S798" s="142"/>
      <c r="T798" s="142"/>
      <c r="U798" s="142"/>
      <c r="V798" s="142"/>
      <c r="W798" s="142"/>
      <c r="X798" s="142"/>
    </row>
    <row r="799" spans="1:24" ht="16.149999999999999" hidden="1" customHeight="1" x14ac:dyDescent="0.2">
      <c r="A799" s="17"/>
      <c r="B799" s="3496"/>
      <c r="C799" s="3496"/>
      <c r="D799" s="3496"/>
      <c r="E799" s="3496"/>
      <c r="F799" s="3496"/>
      <c r="G799" s="17"/>
      <c r="H799" s="3497"/>
      <c r="I799" s="3497"/>
      <c r="J799" s="242"/>
      <c r="K799" s="236"/>
      <c r="Q799" s="142"/>
      <c r="R799" s="142"/>
      <c r="S799" s="142"/>
      <c r="T799" s="142"/>
      <c r="U799" s="142"/>
      <c r="V799" s="142"/>
      <c r="W799" s="142"/>
      <c r="X799" s="142"/>
    </row>
    <row r="800" spans="1:24" ht="16.149999999999999" hidden="1" customHeight="1" x14ac:dyDescent="0.2">
      <c r="A800" s="17"/>
      <c r="B800" s="3496"/>
      <c r="C800" s="3496"/>
      <c r="D800" s="3496"/>
      <c r="E800" s="3496"/>
      <c r="F800" s="3496"/>
      <c r="G800" s="17"/>
      <c r="H800" s="3497"/>
      <c r="I800" s="3497"/>
      <c r="J800" s="242"/>
      <c r="K800" s="236"/>
      <c r="Q800" s="142"/>
      <c r="R800" s="142"/>
      <c r="S800" s="142"/>
      <c r="T800" s="142"/>
      <c r="U800" s="142"/>
      <c r="V800" s="142"/>
      <c r="W800" s="142"/>
      <c r="X800" s="142"/>
    </row>
    <row r="801" spans="1:24" ht="16.149999999999999" hidden="1" customHeight="1" x14ac:dyDescent="0.2">
      <c r="A801" s="17"/>
      <c r="B801" s="3496"/>
      <c r="C801" s="3496"/>
      <c r="D801" s="3496"/>
      <c r="E801" s="3496"/>
      <c r="F801" s="3496"/>
      <c r="G801" s="17"/>
      <c r="H801" s="3497"/>
      <c r="I801" s="3497"/>
      <c r="J801" s="242"/>
      <c r="K801" s="236"/>
      <c r="Q801" s="142"/>
      <c r="R801" s="142"/>
      <c r="S801" s="142"/>
      <c r="T801" s="142"/>
      <c r="U801" s="142"/>
      <c r="V801" s="142"/>
      <c r="W801" s="142"/>
      <c r="X801" s="142"/>
    </row>
    <row r="802" spans="1:24" ht="16.149999999999999" hidden="1" customHeight="1" x14ac:dyDescent="0.2">
      <c r="A802" s="17"/>
      <c r="B802" s="3496"/>
      <c r="C802" s="3496"/>
      <c r="D802" s="3496"/>
      <c r="E802" s="3496"/>
      <c r="F802" s="3496"/>
      <c r="G802" s="17"/>
      <c r="H802" s="3497"/>
      <c r="I802" s="3497"/>
      <c r="J802" s="242"/>
      <c r="K802" s="236"/>
      <c r="Q802" s="142"/>
      <c r="R802" s="142"/>
      <c r="S802" s="142"/>
      <c r="T802" s="142"/>
      <c r="U802" s="142"/>
      <c r="V802" s="142"/>
      <c r="W802" s="142"/>
      <c r="X802" s="142"/>
    </row>
    <row r="803" spans="1:24" ht="16.149999999999999" hidden="1" customHeight="1" x14ac:dyDescent="0.2">
      <c r="A803" s="17"/>
      <c r="B803" s="3496"/>
      <c r="C803" s="3496"/>
      <c r="D803" s="3496"/>
      <c r="E803" s="3496"/>
      <c r="F803" s="3496"/>
      <c r="G803" s="17"/>
      <c r="H803" s="3497"/>
      <c r="I803" s="3497"/>
      <c r="J803" s="242"/>
      <c r="K803" s="236"/>
      <c r="Q803" s="142"/>
      <c r="R803" s="142"/>
      <c r="S803" s="142"/>
      <c r="T803" s="142"/>
      <c r="U803" s="142"/>
      <c r="V803" s="142"/>
      <c r="W803" s="142"/>
      <c r="X803" s="142"/>
    </row>
    <row r="804" spans="1:24" ht="16.149999999999999" hidden="1" customHeight="1" x14ac:dyDescent="0.2">
      <c r="A804" s="17"/>
      <c r="B804" s="3496"/>
      <c r="C804" s="3496"/>
      <c r="D804" s="3496"/>
      <c r="E804" s="3496"/>
      <c r="F804" s="3496"/>
      <c r="G804" s="17"/>
      <c r="H804" s="3497"/>
      <c r="I804" s="3497"/>
      <c r="J804" s="242"/>
      <c r="K804" s="236"/>
      <c r="Q804" s="142"/>
      <c r="R804" s="142"/>
      <c r="S804" s="142"/>
      <c r="T804" s="142"/>
      <c r="U804" s="142"/>
      <c r="V804" s="142"/>
      <c r="W804" s="142"/>
      <c r="X804" s="142"/>
    </row>
    <row r="805" spans="1:24" ht="16.149999999999999" hidden="1" customHeight="1" x14ac:dyDescent="0.2">
      <c r="A805" s="17"/>
      <c r="B805" s="3496"/>
      <c r="C805" s="3496"/>
      <c r="D805" s="3496"/>
      <c r="E805" s="3496"/>
      <c r="F805" s="3496"/>
      <c r="G805" s="17"/>
      <c r="H805" s="3497"/>
      <c r="I805" s="3497"/>
      <c r="J805" s="242"/>
      <c r="K805" s="236"/>
      <c r="Q805" s="142"/>
      <c r="R805" s="142"/>
      <c r="S805" s="142"/>
      <c r="T805" s="142"/>
      <c r="U805" s="142"/>
      <c r="V805" s="142"/>
      <c r="W805" s="142"/>
      <c r="X805" s="142"/>
    </row>
    <row r="806" spans="1:24" ht="16.149999999999999" hidden="1" customHeight="1" x14ac:dyDescent="0.2">
      <c r="A806" s="17"/>
      <c r="B806" s="3496"/>
      <c r="C806" s="3496"/>
      <c r="D806" s="3496"/>
      <c r="E806" s="3496"/>
      <c r="F806" s="3496"/>
      <c r="G806" s="17"/>
      <c r="H806" s="3497"/>
      <c r="I806" s="3497"/>
      <c r="J806" s="242"/>
      <c r="K806" s="236"/>
      <c r="Q806" s="142"/>
      <c r="R806" s="142"/>
      <c r="S806" s="142"/>
      <c r="T806" s="142"/>
      <c r="U806" s="142"/>
      <c r="V806" s="142"/>
      <c r="W806" s="142"/>
      <c r="X806" s="142"/>
    </row>
    <row r="807" spans="1:24" ht="16.149999999999999" hidden="1" customHeight="1" x14ac:dyDescent="0.2">
      <c r="A807" s="17"/>
      <c r="B807" s="3496"/>
      <c r="C807" s="3496"/>
      <c r="D807" s="3496"/>
      <c r="E807" s="3496"/>
      <c r="F807" s="3496"/>
      <c r="G807" s="17"/>
      <c r="H807" s="3497"/>
      <c r="I807" s="3497"/>
      <c r="J807" s="242"/>
      <c r="K807" s="236"/>
      <c r="Q807" s="142"/>
      <c r="R807" s="142"/>
      <c r="S807" s="142"/>
      <c r="T807" s="142"/>
      <c r="U807" s="142"/>
      <c r="V807" s="142"/>
      <c r="W807" s="142"/>
      <c r="X807" s="142"/>
    </row>
    <row r="808" spans="1:24" ht="16.149999999999999" hidden="1" customHeight="1" x14ac:dyDescent="0.2">
      <c r="A808" s="17"/>
      <c r="B808" s="3496"/>
      <c r="C808" s="3496"/>
      <c r="D808" s="3496"/>
      <c r="E808" s="3496"/>
      <c r="F808" s="3496"/>
      <c r="G808" s="17"/>
      <c r="H808" s="3497"/>
      <c r="I808" s="3497"/>
      <c r="J808" s="242"/>
      <c r="K808" s="236"/>
      <c r="Q808" s="142"/>
      <c r="R808" s="142"/>
      <c r="S808" s="142"/>
      <c r="T808" s="142"/>
      <c r="U808" s="142"/>
      <c r="V808" s="142"/>
      <c r="W808" s="142"/>
      <c r="X808" s="142"/>
    </row>
    <row r="809" spans="1:24" ht="16.149999999999999" hidden="1" customHeight="1" x14ac:dyDescent="0.2">
      <c r="A809" s="17"/>
      <c r="B809" s="3496"/>
      <c r="C809" s="3496"/>
      <c r="D809" s="3496"/>
      <c r="E809" s="3496"/>
      <c r="F809" s="3496"/>
      <c r="G809" s="17"/>
      <c r="H809" s="3497"/>
      <c r="I809" s="3497"/>
      <c r="J809" s="242"/>
      <c r="K809" s="236"/>
      <c r="Q809" s="142"/>
      <c r="R809" s="142"/>
      <c r="S809" s="142"/>
      <c r="T809" s="142"/>
      <c r="U809" s="142"/>
      <c r="V809" s="142"/>
      <c r="W809" s="142"/>
      <c r="X809" s="142"/>
    </row>
    <row r="810" spans="1:24" ht="16.149999999999999" hidden="1" customHeight="1" x14ac:dyDescent="0.2">
      <c r="A810" s="17"/>
      <c r="B810" s="3496"/>
      <c r="C810" s="3496"/>
      <c r="D810" s="3496"/>
      <c r="E810" s="3496"/>
      <c r="F810" s="3496"/>
      <c r="G810" s="17"/>
      <c r="H810" s="3497"/>
      <c r="I810" s="3497"/>
      <c r="J810" s="242"/>
      <c r="K810" s="236"/>
      <c r="Q810" s="142"/>
      <c r="R810" s="142"/>
      <c r="S810" s="142"/>
      <c r="T810" s="142"/>
      <c r="U810" s="142"/>
      <c r="V810" s="142"/>
      <c r="W810" s="142"/>
      <c r="X810" s="142"/>
    </row>
    <row r="811" spans="1:24" ht="16.149999999999999" hidden="1" customHeight="1" x14ac:dyDescent="0.2">
      <c r="A811" s="17"/>
      <c r="B811" s="3496"/>
      <c r="C811" s="3496"/>
      <c r="D811" s="3496"/>
      <c r="E811" s="3496"/>
      <c r="F811" s="3496"/>
      <c r="G811" s="17"/>
      <c r="H811" s="3497"/>
      <c r="I811" s="3497"/>
      <c r="J811" s="242"/>
      <c r="K811" s="236"/>
      <c r="Q811" s="142"/>
      <c r="R811" s="142"/>
      <c r="S811" s="142"/>
      <c r="T811" s="142"/>
      <c r="U811" s="142"/>
      <c r="V811" s="142"/>
      <c r="W811" s="142"/>
      <c r="X811" s="142"/>
    </row>
    <row r="812" spans="1:24" ht="16.149999999999999" hidden="1" customHeight="1" x14ac:dyDescent="0.2">
      <c r="A812" s="17"/>
      <c r="B812" s="3496"/>
      <c r="C812" s="3496"/>
      <c r="D812" s="3496"/>
      <c r="E812" s="3496"/>
      <c r="F812" s="3496"/>
      <c r="G812" s="17"/>
      <c r="H812" s="3497"/>
      <c r="I812" s="3497"/>
      <c r="J812" s="242"/>
      <c r="K812" s="236"/>
      <c r="Q812" s="142"/>
      <c r="R812" s="142"/>
      <c r="S812" s="142"/>
      <c r="T812" s="142"/>
      <c r="U812" s="142"/>
      <c r="V812" s="142"/>
      <c r="W812" s="142"/>
      <c r="X812" s="142"/>
    </row>
    <row r="813" spans="1:24" ht="16.149999999999999" hidden="1" customHeight="1" x14ac:dyDescent="0.2">
      <c r="A813" s="17"/>
      <c r="B813" s="3496"/>
      <c r="C813" s="3496"/>
      <c r="D813" s="3496"/>
      <c r="E813" s="3496"/>
      <c r="F813" s="3496"/>
      <c r="G813" s="17"/>
      <c r="H813" s="3497"/>
      <c r="I813" s="3497"/>
      <c r="J813" s="242"/>
      <c r="K813" s="236"/>
      <c r="Q813" s="142"/>
      <c r="R813" s="142"/>
      <c r="S813" s="142"/>
      <c r="T813" s="142"/>
      <c r="U813" s="142"/>
      <c r="V813" s="142"/>
      <c r="W813" s="142"/>
      <c r="X813" s="142"/>
    </row>
    <row r="814" spans="1:24" ht="16.149999999999999" hidden="1" customHeight="1" x14ac:dyDescent="0.2">
      <c r="A814" s="17"/>
      <c r="B814" s="3496"/>
      <c r="C814" s="3496"/>
      <c r="D814" s="3496"/>
      <c r="E814" s="3496"/>
      <c r="F814" s="3496"/>
      <c r="G814" s="17"/>
      <c r="H814" s="3497"/>
      <c r="I814" s="3497"/>
      <c r="J814" s="242"/>
      <c r="K814" s="236"/>
      <c r="Q814" s="142"/>
      <c r="R814" s="142"/>
      <c r="S814" s="142"/>
      <c r="T814" s="142"/>
      <c r="U814" s="142"/>
      <c r="V814" s="142"/>
      <c r="W814" s="142"/>
      <c r="X814" s="142"/>
    </row>
    <row r="815" spans="1:24" ht="16.149999999999999" hidden="1" customHeight="1" x14ac:dyDescent="0.2">
      <c r="A815" s="17"/>
      <c r="B815" s="3496"/>
      <c r="C815" s="3496"/>
      <c r="D815" s="3496"/>
      <c r="E815" s="3496"/>
      <c r="F815" s="3496"/>
      <c r="G815" s="17"/>
      <c r="H815" s="3497"/>
      <c r="I815" s="3497"/>
      <c r="J815" s="242"/>
      <c r="K815" s="236"/>
      <c r="Q815" s="142"/>
      <c r="R815" s="142"/>
      <c r="S815" s="142"/>
      <c r="T815" s="142"/>
      <c r="U815" s="142"/>
      <c r="V815" s="142"/>
      <c r="W815" s="142"/>
      <c r="X815" s="142"/>
    </row>
    <row r="816" spans="1:24" ht="16.149999999999999" hidden="1" customHeight="1" x14ac:dyDescent="0.2">
      <c r="A816" s="17"/>
      <c r="B816" s="3496"/>
      <c r="C816" s="3496"/>
      <c r="D816" s="3496"/>
      <c r="E816" s="3496"/>
      <c r="F816" s="3496"/>
      <c r="G816" s="17"/>
      <c r="H816" s="3497"/>
      <c r="I816" s="3497"/>
      <c r="J816" s="242"/>
      <c r="K816" s="236"/>
      <c r="Q816" s="142"/>
      <c r="R816" s="142"/>
      <c r="S816" s="142"/>
      <c r="T816" s="142"/>
      <c r="U816" s="142"/>
      <c r="V816" s="142"/>
      <c r="W816" s="142"/>
      <c r="X816" s="142"/>
    </row>
    <row r="817" spans="1:24" ht="16.149999999999999" hidden="1" customHeight="1" x14ac:dyDescent="0.2">
      <c r="A817" s="17"/>
      <c r="B817" s="3496"/>
      <c r="C817" s="3496"/>
      <c r="D817" s="3496"/>
      <c r="E817" s="3496"/>
      <c r="F817" s="3496"/>
      <c r="G817" s="17"/>
      <c r="H817" s="3497"/>
      <c r="I817" s="3497"/>
      <c r="J817" s="242"/>
      <c r="K817" s="236"/>
      <c r="Q817" s="142"/>
      <c r="R817" s="142"/>
      <c r="S817" s="142"/>
      <c r="T817" s="142"/>
      <c r="U817" s="142"/>
      <c r="V817" s="142"/>
      <c r="W817" s="142"/>
      <c r="X817" s="142"/>
    </row>
    <row r="818" spans="1:24" ht="16.149999999999999" hidden="1" customHeight="1" x14ac:dyDescent="0.2">
      <c r="A818" s="17"/>
      <c r="B818" s="3496"/>
      <c r="C818" s="3496"/>
      <c r="D818" s="3496"/>
      <c r="E818" s="3496"/>
      <c r="F818" s="3496"/>
      <c r="G818" s="17"/>
      <c r="H818" s="3497"/>
      <c r="I818" s="3497"/>
      <c r="J818" s="242"/>
      <c r="K818" s="236"/>
      <c r="Q818" s="142"/>
      <c r="R818" s="142"/>
      <c r="S818" s="142"/>
      <c r="T818" s="142"/>
      <c r="U818" s="142"/>
      <c r="V818" s="142"/>
      <c r="W818" s="142"/>
      <c r="X818" s="142"/>
    </row>
    <row r="819" spans="1:24" ht="16.149999999999999" hidden="1" customHeight="1" x14ac:dyDescent="0.2">
      <c r="A819" s="17"/>
      <c r="B819" s="3496"/>
      <c r="C819" s="3496"/>
      <c r="D819" s="3496"/>
      <c r="E819" s="3496"/>
      <c r="F819" s="3496"/>
      <c r="G819" s="17"/>
      <c r="H819" s="3497"/>
      <c r="I819" s="3497"/>
      <c r="J819" s="242"/>
      <c r="K819" s="236"/>
      <c r="Q819" s="142"/>
      <c r="R819" s="142"/>
      <c r="S819" s="142"/>
      <c r="T819" s="142"/>
      <c r="U819" s="142"/>
      <c r="V819" s="142"/>
      <c r="W819" s="142"/>
      <c r="X819" s="142"/>
    </row>
    <row r="820" spans="1:24" ht="16.149999999999999" hidden="1" customHeight="1" x14ac:dyDescent="0.2">
      <c r="A820" s="17"/>
      <c r="B820" s="3496"/>
      <c r="C820" s="3496"/>
      <c r="D820" s="3496"/>
      <c r="E820" s="3496"/>
      <c r="F820" s="3496"/>
      <c r="G820" s="17"/>
      <c r="H820" s="3497"/>
      <c r="I820" s="3497"/>
      <c r="J820" s="242"/>
      <c r="K820" s="236"/>
      <c r="Q820" s="142"/>
      <c r="R820" s="142"/>
      <c r="S820" s="142"/>
      <c r="T820" s="142"/>
      <c r="U820" s="142"/>
      <c r="V820" s="142"/>
      <c r="W820" s="142"/>
      <c r="X820" s="142"/>
    </row>
    <row r="821" spans="1:24" ht="16.149999999999999" hidden="1" customHeight="1" x14ac:dyDescent="0.2">
      <c r="A821" s="17"/>
      <c r="B821" s="3496"/>
      <c r="C821" s="3496"/>
      <c r="D821" s="3496"/>
      <c r="E821" s="3496"/>
      <c r="F821" s="3496"/>
      <c r="G821" s="17"/>
      <c r="H821" s="3497"/>
      <c r="I821" s="3497"/>
      <c r="J821" s="242"/>
      <c r="K821" s="236"/>
      <c r="Q821" s="142"/>
      <c r="R821" s="142"/>
      <c r="S821" s="142"/>
      <c r="T821" s="142"/>
      <c r="U821" s="142"/>
      <c r="V821" s="142"/>
      <c r="W821" s="142"/>
      <c r="X821" s="142"/>
    </row>
    <row r="822" spans="1:24" ht="16.149999999999999" hidden="1" customHeight="1" x14ac:dyDescent="0.2">
      <c r="A822" s="17"/>
      <c r="B822" s="3496"/>
      <c r="C822" s="3496"/>
      <c r="D822" s="3496"/>
      <c r="E822" s="3496"/>
      <c r="F822" s="3496"/>
      <c r="G822" s="17"/>
      <c r="H822" s="3497"/>
      <c r="I822" s="3497"/>
      <c r="J822" s="242"/>
      <c r="K822" s="236"/>
      <c r="Q822" s="142"/>
      <c r="R822" s="142"/>
      <c r="S822" s="142"/>
      <c r="T822" s="142"/>
      <c r="U822" s="142"/>
      <c r="V822" s="142"/>
      <c r="W822" s="142"/>
      <c r="X822" s="142"/>
    </row>
    <row r="823" spans="1:24" ht="16.149999999999999" hidden="1" customHeight="1" x14ac:dyDescent="0.2">
      <c r="A823" s="17"/>
      <c r="B823" s="3496"/>
      <c r="C823" s="3496"/>
      <c r="D823" s="3496"/>
      <c r="E823" s="3496"/>
      <c r="F823" s="3496"/>
      <c r="G823" s="17"/>
      <c r="H823" s="3497"/>
      <c r="I823" s="3497"/>
      <c r="J823" s="242"/>
      <c r="K823" s="236"/>
      <c r="Q823" s="142"/>
      <c r="R823" s="142"/>
      <c r="S823" s="142"/>
      <c r="T823" s="142"/>
      <c r="U823" s="142"/>
      <c r="V823" s="142"/>
      <c r="W823" s="142"/>
      <c r="X823" s="142"/>
    </row>
    <row r="824" spans="1:24" ht="16.149999999999999" hidden="1" customHeight="1" x14ac:dyDescent="0.2">
      <c r="A824" s="17"/>
      <c r="B824" s="3496"/>
      <c r="C824" s="3496"/>
      <c r="D824" s="3496"/>
      <c r="E824" s="3496"/>
      <c r="F824" s="3496"/>
      <c r="G824" s="17"/>
      <c r="H824" s="3497"/>
      <c r="I824" s="3497"/>
      <c r="J824" s="242"/>
      <c r="K824" s="236"/>
      <c r="Q824" s="142"/>
      <c r="R824" s="142"/>
      <c r="S824" s="142"/>
      <c r="T824" s="142"/>
      <c r="U824" s="142"/>
      <c r="V824" s="142"/>
      <c r="W824" s="142"/>
      <c r="X824" s="142"/>
    </row>
    <row r="825" spans="1:24" ht="16.149999999999999" hidden="1" customHeight="1" x14ac:dyDescent="0.2">
      <c r="A825" s="17"/>
      <c r="B825" s="3496"/>
      <c r="C825" s="3496"/>
      <c r="D825" s="3496"/>
      <c r="E825" s="3496"/>
      <c r="F825" s="3496"/>
      <c r="G825" s="17"/>
      <c r="H825" s="3497"/>
      <c r="I825" s="3497"/>
      <c r="J825" s="242"/>
      <c r="K825" s="236"/>
      <c r="Q825" s="142"/>
      <c r="R825" s="142"/>
      <c r="S825" s="142"/>
      <c r="T825" s="142"/>
      <c r="U825" s="142"/>
      <c r="V825" s="142"/>
      <c r="W825" s="142"/>
      <c r="X825" s="142"/>
    </row>
    <row r="826" spans="1:24" ht="16.149999999999999" hidden="1" customHeight="1" x14ac:dyDescent="0.2">
      <c r="A826" s="17"/>
      <c r="B826" s="3496"/>
      <c r="C826" s="3496"/>
      <c r="D826" s="3496"/>
      <c r="E826" s="3496"/>
      <c r="F826" s="3496"/>
      <c r="G826" s="17"/>
      <c r="H826" s="3497"/>
      <c r="I826" s="3497"/>
      <c r="J826" s="242"/>
      <c r="K826" s="236"/>
      <c r="Q826" s="142"/>
      <c r="R826" s="142"/>
      <c r="S826" s="142"/>
      <c r="T826" s="142"/>
      <c r="U826" s="142"/>
      <c r="V826" s="142"/>
      <c r="W826" s="142"/>
      <c r="X826" s="142"/>
    </row>
    <row r="827" spans="1:24" ht="16.149999999999999" hidden="1" customHeight="1" x14ac:dyDescent="0.2">
      <c r="A827" s="17"/>
      <c r="B827" s="3496"/>
      <c r="C827" s="3496"/>
      <c r="D827" s="3496"/>
      <c r="E827" s="3496"/>
      <c r="F827" s="3496"/>
      <c r="G827" s="17"/>
      <c r="H827" s="3497"/>
      <c r="I827" s="3497"/>
      <c r="J827" s="242"/>
      <c r="K827" s="236"/>
      <c r="Q827" s="142"/>
      <c r="R827" s="142"/>
      <c r="S827" s="142"/>
      <c r="T827" s="142"/>
      <c r="U827" s="142"/>
      <c r="V827" s="142"/>
      <c r="W827" s="142"/>
      <c r="X827" s="142"/>
    </row>
    <row r="828" spans="1:24" ht="16.149999999999999" hidden="1" customHeight="1" x14ac:dyDescent="0.2">
      <c r="A828" s="17"/>
      <c r="B828" s="3496"/>
      <c r="C828" s="3496"/>
      <c r="D828" s="3496"/>
      <c r="E828" s="3496"/>
      <c r="F828" s="3496"/>
      <c r="G828" s="17"/>
      <c r="H828" s="3497"/>
      <c r="I828" s="3497"/>
      <c r="J828" s="242"/>
      <c r="K828" s="236"/>
      <c r="Q828" s="142"/>
      <c r="R828" s="142"/>
      <c r="S828" s="142"/>
      <c r="T828" s="142"/>
      <c r="U828" s="142"/>
      <c r="V828" s="142"/>
      <c r="W828" s="142"/>
      <c r="X828" s="142"/>
    </row>
    <row r="829" spans="1:24" ht="16.149999999999999" hidden="1" customHeight="1" x14ac:dyDescent="0.2">
      <c r="A829" s="17"/>
      <c r="B829" s="3496"/>
      <c r="C829" s="3496"/>
      <c r="D829" s="3496"/>
      <c r="E829" s="3496"/>
      <c r="F829" s="3496"/>
      <c r="G829" s="17"/>
      <c r="H829" s="3497"/>
      <c r="I829" s="3497"/>
      <c r="J829" s="242"/>
      <c r="K829" s="236"/>
      <c r="Q829" s="142"/>
      <c r="R829" s="142"/>
      <c r="S829" s="142"/>
      <c r="T829" s="142"/>
      <c r="U829" s="142"/>
      <c r="V829" s="142"/>
      <c r="W829" s="142"/>
      <c r="X829" s="142"/>
    </row>
    <row r="830" spans="1:24" ht="16.149999999999999" hidden="1" customHeight="1" x14ac:dyDescent="0.2">
      <c r="A830" s="17"/>
      <c r="B830" s="3496"/>
      <c r="C830" s="3496"/>
      <c r="D830" s="3496"/>
      <c r="E830" s="3496"/>
      <c r="F830" s="3496"/>
      <c r="G830" s="17"/>
      <c r="H830" s="3497"/>
      <c r="I830" s="3497"/>
      <c r="J830" s="242"/>
      <c r="K830" s="236"/>
      <c r="Q830" s="142"/>
      <c r="R830" s="142"/>
      <c r="S830" s="142"/>
      <c r="T830" s="142"/>
      <c r="U830" s="142"/>
      <c r="V830" s="142"/>
      <c r="W830" s="142"/>
      <c r="X830" s="142"/>
    </row>
    <row r="831" spans="1:24" ht="16.149999999999999" hidden="1" customHeight="1" x14ac:dyDescent="0.2">
      <c r="A831" s="17"/>
      <c r="B831" s="3496"/>
      <c r="C831" s="3496"/>
      <c r="D831" s="3496"/>
      <c r="E831" s="3496"/>
      <c r="F831" s="3496"/>
      <c r="G831" s="17"/>
      <c r="H831" s="3497"/>
      <c r="I831" s="3497"/>
      <c r="J831" s="242"/>
      <c r="K831" s="236"/>
      <c r="Q831" s="142"/>
      <c r="R831" s="142"/>
      <c r="S831" s="142"/>
      <c r="T831" s="142"/>
      <c r="U831" s="142"/>
      <c r="V831" s="142"/>
      <c r="W831" s="142"/>
      <c r="X831" s="142"/>
    </row>
    <row r="832" spans="1:24" ht="16.149999999999999" hidden="1" customHeight="1" x14ac:dyDescent="0.2">
      <c r="A832" s="17"/>
      <c r="B832" s="3496"/>
      <c r="C832" s="3496"/>
      <c r="D832" s="3496"/>
      <c r="E832" s="3496"/>
      <c r="F832" s="3496"/>
      <c r="G832" s="17"/>
      <c r="H832" s="3497"/>
      <c r="I832" s="3497"/>
      <c r="J832" s="242"/>
      <c r="K832" s="236"/>
      <c r="Q832" s="142"/>
      <c r="R832" s="142"/>
      <c r="S832" s="142"/>
      <c r="T832" s="142"/>
      <c r="U832" s="142"/>
      <c r="V832" s="142"/>
      <c r="W832" s="142"/>
      <c r="X832" s="142"/>
    </row>
    <row r="833" spans="1:24" ht="16.149999999999999" hidden="1" customHeight="1" x14ac:dyDescent="0.2">
      <c r="A833" s="17"/>
      <c r="B833" s="3496"/>
      <c r="C833" s="3496"/>
      <c r="D833" s="3496"/>
      <c r="E833" s="3496"/>
      <c r="F833" s="3496"/>
      <c r="G833" s="17"/>
      <c r="H833" s="3497"/>
      <c r="I833" s="3497"/>
      <c r="J833" s="242"/>
      <c r="K833" s="236"/>
      <c r="Q833" s="142"/>
      <c r="R833" s="142"/>
      <c r="S833" s="142"/>
      <c r="T833" s="142"/>
      <c r="U833" s="142"/>
      <c r="V833" s="142"/>
      <c r="W833" s="142"/>
      <c r="X833" s="142"/>
    </row>
    <row r="834" spans="1:24" ht="16.149999999999999" hidden="1" customHeight="1" x14ac:dyDescent="0.2">
      <c r="A834" s="17"/>
      <c r="B834" s="3496"/>
      <c r="C834" s="3496"/>
      <c r="D834" s="3496"/>
      <c r="E834" s="3496"/>
      <c r="F834" s="3496"/>
      <c r="G834" s="17"/>
      <c r="H834" s="3497"/>
      <c r="I834" s="3497"/>
      <c r="J834" s="242"/>
      <c r="K834" s="236"/>
      <c r="Q834" s="142"/>
      <c r="R834" s="142"/>
      <c r="S834" s="142"/>
      <c r="T834" s="142"/>
      <c r="U834" s="142"/>
      <c r="V834" s="142"/>
      <c r="W834" s="142"/>
      <c r="X834" s="142"/>
    </row>
    <row r="835" spans="1:24" ht="16.149999999999999" hidden="1" customHeight="1" x14ac:dyDescent="0.2">
      <c r="A835" s="17"/>
      <c r="B835" s="3496"/>
      <c r="C835" s="3496"/>
      <c r="D835" s="3496"/>
      <c r="E835" s="3496"/>
      <c r="F835" s="3496"/>
      <c r="G835" s="17"/>
      <c r="H835" s="3497"/>
      <c r="I835" s="3497"/>
      <c r="J835" s="242"/>
      <c r="K835" s="236"/>
      <c r="Q835" s="142"/>
      <c r="R835" s="142"/>
      <c r="S835" s="142"/>
      <c r="T835" s="142"/>
      <c r="U835" s="142"/>
      <c r="V835" s="142"/>
      <c r="W835" s="142"/>
      <c r="X835" s="142"/>
    </row>
    <row r="836" spans="1:24" ht="16.149999999999999" hidden="1" customHeight="1" x14ac:dyDescent="0.2">
      <c r="A836" s="17"/>
      <c r="B836" s="3496"/>
      <c r="C836" s="3496"/>
      <c r="D836" s="3496"/>
      <c r="E836" s="3496"/>
      <c r="F836" s="3496"/>
      <c r="G836" s="17"/>
      <c r="H836" s="3497"/>
      <c r="I836" s="3497"/>
      <c r="J836" s="242"/>
      <c r="K836" s="236"/>
      <c r="Q836" s="142"/>
      <c r="R836" s="142"/>
      <c r="S836" s="142"/>
      <c r="T836" s="142"/>
      <c r="U836" s="142"/>
      <c r="V836" s="142"/>
      <c r="W836" s="142"/>
      <c r="X836" s="142"/>
    </row>
    <row r="837" spans="1:24" ht="16.149999999999999" hidden="1" customHeight="1" x14ac:dyDescent="0.2">
      <c r="A837" s="17"/>
      <c r="B837" s="3496"/>
      <c r="C837" s="3496"/>
      <c r="D837" s="3496"/>
      <c r="E837" s="3496"/>
      <c r="F837" s="3496"/>
      <c r="G837" s="17"/>
      <c r="H837" s="3497"/>
      <c r="I837" s="3497"/>
      <c r="J837" s="242"/>
      <c r="K837" s="236"/>
      <c r="Q837" s="142"/>
      <c r="R837" s="142"/>
      <c r="S837" s="142"/>
      <c r="T837" s="142"/>
      <c r="U837" s="142"/>
      <c r="V837" s="142"/>
      <c r="W837" s="142"/>
      <c r="X837" s="142"/>
    </row>
    <row r="838" spans="1:24" ht="16.149999999999999" hidden="1" customHeight="1" x14ac:dyDescent="0.2">
      <c r="A838" s="17"/>
      <c r="B838" s="3496"/>
      <c r="C838" s="3496"/>
      <c r="D838" s="3496"/>
      <c r="E838" s="3496"/>
      <c r="F838" s="3496"/>
      <c r="G838" s="17"/>
      <c r="H838" s="3497"/>
      <c r="I838" s="3497"/>
      <c r="J838" s="242"/>
      <c r="K838" s="236"/>
      <c r="Q838" s="142"/>
      <c r="R838" s="142"/>
      <c r="S838" s="142"/>
      <c r="T838" s="142"/>
      <c r="U838" s="142"/>
      <c r="V838" s="142"/>
      <c r="W838" s="142"/>
      <c r="X838" s="142"/>
    </row>
    <row r="839" spans="1:24" ht="16.149999999999999" hidden="1" customHeight="1" x14ac:dyDescent="0.2">
      <c r="A839" s="17"/>
      <c r="B839" s="3496"/>
      <c r="C839" s="3496"/>
      <c r="D839" s="3496"/>
      <c r="E839" s="3496"/>
      <c r="F839" s="3496"/>
      <c r="G839" s="17"/>
      <c r="H839" s="3497"/>
      <c r="I839" s="3497"/>
      <c r="J839" s="242"/>
      <c r="K839" s="236"/>
      <c r="Q839" s="142"/>
      <c r="R839" s="142"/>
      <c r="S839" s="142"/>
      <c r="T839" s="142"/>
      <c r="U839" s="142"/>
      <c r="V839" s="142"/>
      <c r="W839" s="142"/>
      <c r="X839" s="142"/>
    </row>
    <row r="840" spans="1:24" ht="16.149999999999999" hidden="1" customHeight="1" x14ac:dyDescent="0.2">
      <c r="A840" s="17"/>
      <c r="B840" s="3496"/>
      <c r="C840" s="3496"/>
      <c r="D840" s="3496"/>
      <c r="E840" s="3496"/>
      <c r="F840" s="3496"/>
      <c r="G840" s="17"/>
      <c r="H840" s="3497"/>
      <c r="I840" s="3497"/>
      <c r="J840" s="242"/>
      <c r="K840" s="236"/>
      <c r="Q840" s="142"/>
      <c r="R840" s="142"/>
      <c r="S840" s="142"/>
      <c r="T840" s="142"/>
      <c r="U840" s="142"/>
      <c r="V840" s="142"/>
      <c r="W840" s="142"/>
      <c r="X840" s="142"/>
    </row>
    <row r="841" spans="1:24" ht="16.149999999999999" hidden="1" customHeight="1" x14ac:dyDescent="0.2">
      <c r="A841" s="17"/>
      <c r="B841" s="3496"/>
      <c r="C841" s="3496"/>
      <c r="D841" s="3496"/>
      <c r="E841" s="3496"/>
      <c r="F841" s="3496"/>
      <c r="G841" s="17"/>
      <c r="H841" s="3497"/>
      <c r="I841" s="3497"/>
      <c r="J841" s="242"/>
      <c r="K841" s="236"/>
      <c r="Q841" s="142"/>
      <c r="R841" s="142"/>
      <c r="S841" s="142"/>
      <c r="T841" s="142"/>
      <c r="U841" s="142"/>
      <c r="V841" s="142"/>
      <c r="W841" s="142"/>
      <c r="X841" s="142"/>
    </row>
    <row r="842" spans="1:24" ht="16.149999999999999" hidden="1" customHeight="1" x14ac:dyDescent="0.2">
      <c r="A842" s="17"/>
      <c r="B842" s="3496"/>
      <c r="C842" s="3496"/>
      <c r="D842" s="3496"/>
      <c r="E842" s="3496"/>
      <c r="F842" s="3496"/>
      <c r="G842" s="17"/>
      <c r="H842" s="3497"/>
      <c r="I842" s="3497"/>
      <c r="J842" s="242"/>
      <c r="K842" s="236"/>
      <c r="Q842" s="142"/>
      <c r="R842" s="142"/>
      <c r="S842" s="142"/>
      <c r="T842" s="142"/>
      <c r="U842" s="142"/>
      <c r="V842" s="142"/>
      <c r="W842" s="142"/>
      <c r="X842" s="142"/>
    </row>
    <row r="843" spans="1:24" ht="16.149999999999999" hidden="1" customHeight="1" x14ac:dyDescent="0.2">
      <c r="A843" s="17"/>
      <c r="B843" s="3496"/>
      <c r="C843" s="3496"/>
      <c r="D843" s="3496"/>
      <c r="E843" s="3496"/>
      <c r="F843" s="3496"/>
      <c r="G843" s="17"/>
      <c r="H843" s="3497"/>
      <c r="I843" s="3497"/>
      <c r="J843" s="242"/>
      <c r="K843" s="236"/>
      <c r="Q843" s="142"/>
      <c r="R843" s="142"/>
      <c r="S843" s="142"/>
      <c r="T843" s="142"/>
      <c r="U843" s="142"/>
      <c r="V843" s="142"/>
      <c r="W843" s="142"/>
      <c r="X843" s="142"/>
    </row>
    <row r="844" spans="1:24" ht="16.149999999999999" hidden="1" customHeight="1" x14ac:dyDescent="0.2">
      <c r="A844" s="17"/>
      <c r="B844" s="3496"/>
      <c r="C844" s="3496"/>
      <c r="D844" s="3496"/>
      <c r="E844" s="3496"/>
      <c r="F844" s="3496"/>
      <c r="G844" s="17"/>
      <c r="H844" s="3497"/>
      <c r="I844" s="3497"/>
      <c r="J844" s="242"/>
      <c r="K844" s="236"/>
      <c r="Q844" s="142"/>
      <c r="R844" s="142"/>
      <c r="S844" s="142"/>
      <c r="T844" s="142"/>
      <c r="U844" s="142"/>
      <c r="V844" s="142"/>
      <c r="W844" s="142"/>
      <c r="X844" s="142"/>
    </row>
    <row r="845" spans="1:24" ht="16.149999999999999" hidden="1" customHeight="1" x14ac:dyDescent="0.2">
      <c r="A845" s="17"/>
      <c r="B845" s="3496"/>
      <c r="C845" s="3496"/>
      <c r="D845" s="3496"/>
      <c r="E845" s="3496"/>
      <c r="F845" s="3496"/>
      <c r="G845" s="17"/>
      <c r="H845" s="3497"/>
      <c r="I845" s="3497"/>
      <c r="J845" s="242"/>
      <c r="K845" s="236"/>
      <c r="Q845" s="142"/>
      <c r="R845" s="142"/>
      <c r="S845" s="142"/>
      <c r="T845" s="142"/>
      <c r="U845" s="142"/>
      <c r="V845" s="142"/>
      <c r="W845" s="142"/>
      <c r="X845" s="142"/>
    </row>
    <row r="846" spans="1:24" ht="16.149999999999999" hidden="1" customHeight="1" x14ac:dyDescent="0.2">
      <c r="A846" s="17"/>
      <c r="B846" s="3496"/>
      <c r="C846" s="3496"/>
      <c r="D846" s="3496"/>
      <c r="E846" s="3496"/>
      <c r="F846" s="3496"/>
      <c r="G846" s="17"/>
      <c r="H846" s="3497"/>
      <c r="I846" s="3497"/>
      <c r="J846" s="242"/>
      <c r="K846" s="236"/>
      <c r="Q846" s="142"/>
      <c r="R846" s="142"/>
      <c r="S846" s="142"/>
      <c r="T846" s="142"/>
      <c r="U846" s="142"/>
      <c r="V846" s="142"/>
      <c r="W846" s="142"/>
      <c r="X846" s="142"/>
    </row>
    <row r="847" spans="1:24" ht="16.149999999999999" hidden="1" customHeight="1" x14ac:dyDescent="0.2">
      <c r="A847" s="17"/>
      <c r="B847" s="3496"/>
      <c r="C847" s="3496"/>
      <c r="D847" s="3496"/>
      <c r="E847" s="3496"/>
      <c r="F847" s="3496"/>
      <c r="G847" s="17"/>
      <c r="H847" s="3497"/>
      <c r="I847" s="3497"/>
      <c r="J847" s="242"/>
      <c r="K847" s="236"/>
      <c r="Q847" s="142"/>
      <c r="R847" s="142"/>
      <c r="S847" s="142"/>
      <c r="T847" s="142"/>
      <c r="U847" s="142"/>
      <c r="V847" s="142"/>
      <c r="W847" s="142"/>
      <c r="X847" s="142"/>
    </row>
    <row r="848" spans="1:24" ht="16.149999999999999" hidden="1" customHeight="1" x14ac:dyDescent="0.2">
      <c r="A848" s="17"/>
      <c r="B848" s="3496"/>
      <c r="C848" s="3496"/>
      <c r="D848" s="3496"/>
      <c r="E848" s="3496"/>
      <c r="F848" s="3496"/>
      <c r="G848" s="17"/>
      <c r="H848" s="3497"/>
      <c r="I848" s="3497"/>
      <c r="J848" s="242"/>
      <c r="K848" s="236"/>
      <c r="Q848" s="142"/>
      <c r="R848" s="142"/>
      <c r="S848" s="142"/>
      <c r="T848" s="142"/>
      <c r="U848" s="142"/>
      <c r="V848" s="142"/>
      <c r="W848" s="142"/>
      <c r="X848" s="142"/>
    </row>
    <row r="849" spans="1:24" ht="16.149999999999999" hidden="1" customHeight="1" x14ac:dyDescent="0.2">
      <c r="A849" s="17"/>
      <c r="B849" s="3496"/>
      <c r="C849" s="3496"/>
      <c r="D849" s="3496"/>
      <c r="E849" s="3496"/>
      <c r="F849" s="3496"/>
      <c r="G849" s="17"/>
      <c r="H849" s="3497"/>
      <c r="I849" s="3497"/>
      <c r="J849" s="242"/>
      <c r="K849" s="236"/>
      <c r="Q849" s="142"/>
      <c r="R849" s="142"/>
      <c r="S849" s="142"/>
      <c r="T849" s="142"/>
      <c r="U849" s="142"/>
      <c r="V849" s="142"/>
      <c r="W849" s="142"/>
      <c r="X849" s="142"/>
    </row>
    <row r="850" spans="1:24" ht="16.149999999999999" hidden="1" customHeight="1" x14ac:dyDescent="0.2">
      <c r="A850" s="17"/>
      <c r="B850" s="3496"/>
      <c r="C850" s="3496"/>
      <c r="D850" s="3496"/>
      <c r="E850" s="3496"/>
      <c r="F850" s="3496"/>
      <c r="G850" s="17"/>
      <c r="H850" s="3497"/>
      <c r="I850" s="3497"/>
      <c r="J850" s="242"/>
      <c r="K850" s="236"/>
      <c r="Q850" s="142"/>
      <c r="R850" s="142"/>
      <c r="S850" s="142"/>
      <c r="T850" s="142"/>
      <c r="U850" s="142"/>
      <c r="V850" s="142"/>
      <c r="W850" s="142"/>
      <c r="X850" s="142"/>
    </row>
    <row r="851" spans="1:24" ht="16.149999999999999" hidden="1" customHeight="1" x14ac:dyDescent="0.2">
      <c r="A851" s="17"/>
      <c r="B851" s="3496"/>
      <c r="C851" s="3496"/>
      <c r="D851" s="3496"/>
      <c r="E851" s="3496"/>
      <c r="F851" s="3496"/>
      <c r="G851" s="17"/>
      <c r="H851" s="3497"/>
      <c r="I851" s="3497"/>
      <c r="J851" s="242"/>
      <c r="K851" s="236"/>
      <c r="Q851" s="142"/>
      <c r="R851" s="142"/>
      <c r="S851" s="142"/>
      <c r="T851" s="142"/>
      <c r="U851" s="142"/>
      <c r="V851" s="142"/>
      <c r="W851" s="142"/>
      <c r="X851" s="142"/>
    </row>
    <row r="852" spans="1:24" ht="16.149999999999999" hidden="1" customHeight="1" x14ac:dyDescent="0.2">
      <c r="A852" s="17"/>
      <c r="B852" s="3496"/>
      <c r="C852" s="3496"/>
      <c r="D852" s="3496"/>
      <c r="E852" s="3496"/>
      <c r="F852" s="3496"/>
      <c r="G852" s="17"/>
      <c r="H852" s="3497"/>
      <c r="I852" s="3497"/>
      <c r="J852" s="242"/>
      <c r="K852" s="236"/>
      <c r="Q852" s="142"/>
      <c r="R852" s="142"/>
      <c r="S852" s="142"/>
      <c r="T852" s="142"/>
      <c r="U852" s="142"/>
      <c r="V852" s="142"/>
      <c r="W852" s="142"/>
      <c r="X852" s="142"/>
    </row>
    <row r="853" spans="1:24" ht="16.149999999999999" hidden="1" customHeight="1" x14ac:dyDescent="0.2">
      <c r="A853" s="17"/>
      <c r="B853" s="3496"/>
      <c r="C853" s="3496"/>
      <c r="D853" s="3496"/>
      <c r="E853" s="3496"/>
      <c r="F853" s="3496"/>
      <c r="G853" s="17"/>
      <c r="H853" s="3497"/>
      <c r="I853" s="3497"/>
      <c r="J853" s="242"/>
      <c r="K853" s="236"/>
      <c r="Q853" s="142"/>
      <c r="R853" s="142"/>
      <c r="S853" s="142"/>
      <c r="T853" s="142"/>
      <c r="U853" s="142"/>
      <c r="V853" s="142"/>
      <c r="W853" s="142"/>
      <c r="X853" s="142"/>
    </row>
    <row r="854" spans="1:24" ht="16.149999999999999" hidden="1" customHeight="1" x14ac:dyDescent="0.2">
      <c r="A854" s="17"/>
      <c r="B854" s="3496"/>
      <c r="C854" s="3496"/>
      <c r="D854" s="3496"/>
      <c r="E854" s="3496"/>
      <c r="F854" s="3496"/>
      <c r="G854" s="17"/>
      <c r="H854" s="3497"/>
      <c r="I854" s="3497"/>
      <c r="J854" s="242"/>
      <c r="K854" s="236"/>
      <c r="Q854" s="142"/>
      <c r="R854" s="142"/>
      <c r="S854" s="142"/>
      <c r="T854" s="142"/>
      <c r="U854" s="142"/>
      <c r="V854" s="142"/>
      <c r="W854" s="142"/>
      <c r="X854" s="142"/>
    </row>
    <row r="855" spans="1:24" ht="16.149999999999999" hidden="1" customHeight="1" x14ac:dyDescent="0.2">
      <c r="A855" s="17"/>
      <c r="B855" s="3496"/>
      <c r="C855" s="3496"/>
      <c r="D855" s="3496"/>
      <c r="E855" s="3496"/>
      <c r="F855" s="3496"/>
      <c r="G855" s="17"/>
      <c r="H855" s="3497"/>
      <c r="I855" s="3497"/>
      <c r="J855" s="242"/>
      <c r="K855" s="236"/>
      <c r="Q855" s="142"/>
      <c r="R855" s="142"/>
      <c r="S855" s="142"/>
      <c r="T855" s="142"/>
      <c r="U855" s="142"/>
      <c r="V855" s="142"/>
      <c r="W855" s="142"/>
      <c r="X855" s="142"/>
    </row>
    <row r="856" spans="1:24" ht="16.149999999999999" hidden="1" customHeight="1" x14ac:dyDescent="0.2">
      <c r="A856" s="17"/>
      <c r="B856" s="3496"/>
      <c r="C856" s="3496"/>
      <c r="D856" s="3496"/>
      <c r="E856" s="3496"/>
      <c r="F856" s="3496"/>
      <c r="G856" s="17"/>
      <c r="H856" s="3497"/>
      <c r="I856" s="3497"/>
      <c r="J856" s="242"/>
      <c r="K856" s="236"/>
      <c r="Q856" s="142"/>
      <c r="R856" s="142"/>
      <c r="S856" s="142"/>
      <c r="T856" s="142"/>
      <c r="U856" s="142"/>
      <c r="V856" s="142"/>
      <c r="W856" s="142"/>
      <c r="X856" s="142"/>
    </row>
    <row r="857" spans="1:24" ht="16.149999999999999" hidden="1" customHeight="1" x14ac:dyDescent="0.2">
      <c r="A857" s="17"/>
      <c r="B857" s="3496"/>
      <c r="C857" s="3496"/>
      <c r="D857" s="3496"/>
      <c r="E857" s="3496"/>
      <c r="F857" s="3496"/>
      <c r="G857" s="17"/>
      <c r="H857" s="3497"/>
      <c r="I857" s="3497"/>
      <c r="J857" s="242"/>
      <c r="K857" s="236"/>
      <c r="Q857" s="142"/>
      <c r="R857" s="142"/>
      <c r="S857" s="142"/>
      <c r="T857" s="142"/>
      <c r="U857" s="142"/>
      <c r="V857" s="142"/>
      <c r="W857" s="142"/>
      <c r="X857" s="142"/>
    </row>
    <row r="858" spans="1:24" ht="16.149999999999999" hidden="1" customHeight="1" x14ac:dyDescent="0.2">
      <c r="A858" s="17"/>
      <c r="B858" s="3496"/>
      <c r="C858" s="3496"/>
      <c r="D858" s="3496"/>
      <c r="E858" s="3496"/>
      <c r="F858" s="3496"/>
      <c r="G858" s="17"/>
      <c r="H858" s="3497"/>
      <c r="I858" s="3497"/>
      <c r="J858" s="242"/>
      <c r="K858" s="236"/>
      <c r="Q858" s="142"/>
      <c r="R858" s="142"/>
      <c r="S858" s="142"/>
      <c r="T858" s="142"/>
      <c r="U858" s="142"/>
      <c r="V858" s="142"/>
      <c r="W858" s="142"/>
      <c r="X858" s="142"/>
    </row>
    <row r="859" spans="1:24" ht="16.149999999999999" hidden="1" customHeight="1" x14ac:dyDescent="0.2">
      <c r="A859" s="17"/>
      <c r="B859" s="3496"/>
      <c r="C859" s="3496"/>
      <c r="D859" s="3496"/>
      <c r="E859" s="3496"/>
      <c r="F859" s="3496"/>
      <c r="G859" s="17"/>
      <c r="H859" s="3497"/>
      <c r="I859" s="3497"/>
      <c r="J859" s="242"/>
      <c r="K859" s="236"/>
      <c r="Q859" s="142"/>
      <c r="R859" s="142"/>
      <c r="S859" s="142"/>
      <c r="T859" s="142"/>
      <c r="U859" s="142"/>
      <c r="V859" s="142"/>
      <c r="W859" s="142"/>
      <c r="X859" s="142"/>
    </row>
    <row r="860" spans="1:24" ht="16.149999999999999" hidden="1" customHeight="1" x14ac:dyDescent="0.2">
      <c r="A860" s="17"/>
      <c r="B860" s="3496"/>
      <c r="C860" s="3496"/>
      <c r="D860" s="3496"/>
      <c r="E860" s="3496"/>
      <c r="F860" s="3496"/>
      <c r="G860" s="17"/>
      <c r="H860" s="3497"/>
      <c r="I860" s="3497"/>
      <c r="J860" s="242"/>
      <c r="K860" s="236"/>
      <c r="Q860" s="142"/>
      <c r="R860" s="142"/>
      <c r="S860" s="142"/>
      <c r="T860" s="142"/>
      <c r="U860" s="142"/>
      <c r="V860" s="142"/>
      <c r="W860" s="142"/>
      <c r="X860" s="142"/>
    </row>
    <row r="861" spans="1:24" ht="16.149999999999999" hidden="1" customHeight="1" x14ac:dyDescent="0.2">
      <c r="A861" s="17"/>
      <c r="B861" s="3496"/>
      <c r="C861" s="3496"/>
      <c r="D861" s="3496"/>
      <c r="E861" s="3496"/>
      <c r="F861" s="3496"/>
      <c r="G861" s="17"/>
      <c r="H861" s="3497"/>
      <c r="I861" s="3497"/>
      <c r="J861" s="242"/>
      <c r="K861" s="236"/>
      <c r="Q861" s="142"/>
      <c r="R861" s="142"/>
      <c r="S861" s="142"/>
      <c r="T861" s="142"/>
      <c r="U861" s="142"/>
      <c r="V861" s="142"/>
      <c r="W861" s="142"/>
      <c r="X861" s="142"/>
    </row>
    <row r="862" spans="1:24" ht="16.149999999999999" hidden="1" customHeight="1" x14ac:dyDescent="0.2">
      <c r="A862" s="17"/>
      <c r="B862" s="3496"/>
      <c r="C862" s="3496"/>
      <c r="D862" s="3496"/>
      <c r="E862" s="3496"/>
      <c r="F862" s="3496"/>
      <c r="G862" s="17"/>
      <c r="H862" s="3497"/>
      <c r="I862" s="3497"/>
      <c r="J862" s="242"/>
      <c r="K862" s="236"/>
      <c r="Q862" s="142"/>
      <c r="R862" s="142"/>
      <c r="S862" s="142"/>
      <c r="T862" s="142"/>
      <c r="U862" s="142"/>
      <c r="V862" s="142"/>
      <c r="W862" s="142"/>
      <c r="X862" s="142"/>
    </row>
    <row r="863" spans="1:24" ht="16.149999999999999" hidden="1" customHeight="1" x14ac:dyDescent="0.2">
      <c r="A863" s="17"/>
      <c r="B863" s="3496"/>
      <c r="C863" s="3496"/>
      <c r="D863" s="3496"/>
      <c r="E863" s="3496"/>
      <c r="F863" s="3496"/>
      <c r="G863" s="17"/>
      <c r="H863" s="3497"/>
      <c r="I863" s="3497"/>
      <c r="J863" s="242"/>
      <c r="K863" s="236"/>
      <c r="Q863" s="142"/>
      <c r="R863" s="142"/>
      <c r="S863" s="142"/>
      <c r="T863" s="142"/>
      <c r="U863" s="142"/>
      <c r="V863" s="142"/>
      <c r="W863" s="142"/>
      <c r="X863" s="142"/>
    </row>
    <row r="864" spans="1:24" ht="16.149999999999999" hidden="1" customHeight="1" x14ac:dyDescent="0.2">
      <c r="A864" s="17"/>
      <c r="B864" s="3496"/>
      <c r="C864" s="3496"/>
      <c r="D864" s="3496"/>
      <c r="E864" s="3496"/>
      <c r="F864" s="3496"/>
      <c r="G864" s="17"/>
      <c r="H864" s="3497"/>
      <c r="I864" s="3497"/>
      <c r="J864" s="242"/>
      <c r="K864" s="236"/>
      <c r="Q864" s="142"/>
      <c r="R864" s="142"/>
      <c r="S864" s="142"/>
      <c r="T864" s="142"/>
      <c r="U864" s="142"/>
      <c r="V864" s="142"/>
      <c r="W864" s="142"/>
      <c r="X864" s="142"/>
    </row>
    <row r="865" spans="1:24" ht="16.149999999999999" hidden="1" customHeight="1" x14ac:dyDescent="0.2">
      <c r="A865" s="17"/>
      <c r="B865" s="3496"/>
      <c r="C865" s="3496"/>
      <c r="D865" s="3496"/>
      <c r="E865" s="3496"/>
      <c r="F865" s="3496"/>
      <c r="G865" s="17"/>
      <c r="H865" s="3497"/>
      <c r="I865" s="3497"/>
      <c r="J865" s="242"/>
      <c r="K865" s="236"/>
      <c r="Q865" s="142"/>
      <c r="R865" s="142"/>
      <c r="S865" s="142"/>
      <c r="T865" s="142"/>
      <c r="U865" s="142"/>
      <c r="V865" s="142"/>
      <c r="W865" s="142"/>
      <c r="X865" s="142"/>
    </row>
    <row r="866" spans="1:24" ht="16.149999999999999" hidden="1" customHeight="1" x14ac:dyDescent="0.2">
      <c r="A866" s="17"/>
      <c r="B866" s="3496"/>
      <c r="C866" s="3496"/>
      <c r="D866" s="3496"/>
      <c r="E866" s="3496"/>
      <c r="F866" s="3496"/>
      <c r="G866" s="17"/>
      <c r="H866" s="3497"/>
      <c r="I866" s="3497"/>
      <c r="J866" s="242"/>
      <c r="K866" s="236"/>
      <c r="Q866" s="142"/>
      <c r="R866" s="142"/>
      <c r="S866" s="142"/>
      <c r="T866" s="142"/>
      <c r="U866" s="142"/>
      <c r="V866" s="142"/>
      <c r="W866" s="142"/>
      <c r="X866" s="142"/>
    </row>
    <row r="867" spans="1:24" ht="16.149999999999999" hidden="1" customHeight="1" x14ac:dyDescent="0.2">
      <c r="A867" s="17"/>
      <c r="B867" s="3496"/>
      <c r="C867" s="3496"/>
      <c r="D867" s="3496"/>
      <c r="E867" s="3496"/>
      <c r="F867" s="3496"/>
      <c r="G867" s="17"/>
      <c r="H867" s="3497"/>
      <c r="I867" s="3497"/>
      <c r="J867" s="242"/>
      <c r="K867" s="236"/>
      <c r="Q867" s="142"/>
      <c r="R867" s="142"/>
      <c r="S867" s="142"/>
      <c r="T867" s="142"/>
      <c r="U867" s="142"/>
      <c r="V867" s="142"/>
      <c r="W867" s="142"/>
      <c r="X867" s="142"/>
    </row>
    <row r="868" spans="1:24" ht="16.149999999999999" hidden="1" customHeight="1" x14ac:dyDescent="0.2">
      <c r="A868" s="17"/>
      <c r="B868" s="3496"/>
      <c r="C868" s="3496"/>
      <c r="D868" s="3496"/>
      <c r="E868" s="3496"/>
      <c r="F868" s="3496"/>
      <c r="G868" s="17"/>
      <c r="H868" s="3497"/>
      <c r="I868" s="3497"/>
      <c r="J868" s="242"/>
      <c r="K868" s="236"/>
      <c r="Q868" s="142"/>
      <c r="R868" s="142"/>
      <c r="S868" s="142"/>
      <c r="T868" s="142"/>
      <c r="U868" s="142"/>
      <c r="V868" s="142"/>
      <c r="W868" s="142"/>
      <c r="X868" s="142"/>
    </row>
    <row r="869" spans="1:24" ht="16.149999999999999" hidden="1" customHeight="1" x14ac:dyDescent="0.2">
      <c r="A869" s="17"/>
      <c r="B869" s="3496"/>
      <c r="C869" s="3496"/>
      <c r="D869" s="3496"/>
      <c r="E869" s="3496"/>
      <c r="F869" s="3496"/>
      <c r="G869" s="17"/>
      <c r="H869" s="3497"/>
      <c r="I869" s="3497"/>
      <c r="J869" s="242"/>
      <c r="K869" s="236"/>
      <c r="Q869" s="142"/>
      <c r="R869" s="142"/>
      <c r="S869" s="142"/>
      <c r="T869" s="142"/>
      <c r="U869" s="142"/>
      <c r="V869" s="142"/>
      <c r="W869" s="142"/>
      <c r="X869" s="142"/>
    </row>
    <row r="870" spans="1:24" ht="16.149999999999999" hidden="1" customHeight="1" x14ac:dyDescent="0.2">
      <c r="A870" s="17"/>
      <c r="B870" s="3496"/>
      <c r="C870" s="3496"/>
      <c r="D870" s="3496"/>
      <c r="E870" s="3496"/>
      <c r="F870" s="3496"/>
      <c r="G870" s="17"/>
      <c r="H870" s="3497"/>
      <c r="I870" s="3497"/>
      <c r="J870" s="242"/>
      <c r="K870" s="236"/>
      <c r="Q870" s="142"/>
      <c r="R870" s="142"/>
      <c r="S870" s="142"/>
      <c r="T870" s="142"/>
      <c r="U870" s="142"/>
      <c r="V870" s="142"/>
      <c r="W870" s="142"/>
      <c r="X870" s="142"/>
    </row>
    <row r="871" spans="1:24" ht="16.149999999999999" hidden="1" customHeight="1" x14ac:dyDescent="0.2">
      <c r="A871" s="17"/>
      <c r="B871" s="3496"/>
      <c r="C871" s="3496"/>
      <c r="D871" s="3496"/>
      <c r="E871" s="3496"/>
      <c r="F871" s="3496"/>
      <c r="G871" s="17"/>
      <c r="H871" s="3497"/>
      <c r="I871" s="3497"/>
      <c r="J871" s="242"/>
      <c r="K871" s="236"/>
      <c r="Q871" s="142"/>
      <c r="R871" s="142"/>
      <c r="S871" s="142"/>
      <c r="T871" s="142"/>
      <c r="U871" s="142"/>
      <c r="V871" s="142"/>
      <c r="W871" s="142"/>
      <c r="X871" s="142"/>
    </row>
    <row r="872" spans="1:24" ht="16.149999999999999" hidden="1" customHeight="1" x14ac:dyDescent="0.2">
      <c r="A872" s="17"/>
      <c r="B872" s="3496"/>
      <c r="C872" s="3496"/>
      <c r="D872" s="3496"/>
      <c r="E872" s="3496"/>
      <c r="F872" s="3496"/>
      <c r="G872" s="17"/>
      <c r="H872" s="3497"/>
      <c r="I872" s="3497"/>
      <c r="J872" s="242"/>
      <c r="K872" s="236"/>
      <c r="Q872" s="142"/>
      <c r="R872" s="142"/>
      <c r="S872" s="142"/>
      <c r="T872" s="142"/>
      <c r="U872" s="142"/>
      <c r="V872" s="142"/>
      <c r="W872" s="142"/>
      <c r="X872" s="142"/>
    </row>
    <row r="873" spans="1:24" ht="16.149999999999999" hidden="1" customHeight="1" x14ac:dyDescent="0.2">
      <c r="A873" s="17"/>
      <c r="B873" s="3496"/>
      <c r="C873" s="3496"/>
      <c r="D873" s="3496"/>
      <c r="E873" s="3496"/>
      <c r="F873" s="3496"/>
      <c r="G873" s="17"/>
      <c r="H873" s="3497"/>
      <c r="I873" s="3497"/>
      <c r="J873" s="242"/>
      <c r="K873" s="236"/>
      <c r="Q873" s="142"/>
      <c r="R873" s="142"/>
      <c r="S873" s="142"/>
      <c r="T873" s="142"/>
      <c r="U873" s="142"/>
      <c r="V873" s="142"/>
      <c r="W873" s="142"/>
      <c r="X873" s="142"/>
    </row>
    <row r="874" spans="1:24" ht="16.149999999999999" hidden="1" customHeight="1" x14ac:dyDescent="0.2">
      <c r="A874" s="17"/>
      <c r="B874" s="3496"/>
      <c r="C874" s="3496"/>
      <c r="D874" s="3496"/>
      <c r="E874" s="3496"/>
      <c r="F874" s="3496"/>
      <c r="G874" s="17"/>
      <c r="H874" s="3497"/>
      <c r="I874" s="3497"/>
      <c r="J874" s="242"/>
      <c r="K874" s="236"/>
      <c r="Q874" s="142"/>
      <c r="R874" s="142"/>
      <c r="S874" s="142"/>
      <c r="T874" s="142"/>
      <c r="U874" s="142"/>
      <c r="V874" s="142"/>
      <c r="W874" s="142"/>
      <c r="X874" s="142"/>
    </row>
    <row r="875" spans="1:24" ht="16.149999999999999" hidden="1" customHeight="1" x14ac:dyDescent="0.2">
      <c r="A875" s="17"/>
      <c r="B875" s="3496"/>
      <c r="C875" s="3496"/>
      <c r="D875" s="3496"/>
      <c r="E875" s="3496"/>
      <c r="F875" s="3496"/>
      <c r="G875" s="17"/>
      <c r="H875" s="3497"/>
      <c r="I875" s="3497"/>
      <c r="J875" s="242"/>
      <c r="K875" s="236"/>
      <c r="Q875" s="142"/>
      <c r="R875" s="142"/>
      <c r="S875" s="142"/>
      <c r="T875" s="142"/>
      <c r="U875" s="142"/>
      <c r="V875" s="142"/>
      <c r="W875" s="142"/>
      <c r="X875" s="142"/>
    </row>
    <row r="876" spans="1:24" ht="16.149999999999999" hidden="1" customHeight="1" x14ac:dyDescent="0.2">
      <c r="A876" s="17"/>
      <c r="B876" s="3496"/>
      <c r="C876" s="3496"/>
      <c r="D876" s="3496"/>
      <c r="E876" s="3496"/>
      <c r="F876" s="3496"/>
      <c r="G876" s="17"/>
      <c r="H876" s="3497"/>
      <c r="I876" s="3497"/>
      <c r="J876" s="242"/>
      <c r="K876" s="236"/>
      <c r="Q876" s="142"/>
      <c r="R876" s="142"/>
      <c r="S876" s="142"/>
      <c r="T876" s="142"/>
      <c r="U876" s="142"/>
      <c r="V876" s="142"/>
      <c r="W876" s="142"/>
      <c r="X876" s="142"/>
    </row>
    <row r="877" spans="1:24" ht="16.149999999999999" hidden="1" customHeight="1" x14ac:dyDescent="0.2">
      <c r="A877" s="17"/>
      <c r="B877" s="3496"/>
      <c r="C877" s="3496"/>
      <c r="D877" s="3496"/>
      <c r="E877" s="3496"/>
      <c r="F877" s="3496"/>
      <c r="G877" s="17"/>
      <c r="H877" s="3497"/>
      <c r="I877" s="3497"/>
      <c r="J877" s="242"/>
      <c r="K877" s="236"/>
      <c r="Q877" s="142"/>
      <c r="R877" s="142"/>
      <c r="S877" s="142"/>
      <c r="T877" s="142"/>
      <c r="U877" s="142"/>
      <c r="V877" s="142"/>
      <c r="W877" s="142"/>
      <c r="X877" s="142"/>
    </row>
    <row r="878" spans="1:24" ht="16.149999999999999" hidden="1" customHeight="1" x14ac:dyDescent="0.2">
      <c r="A878" s="17"/>
      <c r="B878" s="3496"/>
      <c r="C878" s="3496"/>
      <c r="D878" s="3496"/>
      <c r="E878" s="3496"/>
      <c r="F878" s="3496"/>
      <c r="G878" s="17"/>
      <c r="H878" s="3497"/>
      <c r="I878" s="3497"/>
      <c r="J878" s="242"/>
      <c r="K878" s="236"/>
      <c r="Q878" s="142"/>
      <c r="R878" s="142"/>
      <c r="S878" s="142"/>
      <c r="T878" s="142"/>
      <c r="U878" s="142"/>
      <c r="V878" s="142"/>
      <c r="W878" s="142"/>
      <c r="X878" s="142"/>
    </row>
    <row r="879" spans="1:24" ht="16.149999999999999" hidden="1" customHeight="1" x14ac:dyDescent="0.2">
      <c r="A879" s="17"/>
      <c r="B879" s="3496"/>
      <c r="C879" s="3496"/>
      <c r="D879" s="3496"/>
      <c r="E879" s="3496"/>
      <c r="F879" s="3496"/>
      <c r="G879" s="17"/>
      <c r="H879" s="3497"/>
      <c r="I879" s="3497"/>
      <c r="J879" s="242"/>
      <c r="K879" s="236"/>
      <c r="Q879" s="142"/>
      <c r="R879" s="142"/>
      <c r="S879" s="142"/>
      <c r="T879" s="142"/>
      <c r="U879" s="142"/>
      <c r="V879" s="142"/>
      <c r="W879" s="142"/>
      <c r="X879" s="142"/>
    </row>
    <row r="880" spans="1:24" ht="16.149999999999999" hidden="1" customHeight="1" x14ac:dyDescent="0.2">
      <c r="A880" s="17"/>
      <c r="B880" s="3496"/>
      <c r="C880" s="3496"/>
      <c r="D880" s="3496"/>
      <c r="E880" s="3496"/>
      <c r="F880" s="3496"/>
      <c r="G880" s="17"/>
      <c r="H880" s="3497"/>
      <c r="I880" s="3497"/>
      <c r="J880" s="242"/>
      <c r="K880" s="236"/>
      <c r="Q880" s="142"/>
      <c r="R880" s="142"/>
      <c r="S880" s="142"/>
      <c r="T880" s="142"/>
      <c r="U880" s="142"/>
      <c r="V880" s="142"/>
      <c r="W880" s="142"/>
      <c r="X880" s="142"/>
    </row>
    <row r="881" spans="1:24" ht="16.149999999999999" hidden="1" customHeight="1" x14ac:dyDescent="0.2">
      <c r="A881" s="17"/>
      <c r="B881" s="3496"/>
      <c r="C881" s="3496"/>
      <c r="D881" s="3496"/>
      <c r="E881" s="3496"/>
      <c r="F881" s="3496"/>
      <c r="G881" s="17"/>
      <c r="H881" s="3497"/>
      <c r="I881" s="3497"/>
      <c r="J881" s="242"/>
      <c r="K881" s="236"/>
      <c r="Q881" s="142"/>
      <c r="R881" s="142"/>
      <c r="S881" s="142"/>
      <c r="T881" s="142"/>
      <c r="U881" s="142"/>
      <c r="V881" s="142"/>
      <c r="W881" s="142"/>
      <c r="X881" s="142"/>
    </row>
    <row r="882" spans="1:24" ht="16.149999999999999" hidden="1" customHeight="1" x14ac:dyDescent="0.2">
      <c r="A882" s="17"/>
      <c r="B882" s="3496"/>
      <c r="C882" s="3496"/>
      <c r="D882" s="3496"/>
      <c r="E882" s="3496"/>
      <c r="F882" s="3496"/>
      <c r="G882" s="17"/>
      <c r="H882" s="3497"/>
      <c r="I882" s="3497"/>
      <c r="J882" s="242"/>
      <c r="K882" s="236"/>
      <c r="Q882" s="142"/>
      <c r="R882" s="142"/>
      <c r="S882" s="142"/>
      <c r="T882" s="142"/>
      <c r="U882" s="142"/>
      <c r="V882" s="142"/>
      <c r="W882" s="142"/>
      <c r="X882" s="142"/>
    </row>
    <row r="883" spans="1:24" ht="16.149999999999999" hidden="1" customHeight="1" x14ac:dyDescent="0.2">
      <c r="A883" s="17"/>
      <c r="B883" s="3496"/>
      <c r="C883" s="3496"/>
      <c r="D883" s="3496"/>
      <c r="E883" s="3496"/>
      <c r="F883" s="3496"/>
      <c r="G883" s="17"/>
      <c r="H883" s="3497"/>
      <c r="I883" s="3497"/>
      <c r="J883" s="242"/>
      <c r="K883" s="236"/>
      <c r="Q883" s="142"/>
      <c r="R883" s="142"/>
      <c r="S883" s="142"/>
      <c r="T883" s="142"/>
      <c r="U883" s="142"/>
      <c r="V883" s="142"/>
      <c r="W883" s="142"/>
      <c r="X883" s="142"/>
    </row>
    <row r="884" spans="1:24" ht="16.149999999999999" hidden="1" customHeight="1" x14ac:dyDescent="0.2">
      <c r="A884" s="17"/>
      <c r="B884" s="3496"/>
      <c r="C884" s="3496"/>
      <c r="D884" s="3496"/>
      <c r="E884" s="3496"/>
      <c r="F884" s="3496"/>
      <c r="G884" s="17"/>
      <c r="H884" s="3497"/>
      <c r="I884" s="3497"/>
      <c r="J884" s="242"/>
      <c r="K884" s="236"/>
      <c r="Q884" s="142"/>
      <c r="R884" s="142"/>
      <c r="S884" s="142"/>
      <c r="T884" s="142"/>
      <c r="U884" s="142"/>
      <c r="V884" s="142"/>
      <c r="W884" s="142"/>
      <c r="X884" s="142"/>
    </row>
    <row r="885" spans="1:24" ht="16.149999999999999" hidden="1" customHeight="1" x14ac:dyDescent="0.2">
      <c r="A885" s="17"/>
      <c r="B885" s="3496"/>
      <c r="C885" s="3496"/>
      <c r="D885" s="3496"/>
      <c r="E885" s="3496"/>
      <c r="F885" s="3496"/>
      <c r="G885" s="17"/>
      <c r="H885" s="3497"/>
      <c r="I885" s="3497"/>
      <c r="J885" s="242"/>
      <c r="K885" s="236"/>
      <c r="Q885" s="142"/>
      <c r="R885" s="142"/>
      <c r="S885" s="142"/>
      <c r="T885" s="142"/>
      <c r="U885" s="142"/>
      <c r="V885" s="142"/>
      <c r="W885" s="142"/>
      <c r="X885" s="142"/>
    </row>
    <row r="886" spans="1:24" ht="16.149999999999999" hidden="1" customHeight="1" x14ac:dyDescent="0.2">
      <c r="A886" s="17"/>
      <c r="B886" s="3496"/>
      <c r="C886" s="3496"/>
      <c r="D886" s="3496"/>
      <c r="E886" s="3496"/>
      <c r="F886" s="3496"/>
      <c r="G886" s="17"/>
      <c r="H886" s="3497"/>
      <c r="I886" s="3497"/>
      <c r="J886" s="242"/>
      <c r="K886" s="236"/>
      <c r="Q886" s="142"/>
      <c r="R886" s="142"/>
      <c r="S886" s="142"/>
      <c r="T886" s="142"/>
      <c r="U886" s="142"/>
      <c r="V886" s="142"/>
      <c r="W886" s="142"/>
      <c r="X886" s="142"/>
    </row>
    <row r="887" spans="1:24" ht="16.149999999999999" hidden="1" customHeight="1" x14ac:dyDescent="0.2">
      <c r="A887" s="17"/>
      <c r="B887" s="3496"/>
      <c r="C887" s="3496"/>
      <c r="D887" s="3496"/>
      <c r="E887" s="3496"/>
      <c r="F887" s="3496"/>
      <c r="G887" s="17"/>
      <c r="H887" s="3497"/>
      <c r="I887" s="3497"/>
      <c r="J887" s="242"/>
      <c r="K887" s="236"/>
      <c r="Q887" s="142"/>
      <c r="R887" s="142"/>
      <c r="S887" s="142"/>
      <c r="T887" s="142"/>
      <c r="U887" s="142"/>
      <c r="V887" s="142"/>
      <c r="W887" s="142"/>
      <c r="X887" s="142"/>
    </row>
    <row r="888" spans="1:24" ht="16.149999999999999" hidden="1" customHeight="1" x14ac:dyDescent="0.2">
      <c r="A888" s="17"/>
      <c r="B888" s="3496"/>
      <c r="C888" s="3496"/>
      <c r="D888" s="3496"/>
      <c r="E888" s="3496"/>
      <c r="F888" s="3496"/>
      <c r="G888" s="17"/>
      <c r="H888" s="3497"/>
      <c r="I888" s="3497"/>
      <c r="J888" s="242"/>
      <c r="K888" s="236"/>
      <c r="Q888" s="142"/>
      <c r="R888" s="142"/>
      <c r="S888" s="142"/>
      <c r="T888" s="142"/>
      <c r="U888" s="142"/>
      <c r="V888" s="142"/>
      <c r="W888" s="142"/>
      <c r="X888" s="142"/>
    </row>
    <row r="889" spans="1:24" ht="16.149999999999999" hidden="1" customHeight="1" x14ac:dyDescent="0.2">
      <c r="A889" s="17"/>
      <c r="B889" s="3496"/>
      <c r="C889" s="3496"/>
      <c r="D889" s="3496"/>
      <c r="E889" s="3496"/>
      <c r="F889" s="3496"/>
      <c r="G889" s="17"/>
      <c r="H889" s="3497"/>
      <c r="I889" s="3497"/>
      <c r="J889" s="242"/>
      <c r="K889" s="236"/>
      <c r="Q889" s="142"/>
      <c r="R889" s="142"/>
      <c r="S889" s="142"/>
      <c r="T889" s="142"/>
      <c r="U889" s="142"/>
      <c r="V889" s="142"/>
      <c r="W889" s="142"/>
      <c r="X889" s="142"/>
    </row>
    <row r="890" spans="1:24" ht="16.149999999999999" hidden="1" customHeight="1" x14ac:dyDescent="0.2">
      <c r="A890" s="17"/>
      <c r="B890" s="3496"/>
      <c r="C890" s="3496"/>
      <c r="D890" s="3496"/>
      <c r="E890" s="3496"/>
      <c r="F890" s="3496"/>
      <c r="G890" s="17"/>
      <c r="H890" s="3497"/>
      <c r="I890" s="3497"/>
      <c r="J890" s="242"/>
      <c r="K890" s="236"/>
      <c r="Q890" s="142"/>
      <c r="R890" s="142"/>
      <c r="S890" s="142"/>
      <c r="T890" s="142"/>
      <c r="U890" s="142"/>
      <c r="V890" s="142"/>
      <c r="W890" s="142"/>
      <c r="X890" s="142"/>
    </row>
    <row r="891" spans="1:24" ht="16.149999999999999" hidden="1" customHeight="1" x14ac:dyDescent="0.2">
      <c r="A891" s="17"/>
      <c r="B891" s="3496"/>
      <c r="C891" s="3496"/>
      <c r="D891" s="3496"/>
      <c r="E891" s="3496"/>
      <c r="F891" s="3496"/>
      <c r="G891" s="17"/>
      <c r="H891" s="3497"/>
      <c r="I891" s="3497"/>
      <c r="J891" s="242"/>
      <c r="K891" s="236"/>
      <c r="Q891" s="142"/>
      <c r="R891" s="142"/>
      <c r="S891" s="142"/>
      <c r="T891" s="142"/>
      <c r="U891" s="142"/>
      <c r="V891" s="142"/>
      <c r="W891" s="142"/>
      <c r="X891" s="142"/>
    </row>
    <row r="892" spans="1:24" ht="16.149999999999999" hidden="1" customHeight="1" x14ac:dyDescent="0.2">
      <c r="A892" s="17"/>
      <c r="B892" s="3496"/>
      <c r="C892" s="3496"/>
      <c r="D892" s="3496"/>
      <c r="E892" s="3496"/>
      <c r="F892" s="3496"/>
      <c r="G892" s="17"/>
      <c r="H892" s="3497"/>
      <c r="I892" s="3497"/>
      <c r="J892" s="242"/>
      <c r="K892" s="236"/>
      <c r="Q892" s="142"/>
      <c r="R892" s="142"/>
      <c r="S892" s="142"/>
      <c r="T892" s="142"/>
      <c r="U892" s="142"/>
      <c r="V892" s="142"/>
      <c r="W892" s="142"/>
      <c r="X892" s="142"/>
    </row>
    <row r="893" spans="1:24" ht="16.149999999999999" hidden="1" customHeight="1" x14ac:dyDescent="0.2">
      <c r="A893" s="17"/>
      <c r="B893" s="3496"/>
      <c r="C893" s="3496"/>
      <c r="D893" s="3496"/>
      <c r="E893" s="3496"/>
      <c r="F893" s="3496"/>
      <c r="G893" s="17"/>
      <c r="H893" s="3497"/>
      <c r="I893" s="3497"/>
      <c r="J893" s="242"/>
      <c r="K893" s="236"/>
      <c r="Q893" s="142"/>
      <c r="R893" s="142"/>
      <c r="S893" s="142"/>
      <c r="T893" s="142"/>
      <c r="U893" s="142"/>
      <c r="V893" s="142"/>
      <c r="W893" s="142"/>
      <c r="X893" s="142"/>
    </row>
    <row r="894" spans="1:24" ht="16.149999999999999" hidden="1" customHeight="1" x14ac:dyDescent="0.2">
      <c r="A894" s="17"/>
      <c r="B894" s="3496"/>
      <c r="C894" s="3496"/>
      <c r="D894" s="3496"/>
      <c r="E894" s="3496"/>
      <c r="F894" s="3496"/>
      <c r="G894" s="17"/>
      <c r="H894" s="3497"/>
      <c r="I894" s="3497"/>
      <c r="J894" s="242"/>
      <c r="K894" s="236"/>
      <c r="Q894" s="142"/>
      <c r="R894" s="142"/>
      <c r="S894" s="142"/>
      <c r="T894" s="142"/>
      <c r="U894" s="142"/>
      <c r="V894" s="142"/>
      <c r="W894" s="142"/>
      <c r="X894" s="142"/>
    </row>
    <row r="895" spans="1:24" ht="16.149999999999999" hidden="1" customHeight="1" x14ac:dyDescent="0.2">
      <c r="A895" s="17"/>
      <c r="B895" s="3496"/>
      <c r="C895" s="3496"/>
      <c r="D895" s="3496"/>
      <c r="E895" s="3496"/>
      <c r="F895" s="3496"/>
      <c r="G895" s="17"/>
      <c r="H895" s="3497"/>
      <c r="I895" s="3497"/>
      <c r="J895" s="242"/>
      <c r="K895" s="236"/>
      <c r="Q895" s="142"/>
      <c r="R895" s="142"/>
      <c r="S895" s="142"/>
      <c r="T895" s="142"/>
      <c r="U895" s="142"/>
      <c r="V895" s="142"/>
      <c r="W895" s="142"/>
      <c r="X895" s="142"/>
    </row>
    <row r="896" spans="1:24" ht="16.149999999999999" hidden="1" customHeight="1" x14ac:dyDescent="0.2">
      <c r="A896" s="17"/>
      <c r="B896" s="3496"/>
      <c r="C896" s="3496"/>
      <c r="D896" s="3496"/>
      <c r="E896" s="3496"/>
      <c r="F896" s="3496"/>
      <c r="G896" s="17"/>
      <c r="H896" s="3497"/>
      <c r="I896" s="3497"/>
      <c r="J896" s="242"/>
      <c r="K896" s="236"/>
      <c r="Q896" s="142"/>
      <c r="R896" s="142"/>
      <c r="S896" s="142"/>
      <c r="T896" s="142"/>
      <c r="U896" s="142"/>
      <c r="V896" s="142"/>
      <c r="W896" s="142"/>
      <c r="X896" s="142"/>
    </row>
    <row r="897" spans="1:24" ht="16.149999999999999" hidden="1" customHeight="1" x14ac:dyDescent="0.2">
      <c r="A897" s="17"/>
      <c r="B897" s="3496"/>
      <c r="C897" s="3496"/>
      <c r="D897" s="3496"/>
      <c r="E897" s="3496"/>
      <c r="F897" s="3496"/>
      <c r="G897" s="17"/>
      <c r="H897" s="3497"/>
      <c r="I897" s="3497"/>
      <c r="J897" s="242"/>
      <c r="K897" s="236"/>
      <c r="Q897" s="142"/>
      <c r="R897" s="142"/>
      <c r="S897" s="142"/>
      <c r="T897" s="142"/>
      <c r="U897" s="142"/>
      <c r="V897" s="142"/>
      <c r="W897" s="142"/>
      <c r="X897" s="142"/>
    </row>
    <row r="898" spans="1:24" ht="16.149999999999999" hidden="1" customHeight="1" x14ac:dyDescent="0.2">
      <c r="A898" s="17"/>
      <c r="B898" s="3496"/>
      <c r="C898" s="3496"/>
      <c r="D898" s="3496"/>
      <c r="E898" s="3496"/>
      <c r="F898" s="3496"/>
      <c r="G898" s="17"/>
      <c r="H898" s="3497"/>
      <c r="I898" s="3497"/>
      <c r="J898" s="242"/>
      <c r="K898" s="236"/>
      <c r="Q898" s="142"/>
      <c r="R898" s="142"/>
      <c r="S898" s="142"/>
      <c r="T898" s="142"/>
      <c r="U898" s="142"/>
      <c r="V898" s="142"/>
      <c r="W898" s="142"/>
      <c r="X898" s="142"/>
    </row>
    <row r="899" spans="1:24" ht="16.149999999999999" hidden="1" customHeight="1" x14ac:dyDescent="0.2">
      <c r="A899" s="17"/>
      <c r="B899" s="3496"/>
      <c r="C899" s="3496"/>
      <c r="D899" s="3496"/>
      <c r="E899" s="3496"/>
      <c r="F899" s="3496"/>
      <c r="G899" s="17"/>
      <c r="H899" s="3497"/>
      <c r="I899" s="3497"/>
      <c r="J899" s="242"/>
      <c r="K899" s="236"/>
      <c r="Q899" s="142"/>
      <c r="R899" s="142"/>
      <c r="S899" s="142"/>
      <c r="T899" s="142"/>
      <c r="U899" s="142"/>
      <c r="V899" s="142"/>
      <c r="W899" s="142"/>
      <c r="X899" s="142"/>
    </row>
    <row r="900" spans="1:24" ht="16.149999999999999" hidden="1" customHeight="1" x14ac:dyDescent="0.2">
      <c r="A900" s="17"/>
      <c r="B900" s="3496"/>
      <c r="C900" s="3496"/>
      <c r="D900" s="3496"/>
      <c r="E900" s="3496"/>
      <c r="F900" s="3496"/>
      <c r="G900" s="17"/>
      <c r="H900" s="3497"/>
      <c r="I900" s="3497"/>
      <c r="J900" s="242"/>
      <c r="K900" s="236"/>
      <c r="Q900" s="142"/>
      <c r="R900" s="142"/>
      <c r="S900" s="142"/>
      <c r="T900" s="142"/>
      <c r="U900" s="142"/>
      <c r="V900" s="142"/>
      <c r="W900" s="142"/>
      <c r="X900" s="142"/>
    </row>
    <row r="901" spans="1:24" ht="16.149999999999999" hidden="1" customHeight="1" x14ac:dyDescent="0.2">
      <c r="A901" s="17"/>
      <c r="B901" s="3496"/>
      <c r="C901" s="3496"/>
      <c r="D901" s="3496"/>
      <c r="E901" s="3496"/>
      <c r="F901" s="3496"/>
      <c r="G901" s="17"/>
      <c r="H901" s="3497"/>
      <c r="I901" s="3497"/>
      <c r="J901" s="242"/>
      <c r="K901" s="236"/>
      <c r="Q901" s="142"/>
      <c r="R901" s="142"/>
      <c r="S901" s="142"/>
      <c r="T901" s="142"/>
      <c r="U901" s="142"/>
      <c r="V901" s="142"/>
      <c r="W901" s="142"/>
      <c r="X901" s="142"/>
    </row>
    <row r="902" spans="1:24" ht="16.149999999999999" hidden="1" customHeight="1" x14ac:dyDescent="0.2">
      <c r="A902" s="17"/>
      <c r="B902" s="3496"/>
      <c r="C902" s="3496"/>
      <c r="D902" s="3496"/>
      <c r="E902" s="3496"/>
      <c r="F902" s="3496"/>
      <c r="G902" s="17"/>
      <c r="H902" s="3497"/>
      <c r="I902" s="3497"/>
      <c r="J902" s="242"/>
      <c r="K902" s="236"/>
      <c r="Q902" s="142"/>
      <c r="R902" s="142"/>
      <c r="S902" s="142"/>
      <c r="T902" s="142"/>
      <c r="U902" s="142"/>
      <c r="V902" s="142"/>
      <c r="W902" s="142"/>
      <c r="X902" s="142"/>
    </row>
    <row r="903" spans="1:24" ht="16.149999999999999" hidden="1" customHeight="1" x14ac:dyDescent="0.2">
      <c r="A903" s="17"/>
      <c r="B903" s="3496"/>
      <c r="C903" s="3496"/>
      <c r="D903" s="3496"/>
      <c r="E903" s="3496"/>
      <c r="F903" s="3496"/>
      <c r="G903" s="17"/>
      <c r="H903" s="3497"/>
      <c r="I903" s="3497"/>
      <c r="J903" s="242"/>
      <c r="K903" s="236"/>
      <c r="Q903" s="142"/>
      <c r="R903" s="142"/>
      <c r="S903" s="142"/>
      <c r="T903" s="142"/>
      <c r="U903" s="142"/>
      <c r="V903" s="142"/>
      <c r="W903" s="142"/>
      <c r="X903" s="142"/>
    </row>
    <row r="904" spans="1:24" ht="16.149999999999999" hidden="1" customHeight="1" x14ac:dyDescent="0.2">
      <c r="A904" s="17"/>
      <c r="B904" s="3496"/>
      <c r="C904" s="3496"/>
      <c r="D904" s="3496"/>
      <c r="E904" s="3496"/>
      <c r="F904" s="3496"/>
      <c r="G904" s="17"/>
      <c r="H904" s="3497"/>
      <c r="I904" s="3497"/>
      <c r="J904" s="242"/>
      <c r="K904" s="236"/>
      <c r="Q904" s="142"/>
      <c r="R904" s="142"/>
      <c r="S904" s="142"/>
      <c r="T904" s="142"/>
      <c r="U904" s="142"/>
      <c r="V904" s="142"/>
      <c r="W904" s="142"/>
      <c r="X904" s="142"/>
    </row>
    <row r="905" spans="1:24" ht="16.149999999999999" hidden="1" customHeight="1" x14ac:dyDescent="0.2">
      <c r="A905" s="17"/>
      <c r="B905" s="3496"/>
      <c r="C905" s="3496"/>
      <c r="D905" s="3496"/>
      <c r="E905" s="3496"/>
      <c r="F905" s="3496"/>
      <c r="G905" s="17"/>
      <c r="H905" s="3497"/>
      <c r="I905" s="3497"/>
      <c r="J905" s="242"/>
      <c r="K905" s="236"/>
      <c r="Q905" s="142"/>
      <c r="R905" s="142"/>
      <c r="S905" s="142"/>
      <c r="T905" s="142"/>
      <c r="U905" s="142"/>
      <c r="V905" s="142"/>
      <c r="W905" s="142"/>
      <c r="X905" s="142"/>
    </row>
    <row r="906" spans="1:24" ht="16.149999999999999" hidden="1" customHeight="1" x14ac:dyDescent="0.2">
      <c r="A906" s="17"/>
      <c r="B906" s="3496"/>
      <c r="C906" s="3496"/>
      <c r="D906" s="3496"/>
      <c r="E906" s="3496"/>
      <c r="F906" s="3496"/>
      <c r="G906" s="17"/>
      <c r="H906" s="3497"/>
      <c r="I906" s="3497"/>
      <c r="J906" s="242"/>
      <c r="K906" s="236"/>
      <c r="Q906" s="142"/>
      <c r="R906" s="142"/>
      <c r="S906" s="142"/>
      <c r="T906" s="142"/>
      <c r="U906" s="142"/>
      <c r="V906" s="142"/>
      <c r="W906" s="142"/>
      <c r="X906" s="142"/>
    </row>
    <row r="907" spans="1:24" ht="16.149999999999999" hidden="1" customHeight="1" x14ac:dyDescent="0.2">
      <c r="A907" s="17"/>
      <c r="B907" s="3496"/>
      <c r="C907" s="3496"/>
      <c r="D907" s="3496"/>
      <c r="E907" s="3496"/>
      <c r="F907" s="3496"/>
      <c r="G907" s="17"/>
      <c r="H907" s="3497"/>
      <c r="I907" s="3497"/>
      <c r="J907" s="242"/>
      <c r="K907" s="236"/>
      <c r="Q907" s="142"/>
      <c r="R907" s="142"/>
      <c r="S907" s="142"/>
      <c r="T907" s="142"/>
      <c r="U907" s="142"/>
      <c r="V907" s="142"/>
      <c r="W907" s="142"/>
      <c r="X907" s="142"/>
    </row>
    <row r="908" spans="1:24" ht="16.149999999999999" hidden="1" customHeight="1" x14ac:dyDescent="0.2">
      <c r="A908" s="17"/>
      <c r="B908" s="3496"/>
      <c r="C908" s="3496"/>
      <c r="D908" s="3496"/>
      <c r="E908" s="3496"/>
      <c r="F908" s="3496"/>
      <c r="G908" s="17"/>
      <c r="H908" s="3497"/>
      <c r="I908" s="3497"/>
      <c r="J908" s="242"/>
      <c r="K908" s="236"/>
      <c r="Q908" s="142"/>
      <c r="R908" s="142"/>
      <c r="S908" s="142"/>
      <c r="T908" s="142"/>
      <c r="U908" s="142"/>
      <c r="V908" s="142"/>
      <c r="W908" s="142"/>
      <c r="X908" s="142"/>
    </row>
    <row r="909" spans="1:24" ht="16.149999999999999" hidden="1" customHeight="1" x14ac:dyDescent="0.2">
      <c r="A909" s="17"/>
      <c r="B909" s="3496"/>
      <c r="C909" s="3496"/>
      <c r="D909" s="3496"/>
      <c r="E909" s="3496"/>
      <c r="F909" s="3496"/>
      <c r="G909" s="17"/>
      <c r="H909" s="3497"/>
      <c r="I909" s="3497"/>
      <c r="J909" s="242"/>
      <c r="K909" s="236"/>
      <c r="Q909" s="142"/>
      <c r="R909" s="142"/>
      <c r="S909" s="142"/>
      <c r="T909" s="142"/>
      <c r="U909" s="142"/>
      <c r="V909" s="142"/>
      <c r="W909" s="142"/>
      <c r="X909" s="142"/>
    </row>
    <row r="910" spans="1:24" ht="16.149999999999999" hidden="1" customHeight="1" x14ac:dyDescent="0.2">
      <c r="A910" s="17"/>
      <c r="B910" s="3496"/>
      <c r="C910" s="3496"/>
      <c r="D910" s="3496"/>
      <c r="E910" s="3496"/>
      <c r="F910" s="3496"/>
      <c r="G910" s="17"/>
      <c r="H910" s="3497"/>
      <c r="I910" s="3497"/>
      <c r="J910" s="242"/>
      <c r="K910" s="236"/>
      <c r="Q910" s="142"/>
      <c r="R910" s="142"/>
      <c r="S910" s="142"/>
      <c r="T910" s="142"/>
      <c r="U910" s="142"/>
      <c r="V910" s="142"/>
      <c r="W910" s="142"/>
      <c r="X910" s="142"/>
    </row>
    <row r="911" spans="1:24" ht="16.149999999999999" hidden="1" customHeight="1" x14ac:dyDescent="0.2">
      <c r="A911" s="17"/>
      <c r="B911" s="3496"/>
      <c r="C911" s="3496"/>
      <c r="D911" s="3496"/>
      <c r="E911" s="3496"/>
      <c r="F911" s="3496"/>
      <c r="G911" s="17"/>
      <c r="H911" s="3497"/>
      <c r="I911" s="3497"/>
      <c r="J911" s="242"/>
      <c r="K911" s="236"/>
      <c r="Q911" s="142"/>
      <c r="R911" s="142"/>
      <c r="S911" s="142"/>
      <c r="T911" s="142"/>
      <c r="U911" s="142"/>
      <c r="V911" s="142"/>
      <c r="W911" s="142"/>
      <c r="X911" s="142"/>
    </row>
    <row r="912" spans="1:24" ht="16.149999999999999" hidden="1" customHeight="1" x14ac:dyDescent="0.2">
      <c r="A912" s="17"/>
      <c r="B912" s="3496"/>
      <c r="C912" s="3496"/>
      <c r="D912" s="3496"/>
      <c r="E912" s="3496"/>
      <c r="F912" s="3496"/>
      <c r="G912" s="17"/>
      <c r="H912" s="3497"/>
      <c r="I912" s="3497"/>
      <c r="J912" s="242"/>
      <c r="K912" s="236"/>
      <c r="Q912" s="142"/>
      <c r="R912" s="142"/>
      <c r="S912" s="142"/>
      <c r="T912" s="142"/>
      <c r="U912" s="142"/>
      <c r="V912" s="142"/>
      <c r="W912" s="142"/>
      <c r="X912" s="142"/>
    </row>
    <row r="913" spans="1:24" ht="16.149999999999999" hidden="1" customHeight="1" x14ac:dyDescent="0.2">
      <c r="A913" s="17"/>
      <c r="B913" s="3496"/>
      <c r="C913" s="3496"/>
      <c r="D913" s="3496"/>
      <c r="E913" s="3496"/>
      <c r="F913" s="3496"/>
      <c r="G913" s="17"/>
      <c r="H913" s="3497"/>
      <c r="I913" s="3497"/>
      <c r="J913" s="242"/>
      <c r="K913" s="236"/>
      <c r="Q913" s="142"/>
      <c r="R913" s="142"/>
      <c r="S913" s="142"/>
      <c r="T913" s="142"/>
      <c r="U913" s="142"/>
      <c r="V913" s="142"/>
      <c r="W913" s="142"/>
      <c r="X913" s="142"/>
    </row>
    <row r="914" spans="1:24" ht="16.149999999999999" hidden="1" customHeight="1" x14ac:dyDescent="0.2">
      <c r="A914" s="17"/>
      <c r="B914" s="3496"/>
      <c r="C914" s="3496"/>
      <c r="D914" s="3496"/>
      <c r="E914" s="3496"/>
      <c r="F914" s="3496"/>
      <c r="G914" s="17"/>
      <c r="H914" s="3497"/>
      <c r="I914" s="3497"/>
      <c r="J914" s="242"/>
      <c r="K914" s="236"/>
      <c r="Q914" s="142"/>
      <c r="R914" s="142"/>
      <c r="S914" s="142"/>
      <c r="T914" s="142"/>
      <c r="U914" s="142"/>
      <c r="V914" s="142"/>
      <c r="W914" s="142"/>
      <c r="X914" s="142"/>
    </row>
    <row r="915" spans="1:24" ht="16.149999999999999" hidden="1" customHeight="1" x14ac:dyDescent="0.2">
      <c r="A915" s="17"/>
      <c r="B915" s="3496"/>
      <c r="C915" s="3496"/>
      <c r="D915" s="3496"/>
      <c r="E915" s="3496"/>
      <c r="F915" s="3496"/>
      <c r="G915" s="17"/>
      <c r="H915" s="3497"/>
      <c r="I915" s="3497"/>
      <c r="J915" s="242"/>
      <c r="K915" s="236"/>
      <c r="Q915" s="142"/>
      <c r="R915" s="142"/>
      <c r="S915" s="142"/>
      <c r="T915" s="142"/>
      <c r="U915" s="142"/>
      <c r="V915" s="142"/>
      <c r="W915" s="142"/>
      <c r="X915" s="142"/>
    </row>
    <row r="916" spans="1:24" ht="16.149999999999999" hidden="1" customHeight="1" x14ac:dyDescent="0.2">
      <c r="A916" s="17"/>
      <c r="B916" s="3496"/>
      <c r="C916" s="3496"/>
      <c r="D916" s="3496"/>
      <c r="E916" s="3496"/>
      <c r="F916" s="3496"/>
      <c r="G916" s="17"/>
      <c r="H916" s="3497"/>
      <c r="I916" s="3497"/>
      <c r="J916" s="242"/>
      <c r="K916" s="236"/>
      <c r="Q916" s="142"/>
      <c r="R916" s="142"/>
      <c r="S916" s="142"/>
      <c r="T916" s="142"/>
      <c r="U916" s="142"/>
      <c r="V916" s="142"/>
      <c r="W916" s="142"/>
      <c r="X916" s="142"/>
    </row>
    <row r="917" spans="1:24" ht="16.149999999999999" hidden="1" customHeight="1" x14ac:dyDescent="0.2">
      <c r="A917" s="17"/>
      <c r="B917" s="3496"/>
      <c r="C917" s="3496"/>
      <c r="D917" s="3496"/>
      <c r="E917" s="3496"/>
      <c r="F917" s="3496"/>
      <c r="G917" s="17"/>
      <c r="H917" s="3497"/>
      <c r="I917" s="3497"/>
      <c r="J917" s="242"/>
      <c r="K917" s="236"/>
      <c r="Q917" s="142"/>
      <c r="R917" s="142"/>
      <c r="S917" s="142"/>
      <c r="T917" s="142"/>
      <c r="U917" s="142"/>
      <c r="V917" s="142"/>
      <c r="W917" s="142"/>
      <c r="X917" s="142"/>
    </row>
    <row r="918" spans="1:24" ht="16.149999999999999" hidden="1" customHeight="1" x14ac:dyDescent="0.2">
      <c r="A918" s="17"/>
      <c r="B918" s="3496"/>
      <c r="C918" s="3496"/>
      <c r="D918" s="3496"/>
      <c r="E918" s="3496"/>
      <c r="F918" s="3496"/>
      <c r="G918" s="17"/>
      <c r="H918" s="3497"/>
      <c r="I918" s="3497"/>
      <c r="J918" s="242"/>
      <c r="K918" s="236"/>
      <c r="Q918" s="142"/>
      <c r="R918" s="142"/>
      <c r="S918" s="142"/>
      <c r="T918" s="142"/>
      <c r="U918" s="142"/>
      <c r="V918" s="142"/>
      <c r="W918" s="142"/>
      <c r="X918" s="142"/>
    </row>
    <row r="919" spans="1:24" ht="16.149999999999999" hidden="1" customHeight="1" x14ac:dyDescent="0.2">
      <c r="A919" s="17"/>
      <c r="B919" s="3496"/>
      <c r="C919" s="3496"/>
      <c r="D919" s="3496"/>
      <c r="E919" s="3496"/>
      <c r="F919" s="3496"/>
      <c r="G919" s="17"/>
      <c r="H919" s="3497"/>
      <c r="I919" s="3497"/>
      <c r="J919" s="242"/>
      <c r="K919" s="236"/>
      <c r="Q919" s="142"/>
      <c r="R919" s="142"/>
      <c r="S919" s="142"/>
      <c r="T919" s="142"/>
      <c r="U919" s="142"/>
      <c r="V919" s="142"/>
      <c r="W919" s="142"/>
      <c r="X919" s="142"/>
    </row>
    <row r="920" spans="1:24" ht="16.149999999999999" hidden="1" customHeight="1" x14ac:dyDescent="0.2">
      <c r="A920" s="17"/>
      <c r="B920" s="3496"/>
      <c r="C920" s="3496"/>
      <c r="D920" s="3496"/>
      <c r="E920" s="3496"/>
      <c r="F920" s="3496"/>
      <c r="G920" s="17"/>
      <c r="H920" s="3497"/>
      <c r="I920" s="3497"/>
      <c r="J920" s="242"/>
      <c r="K920" s="236"/>
      <c r="Q920" s="142"/>
      <c r="R920" s="142"/>
      <c r="S920" s="142"/>
      <c r="T920" s="142"/>
      <c r="U920" s="142"/>
      <c r="V920" s="142"/>
      <c r="W920" s="142"/>
      <c r="X920" s="142"/>
    </row>
    <row r="921" spans="1:24" ht="16.149999999999999" hidden="1" customHeight="1" x14ac:dyDescent="0.2">
      <c r="A921" s="17"/>
      <c r="B921" s="3496"/>
      <c r="C921" s="3496"/>
      <c r="D921" s="3496"/>
      <c r="E921" s="3496"/>
      <c r="F921" s="3496"/>
      <c r="G921" s="17"/>
      <c r="H921" s="3497"/>
      <c r="I921" s="3497"/>
      <c r="J921" s="242"/>
      <c r="K921" s="236"/>
      <c r="Q921" s="142"/>
      <c r="R921" s="142"/>
      <c r="S921" s="142"/>
      <c r="T921" s="142"/>
      <c r="U921" s="142"/>
      <c r="V921" s="142"/>
      <c r="W921" s="142"/>
      <c r="X921" s="142"/>
    </row>
    <row r="922" spans="1:24" ht="16.149999999999999" hidden="1" customHeight="1" x14ac:dyDescent="0.2">
      <c r="A922" s="17"/>
      <c r="B922" s="3496"/>
      <c r="C922" s="3496"/>
      <c r="D922" s="3496"/>
      <c r="E922" s="3496"/>
      <c r="F922" s="3496"/>
      <c r="G922" s="17"/>
      <c r="H922" s="3497"/>
      <c r="I922" s="3497"/>
      <c r="J922" s="242"/>
      <c r="K922" s="236"/>
      <c r="Q922" s="142"/>
      <c r="R922" s="142"/>
      <c r="S922" s="142"/>
      <c r="T922" s="142"/>
      <c r="U922" s="142"/>
      <c r="V922" s="142"/>
      <c r="W922" s="142"/>
      <c r="X922" s="142"/>
    </row>
    <row r="923" spans="1:24" ht="16.149999999999999" hidden="1" customHeight="1" x14ac:dyDescent="0.2">
      <c r="A923" s="17"/>
      <c r="B923" s="3496"/>
      <c r="C923" s="3496"/>
      <c r="D923" s="3496"/>
      <c r="E923" s="3496"/>
      <c r="F923" s="3496"/>
      <c r="G923" s="17"/>
      <c r="H923" s="3497"/>
      <c r="I923" s="3497"/>
      <c r="J923" s="242"/>
      <c r="K923" s="236"/>
      <c r="Q923" s="142"/>
      <c r="R923" s="142"/>
      <c r="S923" s="142"/>
      <c r="T923" s="142"/>
      <c r="U923" s="142"/>
      <c r="V923" s="142"/>
      <c r="W923" s="142"/>
      <c r="X923" s="142"/>
    </row>
    <row r="924" spans="1:24" ht="16.149999999999999" hidden="1" customHeight="1" x14ac:dyDescent="0.2">
      <c r="A924" s="17"/>
      <c r="B924" s="3496"/>
      <c r="C924" s="3496"/>
      <c r="D924" s="3496"/>
      <c r="E924" s="3496"/>
      <c r="F924" s="3496"/>
      <c r="G924" s="17"/>
      <c r="H924" s="3497"/>
      <c r="I924" s="3497"/>
      <c r="J924" s="242"/>
      <c r="K924" s="236"/>
      <c r="Q924" s="142"/>
      <c r="R924" s="142"/>
      <c r="S924" s="142"/>
      <c r="T924" s="142"/>
      <c r="U924" s="142"/>
      <c r="V924" s="142"/>
      <c r="W924" s="142"/>
      <c r="X924" s="142"/>
    </row>
    <row r="925" spans="1:24" ht="16.149999999999999" hidden="1" customHeight="1" x14ac:dyDescent="0.2">
      <c r="A925" s="17"/>
      <c r="B925" s="3496"/>
      <c r="C925" s="3496"/>
      <c r="D925" s="3496"/>
      <c r="E925" s="3496"/>
      <c r="F925" s="3496"/>
      <c r="G925" s="17"/>
      <c r="H925" s="3497"/>
      <c r="I925" s="3497"/>
      <c r="J925" s="242"/>
      <c r="K925" s="236"/>
      <c r="Q925" s="142"/>
      <c r="R925" s="142"/>
      <c r="S925" s="142"/>
      <c r="T925" s="142"/>
      <c r="U925" s="142"/>
      <c r="V925" s="142"/>
      <c r="W925" s="142"/>
      <c r="X925" s="142"/>
    </row>
    <row r="926" spans="1:24" ht="16.149999999999999" hidden="1" customHeight="1" x14ac:dyDescent="0.2">
      <c r="A926" s="17"/>
      <c r="B926" s="3496"/>
      <c r="C926" s="3496"/>
      <c r="D926" s="3496"/>
      <c r="E926" s="3496"/>
      <c r="F926" s="3496"/>
      <c r="G926" s="17"/>
      <c r="H926" s="3497"/>
      <c r="I926" s="3497"/>
      <c r="J926" s="242"/>
      <c r="K926" s="236"/>
      <c r="Q926" s="142"/>
      <c r="R926" s="142"/>
      <c r="S926" s="142"/>
      <c r="T926" s="142"/>
      <c r="U926" s="142"/>
      <c r="V926" s="142"/>
      <c r="W926" s="142"/>
      <c r="X926" s="142"/>
    </row>
    <row r="927" spans="1:24" ht="16.149999999999999" hidden="1" customHeight="1" x14ac:dyDescent="0.2">
      <c r="A927" s="17"/>
      <c r="B927" s="3496"/>
      <c r="C927" s="3496"/>
      <c r="D927" s="3496"/>
      <c r="E927" s="3496"/>
      <c r="F927" s="3496"/>
      <c r="G927" s="17"/>
      <c r="H927" s="3497"/>
      <c r="I927" s="3497"/>
      <c r="J927" s="242"/>
      <c r="K927" s="236"/>
      <c r="Q927" s="142"/>
      <c r="R927" s="142"/>
      <c r="S927" s="142"/>
      <c r="T927" s="142"/>
      <c r="U927" s="142"/>
      <c r="V927" s="142"/>
      <c r="W927" s="142"/>
      <c r="X927" s="142"/>
    </row>
    <row r="928" spans="1:24" ht="16.149999999999999" hidden="1" customHeight="1" x14ac:dyDescent="0.2">
      <c r="A928" s="17"/>
      <c r="B928" s="3496"/>
      <c r="C928" s="3496"/>
      <c r="D928" s="3496"/>
      <c r="E928" s="3496"/>
      <c r="F928" s="3496"/>
      <c r="G928" s="17"/>
      <c r="H928" s="3497"/>
      <c r="I928" s="3497"/>
      <c r="J928" s="242"/>
      <c r="K928" s="236"/>
      <c r="Q928" s="142"/>
      <c r="R928" s="142"/>
      <c r="S928" s="142"/>
      <c r="T928" s="142"/>
      <c r="U928" s="142"/>
      <c r="V928" s="142"/>
      <c r="W928" s="142"/>
      <c r="X928" s="142"/>
    </row>
    <row r="929" spans="1:24" ht="16.149999999999999" hidden="1" customHeight="1" x14ac:dyDescent="0.2">
      <c r="A929" s="17"/>
      <c r="B929" s="3496"/>
      <c r="C929" s="3496"/>
      <c r="D929" s="3496"/>
      <c r="E929" s="3496"/>
      <c r="F929" s="3496"/>
      <c r="G929" s="17"/>
      <c r="H929" s="3497"/>
      <c r="I929" s="3497"/>
      <c r="J929" s="242"/>
      <c r="K929" s="236"/>
      <c r="Q929" s="142"/>
      <c r="R929" s="142"/>
      <c r="S929" s="142"/>
      <c r="T929" s="142"/>
      <c r="U929" s="142"/>
      <c r="V929" s="142"/>
      <c r="W929" s="142"/>
      <c r="X929" s="142"/>
    </row>
    <row r="930" spans="1:24" ht="16.149999999999999" hidden="1" customHeight="1" x14ac:dyDescent="0.2">
      <c r="A930" s="17"/>
      <c r="B930" s="3496"/>
      <c r="C930" s="3496"/>
      <c r="D930" s="3496"/>
      <c r="E930" s="3496"/>
      <c r="F930" s="3496"/>
      <c r="G930" s="17"/>
      <c r="H930" s="3497"/>
      <c r="I930" s="3497"/>
      <c r="J930" s="242"/>
      <c r="K930" s="236"/>
      <c r="Q930" s="142"/>
      <c r="R930" s="142"/>
      <c r="S930" s="142"/>
      <c r="T930" s="142"/>
      <c r="U930" s="142"/>
      <c r="V930" s="142"/>
      <c r="W930" s="142"/>
      <c r="X930" s="142"/>
    </row>
    <row r="931" spans="1:24" ht="16.149999999999999" hidden="1" customHeight="1" x14ac:dyDescent="0.2">
      <c r="A931" s="17"/>
      <c r="B931" s="3496"/>
      <c r="C931" s="3496"/>
      <c r="D931" s="3496"/>
      <c r="E931" s="3496"/>
      <c r="F931" s="3496"/>
      <c r="G931" s="17"/>
      <c r="H931" s="3497"/>
      <c r="I931" s="3497"/>
      <c r="J931" s="242"/>
      <c r="K931" s="236"/>
      <c r="Q931" s="142"/>
      <c r="R931" s="142"/>
      <c r="S931" s="142"/>
      <c r="T931" s="142"/>
      <c r="U931" s="142"/>
      <c r="V931" s="142"/>
      <c r="W931" s="142"/>
      <c r="X931" s="142"/>
    </row>
    <row r="932" spans="1:24" ht="16.149999999999999" hidden="1" customHeight="1" x14ac:dyDescent="0.2">
      <c r="A932" s="17"/>
      <c r="B932" s="3496"/>
      <c r="C932" s="3496"/>
      <c r="D932" s="3496"/>
      <c r="E932" s="3496"/>
      <c r="F932" s="3496"/>
      <c r="G932" s="17"/>
      <c r="H932" s="3497"/>
      <c r="I932" s="3497"/>
      <c r="J932" s="242"/>
      <c r="K932" s="236"/>
      <c r="Q932" s="142"/>
      <c r="R932" s="142"/>
      <c r="S932" s="142"/>
      <c r="T932" s="142"/>
      <c r="U932" s="142"/>
      <c r="V932" s="142"/>
      <c r="W932" s="142"/>
      <c r="X932" s="142"/>
    </row>
    <row r="933" spans="1:24" ht="16.149999999999999" hidden="1" customHeight="1" x14ac:dyDescent="0.2">
      <c r="A933" s="17"/>
      <c r="B933" s="3496"/>
      <c r="C933" s="3496"/>
      <c r="D933" s="3496"/>
      <c r="E933" s="3496"/>
      <c r="F933" s="3496"/>
      <c r="G933" s="17"/>
      <c r="H933" s="3497"/>
      <c r="I933" s="3497"/>
      <c r="J933" s="242"/>
      <c r="K933" s="236"/>
      <c r="Q933" s="142"/>
      <c r="R933" s="142"/>
      <c r="S933" s="142"/>
      <c r="T933" s="142"/>
      <c r="U933" s="142"/>
      <c r="V933" s="142"/>
      <c r="W933" s="142"/>
      <c r="X933" s="142"/>
    </row>
    <row r="934" spans="1:24" ht="16.149999999999999" hidden="1" customHeight="1" x14ac:dyDescent="0.2">
      <c r="A934" s="17"/>
      <c r="B934" s="3496"/>
      <c r="C934" s="3496"/>
      <c r="D934" s="3496"/>
      <c r="E934" s="3496"/>
      <c r="F934" s="3496"/>
      <c r="G934" s="17"/>
      <c r="H934" s="3497"/>
      <c r="I934" s="3497"/>
      <c r="J934" s="242"/>
      <c r="K934" s="236"/>
      <c r="Q934" s="142"/>
      <c r="R934" s="142"/>
      <c r="S934" s="142"/>
      <c r="T934" s="142"/>
      <c r="U934" s="142"/>
      <c r="V934" s="142"/>
      <c r="W934" s="142"/>
      <c r="X934" s="142"/>
    </row>
    <row r="935" spans="1:24" ht="16.149999999999999" hidden="1" customHeight="1" x14ac:dyDescent="0.2">
      <c r="A935" s="17"/>
      <c r="B935" s="3496"/>
      <c r="C935" s="3496"/>
      <c r="D935" s="3496"/>
      <c r="E935" s="3496"/>
      <c r="F935" s="3496"/>
      <c r="G935" s="17"/>
      <c r="H935" s="3497"/>
      <c r="I935" s="3497"/>
      <c r="J935" s="242"/>
      <c r="K935" s="236"/>
      <c r="Q935" s="142"/>
      <c r="R935" s="142"/>
      <c r="S935" s="142"/>
      <c r="T935" s="142"/>
      <c r="U935" s="142"/>
      <c r="V935" s="142"/>
      <c r="W935" s="142"/>
      <c r="X935" s="142"/>
    </row>
    <row r="936" spans="1:24" ht="16.149999999999999" hidden="1" customHeight="1" x14ac:dyDescent="0.2">
      <c r="A936" s="17"/>
      <c r="B936" s="3496"/>
      <c r="C936" s="3496"/>
      <c r="D936" s="3496"/>
      <c r="E936" s="3496"/>
      <c r="F936" s="3496"/>
      <c r="G936" s="17"/>
      <c r="H936" s="3497"/>
      <c r="I936" s="3497"/>
      <c r="J936" s="242"/>
      <c r="K936" s="236"/>
      <c r="Q936" s="142"/>
      <c r="R936" s="142"/>
      <c r="S936" s="142"/>
      <c r="T936" s="142"/>
      <c r="U936" s="142"/>
      <c r="V936" s="142"/>
      <c r="W936" s="142"/>
      <c r="X936" s="142"/>
    </row>
    <row r="937" spans="1:24" ht="16.149999999999999" hidden="1" customHeight="1" x14ac:dyDescent="0.2">
      <c r="A937" s="17"/>
      <c r="B937" s="3496"/>
      <c r="C937" s="3496"/>
      <c r="D937" s="3496"/>
      <c r="E937" s="3496"/>
      <c r="F937" s="3496"/>
      <c r="G937" s="17"/>
      <c r="H937" s="3497"/>
      <c r="I937" s="3497"/>
      <c r="J937" s="242"/>
      <c r="K937" s="236"/>
      <c r="Q937" s="142"/>
      <c r="R937" s="142"/>
      <c r="S937" s="142"/>
      <c r="T937" s="142"/>
      <c r="U937" s="142"/>
      <c r="V937" s="142"/>
      <c r="W937" s="142"/>
      <c r="X937" s="142"/>
    </row>
    <row r="938" spans="1:24" ht="16.149999999999999" hidden="1" customHeight="1" x14ac:dyDescent="0.2">
      <c r="A938" s="17"/>
      <c r="B938" s="3496"/>
      <c r="C938" s="3496"/>
      <c r="D938" s="3496"/>
      <c r="E938" s="3496"/>
      <c r="F938" s="3496"/>
      <c r="G938" s="17"/>
      <c r="H938" s="3497"/>
      <c r="I938" s="3497"/>
      <c r="J938" s="242"/>
      <c r="K938" s="236"/>
      <c r="Q938" s="142"/>
      <c r="R938" s="142"/>
      <c r="S938" s="142"/>
      <c r="T938" s="142"/>
      <c r="U938" s="142"/>
      <c r="V938" s="142"/>
      <c r="W938" s="142"/>
      <c r="X938" s="142"/>
    </row>
    <row r="939" spans="1:24" ht="16.149999999999999" hidden="1" customHeight="1" x14ac:dyDescent="0.2">
      <c r="A939" s="17"/>
      <c r="B939" s="3496"/>
      <c r="C939" s="3496"/>
      <c r="D939" s="3496"/>
      <c r="E939" s="3496"/>
      <c r="F939" s="3496"/>
      <c r="G939" s="17"/>
      <c r="H939" s="3497"/>
      <c r="I939" s="3497"/>
      <c r="J939" s="242"/>
      <c r="K939" s="236"/>
      <c r="Q939" s="142"/>
      <c r="R939" s="142"/>
      <c r="S939" s="142"/>
      <c r="T939" s="142"/>
      <c r="U939" s="142"/>
      <c r="V939" s="142"/>
      <c r="W939" s="142"/>
      <c r="X939" s="142"/>
    </row>
    <row r="940" spans="1:24" ht="16.149999999999999" hidden="1" customHeight="1" x14ac:dyDescent="0.2">
      <c r="A940" s="17"/>
      <c r="B940" s="3496"/>
      <c r="C940" s="3496"/>
      <c r="D940" s="3496"/>
      <c r="E940" s="3496"/>
      <c r="F940" s="3496"/>
      <c r="G940" s="17"/>
      <c r="H940" s="3497"/>
      <c r="I940" s="3497"/>
      <c r="J940" s="242"/>
      <c r="K940" s="236"/>
      <c r="Q940" s="142"/>
      <c r="R940" s="142"/>
      <c r="S940" s="142"/>
      <c r="T940" s="142"/>
      <c r="U940" s="142"/>
      <c r="V940" s="142"/>
      <c r="W940" s="142"/>
      <c r="X940" s="142"/>
    </row>
    <row r="941" spans="1:24" ht="16.149999999999999" hidden="1" customHeight="1" x14ac:dyDescent="0.2">
      <c r="A941" s="17"/>
      <c r="B941" s="3496"/>
      <c r="C941" s="3496"/>
      <c r="D941" s="3496"/>
      <c r="E941" s="3496"/>
      <c r="F941" s="3496"/>
      <c r="G941" s="17"/>
      <c r="H941" s="3497"/>
      <c r="I941" s="3497"/>
      <c r="J941" s="242"/>
      <c r="K941" s="236"/>
      <c r="Q941" s="142"/>
      <c r="R941" s="142"/>
      <c r="S941" s="142"/>
      <c r="T941" s="142"/>
      <c r="U941" s="142"/>
      <c r="V941" s="142"/>
      <c r="W941" s="142"/>
      <c r="X941" s="142"/>
    </row>
    <row r="942" spans="1:24" ht="16.149999999999999" hidden="1" customHeight="1" x14ac:dyDescent="0.2">
      <c r="A942" s="17"/>
      <c r="B942" s="3496"/>
      <c r="C942" s="3496"/>
      <c r="D942" s="3496"/>
      <c r="E942" s="3496"/>
      <c r="F942" s="3496"/>
      <c r="G942" s="17"/>
      <c r="H942" s="3497"/>
      <c r="I942" s="3497"/>
      <c r="J942" s="242"/>
      <c r="K942" s="236"/>
      <c r="Q942" s="142"/>
      <c r="R942" s="142"/>
      <c r="S942" s="142"/>
      <c r="T942" s="142"/>
      <c r="U942" s="142"/>
      <c r="V942" s="142"/>
      <c r="W942" s="142"/>
      <c r="X942" s="142"/>
    </row>
    <row r="943" spans="1:24" ht="16.149999999999999" hidden="1" customHeight="1" x14ac:dyDescent="0.2">
      <c r="A943" s="17"/>
      <c r="B943" s="3496"/>
      <c r="C943" s="3496"/>
      <c r="D943" s="3496"/>
      <c r="E943" s="3496"/>
      <c r="F943" s="3496"/>
      <c r="G943" s="17"/>
      <c r="H943" s="3497"/>
      <c r="I943" s="3497"/>
      <c r="J943" s="242"/>
      <c r="K943" s="236"/>
      <c r="Q943" s="142"/>
      <c r="R943" s="142"/>
      <c r="S943" s="142"/>
      <c r="T943" s="142"/>
      <c r="U943" s="142"/>
      <c r="V943" s="142"/>
      <c r="W943" s="142"/>
      <c r="X943" s="142"/>
    </row>
    <row r="944" spans="1:24" ht="16.149999999999999" hidden="1" customHeight="1" x14ac:dyDescent="0.2">
      <c r="A944" s="17"/>
      <c r="B944" s="3496"/>
      <c r="C944" s="3496"/>
      <c r="D944" s="3496"/>
      <c r="E944" s="3496"/>
      <c r="F944" s="3496"/>
      <c r="G944" s="17"/>
      <c r="H944" s="3497"/>
      <c r="I944" s="3497"/>
      <c r="J944" s="242"/>
      <c r="K944" s="236"/>
      <c r="Q944" s="142"/>
      <c r="R944" s="142"/>
      <c r="S944" s="142"/>
      <c r="T944" s="142"/>
      <c r="U944" s="142"/>
      <c r="V944" s="142"/>
      <c r="W944" s="142"/>
      <c r="X944" s="142"/>
    </row>
    <row r="945" spans="1:24" ht="16.149999999999999" hidden="1" customHeight="1" x14ac:dyDescent="0.2">
      <c r="A945" s="17"/>
      <c r="B945" s="3496"/>
      <c r="C945" s="3496"/>
      <c r="D945" s="3496"/>
      <c r="E945" s="3496"/>
      <c r="F945" s="3496"/>
      <c r="G945" s="17"/>
      <c r="H945" s="3497"/>
      <c r="I945" s="3497"/>
      <c r="J945" s="242"/>
      <c r="K945" s="236"/>
      <c r="Q945" s="142"/>
      <c r="R945" s="142"/>
      <c r="S945" s="142"/>
      <c r="T945" s="142"/>
      <c r="U945" s="142"/>
      <c r="V945" s="142"/>
      <c r="W945" s="142"/>
      <c r="X945" s="142"/>
    </row>
    <row r="946" spans="1:24" ht="16.149999999999999" hidden="1" customHeight="1" x14ac:dyDescent="0.2">
      <c r="A946" s="17"/>
      <c r="B946" s="3496"/>
      <c r="C946" s="3496"/>
      <c r="D946" s="3496"/>
      <c r="E946" s="3496"/>
      <c r="F946" s="3496"/>
      <c r="G946" s="17"/>
      <c r="H946" s="3497"/>
      <c r="I946" s="3497"/>
      <c r="J946" s="242"/>
      <c r="K946" s="236"/>
      <c r="Q946" s="142"/>
      <c r="R946" s="142"/>
      <c r="S946" s="142"/>
      <c r="T946" s="142"/>
      <c r="U946" s="142"/>
      <c r="V946" s="142"/>
      <c r="W946" s="142"/>
      <c r="X946" s="142"/>
    </row>
    <row r="947" spans="1:24" ht="16.149999999999999" hidden="1" customHeight="1" x14ac:dyDescent="0.2">
      <c r="A947" s="17"/>
      <c r="B947" s="3496"/>
      <c r="C947" s="3496"/>
      <c r="D947" s="3496"/>
      <c r="E947" s="3496"/>
      <c r="F947" s="3496"/>
      <c r="G947" s="17"/>
      <c r="H947" s="3497"/>
      <c r="I947" s="3497"/>
      <c r="J947" s="242"/>
      <c r="K947" s="236"/>
      <c r="Q947" s="142"/>
      <c r="R947" s="142"/>
      <c r="S947" s="142"/>
      <c r="T947" s="142"/>
      <c r="U947" s="142"/>
      <c r="V947" s="142"/>
      <c r="W947" s="142"/>
      <c r="X947" s="142"/>
    </row>
    <row r="948" spans="1:24" ht="16.149999999999999" hidden="1" customHeight="1" x14ac:dyDescent="0.2">
      <c r="A948" s="17"/>
      <c r="B948" s="3496"/>
      <c r="C948" s="3496"/>
      <c r="D948" s="3496"/>
      <c r="E948" s="3496"/>
      <c r="F948" s="3496"/>
      <c r="G948" s="17"/>
      <c r="H948" s="3497"/>
      <c r="I948" s="3497"/>
      <c r="J948" s="242"/>
      <c r="K948" s="236"/>
      <c r="Q948" s="142"/>
      <c r="R948" s="142"/>
      <c r="S948" s="142"/>
      <c r="T948" s="142"/>
      <c r="U948" s="142"/>
      <c r="V948" s="142"/>
      <c r="W948" s="142"/>
      <c r="X948" s="142"/>
    </row>
    <row r="949" spans="1:24" ht="16.149999999999999" hidden="1" customHeight="1" x14ac:dyDescent="0.2">
      <c r="A949" s="17"/>
      <c r="B949" s="3496"/>
      <c r="C949" s="3496"/>
      <c r="D949" s="3496"/>
      <c r="E949" s="3496"/>
      <c r="F949" s="3496"/>
      <c r="G949" s="17"/>
      <c r="H949" s="3497"/>
      <c r="I949" s="3497"/>
      <c r="J949" s="242"/>
      <c r="K949" s="236"/>
      <c r="Q949" s="142"/>
      <c r="R949" s="142"/>
      <c r="S949" s="142"/>
      <c r="T949" s="142"/>
      <c r="U949" s="142"/>
      <c r="V949" s="142"/>
      <c r="W949" s="142"/>
      <c r="X949" s="142"/>
    </row>
    <row r="950" spans="1:24" ht="16.149999999999999" hidden="1" customHeight="1" x14ac:dyDescent="0.2">
      <c r="A950" s="17"/>
      <c r="B950" s="3496"/>
      <c r="C950" s="3496"/>
      <c r="D950" s="3496"/>
      <c r="E950" s="3496"/>
      <c r="F950" s="3496"/>
      <c r="G950" s="17"/>
      <c r="H950" s="3497"/>
      <c r="I950" s="3497"/>
      <c r="J950" s="242"/>
      <c r="K950" s="236"/>
      <c r="Q950" s="142"/>
      <c r="R950" s="142"/>
      <c r="S950" s="142"/>
      <c r="T950" s="142"/>
      <c r="U950" s="142"/>
      <c r="V950" s="142"/>
      <c r="W950" s="142"/>
      <c r="X950" s="142"/>
    </row>
    <row r="951" spans="1:24" ht="16.149999999999999" hidden="1" customHeight="1" x14ac:dyDescent="0.2">
      <c r="A951" s="17"/>
      <c r="B951" s="3496"/>
      <c r="C951" s="3496"/>
      <c r="D951" s="3496"/>
      <c r="E951" s="3496"/>
      <c r="F951" s="3496"/>
      <c r="G951" s="17"/>
      <c r="H951" s="3497"/>
      <c r="I951" s="3497"/>
      <c r="J951" s="242"/>
      <c r="K951" s="236"/>
      <c r="Q951" s="142"/>
      <c r="R951" s="142"/>
      <c r="S951" s="142"/>
      <c r="T951" s="142"/>
      <c r="U951" s="142"/>
      <c r="V951" s="142"/>
      <c r="W951" s="142"/>
      <c r="X951" s="142"/>
    </row>
    <row r="952" spans="1:24" ht="16.149999999999999" hidden="1" customHeight="1" x14ac:dyDescent="0.2">
      <c r="A952" s="17"/>
      <c r="B952" s="3496"/>
      <c r="C952" s="3496"/>
      <c r="D952" s="3496"/>
      <c r="E952" s="3496"/>
      <c r="F952" s="3496"/>
      <c r="G952" s="17"/>
      <c r="H952" s="3497"/>
      <c r="I952" s="3497"/>
      <c r="J952" s="242"/>
      <c r="K952" s="236"/>
      <c r="Q952" s="142"/>
      <c r="R952" s="142"/>
      <c r="S952" s="142"/>
      <c r="T952" s="142"/>
      <c r="U952" s="142"/>
      <c r="V952" s="142"/>
      <c r="W952" s="142"/>
      <c r="X952" s="142"/>
    </row>
    <row r="953" spans="1:24" ht="16.149999999999999" hidden="1" customHeight="1" x14ac:dyDescent="0.2">
      <c r="A953" s="17"/>
      <c r="B953" s="3496"/>
      <c r="C953" s="3496"/>
      <c r="D953" s="3496"/>
      <c r="E953" s="3496"/>
      <c r="F953" s="3496"/>
      <c r="G953" s="17"/>
      <c r="H953" s="3497"/>
      <c r="I953" s="3497"/>
      <c r="J953" s="242"/>
      <c r="K953" s="236"/>
      <c r="Q953" s="142"/>
      <c r="R953" s="142"/>
      <c r="S953" s="142"/>
      <c r="T953" s="142"/>
      <c r="U953" s="142"/>
      <c r="V953" s="142"/>
      <c r="W953" s="142"/>
      <c r="X953" s="142"/>
    </row>
    <row r="954" spans="1:24" ht="16.149999999999999" hidden="1" customHeight="1" x14ac:dyDescent="0.2">
      <c r="A954" s="17"/>
      <c r="B954" s="3496"/>
      <c r="C954" s="3496"/>
      <c r="D954" s="3496"/>
      <c r="E954" s="3496"/>
      <c r="F954" s="3496"/>
      <c r="G954" s="17"/>
      <c r="H954" s="3497"/>
      <c r="I954" s="3497"/>
      <c r="J954" s="242"/>
      <c r="K954" s="236"/>
      <c r="Q954" s="142"/>
      <c r="R954" s="142"/>
      <c r="S954" s="142"/>
      <c r="T954" s="142"/>
      <c r="U954" s="142"/>
      <c r="V954" s="142"/>
      <c r="W954" s="142"/>
      <c r="X954" s="142"/>
    </row>
    <row r="955" spans="1:24" ht="16.149999999999999" hidden="1" customHeight="1" x14ac:dyDescent="0.2">
      <c r="A955" s="17"/>
      <c r="B955" s="3496"/>
      <c r="C955" s="3496"/>
      <c r="D955" s="3496"/>
      <c r="E955" s="3496"/>
      <c r="F955" s="3496"/>
      <c r="G955" s="17"/>
      <c r="H955" s="3497"/>
      <c r="I955" s="3497"/>
      <c r="J955" s="242"/>
      <c r="K955" s="236"/>
      <c r="Q955" s="142"/>
      <c r="R955" s="142"/>
      <c r="S955" s="142"/>
      <c r="T955" s="142"/>
      <c r="U955" s="142"/>
      <c r="V955" s="142"/>
      <c r="W955" s="142"/>
      <c r="X955" s="142"/>
    </row>
    <row r="956" spans="1:24" ht="16.149999999999999" hidden="1" customHeight="1" x14ac:dyDescent="0.2">
      <c r="A956" s="17"/>
      <c r="B956" s="3496"/>
      <c r="C956" s="3496"/>
      <c r="D956" s="3496"/>
      <c r="E956" s="3496"/>
      <c r="F956" s="3496"/>
      <c r="G956" s="17"/>
      <c r="H956" s="3497"/>
      <c r="I956" s="3497"/>
      <c r="J956" s="242"/>
      <c r="K956" s="236"/>
      <c r="Q956" s="142"/>
      <c r="R956" s="142"/>
      <c r="S956" s="142"/>
      <c r="T956" s="142"/>
      <c r="U956" s="142"/>
      <c r="V956" s="142"/>
      <c r="W956" s="142"/>
      <c r="X956" s="142"/>
    </row>
    <row r="957" spans="1:24" ht="16.149999999999999" hidden="1" customHeight="1" x14ac:dyDescent="0.2">
      <c r="A957" s="17"/>
      <c r="B957" s="3496"/>
      <c r="C957" s="3496"/>
      <c r="D957" s="3496"/>
      <c r="E957" s="3496"/>
      <c r="F957" s="3496"/>
      <c r="G957" s="17"/>
      <c r="H957" s="3497"/>
      <c r="I957" s="3497"/>
      <c r="J957" s="242"/>
      <c r="K957" s="236"/>
      <c r="Q957" s="142"/>
      <c r="R957" s="142"/>
      <c r="S957" s="142"/>
      <c r="T957" s="142"/>
      <c r="U957" s="142"/>
      <c r="V957" s="142"/>
      <c r="W957" s="142"/>
      <c r="X957" s="142"/>
    </row>
    <row r="958" spans="1:24" ht="16.149999999999999" hidden="1" customHeight="1" x14ac:dyDescent="0.2">
      <c r="A958" s="17"/>
      <c r="B958" s="3496"/>
      <c r="C958" s="3496"/>
      <c r="D958" s="3496"/>
      <c r="E958" s="3496"/>
      <c r="F958" s="3496"/>
      <c r="G958" s="17"/>
      <c r="H958" s="3497"/>
      <c r="I958" s="3497"/>
      <c r="J958" s="242"/>
      <c r="K958" s="236"/>
      <c r="Q958" s="142"/>
      <c r="R958" s="142"/>
      <c r="S958" s="142"/>
      <c r="T958" s="142"/>
      <c r="U958" s="142"/>
      <c r="V958" s="142"/>
      <c r="W958" s="142"/>
      <c r="X958" s="142"/>
    </row>
    <row r="959" spans="1:24" ht="16.149999999999999" hidden="1" customHeight="1" x14ac:dyDescent="0.2">
      <c r="A959" s="17"/>
      <c r="B959" s="3496"/>
      <c r="C959" s="3496"/>
      <c r="D959" s="3496"/>
      <c r="E959" s="3496"/>
      <c r="F959" s="3496"/>
      <c r="G959" s="17"/>
      <c r="H959" s="3497"/>
      <c r="I959" s="3497"/>
      <c r="J959" s="242"/>
      <c r="K959" s="236"/>
      <c r="Q959" s="142"/>
      <c r="R959" s="142"/>
      <c r="S959" s="142"/>
      <c r="T959" s="142"/>
      <c r="U959" s="142"/>
      <c r="V959" s="142"/>
      <c r="W959" s="142"/>
      <c r="X959" s="142"/>
    </row>
    <row r="960" spans="1:24" ht="16.149999999999999" hidden="1" customHeight="1" x14ac:dyDescent="0.2">
      <c r="A960" s="17"/>
      <c r="B960" s="3496"/>
      <c r="C960" s="3496"/>
      <c r="D960" s="3496"/>
      <c r="E960" s="3496"/>
      <c r="F960" s="3496"/>
      <c r="G960" s="17"/>
      <c r="H960" s="3497"/>
      <c r="I960" s="3497"/>
      <c r="J960" s="242"/>
      <c r="K960" s="236"/>
      <c r="Q960" s="142"/>
      <c r="R960" s="142"/>
      <c r="S960" s="142"/>
      <c r="T960" s="142"/>
      <c r="U960" s="142"/>
      <c r="V960" s="142"/>
      <c r="W960" s="142"/>
      <c r="X960" s="142"/>
    </row>
    <row r="961" spans="1:24" ht="16.149999999999999" hidden="1" customHeight="1" x14ac:dyDescent="0.2">
      <c r="A961" s="17"/>
      <c r="B961" s="3496"/>
      <c r="C961" s="3496"/>
      <c r="D961" s="3496"/>
      <c r="E961" s="3496"/>
      <c r="F961" s="3496"/>
      <c r="G961" s="17"/>
      <c r="H961" s="3497"/>
      <c r="I961" s="3497"/>
      <c r="J961" s="242"/>
      <c r="K961" s="236"/>
      <c r="Q961" s="142"/>
      <c r="R961" s="142"/>
      <c r="S961" s="142"/>
      <c r="T961" s="142"/>
      <c r="U961" s="142"/>
      <c r="V961" s="142"/>
      <c r="W961" s="142"/>
      <c r="X961" s="142"/>
    </row>
    <row r="962" spans="1:24" ht="16.149999999999999" hidden="1" customHeight="1" x14ac:dyDescent="0.2">
      <c r="A962" s="17"/>
      <c r="B962" s="3496"/>
      <c r="C962" s="3496"/>
      <c r="D962" s="3496"/>
      <c r="E962" s="3496"/>
      <c r="F962" s="3496"/>
      <c r="G962" s="17"/>
      <c r="H962" s="3497"/>
      <c r="I962" s="3497"/>
      <c r="J962" s="242"/>
      <c r="K962" s="236"/>
      <c r="Q962" s="142"/>
      <c r="R962" s="142"/>
      <c r="S962" s="142"/>
      <c r="T962" s="142"/>
      <c r="U962" s="142"/>
      <c r="V962" s="142"/>
      <c r="W962" s="142"/>
      <c r="X962" s="142"/>
    </row>
    <row r="963" spans="1:24" ht="16.149999999999999" hidden="1" customHeight="1" x14ac:dyDescent="0.2">
      <c r="A963" s="17"/>
      <c r="B963" s="3496"/>
      <c r="C963" s="3496"/>
      <c r="D963" s="3496"/>
      <c r="E963" s="3496"/>
      <c r="F963" s="3496"/>
      <c r="G963" s="17"/>
      <c r="H963" s="3497"/>
      <c r="I963" s="3497"/>
      <c r="J963" s="242"/>
      <c r="K963" s="236"/>
      <c r="Q963" s="142"/>
      <c r="R963" s="142"/>
      <c r="S963" s="142"/>
      <c r="T963" s="142"/>
      <c r="U963" s="142"/>
      <c r="V963" s="142"/>
      <c r="W963" s="142"/>
      <c r="X963" s="142"/>
    </row>
    <row r="964" spans="1:24" ht="16.149999999999999" hidden="1" customHeight="1" x14ac:dyDescent="0.2">
      <c r="A964" s="17"/>
      <c r="B964" s="3496"/>
      <c r="C964" s="3496"/>
      <c r="D964" s="3496"/>
      <c r="E964" s="3496"/>
      <c r="F964" s="3496"/>
      <c r="G964" s="17"/>
      <c r="H964" s="3497"/>
      <c r="I964" s="3497"/>
      <c r="J964" s="242"/>
      <c r="K964" s="236"/>
      <c r="Q964" s="142"/>
      <c r="R964" s="142"/>
      <c r="S964" s="142"/>
      <c r="T964" s="142"/>
      <c r="U964" s="142"/>
      <c r="V964" s="142"/>
      <c r="W964" s="142"/>
      <c r="X964" s="142"/>
    </row>
    <row r="965" spans="1:24" ht="16.149999999999999" hidden="1" customHeight="1" x14ac:dyDescent="0.2">
      <c r="A965" s="17"/>
      <c r="B965" s="3496"/>
      <c r="C965" s="3496"/>
      <c r="D965" s="3496"/>
      <c r="E965" s="3496"/>
      <c r="F965" s="3496"/>
      <c r="G965" s="17"/>
      <c r="H965" s="3497"/>
      <c r="I965" s="3497"/>
      <c r="J965" s="242"/>
      <c r="K965" s="236"/>
      <c r="Q965" s="142"/>
      <c r="R965" s="142"/>
      <c r="S965" s="142"/>
      <c r="T965" s="142"/>
      <c r="U965" s="142"/>
      <c r="V965" s="142"/>
      <c r="W965" s="142"/>
      <c r="X965" s="142"/>
    </row>
    <row r="966" spans="1:24" ht="16.149999999999999" hidden="1" customHeight="1" x14ac:dyDescent="0.2">
      <c r="A966" s="17"/>
      <c r="B966" s="3496"/>
      <c r="C966" s="3496"/>
      <c r="D966" s="3496"/>
      <c r="E966" s="3496"/>
      <c r="F966" s="3496"/>
      <c r="G966" s="17"/>
      <c r="H966" s="3497"/>
      <c r="I966" s="3497"/>
      <c r="J966" s="242"/>
      <c r="K966" s="236"/>
      <c r="Q966" s="142"/>
      <c r="R966" s="142"/>
      <c r="S966" s="142"/>
      <c r="T966" s="142"/>
      <c r="U966" s="142"/>
      <c r="V966" s="142"/>
      <c r="W966" s="142"/>
      <c r="X966" s="142"/>
    </row>
    <row r="967" spans="1:24" ht="16.149999999999999" hidden="1" customHeight="1" x14ac:dyDescent="0.2">
      <c r="A967" s="17"/>
      <c r="B967" s="3496"/>
      <c r="C967" s="3496"/>
      <c r="D967" s="3496"/>
      <c r="E967" s="3496"/>
      <c r="F967" s="3496"/>
      <c r="G967" s="17"/>
      <c r="H967" s="3497"/>
      <c r="I967" s="3497"/>
      <c r="J967" s="242"/>
      <c r="K967" s="236"/>
      <c r="Q967" s="142"/>
      <c r="R967" s="142"/>
      <c r="S967" s="142"/>
      <c r="T967" s="142"/>
      <c r="U967" s="142"/>
      <c r="V967" s="142"/>
      <c r="W967" s="142"/>
      <c r="X967" s="142"/>
    </row>
    <row r="968" spans="1:24" ht="16.149999999999999" hidden="1" customHeight="1" x14ac:dyDescent="0.2">
      <c r="A968" s="17"/>
      <c r="B968" s="3496"/>
      <c r="C968" s="3496"/>
      <c r="D968" s="3496"/>
      <c r="E968" s="3496"/>
      <c r="F968" s="3496"/>
      <c r="G968" s="17"/>
      <c r="H968" s="3497"/>
      <c r="I968" s="3497"/>
      <c r="J968" s="242"/>
      <c r="K968" s="236"/>
      <c r="Q968" s="142"/>
      <c r="R968" s="142"/>
      <c r="S968" s="142"/>
      <c r="T968" s="142"/>
      <c r="U968" s="142"/>
      <c r="V968" s="142"/>
      <c r="W968" s="142"/>
      <c r="X968" s="142"/>
    </row>
    <row r="969" spans="1:24" ht="16.149999999999999" hidden="1" customHeight="1" x14ac:dyDescent="0.2">
      <c r="A969" s="17"/>
      <c r="B969" s="3496"/>
      <c r="C969" s="3496"/>
      <c r="D969" s="3496"/>
      <c r="E969" s="3496"/>
      <c r="F969" s="3496"/>
      <c r="G969" s="17"/>
      <c r="H969" s="3497"/>
      <c r="I969" s="3497"/>
      <c r="J969" s="242"/>
      <c r="K969" s="236"/>
      <c r="Q969" s="142"/>
      <c r="R969" s="142"/>
      <c r="S969" s="142"/>
      <c r="T969" s="142"/>
      <c r="U969" s="142"/>
      <c r="V969" s="142"/>
      <c r="W969" s="142"/>
      <c r="X969" s="142"/>
    </row>
    <row r="970" spans="1:24" ht="16.149999999999999" hidden="1" customHeight="1" x14ac:dyDescent="0.2">
      <c r="A970" s="17"/>
      <c r="B970" s="3496"/>
      <c r="C970" s="3496"/>
      <c r="D970" s="3496"/>
      <c r="E970" s="3496"/>
      <c r="F970" s="3496"/>
      <c r="G970" s="17"/>
      <c r="H970" s="3497"/>
      <c r="I970" s="3497"/>
      <c r="J970" s="242"/>
      <c r="K970" s="236"/>
      <c r="Q970" s="142"/>
      <c r="R970" s="142"/>
      <c r="S970" s="142"/>
      <c r="T970" s="142"/>
      <c r="U970" s="142"/>
      <c r="V970" s="142"/>
      <c r="W970" s="142"/>
      <c r="X970" s="142"/>
    </row>
    <row r="971" spans="1:24" ht="16.149999999999999" hidden="1" customHeight="1" x14ac:dyDescent="0.2">
      <c r="A971" s="17"/>
      <c r="B971" s="3496"/>
      <c r="C971" s="3496"/>
      <c r="D971" s="3496"/>
      <c r="E971" s="3496"/>
      <c r="F971" s="3496"/>
      <c r="G971" s="17"/>
      <c r="H971" s="3497"/>
      <c r="I971" s="3497"/>
      <c r="J971" s="242"/>
      <c r="K971" s="236"/>
      <c r="Q971" s="142"/>
      <c r="R971" s="142"/>
      <c r="S971" s="142"/>
      <c r="T971" s="142"/>
      <c r="U971" s="142"/>
      <c r="V971" s="142"/>
      <c r="W971" s="142"/>
      <c r="X971" s="142"/>
    </row>
    <row r="972" spans="1:24" ht="16.149999999999999" hidden="1" customHeight="1" x14ac:dyDescent="0.2">
      <c r="A972" s="17"/>
      <c r="B972" s="3496"/>
      <c r="C972" s="3496"/>
      <c r="D972" s="3496"/>
      <c r="E972" s="3496"/>
      <c r="F972" s="3496"/>
      <c r="G972" s="17"/>
      <c r="H972" s="3497"/>
      <c r="I972" s="3497"/>
      <c r="J972" s="242"/>
      <c r="K972" s="236"/>
      <c r="Q972" s="142"/>
      <c r="R972" s="142"/>
      <c r="S972" s="142"/>
      <c r="T972" s="142"/>
      <c r="U972" s="142"/>
      <c r="V972" s="142"/>
      <c r="W972" s="142"/>
      <c r="X972" s="142"/>
    </row>
    <row r="973" spans="1:24" ht="16.149999999999999" hidden="1" customHeight="1" x14ac:dyDescent="0.2">
      <c r="A973" s="17"/>
      <c r="B973" s="3496"/>
      <c r="C973" s="3496"/>
      <c r="D973" s="3496"/>
      <c r="E973" s="3496"/>
      <c r="F973" s="3496"/>
      <c r="G973" s="17"/>
      <c r="H973" s="3497"/>
      <c r="I973" s="3497"/>
      <c r="J973" s="242"/>
      <c r="K973" s="236"/>
      <c r="Q973" s="142"/>
      <c r="R973" s="142"/>
      <c r="S973" s="142"/>
      <c r="T973" s="142"/>
      <c r="U973" s="142"/>
      <c r="V973" s="142"/>
      <c r="W973" s="142"/>
      <c r="X973" s="142"/>
    </row>
    <row r="974" spans="1:24" ht="16.149999999999999" hidden="1" customHeight="1" x14ac:dyDescent="0.2">
      <c r="A974" s="17"/>
      <c r="B974" s="3496"/>
      <c r="C974" s="3496"/>
      <c r="D974" s="3496"/>
      <c r="E974" s="3496"/>
      <c r="F974" s="3496"/>
      <c r="G974" s="17"/>
      <c r="H974" s="3497"/>
      <c r="I974" s="3497"/>
      <c r="J974" s="242"/>
      <c r="K974" s="236"/>
      <c r="Q974" s="142"/>
      <c r="R974" s="142"/>
      <c r="S974" s="142"/>
      <c r="T974" s="142"/>
      <c r="U974" s="142"/>
      <c r="V974" s="142"/>
      <c r="W974" s="142"/>
      <c r="X974" s="142"/>
    </row>
    <row r="975" spans="1:24" ht="16.149999999999999" hidden="1" customHeight="1" x14ac:dyDescent="0.2">
      <c r="A975" s="17"/>
      <c r="B975" s="3496"/>
      <c r="C975" s="3496"/>
      <c r="D975" s="3496"/>
      <c r="E975" s="3496"/>
      <c r="F975" s="3496"/>
      <c r="G975" s="17"/>
      <c r="H975" s="3497"/>
      <c r="I975" s="3497"/>
      <c r="J975" s="242"/>
      <c r="K975" s="236"/>
      <c r="Q975" s="142"/>
      <c r="R975" s="142"/>
      <c r="S975" s="142"/>
      <c r="T975" s="142"/>
      <c r="U975" s="142"/>
      <c r="V975" s="142"/>
      <c r="W975" s="142"/>
      <c r="X975" s="142"/>
    </row>
    <row r="976" spans="1:24" ht="16.149999999999999" hidden="1" customHeight="1" x14ac:dyDescent="0.2">
      <c r="A976" s="17"/>
      <c r="B976" s="3496"/>
      <c r="C976" s="3496"/>
      <c r="D976" s="3496"/>
      <c r="E976" s="3496"/>
      <c r="F976" s="3496"/>
      <c r="G976" s="17"/>
      <c r="H976" s="3497"/>
      <c r="I976" s="3497"/>
      <c r="J976" s="242"/>
      <c r="K976" s="236"/>
      <c r="Q976" s="142"/>
      <c r="R976" s="142"/>
      <c r="S976" s="142"/>
      <c r="T976" s="142"/>
      <c r="U976" s="142"/>
      <c r="V976" s="142"/>
      <c r="W976" s="142"/>
      <c r="X976" s="142"/>
    </row>
    <row r="977" spans="1:24" ht="16.149999999999999" hidden="1" customHeight="1" x14ac:dyDescent="0.2">
      <c r="A977" s="17"/>
      <c r="B977" s="3496"/>
      <c r="C977" s="3496"/>
      <c r="D977" s="3496"/>
      <c r="E977" s="3496"/>
      <c r="F977" s="3496"/>
      <c r="G977" s="17"/>
      <c r="H977" s="3497"/>
      <c r="I977" s="3497"/>
      <c r="J977" s="242"/>
      <c r="K977" s="236"/>
      <c r="Q977" s="142"/>
      <c r="R977" s="142"/>
      <c r="S977" s="142"/>
      <c r="T977" s="142"/>
      <c r="U977" s="142"/>
      <c r="V977" s="142"/>
      <c r="W977" s="142"/>
      <c r="X977" s="142"/>
    </row>
    <row r="978" spans="1:24" ht="16.149999999999999" hidden="1" customHeight="1" x14ac:dyDescent="0.2">
      <c r="A978" s="17"/>
      <c r="B978" s="3496"/>
      <c r="C978" s="3496"/>
      <c r="D978" s="3496"/>
      <c r="E978" s="3496"/>
      <c r="F978" s="3496"/>
      <c r="G978" s="17"/>
      <c r="H978" s="3497"/>
      <c r="I978" s="3497"/>
      <c r="J978" s="242"/>
      <c r="K978" s="236"/>
      <c r="Q978" s="142"/>
      <c r="R978" s="142"/>
      <c r="S978" s="142"/>
      <c r="T978" s="142"/>
      <c r="U978" s="142"/>
      <c r="V978" s="142"/>
      <c r="W978" s="142"/>
      <c r="X978" s="142"/>
    </row>
    <row r="979" spans="1:24" ht="16.149999999999999" hidden="1" customHeight="1" x14ac:dyDescent="0.2">
      <c r="A979" s="17"/>
      <c r="B979" s="3496"/>
      <c r="C979" s="3496"/>
      <c r="D979" s="3496"/>
      <c r="E979" s="3496"/>
      <c r="F979" s="3496"/>
      <c r="G979" s="17"/>
      <c r="H979" s="3497"/>
      <c r="I979" s="3497"/>
      <c r="J979" s="242"/>
      <c r="K979" s="236"/>
      <c r="Q979" s="142"/>
      <c r="R979" s="142"/>
      <c r="S979" s="142"/>
      <c r="T979" s="142"/>
      <c r="U979" s="142"/>
      <c r="V979" s="142"/>
      <c r="W979" s="142"/>
      <c r="X979" s="142"/>
    </row>
    <row r="980" spans="1:24" ht="16.149999999999999" hidden="1" customHeight="1" x14ac:dyDescent="0.2">
      <c r="A980" s="17"/>
      <c r="B980" s="3496"/>
      <c r="C980" s="3496"/>
      <c r="D980" s="3496"/>
      <c r="E980" s="3496"/>
      <c r="F980" s="3496"/>
      <c r="G980" s="17"/>
      <c r="H980" s="3497"/>
      <c r="I980" s="3497"/>
      <c r="J980" s="242"/>
      <c r="K980" s="236"/>
      <c r="Q980" s="142"/>
      <c r="R980" s="142"/>
      <c r="S980" s="142"/>
      <c r="T980" s="142"/>
      <c r="U980" s="142"/>
      <c r="V980" s="142"/>
      <c r="W980" s="142"/>
      <c r="X980" s="142"/>
    </row>
    <row r="981" spans="1:24" ht="16.149999999999999" hidden="1" customHeight="1" x14ac:dyDescent="0.2">
      <c r="A981" s="17"/>
      <c r="B981" s="3496"/>
      <c r="C981" s="3496"/>
      <c r="D981" s="3496"/>
      <c r="E981" s="3496"/>
      <c r="F981" s="3496"/>
      <c r="G981" s="17"/>
      <c r="H981" s="3497"/>
      <c r="I981" s="3497"/>
      <c r="J981" s="242"/>
      <c r="K981" s="236"/>
      <c r="Q981" s="142"/>
      <c r="R981" s="142"/>
      <c r="S981" s="142"/>
      <c r="T981" s="142"/>
      <c r="U981" s="142"/>
      <c r="V981" s="142"/>
      <c r="W981" s="142"/>
      <c r="X981" s="142"/>
    </row>
    <row r="982" spans="1:24" ht="16.149999999999999" hidden="1" customHeight="1" x14ac:dyDescent="0.2">
      <c r="A982" s="17"/>
      <c r="B982" s="3496"/>
      <c r="C982" s="3496"/>
      <c r="D982" s="3496"/>
      <c r="E982" s="3496"/>
      <c r="F982" s="3496"/>
      <c r="G982" s="17"/>
      <c r="H982" s="3497"/>
      <c r="I982" s="3497"/>
      <c r="J982" s="242"/>
      <c r="K982" s="236"/>
      <c r="Q982" s="142"/>
      <c r="R982" s="142"/>
      <c r="S982" s="142"/>
      <c r="T982" s="142"/>
      <c r="U982" s="142"/>
      <c r="V982" s="142"/>
      <c r="W982" s="142"/>
      <c r="X982" s="142"/>
    </row>
    <row r="983" spans="1:24" ht="16.149999999999999" hidden="1" customHeight="1" x14ac:dyDescent="0.2">
      <c r="A983" s="17"/>
      <c r="B983" s="3496"/>
      <c r="C983" s="3496"/>
      <c r="D983" s="3496"/>
      <c r="E983" s="3496"/>
      <c r="F983" s="3496"/>
      <c r="G983" s="17"/>
      <c r="H983" s="3497"/>
      <c r="I983" s="3497"/>
      <c r="J983" s="242"/>
      <c r="K983" s="236"/>
      <c r="Q983" s="142"/>
      <c r="R983" s="142"/>
      <c r="S983" s="142"/>
      <c r="T983" s="142"/>
      <c r="U983" s="142"/>
      <c r="V983" s="142"/>
      <c r="W983" s="142"/>
      <c r="X983" s="142"/>
    </row>
    <row r="984" spans="1:24" ht="16.149999999999999" hidden="1" customHeight="1" x14ac:dyDescent="0.2">
      <c r="A984" s="17"/>
      <c r="B984" s="3496"/>
      <c r="C984" s="3496"/>
      <c r="D984" s="3496"/>
      <c r="E984" s="3496"/>
      <c r="F984" s="3496"/>
      <c r="G984" s="17"/>
      <c r="H984" s="3497"/>
      <c r="I984" s="3497"/>
      <c r="J984" s="242"/>
      <c r="K984" s="236"/>
      <c r="Q984" s="142"/>
      <c r="R984" s="142"/>
      <c r="S984" s="142"/>
      <c r="T984" s="142"/>
      <c r="U984" s="142"/>
      <c r="V984" s="142"/>
      <c r="W984" s="142"/>
      <c r="X984" s="142"/>
    </row>
    <row r="985" spans="1:24" ht="16.149999999999999" hidden="1" customHeight="1" x14ac:dyDescent="0.2">
      <c r="A985" s="17"/>
      <c r="B985" s="3496"/>
      <c r="C985" s="3496"/>
      <c r="D985" s="3496"/>
      <c r="E985" s="3496"/>
      <c r="F985" s="3496"/>
      <c r="G985" s="17"/>
      <c r="H985" s="3497"/>
      <c r="I985" s="3497"/>
      <c r="J985" s="242"/>
      <c r="K985" s="236"/>
      <c r="Q985" s="142"/>
      <c r="R985" s="142"/>
      <c r="S985" s="142"/>
      <c r="T985" s="142"/>
      <c r="U985" s="142"/>
      <c r="V985" s="142"/>
      <c r="W985" s="142"/>
      <c r="X985" s="142"/>
    </row>
    <row r="986" spans="1:24" ht="16.149999999999999" hidden="1" customHeight="1" x14ac:dyDescent="0.2">
      <c r="A986" s="17"/>
      <c r="B986" s="3496"/>
      <c r="C986" s="3496"/>
      <c r="D986" s="3496"/>
      <c r="E986" s="3496"/>
      <c r="F986" s="3496"/>
      <c r="G986" s="17"/>
      <c r="H986" s="3497"/>
      <c r="I986" s="3497"/>
      <c r="J986" s="242"/>
      <c r="K986" s="236"/>
      <c r="Q986" s="142"/>
      <c r="R986" s="142"/>
      <c r="S986" s="142"/>
      <c r="T986" s="142"/>
      <c r="U986" s="142"/>
      <c r="V986" s="142"/>
      <c r="W986" s="142"/>
      <c r="X986" s="142"/>
    </row>
    <row r="987" spans="1:24" ht="16.149999999999999" hidden="1" customHeight="1" x14ac:dyDescent="0.2">
      <c r="A987" s="17"/>
      <c r="B987" s="3496"/>
      <c r="C987" s="3496"/>
      <c r="D987" s="3496"/>
      <c r="E987" s="3496"/>
      <c r="F987" s="3496"/>
      <c r="G987" s="17"/>
      <c r="H987" s="3497"/>
      <c r="I987" s="3497"/>
      <c r="J987" s="242"/>
      <c r="K987" s="236"/>
      <c r="Q987" s="142"/>
      <c r="R987" s="142"/>
      <c r="S987" s="142"/>
      <c r="T987" s="142"/>
      <c r="U987" s="142"/>
      <c r="V987" s="142"/>
      <c r="W987" s="142"/>
      <c r="X987" s="142"/>
    </row>
    <row r="988" spans="1:24" ht="16.149999999999999" hidden="1" customHeight="1" x14ac:dyDescent="0.2">
      <c r="A988" s="17"/>
      <c r="B988" s="3496"/>
      <c r="C988" s="3496"/>
      <c r="D988" s="3496"/>
      <c r="E988" s="3496"/>
      <c r="F988" s="3496"/>
      <c r="G988" s="17"/>
      <c r="H988" s="3497"/>
      <c r="I988" s="3497"/>
      <c r="J988" s="242"/>
      <c r="K988" s="236"/>
      <c r="Q988" s="142"/>
      <c r="R988" s="142"/>
      <c r="S988" s="142"/>
      <c r="T988" s="142"/>
      <c r="U988" s="142"/>
      <c r="V988" s="142"/>
      <c r="W988" s="142"/>
      <c r="X988" s="142"/>
    </row>
    <row r="989" spans="1:24" ht="16.149999999999999" hidden="1" customHeight="1" x14ac:dyDescent="0.2">
      <c r="A989" s="17"/>
      <c r="B989" s="3496"/>
      <c r="C989" s="3496"/>
      <c r="D989" s="3496"/>
      <c r="E989" s="3496"/>
      <c r="F989" s="3496"/>
      <c r="G989" s="17"/>
      <c r="H989" s="3497"/>
      <c r="I989" s="3497"/>
      <c r="J989" s="242"/>
      <c r="K989" s="236"/>
      <c r="Q989" s="142"/>
      <c r="R989" s="142"/>
      <c r="S989" s="142"/>
      <c r="T989" s="142"/>
      <c r="U989" s="142"/>
      <c r="V989" s="142"/>
      <c r="W989" s="142"/>
      <c r="X989" s="142"/>
    </row>
    <row r="990" spans="1:24" ht="16.149999999999999" hidden="1" customHeight="1" x14ac:dyDescent="0.2">
      <c r="A990" s="17"/>
      <c r="B990" s="3496"/>
      <c r="C990" s="3496"/>
      <c r="D990" s="3496"/>
      <c r="E990" s="3496"/>
      <c r="F990" s="3496"/>
      <c r="G990" s="17"/>
      <c r="H990" s="3497"/>
      <c r="I990" s="3497"/>
      <c r="J990" s="242"/>
      <c r="K990" s="236"/>
      <c r="Q990" s="142"/>
      <c r="R990" s="142"/>
      <c r="S990" s="142"/>
      <c r="T990" s="142"/>
      <c r="U990" s="142"/>
      <c r="V990" s="142"/>
      <c r="W990" s="142"/>
      <c r="X990" s="142"/>
    </row>
    <row r="991" spans="1:24" ht="16.149999999999999" hidden="1" customHeight="1" x14ac:dyDescent="0.2">
      <c r="A991" s="17"/>
      <c r="B991" s="3496"/>
      <c r="C991" s="3496"/>
      <c r="D991" s="3496"/>
      <c r="E991" s="3496"/>
      <c r="F991" s="3496"/>
      <c r="G991" s="17"/>
      <c r="H991" s="3497"/>
      <c r="I991" s="3497"/>
      <c r="J991" s="242"/>
      <c r="K991" s="236"/>
      <c r="Q991" s="142"/>
      <c r="R991" s="142"/>
      <c r="S991" s="142"/>
      <c r="T991" s="142"/>
      <c r="U991" s="142"/>
      <c r="V991" s="142"/>
      <c r="W991" s="142"/>
      <c r="X991" s="142"/>
    </row>
    <row r="992" spans="1:24" ht="16.149999999999999" hidden="1" customHeight="1" x14ac:dyDescent="0.2">
      <c r="A992" s="17"/>
      <c r="B992" s="3496"/>
      <c r="C992" s="3496"/>
      <c r="D992" s="3496"/>
      <c r="E992" s="3496"/>
      <c r="F992" s="3496"/>
      <c r="G992" s="17"/>
      <c r="H992" s="3497"/>
      <c r="I992" s="3497"/>
      <c r="J992" s="242"/>
      <c r="K992" s="236"/>
      <c r="Q992" s="142"/>
      <c r="R992" s="142"/>
      <c r="S992" s="142"/>
      <c r="T992" s="142"/>
      <c r="U992" s="142"/>
      <c r="V992" s="142"/>
      <c r="W992" s="142"/>
      <c r="X992" s="142"/>
    </row>
    <row r="993" spans="1:24" ht="16.149999999999999" hidden="1" customHeight="1" x14ac:dyDescent="0.2">
      <c r="A993" s="17"/>
      <c r="B993" s="3496"/>
      <c r="C993" s="3496"/>
      <c r="D993" s="3496"/>
      <c r="E993" s="3496"/>
      <c r="F993" s="3496"/>
      <c r="G993" s="17"/>
      <c r="H993" s="3497"/>
      <c r="I993" s="3497"/>
      <c r="J993" s="242"/>
      <c r="K993" s="236"/>
      <c r="Q993" s="142"/>
      <c r="R993" s="142"/>
      <c r="S993" s="142"/>
      <c r="T993" s="142"/>
      <c r="U993" s="142"/>
      <c r="V993" s="142"/>
      <c r="W993" s="142"/>
      <c r="X993" s="142"/>
    </row>
    <row r="994" spans="1:24" ht="16.149999999999999" hidden="1" customHeight="1" x14ac:dyDescent="0.2">
      <c r="A994" s="17"/>
      <c r="B994" s="3496"/>
      <c r="C994" s="3496"/>
      <c r="D994" s="3496"/>
      <c r="E994" s="3496"/>
      <c r="F994" s="3496"/>
      <c r="G994" s="17"/>
      <c r="H994" s="3497"/>
      <c r="I994" s="3497"/>
      <c r="J994" s="242"/>
      <c r="K994" s="236"/>
      <c r="Q994" s="142"/>
      <c r="R994" s="142"/>
      <c r="S994" s="142"/>
      <c r="T994" s="142"/>
      <c r="U994" s="142"/>
      <c r="V994" s="142"/>
      <c r="W994" s="142"/>
      <c r="X994" s="142"/>
    </row>
    <row r="995" spans="1:24" ht="16.149999999999999" hidden="1" customHeight="1" x14ac:dyDescent="0.2">
      <c r="A995" s="17"/>
      <c r="B995" s="3496"/>
      <c r="C995" s="3496"/>
      <c r="D995" s="3496"/>
      <c r="E995" s="3496"/>
      <c r="F995" s="3496"/>
      <c r="G995" s="17"/>
      <c r="H995" s="3497"/>
      <c r="I995" s="3497"/>
      <c r="J995" s="242"/>
      <c r="K995" s="236"/>
      <c r="Q995" s="142"/>
      <c r="R995" s="142"/>
      <c r="S995" s="142"/>
      <c r="T995" s="142"/>
      <c r="U995" s="142"/>
      <c r="V995" s="142"/>
      <c r="W995" s="142"/>
      <c r="X995" s="142"/>
    </row>
    <row r="996" spans="1:24" ht="16.149999999999999" hidden="1" customHeight="1" x14ac:dyDescent="0.2">
      <c r="A996" s="17"/>
      <c r="B996" s="3496"/>
      <c r="C996" s="3496"/>
      <c r="D996" s="3496"/>
      <c r="E996" s="3496"/>
      <c r="F996" s="3496"/>
      <c r="G996" s="17"/>
      <c r="H996" s="3497"/>
      <c r="I996" s="3497"/>
      <c r="J996" s="242"/>
      <c r="K996" s="236"/>
      <c r="Q996" s="142"/>
      <c r="R996" s="142"/>
      <c r="S996" s="142"/>
      <c r="T996" s="142"/>
      <c r="U996" s="142"/>
      <c r="V996" s="142"/>
      <c r="W996" s="142"/>
      <c r="X996" s="142"/>
    </row>
    <row r="997" spans="1:24" ht="16.149999999999999" hidden="1" customHeight="1" x14ac:dyDescent="0.2">
      <c r="A997" s="17"/>
      <c r="B997" s="3496"/>
      <c r="C997" s="3496"/>
      <c r="D997" s="3496"/>
      <c r="E997" s="3496"/>
      <c r="F997" s="3496"/>
      <c r="G997" s="17"/>
      <c r="H997" s="3497"/>
      <c r="I997" s="3497"/>
      <c r="J997" s="242"/>
      <c r="K997" s="236"/>
      <c r="Q997" s="142"/>
      <c r="R997" s="142"/>
      <c r="S997" s="142"/>
      <c r="T997" s="142"/>
      <c r="U997" s="142"/>
      <c r="V997" s="142"/>
      <c r="W997" s="142"/>
      <c r="X997" s="142"/>
    </row>
    <row r="998" spans="1:24" ht="16.149999999999999" hidden="1" customHeight="1" x14ac:dyDescent="0.2">
      <c r="A998" s="17"/>
      <c r="B998" s="3496"/>
      <c r="C998" s="3496"/>
      <c r="D998" s="3496"/>
      <c r="E998" s="3496"/>
      <c r="F998" s="3496"/>
      <c r="G998" s="17"/>
      <c r="H998" s="3497"/>
      <c r="I998" s="3497"/>
      <c r="J998" s="242"/>
      <c r="K998" s="236"/>
      <c r="Q998" s="142"/>
      <c r="R998" s="142"/>
      <c r="S998" s="142"/>
      <c r="T998" s="142"/>
      <c r="U998" s="142"/>
      <c r="V998" s="142"/>
      <c r="W998" s="142"/>
      <c r="X998" s="142"/>
    </row>
    <row r="999" spans="1:24" ht="16.149999999999999" hidden="1" customHeight="1" x14ac:dyDescent="0.2">
      <c r="A999" s="17"/>
      <c r="B999" s="3496"/>
      <c r="C999" s="3496"/>
      <c r="D999" s="3496"/>
      <c r="E999" s="3496"/>
      <c r="F999" s="3496"/>
      <c r="G999" s="17"/>
      <c r="H999" s="3497"/>
      <c r="I999" s="3497"/>
      <c r="J999" s="242"/>
      <c r="K999" s="236"/>
      <c r="Q999" s="142"/>
      <c r="R999" s="142"/>
      <c r="S999" s="142"/>
      <c r="T999" s="142"/>
      <c r="U999" s="142"/>
      <c r="V999" s="142"/>
      <c r="W999" s="142"/>
      <c r="X999" s="142"/>
    </row>
    <row r="1000" spans="1:24" ht="16.149999999999999" hidden="1" customHeight="1" x14ac:dyDescent="0.2">
      <c r="A1000" s="17"/>
      <c r="B1000" s="3496"/>
      <c r="C1000" s="3496"/>
      <c r="D1000" s="3496"/>
      <c r="E1000" s="3496"/>
      <c r="F1000" s="3496"/>
      <c r="G1000" s="17"/>
      <c r="H1000" s="3497"/>
      <c r="I1000" s="3497"/>
      <c r="J1000" s="242"/>
      <c r="K1000" s="236"/>
      <c r="Q1000" s="142"/>
      <c r="R1000" s="142"/>
      <c r="S1000" s="142"/>
      <c r="T1000" s="142"/>
      <c r="U1000" s="142"/>
      <c r="V1000" s="142"/>
      <c r="W1000" s="142"/>
      <c r="X1000" s="142"/>
    </row>
    <row r="1001" spans="1:24" ht="16.149999999999999" hidden="1" customHeight="1" x14ac:dyDescent="0.2">
      <c r="A1001" s="17"/>
      <c r="B1001" s="3496"/>
      <c r="C1001" s="3496"/>
      <c r="D1001" s="3496"/>
      <c r="E1001" s="3496"/>
      <c r="F1001" s="3496"/>
      <c r="G1001" s="17"/>
      <c r="H1001" s="3497"/>
      <c r="I1001" s="3497"/>
      <c r="J1001" s="242"/>
      <c r="K1001" s="236"/>
      <c r="Q1001" s="142"/>
      <c r="R1001" s="142"/>
      <c r="S1001" s="142"/>
      <c r="T1001" s="142"/>
      <c r="U1001" s="142"/>
      <c r="V1001" s="142"/>
      <c r="W1001" s="142"/>
      <c r="X1001" s="142"/>
    </row>
    <row r="1002" spans="1:24" ht="16.149999999999999" hidden="1" customHeight="1" x14ac:dyDescent="0.2">
      <c r="A1002" s="17"/>
      <c r="B1002" s="3496"/>
      <c r="C1002" s="3496"/>
      <c r="D1002" s="3496"/>
      <c r="E1002" s="3496"/>
      <c r="F1002" s="3496"/>
      <c r="G1002" s="17"/>
      <c r="H1002" s="3497"/>
      <c r="I1002" s="3497"/>
      <c r="J1002" s="242"/>
      <c r="K1002" s="236"/>
      <c r="Q1002" s="142"/>
      <c r="R1002" s="142"/>
      <c r="S1002" s="142"/>
      <c r="T1002" s="142"/>
      <c r="U1002" s="142"/>
      <c r="V1002" s="142"/>
      <c r="W1002" s="142"/>
      <c r="X1002" s="142"/>
    </row>
    <row r="1003" spans="1:24" ht="16.149999999999999" hidden="1" customHeight="1" x14ac:dyDescent="0.2">
      <c r="A1003" s="17"/>
      <c r="B1003" s="3496"/>
      <c r="C1003" s="3496"/>
      <c r="D1003" s="3496"/>
      <c r="E1003" s="3496"/>
      <c r="F1003" s="3496"/>
      <c r="G1003" s="17"/>
      <c r="H1003" s="3497"/>
      <c r="I1003" s="3497"/>
      <c r="J1003" s="242"/>
      <c r="K1003" s="236"/>
      <c r="Q1003" s="142"/>
      <c r="R1003" s="142"/>
      <c r="S1003" s="142"/>
      <c r="T1003" s="142"/>
      <c r="U1003" s="142"/>
      <c r="V1003" s="142"/>
      <c r="W1003" s="142"/>
      <c r="X1003" s="142"/>
    </row>
    <row r="1004" spans="1:24" ht="16.149999999999999" hidden="1" customHeight="1" x14ac:dyDescent="0.2">
      <c r="A1004" s="17"/>
      <c r="B1004" s="3496"/>
      <c r="C1004" s="3496"/>
      <c r="D1004" s="3496"/>
      <c r="E1004" s="3496"/>
      <c r="F1004" s="3496"/>
      <c r="G1004" s="17"/>
      <c r="H1004" s="3497"/>
      <c r="I1004" s="3497"/>
      <c r="J1004" s="242"/>
      <c r="K1004" s="236"/>
      <c r="Q1004" s="142"/>
      <c r="R1004" s="142"/>
      <c r="S1004" s="142"/>
      <c r="T1004" s="142"/>
      <c r="U1004" s="142"/>
      <c r="V1004" s="142"/>
      <c r="W1004" s="142"/>
      <c r="X1004" s="142"/>
    </row>
    <row r="1005" spans="1:24" ht="16.149999999999999" hidden="1" customHeight="1" x14ac:dyDescent="0.2">
      <c r="A1005" s="17"/>
      <c r="B1005" s="3496"/>
      <c r="C1005" s="3496"/>
      <c r="D1005" s="3496"/>
      <c r="E1005" s="3496"/>
      <c r="F1005" s="3496"/>
      <c r="G1005" s="17"/>
      <c r="H1005" s="3497"/>
      <c r="I1005" s="3497"/>
      <c r="J1005" s="242"/>
      <c r="K1005" s="236"/>
      <c r="Q1005" s="142"/>
      <c r="R1005" s="142"/>
      <c r="S1005" s="142"/>
      <c r="T1005" s="142"/>
      <c r="U1005" s="142"/>
      <c r="V1005" s="142"/>
      <c r="W1005" s="142"/>
      <c r="X1005" s="142"/>
    </row>
    <row r="1006" spans="1:24" ht="16.149999999999999" hidden="1" customHeight="1" x14ac:dyDescent="0.2">
      <c r="A1006" s="17"/>
      <c r="B1006" s="3496"/>
      <c r="C1006" s="3496"/>
      <c r="D1006" s="3496"/>
      <c r="E1006" s="3496"/>
      <c r="F1006" s="3496"/>
      <c r="G1006" s="17"/>
      <c r="H1006" s="3497"/>
      <c r="I1006" s="3497"/>
      <c r="J1006" s="242"/>
      <c r="K1006" s="236"/>
      <c r="Q1006" s="142"/>
      <c r="R1006" s="142"/>
      <c r="S1006" s="142"/>
      <c r="T1006" s="142"/>
      <c r="U1006" s="142"/>
      <c r="V1006" s="142"/>
      <c r="W1006" s="142"/>
      <c r="X1006" s="142"/>
    </row>
    <row r="1007" spans="1:24" ht="16.149999999999999" hidden="1" customHeight="1" x14ac:dyDescent="0.2">
      <c r="A1007" s="17"/>
      <c r="B1007" s="3496"/>
      <c r="C1007" s="3496"/>
      <c r="D1007" s="3496"/>
      <c r="E1007" s="3496"/>
      <c r="F1007" s="3496"/>
      <c r="G1007" s="17"/>
      <c r="H1007" s="3497"/>
      <c r="I1007" s="3497"/>
      <c r="J1007" s="242"/>
      <c r="K1007" s="236"/>
      <c r="Q1007" s="142"/>
      <c r="R1007" s="142"/>
      <c r="S1007" s="142"/>
      <c r="T1007" s="142"/>
      <c r="U1007" s="142"/>
      <c r="V1007" s="142"/>
      <c r="W1007" s="142"/>
      <c r="X1007" s="142"/>
    </row>
    <row r="1008" spans="1:24" ht="16.149999999999999" hidden="1" customHeight="1" x14ac:dyDescent="0.2">
      <c r="A1008" s="17"/>
      <c r="B1008" s="3496"/>
      <c r="C1008" s="3496"/>
      <c r="D1008" s="3496"/>
      <c r="E1008" s="3496"/>
      <c r="F1008" s="3496"/>
      <c r="G1008" s="17"/>
      <c r="H1008" s="3497"/>
      <c r="I1008" s="3497"/>
      <c r="J1008" s="242"/>
      <c r="K1008" s="236"/>
      <c r="Q1008" s="142"/>
      <c r="R1008" s="142"/>
      <c r="S1008" s="142"/>
      <c r="T1008" s="142"/>
      <c r="U1008" s="142"/>
      <c r="V1008" s="142"/>
      <c r="W1008" s="142"/>
      <c r="X1008" s="142"/>
    </row>
    <row r="1009" spans="1:24" ht="16.149999999999999" hidden="1" customHeight="1" x14ac:dyDescent="0.2">
      <c r="A1009" s="17"/>
      <c r="B1009" s="3496"/>
      <c r="C1009" s="3496"/>
      <c r="D1009" s="3496"/>
      <c r="E1009" s="3496"/>
      <c r="F1009" s="3496"/>
      <c r="G1009" s="17"/>
      <c r="H1009" s="3497"/>
      <c r="I1009" s="3497"/>
      <c r="J1009" s="242"/>
      <c r="K1009" s="236"/>
      <c r="Q1009" s="142"/>
      <c r="R1009" s="142"/>
      <c r="S1009" s="142"/>
      <c r="T1009" s="142"/>
      <c r="U1009" s="142"/>
      <c r="V1009" s="142"/>
      <c r="W1009" s="142"/>
      <c r="X1009" s="142"/>
    </row>
    <row r="1010" spans="1:24" ht="16.149999999999999" hidden="1" customHeight="1" x14ac:dyDescent="0.2">
      <c r="A1010" s="17"/>
      <c r="B1010" s="3496"/>
      <c r="C1010" s="3496"/>
      <c r="D1010" s="3496"/>
      <c r="E1010" s="3496"/>
      <c r="F1010" s="3496"/>
      <c r="G1010" s="17"/>
      <c r="H1010" s="3497"/>
      <c r="I1010" s="3497"/>
      <c r="J1010" s="242"/>
      <c r="K1010" s="236"/>
      <c r="Q1010" s="142"/>
      <c r="R1010" s="142"/>
      <c r="S1010" s="142"/>
      <c r="T1010" s="142"/>
      <c r="U1010" s="142"/>
      <c r="V1010" s="142"/>
      <c r="W1010" s="142"/>
      <c r="X1010" s="142"/>
    </row>
    <row r="1011" spans="1:24" ht="16.149999999999999" hidden="1" customHeight="1" x14ac:dyDescent="0.2">
      <c r="A1011" s="17"/>
      <c r="B1011" s="3496"/>
      <c r="C1011" s="3496"/>
      <c r="D1011" s="3496"/>
      <c r="E1011" s="3496"/>
      <c r="F1011" s="3496"/>
      <c r="G1011" s="17"/>
      <c r="H1011" s="3497"/>
      <c r="I1011" s="3497"/>
      <c r="J1011" s="242"/>
      <c r="K1011" s="236"/>
      <c r="Q1011" s="142"/>
      <c r="R1011" s="142"/>
      <c r="S1011" s="142"/>
      <c r="T1011" s="142"/>
      <c r="U1011" s="142"/>
      <c r="V1011" s="142"/>
      <c r="W1011" s="142"/>
      <c r="X1011" s="142"/>
    </row>
    <row r="1012" spans="1:24" ht="16.149999999999999" hidden="1" customHeight="1" x14ac:dyDescent="0.2">
      <c r="A1012" s="17"/>
      <c r="B1012" s="3496"/>
      <c r="C1012" s="3496"/>
      <c r="D1012" s="3496"/>
      <c r="E1012" s="3496"/>
      <c r="F1012" s="3496"/>
      <c r="G1012" s="17"/>
      <c r="H1012" s="3497"/>
      <c r="I1012" s="3497"/>
      <c r="J1012" s="242"/>
      <c r="K1012" s="236"/>
      <c r="Q1012" s="142"/>
      <c r="R1012" s="142"/>
      <c r="S1012" s="142"/>
      <c r="T1012" s="142"/>
      <c r="U1012" s="142"/>
      <c r="V1012" s="142"/>
      <c r="W1012" s="142"/>
      <c r="X1012" s="142"/>
    </row>
    <row r="1013" spans="1:24" ht="16.149999999999999" hidden="1" customHeight="1" x14ac:dyDescent="0.2">
      <c r="A1013" s="17"/>
      <c r="B1013" s="3496"/>
      <c r="C1013" s="3496"/>
      <c r="D1013" s="3496"/>
      <c r="E1013" s="3496"/>
      <c r="F1013" s="3496"/>
      <c r="G1013" s="17"/>
      <c r="H1013" s="3497"/>
      <c r="I1013" s="3497"/>
      <c r="J1013" s="242"/>
      <c r="K1013" s="236"/>
      <c r="Q1013" s="142"/>
      <c r="R1013" s="142"/>
      <c r="S1013" s="142"/>
      <c r="T1013" s="142"/>
      <c r="U1013" s="142"/>
      <c r="V1013" s="142"/>
      <c r="W1013" s="142"/>
      <c r="X1013" s="142"/>
    </row>
    <row r="1014" spans="1:24" ht="16.149999999999999" hidden="1" customHeight="1" x14ac:dyDescent="0.2">
      <c r="A1014" s="17"/>
      <c r="B1014" s="3496"/>
      <c r="C1014" s="3496"/>
      <c r="D1014" s="3496"/>
      <c r="E1014" s="3496"/>
      <c r="F1014" s="3496"/>
      <c r="G1014" s="17"/>
      <c r="H1014" s="3497"/>
      <c r="I1014" s="3497"/>
      <c r="J1014" s="242"/>
      <c r="K1014" s="236"/>
      <c r="Q1014" s="142"/>
      <c r="R1014" s="142"/>
      <c r="S1014" s="142"/>
      <c r="T1014" s="142"/>
      <c r="U1014" s="142"/>
      <c r="V1014" s="142"/>
      <c r="W1014" s="142"/>
      <c r="X1014" s="142"/>
    </row>
    <row r="1015" spans="1:24" ht="16.149999999999999" hidden="1" customHeight="1" x14ac:dyDescent="0.2">
      <c r="A1015" s="17"/>
      <c r="B1015" s="3496"/>
      <c r="C1015" s="3496"/>
      <c r="D1015" s="3496"/>
      <c r="E1015" s="3496"/>
      <c r="F1015" s="3496"/>
      <c r="G1015" s="17"/>
      <c r="H1015" s="3497"/>
      <c r="I1015" s="3497"/>
      <c r="J1015" s="242"/>
      <c r="K1015" s="236"/>
      <c r="Q1015" s="142"/>
      <c r="R1015" s="142"/>
      <c r="S1015" s="142"/>
      <c r="T1015" s="142"/>
      <c r="U1015" s="142"/>
      <c r="V1015" s="142"/>
      <c r="W1015" s="142"/>
      <c r="X1015" s="142"/>
    </row>
    <row r="1016" spans="1:24" ht="16.149999999999999" hidden="1" customHeight="1" x14ac:dyDescent="0.2">
      <c r="A1016" s="17"/>
      <c r="B1016" s="3496"/>
      <c r="C1016" s="3496"/>
      <c r="D1016" s="3496"/>
      <c r="E1016" s="3496"/>
      <c r="F1016" s="3496"/>
      <c r="G1016" s="17"/>
      <c r="H1016" s="3497"/>
      <c r="I1016" s="3497"/>
      <c r="J1016" s="242"/>
      <c r="K1016" s="236"/>
      <c r="Q1016" s="142"/>
      <c r="R1016" s="142"/>
      <c r="S1016" s="142"/>
      <c r="T1016" s="142"/>
      <c r="U1016" s="142"/>
      <c r="V1016" s="142"/>
      <c r="W1016" s="142"/>
      <c r="X1016" s="142"/>
    </row>
    <row r="1017" spans="1:24" ht="16.149999999999999" hidden="1" customHeight="1" x14ac:dyDescent="0.2">
      <c r="A1017" s="17"/>
      <c r="B1017" s="3496"/>
      <c r="C1017" s="3496"/>
      <c r="D1017" s="3496"/>
      <c r="E1017" s="3496"/>
      <c r="F1017" s="3496"/>
      <c r="G1017" s="17"/>
      <c r="H1017" s="3497"/>
      <c r="I1017" s="3497"/>
      <c r="J1017" s="242"/>
      <c r="K1017" s="236"/>
      <c r="Q1017" s="142"/>
      <c r="R1017" s="142"/>
      <c r="S1017" s="142"/>
      <c r="T1017" s="142"/>
      <c r="U1017" s="142"/>
      <c r="V1017" s="142"/>
      <c r="W1017" s="142"/>
      <c r="X1017" s="142"/>
    </row>
    <row r="1018" spans="1:24" ht="16.149999999999999" hidden="1" customHeight="1" x14ac:dyDescent="0.2">
      <c r="A1018" s="17"/>
      <c r="B1018" s="3496"/>
      <c r="C1018" s="3496"/>
      <c r="D1018" s="3496"/>
      <c r="E1018" s="3496"/>
      <c r="F1018" s="3496"/>
      <c r="G1018" s="17"/>
      <c r="H1018" s="3497"/>
      <c r="I1018" s="3497"/>
      <c r="J1018" s="242"/>
      <c r="K1018" s="236"/>
      <c r="Q1018" s="142"/>
      <c r="R1018" s="142"/>
      <c r="S1018" s="142"/>
      <c r="T1018" s="142"/>
      <c r="U1018" s="142"/>
      <c r="V1018" s="142"/>
      <c r="W1018" s="142"/>
      <c r="X1018" s="142"/>
    </row>
    <row r="1019" spans="1:24" ht="16.149999999999999" hidden="1" customHeight="1" x14ac:dyDescent="0.2">
      <c r="A1019" s="17"/>
      <c r="B1019" s="3496"/>
      <c r="C1019" s="3496"/>
      <c r="D1019" s="3496"/>
      <c r="E1019" s="3496"/>
      <c r="F1019" s="3496"/>
      <c r="G1019" s="17"/>
      <c r="H1019" s="3497"/>
      <c r="I1019" s="3497"/>
      <c r="J1019" s="242"/>
      <c r="K1019" s="236"/>
      <c r="Q1019" s="142"/>
      <c r="R1019" s="142"/>
      <c r="S1019" s="142"/>
      <c r="T1019" s="142"/>
      <c r="U1019" s="142"/>
      <c r="V1019" s="142"/>
      <c r="W1019" s="142"/>
      <c r="X1019" s="142"/>
    </row>
    <row r="1020" spans="1:24" ht="16.149999999999999" hidden="1" customHeight="1" x14ac:dyDescent="0.2">
      <c r="A1020" s="17"/>
      <c r="B1020" s="3496"/>
      <c r="C1020" s="3496"/>
      <c r="D1020" s="3496"/>
      <c r="E1020" s="3496"/>
      <c r="F1020" s="3496"/>
      <c r="G1020" s="17"/>
      <c r="H1020" s="3497"/>
      <c r="I1020" s="3497"/>
      <c r="J1020" s="242"/>
      <c r="K1020" s="236"/>
      <c r="Q1020" s="142"/>
      <c r="R1020" s="142"/>
      <c r="S1020" s="142"/>
      <c r="T1020" s="142"/>
      <c r="U1020" s="142"/>
      <c r="V1020" s="142"/>
      <c r="W1020" s="142"/>
      <c r="X1020" s="142"/>
    </row>
    <row r="1021" spans="1:24" ht="16.149999999999999" hidden="1" customHeight="1" x14ac:dyDescent="0.2">
      <c r="A1021" s="17"/>
      <c r="B1021" s="3496"/>
      <c r="C1021" s="3496"/>
      <c r="D1021" s="3496"/>
      <c r="E1021" s="3496"/>
      <c r="F1021" s="3496"/>
      <c r="G1021" s="17"/>
      <c r="H1021" s="3497"/>
      <c r="I1021" s="3497"/>
      <c r="J1021" s="242"/>
      <c r="K1021" s="236"/>
      <c r="Q1021" s="142"/>
      <c r="R1021" s="142"/>
      <c r="S1021" s="142"/>
      <c r="T1021" s="142"/>
      <c r="U1021" s="142"/>
      <c r="V1021" s="142"/>
      <c r="W1021" s="142"/>
      <c r="X1021" s="142"/>
    </row>
    <row r="1022" spans="1:24" ht="16.149999999999999" hidden="1" customHeight="1" x14ac:dyDescent="0.2">
      <c r="A1022" s="17"/>
      <c r="B1022" s="3496"/>
      <c r="C1022" s="3496"/>
      <c r="D1022" s="3496"/>
      <c r="E1022" s="3496"/>
      <c r="F1022" s="3496"/>
      <c r="G1022" s="17"/>
      <c r="H1022" s="3497"/>
      <c r="I1022" s="3497"/>
      <c r="J1022" s="242"/>
      <c r="K1022" s="236"/>
      <c r="Q1022" s="142"/>
      <c r="R1022" s="142"/>
      <c r="S1022" s="142"/>
      <c r="T1022" s="142"/>
      <c r="U1022" s="142"/>
      <c r="V1022" s="142"/>
      <c r="W1022" s="142"/>
      <c r="X1022" s="142"/>
    </row>
    <row r="1023" spans="1:24" ht="16.149999999999999" hidden="1" customHeight="1" x14ac:dyDescent="0.2">
      <c r="A1023" s="17"/>
      <c r="B1023" s="3496"/>
      <c r="C1023" s="3496"/>
      <c r="D1023" s="3496"/>
      <c r="E1023" s="3496"/>
      <c r="F1023" s="3496"/>
      <c r="G1023" s="17"/>
      <c r="H1023" s="3497"/>
      <c r="I1023" s="3497"/>
      <c r="J1023" s="242"/>
      <c r="K1023" s="236"/>
      <c r="Q1023" s="142"/>
      <c r="R1023" s="142"/>
      <c r="S1023" s="142"/>
      <c r="T1023" s="142"/>
      <c r="U1023" s="142"/>
      <c r="V1023" s="142"/>
      <c r="W1023" s="142"/>
      <c r="X1023" s="142"/>
    </row>
    <row r="1024" spans="1:24" ht="16.149999999999999" hidden="1" customHeight="1" x14ac:dyDescent="0.2">
      <c r="A1024" s="17"/>
      <c r="B1024" s="3496"/>
      <c r="C1024" s="3496"/>
      <c r="D1024" s="3496"/>
      <c r="E1024" s="3496"/>
      <c r="F1024" s="3496"/>
      <c r="G1024" s="17"/>
      <c r="H1024" s="3497"/>
      <c r="I1024" s="3497"/>
      <c r="J1024" s="242"/>
      <c r="K1024" s="236"/>
      <c r="Q1024" s="142"/>
      <c r="R1024" s="142"/>
      <c r="S1024" s="142"/>
      <c r="T1024" s="142"/>
      <c r="U1024" s="142"/>
      <c r="V1024" s="142"/>
      <c r="W1024" s="142"/>
      <c r="X1024" s="142"/>
    </row>
    <row r="1025" spans="1:75" ht="16.149999999999999" hidden="1" customHeight="1" x14ac:dyDescent="0.2">
      <c r="A1025" s="17"/>
      <c r="B1025" s="3496"/>
      <c r="C1025" s="3496"/>
      <c r="D1025" s="3496"/>
      <c r="E1025" s="3496"/>
      <c r="F1025" s="3496"/>
      <c r="G1025" s="17"/>
      <c r="H1025" s="3497"/>
      <c r="I1025" s="3497"/>
      <c r="J1025" s="242"/>
      <c r="K1025" s="236"/>
      <c r="Q1025" s="142"/>
      <c r="R1025" s="142"/>
      <c r="S1025" s="142"/>
      <c r="T1025" s="142"/>
      <c r="U1025" s="142"/>
      <c r="V1025" s="142"/>
      <c r="W1025" s="142"/>
      <c r="X1025" s="142"/>
    </row>
    <row r="1026" spans="1:75" ht="16.149999999999999" hidden="1" customHeight="1" x14ac:dyDescent="0.2">
      <c r="A1026" s="17"/>
      <c r="B1026" s="3496"/>
      <c r="C1026" s="3496"/>
      <c r="D1026" s="3496"/>
      <c r="E1026" s="3496"/>
      <c r="F1026" s="3496"/>
      <c r="G1026" s="17"/>
      <c r="H1026" s="3497"/>
      <c r="I1026" s="3497"/>
      <c r="J1026" s="242"/>
      <c r="K1026" s="236"/>
      <c r="Q1026" s="142"/>
      <c r="R1026" s="142"/>
      <c r="S1026" s="142"/>
      <c r="T1026" s="142"/>
      <c r="U1026" s="142"/>
      <c r="V1026" s="142"/>
      <c r="W1026" s="142"/>
      <c r="X1026" s="142"/>
    </row>
    <row r="1027" spans="1:75" ht="16.149999999999999" hidden="1" customHeight="1" x14ac:dyDescent="0.2">
      <c r="A1027" s="17"/>
      <c r="B1027" s="3496"/>
      <c r="C1027" s="3496"/>
      <c r="D1027" s="3496"/>
      <c r="E1027" s="3496"/>
      <c r="F1027" s="3496"/>
      <c r="G1027" s="17"/>
      <c r="H1027" s="3497"/>
      <c r="I1027" s="3497"/>
      <c r="J1027" s="242"/>
      <c r="K1027" s="236"/>
      <c r="Q1027" s="142"/>
      <c r="R1027" s="142"/>
      <c r="S1027" s="142"/>
      <c r="T1027" s="142"/>
      <c r="U1027" s="142"/>
      <c r="V1027" s="142"/>
      <c r="W1027" s="142"/>
      <c r="X1027" s="142"/>
    </row>
    <row r="1028" spans="1:75" ht="16.149999999999999" hidden="1" customHeight="1" x14ac:dyDescent="0.2">
      <c r="A1028" s="17"/>
      <c r="B1028" s="3496"/>
      <c r="C1028" s="3496"/>
      <c r="D1028" s="3496"/>
      <c r="E1028" s="3496"/>
      <c r="F1028" s="3496"/>
      <c r="G1028" s="17"/>
      <c r="H1028" s="3497"/>
      <c r="I1028" s="3497"/>
      <c r="J1028" s="242"/>
      <c r="K1028" s="236"/>
      <c r="Q1028" s="142"/>
      <c r="R1028" s="142"/>
      <c r="S1028" s="142"/>
      <c r="T1028" s="142"/>
      <c r="U1028" s="142"/>
      <c r="V1028" s="142"/>
      <c r="W1028" s="142"/>
      <c r="X1028" s="142"/>
    </row>
    <row r="1029" spans="1:75" ht="16.149999999999999" hidden="1" customHeight="1" x14ac:dyDescent="0.2">
      <c r="A1029" s="17"/>
      <c r="B1029" s="3496"/>
      <c r="C1029" s="3496"/>
      <c r="D1029" s="3496"/>
      <c r="E1029" s="3496"/>
      <c r="F1029" s="3496"/>
      <c r="G1029" s="17"/>
      <c r="H1029" s="3497"/>
      <c r="I1029" s="3497"/>
      <c r="J1029" s="242"/>
      <c r="K1029" s="236"/>
      <c r="Q1029" s="142"/>
      <c r="R1029" s="142"/>
      <c r="S1029" s="142"/>
      <c r="T1029" s="142"/>
      <c r="U1029" s="142"/>
      <c r="V1029" s="142"/>
      <c r="W1029" s="142"/>
      <c r="X1029" s="142"/>
    </row>
    <row r="1030" spans="1:75" ht="16.149999999999999" hidden="1" customHeight="1" x14ac:dyDescent="0.2">
      <c r="A1030" s="17"/>
      <c r="B1030" s="3496"/>
      <c r="C1030" s="3496"/>
      <c r="D1030" s="3496"/>
      <c r="E1030" s="3496"/>
      <c r="F1030" s="3496"/>
      <c r="G1030" s="17"/>
      <c r="H1030" s="3497"/>
      <c r="I1030" s="3497"/>
      <c r="J1030" s="242"/>
      <c r="K1030" s="236"/>
      <c r="Q1030" s="142"/>
      <c r="R1030" s="142"/>
      <c r="S1030" s="142"/>
      <c r="T1030" s="142"/>
      <c r="U1030" s="142"/>
      <c r="V1030" s="142"/>
      <c r="W1030" s="142"/>
      <c r="X1030" s="142"/>
    </row>
    <row r="1031" spans="1:75" ht="16.149999999999999" hidden="1" customHeight="1" x14ac:dyDescent="0.2">
      <c r="A1031" s="17"/>
      <c r="B1031" s="3496"/>
      <c r="C1031" s="3496"/>
      <c r="D1031" s="3496"/>
      <c r="E1031" s="3496"/>
      <c r="F1031" s="3496"/>
      <c r="G1031" s="17"/>
      <c r="H1031" s="3497"/>
      <c r="I1031" s="3497"/>
      <c r="J1031" s="242"/>
      <c r="K1031" s="236"/>
      <c r="Q1031" s="142"/>
      <c r="R1031" s="142"/>
      <c r="S1031" s="142"/>
      <c r="T1031" s="142"/>
      <c r="U1031" s="142"/>
      <c r="V1031" s="142"/>
      <c r="W1031" s="142"/>
      <c r="X1031" s="142"/>
    </row>
    <row r="1032" spans="1:75" ht="16.149999999999999" hidden="1" customHeight="1" x14ac:dyDescent="0.2">
      <c r="A1032" s="17"/>
      <c r="B1032" s="3496"/>
      <c r="C1032" s="3496"/>
      <c r="D1032" s="3496"/>
      <c r="E1032" s="3496"/>
      <c r="F1032" s="3496"/>
      <c r="G1032" s="17"/>
      <c r="H1032" s="3497"/>
      <c r="I1032" s="3497"/>
      <c r="J1032" s="242"/>
      <c r="K1032" s="236"/>
      <c r="Q1032" s="142"/>
      <c r="R1032" s="142"/>
      <c r="S1032" s="142"/>
      <c r="T1032" s="142"/>
      <c r="U1032" s="142"/>
      <c r="V1032" s="142"/>
      <c r="W1032" s="142"/>
      <c r="X1032" s="142"/>
    </row>
    <row r="1033" spans="1:75" ht="16.149999999999999" customHeight="1" x14ac:dyDescent="0.2">
      <c r="A1033" s="17"/>
      <c r="B1033" s="17" t="str">
        <f>_xlfn.SINGLE(MTCA)</f>
      </c>
      <c r="C1033" s="17"/>
      <c r="D1033" s="17" t="str">
        <f>ver</f>
        <v>TA2_e-CO_2025_Ver 1.1</v>
      </c>
      <c r="E1033" s="17"/>
      <c r="F1033" s="17"/>
      <c r="G1033" s="17"/>
      <c r="H1033" s="17"/>
      <c r="I1033" s="536" t="s">
        <v>9872</v>
      </c>
      <c r="J1033" s="242"/>
      <c r="Q1033" s="142"/>
      <c r="R1033" s="142"/>
      <c r="S1033" s="142"/>
      <c r="T1033" s="142"/>
      <c r="U1033" s="142"/>
      <c r="V1033" s="142"/>
      <c r="W1033" s="142"/>
      <c r="X1033" s="142"/>
    </row>
    <row r="1034" spans="1:75" ht="16.149999999999999" customHeight="1" x14ac:dyDescent="0.2">
      <c r="A1034" s="17"/>
      <c r="B1034" s="17"/>
      <c r="C1034" s="17"/>
      <c r="D1034" s="17"/>
      <c r="E1034" s="17"/>
      <c r="F1034" s="17"/>
      <c r="G1034" s="17"/>
      <c r="H1034" s="17"/>
      <c r="I1034" s="17"/>
      <c r="J1034" s="242"/>
      <c r="K1034" s="236">
        <f>K182+K121+K60+K243+K304+K365+K426+K487+K548+K609+K670+K731</f>
      </c>
      <c r="L1034" s="46">
        <f>L151+L90+L29+L212+L273+L334+L395+L456+L517+L578+L639+L700</f>
      </c>
      <c r="M1034" s="46">
        <f>M180+M119+M58+M241+M302+M363+M424+M485+M546+M607+M668+M729</f>
      </c>
    </row>
    <row r="1035" spans="1:75" ht="16.149999999999999" customHeight="1" x14ac:dyDescent="0.2">
      <c r="A1035" s="17"/>
      <c r="B1035" s="237"/>
      <c r="C1035" s="3"/>
      <c r="D1035" s="3"/>
      <c r="E1035" s="592" t="s">
        <v>6624</v>
      </c>
      <c r="F1035" s="331"/>
      <c r="G1035" s="222" t="str">
        <f>IF(AND(L1034&gt;0,F1035=""),re,"")</f>
        <v/>
      </c>
      <c r="H1035" s="17"/>
      <c r="I1035" s="17"/>
      <c r="J1035" s="242"/>
      <c r="BW1035" s="142" t="s">
        <v>4457</v>
      </c>
    </row>
    <row r="1036" spans="1:75" ht="16.149999999999999" customHeight="1" x14ac:dyDescent="0.2">
      <c r="A1036" s="17"/>
      <c r="B1036" s="3"/>
      <c r="C1036" s="3"/>
      <c r="D1036" s="3"/>
      <c r="E1036" s="17"/>
      <c r="F1036" s="17"/>
      <c r="G1036" s="17"/>
      <c r="H1036" s="17"/>
      <c r="I1036" s="17"/>
      <c r="J1036" s="242"/>
      <c r="K1036" s="28">
        <f>IF(L1034=0,0,IF(M1034&gt;0,100,IF(F1035="Yes",1,100)))</f>
      </c>
      <c r="BW1036" s="142" t="s">
        <v>1736</v>
      </c>
    </row>
    <row r="1037" spans="1:75" ht="16.149999999999999" customHeight="1" x14ac:dyDescent="0.2">
      <c r="A1037" s="17"/>
      <c r="B1037" s="4636" t="s">
        <v>6290</v>
      </c>
      <c r="C1037" s="4636"/>
      <c r="D1037" s="4636"/>
      <c r="E1037" s="17"/>
      <c r="F1037" s="17"/>
      <c r="G1037" s="17"/>
      <c r="H1037" s="17"/>
      <c r="I1037" s="17"/>
      <c r="J1037" s="242"/>
      <c r="O1037" s="1164"/>
    </row>
  </sheetData>
  <sheetProtection algorithmName="SHA-512" hashValue="HrwDRBts/1Fwb+03o8lKR0FkV7u9dHDmJnsK28pggg0aiH7oKbWom5j0MshWl01iZ631nwC9AwDmBcOJ86hJng==" saltValue="SkJ9e26jKOuzYl0j2wripg==" spinCount="100000" sheet="1" objects="1" scenarios="1"/>
  <customSheetViews>
    <customSheetView guid="{99B5278F-6EA9-4B1A-8623-27A4DF4AD5E4}" showGridLines="0" hiddenRows="1" hiddenColumns="1">
      <selection activeCell="E6" sqref="E6:I6"/>
      <rowBreaks count="2" manualBreakCount="2">
        <brk id="48" max="8" man="1"/>
        <brk id="95" max="8" man="1"/>
      </rowBreaks>
      <pageMargins left="0.75" right="0.31" top="0.62" bottom="0.23" header="0.13" footer="0.13"/>
      <pageSetup paperSize="9" orientation="portrait" horizontalDpi="300" verticalDpi="300" r:id="rId1"/>
      <headerFooter alignWithMargins="0">
        <oddFooter>&amp;LName&amp;CSignature&amp;RDate</oddFooter>
      </headerFooter>
    </customSheetView>
  </customSheetViews>
  <mergeCells count="112">
    <mergeCell ref="B190:E190"/>
    <mergeCell ref="B191:E191"/>
    <mergeCell ref="B251:E251"/>
    <mergeCell ref="B252:E252"/>
    <mergeCell ref="B312:E312"/>
    <mergeCell ref="B313:E313"/>
    <mergeCell ref="B373:E373"/>
    <mergeCell ref="B374:E374"/>
    <mergeCell ref="B699:D699"/>
    <mergeCell ref="E699:F699"/>
    <mergeCell ref="B609:F609"/>
    <mergeCell ref="B613:I613"/>
    <mergeCell ref="E630:I630"/>
    <mergeCell ref="F632:G632"/>
    <mergeCell ref="B577:D577"/>
    <mergeCell ref="E577:F577"/>
    <mergeCell ref="B607:E607"/>
    <mergeCell ref="B546:E546"/>
    <mergeCell ref="B548:F548"/>
    <mergeCell ref="B552:I552"/>
    <mergeCell ref="E569:I569"/>
    <mergeCell ref="F571:G571"/>
    <mergeCell ref="E508:I508"/>
    <mergeCell ref="F510:G510"/>
    <mergeCell ref="B729:E729"/>
    <mergeCell ref="B731:F731"/>
    <mergeCell ref="B674:I674"/>
    <mergeCell ref="E691:I691"/>
    <mergeCell ref="F693:G693"/>
    <mergeCell ref="B638:D638"/>
    <mergeCell ref="E638:F638"/>
    <mergeCell ref="B668:E668"/>
    <mergeCell ref="B670:F670"/>
    <mergeCell ref="B556:E556"/>
    <mergeCell ref="B557:E557"/>
    <mergeCell ref="E272:F272"/>
    <mergeCell ref="B365:F365"/>
    <mergeCell ref="B430:I430"/>
    <mergeCell ref="E447:I447"/>
    <mergeCell ref="F449:G449"/>
    <mergeCell ref="B394:D394"/>
    <mergeCell ref="E394:F394"/>
    <mergeCell ref="B424:E424"/>
    <mergeCell ref="B426:F426"/>
    <mergeCell ref="B516:D516"/>
    <mergeCell ref="E516:F516"/>
    <mergeCell ref="B455:D455"/>
    <mergeCell ref="E455:F455"/>
    <mergeCell ref="B485:E485"/>
    <mergeCell ref="B487:F487"/>
    <mergeCell ref="B491:I491"/>
    <mergeCell ref="B495:E495"/>
    <mergeCell ref="B496:E496"/>
    <mergeCell ref="B1:H1"/>
    <mergeCell ref="B62:H62"/>
    <mergeCell ref="B3:I3"/>
    <mergeCell ref="E20:I20"/>
    <mergeCell ref="B58:E58"/>
    <mergeCell ref="B28:D28"/>
    <mergeCell ref="F22:G22"/>
    <mergeCell ref="B60:F60"/>
    <mergeCell ref="B7:E7"/>
    <mergeCell ref="B8:E8"/>
    <mergeCell ref="E28:F28"/>
    <mergeCell ref="B1037:D1037"/>
    <mergeCell ref="B182:F182"/>
    <mergeCell ref="B180:E180"/>
    <mergeCell ref="E150:F150"/>
    <mergeCell ref="B150:D150"/>
    <mergeCell ref="B186:I186"/>
    <mergeCell ref="E203:I203"/>
    <mergeCell ref="F205:G205"/>
    <mergeCell ref="B211:D211"/>
    <mergeCell ref="E211:F211"/>
    <mergeCell ref="B241:E241"/>
    <mergeCell ref="B243:F243"/>
    <mergeCell ref="B247:I247"/>
    <mergeCell ref="B302:E302"/>
    <mergeCell ref="B304:F304"/>
    <mergeCell ref="B308:I308"/>
    <mergeCell ref="B434:E434"/>
    <mergeCell ref="B435:E435"/>
    <mergeCell ref="B369:I369"/>
    <mergeCell ref="E386:I386"/>
    <mergeCell ref="F388:G388"/>
    <mergeCell ref="B333:D333"/>
    <mergeCell ref="E333:F333"/>
    <mergeCell ref="B363:E363"/>
    <mergeCell ref="B617:E617"/>
    <mergeCell ref="B618:E618"/>
    <mergeCell ref="B678:E678"/>
    <mergeCell ref="B679:E679"/>
    <mergeCell ref="F83:G83"/>
    <mergeCell ref="B64:I64"/>
    <mergeCell ref="E81:I81"/>
    <mergeCell ref="F144:G144"/>
    <mergeCell ref="B89:D89"/>
    <mergeCell ref="B123:H123"/>
    <mergeCell ref="B68:E68"/>
    <mergeCell ref="B69:E69"/>
    <mergeCell ref="B129:E129"/>
    <mergeCell ref="B130:E130"/>
    <mergeCell ref="B119:E119"/>
    <mergeCell ref="E142:I142"/>
    <mergeCell ref="E89:F89"/>
    <mergeCell ref="B125:I125"/>
    <mergeCell ref="B121:F121"/>
    <mergeCell ref="E325:I325"/>
    <mergeCell ref="F327:G327"/>
    <mergeCell ref="E264:I264"/>
    <mergeCell ref="F266:G266"/>
    <mergeCell ref="B272:D272"/>
  </mergeCells>
  <phoneticPr fontId="0" type="noConversion"/>
  <conditionalFormatting sqref="E26">
    <cfRule type="expression" dxfId="852" priority="37">
      <formula>$N$27=1</formula>
    </cfRule>
  </conditionalFormatting>
  <conditionalFormatting sqref="E87">
    <cfRule type="expression" dxfId="851" priority="35">
      <formula>$N$88=1</formula>
    </cfRule>
  </conditionalFormatting>
  <conditionalFormatting sqref="E148">
    <cfRule type="expression" dxfId="850" priority="32">
      <formula>$N$149=1</formula>
    </cfRule>
  </conditionalFormatting>
  <conditionalFormatting sqref="E209">
    <cfRule type="expression" dxfId="849" priority="27">
      <formula>$N$210=1</formula>
    </cfRule>
  </conditionalFormatting>
  <conditionalFormatting sqref="E270">
    <cfRule type="expression" dxfId="848" priority="25">
      <formula>$N$271=1</formula>
    </cfRule>
  </conditionalFormatting>
  <conditionalFormatting sqref="E331">
    <cfRule type="expression" dxfId="847" priority="22">
      <formula>$N$332=1</formula>
    </cfRule>
  </conditionalFormatting>
  <conditionalFormatting sqref="E392">
    <cfRule type="expression" dxfId="846" priority="16">
      <formula>$N$393=1</formula>
    </cfRule>
  </conditionalFormatting>
  <conditionalFormatting sqref="E453">
    <cfRule type="expression" dxfId="845" priority="14">
      <formula>$N$454=1</formula>
    </cfRule>
  </conditionalFormatting>
  <conditionalFormatting sqref="E514">
    <cfRule type="expression" dxfId="844" priority="11">
      <formula>$N$515=1</formula>
    </cfRule>
  </conditionalFormatting>
  <conditionalFormatting sqref="E575">
    <cfRule type="expression" dxfId="843" priority="8">
      <formula>$N$576=1</formula>
    </cfRule>
  </conditionalFormatting>
  <conditionalFormatting sqref="E636">
    <cfRule type="expression" dxfId="842" priority="5">
      <formula>$N$637=1</formula>
    </cfRule>
  </conditionalFormatting>
  <conditionalFormatting sqref="E697">
    <cfRule type="expression" dxfId="841" priority="2">
      <formula>$N$698=1</formula>
    </cfRule>
  </conditionalFormatting>
  <conditionalFormatting sqref="F5">
    <cfRule type="expression" dxfId="840" priority="52">
      <formula>$P$1="n"</formula>
    </cfRule>
  </conditionalFormatting>
  <conditionalFormatting sqref="F66">
    <cfRule type="expression" dxfId="839" priority="51">
      <formula>$P$1="n"</formula>
    </cfRule>
  </conditionalFormatting>
  <conditionalFormatting sqref="F127">
    <cfRule type="expression" dxfId="838" priority="50">
      <formula>$P$1="n"</formula>
    </cfRule>
  </conditionalFormatting>
  <conditionalFormatting sqref="F188">
    <cfRule type="expression" dxfId="837" priority="49">
      <formula>$P$1="n"</formula>
    </cfRule>
  </conditionalFormatting>
  <conditionalFormatting sqref="F249">
    <cfRule type="expression" dxfId="836" priority="48">
      <formula>$P$1="n"</formula>
    </cfRule>
  </conditionalFormatting>
  <conditionalFormatting sqref="F310">
    <cfRule type="expression" dxfId="835" priority="47">
      <formula>$P$1="n"</formula>
    </cfRule>
  </conditionalFormatting>
  <conditionalFormatting sqref="F371">
    <cfRule type="expression" dxfId="834" priority="46">
      <formula>$P$1="n"</formula>
    </cfRule>
  </conditionalFormatting>
  <conditionalFormatting sqref="F432">
    <cfRule type="expression" dxfId="833" priority="45">
      <formula>$P$1="n"</formula>
    </cfRule>
  </conditionalFormatting>
  <conditionalFormatting sqref="F493">
    <cfRule type="expression" dxfId="832" priority="44">
      <formula>$P$1="n"</formula>
    </cfRule>
  </conditionalFormatting>
  <conditionalFormatting sqref="F554">
    <cfRule type="expression" dxfId="831" priority="42">
      <formula>$P$1="n"</formula>
    </cfRule>
  </conditionalFormatting>
  <conditionalFormatting sqref="F615">
    <cfRule type="expression" dxfId="830" priority="41">
      <formula>$P$1="n"</formula>
    </cfRule>
  </conditionalFormatting>
  <conditionalFormatting sqref="F676">
    <cfRule type="expression" dxfId="829" priority="40">
      <formula>$P$1="n"</formula>
    </cfRule>
  </conditionalFormatting>
  <conditionalFormatting sqref="H26">
    <cfRule type="expression" dxfId="828" priority="38">
      <formula>$N$26=1</formula>
    </cfRule>
  </conditionalFormatting>
  <conditionalFormatting sqref="H87">
    <cfRule type="expression" dxfId="827" priority="34">
      <formula>$N$87=1</formula>
    </cfRule>
  </conditionalFormatting>
  <conditionalFormatting sqref="H148">
    <cfRule type="expression" dxfId="826" priority="31">
      <formula>$N$148=1</formula>
    </cfRule>
  </conditionalFormatting>
  <conditionalFormatting sqref="H209">
    <cfRule type="expression" dxfId="825" priority="28">
      <formula>$N$209=1</formula>
    </cfRule>
  </conditionalFormatting>
  <conditionalFormatting sqref="H270">
    <cfRule type="expression" dxfId="824" priority="24">
      <formula>$N$270=1</formula>
    </cfRule>
  </conditionalFormatting>
  <conditionalFormatting sqref="H331">
    <cfRule type="expression" dxfId="823" priority="18">
      <formula>$N$331=1</formula>
    </cfRule>
  </conditionalFormatting>
  <conditionalFormatting sqref="H392">
    <cfRule type="expression" dxfId="822" priority="17">
      <formula>$N$392=1</formula>
    </cfRule>
  </conditionalFormatting>
  <conditionalFormatting sqref="H453">
    <cfRule type="expression" dxfId="821" priority="13">
      <formula>$N$453=1</formula>
    </cfRule>
  </conditionalFormatting>
  <conditionalFormatting sqref="H514">
    <cfRule type="expression" dxfId="820" priority="10">
      <formula>$N$514=1</formula>
    </cfRule>
  </conditionalFormatting>
  <conditionalFormatting sqref="H575">
    <cfRule type="expression" dxfId="819" priority="7">
      <formula>$N$575=1</formula>
    </cfRule>
  </conditionalFormatting>
  <conditionalFormatting sqref="H636">
    <cfRule type="expression" dxfId="818" priority="4">
      <formula>$N$636=1</formula>
    </cfRule>
  </conditionalFormatting>
  <conditionalFormatting sqref="H697">
    <cfRule type="expression" dxfId="817" priority="1">
      <formula>$N$697=1</formula>
    </cfRule>
  </conditionalFormatting>
  <dataValidations count="8">
    <dataValidation type="list" allowBlank="1" showInputMessage="1" showErrorMessage="1" errorTitle="Choose item from Dropdown list! " sqref="F1035" xr:uid="{00000000-0002-0000-1300-000000000000}">
      <formula1>$BW$1034:$BW$1036</formula1>
    </dataValidation>
    <dataValidation type="date" allowBlank="1" showInputMessage="1" showErrorMessage="1" errorTitle="Date of deed" error="Please enter the correct date falling within the current Y/A!_x000a__x000a_" sqref="H26 H87 H148 H209 H270 H331 H392 H453 H514 H575 H636 H697" xr:uid="{00000000-0002-0000-1300-000001000000}">
      <formula1>$O$26</formula1>
      <formula2>$P$26</formula2>
    </dataValidation>
    <dataValidation type="whole" allowBlank="1" showInputMessage="1" showErrorMessage="1" errorTitle="YEAR OF SALE" error="Basis year required which must fall within the current Y/A!" sqref="E22 E83 E144 E205 E266 E327 E388 E449 E510 E571 E632 E693" xr:uid="{00000000-0002-0000-1300-000002000000}">
      <formula1>ya-2</formula1>
      <formula2>ya-1</formula2>
    </dataValidation>
    <dataValidation errorStyle="warning" showErrorMessage="1" errorTitle="Method of calculation! " error="Not included in the dropdown list!" sqref="E28:F28 E89:F89 E150:F150 E211:F211 E272:F272 E333:F333 E394:F394 E455:F455 E516:F516 E577:F577 E638:F638 E699:F699" xr:uid="{00000000-0002-0000-1300-000003000000}"/>
    <dataValidation type="list" allowBlank="1" showInputMessage="1" showErrorMessage="1" errorTitle="Choose item from Dropdown list! " sqref="H22 H693 H632 H571 H510 H449 H388 H327 H266 H205 H144 H83" xr:uid="{00000000-0002-0000-1300-000004000000}">
      <formula1>$BW$28:$BW$30</formula1>
    </dataValidation>
    <dataValidation type="whole" operator="lessThanOrEqual" allowBlank="1" showInputMessage="1" showErrorMessage="1" errorTitle="Year of Acquisition" error="Cannot be more than the current year!" sqref="B31:B56" xr:uid="{00000000-0002-0000-1300-000005000000}">
      <formula1>ya-1</formula1>
    </dataValidation>
    <dataValidation type="list" allowBlank="1" showInputMessage="1" showErrorMessage="1" sqref="F615 F66 F127 F188 F249 F5 F314:F322 F371 F432 F493 F554 F310:F311 F676" xr:uid="{00000000-0002-0000-1300-000006000000}">
      <formula1>FU</formula1>
    </dataValidation>
    <dataValidation type="list" allowBlank="1" showInputMessage="1" showErrorMessage="1" sqref="F7 F68 F129 F190 F251 F312 F373 F434 F495 F556 F617 F678" xr:uid="{00000000-0002-0000-1300-000007000000}">
      <formula1>yn</formula1>
    </dataValidation>
  </dataValidations>
  <hyperlinks>
    <hyperlink ref="B1037" location="Index!A1" display="Index!A1" xr:uid="{00000000-0004-0000-1300-000000000000}"/>
  </hyperlinks>
  <pageMargins left="0.75" right="0.31" top="0.62" bottom="0.23" header="0.13" footer="0.13"/>
  <pageSetup paperSize="9" orientation="portrait" r:id="rId2"/>
  <headerFooter alignWithMargins="0">
    <oddFooter>&amp;LName&amp;CSignature&amp;RDate</oddFooter>
  </headerFooter>
  <rowBreaks count="2" manualBreakCount="2">
    <brk id="62" max="8" man="1"/>
    <brk id="123" max="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5"/>
  <dimension ref="A1:BZ695"/>
  <sheetViews>
    <sheetView zoomScaleNormal="100" workbookViewId="0">
      <selection activeCell="B1" sqref="B1"/>
    </sheetView>
  </sheetViews>
  <sheetFormatPr defaultColWidth="0" defaultRowHeight="12.75" zeroHeight="1" x14ac:dyDescent="0.2"/>
  <cols>
    <col min="1" max="1" width="3.28515625" style="28" customWidth="1"/>
    <col min="2" max="2" width="12.28515625" style="28" customWidth="1"/>
    <col min="3" max="3" width="26.5703125" style="28" customWidth="1"/>
    <col min="4" max="4" width="20.28515625" style="28" customWidth="1"/>
    <col min="5" max="5" width="8.28515625" style="28" customWidth="1"/>
    <col min="6" max="9" width="10.7109375" style="28" customWidth="1"/>
    <col min="10" max="10" width="7.7109375" style="28" customWidth="1"/>
    <col min="11" max="11" width="2.7109375" style="28" customWidth="1"/>
    <col min="12" max="12" width="6.28515625" style="28" hidden="1" customWidth="1"/>
    <col min="13" max="13" width="12" style="28" hidden="1" customWidth="1"/>
    <col min="14" max="14" width="2.7109375" style="28" hidden="1" customWidth="1"/>
    <col min="15" max="15" width="6.42578125" style="28" hidden="1" customWidth="1"/>
    <col min="16" max="16" width="8.28515625" style="46" hidden="1" customWidth="1"/>
    <col min="17" max="17" width="4" style="28" hidden="1" customWidth="1"/>
    <col min="18" max="18" width="9.28515625" style="28" hidden="1" customWidth="1"/>
    <col min="19" max="20" width="10.28515625" style="28" hidden="1" customWidth="1"/>
    <col min="21" max="77" width="8.7109375" style="28" hidden="1" customWidth="1"/>
    <col min="78" max="78" width="8.5703125" style="28" hidden="1" customWidth="1"/>
    <col min="79" max="16384" width="8.7109375" style="142" hidden="1"/>
  </cols>
  <sheetData>
    <row r="1" spans="1:27" x14ac:dyDescent="0.2">
      <c r="A1" s="3"/>
      <c r="B1" s="65" t="str">
        <f>_ref1</f>
      </c>
      <c r="C1" s="65"/>
      <c r="D1" s="65"/>
      <c r="E1" s="65"/>
      <c r="F1" s="65"/>
      <c r="G1" s="65"/>
      <c r="H1" s="65"/>
      <c r="I1" s="64" t="str">
        <f>_YA1</f>
      </c>
      <c r="J1" s="1"/>
      <c r="K1" s="1"/>
      <c r="P1" s="46" t="s">
        <v>9960</v>
      </c>
      <c r="Q1" s="28" t="str">
        <f>'p2'!G36</f>
      </c>
      <c r="S1" s="46" t="s">
        <v>10038</v>
      </c>
      <c r="T1" s="28" t="str">
        <f>'p2'!G38</f>
      </c>
    </row>
    <row r="2" spans="1:27" ht="5.25" customHeight="1" x14ac:dyDescent="0.2">
      <c r="A2" s="3"/>
      <c r="B2" s="3"/>
      <c r="C2" s="3"/>
      <c r="D2" s="3"/>
      <c r="E2" s="3"/>
      <c r="F2" s="3"/>
      <c r="G2" s="3"/>
      <c r="H2" s="3"/>
      <c r="I2" s="3"/>
      <c r="J2" s="1"/>
      <c r="K2" s="3"/>
      <c r="U2" s="1736" t="s">
        <v>9125</v>
      </c>
      <c r="AA2" s="1634" t="s">
        <v>8231</v>
      </c>
    </row>
    <row r="3" spans="1:27" ht="16.149999999999999" customHeight="1" x14ac:dyDescent="0.2">
      <c r="A3" s="748">
        <v>1</v>
      </c>
      <c r="B3" s="4658"/>
      <c r="C3" s="4659"/>
      <c r="D3" s="4659"/>
      <c r="E3" s="4659"/>
      <c r="F3" s="4659"/>
      <c r="G3" s="4659"/>
      <c r="H3" s="4659"/>
      <c r="I3" s="4660"/>
      <c r="J3" s="1276" t="str">
        <f>IF(R36=0,"",IF(B3="",re,""))</f>
        <v/>
      </c>
      <c r="K3" s="593"/>
      <c r="L3" s="28">
        <f>IF(J3="",0,1)</f>
      </c>
      <c r="M3" s="28">
        <f>IF($B3=$AA$3,1,IF($B3=$AA$4,2,0))</f>
      </c>
      <c r="U3" s="28" t="s">
        <v>5806</v>
      </c>
      <c r="AA3" s="1274" t="s">
        <v>10460</v>
      </c>
    </row>
    <row r="4" spans="1:27" ht="5.25" customHeight="1" x14ac:dyDescent="0.2">
      <c r="A4" s="2"/>
      <c r="B4" s="593"/>
      <c r="C4" s="593"/>
      <c r="D4" s="593"/>
      <c r="E4" s="593"/>
      <c r="F4" s="593"/>
      <c r="G4" s="593"/>
      <c r="H4" s="593"/>
      <c r="I4" s="593"/>
      <c r="J4" s="1"/>
      <c r="K4" s="593"/>
      <c r="U4" s="28" t="s">
        <v>363</v>
      </c>
      <c r="AA4" s="28" t="s">
        <v>6170</v>
      </c>
    </row>
    <row r="5" spans="1:27" ht="15" x14ac:dyDescent="0.2">
      <c r="A5" s="2"/>
      <c r="B5" s="3574" t="s">
        <v>9961</v>
      </c>
      <c r="C5" s="593"/>
      <c r="D5" s="593"/>
      <c r="E5" s="4653"/>
      <c r="F5" s="4654"/>
      <c r="G5" s="595" t="str">
        <f>IF(R36=0,"",IF(AND($Q$1="n",E5&lt;&gt;""),"Not fiscal unit - Pg 2 Q30",IF(AND($Q$1="y",ISBLANK(E5)),"Required !","")))</f>
        <v/>
      </c>
      <c r="H5" s="593"/>
      <c r="I5" s="593"/>
      <c r="J5" s="1"/>
      <c r="K5" s="593"/>
      <c r="L5" s="28">
        <f>IF(G5="",0,1)</f>
      </c>
      <c r="U5" s="28" t="s">
        <v>2372</v>
      </c>
    </row>
    <row r="6" spans="1:27" ht="7.5" customHeight="1" x14ac:dyDescent="0.2">
      <c r="A6" s="2"/>
      <c r="B6" s="3574"/>
      <c r="C6" s="593"/>
      <c r="D6" s="593"/>
      <c r="E6" s="593"/>
      <c r="F6" s="593"/>
      <c r="G6" s="595"/>
      <c r="H6" s="593"/>
      <c r="I6" s="593"/>
      <c r="J6" s="1"/>
      <c r="K6" s="593"/>
    </row>
    <row r="7" spans="1:27" ht="15" customHeight="1" x14ac:dyDescent="0.2">
      <c r="A7" s="2"/>
      <c r="B7" s="2221" t="s">
        <v>10035</v>
      </c>
      <c r="C7" s="3619"/>
      <c r="D7" s="3619"/>
      <c r="E7" s="3619"/>
      <c r="F7" s="569"/>
      <c r="G7" s="3620" t="str">
        <f>IF(R36=0,"",IF(ISBLANK(F7),"Required!",IF(AND($T$1="n",F7="yes"),"Check Pg2 Q32!","")))</f>
        <v/>
      </c>
      <c r="H7" s="593"/>
      <c r="I7" s="593"/>
      <c r="J7" s="1"/>
      <c r="K7" s="593"/>
      <c r="L7" s="28">
        <f>IF(G7="",0,1)</f>
      </c>
    </row>
    <row r="8" spans="1:27" ht="15" customHeight="1" x14ac:dyDescent="0.2">
      <c r="A8" s="2"/>
      <c r="B8" s="229" t="s">
        <v>10036</v>
      </c>
      <c r="C8" s="2221"/>
      <c r="D8" s="2221"/>
      <c r="E8" s="2221"/>
      <c r="F8" s="242"/>
      <c r="G8" s="595"/>
      <c r="H8" s="593"/>
      <c r="I8" s="593"/>
      <c r="J8" s="1"/>
      <c r="K8" s="593"/>
    </row>
    <row r="9" spans="1:27" ht="15" hidden="1" x14ac:dyDescent="0.2">
      <c r="A9" s="2"/>
      <c r="B9" s="3574"/>
      <c r="C9" s="593"/>
      <c r="D9" s="593"/>
      <c r="E9" s="593"/>
      <c r="F9" s="593"/>
      <c r="G9" s="595"/>
      <c r="H9" s="593"/>
      <c r="I9" s="593"/>
      <c r="J9" s="1"/>
      <c r="K9" s="593"/>
    </row>
    <row r="10" spans="1:27" ht="15" hidden="1" x14ac:dyDescent="0.2">
      <c r="A10" s="2"/>
      <c r="B10" s="3574"/>
      <c r="C10" s="593"/>
      <c r="D10" s="593"/>
      <c r="E10" s="593"/>
      <c r="F10" s="593"/>
      <c r="G10" s="595"/>
      <c r="H10" s="593"/>
      <c r="I10" s="593"/>
      <c r="J10" s="1"/>
      <c r="K10" s="593"/>
    </row>
    <row r="11" spans="1:27" ht="15" hidden="1" x14ac:dyDescent="0.2">
      <c r="A11" s="2"/>
      <c r="B11" s="3574"/>
      <c r="C11" s="593"/>
      <c r="D11" s="593"/>
      <c r="E11" s="593"/>
      <c r="F11" s="593"/>
      <c r="G11" s="595"/>
      <c r="H11" s="593"/>
      <c r="I11" s="593"/>
      <c r="J11" s="1"/>
      <c r="K11" s="593"/>
    </row>
    <row r="12" spans="1:27" ht="15" hidden="1" x14ac:dyDescent="0.2">
      <c r="A12" s="2"/>
      <c r="B12" s="3574"/>
      <c r="C12" s="593"/>
      <c r="D12" s="593"/>
      <c r="E12" s="593"/>
      <c r="F12" s="593"/>
      <c r="G12" s="595"/>
      <c r="H12" s="593"/>
      <c r="I12" s="593"/>
      <c r="J12" s="1"/>
      <c r="K12" s="593"/>
    </row>
    <row r="13" spans="1:27" ht="15" hidden="1" x14ac:dyDescent="0.2">
      <c r="A13" s="2"/>
      <c r="B13" s="3574"/>
      <c r="C13" s="593"/>
      <c r="D13" s="593"/>
      <c r="E13" s="593"/>
      <c r="F13" s="593"/>
      <c r="G13" s="595"/>
      <c r="H13" s="593"/>
      <c r="I13" s="593"/>
      <c r="J13" s="1"/>
      <c r="K13" s="593"/>
    </row>
    <row r="14" spans="1:27" ht="15" hidden="1" x14ac:dyDescent="0.2">
      <c r="A14" s="2"/>
      <c r="B14" s="3574"/>
      <c r="C14" s="593"/>
      <c r="D14" s="593"/>
      <c r="E14" s="593"/>
      <c r="F14" s="593"/>
      <c r="G14" s="595"/>
      <c r="H14" s="593"/>
      <c r="I14" s="593"/>
      <c r="J14" s="1"/>
      <c r="K14" s="593"/>
    </row>
    <row r="15" spans="1:27" ht="15" hidden="1" x14ac:dyDescent="0.2">
      <c r="A15" s="2"/>
      <c r="B15" s="3574"/>
      <c r="C15" s="593"/>
      <c r="D15" s="593"/>
      <c r="E15" s="593"/>
      <c r="F15" s="593"/>
      <c r="G15" s="595"/>
      <c r="H15" s="593"/>
      <c r="I15" s="593"/>
      <c r="J15" s="1"/>
      <c r="K15" s="593"/>
    </row>
    <row r="16" spans="1:27" ht="15" hidden="1" x14ac:dyDescent="0.2">
      <c r="A16" s="2"/>
      <c r="B16" s="3574"/>
      <c r="C16" s="593"/>
      <c r="D16" s="593"/>
      <c r="E16" s="593"/>
      <c r="F16" s="593"/>
      <c r="G16" s="595"/>
      <c r="H16" s="593"/>
      <c r="I16" s="593"/>
      <c r="J16" s="1"/>
      <c r="K16" s="593"/>
    </row>
    <row r="17" spans="1:27" ht="15" hidden="1" x14ac:dyDescent="0.2">
      <c r="A17" s="2"/>
      <c r="B17" s="3574"/>
      <c r="C17" s="593"/>
      <c r="D17" s="593"/>
      <c r="E17" s="593"/>
      <c r="F17" s="593"/>
      <c r="G17" s="595"/>
      <c r="H17" s="593"/>
      <c r="I17" s="593"/>
      <c r="J17" s="1"/>
      <c r="K17" s="593"/>
    </row>
    <row r="18" spans="1:27" ht="15" hidden="1" x14ac:dyDescent="0.2">
      <c r="A18" s="2"/>
      <c r="B18" s="3574"/>
      <c r="C18" s="593"/>
      <c r="D18" s="593"/>
      <c r="E18" s="593"/>
      <c r="F18" s="593"/>
      <c r="G18" s="595"/>
      <c r="H18" s="593"/>
      <c r="I18" s="593"/>
      <c r="J18" s="1"/>
      <c r="K18" s="593"/>
    </row>
    <row r="19" spans="1:27" ht="5.25" customHeight="1" x14ac:dyDescent="0.2">
      <c r="A19" s="2"/>
      <c r="B19" s="593"/>
      <c r="C19" s="593"/>
      <c r="D19" s="593"/>
      <c r="E19" s="593"/>
      <c r="F19" s="593"/>
      <c r="G19" s="593"/>
      <c r="H19" s="593"/>
      <c r="I19" s="593"/>
      <c r="J19" s="1"/>
      <c r="K19" s="593"/>
    </row>
    <row r="20" spans="1:27" ht="15" x14ac:dyDescent="0.2">
      <c r="A20" s="3"/>
      <c r="B20" s="358" t="str">
        <f>IF(O20=1,"Name of "&amp;M20&amp;" deemed to be transferred","Name of "&amp;M20&amp;" being transferred")</f>
      </c>
      <c r="C20" s="358"/>
      <c r="D20" s="594" t="str">
        <f>IF(R36=0,"",IF(ISBLANK(E20),"Required !",""))</f>
        <v/>
      </c>
      <c r="E20" s="4317"/>
      <c r="F20" s="4318"/>
      <c r="G20" s="4318"/>
      <c r="H20" s="4318"/>
      <c r="I20" s="4319"/>
      <c r="J20" s="1"/>
      <c r="K20" s="593"/>
      <c r="L20" s="28">
        <f>IF(D20="",0,1)</f>
      </c>
      <c r="M20" s="28" t="str">
        <f>IF(M3=2,"Partnership","Company")</f>
      </c>
      <c r="O20" s="142">
        <f>IF(AND(F7="yes",$T$1="y"),1,0)</f>
      </c>
      <c r="U20" s="142"/>
    </row>
    <row r="21" spans="1:27" ht="5.25" customHeight="1" x14ac:dyDescent="0.2">
      <c r="A21" s="3"/>
      <c r="B21" s="358"/>
      <c r="C21" s="358"/>
      <c r="D21" s="358"/>
      <c r="E21" s="8"/>
      <c r="F21" s="8"/>
      <c r="G21" s="8"/>
      <c r="H21" s="8"/>
      <c r="I21" s="8"/>
      <c r="J21" s="1"/>
      <c r="K21" s="593"/>
    </row>
    <row r="22" spans="1:27" ht="15" x14ac:dyDescent="0.2">
      <c r="A22" s="3"/>
      <c r="B22" s="4661" t="s">
        <v>2242</v>
      </c>
      <c r="C22" s="4661"/>
      <c r="D22" s="4661"/>
      <c r="E22" s="4662"/>
      <c r="F22" s="4302"/>
      <c r="G22" s="4304"/>
      <c r="H22" s="595" t="str">
        <f>IF(R36=0,"",IF(ISBLANK(F22),"Required !",""))</f>
        <v/>
      </c>
      <c r="I22" s="8"/>
      <c r="J22" s="1"/>
      <c r="K22" s="593"/>
      <c r="L22" s="28">
        <f>IF(H22="",0,1)</f>
      </c>
      <c r="U22" s="67"/>
    </row>
    <row r="23" spans="1:27" ht="5.25" customHeight="1" x14ac:dyDescent="0.2">
      <c r="A23" s="3"/>
      <c r="B23" s="358"/>
      <c r="C23" s="358"/>
      <c r="D23" s="358"/>
      <c r="E23" s="3"/>
      <c r="F23" s="3"/>
      <c r="G23" s="3"/>
      <c r="H23" s="3"/>
      <c r="I23" s="3"/>
      <c r="J23" s="1"/>
      <c r="K23" s="3"/>
      <c r="U23" s="62"/>
    </row>
    <row r="24" spans="1:27" x14ac:dyDescent="0.2">
      <c r="A24" s="3"/>
      <c r="B24" s="603" t="str">
        <f>IF(M3=2,"Percentage of interest transferred","Number of Securities transferred")</f>
      </c>
      <c r="C24" s="596"/>
      <c r="D24" s="596"/>
      <c r="E24" s="1275" t="str">
        <f>IF(M3=2,"% ","")</f>
        <v/>
      </c>
      <c r="F24" s="597"/>
      <c r="G24" s="595" t="str">
        <f>IF(R36=0,"",IF(ISBLANK(F24),"Required !",""))</f>
        <v/>
      </c>
      <c r="H24" s="86"/>
      <c r="I24" s="86"/>
      <c r="J24" s="1"/>
      <c r="K24" s="3"/>
      <c r="L24" s="28">
        <f>IF(G24="",0,1)</f>
      </c>
      <c r="U24" s="62"/>
    </row>
    <row r="25" spans="1:27" ht="5.25" customHeight="1" x14ac:dyDescent="0.2">
      <c r="A25" s="3"/>
      <c r="B25" s="598"/>
      <c r="C25" s="598"/>
      <c r="D25" s="598"/>
      <c r="E25" s="86"/>
      <c r="F25" s="86"/>
      <c r="G25" s="86"/>
      <c r="H25" s="86"/>
      <c r="I25" s="86"/>
      <c r="J25" s="1"/>
      <c r="K25" s="3"/>
    </row>
    <row r="26" spans="1:27" x14ac:dyDescent="0.2">
      <c r="A26" s="3"/>
      <c r="B26" s="596" t="s">
        <v>6276</v>
      </c>
      <c r="C26" s="596"/>
      <c r="D26" s="596"/>
      <c r="E26" s="596"/>
      <c r="F26" s="575"/>
      <c r="G26" s="595" t="str">
        <f>IF(R36=0,"",IF(ISBLANK(F26),"Required !",""))</f>
        <v/>
      </c>
      <c r="H26" s="86"/>
      <c r="I26" s="86"/>
      <c r="J26" s="1"/>
      <c r="K26" s="3"/>
      <c r="L26" s="28">
        <f>IF(G26="",0,1)</f>
      </c>
      <c r="S26" s="74">
        <f>DATE(ya-2,1,2)</f>
      </c>
      <c r="T26" s="74">
        <f>DATE(ya-1,12,31)</f>
      </c>
    </row>
    <row r="27" spans="1:27" ht="4.5" customHeight="1" x14ac:dyDescent="0.2">
      <c r="A27" s="3"/>
      <c r="B27" s="598"/>
      <c r="C27" s="598"/>
      <c r="D27" s="598"/>
      <c r="E27" s="86"/>
      <c r="F27" s="86"/>
      <c r="G27" s="86"/>
      <c r="H27" s="86"/>
      <c r="I27" s="86"/>
      <c r="J27" s="1"/>
      <c r="K27" s="3"/>
    </row>
    <row r="28" spans="1:27" x14ac:dyDescent="0.2">
      <c r="A28" s="3"/>
      <c r="B28" s="86" t="str">
        <f>IF(M3=2,"","Is it a transfer of a controlling interest?")</f>
      </c>
      <c r="C28" s="86"/>
      <c r="D28" s="86"/>
      <c r="E28" s="86" t="s">
        <v>1020</v>
      </c>
      <c r="F28" s="3789"/>
      <c r="G28" s="595" t="str">
        <f>IF(R36=0,"",IF(M3&lt;&gt;1,"",IF(ISBLANK(F28),"Required !","")))</f>
        <v/>
      </c>
      <c r="H28" s="600"/>
      <c r="I28" s="86"/>
      <c r="J28" s="1"/>
      <c r="K28" s="3"/>
      <c r="L28" s="28">
        <f>IF(G28="",0,1)</f>
      </c>
      <c r="S28" s="74">
        <v>38359</v>
      </c>
      <c r="AA28" s="84" t="s">
        <v>1522</v>
      </c>
    </row>
    <row r="29" spans="1:27" ht="6.75" customHeight="1" x14ac:dyDescent="0.2">
      <c r="A29" s="3"/>
      <c r="B29" s="598"/>
      <c r="C29" s="598"/>
      <c r="D29" s="598"/>
      <c r="E29" s="86"/>
      <c r="F29" s="86"/>
      <c r="G29" s="86"/>
      <c r="H29" s="86"/>
      <c r="I29" s="86"/>
      <c r="J29" s="1"/>
      <c r="K29" s="3"/>
      <c r="AA29" s="1983" t="s">
        <v>8220</v>
      </c>
    </row>
    <row r="30" spans="1:27" x14ac:dyDescent="0.2">
      <c r="A30" s="3"/>
      <c r="B30" s="4663" t="str">
        <f>IF(B3=$AA$2,$AA$29,$AA$28)</f>
        <v xml:space="preserve">Allocated to &gt;   </v>
      </c>
      <c r="C30" s="4663"/>
      <c r="D30" s="4663"/>
      <c r="E30" s="4664"/>
      <c r="F30" s="601"/>
      <c r="G30" s="595" t="str">
        <f>IF(R36=0,"",IF(ISBLANK(F30),"Choose A/c !",""))</f>
        <v/>
      </c>
      <c r="H30" s="86"/>
      <c r="I30" s="86"/>
      <c r="J30" s="1"/>
      <c r="K30" s="3"/>
      <c r="L30" s="28">
        <f>IF(G30="",0,1)</f>
      </c>
    </row>
    <row r="31" spans="1:27" ht="6.75" customHeight="1" x14ac:dyDescent="0.2">
      <c r="A31" s="3"/>
      <c r="B31" s="86"/>
      <c r="C31" s="86"/>
      <c r="D31" s="86"/>
      <c r="E31" s="86"/>
      <c r="F31" s="86"/>
      <c r="G31" s="86"/>
      <c r="H31" s="86"/>
      <c r="I31" s="86"/>
      <c r="J31" s="1"/>
      <c r="K31" s="3"/>
    </row>
    <row r="32" spans="1:27" x14ac:dyDescent="0.2">
      <c r="A32" s="3"/>
      <c r="B32" s="8" t="str">
        <f>"Consideration / Market value of "&amp;M32&amp;" transferred"</f>
      </c>
      <c r="C32" s="598"/>
      <c r="D32" s="598"/>
      <c r="E32" s="86"/>
      <c r="F32" s="86"/>
      <c r="G32" s="86"/>
      <c r="H32" s="510"/>
      <c r="I32" s="595" t="str">
        <f>IF(R36=0,"",IF(ISBLANK(H32),"Required !",""))</f>
        <v/>
      </c>
      <c r="J32" s="1"/>
      <c r="K32" s="3"/>
      <c r="L32" s="28">
        <f>IF(I32="",0,1)</f>
      </c>
      <c r="M32" s="28" t="str">
        <f>IF(M3=2,"interest","shares")</f>
      </c>
    </row>
    <row r="33" spans="1:32" ht="3.75" customHeight="1" x14ac:dyDescent="0.2">
      <c r="A33" s="3"/>
      <c r="B33" s="596"/>
      <c r="C33" s="596"/>
      <c r="D33" s="596"/>
      <c r="E33" s="596"/>
      <c r="F33" s="596"/>
      <c r="G33" s="596"/>
      <c r="H33" s="86"/>
      <c r="I33" s="86"/>
      <c r="J33" s="1"/>
      <c r="K33" s="3"/>
    </row>
    <row r="34" spans="1:32" x14ac:dyDescent="0.2">
      <c r="A34" s="3"/>
      <c r="B34" s="8" t="str">
        <f>"Cost of acquistion of "&amp;M32&amp;" transferred "</f>
        <v xml:space="preserve">Cost of acquistion of shares transferred </v>
      </c>
      <c r="C34" s="596"/>
      <c r="D34" s="596"/>
      <c r="E34" s="596"/>
      <c r="F34" s="596"/>
      <c r="G34" s="596"/>
      <c r="H34" s="510"/>
      <c r="I34" s="595" t="str">
        <f>IF(R36=0,"",IF(ISBLANK(H34),"Required or insert 0!",""))</f>
        <v/>
      </c>
      <c r="J34" s="1"/>
      <c r="K34" s="3"/>
      <c r="L34" s="28">
        <f>IF(I34="",0,1)</f>
      </c>
      <c r="T34" s="28" t="str">
        <f>ft</f>
      </c>
    </row>
    <row r="35" spans="1:32" x14ac:dyDescent="0.2">
      <c r="A35" s="3"/>
      <c r="B35" s="602" t="s">
        <v>2987</v>
      </c>
      <c r="C35" s="603"/>
      <c r="D35" s="603"/>
      <c r="E35" s="603"/>
      <c r="F35" s="603"/>
      <c r="G35" s="86"/>
      <c r="H35" s="86"/>
      <c r="I35" s="86"/>
      <c r="J35" s="1"/>
      <c r="K35" s="3"/>
      <c r="R35" s="142"/>
    </row>
    <row r="36" spans="1:32" ht="3.75" customHeight="1" x14ac:dyDescent="0.2">
      <c r="A36" s="3"/>
      <c r="B36" s="8"/>
      <c r="C36" s="65"/>
      <c r="D36" s="65"/>
      <c r="E36" s="65"/>
      <c r="F36" s="3"/>
      <c r="G36" s="86"/>
      <c r="H36" s="86"/>
      <c r="I36" s="595"/>
      <c r="J36" s="1"/>
      <c r="K36" s="3"/>
      <c r="R36" s="28">
        <f>COUNTA(B3,E20,F22,F24,F26,F28,F30,H32,H34,E39,E40,E5,F7)</f>
      </c>
    </row>
    <row r="37" spans="1:32" x14ac:dyDescent="0.2">
      <c r="A37" s="211"/>
      <c r="B37" s="211" t="str">
        <f>"Total Gain/(Loss) attributable to "&amp;M37</f>
      </c>
      <c r="C37" s="211"/>
      <c r="D37" s="211"/>
      <c r="E37" s="211"/>
      <c r="F37" s="211"/>
      <c r="G37" s="211"/>
      <c r="H37" s="544">
        <f>H32-H34</f>
      </c>
      <c r="I37" s="211"/>
      <c r="J37" s="1"/>
      <c r="K37" s="211"/>
      <c r="M37" s="28" t="str">
        <f>IF(M3=2,"partner","shareholder")</f>
      </c>
    </row>
    <row r="38" spans="1:32" ht="8.25" customHeight="1" x14ac:dyDescent="0.2">
      <c r="A38" s="211"/>
      <c r="B38" s="1"/>
      <c r="C38" s="1"/>
      <c r="D38" s="1"/>
      <c r="E38" s="1"/>
      <c r="F38" s="1"/>
      <c r="G38" s="1"/>
      <c r="H38" s="1"/>
      <c r="I38" s="1"/>
      <c r="J38" s="1"/>
      <c r="K38" s="1"/>
    </row>
    <row r="39" spans="1:32" ht="12" customHeight="1" x14ac:dyDescent="0.2">
      <c r="A39" s="211"/>
      <c r="B39" s="1780" t="s">
        <v>8221</v>
      </c>
      <c r="C39" s="1"/>
      <c r="D39" s="1"/>
      <c r="E39" s="2194"/>
      <c r="F39" s="2150" t="str">
        <f>IF(AND(B3=$AA$2,E39=""),re,"")</f>
        <v/>
      </c>
      <c r="G39" s="1"/>
      <c r="H39" s="1"/>
      <c r="I39" s="1"/>
      <c r="J39" s="1"/>
      <c r="K39" s="1"/>
      <c r="L39" s="2583">
        <f>IF(F39="",0,1)</f>
      </c>
    </row>
    <row r="40" spans="1:32" ht="12.75" customHeight="1" x14ac:dyDescent="0.2">
      <c r="A40" s="1"/>
      <c r="B40" s="1780" t="s">
        <v>8222</v>
      </c>
      <c r="C40" s="1"/>
      <c r="D40" s="1"/>
      <c r="E40" s="4666"/>
      <c r="F40" s="4666"/>
      <c r="G40" s="4666"/>
      <c r="H40" s="2150" t="str">
        <f>IF(AND(B3=$AA$2,E40=""),re,"")</f>
        <v/>
      </c>
      <c r="I40" s="1"/>
      <c r="J40" s="1"/>
      <c r="K40" s="1"/>
      <c r="L40" s="2583">
        <f>IF(H40="",0,1)</f>
      </c>
    </row>
    <row r="41" spans="1:32" ht="12.75" customHeight="1" x14ac:dyDescent="0.2">
      <c r="A41" s="1"/>
      <c r="B41" s="1780" t="str">
        <f>IF(OR(E40="",E39=""),"Taxable portion","Taxable portion is equal to "&amp;VLOOKUP(E40,AA41:AB45,2,FALSE)*100&amp;" % of the gain")</f>
      </c>
      <c r="C41" s="1"/>
      <c r="D41" s="595" t="str">
        <f>IF(ISERROR(B41)=TRUE,"Check!","")</f>
        <v/>
      </c>
      <c r="E41" s="1"/>
      <c r="F41" s="1"/>
      <c r="G41" s="1"/>
      <c r="H41" s="925">
        <f>IF(E40="",0,IF(B3&lt;&gt;$AA$2,0,ROUND(H37*AA51,0)))</f>
      </c>
      <c r="I41" s="2587" t="s">
        <v>8230</v>
      </c>
      <c r="J41" s="1"/>
      <c r="K41" s="1"/>
      <c r="L41" s="28">
        <f>IF(D41="",0,1)</f>
      </c>
      <c r="AA41" t="str">
        <f>IF(E39="","","Less than 10%")</f>
        <v/>
      </c>
      <c r="AB41" s="2589" t="str">
        <f>IF(E39="","",AD41)</f>
        <v/>
      </c>
      <c r="AC41" t="s">
        <v>8223</v>
      </c>
      <c r="AD41" s="2174">
        <v>1</v>
      </c>
    </row>
    <row r="42" spans="1:32" ht="12.75" customHeight="1" x14ac:dyDescent="0.2">
      <c r="A42" s="1"/>
      <c r="B42" s="1780" t="s">
        <v>8229</v>
      </c>
      <c r="C42" s="1"/>
      <c r="D42" s="1"/>
      <c r="E42" s="1"/>
      <c r="F42" s="1"/>
      <c r="G42" s="1"/>
      <c r="H42" s="925">
        <f>IF(E40="",0,IF(B3&lt;&gt;$AA$2,0,H37-H41))</f>
      </c>
      <c r="I42" s="2587" t="str">
        <f>IF(F7="yes","TRA116","TRA 18")</f>
      </c>
      <c r="J42" s="1"/>
      <c r="K42" s="1"/>
      <c r="O42" s="2583" t="s">
        <v>313</v>
      </c>
      <c r="P42" s="2590">
        <f>H42</f>
      </c>
      <c r="AA42" s="28" t="str">
        <f>IF(E39="","",IF(E39=y,AC42,AE42))</f>
        <v/>
      </c>
      <c r="AB42" s="2589" t="str">
        <f>IF(E39="","",IF(E39=y,AD42,AF42))</f>
        <v/>
      </c>
      <c r="AC42" t="s">
        <v>8224</v>
      </c>
      <c r="AD42" s="2174">
        <v>0.75</v>
      </c>
      <c r="AE42" t="s">
        <v>8228</v>
      </c>
      <c r="AF42" s="2174">
        <v>0</v>
      </c>
    </row>
    <row r="43" spans="1:32" ht="6.75" customHeight="1" x14ac:dyDescent="0.2">
      <c r="A43" s="3"/>
      <c r="B43" s="603"/>
      <c r="C43" s="603"/>
      <c r="D43" s="603"/>
      <c r="E43" s="603"/>
      <c r="F43" s="603"/>
      <c r="G43" s="86"/>
      <c r="H43" s="86"/>
      <c r="I43" s="86"/>
      <c r="J43" s="1"/>
      <c r="K43" s="3"/>
      <c r="AA43" s="28" t="str">
        <f>IF(E39=y,AC43,"")</f>
        <v/>
      </c>
      <c r="AB43" s="2589" t="str">
        <f>IF(E39=y,AD43,"")</f>
        <v/>
      </c>
      <c r="AC43" t="s">
        <v>8225</v>
      </c>
      <c r="AD43" s="2174">
        <v>0.5</v>
      </c>
    </row>
    <row r="44" spans="1:32" x14ac:dyDescent="0.2">
      <c r="A44" s="3"/>
      <c r="B44" s="604" t="s">
        <v>5493</v>
      </c>
      <c r="C44" s="604"/>
      <c r="D44" s="604"/>
      <c r="E44" s="605"/>
      <c r="F44" s="605" t="s">
        <v>9125</v>
      </c>
      <c r="G44" s="605" t="str">
        <f>ip</f>
      </c>
      <c r="H44" s="605" t="s">
        <v>363</v>
      </c>
      <c r="I44" s="605" t="s">
        <v>2372</v>
      </c>
      <c r="J44" s="1"/>
      <c r="K44" s="3"/>
      <c r="AA44" s="28" t="str">
        <f>IF(E39=y,AC44,"")</f>
        <v/>
      </c>
      <c r="AB44" s="2589" t="str">
        <f>IF(E39=y,AD44,"")</f>
        <v/>
      </c>
      <c r="AC44" t="s">
        <v>8226</v>
      </c>
      <c r="AD44" s="2174">
        <v>0.25</v>
      </c>
    </row>
    <row r="45" spans="1:32" x14ac:dyDescent="0.2">
      <c r="A45" s="3"/>
      <c r="B45" s="3"/>
      <c r="C45" s="3"/>
      <c r="D45" s="3"/>
      <c r="E45" s="3"/>
      <c r="F45" s="3117" t="str">
        <f>IF($F30=F44,T45,"")</f>
        <v/>
      </c>
      <c r="G45" s="590" t="str">
        <f>IF($F30=ip,T45,"")</f>
        <v/>
      </c>
      <c r="H45" s="590" t="str">
        <f>IF($F30=mt,T45,"")</f>
        <v/>
      </c>
      <c r="I45" s="590" t="str">
        <f>IF($F30=fi,T45,"")</f>
        <v/>
      </c>
      <c r="J45" s="1"/>
      <c r="K45" s="3"/>
      <c r="S45" s="606"/>
      <c r="T45" s="2588">
        <f>IF(E40="",H37,IF(B3=$AA$2,H41,H37))</f>
      </c>
      <c r="AA45" s="28" t="str">
        <f>IF(E39=y,AC45,"")</f>
        <v/>
      </c>
      <c r="AB45" s="2589" t="str">
        <f>IF(E39=y,AD45,"")</f>
        <v/>
      </c>
      <c r="AC45" t="s">
        <v>8227</v>
      </c>
      <c r="AD45" s="2174">
        <v>0</v>
      </c>
    </row>
    <row r="46" spans="1:32" x14ac:dyDescent="0.2">
      <c r="A46" s="3"/>
      <c r="B46" s="86" t="str">
        <f>_xlfn.SINGLE(MTCA)</f>
      </c>
      <c r="C46" s="86"/>
      <c r="D46" s="86"/>
      <c r="E46" s="86" t="str">
        <f>ver</f>
        <v>TA2_e-CO_2025_Ver 1.1</v>
      </c>
      <c r="F46" s="86"/>
      <c r="G46" s="86"/>
      <c r="H46" s="86"/>
      <c r="I46" s="607" t="s">
        <v>623</v>
      </c>
      <c r="J46" s="1"/>
      <c r="K46" s="3"/>
    </row>
    <row r="47" spans="1:32" ht="13.5" customHeight="1" x14ac:dyDescent="0.2">
      <c r="A47" s="3"/>
      <c r="B47" s="4665"/>
      <c r="C47" s="4665"/>
      <c r="D47" s="4665"/>
      <c r="E47" s="4665"/>
      <c r="F47" s="4665"/>
      <c r="G47" s="4665"/>
      <c r="H47" s="4665"/>
      <c r="I47" s="4665"/>
      <c r="J47" s="4665"/>
      <c r="K47" s="4665"/>
    </row>
    <row r="48" spans="1:32" ht="12.75" customHeight="1" x14ac:dyDescent="0.2">
      <c r="A48" s="3"/>
      <c r="B48" s="3"/>
      <c r="C48" s="3"/>
      <c r="D48" s="3"/>
      <c r="E48" s="610" t="s">
        <v>4456</v>
      </c>
      <c r="F48" s="1740"/>
      <c r="G48" s="534" t="str">
        <f>IF(AND(R36&gt;0,F48=""),re,"")</f>
        <v/>
      </c>
      <c r="H48" s="3"/>
      <c r="I48" s="3"/>
      <c r="J48" s="3"/>
      <c r="K48" s="3"/>
      <c r="L48" s="28">
        <f>IF(G48="",0,1)</f>
      </c>
      <c r="N48" s="28">
        <f>IF(F48=n,1,0)</f>
      </c>
    </row>
    <row r="49" spans="1:30" ht="12.75" customHeight="1" x14ac:dyDescent="0.2">
      <c r="A49" s="3"/>
      <c r="B49" s="65" t="str">
        <f>_ref1</f>
      </c>
      <c r="C49" s="65"/>
      <c r="D49" s="65"/>
      <c r="E49" s="65"/>
      <c r="F49" s="65"/>
      <c r="G49" s="65"/>
      <c r="H49" s="65"/>
      <c r="I49" s="64" t="str">
        <f>_YA1</f>
      </c>
      <c r="J49" s="3"/>
      <c r="K49" s="3"/>
    </row>
    <row r="50" spans="1:30" ht="5.25" customHeight="1" x14ac:dyDescent="0.2">
      <c r="A50" s="3"/>
      <c r="B50" s="3"/>
      <c r="C50" s="3"/>
      <c r="D50" s="3"/>
      <c r="E50" s="3"/>
      <c r="F50" s="3"/>
      <c r="G50" s="3"/>
      <c r="H50" s="3"/>
      <c r="I50" s="3"/>
      <c r="J50" s="3"/>
      <c r="K50" s="3"/>
    </row>
    <row r="51" spans="1:30" ht="16.149999999999999" customHeight="1" x14ac:dyDescent="0.2">
      <c r="A51" s="748">
        <v>2</v>
      </c>
      <c r="B51" s="4658"/>
      <c r="C51" s="4659"/>
      <c r="D51" s="4659"/>
      <c r="E51" s="4659"/>
      <c r="F51" s="4659"/>
      <c r="G51" s="4659"/>
      <c r="H51" s="4659"/>
      <c r="I51" s="4660"/>
      <c r="J51" s="1276" t="str">
        <f>IF(R84=0,"",IF(B51="",re,""))</f>
        <v/>
      </c>
      <c r="K51" s="593"/>
      <c r="L51" s="28">
        <f>IF(J51="",0,1)</f>
      </c>
      <c r="M51" s="28">
        <f>IF($B51=$AA$3,1,IF($B51=$AA$4,2,0))</f>
      </c>
      <c r="U51" s="28" t="s">
        <v>2372</v>
      </c>
      <c r="AA51" s="28">
        <f>IFERROR(VLOOKUP(E40,AA41:AB45,2,FALSE),0)</f>
      </c>
      <c r="AC51" t="s">
        <v>8228</v>
      </c>
      <c r="AD51" s="150">
        <v>0</v>
      </c>
    </row>
    <row r="52" spans="1:30" ht="7.5" customHeight="1" x14ac:dyDescent="0.2">
      <c r="A52" s="2"/>
      <c r="B52" s="593"/>
      <c r="C52" s="593"/>
      <c r="D52" s="593"/>
      <c r="E52" s="593"/>
      <c r="F52" s="593"/>
      <c r="G52" s="593"/>
      <c r="H52" s="593"/>
      <c r="I52" s="593"/>
      <c r="J52" s="593"/>
      <c r="K52" s="593"/>
    </row>
    <row r="53" spans="1:30" ht="15" x14ac:dyDescent="0.2">
      <c r="A53" s="2"/>
      <c r="B53" s="3574" t="s">
        <v>9961</v>
      </c>
      <c r="C53" s="593"/>
      <c r="D53" s="593"/>
      <c r="E53" s="4653"/>
      <c r="F53" s="4654"/>
      <c r="G53" s="595" t="str">
        <f>IF(R84=0,"",IF(AND($Q$1="n",E53&lt;&gt;""),"Not fiscal unit - Pg 2 Q30",IF(AND($Q$1="y",ISBLANK(E53)),"Required !","")))</f>
        <v/>
      </c>
      <c r="H53" s="593"/>
      <c r="I53" s="593"/>
      <c r="J53" s="593"/>
      <c r="K53" s="593"/>
      <c r="L53" s="28">
        <f>IF(G53="",0,1)</f>
      </c>
    </row>
    <row r="54" spans="1:30" ht="6.75" customHeight="1" x14ac:dyDescent="0.2">
      <c r="A54" s="2"/>
      <c r="B54" s="3574"/>
      <c r="C54" s="593"/>
      <c r="D54" s="593"/>
      <c r="E54" s="593"/>
      <c r="F54" s="593"/>
      <c r="G54" s="595"/>
      <c r="H54" s="593"/>
      <c r="I54" s="593"/>
      <c r="J54" s="593"/>
      <c r="K54" s="593"/>
    </row>
    <row r="55" spans="1:30" ht="15" customHeight="1" x14ac:dyDescent="0.2">
      <c r="A55" s="2"/>
      <c r="B55" s="2221" t="s">
        <v>10035</v>
      </c>
      <c r="C55" s="3619"/>
      <c r="D55" s="3619"/>
      <c r="E55" s="3619"/>
      <c r="F55" s="569"/>
      <c r="G55" s="3620" t="str">
        <f>IF(R84=0,"",IF(ISBLANK(F55),"Required!",IF(AND($T$1="n",F55="yes"),"Check Pg2 Q32!","")))</f>
        <v/>
      </c>
      <c r="H55" s="593"/>
      <c r="I55" s="593"/>
      <c r="J55" s="1"/>
      <c r="K55" s="593"/>
      <c r="L55" s="28">
        <f>IF(G55="",0,1)</f>
      </c>
    </row>
    <row r="56" spans="1:30" ht="15" customHeight="1" x14ac:dyDescent="0.2">
      <c r="A56" s="2"/>
      <c r="B56" s="229" t="s">
        <v>10036</v>
      </c>
      <c r="C56" s="2221"/>
      <c r="D56" s="2221"/>
      <c r="E56" s="2221"/>
      <c r="F56" s="242"/>
      <c r="G56" s="595"/>
      <c r="H56" s="593"/>
      <c r="I56" s="593"/>
      <c r="J56" s="1"/>
      <c r="K56" s="593"/>
    </row>
    <row r="57" spans="1:30" ht="15" hidden="1" x14ac:dyDescent="0.2">
      <c r="A57" s="2"/>
      <c r="B57" s="3574"/>
      <c r="C57" s="593"/>
      <c r="D57" s="593"/>
      <c r="E57" s="593"/>
      <c r="F57" s="593"/>
      <c r="G57" s="595"/>
      <c r="H57" s="593"/>
      <c r="I57" s="593"/>
      <c r="J57" s="593"/>
      <c r="K57" s="593"/>
    </row>
    <row r="58" spans="1:30" ht="15" hidden="1" x14ac:dyDescent="0.2">
      <c r="A58" s="2"/>
      <c r="B58" s="3574"/>
      <c r="C58" s="593"/>
      <c r="D58" s="593"/>
      <c r="E58" s="593"/>
      <c r="F58" s="593"/>
      <c r="G58" s="595"/>
      <c r="H58" s="593"/>
      <c r="I58" s="593"/>
      <c r="J58" s="593"/>
      <c r="K58" s="593"/>
    </row>
    <row r="59" spans="1:30" ht="15" hidden="1" x14ac:dyDescent="0.2">
      <c r="A59" s="2"/>
      <c r="B59" s="3574"/>
      <c r="C59" s="593"/>
      <c r="D59" s="593"/>
      <c r="E59" s="593"/>
      <c r="F59" s="593"/>
      <c r="G59" s="595"/>
      <c r="H59" s="593"/>
      <c r="I59" s="593"/>
      <c r="J59" s="593"/>
      <c r="K59" s="593"/>
    </row>
    <row r="60" spans="1:30" ht="15" hidden="1" x14ac:dyDescent="0.2">
      <c r="A60" s="2"/>
      <c r="B60" s="3574"/>
      <c r="C60" s="593"/>
      <c r="D60" s="593"/>
      <c r="E60" s="593"/>
      <c r="F60" s="593"/>
      <c r="G60" s="595"/>
      <c r="H60" s="593"/>
      <c r="I60" s="593"/>
      <c r="J60" s="593"/>
      <c r="K60" s="593"/>
    </row>
    <row r="61" spans="1:30" ht="15" hidden="1" x14ac:dyDescent="0.2">
      <c r="A61" s="2"/>
      <c r="B61" s="3574"/>
      <c r="C61" s="593"/>
      <c r="D61" s="593"/>
      <c r="E61" s="593"/>
      <c r="F61" s="593"/>
      <c r="G61" s="595"/>
      <c r="H61" s="593"/>
      <c r="I61" s="593"/>
      <c r="J61" s="593"/>
      <c r="K61" s="593"/>
    </row>
    <row r="62" spans="1:30" ht="15" hidden="1" x14ac:dyDescent="0.2">
      <c r="A62" s="2"/>
      <c r="B62" s="3574"/>
      <c r="C62" s="593"/>
      <c r="D62" s="593"/>
      <c r="E62" s="593"/>
      <c r="F62" s="593"/>
      <c r="G62" s="595"/>
      <c r="H62" s="593"/>
      <c r="I62" s="593"/>
      <c r="J62" s="593"/>
      <c r="K62" s="593"/>
    </row>
    <row r="63" spans="1:30" ht="15" hidden="1" x14ac:dyDescent="0.2">
      <c r="A63" s="2"/>
      <c r="B63" s="3574"/>
      <c r="C63" s="593"/>
      <c r="D63" s="593"/>
      <c r="E63" s="593"/>
      <c r="F63" s="593"/>
      <c r="G63" s="595"/>
      <c r="H63" s="593"/>
      <c r="I63" s="593"/>
      <c r="J63" s="593"/>
      <c r="K63" s="593"/>
    </row>
    <row r="64" spans="1:30" ht="15" hidden="1" x14ac:dyDescent="0.2">
      <c r="A64" s="2"/>
      <c r="B64" s="3574"/>
      <c r="C64" s="593"/>
      <c r="D64" s="593"/>
      <c r="E64" s="593"/>
      <c r="F64" s="593"/>
      <c r="G64" s="595"/>
      <c r="H64" s="593"/>
      <c r="I64" s="593"/>
      <c r="J64" s="593"/>
      <c r="K64" s="593"/>
    </row>
    <row r="65" spans="1:21" ht="15" hidden="1" x14ac:dyDescent="0.2">
      <c r="A65" s="2"/>
      <c r="B65" s="3574"/>
      <c r="C65" s="593"/>
      <c r="D65" s="593"/>
      <c r="E65" s="593"/>
      <c r="F65" s="593"/>
      <c r="G65" s="595"/>
      <c r="H65" s="593"/>
      <c r="I65" s="593"/>
      <c r="J65" s="593"/>
      <c r="K65" s="593"/>
    </row>
    <row r="66" spans="1:21" ht="15" hidden="1" x14ac:dyDescent="0.2">
      <c r="A66" s="2"/>
      <c r="B66" s="3574"/>
      <c r="C66" s="593"/>
      <c r="D66" s="593"/>
      <c r="E66" s="593"/>
      <c r="F66" s="593"/>
      <c r="G66" s="595"/>
      <c r="H66" s="593"/>
      <c r="I66" s="593"/>
      <c r="J66" s="593"/>
      <c r="K66" s="593"/>
    </row>
    <row r="67" spans="1:21" ht="7.5" customHeight="1" x14ac:dyDescent="0.2">
      <c r="A67" s="2"/>
      <c r="B67" s="593"/>
      <c r="C67" s="593"/>
      <c r="D67" s="593"/>
      <c r="E67" s="593"/>
      <c r="F67" s="593"/>
      <c r="G67" s="593"/>
      <c r="H67" s="593"/>
      <c r="I67" s="593"/>
      <c r="J67" s="593"/>
      <c r="K67" s="593"/>
    </row>
    <row r="68" spans="1:21" ht="15" x14ac:dyDescent="0.2">
      <c r="A68" s="3"/>
      <c r="B68" s="358" t="str">
        <f>IF(O68=1,"Name of "&amp;M68&amp;" deemed to be transferred","Name of "&amp;M68&amp;" being transferred")</f>
      </c>
      <c r="C68" s="358"/>
      <c r="D68" s="594" t="str">
        <f>IF(R84=0,"",IF(ISBLANK(E68),"Required !",""))</f>
        <v/>
      </c>
      <c r="E68" s="4317"/>
      <c r="F68" s="4318"/>
      <c r="G68" s="4318"/>
      <c r="H68" s="4318"/>
      <c r="I68" s="4319"/>
      <c r="J68" s="593"/>
      <c r="K68" s="593"/>
      <c r="L68" s="28">
        <f>IF(D68="",0,1)</f>
      </c>
      <c r="M68" s="28" t="str">
        <f>IF(M51=2,"Partnership","Company")</f>
      </c>
      <c r="O68" s="142">
        <f>IF(AND(F55="yes",$T$1="y"),1,0)</f>
      </c>
    </row>
    <row r="69" spans="1:21" ht="5.25" customHeight="1" x14ac:dyDescent="0.2">
      <c r="A69" s="3"/>
      <c r="B69" s="358"/>
      <c r="C69" s="358"/>
      <c r="D69" s="358"/>
      <c r="E69" s="8"/>
      <c r="F69" s="8"/>
      <c r="G69" s="8"/>
      <c r="H69" s="8"/>
      <c r="I69" s="8"/>
      <c r="J69" s="593"/>
      <c r="K69" s="593"/>
    </row>
    <row r="70" spans="1:21" ht="15" x14ac:dyDescent="0.2">
      <c r="A70" s="3"/>
      <c r="B70" s="4661" t="s">
        <v>2242</v>
      </c>
      <c r="C70" s="4661"/>
      <c r="D70" s="4661"/>
      <c r="E70" s="4662"/>
      <c r="F70" s="4302"/>
      <c r="G70" s="4304"/>
      <c r="H70" s="595" t="str">
        <f>IF(R84=0,"",IF(ISBLANK(F70),"Required !",""))</f>
        <v/>
      </c>
      <c r="I70" s="8"/>
      <c r="J70" s="593"/>
      <c r="K70" s="593"/>
      <c r="L70" s="28">
        <f>IF(H70="",0,1)</f>
      </c>
      <c r="U70" s="67"/>
    </row>
    <row r="71" spans="1:21" ht="5.25" customHeight="1" x14ac:dyDescent="0.2">
      <c r="A71" s="3"/>
      <c r="B71" s="358"/>
      <c r="C71" s="358"/>
      <c r="D71" s="358"/>
      <c r="E71" s="3"/>
      <c r="F71" s="3"/>
      <c r="G71" s="3"/>
      <c r="H71" s="3"/>
      <c r="I71" s="3"/>
      <c r="J71" s="593"/>
      <c r="K71" s="3"/>
      <c r="U71" s="62"/>
    </row>
    <row r="72" spans="1:21" ht="15" x14ac:dyDescent="0.2">
      <c r="A72" s="3"/>
      <c r="B72" s="603" t="str">
        <f>IF(M51=2,"Percentage of interest transferred","Number of Securities transferred")</f>
      </c>
      <c r="C72" s="596"/>
      <c r="D72" s="596"/>
      <c r="E72" s="1275" t="str">
        <f>IF(M51=2,"% ","")</f>
        <v/>
      </c>
      <c r="F72" s="597"/>
      <c r="G72" s="595" t="str">
        <f>IF(R84=0,"",IF(ISBLANK(F72),"Required !",""))</f>
        <v/>
      </c>
      <c r="H72" s="86"/>
      <c r="I72" s="86"/>
      <c r="J72" s="593"/>
      <c r="K72" s="3"/>
      <c r="L72" s="28">
        <f>IF(G72="",0,1)</f>
      </c>
      <c r="U72" s="62"/>
    </row>
    <row r="73" spans="1:21" ht="5.25" customHeight="1" x14ac:dyDescent="0.2">
      <c r="A73" s="3"/>
      <c r="B73" s="598"/>
      <c r="C73" s="598"/>
      <c r="D73" s="598"/>
      <c r="E73" s="86"/>
      <c r="F73" s="86"/>
      <c r="G73" s="86"/>
      <c r="H73" s="86"/>
      <c r="I73" s="86"/>
      <c r="J73" s="593"/>
      <c r="K73" s="3"/>
    </row>
    <row r="74" spans="1:21" ht="15" x14ac:dyDescent="0.2">
      <c r="A74" s="3"/>
      <c r="B74" s="596" t="s">
        <v>6276</v>
      </c>
      <c r="C74" s="596"/>
      <c r="D74" s="596"/>
      <c r="E74" s="596"/>
      <c r="F74" s="575"/>
      <c r="G74" s="595" t="str">
        <f>IF(R84=0,"",IF(ISBLANK(F74),"Required !",""))</f>
        <v/>
      </c>
      <c r="H74" s="86"/>
      <c r="I74" s="86"/>
      <c r="J74" s="593"/>
      <c r="K74" s="3"/>
      <c r="L74" s="28">
        <f>IF(G74="",0,1)</f>
      </c>
      <c r="S74" s="74">
        <f>DATE(ya-2,1,2)</f>
      </c>
      <c r="T74" s="74">
        <f>DATE(ya-1,12,31)</f>
      </c>
    </row>
    <row r="75" spans="1:21" ht="4.5" customHeight="1" x14ac:dyDescent="0.2">
      <c r="A75" s="3"/>
      <c r="B75" s="598"/>
      <c r="C75" s="598"/>
      <c r="D75" s="598"/>
      <c r="E75" s="86"/>
      <c r="F75" s="86"/>
      <c r="G75" s="86"/>
      <c r="H75" s="86"/>
      <c r="I75" s="86"/>
      <c r="J75" s="593"/>
      <c r="K75" s="3"/>
    </row>
    <row r="76" spans="1:21" ht="15" x14ac:dyDescent="0.2">
      <c r="A76" s="3"/>
      <c r="B76" s="596" t="str">
        <f>IF(M51=2,"","Is it a transfer of a controlling interest?")</f>
      </c>
      <c r="C76" s="596"/>
      <c r="D76" s="596"/>
      <c r="E76" s="599" t="s">
        <v>1020</v>
      </c>
      <c r="F76" s="2194"/>
      <c r="G76" s="595" t="str">
        <f>IF(R84=0,"",IF(M51&lt;&gt;1,"",IF(ISBLANK(F76),"Required !","")))</f>
        <v/>
      </c>
      <c r="H76" s="600"/>
      <c r="I76" s="86"/>
      <c r="J76" s="593"/>
      <c r="K76" s="3"/>
      <c r="L76" s="28">
        <f>IF(G76="",0,1)</f>
      </c>
      <c r="S76" s="74">
        <v>38359</v>
      </c>
    </row>
    <row r="77" spans="1:21" ht="6.75" customHeight="1" x14ac:dyDescent="0.2">
      <c r="A77" s="3"/>
      <c r="B77" s="598"/>
      <c r="C77" s="598"/>
      <c r="D77" s="598"/>
      <c r="E77" s="86"/>
      <c r="F77" s="86"/>
      <c r="G77" s="86"/>
      <c r="H77" s="86"/>
      <c r="I77" s="86"/>
      <c r="J77" s="593"/>
      <c r="K77" s="3"/>
    </row>
    <row r="78" spans="1:21" ht="15" x14ac:dyDescent="0.2">
      <c r="A78" s="3"/>
      <c r="B78" s="4663" t="str">
        <f>IF(B51=$AA$2,$AA$29,$AA$28)</f>
        <v xml:space="preserve">Allocated to &gt;   </v>
      </c>
      <c r="C78" s="4663"/>
      <c r="D78" s="4663"/>
      <c r="E78" s="4664"/>
      <c r="F78" s="601"/>
      <c r="G78" s="595" t="str">
        <f>IF(R84=0,"",IF(ISBLANK(F78),"Choose A/c !",""))</f>
        <v/>
      </c>
      <c r="H78" s="86"/>
      <c r="I78" s="86"/>
      <c r="J78" s="593"/>
      <c r="K78" s="3"/>
      <c r="L78" s="28">
        <f>IF(G78="",0,1)</f>
      </c>
    </row>
    <row r="79" spans="1:21" ht="6.75" customHeight="1" x14ac:dyDescent="0.2">
      <c r="A79" s="3"/>
      <c r="B79" s="86"/>
      <c r="C79" s="86"/>
      <c r="D79" s="86"/>
      <c r="E79" s="86"/>
      <c r="F79" s="86"/>
      <c r="G79" s="86"/>
      <c r="H79" s="86"/>
      <c r="I79" s="86"/>
      <c r="J79" s="593"/>
      <c r="K79" s="3"/>
    </row>
    <row r="80" spans="1:21" ht="15" x14ac:dyDescent="0.2">
      <c r="A80" s="3"/>
      <c r="B80" s="8" t="str">
        <f>"Consideration / Market value of "&amp;M80&amp;" transferred"</f>
      </c>
      <c r="C80" s="598"/>
      <c r="D80" s="598"/>
      <c r="E80" s="86"/>
      <c r="F80" s="86"/>
      <c r="G80" s="86"/>
      <c r="H80" s="510"/>
      <c r="I80" s="595" t="str">
        <f>IF(R84=0,"",IF(ISBLANK(H80),"Required !",""))</f>
        <v/>
      </c>
      <c r="J80" s="593"/>
      <c r="K80" s="3"/>
      <c r="L80" s="28">
        <f>IF(I80="",0,1)</f>
      </c>
      <c r="M80" s="28" t="str">
        <f>IF(M51=2,"interest","shares")</f>
      </c>
    </row>
    <row r="81" spans="1:32" ht="3.75" customHeight="1" x14ac:dyDescent="0.2">
      <c r="A81" s="3"/>
      <c r="B81" s="596"/>
      <c r="C81" s="596"/>
      <c r="D81" s="596"/>
      <c r="E81" s="596"/>
      <c r="F81" s="596"/>
      <c r="G81" s="596"/>
      <c r="H81" s="86"/>
      <c r="I81" s="86"/>
      <c r="J81" s="593"/>
      <c r="K81" s="3"/>
    </row>
    <row r="82" spans="1:32" ht="15" x14ac:dyDescent="0.2">
      <c r="A82" s="3"/>
      <c r="B82" s="8" t="str">
        <f>"Cost of acquistion of "&amp;M80&amp;" transferred "</f>
        <v xml:space="preserve">Cost of acquistion of shares transferred </v>
      </c>
      <c r="C82" s="596"/>
      <c r="D82" s="596"/>
      <c r="E82" s="596"/>
      <c r="F82" s="596"/>
      <c r="G82" s="596"/>
      <c r="H82" s="510"/>
      <c r="I82" s="595" t="str">
        <f>IF(R84=0,"",IF(ISBLANK(H82),"Required or insert 0!",""))</f>
        <v/>
      </c>
      <c r="J82" s="593"/>
      <c r="K82" s="3"/>
      <c r="L82" s="28">
        <f>IF(I82="",0,1)</f>
      </c>
      <c r="T82" s="28" t="str">
        <f>ft</f>
      </c>
    </row>
    <row r="83" spans="1:32" ht="15" x14ac:dyDescent="0.2">
      <c r="A83" s="3"/>
      <c r="B83" s="602" t="s">
        <v>2987</v>
      </c>
      <c r="C83" s="603"/>
      <c r="D83" s="603"/>
      <c r="E83" s="603"/>
      <c r="F83" s="603"/>
      <c r="G83" s="86"/>
      <c r="H83" s="86"/>
      <c r="I83" s="86"/>
      <c r="J83" s="593"/>
      <c r="K83" s="3"/>
      <c r="R83" s="142"/>
    </row>
    <row r="84" spans="1:32" ht="3.75" customHeight="1" x14ac:dyDescent="0.2">
      <c r="A84" s="3"/>
      <c r="B84" s="8"/>
      <c r="C84" s="65"/>
      <c r="D84" s="65"/>
      <c r="E84" s="65"/>
      <c r="F84" s="3"/>
      <c r="G84" s="86"/>
      <c r="H84" s="86"/>
      <c r="I84" s="595"/>
      <c r="J84" s="593"/>
      <c r="K84" s="3"/>
      <c r="R84" s="28">
        <f>COUNTA(B51,E68,F70,F72,F74,F76,F78,H80,H82,E87,E88,E53,F55)</f>
      </c>
    </row>
    <row r="85" spans="1:32" ht="16.149999999999999" customHeight="1" x14ac:dyDescent="0.2">
      <c r="A85" s="211"/>
      <c r="B85" s="211" t="str">
        <f>"Gain/(Loss) attributable to "&amp;M85</f>
      </c>
      <c r="C85" s="211"/>
      <c r="D85" s="211"/>
      <c r="E85" s="211"/>
      <c r="F85" s="211"/>
      <c r="G85" s="211"/>
      <c r="H85" s="544">
        <f>H80-H82</f>
      </c>
      <c r="I85" s="211"/>
      <c r="J85" s="593"/>
      <c r="K85" s="211"/>
      <c r="M85" s="28" t="str">
        <f>IF(M51=2,"partner","shareholder")</f>
      </c>
    </row>
    <row r="86" spans="1:32" ht="16.149999999999999" customHeight="1" x14ac:dyDescent="0.2">
      <c r="A86" s="593"/>
      <c r="B86" s="593"/>
      <c r="C86" s="593"/>
      <c r="D86" s="593"/>
      <c r="E86" s="593"/>
      <c r="F86" s="593"/>
      <c r="G86" s="593"/>
      <c r="H86" s="593"/>
      <c r="I86" s="593"/>
      <c r="J86" s="593"/>
      <c r="K86" s="211"/>
    </row>
    <row r="87" spans="1:32" ht="16.149999999999999" customHeight="1" x14ac:dyDescent="0.2">
      <c r="A87" s="593"/>
      <c r="B87" s="1780" t="s">
        <v>8221</v>
      </c>
      <c r="C87" s="1"/>
      <c r="D87" s="1"/>
      <c r="E87" s="2194"/>
      <c r="F87" s="2150" t="str">
        <f>IF(AND(B51=$AA$2,E87=""),re,"")</f>
        <v/>
      </c>
      <c r="G87" s="1"/>
      <c r="H87" s="1"/>
      <c r="I87" s="1"/>
      <c r="J87" s="1"/>
      <c r="K87" s="1"/>
      <c r="L87" s="2583">
        <f>IF(F87="",0,1)</f>
      </c>
    </row>
    <row r="88" spans="1:32" ht="16.149999999999999" customHeight="1" x14ac:dyDescent="0.2">
      <c r="A88" s="593"/>
      <c r="B88" s="1780" t="s">
        <v>8222</v>
      </c>
      <c r="C88" s="1"/>
      <c r="D88" s="1"/>
      <c r="E88" s="4655"/>
      <c r="F88" s="4656"/>
      <c r="G88" s="4657"/>
      <c r="H88" s="2150" t="str">
        <f>IF(AND(B51=$AA$2,E88=""),re,"")</f>
        <v/>
      </c>
      <c r="I88" s="1"/>
      <c r="J88" s="1"/>
      <c r="K88" s="1"/>
      <c r="L88" s="2583">
        <f>IF(H88="",0,1)</f>
      </c>
    </row>
    <row r="89" spans="1:32" ht="16.149999999999999" customHeight="1" x14ac:dyDescent="0.2">
      <c r="A89" s="593"/>
      <c r="B89" s="1780" t="str">
        <f>IF(OR(E88="",E87=""),"Taxable portion","Taxable portion is equal to "&amp;VLOOKUP(E88,AA89:AB93,2,FALSE)*100&amp;" % of the gain")</f>
      </c>
      <c r="C89" s="1"/>
      <c r="D89" s="595" t="str">
        <f>IF(ISERROR(B89)=TRUE,"Check!","")</f>
        <v/>
      </c>
      <c r="E89" s="1"/>
      <c r="F89" s="1"/>
      <c r="G89" s="1"/>
      <c r="H89" s="925">
        <f>IF(E88="",0,IF(B51&lt;&gt;$AA$2,0,ROUND(H85*AA99,0)))</f>
      </c>
      <c r="I89" s="2587" t="s">
        <v>8230</v>
      </c>
      <c r="J89" s="1"/>
      <c r="K89" s="1"/>
      <c r="L89" s="28">
        <f>IF(D89="",0,1)</f>
      </c>
      <c r="AA89" t="str">
        <f>IF(E87="","","Less than 10%")</f>
        <v/>
      </c>
      <c r="AB89" s="2589" t="str">
        <f>IF(E87="","",AD89)</f>
        <v/>
      </c>
      <c r="AC89" t="s">
        <v>8223</v>
      </c>
      <c r="AD89" s="2174">
        <v>1</v>
      </c>
    </row>
    <row r="90" spans="1:32" ht="16.149999999999999" customHeight="1" x14ac:dyDescent="0.2">
      <c r="A90" s="593"/>
      <c r="B90" s="1780" t="s">
        <v>8229</v>
      </c>
      <c r="C90" s="1"/>
      <c r="D90" s="1"/>
      <c r="E90" s="1"/>
      <c r="F90" s="1"/>
      <c r="G90" s="1"/>
      <c r="H90" s="925">
        <f>IF(E88="",0,IF(B51&lt;&gt;$AA$2,0,H85-H89))</f>
      </c>
      <c r="I90" s="2587" t="str">
        <f>IF(F55="yes","TRA116","TRA 18")</f>
      </c>
      <c r="J90" s="1"/>
      <c r="K90" s="1"/>
      <c r="O90" s="2583" t="s">
        <v>313</v>
      </c>
      <c r="P90" s="2590">
        <f>H90</f>
      </c>
      <c r="AA90" s="28" t="str">
        <f>IF(E87="","",IF(E87=y,AC90,AE90))</f>
        <v/>
      </c>
      <c r="AB90" s="2589" t="str">
        <f>IF(E87="","",IF(E87=y,AD90,AF90))</f>
        <v/>
      </c>
      <c r="AC90" t="s">
        <v>8224</v>
      </c>
      <c r="AD90" s="2174">
        <v>0.75</v>
      </c>
      <c r="AE90" t="s">
        <v>8228</v>
      </c>
      <c r="AF90" s="2174">
        <v>0</v>
      </c>
    </row>
    <row r="91" spans="1:32" ht="16.149999999999999" customHeight="1" x14ac:dyDescent="0.2">
      <c r="A91" s="3"/>
      <c r="B91" s="603"/>
      <c r="C91" s="603"/>
      <c r="D91" s="603"/>
      <c r="E91" s="603"/>
      <c r="F91" s="603"/>
      <c r="G91" s="86"/>
      <c r="H91" s="86"/>
      <c r="I91" s="86"/>
      <c r="J91" s="1"/>
      <c r="K91" s="3"/>
      <c r="AA91" s="28" t="str">
        <f>IF(E87=y,AC91,"")</f>
        <v/>
      </c>
      <c r="AB91" s="2589" t="str">
        <f>IF(E87=y,AD91,"")</f>
        <v/>
      </c>
      <c r="AC91" t="s">
        <v>8225</v>
      </c>
      <c r="AD91" s="2174">
        <v>0.5</v>
      </c>
    </row>
    <row r="92" spans="1:32" ht="16.149999999999999" customHeight="1" x14ac:dyDescent="0.2">
      <c r="A92" s="3"/>
      <c r="B92" s="604" t="s">
        <v>5493</v>
      </c>
      <c r="C92" s="604"/>
      <c r="D92" s="604"/>
      <c r="E92" s="604"/>
      <c r="F92" s="605" t="s">
        <v>9125</v>
      </c>
      <c r="G92" s="605" t="str">
        <f>ip</f>
      </c>
      <c r="H92" s="605" t="s">
        <v>363</v>
      </c>
      <c r="I92" s="605" t="s">
        <v>2372</v>
      </c>
      <c r="J92" s="593"/>
      <c r="K92" s="3"/>
      <c r="AA92" s="28" t="str">
        <f>IF(E87=y,AC92,"")</f>
        <v/>
      </c>
      <c r="AB92" s="2589" t="str">
        <f>IF(E87=y,AD92,"")</f>
        <v/>
      </c>
      <c r="AC92" t="s">
        <v>8226</v>
      </c>
      <c r="AD92" s="2174">
        <v>0.25</v>
      </c>
    </row>
    <row r="93" spans="1:32" ht="15" x14ac:dyDescent="0.2">
      <c r="A93" s="3"/>
      <c r="B93" s="3"/>
      <c r="C93" s="3"/>
      <c r="D93" s="3"/>
      <c r="E93" s="3"/>
      <c r="F93" s="590" t="str">
        <f>IF($F78=F92,T93,"")</f>
        <v/>
      </c>
      <c r="G93" s="590" t="str">
        <f>IF($F78=ip,T93,"")</f>
        <v/>
      </c>
      <c r="H93" s="590" t="str">
        <f>IF($F78=mt,T93,"")</f>
        <v/>
      </c>
      <c r="I93" s="590" t="str">
        <f>IF($F78=fi,T93,"")</f>
        <v/>
      </c>
      <c r="J93" s="593"/>
      <c r="K93" s="3"/>
      <c r="S93" s="606"/>
      <c r="T93" s="2588">
        <f>IF(E88="",H85,IF(B51=$AA$2,H89,H85))</f>
      </c>
      <c r="AA93" s="28" t="str">
        <f>IF(E87=y,AC93,"")</f>
        <v/>
      </c>
      <c r="AB93" s="2589" t="str">
        <f>IF(E87=y,AD93,"")</f>
        <v/>
      </c>
      <c r="AC93" t="s">
        <v>8227</v>
      </c>
      <c r="AD93" s="2174">
        <v>0</v>
      </c>
    </row>
    <row r="94" spans="1:32" ht="15" x14ac:dyDescent="0.2">
      <c r="A94" s="3"/>
      <c r="B94" s="86" t="str">
        <f>_xlfn.SINGLE(MTCA)</f>
      </c>
      <c r="C94" s="86"/>
      <c r="D94" s="86"/>
      <c r="E94" s="86" t="str">
        <f>ver</f>
        <v>TA2_e-CO_2025_Ver 1.1</v>
      </c>
      <c r="F94" s="86"/>
      <c r="G94" s="86"/>
      <c r="H94" s="86"/>
      <c r="I94" s="607" t="s">
        <v>624</v>
      </c>
      <c r="J94" s="593"/>
      <c r="K94" s="3"/>
    </row>
    <row r="95" spans="1:32" ht="12.75" customHeight="1" x14ac:dyDescent="0.2">
      <c r="A95" s="3"/>
      <c r="B95" s="609"/>
      <c r="C95" s="609"/>
      <c r="D95" s="609"/>
      <c r="E95" s="609"/>
      <c r="F95" s="609"/>
      <c r="G95" s="609"/>
      <c r="H95" s="609"/>
      <c r="I95" s="609"/>
      <c r="J95" s="593"/>
      <c r="K95" s="609"/>
    </row>
    <row r="96" spans="1:32" ht="12.75" customHeight="1" x14ac:dyDescent="0.2">
      <c r="A96" s="3"/>
      <c r="B96" s="3"/>
      <c r="C96" s="3"/>
      <c r="D96" s="3"/>
      <c r="E96" s="610" t="s">
        <v>4456</v>
      </c>
      <c r="F96" s="331"/>
      <c r="G96" s="534" t="str">
        <f>IF(AND(R84&gt;0,F96=""),re,"")</f>
        <v/>
      </c>
      <c r="H96" s="3"/>
      <c r="I96" s="3"/>
      <c r="J96" s="593"/>
      <c r="K96" s="3"/>
      <c r="L96" s="28">
        <f>IF(G96="",0,1)</f>
      </c>
      <c r="N96" s="28">
        <f>IF(F96=n,1,0)</f>
      </c>
    </row>
    <row r="97" spans="1:30" ht="12.75" customHeight="1" x14ac:dyDescent="0.2">
      <c r="A97" s="3"/>
      <c r="B97" s="65" t="str">
        <f>_ref1</f>
      </c>
      <c r="C97" s="65"/>
      <c r="D97" s="65"/>
      <c r="E97" s="65"/>
      <c r="F97" s="65"/>
      <c r="G97" s="65"/>
      <c r="H97" s="65"/>
      <c r="I97" s="64" t="str">
        <f>_YA1</f>
      </c>
      <c r="J97" s="593"/>
      <c r="K97" s="1"/>
    </row>
    <row r="98" spans="1:30" ht="3.75" customHeight="1" x14ac:dyDescent="0.2">
      <c r="A98" s="3"/>
      <c r="B98" s="3"/>
      <c r="C98" s="3"/>
      <c r="D98" s="3"/>
      <c r="E98" s="3"/>
      <c r="F98" s="3"/>
      <c r="G98" s="3"/>
      <c r="H98" s="3"/>
      <c r="I98" s="3"/>
      <c r="J98" s="593"/>
      <c r="K98" s="3"/>
    </row>
    <row r="99" spans="1:30" ht="16.149999999999999" customHeight="1" x14ac:dyDescent="0.2">
      <c r="A99" s="748">
        <v>3</v>
      </c>
      <c r="B99" s="4658"/>
      <c r="C99" s="4659"/>
      <c r="D99" s="4659"/>
      <c r="E99" s="4659"/>
      <c r="F99" s="4659"/>
      <c r="G99" s="4659"/>
      <c r="H99" s="4659"/>
      <c r="I99" s="4660"/>
      <c r="J99" s="1276" t="str">
        <f>IF(R132=0,"",IF(B99="",re,""))</f>
        <v/>
      </c>
      <c r="K99" s="593"/>
      <c r="L99" s="28">
        <f>IF(J99="",0,1)</f>
      </c>
      <c r="M99" s="28">
        <f>IF($B99=$AA$3,1,IF($B99=$AA$4,2,0))</f>
      </c>
      <c r="U99" s="28" t="s">
        <v>2372</v>
      </c>
      <c r="AA99" s="28">
        <f>IFERROR(VLOOKUP(E88,AA89:AB93,2,FALSE),0)</f>
      </c>
      <c r="AC99" t="s">
        <v>8228</v>
      </c>
      <c r="AD99" s="150">
        <v>0</v>
      </c>
    </row>
    <row r="100" spans="1:30" ht="7.5" customHeight="1" x14ac:dyDescent="0.2">
      <c r="A100" s="2"/>
      <c r="B100" s="593"/>
      <c r="C100" s="593"/>
      <c r="D100" s="593"/>
      <c r="E100" s="593"/>
      <c r="F100" s="593"/>
      <c r="G100" s="593"/>
      <c r="H100" s="593"/>
      <c r="I100" s="593"/>
      <c r="J100" s="593"/>
      <c r="K100" s="593"/>
    </row>
    <row r="101" spans="1:30" ht="15" x14ac:dyDescent="0.2">
      <c r="A101" s="2"/>
      <c r="B101" s="3574" t="s">
        <v>9961</v>
      </c>
      <c r="C101" s="593"/>
      <c r="D101" s="593"/>
      <c r="E101" s="4653"/>
      <c r="F101" s="4654"/>
      <c r="G101" s="595" t="str">
        <f>IF(R132=0,"",IF(AND($Q$1="n",E101&lt;&gt;""),"Not fiscal unit - Pg 2 Q30",IF(AND($Q$1="y",ISBLANK(E101)),"Required !","")))</f>
        <v/>
      </c>
      <c r="H101" s="593"/>
      <c r="I101" s="593"/>
      <c r="J101" s="593"/>
      <c r="K101" s="593"/>
      <c r="L101" s="28">
        <f>IF(G101="",0,1)</f>
      </c>
    </row>
    <row r="102" spans="1:30" ht="6.75" customHeight="1" x14ac:dyDescent="0.2">
      <c r="A102" s="2"/>
      <c r="B102" s="3574"/>
      <c r="C102" s="593"/>
      <c r="D102" s="593"/>
      <c r="E102" s="593"/>
      <c r="F102" s="593"/>
      <c r="G102" s="595"/>
      <c r="H102" s="593"/>
      <c r="I102" s="593"/>
      <c r="J102" s="593"/>
      <c r="K102" s="593"/>
    </row>
    <row r="103" spans="1:30" ht="15" customHeight="1" x14ac:dyDescent="0.2">
      <c r="A103" s="2"/>
      <c r="B103" s="2221" t="s">
        <v>10035</v>
      </c>
      <c r="C103" s="3619"/>
      <c r="D103" s="3619"/>
      <c r="E103" s="3619"/>
      <c r="F103" s="569"/>
      <c r="G103" s="3620" t="str">
        <f>IF(R132=0,"",IF(ISBLANK(F103),"Required!",IF(AND($T$1="n",F103="yes"),"Check Pg2 Q32!","")))</f>
        <v/>
      </c>
      <c r="H103" s="593"/>
      <c r="I103" s="593"/>
      <c r="J103" s="1"/>
      <c r="K103" s="593"/>
      <c r="L103" s="28">
        <f>IF(G103="",0,1)</f>
      </c>
    </row>
    <row r="104" spans="1:30" ht="15" customHeight="1" x14ac:dyDescent="0.2">
      <c r="A104" s="2"/>
      <c r="B104" s="229" t="s">
        <v>10036</v>
      </c>
      <c r="C104" s="2221"/>
      <c r="D104" s="2221"/>
      <c r="E104" s="2221"/>
      <c r="F104" s="242"/>
      <c r="G104" s="595"/>
      <c r="H104" s="593"/>
      <c r="I104" s="593"/>
      <c r="J104" s="1"/>
      <c r="K104" s="593"/>
    </row>
    <row r="105" spans="1:30" ht="15" hidden="1" x14ac:dyDescent="0.2">
      <c r="A105" s="2"/>
      <c r="B105" s="3574"/>
      <c r="C105" s="593"/>
      <c r="D105" s="593"/>
      <c r="E105" s="593"/>
      <c r="F105" s="593"/>
      <c r="G105" s="595"/>
      <c r="H105" s="593"/>
      <c r="I105" s="593"/>
      <c r="J105" s="593"/>
      <c r="K105" s="593"/>
    </row>
    <row r="106" spans="1:30" ht="15" hidden="1" x14ac:dyDescent="0.2">
      <c r="A106" s="2"/>
      <c r="B106" s="3574"/>
      <c r="C106" s="593"/>
      <c r="D106" s="593"/>
      <c r="E106" s="593"/>
      <c r="F106" s="593"/>
      <c r="G106" s="595"/>
      <c r="H106" s="593"/>
      <c r="I106" s="593"/>
      <c r="J106" s="593"/>
      <c r="K106" s="593"/>
    </row>
    <row r="107" spans="1:30" ht="15" hidden="1" x14ac:dyDescent="0.2">
      <c r="A107" s="2"/>
      <c r="B107" s="3574"/>
      <c r="C107" s="593"/>
      <c r="D107" s="593"/>
      <c r="E107" s="593"/>
      <c r="F107" s="593"/>
      <c r="G107" s="595"/>
      <c r="H107" s="593"/>
      <c r="I107" s="593"/>
      <c r="J107" s="593"/>
      <c r="K107" s="593"/>
    </row>
    <row r="108" spans="1:30" ht="15" hidden="1" x14ac:dyDescent="0.2">
      <c r="A108" s="2"/>
      <c r="B108" s="3574"/>
      <c r="C108" s="593"/>
      <c r="D108" s="593"/>
      <c r="E108" s="593"/>
      <c r="F108" s="593"/>
      <c r="G108" s="595"/>
      <c r="H108" s="593"/>
      <c r="I108" s="593"/>
      <c r="J108" s="593"/>
      <c r="K108" s="593"/>
    </row>
    <row r="109" spans="1:30" ht="15" hidden="1" x14ac:dyDescent="0.2">
      <c r="A109" s="2"/>
      <c r="B109" s="3574"/>
      <c r="C109" s="593"/>
      <c r="D109" s="593"/>
      <c r="E109" s="593"/>
      <c r="F109" s="593"/>
      <c r="G109" s="595"/>
      <c r="H109" s="593"/>
      <c r="I109" s="593"/>
      <c r="J109" s="593"/>
      <c r="K109" s="593"/>
    </row>
    <row r="110" spans="1:30" ht="15" hidden="1" x14ac:dyDescent="0.2">
      <c r="A110" s="2"/>
      <c r="B110" s="3574"/>
      <c r="C110" s="593"/>
      <c r="D110" s="593"/>
      <c r="E110" s="593"/>
      <c r="F110" s="593"/>
      <c r="G110" s="595"/>
      <c r="H110" s="593"/>
      <c r="I110" s="593"/>
      <c r="J110" s="593"/>
      <c r="K110" s="593"/>
    </row>
    <row r="111" spans="1:30" ht="15" hidden="1" x14ac:dyDescent="0.2">
      <c r="A111" s="2"/>
      <c r="B111" s="3574"/>
      <c r="C111" s="593"/>
      <c r="D111" s="593"/>
      <c r="E111" s="593"/>
      <c r="F111" s="593"/>
      <c r="G111" s="595"/>
      <c r="H111" s="593"/>
      <c r="I111" s="593"/>
      <c r="J111" s="593"/>
      <c r="K111" s="593"/>
    </row>
    <row r="112" spans="1:30" ht="15" hidden="1" x14ac:dyDescent="0.2">
      <c r="A112" s="2"/>
      <c r="B112" s="3574"/>
      <c r="C112" s="593"/>
      <c r="D112" s="593"/>
      <c r="E112" s="593"/>
      <c r="F112" s="593"/>
      <c r="G112" s="595"/>
      <c r="H112" s="593"/>
      <c r="I112" s="593"/>
      <c r="J112" s="593"/>
      <c r="K112" s="593"/>
    </row>
    <row r="113" spans="1:21" ht="15" hidden="1" x14ac:dyDescent="0.2">
      <c r="A113" s="2"/>
      <c r="B113" s="3574"/>
      <c r="C113" s="593"/>
      <c r="D113" s="593"/>
      <c r="E113" s="593"/>
      <c r="F113" s="593"/>
      <c r="G113" s="595"/>
      <c r="H113" s="593"/>
      <c r="I113" s="593"/>
      <c r="J113" s="593"/>
      <c r="K113" s="593"/>
    </row>
    <row r="114" spans="1:21" ht="15" hidden="1" x14ac:dyDescent="0.2">
      <c r="A114" s="2"/>
      <c r="B114" s="3574"/>
      <c r="C114" s="593"/>
      <c r="D114" s="593"/>
      <c r="E114" s="593"/>
      <c r="F114" s="593"/>
      <c r="G114" s="595"/>
      <c r="H114" s="593"/>
      <c r="I114" s="593"/>
      <c r="J114" s="593"/>
      <c r="K114" s="593"/>
    </row>
    <row r="115" spans="1:21" ht="7.5" customHeight="1" x14ac:dyDescent="0.2">
      <c r="A115" s="2"/>
      <c r="B115" s="593"/>
      <c r="C115" s="593"/>
      <c r="D115" s="593"/>
      <c r="E115" s="593"/>
      <c r="F115" s="593"/>
      <c r="G115" s="593"/>
      <c r="H115" s="593"/>
      <c r="I115" s="593"/>
      <c r="J115" s="593"/>
      <c r="K115" s="593"/>
    </row>
    <row r="116" spans="1:21" ht="15" x14ac:dyDescent="0.2">
      <c r="A116" s="3"/>
      <c r="B116" s="358" t="str">
        <f>IF(O116=1,"Name of "&amp;M116&amp;" deemed to be transferred","Name of "&amp;M116&amp;" being transferred")</f>
      </c>
      <c r="C116" s="358"/>
      <c r="D116" s="594" t="str">
        <f>IF(R132=0,"",IF(ISBLANK(E116),"Required !",""))</f>
        <v/>
      </c>
      <c r="E116" s="4317"/>
      <c r="F116" s="4318"/>
      <c r="G116" s="4318"/>
      <c r="H116" s="4318"/>
      <c r="I116" s="4319"/>
      <c r="J116" s="593"/>
      <c r="K116" s="593"/>
      <c r="L116" s="28">
        <f>IF(D116="",0,1)</f>
      </c>
      <c r="M116" s="28" t="str">
        <f>IF(M99=2,"Partnership","Company")</f>
      </c>
      <c r="O116" s="142">
        <f>IF(AND(F103="yes",$T$1="y"),1,0)</f>
      </c>
    </row>
    <row r="117" spans="1:21" ht="5.25" customHeight="1" x14ac:dyDescent="0.2">
      <c r="A117" s="3"/>
      <c r="B117" s="358"/>
      <c r="C117" s="358"/>
      <c r="D117" s="358"/>
      <c r="E117" s="8"/>
      <c r="F117" s="8"/>
      <c r="G117" s="8"/>
      <c r="H117" s="8"/>
      <c r="I117" s="8"/>
      <c r="J117" s="593"/>
      <c r="K117" s="593"/>
    </row>
    <row r="118" spans="1:21" ht="15" x14ac:dyDescent="0.2">
      <c r="A118" s="3"/>
      <c r="B118" s="4661" t="s">
        <v>2242</v>
      </c>
      <c r="C118" s="4661"/>
      <c r="D118" s="4661"/>
      <c r="E118" s="4662"/>
      <c r="F118" s="4302"/>
      <c r="G118" s="4304"/>
      <c r="H118" s="595" t="str">
        <f>IF(R132=0,"",IF(ISBLANK(F118),"Required !",""))</f>
        <v/>
      </c>
      <c r="I118" s="8"/>
      <c r="J118" s="593"/>
      <c r="K118" s="593"/>
      <c r="L118" s="28">
        <f>IF(H118="",0,1)</f>
      </c>
      <c r="U118" s="67"/>
    </row>
    <row r="119" spans="1:21" ht="5.25" customHeight="1" x14ac:dyDescent="0.2">
      <c r="A119" s="3"/>
      <c r="B119" s="358"/>
      <c r="C119" s="358"/>
      <c r="D119" s="358"/>
      <c r="E119" s="3"/>
      <c r="F119" s="3"/>
      <c r="G119" s="3"/>
      <c r="H119" s="3"/>
      <c r="I119" s="3"/>
      <c r="J119" s="593"/>
      <c r="K119" s="3"/>
      <c r="U119" s="62"/>
    </row>
    <row r="120" spans="1:21" ht="15" x14ac:dyDescent="0.2">
      <c r="A120" s="3"/>
      <c r="B120" s="603" t="str">
        <f>IF(M99=2,"Percentage of interest transferred","Number of Securities transferred")</f>
      </c>
      <c r="C120" s="596"/>
      <c r="D120" s="596"/>
      <c r="E120" s="1275" t="str">
        <f>IF(M99=2,"% ","")</f>
        <v/>
      </c>
      <c r="F120" s="597"/>
      <c r="G120" s="595" t="str">
        <f>IF(R132=0,"",IF(ISBLANK(F120),"Required !",""))</f>
        <v/>
      </c>
      <c r="H120" s="86"/>
      <c r="I120" s="86"/>
      <c r="J120" s="593"/>
      <c r="K120" s="3"/>
      <c r="L120" s="28">
        <f>IF(G120="",0,1)</f>
      </c>
      <c r="U120" s="62"/>
    </row>
    <row r="121" spans="1:21" ht="5.25" customHeight="1" x14ac:dyDescent="0.2">
      <c r="A121" s="3"/>
      <c r="B121" s="598"/>
      <c r="C121" s="598"/>
      <c r="D121" s="598"/>
      <c r="E121" s="86"/>
      <c r="F121" s="86"/>
      <c r="G121" s="86"/>
      <c r="H121" s="86"/>
      <c r="I121" s="86"/>
      <c r="J121" s="593"/>
      <c r="K121" s="3"/>
    </row>
    <row r="122" spans="1:21" ht="15" x14ac:dyDescent="0.2">
      <c r="A122" s="3"/>
      <c r="B122" s="596" t="s">
        <v>6276</v>
      </c>
      <c r="C122" s="596"/>
      <c r="D122" s="596"/>
      <c r="E122" s="596"/>
      <c r="F122" s="575"/>
      <c r="G122" s="595" t="str">
        <f>IF(R132=0,"",IF(ISBLANK(F122),"Required !",""))</f>
        <v/>
      </c>
      <c r="H122" s="86"/>
      <c r="I122" s="86"/>
      <c r="J122" s="593"/>
      <c r="K122" s="3"/>
      <c r="L122" s="28">
        <f>IF(G122="",0,1)</f>
      </c>
      <c r="S122" s="74">
        <f>DATE(ya-2,1,2)</f>
      </c>
      <c r="T122" s="74">
        <f>DATE(ya-1,12,31)</f>
      </c>
    </row>
    <row r="123" spans="1:21" ht="4.5" customHeight="1" x14ac:dyDescent="0.2">
      <c r="A123" s="3"/>
      <c r="B123" s="598"/>
      <c r="C123" s="598"/>
      <c r="D123" s="598"/>
      <c r="E123" s="86"/>
      <c r="F123" s="86"/>
      <c r="G123" s="86"/>
      <c r="H123" s="86"/>
      <c r="I123" s="86"/>
      <c r="J123" s="593"/>
      <c r="K123" s="3"/>
    </row>
    <row r="124" spans="1:21" ht="15" x14ac:dyDescent="0.2">
      <c r="A124" s="3"/>
      <c r="B124" s="596" t="str">
        <f>IF(M99=2,"","Is it a transfer of a controlling interest?")</f>
      </c>
      <c r="C124" s="596"/>
      <c r="D124" s="596"/>
      <c r="E124" s="599" t="s">
        <v>1020</v>
      </c>
      <c r="F124" s="2194"/>
      <c r="G124" s="595" t="str">
        <f>IF(R132=0,"",IF(M99&lt;&gt;1,"",IF(ISBLANK(F124),"Required !","")))</f>
        <v/>
      </c>
      <c r="H124" s="600"/>
      <c r="I124" s="86"/>
      <c r="J124" s="593"/>
      <c r="K124" s="3"/>
      <c r="L124" s="28">
        <f>IF(G124="",0,1)</f>
      </c>
      <c r="S124" s="74">
        <v>38359</v>
      </c>
    </row>
    <row r="125" spans="1:21" ht="6.75" customHeight="1" x14ac:dyDescent="0.2">
      <c r="A125" s="3"/>
      <c r="B125" s="598"/>
      <c r="C125" s="598"/>
      <c r="D125" s="598"/>
      <c r="E125" s="86"/>
      <c r="F125" s="86"/>
      <c r="G125" s="86"/>
      <c r="H125" s="86"/>
      <c r="I125" s="86"/>
      <c r="J125" s="593"/>
      <c r="K125" s="3"/>
    </row>
    <row r="126" spans="1:21" ht="15" x14ac:dyDescent="0.2">
      <c r="A126" s="3"/>
      <c r="B126" s="4663" t="str">
        <f>IF(B99=$AA$2,$AA$29,$AA$28)</f>
        <v xml:space="preserve">Allocated to &gt;   </v>
      </c>
      <c r="C126" s="4663"/>
      <c r="D126" s="4663"/>
      <c r="E126" s="4664"/>
      <c r="F126" s="601"/>
      <c r="G126" s="595" t="str">
        <f>IF(R132=0,"",IF(ISBLANK(F126),"Choose A/c !",""))</f>
        <v/>
      </c>
      <c r="H126" s="86"/>
      <c r="I126" s="86"/>
      <c r="J126" s="593"/>
      <c r="K126" s="3"/>
      <c r="L126" s="28">
        <f>IF(G126="",0,1)</f>
      </c>
    </row>
    <row r="127" spans="1:21" ht="6.75" customHeight="1" x14ac:dyDescent="0.2">
      <c r="A127" s="3"/>
      <c r="B127" s="86"/>
      <c r="C127" s="86"/>
      <c r="D127" s="86"/>
      <c r="E127" s="86"/>
      <c r="F127" s="86"/>
      <c r="G127" s="86"/>
      <c r="H127" s="86"/>
      <c r="I127" s="86"/>
      <c r="J127" s="593"/>
      <c r="K127" s="3"/>
    </row>
    <row r="128" spans="1:21" ht="15" x14ac:dyDescent="0.2">
      <c r="A128" s="3"/>
      <c r="B128" s="8" t="str">
        <f>"Consideration / Market value of "&amp;M128&amp;" transferred"</f>
      </c>
      <c r="C128" s="598"/>
      <c r="D128" s="598"/>
      <c r="E128" s="86"/>
      <c r="F128" s="86"/>
      <c r="G128" s="86"/>
      <c r="H128" s="510"/>
      <c r="I128" s="595" t="str">
        <f>IF(R132=0,"",IF(ISBLANK(H128),"Required !",""))</f>
        <v/>
      </c>
      <c r="J128" s="593"/>
      <c r="K128" s="3"/>
      <c r="L128" s="28">
        <f>IF(I128="",0,1)</f>
      </c>
      <c r="M128" s="28" t="str">
        <f>IF(M99=2,"interest","shares")</f>
      </c>
    </row>
    <row r="129" spans="1:32" ht="3.75" customHeight="1" x14ac:dyDescent="0.2">
      <c r="A129" s="3"/>
      <c r="B129" s="596"/>
      <c r="C129" s="596"/>
      <c r="D129" s="596"/>
      <c r="E129" s="596"/>
      <c r="F129" s="596"/>
      <c r="G129" s="596"/>
      <c r="H129" s="86"/>
      <c r="I129" s="86"/>
      <c r="J129" s="593"/>
      <c r="K129" s="3"/>
    </row>
    <row r="130" spans="1:32" ht="15" x14ac:dyDescent="0.2">
      <c r="A130" s="3"/>
      <c r="B130" s="8" t="str">
        <f>"Cost of acquistion of "&amp;M128&amp;" transferred "</f>
        <v xml:space="preserve">Cost of acquistion of shares transferred </v>
      </c>
      <c r="C130" s="596"/>
      <c r="D130" s="596"/>
      <c r="E130" s="596"/>
      <c r="F130" s="596"/>
      <c r="G130" s="596"/>
      <c r="H130" s="510"/>
      <c r="I130" s="595" t="str">
        <f>IF(R132=0,"",IF(ISBLANK(H130),"Required or insert 0!",""))</f>
        <v/>
      </c>
      <c r="J130" s="593"/>
      <c r="K130" s="3"/>
      <c r="L130" s="28">
        <f>IF(I130="",0,1)</f>
      </c>
      <c r="T130" s="28" t="str">
        <f>ft</f>
      </c>
    </row>
    <row r="131" spans="1:32" ht="15" x14ac:dyDescent="0.2">
      <c r="A131" s="3"/>
      <c r="B131" s="602" t="s">
        <v>2987</v>
      </c>
      <c r="C131" s="603"/>
      <c r="D131" s="603"/>
      <c r="E131" s="603"/>
      <c r="F131" s="603"/>
      <c r="G131" s="86"/>
      <c r="H131" s="86"/>
      <c r="I131" s="86"/>
      <c r="J131" s="593"/>
      <c r="K131" s="3"/>
      <c r="R131" s="142"/>
    </row>
    <row r="132" spans="1:32" ht="15" x14ac:dyDescent="0.2">
      <c r="A132" s="3"/>
      <c r="B132" s="8"/>
      <c r="C132" s="65"/>
      <c r="D132" s="65"/>
      <c r="E132" s="65"/>
      <c r="F132" s="3"/>
      <c r="G132" s="86"/>
      <c r="H132" s="86"/>
      <c r="I132" s="595"/>
      <c r="J132" s="593"/>
      <c r="K132" s="3"/>
      <c r="R132" s="28">
        <f>COUNTA(B99,E116,F118,F120,F122,F124,F126,H128,H130,E135,E136,E101,F103)</f>
      </c>
    </row>
    <row r="133" spans="1:32" ht="15" x14ac:dyDescent="0.2">
      <c r="A133" s="211"/>
      <c r="B133" s="211" t="str">
        <f>"Gain/(Loss) attributable to "&amp;M133</f>
      </c>
      <c r="C133" s="211"/>
      <c r="D133" s="211"/>
      <c r="E133" s="211"/>
      <c r="F133" s="211"/>
      <c r="G133" s="211"/>
      <c r="H133" s="544">
        <f>H128-H130</f>
      </c>
      <c r="I133" s="211"/>
      <c r="J133" s="593"/>
      <c r="K133" s="211"/>
      <c r="M133" s="28" t="str">
        <f>IF(M99=2,"partner","shareholder")</f>
      </c>
    </row>
    <row r="134" spans="1:32" ht="12" customHeight="1" x14ac:dyDescent="0.2">
      <c r="A134" s="593"/>
      <c r="B134" s="593"/>
      <c r="C134" s="593"/>
      <c r="D134" s="593"/>
      <c r="E134" s="593"/>
      <c r="F134" s="593"/>
      <c r="G134" s="593"/>
      <c r="H134" s="593"/>
      <c r="I134" s="593"/>
      <c r="J134" s="593"/>
      <c r="K134" s="211"/>
    </row>
    <row r="135" spans="1:32" ht="12.75" customHeight="1" x14ac:dyDescent="0.2">
      <c r="A135" s="593"/>
      <c r="B135" s="1780" t="s">
        <v>8221</v>
      </c>
      <c r="C135" s="1"/>
      <c r="D135" s="1"/>
      <c r="E135" s="2194"/>
      <c r="F135" s="2150" t="str">
        <f>IF(AND(B99=$AA$2,E135=""),re,"")</f>
        <v/>
      </c>
      <c r="G135" s="1"/>
      <c r="H135" s="1"/>
      <c r="I135" s="1"/>
      <c r="J135" s="1"/>
      <c r="K135" s="1"/>
      <c r="L135" s="2583">
        <f>IF(F135="",0,1)</f>
      </c>
    </row>
    <row r="136" spans="1:32" ht="12.75" customHeight="1" x14ac:dyDescent="0.2">
      <c r="A136" s="593"/>
      <c r="B136" s="1780" t="s">
        <v>8222</v>
      </c>
      <c r="C136" s="1"/>
      <c r="D136" s="1"/>
      <c r="E136" s="4655"/>
      <c r="F136" s="4656"/>
      <c r="G136" s="4657"/>
      <c r="H136" s="2150" t="str">
        <f>IF(AND(B99=$AA$2,E136=""),re,"")</f>
        <v/>
      </c>
      <c r="I136" s="1"/>
      <c r="J136" s="1"/>
      <c r="K136" s="1"/>
      <c r="L136" s="2583">
        <f>IF(H136="",0,1)</f>
      </c>
    </row>
    <row r="137" spans="1:32" ht="12.75" customHeight="1" x14ac:dyDescent="0.2">
      <c r="A137" s="593"/>
      <c r="B137" s="1780" t="str">
        <f>IF(OR(E136="",E135=""),"Taxable portion","Taxable portion is equal to "&amp;VLOOKUP(E136,AA137:AB141,2,FALSE)*100&amp;" % of the gain")</f>
      </c>
      <c r="C137" s="1"/>
      <c r="D137" s="595" t="str">
        <f>IF(ISERROR(B137)=TRUE,"Check!","")</f>
        <v/>
      </c>
      <c r="E137" s="1"/>
      <c r="F137" s="1"/>
      <c r="G137" s="1"/>
      <c r="H137" s="925">
        <f>IF(E136="",0,IF(B99&lt;&gt;$AA$2,0,ROUND(H133*AA147,0)))</f>
      </c>
      <c r="I137" s="2587" t="s">
        <v>8230</v>
      </c>
      <c r="J137" s="1"/>
      <c r="K137" s="1"/>
      <c r="L137" s="28">
        <f>IF(D137="",0,1)</f>
      </c>
      <c r="AA137" t="str">
        <f>IF(E135="","","Less than 10%")</f>
        <v/>
      </c>
      <c r="AB137" s="2589" t="str">
        <f>IF(E135="","",AD137)</f>
        <v/>
      </c>
      <c r="AC137" t="s">
        <v>8223</v>
      </c>
      <c r="AD137" s="2174">
        <v>1</v>
      </c>
    </row>
    <row r="138" spans="1:32" ht="12.75" customHeight="1" x14ac:dyDescent="0.2">
      <c r="A138" s="593"/>
      <c r="B138" s="1780" t="s">
        <v>8229</v>
      </c>
      <c r="C138" s="1"/>
      <c r="D138" s="1"/>
      <c r="E138" s="1"/>
      <c r="F138" s="1"/>
      <c r="G138" s="1"/>
      <c r="H138" s="925">
        <f>IF(E136="",0,IF(B99&lt;&gt;$AA$2,0,H133-H137))</f>
      </c>
      <c r="I138" s="2587" t="str">
        <f>IF(F103="yes","TRA116","TRA 18")</f>
      </c>
      <c r="J138" s="1"/>
      <c r="K138" s="1"/>
      <c r="O138" s="2583" t="s">
        <v>313</v>
      </c>
      <c r="P138" s="2590">
        <f>H138</f>
      </c>
      <c r="AA138" s="28" t="str">
        <f>IF(E135="","",IF(E135=y,AC138,AE138))</f>
        <v/>
      </c>
      <c r="AB138" s="2589" t="str">
        <f>IF(E135="","",IF(E135=y,AD138,AF138))</f>
        <v/>
      </c>
      <c r="AC138" t="s">
        <v>8224</v>
      </c>
      <c r="AD138" s="2174">
        <v>0.75</v>
      </c>
      <c r="AE138" t="s">
        <v>8228</v>
      </c>
      <c r="AF138" s="2174">
        <v>0</v>
      </c>
    </row>
    <row r="139" spans="1:32" ht="6.75" customHeight="1" x14ac:dyDescent="0.2">
      <c r="A139" s="3"/>
      <c r="B139" s="603"/>
      <c r="C139" s="603"/>
      <c r="D139" s="603"/>
      <c r="E139" s="603"/>
      <c r="F139" s="603"/>
      <c r="G139" s="86"/>
      <c r="H139" s="86"/>
      <c r="I139" s="86"/>
      <c r="J139" s="593"/>
      <c r="K139" s="3"/>
      <c r="AA139" s="28" t="str">
        <f>IF(E135=y,AC139,"")</f>
        <v/>
      </c>
      <c r="AB139" s="2589" t="str">
        <f>IF(E135=y,AD139,"")</f>
        <v/>
      </c>
      <c r="AC139" t="s">
        <v>8225</v>
      </c>
      <c r="AD139" s="2174">
        <v>0.5</v>
      </c>
    </row>
    <row r="140" spans="1:32" ht="15" x14ac:dyDescent="0.2">
      <c r="A140" s="3"/>
      <c r="B140" s="604" t="s">
        <v>5493</v>
      </c>
      <c r="C140" s="604"/>
      <c r="D140" s="604"/>
      <c r="E140" s="604"/>
      <c r="F140" s="605" t="s">
        <v>9125</v>
      </c>
      <c r="G140" s="605" t="str">
        <f>ip</f>
      </c>
      <c r="H140" s="605" t="s">
        <v>363</v>
      </c>
      <c r="I140" s="605" t="s">
        <v>2372</v>
      </c>
      <c r="J140" s="593"/>
      <c r="K140" s="3"/>
      <c r="AA140" s="28" t="str">
        <f>IF(E135=y,AC140,"")</f>
        <v/>
      </c>
      <c r="AB140" s="2589" t="str">
        <f>IF(E135=y,AD140,"")</f>
        <v/>
      </c>
      <c r="AC140" t="s">
        <v>8226</v>
      </c>
      <c r="AD140" s="2174">
        <v>0.25</v>
      </c>
    </row>
    <row r="141" spans="1:32" ht="15" x14ac:dyDescent="0.2">
      <c r="A141" s="3"/>
      <c r="B141" s="3"/>
      <c r="C141" s="3"/>
      <c r="D141" s="3"/>
      <c r="E141" s="3"/>
      <c r="F141" s="590" t="str">
        <f>IF($F126=F140,T141,"")</f>
        <v/>
      </c>
      <c r="G141" s="590" t="str">
        <f>IF($F126=ip,T141,"")</f>
        <v/>
      </c>
      <c r="H141" s="590" t="str">
        <f>IF($F126=mt,T141,"")</f>
        <v/>
      </c>
      <c r="I141" s="590" t="str">
        <f>IF($F126=fi,T141,"")</f>
        <v/>
      </c>
      <c r="J141" s="593"/>
      <c r="K141" s="3"/>
      <c r="S141" s="606"/>
      <c r="T141" s="2588">
        <f>IF(E136="",H133,IF(B99=$AA$2,H137,H133))</f>
      </c>
      <c r="AA141" s="28" t="str">
        <f>IF(E135=y,AC141,"")</f>
        <v/>
      </c>
      <c r="AB141" s="2589" t="str">
        <f>IF(E135=y,AD141,"")</f>
        <v/>
      </c>
      <c r="AC141" t="s">
        <v>8227</v>
      </c>
      <c r="AD141" s="2174">
        <v>0</v>
      </c>
    </row>
    <row r="142" spans="1:32" ht="15" x14ac:dyDescent="0.2">
      <c r="A142" s="3"/>
      <c r="B142" s="86" t="str">
        <f>_xlfn.SINGLE(MTCA)</f>
      </c>
      <c r="C142" s="86"/>
      <c r="D142" s="86"/>
      <c r="E142" s="86" t="str">
        <f>ver</f>
        <v>TA2_e-CO_2025_Ver 1.1</v>
      </c>
      <c r="F142" s="86"/>
      <c r="G142" s="86"/>
      <c r="H142" s="86"/>
      <c r="I142" s="607" t="s">
        <v>625</v>
      </c>
      <c r="J142" s="593"/>
      <c r="K142" s="3"/>
    </row>
    <row r="143" spans="1:32" ht="12.75" customHeight="1" x14ac:dyDescent="0.2">
      <c r="A143" s="3"/>
      <c r="B143" s="608"/>
      <c r="C143" s="609"/>
      <c r="D143" s="609"/>
      <c r="E143" s="609"/>
      <c r="F143" s="609"/>
      <c r="G143" s="609"/>
      <c r="H143" s="609"/>
      <c r="I143" s="609"/>
      <c r="J143" s="593"/>
      <c r="K143" s="609"/>
      <c r="S143" s="84">
        <f>S141+S93+S45</f>
      </c>
    </row>
    <row r="144" spans="1:32" ht="12.75" customHeight="1" x14ac:dyDescent="0.2">
      <c r="A144" s="3"/>
      <c r="B144" s="237"/>
      <c r="C144" s="3"/>
      <c r="D144" s="3"/>
      <c r="E144" s="610" t="s">
        <v>4456</v>
      </c>
      <c r="F144" s="331"/>
      <c r="G144" s="1276" t="str">
        <f>IF(AND(R132&gt;0,F144=""),re,"")</f>
        <v/>
      </c>
      <c r="H144" s="3"/>
      <c r="I144" s="3"/>
      <c r="J144" s="593"/>
      <c r="K144" s="3"/>
      <c r="L144" s="28">
        <f>IF(G144="",0,1)</f>
      </c>
      <c r="N144" s="28">
        <f>IF(F144=n,1,0)</f>
      </c>
    </row>
    <row r="145" spans="1:30" ht="12.75" customHeight="1" x14ac:dyDescent="0.2">
      <c r="A145" s="3"/>
      <c r="B145" s="65" t="str">
        <f>_ref1</f>
      </c>
      <c r="C145" s="65"/>
      <c r="D145" s="65"/>
      <c r="E145" s="65"/>
      <c r="F145" s="65"/>
      <c r="G145" s="65"/>
      <c r="H145" s="65"/>
      <c r="I145" s="64" t="str">
        <f>_YA1</f>
      </c>
      <c r="J145" s="593"/>
      <c r="K145" s="1"/>
    </row>
    <row r="146" spans="1:30" ht="3.75" customHeight="1" x14ac:dyDescent="0.2">
      <c r="A146" s="3"/>
      <c r="B146" s="3"/>
      <c r="C146" s="3"/>
      <c r="D146" s="3"/>
      <c r="E146" s="3"/>
      <c r="F146" s="3"/>
      <c r="G146" s="3"/>
      <c r="H146" s="3"/>
      <c r="I146" s="3"/>
      <c r="J146" s="593"/>
      <c r="K146" s="3"/>
    </row>
    <row r="147" spans="1:30" ht="16.149999999999999" customHeight="1" x14ac:dyDescent="0.2">
      <c r="A147" s="748">
        <v>4</v>
      </c>
      <c r="B147" s="4658"/>
      <c r="C147" s="4659"/>
      <c r="D147" s="4659"/>
      <c r="E147" s="4659"/>
      <c r="F147" s="4659"/>
      <c r="G147" s="4659"/>
      <c r="H147" s="4659"/>
      <c r="I147" s="4660"/>
      <c r="J147" s="1276" t="str">
        <f>IF(R180=0,"",IF(B147="",re,""))</f>
        <v/>
      </c>
      <c r="K147" s="593"/>
      <c r="L147" s="28">
        <f>IF(J147="",0,1)</f>
      </c>
      <c r="M147" s="28">
        <f>IF($B147=$AA$3,1,IF($B147=$AA$4,2,0))</f>
      </c>
      <c r="U147" s="28" t="s">
        <v>2372</v>
      </c>
      <c r="AA147" s="28">
        <f>IFERROR(VLOOKUP(E136,AA137:AB141,2,FALSE),0)</f>
      </c>
      <c r="AC147" t="s">
        <v>8228</v>
      </c>
      <c r="AD147" s="150">
        <v>0</v>
      </c>
    </row>
    <row r="148" spans="1:30" ht="7.5" customHeight="1" x14ac:dyDescent="0.2">
      <c r="A148" s="2"/>
      <c r="B148" s="593"/>
      <c r="C148" s="593"/>
      <c r="D148" s="593"/>
      <c r="E148" s="593"/>
      <c r="F148" s="593"/>
      <c r="G148" s="593"/>
      <c r="H148" s="593"/>
      <c r="I148" s="593"/>
      <c r="J148" s="593"/>
      <c r="K148" s="593"/>
    </row>
    <row r="149" spans="1:30" ht="15" x14ac:dyDescent="0.2">
      <c r="A149" s="2"/>
      <c r="B149" s="3574" t="s">
        <v>9961</v>
      </c>
      <c r="C149" s="593"/>
      <c r="D149" s="593"/>
      <c r="E149" s="4653"/>
      <c r="F149" s="4654"/>
      <c r="G149" s="595" t="str">
        <f>IF(R180=0,"",IF(AND($Q$1="n",E149&lt;&gt;""),"Not fiscal unit - Pg 2 Q30",IF(AND($Q$1="y",ISBLANK(E149)),"Required !","")))</f>
        <v/>
      </c>
      <c r="H149" s="593"/>
      <c r="I149" s="593"/>
      <c r="J149" s="593"/>
      <c r="K149" s="593"/>
      <c r="L149" s="28">
        <f>IF(G149="",0,1)</f>
      </c>
    </row>
    <row r="150" spans="1:30" ht="5.25" customHeight="1" x14ac:dyDescent="0.2">
      <c r="A150" s="2"/>
      <c r="B150" s="3574"/>
      <c r="C150" s="593"/>
      <c r="D150" s="593"/>
      <c r="E150" s="593"/>
      <c r="F150" s="593"/>
      <c r="G150" s="595"/>
      <c r="H150" s="593"/>
      <c r="I150" s="593"/>
      <c r="J150" s="593"/>
      <c r="K150" s="593"/>
    </row>
    <row r="151" spans="1:30" ht="15" customHeight="1" x14ac:dyDescent="0.2">
      <c r="A151" s="2"/>
      <c r="B151" s="2221" t="s">
        <v>10035</v>
      </c>
      <c r="C151" s="3619"/>
      <c r="D151" s="3619"/>
      <c r="E151" s="3619"/>
      <c r="F151" s="569"/>
      <c r="G151" s="3620" t="str">
        <f>IF(R180=0,"",IF(ISBLANK(F151),"Required!",IF(AND($T$1="n",F151="yes"),"Check Pg2 Q32!","")))</f>
        <v/>
      </c>
      <c r="H151" s="593"/>
      <c r="I151" s="593"/>
      <c r="J151" s="1"/>
      <c r="K151" s="593"/>
      <c r="L151" s="28">
        <f>IF(G151="",0,1)</f>
      </c>
    </row>
    <row r="152" spans="1:30" ht="15" customHeight="1" x14ac:dyDescent="0.2">
      <c r="A152" s="2"/>
      <c r="B152" s="229" t="s">
        <v>10036</v>
      </c>
      <c r="C152" s="2221"/>
      <c r="D152" s="2221"/>
      <c r="E152" s="2221"/>
      <c r="F152" s="242"/>
      <c r="G152" s="595"/>
      <c r="H152" s="593"/>
      <c r="I152" s="593"/>
      <c r="J152" s="1"/>
      <c r="K152" s="593"/>
    </row>
    <row r="153" spans="1:30" ht="15" hidden="1" x14ac:dyDescent="0.2">
      <c r="A153" s="2"/>
      <c r="B153" s="3574"/>
      <c r="C153" s="593"/>
      <c r="D153" s="593"/>
      <c r="E153" s="593"/>
      <c r="F153" s="593"/>
      <c r="G153" s="595"/>
      <c r="H153" s="593"/>
      <c r="I153" s="593"/>
      <c r="J153" s="593"/>
      <c r="K153" s="593"/>
    </row>
    <row r="154" spans="1:30" ht="15" hidden="1" x14ac:dyDescent="0.2">
      <c r="A154" s="2"/>
      <c r="B154" s="3574"/>
      <c r="C154" s="593"/>
      <c r="D154" s="593"/>
      <c r="E154" s="593"/>
      <c r="F154" s="593"/>
      <c r="G154" s="595"/>
      <c r="H154" s="593"/>
      <c r="I154" s="593"/>
      <c r="J154" s="593"/>
      <c r="K154" s="593"/>
    </row>
    <row r="155" spans="1:30" ht="15" hidden="1" x14ac:dyDescent="0.2">
      <c r="A155" s="2"/>
      <c r="B155" s="3574"/>
      <c r="C155" s="593"/>
      <c r="D155" s="593"/>
      <c r="E155" s="593"/>
      <c r="F155" s="593"/>
      <c r="G155" s="595"/>
      <c r="H155" s="593"/>
      <c r="I155" s="593"/>
      <c r="J155" s="593"/>
      <c r="K155" s="593"/>
    </row>
    <row r="156" spans="1:30" ht="15" hidden="1" x14ac:dyDescent="0.2">
      <c r="A156" s="2"/>
      <c r="B156" s="3574"/>
      <c r="C156" s="593"/>
      <c r="D156" s="593"/>
      <c r="E156" s="593"/>
      <c r="F156" s="593"/>
      <c r="G156" s="595"/>
      <c r="H156" s="593"/>
      <c r="I156" s="593"/>
      <c r="J156" s="593"/>
      <c r="K156" s="593"/>
    </row>
    <row r="157" spans="1:30" ht="15" hidden="1" x14ac:dyDescent="0.2">
      <c r="A157" s="2"/>
      <c r="B157" s="3574"/>
      <c r="C157" s="593"/>
      <c r="D157" s="593"/>
      <c r="E157" s="593"/>
      <c r="F157" s="593"/>
      <c r="G157" s="595"/>
      <c r="H157" s="593"/>
      <c r="I157" s="593"/>
      <c r="J157" s="593"/>
      <c r="K157" s="593"/>
    </row>
    <row r="158" spans="1:30" ht="15" hidden="1" x14ac:dyDescent="0.2">
      <c r="A158" s="2"/>
      <c r="B158" s="3574"/>
      <c r="C158" s="593"/>
      <c r="D158" s="593"/>
      <c r="E158" s="593"/>
      <c r="F158" s="593"/>
      <c r="G158" s="595"/>
      <c r="H158" s="593"/>
      <c r="I158" s="593"/>
      <c r="J158" s="593"/>
      <c r="K158" s="593"/>
    </row>
    <row r="159" spans="1:30" ht="15" hidden="1" x14ac:dyDescent="0.2">
      <c r="A159" s="2"/>
      <c r="B159" s="3574"/>
      <c r="C159" s="593"/>
      <c r="D159" s="593"/>
      <c r="E159" s="593"/>
      <c r="F159" s="593"/>
      <c r="G159" s="595"/>
      <c r="H159" s="593"/>
      <c r="I159" s="593"/>
      <c r="J159" s="593"/>
      <c r="K159" s="593"/>
    </row>
    <row r="160" spans="1:30" ht="15" hidden="1" x14ac:dyDescent="0.2">
      <c r="A160" s="2"/>
      <c r="B160" s="3574"/>
      <c r="C160" s="593"/>
      <c r="D160" s="593"/>
      <c r="E160" s="593"/>
      <c r="F160" s="593"/>
      <c r="G160" s="595"/>
      <c r="H160" s="593"/>
      <c r="I160" s="593"/>
      <c r="J160" s="593"/>
      <c r="K160" s="593"/>
    </row>
    <row r="161" spans="1:21" ht="15" hidden="1" x14ac:dyDescent="0.2">
      <c r="A161" s="2"/>
      <c r="B161" s="3574"/>
      <c r="C161" s="593"/>
      <c r="D161" s="593"/>
      <c r="E161" s="593"/>
      <c r="F161" s="593"/>
      <c r="G161" s="595"/>
      <c r="H161" s="593"/>
      <c r="I161" s="593"/>
      <c r="J161" s="593"/>
      <c r="K161" s="593"/>
    </row>
    <row r="162" spans="1:21" ht="15" hidden="1" x14ac:dyDescent="0.2">
      <c r="A162" s="2"/>
      <c r="B162" s="3574"/>
      <c r="C162" s="593"/>
      <c r="D162" s="593"/>
      <c r="E162" s="593"/>
      <c r="F162" s="593"/>
      <c r="G162" s="595"/>
      <c r="H162" s="593"/>
      <c r="I162" s="593"/>
      <c r="J162" s="593"/>
      <c r="K162" s="593"/>
    </row>
    <row r="163" spans="1:21" ht="7.5" customHeight="1" x14ac:dyDescent="0.2">
      <c r="A163" s="2"/>
      <c r="B163" s="593"/>
      <c r="C163" s="593"/>
      <c r="D163" s="593"/>
      <c r="E163" s="593"/>
      <c r="F163" s="593"/>
      <c r="G163" s="593"/>
      <c r="H163" s="593"/>
      <c r="I163" s="593"/>
      <c r="J163" s="593"/>
      <c r="K163" s="593"/>
    </row>
    <row r="164" spans="1:21" ht="15" x14ac:dyDescent="0.2">
      <c r="A164" s="3"/>
      <c r="B164" s="358" t="str">
        <f>IF(O164=1,"Name of "&amp;M164&amp;" deemed to be transferred","Name of "&amp;M164&amp;" being transferred")</f>
      </c>
      <c r="C164" s="358"/>
      <c r="D164" s="594" t="str">
        <f>IF(R180=0,"",IF(ISBLANK(E164),"Required !",""))</f>
        <v/>
      </c>
      <c r="E164" s="4317"/>
      <c r="F164" s="4318"/>
      <c r="G164" s="4318"/>
      <c r="H164" s="4318"/>
      <c r="I164" s="4319"/>
      <c r="J164" s="593"/>
      <c r="K164" s="593"/>
      <c r="L164" s="28">
        <f>IF(D164="",0,1)</f>
      </c>
      <c r="M164" s="28" t="str">
        <f>IF(M147=2,"Partnership","Company")</f>
      </c>
      <c r="O164" s="142">
        <f>IF(AND(F151="yes",$T$1="y"),1,0)</f>
      </c>
    </row>
    <row r="165" spans="1:21" ht="5.25" customHeight="1" x14ac:dyDescent="0.2">
      <c r="A165" s="3"/>
      <c r="B165" s="358"/>
      <c r="C165" s="358"/>
      <c r="D165" s="358"/>
      <c r="E165" s="8"/>
      <c r="F165" s="8"/>
      <c r="G165" s="8"/>
      <c r="H165" s="8"/>
      <c r="I165" s="8"/>
      <c r="J165" s="593"/>
      <c r="K165" s="593"/>
    </row>
    <row r="166" spans="1:21" ht="15" x14ac:dyDescent="0.2">
      <c r="A166" s="3"/>
      <c r="B166" s="4661" t="s">
        <v>2242</v>
      </c>
      <c r="C166" s="4661"/>
      <c r="D166" s="4661"/>
      <c r="E166" s="4662"/>
      <c r="F166" s="4302"/>
      <c r="G166" s="4304"/>
      <c r="H166" s="595" t="str">
        <f>IF(R180=0,"",IF(ISBLANK(F166),"Required !",""))</f>
        <v/>
      </c>
      <c r="I166" s="8"/>
      <c r="J166" s="593"/>
      <c r="K166" s="593"/>
      <c r="L166" s="28">
        <f>IF(H166="",0,1)</f>
      </c>
      <c r="U166" s="67"/>
    </row>
    <row r="167" spans="1:21" ht="5.25" customHeight="1" x14ac:dyDescent="0.2">
      <c r="A167" s="3"/>
      <c r="B167" s="358"/>
      <c r="C167" s="358"/>
      <c r="D167" s="358"/>
      <c r="E167" s="3"/>
      <c r="F167" s="3"/>
      <c r="G167" s="3"/>
      <c r="H167" s="3"/>
      <c r="I167" s="3"/>
      <c r="J167" s="593"/>
      <c r="K167" s="3"/>
      <c r="U167" s="62"/>
    </row>
    <row r="168" spans="1:21" ht="15" x14ac:dyDescent="0.2">
      <c r="A168" s="3"/>
      <c r="B168" s="603" t="str">
        <f>IF(M147=2,"Percentage of interest transferred","Number of Securities transferred")</f>
      </c>
      <c r="C168" s="596"/>
      <c r="D168" s="596"/>
      <c r="E168" s="1275" t="str">
        <f>IF(M147=2,"% ","")</f>
        <v/>
      </c>
      <c r="F168" s="597"/>
      <c r="G168" s="595" t="str">
        <f>IF(R180=0,"",IF(ISBLANK(F168),"Required !",""))</f>
        <v/>
      </c>
      <c r="H168" s="86"/>
      <c r="I168" s="86"/>
      <c r="J168" s="593"/>
      <c r="K168" s="3"/>
      <c r="L168" s="28">
        <f>IF(G168="",0,1)</f>
      </c>
      <c r="U168" s="62"/>
    </row>
    <row r="169" spans="1:21" ht="5.25" customHeight="1" x14ac:dyDescent="0.2">
      <c r="A169" s="3"/>
      <c r="B169" s="598"/>
      <c r="C169" s="598"/>
      <c r="D169" s="598"/>
      <c r="E169" s="86"/>
      <c r="F169" s="86"/>
      <c r="G169" s="86"/>
      <c r="H169" s="86"/>
      <c r="I169" s="86"/>
      <c r="J169" s="593"/>
      <c r="K169" s="3"/>
    </row>
    <row r="170" spans="1:21" ht="15" x14ac:dyDescent="0.2">
      <c r="A170" s="3"/>
      <c r="B170" s="596" t="s">
        <v>6276</v>
      </c>
      <c r="C170" s="596"/>
      <c r="D170" s="596"/>
      <c r="E170" s="596"/>
      <c r="F170" s="575"/>
      <c r="G170" s="595" t="str">
        <f>IF(R180=0,"",IF(ISBLANK(F170),"Required !",""))</f>
        <v/>
      </c>
      <c r="H170" s="86"/>
      <c r="I170" s="86"/>
      <c r="J170" s="593"/>
      <c r="K170" s="3"/>
      <c r="L170" s="28">
        <f>IF(G170="",0,1)</f>
      </c>
      <c r="S170" s="74">
        <f>DATE(ya-2,1,2)</f>
      </c>
      <c r="T170" s="74">
        <f>DATE(ya-1,12,31)</f>
      </c>
    </row>
    <row r="171" spans="1:21" ht="4.5" customHeight="1" x14ac:dyDescent="0.2">
      <c r="A171" s="3"/>
      <c r="B171" s="598"/>
      <c r="C171" s="598"/>
      <c r="D171" s="598"/>
      <c r="E171" s="86"/>
      <c r="F171" s="86"/>
      <c r="G171" s="86"/>
      <c r="H171" s="86"/>
      <c r="I171" s="86"/>
      <c r="J171" s="593"/>
      <c r="K171" s="3"/>
    </row>
    <row r="172" spans="1:21" ht="15" x14ac:dyDescent="0.2">
      <c r="A172" s="3"/>
      <c r="B172" s="596" t="str">
        <f>IF(M147=2,"","Is it a transfer of a controlling interest?")</f>
      </c>
      <c r="C172" s="596"/>
      <c r="D172" s="596"/>
      <c r="E172" s="599" t="s">
        <v>1020</v>
      </c>
      <c r="F172" s="2194"/>
      <c r="G172" s="595" t="str">
        <f>IF(R180=0,"",IF(M147&lt;&gt;1,"",IF(ISBLANK(F172),"Required !","")))</f>
        <v/>
      </c>
      <c r="H172" s="600"/>
      <c r="I172" s="86"/>
      <c r="J172" s="593"/>
      <c r="K172" s="3"/>
      <c r="L172" s="28">
        <f>IF(G172="",0,1)</f>
      </c>
      <c r="S172" s="74">
        <v>38359</v>
      </c>
    </row>
    <row r="173" spans="1:21" ht="6.75" customHeight="1" x14ac:dyDescent="0.2">
      <c r="A173" s="3"/>
      <c r="B173" s="598"/>
      <c r="C173" s="598"/>
      <c r="D173" s="598"/>
      <c r="E173" s="86"/>
      <c r="F173" s="86"/>
      <c r="G173" s="86"/>
      <c r="H173" s="86"/>
      <c r="I173" s="86"/>
      <c r="J173" s="593"/>
      <c r="K173" s="3"/>
    </row>
    <row r="174" spans="1:21" ht="15" x14ac:dyDescent="0.2">
      <c r="A174" s="3"/>
      <c r="B174" s="4663" t="str">
        <f>IF(B147=$AA$2,$AA$29,$AA$28)</f>
        <v xml:space="preserve">Allocated to &gt;   </v>
      </c>
      <c r="C174" s="4663"/>
      <c r="D174" s="4663"/>
      <c r="E174" s="4664"/>
      <c r="F174" s="601"/>
      <c r="G174" s="595" t="str">
        <f>IF(R180=0,"",IF(ISBLANK(F174),"Choose A/c !",""))</f>
        <v/>
      </c>
      <c r="H174" s="86"/>
      <c r="I174" s="86"/>
      <c r="J174" s="593"/>
      <c r="K174" s="3"/>
      <c r="L174" s="28">
        <f>IF(G174="",0,1)</f>
      </c>
    </row>
    <row r="175" spans="1:21" ht="6.75" customHeight="1" x14ac:dyDescent="0.2">
      <c r="A175" s="3"/>
      <c r="B175" s="86"/>
      <c r="C175" s="86"/>
      <c r="D175" s="86"/>
      <c r="E175" s="86"/>
      <c r="F175" s="86"/>
      <c r="G175" s="86"/>
      <c r="H175" s="86"/>
      <c r="I175" s="86"/>
      <c r="J175" s="593"/>
      <c r="K175" s="3"/>
    </row>
    <row r="176" spans="1:21" ht="15" x14ac:dyDescent="0.2">
      <c r="A176" s="3"/>
      <c r="B176" s="8" t="str">
        <f>"Consideration / Market value of "&amp;M176&amp;" transferred"</f>
      </c>
      <c r="C176" s="598"/>
      <c r="D176" s="598"/>
      <c r="E176" s="86"/>
      <c r="F176" s="86"/>
      <c r="G176" s="86"/>
      <c r="H176" s="510"/>
      <c r="I176" s="595" t="str">
        <f>IF(R180=0,"",IF(ISBLANK(H176),"Required !",""))</f>
        <v/>
      </c>
      <c r="J176" s="593"/>
      <c r="K176" s="3"/>
      <c r="L176" s="28">
        <f>IF(I176="",0,1)</f>
      </c>
      <c r="M176" s="28" t="str">
        <f>IF(M147=2,"interest","shares")</f>
      </c>
    </row>
    <row r="177" spans="1:32" ht="3.75" customHeight="1" x14ac:dyDescent="0.2">
      <c r="A177" s="3"/>
      <c r="B177" s="596"/>
      <c r="C177" s="596"/>
      <c r="D177" s="596"/>
      <c r="E177" s="596"/>
      <c r="F177" s="596"/>
      <c r="G177" s="596"/>
      <c r="H177" s="86"/>
      <c r="I177" s="86"/>
      <c r="J177" s="593"/>
      <c r="K177" s="3"/>
    </row>
    <row r="178" spans="1:32" ht="15" x14ac:dyDescent="0.2">
      <c r="A178" s="3"/>
      <c r="B178" s="8" t="str">
        <f>"Cost of acquistion of "&amp;M176&amp;" transferred "</f>
        <v xml:space="preserve">Cost of acquistion of shares transferred </v>
      </c>
      <c r="C178" s="596"/>
      <c r="D178" s="596"/>
      <c r="E178" s="596"/>
      <c r="F178" s="596"/>
      <c r="G178" s="596"/>
      <c r="H178" s="510"/>
      <c r="I178" s="595" t="str">
        <f>IF(R180=0,"",IF(ISBLANK(H178),"Required or insert 0!",""))</f>
        <v/>
      </c>
      <c r="J178" s="593"/>
      <c r="K178" s="3"/>
      <c r="L178" s="28">
        <f>IF(I178="",0,1)</f>
      </c>
      <c r="T178" s="28" t="str">
        <f>ft</f>
      </c>
    </row>
    <row r="179" spans="1:32" ht="15" x14ac:dyDescent="0.2">
      <c r="A179" s="3"/>
      <c r="B179" s="602" t="s">
        <v>2987</v>
      </c>
      <c r="C179" s="603"/>
      <c r="D179" s="603"/>
      <c r="E179" s="603"/>
      <c r="F179" s="603"/>
      <c r="G179" s="86"/>
      <c r="H179" s="86"/>
      <c r="I179" s="86"/>
      <c r="J179" s="593"/>
      <c r="K179" s="3"/>
      <c r="R179" s="142"/>
    </row>
    <row r="180" spans="1:32" ht="15" x14ac:dyDescent="0.2">
      <c r="A180" s="3"/>
      <c r="B180" s="8"/>
      <c r="C180" s="65"/>
      <c r="D180" s="65"/>
      <c r="E180" s="65"/>
      <c r="F180" s="3"/>
      <c r="G180" s="86"/>
      <c r="H180" s="86"/>
      <c r="I180" s="595"/>
      <c r="J180" s="593"/>
      <c r="K180" s="3"/>
      <c r="R180" s="28">
        <f>COUNTA(B147,E164,F166,F168,F170,F172,F174,H176,H178,E183,E184,E149,F151)</f>
      </c>
    </row>
    <row r="181" spans="1:32" ht="15" x14ac:dyDescent="0.2">
      <c r="A181" s="211"/>
      <c r="B181" s="211" t="str">
        <f>"Gain/(Loss) attributable to "&amp;M181</f>
      </c>
      <c r="C181" s="211"/>
      <c r="D181" s="211"/>
      <c r="E181" s="211"/>
      <c r="F181" s="211"/>
      <c r="G181" s="211"/>
      <c r="H181" s="544">
        <f>H176-H178</f>
      </c>
      <c r="I181" s="211"/>
      <c r="J181" s="593"/>
      <c r="K181" s="211"/>
      <c r="M181" s="28" t="str">
        <f>IF(M147=2,"partner","shareholder")</f>
      </c>
    </row>
    <row r="182" spans="1:32" ht="12" customHeight="1" x14ac:dyDescent="0.2">
      <c r="A182" s="593"/>
      <c r="B182" s="593"/>
      <c r="C182" s="593"/>
      <c r="D182" s="593"/>
      <c r="E182" s="593"/>
      <c r="F182" s="593"/>
      <c r="G182" s="593"/>
      <c r="H182" s="593"/>
      <c r="I182" s="593"/>
      <c r="J182" s="593"/>
      <c r="K182" s="211"/>
    </row>
    <row r="183" spans="1:32" ht="12.75" customHeight="1" x14ac:dyDescent="0.2">
      <c r="A183" s="593"/>
      <c r="B183" s="1780" t="s">
        <v>8221</v>
      </c>
      <c r="C183" s="1"/>
      <c r="D183" s="1"/>
      <c r="E183" s="2194"/>
      <c r="F183" s="2150" t="str">
        <f>IF(AND(B147=$AA$2,E183=""),re,"")</f>
        <v/>
      </c>
      <c r="G183" s="1"/>
      <c r="H183" s="1"/>
      <c r="I183" s="1"/>
      <c r="J183" s="1"/>
      <c r="K183" s="1"/>
      <c r="L183" s="2583">
        <f>IF(F183="",0,1)</f>
      </c>
    </row>
    <row r="184" spans="1:32" ht="12.75" customHeight="1" x14ac:dyDescent="0.2">
      <c r="A184" s="593"/>
      <c r="B184" s="1780" t="s">
        <v>8222</v>
      </c>
      <c r="C184" s="1"/>
      <c r="D184" s="1"/>
      <c r="E184" s="4655"/>
      <c r="F184" s="4656"/>
      <c r="G184" s="4657"/>
      <c r="H184" s="2150" t="str">
        <f>IF(AND(B147=$AA$2,E184=""),re,"")</f>
        <v/>
      </c>
      <c r="I184" s="1"/>
      <c r="J184" s="1"/>
      <c r="K184" s="1"/>
      <c r="L184" s="2583">
        <f>IF(H184="",0,1)</f>
      </c>
    </row>
    <row r="185" spans="1:32" ht="12.75" customHeight="1" x14ac:dyDescent="0.2">
      <c r="A185" s="593"/>
      <c r="B185" s="1780" t="str">
        <f>IF(OR(E184="",E183=""),"Taxable portion","Taxable portion is equal to "&amp;VLOOKUP(E184,AA185:AB189,2,FALSE)*100&amp;" % of the gain")</f>
      </c>
      <c r="C185" s="1"/>
      <c r="D185" s="595" t="str">
        <f>IF(ISERROR(B185)=TRUE,"Check!","")</f>
        <v/>
      </c>
      <c r="E185" s="1"/>
      <c r="F185" s="1"/>
      <c r="G185" s="1"/>
      <c r="H185" s="925">
        <f>IF(E184="",0,IF(B147&lt;&gt;$AA$2,0,ROUND(H181*AA195,0)))</f>
      </c>
      <c r="I185" s="2587" t="s">
        <v>8230</v>
      </c>
      <c r="J185" s="1"/>
      <c r="K185" s="1"/>
      <c r="L185" s="28">
        <f>IF(D185="",0,1)</f>
      </c>
      <c r="AA185" t="str">
        <f>IF(E183="","","Less than 10%")</f>
        <v/>
      </c>
      <c r="AB185" s="2589" t="str">
        <f>IF(E183="","",AD185)</f>
        <v/>
      </c>
      <c r="AC185" t="s">
        <v>8223</v>
      </c>
      <c r="AD185" s="2174">
        <v>1</v>
      </c>
    </row>
    <row r="186" spans="1:32" ht="12.75" customHeight="1" x14ac:dyDescent="0.2">
      <c r="A186" s="593"/>
      <c r="B186" s="1780" t="s">
        <v>8229</v>
      </c>
      <c r="C186" s="1"/>
      <c r="D186" s="1"/>
      <c r="E186" s="1"/>
      <c r="F186" s="1"/>
      <c r="G186" s="1"/>
      <c r="H186" s="925">
        <f>IF(E184="",0,IF(B147&lt;&gt;$AA$2,0,H181-H185))</f>
      </c>
      <c r="I186" s="2587" t="str">
        <f>IF(F151="yes","TRA116","TRA 18")</f>
      </c>
      <c r="J186" s="1"/>
      <c r="K186" s="1"/>
      <c r="O186" s="2583" t="s">
        <v>313</v>
      </c>
      <c r="P186" s="2590">
        <f>H186</f>
      </c>
      <c r="AA186" s="28" t="str">
        <f>IF(E183="","",IF(E183=y,AC186,AE186))</f>
        <v/>
      </c>
      <c r="AB186" s="2589" t="str">
        <f>IF(E183="","",IF(E183=y,AD186,AF186))</f>
        <v/>
      </c>
      <c r="AC186" t="s">
        <v>8224</v>
      </c>
      <c r="AD186" s="2174">
        <v>0.75</v>
      </c>
      <c r="AE186" t="s">
        <v>8228</v>
      </c>
      <c r="AF186" s="2174">
        <v>0</v>
      </c>
    </row>
    <row r="187" spans="1:32" ht="6.75" customHeight="1" x14ac:dyDescent="0.2">
      <c r="A187" s="3"/>
      <c r="B187" s="603"/>
      <c r="C187" s="603"/>
      <c r="D187" s="603"/>
      <c r="E187" s="603"/>
      <c r="F187" s="603"/>
      <c r="G187" s="86"/>
      <c r="H187" s="86"/>
      <c r="I187" s="86"/>
      <c r="J187" s="593"/>
      <c r="K187" s="3"/>
      <c r="AA187" s="28" t="str">
        <f>IF(E183=y,AC187,"")</f>
        <v/>
      </c>
      <c r="AB187" s="2589" t="str">
        <f>IF(E183=y,AD187,"")</f>
        <v/>
      </c>
      <c r="AC187" t="s">
        <v>8225</v>
      </c>
      <c r="AD187" s="2174">
        <v>0.5</v>
      </c>
    </row>
    <row r="188" spans="1:32" ht="15" x14ac:dyDescent="0.2">
      <c r="A188" s="3"/>
      <c r="B188" s="604" t="s">
        <v>5493</v>
      </c>
      <c r="C188" s="604"/>
      <c r="D188" s="604"/>
      <c r="E188" s="604"/>
      <c r="F188" s="605" t="s">
        <v>9125</v>
      </c>
      <c r="G188" s="605" t="str">
        <f>ip</f>
      </c>
      <c r="H188" s="605" t="s">
        <v>363</v>
      </c>
      <c r="I188" s="605" t="s">
        <v>2372</v>
      </c>
      <c r="J188" s="593"/>
      <c r="K188" s="3"/>
      <c r="AA188" s="28" t="str">
        <f>IF(E183=y,AC188,"")</f>
        <v/>
      </c>
      <c r="AB188" s="2589" t="str">
        <f>IF(E183=y,AD188,"")</f>
        <v/>
      </c>
      <c r="AC188" t="s">
        <v>8226</v>
      </c>
      <c r="AD188" s="2174">
        <v>0.25</v>
      </c>
    </row>
    <row r="189" spans="1:32" ht="15" x14ac:dyDescent="0.2">
      <c r="A189" s="3"/>
      <c r="B189" s="3"/>
      <c r="C189" s="3"/>
      <c r="D189" s="3"/>
      <c r="E189" s="3"/>
      <c r="F189" s="590" t="str">
        <f>IF($F174=F188,T189,"")</f>
        <v/>
      </c>
      <c r="G189" s="590" t="str">
        <f>IF($F174=ip,T189,"")</f>
        <v/>
      </c>
      <c r="H189" s="590" t="str">
        <f>IF($F174=mt,T189,"")</f>
        <v/>
      </c>
      <c r="I189" s="590" t="str">
        <f>IF($F174=fi,T189,"")</f>
        <v/>
      </c>
      <c r="J189" s="593"/>
      <c r="K189" s="3"/>
      <c r="S189" s="606"/>
      <c r="T189" s="2588">
        <f>IF(E184="",H181,IF(B147=$AA$2,H185,H181))</f>
      </c>
      <c r="AA189" s="28" t="str">
        <f>IF(E183=y,AC189,"")</f>
        <v/>
      </c>
      <c r="AB189" s="2589" t="str">
        <f>IF(E183=y,AD189,"")</f>
        <v/>
      </c>
      <c r="AC189" t="s">
        <v>8227</v>
      </c>
      <c r="AD189" s="2174">
        <v>0</v>
      </c>
    </row>
    <row r="190" spans="1:32" ht="15" x14ac:dyDescent="0.2">
      <c r="A190" s="3"/>
      <c r="B190" s="86" t="str">
        <f>_xlfn.SINGLE(MTCA)</f>
      </c>
      <c r="C190" s="86"/>
      <c r="D190" s="86"/>
      <c r="E190" s="86" t="str">
        <f>ver</f>
        <v>TA2_e-CO_2025_Ver 1.1</v>
      </c>
      <c r="F190" s="86"/>
      <c r="G190" s="86"/>
      <c r="H190" s="86"/>
      <c r="I190" s="607" t="s">
        <v>9873</v>
      </c>
      <c r="J190" s="593"/>
      <c r="K190" s="3"/>
    </row>
    <row r="191" spans="1:32" ht="12.75" customHeight="1" x14ac:dyDescent="0.2">
      <c r="A191" s="3"/>
      <c r="B191" s="608"/>
      <c r="C191" s="609"/>
      <c r="D191" s="609"/>
      <c r="E191" s="609"/>
      <c r="F191" s="609"/>
      <c r="G191" s="609"/>
      <c r="H191" s="609"/>
      <c r="I191" s="609"/>
      <c r="J191" s="593"/>
      <c r="K191" s="609"/>
      <c r="S191" s="84">
        <f>S189+S141+S93</f>
      </c>
    </row>
    <row r="192" spans="1:32" ht="12.75" customHeight="1" x14ac:dyDescent="0.2">
      <c r="A192" s="3"/>
      <c r="B192" s="237"/>
      <c r="C192" s="3"/>
      <c r="D192" s="3"/>
      <c r="E192" s="610" t="s">
        <v>4456</v>
      </c>
      <c r="F192" s="331"/>
      <c r="G192" s="1276" t="str">
        <f>IF(AND(R180&gt;0,F192=""),re,"")</f>
        <v/>
      </c>
      <c r="H192" s="3"/>
      <c r="I192" s="3"/>
      <c r="J192" s="593"/>
      <c r="K192" s="3"/>
      <c r="L192" s="28">
        <f>IF(G192="",0,1)</f>
      </c>
      <c r="N192" s="28">
        <f>IF(F192=n,1,0)</f>
      </c>
    </row>
    <row r="193" spans="1:30" ht="12.75" customHeight="1" x14ac:dyDescent="0.2">
      <c r="A193" s="3"/>
      <c r="B193" s="65" t="str">
        <f>_ref1</f>
      </c>
      <c r="C193" s="65"/>
      <c r="D193" s="65"/>
      <c r="E193" s="65"/>
      <c r="F193" s="65"/>
      <c r="G193" s="65"/>
      <c r="H193" s="65"/>
      <c r="I193" s="64" t="str">
        <f>_YA1</f>
      </c>
      <c r="J193" s="593"/>
      <c r="K193" s="1"/>
    </row>
    <row r="194" spans="1:30" ht="3.75" customHeight="1" x14ac:dyDescent="0.2">
      <c r="A194" s="3"/>
      <c r="B194" s="3"/>
      <c r="C194" s="3"/>
      <c r="D194" s="3"/>
      <c r="E194" s="3"/>
      <c r="F194" s="3"/>
      <c r="G194" s="3"/>
      <c r="H194" s="3"/>
      <c r="I194" s="3"/>
      <c r="J194" s="593"/>
      <c r="K194" s="3"/>
    </row>
    <row r="195" spans="1:30" ht="16.149999999999999" customHeight="1" x14ac:dyDescent="0.2">
      <c r="A195" s="748">
        <v>5</v>
      </c>
      <c r="B195" s="4658"/>
      <c r="C195" s="4659"/>
      <c r="D195" s="4659"/>
      <c r="E195" s="4659"/>
      <c r="F195" s="4659"/>
      <c r="G195" s="4659"/>
      <c r="H195" s="4659"/>
      <c r="I195" s="4660"/>
      <c r="J195" s="1276" t="str">
        <f>IF(R228=0,"",IF(B195="",re,""))</f>
        <v/>
      </c>
      <c r="K195" s="593"/>
      <c r="L195" s="28">
        <f>IF(J195="",0,1)</f>
      </c>
      <c r="M195" s="28">
        <f>IF($B195=$AA$3,1,IF($B195=$AA$4,2,0))</f>
      </c>
      <c r="U195" s="28" t="s">
        <v>2372</v>
      </c>
      <c r="AA195" s="28">
        <f>IFERROR(VLOOKUP(E184,AA185:AB189,2,FALSE),0)</f>
      </c>
      <c r="AC195" t="s">
        <v>8228</v>
      </c>
      <c r="AD195" s="150">
        <v>0</v>
      </c>
    </row>
    <row r="196" spans="1:30" ht="7.5" customHeight="1" x14ac:dyDescent="0.2">
      <c r="A196" s="2"/>
      <c r="B196" s="593"/>
      <c r="C196" s="593"/>
      <c r="D196" s="593"/>
      <c r="E196" s="593"/>
      <c r="F196" s="593"/>
      <c r="G196" s="593"/>
      <c r="H196" s="593"/>
      <c r="I196" s="593"/>
      <c r="J196" s="593"/>
      <c r="K196" s="593"/>
    </row>
    <row r="197" spans="1:30" ht="15" x14ac:dyDescent="0.2">
      <c r="A197" s="2"/>
      <c r="B197" s="3574" t="s">
        <v>9961</v>
      </c>
      <c r="C197" s="593"/>
      <c r="D197" s="593"/>
      <c r="E197" s="4653"/>
      <c r="F197" s="4654"/>
      <c r="G197" s="595" t="str">
        <f>IF(R228=0,"",IF(AND($Q$1="n",E197&lt;&gt;""),"Not fiscal unit - Pg 2 Q30",IF(AND($Q$1="y",ISBLANK(E197)),"Required !","")))</f>
        <v/>
      </c>
      <c r="H197" s="593"/>
      <c r="I197" s="593"/>
      <c r="J197" s="593"/>
      <c r="K197" s="593"/>
      <c r="L197" s="28">
        <f>IF(G197="",0,1)</f>
      </c>
    </row>
    <row r="198" spans="1:30" ht="6" customHeight="1" x14ac:dyDescent="0.2">
      <c r="A198" s="2"/>
      <c r="B198" s="3574"/>
      <c r="C198" s="593"/>
      <c r="D198" s="593"/>
      <c r="E198" s="593"/>
      <c r="F198" s="593"/>
      <c r="G198" s="593"/>
      <c r="H198" s="593"/>
      <c r="I198" s="593"/>
      <c r="J198" s="593"/>
      <c r="K198" s="593"/>
    </row>
    <row r="199" spans="1:30" ht="15" customHeight="1" x14ac:dyDescent="0.2">
      <c r="A199" s="2"/>
      <c r="B199" s="2221" t="s">
        <v>10035</v>
      </c>
      <c r="C199" s="3619"/>
      <c r="D199" s="3619"/>
      <c r="E199" s="3619"/>
      <c r="F199" s="569"/>
      <c r="G199" s="3620" t="str">
        <f>IF(R228=0,"",IF(ISBLANK(F199),"Required!",IF(AND($T$1="n",F199="yes"),"Check Pg2 Q32!","")))</f>
        <v/>
      </c>
      <c r="H199" s="593"/>
      <c r="I199" s="593"/>
      <c r="J199" s="1"/>
      <c r="K199" s="593"/>
      <c r="L199" s="28">
        <f>IF(G199="",0,1)</f>
      </c>
    </row>
    <row r="200" spans="1:30" ht="15" customHeight="1" x14ac:dyDescent="0.2">
      <c r="A200" s="2"/>
      <c r="B200" s="229" t="s">
        <v>10036</v>
      </c>
      <c r="C200" s="2221"/>
      <c r="D200" s="2221"/>
      <c r="E200" s="2221"/>
      <c r="F200" s="242"/>
      <c r="G200" s="595"/>
      <c r="H200" s="593"/>
      <c r="I200" s="593"/>
      <c r="J200" s="1"/>
      <c r="K200" s="593"/>
    </row>
    <row r="201" spans="1:30" ht="15" hidden="1" x14ac:dyDescent="0.2">
      <c r="A201" s="2"/>
      <c r="B201" s="3574"/>
      <c r="C201" s="593"/>
      <c r="D201" s="593"/>
      <c r="E201" s="593"/>
      <c r="F201" s="593"/>
      <c r="G201" s="593"/>
      <c r="H201" s="593"/>
      <c r="I201" s="593"/>
      <c r="J201" s="593"/>
      <c r="K201" s="593"/>
    </row>
    <row r="202" spans="1:30" ht="15" hidden="1" x14ac:dyDescent="0.2">
      <c r="A202" s="2"/>
      <c r="B202" s="3574"/>
      <c r="C202" s="593"/>
      <c r="D202" s="593"/>
      <c r="E202" s="593"/>
      <c r="F202" s="593"/>
      <c r="G202" s="593"/>
      <c r="H202" s="593"/>
      <c r="I202" s="593"/>
      <c r="J202" s="593"/>
      <c r="K202" s="593"/>
    </row>
    <row r="203" spans="1:30" ht="15" hidden="1" x14ac:dyDescent="0.2">
      <c r="A203" s="2"/>
      <c r="B203" s="3574"/>
      <c r="C203" s="593"/>
      <c r="D203" s="593"/>
      <c r="E203" s="593"/>
      <c r="F203" s="593"/>
      <c r="G203" s="593"/>
      <c r="H203" s="593"/>
      <c r="I203" s="593"/>
      <c r="J203" s="593"/>
      <c r="K203" s="593"/>
    </row>
    <row r="204" spans="1:30" ht="15" hidden="1" x14ac:dyDescent="0.2">
      <c r="A204" s="2"/>
      <c r="B204" s="3574"/>
      <c r="C204" s="593"/>
      <c r="D204" s="593"/>
      <c r="E204" s="593"/>
      <c r="F204" s="593"/>
      <c r="G204" s="593"/>
      <c r="H204" s="593"/>
      <c r="I204" s="593"/>
      <c r="J204" s="593"/>
      <c r="K204" s="593"/>
    </row>
    <row r="205" spans="1:30" ht="15" hidden="1" x14ac:dyDescent="0.2">
      <c r="A205" s="2"/>
      <c r="B205" s="3574"/>
      <c r="C205" s="593"/>
      <c r="D205" s="593"/>
      <c r="E205" s="593"/>
      <c r="F205" s="593"/>
      <c r="G205" s="593"/>
      <c r="H205" s="593"/>
      <c r="I205" s="593"/>
      <c r="J205" s="593"/>
      <c r="K205" s="593"/>
    </row>
    <row r="206" spans="1:30" ht="15" hidden="1" x14ac:dyDescent="0.2">
      <c r="A206" s="2"/>
      <c r="B206" s="3574"/>
      <c r="C206" s="593"/>
      <c r="D206" s="593"/>
      <c r="E206" s="593"/>
      <c r="F206" s="593"/>
      <c r="G206" s="593"/>
      <c r="H206" s="593"/>
      <c r="I206" s="593"/>
      <c r="J206" s="593"/>
      <c r="K206" s="593"/>
    </row>
    <row r="207" spans="1:30" ht="15" hidden="1" x14ac:dyDescent="0.2">
      <c r="A207" s="2"/>
      <c r="B207" s="3574"/>
      <c r="C207" s="593"/>
      <c r="D207" s="593"/>
      <c r="E207" s="593"/>
      <c r="F207" s="593"/>
      <c r="G207" s="593"/>
      <c r="H207" s="593"/>
      <c r="I207" s="593"/>
      <c r="J207" s="593"/>
      <c r="K207" s="593"/>
    </row>
    <row r="208" spans="1:30" ht="15" hidden="1" x14ac:dyDescent="0.2">
      <c r="A208" s="2"/>
      <c r="B208" s="3574"/>
      <c r="C208" s="593"/>
      <c r="D208" s="593"/>
      <c r="E208" s="593"/>
      <c r="F208" s="593"/>
      <c r="G208" s="593"/>
      <c r="H208" s="593"/>
      <c r="I208" s="593"/>
      <c r="J208" s="593"/>
      <c r="K208" s="593"/>
    </row>
    <row r="209" spans="1:21" ht="15" hidden="1" x14ac:dyDescent="0.2">
      <c r="A209" s="2"/>
      <c r="B209" s="3574"/>
      <c r="C209" s="593"/>
      <c r="D209" s="593"/>
      <c r="E209" s="593"/>
      <c r="F209" s="593"/>
      <c r="G209" s="593"/>
      <c r="H209" s="593"/>
      <c r="I209" s="593"/>
      <c r="J209" s="593"/>
      <c r="K209" s="593"/>
    </row>
    <row r="210" spans="1:21" ht="15" hidden="1" x14ac:dyDescent="0.2">
      <c r="A210" s="2"/>
      <c r="B210" s="3574"/>
      <c r="C210" s="593"/>
      <c r="D210" s="593"/>
      <c r="E210" s="593"/>
      <c r="F210" s="593"/>
      <c r="G210" s="593"/>
      <c r="H210" s="593"/>
      <c r="I210" s="593"/>
      <c r="J210" s="593"/>
      <c r="K210" s="593"/>
    </row>
    <row r="211" spans="1:21" ht="7.5" customHeight="1" x14ac:dyDescent="0.2">
      <c r="A211" s="2"/>
      <c r="B211" s="593"/>
      <c r="C211" s="593"/>
      <c r="D211" s="593"/>
      <c r="E211" s="593"/>
      <c r="F211" s="593"/>
      <c r="G211" s="593"/>
      <c r="H211" s="593"/>
      <c r="I211" s="593"/>
      <c r="J211" s="593"/>
      <c r="K211" s="593"/>
    </row>
    <row r="212" spans="1:21" ht="15" x14ac:dyDescent="0.2">
      <c r="A212" s="3"/>
      <c r="B212" s="358" t="str">
        <f>IF(O212=1,"Name of "&amp;M212&amp;" deemed to be transferred","Name of "&amp;M212&amp;" being transferred")</f>
      </c>
      <c r="C212" s="358"/>
      <c r="D212" s="594" t="str">
        <f>IF(R228=0,"",IF(ISBLANK(E212),"Required !",""))</f>
        <v/>
      </c>
      <c r="E212" s="4317"/>
      <c r="F212" s="4318"/>
      <c r="G212" s="4318"/>
      <c r="H212" s="4318"/>
      <c r="I212" s="4319"/>
      <c r="J212" s="593"/>
      <c r="K212" s="593"/>
      <c r="L212" s="28">
        <f>IF(D212="",0,1)</f>
      </c>
      <c r="M212" s="28" t="str">
        <f>IF(M195=2,"Partnership","Company")</f>
      </c>
      <c r="O212" s="142">
        <f>IF(AND(F199="yes",$T$1="y"),1,0)</f>
      </c>
    </row>
    <row r="213" spans="1:21" ht="5.25" customHeight="1" x14ac:dyDescent="0.2">
      <c r="A213" s="3"/>
      <c r="B213" s="358"/>
      <c r="C213" s="358"/>
      <c r="D213" s="358"/>
      <c r="E213" s="8"/>
      <c r="F213" s="8"/>
      <c r="G213" s="8"/>
      <c r="H213" s="8"/>
      <c r="I213" s="8"/>
      <c r="J213" s="593"/>
      <c r="K213" s="593"/>
    </row>
    <row r="214" spans="1:21" ht="15" x14ac:dyDescent="0.2">
      <c r="A214" s="3"/>
      <c r="B214" s="4661" t="s">
        <v>2242</v>
      </c>
      <c r="C214" s="4661"/>
      <c r="D214" s="4661"/>
      <c r="E214" s="4662"/>
      <c r="F214" s="4302"/>
      <c r="G214" s="4304"/>
      <c r="H214" s="595" t="str">
        <f>IF(R228=0,"",IF(ISBLANK(F214),"Required !",""))</f>
        <v/>
      </c>
      <c r="I214" s="8"/>
      <c r="J214" s="593"/>
      <c r="K214" s="593"/>
      <c r="L214" s="28">
        <f>IF(H214="",0,1)</f>
      </c>
      <c r="U214" s="67"/>
    </row>
    <row r="215" spans="1:21" ht="5.25" customHeight="1" x14ac:dyDescent="0.2">
      <c r="A215" s="3"/>
      <c r="B215" s="358"/>
      <c r="C215" s="358"/>
      <c r="D215" s="358"/>
      <c r="E215" s="3"/>
      <c r="F215" s="3"/>
      <c r="G215" s="3"/>
      <c r="H215" s="3"/>
      <c r="I215" s="3"/>
      <c r="J215" s="593"/>
      <c r="K215" s="3"/>
      <c r="U215" s="62"/>
    </row>
    <row r="216" spans="1:21" ht="15" x14ac:dyDescent="0.2">
      <c r="A216" s="3"/>
      <c r="B216" s="603" t="str">
        <f>IF(M195=2,"Percentage of interest transferred","Number of Securities transferred")</f>
      </c>
      <c r="C216" s="596"/>
      <c r="D216" s="596"/>
      <c r="E216" s="1275" t="str">
        <f>IF(M195=2,"% ","")</f>
        <v/>
      </c>
      <c r="F216" s="597"/>
      <c r="G216" s="595" t="str">
        <f>IF(R228=0,"",IF(ISBLANK(F216),"Required !",""))</f>
        <v/>
      </c>
      <c r="H216" s="86"/>
      <c r="I216" s="86"/>
      <c r="J216" s="593"/>
      <c r="K216" s="3"/>
      <c r="L216" s="28">
        <f>IF(G216="",0,1)</f>
      </c>
      <c r="U216" s="62"/>
    </row>
    <row r="217" spans="1:21" ht="5.25" customHeight="1" x14ac:dyDescent="0.2">
      <c r="A217" s="3"/>
      <c r="B217" s="598"/>
      <c r="C217" s="598"/>
      <c r="D217" s="598"/>
      <c r="E217" s="86"/>
      <c r="F217" s="86"/>
      <c r="G217" s="86"/>
      <c r="H217" s="86"/>
      <c r="I217" s="86"/>
      <c r="J217" s="593"/>
      <c r="K217" s="3"/>
    </row>
    <row r="218" spans="1:21" ht="15" x14ac:dyDescent="0.2">
      <c r="A218" s="3"/>
      <c r="B218" s="596" t="s">
        <v>6276</v>
      </c>
      <c r="C218" s="596"/>
      <c r="D218" s="596"/>
      <c r="E218" s="596"/>
      <c r="F218" s="575"/>
      <c r="G218" s="595" t="str">
        <f>IF(R228=0,"",IF(ISBLANK(F218),"Required !",""))</f>
        <v/>
      </c>
      <c r="H218" s="86"/>
      <c r="I218" s="86"/>
      <c r="J218" s="593"/>
      <c r="K218" s="3"/>
      <c r="L218" s="28">
        <f>IF(G218="",0,1)</f>
      </c>
      <c r="S218" s="74">
        <f>DATE(ya-2,1,2)</f>
      </c>
      <c r="T218" s="74">
        <f>DATE(ya-1,12,31)</f>
      </c>
    </row>
    <row r="219" spans="1:21" ht="4.5" customHeight="1" x14ac:dyDescent="0.2">
      <c r="A219" s="3"/>
      <c r="B219" s="598"/>
      <c r="C219" s="598"/>
      <c r="D219" s="598"/>
      <c r="E219" s="86"/>
      <c r="F219" s="86"/>
      <c r="G219" s="86"/>
      <c r="H219" s="86"/>
      <c r="I219" s="86"/>
      <c r="J219" s="593"/>
      <c r="K219" s="3"/>
    </row>
    <row r="220" spans="1:21" ht="15" x14ac:dyDescent="0.2">
      <c r="A220" s="3"/>
      <c r="B220" s="596" t="str">
        <f>IF(M195=2,"","Is it a transfer of a controlling interest?")</f>
      </c>
      <c r="C220" s="596"/>
      <c r="D220" s="596"/>
      <c r="E220" s="599" t="s">
        <v>1020</v>
      </c>
      <c r="F220" s="2194"/>
      <c r="G220" s="595" t="str">
        <f>IF(R228=0,"",IF(M195&lt;&gt;1,"",IF(ISBLANK(F220),"Required !","")))</f>
        <v/>
      </c>
      <c r="H220" s="600"/>
      <c r="I220" s="86"/>
      <c r="J220" s="593"/>
      <c r="K220" s="3"/>
      <c r="L220" s="28">
        <f>IF(G220="",0,1)</f>
      </c>
      <c r="S220" s="74">
        <v>38359</v>
      </c>
    </row>
    <row r="221" spans="1:21" ht="6.75" customHeight="1" x14ac:dyDescent="0.2">
      <c r="A221" s="3"/>
      <c r="B221" s="598"/>
      <c r="C221" s="598"/>
      <c r="D221" s="598"/>
      <c r="E221" s="86"/>
      <c r="F221" s="86"/>
      <c r="G221" s="86"/>
      <c r="H221" s="86"/>
      <c r="I221" s="86"/>
      <c r="J221" s="593"/>
      <c r="K221" s="3"/>
    </row>
    <row r="222" spans="1:21" ht="15" x14ac:dyDescent="0.2">
      <c r="A222" s="3"/>
      <c r="B222" s="4663" t="str">
        <f>IF(B195=$AA$2,$AA$29,$AA$28)</f>
        <v xml:space="preserve">Allocated to &gt;   </v>
      </c>
      <c r="C222" s="4663"/>
      <c r="D222" s="4663"/>
      <c r="E222" s="4664"/>
      <c r="F222" s="601"/>
      <c r="G222" s="595" t="str">
        <f>IF(R228=0,"",IF(ISBLANK(F222),"Choose A/c !",""))</f>
        <v/>
      </c>
      <c r="H222" s="86"/>
      <c r="I222" s="86"/>
      <c r="J222" s="593"/>
      <c r="K222" s="3"/>
      <c r="L222" s="28">
        <f>IF(G222="",0,1)</f>
      </c>
    </row>
    <row r="223" spans="1:21" ht="6.75" customHeight="1" x14ac:dyDescent="0.2">
      <c r="A223" s="3"/>
      <c r="B223" s="86"/>
      <c r="C223" s="86"/>
      <c r="D223" s="86"/>
      <c r="E223" s="86"/>
      <c r="F223" s="86"/>
      <c r="G223" s="86"/>
      <c r="H223" s="86"/>
      <c r="I223" s="86"/>
      <c r="J223" s="593"/>
      <c r="K223" s="3"/>
    </row>
    <row r="224" spans="1:21" ht="15" x14ac:dyDescent="0.2">
      <c r="A224" s="3"/>
      <c r="B224" s="8" t="str">
        <f>"Consideration / Market value of "&amp;M224&amp;" transferred"</f>
      </c>
      <c r="C224" s="598"/>
      <c r="D224" s="598"/>
      <c r="E224" s="86"/>
      <c r="F224" s="86"/>
      <c r="G224" s="86"/>
      <c r="H224" s="510"/>
      <c r="I224" s="595" t="str">
        <f>IF(R228=0,"",IF(ISBLANK(H224),"Required !",""))</f>
        <v/>
      </c>
      <c r="J224" s="593"/>
      <c r="K224" s="3"/>
      <c r="L224" s="28">
        <f>IF(I224="",0,1)</f>
      </c>
      <c r="M224" s="28" t="str">
        <f>IF(M195=2,"interest","shares")</f>
      </c>
    </row>
    <row r="225" spans="1:32" ht="3.75" customHeight="1" x14ac:dyDescent="0.2">
      <c r="A225" s="3"/>
      <c r="B225" s="596"/>
      <c r="C225" s="596"/>
      <c r="D225" s="596"/>
      <c r="E225" s="596"/>
      <c r="F225" s="596"/>
      <c r="G225" s="596"/>
      <c r="H225" s="86"/>
      <c r="I225" s="86"/>
      <c r="J225" s="593"/>
      <c r="K225" s="3"/>
    </row>
    <row r="226" spans="1:32" ht="15" x14ac:dyDescent="0.2">
      <c r="A226" s="3"/>
      <c r="B226" s="8" t="str">
        <f>"Cost of acquistion of "&amp;M224&amp;" transferred "</f>
        <v xml:space="preserve">Cost of acquistion of shares transferred </v>
      </c>
      <c r="C226" s="596"/>
      <c r="D226" s="596"/>
      <c r="E226" s="596"/>
      <c r="F226" s="596"/>
      <c r="G226" s="596"/>
      <c r="H226" s="510"/>
      <c r="I226" s="595" t="str">
        <f>IF(R228=0,"",IF(ISBLANK(H226),"Required or insert 0!",""))</f>
        <v/>
      </c>
      <c r="J226" s="593"/>
      <c r="K226" s="3"/>
      <c r="L226" s="28">
        <f>IF(I226="",0,1)</f>
      </c>
      <c r="T226" s="28" t="str">
        <f>ft</f>
      </c>
    </row>
    <row r="227" spans="1:32" ht="15" x14ac:dyDescent="0.2">
      <c r="A227" s="3"/>
      <c r="B227" s="602" t="s">
        <v>2987</v>
      </c>
      <c r="C227" s="603"/>
      <c r="D227" s="603"/>
      <c r="E227" s="603"/>
      <c r="F227" s="603"/>
      <c r="G227" s="86"/>
      <c r="H227" s="86"/>
      <c r="I227" s="86"/>
      <c r="J227" s="593"/>
      <c r="K227" s="3"/>
      <c r="R227" s="142"/>
    </row>
    <row r="228" spans="1:32" ht="15" x14ac:dyDescent="0.2">
      <c r="A228" s="3"/>
      <c r="B228" s="8"/>
      <c r="C228" s="65"/>
      <c r="D228" s="65"/>
      <c r="E228" s="65"/>
      <c r="F228" s="3"/>
      <c r="G228" s="86"/>
      <c r="H228" s="86"/>
      <c r="I228" s="595"/>
      <c r="J228" s="593"/>
      <c r="K228" s="3"/>
      <c r="R228" s="28">
        <f>COUNTA(B195,E212,F214,F216,F218,F220,F222,H224,H226,E231,E232,E197,F199)</f>
      </c>
    </row>
    <row r="229" spans="1:32" ht="15" x14ac:dyDescent="0.2">
      <c r="A229" s="211"/>
      <c r="B229" s="211" t="str">
        <f>"Gain/(Loss) attributable to "&amp;M229</f>
      </c>
      <c r="C229" s="211"/>
      <c r="D229" s="211"/>
      <c r="E229" s="211"/>
      <c r="F229" s="211"/>
      <c r="G229" s="211"/>
      <c r="H229" s="544">
        <f>H224-H226</f>
      </c>
      <c r="I229" s="211"/>
      <c r="J229" s="593"/>
      <c r="K229" s="211"/>
      <c r="M229" s="28" t="str">
        <f>IF(M195=2,"partner","shareholder")</f>
      </c>
    </row>
    <row r="230" spans="1:32" ht="12" customHeight="1" x14ac:dyDescent="0.2">
      <c r="A230" s="593"/>
      <c r="B230" s="593"/>
      <c r="C230" s="593"/>
      <c r="D230" s="593"/>
      <c r="E230" s="593"/>
      <c r="F230" s="593"/>
      <c r="G230" s="593"/>
      <c r="H230" s="593"/>
      <c r="I230" s="593"/>
      <c r="J230" s="593"/>
      <c r="K230" s="211"/>
    </row>
    <row r="231" spans="1:32" ht="12.75" customHeight="1" x14ac:dyDescent="0.2">
      <c r="A231" s="593"/>
      <c r="B231" s="1780" t="s">
        <v>8221</v>
      </c>
      <c r="C231" s="1"/>
      <c r="D231" s="1"/>
      <c r="E231" s="2194"/>
      <c r="F231" s="2150" t="str">
        <f>IF(AND(B195=$AA$2,E231=""),re,"")</f>
        <v/>
      </c>
      <c r="G231" s="1"/>
      <c r="H231" s="1"/>
      <c r="I231" s="1"/>
      <c r="J231" s="1"/>
      <c r="K231" s="1"/>
      <c r="L231" s="2583">
        <f>IF(F231="",0,1)</f>
      </c>
    </row>
    <row r="232" spans="1:32" ht="12.75" customHeight="1" x14ac:dyDescent="0.2">
      <c r="A232" s="593"/>
      <c r="B232" s="1780" t="s">
        <v>8222</v>
      </c>
      <c r="C232" s="1"/>
      <c r="D232" s="1"/>
      <c r="E232" s="4655"/>
      <c r="F232" s="4656"/>
      <c r="G232" s="4657"/>
      <c r="H232" s="2150" t="str">
        <f>IF(AND(B195=$AA$2,E232=""),re,"")</f>
        <v/>
      </c>
      <c r="I232" s="1"/>
      <c r="J232" s="1"/>
      <c r="K232" s="1"/>
      <c r="L232" s="2583">
        <f>IF(H232="",0,1)</f>
      </c>
    </row>
    <row r="233" spans="1:32" ht="12.75" customHeight="1" x14ac:dyDescent="0.2">
      <c r="A233" s="593"/>
      <c r="B233" s="1780" t="str">
        <f>IF(OR(E232="",E231=""),"Taxable portion","Taxable portion is equal to "&amp;VLOOKUP(E232,AA233:AB237,2,FALSE)*100&amp;" % of the gain")</f>
      </c>
      <c r="C233" s="1"/>
      <c r="D233" s="595" t="str">
        <f>IF(ISERROR(B233)=TRUE,"Check!","")</f>
        <v/>
      </c>
      <c r="E233" s="1"/>
      <c r="F233" s="1"/>
      <c r="G233" s="1"/>
      <c r="H233" s="925">
        <f>IF(E232="",0,IF(B195&lt;&gt;$AA$2,0,ROUND(H229*AA243,0)))</f>
      </c>
      <c r="I233" s="2587" t="s">
        <v>8230</v>
      </c>
      <c r="J233" s="1"/>
      <c r="K233" s="1"/>
      <c r="L233" s="28">
        <f>IF(D233="",0,1)</f>
      </c>
      <c r="AA233" t="str">
        <f>IF(E231="","","Less than 10%")</f>
        <v/>
      </c>
      <c r="AB233" s="2589" t="str">
        <f>IF(E231="","",AD233)</f>
        <v/>
      </c>
      <c r="AC233" t="s">
        <v>8223</v>
      </c>
      <c r="AD233" s="2174">
        <v>1</v>
      </c>
    </row>
    <row r="234" spans="1:32" ht="12.75" customHeight="1" x14ac:dyDescent="0.2">
      <c r="A234" s="593"/>
      <c r="B234" s="1780" t="s">
        <v>8229</v>
      </c>
      <c r="C234" s="1"/>
      <c r="D234" s="1"/>
      <c r="E234" s="1"/>
      <c r="F234" s="1"/>
      <c r="G234" s="1"/>
      <c r="H234" s="925">
        <f>IF(E232="",0,IF(B195&lt;&gt;$AA$2,0,H229-H233))</f>
      </c>
      <c r="I234" s="2587" t="str">
        <f>IF(F199="yes","TRA116","TRA 18")</f>
      </c>
      <c r="J234" s="1"/>
      <c r="K234" s="1"/>
      <c r="O234" s="2583" t="s">
        <v>313</v>
      </c>
      <c r="P234" s="2590">
        <f>H234</f>
      </c>
      <c r="AA234" s="28" t="str">
        <f>IF(E231="","",IF(E231=y,AC234,AE234))</f>
        <v/>
      </c>
      <c r="AB234" s="2589" t="str">
        <f>IF(E231="","",IF(E231=y,AD234,AF234))</f>
        <v/>
      </c>
      <c r="AC234" t="s">
        <v>8224</v>
      </c>
      <c r="AD234" s="2174">
        <v>0.75</v>
      </c>
      <c r="AE234" t="s">
        <v>8228</v>
      </c>
      <c r="AF234" s="2174">
        <v>0</v>
      </c>
    </row>
    <row r="235" spans="1:32" ht="6.75" customHeight="1" x14ac:dyDescent="0.2">
      <c r="A235" s="3"/>
      <c r="B235" s="603"/>
      <c r="C235" s="603"/>
      <c r="D235" s="603"/>
      <c r="E235" s="603"/>
      <c r="F235" s="603"/>
      <c r="G235" s="86"/>
      <c r="H235" s="86"/>
      <c r="I235" s="86"/>
      <c r="J235" s="593"/>
      <c r="K235" s="3"/>
      <c r="AA235" s="28" t="str">
        <f>IF(E231=y,AC235,"")</f>
        <v/>
      </c>
      <c r="AB235" s="2589" t="str">
        <f>IF(E231=y,AD235,"")</f>
        <v/>
      </c>
      <c r="AC235" t="s">
        <v>8225</v>
      </c>
      <c r="AD235" s="2174">
        <v>0.5</v>
      </c>
    </row>
    <row r="236" spans="1:32" ht="15" x14ac:dyDescent="0.2">
      <c r="A236" s="3"/>
      <c r="B236" s="604" t="s">
        <v>5493</v>
      </c>
      <c r="C236" s="604"/>
      <c r="D236" s="604"/>
      <c r="E236" s="604"/>
      <c r="F236" s="605" t="s">
        <v>9125</v>
      </c>
      <c r="G236" s="605" t="str">
        <f>ip</f>
      </c>
      <c r="H236" s="605" t="s">
        <v>363</v>
      </c>
      <c r="I236" s="605" t="s">
        <v>2372</v>
      </c>
      <c r="J236" s="593"/>
      <c r="K236" s="3"/>
      <c r="AA236" s="28" t="str">
        <f>IF(E231=y,AC236,"")</f>
        <v/>
      </c>
      <c r="AB236" s="2589" t="str">
        <f>IF(E231=y,AD236,"")</f>
        <v/>
      </c>
      <c r="AC236" t="s">
        <v>8226</v>
      </c>
      <c r="AD236" s="2174">
        <v>0.25</v>
      </c>
    </row>
    <row r="237" spans="1:32" ht="15" x14ac:dyDescent="0.2">
      <c r="A237" s="3"/>
      <c r="B237" s="3"/>
      <c r="C237" s="3"/>
      <c r="D237" s="3"/>
      <c r="E237" s="3"/>
      <c r="F237" s="590" t="str">
        <f>IF($F222=F236,T237,"")</f>
        <v/>
      </c>
      <c r="G237" s="590" t="str">
        <f>IF($F222=ip,T237,"")</f>
        <v/>
      </c>
      <c r="H237" s="590" t="str">
        <f>IF($F222=mt,T237,"")</f>
        <v/>
      </c>
      <c r="I237" s="590" t="str">
        <f>IF($F222=fi,T237,"")</f>
        <v/>
      </c>
      <c r="J237" s="593"/>
      <c r="K237" s="3"/>
      <c r="S237" s="606"/>
      <c r="T237" s="2588">
        <f>IF(E232="",H229,IF(B195=$AA$2,H233,H229))</f>
      </c>
      <c r="AA237" s="28" t="str">
        <f>IF(E231=y,AC237,"")</f>
        <v/>
      </c>
      <c r="AB237" s="2589" t="str">
        <f>IF(E231=y,AD237,"")</f>
        <v/>
      </c>
      <c r="AC237" t="s">
        <v>8227</v>
      </c>
      <c r="AD237" s="2174">
        <v>0</v>
      </c>
    </row>
    <row r="238" spans="1:32" ht="15" x14ac:dyDescent="0.2">
      <c r="A238" s="3"/>
      <c r="B238" s="86" t="str">
        <f>_xlfn.SINGLE(MTCA)</f>
      </c>
      <c r="C238" s="86"/>
      <c r="D238" s="86"/>
      <c r="E238" s="86" t="str">
        <f>ver</f>
        <v>TA2_e-CO_2025_Ver 1.1</v>
      </c>
      <c r="F238" s="86"/>
      <c r="G238" s="86"/>
      <c r="H238" s="86"/>
      <c r="I238" s="607" t="s">
        <v>9874</v>
      </c>
      <c r="J238" s="593"/>
      <c r="K238" s="3"/>
    </row>
    <row r="239" spans="1:32" ht="12.75" customHeight="1" x14ac:dyDescent="0.2">
      <c r="A239" s="3"/>
      <c r="B239" s="608"/>
      <c r="C239" s="609"/>
      <c r="D239" s="609"/>
      <c r="E239" s="609"/>
      <c r="F239" s="609"/>
      <c r="G239" s="609"/>
      <c r="H239" s="609"/>
      <c r="I239" s="609"/>
      <c r="J239" s="593"/>
      <c r="K239" s="609"/>
      <c r="S239" s="84">
        <f>S237+S189+S141</f>
      </c>
    </row>
    <row r="240" spans="1:32" ht="12.75" customHeight="1" x14ac:dyDescent="0.2">
      <c r="A240" s="3"/>
      <c r="B240" s="237"/>
      <c r="C240" s="3"/>
      <c r="D240" s="3"/>
      <c r="E240" s="610" t="s">
        <v>4456</v>
      </c>
      <c r="F240" s="331"/>
      <c r="G240" s="1276" t="str">
        <f>IF(AND(R228&gt;0,F240=""),re,"")</f>
        <v/>
      </c>
      <c r="H240" s="3"/>
      <c r="I240" s="3"/>
      <c r="J240" s="593"/>
      <c r="K240" s="3"/>
      <c r="L240" s="28">
        <f>IF(G240="",0,1)</f>
      </c>
      <c r="N240" s="28">
        <f>IF(F240=n,1,0)</f>
      </c>
    </row>
    <row r="241" spans="1:30" ht="12.75" customHeight="1" x14ac:dyDescent="0.2">
      <c r="A241" s="3"/>
      <c r="B241" s="65" t="str">
        <f>_ref1</f>
      </c>
      <c r="C241" s="65"/>
      <c r="D241" s="65"/>
      <c r="E241" s="65"/>
      <c r="F241" s="65"/>
      <c r="G241" s="65"/>
      <c r="H241" s="65"/>
      <c r="I241" s="64" t="str">
        <f>_YA1</f>
      </c>
      <c r="J241" s="593"/>
      <c r="K241" s="1"/>
    </row>
    <row r="242" spans="1:30" ht="3.75" customHeight="1" x14ac:dyDescent="0.2">
      <c r="A242" s="3"/>
      <c r="B242" s="3"/>
      <c r="C242" s="3"/>
      <c r="D242" s="3"/>
      <c r="E242" s="3"/>
      <c r="F242" s="3"/>
      <c r="G242" s="3"/>
      <c r="H242" s="3"/>
      <c r="I242" s="3"/>
      <c r="J242" s="593"/>
      <c r="K242" s="3"/>
    </row>
    <row r="243" spans="1:30" ht="16.149999999999999" customHeight="1" x14ac:dyDescent="0.2">
      <c r="A243" s="748">
        <v>6</v>
      </c>
      <c r="B243" s="4658"/>
      <c r="C243" s="4659"/>
      <c r="D243" s="4659"/>
      <c r="E243" s="4659"/>
      <c r="F243" s="4659"/>
      <c r="G243" s="4659"/>
      <c r="H243" s="4659"/>
      <c r="I243" s="4660"/>
      <c r="J243" s="1276" t="str">
        <f>IF(R276=0,"",IF(B243="",re,""))</f>
        <v/>
      </c>
      <c r="K243" s="593"/>
      <c r="L243" s="28">
        <f>IF(J243="",0,1)</f>
      </c>
      <c r="M243" s="28">
        <f>IF($B243=$AA$3,1,IF($B243=$AA$4,2,0))</f>
      </c>
      <c r="U243" s="28" t="s">
        <v>2372</v>
      </c>
      <c r="AA243" s="28">
        <f>IFERROR(VLOOKUP(E232,AA233:AB237,2,FALSE),0)</f>
      </c>
      <c r="AC243" t="s">
        <v>8228</v>
      </c>
      <c r="AD243" s="150">
        <v>0</v>
      </c>
    </row>
    <row r="244" spans="1:30" ht="7.5" customHeight="1" x14ac:dyDescent="0.2">
      <c r="A244" s="2"/>
      <c r="B244" s="593"/>
      <c r="C244" s="593"/>
      <c r="D244" s="593"/>
      <c r="E244" s="593"/>
      <c r="F244" s="593"/>
      <c r="G244" s="593"/>
      <c r="H244" s="593"/>
      <c r="I244" s="593"/>
      <c r="J244" s="593"/>
      <c r="K244" s="593"/>
    </row>
    <row r="245" spans="1:30" ht="15" x14ac:dyDescent="0.2">
      <c r="A245" s="2"/>
      <c r="B245" s="3574" t="s">
        <v>9961</v>
      </c>
      <c r="C245" s="593"/>
      <c r="D245" s="593"/>
      <c r="E245" s="4653"/>
      <c r="F245" s="4654"/>
      <c r="G245" s="595" t="str">
        <f>IF(R276=0,"",IF(AND($Q$1="n",E245&lt;&gt;""),"Not fiscal unit - Pg 2 Q30",IF(AND($Q$1="y",ISBLANK(E245)),"Required !","")))</f>
        <v/>
      </c>
      <c r="H245" s="593"/>
      <c r="I245" s="593"/>
      <c r="J245" s="593"/>
      <c r="K245" s="593"/>
      <c r="L245" s="28">
        <f>IF(G245="",0,1)</f>
      </c>
    </row>
    <row r="246" spans="1:30" ht="6.75" customHeight="1" x14ac:dyDescent="0.2">
      <c r="A246" s="2"/>
      <c r="B246" s="3574"/>
      <c r="C246" s="593"/>
      <c r="D246" s="593"/>
      <c r="E246" s="593"/>
      <c r="F246" s="593"/>
      <c r="G246" s="593"/>
      <c r="H246" s="593"/>
      <c r="I246" s="593"/>
      <c r="J246" s="593"/>
      <c r="K246" s="593"/>
    </row>
    <row r="247" spans="1:30" ht="15" customHeight="1" x14ac:dyDescent="0.2">
      <c r="A247" s="2"/>
      <c r="B247" s="2221" t="s">
        <v>10035</v>
      </c>
      <c r="C247" s="3619"/>
      <c r="D247" s="3619"/>
      <c r="E247" s="3619"/>
      <c r="F247" s="569"/>
      <c r="G247" s="3620" t="str">
        <f>IF(R276=0,"",IF(ISBLANK(F247),"Required!",IF(AND($T$1="n",F247="yes"),"Check Pg2 Q32!","")))</f>
        <v/>
      </c>
      <c r="H247" s="593"/>
      <c r="I247" s="593"/>
      <c r="J247" s="1"/>
      <c r="K247" s="593"/>
      <c r="L247" s="28">
        <f>IF(G247="",0,1)</f>
      </c>
    </row>
    <row r="248" spans="1:30" ht="15" customHeight="1" x14ac:dyDescent="0.2">
      <c r="A248" s="2"/>
      <c r="B248" s="229" t="s">
        <v>10036</v>
      </c>
      <c r="C248" s="2221"/>
      <c r="D248" s="2221"/>
      <c r="E248" s="2221"/>
      <c r="F248" s="242"/>
      <c r="G248" s="595"/>
      <c r="H248" s="593"/>
      <c r="I248" s="593"/>
      <c r="J248" s="1"/>
      <c r="K248" s="593"/>
    </row>
    <row r="249" spans="1:30" ht="15" hidden="1" x14ac:dyDescent="0.2">
      <c r="A249" s="2"/>
      <c r="B249" s="3574"/>
      <c r="C249" s="593"/>
      <c r="D249" s="593"/>
      <c r="E249" s="593"/>
      <c r="F249" s="593"/>
      <c r="G249" s="593"/>
      <c r="H249" s="593"/>
      <c r="I249" s="593"/>
      <c r="J249" s="593"/>
      <c r="K249" s="593"/>
    </row>
    <row r="250" spans="1:30" ht="15" hidden="1" x14ac:dyDescent="0.2">
      <c r="A250" s="2"/>
      <c r="B250" s="3574"/>
      <c r="C250" s="593"/>
      <c r="D250" s="593"/>
      <c r="E250" s="593"/>
      <c r="F250" s="593"/>
      <c r="G250" s="593"/>
      <c r="H250" s="593"/>
      <c r="I250" s="593"/>
      <c r="J250" s="593"/>
      <c r="K250" s="593"/>
    </row>
    <row r="251" spans="1:30" ht="15" hidden="1" x14ac:dyDescent="0.2">
      <c r="A251" s="2"/>
      <c r="B251" s="3574"/>
      <c r="C251" s="593"/>
      <c r="D251" s="593"/>
      <c r="E251" s="593"/>
      <c r="F251" s="593"/>
      <c r="G251" s="593"/>
      <c r="H251" s="593"/>
      <c r="I251" s="593"/>
      <c r="J251" s="593"/>
      <c r="K251" s="593"/>
    </row>
    <row r="252" spans="1:30" ht="15" hidden="1" x14ac:dyDescent="0.2">
      <c r="A252" s="2"/>
      <c r="B252" s="3574"/>
      <c r="C252" s="593"/>
      <c r="D252" s="593"/>
      <c r="E252" s="593"/>
      <c r="F252" s="593"/>
      <c r="G252" s="593"/>
      <c r="H252" s="593"/>
      <c r="I252" s="593"/>
      <c r="J252" s="593"/>
      <c r="K252" s="593"/>
    </row>
    <row r="253" spans="1:30" ht="15" hidden="1" x14ac:dyDescent="0.2">
      <c r="A253" s="2"/>
      <c r="B253" s="3574"/>
      <c r="C253" s="593"/>
      <c r="D253" s="593"/>
      <c r="E253" s="593"/>
      <c r="F253" s="593"/>
      <c r="G253" s="593"/>
      <c r="H253" s="593"/>
      <c r="I253" s="593"/>
      <c r="J253" s="593"/>
      <c r="K253" s="593"/>
    </row>
    <row r="254" spans="1:30" ht="15" hidden="1" x14ac:dyDescent="0.2">
      <c r="A254" s="2"/>
      <c r="B254" s="3574"/>
      <c r="C254" s="593"/>
      <c r="D254" s="593"/>
      <c r="E254" s="593"/>
      <c r="F254" s="593"/>
      <c r="G254" s="593"/>
      <c r="H254" s="593"/>
      <c r="I254" s="593"/>
      <c r="J254" s="593"/>
      <c r="K254" s="593"/>
    </row>
    <row r="255" spans="1:30" ht="15" hidden="1" x14ac:dyDescent="0.2">
      <c r="A255" s="2"/>
      <c r="B255" s="3574"/>
      <c r="C255" s="593"/>
      <c r="D255" s="593"/>
      <c r="E255" s="593"/>
      <c r="F255" s="593"/>
      <c r="G255" s="593"/>
      <c r="H255" s="593"/>
      <c r="I255" s="593"/>
      <c r="J255" s="593"/>
      <c r="K255" s="593"/>
    </row>
    <row r="256" spans="1:30" ht="15" hidden="1" x14ac:dyDescent="0.2">
      <c r="A256" s="2"/>
      <c r="B256" s="3574"/>
      <c r="C256" s="593"/>
      <c r="D256" s="593"/>
      <c r="E256" s="593"/>
      <c r="F256" s="593"/>
      <c r="G256" s="593"/>
      <c r="H256" s="593"/>
      <c r="I256" s="593"/>
      <c r="J256" s="593"/>
      <c r="K256" s="593"/>
    </row>
    <row r="257" spans="1:21" ht="15" hidden="1" x14ac:dyDescent="0.2">
      <c r="A257" s="2"/>
      <c r="B257" s="3574"/>
      <c r="C257" s="593"/>
      <c r="D257" s="593"/>
      <c r="E257" s="593"/>
      <c r="F257" s="593"/>
      <c r="G257" s="593"/>
      <c r="H257" s="593"/>
      <c r="I257" s="593"/>
      <c r="J257" s="593"/>
      <c r="K257" s="593"/>
    </row>
    <row r="258" spans="1:21" ht="15" hidden="1" x14ac:dyDescent="0.2">
      <c r="A258" s="2"/>
      <c r="B258" s="3574"/>
      <c r="C258" s="593"/>
      <c r="D258" s="593"/>
      <c r="E258" s="593"/>
      <c r="F258" s="593"/>
      <c r="G258" s="593"/>
      <c r="H258" s="593"/>
      <c r="I258" s="593"/>
      <c r="J258" s="593"/>
      <c r="K258" s="593"/>
    </row>
    <row r="259" spans="1:21" ht="7.5" customHeight="1" x14ac:dyDescent="0.2">
      <c r="A259" s="2"/>
      <c r="B259" s="593"/>
      <c r="C259" s="593"/>
      <c r="D259" s="593"/>
      <c r="E259" s="593"/>
      <c r="F259" s="593"/>
      <c r="G259" s="593"/>
      <c r="H259" s="593"/>
      <c r="I259" s="593"/>
      <c r="J259" s="593"/>
      <c r="K259" s="593"/>
    </row>
    <row r="260" spans="1:21" ht="15" x14ac:dyDescent="0.2">
      <c r="A260" s="3"/>
      <c r="B260" s="358" t="str">
        <f>IF(O260=1,"Name of "&amp;M260&amp;" deemed to be transferred","Name of "&amp;M260&amp;" being transferred")</f>
      </c>
      <c r="C260" s="358"/>
      <c r="D260" s="594" t="str">
        <f>IF(R276=0,"",IF(ISBLANK(E260),"Required !",""))</f>
        <v/>
      </c>
      <c r="E260" s="4317"/>
      <c r="F260" s="4318"/>
      <c r="G260" s="4318"/>
      <c r="H260" s="4318"/>
      <c r="I260" s="4319"/>
      <c r="J260" s="593"/>
      <c r="K260" s="593"/>
      <c r="L260" s="28">
        <f>IF(D260="",0,1)</f>
      </c>
      <c r="M260" s="28" t="str">
        <f>IF(M243=2,"Partnership","Company")</f>
      </c>
      <c r="O260" s="142">
        <f>IF(AND(F247="yes",$T$1="y"),1,0)</f>
      </c>
    </row>
    <row r="261" spans="1:21" ht="5.25" customHeight="1" x14ac:dyDescent="0.2">
      <c r="A261" s="3"/>
      <c r="B261" s="358"/>
      <c r="C261" s="358"/>
      <c r="D261" s="358"/>
      <c r="E261" s="8"/>
      <c r="F261" s="8"/>
      <c r="G261" s="8"/>
      <c r="H261" s="8"/>
      <c r="I261" s="8"/>
      <c r="J261" s="593"/>
      <c r="K261" s="593"/>
    </row>
    <row r="262" spans="1:21" ht="15" x14ac:dyDescent="0.2">
      <c r="A262" s="3"/>
      <c r="B262" s="4661" t="s">
        <v>2242</v>
      </c>
      <c r="C262" s="4661"/>
      <c r="D262" s="4661"/>
      <c r="E262" s="4662"/>
      <c r="F262" s="4302"/>
      <c r="G262" s="4304"/>
      <c r="H262" s="595" t="str">
        <f>IF(R276=0,"",IF(ISBLANK(F262),"Required !",""))</f>
        <v/>
      </c>
      <c r="I262" s="8"/>
      <c r="J262" s="593"/>
      <c r="K262" s="593"/>
      <c r="L262" s="28">
        <f>IF(H262="",0,1)</f>
      </c>
      <c r="U262" s="67"/>
    </row>
    <row r="263" spans="1:21" ht="5.25" customHeight="1" x14ac:dyDescent="0.2">
      <c r="A263" s="3"/>
      <c r="B263" s="358"/>
      <c r="C263" s="358"/>
      <c r="D263" s="358"/>
      <c r="E263" s="3"/>
      <c r="F263" s="3"/>
      <c r="G263" s="3"/>
      <c r="H263" s="3"/>
      <c r="I263" s="3"/>
      <c r="J263" s="593"/>
      <c r="K263" s="3"/>
      <c r="U263" s="62"/>
    </row>
    <row r="264" spans="1:21" ht="15" x14ac:dyDescent="0.2">
      <c r="A264" s="3"/>
      <c r="B264" s="603" t="str">
        <f>IF(M243=2,"Percentage of interest transferred","Number of Securities transferred")</f>
      </c>
      <c r="C264" s="596"/>
      <c r="D264" s="596"/>
      <c r="E264" s="1275" t="str">
        <f>IF(M243=2,"% ","")</f>
        <v/>
      </c>
      <c r="F264" s="597"/>
      <c r="G264" s="595" t="str">
        <f>IF(R276=0,"",IF(ISBLANK(F264),"Required !",""))</f>
        <v/>
      </c>
      <c r="H264" s="86"/>
      <c r="I264" s="86"/>
      <c r="J264" s="593"/>
      <c r="K264" s="3"/>
      <c r="L264" s="28">
        <f>IF(G264="",0,1)</f>
      </c>
      <c r="U264" s="62"/>
    </row>
    <row r="265" spans="1:21" ht="5.25" customHeight="1" x14ac:dyDescent="0.2">
      <c r="A265" s="3"/>
      <c r="B265" s="598"/>
      <c r="C265" s="598"/>
      <c r="D265" s="598"/>
      <c r="E265" s="86"/>
      <c r="F265" s="86"/>
      <c r="G265" s="86"/>
      <c r="H265" s="86"/>
      <c r="I265" s="86"/>
      <c r="J265" s="593"/>
      <c r="K265" s="3"/>
    </row>
    <row r="266" spans="1:21" ht="15" x14ac:dyDescent="0.2">
      <c r="A266" s="3"/>
      <c r="B266" s="596" t="s">
        <v>6276</v>
      </c>
      <c r="C266" s="596"/>
      <c r="D266" s="596"/>
      <c r="E266" s="596"/>
      <c r="F266" s="575"/>
      <c r="G266" s="595" t="str">
        <f>IF(R276=0,"",IF(ISBLANK(F266),"Required !",""))</f>
        <v/>
      </c>
      <c r="H266" s="86"/>
      <c r="I266" s="86"/>
      <c r="J266" s="593"/>
      <c r="K266" s="3"/>
      <c r="L266" s="28">
        <f>IF(G266="",0,1)</f>
      </c>
      <c r="S266" s="74">
        <f>DATE(ya-2,1,2)</f>
      </c>
      <c r="T266" s="74">
        <f>DATE(ya-1,12,31)</f>
      </c>
    </row>
    <row r="267" spans="1:21" ht="4.5" customHeight="1" x14ac:dyDescent="0.2">
      <c r="A267" s="3"/>
      <c r="B267" s="598"/>
      <c r="C267" s="598"/>
      <c r="D267" s="598"/>
      <c r="E267" s="86"/>
      <c r="F267" s="86"/>
      <c r="G267" s="86"/>
      <c r="H267" s="86"/>
      <c r="I267" s="86"/>
      <c r="J267" s="593"/>
      <c r="K267" s="3"/>
    </row>
    <row r="268" spans="1:21" ht="15" x14ac:dyDescent="0.2">
      <c r="A268" s="3"/>
      <c r="B268" s="596" t="str">
        <f>IF(M243=2,"","Is it a transfer of a controlling interest?")</f>
      </c>
      <c r="C268" s="596"/>
      <c r="D268" s="596"/>
      <c r="E268" s="599" t="s">
        <v>1020</v>
      </c>
      <c r="F268" s="2194"/>
      <c r="G268" s="595" t="str">
        <f>IF(R276=0,"",IF(M243&lt;&gt;1,"",IF(ISBLANK(F268),"Required !","")))</f>
        <v/>
      </c>
      <c r="H268" s="600"/>
      <c r="I268" s="86"/>
      <c r="J268" s="593"/>
      <c r="K268" s="3"/>
      <c r="L268" s="28">
        <f>IF(G268="",0,1)</f>
      </c>
      <c r="S268" s="74">
        <v>38359</v>
      </c>
    </row>
    <row r="269" spans="1:21" ht="6.75" customHeight="1" x14ac:dyDescent="0.2">
      <c r="A269" s="3"/>
      <c r="B269" s="598"/>
      <c r="C269" s="598"/>
      <c r="D269" s="598"/>
      <c r="E269" s="86"/>
      <c r="F269" s="86"/>
      <c r="G269" s="86"/>
      <c r="H269" s="86"/>
      <c r="I269" s="86"/>
      <c r="J269" s="593"/>
      <c r="K269" s="3"/>
    </row>
    <row r="270" spans="1:21" ht="15" x14ac:dyDescent="0.2">
      <c r="A270" s="3"/>
      <c r="B270" s="4663" t="str">
        <f>IF(B243=$AA$2,$AA$29,$AA$28)</f>
        <v xml:space="preserve">Allocated to &gt;   </v>
      </c>
      <c r="C270" s="4663"/>
      <c r="D270" s="4663"/>
      <c r="E270" s="4664"/>
      <c r="F270" s="601"/>
      <c r="G270" s="595" t="str">
        <f>IF(R276=0,"",IF(ISBLANK(F270),"Choose A/c !",""))</f>
        <v/>
      </c>
      <c r="H270" s="86"/>
      <c r="I270" s="86"/>
      <c r="J270" s="593"/>
      <c r="K270" s="3"/>
      <c r="L270" s="28">
        <f>IF(G270="",0,1)</f>
      </c>
    </row>
    <row r="271" spans="1:21" ht="6.75" customHeight="1" x14ac:dyDescent="0.2">
      <c r="A271" s="3"/>
      <c r="B271" s="86"/>
      <c r="C271" s="86"/>
      <c r="D271" s="86"/>
      <c r="E271" s="86"/>
      <c r="F271" s="86"/>
      <c r="G271" s="86"/>
      <c r="H271" s="86"/>
      <c r="I271" s="86"/>
      <c r="J271" s="593"/>
      <c r="K271" s="3"/>
    </row>
    <row r="272" spans="1:21" ht="15" x14ac:dyDescent="0.2">
      <c r="A272" s="3"/>
      <c r="B272" s="8" t="str">
        <f>"Consideration / Market value of "&amp;M272&amp;" transferred"</f>
      </c>
      <c r="C272" s="598"/>
      <c r="D272" s="598"/>
      <c r="E272" s="86"/>
      <c r="F272" s="86"/>
      <c r="G272" s="86"/>
      <c r="H272" s="510"/>
      <c r="I272" s="595" t="str">
        <f>IF(R276=0,"",IF(ISBLANK(H272),"Required !",""))</f>
        <v/>
      </c>
      <c r="J272" s="593"/>
      <c r="K272" s="3"/>
      <c r="L272" s="28">
        <f>IF(I272="",0,1)</f>
      </c>
      <c r="M272" s="28" t="str">
        <f>IF(M243=2,"interest","shares")</f>
      </c>
    </row>
    <row r="273" spans="1:32" ht="3.75" customHeight="1" x14ac:dyDescent="0.2">
      <c r="A273" s="3"/>
      <c r="B273" s="596"/>
      <c r="C273" s="596"/>
      <c r="D273" s="596"/>
      <c r="E273" s="596"/>
      <c r="F273" s="596"/>
      <c r="G273" s="596"/>
      <c r="H273" s="86"/>
      <c r="I273" s="86"/>
      <c r="J273" s="593"/>
      <c r="K273" s="3"/>
    </row>
    <row r="274" spans="1:32" ht="15" x14ac:dyDescent="0.2">
      <c r="A274" s="3"/>
      <c r="B274" s="8" t="str">
        <f>"Cost of acquistion of "&amp;M272&amp;" transferred "</f>
        <v xml:space="preserve">Cost of acquistion of shares transferred </v>
      </c>
      <c r="C274" s="596"/>
      <c r="D274" s="596"/>
      <c r="E274" s="596"/>
      <c r="F274" s="596"/>
      <c r="G274" s="596"/>
      <c r="H274" s="510"/>
      <c r="I274" s="595" t="str">
        <f>IF(R276=0,"",IF(ISBLANK(H274),"Required or insert 0!",""))</f>
        <v/>
      </c>
      <c r="J274" s="593"/>
      <c r="K274" s="3"/>
      <c r="L274" s="28">
        <f>IF(I274="",0,1)</f>
      </c>
      <c r="T274" s="28" t="str">
        <f>ft</f>
      </c>
    </row>
    <row r="275" spans="1:32" ht="15" x14ac:dyDescent="0.2">
      <c r="A275" s="3"/>
      <c r="B275" s="602" t="s">
        <v>2987</v>
      </c>
      <c r="C275" s="603"/>
      <c r="D275" s="603"/>
      <c r="E275" s="603"/>
      <c r="F275" s="603"/>
      <c r="G275" s="86"/>
      <c r="H275" s="86"/>
      <c r="I275" s="86"/>
      <c r="J275" s="593"/>
      <c r="K275" s="3"/>
      <c r="R275" s="142"/>
    </row>
    <row r="276" spans="1:32" ht="15" x14ac:dyDescent="0.2">
      <c r="A276" s="3"/>
      <c r="B276" s="8"/>
      <c r="C276" s="65"/>
      <c r="D276" s="65"/>
      <c r="E276" s="65"/>
      <c r="F276" s="3"/>
      <c r="G276" s="86"/>
      <c r="H276" s="86"/>
      <c r="I276" s="595"/>
      <c r="J276" s="593"/>
      <c r="K276" s="3"/>
      <c r="R276" s="28">
        <f>COUNTA(B243,E260,F262,F264,F266,F268,F270,H272,H274,E279,E280,E245,F247)</f>
      </c>
    </row>
    <row r="277" spans="1:32" ht="15" x14ac:dyDescent="0.2">
      <c r="A277" s="211"/>
      <c r="B277" s="211" t="str">
        <f>"Gain/(Loss) attributable to "&amp;M277</f>
      </c>
      <c r="C277" s="211"/>
      <c r="D277" s="211"/>
      <c r="E277" s="211"/>
      <c r="F277" s="211"/>
      <c r="G277" s="211"/>
      <c r="H277" s="544">
        <f>H272-H274</f>
      </c>
      <c r="I277" s="211"/>
      <c r="J277" s="593"/>
      <c r="K277" s="211"/>
      <c r="M277" s="28" t="str">
        <f>IF(M243=2,"partner","shareholder")</f>
      </c>
    </row>
    <row r="278" spans="1:32" ht="12" customHeight="1" x14ac:dyDescent="0.2">
      <c r="A278" s="593"/>
      <c r="B278" s="593"/>
      <c r="C278" s="593"/>
      <c r="D278" s="593"/>
      <c r="E278" s="593"/>
      <c r="F278" s="593"/>
      <c r="G278" s="593"/>
      <c r="H278" s="593"/>
      <c r="I278" s="593"/>
      <c r="J278" s="593"/>
      <c r="K278" s="211"/>
    </row>
    <row r="279" spans="1:32" ht="12.75" customHeight="1" x14ac:dyDescent="0.2">
      <c r="A279" s="593"/>
      <c r="B279" s="1780" t="s">
        <v>8221</v>
      </c>
      <c r="C279" s="1"/>
      <c r="D279" s="1"/>
      <c r="E279" s="2194"/>
      <c r="F279" s="2150" t="str">
        <f>IF(AND(B243=$AA$2,E279=""),re,"")</f>
        <v/>
      </c>
      <c r="G279" s="1"/>
      <c r="H279" s="1"/>
      <c r="I279" s="1"/>
      <c r="J279" s="1"/>
      <c r="K279" s="1"/>
      <c r="L279" s="2583">
        <f>IF(F279="",0,1)</f>
      </c>
    </row>
    <row r="280" spans="1:32" ht="12.75" customHeight="1" x14ac:dyDescent="0.2">
      <c r="A280" s="593"/>
      <c r="B280" s="1780" t="s">
        <v>8222</v>
      </c>
      <c r="C280" s="1"/>
      <c r="D280" s="1"/>
      <c r="E280" s="4655"/>
      <c r="F280" s="4656"/>
      <c r="G280" s="4657"/>
      <c r="H280" s="2150" t="str">
        <f>IF(AND(B243=$AA$2,E280=""),re,"")</f>
        <v/>
      </c>
      <c r="I280" s="1"/>
      <c r="J280" s="1"/>
      <c r="K280" s="1"/>
      <c r="L280" s="2583">
        <f>IF(H280="",0,1)</f>
      </c>
    </row>
    <row r="281" spans="1:32" ht="12.75" customHeight="1" x14ac:dyDescent="0.2">
      <c r="A281" s="593"/>
      <c r="B281" s="1780" t="str">
        <f>IF(OR(E280="",E279=""),"Taxable portion","Taxable portion is equal to "&amp;VLOOKUP(E280,AA281:AB285,2,FALSE)*100&amp;" % of the gain")</f>
      </c>
      <c r="C281" s="1"/>
      <c r="D281" s="595" t="str">
        <f>IF(ISERROR(B281)=TRUE,"Check!","")</f>
        <v/>
      </c>
      <c r="E281" s="1"/>
      <c r="F281" s="1"/>
      <c r="G281" s="1"/>
      <c r="H281" s="925">
        <f>IF(E280="",0,IF(B243&lt;&gt;$AA$2,0,ROUND(H277*AA291,0)))</f>
      </c>
      <c r="I281" s="2587" t="s">
        <v>8230</v>
      </c>
      <c r="J281" s="1"/>
      <c r="K281" s="1"/>
      <c r="L281" s="28">
        <f>IF(D281="",0,1)</f>
      </c>
      <c r="AA281" t="str">
        <f>IF(E279="","","Less than 10%")</f>
        <v/>
      </c>
      <c r="AB281" s="2589" t="str">
        <f>IF(E279="","",AD281)</f>
        <v/>
      </c>
      <c r="AC281" t="s">
        <v>8223</v>
      </c>
      <c r="AD281" s="2174">
        <v>1</v>
      </c>
    </row>
    <row r="282" spans="1:32" ht="12.75" customHeight="1" x14ac:dyDescent="0.2">
      <c r="A282" s="593"/>
      <c r="B282" s="1780" t="s">
        <v>8229</v>
      </c>
      <c r="C282" s="1"/>
      <c r="D282" s="1"/>
      <c r="E282" s="1"/>
      <c r="F282" s="1"/>
      <c r="G282" s="1"/>
      <c r="H282" s="925">
        <f>IF(E280="",0,IF(B243&lt;&gt;$AA$2,0,H277-H281))</f>
      </c>
      <c r="I282" s="2587" t="str">
        <f>IF(F247="yes","TRA116","TRA 18")</f>
      </c>
      <c r="J282" s="1"/>
      <c r="K282" s="1"/>
      <c r="O282" s="2583" t="s">
        <v>313</v>
      </c>
      <c r="P282" s="2590">
        <f>H282</f>
      </c>
      <c r="AA282" s="28" t="str">
        <f>IF(E279="","",IF(E279=y,AC282,AE282))</f>
        <v/>
      </c>
      <c r="AB282" s="2589" t="str">
        <f>IF(E279="","",IF(E279=y,AD282,AF282))</f>
        <v/>
      </c>
      <c r="AC282" t="s">
        <v>8224</v>
      </c>
      <c r="AD282" s="2174">
        <v>0.75</v>
      </c>
      <c r="AE282" t="s">
        <v>8228</v>
      </c>
      <c r="AF282" s="2174">
        <v>0</v>
      </c>
    </row>
    <row r="283" spans="1:32" ht="6.75" customHeight="1" x14ac:dyDescent="0.2">
      <c r="A283" s="3"/>
      <c r="B283" s="603"/>
      <c r="C283" s="603"/>
      <c r="D283" s="603"/>
      <c r="E283" s="603"/>
      <c r="F283" s="603"/>
      <c r="G283" s="86"/>
      <c r="H283" s="86"/>
      <c r="I283" s="86"/>
      <c r="J283" s="593"/>
      <c r="K283" s="3"/>
      <c r="AA283" s="28" t="str">
        <f>IF(E279=y,AC283,"")</f>
        <v/>
      </c>
      <c r="AB283" s="2589" t="str">
        <f>IF(E279=y,AD283,"")</f>
        <v/>
      </c>
      <c r="AC283" t="s">
        <v>8225</v>
      </c>
      <c r="AD283" s="2174">
        <v>0.5</v>
      </c>
    </row>
    <row r="284" spans="1:32" ht="15" x14ac:dyDescent="0.2">
      <c r="A284" s="3"/>
      <c r="B284" s="604" t="s">
        <v>5493</v>
      </c>
      <c r="C284" s="604"/>
      <c r="D284" s="604"/>
      <c r="E284" s="604"/>
      <c r="F284" s="605" t="s">
        <v>9125</v>
      </c>
      <c r="G284" s="605" t="str">
        <f>ip</f>
      </c>
      <c r="H284" s="605" t="s">
        <v>363</v>
      </c>
      <c r="I284" s="605" t="s">
        <v>2372</v>
      </c>
      <c r="J284" s="593"/>
      <c r="K284" s="3"/>
      <c r="AA284" s="28" t="str">
        <f>IF(E279=y,AC284,"")</f>
        <v/>
      </c>
      <c r="AB284" s="2589" t="str">
        <f>IF(E279=y,AD284,"")</f>
        <v/>
      </c>
      <c r="AC284" t="s">
        <v>8226</v>
      </c>
      <c r="AD284" s="2174">
        <v>0.25</v>
      </c>
    </row>
    <row r="285" spans="1:32" ht="15" x14ac:dyDescent="0.2">
      <c r="A285" s="3"/>
      <c r="B285" s="3"/>
      <c r="C285" s="3"/>
      <c r="D285" s="3"/>
      <c r="E285" s="3"/>
      <c r="F285" s="590" t="str">
        <f>IF($F270=F284,T285,"")</f>
        <v/>
      </c>
      <c r="G285" s="590" t="str">
        <f>IF($F270=ip,T285,"")</f>
        <v/>
      </c>
      <c r="H285" s="590" t="str">
        <f>IF($F270=mt,T285,"")</f>
        <v/>
      </c>
      <c r="I285" s="590" t="str">
        <f>IF($F270=fi,T285,"")</f>
        <v/>
      </c>
      <c r="J285" s="593"/>
      <c r="K285" s="3"/>
      <c r="S285" s="606"/>
      <c r="T285" s="2588">
        <f>IF(E280="",H277,IF(B243=$AA$2,H281,H277))</f>
      </c>
      <c r="AA285" s="28" t="str">
        <f>IF(E279=y,AC285,"")</f>
        <v/>
      </c>
      <c r="AB285" s="2589" t="str">
        <f>IF(E279=y,AD285,"")</f>
        <v/>
      </c>
      <c r="AC285" t="s">
        <v>8227</v>
      </c>
      <c r="AD285" s="2174">
        <v>0</v>
      </c>
    </row>
    <row r="286" spans="1:32" ht="15" x14ac:dyDescent="0.2">
      <c r="A286" s="3"/>
      <c r="B286" s="86" t="str">
        <f>_xlfn.SINGLE(MTCA)</f>
      </c>
      <c r="C286" s="86"/>
      <c r="D286" s="86"/>
      <c r="E286" s="86" t="str">
        <f>ver</f>
        <v>TA2_e-CO_2025_Ver 1.1</v>
      </c>
      <c r="F286" s="86"/>
      <c r="G286" s="86"/>
      <c r="H286" s="86"/>
      <c r="I286" s="607" t="s">
        <v>9875</v>
      </c>
      <c r="J286" s="593"/>
      <c r="K286" s="3"/>
    </row>
    <row r="287" spans="1:32" ht="12.75" customHeight="1" x14ac:dyDescent="0.2">
      <c r="A287" s="3"/>
      <c r="B287" s="608"/>
      <c r="C287" s="609"/>
      <c r="D287" s="609"/>
      <c r="E287" s="609"/>
      <c r="F287" s="609"/>
      <c r="G287" s="609"/>
      <c r="H287" s="609"/>
      <c r="I287" s="609"/>
      <c r="J287" s="593"/>
      <c r="K287" s="609"/>
      <c r="S287" s="84">
        <f>S285+S237+S189</f>
      </c>
    </row>
    <row r="288" spans="1:32" ht="12.75" customHeight="1" x14ac:dyDescent="0.2">
      <c r="A288" s="3"/>
      <c r="B288" s="237"/>
      <c r="C288" s="3"/>
      <c r="D288" s="3"/>
      <c r="E288" s="610" t="s">
        <v>4456</v>
      </c>
      <c r="F288" s="331"/>
      <c r="G288" s="1276" t="str">
        <f>IF(AND(R276&gt;0,F288=""),re,"")</f>
        <v/>
      </c>
      <c r="H288" s="3"/>
      <c r="I288" s="3"/>
      <c r="J288" s="593"/>
      <c r="K288" s="3"/>
      <c r="L288" s="28">
        <f>IF(G288="",0,1)</f>
      </c>
      <c r="N288" s="28">
        <f>IF(F288=n,1,0)</f>
      </c>
    </row>
    <row r="289" spans="1:30" ht="12.75" customHeight="1" x14ac:dyDescent="0.2">
      <c r="A289" s="3"/>
      <c r="B289" s="65" t="str">
        <f>_ref1</f>
      </c>
      <c r="C289" s="65"/>
      <c r="D289" s="65"/>
      <c r="E289" s="65"/>
      <c r="F289" s="65"/>
      <c r="G289" s="65"/>
      <c r="H289" s="65"/>
      <c r="I289" s="64" t="str">
        <f>_YA1</f>
      </c>
      <c r="J289" s="593"/>
      <c r="K289" s="1"/>
    </row>
    <row r="290" spans="1:30" ht="3.75" customHeight="1" x14ac:dyDescent="0.2">
      <c r="A290" s="3"/>
      <c r="B290" s="3"/>
      <c r="C290" s="3"/>
      <c r="D290" s="3"/>
      <c r="E290" s="3"/>
      <c r="F290" s="3"/>
      <c r="G290" s="3"/>
      <c r="H290" s="3"/>
      <c r="I290" s="3"/>
      <c r="J290" s="593"/>
      <c r="K290" s="3"/>
    </row>
    <row r="291" spans="1:30" ht="16.149999999999999" customHeight="1" x14ac:dyDescent="0.2">
      <c r="A291" s="748">
        <v>7</v>
      </c>
      <c r="B291" s="4658"/>
      <c r="C291" s="4659"/>
      <c r="D291" s="4659"/>
      <c r="E291" s="4659"/>
      <c r="F291" s="4659"/>
      <c r="G291" s="4659"/>
      <c r="H291" s="4659"/>
      <c r="I291" s="4660"/>
      <c r="J291" s="1276" t="str">
        <f>IF(R324=0,"",IF(B291="",re,""))</f>
        <v/>
      </c>
      <c r="K291" s="593"/>
      <c r="L291" s="28">
        <f>IF(J291="",0,1)</f>
      </c>
      <c r="M291" s="28">
        <f>IF($B291=$AA$3,1,IF($B291=$AA$4,2,0))</f>
      </c>
      <c r="U291" s="28" t="s">
        <v>2372</v>
      </c>
      <c r="AA291" s="28">
        <f>IFERROR(VLOOKUP(E280,AA281:AB285,2,FALSE),0)</f>
      </c>
      <c r="AC291" t="s">
        <v>8228</v>
      </c>
      <c r="AD291" s="150">
        <v>0</v>
      </c>
    </row>
    <row r="292" spans="1:30" ht="7.5" customHeight="1" x14ac:dyDescent="0.2">
      <c r="A292" s="2"/>
      <c r="B292" s="593"/>
      <c r="C292" s="593"/>
      <c r="D292" s="593"/>
      <c r="E292" s="593"/>
      <c r="F292" s="593"/>
      <c r="G292" s="593"/>
      <c r="H292" s="593"/>
      <c r="I292" s="593"/>
      <c r="J292" s="593"/>
      <c r="K292" s="593"/>
    </row>
    <row r="293" spans="1:30" ht="15" x14ac:dyDescent="0.2">
      <c r="A293" s="2"/>
      <c r="B293" s="3574" t="s">
        <v>9961</v>
      </c>
      <c r="C293" s="593"/>
      <c r="D293" s="593"/>
      <c r="E293" s="4653"/>
      <c r="F293" s="4654"/>
      <c r="G293" s="595" t="str">
        <f>IF(R324=0,"",IF(AND($Q$1="n",E293&lt;&gt;""),"Not fiscal unit - Pg 2 Q30",IF(AND($Q$1="y",ISBLANK(E293)),"Required !","")))</f>
        <v/>
      </c>
      <c r="H293" s="593"/>
      <c r="I293" s="593"/>
      <c r="J293" s="593"/>
      <c r="K293" s="593"/>
      <c r="L293" s="28">
        <f>IF(G293="",0,1)</f>
      </c>
    </row>
    <row r="294" spans="1:30" ht="6" customHeight="1" x14ac:dyDescent="0.2">
      <c r="A294" s="2"/>
      <c r="B294" s="3574"/>
      <c r="C294" s="593"/>
      <c r="D294" s="593"/>
      <c r="E294" s="593"/>
      <c r="F294" s="593"/>
      <c r="G294" s="593"/>
      <c r="H294" s="593"/>
      <c r="I294" s="593"/>
      <c r="J294" s="593"/>
      <c r="K294" s="593"/>
    </row>
    <row r="295" spans="1:30" ht="15" customHeight="1" x14ac:dyDescent="0.2">
      <c r="A295" s="2"/>
      <c r="B295" s="2221" t="s">
        <v>10035</v>
      </c>
      <c r="C295" s="3619"/>
      <c r="D295" s="3619"/>
      <c r="E295" s="3619"/>
      <c r="F295" s="569"/>
      <c r="G295" s="3620" t="str">
        <f>IF(R324=0,"",IF(ISBLANK(F295),"Required!",IF(AND($T$1="n",F295="yes"),"Check Pg2 Q32!","")))</f>
        <v/>
      </c>
      <c r="H295" s="593"/>
      <c r="I295" s="593"/>
      <c r="J295" s="1"/>
      <c r="K295" s="593"/>
      <c r="L295" s="28">
        <f>IF(G295="",0,1)</f>
      </c>
    </row>
    <row r="296" spans="1:30" ht="15" customHeight="1" x14ac:dyDescent="0.2">
      <c r="A296" s="2"/>
      <c r="B296" s="229" t="s">
        <v>10036</v>
      </c>
      <c r="C296" s="2221"/>
      <c r="D296" s="2221"/>
      <c r="E296" s="2221"/>
      <c r="F296" s="242"/>
      <c r="G296" s="595"/>
      <c r="H296" s="593"/>
      <c r="I296" s="593"/>
      <c r="J296" s="1"/>
      <c r="K296" s="593"/>
    </row>
    <row r="297" spans="1:30" ht="15" hidden="1" x14ac:dyDescent="0.2">
      <c r="A297" s="2"/>
      <c r="B297" s="3574"/>
      <c r="C297" s="593"/>
      <c r="D297" s="593"/>
      <c r="E297" s="593"/>
      <c r="F297" s="593"/>
      <c r="G297" s="593"/>
      <c r="H297" s="593"/>
      <c r="I297" s="593"/>
      <c r="J297" s="593"/>
      <c r="K297" s="593"/>
    </row>
    <row r="298" spans="1:30" ht="15" hidden="1" x14ac:dyDescent="0.2">
      <c r="A298" s="2"/>
      <c r="B298" s="3574"/>
      <c r="C298" s="593"/>
      <c r="D298" s="593"/>
      <c r="E298" s="593"/>
      <c r="F298" s="593"/>
      <c r="G298" s="593"/>
      <c r="H298" s="593"/>
      <c r="I298" s="593"/>
      <c r="J298" s="593"/>
      <c r="K298" s="593"/>
    </row>
    <row r="299" spans="1:30" ht="15" hidden="1" x14ac:dyDescent="0.2">
      <c r="A299" s="2"/>
      <c r="B299" s="3574"/>
      <c r="C299" s="593"/>
      <c r="D299" s="593"/>
      <c r="E299" s="593"/>
      <c r="F299" s="593"/>
      <c r="G299" s="593"/>
      <c r="H299" s="593"/>
      <c r="I299" s="593"/>
      <c r="J299" s="593"/>
      <c r="K299" s="593"/>
    </row>
    <row r="300" spans="1:30" ht="15" hidden="1" x14ac:dyDescent="0.2">
      <c r="A300" s="2"/>
      <c r="B300" s="3574"/>
      <c r="C300" s="593"/>
      <c r="D300" s="593"/>
      <c r="E300" s="593"/>
      <c r="F300" s="593"/>
      <c r="G300" s="593"/>
      <c r="H300" s="593"/>
      <c r="I300" s="593"/>
      <c r="J300" s="593"/>
      <c r="K300" s="593"/>
    </row>
    <row r="301" spans="1:30" ht="15" hidden="1" x14ac:dyDescent="0.2">
      <c r="A301" s="2"/>
      <c r="B301" s="3574"/>
      <c r="C301" s="593"/>
      <c r="D301" s="593"/>
      <c r="E301" s="593"/>
      <c r="F301" s="593"/>
      <c r="G301" s="593"/>
      <c r="H301" s="593"/>
      <c r="I301" s="593"/>
      <c r="J301" s="593"/>
      <c r="K301" s="593"/>
    </row>
    <row r="302" spans="1:30" ht="15" hidden="1" x14ac:dyDescent="0.2">
      <c r="A302" s="2"/>
      <c r="B302" s="3574"/>
      <c r="C302" s="593"/>
      <c r="D302" s="593"/>
      <c r="E302" s="593"/>
      <c r="F302" s="593"/>
      <c r="G302" s="593"/>
      <c r="H302" s="593"/>
      <c r="I302" s="593"/>
      <c r="J302" s="593"/>
      <c r="K302" s="593"/>
    </row>
    <row r="303" spans="1:30" ht="15" hidden="1" x14ac:dyDescent="0.2">
      <c r="A303" s="2"/>
      <c r="B303" s="3574"/>
      <c r="C303" s="593"/>
      <c r="D303" s="593"/>
      <c r="E303" s="593"/>
      <c r="F303" s="593"/>
      <c r="G303" s="593"/>
      <c r="H303" s="593"/>
      <c r="I303" s="593"/>
      <c r="J303" s="593"/>
      <c r="K303" s="593"/>
    </row>
    <row r="304" spans="1:30" ht="15" hidden="1" x14ac:dyDescent="0.2">
      <c r="A304" s="2"/>
      <c r="B304" s="3574"/>
      <c r="C304" s="593"/>
      <c r="D304" s="593"/>
      <c r="E304" s="593"/>
      <c r="F304" s="593"/>
      <c r="G304" s="593"/>
      <c r="H304" s="593"/>
      <c r="I304" s="593"/>
      <c r="J304" s="593"/>
      <c r="K304" s="593"/>
    </row>
    <row r="305" spans="1:21" ht="15" hidden="1" x14ac:dyDescent="0.2">
      <c r="A305" s="2"/>
      <c r="B305" s="3574"/>
      <c r="C305" s="593"/>
      <c r="D305" s="593"/>
      <c r="E305" s="593"/>
      <c r="F305" s="593"/>
      <c r="G305" s="593"/>
      <c r="H305" s="593"/>
      <c r="I305" s="593"/>
      <c r="J305" s="593"/>
      <c r="K305" s="593"/>
    </row>
    <row r="306" spans="1:21" ht="15" hidden="1" x14ac:dyDescent="0.2">
      <c r="A306" s="2"/>
      <c r="B306" s="3574"/>
      <c r="C306" s="593"/>
      <c r="D306" s="593"/>
      <c r="E306" s="593"/>
      <c r="F306" s="593"/>
      <c r="G306" s="593"/>
      <c r="H306" s="593"/>
      <c r="I306" s="593"/>
      <c r="J306" s="593"/>
      <c r="K306" s="593"/>
    </row>
    <row r="307" spans="1:21" ht="5.25" customHeight="1" x14ac:dyDescent="0.2">
      <c r="A307" s="2"/>
      <c r="B307" s="593"/>
      <c r="C307" s="593"/>
      <c r="D307" s="593"/>
      <c r="E307" s="593"/>
      <c r="F307" s="593"/>
      <c r="G307" s="593"/>
      <c r="H307" s="593"/>
      <c r="I307" s="593"/>
      <c r="J307" s="593"/>
      <c r="K307" s="593"/>
    </row>
    <row r="308" spans="1:21" ht="15" x14ac:dyDescent="0.2">
      <c r="A308" s="3"/>
      <c r="B308" s="358" t="str">
        <f>IF(O308=1,"Name of "&amp;M308&amp;" deemed to be transferred","Name of "&amp;M308&amp;" being transferred")</f>
      </c>
      <c r="C308" s="358"/>
      <c r="D308" s="594" t="str">
        <f>IF(R324=0,"",IF(ISBLANK(E308),"Required !",""))</f>
        <v/>
      </c>
      <c r="E308" s="4317"/>
      <c r="F308" s="4318"/>
      <c r="G308" s="4318"/>
      <c r="H308" s="4318"/>
      <c r="I308" s="4319"/>
      <c r="J308" s="593"/>
      <c r="K308" s="593"/>
      <c r="L308" s="28">
        <f>IF(D308="",0,1)</f>
      </c>
      <c r="M308" s="28" t="str">
        <f>IF(M291=2,"Partnership","Company")</f>
      </c>
      <c r="O308" s="142">
        <f>IF(AND(F295="yes",$T$1="y"),1,0)</f>
      </c>
    </row>
    <row r="309" spans="1:21" ht="5.25" customHeight="1" x14ac:dyDescent="0.2">
      <c r="A309" s="3"/>
      <c r="B309" s="358"/>
      <c r="C309" s="358"/>
      <c r="D309" s="358"/>
      <c r="E309" s="8"/>
      <c r="F309" s="8"/>
      <c r="G309" s="8"/>
      <c r="H309" s="8"/>
      <c r="I309" s="8"/>
      <c r="J309" s="593"/>
      <c r="K309" s="593"/>
    </row>
    <row r="310" spans="1:21" ht="15" x14ac:dyDescent="0.2">
      <c r="A310" s="3"/>
      <c r="B310" s="4661" t="s">
        <v>2242</v>
      </c>
      <c r="C310" s="4661"/>
      <c r="D310" s="4661"/>
      <c r="E310" s="4662"/>
      <c r="F310" s="4302"/>
      <c r="G310" s="4304"/>
      <c r="H310" s="595" t="str">
        <f>IF(R324=0,"",IF(ISBLANK(F310),"Required !",""))</f>
        <v/>
      </c>
      <c r="I310" s="8"/>
      <c r="J310" s="593"/>
      <c r="K310" s="593"/>
      <c r="L310" s="28">
        <f>IF(H310="",0,1)</f>
      </c>
      <c r="U310" s="67"/>
    </row>
    <row r="311" spans="1:21" ht="5.25" customHeight="1" x14ac:dyDescent="0.2">
      <c r="A311" s="3"/>
      <c r="B311" s="358"/>
      <c r="C311" s="358"/>
      <c r="D311" s="358"/>
      <c r="E311" s="3"/>
      <c r="F311" s="3"/>
      <c r="G311" s="3"/>
      <c r="H311" s="3"/>
      <c r="I311" s="3"/>
      <c r="J311" s="593"/>
      <c r="K311" s="3"/>
      <c r="U311" s="62"/>
    </row>
    <row r="312" spans="1:21" ht="15" x14ac:dyDescent="0.2">
      <c r="A312" s="3"/>
      <c r="B312" s="603" t="str">
        <f>IF(M291=2,"Percentage of interest transferred","Number of Securities transferred")</f>
      </c>
      <c r="C312" s="596"/>
      <c r="D312" s="596"/>
      <c r="E312" s="1275" t="str">
        <f>IF(M291=2,"% ","")</f>
        <v/>
      </c>
      <c r="F312" s="597"/>
      <c r="G312" s="595" t="str">
        <f>IF(R324=0,"",IF(ISBLANK(F312),"Required !",""))</f>
        <v/>
      </c>
      <c r="H312" s="86"/>
      <c r="I312" s="86"/>
      <c r="J312" s="593"/>
      <c r="K312" s="3"/>
      <c r="L312" s="28">
        <f>IF(G312="",0,1)</f>
      </c>
      <c r="U312" s="62"/>
    </row>
    <row r="313" spans="1:21" ht="5.25" customHeight="1" x14ac:dyDescent="0.2">
      <c r="A313" s="3"/>
      <c r="B313" s="598"/>
      <c r="C313" s="598"/>
      <c r="D313" s="598"/>
      <c r="E313" s="86"/>
      <c r="F313" s="86"/>
      <c r="G313" s="86"/>
      <c r="H313" s="86"/>
      <c r="I313" s="86"/>
      <c r="J313" s="593"/>
      <c r="K313" s="3"/>
    </row>
    <row r="314" spans="1:21" ht="15" x14ac:dyDescent="0.2">
      <c r="A314" s="3"/>
      <c r="B314" s="596" t="s">
        <v>6276</v>
      </c>
      <c r="C314" s="596"/>
      <c r="D314" s="596"/>
      <c r="E314" s="596"/>
      <c r="F314" s="575"/>
      <c r="G314" s="595" t="str">
        <f>IF(R324=0,"",IF(ISBLANK(F314),"Required !",""))</f>
        <v/>
      </c>
      <c r="H314" s="86"/>
      <c r="I314" s="86"/>
      <c r="J314" s="593"/>
      <c r="K314" s="3"/>
      <c r="L314" s="28">
        <f>IF(G314="",0,1)</f>
      </c>
      <c r="S314" s="74">
        <f>DATE(ya-2,1,2)</f>
      </c>
      <c r="T314" s="74">
        <f>DATE(ya-1,12,31)</f>
      </c>
    </row>
    <row r="315" spans="1:21" ht="4.5" customHeight="1" x14ac:dyDescent="0.2">
      <c r="A315" s="3"/>
      <c r="B315" s="598"/>
      <c r="C315" s="598"/>
      <c r="D315" s="598"/>
      <c r="E315" s="86"/>
      <c r="F315" s="86"/>
      <c r="G315" s="86"/>
      <c r="H315" s="86"/>
      <c r="I315" s="86"/>
      <c r="J315" s="593"/>
      <c r="K315" s="3"/>
    </row>
    <row r="316" spans="1:21" ht="15" x14ac:dyDescent="0.2">
      <c r="A316" s="3"/>
      <c r="B316" s="596" t="str">
        <f>IF(M291=2,"","Is it a transfer of a controlling interest?")</f>
      </c>
      <c r="C316" s="596"/>
      <c r="D316" s="596"/>
      <c r="E316" s="599" t="s">
        <v>1020</v>
      </c>
      <c r="F316" s="2194"/>
      <c r="G316" s="595" t="str">
        <f>IF(R324=0,"",IF(M291&lt;&gt;1,"",IF(ISBLANK(F316),"Required !","")))</f>
        <v/>
      </c>
      <c r="H316" s="600"/>
      <c r="I316" s="86"/>
      <c r="J316" s="593"/>
      <c r="K316" s="3"/>
      <c r="L316" s="28">
        <f>IF(G316="",0,1)</f>
      </c>
      <c r="S316" s="74">
        <v>38359</v>
      </c>
    </row>
    <row r="317" spans="1:21" ht="6.75" customHeight="1" x14ac:dyDescent="0.2">
      <c r="A317" s="3"/>
      <c r="B317" s="598"/>
      <c r="C317" s="598"/>
      <c r="D317" s="598"/>
      <c r="E317" s="86"/>
      <c r="F317" s="86"/>
      <c r="G317" s="86"/>
      <c r="H317" s="86"/>
      <c r="I317" s="86"/>
      <c r="J317" s="593"/>
      <c r="K317" s="3"/>
    </row>
    <row r="318" spans="1:21" ht="15" x14ac:dyDescent="0.2">
      <c r="A318" s="3"/>
      <c r="B318" s="4663" t="str">
        <f>IF(B291=$AA$2,$AA$29,$AA$28)</f>
        <v xml:space="preserve">Allocated to &gt;   </v>
      </c>
      <c r="C318" s="4663"/>
      <c r="D318" s="4663"/>
      <c r="E318" s="4664"/>
      <c r="F318" s="601"/>
      <c r="G318" s="595" t="str">
        <f>IF(R324=0,"",IF(ISBLANK(F318),"Choose A/c !",""))</f>
        <v/>
      </c>
      <c r="H318" s="86"/>
      <c r="I318" s="86"/>
      <c r="J318" s="593"/>
      <c r="K318" s="3"/>
      <c r="L318" s="28">
        <f>IF(G318="",0,1)</f>
      </c>
    </row>
    <row r="319" spans="1:21" ht="6.75" customHeight="1" x14ac:dyDescent="0.2">
      <c r="A319" s="3"/>
      <c r="B319" s="86"/>
      <c r="C319" s="86"/>
      <c r="D319" s="86"/>
      <c r="E319" s="86"/>
      <c r="F319" s="86"/>
      <c r="G319" s="86"/>
      <c r="H319" s="86"/>
      <c r="I319" s="86"/>
      <c r="J319" s="593"/>
      <c r="K319" s="3"/>
    </row>
    <row r="320" spans="1:21" ht="15" x14ac:dyDescent="0.2">
      <c r="A320" s="3"/>
      <c r="B320" s="8" t="str">
        <f>"Consideration / Market value of "&amp;M320&amp;" transferred"</f>
      </c>
      <c r="C320" s="598"/>
      <c r="D320" s="598"/>
      <c r="E320" s="86"/>
      <c r="F320" s="86"/>
      <c r="G320" s="86"/>
      <c r="H320" s="510"/>
      <c r="I320" s="595" t="str">
        <f>IF(R324=0,"",IF(ISBLANK(H320),"Required !",""))</f>
        <v/>
      </c>
      <c r="J320" s="593"/>
      <c r="K320" s="3"/>
      <c r="L320" s="28">
        <f>IF(I320="",0,1)</f>
      </c>
      <c r="M320" s="28" t="str">
        <f>IF(M291=2,"interest","shares")</f>
      </c>
    </row>
    <row r="321" spans="1:32" ht="3.75" customHeight="1" x14ac:dyDescent="0.2">
      <c r="A321" s="3"/>
      <c r="B321" s="596"/>
      <c r="C321" s="596"/>
      <c r="D321" s="596"/>
      <c r="E321" s="596"/>
      <c r="F321" s="596"/>
      <c r="G321" s="596"/>
      <c r="H321" s="86"/>
      <c r="I321" s="86"/>
      <c r="J321" s="593"/>
      <c r="K321" s="3"/>
    </row>
    <row r="322" spans="1:32" ht="15" x14ac:dyDescent="0.2">
      <c r="A322" s="3"/>
      <c r="B322" s="8" t="str">
        <f>"Cost of acquistion of "&amp;M320&amp;" transferred "</f>
        <v xml:space="preserve">Cost of acquistion of shares transferred </v>
      </c>
      <c r="C322" s="596"/>
      <c r="D322" s="596"/>
      <c r="E322" s="596"/>
      <c r="F322" s="596"/>
      <c r="G322" s="596"/>
      <c r="H322" s="510"/>
      <c r="I322" s="595" t="str">
        <f>IF(R324=0,"",IF(ISBLANK(H322),"Required or insert 0!",""))</f>
        <v/>
      </c>
      <c r="J322" s="593"/>
      <c r="K322" s="3"/>
      <c r="L322" s="28">
        <f>IF(I322="",0,1)</f>
      </c>
      <c r="T322" s="28" t="str">
        <f>ft</f>
      </c>
    </row>
    <row r="323" spans="1:32" ht="15" x14ac:dyDescent="0.2">
      <c r="A323" s="3"/>
      <c r="B323" s="602" t="s">
        <v>2987</v>
      </c>
      <c r="C323" s="603"/>
      <c r="D323" s="603"/>
      <c r="E323" s="603"/>
      <c r="F323" s="603"/>
      <c r="G323" s="86"/>
      <c r="H323" s="86"/>
      <c r="I323" s="86"/>
      <c r="J323" s="593"/>
      <c r="K323" s="3"/>
      <c r="R323" s="142"/>
    </row>
    <row r="324" spans="1:32" ht="15" x14ac:dyDescent="0.2">
      <c r="A324" s="3"/>
      <c r="B324" s="8"/>
      <c r="C324" s="65"/>
      <c r="D324" s="65"/>
      <c r="E324" s="65"/>
      <c r="F324" s="3"/>
      <c r="G324" s="86"/>
      <c r="H324" s="86"/>
      <c r="I324" s="595"/>
      <c r="J324" s="593"/>
      <c r="K324" s="3"/>
      <c r="R324" s="28">
        <f>COUNTA(B291,E308,F310,F312,F314,F316,F318,H320,H322,E327,E328,E293,F295)</f>
      </c>
    </row>
    <row r="325" spans="1:32" ht="15" x14ac:dyDescent="0.2">
      <c r="A325" s="211"/>
      <c r="B325" s="211" t="str">
        <f>"Gain/(Loss) attributable to "&amp;M325</f>
      </c>
      <c r="C325" s="211"/>
      <c r="D325" s="211"/>
      <c r="E325" s="211"/>
      <c r="F325" s="211"/>
      <c r="G325" s="211"/>
      <c r="H325" s="544">
        <f>H320-H322</f>
      </c>
      <c r="I325" s="211"/>
      <c r="J325" s="593"/>
      <c r="K325" s="211"/>
      <c r="M325" s="28" t="str">
        <f>IF(M291=2,"partner","shareholder")</f>
      </c>
    </row>
    <row r="326" spans="1:32" ht="12" customHeight="1" x14ac:dyDescent="0.2">
      <c r="A326" s="593"/>
      <c r="B326" s="593"/>
      <c r="C326" s="593"/>
      <c r="D326" s="593"/>
      <c r="E326" s="593"/>
      <c r="F326" s="593"/>
      <c r="G326" s="593"/>
      <c r="H326" s="593"/>
      <c r="I326" s="593"/>
      <c r="J326" s="593"/>
      <c r="K326" s="211"/>
    </row>
    <row r="327" spans="1:32" ht="12.75" customHeight="1" x14ac:dyDescent="0.2">
      <c r="A327" s="593"/>
      <c r="B327" s="1780" t="s">
        <v>8221</v>
      </c>
      <c r="C327" s="1"/>
      <c r="D327" s="1"/>
      <c r="E327" s="2194"/>
      <c r="F327" s="2150" t="str">
        <f>IF(AND(B291=$AA$2,E327=""),re,"")</f>
        <v/>
      </c>
      <c r="G327" s="1"/>
      <c r="H327" s="1"/>
      <c r="I327" s="1"/>
      <c r="J327" s="1"/>
      <c r="K327" s="1"/>
      <c r="L327" s="2583">
        <f>IF(F327="",0,1)</f>
      </c>
    </row>
    <row r="328" spans="1:32" ht="12.75" customHeight="1" x14ac:dyDescent="0.2">
      <c r="A328" s="593"/>
      <c r="B328" s="1780" t="s">
        <v>8222</v>
      </c>
      <c r="C328" s="1"/>
      <c r="D328" s="1"/>
      <c r="E328" s="4655"/>
      <c r="F328" s="4656"/>
      <c r="G328" s="4657"/>
      <c r="H328" s="2150" t="str">
        <f>IF(AND(B291=$AA$2,E328=""),re,"")</f>
        <v/>
      </c>
      <c r="I328" s="1"/>
      <c r="J328" s="1"/>
      <c r="K328" s="1"/>
      <c r="L328" s="2583">
        <f>IF(H328="",0,1)</f>
      </c>
    </row>
    <row r="329" spans="1:32" ht="12.75" customHeight="1" x14ac:dyDescent="0.2">
      <c r="A329" s="593"/>
      <c r="B329" s="1780" t="str">
        <f>IF(OR(E328="",E327=""),"Taxable portion","Taxable portion is equal to "&amp;VLOOKUP(E328,AA329:AB333,2,FALSE)*100&amp;" % of the gain")</f>
      </c>
      <c r="C329" s="1"/>
      <c r="D329" s="595" t="str">
        <f>IF(ISERROR(B329)=TRUE,"Check!","")</f>
        <v/>
      </c>
      <c r="E329" s="1"/>
      <c r="F329" s="1"/>
      <c r="G329" s="1"/>
      <c r="H329" s="925">
        <f>IF(E328="",0,IF(B291&lt;&gt;$AA$2,0,ROUND(H325*AA339,0)))</f>
      </c>
      <c r="I329" s="2587" t="s">
        <v>8230</v>
      </c>
      <c r="J329" s="1"/>
      <c r="K329" s="1"/>
      <c r="L329" s="28">
        <f>IF(D329="",0,1)</f>
      </c>
      <c r="AA329" t="str">
        <f>IF(E327="","","Less than 10%")</f>
        <v/>
      </c>
      <c r="AB329" s="2589" t="str">
        <f>IF(E327="","",AD329)</f>
        <v/>
      </c>
      <c r="AC329" t="s">
        <v>8223</v>
      </c>
      <c r="AD329" s="2174">
        <v>1</v>
      </c>
    </row>
    <row r="330" spans="1:32" ht="12.75" customHeight="1" x14ac:dyDescent="0.2">
      <c r="A330" s="593"/>
      <c r="B330" s="1780" t="s">
        <v>8229</v>
      </c>
      <c r="C330" s="1"/>
      <c r="D330" s="1"/>
      <c r="E330" s="1"/>
      <c r="F330" s="1"/>
      <c r="G330" s="1"/>
      <c r="H330" s="925">
        <f>IF(E328="",0,IF(B291&lt;&gt;$AA$2,0,H325-H329))</f>
      </c>
      <c r="I330" s="2587" t="str">
        <f>IF(F295="yes","TRA116","TRA 18")</f>
      </c>
      <c r="J330" s="1"/>
      <c r="K330" s="1"/>
      <c r="O330" s="2583" t="s">
        <v>313</v>
      </c>
      <c r="P330" s="2590">
        <f>H330</f>
      </c>
      <c r="AA330" s="28" t="str">
        <f>IF(E327="","",IF(E327=y,AC330,AE330))</f>
        <v/>
      </c>
      <c r="AB330" s="2589" t="str">
        <f>IF(E327="","",IF(E327=y,AD330,AF330))</f>
        <v/>
      </c>
      <c r="AC330" t="s">
        <v>8224</v>
      </c>
      <c r="AD330" s="2174">
        <v>0.75</v>
      </c>
      <c r="AE330" t="s">
        <v>8228</v>
      </c>
      <c r="AF330" s="2174">
        <v>0</v>
      </c>
    </row>
    <row r="331" spans="1:32" ht="6.75" customHeight="1" x14ac:dyDescent="0.2">
      <c r="A331" s="3"/>
      <c r="B331" s="603"/>
      <c r="C331" s="603"/>
      <c r="D331" s="603"/>
      <c r="E331" s="603"/>
      <c r="F331" s="603"/>
      <c r="G331" s="86"/>
      <c r="H331" s="86"/>
      <c r="I331" s="86"/>
      <c r="J331" s="593"/>
      <c r="K331" s="3"/>
      <c r="AA331" s="28" t="str">
        <f>IF(E327=y,AC331,"")</f>
        <v/>
      </c>
      <c r="AB331" s="2589" t="str">
        <f>IF(E327=y,AD331,"")</f>
        <v/>
      </c>
      <c r="AC331" t="s">
        <v>8225</v>
      </c>
      <c r="AD331" s="2174">
        <v>0.5</v>
      </c>
    </row>
    <row r="332" spans="1:32" ht="15" x14ac:dyDescent="0.2">
      <c r="A332" s="3"/>
      <c r="B332" s="604" t="s">
        <v>5493</v>
      </c>
      <c r="C332" s="604"/>
      <c r="D332" s="604"/>
      <c r="E332" s="604"/>
      <c r="F332" s="605" t="s">
        <v>9125</v>
      </c>
      <c r="G332" s="605" t="str">
        <f>ip</f>
      </c>
      <c r="H332" s="605" t="s">
        <v>363</v>
      </c>
      <c r="I332" s="605" t="s">
        <v>2372</v>
      </c>
      <c r="J332" s="593"/>
      <c r="K332" s="3"/>
      <c r="AA332" s="28" t="str">
        <f>IF(E327=y,AC332,"")</f>
        <v/>
      </c>
      <c r="AB332" s="2589" t="str">
        <f>IF(E327=y,AD332,"")</f>
        <v/>
      </c>
      <c r="AC332" t="s">
        <v>8226</v>
      </c>
      <c r="AD332" s="2174">
        <v>0.25</v>
      </c>
    </row>
    <row r="333" spans="1:32" ht="15" x14ac:dyDescent="0.2">
      <c r="A333" s="3"/>
      <c r="B333" s="3"/>
      <c r="C333" s="3"/>
      <c r="D333" s="3"/>
      <c r="E333" s="3"/>
      <c r="F333" s="590" t="str">
        <f>IF($F318=F332,T333,"")</f>
        <v/>
      </c>
      <c r="G333" s="590" t="str">
        <f>IF($F318=ip,T333,"")</f>
        <v/>
      </c>
      <c r="H333" s="590" t="str">
        <f>IF($F318=mt,T333,"")</f>
        <v/>
      </c>
      <c r="I333" s="590" t="str">
        <f>IF($F318=fi,T333,"")</f>
        <v/>
      </c>
      <c r="J333" s="593"/>
      <c r="K333" s="3"/>
      <c r="S333" s="606"/>
      <c r="T333" s="2588">
        <f>IF(E328="",H325,IF(B291=$AA$2,H329,H325))</f>
      </c>
      <c r="AA333" s="28" t="str">
        <f>IF(E327=y,AC333,"")</f>
        <v/>
      </c>
      <c r="AB333" s="2589" t="str">
        <f>IF(E327=y,AD333,"")</f>
        <v/>
      </c>
      <c r="AC333" t="s">
        <v>8227</v>
      </c>
      <c r="AD333" s="2174">
        <v>0</v>
      </c>
    </row>
    <row r="334" spans="1:32" ht="15" x14ac:dyDescent="0.2">
      <c r="A334" s="3"/>
      <c r="B334" s="86" t="str">
        <f>_xlfn.SINGLE(MTCA)</f>
      </c>
      <c r="C334" s="86"/>
      <c r="D334" s="86"/>
      <c r="E334" s="86" t="str">
        <f>ver</f>
        <v>TA2_e-CO_2025_Ver 1.1</v>
      </c>
      <c r="F334" s="86"/>
      <c r="G334" s="86"/>
      <c r="H334" s="86"/>
      <c r="I334" s="607" t="s">
        <v>9876</v>
      </c>
      <c r="J334" s="593"/>
      <c r="K334" s="3"/>
    </row>
    <row r="335" spans="1:32" ht="12.75" customHeight="1" x14ac:dyDescent="0.2">
      <c r="A335" s="3"/>
      <c r="B335" s="608"/>
      <c r="C335" s="609"/>
      <c r="D335" s="609"/>
      <c r="E335" s="609"/>
      <c r="F335" s="609"/>
      <c r="G335" s="609"/>
      <c r="H335" s="609"/>
      <c r="I335" s="609"/>
      <c r="J335" s="593"/>
      <c r="K335" s="609"/>
      <c r="S335" s="84">
        <f>S333+S285+S237</f>
      </c>
    </row>
    <row r="336" spans="1:32" ht="12.75" customHeight="1" x14ac:dyDescent="0.2">
      <c r="A336" s="3"/>
      <c r="B336" s="237"/>
      <c r="C336" s="3"/>
      <c r="D336" s="3"/>
      <c r="E336" s="610" t="s">
        <v>4456</v>
      </c>
      <c r="F336" s="331"/>
      <c r="G336" s="1276" t="str">
        <f>IF(AND(R324&gt;0,F336=""),re,"")</f>
        <v/>
      </c>
      <c r="H336" s="3"/>
      <c r="I336" s="3"/>
      <c r="J336" s="593"/>
      <c r="K336" s="3"/>
      <c r="L336" s="28">
        <f>IF(G336="",0,1)</f>
      </c>
      <c r="N336" s="28">
        <f>IF(F336=n,1,0)</f>
      </c>
    </row>
    <row r="337" spans="1:30" ht="12.75" customHeight="1" x14ac:dyDescent="0.2">
      <c r="A337" s="3"/>
      <c r="B337" s="65" t="str">
        <f>_ref1</f>
      </c>
      <c r="C337" s="65"/>
      <c r="D337" s="65"/>
      <c r="E337" s="65"/>
      <c r="F337" s="65"/>
      <c r="G337" s="65"/>
      <c r="H337" s="65"/>
      <c r="I337" s="64" t="str">
        <f>_YA1</f>
      </c>
      <c r="J337" s="593"/>
      <c r="K337" s="1"/>
    </row>
    <row r="338" spans="1:30" ht="3.75" customHeight="1" x14ac:dyDescent="0.2">
      <c r="A338" s="3"/>
      <c r="B338" s="3"/>
      <c r="C338" s="3"/>
      <c r="D338" s="3"/>
      <c r="E338" s="3"/>
      <c r="F338" s="3"/>
      <c r="G338" s="3"/>
      <c r="H338" s="3"/>
      <c r="I338" s="3"/>
      <c r="J338" s="593"/>
      <c r="K338" s="3"/>
    </row>
    <row r="339" spans="1:30" ht="16.149999999999999" customHeight="1" x14ac:dyDescent="0.2">
      <c r="A339" s="748">
        <v>8</v>
      </c>
      <c r="B339" s="4658"/>
      <c r="C339" s="4659"/>
      <c r="D339" s="4659"/>
      <c r="E339" s="4659"/>
      <c r="F339" s="4659"/>
      <c r="G339" s="4659"/>
      <c r="H339" s="4659"/>
      <c r="I339" s="4660"/>
      <c r="J339" s="1276" t="str">
        <f>IF(R372=0,"",IF(B339="",re,""))</f>
        <v/>
      </c>
      <c r="K339" s="593"/>
      <c r="L339" s="28">
        <f>IF(J339="",0,1)</f>
      </c>
      <c r="M339" s="28">
        <f>IF($B339=$AA$3,1,IF($B339=$AA$4,2,0))</f>
      </c>
      <c r="U339" s="28" t="s">
        <v>2372</v>
      </c>
      <c r="AA339" s="28">
        <f>IFERROR(VLOOKUP(E328,AA329:AB333,2,FALSE),0)</f>
      </c>
      <c r="AC339" t="s">
        <v>8228</v>
      </c>
      <c r="AD339" s="150">
        <v>0</v>
      </c>
    </row>
    <row r="340" spans="1:30" ht="7.5" customHeight="1" x14ac:dyDescent="0.2">
      <c r="A340" s="2"/>
      <c r="B340" s="593"/>
      <c r="C340" s="593"/>
      <c r="D340" s="593"/>
      <c r="E340" s="593"/>
      <c r="F340" s="593"/>
      <c r="G340" s="593"/>
      <c r="H340" s="593"/>
      <c r="I340" s="593"/>
      <c r="J340" s="593"/>
      <c r="K340" s="593"/>
    </row>
    <row r="341" spans="1:30" ht="15" x14ac:dyDescent="0.2">
      <c r="A341" s="2"/>
      <c r="B341" s="3574" t="s">
        <v>9961</v>
      </c>
      <c r="C341" s="593"/>
      <c r="D341" s="593"/>
      <c r="E341" s="4653"/>
      <c r="F341" s="4654"/>
      <c r="G341" s="595" t="str">
        <f>IF(R372=0,"",IF(AND($Q$1="n",E341&lt;&gt;""),"Not fiscal unit - Pg 2 Q30",IF(AND($Q$1="y",ISBLANK(E341)),"Required !","")))</f>
        <v/>
      </c>
      <c r="H341" s="593"/>
      <c r="I341" s="593"/>
      <c r="J341" s="593"/>
      <c r="K341" s="593"/>
      <c r="L341" s="28">
        <f>IF(G341="",0,1)</f>
      </c>
    </row>
    <row r="342" spans="1:30" ht="5.25" customHeight="1" x14ac:dyDescent="0.2">
      <c r="A342" s="2"/>
      <c r="B342" s="3574"/>
      <c r="C342" s="593"/>
      <c r="D342" s="593"/>
      <c r="E342" s="593"/>
      <c r="F342" s="593"/>
      <c r="G342" s="595"/>
      <c r="H342" s="593"/>
      <c r="I342" s="593"/>
      <c r="J342" s="593"/>
      <c r="K342" s="593"/>
    </row>
    <row r="343" spans="1:30" ht="15" customHeight="1" x14ac:dyDescent="0.2">
      <c r="A343" s="2"/>
      <c r="B343" s="2221" t="s">
        <v>10035</v>
      </c>
      <c r="C343" s="3619"/>
      <c r="D343" s="3619"/>
      <c r="E343" s="3619"/>
      <c r="F343" s="569"/>
      <c r="G343" s="3620" t="str">
        <f>IF(R372=0,"",IF(ISBLANK(F343),"Required!",IF(AND($T$1="n",F343="yes"),"Check Pg2 Q32!","")))</f>
        <v/>
      </c>
      <c r="H343" s="593"/>
      <c r="I343" s="593"/>
      <c r="J343" s="1"/>
      <c r="K343" s="593"/>
      <c r="L343" s="28">
        <f>IF(G343="",0,1)</f>
      </c>
    </row>
    <row r="344" spans="1:30" ht="15" customHeight="1" x14ac:dyDescent="0.2">
      <c r="A344" s="2"/>
      <c r="B344" s="229" t="s">
        <v>10036</v>
      </c>
      <c r="C344" s="2221"/>
      <c r="D344" s="2221"/>
      <c r="E344" s="2221"/>
      <c r="F344" s="242"/>
      <c r="G344" s="595"/>
      <c r="H344" s="593"/>
      <c r="I344" s="593"/>
      <c r="J344" s="1"/>
      <c r="K344" s="593"/>
    </row>
    <row r="345" spans="1:30" ht="15" hidden="1" x14ac:dyDescent="0.2">
      <c r="A345" s="2"/>
      <c r="B345" s="3574"/>
      <c r="C345" s="593"/>
      <c r="D345" s="593"/>
      <c r="E345" s="593"/>
      <c r="F345" s="593"/>
      <c r="G345" s="595"/>
      <c r="H345" s="593"/>
      <c r="I345" s="593"/>
      <c r="J345" s="593"/>
      <c r="K345" s="593"/>
    </row>
    <row r="346" spans="1:30" ht="15" hidden="1" x14ac:dyDescent="0.2">
      <c r="A346" s="2"/>
      <c r="B346" s="3574"/>
      <c r="C346" s="593"/>
      <c r="D346" s="593"/>
      <c r="E346" s="593"/>
      <c r="F346" s="593"/>
      <c r="G346" s="595"/>
      <c r="H346" s="593"/>
      <c r="I346" s="593"/>
      <c r="J346" s="593"/>
      <c r="K346" s="593"/>
    </row>
    <row r="347" spans="1:30" ht="15" hidden="1" x14ac:dyDescent="0.2">
      <c r="A347" s="2"/>
      <c r="B347" s="3574"/>
      <c r="C347" s="593"/>
      <c r="D347" s="593"/>
      <c r="E347" s="593"/>
      <c r="F347" s="593"/>
      <c r="G347" s="595"/>
      <c r="H347" s="593"/>
      <c r="I347" s="593"/>
      <c r="J347" s="593"/>
      <c r="K347" s="593"/>
    </row>
    <row r="348" spans="1:30" ht="15" hidden="1" x14ac:dyDescent="0.2">
      <c r="A348" s="2"/>
      <c r="B348" s="3574"/>
      <c r="C348" s="593"/>
      <c r="D348" s="593"/>
      <c r="E348" s="593"/>
      <c r="F348" s="593"/>
      <c r="G348" s="595"/>
      <c r="H348" s="593"/>
      <c r="I348" s="593"/>
      <c r="J348" s="593"/>
      <c r="K348" s="593"/>
    </row>
    <row r="349" spans="1:30" ht="15" hidden="1" x14ac:dyDescent="0.2">
      <c r="A349" s="2"/>
      <c r="B349" s="3574"/>
      <c r="C349" s="593"/>
      <c r="D349" s="593"/>
      <c r="E349" s="593"/>
      <c r="F349" s="593"/>
      <c r="G349" s="595"/>
      <c r="H349" s="593"/>
      <c r="I349" s="593"/>
      <c r="J349" s="593"/>
      <c r="K349" s="593"/>
    </row>
    <row r="350" spans="1:30" ht="15" hidden="1" x14ac:dyDescent="0.2">
      <c r="A350" s="2"/>
      <c r="B350" s="3574"/>
      <c r="C350" s="593"/>
      <c r="D350" s="593"/>
      <c r="E350" s="593"/>
      <c r="F350" s="593"/>
      <c r="G350" s="595"/>
      <c r="H350" s="593"/>
      <c r="I350" s="593"/>
      <c r="J350" s="593"/>
      <c r="K350" s="593"/>
    </row>
    <row r="351" spans="1:30" ht="15" hidden="1" x14ac:dyDescent="0.2">
      <c r="A351" s="2"/>
      <c r="B351" s="3574"/>
      <c r="C351" s="593"/>
      <c r="D351" s="593"/>
      <c r="E351" s="593"/>
      <c r="F351" s="593"/>
      <c r="G351" s="595"/>
      <c r="H351" s="593"/>
      <c r="I351" s="593"/>
      <c r="J351" s="593"/>
      <c r="K351" s="593"/>
    </row>
    <row r="352" spans="1:30" ht="15" hidden="1" x14ac:dyDescent="0.2">
      <c r="A352" s="2"/>
      <c r="B352" s="3574"/>
      <c r="C352" s="593"/>
      <c r="D352" s="593"/>
      <c r="E352" s="593"/>
      <c r="F352" s="593"/>
      <c r="G352" s="595"/>
      <c r="H352" s="593"/>
      <c r="I352" s="593"/>
      <c r="J352" s="593"/>
      <c r="K352" s="593"/>
    </row>
    <row r="353" spans="1:21" ht="15" hidden="1" x14ac:dyDescent="0.2">
      <c r="A353" s="2"/>
      <c r="B353" s="3574"/>
      <c r="C353" s="593"/>
      <c r="D353" s="593"/>
      <c r="E353" s="593"/>
      <c r="F353" s="593"/>
      <c r="G353" s="595"/>
      <c r="H353" s="593"/>
      <c r="I353" s="593"/>
      <c r="J353" s="593"/>
      <c r="K353" s="593"/>
    </row>
    <row r="354" spans="1:21" ht="15" hidden="1" x14ac:dyDescent="0.2">
      <c r="A354" s="2"/>
      <c r="B354" s="3574"/>
      <c r="C354" s="593"/>
      <c r="D354" s="593"/>
      <c r="E354" s="593"/>
      <c r="F354" s="593"/>
      <c r="G354" s="595"/>
      <c r="H354" s="593"/>
      <c r="I354" s="593"/>
      <c r="J354" s="593"/>
      <c r="K354" s="593"/>
    </row>
    <row r="355" spans="1:21" ht="7.5" customHeight="1" x14ac:dyDescent="0.2">
      <c r="A355" s="2"/>
      <c r="B355" s="593"/>
      <c r="C355" s="593"/>
      <c r="D355" s="593"/>
      <c r="E355" s="593"/>
      <c r="F355" s="593"/>
      <c r="G355" s="593"/>
      <c r="H355" s="593"/>
      <c r="I355" s="593"/>
      <c r="J355" s="593"/>
      <c r="K355" s="593"/>
    </row>
    <row r="356" spans="1:21" ht="15" x14ac:dyDescent="0.2">
      <c r="A356" s="3"/>
      <c r="B356" s="358" t="str">
        <f>IF(O356=1,"Name of "&amp;M356&amp;" deemed to be transferred","Name of "&amp;M356&amp;" being transferred")</f>
      </c>
      <c r="C356" s="358"/>
      <c r="D356" s="594" t="str">
        <f>IF(R372=0,"",IF(ISBLANK(E356),"Required !",""))</f>
        <v/>
      </c>
      <c r="E356" s="4317"/>
      <c r="F356" s="4318"/>
      <c r="G356" s="4318"/>
      <c r="H356" s="4318"/>
      <c r="I356" s="4319"/>
      <c r="J356" s="593"/>
      <c r="K356" s="593"/>
      <c r="L356" s="28">
        <f>IF(D356="",0,1)</f>
      </c>
      <c r="M356" s="28" t="str">
        <f>IF(M339=2,"Partnership","Company")</f>
      </c>
      <c r="O356" s="142">
        <f>IF(AND(F343="yes",$T$1="y"),1,0)</f>
      </c>
    </row>
    <row r="357" spans="1:21" ht="5.25" customHeight="1" x14ac:dyDescent="0.2">
      <c r="A357" s="3"/>
      <c r="B357" s="358"/>
      <c r="C357" s="358"/>
      <c r="D357" s="358"/>
      <c r="E357" s="8"/>
      <c r="F357" s="8"/>
      <c r="G357" s="8"/>
      <c r="H357" s="8"/>
      <c r="I357" s="8"/>
      <c r="J357" s="593"/>
      <c r="K357" s="593"/>
    </row>
    <row r="358" spans="1:21" ht="15" x14ac:dyDescent="0.2">
      <c r="A358" s="3"/>
      <c r="B358" s="4661" t="s">
        <v>2242</v>
      </c>
      <c r="C358" s="4661"/>
      <c r="D358" s="4661"/>
      <c r="E358" s="4662"/>
      <c r="F358" s="4302"/>
      <c r="G358" s="4304"/>
      <c r="H358" s="595" t="str">
        <f>IF(R372=0,"",IF(ISBLANK(F358),"Required !",""))</f>
        <v/>
      </c>
      <c r="I358" s="8"/>
      <c r="J358" s="593"/>
      <c r="K358" s="593"/>
      <c r="L358" s="28">
        <f>IF(H358="",0,1)</f>
      </c>
      <c r="U358" s="67"/>
    </row>
    <row r="359" spans="1:21" ht="5.25" customHeight="1" x14ac:dyDescent="0.2">
      <c r="A359" s="3"/>
      <c r="B359" s="358"/>
      <c r="C359" s="358"/>
      <c r="D359" s="358"/>
      <c r="E359" s="3"/>
      <c r="F359" s="3"/>
      <c r="G359" s="3"/>
      <c r="H359" s="3"/>
      <c r="I359" s="3"/>
      <c r="J359" s="593"/>
      <c r="K359" s="3"/>
      <c r="U359" s="62"/>
    </row>
    <row r="360" spans="1:21" ht="15" x14ac:dyDescent="0.2">
      <c r="A360" s="3"/>
      <c r="B360" s="603" t="str">
        <f>IF(M339=2,"Percentage of interest transferred","Number of Securities transferred")</f>
      </c>
      <c r="C360" s="596"/>
      <c r="D360" s="596"/>
      <c r="E360" s="1275" t="str">
        <f>IF(M339=2,"% ","")</f>
        <v/>
      </c>
      <c r="F360" s="597"/>
      <c r="G360" s="595" t="str">
        <f>IF(R372=0,"",IF(ISBLANK(F360),"Required !",""))</f>
        <v/>
      </c>
      <c r="H360" s="86"/>
      <c r="I360" s="86"/>
      <c r="J360" s="593"/>
      <c r="K360" s="3"/>
      <c r="L360" s="28">
        <f>IF(G360="",0,1)</f>
      </c>
      <c r="U360" s="62"/>
    </row>
    <row r="361" spans="1:21" ht="5.25" customHeight="1" x14ac:dyDescent="0.2">
      <c r="A361" s="3"/>
      <c r="B361" s="598"/>
      <c r="C361" s="598"/>
      <c r="D361" s="598"/>
      <c r="E361" s="86"/>
      <c r="F361" s="86"/>
      <c r="G361" s="86"/>
      <c r="H361" s="86"/>
      <c r="I361" s="86"/>
      <c r="J361" s="593"/>
      <c r="K361" s="3"/>
    </row>
    <row r="362" spans="1:21" ht="15" x14ac:dyDescent="0.2">
      <c r="A362" s="3"/>
      <c r="B362" s="596" t="s">
        <v>6276</v>
      </c>
      <c r="C362" s="596"/>
      <c r="D362" s="596"/>
      <c r="E362" s="596"/>
      <c r="F362" s="575"/>
      <c r="G362" s="595" t="str">
        <f>IF(R372=0,"",IF(ISBLANK(F362),"Required !",""))</f>
        <v/>
      </c>
      <c r="H362" s="86"/>
      <c r="I362" s="86"/>
      <c r="J362" s="593"/>
      <c r="K362" s="3"/>
      <c r="L362" s="28">
        <f>IF(G362="",0,1)</f>
      </c>
      <c r="S362" s="74">
        <f>DATE(ya-2,1,2)</f>
      </c>
      <c r="T362" s="74">
        <f>DATE(ya-1,12,31)</f>
      </c>
    </row>
    <row r="363" spans="1:21" ht="4.5" customHeight="1" x14ac:dyDescent="0.2">
      <c r="A363" s="3"/>
      <c r="B363" s="598"/>
      <c r="C363" s="598"/>
      <c r="D363" s="598"/>
      <c r="E363" s="86"/>
      <c r="F363" s="86"/>
      <c r="G363" s="86"/>
      <c r="H363" s="86"/>
      <c r="I363" s="86"/>
      <c r="J363" s="593"/>
      <c r="K363" s="3"/>
    </row>
    <row r="364" spans="1:21" ht="15" x14ac:dyDescent="0.2">
      <c r="A364" s="3"/>
      <c r="B364" s="596" t="str">
        <f>IF(M339=2,"","Is it a transfer of a controlling interest?")</f>
      </c>
      <c r="C364" s="596"/>
      <c r="D364" s="596"/>
      <c r="E364" s="599" t="s">
        <v>1020</v>
      </c>
      <c r="F364" s="2194"/>
      <c r="G364" s="595" t="str">
        <f>IF(R372=0,"",IF(M339&lt;&gt;1,"",IF(ISBLANK(F364),"Required !","")))</f>
        <v/>
      </c>
      <c r="H364" s="600"/>
      <c r="I364" s="86"/>
      <c r="J364" s="593"/>
      <c r="K364" s="3"/>
      <c r="L364" s="28">
        <f>IF(G364="",0,1)</f>
      </c>
      <c r="S364" s="74">
        <v>38359</v>
      </c>
    </row>
    <row r="365" spans="1:21" ht="6.75" customHeight="1" x14ac:dyDescent="0.2">
      <c r="A365" s="3"/>
      <c r="B365" s="598"/>
      <c r="C365" s="598"/>
      <c r="D365" s="598"/>
      <c r="E365" s="86"/>
      <c r="F365" s="86"/>
      <c r="G365" s="86"/>
      <c r="H365" s="86"/>
      <c r="I365" s="86"/>
      <c r="J365" s="593"/>
      <c r="K365" s="3"/>
    </row>
    <row r="366" spans="1:21" ht="15" x14ac:dyDescent="0.2">
      <c r="A366" s="3"/>
      <c r="B366" s="4663" t="str">
        <f>IF(B339=$AA$2,$AA$29,$AA$28)</f>
        <v xml:space="preserve">Allocated to &gt;   </v>
      </c>
      <c r="C366" s="4663"/>
      <c r="D366" s="4663"/>
      <c r="E366" s="4664"/>
      <c r="F366" s="601"/>
      <c r="G366" s="595" t="str">
        <f>IF(R372=0,"",IF(ISBLANK(F366),"Choose A/c !",""))</f>
        <v/>
      </c>
      <c r="H366" s="86"/>
      <c r="I366" s="86"/>
      <c r="J366" s="593"/>
      <c r="K366" s="3"/>
      <c r="L366" s="28">
        <f>IF(G366="",0,1)</f>
      </c>
    </row>
    <row r="367" spans="1:21" ht="6.75" customHeight="1" x14ac:dyDescent="0.2">
      <c r="A367" s="3"/>
      <c r="B367" s="86"/>
      <c r="C367" s="86"/>
      <c r="D367" s="86"/>
      <c r="E367" s="86"/>
      <c r="F367" s="86"/>
      <c r="G367" s="86"/>
      <c r="H367" s="86"/>
      <c r="I367" s="86"/>
      <c r="J367" s="593"/>
      <c r="K367" s="3"/>
    </row>
    <row r="368" spans="1:21" ht="15" x14ac:dyDescent="0.2">
      <c r="A368" s="3"/>
      <c r="B368" s="8" t="str">
        <f>"Consideration / Market value of "&amp;M368&amp;" transferred"</f>
      </c>
      <c r="C368" s="598"/>
      <c r="D368" s="598"/>
      <c r="E368" s="86"/>
      <c r="F368" s="86"/>
      <c r="G368" s="86"/>
      <c r="H368" s="510"/>
      <c r="I368" s="595" t="str">
        <f>IF(R372=0,"",IF(ISBLANK(H368),"Required !",""))</f>
        <v/>
      </c>
      <c r="J368" s="593"/>
      <c r="K368" s="3"/>
      <c r="L368" s="28">
        <f>IF(I368="",0,1)</f>
      </c>
      <c r="M368" s="28" t="str">
        <f>IF(M339=2,"interest","shares")</f>
      </c>
    </row>
    <row r="369" spans="1:32" ht="3.75" customHeight="1" x14ac:dyDescent="0.2">
      <c r="A369" s="3"/>
      <c r="B369" s="596"/>
      <c r="C369" s="596"/>
      <c r="D369" s="596"/>
      <c r="E369" s="596"/>
      <c r="F369" s="596"/>
      <c r="G369" s="596"/>
      <c r="H369" s="86"/>
      <c r="I369" s="86"/>
      <c r="J369" s="593"/>
      <c r="K369" s="3"/>
    </row>
    <row r="370" spans="1:32" ht="15" x14ac:dyDescent="0.2">
      <c r="A370" s="3"/>
      <c r="B370" s="8" t="str">
        <f>"Cost of acquistion of "&amp;M368&amp;" transferred "</f>
        <v xml:space="preserve">Cost of acquistion of shares transferred </v>
      </c>
      <c r="C370" s="596"/>
      <c r="D370" s="596"/>
      <c r="E370" s="596"/>
      <c r="F370" s="596"/>
      <c r="G370" s="596"/>
      <c r="H370" s="510"/>
      <c r="I370" s="595" t="str">
        <f>IF(R372=0,"",IF(ISBLANK(H370),"Required or insert 0!",""))</f>
        <v/>
      </c>
      <c r="J370" s="593"/>
      <c r="K370" s="3"/>
      <c r="L370" s="28">
        <f>IF(I370="",0,1)</f>
      </c>
      <c r="T370" s="28" t="str">
        <f>ft</f>
      </c>
    </row>
    <row r="371" spans="1:32" ht="15" x14ac:dyDescent="0.2">
      <c r="A371" s="3"/>
      <c r="B371" s="602" t="s">
        <v>2987</v>
      </c>
      <c r="C371" s="603"/>
      <c r="D371" s="603"/>
      <c r="E371" s="603"/>
      <c r="F371" s="603"/>
      <c r="G371" s="86"/>
      <c r="H371" s="86"/>
      <c r="I371" s="86"/>
      <c r="J371" s="593"/>
      <c r="K371" s="3"/>
      <c r="R371" s="142"/>
    </row>
    <row r="372" spans="1:32" ht="15" x14ac:dyDescent="0.2">
      <c r="A372" s="3"/>
      <c r="B372" s="8"/>
      <c r="C372" s="65"/>
      <c r="D372" s="65"/>
      <c r="E372" s="65"/>
      <c r="F372" s="3"/>
      <c r="G372" s="86"/>
      <c r="H372" s="86"/>
      <c r="I372" s="595"/>
      <c r="J372" s="593"/>
      <c r="K372" s="3"/>
      <c r="R372" s="28">
        <f>COUNTA(B339,E356,F358,F360,F362,F364,F366,H368,H370,E375,E376,E341,F343)</f>
      </c>
    </row>
    <row r="373" spans="1:32" ht="15" x14ac:dyDescent="0.2">
      <c r="A373" s="211"/>
      <c r="B373" s="211" t="str">
        <f>"Gain/(Loss) attributable to "&amp;M373</f>
      </c>
      <c r="C373" s="211"/>
      <c r="D373" s="211"/>
      <c r="E373" s="211"/>
      <c r="F373" s="211"/>
      <c r="G373" s="211"/>
      <c r="H373" s="544">
        <f>H368-H370</f>
      </c>
      <c r="I373" s="211"/>
      <c r="J373" s="593"/>
      <c r="K373" s="211"/>
      <c r="M373" s="28" t="str">
        <f>IF(M339=2,"partner","shareholder")</f>
      </c>
    </row>
    <row r="374" spans="1:32" ht="12" customHeight="1" x14ac:dyDescent="0.2">
      <c r="A374" s="593"/>
      <c r="B374" s="593"/>
      <c r="C374" s="593"/>
      <c r="D374" s="593"/>
      <c r="E374" s="593"/>
      <c r="F374" s="593"/>
      <c r="G374" s="593"/>
      <c r="H374" s="593"/>
      <c r="I374" s="593"/>
      <c r="J374" s="593"/>
      <c r="K374" s="211"/>
    </row>
    <row r="375" spans="1:32" ht="12.75" customHeight="1" x14ac:dyDescent="0.2">
      <c r="A375" s="593"/>
      <c r="B375" s="1780" t="s">
        <v>8221</v>
      </c>
      <c r="C375" s="1"/>
      <c r="D375" s="1"/>
      <c r="E375" s="2194"/>
      <c r="F375" s="2150" t="str">
        <f>IF(AND(B339=$AA$2,E375=""),re,"")</f>
        <v/>
      </c>
      <c r="G375" s="1"/>
      <c r="H375" s="1"/>
      <c r="I375" s="1"/>
      <c r="J375" s="1"/>
      <c r="K375" s="1"/>
      <c r="L375" s="2583">
        <f>IF(F375="",0,1)</f>
      </c>
    </row>
    <row r="376" spans="1:32" ht="12.75" customHeight="1" x14ac:dyDescent="0.2">
      <c r="A376" s="593"/>
      <c r="B376" s="1780" t="s">
        <v>8222</v>
      </c>
      <c r="C376" s="1"/>
      <c r="D376" s="1"/>
      <c r="E376" s="4655"/>
      <c r="F376" s="4656"/>
      <c r="G376" s="4657"/>
      <c r="H376" s="2150" t="str">
        <f>IF(AND(B339=$AA$2,E376=""),re,"")</f>
        <v/>
      </c>
      <c r="I376" s="1"/>
      <c r="J376" s="1"/>
      <c r="K376" s="1"/>
      <c r="L376" s="2583">
        <f>IF(H376="",0,1)</f>
      </c>
    </row>
    <row r="377" spans="1:32" ht="12.75" customHeight="1" x14ac:dyDescent="0.2">
      <c r="A377" s="593"/>
      <c r="B377" s="1780" t="str">
        <f>IF(OR(E376="",E375=""),"Taxable portion","Taxable portion is equal to "&amp;VLOOKUP(E376,AA377:AB381,2,FALSE)*100&amp;" % of the gain")</f>
      </c>
      <c r="C377" s="1"/>
      <c r="D377" s="595" t="str">
        <f>IF(ISERROR(B377)=TRUE,"Check!","")</f>
        <v/>
      </c>
      <c r="E377" s="1"/>
      <c r="F377" s="1"/>
      <c r="G377" s="1"/>
      <c r="H377" s="925">
        <f>IF(E376="",0,IF(B339&lt;&gt;$AA$2,0,ROUND(H373*AA387,0)))</f>
      </c>
      <c r="I377" s="2587" t="s">
        <v>8230</v>
      </c>
      <c r="J377" s="1"/>
      <c r="K377" s="1"/>
      <c r="L377" s="28">
        <f>IF(D377="",0,1)</f>
      </c>
      <c r="AA377" t="str">
        <f>IF(E375="","","Less than 10%")</f>
        <v/>
      </c>
      <c r="AB377" s="2589" t="str">
        <f>IF(E375="","",AD377)</f>
        <v/>
      </c>
      <c r="AC377" t="s">
        <v>8223</v>
      </c>
      <c r="AD377" s="2174">
        <v>1</v>
      </c>
    </row>
    <row r="378" spans="1:32" ht="12.75" customHeight="1" x14ac:dyDescent="0.2">
      <c r="A378" s="593"/>
      <c r="B378" s="1780" t="s">
        <v>8229</v>
      </c>
      <c r="C378" s="1"/>
      <c r="D378" s="1"/>
      <c r="E378" s="1"/>
      <c r="F378" s="1"/>
      <c r="G378" s="1"/>
      <c r="H378" s="925">
        <f>IF(E376="",0,IF(B339&lt;&gt;$AA$2,0,H373-H377))</f>
      </c>
      <c r="I378" s="2587" t="str">
        <f>IF(F343="yes","TRA116","TRA 18")</f>
      </c>
      <c r="J378" s="1"/>
      <c r="K378" s="1"/>
      <c r="O378" s="2583" t="s">
        <v>313</v>
      </c>
      <c r="P378" s="2590">
        <f>H378</f>
      </c>
      <c r="AA378" s="28" t="str">
        <f>IF(E375="","",IF(E375=y,AC378,AE378))</f>
        <v/>
      </c>
      <c r="AB378" s="2589" t="str">
        <f>IF(E375="","",IF(E375=y,AD378,AF378))</f>
        <v/>
      </c>
      <c r="AC378" t="s">
        <v>8224</v>
      </c>
      <c r="AD378" s="2174">
        <v>0.75</v>
      </c>
      <c r="AE378" t="s">
        <v>8228</v>
      </c>
      <c r="AF378" s="2174">
        <v>0</v>
      </c>
    </row>
    <row r="379" spans="1:32" ht="6.75" customHeight="1" x14ac:dyDescent="0.2">
      <c r="A379" s="3"/>
      <c r="B379" s="603"/>
      <c r="C379" s="603"/>
      <c r="D379" s="603"/>
      <c r="E379" s="603"/>
      <c r="F379" s="603"/>
      <c r="G379" s="86"/>
      <c r="H379" s="86"/>
      <c r="I379" s="86"/>
      <c r="J379" s="593"/>
      <c r="K379" s="3"/>
      <c r="AA379" s="28" t="str">
        <f>IF(E375=y,AC379,"")</f>
        <v/>
      </c>
      <c r="AB379" s="2589" t="str">
        <f>IF(E375=y,AD379,"")</f>
        <v/>
      </c>
      <c r="AC379" t="s">
        <v>8225</v>
      </c>
      <c r="AD379" s="2174">
        <v>0.5</v>
      </c>
    </row>
    <row r="380" spans="1:32" ht="15" x14ac:dyDescent="0.2">
      <c r="A380" s="3"/>
      <c r="B380" s="604" t="s">
        <v>5493</v>
      </c>
      <c r="C380" s="604"/>
      <c r="D380" s="604"/>
      <c r="E380" s="604"/>
      <c r="F380" s="605" t="s">
        <v>9125</v>
      </c>
      <c r="G380" s="605" t="str">
        <f>ip</f>
      </c>
      <c r="H380" s="605" t="s">
        <v>363</v>
      </c>
      <c r="I380" s="605" t="s">
        <v>2372</v>
      </c>
      <c r="J380" s="593"/>
      <c r="K380" s="3"/>
      <c r="AA380" s="28" t="str">
        <f>IF(E375=y,AC380,"")</f>
        <v/>
      </c>
      <c r="AB380" s="2589" t="str">
        <f>IF(E375=y,AD380,"")</f>
        <v/>
      </c>
      <c r="AC380" t="s">
        <v>8226</v>
      </c>
      <c r="AD380" s="2174">
        <v>0.25</v>
      </c>
    </row>
    <row r="381" spans="1:32" ht="15" x14ac:dyDescent="0.2">
      <c r="A381" s="3"/>
      <c r="B381" s="3"/>
      <c r="C381" s="3"/>
      <c r="D381" s="3"/>
      <c r="E381" s="3"/>
      <c r="F381" s="590" t="str">
        <f>IF($F366=F380,T381,"")</f>
        <v/>
      </c>
      <c r="G381" s="590" t="str">
        <f>IF($F366=ip,T381,"")</f>
        <v/>
      </c>
      <c r="H381" s="590" t="str">
        <f>IF($F366=mt,T381,"")</f>
        <v/>
      </c>
      <c r="I381" s="590" t="str">
        <f>IF($F366=fi,T381,"")</f>
        <v/>
      </c>
      <c r="J381" s="593"/>
      <c r="K381" s="3"/>
      <c r="S381" s="606"/>
      <c r="T381" s="2588">
        <f>IF(E376="",H373,IF(B339=$AA$2,H377,H373))</f>
      </c>
      <c r="AA381" s="28" t="str">
        <f>IF(E375=y,AC381,"")</f>
        <v/>
      </c>
      <c r="AB381" s="2589" t="str">
        <f>IF(E375=y,AD381,"")</f>
        <v/>
      </c>
      <c r="AC381" t="s">
        <v>8227</v>
      </c>
      <c r="AD381" s="2174">
        <v>0</v>
      </c>
    </row>
    <row r="382" spans="1:32" ht="15" x14ac:dyDescent="0.2">
      <c r="A382" s="3"/>
      <c r="B382" s="86" t="str">
        <f>_xlfn.SINGLE(MTCA)</f>
      </c>
      <c r="C382" s="86"/>
      <c r="D382" s="86"/>
      <c r="E382" s="86" t="str">
        <f>ver</f>
        <v>TA2_e-CO_2025_Ver 1.1</v>
      </c>
      <c r="F382" s="86"/>
      <c r="G382" s="86"/>
      <c r="H382" s="86"/>
      <c r="I382" s="607" t="s">
        <v>9877</v>
      </c>
      <c r="J382" s="593"/>
      <c r="K382" s="3"/>
    </row>
    <row r="383" spans="1:32" ht="12.75" customHeight="1" x14ac:dyDescent="0.2">
      <c r="A383" s="3"/>
      <c r="B383" s="608"/>
      <c r="C383" s="609"/>
      <c r="D383" s="609"/>
      <c r="E383" s="609"/>
      <c r="F383" s="609"/>
      <c r="G383" s="609"/>
      <c r="H383" s="609"/>
      <c r="I383" s="609"/>
      <c r="J383" s="593"/>
      <c r="K383" s="609"/>
      <c r="S383" s="84">
        <f>S381+S333+S285</f>
      </c>
    </row>
    <row r="384" spans="1:32" ht="12.75" customHeight="1" x14ac:dyDescent="0.2">
      <c r="A384" s="3"/>
      <c r="B384" s="237"/>
      <c r="C384" s="3"/>
      <c r="D384" s="3"/>
      <c r="E384" s="610" t="s">
        <v>4456</v>
      </c>
      <c r="F384" s="331"/>
      <c r="G384" s="1276" t="str">
        <f>IF(AND(R372&gt;0,F384=""),re,"")</f>
        <v/>
      </c>
      <c r="H384" s="3"/>
      <c r="I384" s="3"/>
      <c r="J384" s="593"/>
      <c r="K384" s="3"/>
      <c r="L384" s="28">
        <f>IF(G384="",0,1)</f>
      </c>
      <c r="N384" s="28">
        <f>IF(F384=n,1,0)</f>
      </c>
    </row>
    <row r="385" spans="1:30" ht="12.75" customHeight="1" x14ac:dyDescent="0.2">
      <c r="A385" s="3"/>
      <c r="B385" s="65" t="str">
        <f>_ref1</f>
      </c>
      <c r="C385" s="65"/>
      <c r="D385" s="65"/>
      <c r="E385" s="65"/>
      <c r="F385" s="65"/>
      <c r="G385" s="65"/>
      <c r="H385" s="65"/>
      <c r="I385" s="64" t="str">
        <f>_YA1</f>
      </c>
      <c r="J385" s="593"/>
      <c r="K385" s="1"/>
    </row>
    <row r="386" spans="1:30" ht="3.75" customHeight="1" x14ac:dyDescent="0.2">
      <c r="A386" s="3"/>
      <c r="B386" s="3"/>
      <c r="C386" s="3"/>
      <c r="D386" s="3"/>
      <c r="E386" s="3"/>
      <c r="F386" s="3"/>
      <c r="G386" s="3"/>
      <c r="H386" s="3"/>
      <c r="I386" s="3"/>
      <c r="J386" s="593"/>
      <c r="K386" s="3"/>
    </row>
    <row r="387" spans="1:30" ht="16.149999999999999" customHeight="1" x14ac:dyDescent="0.2">
      <c r="A387" s="748">
        <v>9</v>
      </c>
      <c r="B387" s="4658"/>
      <c r="C387" s="4659"/>
      <c r="D387" s="4659"/>
      <c r="E387" s="4659"/>
      <c r="F387" s="4659"/>
      <c r="G387" s="4659"/>
      <c r="H387" s="4659"/>
      <c r="I387" s="4660"/>
      <c r="J387" s="1276" t="str">
        <f>IF(R420=0,"",IF(B387="",re,""))</f>
        <v/>
      </c>
      <c r="K387" s="593"/>
      <c r="L387" s="28">
        <f>IF(J387="",0,1)</f>
      </c>
      <c r="M387" s="28">
        <f>IF($B387=$AA$3,1,IF($B387=$AA$4,2,0))</f>
      </c>
      <c r="U387" s="28" t="s">
        <v>2372</v>
      </c>
      <c r="AA387" s="28">
        <f>IFERROR(VLOOKUP(E376,AA377:AB381,2,FALSE),0)</f>
      </c>
      <c r="AC387" t="s">
        <v>8228</v>
      </c>
      <c r="AD387" s="150">
        <v>0</v>
      </c>
    </row>
    <row r="388" spans="1:30" ht="7.5" customHeight="1" x14ac:dyDescent="0.2">
      <c r="A388" s="2"/>
      <c r="B388" s="593"/>
      <c r="C388" s="593"/>
      <c r="D388" s="593"/>
      <c r="E388" s="593"/>
      <c r="F388" s="593"/>
      <c r="G388" s="593"/>
      <c r="H388" s="593"/>
      <c r="I388" s="593"/>
      <c r="J388" s="593"/>
      <c r="K388" s="593"/>
    </row>
    <row r="389" spans="1:30" ht="15" x14ac:dyDescent="0.2">
      <c r="A389" s="2"/>
      <c r="B389" s="3574" t="s">
        <v>9961</v>
      </c>
      <c r="C389" s="593"/>
      <c r="D389" s="593"/>
      <c r="E389" s="4653"/>
      <c r="F389" s="4654"/>
      <c r="G389" s="595" t="str">
        <f>IF(R420=0,"",IF(AND($Q$1="n",E389&lt;&gt;""),"Not fiscal unit - Pg 2 Q30",IF(AND($Q$1="y",ISBLANK(E389)),"Required !","")))</f>
        <v/>
      </c>
      <c r="H389" s="593"/>
      <c r="I389" s="593"/>
      <c r="J389" s="593"/>
      <c r="K389" s="593"/>
      <c r="L389" s="28">
        <f>IF(G389="",0,1)</f>
      </c>
    </row>
    <row r="390" spans="1:30" ht="6" customHeight="1" x14ac:dyDescent="0.2">
      <c r="A390" s="2"/>
      <c r="B390" s="3574"/>
      <c r="C390" s="593"/>
      <c r="D390" s="593"/>
      <c r="E390" s="593"/>
      <c r="F390" s="593"/>
      <c r="G390" s="595"/>
      <c r="H390" s="593"/>
      <c r="I390" s="593"/>
      <c r="J390" s="593"/>
      <c r="K390" s="593"/>
    </row>
    <row r="391" spans="1:30" ht="15" customHeight="1" x14ac:dyDescent="0.2">
      <c r="A391" s="2"/>
      <c r="B391" s="2221" t="s">
        <v>10035</v>
      </c>
      <c r="C391" s="3619"/>
      <c r="D391" s="3619"/>
      <c r="E391" s="3619"/>
      <c r="F391" s="569"/>
      <c r="G391" s="3620" t="str">
        <f>IF(R420=0,"",IF(ISBLANK(F391),"Required!",IF(AND($T$1="n",F391="yes"),"Check Pg2 Q32!","")))</f>
        <v/>
      </c>
      <c r="H391" s="593"/>
      <c r="I391" s="593"/>
      <c r="J391" s="1"/>
      <c r="K391" s="593"/>
      <c r="L391" s="28">
        <f>IF(G391="",0,1)</f>
      </c>
    </row>
    <row r="392" spans="1:30" ht="15" customHeight="1" x14ac:dyDescent="0.2">
      <c r="A392" s="2"/>
      <c r="B392" s="229" t="s">
        <v>10036</v>
      </c>
      <c r="C392" s="2221"/>
      <c r="D392" s="2221"/>
      <c r="E392" s="2221"/>
      <c r="F392" s="242"/>
      <c r="G392" s="595"/>
      <c r="H392" s="593"/>
      <c r="I392" s="593"/>
      <c r="J392" s="1"/>
      <c r="K392" s="593"/>
    </row>
    <row r="393" spans="1:30" ht="15" hidden="1" x14ac:dyDescent="0.2">
      <c r="A393" s="2"/>
      <c r="B393" s="3574"/>
      <c r="C393" s="593"/>
      <c r="D393" s="593"/>
      <c r="E393" s="593"/>
      <c r="F393" s="593"/>
      <c r="G393" s="595"/>
      <c r="H393" s="593"/>
      <c r="I393" s="593"/>
      <c r="J393" s="593"/>
      <c r="K393" s="593"/>
    </row>
    <row r="394" spans="1:30" ht="15" hidden="1" x14ac:dyDescent="0.2">
      <c r="A394" s="2"/>
      <c r="B394" s="3574"/>
      <c r="C394" s="593"/>
      <c r="D394" s="593"/>
      <c r="E394" s="593"/>
      <c r="F394" s="593"/>
      <c r="G394" s="595"/>
      <c r="H394" s="593"/>
      <c r="I394" s="593"/>
      <c r="J394" s="593"/>
      <c r="K394" s="593"/>
    </row>
    <row r="395" spans="1:30" ht="15" hidden="1" x14ac:dyDescent="0.2">
      <c r="A395" s="2"/>
      <c r="B395" s="3574"/>
      <c r="C395" s="593"/>
      <c r="D395" s="593"/>
      <c r="E395" s="593"/>
      <c r="F395" s="593"/>
      <c r="G395" s="595"/>
      <c r="H395" s="593"/>
      <c r="I395" s="593"/>
      <c r="J395" s="593"/>
      <c r="K395" s="593"/>
    </row>
    <row r="396" spans="1:30" ht="15" hidden="1" x14ac:dyDescent="0.2">
      <c r="A396" s="2"/>
      <c r="B396" s="3574"/>
      <c r="C396" s="593"/>
      <c r="D396" s="593"/>
      <c r="E396" s="593"/>
      <c r="F396" s="593"/>
      <c r="G396" s="595"/>
      <c r="H396" s="593"/>
      <c r="I396" s="593"/>
      <c r="J396" s="593"/>
      <c r="K396" s="593"/>
    </row>
    <row r="397" spans="1:30" ht="15" hidden="1" x14ac:dyDescent="0.2">
      <c r="A397" s="2"/>
      <c r="B397" s="3574"/>
      <c r="C397" s="593"/>
      <c r="D397" s="593"/>
      <c r="E397" s="593"/>
      <c r="F397" s="593"/>
      <c r="G397" s="595"/>
      <c r="H397" s="593"/>
      <c r="I397" s="593"/>
      <c r="J397" s="593"/>
      <c r="K397" s="593"/>
    </row>
    <row r="398" spans="1:30" ht="15" hidden="1" x14ac:dyDescent="0.2">
      <c r="A398" s="2"/>
      <c r="B398" s="3574"/>
      <c r="C398" s="593"/>
      <c r="D398" s="593"/>
      <c r="E398" s="593"/>
      <c r="F398" s="593"/>
      <c r="G398" s="595"/>
      <c r="H398" s="593"/>
      <c r="I398" s="593"/>
      <c r="J398" s="593"/>
      <c r="K398" s="593"/>
    </row>
    <row r="399" spans="1:30" ht="15" hidden="1" x14ac:dyDescent="0.2">
      <c r="A399" s="2"/>
      <c r="B399" s="3574"/>
      <c r="C399" s="593"/>
      <c r="D399" s="593"/>
      <c r="E399" s="593"/>
      <c r="F399" s="593"/>
      <c r="G399" s="595"/>
      <c r="H399" s="593"/>
      <c r="I399" s="593"/>
      <c r="J399" s="593"/>
      <c r="K399" s="593"/>
    </row>
    <row r="400" spans="1:30" ht="15" hidden="1" x14ac:dyDescent="0.2">
      <c r="A400" s="2"/>
      <c r="B400" s="3574"/>
      <c r="C400" s="593"/>
      <c r="D400" s="593"/>
      <c r="E400" s="593"/>
      <c r="F400" s="593"/>
      <c r="G400" s="595"/>
      <c r="H400" s="593"/>
      <c r="I400" s="593"/>
      <c r="J400" s="593"/>
      <c r="K400" s="593"/>
    </row>
    <row r="401" spans="1:21" ht="15" hidden="1" x14ac:dyDescent="0.2">
      <c r="A401" s="2"/>
      <c r="B401" s="3574"/>
      <c r="C401" s="593"/>
      <c r="D401" s="593"/>
      <c r="E401" s="593"/>
      <c r="F401" s="593"/>
      <c r="G401" s="595"/>
      <c r="H401" s="593"/>
      <c r="I401" s="593"/>
      <c r="J401" s="593"/>
      <c r="K401" s="593"/>
    </row>
    <row r="402" spans="1:21" ht="15" hidden="1" x14ac:dyDescent="0.2">
      <c r="A402" s="2"/>
      <c r="B402" s="3574"/>
      <c r="C402" s="593"/>
      <c r="D402" s="593"/>
      <c r="E402" s="593"/>
      <c r="F402" s="593"/>
      <c r="G402" s="595"/>
      <c r="H402" s="593"/>
      <c r="I402" s="593"/>
      <c r="J402" s="593"/>
      <c r="K402" s="593"/>
    </row>
    <row r="403" spans="1:21" ht="5.25" customHeight="1" x14ac:dyDescent="0.2">
      <c r="A403" s="2"/>
      <c r="B403" s="593"/>
      <c r="C403" s="593"/>
      <c r="D403" s="593"/>
      <c r="E403" s="593"/>
      <c r="F403" s="593"/>
      <c r="G403" s="593"/>
      <c r="H403" s="593"/>
      <c r="I403" s="593"/>
      <c r="J403" s="593"/>
      <c r="K403" s="593"/>
    </row>
    <row r="404" spans="1:21" ht="15" x14ac:dyDescent="0.2">
      <c r="A404" s="3"/>
      <c r="B404" s="358" t="str">
        <f>IF(O404=1,"Name of "&amp;M404&amp;" deemed to be transferred","Name of "&amp;M404&amp;" being transferred")</f>
      </c>
      <c r="C404" s="358"/>
      <c r="D404" s="594" t="str">
        <f>IF(R420=0,"",IF(ISBLANK(E404),"Required !",""))</f>
        <v/>
      </c>
      <c r="E404" s="4317"/>
      <c r="F404" s="4318"/>
      <c r="G404" s="4318"/>
      <c r="H404" s="4318"/>
      <c r="I404" s="4319"/>
      <c r="J404" s="593"/>
      <c r="K404" s="593"/>
      <c r="L404" s="28">
        <f>IF(D404="",0,1)</f>
      </c>
      <c r="M404" s="28" t="str">
        <f>IF(M387=2,"Partnership","Company")</f>
      </c>
      <c r="O404" s="142">
        <f>IF(AND(F391="yes",$T$1="y"),1,0)</f>
      </c>
    </row>
    <row r="405" spans="1:21" ht="5.25" customHeight="1" x14ac:dyDescent="0.2">
      <c r="A405" s="3"/>
      <c r="B405" s="358"/>
      <c r="C405" s="358"/>
      <c r="D405" s="358"/>
      <c r="E405" s="8"/>
      <c r="F405" s="8"/>
      <c r="G405" s="8"/>
      <c r="H405" s="8"/>
      <c r="I405" s="8"/>
      <c r="J405" s="593"/>
      <c r="K405" s="593"/>
    </row>
    <row r="406" spans="1:21" ht="15" x14ac:dyDescent="0.2">
      <c r="A406" s="3"/>
      <c r="B406" s="4661" t="s">
        <v>2242</v>
      </c>
      <c r="C406" s="4661"/>
      <c r="D406" s="4661"/>
      <c r="E406" s="4662"/>
      <c r="F406" s="4302"/>
      <c r="G406" s="4304"/>
      <c r="H406" s="595" t="str">
        <f>IF(R420=0,"",IF(ISBLANK(F406),"Required !",""))</f>
        <v/>
      </c>
      <c r="I406" s="8"/>
      <c r="J406" s="593"/>
      <c r="K406" s="593"/>
      <c r="L406" s="28">
        <f>IF(H406="",0,1)</f>
      </c>
      <c r="U406" s="67"/>
    </row>
    <row r="407" spans="1:21" ht="5.25" customHeight="1" x14ac:dyDescent="0.2">
      <c r="A407" s="3"/>
      <c r="B407" s="358"/>
      <c r="C407" s="358"/>
      <c r="D407" s="358"/>
      <c r="E407" s="3"/>
      <c r="F407" s="3"/>
      <c r="G407" s="3"/>
      <c r="H407" s="3"/>
      <c r="I407" s="3"/>
      <c r="J407" s="593"/>
      <c r="K407" s="3"/>
      <c r="U407" s="62"/>
    </row>
    <row r="408" spans="1:21" ht="15" x14ac:dyDescent="0.2">
      <c r="A408" s="3"/>
      <c r="B408" s="603" t="str">
        <f>IF(M387=2,"Percentage of interest transferred","Number of Securities transferred")</f>
      </c>
      <c r="C408" s="596"/>
      <c r="D408" s="596"/>
      <c r="E408" s="1275" t="str">
        <f>IF(M387=2,"% ","")</f>
        <v/>
      </c>
      <c r="F408" s="597"/>
      <c r="G408" s="595" t="str">
        <f>IF(R420=0,"",IF(ISBLANK(F408),"Required !",""))</f>
        <v/>
      </c>
      <c r="H408" s="86"/>
      <c r="I408" s="86"/>
      <c r="J408" s="593"/>
      <c r="K408" s="3"/>
      <c r="L408" s="28">
        <f>IF(G408="",0,1)</f>
      </c>
      <c r="U408" s="62"/>
    </row>
    <row r="409" spans="1:21" ht="5.25" customHeight="1" x14ac:dyDescent="0.2">
      <c r="A409" s="3"/>
      <c r="B409" s="598"/>
      <c r="C409" s="598"/>
      <c r="D409" s="598"/>
      <c r="E409" s="86"/>
      <c r="F409" s="86"/>
      <c r="G409" s="86"/>
      <c r="H409" s="86"/>
      <c r="I409" s="86"/>
      <c r="J409" s="593"/>
      <c r="K409" s="3"/>
    </row>
    <row r="410" spans="1:21" ht="15" x14ac:dyDescent="0.2">
      <c r="A410" s="3"/>
      <c r="B410" s="596" t="s">
        <v>6276</v>
      </c>
      <c r="C410" s="596"/>
      <c r="D410" s="596"/>
      <c r="E410" s="596"/>
      <c r="F410" s="575"/>
      <c r="G410" s="595" t="str">
        <f>IF(R420=0,"",IF(ISBLANK(F410),"Required !",""))</f>
        <v/>
      </c>
      <c r="H410" s="86"/>
      <c r="I410" s="86"/>
      <c r="J410" s="593"/>
      <c r="K410" s="3"/>
      <c r="L410" s="28">
        <f>IF(G410="",0,1)</f>
      </c>
      <c r="S410" s="74">
        <f>DATE(ya-2,1,2)</f>
      </c>
      <c r="T410" s="74">
        <f>DATE(ya-1,12,31)</f>
      </c>
    </row>
    <row r="411" spans="1:21" ht="4.5" customHeight="1" x14ac:dyDescent="0.2">
      <c r="A411" s="3"/>
      <c r="B411" s="598"/>
      <c r="C411" s="598"/>
      <c r="D411" s="598"/>
      <c r="E411" s="86"/>
      <c r="F411" s="86"/>
      <c r="G411" s="86"/>
      <c r="H411" s="86"/>
      <c r="I411" s="86"/>
      <c r="J411" s="593"/>
      <c r="K411" s="3"/>
    </row>
    <row r="412" spans="1:21" ht="15" x14ac:dyDescent="0.2">
      <c r="A412" s="3"/>
      <c r="B412" s="596" t="str">
        <f>IF(M387=2,"","Is it a transfer of a controlling interest?")</f>
      </c>
      <c r="C412" s="596"/>
      <c r="D412" s="596"/>
      <c r="E412" s="599" t="s">
        <v>1020</v>
      </c>
      <c r="F412" s="2194"/>
      <c r="G412" s="595" t="str">
        <f>IF(R420=0,"",IF(M387&lt;&gt;1,"",IF(ISBLANK(F412),"Required !","")))</f>
        <v/>
      </c>
      <c r="H412" s="600"/>
      <c r="I412" s="86"/>
      <c r="J412" s="593"/>
      <c r="K412" s="3"/>
      <c r="L412" s="28">
        <f>IF(G412="",0,1)</f>
      </c>
      <c r="S412" s="74">
        <v>38359</v>
      </c>
    </row>
    <row r="413" spans="1:21" ht="6.75" customHeight="1" x14ac:dyDescent="0.2">
      <c r="A413" s="3"/>
      <c r="B413" s="598"/>
      <c r="C413" s="598"/>
      <c r="D413" s="598"/>
      <c r="E413" s="86"/>
      <c r="F413" s="86"/>
      <c r="G413" s="86"/>
      <c r="H413" s="86"/>
      <c r="I413" s="86"/>
      <c r="J413" s="593"/>
      <c r="K413" s="3"/>
    </row>
    <row r="414" spans="1:21" ht="15" x14ac:dyDescent="0.2">
      <c r="A414" s="3"/>
      <c r="B414" s="4663" t="str">
        <f>IF(B387=$AA$2,$AA$29,$AA$28)</f>
        <v xml:space="preserve">Allocated to &gt;   </v>
      </c>
      <c r="C414" s="4663"/>
      <c r="D414" s="4663"/>
      <c r="E414" s="4664"/>
      <c r="F414" s="601"/>
      <c r="G414" s="595" t="str">
        <f>IF(R420=0,"",IF(ISBLANK(F414),"Choose A/c !",""))</f>
        <v/>
      </c>
      <c r="H414" s="86"/>
      <c r="I414" s="86"/>
      <c r="J414" s="593"/>
      <c r="K414" s="3"/>
      <c r="L414" s="28">
        <f>IF(G414="",0,1)</f>
      </c>
    </row>
    <row r="415" spans="1:21" ht="6.75" customHeight="1" x14ac:dyDescent="0.2">
      <c r="A415" s="3"/>
      <c r="B415" s="86"/>
      <c r="C415" s="86"/>
      <c r="D415" s="86"/>
      <c r="E415" s="86"/>
      <c r="F415" s="86"/>
      <c r="G415" s="86"/>
      <c r="H415" s="86"/>
      <c r="I415" s="86"/>
      <c r="J415" s="593"/>
      <c r="K415" s="3"/>
    </row>
    <row r="416" spans="1:21" ht="15" x14ac:dyDescent="0.2">
      <c r="A416" s="3"/>
      <c r="B416" s="8" t="str">
        <f>"Consideration / Market value of "&amp;M416&amp;" transferred"</f>
      </c>
      <c r="C416" s="598"/>
      <c r="D416" s="598"/>
      <c r="E416" s="86"/>
      <c r="F416" s="86"/>
      <c r="G416" s="86"/>
      <c r="H416" s="510"/>
      <c r="I416" s="595" t="str">
        <f>IF(R420=0,"",IF(ISBLANK(H416),"Required !",""))</f>
        <v/>
      </c>
      <c r="J416" s="593"/>
      <c r="K416" s="3"/>
      <c r="L416" s="28">
        <f>IF(I416="",0,1)</f>
      </c>
      <c r="M416" s="28" t="str">
        <f>IF(M387=2,"interest","shares")</f>
      </c>
    </row>
    <row r="417" spans="1:32" ht="3.75" customHeight="1" x14ac:dyDescent="0.2">
      <c r="A417" s="3"/>
      <c r="B417" s="596"/>
      <c r="C417" s="596"/>
      <c r="D417" s="596"/>
      <c r="E417" s="596"/>
      <c r="F417" s="596"/>
      <c r="G417" s="596"/>
      <c r="H417" s="86"/>
      <c r="I417" s="86"/>
      <c r="J417" s="593"/>
      <c r="K417" s="3"/>
    </row>
    <row r="418" spans="1:32" ht="15" x14ac:dyDescent="0.2">
      <c r="A418" s="3"/>
      <c r="B418" s="8" t="str">
        <f>"Cost of acquistion of "&amp;M416&amp;" transferred "</f>
        <v xml:space="preserve">Cost of acquistion of shares transferred </v>
      </c>
      <c r="C418" s="596"/>
      <c r="D418" s="596"/>
      <c r="E418" s="596"/>
      <c r="F418" s="596"/>
      <c r="G418" s="596"/>
      <c r="H418" s="510"/>
      <c r="I418" s="595" t="str">
        <f>IF(R420=0,"",IF(ISBLANK(H418),"Required or insert 0!",""))</f>
        <v/>
      </c>
      <c r="J418" s="593"/>
      <c r="K418" s="3"/>
      <c r="L418" s="28">
        <f>IF(I418="",0,1)</f>
      </c>
      <c r="T418" s="28" t="str">
        <f>ft</f>
      </c>
    </row>
    <row r="419" spans="1:32" ht="15" x14ac:dyDescent="0.2">
      <c r="A419" s="3"/>
      <c r="B419" s="602" t="s">
        <v>2987</v>
      </c>
      <c r="C419" s="603"/>
      <c r="D419" s="603"/>
      <c r="E419" s="603"/>
      <c r="F419" s="603"/>
      <c r="G419" s="86"/>
      <c r="H419" s="86"/>
      <c r="I419" s="86"/>
      <c r="J419" s="593"/>
      <c r="K419" s="3"/>
      <c r="R419" s="142"/>
    </row>
    <row r="420" spans="1:32" ht="15" x14ac:dyDescent="0.2">
      <c r="A420" s="3"/>
      <c r="B420" s="8"/>
      <c r="C420" s="65"/>
      <c r="D420" s="65"/>
      <c r="E420" s="65"/>
      <c r="F420" s="3"/>
      <c r="G420" s="86"/>
      <c r="H420" s="86"/>
      <c r="I420" s="595"/>
      <c r="J420" s="593"/>
      <c r="K420" s="3"/>
      <c r="R420" s="28">
        <f>COUNTA(B387,E404,F406,F408,F410,F412,F414,H416,H418,E423,E424,E389,F391)</f>
      </c>
    </row>
    <row r="421" spans="1:32" ht="15" x14ac:dyDescent="0.2">
      <c r="A421" s="211"/>
      <c r="B421" s="211" t="str">
        <f>"Gain/(Loss) attributable to "&amp;M421</f>
      </c>
      <c r="C421" s="211"/>
      <c r="D421" s="211"/>
      <c r="E421" s="211"/>
      <c r="F421" s="211"/>
      <c r="G421" s="211"/>
      <c r="H421" s="544">
        <f>H416-H418</f>
      </c>
      <c r="I421" s="211"/>
      <c r="J421" s="593"/>
      <c r="K421" s="211"/>
      <c r="M421" s="28" t="str">
        <f>IF(M387=2,"partner","shareholder")</f>
      </c>
    </row>
    <row r="422" spans="1:32" ht="12" customHeight="1" x14ac:dyDescent="0.2">
      <c r="A422" s="593"/>
      <c r="B422" s="593"/>
      <c r="C422" s="593"/>
      <c r="D422" s="593"/>
      <c r="E422" s="593"/>
      <c r="F422" s="593"/>
      <c r="G422" s="593"/>
      <c r="H422" s="593"/>
      <c r="I422" s="593"/>
      <c r="J422" s="593"/>
      <c r="K422" s="211"/>
    </row>
    <row r="423" spans="1:32" ht="12.75" customHeight="1" x14ac:dyDescent="0.2">
      <c r="A423" s="593"/>
      <c r="B423" s="1780" t="s">
        <v>8221</v>
      </c>
      <c r="C423" s="1"/>
      <c r="D423" s="1"/>
      <c r="E423" s="2194"/>
      <c r="F423" s="2150" t="str">
        <f>IF(AND(B387=$AA$2,E423=""),re,"")</f>
        <v/>
      </c>
      <c r="G423" s="1"/>
      <c r="H423" s="1"/>
      <c r="I423" s="1"/>
      <c r="J423" s="1"/>
      <c r="K423" s="1"/>
      <c r="L423" s="2583">
        <f>IF(F423="",0,1)</f>
      </c>
    </row>
    <row r="424" spans="1:32" ht="12.75" customHeight="1" x14ac:dyDescent="0.2">
      <c r="A424" s="593"/>
      <c r="B424" s="1780" t="s">
        <v>8222</v>
      </c>
      <c r="C424" s="1"/>
      <c r="D424" s="1"/>
      <c r="E424" s="4655"/>
      <c r="F424" s="4656"/>
      <c r="G424" s="4657"/>
      <c r="H424" s="2150" t="str">
        <f>IF(AND(B387=$AA$2,E424=""),re,"")</f>
        <v/>
      </c>
      <c r="I424" s="1"/>
      <c r="J424" s="1"/>
      <c r="K424" s="1"/>
      <c r="L424" s="2583">
        <f>IF(H424="",0,1)</f>
      </c>
    </row>
    <row r="425" spans="1:32" ht="12.75" customHeight="1" x14ac:dyDescent="0.2">
      <c r="A425" s="593"/>
      <c r="B425" s="1780" t="str">
        <f>IF(OR(E424="",E423=""),"Taxable portion","Taxable portion is equal to "&amp;VLOOKUP(E424,AA425:AB429,2,FALSE)*100&amp;" % of the gain")</f>
      </c>
      <c r="C425" s="1"/>
      <c r="D425" s="595" t="str">
        <f>IF(ISERROR(B425)=TRUE,"Check!","")</f>
        <v/>
      </c>
      <c r="E425" s="1"/>
      <c r="F425" s="1"/>
      <c r="G425" s="1"/>
      <c r="H425" s="925">
        <f>IF(E424="",0,IF(B387&lt;&gt;$AA$2,0,ROUND(H421*AA435,0)))</f>
      </c>
      <c r="I425" s="2587" t="s">
        <v>8230</v>
      </c>
      <c r="J425" s="1"/>
      <c r="K425" s="1"/>
      <c r="L425" s="28">
        <f>IF(D425="",0,1)</f>
      </c>
      <c r="AA425" t="str">
        <f>IF(E423="","","Less than 10%")</f>
        <v/>
      </c>
      <c r="AB425" s="2589" t="str">
        <f>IF(E423="","",AD425)</f>
        <v/>
      </c>
      <c r="AC425" t="s">
        <v>8223</v>
      </c>
      <c r="AD425" s="2174">
        <v>1</v>
      </c>
    </row>
    <row r="426" spans="1:32" ht="12.75" customHeight="1" x14ac:dyDescent="0.2">
      <c r="A426" s="593"/>
      <c r="B426" s="1780" t="s">
        <v>8229</v>
      </c>
      <c r="C426" s="1"/>
      <c r="D426" s="1"/>
      <c r="E426" s="1"/>
      <c r="F426" s="1"/>
      <c r="G426" s="1"/>
      <c r="H426" s="925">
        <f>IF(E424="",0,IF(B387&lt;&gt;$AA$2,0,H421-H425))</f>
      </c>
      <c r="I426" s="2587" t="str">
        <f>IF(F391="yes","TRA116","TRA 18")</f>
      </c>
      <c r="J426" s="1"/>
      <c r="K426" s="1"/>
      <c r="O426" s="2583" t="s">
        <v>313</v>
      </c>
      <c r="P426" s="2590">
        <f>H426</f>
      </c>
      <c r="AA426" s="28" t="str">
        <f>IF(E423="","",IF(E423=y,AC426,AE426))</f>
        <v/>
      </c>
      <c r="AB426" s="2589" t="str">
        <f>IF(E423="","",IF(E423=y,AD426,AF426))</f>
        <v/>
      </c>
      <c r="AC426" t="s">
        <v>8224</v>
      </c>
      <c r="AD426" s="2174">
        <v>0.75</v>
      </c>
      <c r="AE426" t="s">
        <v>8228</v>
      </c>
      <c r="AF426" s="2174">
        <v>0</v>
      </c>
    </row>
    <row r="427" spans="1:32" ht="6.75" customHeight="1" x14ac:dyDescent="0.2">
      <c r="A427" s="3"/>
      <c r="B427" s="603"/>
      <c r="C427" s="603"/>
      <c r="D427" s="603"/>
      <c r="E427" s="603"/>
      <c r="F427" s="603"/>
      <c r="G427" s="86"/>
      <c r="H427" s="86"/>
      <c r="I427" s="86"/>
      <c r="J427" s="593"/>
      <c r="K427" s="3"/>
      <c r="AA427" s="28" t="str">
        <f>IF(E423=y,AC427,"")</f>
        <v/>
      </c>
      <c r="AB427" s="2589" t="str">
        <f>IF(E423=y,AD427,"")</f>
        <v/>
      </c>
      <c r="AC427" t="s">
        <v>8225</v>
      </c>
      <c r="AD427" s="2174">
        <v>0.5</v>
      </c>
    </row>
    <row r="428" spans="1:32" ht="15" x14ac:dyDescent="0.2">
      <c r="A428" s="3"/>
      <c r="B428" s="604" t="s">
        <v>5493</v>
      </c>
      <c r="C428" s="604"/>
      <c r="D428" s="604"/>
      <c r="E428" s="604"/>
      <c r="F428" s="605" t="s">
        <v>9125</v>
      </c>
      <c r="G428" s="605" t="str">
        <f>ip</f>
      </c>
      <c r="H428" s="605" t="s">
        <v>363</v>
      </c>
      <c r="I428" s="605" t="s">
        <v>2372</v>
      </c>
      <c r="J428" s="593"/>
      <c r="K428" s="3"/>
      <c r="AA428" s="28" t="str">
        <f>IF(E423=y,AC428,"")</f>
        <v/>
      </c>
      <c r="AB428" s="2589" t="str">
        <f>IF(E423=y,AD428,"")</f>
        <v/>
      </c>
      <c r="AC428" t="s">
        <v>8226</v>
      </c>
      <c r="AD428" s="2174">
        <v>0.25</v>
      </c>
    </row>
    <row r="429" spans="1:32" ht="15" x14ac:dyDescent="0.2">
      <c r="A429" s="3"/>
      <c r="B429" s="3"/>
      <c r="C429" s="3"/>
      <c r="D429" s="3"/>
      <c r="E429" s="3"/>
      <c r="F429" s="590" t="str">
        <f>IF($F414=F428,T429,"")</f>
        <v/>
      </c>
      <c r="G429" s="590" t="str">
        <f>IF($F414=ip,T429,"")</f>
        <v/>
      </c>
      <c r="H429" s="590" t="str">
        <f>IF($F414=mt,T429,"")</f>
        <v/>
      </c>
      <c r="I429" s="590" t="str">
        <f>IF($F414=fi,T429,"")</f>
        <v/>
      </c>
      <c r="J429" s="593"/>
      <c r="K429" s="3"/>
      <c r="S429" s="606"/>
      <c r="T429" s="2588">
        <f>IF(E424="",H421,IF(B387=$AA$2,H425,H421))</f>
      </c>
      <c r="AA429" s="28" t="str">
        <f>IF(E423=y,AC429,"")</f>
        <v/>
      </c>
      <c r="AB429" s="2589" t="str">
        <f>IF(E423=y,AD429,"")</f>
        <v/>
      </c>
      <c r="AC429" t="s">
        <v>8227</v>
      </c>
      <c r="AD429" s="2174">
        <v>0</v>
      </c>
    </row>
    <row r="430" spans="1:32" ht="15" x14ac:dyDescent="0.2">
      <c r="A430" s="3"/>
      <c r="B430" s="86" t="str">
        <f>_xlfn.SINGLE(MTCA)</f>
      </c>
      <c r="C430" s="86"/>
      <c r="D430" s="86"/>
      <c r="E430" s="86" t="str">
        <f>ver</f>
        <v>TA2_e-CO_2025_Ver 1.1</v>
      </c>
      <c r="F430" s="86"/>
      <c r="G430" s="86"/>
      <c r="H430" s="86"/>
      <c r="I430" s="607" t="s">
        <v>9878</v>
      </c>
      <c r="J430" s="593"/>
      <c r="K430" s="3"/>
    </row>
    <row r="431" spans="1:32" ht="12.75" customHeight="1" x14ac:dyDescent="0.2">
      <c r="A431" s="3"/>
      <c r="B431" s="608"/>
      <c r="C431" s="609"/>
      <c r="D431" s="609"/>
      <c r="E431" s="609"/>
      <c r="F431" s="609"/>
      <c r="G431" s="609"/>
      <c r="H431" s="609"/>
      <c r="I431" s="609"/>
      <c r="J431" s="593"/>
      <c r="K431" s="609"/>
      <c r="S431" s="84">
        <f>S429+S381+S333</f>
      </c>
    </row>
    <row r="432" spans="1:32" ht="12.75" customHeight="1" x14ac:dyDescent="0.2">
      <c r="A432" s="3"/>
      <c r="B432" s="237"/>
      <c r="C432" s="3"/>
      <c r="D432" s="3"/>
      <c r="E432" s="610" t="s">
        <v>4456</v>
      </c>
      <c r="F432" s="331"/>
      <c r="G432" s="1276" t="str">
        <f>IF(AND(R420&gt;0,F432=""),re,"")</f>
        <v/>
      </c>
      <c r="H432" s="3"/>
      <c r="I432" s="3"/>
      <c r="J432" s="593"/>
      <c r="K432" s="3"/>
      <c r="L432" s="28">
        <f>IF(G432="",0,1)</f>
      </c>
      <c r="N432" s="28">
        <f>IF(F432=n,1,0)</f>
      </c>
    </row>
    <row r="433" spans="1:30" ht="12.75" customHeight="1" x14ac:dyDescent="0.2">
      <c r="A433" s="3"/>
      <c r="B433" s="65" t="str">
        <f>_ref1</f>
      </c>
      <c r="C433" s="65"/>
      <c r="D433" s="65"/>
      <c r="E433" s="65"/>
      <c r="F433" s="65"/>
      <c r="G433" s="65"/>
      <c r="H433" s="65"/>
      <c r="I433" s="64" t="str">
        <f>_YA1</f>
      </c>
      <c r="J433" s="593"/>
      <c r="K433" s="1"/>
    </row>
    <row r="434" spans="1:30" ht="3.75" customHeight="1" x14ac:dyDescent="0.2">
      <c r="A434" s="3"/>
      <c r="B434" s="3"/>
      <c r="C434" s="3"/>
      <c r="D434" s="3"/>
      <c r="E434" s="3"/>
      <c r="F434" s="3"/>
      <c r="G434" s="3"/>
      <c r="H434" s="3"/>
      <c r="I434" s="3"/>
      <c r="J434" s="593"/>
      <c r="K434" s="3"/>
    </row>
    <row r="435" spans="1:30" ht="16.149999999999999" customHeight="1" x14ac:dyDescent="0.2">
      <c r="A435" s="748">
        <v>10</v>
      </c>
      <c r="B435" s="4658"/>
      <c r="C435" s="4659"/>
      <c r="D435" s="4659"/>
      <c r="E435" s="4659"/>
      <c r="F435" s="4659"/>
      <c r="G435" s="4659"/>
      <c r="H435" s="4659"/>
      <c r="I435" s="4660"/>
      <c r="J435" s="1276" t="str">
        <f>IF(R468=0,"",IF(B435="",re,""))</f>
        <v/>
      </c>
      <c r="K435" s="593"/>
      <c r="L435" s="28">
        <f>IF(J435="",0,1)</f>
      </c>
      <c r="M435" s="28">
        <f>IF($B435=$AA$3,1,IF($B435=$AA$4,2,0))</f>
      </c>
      <c r="U435" s="28" t="s">
        <v>2372</v>
      </c>
      <c r="AA435" s="28">
        <f>IFERROR(VLOOKUP(E424,AA425:AB429,2,FALSE),0)</f>
      </c>
      <c r="AC435" t="s">
        <v>8228</v>
      </c>
      <c r="AD435" s="150">
        <v>0</v>
      </c>
    </row>
    <row r="436" spans="1:30" ht="7.5" customHeight="1" x14ac:dyDescent="0.2">
      <c r="A436" s="2"/>
      <c r="B436" s="593"/>
      <c r="C436" s="593"/>
      <c r="D436" s="593"/>
      <c r="E436" s="593"/>
      <c r="F436" s="593"/>
      <c r="G436" s="593"/>
      <c r="H436" s="593"/>
      <c r="I436" s="593"/>
      <c r="J436" s="593"/>
      <c r="K436" s="593"/>
    </row>
    <row r="437" spans="1:30" ht="15" x14ac:dyDescent="0.2">
      <c r="A437" s="2"/>
      <c r="B437" s="3574" t="s">
        <v>9961</v>
      </c>
      <c r="C437" s="593"/>
      <c r="D437" s="593"/>
      <c r="E437" s="4653"/>
      <c r="F437" s="4654"/>
      <c r="G437" s="595" t="str">
        <f>IF(R468=0,"",IF(AND($Q$1="n",E437&lt;&gt;""),"Not fiscal unit - Pg 2 Q30",IF(AND($Q$1="y",ISBLANK(E437)),"Required !","")))</f>
        <v/>
      </c>
      <c r="H437" s="593"/>
      <c r="I437" s="593"/>
      <c r="J437" s="593"/>
      <c r="K437" s="593"/>
      <c r="L437" s="28">
        <f>IF(G437="",0,1)</f>
      </c>
    </row>
    <row r="438" spans="1:30" ht="6.75" customHeight="1" x14ac:dyDescent="0.2">
      <c r="A438" s="2"/>
      <c r="B438" s="3574"/>
      <c r="C438" s="593"/>
      <c r="D438" s="593"/>
      <c r="E438" s="593"/>
      <c r="F438" s="593"/>
      <c r="G438" s="593"/>
      <c r="H438" s="593"/>
      <c r="I438" s="593"/>
      <c r="J438" s="593"/>
      <c r="K438" s="593"/>
    </row>
    <row r="439" spans="1:30" ht="15" customHeight="1" x14ac:dyDescent="0.2">
      <c r="A439" s="2"/>
      <c r="B439" s="2221" t="s">
        <v>10035</v>
      </c>
      <c r="C439" s="3619"/>
      <c r="D439" s="3619"/>
      <c r="E439" s="3619"/>
      <c r="F439" s="569"/>
      <c r="G439" s="3620" t="str">
        <f>IF(R468=0,"",IF(ISBLANK(F439),"Required!",IF(AND($T$1="n",F439="yes"),"Check Pg2 Q32!","")))</f>
        <v/>
      </c>
      <c r="H439" s="593"/>
      <c r="I439" s="593"/>
      <c r="J439" s="1"/>
      <c r="K439" s="593"/>
      <c r="L439" s="28">
        <f>IF(G439="",0,1)</f>
      </c>
    </row>
    <row r="440" spans="1:30" ht="15" customHeight="1" x14ac:dyDescent="0.2">
      <c r="A440" s="2"/>
      <c r="B440" s="229" t="s">
        <v>10036</v>
      </c>
      <c r="C440" s="2221"/>
      <c r="D440" s="2221"/>
      <c r="E440" s="2221"/>
      <c r="F440" s="242"/>
      <c r="G440" s="595"/>
      <c r="H440" s="593"/>
      <c r="I440" s="593"/>
      <c r="J440" s="1"/>
      <c r="K440" s="593"/>
    </row>
    <row r="441" spans="1:30" ht="15" hidden="1" x14ac:dyDescent="0.2">
      <c r="A441" s="2"/>
      <c r="B441" s="3574"/>
      <c r="C441" s="593"/>
      <c r="D441" s="593"/>
      <c r="E441" s="593"/>
      <c r="F441" s="593"/>
      <c r="G441" s="593"/>
      <c r="H441" s="593"/>
      <c r="I441" s="593"/>
      <c r="J441" s="593"/>
      <c r="K441" s="593"/>
    </row>
    <row r="442" spans="1:30" ht="15" hidden="1" x14ac:dyDescent="0.2">
      <c r="A442" s="2"/>
      <c r="B442" s="3574"/>
      <c r="C442" s="593"/>
      <c r="D442" s="593"/>
      <c r="E442" s="593"/>
      <c r="F442" s="593"/>
      <c r="G442" s="593"/>
      <c r="H442" s="593"/>
      <c r="I442" s="593"/>
      <c r="J442" s="593"/>
      <c r="K442" s="593"/>
    </row>
    <row r="443" spans="1:30" ht="15" hidden="1" x14ac:dyDescent="0.2">
      <c r="A443" s="2"/>
      <c r="B443" s="3574"/>
      <c r="C443" s="593"/>
      <c r="D443" s="593"/>
      <c r="E443" s="593"/>
      <c r="F443" s="593"/>
      <c r="G443" s="593"/>
      <c r="H443" s="593"/>
      <c r="I443" s="593"/>
      <c r="J443" s="593"/>
      <c r="K443" s="593"/>
    </row>
    <row r="444" spans="1:30" ht="15" hidden="1" x14ac:dyDescent="0.2">
      <c r="A444" s="2"/>
      <c r="B444" s="3574"/>
      <c r="C444" s="593"/>
      <c r="D444" s="593"/>
      <c r="E444" s="593"/>
      <c r="F444" s="593"/>
      <c r="G444" s="593"/>
      <c r="H444" s="593"/>
      <c r="I444" s="593"/>
      <c r="J444" s="593"/>
      <c r="K444" s="593"/>
    </row>
    <row r="445" spans="1:30" ht="15" hidden="1" x14ac:dyDescent="0.2">
      <c r="A445" s="2"/>
      <c r="B445" s="3574"/>
      <c r="C445" s="593"/>
      <c r="D445" s="593"/>
      <c r="E445" s="593"/>
      <c r="F445" s="593"/>
      <c r="G445" s="593"/>
      <c r="H445" s="593"/>
      <c r="I445" s="593"/>
      <c r="J445" s="593"/>
      <c r="K445" s="593"/>
    </row>
    <row r="446" spans="1:30" ht="15" hidden="1" x14ac:dyDescent="0.2">
      <c r="A446" s="2"/>
      <c r="B446" s="3574"/>
      <c r="C446" s="593"/>
      <c r="D446" s="593"/>
      <c r="E446" s="593"/>
      <c r="F446" s="593"/>
      <c r="G446" s="593"/>
      <c r="H446" s="593"/>
      <c r="I446" s="593"/>
      <c r="J446" s="593"/>
      <c r="K446" s="593"/>
    </row>
    <row r="447" spans="1:30" ht="15" hidden="1" x14ac:dyDescent="0.2">
      <c r="A447" s="2"/>
      <c r="B447" s="3574"/>
      <c r="C447" s="593"/>
      <c r="D447" s="593"/>
      <c r="E447" s="593"/>
      <c r="F447" s="593"/>
      <c r="G447" s="593"/>
      <c r="H447" s="593"/>
      <c r="I447" s="593"/>
      <c r="J447" s="593"/>
      <c r="K447" s="593"/>
    </row>
    <row r="448" spans="1:30" ht="15" hidden="1" x14ac:dyDescent="0.2">
      <c r="A448" s="2"/>
      <c r="B448" s="3574"/>
      <c r="C448" s="593"/>
      <c r="D448" s="593"/>
      <c r="E448" s="593"/>
      <c r="F448" s="593"/>
      <c r="G448" s="593"/>
      <c r="H448" s="593"/>
      <c r="I448" s="593"/>
      <c r="J448" s="593"/>
      <c r="K448" s="593"/>
    </row>
    <row r="449" spans="1:21" ht="15" hidden="1" x14ac:dyDescent="0.2">
      <c r="A449" s="2"/>
      <c r="B449" s="3574"/>
      <c r="C449" s="593"/>
      <c r="D449" s="593"/>
      <c r="E449" s="593"/>
      <c r="F449" s="593"/>
      <c r="G449" s="593"/>
      <c r="H449" s="593"/>
      <c r="I449" s="593"/>
      <c r="J449" s="593"/>
      <c r="K449" s="593"/>
    </row>
    <row r="450" spans="1:21" ht="15" hidden="1" x14ac:dyDescent="0.2">
      <c r="A450" s="2"/>
      <c r="B450" s="3574"/>
      <c r="C450" s="593"/>
      <c r="D450" s="593"/>
      <c r="E450" s="593"/>
      <c r="F450" s="593"/>
      <c r="G450" s="593"/>
      <c r="H450" s="593"/>
      <c r="I450" s="593"/>
      <c r="J450" s="593"/>
      <c r="K450" s="593"/>
    </row>
    <row r="451" spans="1:21" ht="7.5" customHeight="1" x14ac:dyDescent="0.2">
      <c r="A451" s="2"/>
      <c r="B451" s="593"/>
      <c r="C451" s="593"/>
      <c r="D451" s="593"/>
      <c r="E451" s="593"/>
      <c r="F451" s="593"/>
      <c r="G451" s="593"/>
      <c r="H451" s="593"/>
      <c r="I451" s="593"/>
      <c r="J451" s="593"/>
      <c r="K451" s="593"/>
    </row>
    <row r="452" spans="1:21" ht="15" x14ac:dyDescent="0.2">
      <c r="A452" s="3"/>
      <c r="B452" s="358" t="str">
        <f>IF(O452=1,"Name of "&amp;M452&amp;" deemed to be transferred","Name of "&amp;M452&amp;" being transferred")</f>
      </c>
      <c r="C452" s="358"/>
      <c r="D452" s="594" t="str">
        <f>IF(R468=0,"",IF(ISBLANK(E452),"Required !",""))</f>
        <v/>
      </c>
      <c r="E452" s="4317"/>
      <c r="F452" s="4318"/>
      <c r="G452" s="4318"/>
      <c r="H452" s="4318"/>
      <c r="I452" s="4319"/>
      <c r="J452" s="593"/>
      <c r="K452" s="593"/>
      <c r="L452" s="28">
        <f>IF(D452="",0,1)</f>
      </c>
      <c r="M452" s="28" t="str">
        <f>IF(M435=2,"Partnership","Company")</f>
      </c>
      <c r="O452" s="142">
        <f>IF(AND(F439="yes",$T$1="y"),1,0)</f>
      </c>
    </row>
    <row r="453" spans="1:21" ht="5.25" customHeight="1" x14ac:dyDescent="0.2">
      <c r="A453" s="3"/>
      <c r="B453" s="358"/>
      <c r="C453" s="358"/>
      <c r="D453" s="358"/>
      <c r="E453" s="8"/>
      <c r="F453" s="8"/>
      <c r="G453" s="8"/>
      <c r="H453" s="8"/>
      <c r="I453" s="8"/>
      <c r="J453" s="593"/>
      <c r="K453" s="593"/>
    </row>
    <row r="454" spans="1:21" ht="15" x14ac:dyDescent="0.2">
      <c r="A454" s="3"/>
      <c r="B454" s="4661" t="s">
        <v>2242</v>
      </c>
      <c r="C454" s="4661"/>
      <c r="D454" s="4661"/>
      <c r="E454" s="4662"/>
      <c r="F454" s="4302"/>
      <c r="G454" s="4304"/>
      <c r="H454" s="595" t="str">
        <f>IF(R468=0,"",IF(ISBLANK(F454),"Required !",""))</f>
        <v/>
      </c>
      <c r="I454" s="8"/>
      <c r="J454" s="593"/>
      <c r="K454" s="593"/>
      <c r="L454" s="28">
        <f>IF(H454="",0,1)</f>
      </c>
      <c r="U454" s="67"/>
    </row>
    <row r="455" spans="1:21" ht="5.25" customHeight="1" x14ac:dyDescent="0.2">
      <c r="A455" s="3"/>
      <c r="B455" s="358"/>
      <c r="C455" s="358"/>
      <c r="D455" s="358"/>
      <c r="E455" s="3"/>
      <c r="F455" s="3"/>
      <c r="G455" s="3"/>
      <c r="H455" s="3"/>
      <c r="I455" s="3"/>
      <c r="J455" s="593"/>
      <c r="K455" s="3"/>
      <c r="U455" s="62"/>
    </row>
    <row r="456" spans="1:21" ht="15" x14ac:dyDescent="0.2">
      <c r="A456" s="3"/>
      <c r="B456" s="603" t="str">
        <f>IF(M435=2,"Percentage of interest transferred","Number of Securities transferred")</f>
      </c>
      <c r="C456" s="596"/>
      <c r="D456" s="596"/>
      <c r="E456" s="1275" t="str">
        <f>IF(M435=2,"% ","")</f>
        <v/>
      </c>
      <c r="F456" s="597"/>
      <c r="G456" s="595" t="str">
        <f>IF(R468=0,"",IF(ISBLANK(F456),"Required !",""))</f>
        <v/>
      </c>
      <c r="H456" s="86"/>
      <c r="I456" s="86"/>
      <c r="J456" s="593"/>
      <c r="K456" s="3"/>
      <c r="L456" s="28">
        <f>IF(G456="",0,1)</f>
      </c>
      <c r="U456" s="62"/>
    </row>
    <row r="457" spans="1:21" ht="5.25" customHeight="1" x14ac:dyDescent="0.2">
      <c r="A457" s="3"/>
      <c r="B457" s="598"/>
      <c r="C457" s="598"/>
      <c r="D457" s="598"/>
      <c r="E457" s="86"/>
      <c r="F457" s="86"/>
      <c r="G457" s="86"/>
      <c r="H457" s="86"/>
      <c r="I457" s="86"/>
      <c r="J457" s="593"/>
      <c r="K457" s="3"/>
    </row>
    <row r="458" spans="1:21" ht="15" x14ac:dyDescent="0.2">
      <c r="A458" s="3"/>
      <c r="B458" s="596" t="s">
        <v>6276</v>
      </c>
      <c r="C458" s="596"/>
      <c r="D458" s="596"/>
      <c r="E458" s="596"/>
      <c r="F458" s="575"/>
      <c r="G458" s="595" t="str">
        <f>IF(R468=0,"",IF(ISBLANK(F458),"Required !",""))</f>
        <v/>
      </c>
      <c r="H458" s="86"/>
      <c r="I458" s="86"/>
      <c r="J458" s="593"/>
      <c r="K458" s="3"/>
      <c r="L458" s="28">
        <f>IF(G458="",0,1)</f>
      </c>
      <c r="S458" s="74">
        <f>DATE(ya-2,1,2)</f>
      </c>
      <c r="T458" s="74">
        <f>DATE(ya-1,12,31)</f>
      </c>
    </row>
    <row r="459" spans="1:21" ht="4.5" customHeight="1" x14ac:dyDescent="0.2">
      <c r="A459" s="3"/>
      <c r="B459" s="598"/>
      <c r="C459" s="598"/>
      <c r="D459" s="598"/>
      <c r="E459" s="86"/>
      <c r="F459" s="86"/>
      <c r="G459" s="86"/>
      <c r="H459" s="86"/>
      <c r="I459" s="86"/>
      <c r="J459" s="593"/>
      <c r="K459" s="3"/>
    </row>
    <row r="460" spans="1:21" ht="15" x14ac:dyDescent="0.2">
      <c r="A460" s="3"/>
      <c r="B460" s="596" t="str">
        <f>IF(M435=2,"","Is it a transfer of a controlling interest?")</f>
      </c>
      <c r="C460" s="596"/>
      <c r="D460" s="596"/>
      <c r="E460" s="599" t="s">
        <v>1020</v>
      </c>
      <c r="F460" s="2194"/>
      <c r="G460" s="595" t="str">
        <f>IF(R468=0,"",IF(M435&lt;&gt;1,"",IF(ISBLANK(F460),"Required !","")))</f>
        <v/>
      </c>
      <c r="H460" s="600"/>
      <c r="I460" s="86"/>
      <c r="J460" s="593"/>
      <c r="K460" s="3"/>
      <c r="L460" s="28">
        <f>IF(G460="",0,1)</f>
      </c>
      <c r="S460" s="74">
        <v>38359</v>
      </c>
    </row>
    <row r="461" spans="1:21" ht="6.75" customHeight="1" x14ac:dyDescent="0.2">
      <c r="A461" s="3"/>
      <c r="B461" s="598"/>
      <c r="C461" s="598"/>
      <c r="D461" s="598"/>
      <c r="E461" s="86"/>
      <c r="F461" s="86"/>
      <c r="G461" s="86"/>
      <c r="H461" s="86"/>
      <c r="I461" s="86"/>
      <c r="J461" s="593"/>
      <c r="K461" s="3"/>
    </row>
    <row r="462" spans="1:21" ht="15" x14ac:dyDescent="0.2">
      <c r="A462" s="3"/>
      <c r="B462" s="4663" t="str">
        <f>IF(B435=$AA$2,$AA$29,$AA$28)</f>
        <v xml:space="preserve">Allocated to &gt;   </v>
      </c>
      <c r="C462" s="4663"/>
      <c r="D462" s="4663"/>
      <c r="E462" s="4664"/>
      <c r="F462" s="601"/>
      <c r="G462" s="595" t="str">
        <f>IF(R468=0,"",IF(ISBLANK(F462),"Choose A/c !",""))</f>
        <v/>
      </c>
      <c r="H462" s="86"/>
      <c r="I462" s="86"/>
      <c r="J462" s="593"/>
      <c r="K462" s="3"/>
      <c r="L462" s="28">
        <f>IF(G462="",0,1)</f>
      </c>
    </row>
    <row r="463" spans="1:21" ht="6.75" customHeight="1" x14ac:dyDescent="0.2">
      <c r="A463" s="3"/>
      <c r="B463" s="86"/>
      <c r="C463" s="86"/>
      <c r="D463" s="86"/>
      <c r="E463" s="86"/>
      <c r="F463" s="86"/>
      <c r="G463" s="86"/>
      <c r="H463" s="86"/>
      <c r="I463" s="86"/>
      <c r="J463" s="593"/>
      <c r="K463" s="3"/>
    </row>
    <row r="464" spans="1:21" ht="15" x14ac:dyDescent="0.2">
      <c r="A464" s="3"/>
      <c r="B464" s="8" t="str">
        <f>"Consideration / Market value of "&amp;M464&amp;" transferred"</f>
      </c>
      <c r="C464" s="598"/>
      <c r="D464" s="598"/>
      <c r="E464" s="86"/>
      <c r="F464" s="86"/>
      <c r="G464" s="86"/>
      <c r="H464" s="510"/>
      <c r="I464" s="595" t="str">
        <f>IF(R468=0,"",IF(ISBLANK(H464),"Required !",""))</f>
        <v/>
      </c>
      <c r="J464" s="593"/>
      <c r="K464" s="3"/>
      <c r="L464" s="28">
        <f>IF(I464="",0,1)</f>
      </c>
      <c r="M464" s="28" t="str">
        <f>IF(M435=2,"interest","shares")</f>
      </c>
    </row>
    <row r="465" spans="1:32" ht="3.75" customHeight="1" x14ac:dyDescent="0.2">
      <c r="A465" s="3"/>
      <c r="B465" s="596"/>
      <c r="C465" s="596"/>
      <c r="D465" s="596"/>
      <c r="E465" s="596"/>
      <c r="F465" s="596"/>
      <c r="G465" s="596"/>
      <c r="H465" s="86"/>
      <c r="I465" s="86"/>
      <c r="J465" s="593"/>
      <c r="K465" s="3"/>
    </row>
    <row r="466" spans="1:32" ht="15" x14ac:dyDescent="0.2">
      <c r="A466" s="3"/>
      <c r="B466" s="8" t="str">
        <f>"Cost of acquistion of "&amp;M464&amp;" transferred "</f>
        <v xml:space="preserve">Cost of acquistion of shares transferred </v>
      </c>
      <c r="C466" s="596"/>
      <c r="D466" s="596"/>
      <c r="E466" s="596"/>
      <c r="F466" s="596"/>
      <c r="G466" s="596"/>
      <c r="H466" s="510"/>
      <c r="I466" s="595" t="str">
        <f>IF(R468=0,"",IF(ISBLANK(H466),"Required or insert 0!",""))</f>
        <v/>
      </c>
      <c r="J466" s="593"/>
      <c r="K466" s="3"/>
      <c r="L466" s="28">
        <f>IF(I466="",0,1)</f>
      </c>
      <c r="T466" s="28" t="str">
        <f>ft</f>
      </c>
    </row>
    <row r="467" spans="1:32" ht="15" x14ac:dyDescent="0.2">
      <c r="A467" s="3"/>
      <c r="B467" s="602" t="s">
        <v>2987</v>
      </c>
      <c r="C467" s="603"/>
      <c r="D467" s="603"/>
      <c r="E467" s="603"/>
      <c r="F467" s="603"/>
      <c r="G467" s="86"/>
      <c r="H467" s="86"/>
      <c r="I467" s="86"/>
      <c r="J467" s="593"/>
      <c r="K467" s="3"/>
      <c r="R467" s="142"/>
    </row>
    <row r="468" spans="1:32" ht="15" x14ac:dyDescent="0.2">
      <c r="A468" s="3"/>
      <c r="B468" s="8"/>
      <c r="C468" s="65"/>
      <c r="D468" s="65"/>
      <c r="E468" s="65"/>
      <c r="F468" s="3"/>
      <c r="G468" s="86"/>
      <c r="H468" s="86"/>
      <c r="I468" s="595"/>
      <c r="J468" s="593"/>
      <c r="K468" s="3"/>
      <c r="R468" s="28">
        <f>COUNTA(B435,E452,F454,F456,F458,F460,F462,H464,H466,E471,E472,E437,F439)</f>
      </c>
    </row>
    <row r="469" spans="1:32" ht="15" x14ac:dyDescent="0.2">
      <c r="A469" s="211"/>
      <c r="B469" s="211" t="str">
        <f>"Gain/(Loss) attributable to "&amp;M469</f>
      </c>
      <c r="C469" s="211"/>
      <c r="D469" s="211"/>
      <c r="E469" s="211"/>
      <c r="F469" s="211"/>
      <c r="G469" s="211"/>
      <c r="H469" s="544">
        <f>H464-H466</f>
      </c>
      <c r="I469" s="211"/>
      <c r="J469" s="593"/>
      <c r="K469" s="211"/>
      <c r="M469" s="28" t="str">
        <f>IF(M435=2,"partner","shareholder")</f>
      </c>
    </row>
    <row r="470" spans="1:32" ht="12" customHeight="1" x14ac:dyDescent="0.2">
      <c r="A470" s="593"/>
      <c r="B470" s="593"/>
      <c r="C470" s="593"/>
      <c r="D470" s="593"/>
      <c r="E470" s="593"/>
      <c r="F470" s="593"/>
      <c r="G470" s="593"/>
      <c r="H470" s="593"/>
      <c r="I470" s="593"/>
      <c r="J470" s="593"/>
      <c r="K470" s="211"/>
    </row>
    <row r="471" spans="1:32" ht="12.75" customHeight="1" x14ac:dyDescent="0.2">
      <c r="A471" s="593"/>
      <c r="B471" s="1780" t="s">
        <v>8221</v>
      </c>
      <c r="C471" s="1"/>
      <c r="D471" s="1"/>
      <c r="E471" s="2194"/>
      <c r="F471" s="2150" t="str">
        <f>IF(AND(B435=$AA$2,E471=""),re,"")</f>
        <v/>
      </c>
      <c r="G471" s="1"/>
      <c r="H471" s="1"/>
      <c r="I471" s="1"/>
      <c r="J471" s="1"/>
      <c r="K471" s="1"/>
      <c r="L471" s="2583">
        <f>IF(F471="",0,1)</f>
      </c>
    </row>
    <row r="472" spans="1:32" ht="12.75" customHeight="1" x14ac:dyDescent="0.2">
      <c r="A472" s="593"/>
      <c r="B472" s="1780" t="s">
        <v>8222</v>
      </c>
      <c r="C472" s="1"/>
      <c r="D472" s="1"/>
      <c r="E472" s="4655"/>
      <c r="F472" s="4656"/>
      <c r="G472" s="4657"/>
      <c r="H472" s="2150" t="str">
        <f>IF(AND(B435=$AA$2,E472=""),re,"")</f>
        <v/>
      </c>
      <c r="I472" s="1"/>
      <c r="J472" s="1"/>
      <c r="K472" s="1"/>
      <c r="L472" s="2583">
        <f>IF(H472="",0,1)</f>
      </c>
    </row>
    <row r="473" spans="1:32" ht="12.75" customHeight="1" x14ac:dyDescent="0.2">
      <c r="A473" s="593"/>
      <c r="B473" s="1780" t="str">
        <f>IF(OR(E472="",E471=""),"Taxable portion","Taxable portion is equal to "&amp;VLOOKUP(E472,AA473:AB477,2,FALSE)*100&amp;" % of the gain")</f>
      </c>
      <c r="C473" s="1"/>
      <c r="D473" s="595" t="str">
        <f>IF(ISERROR(B473)=TRUE,"Check!","")</f>
        <v/>
      </c>
      <c r="E473" s="1"/>
      <c r="F473" s="1"/>
      <c r="G473" s="1"/>
      <c r="H473" s="925">
        <f>IF(E472="",0,IF(B435&lt;&gt;$AA$2,0,ROUND(H469*AA483,0)))</f>
      </c>
      <c r="I473" s="2587" t="s">
        <v>8230</v>
      </c>
      <c r="J473" s="1"/>
      <c r="K473" s="1"/>
      <c r="L473" s="28">
        <f>IF(D473="",0,1)</f>
      </c>
      <c r="AA473" t="str">
        <f>IF(E471="","","Less than 10%")</f>
        <v/>
      </c>
      <c r="AB473" s="2589" t="str">
        <f>IF(E471="","",AD473)</f>
        <v/>
      </c>
      <c r="AC473" t="s">
        <v>8223</v>
      </c>
      <c r="AD473" s="2174">
        <v>1</v>
      </c>
    </row>
    <row r="474" spans="1:32" ht="12.75" customHeight="1" x14ac:dyDescent="0.2">
      <c r="A474" s="593"/>
      <c r="B474" s="1780" t="s">
        <v>8229</v>
      </c>
      <c r="C474" s="1"/>
      <c r="D474" s="1"/>
      <c r="E474" s="1"/>
      <c r="F474" s="1"/>
      <c r="G474" s="1"/>
      <c r="H474" s="925">
        <f>IF(E472="",0,IF(B435&lt;&gt;$AA$2,0,H469-H473))</f>
      </c>
      <c r="I474" s="2587" t="str">
        <f>IF(F439="yes","TRA116","TRA 18")</f>
      </c>
      <c r="J474" s="1"/>
      <c r="K474" s="1"/>
      <c r="O474" s="2583" t="s">
        <v>313</v>
      </c>
      <c r="P474" s="2590">
        <f>H474</f>
      </c>
      <c r="AA474" s="28" t="str">
        <f>IF(E471="","",IF(E471=y,AC474,AE474))</f>
        <v/>
      </c>
      <c r="AB474" s="2589" t="str">
        <f>IF(E471="","",IF(E471=y,AD474,AF474))</f>
        <v/>
      </c>
      <c r="AC474" t="s">
        <v>8224</v>
      </c>
      <c r="AD474" s="2174">
        <v>0.75</v>
      </c>
      <c r="AE474" t="s">
        <v>8228</v>
      </c>
      <c r="AF474" s="2174">
        <v>0</v>
      </c>
    </row>
    <row r="475" spans="1:32" ht="6.75" customHeight="1" x14ac:dyDescent="0.2">
      <c r="A475" s="3"/>
      <c r="B475" s="603"/>
      <c r="C475" s="603"/>
      <c r="D475" s="603"/>
      <c r="E475" s="603"/>
      <c r="F475" s="603"/>
      <c r="G475" s="86"/>
      <c r="H475" s="86"/>
      <c r="I475" s="86"/>
      <c r="J475" s="593"/>
      <c r="K475" s="3"/>
      <c r="AA475" s="28" t="str">
        <f>IF(E471=y,AC475,"")</f>
        <v/>
      </c>
      <c r="AB475" s="2589" t="str">
        <f>IF(E471=y,AD475,"")</f>
        <v/>
      </c>
      <c r="AC475" t="s">
        <v>8225</v>
      </c>
      <c r="AD475" s="2174">
        <v>0.5</v>
      </c>
    </row>
    <row r="476" spans="1:32" ht="15" x14ac:dyDescent="0.2">
      <c r="A476" s="3"/>
      <c r="B476" s="604" t="s">
        <v>5493</v>
      </c>
      <c r="C476" s="604"/>
      <c r="D476" s="604"/>
      <c r="E476" s="604"/>
      <c r="F476" s="605" t="s">
        <v>9125</v>
      </c>
      <c r="G476" s="605" t="str">
        <f>ip</f>
      </c>
      <c r="H476" s="605" t="s">
        <v>363</v>
      </c>
      <c r="I476" s="605" t="s">
        <v>2372</v>
      </c>
      <c r="J476" s="593"/>
      <c r="K476" s="3"/>
      <c r="AA476" s="28" t="str">
        <f>IF(E471=y,AC476,"")</f>
        <v/>
      </c>
      <c r="AB476" s="2589" t="str">
        <f>IF(E471=y,AD476,"")</f>
        <v/>
      </c>
      <c r="AC476" t="s">
        <v>8226</v>
      </c>
      <c r="AD476" s="2174">
        <v>0.25</v>
      </c>
    </row>
    <row r="477" spans="1:32" ht="15" x14ac:dyDescent="0.2">
      <c r="A477" s="3"/>
      <c r="B477" s="3"/>
      <c r="C477" s="3"/>
      <c r="D477" s="3"/>
      <c r="E477" s="3"/>
      <c r="F477" s="590" t="str">
        <f>IF($F462=F476,T477,"")</f>
        <v/>
      </c>
      <c r="G477" s="590" t="str">
        <f>IF($F462=ip,T477,"")</f>
        <v/>
      </c>
      <c r="H477" s="590" t="str">
        <f>IF($F462=mt,T477,"")</f>
        <v/>
      </c>
      <c r="I477" s="590" t="str">
        <f>IF($F462=fi,T477,"")</f>
        <v/>
      </c>
      <c r="J477" s="593"/>
      <c r="K477" s="3"/>
      <c r="S477" s="606"/>
      <c r="T477" s="2588">
        <f>IF(E472="",H469,IF(B435=$AA$2,H473,H469))</f>
      </c>
      <c r="AA477" s="28" t="str">
        <f>IF(E471=y,AC477,"")</f>
        <v/>
      </c>
      <c r="AB477" s="2589" t="str">
        <f>IF(E471=y,AD477,"")</f>
        <v/>
      </c>
      <c r="AC477" t="s">
        <v>8227</v>
      </c>
      <c r="AD477" s="2174">
        <v>0</v>
      </c>
    </row>
    <row r="478" spans="1:32" ht="15" x14ac:dyDescent="0.2">
      <c r="A478" s="3"/>
      <c r="B478" s="86" t="str">
        <f>_xlfn.SINGLE(MTCA)</f>
      </c>
      <c r="C478" s="86"/>
      <c r="D478" s="86"/>
      <c r="E478" s="86" t="str">
        <f>ver</f>
        <v>TA2_e-CO_2025_Ver 1.1</v>
      </c>
      <c r="F478" s="86"/>
      <c r="G478" s="86"/>
      <c r="H478" s="86"/>
      <c r="I478" s="607" t="s">
        <v>9879</v>
      </c>
      <c r="J478" s="593"/>
      <c r="K478" s="3"/>
    </row>
    <row r="479" spans="1:32" ht="12.75" customHeight="1" x14ac:dyDescent="0.2">
      <c r="A479" s="3"/>
      <c r="B479" s="608"/>
      <c r="C479" s="609"/>
      <c r="D479" s="609"/>
      <c r="E479" s="609"/>
      <c r="F479" s="609"/>
      <c r="G479" s="609"/>
      <c r="H479" s="609"/>
      <c r="I479" s="609"/>
      <c r="J479" s="593"/>
      <c r="K479" s="609"/>
      <c r="S479" s="84">
        <f>S477+S429+S381</f>
      </c>
    </row>
    <row r="480" spans="1:32" ht="12.75" customHeight="1" x14ac:dyDescent="0.2">
      <c r="A480" s="3"/>
      <c r="B480" s="237"/>
      <c r="C480" s="3"/>
      <c r="D480" s="3"/>
      <c r="E480" s="610" t="s">
        <v>4456</v>
      </c>
      <c r="F480" s="331"/>
      <c r="G480" s="1276" t="str">
        <f>IF(AND(R468&gt;0,F480=""),re,"")</f>
        <v/>
      </c>
      <c r="H480" s="3"/>
      <c r="I480" s="3"/>
      <c r="J480" s="593"/>
      <c r="K480" s="3"/>
      <c r="L480" s="28">
        <f>IF(G480="",0,1)</f>
      </c>
      <c r="N480" s="28">
        <f>IF(F480=n,1,0)</f>
      </c>
    </row>
    <row r="481" spans="1:30" ht="12.75" customHeight="1" x14ac:dyDescent="0.2">
      <c r="A481" s="3"/>
      <c r="B481" s="65" t="str">
        <f>_ref1</f>
      </c>
      <c r="C481" s="65"/>
      <c r="D481" s="65"/>
      <c r="E481" s="65"/>
      <c r="F481" s="65"/>
      <c r="G481" s="65"/>
      <c r="H481" s="65"/>
      <c r="I481" s="64" t="str">
        <f>_YA1</f>
      </c>
      <c r="J481" s="593"/>
      <c r="K481" s="1"/>
    </row>
    <row r="482" spans="1:30" ht="3.75" customHeight="1" x14ac:dyDescent="0.2">
      <c r="A482" s="3"/>
      <c r="B482" s="3"/>
      <c r="C482" s="3"/>
      <c r="D482" s="3"/>
      <c r="E482" s="3"/>
      <c r="F482" s="3"/>
      <c r="G482" s="3"/>
      <c r="H482" s="3"/>
      <c r="I482" s="3"/>
      <c r="J482" s="593"/>
      <c r="K482" s="3"/>
    </row>
    <row r="483" spans="1:30" ht="16.149999999999999" customHeight="1" x14ac:dyDescent="0.2">
      <c r="A483" s="748">
        <v>11</v>
      </c>
      <c r="B483" s="4658"/>
      <c r="C483" s="4659"/>
      <c r="D483" s="4659"/>
      <c r="E483" s="4659"/>
      <c r="F483" s="4659"/>
      <c r="G483" s="4659"/>
      <c r="H483" s="4659"/>
      <c r="I483" s="4660"/>
      <c r="J483" s="1276" t="str">
        <f>IF(R516=0,"",IF(B483="",re,""))</f>
        <v/>
      </c>
      <c r="K483" s="593"/>
      <c r="L483" s="28">
        <f>IF(J483="",0,1)</f>
      </c>
      <c r="M483" s="28">
        <f>IF($B483=$AA$3,1,IF($B483=$AA$4,2,0))</f>
      </c>
      <c r="U483" s="28" t="s">
        <v>2372</v>
      </c>
      <c r="AA483" s="28">
        <f>IFERROR(VLOOKUP(E472,AA473:AB477,2,FALSE),0)</f>
      </c>
      <c r="AC483" t="s">
        <v>8228</v>
      </c>
      <c r="AD483" s="150">
        <v>0</v>
      </c>
    </row>
    <row r="484" spans="1:30" ht="7.5" customHeight="1" x14ac:dyDescent="0.2">
      <c r="A484" s="2"/>
      <c r="B484" s="593"/>
      <c r="C484" s="593"/>
      <c r="D484" s="593"/>
      <c r="E484" s="593"/>
      <c r="F484" s="593"/>
      <c r="G484" s="593"/>
      <c r="H484" s="593"/>
      <c r="I484" s="593"/>
      <c r="J484" s="593"/>
      <c r="K484" s="593"/>
    </row>
    <row r="485" spans="1:30" ht="15" x14ac:dyDescent="0.2">
      <c r="A485" s="2"/>
      <c r="B485" s="3574" t="s">
        <v>9961</v>
      </c>
      <c r="C485" s="593"/>
      <c r="D485" s="593"/>
      <c r="E485" s="4653"/>
      <c r="F485" s="4654"/>
      <c r="G485" s="595" t="str">
        <f>IF(R516=0,"",IF(AND($Q$1="n",E485&lt;&gt;""),"Not fiscal unit - Pg 2 Q30",IF(AND($Q$1="y",ISBLANK(E485)),"Required !","")))</f>
        <v/>
      </c>
      <c r="H485" s="593"/>
      <c r="I485" s="593"/>
      <c r="J485" s="593"/>
      <c r="K485" s="593"/>
      <c r="L485" s="28">
        <f>IF(G485="",0,1)</f>
      </c>
    </row>
    <row r="486" spans="1:30" ht="5.25" customHeight="1" x14ac:dyDescent="0.2">
      <c r="A486" s="2"/>
      <c r="B486" s="3574"/>
      <c r="C486" s="593"/>
      <c r="D486" s="593"/>
      <c r="E486" s="593"/>
      <c r="F486" s="593"/>
      <c r="G486" s="595"/>
      <c r="H486" s="593"/>
      <c r="I486" s="593"/>
      <c r="J486" s="593"/>
      <c r="K486" s="593"/>
    </row>
    <row r="487" spans="1:30" ht="15" customHeight="1" x14ac:dyDescent="0.2">
      <c r="A487" s="2"/>
      <c r="B487" s="2221" t="s">
        <v>10035</v>
      </c>
      <c r="C487" s="3619"/>
      <c r="D487" s="3619"/>
      <c r="E487" s="3619"/>
      <c r="F487" s="569"/>
      <c r="G487" s="3620" t="str">
        <f>IF(R516=0,"",IF(ISBLANK(F487),"Required!",IF(AND($T$1="n",F487="yes"),"Check Pg2 Q32!","")))</f>
        <v/>
      </c>
      <c r="H487" s="593"/>
      <c r="I487" s="593"/>
      <c r="J487" s="1"/>
      <c r="K487" s="593"/>
      <c r="L487" s="28">
        <f>IF(G487="",0,1)</f>
      </c>
    </row>
    <row r="488" spans="1:30" ht="15" customHeight="1" x14ac:dyDescent="0.2">
      <c r="A488" s="2"/>
      <c r="B488" s="229" t="s">
        <v>10036</v>
      </c>
      <c r="C488" s="2221"/>
      <c r="D488" s="2221"/>
      <c r="E488" s="2221"/>
      <c r="F488" s="242"/>
      <c r="G488" s="595"/>
      <c r="H488" s="593"/>
      <c r="I488" s="593"/>
      <c r="J488" s="1"/>
      <c r="K488" s="593"/>
    </row>
    <row r="489" spans="1:30" ht="15" hidden="1" x14ac:dyDescent="0.2">
      <c r="A489" s="2"/>
      <c r="B489" s="3574"/>
      <c r="C489" s="593"/>
      <c r="D489" s="593"/>
      <c r="E489" s="593"/>
      <c r="F489" s="593"/>
      <c r="G489" s="595"/>
      <c r="H489" s="593"/>
      <c r="I489" s="593"/>
      <c r="J489" s="593"/>
      <c r="K489" s="593"/>
    </row>
    <row r="490" spans="1:30" ht="15" hidden="1" x14ac:dyDescent="0.2">
      <c r="A490" s="2"/>
      <c r="B490" s="3574"/>
      <c r="C490" s="593"/>
      <c r="D490" s="593"/>
      <c r="E490" s="593"/>
      <c r="F490" s="593"/>
      <c r="G490" s="595"/>
      <c r="H490" s="593"/>
      <c r="I490" s="593"/>
      <c r="J490" s="593"/>
      <c r="K490" s="593"/>
    </row>
    <row r="491" spans="1:30" ht="15" hidden="1" x14ac:dyDescent="0.2">
      <c r="A491" s="2"/>
      <c r="B491" s="3574"/>
      <c r="C491" s="593"/>
      <c r="D491" s="593"/>
      <c r="E491" s="593"/>
      <c r="F491" s="593"/>
      <c r="G491" s="595"/>
      <c r="H491" s="593"/>
      <c r="I491" s="593"/>
      <c r="J491" s="593"/>
      <c r="K491" s="593"/>
    </row>
    <row r="492" spans="1:30" ht="15" hidden="1" x14ac:dyDescent="0.2">
      <c r="A492" s="2"/>
      <c r="B492" s="3574"/>
      <c r="C492" s="593"/>
      <c r="D492" s="593"/>
      <c r="E492" s="593"/>
      <c r="F492" s="593"/>
      <c r="G492" s="595"/>
      <c r="H492" s="593"/>
      <c r="I492" s="593"/>
      <c r="J492" s="593"/>
      <c r="K492" s="593"/>
    </row>
    <row r="493" spans="1:30" ht="15" hidden="1" x14ac:dyDescent="0.2">
      <c r="A493" s="2"/>
      <c r="B493" s="3574"/>
      <c r="C493" s="593"/>
      <c r="D493" s="593"/>
      <c r="E493" s="593"/>
      <c r="F493" s="593"/>
      <c r="G493" s="595"/>
      <c r="H493" s="593"/>
      <c r="I493" s="593"/>
      <c r="J493" s="593"/>
      <c r="K493" s="593"/>
    </row>
    <row r="494" spans="1:30" ht="15" hidden="1" x14ac:dyDescent="0.2">
      <c r="A494" s="2"/>
      <c r="B494" s="3574"/>
      <c r="C494" s="593"/>
      <c r="D494" s="593"/>
      <c r="E494" s="593"/>
      <c r="F494" s="593"/>
      <c r="G494" s="595"/>
      <c r="H494" s="593"/>
      <c r="I494" s="593"/>
      <c r="J494" s="593"/>
      <c r="K494" s="593"/>
    </row>
    <row r="495" spans="1:30" ht="15" hidden="1" x14ac:dyDescent="0.2">
      <c r="A495" s="2"/>
      <c r="B495" s="3574"/>
      <c r="C495" s="593"/>
      <c r="D495" s="593"/>
      <c r="E495" s="593"/>
      <c r="F495" s="593"/>
      <c r="G495" s="595"/>
      <c r="H495" s="593"/>
      <c r="I495" s="593"/>
      <c r="J495" s="593"/>
      <c r="K495" s="593"/>
    </row>
    <row r="496" spans="1:30" ht="15" hidden="1" x14ac:dyDescent="0.2">
      <c r="A496" s="2"/>
      <c r="B496" s="3574"/>
      <c r="C496" s="593"/>
      <c r="D496" s="593"/>
      <c r="E496" s="593"/>
      <c r="F496" s="593"/>
      <c r="G496" s="595"/>
      <c r="H496" s="593"/>
      <c r="I496" s="593"/>
      <c r="J496" s="593"/>
      <c r="K496" s="593"/>
    </row>
    <row r="497" spans="1:21" ht="15" hidden="1" x14ac:dyDescent="0.2">
      <c r="A497" s="2"/>
      <c r="B497" s="3574"/>
      <c r="C497" s="593"/>
      <c r="D497" s="593"/>
      <c r="E497" s="593"/>
      <c r="F497" s="593"/>
      <c r="G497" s="595"/>
      <c r="H497" s="593"/>
      <c r="I497" s="593"/>
      <c r="J497" s="593"/>
      <c r="K497" s="593"/>
    </row>
    <row r="498" spans="1:21" ht="15" hidden="1" x14ac:dyDescent="0.2">
      <c r="A498" s="2"/>
      <c r="B498" s="3574"/>
      <c r="C498" s="593"/>
      <c r="D498" s="593"/>
      <c r="E498" s="593"/>
      <c r="F498" s="593"/>
      <c r="G498" s="595"/>
      <c r="H498" s="593"/>
      <c r="I498" s="593"/>
      <c r="J498" s="593"/>
      <c r="K498" s="593"/>
    </row>
    <row r="499" spans="1:21" ht="7.5" customHeight="1" x14ac:dyDescent="0.2">
      <c r="A499" s="2"/>
      <c r="B499" s="593"/>
      <c r="C499" s="593"/>
      <c r="D499" s="593"/>
      <c r="E499" s="593"/>
      <c r="F499" s="593"/>
      <c r="G499" s="593"/>
      <c r="H499" s="593"/>
      <c r="I499" s="593"/>
      <c r="J499" s="593"/>
      <c r="K499" s="593"/>
    </row>
    <row r="500" spans="1:21" ht="15" x14ac:dyDescent="0.2">
      <c r="A500" s="3"/>
      <c r="B500" s="358" t="str">
        <f>IF(O500=1,"Name of "&amp;M500&amp;" deemed to be transferred","Name of "&amp;M500&amp;" being transferred")</f>
      </c>
      <c r="C500" s="358"/>
      <c r="D500" s="594" t="str">
        <f>IF(R516=0,"",IF(ISBLANK(E500),"Required !",""))</f>
        <v/>
      </c>
      <c r="E500" s="4317"/>
      <c r="F500" s="4318"/>
      <c r="G500" s="4318"/>
      <c r="H500" s="4318"/>
      <c r="I500" s="4319"/>
      <c r="J500" s="593"/>
      <c r="K500" s="593"/>
      <c r="L500" s="28">
        <f>IF(D500="",0,1)</f>
      </c>
      <c r="M500" s="28" t="str">
        <f>IF(M483=2,"Partnership","Company")</f>
      </c>
      <c r="O500" s="142">
        <f>IF(AND(F487="yes",$T$1="y"),1,0)</f>
      </c>
    </row>
    <row r="501" spans="1:21" ht="5.25" customHeight="1" x14ac:dyDescent="0.2">
      <c r="A501" s="3"/>
      <c r="B501" s="358"/>
      <c r="C501" s="358"/>
      <c r="D501" s="358"/>
      <c r="E501" s="8"/>
      <c r="F501" s="8"/>
      <c r="G501" s="8"/>
      <c r="H501" s="8"/>
      <c r="I501" s="8"/>
      <c r="J501" s="593"/>
      <c r="K501" s="593"/>
    </row>
    <row r="502" spans="1:21" ht="15" x14ac:dyDescent="0.2">
      <c r="A502" s="3"/>
      <c r="B502" s="4661" t="s">
        <v>2242</v>
      </c>
      <c r="C502" s="4661"/>
      <c r="D502" s="4661"/>
      <c r="E502" s="4662"/>
      <c r="F502" s="4302"/>
      <c r="G502" s="4304"/>
      <c r="H502" s="595" t="str">
        <f>IF(R516=0,"",IF(ISBLANK(F502),"Required !",""))</f>
        <v/>
      </c>
      <c r="I502" s="8"/>
      <c r="J502" s="593"/>
      <c r="K502" s="593"/>
      <c r="L502" s="28">
        <f>IF(H502="",0,1)</f>
      </c>
      <c r="U502" s="67"/>
    </row>
    <row r="503" spans="1:21" ht="5.25" customHeight="1" x14ac:dyDescent="0.2">
      <c r="A503" s="3"/>
      <c r="B503" s="358"/>
      <c r="C503" s="358"/>
      <c r="D503" s="358"/>
      <c r="E503" s="3"/>
      <c r="F503" s="3"/>
      <c r="G503" s="3"/>
      <c r="H503" s="3"/>
      <c r="I503" s="3"/>
      <c r="J503" s="593"/>
      <c r="K503" s="3"/>
      <c r="U503" s="62"/>
    </row>
    <row r="504" spans="1:21" ht="15" x14ac:dyDescent="0.2">
      <c r="A504" s="3"/>
      <c r="B504" s="603" t="str">
        <f>IF(M483=2,"Percentage of interest transferred","Number of Securities transferred")</f>
      </c>
      <c r="C504" s="596"/>
      <c r="D504" s="596"/>
      <c r="E504" s="1275" t="str">
        <f>IF(M483=2,"% ","")</f>
        <v/>
      </c>
      <c r="F504" s="597"/>
      <c r="G504" s="595" t="str">
        <f>IF(R516=0,"",IF(ISBLANK(F504),"Required !",""))</f>
        <v/>
      </c>
      <c r="H504" s="86"/>
      <c r="I504" s="86"/>
      <c r="J504" s="593"/>
      <c r="K504" s="3"/>
      <c r="L504" s="28">
        <f>IF(G504="",0,1)</f>
      </c>
      <c r="U504" s="62"/>
    </row>
    <row r="505" spans="1:21" ht="5.25" customHeight="1" x14ac:dyDescent="0.2">
      <c r="A505" s="3"/>
      <c r="B505" s="598"/>
      <c r="C505" s="598"/>
      <c r="D505" s="598"/>
      <c r="E505" s="86"/>
      <c r="F505" s="86"/>
      <c r="G505" s="86"/>
      <c r="H505" s="86"/>
      <c r="I505" s="86"/>
      <c r="J505" s="593"/>
      <c r="K505" s="3"/>
    </row>
    <row r="506" spans="1:21" ht="15" x14ac:dyDescent="0.2">
      <c r="A506" s="3"/>
      <c r="B506" s="596" t="s">
        <v>6276</v>
      </c>
      <c r="C506" s="596"/>
      <c r="D506" s="596"/>
      <c r="E506" s="596"/>
      <c r="F506" s="575"/>
      <c r="G506" s="595" t="str">
        <f>IF(R516=0,"",IF(ISBLANK(F506),"Required !",""))</f>
        <v/>
      </c>
      <c r="H506" s="86"/>
      <c r="I506" s="86"/>
      <c r="J506" s="593"/>
      <c r="K506" s="3"/>
      <c r="L506" s="28">
        <f>IF(G506="",0,1)</f>
      </c>
      <c r="S506" s="74">
        <f>DATE(ya-2,1,2)</f>
      </c>
      <c r="T506" s="74">
        <f>DATE(ya-1,12,31)</f>
      </c>
    </row>
    <row r="507" spans="1:21" ht="4.5" customHeight="1" x14ac:dyDescent="0.2">
      <c r="A507" s="3"/>
      <c r="B507" s="598"/>
      <c r="C507" s="598"/>
      <c r="D507" s="598"/>
      <c r="E507" s="86"/>
      <c r="F507" s="86"/>
      <c r="G507" s="86"/>
      <c r="H507" s="86"/>
      <c r="I507" s="86"/>
      <c r="J507" s="593"/>
      <c r="K507" s="3"/>
    </row>
    <row r="508" spans="1:21" ht="15" x14ac:dyDescent="0.2">
      <c r="A508" s="3"/>
      <c r="B508" s="596" t="str">
        <f>IF(M483=2,"","Is it a transfer of a controlling interest?")</f>
      </c>
      <c r="C508" s="596"/>
      <c r="D508" s="596"/>
      <c r="E508" s="599" t="s">
        <v>1020</v>
      </c>
      <c r="F508" s="2194"/>
      <c r="G508" s="595" t="str">
        <f>IF(R516=0,"",IF(M483&lt;&gt;1,"",IF(ISBLANK(F508),"Required !","")))</f>
        <v/>
      </c>
      <c r="H508" s="600"/>
      <c r="I508" s="86"/>
      <c r="J508" s="593"/>
      <c r="K508" s="3"/>
      <c r="L508" s="28">
        <f>IF(G508="",0,1)</f>
      </c>
      <c r="S508" s="74">
        <v>38359</v>
      </c>
    </row>
    <row r="509" spans="1:21" ht="6.75" customHeight="1" x14ac:dyDescent="0.2">
      <c r="A509" s="3"/>
      <c r="B509" s="598"/>
      <c r="C509" s="598"/>
      <c r="D509" s="598"/>
      <c r="E509" s="86"/>
      <c r="F509" s="86"/>
      <c r="G509" s="86"/>
      <c r="H509" s="86"/>
      <c r="I509" s="86"/>
      <c r="J509" s="593"/>
      <c r="K509" s="3"/>
    </row>
    <row r="510" spans="1:21" ht="15" x14ac:dyDescent="0.2">
      <c r="A510" s="3"/>
      <c r="B510" s="4663" t="str">
        <f>IF(B483=$AA$2,$AA$29,$AA$28)</f>
        <v xml:space="preserve">Allocated to &gt;   </v>
      </c>
      <c r="C510" s="4663"/>
      <c r="D510" s="4663"/>
      <c r="E510" s="4664"/>
      <c r="F510" s="601"/>
      <c r="G510" s="595" t="str">
        <f>IF(R516=0,"",IF(ISBLANK(F510),"Choose A/c !",""))</f>
        <v/>
      </c>
      <c r="H510" s="86"/>
      <c r="I510" s="86"/>
      <c r="J510" s="593"/>
      <c r="K510" s="3"/>
      <c r="L510" s="28">
        <f>IF(G510="",0,1)</f>
      </c>
    </row>
    <row r="511" spans="1:21" ht="6.75" customHeight="1" x14ac:dyDescent="0.2">
      <c r="A511" s="3"/>
      <c r="B511" s="86"/>
      <c r="C511" s="86"/>
      <c r="D511" s="86"/>
      <c r="E511" s="86"/>
      <c r="F511" s="86"/>
      <c r="G511" s="86"/>
      <c r="H511" s="86"/>
      <c r="I511" s="86"/>
      <c r="J511" s="593"/>
      <c r="K511" s="3"/>
    </row>
    <row r="512" spans="1:21" ht="15" x14ac:dyDescent="0.2">
      <c r="A512" s="3"/>
      <c r="B512" s="8" t="str">
        <f>"Consideration / Market value of "&amp;M512&amp;" transferred"</f>
      </c>
      <c r="C512" s="598"/>
      <c r="D512" s="598"/>
      <c r="E512" s="86"/>
      <c r="F512" s="86"/>
      <c r="G512" s="86"/>
      <c r="H512" s="510"/>
      <c r="I512" s="595" t="str">
        <f>IF(R516=0,"",IF(ISBLANK(H512),"Required !",""))</f>
        <v/>
      </c>
      <c r="J512" s="593"/>
      <c r="K512" s="3"/>
      <c r="L512" s="28">
        <f>IF(I512="",0,1)</f>
      </c>
      <c r="M512" s="28" t="str">
        <f>IF(M483=2,"interest","shares")</f>
      </c>
    </row>
    <row r="513" spans="1:32" ht="3.75" customHeight="1" x14ac:dyDescent="0.2">
      <c r="A513" s="3"/>
      <c r="B513" s="596"/>
      <c r="C513" s="596"/>
      <c r="D513" s="596"/>
      <c r="E513" s="596"/>
      <c r="F513" s="596"/>
      <c r="G513" s="596"/>
      <c r="H513" s="86"/>
      <c r="I513" s="86"/>
      <c r="J513" s="593"/>
      <c r="K513" s="3"/>
    </row>
    <row r="514" spans="1:32" ht="15" x14ac:dyDescent="0.2">
      <c r="A514" s="3"/>
      <c r="B514" s="8" t="str">
        <f>"Cost of acquistion of "&amp;M512&amp;" transferred "</f>
        <v xml:space="preserve">Cost of acquistion of shares transferred </v>
      </c>
      <c r="C514" s="596"/>
      <c r="D514" s="596"/>
      <c r="E514" s="596"/>
      <c r="F514" s="596"/>
      <c r="G514" s="596"/>
      <c r="H514" s="510"/>
      <c r="I514" s="595" t="str">
        <f>IF(R516=0,"",IF(ISBLANK(H514),"Required or insert 0!",""))</f>
        <v/>
      </c>
      <c r="J514" s="593"/>
      <c r="K514" s="3"/>
      <c r="L514" s="28">
        <f>IF(I514="",0,1)</f>
      </c>
      <c r="T514" s="28" t="str">
        <f>ft</f>
      </c>
    </row>
    <row r="515" spans="1:32" ht="15" x14ac:dyDescent="0.2">
      <c r="A515" s="3"/>
      <c r="B515" s="602" t="s">
        <v>2987</v>
      </c>
      <c r="C515" s="603"/>
      <c r="D515" s="603"/>
      <c r="E515" s="603"/>
      <c r="F515" s="603"/>
      <c r="G515" s="86"/>
      <c r="H515" s="86"/>
      <c r="I515" s="86"/>
      <c r="J515" s="593"/>
      <c r="K515" s="3"/>
      <c r="R515" s="142"/>
    </row>
    <row r="516" spans="1:32" ht="15" x14ac:dyDescent="0.2">
      <c r="A516" s="3"/>
      <c r="B516" s="8"/>
      <c r="C516" s="65"/>
      <c r="D516" s="65"/>
      <c r="E516" s="65"/>
      <c r="F516" s="3"/>
      <c r="G516" s="86"/>
      <c r="H516" s="86"/>
      <c r="I516" s="595"/>
      <c r="J516" s="593"/>
      <c r="K516" s="3"/>
      <c r="R516" s="28">
        <f>COUNTA(B483,E500,F502,F504,F506,F508,F510,H512,H514,E519,E520,E485,F487)</f>
      </c>
    </row>
    <row r="517" spans="1:32" ht="15" x14ac:dyDescent="0.2">
      <c r="A517" s="211"/>
      <c r="B517" s="211" t="str">
        <f>"Gain/(Loss) attributable to "&amp;M517</f>
      </c>
      <c r="C517" s="211"/>
      <c r="D517" s="211"/>
      <c r="E517" s="211"/>
      <c r="F517" s="211"/>
      <c r="G517" s="211"/>
      <c r="H517" s="544">
        <f>H512-H514</f>
      </c>
      <c r="I517" s="211"/>
      <c r="J517" s="593"/>
      <c r="K517" s="211"/>
      <c r="M517" s="28" t="str">
        <f>IF(M483=2,"partner","shareholder")</f>
      </c>
    </row>
    <row r="518" spans="1:32" ht="12" customHeight="1" x14ac:dyDescent="0.2">
      <c r="A518" s="593"/>
      <c r="B518" s="593"/>
      <c r="C518" s="593"/>
      <c r="D518" s="593"/>
      <c r="E518" s="593"/>
      <c r="F518" s="593"/>
      <c r="G518" s="593"/>
      <c r="H518" s="593"/>
      <c r="I518" s="593"/>
      <c r="J518" s="593"/>
      <c r="K518" s="211"/>
    </row>
    <row r="519" spans="1:32" ht="12.75" customHeight="1" x14ac:dyDescent="0.2">
      <c r="A519" s="593"/>
      <c r="B519" s="1780" t="s">
        <v>8221</v>
      </c>
      <c r="C519" s="1"/>
      <c r="D519" s="1"/>
      <c r="E519" s="2194"/>
      <c r="F519" s="2150" t="str">
        <f>IF(AND(B483=$AA$2,E519=""),re,"")</f>
        <v/>
      </c>
      <c r="G519" s="1"/>
      <c r="H519" s="1"/>
      <c r="I519" s="1"/>
      <c r="J519" s="1"/>
      <c r="K519" s="1"/>
      <c r="L519" s="2583">
        <f>IF(F519="",0,1)</f>
      </c>
    </row>
    <row r="520" spans="1:32" ht="12.75" customHeight="1" x14ac:dyDescent="0.2">
      <c r="A520" s="593"/>
      <c r="B520" s="1780" t="s">
        <v>8222</v>
      </c>
      <c r="C520" s="1"/>
      <c r="D520" s="1"/>
      <c r="E520" s="4655"/>
      <c r="F520" s="4656"/>
      <c r="G520" s="4657"/>
      <c r="H520" s="2150" t="str">
        <f>IF(AND(B483=$AA$2,E520=""),re,"")</f>
        <v/>
      </c>
      <c r="I520" s="1"/>
      <c r="J520" s="1"/>
      <c r="K520" s="1"/>
      <c r="L520" s="2583">
        <f>IF(H520="",0,1)</f>
      </c>
    </row>
    <row r="521" spans="1:32" ht="12.75" customHeight="1" x14ac:dyDescent="0.2">
      <c r="A521" s="593"/>
      <c r="B521" s="1780" t="str">
        <f>IF(OR(E520="",E519=""),"Taxable portion","Taxable portion is equal to "&amp;VLOOKUP(E520,AA521:AB525,2,FALSE)*100&amp;" % of the gain")</f>
      </c>
      <c r="C521" s="1"/>
      <c r="D521" s="595" t="str">
        <f>IF(ISERROR(B521)=TRUE,"Check!","")</f>
        <v/>
      </c>
      <c r="E521" s="1"/>
      <c r="F521" s="1"/>
      <c r="G521" s="1"/>
      <c r="H521" s="925">
        <f>IF(E520="",0,IF(B483&lt;&gt;$AA$2,0,ROUND(H517*AA531,0)))</f>
      </c>
      <c r="I521" s="2587" t="s">
        <v>8230</v>
      </c>
      <c r="J521" s="1"/>
      <c r="K521" s="1"/>
      <c r="L521" s="28">
        <f>IF(D521="",0,1)</f>
      </c>
      <c r="AA521" t="str">
        <f>IF(E519="","","Less than 10%")</f>
        <v/>
      </c>
      <c r="AB521" s="2589" t="str">
        <f>IF(E519="","",AD521)</f>
        <v/>
      </c>
      <c r="AC521" t="s">
        <v>8223</v>
      </c>
      <c r="AD521" s="2174">
        <v>1</v>
      </c>
    </row>
    <row r="522" spans="1:32" ht="12.75" customHeight="1" x14ac:dyDescent="0.2">
      <c r="A522" s="593"/>
      <c r="B522" s="1780" t="s">
        <v>8229</v>
      </c>
      <c r="C522" s="1"/>
      <c r="D522" s="1"/>
      <c r="E522" s="1"/>
      <c r="F522" s="1"/>
      <c r="G522" s="1"/>
      <c r="H522" s="925">
        <f>IF(E520="",0,IF(B483&lt;&gt;$AA$2,0,H517-H521))</f>
      </c>
      <c r="I522" s="2587" t="str">
        <f>IF(F487="yes","TRA116","TRA 18")</f>
      </c>
      <c r="J522" s="1"/>
      <c r="K522" s="1"/>
      <c r="O522" s="2583" t="s">
        <v>313</v>
      </c>
      <c r="P522" s="2590">
        <f>H522</f>
      </c>
      <c r="AA522" s="28" t="str">
        <f>IF(E519="","",IF(E519=y,AC522,AE522))</f>
        <v/>
      </c>
      <c r="AB522" s="2589" t="str">
        <f>IF(E519="","",IF(E519=y,AD522,AF522))</f>
        <v/>
      </c>
      <c r="AC522" t="s">
        <v>8224</v>
      </c>
      <c r="AD522" s="2174">
        <v>0.75</v>
      </c>
      <c r="AE522" t="s">
        <v>8228</v>
      </c>
      <c r="AF522" s="2174">
        <v>0</v>
      </c>
    </row>
    <row r="523" spans="1:32" ht="6.75" customHeight="1" x14ac:dyDescent="0.2">
      <c r="A523" s="3"/>
      <c r="B523" s="603"/>
      <c r="C523" s="603"/>
      <c r="D523" s="603"/>
      <c r="E523" s="603"/>
      <c r="F523" s="603"/>
      <c r="G523" s="86"/>
      <c r="H523" s="86"/>
      <c r="I523" s="86"/>
      <c r="J523" s="593"/>
      <c r="K523" s="3"/>
      <c r="AA523" s="28" t="str">
        <f>IF(E519=y,AC523,"")</f>
        <v/>
      </c>
      <c r="AB523" s="2589" t="str">
        <f>IF(E519=y,AD523,"")</f>
        <v/>
      </c>
      <c r="AC523" t="s">
        <v>8225</v>
      </c>
      <c r="AD523" s="2174">
        <v>0.5</v>
      </c>
    </row>
    <row r="524" spans="1:32" ht="15" x14ac:dyDescent="0.2">
      <c r="A524" s="3"/>
      <c r="B524" s="604" t="s">
        <v>5493</v>
      </c>
      <c r="C524" s="604"/>
      <c r="D524" s="604"/>
      <c r="E524" s="604"/>
      <c r="F524" s="605" t="s">
        <v>9125</v>
      </c>
      <c r="G524" s="605" t="str">
        <f>ip</f>
      </c>
      <c r="H524" s="605" t="s">
        <v>363</v>
      </c>
      <c r="I524" s="605" t="s">
        <v>2372</v>
      </c>
      <c r="J524" s="593"/>
      <c r="K524" s="3"/>
      <c r="AA524" s="28" t="str">
        <f>IF(E519=y,AC524,"")</f>
        <v/>
      </c>
      <c r="AB524" s="2589" t="str">
        <f>IF(E519=y,AD524,"")</f>
        <v/>
      </c>
      <c r="AC524" t="s">
        <v>8226</v>
      </c>
      <c r="AD524" s="2174">
        <v>0.25</v>
      </c>
    </row>
    <row r="525" spans="1:32" ht="15" x14ac:dyDescent="0.2">
      <c r="A525" s="3"/>
      <c r="B525" s="3"/>
      <c r="C525" s="3"/>
      <c r="D525" s="3"/>
      <c r="E525" s="3"/>
      <c r="F525" s="590" t="str">
        <f>IF($F510=F524,T525,"")</f>
        <v/>
      </c>
      <c r="G525" s="590" t="str">
        <f>IF($F510=ip,T525,"")</f>
        <v/>
      </c>
      <c r="H525" s="590" t="str">
        <f>IF($F510=mt,T525,"")</f>
        <v/>
      </c>
      <c r="I525" s="590" t="str">
        <f>IF($F510=fi,T525,"")</f>
        <v/>
      </c>
      <c r="J525" s="593"/>
      <c r="K525" s="3"/>
      <c r="S525" s="606"/>
      <c r="T525" s="2588">
        <f>IF(E520="",H517,IF(B483=$AA$2,H521,H517))</f>
      </c>
      <c r="AA525" s="28" t="str">
        <f>IF(E519=y,AC525,"")</f>
        <v/>
      </c>
      <c r="AB525" s="2589" t="str">
        <f>IF(E519=y,AD525,"")</f>
        <v/>
      </c>
      <c r="AC525" t="s">
        <v>8227</v>
      </c>
      <c r="AD525" s="2174">
        <v>0</v>
      </c>
    </row>
    <row r="526" spans="1:32" ht="15" x14ac:dyDescent="0.2">
      <c r="A526" s="3"/>
      <c r="B526" s="86" t="str">
        <f>_xlfn.SINGLE(MTCA)</f>
      </c>
      <c r="C526" s="86"/>
      <c r="D526" s="86"/>
      <c r="E526" s="86" t="str">
        <f>ver</f>
        <v>TA2_e-CO_2025_Ver 1.1</v>
      </c>
      <c r="F526" s="86"/>
      <c r="G526" s="86"/>
      <c r="H526" s="86"/>
      <c r="I526" s="607" t="s">
        <v>9880</v>
      </c>
      <c r="J526" s="593"/>
      <c r="K526" s="3"/>
    </row>
    <row r="527" spans="1:32" ht="12.75" customHeight="1" x14ac:dyDescent="0.2">
      <c r="A527" s="3"/>
      <c r="B527" s="608"/>
      <c r="C527" s="609"/>
      <c r="D527" s="609"/>
      <c r="E527" s="609"/>
      <c r="F527" s="609"/>
      <c r="G527" s="609"/>
      <c r="H527" s="609"/>
      <c r="I527" s="609"/>
      <c r="J527" s="593"/>
      <c r="K527" s="609"/>
      <c r="S527" s="84">
        <f>S525+S477+S429</f>
      </c>
    </row>
    <row r="528" spans="1:32" ht="12.75" customHeight="1" x14ac:dyDescent="0.2">
      <c r="A528" s="3"/>
      <c r="B528" s="237"/>
      <c r="C528" s="3"/>
      <c r="D528" s="3"/>
      <c r="E528" s="610" t="s">
        <v>4456</v>
      </c>
      <c r="F528" s="331"/>
      <c r="G528" s="1276" t="str">
        <f>IF(AND(R516&gt;0,F528=""),re,"")</f>
        <v/>
      </c>
      <c r="H528" s="3"/>
      <c r="I528" s="3"/>
      <c r="J528" s="593"/>
      <c r="K528" s="3"/>
      <c r="L528" s="28">
        <f>IF(G528="",0,1)</f>
      </c>
      <c r="N528" s="28">
        <f>IF(F528=n,1,0)</f>
      </c>
    </row>
    <row r="529" spans="1:30" ht="12.75" customHeight="1" x14ac:dyDescent="0.2">
      <c r="A529" s="3"/>
      <c r="B529" s="65" t="str">
        <f>_ref1</f>
      </c>
      <c r="C529" s="65"/>
      <c r="D529" s="65"/>
      <c r="E529" s="65"/>
      <c r="F529" s="65"/>
      <c r="G529" s="65"/>
      <c r="H529" s="65"/>
      <c r="I529" s="64" t="str">
        <f>_YA1</f>
      </c>
      <c r="J529" s="593"/>
      <c r="K529" s="1"/>
    </row>
    <row r="530" spans="1:30" ht="3.75" customHeight="1" x14ac:dyDescent="0.2">
      <c r="A530" s="3"/>
      <c r="B530" s="3"/>
      <c r="C530" s="3"/>
      <c r="D530" s="3"/>
      <c r="E530" s="3"/>
      <c r="F530" s="3"/>
      <c r="G530" s="3"/>
      <c r="H530" s="3"/>
      <c r="I530" s="3"/>
      <c r="J530" s="593"/>
      <c r="K530" s="3"/>
    </row>
    <row r="531" spans="1:30" ht="16.149999999999999" customHeight="1" x14ac:dyDescent="0.2">
      <c r="A531" s="748">
        <v>12</v>
      </c>
      <c r="B531" s="4658"/>
      <c r="C531" s="4659"/>
      <c r="D531" s="4659"/>
      <c r="E531" s="4659"/>
      <c r="F531" s="4659"/>
      <c r="G531" s="4659"/>
      <c r="H531" s="4659"/>
      <c r="I531" s="4660"/>
      <c r="J531" s="1276" t="str">
        <f>IF(R564=0,"",IF(B531="",re,""))</f>
        <v/>
      </c>
      <c r="K531" s="593"/>
      <c r="L531" s="28">
        <f>IF(J531="",0,1)</f>
      </c>
      <c r="M531" s="28">
        <f>IF($B531=$AA$3,1,IF($B531=$AA$4,2,0))</f>
      </c>
      <c r="U531" s="28" t="s">
        <v>2372</v>
      </c>
      <c r="AA531" s="28">
        <f>IFERROR(VLOOKUP(E520,AA521:AB525,2,FALSE),0)</f>
      </c>
      <c r="AC531" t="s">
        <v>8228</v>
      </c>
      <c r="AD531" s="150">
        <v>0</v>
      </c>
    </row>
    <row r="532" spans="1:30" ht="7.5" customHeight="1" x14ac:dyDescent="0.2">
      <c r="A532" s="2"/>
      <c r="B532" s="593"/>
      <c r="C532" s="593"/>
      <c r="D532" s="593"/>
      <c r="E532" s="593"/>
      <c r="F532" s="593"/>
      <c r="G532" s="593"/>
      <c r="H532" s="593"/>
      <c r="I532" s="593"/>
      <c r="J532" s="593"/>
      <c r="K532" s="593"/>
    </row>
    <row r="533" spans="1:30" ht="15" x14ac:dyDescent="0.2">
      <c r="A533" s="2"/>
      <c r="B533" s="3574" t="s">
        <v>9961</v>
      </c>
      <c r="C533" s="593"/>
      <c r="D533" s="593"/>
      <c r="E533" s="4653"/>
      <c r="F533" s="4654"/>
      <c r="G533" s="595" t="str">
        <f>IF(R564=0,"",IF(AND($Q$1="n",E533&lt;&gt;""),"Not fiscal unit - Pg 2 Q30",IF(AND($Q$1="y",ISBLANK(E533)),"Required !","")))</f>
        <v/>
      </c>
      <c r="H533" s="593"/>
      <c r="I533" s="593"/>
      <c r="J533" s="593"/>
      <c r="K533" s="593"/>
      <c r="L533" s="28">
        <f>IF(G533="",0,1)</f>
      </c>
    </row>
    <row r="534" spans="1:30" ht="6" customHeight="1" x14ac:dyDescent="0.2">
      <c r="A534" s="2"/>
      <c r="B534" s="3574"/>
      <c r="C534" s="593"/>
      <c r="D534" s="593"/>
      <c r="E534" s="593"/>
      <c r="F534" s="593"/>
      <c r="G534" s="595"/>
      <c r="H534" s="593"/>
      <c r="I534" s="593"/>
      <c r="J534" s="593"/>
      <c r="K534" s="593"/>
    </row>
    <row r="535" spans="1:30" ht="15" customHeight="1" x14ac:dyDescent="0.2">
      <c r="A535" s="2"/>
      <c r="B535" s="2221" t="s">
        <v>10035</v>
      </c>
      <c r="C535" s="3619"/>
      <c r="D535" s="3619"/>
      <c r="E535" s="3619"/>
      <c r="F535" s="569"/>
      <c r="G535" s="3620" t="str">
        <f>IF(R564=0,"",IF(ISBLANK(F535),"Required!",IF(AND($T$1="n",F535="yes"),"Check Pg2 Q32!","")))</f>
        <v/>
      </c>
      <c r="H535" s="593"/>
      <c r="I535" s="593"/>
      <c r="J535" s="1"/>
      <c r="K535" s="593"/>
      <c r="L535" s="28">
        <f>IF(G535="",0,1)</f>
      </c>
    </row>
    <row r="536" spans="1:30" ht="15" customHeight="1" x14ac:dyDescent="0.2">
      <c r="A536" s="2"/>
      <c r="B536" s="229" t="s">
        <v>10036</v>
      </c>
      <c r="C536" s="2221"/>
      <c r="D536" s="2221"/>
      <c r="E536" s="2221"/>
      <c r="F536" s="242"/>
      <c r="G536" s="595"/>
      <c r="H536" s="593"/>
      <c r="I536" s="593"/>
      <c r="J536" s="1"/>
      <c r="K536" s="593"/>
    </row>
    <row r="537" spans="1:30" ht="15" hidden="1" x14ac:dyDescent="0.2">
      <c r="A537" s="2"/>
      <c r="B537" s="3574"/>
      <c r="C537" s="593"/>
      <c r="D537" s="593"/>
      <c r="E537" s="593"/>
      <c r="F537" s="593"/>
      <c r="G537" s="595"/>
      <c r="H537" s="593"/>
      <c r="I537" s="593"/>
      <c r="J537" s="593"/>
      <c r="K537" s="593"/>
    </row>
    <row r="538" spans="1:30" ht="15" hidden="1" x14ac:dyDescent="0.2">
      <c r="A538" s="2"/>
      <c r="B538" s="3574"/>
      <c r="C538" s="593"/>
      <c r="D538" s="593"/>
      <c r="E538" s="593"/>
      <c r="F538" s="593"/>
      <c r="G538" s="595"/>
      <c r="H538" s="593"/>
      <c r="I538" s="593"/>
      <c r="J538" s="593"/>
      <c r="K538" s="593"/>
    </row>
    <row r="539" spans="1:30" ht="15" hidden="1" x14ac:dyDescent="0.2">
      <c r="A539" s="2"/>
      <c r="B539" s="3574"/>
      <c r="C539" s="593"/>
      <c r="D539" s="593"/>
      <c r="E539" s="593"/>
      <c r="F539" s="593"/>
      <c r="G539" s="595"/>
      <c r="H539" s="593"/>
      <c r="I539" s="593"/>
      <c r="J539" s="593"/>
      <c r="K539" s="593"/>
    </row>
    <row r="540" spans="1:30" ht="15" hidden="1" x14ac:dyDescent="0.2">
      <c r="A540" s="2"/>
      <c r="B540" s="3574"/>
      <c r="C540" s="593"/>
      <c r="D540" s="593"/>
      <c r="E540" s="593"/>
      <c r="F540" s="593"/>
      <c r="G540" s="595"/>
      <c r="H540" s="593"/>
      <c r="I540" s="593"/>
      <c r="J540" s="593"/>
      <c r="K540" s="593"/>
    </row>
    <row r="541" spans="1:30" ht="15" hidden="1" x14ac:dyDescent="0.2">
      <c r="A541" s="2"/>
      <c r="B541" s="3574"/>
      <c r="C541" s="593"/>
      <c r="D541" s="593"/>
      <c r="E541" s="593"/>
      <c r="F541" s="593"/>
      <c r="G541" s="595"/>
      <c r="H541" s="593"/>
      <c r="I541" s="593"/>
      <c r="J541" s="593"/>
      <c r="K541" s="593"/>
    </row>
    <row r="542" spans="1:30" ht="15" hidden="1" x14ac:dyDescent="0.2">
      <c r="A542" s="2"/>
      <c r="B542" s="3574"/>
      <c r="C542" s="593"/>
      <c r="D542" s="593"/>
      <c r="E542" s="593"/>
      <c r="F542" s="593"/>
      <c r="G542" s="595"/>
      <c r="H542" s="593"/>
      <c r="I542" s="593"/>
      <c r="J542" s="593"/>
      <c r="K542" s="593"/>
    </row>
    <row r="543" spans="1:30" ht="15" hidden="1" x14ac:dyDescent="0.2">
      <c r="A543" s="2"/>
      <c r="B543" s="3574"/>
      <c r="C543" s="593"/>
      <c r="D543" s="593"/>
      <c r="E543" s="593"/>
      <c r="F543" s="593"/>
      <c r="G543" s="595"/>
      <c r="H543" s="593"/>
      <c r="I543" s="593"/>
      <c r="J543" s="593"/>
      <c r="K543" s="593"/>
    </row>
    <row r="544" spans="1:30" ht="15" hidden="1" x14ac:dyDescent="0.2">
      <c r="A544" s="2"/>
      <c r="B544" s="3574"/>
      <c r="C544" s="593"/>
      <c r="D544" s="593"/>
      <c r="E544" s="593"/>
      <c r="F544" s="593"/>
      <c r="G544" s="595"/>
      <c r="H544" s="593"/>
      <c r="I544" s="593"/>
      <c r="J544" s="593"/>
      <c r="K544" s="593"/>
    </row>
    <row r="545" spans="1:21" ht="15" hidden="1" x14ac:dyDescent="0.2">
      <c r="A545" s="2"/>
      <c r="B545" s="3574"/>
      <c r="C545" s="593"/>
      <c r="D545" s="593"/>
      <c r="E545" s="593"/>
      <c r="F545" s="593"/>
      <c r="G545" s="595"/>
      <c r="H545" s="593"/>
      <c r="I545" s="593"/>
      <c r="J545" s="593"/>
      <c r="K545" s="593"/>
    </row>
    <row r="546" spans="1:21" ht="15" hidden="1" x14ac:dyDescent="0.2">
      <c r="A546" s="2"/>
      <c r="B546" s="3574"/>
      <c r="C546" s="593"/>
      <c r="D546" s="593"/>
      <c r="E546" s="593"/>
      <c r="F546" s="593"/>
      <c r="G546" s="595"/>
      <c r="H546" s="593"/>
      <c r="I546" s="593"/>
      <c r="J546" s="593"/>
      <c r="K546" s="593"/>
    </row>
    <row r="547" spans="1:21" ht="7.5" customHeight="1" x14ac:dyDescent="0.2">
      <c r="A547" s="2"/>
      <c r="B547" s="593"/>
      <c r="C547" s="593"/>
      <c r="D547" s="593"/>
      <c r="E547" s="593"/>
      <c r="F547" s="593"/>
      <c r="G547" s="593"/>
      <c r="H547" s="593"/>
      <c r="I547" s="593"/>
      <c r="J547" s="593"/>
      <c r="K547" s="593"/>
    </row>
    <row r="548" spans="1:21" ht="15" x14ac:dyDescent="0.2">
      <c r="A548" s="3"/>
      <c r="B548" s="358" t="str">
        <f>IF(O548=1,"Name of "&amp;M548&amp;" deemed to be transferred","Name of "&amp;M548&amp;" being transferred")</f>
      </c>
      <c r="C548" s="358"/>
      <c r="D548" s="594" t="str">
        <f>IF(R564=0,"",IF(ISBLANK(E548),"Required !",""))</f>
        <v/>
      </c>
      <c r="E548" s="4317"/>
      <c r="F548" s="4318"/>
      <c r="G548" s="4318"/>
      <c r="H548" s="4318"/>
      <c r="I548" s="4319"/>
      <c r="J548" s="593"/>
      <c r="K548" s="593"/>
      <c r="L548" s="28">
        <f>IF(D548="",0,1)</f>
      </c>
      <c r="M548" s="28" t="str">
        <f>IF(M531=2,"Partnership","Company")</f>
      </c>
      <c r="O548" s="142">
        <f>IF(AND(F535="yes",$T$1="y"),1,0)</f>
      </c>
    </row>
    <row r="549" spans="1:21" ht="5.25" customHeight="1" x14ac:dyDescent="0.2">
      <c r="A549" s="3"/>
      <c r="B549" s="358"/>
      <c r="C549" s="358"/>
      <c r="D549" s="358"/>
      <c r="E549" s="8"/>
      <c r="F549" s="8"/>
      <c r="G549" s="8"/>
      <c r="H549" s="8"/>
      <c r="I549" s="8"/>
      <c r="J549" s="593"/>
      <c r="K549" s="593"/>
    </row>
    <row r="550" spans="1:21" ht="15" x14ac:dyDescent="0.2">
      <c r="A550" s="3"/>
      <c r="B550" s="4661" t="s">
        <v>2242</v>
      </c>
      <c r="C550" s="4661"/>
      <c r="D550" s="4661"/>
      <c r="E550" s="4662"/>
      <c r="F550" s="4302"/>
      <c r="G550" s="4304"/>
      <c r="H550" s="595" t="str">
        <f>IF(R564=0,"",IF(ISBLANK(F550),"Required !",""))</f>
        <v/>
      </c>
      <c r="I550" s="8"/>
      <c r="J550" s="593"/>
      <c r="K550" s="593"/>
      <c r="L550" s="28">
        <f>IF(H550="",0,1)</f>
      </c>
      <c r="U550" s="67"/>
    </row>
    <row r="551" spans="1:21" ht="5.25" customHeight="1" x14ac:dyDescent="0.2">
      <c r="A551" s="3"/>
      <c r="B551" s="358"/>
      <c r="C551" s="358"/>
      <c r="D551" s="358"/>
      <c r="E551" s="3"/>
      <c r="F551" s="3"/>
      <c r="G551" s="3"/>
      <c r="H551" s="3"/>
      <c r="I551" s="3"/>
      <c r="J551" s="593"/>
      <c r="K551" s="3"/>
      <c r="U551" s="62"/>
    </row>
    <row r="552" spans="1:21" ht="15" x14ac:dyDescent="0.2">
      <c r="A552" s="3"/>
      <c r="B552" s="603" t="str">
        <f>IF(M531=2,"Percentage of interest transferred","Number of Securities transferred")</f>
      </c>
      <c r="C552" s="596"/>
      <c r="D552" s="596"/>
      <c r="E552" s="1275" t="str">
        <f>IF(M531=2,"% ","")</f>
        <v/>
      </c>
      <c r="F552" s="597"/>
      <c r="G552" s="595" t="str">
        <f>IF(R564=0,"",IF(ISBLANK(F552),"Required !",""))</f>
        <v/>
      </c>
      <c r="H552" s="86"/>
      <c r="I552" s="86"/>
      <c r="J552" s="593"/>
      <c r="K552" s="3"/>
      <c r="L552" s="28">
        <f>IF(G552="",0,1)</f>
      </c>
      <c r="U552" s="62"/>
    </row>
    <row r="553" spans="1:21" ht="5.25" customHeight="1" x14ac:dyDescent="0.2">
      <c r="A553" s="3"/>
      <c r="B553" s="598"/>
      <c r="C553" s="598"/>
      <c r="D553" s="598"/>
      <c r="E553" s="86"/>
      <c r="F553" s="86"/>
      <c r="G553" s="86"/>
      <c r="H553" s="86"/>
      <c r="I553" s="86"/>
      <c r="J553" s="593"/>
      <c r="K553" s="3"/>
    </row>
    <row r="554" spans="1:21" ht="15" x14ac:dyDescent="0.2">
      <c r="A554" s="3"/>
      <c r="B554" s="596" t="s">
        <v>6276</v>
      </c>
      <c r="C554" s="596"/>
      <c r="D554" s="596"/>
      <c r="E554" s="596"/>
      <c r="F554" s="575"/>
      <c r="G554" s="595" t="str">
        <f>IF(R564=0,"",IF(ISBLANK(F554),"Required !",""))</f>
        <v/>
      </c>
      <c r="H554" s="86"/>
      <c r="I554" s="86"/>
      <c r="J554" s="593"/>
      <c r="K554" s="3"/>
      <c r="L554" s="28">
        <f>IF(G554="",0,1)</f>
      </c>
      <c r="S554" s="74">
        <f>DATE(ya-2,1,2)</f>
      </c>
      <c r="T554" s="74">
        <f>DATE(ya-1,12,31)</f>
      </c>
    </row>
    <row r="555" spans="1:21" ht="4.5" customHeight="1" x14ac:dyDescent="0.2">
      <c r="A555" s="3"/>
      <c r="B555" s="598"/>
      <c r="C555" s="598"/>
      <c r="D555" s="598"/>
      <c r="E555" s="86"/>
      <c r="F555" s="86"/>
      <c r="G555" s="86"/>
      <c r="H555" s="86"/>
      <c r="I555" s="86"/>
      <c r="J555" s="593"/>
      <c r="K555" s="3"/>
    </row>
    <row r="556" spans="1:21" ht="15" x14ac:dyDescent="0.2">
      <c r="A556" s="3"/>
      <c r="B556" s="596" t="str">
        <f>IF(M531=2,"","Is it a transfer of a controlling interest?")</f>
      </c>
      <c r="C556" s="596"/>
      <c r="D556" s="596"/>
      <c r="E556" s="599" t="s">
        <v>1020</v>
      </c>
      <c r="F556" s="2194"/>
      <c r="G556" s="595" t="str">
        <f>IF(R564=0,"",IF(M531&lt;&gt;1,"",IF(ISBLANK(F556),"Required !","")))</f>
        <v/>
      </c>
      <c r="H556" s="600"/>
      <c r="I556" s="86"/>
      <c r="J556" s="593"/>
      <c r="K556" s="3"/>
      <c r="L556" s="28">
        <f>IF(G556="",0,1)</f>
      </c>
      <c r="S556" s="74">
        <v>38359</v>
      </c>
    </row>
    <row r="557" spans="1:21" ht="6.75" customHeight="1" x14ac:dyDescent="0.2">
      <c r="A557" s="3"/>
      <c r="B557" s="598"/>
      <c r="C557" s="598"/>
      <c r="D557" s="598"/>
      <c r="E557" s="86"/>
      <c r="F557" s="86"/>
      <c r="G557" s="86"/>
      <c r="H557" s="86"/>
      <c r="I557" s="86"/>
      <c r="J557" s="593"/>
      <c r="K557" s="3"/>
    </row>
    <row r="558" spans="1:21" ht="15" x14ac:dyDescent="0.2">
      <c r="A558" s="3"/>
      <c r="B558" s="4663" t="str">
        <f>IF(B531=$AA$2,$AA$29,$AA$28)</f>
        <v xml:space="preserve">Allocated to &gt;   </v>
      </c>
      <c r="C558" s="4663"/>
      <c r="D558" s="4663"/>
      <c r="E558" s="4664"/>
      <c r="F558" s="601"/>
      <c r="G558" s="595" t="str">
        <f>IF(R564=0,"",IF(ISBLANK(F558),"Choose A/c !",""))</f>
        <v/>
      </c>
      <c r="H558" s="86"/>
      <c r="I558" s="86"/>
      <c r="J558" s="593"/>
      <c r="K558" s="3"/>
      <c r="L558" s="28">
        <f>IF(G558="",0,1)</f>
      </c>
    </row>
    <row r="559" spans="1:21" ht="6.75" customHeight="1" x14ac:dyDescent="0.2">
      <c r="A559" s="3"/>
      <c r="B559" s="86"/>
      <c r="C559" s="86"/>
      <c r="D559" s="86"/>
      <c r="E559" s="86"/>
      <c r="F559" s="86"/>
      <c r="G559" s="86"/>
      <c r="H559" s="86"/>
      <c r="I559" s="86"/>
      <c r="J559" s="593"/>
      <c r="K559" s="3"/>
    </row>
    <row r="560" spans="1:21" ht="15" x14ac:dyDescent="0.2">
      <c r="A560" s="3"/>
      <c r="B560" s="8" t="str">
        <f>"Consideration / Market value of "&amp;M560&amp;" transferred"</f>
      </c>
      <c r="C560" s="598"/>
      <c r="D560" s="598"/>
      <c r="E560" s="86"/>
      <c r="F560" s="86"/>
      <c r="G560" s="86"/>
      <c r="H560" s="510"/>
      <c r="I560" s="595" t="str">
        <f>IF(R564=0,"",IF(ISBLANK(H560),"Required !",""))</f>
        <v/>
      </c>
      <c r="J560" s="593"/>
      <c r="K560" s="3"/>
      <c r="L560" s="28">
        <f>IF(I560="",0,1)</f>
      </c>
      <c r="M560" s="28" t="str">
        <f>IF(M531=2,"interest","shares")</f>
      </c>
    </row>
    <row r="561" spans="1:32" ht="3.75" customHeight="1" x14ac:dyDescent="0.2">
      <c r="A561" s="3"/>
      <c r="B561" s="596"/>
      <c r="C561" s="596"/>
      <c r="D561" s="596"/>
      <c r="E561" s="596"/>
      <c r="F561" s="596"/>
      <c r="G561" s="596"/>
      <c r="H561" s="86"/>
      <c r="I561" s="86"/>
      <c r="J561" s="593"/>
      <c r="K561" s="3"/>
    </row>
    <row r="562" spans="1:32" ht="15" x14ac:dyDescent="0.2">
      <c r="A562" s="3"/>
      <c r="B562" s="8" t="str">
        <f>"Cost of acquistion of "&amp;M560&amp;" transferred "</f>
        <v xml:space="preserve">Cost of acquistion of shares transferred </v>
      </c>
      <c r="C562" s="596"/>
      <c r="D562" s="596"/>
      <c r="E562" s="596"/>
      <c r="F562" s="596"/>
      <c r="G562" s="596"/>
      <c r="H562" s="510"/>
      <c r="I562" s="595" t="str">
        <f>IF(R564=0,"",IF(ISBLANK(H562),"Required or insert 0!",""))</f>
        <v/>
      </c>
      <c r="J562" s="593"/>
      <c r="K562" s="3"/>
      <c r="L562" s="28">
        <f>IF(I562="",0,1)</f>
      </c>
      <c r="T562" s="28" t="str">
        <f>ft</f>
      </c>
    </row>
    <row r="563" spans="1:32" ht="15" x14ac:dyDescent="0.2">
      <c r="A563" s="3"/>
      <c r="B563" s="602" t="s">
        <v>2987</v>
      </c>
      <c r="C563" s="603"/>
      <c r="D563" s="603"/>
      <c r="E563" s="603"/>
      <c r="F563" s="603"/>
      <c r="G563" s="86"/>
      <c r="H563" s="86"/>
      <c r="I563" s="86"/>
      <c r="J563" s="593"/>
      <c r="K563" s="3"/>
      <c r="R563" s="142"/>
    </row>
    <row r="564" spans="1:32" ht="15" x14ac:dyDescent="0.2">
      <c r="A564" s="3"/>
      <c r="B564" s="8"/>
      <c r="C564" s="65"/>
      <c r="D564" s="65"/>
      <c r="E564" s="65"/>
      <c r="F564" s="3"/>
      <c r="G564" s="86"/>
      <c r="H564" s="86"/>
      <c r="I564" s="595"/>
      <c r="J564" s="593"/>
      <c r="K564" s="3"/>
      <c r="R564" s="28">
        <f>COUNTA(B531,E548,F550,F552,F554,F556,F558,H560,H562,E567,E568,E533,F535)</f>
      </c>
    </row>
    <row r="565" spans="1:32" ht="15" x14ac:dyDescent="0.2">
      <c r="A565" s="211"/>
      <c r="B565" s="211" t="str">
        <f>"Gain/(Loss) attributable to "&amp;M565</f>
      </c>
      <c r="C565" s="211"/>
      <c r="D565" s="211"/>
      <c r="E565" s="211"/>
      <c r="F565" s="211"/>
      <c r="G565" s="211"/>
      <c r="H565" s="544">
        <f>H560-H562</f>
      </c>
      <c r="I565" s="211"/>
      <c r="J565" s="593"/>
      <c r="K565" s="211"/>
      <c r="M565" s="28" t="str">
        <f>IF(M531=2,"partner","shareholder")</f>
      </c>
    </row>
    <row r="566" spans="1:32" ht="12" customHeight="1" x14ac:dyDescent="0.2">
      <c r="A566" s="593"/>
      <c r="B566" s="593"/>
      <c r="C566" s="593"/>
      <c r="D566" s="593"/>
      <c r="E566" s="593"/>
      <c r="F566" s="593"/>
      <c r="G566" s="593"/>
      <c r="H566" s="593"/>
      <c r="I566" s="593"/>
      <c r="J566" s="593"/>
      <c r="K566" s="211"/>
    </row>
    <row r="567" spans="1:32" ht="12.75" customHeight="1" x14ac:dyDescent="0.2">
      <c r="A567" s="593"/>
      <c r="B567" s="1780" t="s">
        <v>8221</v>
      </c>
      <c r="C567" s="1"/>
      <c r="D567" s="1"/>
      <c r="E567" s="2194"/>
      <c r="F567" s="2150" t="str">
        <f>IF(AND(B531=$AA$2,E567=""),re,"")</f>
        <v/>
      </c>
      <c r="G567" s="1"/>
      <c r="H567" s="1"/>
      <c r="I567" s="1"/>
      <c r="J567" s="1"/>
      <c r="K567" s="1"/>
      <c r="L567" s="2583">
        <f>IF(F567="",0,1)</f>
      </c>
    </row>
    <row r="568" spans="1:32" ht="12.75" customHeight="1" x14ac:dyDescent="0.2">
      <c r="A568" s="593"/>
      <c r="B568" s="1780" t="s">
        <v>8222</v>
      </c>
      <c r="C568" s="1"/>
      <c r="D568" s="1"/>
      <c r="E568" s="4655"/>
      <c r="F568" s="4656"/>
      <c r="G568" s="4657"/>
      <c r="H568" s="2150" t="str">
        <f>IF(AND(B531=$AA$2,E568=""),re,"")</f>
        <v/>
      </c>
      <c r="I568" s="1"/>
      <c r="J568" s="1"/>
      <c r="K568" s="1"/>
      <c r="L568" s="2583">
        <f>IF(H568="",0,1)</f>
      </c>
    </row>
    <row r="569" spans="1:32" ht="12.75" customHeight="1" x14ac:dyDescent="0.2">
      <c r="A569" s="593"/>
      <c r="B569" s="1780" t="str">
        <f>IF(OR(E568="",E567=""),"Taxable portion","Taxable portion is equal to "&amp;VLOOKUP(E568,AA569:AB573,2,FALSE)*100&amp;" % of the gain")</f>
      </c>
      <c r="C569" s="1"/>
      <c r="D569" s="595" t="str">
        <f>IF(ISERROR(B569)=TRUE,"Check!","")</f>
        <v/>
      </c>
      <c r="E569" s="1"/>
      <c r="F569" s="1"/>
      <c r="G569" s="1"/>
      <c r="H569" s="925">
        <f>IF(E568="",0,IF(B531&lt;&gt;$AA$2,0,ROUND(H565*AA682,0)))</f>
      </c>
      <c r="I569" s="2587" t="s">
        <v>8230</v>
      </c>
      <c r="J569" s="1"/>
      <c r="K569" s="1"/>
      <c r="L569" s="28">
        <f>IF(D569="",0,1)</f>
      </c>
      <c r="AA569" t="str">
        <f>IF(E567="","","Less than 10%")</f>
        <v/>
      </c>
      <c r="AB569" s="2589" t="str">
        <f>IF(E567="","",AD569)</f>
        <v/>
      </c>
      <c r="AC569" t="s">
        <v>8223</v>
      </c>
      <c r="AD569" s="2174">
        <v>1</v>
      </c>
    </row>
    <row r="570" spans="1:32" ht="12.75" customHeight="1" x14ac:dyDescent="0.2">
      <c r="A570" s="593"/>
      <c r="B570" s="1780" t="s">
        <v>8229</v>
      </c>
      <c r="C570" s="1"/>
      <c r="D570" s="1"/>
      <c r="E570" s="1"/>
      <c r="F570" s="1"/>
      <c r="G570" s="1"/>
      <c r="H570" s="925">
        <f>IF(E568="",0,IF(B531&lt;&gt;$AA$2,0,H565-H569))</f>
      </c>
      <c r="I570" s="2587" t="str">
        <f>IF(F535="yes","TRA116","TRA 18")</f>
      </c>
      <c r="J570" s="1"/>
      <c r="K570" s="1"/>
      <c r="O570" s="2583" t="s">
        <v>313</v>
      </c>
      <c r="P570" s="2590">
        <f>H570</f>
      </c>
      <c r="AA570" s="28" t="str">
        <f>IF(E567="","",IF(E567=y,AC570,AE570))</f>
        <v/>
      </c>
      <c r="AB570" s="2589" t="str">
        <f>IF(E567="","",IF(E567=y,AD570,AF570))</f>
        <v/>
      </c>
      <c r="AC570" t="s">
        <v>8224</v>
      </c>
      <c r="AD570" s="2174">
        <v>0.75</v>
      </c>
      <c r="AE570" t="s">
        <v>8228</v>
      </c>
      <c r="AF570" s="2174">
        <v>0</v>
      </c>
    </row>
    <row r="571" spans="1:32" ht="6.75" customHeight="1" x14ac:dyDescent="0.2">
      <c r="A571" s="3"/>
      <c r="B571" s="603"/>
      <c r="C571" s="603"/>
      <c r="D571" s="603"/>
      <c r="E571" s="603"/>
      <c r="F571" s="603"/>
      <c r="G571" s="86"/>
      <c r="H571" s="86"/>
      <c r="I571" s="86"/>
      <c r="J571" s="593"/>
      <c r="K571" s="3"/>
      <c r="AA571" s="28" t="str">
        <f>IF(E567=y,AC571,"")</f>
        <v/>
      </c>
      <c r="AB571" s="2589" t="str">
        <f>IF(E567=y,AD571,"")</f>
        <v/>
      </c>
      <c r="AC571" t="s">
        <v>8225</v>
      </c>
      <c r="AD571" s="2174">
        <v>0.5</v>
      </c>
    </row>
    <row r="572" spans="1:32" ht="15" x14ac:dyDescent="0.2">
      <c r="A572" s="3"/>
      <c r="B572" s="604" t="s">
        <v>5493</v>
      </c>
      <c r="C572" s="604"/>
      <c r="D572" s="604"/>
      <c r="E572" s="604"/>
      <c r="F572" s="605" t="s">
        <v>9125</v>
      </c>
      <c r="G572" s="605" t="str">
        <f>ip</f>
      </c>
      <c r="H572" s="605" t="s">
        <v>363</v>
      </c>
      <c r="I572" s="605" t="s">
        <v>2372</v>
      </c>
      <c r="J572" s="593"/>
      <c r="K572" s="3"/>
      <c r="AA572" s="28" t="str">
        <f>IF(E567=y,AC572,"")</f>
        <v/>
      </c>
      <c r="AB572" s="2589" t="str">
        <f>IF(E567=y,AD572,"")</f>
        <v/>
      </c>
      <c r="AC572" t="s">
        <v>8226</v>
      </c>
      <c r="AD572" s="2174">
        <v>0.25</v>
      </c>
    </row>
    <row r="573" spans="1:32" ht="15" x14ac:dyDescent="0.2">
      <c r="A573" s="3"/>
      <c r="B573" s="3"/>
      <c r="C573" s="3"/>
      <c r="D573" s="3"/>
      <c r="E573" s="3"/>
      <c r="F573" s="590" t="str">
        <f>IF($F558=F572,T573,"")</f>
        <v/>
      </c>
      <c r="G573" s="590" t="str">
        <f>IF($F558=ip,T573,"")</f>
        <v/>
      </c>
      <c r="H573" s="590" t="str">
        <f>IF($F558=mt,T573,"")</f>
        <v/>
      </c>
      <c r="I573" s="590" t="str">
        <f>IF($F558=fi,T573,"")</f>
        <v/>
      </c>
      <c r="J573" s="593"/>
      <c r="K573" s="3"/>
      <c r="S573" s="606"/>
      <c r="T573" s="2588">
        <f>IF(E568="",H565,IF(B531=$AA$2,H569,H565))</f>
      </c>
      <c r="AA573" s="28" t="str">
        <f>IF(E567=y,AC573,"")</f>
        <v/>
      </c>
      <c r="AB573" s="2589" t="str">
        <f>IF(E567=y,AD573,"")</f>
        <v/>
      </c>
      <c r="AC573" t="s">
        <v>8227</v>
      </c>
      <c r="AD573" s="2174">
        <v>0</v>
      </c>
    </row>
    <row r="574" spans="1:32" ht="15" x14ac:dyDescent="0.2">
      <c r="A574" s="3"/>
      <c r="B574" s="86" t="str">
        <f>_xlfn.SINGLE(MTCA)</f>
      </c>
      <c r="C574" s="86"/>
      <c r="D574" s="86"/>
      <c r="E574" s="86" t="str">
        <f>ver</f>
        <v>TA2_e-CO_2025_Ver 1.1</v>
      </c>
      <c r="F574" s="86"/>
      <c r="G574" s="86"/>
      <c r="H574" s="86"/>
      <c r="I574" s="607" t="s">
        <v>9881</v>
      </c>
      <c r="J574" s="593"/>
      <c r="K574" s="3"/>
    </row>
    <row r="575" spans="1:32" ht="12.75" customHeight="1" x14ac:dyDescent="0.2">
      <c r="A575" s="3"/>
      <c r="B575" s="608"/>
      <c r="C575" s="609"/>
      <c r="D575" s="609"/>
      <c r="E575" s="609"/>
      <c r="F575" s="609"/>
      <c r="G575" s="609"/>
      <c r="H575" s="609"/>
      <c r="I575" s="609"/>
      <c r="J575" s="593"/>
      <c r="K575" s="609"/>
      <c r="R575" s="28">
        <f>R564+R516+R468+R420+R372+R324+R276+R228+R180+R132+R84+R36</f>
      </c>
      <c r="S575" s="84">
        <f>S573+S525+S477</f>
      </c>
    </row>
    <row r="576" spans="1:32" ht="12.75" customHeight="1" x14ac:dyDescent="0.2">
      <c r="A576" s="3"/>
      <c r="B576" s="237"/>
      <c r="C576" s="3"/>
      <c r="D576" s="3"/>
      <c r="E576" s="610" t="s">
        <v>4456</v>
      </c>
      <c r="F576" s="331"/>
      <c r="G576" s="1276" t="str">
        <f>IF(AND(R564&gt;0,F576=""),re,"")</f>
        <v/>
      </c>
      <c r="H576" s="3"/>
      <c r="I576" s="3"/>
      <c r="J576" s="593"/>
      <c r="K576" s="3"/>
      <c r="L576" s="28">
        <f>IF(G576="",0,1)</f>
      </c>
      <c r="N576" s="28">
        <f>IF(F576=n,1,0)</f>
      </c>
    </row>
    <row r="577" spans="1:11" ht="12.75" hidden="1" customHeight="1" x14ac:dyDescent="0.2">
      <c r="A577" s="3"/>
      <c r="B577" s="237"/>
      <c r="C577" s="3"/>
      <c r="D577" s="3"/>
      <c r="E577" s="610"/>
      <c r="F577" s="3500"/>
      <c r="G577" s="1276"/>
      <c r="H577" s="3"/>
      <c r="I577" s="3"/>
      <c r="J577" s="593"/>
      <c r="K577" s="3"/>
    </row>
    <row r="578" spans="1:11" ht="12.75" hidden="1" customHeight="1" x14ac:dyDescent="0.2">
      <c r="A578" s="3"/>
      <c r="B578" s="237"/>
      <c r="C578" s="3"/>
      <c r="D578" s="3"/>
      <c r="E578" s="610"/>
      <c r="F578" s="3500"/>
      <c r="G578" s="1276"/>
      <c r="H578" s="3"/>
      <c r="I578" s="3"/>
      <c r="J578" s="593"/>
      <c r="K578" s="3"/>
    </row>
    <row r="579" spans="1:11" ht="12.75" hidden="1" customHeight="1" x14ac:dyDescent="0.2">
      <c r="A579" s="3"/>
      <c r="B579" s="237"/>
      <c r="C579" s="3"/>
      <c r="D579" s="3"/>
      <c r="E579" s="610"/>
      <c r="F579" s="3500"/>
      <c r="G579" s="1276"/>
      <c r="H579" s="3"/>
      <c r="I579" s="3"/>
      <c r="J579" s="593"/>
      <c r="K579" s="3"/>
    </row>
    <row r="580" spans="1:11" ht="12.75" hidden="1" customHeight="1" x14ac:dyDescent="0.2">
      <c r="A580" s="3"/>
      <c r="B580" s="237"/>
      <c r="C580" s="3"/>
      <c r="D580" s="3"/>
      <c r="E580" s="610"/>
      <c r="F580" s="3500"/>
      <c r="G580" s="1276"/>
      <c r="H580" s="3"/>
      <c r="I580" s="3"/>
      <c r="J580" s="593"/>
      <c r="K580" s="3"/>
    </row>
    <row r="581" spans="1:11" ht="12.75" hidden="1" customHeight="1" x14ac:dyDescent="0.2">
      <c r="A581" s="3"/>
      <c r="B581" s="237"/>
      <c r="C581" s="3"/>
      <c r="D581" s="3"/>
      <c r="E581" s="610"/>
      <c r="F581" s="3500"/>
      <c r="G581" s="1276"/>
      <c r="H581" s="3"/>
      <c r="I581" s="3"/>
      <c r="J581" s="593"/>
      <c r="K581" s="3"/>
    </row>
    <row r="582" spans="1:11" ht="12.75" hidden="1" customHeight="1" x14ac:dyDescent="0.2">
      <c r="A582" s="3"/>
      <c r="B582" s="237"/>
      <c r="C582" s="3"/>
      <c r="D582" s="3"/>
      <c r="E582" s="610"/>
      <c r="F582" s="3500"/>
      <c r="G582" s="1276"/>
      <c r="H582" s="3"/>
      <c r="I582" s="3"/>
      <c r="J582" s="593"/>
      <c r="K582" s="3"/>
    </row>
    <row r="583" spans="1:11" ht="12.75" hidden="1" customHeight="1" x14ac:dyDescent="0.2">
      <c r="A583" s="3"/>
      <c r="B583" s="237"/>
      <c r="C583" s="3"/>
      <c r="D583" s="3"/>
      <c r="E583" s="610"/>
      <c r="F583" s="3500"/>
      <c r="G583" s="1276"/>
      <c r="H583" s="3"/>
      <c r="I583" s="3"/>
      <c r="J583" s="593"/>
      <c r="K583" s="3"/>
    </row>
    <row r="584" spans="1:11" ht="12.75" hidden="1" customHeight="1" x14ac:dyDescent="0.2">
      <c r="A584" s="3"/>
      <c r="B584" s="237"/>
      <c r="C584" s="3"/>
      <c r="D584" s="3"/>
      <c r="E584" s="610"/>
      <c r="F584" s="3500"/>
      <c r="G584" s="1276"/>
      <c r="H584" s="3"/>
      <c r="I584" s="3"/>
      <c r="J584" s="593"/>
      <c r="K584" s="3"/>
    </row>
    <row r="585" spans="1:11" ht="12.75" hidden="1" customHeight="1" x14ac:dyDescent="0.2">
      <c r="A585" s="3"/>
      <c r="B585" s="237"/>
      <c r="C585" s="3"/>
      <c r="D585" s="3"/>
      <c r="E585" s="610"/>
      <c r="F585" s="3500"/>
      <c r="G585" s="1276"/>
      <c r="H585" s="3"/>
      <c r="I585" s="3"/>
      <c r="J585" s="593"/>
      <c r="K585" s="3"/>
    </row>
    <row r="586" spans="1:11" ht="12.75" hidden="1" customHeight="1" x14ac:dyDescent="0.2">
      <c r="A586" s="3"/>
      <c r="B586" s="237"/>
      <c r="C586" s="3"/>
      <c r="D586" s="3"/>
      <c r="E586" s="610"/>
      <c r="F586" s="3500"/>
      <c r="G586" s="1276"/>
      <c r="H586" s="3"/>
      <c r="I586" s="3"/>
      <c r="J586" s="593"/>
      <c r="K586" s="3"/>
    </row>
    <row r="587" spans="1:11" ht="12.75" hidden="1" customHeight="1" x14ac:dyDescent="0.2">
      <c r="A587" s="3"/>
      <c r="B587" s="237"/>
      <c r="C587" s="3"/>
      <c r="D587" s="3"/>
      <c r="E587" s="610"/>
      <c r="F587" s="3500"/>
      <c r="G587" s="1276"/>
      <c r="H587" s="3"/>
      <c r="I587" s="3"/>
      <c r="J587" s="593"/>
      <c r="K587" s="3"/>
    </row>
    <row r="588" spans="1:11" ht="12.75" hidden="1" customHeight="1" x14ac:dyDescent="0.2">
      <c r="A588" s="3"/>
      <c r="B588" s="237"/>
      <c r="C588" s="3"/>
      <c r="D588" s="3"/>
      <c r="E588" s="610"/>
      <c r="F588" s="3500"/>
      <c r="G588" s="1276"/>
      <c r="H588" s="3"/>
      <c r="I588" s="3"/>
      <c r="J588" s="593"/>
      <c r="K588" s="3"/>
    </row>
    <row r="589" spans="1:11" ht="12.75" hidden="1" customHeight="1" x14ac:dyDescent="0.2">
      <c r="A589" s="3"/>
      <c r="B589" s="237"/>
      <c r="C589" s="3"/>
      <c r="D589" s="3"/>
      <c r="E589" s="610"/>
      <c r="F589" s="3500"/>
      <c r="G589" s="1276"/>
      <c r="H589" s="3"/>
      <c r="I589" s="3"/>
      <c r="J589" s="593"/>
      <c r="K589" s="3"/>
    </row>
    <row r="590" spans="1:11" ht="12.75" hidden="1" customHeight="1" x14ac:dyDescent="0.2">
      <c r="A590" s="3"/>
      <c r="B590" s="237"/>
      <c r="C590" s="3"/>
      <c r="D590" s="3"/>
      <c r="E590" s="610"/>
      <c r="F590" s="3500"/>
      <c r="G590" s="1276"/>
      <c r="H590" s="3"/>
      <c r="I590" s="3"/>
      <c r="J590" s="593"/>
      <c r="K590" s="3"/>
    </row>
    <row r="591" spans="1:11" ht="12.75" hidden="1" customHeight="1" x14ac:dyDescent="0.2">
      <c r="A591" s="3"/>
      <c r="B591" s="237"/>
      <c r="C591" s="3"/>
      <c r="D591" s="3"/>
      <c r="E591" s="610"/>
      <c r="F591" s="3500"/>
      <c r="G591" s="1276"/>
      <c r="H591" s="3"/>
      <c r="I591" s="3"/>
      <c r="J591" s="593"/>
      <c r="K591" s="3"/>
    </row>
    <row r="592" spans="1:11" ht="12.75" hidden="1" customHeight="1" x14ac:dyDescent="0.2">
      <c r="A592" s="3"/>
      <c r="B592" s="237"/>
      <c r="C592" s="3"/>
      <c r="D592" s="3"/>
      <c r="E592" s="610"/>
      <c r="F592" s="3500"/>
      <c r="G592" s="1276"/>
      <c r="H592" s="3"/>
      <c r="I592" s="3"/>
      <c r="J592" s="593"/>
      <c r="K592" s="3"/>
    </row>
    <row r="593" spans="1:11" ht="12.75" hidden="1" customHeight="1" x14ac:dyDescent="0.2">
      <c r="A593" s="3"/>
      <c r="B593" s="237"/>
      <c r="C593" s="3"/>
      <c r="D593" s="3"/>
      <c r="E593" s="610"/>
      <c r="F593" s="3500"/>
      <c r="G593" s="1276"/>
      <c r="H593" s="3"/>
      <c r="I593" s="3"/>
      <c r="J593" s="593"/>
      <c r="K593" s="3"/>
    </row>
    <row r="594" spans="1:11" ht="12.75" hidden="1" customHeight="1" x14ac:dyDescent="0.2">
      <c r="A594" s="3"/>
      <c r="B594" s="237"/>
      <c r="C594" s="3"/>
      <c r="D594" s="3"/>
      <c r="E594" s="610"/>
      <c r="F594" s="3500"/>
      <c r="G594" s="1276"/>
      <c r="H594" s="3"/>
      <c r="I594" s="3"/>
      <c r="J594" s="593"/>
      <c r="K594" s="3"/>
    </row>
    <row r="595" spans="1:11" ht="12.75" hidden="1" customHeight="1" x14ac:dyDescent="0.2">
      <c r="A595" s="3"/>
      <c r="B595" s="237"/>
      <c r="C595" s="3"/>
      <c r="D595" s="3"/>
      <c r="E595" s="610"/>
      <c r="F595" s="3500"/>
      <c r="G595" s="1276"/>
      <c r="H595" s="3"/>
      <c r="I595" s="3"/>
      <c r="J595" s="593"/>
      <c r="K595" s="3"/>
    </row>
    <row r="596" spans="1:11" ht="12.75" hidden="1" customHeight="1" x14ac:dyDescent="0.2">
      <c r="A596" s="3"/>
      <c r="B596" s="237"/>
      <c r="C596" s="3"/>
      <c r="D596" s="3"/>
      <c r="E596" s="610"/>
      <c r="F596" s="3500"/>
      <c r="G596" s="1276"/>
      <c r="H596" s="3"/>
      <c r="I596" s="3"/>
      <c r="J596" s="593"/>
      <c r="K596" s="3"/>
    </row>
    <row r="597" spans="1:11" ht="12.75" hidden="1" customHeight="1" x14ac:dyDescent="0.2">
      <c r="A597" s="3"/>
      <c r="B597" s="237"/>
      <c r="C597" s="3"/>
      <c r="D597" s="3"/>
      <c r="E597" s="610"/>
      <c r="F597" s="3500"/>
      <c r="G597" s="1276"/>
      <c r="H597" s="3"/>
      <c r="I597" s="3"/>
      <c r="J597" s="593"/>
      <c r="K597" s="3"/>
    </row>
    <row r="598" spans="1:11" ht="12.75" hidden="1" customHeight="1" x14ac:dyDescent="0.2">
      <c r="A598" s="3"/>
      <c r="B598" s="237"/>
      <c r="C598" s="3"/>
      <c r="D598" s="3"/>
      <c r="E598" s="610"/>
      <c r="F598" s="3500"/>
      <c r="G598" s="1276"/>
      <c r="H598" s="3"/>
      <c r="I598" s="3"/>
      <c r="J598" s="593"/>
      <c r="K598" s="3"/>
    </row>
    <row r="599" spans="1:11" ht="12.75" hidden="1" customHeight="1" x14ac:dyDescent="0.2">
      <c r="A599" s="3"/>
      <c r="B599" s="237"/>
      <c r="C599" s="3"/>
      <c r="D599" s="3"/>
      <c r="E599" s="610"/>
      <c r="F599" s="3500"/>
      <c r="G599" s="1276"/>
      <c r="H599" s="3"/>
      <c r="I599" s="3"/>
      <c r="J599" s="593"/>
      <c r="K599" s="3"/>
    </row>
    <row r="600" spans="1:11" ht="12.75" hidden="1" customHeight="1" x14ac:dyDescent="0.2">
      <c r="A600" s="3"/>
      <c r="B600" s="237"/>
      <c r="C600" s="3"/>
      <c r="D600" s="3"/>
      <c r="E600" s="610"/>
      <c r="F600" s="3500"/>
      <c r="G600" s="1276"/>
      <c r="H600" s="3"/>
      <c r="I600" s="3"/>
      <c r="J600" s="593"/>
      <c r="K600" s="3"/>
    </row>
    <row r="601" spans="1:11" ht="12.75" hidden="1" customHeight="1" x14ac:dyDescent="0.2">
      <c r="A601" s="3"/>
      <c r="B601" s="237"/>
      <c r="C601" s="3"/>
      <c r="D601" s="3"/>
      <c r="E601" s="610"/>
      <c r="F601" s="3500"/>
      <c r="G601" s="1276"/>
      <c r="H601" s="3"/>
      <c r="I601" s="3"/>
      <c r="J601" s="593"/>
      <c r="K601" s="3"/>
    </row>
    <row r="602" spans="1:11" ht="12.75" hidden="1" customHeight="1" x14ac:dyDescent="0.2">
      <c r="A602" s="3"/>
      <c r="B602" s="237"/>
      <c r="C602" s="3"/>
      <c r="D602" s="3"/>
      <c r="E602" s="610"/>
      <c r="F602" s="3500"/>
      <c r="G602" s="1276"/>
      <c r="H602" s="3"/>
      <c r="I602" s="3"/>
      <c r="J602" s="593"/>
      <c r="K602" s="3"/>
    </row>
    <row r="603" spans="1:11" ht="12.75" hidden="1" customHeight="1" x14ac:dyDescent="0.2">
      <c r="A603" s="3"/>
      <c r="B603" s="237"/>
      <c r="C603" s="3"/>
      <c r="D603" s="3"/>
      <c r="E603" s="610"/>
      <c r="F603" s="3500"/>
      <c r="G603" s="1276"/>
      <c r="H603" s="3"/>
      <c r="I603" s="3"/>
      <c r="J603" s="593"/>
      <c r="K603" s="3"/>
    </row>
    <row r="604" spans="1:11" ht="12.75" hidden="1" customHeight="1" x14ac:dyDescent="0.2">
      <c r="A604" s="3"/>
      <c r="B604" s="237"/>
      <c r="C604" s="3"/>
      <c r="D604" s="3"/>
      <c r="E604" s="610"/>
      <c r="F604" s="3500"/>
      <c r="G604" s="1276"/>
      <c r="H604" s="3"/>
      <c r="I604" s="3"/>
      <c r="J604" s="593"/>
      <c r="K604" s="3"/>
    </row>
    <row r="605" spans="1:11" ht="12.75" hidden="1" customHeight="1" x14ac:dyDescent="0.2">
      <c r="A605" s="3"/>
      <c r="B605" s="237"/>
      <c r="C605" s="3"/>
      <c r="D605" s="3"/>
      <c r="E605" s="610"/>
      <c r="F605" s="3500"/>
      <c r="G605" s="1276"/>
      <c r="H605" s="3"/>
      <c r="I605" s="3"/>
      <c r="J605" s="593"/>
      <c r="K605" s="3"/>
    </row>
    <row r="606" spans="1:11" ht="12.75" hidden="1" customHeight="1" x14ac:dyDescent="0.2">
      <c r="A606" s="3"/>
      <c r="B606" s="237"/>
      <c r="C606" s="3"/>
      <c r="D606" s="3"/>
      <c r="E606" s="610"/>
      <c r="F606" s="3500"/>
      <c r="G606" s="1276"/>
      <c r="H606" s="3"/>
      <c r="I606" s="3"/>
      <c r="J606" s="593"/>
      <c r="K606" s="3"/>
    </row>
    <row r="607" spans="1:11" ht="12.75" hidden="1" customHeight="1" x14ac:dyDescent="0.2">
      <c r="A607" s="3"/>
      <c r="B607" s="237"/>
      <c r="C607" s="3"/>
      <c r="D607" s="3"/>
      <c r="E607" s="610"/>
      <c r="F607" s="3500"/>
      <c r="G607" s="1276"/>
      <c r="H607" s="3"/>
      <c r="I607" s="3"/>
      <c r="J607" s="593"/>
      <c r="K607" s="3"/>
    </row>
    <row r="608" spans="1:11" ht="12.75" hidden="1" customHeight="1" x14ac:dyDescent="0.2">
      <c r="A608" s="3"/>
      <c r="B608" s="237"/>
      <c r="C608" s="3"/>
      <c r="D608" s="3"/>
      <c r="E608" s="610"/>
      <c r="F608" s="3500"/>
      <c r="G608" s="1276"/>
      <c r="H608" s="3"/>
      <c r="I608" s="3"/>
      <c r="J608" s="593"/>
      <c r="K608" s="3"/>
    </row>
    <row r="609" spans="1:11" ht="12.75" hidden="1" customHeight="1" x14ac:dyDescent="0.2">
      <c r="A609" s="3"/>
      <c r="B609" s="237"/>
      <c r="C609" s="3"/>
      <c r="D609" s="3"/>
      <c r="E609" s="610"/>
      <c r="F609" s="3500"/>
      <c r="G609" s="1276"/>
      <c r="H609" s="3"/>
      <c r="I609" s="3"/>
      <c r="J609" s="593"/>
      <c r="K609" s="3"/>
    </row>
    <row r="610" spans="1:11" ht="12.75" hidden="1" customHeight="1" x14ac:dyDescent="0.2">
      <c r="A610" s="3"/>
      <c r="B610" s="237"/>
      <c r="C610" s="3"/>
      <c r="D610" s="3"/>
      <c r="E610" s="610"/>
      <c r="F610" s="3500"/>
      <c r="G610" s="1276"/>
      <c r="H610" s="3"/>
      <c r="I610" s="3"/>
      <c r="J610" s="593"/>
      <c r="K610" s="3"/>
    </row>
    <row r="611" spans="1:11" ht="12.75" hidden="1" customHeight="1" x14ac:dyDescent="0.2">
      <c r="A611" s="3"/>
      <c r="B611" s="237"/>
      <c r="C611" s="3"/>
      <c r="D611" s="3"/>
      <c r="E611" s="610"/>
      <c r="F611" s="3500"/>
      <c r="G611" s="1276"/>
      <c r="H611" s="3"/>
      <c r="I611" s="3"/>
      <c r="J611" s="593"/>
      <c r="K611" s="3"/>
    </row>
    <row r="612" spans="1:11" ht="12.75" hidden="1" customHeight="1" x14ac:dyDescent="0.2">
      <c r="A612" s="3"/>
      <c r="B612" s="237"/>
      <c r="C612" s="3"/>
      <c r="D612" s="3"/>
      <c r="E612" s="610"/>
      <c r="F612" s="3500"/>
      <c r="G612" s="1276"/>
      <c r="H612" s="3"/>
      <c r="I612" s="3"/>
      <c r="J612" s="593"/>
      <c r="K612" s="3"/>
    </row>
    <row r="613" spans="1:11" ht="12.75" hidden="1" customHeight="1" x14ac:dyDescent="0.2">
      <c r="A613" s="3"/>
      <c r="B613" s="237"/>
      <c r="C613" s="3"/>
      <c r="D613" s="3"/>
      <c r="E613" s="610"/>
      <c r="F613" s="3500"/>
      <c r="G613" s="1276"/>
      <c r="H613" s="3"/>
      <c r="I613" s="3"/>
      <c r="J613" s="593"/>
      <c r="K613" s="3"/>
    </row>
    <row r="614" spans="1:11" ht="12.75" hidden="1" customHeight="1" x14ac:dyDescent="0.2">
      <c r="A614" s="3"/>
      <c r="B614" s="237"/>
      <c r="C614" s="3"/>
      <c r="D614" s="3"/>
      <c r="E614" s="610"/>
      <c r="F614" s="3500"/>
      <c r="G614" s="1276"/>
      <c r="H614" s="3"/>
      <c r="I614" s="3"/>
      <c r="J614" s="593"/>
      <c r="K614" s="3"/>
    </row>
    <row r="615" spans="1:11" ht="12.75" hidden="1" customHeight="1" x14ac:dyDescent="0.2">
      <c r="A615" s="3"/>
      <c r="B615" s="237"/>
      <c r="C615" s="3"/>
      <c r="D615" s="3"/>
      <c r="E615" s="610"/>
      <c r="F615" s="3500"/>
      <c r="G615" s="1276"/>
      <c r="H615" s="3"/>
      <c r="I615" s="3"/>
      <c r="J615" s="593"/>
      <c r="K615" s="3"/>
    </row>
    <row r="616" spans="1:11" ht="12.75" hidden="1" customHeight="1" x14ac:dyDescent="0.2">
      <c r="A616" s="3"/>
      <c r="B616" s="237"/>
      <c r="C616" s="3"/>
      <c r="D616" s="3"/>
      <c r="E616" s="610"/>
      <c r="F616" s="3500"/>
      <c r="G616" s="1276"/>
      <c r="H616" s="3"/>
      <c r="I616" s="3"/>
      <c r="J616" s="593"/>
      <c r="K616" s="3"/>
    </row>
    <row r="617" spans="1:11" ht="12.75" hidden="1" customHeight="1" x14ac:dyDescent="0.2">
      <c r="A617" s="3"/>
      <c r="B617" s="237"/>
      <c r="C617" s="3"/>
      <c r="D617" s="3"/>
      <c r="E617" s="610"/>
      <c r="F617" s="3500"/>
      <c r="G617" s="1276"/>
      <c r="H617" s="3"/>
      <c r="I617" s="3"/>
      <c r="J617" s="593"/>
      <c r="K617" s="3"/>
    </row>
    <row r="618" spans="1:11" ht="12.75" hidden="1" customHeight="1" x14ac:dyDescent="0.2">
      <c r="A618" s="3"/>
      <c r="B618" s="237"/>
      <c r="C618" s="3"/>
      <c r="D618" s="3"/>
      <c r="E618" s="610"/>
      <c r="F618" s="3500"/>
      <c r="G618" s="1276"/>
      <c r="H618" s="3"/>
      <c r="I618" s="3"/>
      <c r="J618" s="593"/>
      <c r="K618" s="3"/>
    </row>
    <row r="619" spans="1:11" ht="12.75" hidden="1" customHeight="1" x14ac:dyDescent="0.2">
      <c r="A619" s="3"/>
      <c r="B619" s="237"/>
      <c r="C619" s="3"/>
      <c r="D619" s="3"/>
      <c r="E619" s="610"/>
      <c r="F619" s="3500"/>
      <c r="G619" s="1276"/>
      <c r="H619" s="3"/>
      <c r="I619" s="3"/>
      <c r="J619" s="593"/>
      <c r="K619" s="3"/>
    </row>
    <row r="620" spans="1:11" ht="12.75" hidden="1" customHeight="1" x14ac:dyDescent="0.2">
      <c r="A620" s="3"/>
      <c r="B620" s="237"/>
      <c r="C620" s="3"/>
      <c r="D620" s="3"/>
      <c r="E620" s="610"/>
      <c r="F620" s="3500"/>
      <c r="G620" s="1276"/>
      <c r="H620" s="3"/>
      <c r="I620" s="3"/>
      <c r="J620" s="593"/>
      <c r="K620" s="3"/>
    </row>
    <row r="621" spans="1:11" ht="12.75" hidden="1" customHeight="1" x14ac:dyDescent="0.2">
      <c r="A621" s="3"/>
      <c r="B621" s="237"/>
      <c r="C621" s="3"/>
      <c r="D621" s="3"/>
      <c r="E621" s="610"/>
      <c r="F621" s="3500"/>
      <c r="G621" s="1276"/>
      <c r="H621" s="3"/>
      <c r="I621" s="3"/>
      <c r="J621" s="593"/>
      <c r="K621" s="3"/>
    </row>
    <row r="622" spans="1:11" ht="12.75" hidden="1" customHeight="1" x14ac:dyDescent="0.2">
      <c r="A622" s="3"/>
      <c r="B622" s="237"/>
      <c r="C622" s="3"/>
      <c r="D622" s="3"/>
      <c r="E622" s="610"/>
      <c r="F622" s="3500"/>
      <c r="G622" s="1276"/>
      <c r="H622" s="3"/>
      <c r="I622" s="3"/>
      <c r="J622" s="593"/>
      <c r="K622" s="3"/>
    </row>
    <row r="623" spans="1:11" ht="12.75" hidden="1" customHeight="1" x14ac:dyDescent="0.2">
      <c r="A623" s="3"/>
      <c r="B623" s="237"/>
      <c r="C623" s="3"/>
      <c r="D623" s="3"/>
      <c r="E623" s="610"/>
      <c r="F623" s="3500"/>
      <c r="G623" s="1276"/>
      <c r="H623" s="3"/>
      <c r="I623" s="3"/>
      <c r="J623" s="593"/>
      <c r="K623" s="3"/>
    </row>
    <row r="624" spans="1:11" ht="12.75" hidden="1" customHeight="1" x14ac:dyDescent="0.2">
      <c r="A624" s="3"/>
      <c r="B624" s="237"/>
      <c r="C624" s="3"/>
      <c r="D624" s="3"/>
      <c r="E624" s="610"/>
      <c r="F624" s="3500"/>
      <c r="G624" s="1276"/>
      <c r="H624" s="3"/>
      <c r="I624" s="3"/>
      <c r="J624" s="593"/>
      <c r="K624" s="3"/>
    </row>
    <row r="625" spans="1:11" ht="12.75" hidden="1" customHeight="1" x14ac:dyDescent="0.2">
      <c r="A625" s="3"/>
      <c r="B625" s="237"/>
      <c r="C625" s="3"/>
      <c r="D625" s="3"/>
      <c r="E625" s="610"/>
      <c r="F625" s="3500"/>
      <c r="G625" s="1276"/>
      <c r="H625" s="3"/>
      <c r="I625" s="3"/>
      <c r="J625" s="593"/>
      <c r="K625" s="3"/>
    </row>
    <row r="626" spans="1:11" ht="12.75" hidden="1" customHeight="1" x14ac:dyDescent="0.2">
      <c r="A626" s="3"/>
      <c r="B626" s="237"/>
      <c r="C626" s="3"/>
      <c r="D626" s="3"/>
      <c r="E626" s="610"/>
      <c r="F626" s="3500"/>
      <c r="G626" s="1276"/>
      <c r="H626" s="3"/>
      <c r="I626" s="3"/>
      <c r="J626" s="593"/>
      <c r="K626" s="3"/>
    </row>
    <row r="627" spans="1:11" ht="12.75" hidden="1" customHeight="1" x14ac:dyDescent="0.2">
      <c r="A627" s="3"/>
      <c r="B627" s="237"/>
      <c r="C627" s="3"/>
      <c r="D627" s="3"/>
      <c r="E627" s="610"/>
      <c r="F627" s="3500"/>
      <c r="G627" s="1276"/>
      <c r="H627" s="3"/>
      <c r="I627" s="3"/>
      <c r="J627" s="593"/>
      <c r="K627" s="3"/>
    </row>
    <row r="628" spans="1:11" ht="12.75" hidden="1" customHeight="1" x14ac:dyDescent="0.2">
      <c r="A628" s="3"/>
      <c r="B628" s="237"/>
      <c r="C628" s="3"/>
      <c r="D628" s="3"/>
      <c r="E628" s="610"/>
      <c r="F628" s="3500"/>
      <c r="G628" s="1276"/>
      <c r="H628" s="3"/>
      <c r="I628" s="3"/>
      <c r="J628" s="593"/>
      <c r="K628" s="3"/>
    </row>
    <row r="629" spans="1:11" ht="12.75" hidden="1" customHeight="1" x14ac:dyDescent="0.2">
      <c r="A629" s="3"/>
      <c r="B629" s="237"/>
      <c r="C629" s="3"/>
      <c r="D629" s="3"/>
      <c r="E629" s="610"/>
      <c r="F629" s="3500"/>
      <c r="G629" s="1276"/>
      <c r="H629" s="3"/>
      <c r="I629" s="3"/>
      <c r="J629" s="593"/>
      <c r="K629" s="3"/>
    </row>
    <row r="630" spans="1:11" ht="12.75" hidden="1" customHeight="1" x14ac:dyDescent="0.2">
      <c r="A630" s="3"/>
      <c r="B630" s="237"/>
      <c r="C630" s="3"/>
      <c r="D630" s="3"/>
      <c r="E630" s="610"/>
      <c r="F630" s="3500"/>
      <c r="G630" s="1276"/>
      <c r="H630" s="3"/>
      <c r="I630" s="3"/>
      <c r="J630" s="593"/>
      <c r="K630" s="3"/>
    </row>
    <row r="631" spans="1:11" ht="12.75" hidden="1" customHeight="1" x14ac:dyDescent="0.2">
      <c r="A631" s="3"/>
      <c r="B631" s="237"/>
      <c r="C631" s="3"/>
      <c r="D631" s="3"/>
      <c r="E631" s="610"/>
      <c r="F631" s="3500"/>
      <c r="G631" s="1276"/>
      <c r="H631" s="3"/>
      <c r="I631" s="3"/>
      <c r="J631" s="593"/>
      <c r="K631" s="3"/>
    </row>
    <row r="632" spans="1:11" ht="12.75" hidden="1" customHeight="1" x14ac:dyDescent="0.2">
      <c r="A632" s="3"/>
      <c r="B632" s="237"/>
      <c r="C632" s="3"/>
      <c r="D632" s="3"/>
      <c r="E632" s="610"/>
      <c r="F632" s="3500"/>
      <c r="G632" s="1276"/>
      <c r="H632" s="3"/>
      <c r="I632" s="3"/>
      <c r="J632" s="593"/>
      <c r="K632" s="3"/>
    </row>
    <row r="633" spans="1:11" ht="12.75" hidden="1" customHeight="1" x14ac:dyDescent="0.2">
      <c r="A633" s="3"/>
      <c r="B633" s="237"/>
      <c r="C633" s="3"/>
      <c r="D633" s="3"/>
      <c r="E633" s="610"/>
      <c r="F633" s="3500"/>
      <c r="G633" s="1276"/>
      <c r="H633" s="3"/>
      <c r="I633" s="3"/>
      <c r="J633" s="593"/>
      <c r="K633" s="3"/>
    </row>
    <row r="634" spans="1:11" ht="12.75" hidden="1" customHeight="1" x14ac:dyDescent="0.2">
      <c r="A634" s="3"/>
      <c r="B634" s="237"/>
      <c r="C634" s="3"/>
      <c r="D634" s="3"/>
      <c r="E634" s="610"/>
      <c r="F634" s="3500"/>
      <c r="G634" s="1276"/>
      <c r="H634" s="3"/>
      <c r="I634" s="3"/>
      <c r="J634" s="593"/>
      <c r="K634" s="3"/>
    </row>
    <row r="635" spans="1:11" ht="12.75" hidden="1" customHeight="1" x14ac:dyDescent="0.2">
      <c r="A635" s="3"/>
      <c r="B635" s="237"/>
      <c r="C635" s="3"/>
      <c r="D635" s="3"/>
      <c r="E635" s="610"/>
      <c r="F635" s="3500"/>
      <c r="G635" s="1276"/>
      <c r="H635" s="3"/>
      <c r="I635" s="3"/>
      <c r="J635" s="593"/>
      <c r="K635" s="3"/>
    </row>
    <row r="636" spans="1:11" ht="12.75" hidden="1" customHeight="1" x14ac:dyDescent="0.2">
      <c r="A636" s="3"/>
      <c r="B636" s="237"/>
      <c r="C636" s="3"/>
      <c r="D636" s="3"/>
      <c r="E636" s="610"/>
      <c r="F636" s="3500"/>
      <c r="G636" s="1276"/>
      <c r="H636" s="3"/>
      <c r="I636" s="3"/>
      <c r="J636" s="593"/>
      <c r="K636" s="3"/>
    </row>
    <row r="637" spans="1:11" ht="12.75" hidden="1" customHeight="1" x14ac:dyDescent="0.2">
      <c r="A637" s="3"/>
      <c r="B637" s="237"/>
      <c r="C637" s="3"/>
      <c r="D637" s="3"/>
      <c r="E637" s="610"/>
      <c r="F637" s="3500"/>
      <c r="G637" s="1276"/>
      <c r="H637" s="3"/>
      <c r="I637" s="3"/>
      <c r="J637" s="593"/>
      <c r="K637" s="3"/>
    </row>
    <row r="638" spans="1:11" ht="12.75" hidden="1" customHeight="1" x14ac:dyDescent="0.2">
      <c r="A638" s="3"/>
      <c r="B638" s="237"/>
      <c r="C638" s="3"/>
      <c r="D638" s="3"/>
      <c r="E638" s="610"/>
      <c r="F638" s="3500"/>
      <c r="G638" s="1276"/>
      <c r="H638" s="3"/>
      <c r="I638" s="3"/>
      <c r="J638" s="593"/>
      <c r="K638" s="3"/>
    </row>
    <row r="639" spans="1:11" ht="12.75" hidden="1" customHeight="1" x14ac:dyDescent="0.2">
      <c r="A639" s="3"/>
      <c r="B639" s="237"/>
      <c r="C639" s="3"/>
      <c r="D639" s="3"/>
      <c r="E639" s="610"/>
      <c r="F639" s="3500"/>
      <c r="G639" s="1276"/>
      <c r="H639" s="3"/>
      <c r="I639" s="3"/>
      <c r="J639" s="593"/>
      <c r="K639" s="3"/>
    </row>
    <row r="640" spans="1:11" ht="12.75" hidden="1" customHeight="1" x14ac:dyDescent="0.2">
      <c r="A640" s="3"/>
      <c r="B640" s="237"/>
      <c r="C640" s="3"/>
      <c r="D640" s="3"/>
      <c r="E640" s="610"/>
      <c r="F640" s="3500"/>
      <c r="G640" s="1276"/>
      <c r="H640" s="3"/>
      <c r="I640" s="3"/>
      <c r="J640" s="593"/>
      <c r="K640" s="3"/>
    </row>
    <row r="641" spans="1:11" ht="12.75" hidden="1" customHeight="1" x14ac:dyDescent="0.2">
      <c r="A641" s="3"/>
      <c r="B641" s="237"/>
      <c r="C641" s="3"/>
      <c r="D641" s="3"/>
      <c r="E641" s="610"/>
      <c r="F641" s="3500"/>
      <c r="G641" s="1276"/>
      <c r="H641" s="3"/>
      <c r="I641" s="3"/>
      <c r="J641" s="593"/>
      <c r="K641" s="3"/>
    </row>
    <row r="642" spans="1:11" ht="12.75" hidden="1" customHeight="1" x14ac:dyDescent="0.2">
      <c r="A642" s="3"/>
      <c r="B642" s="237"/>
      <c r="C642" s="3"/>
      <c r="D642" s="3"/>
      <c r="E642" s="610"/>
      <c r="F642" s="3500"/>
      <c r="G642" s="1276"/>
      <c r="H642" s="3"/>
      <c r="I642" s="3"/>
      <c r="J642" s="593"/>
      <c r="K642" s="3"/>
    </row>
    <row r="643" spans="1:11" ht="12.75" hidden="1" customHeight="1" x14ac:dyDescent="0.2">
      <c r="A643" s="3"/>
      <c r="B643" s="237"/>
      <c r="C643" s="3"/>
      <c r="D643" s="3"/>
      <c r="E643" s="610"/>
      <c r="F643" s="3500"/>
      <c r="G643" s="1276"/>
      <c r="H643" s="3"/>
      <c r="I643" s="3"/>
      <c r="J643" s="593"/>
      <c r="K643" s="3"/>
    </row>
    <row r="644" spans="1:11" ht="12.75" hidden="1" customHeight="1" x14ac:dyDescent="0.2">
      <c r="A644" s="3"/>
      <c r="B644" s="237"/>
      <c r="C644" s="3"/>
      <c r="D644" s="3"/>
      <c r="E644" s="610"/>
      <c r="F644" s="3500"/>
      <c r="G644" s="1276"/>
      <c r="H644" s="3"/>
      <c r="I644" s="3"/>
      <c r="J644" s="593"/>
      <c r="K644" s="3"/>
    </row>
    <row r="645" spans="1:11" ht="12.75" hidden="1" customHeight="1" x14ac:dyDescent="0.2">
      <c r="A645" s="3"/>
      <c r="B645" s="237"/>
      <c r="C645" s="3"/>
      <c r="D645" s="3"/>
      <c r="E645" s="610"/>
      <c r="F645" s="3500"/>
      <c r="G645" s="1276"/>
      <c r="H645" s="3"/>
      <c r="I645" s="3"/>
      <c r="J645" s="593"/>
      <c r="K645" s="3"/>
    </row>
    <row r="646" spans="1:11" ht="12.75" hidden="1" customHeight="1" x14ac:dyDescent="0.2">
      <c r="A646" s="3"/>
      <c r="B646" s="237"/>
      <c r="C646" s="3"/>
      <c r="D646" s="3"/>
      <c r="E646" s="610"/>
      <c r="F646" s="3500"/>
      <c r="G646" s="1276"/>
      <c r="H646" s="3"/>
      <c r="I646" s="3"/>
      <c r="J646" s="593"/>
      <c r="K646" s="3"/>
    </row>
    <row r="647" spans="1:11" ht="12.75" hidden="1" customHeight="1" x14ac:dyDescent="0.2">
      <c r="A647" s="3"/>
      <c r="B647" s="237"/>
      <c r="C647" s="3"/>
      <c r="D647" s="3"/>
      <c r="E647" s="610"/>
      <c r="F647" s="3500"/>
      <c r="G647" s="1276"/>
      <c r="H647" s="3"/>
      <c r="I647" s="3"/>
      <c r="J647" s="593"/>
      <c r="K647" s="3"/>
    </row>
    <row r="648" spans="1:11" ht="12.75" hidden="1" customHeight="1" x14ac:dyDescent="0.2">
      <c r="A648" s="3"/>
      <c r="B648" s="237"/>
      <c r="C648" s="3"/>
      <c r="D648" s="3"/>
      <c r="E648" s="610"/>
      <c r="F648" s="3500"/>
      <c r="G648" s="1276"/>
      <c r="H648" s="3"/>
      <c r="I648" s="3"/>
      <c r="J648" s="593"/>
      <c r="K648" s="3"/>
    </row>
    <row r="649" spans="1:11" ht="12.75" hidden="1" customHeight="1" x14ac:dyDescent="0.2">
      <c r="A649" s="3"/>
      <c r="B649" s="237"/>
      <c r="C649" s="3"/>
      <c r="D649" s="3"/>
      <c r="E649" s="610"/>
      <c r="F649" s="3500"/>
      <c r="G649" s="1276"/>
      <c r="H649" s="3"/>
      <c r="I649" s="3"/>
      <c r="J649" s="593"/>
      <c r="K649" s="3"/>
    </row>
    <row r="650" spans="1:11" ht="12.75" hidden="1" customHeight="1" x14ac:dyDescent="0.2">
      <c r="A650" s="3"/>
      <c r="B650" s="237"/>
      <c r="C650" s="3"/>
      <c r="D650" s="3"/>
      <c r="E650" s="610"/>
      <c r="F650" s="3500"/>
      <c r="G650" s="1276"/>
      <c r="H650" s="3"/>
      <c r="I650" s="3"/>
      <c r="J650" s="593"/>
      <c r="K650" s="3"/>
    </row>
    <row r="651" spans="1:11" ht="12.75" hidden="1" customHeight="1" x14ac:dyDescent="0.2">
      <c r="A651" s="3"/>
      <c r="B651" s="237"/>
      <c r="C651" s="3"/>
      <c r="D651" s="3"/>
      <c r="E651" s="610"/>
      <c r="F651" s="3500"/>
      <c r="G651" s="1276"/>
      <c r="H651" s="3"/>
      <c r="I651" s="3"/>
      <c r="J651" s="593"/>
      <c r="K651" s="3"/>
    </row>
    <row r="652" spans="1:11" ht="12.75" hidden="1" customHeight="1" x14ac:dyDescent="0.2">
      <c r="A652" s="3"/>
      <c r="B652" s="237"/>
      <c r="C652" s="3"/>
      <c r="D652" s="3"/>
      <c r="E652" s="610"/>
      <c r="F652" s="3500"/>
      <c r="G652" s="1276"/>
      <c r="H652" s="3"/>
      <c r="I652" s="3"/>
      <c r="J652" s="593"/>
      <c r="K652" s="3"/>
    </row>
    <row r="653" spans="1:11" ht="12.75" hidden="1" customHeight="1" x14ac:dyDescent="0.2">
      <c r="A653" s="3"/>
      <c r="B653" s="237"/>
      <c r="C653" s="3"/>
      <c r="D653" s="3"/>
      <c r="E653" s="610"/>
      <c r="F653" s="3500"/>
      <c r="G653" s="1276"/>
      <c r="H653" s="3"/>
      <c r="I653" s="3"/>
      <c r="J653" s="593"/>
      <c r="K653" s="3"/>
    </row>
    <row r="654" spans="1:11" ht="12.75" hidden="1" customHeight="1" x14ac:dyDescent="0.2">
      <c r="A654" s="3"/>
      <c r="B654" s="237"/>
      <c r="C654" s="3"/>
      <c r="D654" s="3"/>
      <c r="E654" s="610"/>
      <c r="F654" s="3500"/>
      <c r="G654" s="1276"/>
      <c r="H654" s="3"/>
      <c r="I654" s="3"/>
      <c r="J654" s="593"/>
      <c r="K654" s="3"/>
    </row>
    <row r="655" spans="1:11" ht="12.75" hidden="1" customHeight="1" x14ac:dyDescent="0.2">
      <c r="A655" s="3"/>
      <c r="B655" s="237"/>
      <c r="C655" s="3"/>
      <c r="D655" s="3"/>
      <c r="E655" s="610"/>
      <c r="F655" s="3500"/>
      <c r="G655" s="1276"/>
      <c r="H655" s="3"/>
      <c r="I655" s="3"/>
      <c r="J655" s="593"/>
      <c r="K655" s="3"/>
    </row>
    <row r="656" spans="1:11" ht="12.75" hidden="1" customHeight="1" x14ac:dyDescent="0.2">
      <c r="A656" s="3"/>
      <c r="B656" s="237"/>
      <c r="C656" s="3"/>
      <c r="D656" s="3"/>
      <c r="E656" s="610"/>
      <c r="F656" s="3500"/>
      <c r="G656" s="1276"/>
      <c r="H656" s="3"/>
      <c r="I656" s="3"/>
      <c r="J656" s="593"/>
      <c r="K656" s="3"/>
    </row>
    <row r="657" spans="1:11" ht="12.75" hidden="1" customHeight="1" x14ac:dyDescent="0.2">
      <c r="A657" s="3"/>
      <c r="B657" s="237"/>
      <c r="C657" s="3"/>
      <c r="D657" s="3"/>
      <c r="E657" s="610"/>
      <c r="F657" s="3500"/>
      <c r="G657" s="1276"/>
      <c r="H657" s="3"/>
      <c r="I657" s="3"/>
      <c r="J657" s="593"/>
      <c r="K657" s="3"/>
    </row>
    <row r="658" spans="1:11" ht="12.75" hidden="1" customHeight="1" x14ac:dyDescent="0.2">
      <c r="A658" s="3"/>
      <c r="B658" s="237"/>
      <c r="C658" s="3"/>
      <c r="D658" s="3"/>
      <c r="E658" s="610"/>
      <c r="F658" s="3500"/>
      <c r="G658" s="1276"/>
      <c r="H658" s="3"/>
      <c r="I658" s="3"/>
      <c r="J658" s="593"/>
      <c r="K658" s="3"/>
    </row>
    <row r="659" spans="1:11" ht="12.75" hidden="1" customHeight="1" x14ac:dyDescent="0.2">
      <c r="A659" s="3"/>
      <c r="B659" s="237"/>
      <c r="C659" s="3"/>
      <c r="D659" s="3"/>
      <c r="E659" s="610"/>
      <c r="F659" s="3500"/>
      <c r="G659" s="1276"/>
      <c r="H659" s="3"/>
      <c r="I659" s="3"/>
      <c r="J659" s="593"/>
      <c r="K659" s="3"/>
    </row>
    <row r="660" spans="1:11" ht="12.75" hidden="1" customHeight="1" x14ac:dyDescent="0.2">
      <c r="A660" s="3"/>
      <c r="B660" s="237"/>
      <c r="C660" s="3"/>
      <c r="D660" s="3"/>
      <c r="E660" s="610"/>
      <c r="F660" s="3500"/>
      <c r="G660" s="1276"/>
      <c r="H660" s="3"/>
      <c r="I660" s="3"/>
      <c r="J660" s="593"/>
      <c r="K660" s="3"/>
    </row>
    <row r="661" spans="1:11" ht="12.75" hidden="1" customHeight="1" x14ac:dyDescent="0.2">
      <c r="A661" s="3"/>
      <c r="B661" s="237"/>
      <c r="C661" s="3"/>
      <c r="D661" s="3"/>
      <c r="E661" s="610"/>
      <c r="F661" s="3500"/>
      <c r="G661" s="1276"/>
      <c r="H661" s="3"/>
      <c r="I661" s="3"/>
      <c r="J661" s="593"/>
      <c r="K661" s="3"/>
    </row>
    <row r="662" spans="1:11" ht="12.75" hidden="1" customHeight="1" x14ac:dyDescent="0.2">
      <c r="A662" s="3"/>
      <c r="B662" s="237"/>
      <c r="C662" s="3"/>
      <c r="D662" s="3"/>
      <c r="E662" s="610"/>
      <c r="F662" s="3500"/>
      <c r="G662" s="1276"/>
      <c r="H662" s="3"/>
      <c r="I662" s="3"/>
      <c r="J662" s="593"/>
      <c r="K662" s="3"/>
    </row>
    <row r="663" spans="1:11" ht="12.75" hidden="1" customHeight="1" x14ac:dyDescent="0.2">
      <c r="A663" s="3"/>
      <c r="B663" s="237"/>
      <c r="C663" s="3"/>
      <c r="D663" s="3"/>
      <c r="E663" s="610"/>
      <c r="F663" s="3500"/>
      <c r="G663" s="1276"/>
      <c r="H663" s="3"/>
      <c r="I663" s="3"/>
      <c r="J663" s="593"/>
      <c r="K663" s="3"/>
    </row>
    <row r="664" spans="1:11" ht="12.75" hidden="1" customHeight="1" x14ac:dyDescent="0.2">
      <c r="A664" s="3"/>
      <c r="B664" s="237"/>
      <c r="C664" s="3"/>
      <c r="D664" s="3"/>
      <c r="E664" s="610"/>
      <c r="F664" s="3500"/>
      <c r="G664" s="1276"/>
      <c r="H664" s="3"/>
      <c r="I664" s="3"/>
      <c r="J664" s="593"/>
      <c r="K664" s="3"/>
    </row>
    <row r="665" spans="1:11" ht="12.75" hidden="1" customHeight="1" x14ac:dyDescent="0.2">
      <c r="A665" s="3"/>
      <c r="B665" s="237"/>
      <c r="C665" s="3"/>
      <c r="D665" s="3"/>
      <c r="E665" s="610"/>
      <c r="F665" s="3500"/>
      <c r="G665" s="1276"/>
      <c r="H665" s="3"/>
      <c r="I665" s="3"/>
      <c r="J665" s="593"/>
      <c r="K665" s="3"/>
    </row>
    <row r="666" spans="1:11" ht="12.75" hidden="1" customHeight="1" x14ac:dyDescent="0.2">
      <c r="A666" s="3"/>
      <c r="B666" s="237"/>
      <c r="C666" s="3"/>
      <c r="D666" s="3"/>
      <c r="E666" s="610"/>
      <c r="F666" s="3500"/>
      <c r="G666" s="1276"/>
      <c r="H666" s="3"/>
      <c r="I666" s="3"/>
      <c r="J666" s="593"/>
      <c r="K666" s="3"/>
    </row>
    <row r="667" spans="1:11" ht="12.75" hidden="1" customHeight="1" x14ac:dyDescent="0.2">
      <c r="A667" s="3"/>
      <c r="B667" s="237"/>
      <c r="C667" s="3"/>
      <c r="D667" s="3"/>
      <c r="E667" s="610"/>
      <c r="F667" s="3500"/>
      <c r="G667" s="1276"/>
      <c r="H667" s="3"/>
      <c r="I667" s="3"/>
      <c r="J667" s="593"/>
      <c r="K667" s="3"/>
    </row>
    <row r="668" spans="1:11" ht="12.75" hidden="1" customHeight="1" x14ac:dyDescent="0.2">
      <c r="A668" s="3"/>
      <c r="B668" s="237"/>
      <c r="C668" s="3"/>
      <c r="D668" s="3"/>
      <c r="E668" s="610"/>
      <c r="F668" s="3500"/>
      <c r="G668" s="1276"/>
      <c r="H668" s="3"/>
      <c r="I668" s="3"/>
      <c r="J668" s="593"/>
      <c r="K668" s="3"/>
    </row>
    <row r="669" spans="1:11" ht="12.75" hidden="1" customHeight="1" x14ac:dyDescent="0.2">
      <c r="A669" s="3"/>
      <c r="B669" s="237"/>
      <c r="C669" s="3"/>
      <c r="D669" s="3"/>
      <c r="E669" s="610"/>
      <c r="F669" s="3500"/>
      <c r="G669" s="1276"/>
      <c r="H669" s="3"/>
      <c r="I669" s="3"/>
      <c r="J669" s="593"/>
      <c r="K669" s="3"/>
    </row>
    <row r="670" spans="1:11" ht="12.75" hidden="1" customHeight="1" x14ac:dyDescent="0.2">
      <c r="A670" s="3"/>
      <c r="B670" s="237"/>
      <c r="C670" s="3"/>
      <c r="D670" s="3"/>
      <c r="E670" s="610"/>
      <c r="F670" s="3500"/>
      <c r="G670" s="1276"/>
      <c r="H670" s="3"/>
      <c r="I670" s="3"/>
      <c r="J670" s="593"/>
      <c r="K670" s="3"/>
    </row>
    <row r="671" spans="1:11" ht="12.75" hidden="1" customHeight="1" x14ac:dyDescent="0.2">
      <c r="A671" s="3"/>
      <c r="B671" s="237"/>
      <c r="C671" s="3"/>
      <c r="D671" s="3"/>
      <c r="E671" s="610"/>
      <c r="F671" s="3500"/>
      <c r="G671" s="1276"/>
      <c r="H671" s="3"/>
      <c r="I671" s="3"/>
      <c r="J671" s="593"/>
      <c r="K671" s="3"/>
    </row>
    <row r="672" spans="1:11" ht="12.75" hidden="1" customHeight="1" x14ac:dyDescent="0.2">
      <c r="A672" s="3"/>
      <c r="B672" s="237"/>
      <c r="C672" s="3"/>
      <c r="D672" s="3"/>
      <c r="E672" s="610"/>
      <c r="F672" s="3500"/>
      <c r="G672" s="1276"/>
      <c r="H672" s="3"/>
      <c r="I672" s="3"/>
      <c r="J672" s="593"/>
      <c r="K672" s="3"/>
    </row>
    <row r="673" spans="1:30" ht="12.75" hidden="1" customHeight="1" x14ac:dyDescent="0.2">
      <c r="A673" s="3"/>
      <c r="B673" s="237"/>
      <c r="C673" s="3"/>
      <c r="D673" s="3"/>
      <c r="E673" s="610"/>
      <c r="F673" s="3500"/>
      <c r="G673" s="1276"/>
      <c r="H673" s="3"/>
      <c r="I673" s="3"/>
      <c r="J673" s="593"/>
      <c r="K673" s="3"/>
    </row>
    <row r="674" spans="1:30" ht="12.75" hidden="1" customHeight="1" x14ac:dyDescent="0.2">
      <c r="A674" s="3"/>
      <c r="B674" s="237"/>
      <c r="C674" s="3"/>
      <c r="D674" s="3"/>
      <c r="E674" s="610"/>
      <c r="F674" s="3500"/>
      <c r="G674" s="1276"/>
      <c r="H674" s="3"/>
      <c r="I674" s="3"/>
      <c r="J674" s="593"/>
      <c r="K674" s="3"/>
    </row>
    <row r="675" spans="1:30" ht="12.75" hidden="1" customHeight="1" x14ac:dyDescent="0.2">
      <c r="A675" s="3"/>
      <c r="B675" s="237"/>
      <c r="C675" s="3"/>
      <c r="D675" s="3"/>
      <c r="E675" s="610"/>
      <c r="F675" s="3500"/>
      <c r="G675" s="1276"/>
      <c r="H675" s="3"/>
      <c r="I675" s="3"/>
      <c r="J675" s="593"/>
      <c r="K675" s="3"/>
    </row>
    <row r="676" spans="1:30" ht="12.75" hidden="1" customHeight="1" x14ac:dyDescent="0.2">
      <c r="A676" s="3"/>
      <c r="B676" s="237"/>
      <c r="C676" s="3"/>
      <c r="D676" s="3"/>
      <c r="E676" s="610"/>
      <c r="F676" s="3500"/>
      <c r="G676" s="1276"/>
      <c r="H676" s="3"/>
      <c r="I676" s="3"/>
      <c r="J676" s="593"/>
      <c r="K676" s="3"/>
    </row>
    <row r="677" spans="1:30" ht="12.75" hidden="1" customHeight="1" x14ac:dyDescent="0.2">
      <c r="A677" s="3"/>
      <c r="B677" s="237"/>
      <c r="C677" s="3"/>
      <c r="D677" s="3"/>
      <c r="E677" s="610"/>
      <c r="F677" s="3500"/>
      <c r="G677" s="1276"/>
      <c r="H677" s="3"/>
      <c r="I677" s="3"/>
      <c r="J677" s="593"/>
      <c r="K677" s="3"/>
    </row>
    <row r="678" spans="1:30" ht="12.75" hidden="1" customHeight="1" x14ac:dyDescent="0.2">
      <c r="A678" s="3"/>
      <c r="B678" s="237"/>
      <c r="C678" s="3"/>
      <c r="D678" s="3"/>
      <c r="E678" s="610"/>
      <c r="F678" s="3500"/>
      <c r="G678" s="1276"/>
      <c r="H678" s="3"/>
      <c r="I678" s="3"/>
      <c r="J678" s="593"/>
      <c r="K678" s="3"/>
    </row>
    <row r="679" spans="1:30" ht="12.75" hidden="1" customHeight="1" x14ac:dyDescent="0.2">
      <c r="A679" s="3"/>
      <c r="B679" s="237"/>
      <c r="C679" s="3"/>
      <c r="D679" s="3"/>
      <c r="E679" s="610"/>
      <c r="F679" s="3500"/>
      <c r="G679" s="1276"/>
      <c r="H679" s="3"/>
      <c r="I679" s="3"/>
      <c r="J679" s="593"/>
      <c r="K679" s="3"/>
    </row>
    <row r="680" spans="1:30" ht="15" x14ac:dyDescent="0.2">
      <c r="A680" s="3"/>
      <c r="B680" s="3"/>
      <c r="C680" s="3"/>
      <c r="D680" s="3"/>
      <c r="E680" s="3"/>
      <c r="F680" s="3"/>
      <c r="G680" s="3"/>
      <c r="H680" s="3"/>
      <c r="I680" s="3"/>
      <c r="J680" s="593"/>
      <c r="K680" s="3"/>
      <c r="L680" s="28">
        <f>SUM(L3:L576)</f>
      </c>
      <c r="N680" s="28">
        <f>N144+N96+N48+N192+N240+N288+N336+N384+N432+N480+N528+N576</f>
      </c>
      <c r="Q680" s="28">
        <f>IF(R575=0,0,IF(L680&lt;&gt;0,100,IF(N680=0,1,100)))</f>
      </c>
    </row>
    <row r="681" spans="1:30" ht="15" x14ac:dyDescent="0.2">
      <c r="A681" s="3"/>
      <c r="B681" s="4636" t="s">
        <v>6290</v>
      </c>
      <c r="C681" s="4636"/>
      <c r="D681" s="4636"/>
      <c r="E681" s="3"/>
      <c r="F681" s="3"/>
      <c r="G681" s="3"/>
      <c r="H681" s="3"/>
      <c r="I681" s="3"/>
      <c r="J681" s="593"/>
      <c r="K681" s="3"/>
      <c r="P681" s="2583" t="s">
        <v>313</v>
      </c>
      <c r="Q681" s="2583" t="s">
        <v>10061</v>
      </c>
    </row>
    <row r="682" spans="1:30" ht="12.75" hidden="1" customHeight="1" x14ac:dyDescent="0.2">
      <c r="A682" s="28">
        <f>COUNT(683:66116)</f>
      </c>
      <c r="O682" s="142"/>
      <c r="P682" s="3651">
        <f>SUM(P683:P694)</f>
      </c>
      <c r="Q682" s="3651">
        <f>SUM(Q683:Q694)</f>
      </c>
      <c r="R682" s="142"/>
      <c r="AA682" s="28">
        <f>IFERROR(VLOOKUP(E568,AA569:AB573,2,FALSE),0)</f>
      </c>
      <c r="AC682" t="s">
        <v>8228</v>
      </c>
      <c r="AD682" s="150">
        <v>0</v>
      </c>
    </row>
    <row r="683" spans="1:30" hidden="1" x14ac:dyDescent="0.2">
      <c r="M683" s="28">
        <v>1</v>
      </c>
      <c r="N683" s="1591">
        <f>'TRA17'!$F$7</f>
      </c>
      <c r="O683" s="606">
        <f>P42</f>
      </c>
      <c r="P683" s="28">
        <f>IF(N683="no",O683,0)</f>
      </c>
      <c r="Q683" s="28">
        <f>IF(N683="yes",O683,0)</f>
      </c>
    </row>
    <row r="684" spans="1:30" hidden="1" x14ac:dyDescent="0.2">
      <c r="M684" s="28">
        <v>2</v>
      </c>
      <c r="N684" s="1591">
        <f>'TRA17'!$F$55</f>
      </c>
      <c r="O684" s="606">
        <f>P90</f>
      </c>
      <c r="P684" s="28">
        <f t="shared" ref="P684:P694" si="0">IF(N684="no",O684,0)</f>
      </c>
      <c r="Q684" s="28">
        <f t="shared" ref="Q684:Q694" si="1">IF(N684="yes",O684,0)</f>
      </c>
    </row>
    <row r="685" spans="1:30" hidden="1" x14ac:dyDescent="0.2">
      <c r="M685" s="28">
        <v>3</v>
      </c>
      <c r="N685" s="1591">
        <f>'TRA17'!$F$103</f>
      </c>
      <c r="O685" s="606">
        <f>P138</f>
      </c>
      <c r="P685" s="28">
        <f t="shared" si="0"/>
        <v>0</v>
      </c>
      <c r="Q685" s="28">
        <f t="shared" si="1"/>
        <v>0</v>
      </c>
    </row>
    <row r="686" spans="1:30" hidden="1" x14ac:dyDescent="0.2">
      <c r="M686" s="28">
        <v>4</v>
      </c>
      <c r="N686" s="1591">
        <f>'TRA17'!$F$151</f>
      </c>
      <c r="O686" s="606">
        <f>P186</f>
      </c>
      <c r="P686" s="28">
        <f t="shared" si="0"/>
        <v>0</v>
      </c>
      <c r="Q686" s="28">
        <f t="shared" si="1"/>
        <v>0</v>
      </c>
    </row>
    <row r="687" spans="1:30" hidden="1" x14ac:dyDescent="0.2">
      <c r="M687" s="28">
        <v>5</v>
      </c>
      <c r="N687" s="1591">
        <f>'TRA17'!$F$199</f>
      </c>
      <c r="O687" s="606">
        <f>P234</f>
      </c>
      <c r="P687" s="28">
        <f t="shared" si="0"/>
        <v>0</v>
      </c>
      <c r="Q687" s="28">
        <f t="shared" si="1"/>
        <v>0</v>
      </c>
    </row>
    <row r="688" spans="1:30" hidden="1" x14ac:dyDescent="0.2">
      <c r="M688" s="28">
        <v>6</v>
      </c>
      <c r="N688" s="1591">
        <f>'TRA17'!$F$247</f>
      </c>
      <c r="O688" s="606">
        <f>P282</f>
      </c>
      <c r="P688" s="28">
        <f t="shared" si="0"/>
        <v>0</v>
      </c>
      <c r="Q688" s="28">
        <f t="shared" si="1"/>
        <v>0</v>
      </c>
    </row>
    <row r="689" spans="13:17" hidden="1" x14ac:dyDescent="0.2">
      <c r="M689" s="28">
        <v>7</v>
      </c>
      <c r="N689" s="1591">
        <f>'TRA17'!$F$295</f>
      </c>
      <c r="O689" s="606">
        <f>P330</f>
      </c>
      <c r="P689" s="28">
        <f t="shared" si="0"/>
        <v>0</v>
      </c>
      <c r="Q689" s="28">
        <f t="shared" si="1"/>
        <v>0</v>
      </c>
    </row>
    <row r="690" spans="13:17" hidden="1" x14ac:dyDescent="0.2">
      <c r="M690" s="28">
        <v>8</v>
      </c>
      <c r="N690" s="1591">
        <f>'TRA17'!$F$343</f>
      </c>
      <c r="O690" s="606">
        <f>P378</f>
      </c>
      <c r="P690" s="28">
        <f t="shared" si="0"/>
        <v>0</v>
      </c>
      <c r="Q690" s="28">
        <f t="shared" si="1"/>
        <v>0</v>
      </c>
    </row>
    <row r="691" spans="13:17" hidden="1" x14ac:dyDescent="0.2">
      <c r="M691" s="28">
        <v>9</v>
      </c>
      <c r="N691" s="1591">
        <f>'TRA17'!$F$391</f>
      </c>
      <c r="O691" s="606">
        <f>P426</f>
      </c>
      <c r="P691" s="28">
        <f t="shared" si="0"/>
        <v>0</v>
      </c>
      <c r="Q691" s="28">
        <f t="shared" si="1"/>
        <v>0</v>
      </c>
    </row>
    <row r="692" spans="13:17" hidden="1" x14ac:dyDescent="0.2">
      <c r="M692" s="28">
        <v>10</v>
      </c>
      <c r="N692" s="1591">
        <f>'TRA17'!$F$439</f>
      </c>
      <c r="O692" s="606">
        <f>P474</f>
      </c>
      <c r="P692" s="28">
        <f t="shared" si="0"/>
        <v>0</v>
      </c>
      <c r="Q692" s="28">
        <f t="shared" si="1"/>
        <v>0</v>
      </c>
    </row>
    <row r="693" spans="13:17" hidden="1" x14ac:dyDescent="0.2">
      <c r="M693" s="28">
        <v>11</v>
      </c>
      <c r="N693" s="1591">
        <f>'TRA17'!$F$487</f>
      </c>
      <c r="O693" s="606">
        <f>P522</f>
      </c>
      <c r="P693" s="28">
        <f t="shared" si="0"/>
        <v>0</v>
      </c>
      <c r="Q693" s="28">
        <f t="shared" si="1"/>
        <v>0</v>
      </c>
    </row>
    <row r="694" spans="13:17" hidden="1" x14ac:dyDescent="0.2">
      <c r="M694" s="28">
        <v>12</v>
      </c>
      <c r="N694" s="1591">
        <f>'TRA17'!$F$535</f>
      </c>
      <c r="O694" s="606">
        <f>P570</f>
      </c>
      <c r="P694" s="28">
        <f t="shared" si="0"/>
      </c>
      <c r="Q694" s="28">
        <f t="shared" si="1"/>
      </c>
    </row>
    <row r="695" spans="13:17" hidden="1" x14ac:dyDescent="0.2">
      <c r="O695" s="46"/>
      <c r="P695" s="28"/>
    </row>
  </sheetData>
  <sheetProtection algorithmName="SHA-512" hashValue="rEXVjYRT0MbR+ApHD3YfV6G/S2BJIeehHHxKHltzvPA17FM651XsfiXiOM9EkXlbieLc65jgmNFgppHwAuIyCg==" saltValue="Pg++zQE2tf2LmgfKqAcLTA==" spinCount="100000" sheet="1" objects="1" scenarios="1"/>
  <customSheetViews>
    <customSheetView guid="{99B5278F-6EA9-4B1A-8623-27A4DF4AD5E4}" scale="130" hiddenRows="1" hiddenColumns="1">
      <selection activeCell="B1" sqref="B1"/>
      <pageMargins left="0.17" right="0.17" top="0.41" bottom="0.21" header="0.27" footer="0.15748031496062992"/>
      <pageSetup paperSize="9" scale="95" fitToHeight="3" orientation="portrait" r:id="rId1"/>
      <headerFooter alignWithMargins="0"/>
    </customSheetView>
  </customSheetViews>
  <mergeCells count="86">
    <mergeCell ref="B681:D681"/>
    <mergeCell ref="E20:I20"/>
    <mergeCell ref="B22:E22"/>
    <mergeCell ref="F22:G22"/>
    <mergeCell ref="B30:E30"/>
    <mergeCell ref="B47:K47"/>
    <mergeCell ref="B99:I99"/>
    <mergeCell ref="B78:E78"/>
    <mergeCell ref="B126:E126"/>
    <mergeCell ref="F118:G118"/>
    <mergeCell ref="E40:G40"/>
    <mergeCell ref="E88:G88"/>
    <mergeCell ref="E136:G136"/>
    <mergeCell ref="B147:I147"/>
    <mergeCell ref="E164:I164"/>
    <mergeCell ref="B166:E166"/>
    <mergeCell ref="B3:I3"/>
    <mergeCell ref="B51:I51"/>
    <mergeCell ref="B118:E118"/>
    <mergeCell ref="E116:I116"/>
    <mergeCell ref="E68:I68"/>
    <mergeCell ref="B70:E70"/>
    <mergeCell ref="F70:G70"/>
    <mergeCell ref="E5:F5"/>
    <mergeCell ref="E53:F53"/>
    <mergeCell ref="E101:F101"/>
    <mergeCell ref="B243:I243"/>
    <mergeCell ref="F166:G166"/>
    <mergeCell ref="B174:E174"/>
    <mergeCell ref="E184:G184"/>
    <mergeCell ref="B195:I195"/>
    <mergeCell ref="E212:I212"/>
    <mergeCell ref="E356:I356"/>
    <mergeCell ref="B358:E358"/>
    <mergeCell ref="F358:G358"/>
    <mergeCell ref="B291:I291"/>
    <mergeCell ref="E308:I308"/>
    <mergeCell ref="B310:E310"/>
    <mergeCell ref="F310:G310"/>
    <mergeCell ref="B318:E318"/>
    <mergeCell ref="B366:E366"/>
    <mergeCell ref="E376:G376"/>
    <mergeCell ref="B387:I387"/>
    <mergeCell ref="E404:I404"/>
    <mergeCell ref="B406:E406"/>
    <mergeCell ref="F406:G406"/>
    <mergeCell ref="E389:F389"/>
    <mergeCell ref="B414:E414"/>
    <mergeCell ref="E424:G424"/>
    <mergeCell ref="B435:I435"/>
    <mergeCell ref="E452:I452"/>
    <mergeCell ref="B454:E454"/>
    <mergeCell ref="F454:G454"/>
    <mergeCell ref="E437:F437"/>
    <mergeCell ref="B462:E462"/>
    <mergeCell ref="E472:G472"/>
    <mergeCell ref="B483:I483"/>
    <mergeCell ref="E500:I500"/>
    <mergeCell ref="B502:E502"/>
    <mergeCell ref="F502:G502"/>
    <mergeCell ref="E485:F485"/>
    <mergeCell ref="B558:E558"/>
    <mergeCell ref="E568:G568"/>
    <mergeCell ref="B510:E510"/>
    <mergeCell ref="E520:G520"/>
    <mergeCell ref="B531:I531"/>
    <mergeCell ref="E548:I548"/>
    <mergeCell ref="B550:E550"/>
    <mergeCell ref="F550:G550"/>
    <mergeCell ref="E533:F533"/>
    <mergeCell ref="E149:F149"/>
    <mergeCell ref="E197:F197"/>
    <mergeCell ref="E245:F245"/>
    <mergeCell ref="E293:F293"/>
    <mergeCell ref="E341:F341"/>
    <mergeCell ref="E328:G328"/>
    <mergeCell ref="B339:I339"/>
    <mergeCell ref="E260:I260"/>
    <mergeCell ref="B262:E262"/>
    <mergeCell ref="F262:G262"/>
    <mergeCell ref="B270:E270"/>
    <mergeCell ref="E280:G280"/>
    <mergeCell ref="B214:E214"/>
    <mergeCell ref="F214:G214"/>
    <mergeCell ref="B222:E222"/>
    <mergeCell ref="E232:G232"/>
  </mergeCells>
  <phoneticPr fontId="0" type="noConversion"/>
  <conditionalFormatting sqref="E39">
    <cfRule type="expression" dxfId="816" priority="39" stopIfTrue="1">
      <formula>$M$3=2</formula>
    </cfRule>
  </conditionalFormatting>
  <conditionalFormatting sqref="E5:F5">
    <cfRule type="expression" dxfId="815" priority="24">
      <formula>$Q$1="n"</formula>
    </cfRule>
  </conditionalFormatting>
  <conditionalFormatting sqref="E53:F53">
    <cfRule type="expression" dxfId="814" priority="23">
      <formula>$Q$1="n"</formula>
    </cfRule>
  </conditionalFormatting>
  <conditionalFormatting sqref="E101:F101">
    <cfRule type="expression" dxfId="813" priority="22">
      <formula>$Q$1="n"</formula>
    </cfRule>
  </conditionalFormatting>
  <conditionalFormatting sqref="E149:F149">
    <cfRule type="expression" dxfId="812" priority="21">
      <formula>$Q$1="n"</formula>
    </cfRule>
  </conditionalFormatting>
  <conditionalFormatting sqref="E197:F197">
    <cfRule type="expression" dxfId="811" priority="20">
      <formula>$Q$1="n"</formula>
    </cfRule>
  </conditionalFormatting>
  <conditionalFormatting sqref="E245:F245">
    <cfRule type="expression" dxfId="810" priority="19">
      <formula>$Q$1="n"</formula>
    </cfRule>
  </conditionalFormatting>
  <conditionalFormatting sqref="E293:F293">
    <cfRule type="expression" dxfId="809" priority="18">
      <formula>$Q$1="n"</formula>
    </cfRule>
  </conditionalFormatting>
  <conditionalFormatting sqref="E341:F341">
    <cfRule type="expression" dxfId="808" priority="17">
      <formula>$Q$1="n"</formula>
    </cfRule>
  </conditionalFormatting>
  <conditionalFormatting sqref="E389:F389">
    <cfRule type="expression" dxfId="807" priority="16">
      <formula>$Q$1="n"</formula>
    </cfRule>
  </conditionalFormatting>
  <conditionalFormatting sqref="E437:F437">
    <cfRule type="expression" dxfId="806" priority="15">
      <formula>$Q$1="n"</formula>
    </cfRule>
  </conditionalFormatting>
  <conditionalFormatting sqref="E485:F485">
    <cfRule type="expression" dxfId="805" priority="14">
      <formula>$Q$1="n"</formula>
    </cfRule>
  </conditionalFormatting>
  <conditionalFormatting sqref="E533:F533">
    <cfRule type="expression" dxfId="804" priority="13">
      <formula>$Q$1="n"</formula>
    </cfRule>
  </conditionalFormatting>
  <conditionalFormatting sqref="F7">
    <cfRule type="expression" dxfId="803" priority="12">
      <formula>$N$7=1</formula>
    </cfRule>
  </conditionalFormatting>
  <conditionalFormatting sqref="F55">
    <cfRule type="expression" dxfId="802" priority="11">
      <formula>$N$7=1</formula>
    </cfRule>
  </conditionalFormatting>
  <conditionalFormatting sqref="F76 E87">
    <cfRule type="expression" dxfId="801" priority="40" stopIfTrue="1">
      <formula>$M$51=2</formula>
    </cfRule>
  </conditionalFormatting>
  <conditionalFormatting sqref="F103">
    <cfRule type="expression" dxfId="800" priority="10">
      <formula>$N$7=1</formula>
    </cfRule>
  </conditionalFormatting>
  <conditionalFormatting sqref="F124 E135">
    <cfRule type="expression" dxfId="799" priority="38" stopIfTrue="1">
      <formula>$M$99=2</formula>
    </cfRule>
  </conditionalFormatting>
  <conditionalFormatting sqref="F151">
    <cfRule type="expression" dxfId="798" priority="9">
      <formula>$N$7=1</formula>
    </cfRule>
  </conditionalFormatting>
  <conditionalFormatting sqref="F172 E183">
    <cfRule type="expression" dxfId="797" priority="37" stopIfTrue="1">
      <formula>$M$147=2</formula>
    </cfRule>
  </conditionalFormatting>
  <conditionalFormatting sqref="F199">
    <cfRule type="expression" dxfId="796" priority="8">
      <formula>$N$7=1</formula>
    </cfRule>
  </conditionalFormatting>
  <conditionalFormatting sqref="F220 E231">
    <cfRule type="expression" dxfId="795" priority="36" stopIfTrue="1">
      <formula>$M$195=2</formula>
    </cfRule>
  </conditionalFormatting>
  <conditionalFormatting sqref="F247">
    <cfRule type="expression" dxfId="794" priority="7">
      <formula>$N$7=1</formula>
    </cfRule>
  </conditionalFormatting>
  <conditionalFormatting sqref="F268 E279">
    <cfRule type="expression" dxfId="793" priority="35" stopIfTrue="1">
      <formula>$M$243=2</formula>
    </cfRule>
  </conditionalFormatting>
  <conditionalFormatting sqref="F295">
    <cfRule type="expression" dxfId="792" priority="6">
      <formula>$N$7=1</formula>
    </cfRule>
  </conditionalFormatting>
  <conditionalFormatting sqref="F316 E327">
    <cfRule type="expression" dxfId="791" priority="34" stopIfTrue="1">
      <formula>$M$291=2</formula>
    </cfRule>
  </conditionalFormatting>
  <conditionalFormatting sqref="F343">
    <cfRule type="expression" dxfId="790" priority="5">
      <formula>$N$7=1</formula>
    </cfRule>
  </conditionalFormatting>
  <conditionalFormatting sqref="F364 E375">
    <cfRule type="expression" dxfId="789" priority="33" stopIfTrue="1">
      <formula>$M$339=2</formula>
    </cfRule>
  </conditionalFormatting>
  <conditionalFormatting sqref="F391">
    <cfRule type="expression" dxfId="788" priority="4">
      <formula>$N$7=1</formula>
    </cfRule>
  </conditionalFormatting>
  <conditionalFormatting sqref="F412 E423">
    <cfRule type="expression" dxfId="787" priority="32" stopIfTrue="1">
      <formula>$M$387=2</formula>
    </cfRule>
  </conditionalFormatting>
  <conditionalFormatting sqref="F439">
    <cfRule type="expression" dxfId="786" priority="3">
      <formula>$N$7=1</formula>
    </cfRule>
  </conditionalFormatting>
  <conditionalFormatting sqref="F460 E471">
    <cfRule type="expression" dxfId="785" priority="31" stopIfTrue="1">
      <formula>$M$435=2</formula>
    </cfRule>
  </conditionalFormatting>
  <conditionalFormatting sqref="F487">
    <cfRule type="expression" dxfId="784" priority="2">
      <formula>$N$7=1</formula>
    </cfRule>
  </conditionalFormatting>
  <conditionalFormatting sqref="F508 E519">
    <cfRule type="expression" dxfId="783" priority="30" stopIfTrue="1">
      <formula>$M$483=2</formula>
    </cfRule>
  </conditionalFormatting>
  <conditionalFormatting sqref="F535">
    <cfRule type="expression" dxfId="782" priority="1">
      <formula>$N$7=1</formula>
    </cfRule>
  </conditionalFormatting>
  <conditionalFormatting sqref="F556 E567">
    <cfRule type="expression" dxfId="781" priority="29" stopIfTrue="1">
      <formula>$M$531=2</formula>
    </cfRule>
  </conditionalFormatting>
  <dataValidations count="23">
    <dataValidation type="date" allowBlank="1" showInputMessage="1" showErrorMessage="1" errorTitle="Date of transfer" error="Please enter the correct date falling within the current Y/A!_x000a__x000a_" sqref="F26 F74 F122 F170 F218 F266 F314 F362 F410 F458 F506 F554" xr:uid="{00000000-0002-0000-1400-000000000000}">
      <formula1>S26</formula1>
      <formula2>T26</formula2>
    </dataValidation>
    <dataValidation type="whole" operator="greaterThanOrEqual" allowBlank="1" showInputMessage="1" showErrorMessage="1" errorTitle="Transfer of securities" error="Please enter a numeric value, 0 for nil!" sqref="F24 F72 H80 H32 F120 H128 F168 H176 F216 H224 F264 H272 F312 H320 F360 H368 F408 H416 F456 H464 F504 H512 F552 H560" xr:uid="{00000000-0002-0000-1400-000001000000}">
      <formula1>0</formula1>
    </dataValidation>
    <dataValidation type="whole" operator="greaterThanOrEqual" allowBlank="1" showInputMessage="1" showErrorMessage="1" errorTitle="Cost of acquisition" error="Please enter a numeric value, 0 for nil!" sqref="H34 H82 H130 H178 H226 H274 H322 H370 H418 H466 H514 H562" xr:uid="{00000000-0002-0000-1400-000002000000}">
      <formula1>0</formula1>
    </dataValidation>
    <dataValidation type="list" allowBlank="1" showInputMessage="1" showErrorMessage="1" sqref="B99 B147 B195 B243 B291 B339 B387 B435 B483 B531" xr:uid="{00000000-0002-0000-1400-000003000000}">
      <formula1>$AA$2:$AA$4</formula1>
    </dataValidation>
    <dataValidation type="list" allowBlank="1" showInputMessage="1" showErrorMessage="1" sqref="B3:I3 B51:I51" xr:uid="{00000000-0002-0000-1400-000004000000}">
      <formula1>$AA$1:$AA$4</formula1>
    </dataValidation>
    <dataValidation type="list" allowBlank="1" showInputMessage="1" showErrorMessage="1" sqref="E40:G40" xr:uid="{00000000-0002-0000-1400-000005000000}">
      <formula1>$AA$40:$AA$45</formula1>
    </dataValidation>
    <dataValidation type="list" allowBlank="1" showInputMessage="1" showErrorMessage="1" sqref="E88:G88" xr:uid="{00000000-0002-0000-1400-000006000000}">
      <formula1>$AA$88:$AA$93</formula1>
    </dataValidation>
    <dataValidation type="list" allowBlank="1" showInputMessage="1" showErrorMessage="1" errorTitle="Choose item from Dropdown list! " sqref="F48 F96 F144 F192 F240 F288 F336 F384 F432 F480 F528 F576:F679" xr:uid="{00000000-0002-0000-1400-000007000000}">
      <formula1>yn</formula1>
    </dataValidation>
    <dataValidation type="list" allowBlank="1" showInputMessage="1" showErrorMessage="1" errorTitle="Choose item from Dropdown list! " sqref="F76 F28 E87 E39 F124 E135 F172 E183 F220 E231 F268 E279 F316 E327 F364 E375 F412 E423 F460 E471 F508 E519 F556 E567" xr:uid="{00000000-0002-0000-1400-000008000000}">
      <formula1>"Yes,No"</formula1>
    </dataValidation>
    <dataValidation type="list" allowBlank="1" showInputMessage="1" showErrorMessage="1" sqref="E136:G136" xr:uid="{00000000-0002-0000-1400-000009000000}">
      <formula1>$AA$136:$AA$141</formula1>
    </dataValidation>
    <dataValidation type="list" allowBlank="1" showInputMessage="1" showErrorMessage="1" sqref="E184:G184" xr:uid="{00000000-0002-0000-1400-00000A000000}">
      <formula1>$AA$184:$AA$189</formula1>
    </dataValidation>
    <dataValidation type="list" allowBlank="1" showInputMessage="1" showErrorMessage="1" sqref="E232:G232" xr:uid="{00000000-0002-0000-1400-00000B000000}">
      <formula1>$AA$232:$AA$237</formula1>
    </dataValidation>
    <dataValidation type="list" allowBlank="1" showInputMessage="1" showErrorMessage="1" sqref="E280:G280" xr:uid="{00000000-0002-0000-1400-00000C000000}">
      <formula1>$AA$280:$AA$285</formula1>
    </dataValidation>
    <dataValidation type="list" allowBlank="1" showInputMessage="1" showErrorMessage="1" sqref="E328:G328" xr:uid="{00000000-0002-0000-1400-00000D000000}">
      <formula1>$AA$328:$AA$333</formula1>
    </dataValidation>
    <dataValidation type="list" allowBlank="1" showInputMessage="1" showErrorMessage="1" sqref="E376:G376" xr:uid="{00000000-0002-0000-1400-00000E000000}">
      <formula1>$AA$376:$AA$381</formula1>
    </dataValidation>
    <dataValidation type="list" allowBlank="1" showInputMessage="1" showErrorMessage="1" sqref="E424:G424" xr:uid="{00000000-0002-0000-1400-00000F000000}">
      <formula1>$AA$424:$AA$429</formula1>
    </dataValidation>
    <dataValidation type="list" allowBlank="1" showInputMessage="1" showErrorMessage="1" sqref="E472:G472" xr:uid="{00000000-0002-0000-1400-000010000000}">
      <formula1>$AA$472:$AA$477</formula1>
    </dataValidation>
    <dataValidation type="list" allowBlank="1" showInputMessage="1" showErrorMessage="1" sqref="E520:G520" xr:uid="{00000000-0002-0000-1400-000011000000}">
      <formula1>$AA$520:$AA$525</formula1>
    </dataValidation>
    <dataValidation type="list" allowBlank="1" showInputMessage="1" showErrorMessage="1" sqref="E568:G568" xr:uid="{00000000-0002-0000-1400-000012000000}">
      <formula1>$AA$568:$AA$573</formula1>
    </dataValidation>
    <dataValidation type="list" allowBlank="1" showInputMessage="1" showErrorMessage="1" sqref="E485:F485 E437:F437 E5:F5 E53:F53 E101:F101 E149:F149 E197:F197 E245:F245 E293:F293 E341:F341 E389:F389 E533:F533" xr:uid="{00000000-0002-0000-1400-000013000000}">
      <formula1>FU</formula1>
    </dataValidation>
    <dataValidation type="list" allowBlank="1" showInputMessage="1" showErrorMessage="1" errorTitle="Choose item from Dropdown list! " sqref="F558 F30 F78 F126 F174 F222 F270 F318 F366 F414 F462" xr:uid="{00000000-0002-0000-1400-000014000000}">
      <formula1>$U$1:$U$5</formula1>
    </dataValidation>
    <dataValidation type="list" allowBlank="1" showInputMessage="1" showErrorMessage="1" sqref="F7 F55 F103 F151 F199 F247 F295 F343 F391 F439 F487 F535" xr:uid="{00000000-0002-0000-1400-000015000000}">
      <formula1>yn</formula1>
    </dataValidation>
    <dataValidation type="list" allowBlank="1" showInputMessage="1" showErrorMessage="1" errorTitle="Choose item from Dropdown list! " sqref="F510" xr:uid="{00000000-0002-0000-1400-000016000000}">
      <formula1>$U$1:$U5</formula1>
    </dataValidation>
  </dataValidations>
  <hyperlinks>
    <hyperlink ref="B681" location="Index!A1" display="Index!A1" xr:uid="{00000000-0004-0000-1400-000000000000}"/>
  </hyperlinks>
  <printOptions horizontalCentered="1" verticalCentered="1"/>
  <pageMargins left="0.15748031496062992" right="0.15748031496062992" top="0.39370078740157483" bottom="0.19685039370078741" header="0.27559055118110237" footer="0.15748031496062992"/>
  <pageSetup paperSize="9" scale="125" fitToHeight="3" orientation="landscape" r:id="rId2"/>
  <headerFooter alignWithMargins="0">
    <oddFooter>&amp;LName&amp;CSignature&amp;RDate</oddFooter>
  </headerFooter>
  <rowBreaks count="2" manualBreakCount="2">
    <brk id="48" max="10" man="1"/>
    <brk id="96"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dimension ref="A1:BZ110"/>
  <sheetViews>
    <sheetView zoomScaleNormal="100" workbookViewId="0">
      <selection activeCell="B36" sqref="B36:D36"/>
    </sheetView>
  </sheetViews>
  <sheetFormatPr defaultColWidth="0" defaultRowHeight="12.75" zeroHeight="1" x14ac:dyDescent="0.2"/>
  <cols>
    <col min="1" max="1" width="7.7109375" style="28" customWidth="1"/>
    <col min="2" max="2" width="3.28515625" style="28" customWidth="1"/>
    <col min="3" max="3" width="47" style="28" customWidth="1"/>
    <col min="4" max="4" width="25.28515625" style="28" customWidth="1"/>
    <col min="5" max="5" width="9.5703125" style="40" customWidth="1"/>
    <col min="6" max="6" width="10" style="40" customWidth="1"/>
    <col min="7" max="7" width="26.28515625" style="28" customWidth="1"/>
    <col min="8" max="8" width="8" style="60" bestFit="1" customWidth="1"/>
    <col min="9" max="9" width="8.7109375" style="28" customWidth="1"/>
    <col min="10" max="10" width="2.28515625" style="31" hidden="1" customWidth="1"/>
    <col min="11" max="11" width="8.7109375" style="28" hidden="1" customWidth="1"/>
    <col min="12" max="12" width="14.7109375" style="28" hidden="1" customWidth="1"/>
    <col min="13" max="13" width="9.28515625" style="28" hidden="1" customWidth="1"/>
    <col min="14" max="14" width="10.28515625" style="28" hidden="1" customWidth="1"/>
    <col min="15" max="17" width="9.28515625" style="28" hidden="1" customWidth="1"/>
    <col min="18" max="18" width="2.7109375" style="28" hidden="1" customWidth="1"/>
    <col min="19" max="19" width="9.28515625" style="28" hidden="1" customWidth="1"/>
    <col min="20" max="20" width="10.28515625" style="28" hidden="1" customWidth="1"/>
    <col min="21" max="21" width="9.28515625" style="28" hidden="1" customWidth="1"/>
    <col min="22" max="22" width="10.28515625" style="28" hidden="1" customWidth="1"/>
    <col min="23" max="78" width="9.28515625" style="28" hidden="1" customWidth="1"/>
    <col min="79" max="16384" width="9.28515625" style="142" hidden="1"/>
  </cols>
  <sheetData>
    <row r="1" spans="1:28" ht="12.75" customHeight="1" x14ac:dyDescent="0.2">
      <c r="A1" s="4425" t="str">
        <f>_ref1</f>
      </c>
      <c r="B1" s="4425"/>
      <c r="C1" s="4425"/>
      <c r="D1" s="4425"/>
      <c r="E1" s="4425"/>
      <c r="F1" s="4425"/>
      <c r="G1" s="1058" t="str">
        <f>_YA1</f>
      </c>
      <c r="H1" s="860"/>
      <c r="I1" s="860"/>
      <c r="J1" s="142"/>
      <c r="AB1" s="28" t="s">
        <v>626</v>
      </c>
    </row>
    <row r="2" spans="1:28" ht="15.75" customHeight="1" x14ac:dyDescent="0.2">
      <c r="A2" s="611" t="s">
        <v>9126</v>
      </c>
      <c r="B2" s="186"/>
      <c r="C2" s="186"/>
      <c r="D2" s="186"/>
      <c r="E2" s="186"/>
      <c r="F2" s="186"/>
      <c r="G2" s="187"/>
      <c r="H2" s="860"/>
      <c r="I2" s="860"/>
      <c r="J2" s="142"/>
    </row>
    <row r="3" spans="1:28" ht="3.75" customHeight="1" x14ac:dyDescent="0.2">
      <c r="A3" s="171"/>
      <c r="B3" s="171"/>
      <c r="C3" s="171"/>
      <c r="D3" s="171"/>
      <c r="E3" s="171"/>
      <c r="F3" s="171"/>
      <c r="G3" s="171"/>
      <c r="H3" s="860"/>
      <c r="I3" s="860"/>
      <c r="J3" s="142"/>
      <c r="N3" s="142"/>
    </row>
    <row r="4" spans="1:28" ht="22.5" x14ac:dyDescent="0.2">
      <c r="A4" s="704" t="s">
        <v>3707</v>
      </c>
      <c r="B4" s="1086"/>
      <c r="C4" s="1086"/>
      <c r="D4" s="1087"/>
      <c r="E4" s="1061" t="s">
        <v>3708</v>
      </c>
      <c r="F4" s="258" t="s">
        <v>3187</v>
      </c>
      <c r="G4" s="581" t="s">
        <v>3717</v>
      </c>
      <c r="H4" s="860"/>
      <c r="I4" s="860"/>
      <c r="J4" s="142"/>
      <c r="N4" s="142"/>
    </row>
    <row r="5" spans="1:28" x14ac:dyDescent="0.2">
      <c r="A5" s="3119" t="s">
        <v>9129</v>
      </c>
      <c r="B5" s="33"/>
      <c r="C5" s="33"/>
      <c r="D5" s="174"/>
      <c r="E5" s="3"/>
      <c r="F5" s="64"/>
      <c r="G5" s="3"/>
      <c r="H5" s="860"/>
      <c r="I5" s="860"/>
      <c r="J5" s="142"/>
      <c r="N5" s="142"/>
    </row>
    <row r="6" spans="1:28" s="142" customFormat="1" x14ac:dyDescent="0.2">
      <c r="A6" s="1134"/>
      <c r="B6" s="3118" t="s">
        <v>9127</v>
      </c>
      <c r="C6" s="1134"/>
      <c r="D6" s="222"/>
      <c r="E6" s="365"/>
      <c r="F6" s="612"/>
      <c r="G6" s="366"/>
      <c r="H6" s="1082" t="str">
        <f>IF(AND(S6&lt;&gt;0,E6=""),"Amount !",IF(AND(S6&lt;&gt;0,G6=""),"Taxed Account !",""))</f>
        <v/>
      </c>
      <c r="I6" s="860"/>
      <c r="K6" s="28">
        <f>IF(H6="",0,1)</f>
      </c>
      <c r="Q6" s="28"/>
      <c r="S6" s="28">
        <f>COUNTA(E6,G6)</f>
      </c>
      <c r="U6" s="28">
        <f>IF($G6=_FTA3,$E6,0)</f>
      </c>
      <c r="V6" s="28">
        <f>IF($G6=_UA2,$E6,0)</f>
      </c>
      <c r="W6" s="28">
        <f>IF($G6=_INC2,$E6,0)</f>
      </c>
    </row>
    <row r="7" spans="1:28" s="142" customFormat="1" x14ac:dyDescent="0.2">
      <c r="A7" s="1134"/>
      <c r="B7" s="3118" t="s">
        <v>9128</v>
      </c>
      <c r="C7" s="1134"/>
      <c r="D7" s="222"/>
      <c r="E7" s="365"/>
      <c r="F7" s="612"/>
      <c r="G7" s="366"/>
      <c r="H7" s="1082" t="str">
        <f>IF(AND(S7&lt;&gt;0,E7=""),"Amount !",IF(AND(S7&lt;&gt;0,G7=""),"Taxed Account !",""))</f>
        <v/>
      </c>
      <c r="I7" s="860"/>
      <c r="K7" s="28">
        <f>IF(H7="",0,1)</f>
      </c>
      <c r="Q7" s="28"/>
      <c r="S7" s="28">
        <f>COUNTA(E7,G7)</f>
      </c>
      <c r="U7" s="28">
        <f>IF($G7=_FTA3,$E7,0)</f>
      </c>
      <c r="V7" s="28">
        <f>IF($G7=_UA2,$E7,0)</f>
      </c>
      <c r="W7" s="28">
        <f>IF($G7=_INC2,$E7,0)</f>
      </c>
    </row>
    <row r="8" spans="1:28" s="142" customFormat="1" hidden="1" x14ac:dyDescent="0.2">
      <c r="A8" s="1134"/>
      <c r="B8" s="1131"/>
      <c r="C8" s="1134"/>
      <c r="D8" s="222"/>
      <c r="E8" s="365"/>
      <c r="F8" s="612"/>
      <c r="G8" s="366"/>
      <c r="H8" s="1082" t="str">
        <f>IF(AND(S8&lt;&gt;0,E8=""),"Amount !",IF(AND(S8&lt;&gt;0,G8=""),"Taxed Account !",""))</f>
        <v/>
      </c>
      <c r="I8" s="860"/>
      <c r="K8" s="28">
        <f>IF(H8="",0,1)</f>
      </c>
      <c r="Q8" s="28"/>
      <c r="S8" s="28">
        <f>COUNTA(E8,G8)</f>
      </c>
      <c r="U8" s="28">
        <f>IF($G8=_FTA3,$E8,0)</f>
      </c>
      <c r="V8" s="28">
        <f>IF($G8=_UA2,$E8,0)</f>
      </c>
      <c r="W8" s="28">
        <f>IF($G8=_INC2,$E8,0)</f>
      </c>
    </row>
    <row r="9" spans="1:28" s="142" customFormat="1" hidden="1" x14ac:dyDescent="0.2">
      <c r="A9" s="211"/>
      <c r="B9" s="211"/>
      <c r="C9" s="211"/>
      <c r="D9" s="211"/>
      <c r="E9" s="211"/>
      <c r="F9" s="612"/>
      <c r="H9" s="28"/>
      <c r="I9" s="860"/>
      <c r="Q9" s="28"/>
    </row>
    <row r="10" spans="1:28" s="142" customFormat="1" hidden="1" x14ac:dyDescent="0.2">
      <c r="A10" s="211"/>
      <c r="B10" s="211"/>
      <c r="C10" s="211"/>
      <c r="D10" s="211"/>
      <c r="E10" s="211"/>
      <c r="F10" s="612"/>
      <c r="H10" s="28"/>
      <c r="I10" s="860"/>
      <c r="Q10" s="28"/>
    </row>
    <row r="11" spans="1:28" x14ac:dyDescent="0.2">
      <c r="A11" s="411" t="s">
        <v>3188</v>
      </c>
      <c r="B11" s="33"/>
      <c r="C11" s="33"/>
      <c r="D11" s="350"/>
      <c r="E11" s="860"/>
      <c r="F11" s="860"/>
      <c r="G11" s="860"/>
      <c r="H11" s="860"/>
      <c r="I11" s="860"/>
      <c r="J11" s="142"/>
      <c r="K11" s="142"/>
    </row>
    <row r="12" spans="1:28" x14ac:dyDescent="0.2">
      <c r="A12" s="3"/>
      <c r="B12" s="229" t="s">
        <v>371</v>
      </c>
      <c r="C12" s="3"/>
      <c r="D12" s="3"/>
      <c r="E12" s="365"/>
      <c r="F12" s="612"/>
      <c r="G12" s="366"/>
      <c r="H12" s="1082" t="str">
        <f>IF(AND(S12=1,E12=""),"Amount !",IF(AND(S12=1,G12=""),"Taxed Account !",""))</f>
        <v/>
      </c>
      <c r="I12" s="860"/>
      <c r="J12" s="142"/>
      <c r="K12" s="28">
        <f>IF(H12="",0,1)</f>
      </c>
      <c r="L12" s="28">
        <f>IF(AND(G12&lt;&gt;"",E12=""),1,0)</f>
      </c>
      <c r="S12" s="28">
        <f>COUNTA(E12,G12)</f>
      </c>
      <c r="U12" s="28">
        <f>IF($G12=_FTA3,$E12,0)</f>
      </c>
      <c r="V12" s="28">
        <f>IF($G12=_UA2,$E12,0)</f>
      </c>
      <c r="W12" s="28">
        <f>IF($G12=_INC2,$E12,0)</f>
      </c>
      <c r="X12" s="73"/>
    </row>
    <row r="13" spans="1:28" x14ac:dyDescent="0.2">
      <c r="A13" s="3"/>
      <c r="B13" s="229" t="s">
        <v>372</v>
      </c>
      <c r="C13" s="3"/>
      <c r="D13" s="3"/>
      <c r="E13" s="526"/>
      <c r="F13" s="612"/>
      <c r="G13" s="366"/>
      <c r="H13" s="1082" t="str">
        <f t="shared" ref="H13:H20" si="0">IF(AND(S13=1,E13=""),"Amount !",IF(AND(S13=1,G13=""),"Taxed Account !",""))</f>
        <v/>
      </c>
      <c r="I13" s="860"/>
      <c r="J13" s="142"/>
      <c r="K13" s="28">
        <f>IF(H13="",0,1)</f>
      </c>
      <c r="L13" s="28">
        <f>IF(AND(G13&lt;&gt;"",E13=""),1,0)</f>
      </c>
      <c r="N13" s="28" t="s">
        <v>1767</v>
      </c>
      <c r="S13" s="28">
        <f>COUNTA(E13,G13)</f>
      </c>
      <c r="U13" s="28">
        <f>IF($G13=_FTA3,$E13,0)</f>
      </c>
      <c r="V13" s="28">
        <f>IF($G13=_UA2,$E13,0)</f>
      </c>
      <c r="W13" s="28">
        <f>IF($G13=_INC2,$E13,0)</f>
      </c>
    </row>
    <row r="14" spans="1:28" x14ac:dyDescent="0.2">
      <c r="A14" s="3"/>
      <c r="B14" s="229" t="s">
        <v>373</v>
      </c>
      <c r="C14" s="3"/>
      <c r="D14" s="3"/>
      <c r="E14" s="365"/>
      <c r="F14" s="612"/>
      <c r="G14" s="366"/>
      <c r="H14" s="1082" t="str">
        <f t="shared" si="0"/>
        <v/>
      </c>
      <c r="I14" s="860"/>
      <c r="J14" s="142"/>
      <c r="K14" s="28">
        <f>IF(H14="",0,1)</f>
      </c>
      <c r="L14" s="28">
        <f>IF(AND(G14&lt;&gt;"",E14=""),1,0)</f>
      </c>
      <c r="N14" s="1736" t="s">
        <v>591</v>
      </c>
      <c r="S14" s="28">
        <f>COUNTA(E14,G14)</f>
      </c>
      <c r="U14" s="28">
        <f>IF($G14=_FTA3,$E14,0)</f>
      </c>
      <c r="V14" s="28">
        <f>IF($G14=_UA2,$E14,0)</f>
      </c>
      <c r="W14" s="28">
        <f>IF($G14=_INC2,$E14,0)</f>
      </c>
      <c r="X14" s="73"/>
    </row>
    <row r="15" spans="1:28" x14ac:dyDescent="0.2">
      <c r="A15" s="411" t="s">
        <v>6645</v>
      </c>
      <c r="B15" s="33"/>
      <c r="C15" s="33"/>
      <c r="D15" s="350"/>
      <c r="E15" s="64"/>
      <c r="F15" s="64"/>
      <c r="G15" s="3"/>
      <c r="H15" s="1082"/>
      <c r="I15" s="860"/>
      <c r="J15" s="142"/>
      <c r="N15" s="28" t="s">
        <v>374</v>
      </c>
    </row>
    <row r="16" spans="1:28" x14ac:dyDescent="0.2">
      <c r="A16" s="3"/>
      <c r="B16" s="3" t="s">
        <v>375</v>
      </c>
      <c r="C16" s="3"/>
      <c r="D16" s="3"/>
      <c r="E16" s="365"/>
      <c r="F16" s="612"/>
      <c r="G16" s="366"/>
      <c r="H16" s="1082" t="str">
        <f t="shared" si="0"/>
        <v/>
      </c>
      <c r="I16" s="860"/>
      <c r="J16" s="142"/>
      <c r="K16" s="28">
        <f t="shared" ref="K16:K24" si="1">IF(H16="",0,1)</f>
      </c>
      <c r="L16" s="28">
        <f>IF(AND(G16&lt;&gt;"",E16=""),1,0)</f>
      </c>
      <c r="S16" s="28">
        <f>COUNTA(E16,G16)</f>
      </c>
      <c r="U16" s="28">
        <f>IF($G16=_FTA3,$E16,0)</f>
      </c>
      <c r="V16" s="28">
        <f>IF($G16=_UA2,$E16,0)</f>
      </c>
      <c r="W16" s="28">
        <f>IF($G16=_INC2,$E16,0)</f>
      </c>
    </row>
    <row r="17" spans="1:25" x14ac:dyDescent="0.2">
      <c r="A17" s="3"/>
      <c r="B17" s="3" t="s">
        <v>376</v>
      </c>
      <c r="C17" s="3"/>
      <c r="D17" s="3"/>
      <c r="E17" s="524"/>
      <c r="F17" s="613"/>
      <c r="G17" s="366"/>
      <c r="H17" s="1082" t="str">
        <f t="shared" si="0"/>
        <v/>
      </c>
      <c r="I17" s="860"/>
      <c r="J17" s="142"/>
      <c r="K17" s="28">
        <f t="shared" si="1"/>
        <v>0</v>
      </c>
      <c r="L17" s="28">
        <f>IF(AND(G17&lt;&gt;"",E17=""),1,0)</f>
      </c>
      <c r="S17" s="28">
        <f>COUNTA(E17,G17)</f>
      </c>
      <c r="U17" s="28">
        <f>IF($G17=_FTA3,$E17,0)</f>
      </c>
      <c r="V17" s="28">
        <f>IF($G17=_UA2,$E17,0)</f>
      </c>
      <c r="W17" s="28">
        <f>IF($G17=_INC2,$E17,0)</f>
      </c>
    </row>
    <row r="18" spans="1:25" x14ac:dyDescent="0.2">
      <c r="A18" s="3"/>
      <c r="B18" s="3" t="s">
        <v>377</v>
      </c>
      <c r="C18" s="3"/>
      <c r="D18" s="3"/>
      <c r="E18" s="368">
        <f>'TRA2'!J45</f>
      </c>
      <c r="F18" s="613" t="s">
        <v>5616</v>
      </c>
      <c r="G18" s="366"/>
      <c r="H18" s="1082" t="str">
        <f>IF(AND(E18&gt;0,G18=""),"Taxed Account !","")</f>
        <v/>
      </c>
      <c r="I18" s="860"/>
      <c r="J18" s="142"/>
      <c r="K18" s="28">
        <f t="shared" si="1"/>
        <v>0</v>
      </c>
      <c r="L18" s="28">
        <f>IF(AND(G18&lt;&gt;"",E18=0),1,0)</f>
      </c>
      <c r="U18" s="28">
        <f>IF($G18=_FTA3,$E18,0)</f>
      </c>
      <c r="V18" s="28">
        <f>IF($G18=_UA2,$E18,0)</f>
      </c>
      <c r="W18" s="28">
        <f>IF($G18=_INC2,$E18,0)</f>
      </c>
    </row>
    <row r="19" spans="1:25" x14ac:dyDescent="0.2">
      <c r="A19" s="3"/>
      <c r="B19" s="3" t="s">
        <v>378</v>
      </c>
      <c r="C19" s="3"/>
      <c r="D19" s="3"/>
      <c r="E19" s="365"/>
      <c r="F19" s="613"/>
      <c r="G19" s="366"/>
      <c r="H19" s="1082" t="str">
        <f t="shared" si="0"/>
        <v/>
      </c>
      <c r="I19" s="860"/>
      <c r="J19" s="142"/>
      <c r="K19" s="28">
        <f t="shared" si="1"/>
        <v>0</v>
      </c>
      <c r="L19" s="28">
        <f>IF(AND(G19&lt;&gt;"",E19=""),1,0)</f>
      </c>
      <c r="S19" s="28">
        <f>COUNTA(E19,G19)</f>
      </c>
      <c r="U19" s="28">
        <f t="shared" ref="U19:U24" si="2">IF($G19=_FTA3,$E19,0)</f>
      </c>
      <c r="V19" s="28">
        <f t="shared" ref="V19:V24" si="3">IF($G19=_UA2,$E19,0)</f>
      </c>
      <c r="W19" s="28">
        <f t="shared" ref="W19:W24" si="4">IF($G19=_INC2,$E19,0)</f>
      </c>
    </row>
    <row r="20" spans="1:25" x14ac:dyDescent="0.2">
      <c r="A20" s="3"/>
      <c r="B20" s="3" t="s">
        <v>122</v>
      </c>
      <c r="C20" s="3"/>
      <c r="D20" s="3"/>
      <c r="E20" s="365"/>
      <c r="F20" s="614"/>
      <c r="G20" s="366"/>
      <c r="H20" s="1082" t="str">
        <f t="shared" si="0"/>
        <v/>
      </c>
      <c r="I20" s="860"/>
      <c r="J20" s="142"/>
      <c r="K20" s="28">
        <f t="shared" si="1"/>
        <v>0</v>
      </c>
      <c r="L20" s="28">
        <f>IF(AND(G20&lt;&gt;"",E20=""),1,0)</f>
      </c>
      <c r="S20" s="28">
        <f>COUNTA(E20,G20)</f>
      </c>
      <c r="U20" s="28">
        <f t="shared" si="2"/>
        <v>0</v>
      </c>
      <c r="V20" s="28">
        <f t="shared" si="3"/>
        <v>0</v>
      </c>
      <c r="W20" s="28">
        <f t="shared" si="4"/>
        <v>0</v>
      </c>
    </row>
    <row r="21" spans="1:25" hidden="1" x14ac:dyDescent="0.2">
      <c r="A21" s="3"/>
      <c r="B21" s="4667" t="s">
        <v>4845</v>
      </c>
      <c r="C21" s="4667"/>
      <c r="D21" s="4667"/>
      <c r="E21" s="368">
        <f>'TRA37'!R24</f>
      </c>
      <c r="F21" s="614" t="s">
        <v>1778</v>
      </c>
      <c r="G21" s="366"/>
      <c r="H21" s="1082" t="str">
        <f>IF(AND(E21&gt;0,G21=""),"Taxed Account !","")</f>
        <v/>
      </c>
      <c r="I21" s="860"/>
      <c r="J21" s="142"/>
      <c r="K21" s="28">
        <f t="shared" si="1"/>
        <v>0</v>
      </c>
      <c r="L21" s="28">
        <f>IF(AND(G21&lt;&gt;"",E21=0),1,0)</f>
      </c>
      <c r="U21" s="28">
        <f t="shared" si="2"/>
        <v>0</v>
      </c>
      <c r="V21" s="28">
        <f t="shared" si="3"/>
        <v>0</v>
      </c>
      <c r="W21" s="28">
        <f t="shared" si="4"/>
        <v>0</v>
      </c>
    </row>
    <row r="22" spans="1:25" hidden="1" x14ac:dyDescent="0.2">
      <c r="A22" s="3"/>
      <c r="B22" s="229" t="s">
        <v>4846</v>
      </c>
      <c r="C22" s="539"/>
      <c r="D22" s="65"/>
      <c r="E22" s="368">
        <f>'TRA37'!R25</f>
      </c>
      <c r="F22" s="614" t="s">
        <v>1778</v>
      </c>
      <c r="G22" s="366"/>
      <c r="H22" s="1082" t="str">
        <f>IF(AND(E22&gt;0,G22=""),"Taxed Account !","")</f>
        <v/>
      </c>
      <c r="I22" s="860"/>
      <c r="J22" s="142"/>
      <c r="K22" s="28">
        <f t="shared" si="1"/>
        <v>0</v>
      </c>
      <c r="L22" s="28">
        <f>IF(AND(G22&lt;&gt;"",E22=0),1,0)</f>
      </c>
      <c r="U22" s="28">
        <f t="shared" si="2"/>
        <v>0</v>
      </c>
      <c r="V22" s="28">
        <f t="shared" si="3"/>
        <v>0</v>
      </c>
      <c r="W22" s="28">
        <f t="shared" si="4"/>
        <v>0</v>
      </c>
    </row>
    <row r="23" spans="1:25" hidden="1" x14ac:dyDescent="0.2">
      <c r="A23" s="3"/>
      <c r="B23" s="229" t="s">
        <v>6625</v>
      </c>
      <c r="C23" s="65"/>
      <c r="D23" s="65"/>
      <c r="E23" s="368">
        <f>'TRA37'!R26</f>
      </c>
      <c r="F23" s="614" t="s">
        <v>1778</v>
      </c>
      <c r="G23" s="366"/>
      <c r="H23" s="1082" t="str">
        <f>IF(AND(E23&gt;0,G23=""),"Taxed Account !","")</f>
        <v/>
      </c>
      <c r="I23" s="860"/>
      <c r="J23" s="142"/>
      <c r="K23" s="28">
        <f t="shared" si="1"/>
        <v>0</v>
      </c>
      <c r="L23" s="28">
        <f>IF(AND(G23&lt;&gt;"",E23=0),1,0)</f>
      </c>
      <c r="U23" s="28">
        <f t="shared" si="2"/>
        <v>0</v>
      </c>
      <c r="V23" s="28">
        <f t="shared" si="3"/>
        <v>0</v>
      </c>
      <c r="W23" s="28">
        <f t="shared" si="4"/>
        <v>0</v>
      </c>
    </row>
    <row r="24" spans="1:25" hidden="1" x14ac:dyDescent="0.2">
      <c r="A24" s="3"/>
      <c r="B24" s="229" t="s">
        <v>1927</v>
      </c>
      <c r="C24" s="65"/>
      <c r="D24" s="65"/>
      <c r="E24" s="368">
        <f>'TRA37'!R27</f>
      </c>
      <c r="F24" s="614" t="s">
        <v>1778</v>
      </c>
      <c r="G24" s="366"/>
      <c r="H24" s="1082" t="str">
        <f>IF(AND(E24&gt;0,G24=""),"Taxed Account !","")</f>
        <v/>
      </c>
      <c r="I24" s="860"/>
      <c r="J24" s="142"/>
      <c r="K24" s="28">
        <f t="shared" si="1"/>
        <v>0</v>
      </c>
      <c r="L24" s="28">
        <f>IF(AND(G24&lt;&gt;"",E24=0),1,0)</f>
      </c>
      <c r="U24" s="28">
        <f t="shared" si="2"/>
        <v>0</v>
      </c>
      <c r="V24" s="28">
        <f t="shared" si="3"/>
        <v>0</v>
      </c>
      <c r="W24" s="28">
        <f t="shared" si="4"/>
        <v>0</v>
      </c>
    </row>
    <row r="25" spans="1:25" ht="14.25" x14ac:dyDescent="0.2">
      <c r="A25" s="3120" t="s">
        <v>9130</v>
      </c>
      <c r="B25" s="558"/>
      <c r="C25" s="558"/>
      <c r="D25" s="615"/>
      <c r="E25" s="64"/>
      <c r="F25" s="64"/>
      <c r="G25" s="3"/>
      <c r="H25" s="1082"/>
      <c r="I25" s="860"/>
      <c r="J25" s="142"/>
      <c r="N25" s="146"/>
      <c r="O25" s="146"/>
      <c r="P25" s="145"/>
      <c r="Q25" s="32"/>
    </row>
    <row r="26" spans="1:25" x14ac:dyDescent="0.2">
      <c r="A26" s="3"/>
      <c r="B26" s="20" t="s">
        <v>9122</v>
      </c>
      <c r="C26" s="3"/>
      <c r="D26" s="175"/>
      <c r="E26" s="368">
        <f>'TRA8'!C100</f>
      </c>
      <c r="F26" s="613" t="s">
        <v>1501</v>
      </c>
      <c r="G26" s="887" t="s">
        <v>1767</v>
      </c>
      <c r="H26" s="1082" t="str">
        <f>IF(AND(E26&gt;0,G26=""),"Taxed Account !","")</f>
        <v/>
      </c>
      <c r="I26" s="860"/>
      <c r="J26" s="142"/>
      <c r="N26" s="145"/>
      <c r="O26" s="145"/>
      <c r="P26" s="145"/>
      <c r="Q26" s="32"/>
      <c r="T26" s="32"/>
      <c r="U26" s="28">
        <f t="shared" ref="U26:U46" si="5">IF($G26=_FTA3,$E26,0)</f>
      </c>
      <c r="V26" s="28">
        <f t="shared" ref="V26:V46" si="6">IF($G26=_UA2,$E26,0)</f>
      </c>
      <c r="W26" s="28">
        <f t="shared" ref="W26:W46" si="7">IF($G26=_INC2,$E26,0)</f>
      </c>
    </row>
    <row r="27" spans="1:25" x14ac:dyDescent="0.2">
      <c r="A27" s="3"/>
      <c r="B27" s="20" t="s">
        <v>1739</v>
      </c>
      <c r="C27" s="3"/>
      <c r="D27" s="175"/>
      <c r="E27" s="368">
        <f>'TRA15'!F84</f>
      </c>
      <c r="F27" s="613" t="s">
        <v>3288</v>
      </c>
      <c r="G27" s="887" t="s">
        <v>591</v>
      </c>
      <c r="H27" s="1082" t="str">
        <f>IF(AND(E27&gt;0,G27=""),"Taxed Account !","")</f>
        <v/>
      </c>
      <c r="I27" s="860"/>
      <c r="J27" s="142"/>
      <c r="N27" s="145"/>
      <c r="O27" s="145"/>
      <c r="P27" s="145"/>
      <c r="Q27" s="32"/>
      <c r="S27" s="28">
        <f t="shared" ref="S27:S32" si="8">COUNTA(E27,G27)</f>
      </c>
      <c r="T27" s="32"/>
      <c r="U27" s="28">
        <f t="shared" si="5"/>
        <v>0</v>
      </c>
      <c r="V27" s="28">
        <f t="shared" si="6"/>
        <v>0</v>
      </c>
      <c r="W27" s="28">
        <f t="shared" si="7"/>
        <v>0</v>
      </c>
      <c r="Y27" s="28" t="str">
        <f>_FTA1</f>
      </c>
    </row>
    <row r="28" spans="1:25" x14ac:dyDescent="0.2">
      <c r="A28" s="3"/>
      <c r="B28" s="20" t="s">
        <v>3505</v>
      </c>
      <c r="C28" s="3"/>
      <c r="D28" s="175"/>
      <c r="E28" s="365"/>
      <c r="F28" s="613"/>
      <c r="G28" s="366"/>
      <c r="H28" s="1082" t="str">
        <f>IF(AND(S28=1,E28=""),"Amount !",IF(AND(S28=1,G28=""),"Taxed Account !",""))</f>
        <v/>
      </c>
      <c r="I28" s="860"/>
      <c r="J28" s="142"/>
      <c r="K28" s="28">
        <f t="shared" ref="K28:K60" si="9">IF(H28="",0,1)</f>
      </c>
      <c r="L28" s="28">
        <f t="shared" ref="L28:L60" si="10">IF(AND(G28&lt;&gt;"",E28=""),1,0)</f>
      </c>
      <c r="N28" s="145"/>
      <c r="O28" s="145"/>
      <c r="P28" s="145"/>
      <c r="Q28" s="32"/>
      <c r="S28" s="28">
        <f t="shared" si="8"/>
        <v>0</v>
      </c>
      <c r="T28" s="32"/>
      <c r="U28" s="28">
        <f t="shared" si="5"/>
        <v>0</v>
      </c>
      <c r="V28" s="28">
        <f t="shared" si="6"/>
        <v>0</v>
      </c>
      <c r="W28" s="28">
        <f t="shared" si="7"/>
        <v>0</v>
      </c>
    </row>
    <row r="29" spans="1:25" x14ac:dyDescent="0.2">
      <c r="A29" s="17"/>
      <c r="B29" s="20" t="s">
        <v>9131</v>
      </c>
      <c r="C29" s="242"/>
      <c r="D29" s="61"/>
      <c r="E29" s="365"/>
      <c r="F29" s="619"/>
      <c r="G29" s="887" t="s">
        <v>1767</v>
      </c>
      <c r="H29" s="1082" t="str">
        <f>IF(AND(S29=1,G29=""),"Taxed Account !","")</f>
        <v/>
      </c>
      <c r="I29" s="860"/>
      <c r="J29" s="142"/>
      <c r="K29" s="28">
        <f t="shared" si="9"/>
        <v>0</v>
      </c>
      <c r="N29" s="145"/>
      <c r="O29" s="145"/>
      <c r="P29" s="145"/>
      <c r="Q29" s="32"/>
      <c r="S29" s="28">
        <f t="shared" si="8"/>
        <v>1</v>
      </c>
      <c r="U29" s="28">
        <f t="shared" si="5"/>
        <v>0</v>
      </c>
      <c r="V29" s="28">
        <f t="shared" si="6"/>
        <v>0</v>
      </c>
      <c r="W29" s="28">
        <f t="shared" si="7"/>
        <v>0</v>
      </c>
    </row>
    <row r="30" spans="1:25" hidden="1" x14ac:dyDescent="0.2">
      <c r="A30" s="17"/>
      <c r="B30" s="20" t="s">
        <v>2031</v>
      </c>
      <c r="C30" s="242"/>
      <c r="D30" s="61"/>
      <c r="E30" s="368">
        <f>'TRA67'!D25</f>
      </c>
      <c r="F30" s="613" t="s">
        <v>3919</v>
      </c>
      <c r="G30" s="366"/>
      <c r="H30" s="1082" t="str">
        <f>IF(AND(E30&gt;0,G30=""),"Taxed Account !","")</f>
        <v/>
      </c>
      <c r="I30" s="860"/>
      <c r="J30" s="142"/>
      <c r="K30" s="28">
        <f t="shared" si="9"/>
        <v>0</v>
      </c>
      <c r="L30" s="28">
        <f t="shared" si="10"/>
        <v>0</v>
      </c>
      <c r="N30" s="145"/>
      <c r="O30" s="145"/>
      <c r="P30" s="145"/>
      <c r="Q30" s="32"/>
      <c r="S30" s="28">
        <f t="shared" si="8"/>
        <v>1</v>
      </c>
      <c r="U30" s="28">
        <f t="shared" si="5"/>
        <v>0</v>
      </c>
      <c r="V30" s="28">
        <f t="shared" si="6"/>
        <v>0</v>
      </c>
      <c r="W30" s="28">
        <f t="shared" si="7"/>
        <v>0</v>
      </c>
    </row>
    <row r="31" spans="1:25" x14ac:dyDescent="0.2">
      <c r="A31" s="17"/>
      <c r="B31" s="20" t="s">
        <v>9132</v>
      </c>
      <c r="C31" s="242"/>
      <c r="D31" s="61"/>
      <c r="E31" s="365"/>
      <c r="F31" s="613"/>
      <c r="G31" s="366"/>
      <c r="H31" s="1082" t="str">
        <f>IF(AND(S31=1,E31=""),"Amount !",IF(AND(S31=1,G31=""),"Taxed Account !",""))</f>
        <v/>
      </c>
      <c r="I31" s="860"/>
      <c r="J31" s="28"/>
      <c r="K31" s="28">
        <f t="shared" si="9"/>
        <v>0</v>
      </c>
      <c r="L31" s="28">
        <f t="shared" si="10"/>
        <v>0</v>
      </c>
      <c r="N31" s="145"/>
      <c r="O31" s="145"/>
      <c r="P31" s="145"/>
      <c r="Q31" s="32"/>
      <c r="S31" s="28">
        <f t="shared" si="8"/>
        <v>0</v>
      </c>
      <c r="U31" s="28">
        <f t="shared" si="5"/>
        <v>0</v>
      </c>
      <c r="V31" s="28">
        <f t="shared" si="6"/>
        <v>0</v>
      </c>
      <c r="W31" s="28">
        <f t="shared" si="7"/>
        <v>0</v>
      </c>
    </row>
    <row r="32" spans="1:25" x14ac:dyDescent="0.2">
      <c r="A32" s="17"/>
      <c r="B32" s="20" t="s">
        <v>8231</v>
      </c>
      <c r="C32" s="17"/>
      <c r="D32" s="17"/>
      <c r="E32" s="368">
        <f>'TRA17'!P682</f>
      </c>
      <c r="F32" s="613" t="s">
        <v>1025</v>
      </c>
      <c r="G32" s="366"/>
      <c r="H32" s="1082" t="str">
        <f>IF(AND(E32&gt;0,G32=""),"Taxed Account !","")</f>
        <v/>
      </c>
      <c r="I32" s="17"/>
      <c r="J32" s="28"/>
      <c r="K32" s="28">
        <f t="shared" si="9"/>
        <v>0</v>
      </c>
      <c r="L32" s="28">
        <f t="shared" si="10"/>
        <v>0</v>
      </c>
      <c r="N32" s="145"/>
      <c r="O32" s="145"/>
      <c r="P32" s="145"/>
      <c r="Q32" s="32"/>
      <c r="S32" s="28">
        <f t="shared" si="8"/>
        <v>1</v>
      </c>
      <c r="U32" s="28">
        <f t="shared" si="5"/>
        <v>0</v>
      </c>
      <c r="V32" s="28">
        <f t="shared" si="6"/>
        <v>0</v>
      </c>
      <c r="W32" s="28">
        <f t="shared" si="7"/>
        <v>0</v>
      </c>
    </row>
    <row r="33" spans="1:23" x14ac:dyDescent="0.2">
      <c r="A33" s="17"/>
      <c r="B33" s="20" t="s">
        <v>9133</v>
      </c>
      <c r="C33" s="17"/>
      <c r="D33" s="17"/>
      <c r="E33" s="365"/>
      <c r="F33" s="242"/>
      <c r="G33" s="366"/>
      <c r="H33" s="1082" t="str">
        <f t="shared" ref="H33:H60" si="11">IF(AND(E33&gt;0,G33=""),"Taxed Account !","")</f>
        <v/>
      </c>
      <c r="I33" s="17"/>
      <c r="J33" s="28"/>
      <c r="K33" s="28">
        <f t="shared" si="9"/>
        <v>0</v>
      </c>
      <c r="L33" s="28">
        <f t="shared" si="10"/>
        <v>0</v>
      </c>
      <c r="N33" s="145"/>
      <c r="O33" s="145"/>
      <c r="P33" s="145"/>
      <c r="Q33" s="32"/>
      <c r="S33" s="28">
        <f t="shared" ref="S33:S46" si="12">COUNTA(E33,G33)</f>
      </c>
      <c r="U33" s="28">
        <f t="shared" si="5"/>
        <v>0</v>
      </c>
      <c r="V33" s="28">
        <f t="shared" si="6"/>
        <v>0</v>
      </c>
      <c r="W33" s="28">
        <f t="shared" si="7"/>
        <v>0</v>
      </c>
    </row>
    <row r="34" spans="1:23" x14ac:dyDescent="0.2">
      <c r="A34" s="17"/>
      <c r="B34" s="20" t="s">
        <v>9134</v>
      </c>
      <c r="C34" s="17"/>
      <c r="D34" s="17"/>
      <c r="E34" s="365"/>
      <c r="F34" s="242"/>
      <c r="G34" s="366"/>
      <c r="H34" s="1082" t="str">
        <f t="shared" si="11"/>
        <v/>
      </c>
      <c r="I34" s="17"/>
      <c r="J34" s="28"/>
      <c r="K34" s="28">
        <f t="shared" si="9"/>
        <v>0</v>
      </c>
      <c r="L34" s="28">
        <f t="shared" si="10"/>
        <v>0</v>
      </c>
      <c r="N34" s="145"/>
      <c r="O34" s="145"/>
      <c r="P34" s="145"/>
      <c r="Q34" s="32"/>
      <c r="S34" s="28">
        <f t="shared" si="12"/>
        <v>0</v>
      </c>
      <c r="U34" s="28">
        <f t="shared" si="5"/>
        <v>0</v>
      </c>
      <c r="V34" s="28">
        <f t="shared" si="6"/>
        <v>0</v>
      </c>
      <c r="W34" s="28">
        <f t="shared" si="7"/>
        <v>0</v>
      </c>
    </row>
    <row r="35" spans="1:23" x14ac:dyDescent="0.2">
      <c r="A35" s="17"/>
      <c r="B35" s="20" t="s">
        <v>9135</v>
      </c>
      <c r="C35" s="17"/>
      <c r="D35" s="17"/>
      <c r="E35" s="365"/>
      <c r="F35" s="242"/>
      <c r="G35" s="366"/>
      <c r="H35" s="1082" t="str">
        <f t="shared" si="11"/>
        <v/>
      </c>
      <c r="I35" s="17"/>
      <c r="J35" s="28"/>
      <c r="K35" s="28">
        <f t="shared" si="9"/>
        <v>0</v>
      </c>
      <c r="L35" s="28">
        <f t="shared" si="10"/>
        <v>0</v>
      </c>
      <c r="N35" s="145"/>
      <c r="O35" s="145"/>
      <c r="P35" s="145"/>
      <c r="Q35" s="32"/>
      <c r="S35" s="28">
        <f t="shared" si="12"/>
        <v>0</v>
      </c>
      <c r="U35" s="28">
        <f t="shared" si="5"/>
        <v>0</v>
      </c>
      <c r="V35" s="28">
        <f t="shared" si="6"/>
        <v>0</v>
      </c>
      <c r="W35" s="28">
        <f t="shared" si="7"/>
        <v>0</v>
      </c>
    </row>
    <row r="36" spans="1:23" ht="23.25" customHeight="1" x14ac:dyDescent="0.2">
      <c r="A36" s="17"/>
      <c r="B36" s="4361" t="s">
        <v>9136</v>
      </c>
      <c r="C36" s="4361"/>
      <c r="D36" s="4361"/>
      <c r="E36" s="365"/>
      <c r="F36" s="242"/>
      <c r="G36" s="887" t="s">
        <v>591</v>
      </c>
      <c r="H36" s="1082" t="str">
        <f t="shared" si="11"/>
        <v/>
      </c>
      <c r="I36" s="17"/>
      <c r="J36" s="28"/>
      <c r="K36" s="28">
        <f t="shared" si="9"/>
        <v>0</v>
      </c>
      <c r="N36" s="145"/>
      <c r="O36" s="145"/>
      <c r="P36" s="145"/>
      <c r="Q36" s="32"/>
      <c r="S36" s="28">
        <f t="shared" si="12"/>
        <v>1</v>
      </c>
      <c r="U36" s="28">
        <f t="shared" si="5"/>
        <v>0</v>
      </c>
      <c r="V36" s="28">
        <f t="shared" si="6"/>
        <v>0</v>
      </c>
      <c r="W36" s="28">
        <f t="shared" si="7"/>
        <v>0</v>
      </c>
    </row>
    <row r="37" spans="1:23" x14ac:dyDescent="0.2">
      <c r="A37" s="17"/>
      <c r="B37" s="20" t="s">
        <v>9137</v>
      </c>
      <c r="C37" s="17"/>
      <c r="D37" s="17"/>
      <c r="E37" s="365"/>
      <c r="F37" s="242"/>
      <c r="G37" s="887" t="s">
        <v>591</v>
      </c>
      <c r="H37" s="1082" t="str">
        <f t="shared" si="11"/>
        <v/>
      </c>
      <c r="I37" s="17"/>
      <c r="J37" s="28"/>
      <c r="K37" s="28">
        <f t="shared" si="9"/>
        <v>0</v>
      </c>
      <c r="N37" s="145"/>
      <c r="O37" s="145"/>
      <c r="P37" s="145"/>
      <c r="Q37" s="32"/>
      <c r="S37" s="28">
        <f t="shared" si="12"/>
        <v>1</v>
      </c>
      <c r="U37" s="28">
        <f t="shared" si="5"/>
        <v>0</v>
      </c>
      <c r="V37" s="28">
        <f t="shared" si="6"/>
        <v>0</v>
      </c>
      <c r="W37" s="28">
        <f t="shared" si="7"/>
        <v>0</v>
      </c>
    </row>
    <row r="38" spans="1:23" x14ac:dyDescent="0.2">
      <c r="A38" s="17"/>
      <c r="B38" s="20" t="s">
        <v>9138</v>
      </c>
      <c r="C38" s="20"/>
      <c r="D38" s="20"/>
      <c r="E38" s="365"/>
      <c r="F38" s="242"/>
      <c r="G38" s="366"/>
      <c r="H38" s="1082" t="str">
        <f t="shared" si="11"/>
        <v/>
      </c>
      <c r="I38" s="17"/>
      <c r="J38" s="28"/>
      <c r="K38" s="28">
        <f t="shared" si="9"/>
        <v>0</v>
      </c>
      <c r="L38" s="28">
        <f t="shared" si="10"/>
        <v>0</v>
      </c>
      <c r="N38" s="145"/>
      <c r="O38" s="145"/>
      <c r="P38" s="145"/>
      <c r="Q38" s="32"/>
      <c r="S38" s="28">
        <f t="shared" si="12"/>
        <v>0</v>
      </c>
      <c r="U38" s="28">
        <f t="shared" si="5"/>
        <v>0</v>
      </c>
      <c r="V38" s="28">
        <f t="shared" si="6"/>
        <v>0</v>
      </c>
      <c r="W38" s="28">
        <f t="shared" si="7"/>
        <v>0</v>
      </c>
    </row>
    <row r="39" spans="1:23" x14ac:dyDescent="0.2">
      <c r="A39" s="17"/>
      <c r="B39" s="20" t="s">
        <v>9139</v>
      </c>
      <c r="C39" s="20"/>
      <c r="D39" s="20"/>
      <c r="E39" s="365"/>
      <c r="F39" s="242"/>
      <c r="G39" s="366"/>
      <c r="H39" s="1082" t="str">
        <f t="shared" si="11"/>
        <v/>
      </c>
      <c r="I39" s="17"/>
      <c r="J39" s="28"/>
      <c r="K39" s="28">
        <f t="shared" si="9"/>
        <v>0</v>
      </c>
      <c r="L39" s="28">
        <f t="shared" si="10"/>
        <v>0</v>
      </c>
      <c r="N39" s="145"/>
      <c r="O39" s="145"/>
      <c r="P39" s="145"/>
      <c r="Q39" s="32"/>
      <c r="S39" s="28">
        <f t="shared" si="12"/>
        <v>0</v>
      </c>
      <c r="U39" s="28">
        <f t="shared" si="5"/>
        <v>0</v>
      </c>
      <c r="V39" s="28">
        <f t="shared" si="6"/>
        <v>0</v>
      </c>
      <c r="W39" s="28">
        <f t="shared" si="7"/>
        <v>0</v>
      </c>
    </row>
    <row r="40" spans="1:23" ht="21.75" customHeight="1" x14ac:dyDescent="0.2">
      <c r="A40" s="17"/>
      <c r="B40" s="4361" t="s">
        <v>9140</v>
      </c>
      <c r="C40" s="4361"/>
      <c r="D40" s="4361"/>
      <c r="E40" s="365"/>
      <c r="F40" s="242"/>
      <c r="G40" s="366"/>
      <c r="H40" s="1082" t="str">
        <f t="shared" si="11"/>
        <v/>
      </c>
      <c r="I40" s="17"/>
      <c r="J40" s="28"/>
      <c r="K40" s="28">
        <f t="shared" si="9"/>
        <v>0</v>
      </c>
      <c r="L40" s="28">
        <f t="shared" si="10"/>
        <v>0</v>
      </c>
      <c r="N40" s="145"/>
      <c r="O40" s="145"/>
      <c r="P40" s="145"/>
      <c r="Q40" s="32"/>
      <c r="S40" s="28">
        <f t="shared" si="12"/>
        <v>0</v>
      </c>
      <c r="U40" s="28">
        <f t="shared" si="5"/>
        <v>0</v>
      </c>
      <c r="V40" s="28">
        <f t="shared" si="6"/>
        <v>0</v>
      </c>
      <c r="W40" s="28">
        <f t="shared" si="7"/>
        <v>0</v>
      </c>
    </row>
    <row r="41" spans="1:23" ht="20.25" customHeight="1" x14ac:dyDescent="0.2">
      <c r="A41" s="17"/>
      <c r="B41" s="4361" t="s">
        <v>9141</v>
      </c>
      <c r="C41" s="4361"/>
      <c r="D41" s="4361"/>
      <c r="E41" s="365"/>
      <c r="F41" s="242"/>
      <c r="G41" s="366"/>
      <c r="H41" s="1082" t="str">
        <f t="shared" si="11"/>
        <v/>
      </c>
      <c r="I41" s="17"/>
      <c r="J41" s="28"/>
      <c r="K41" s="28">
        <f t="shared" si="9"/>
        <v>0</v>
      </c>
      <c r="L41" s="28">
        <f t="shared" si="10"/>
        <v>0</v>
      </c>
      <c r="N41" s="145"/>
      <c r="O41" s="145"/>
      <c r="P41" s="145"/>
      <c r="Q41" s="32"/>
      <c r="S41" s="28">
        <f t="shared" si="12"/>
        <v>0</v>
      </c>
      <c r="U41" s="28">
        <f t="shared" si="5"/>
        <v>0</v>
      </c>
      <c r="V41" s="28">
        <f t="shared" si="6"/>
        <v>0</v>
      </c>
      <c r="W41" s="28">
        <f t="shared" si="7"/>
        <v>0</v>
      </c>
    </row>
    <row r="42" spans="1:23" ht="24" customHeight="1" x14ac:dyDescent="0.2">
      <c r="A42" s="17"/>
      <c r="B42" s="4361" t="s">
        <v>9142</v>
      </c>
      <c r="C42" s="4361"/>
      <c r="D42" s="4361"/>
      <c r="E42" s="365"/>
      <c r="F42" s="242"/>
      <c r="G42" s="366"/>
      <c r="H42" s="1082" t="str">
        <f t="shared" si="11"/>
        <v/>
      </c>
      <c r="I42" s="17"/>
      <c r="J42" s="28"/>
      <c r="K42" s="28">
        <f t="shared" si="9"/>
        <v>0</v>
      </c>
      <c r="L42" s="28">
        <f t="shared" si="10"/>
        <v>0</v>
      </c>
      <c r="N42" s="145"/>
      <c r="O42" s="145"/>
      <c r="P42" s="145"/>
      <c r="Q42" s="32"/>
      <c r="S42" s="28">
        <f t="shared" si="12"/>
        <v>0</v>
      </c>
      <c r="U42" s="28">
        <f t="shared" si="5"/>
        <v>0</v>
      </c>
      <c r="V42" s="28">
        <f t="shared" si="6"/>
        <v>0</v>
      </c>
      <c r="W42" s="28">
        <f t="shared" si="7"/>
        <v>0</v>
      </c>
    </row>
    <row r="43" spans="1:23" x14ac:dyDescent="0.2">
      <c r="A43" s="17"/>
      <c r="B43" s="20" t="s">
        <v>9143</v>
      </c>
      <c r="C43" s="20"/>
      <c r="D43" s="20"/>
      <c r="E43" s="365"/>
      <c r="F43" s="242"/>
      <c r="G43" s="366"/>
      <c r="H43" s="1082" t="str">
        <f t="shared" si="11"/>
        <v/>
      </c>
      <c r="I43" s="17"/>
      <c r="J43" s="28"/>
      <c r="K43" s="28">
        <f t="shared" si="9"/>
        <v>0</v>
      </c>
      <c r="L43" s="28">
        <f t="shared" si="10"/>
        <v>0</v>
      </c>
      <c r="N43" s="145"/>
      <c r="O43" s="145"/>
      <c r="P43" s="145"/>
      <c r="Q43" s="32"/>
      <c r="S43" s="28">
        <f t="shared" si="12"/>
        <v>0</v>
      </c>
      <c r="U43" s="28">
        <f t="shared" si="5"/>
        <v>0</v>
      </c>
      <c r="V43" s="28">
        <f t="shared" si="6"/>
        <v>0</v>
      </c>
      <c r="W43" s="28">
        <f t="shared" si="7"/>
        <v>0</v>
      </c>
    </row>
    <row r="44" spans="1:23" ht="25.5" customHeight="1" x14ac:dyDescent="0.2">
      <c r="A44" s="17"/>
      <c r="B44" s="4361" t="s">
        <v>9144</v>
      </c>
      <c r="C44" s="4361"/>
      <c r="D44" s="4361"/>
      <c r="E44" s="365"/>
      <c r="F44" s="242"/>
      <c r="G44" s="366"/>
      <c r="H44" s="1082" t="str">
        <f t="shared" si="11"/>
        <v/>
      </c>
      <c r="I44" s="17"/>
      <c r="J44" s="28"/>
      <c r="K44" s="28">
        <f t="shared" si="9"/>
        <v>0</v>
      </c>
      <c r="L44" s="28">
        <f t="shared" si="10"/>
        <v>0</v>
      </c>
      <c r="N44" s="145"/>
      <c r="O44" s="145"/>
      <c r="P44" s="145"/>
      <c r="Q44" s="32"/>
      <c r="S44" s="28">
        <f t="shared" si="12"/>
        <v>0</v>
      </c>
      <c r="U44" s="28">
        <f t="shared" si="5"/>
        <v>0</v>
      </c>
      <c r="V44" s="28">
        <f t="shared" si="6"/>
        <v>0</v>
      </c>
      <c r="W44" s="28">
        <f t="shared" si="7"/>
        <v>0</v>
      </c>
    </row>
    <row r="45" spans="1:23" ht="33" customHeight="1" x14ac:dyDescent="0.2">
      <c r="A45" s="17"/>
      <c r="B45" s="4361" t="s">
        <v>9145</v>
      </c>
      <c r="C45" s="4361"/>
      <c r="D45" s="4361"/>
      <c r="E45" s="365"/>
      <c r="F45" s="242"/>
      <c r="G45" s="366"/>
      <c r="H45" s="1082" t="str">
        <f t="shared" si="11"/>
        <v/>
      </c>
      <c r="I45" s="17"/>
      <c r="J45" s="28"/>
      <c r="K45" s="28">
        <f t="shared" si="9"/>
        <v>0</v>
      </c>
      <c r="L45" s="28">
        <f t="shared" si="10"/>
        <v>0</v>
      </c>
      <c r="N45" s="145"/>
      <c r="O45" s="145"/>
      <c r="P45" s="145"/>
      <c r="Q45" s="32"/>
      <c r="S45" s="28">
        <f t="shared" si="12"/>
        <v>0</v>
      </c>
      <c r="U45" s="28">
        <f t="shared" si="5"/>
        <v>0</v>
      </c>
      <c r="V45" s="28">
        <f t="shared" si="6"/>
        <v>0</v>
      </c>
      <c r="W45" s="28">
        <f t="shared" si="7"/>
        <v>0</v>
      </c>
    </row>
    <row r="46" spans="1:23" x14ac:dyDescent="0.2">
      <c r="A46" s="17"/>
      <c r="B46" s="20" t="s">
        <v>9146</v>
      </c>
      <c r="C46" s="20"/>
      <c r="D46" s="20"/>
      <c r="E46" s="365"/>
      <c r="F46" s="242"/>
      <c r="G46" s="366"/>
      <c r="H46" s="1082" t="str">
        <f t="shared" si="11"/>
        <v/>
      </c>
      <c r="I46" s="17"/>
      <c r="J46" s="28"/>
      <c r="K46" s="28">
        <f t="shared" si="9"/>
        <v>0</v>
      </c>
      <c r="L46" s="28">
        <f t="shared" si="10"/>
        <v>0</v>
      </c>
      <c r="N46" s="145"/>
      <c r="O46" s="145"/>
      <c r="P46" s="145"/>
      <c r="Q46" s="32"/>
      <c r="S46" s="28">
        <f t="shared" si="12"/>
        <v>0</v>
      </c>
      <c r="U46" s="28">
        <f t="shared" si="5"/>
        <v>0</v>
      </c>
      <c r="V46" s="28">
        <f t="shared" si="6"/>
        <v>0</v>
      </c>
      <c r="W46" s="28">
        <f t="shared" si="7"/>
        <v>0</v>
      </c>
    </row>
    <row r="47" spans="1:23" hidden="1" x14ac:dyDescent="0.2">
      <c r="A47" s="17"/>
      <c r="B47" s="20"/>
      <c r="C47" s="20"/>
      <c r="D47" s="20"/>
      <c r="E47" s="3370"/>
      <c r="F47" s="242"/>
      <c r="G47" s="3371"/>
      <c r="H47" s="1082"/>
      <c r="I47" s="17"/>
      <c r="J47" s="28"/>
      <c r="N47" s="145"/>
      <c r="O47" s="145"/>
      <c r="P47" s="145"/>
      <c r="Q47" s="32"/>
    </row>
    <row r="48" spans="1:23" hidden="1" x14ac:dyDescent="0.2">
      <c r="A48" s="17"/>
      <c r="B48" s="20"/>
      <c r="C48" s="20"/>
      <c r="D48" s="20"/>
      <c r="E48" s="3370"/>
      <c r="F48" s="242"/>
      <c r="G48" s="3371"/>
      <c r="H48" s="1082"/>
      <c r="I48" s="17"/>
      <c r="J48" s="28"/>
      <c r="N48" s="145"/>
      <c r="O48" s="145"/>
      <c r="P48" s="145"/>
      <c r="Q48" s="32"/>
    </row>
    <row r="49" spans="1:23" hidden="1" x14ac:dyDescent="0.2">
      <c r="A49" s="17"/>
      <c r="B49" s="20"/>
      <c r="C49" s="20"/>
      <c r="D49" s="20"/>
      <c r="E49" s="3370"/>
      <c r="F49" s="242"/>
      <c r="G49" s="3371"/>
      <c r="H49" s="1082"/>
      <c r="I49" s="17"/>
      <c r="J49" s="28"/>
      <c r="N49" s="145"/>
      <c r="O49" s="145"/>
      <c r="P49" s="145"/>
      <c r="Q49" s="32"/>
    </row>
    <row r="50" spans="1:23" hidden="1" x14ac:dyDescent="0.2">
      <c r="A50" s="17"/>
      <c r="B50" s="20"/>
      <c r="C50" s="20"/>
      <c r="D50" s="20"/>
      <c r="E50" s="3370"/>
      <c r="F50" s="242"/>
      <c r="G50" s="3371"/>
      <c r="H50" s="1082"/>
      <c r="I50" s="17"/>
      <c r="J50" s="28"/>
      <c r="N50" s="145"/>
      <c r="O50" s="145"/>
      <c r="P50" s="145"/>
      <c r="Q50" s="32"/>
    </row>
    <row r="51" spans="1:23" hidden="1" x14ac:dyDescent="0.2">
      <c r="A51" s="17"/>
      <c r="B51" s="20"/>
      <c r="C51" s="20"/>
      <c r="D51" s="20"/>
      <c r="E51" s="3370"/>
      <c r="F51" s="242"/>
      <c r="G51" s="3371"/>
      <c r="H51" s="1082"/>
      <c r="I51" s="17"/>
      <c r="J51" s="28"/>
      <c r="N51" s="145"/>
      <c r="O51" s="145"/>
      <c r="P51" s="145"/>
      <c r="Q51" s="32"/>
    </row>
    <row r="52" spans="1:23" hidden="1" x14ac:dyDescent="0.2">
      <c r="A52" s="17"/>
      <c r="B52" s="20"/>
      <c r="C52" s="20"/>
      <c r="D52" s="20"/>
      <c r="E52" s="3370"/>
      <c r="F52" s="242"/>
      <c r="G52" s="3371"/>
      <c r="H52" s="1082"/>
      <c r="I52" s="17"/>
      <c r="J52" s="28"/>
      <c r="N52" s="145"/>
      <c r="O52" s="145"/>
      <c r="P52" s="145"/>
      <c r="Q52" s="32"/>
    </row>
    <row r="53" spans="1:23" hidden="1" x14ac:dyDescent="0.2">
      <c r="A53" s="17"/>
      <c r="B53" s="20"/>
      <c r="C53" s="20"/>
      <c r="D53" s="20"/>
      <c r="E53" s="3370"/>
      <c r="F53" s="242"/>
      <c r="G53" s="3371"/>
      <c r="H53" s="1082"/>
      <c r="I53" s="17"/>
      <c r="J53" s="28"/>
      <c r="N53" s="145"/>
      <c r="O53" s="145"/>
      <c r="P53" s="145"/>
      <c r="Q53" s="32"/>
    </row>
    <row r="54" spans="1:23" hidden="1" x14ac:dyDescent="0.2">
      <c r="A54" s="17"/>
      <c r="B54" s="20"/>
      <c r="C54" s="20"/>
      <c r="D54" s="20"/>
      <c r="E54" s="3370"/>
      <c r="F54" s="242"/>
      <c r="G54" s="3371"/>
      <c r="H54" s="1082"/>
      <c r="I54" s="17"/>
      <c r="J54" s="28"/>
      <c r="N54" s="145"/>
      <c r="O54" s="145"/>
      <c r="P54" s="145"/>
      <c r="Q54" s="32"/>
    </row>
    <row r="55" spans="1:23" hidden="1" x14ac:dyDescent="0.2">
      <c r="A55" s="17"/>
      <c r="B55" s="20"/>
      <c r="C55" s="20"/>
      <c r="D55" s="20"/>
      <c r="E55" s="3370"/>
      <c r="F55" s="242"/>
      <c r="G55" s="3371"/>
      <c r="H55" s="1082"/>
      <c r="I55" s="17"/>
      <c r="J55" s="28"/>
      <c r="N55" s="145"/>
      <c r="O55" s="145"/>
      <c r="P55" s="145"/>
      <c r="Q55" s="32"/>
    </row>
    <row r="56" spans="1:23" hidden="1" x14ac:dyDescent="0.2">
      <c r="A56" s="17"/>
      <c r="B56" s="20"/>
      <c r="C56" s="20"/>
      <c r="D56" s="20"/>
      <c r="E56" s="3370"/>
      <c r="F56" s="242"/>
      <c r="G56" s="3371"/>
      <c r="H56" s="1082"/>
      <c r="I56" s="17"/>
      <c r="J56" s="28"/>
      <c r="N56" s="145"/>
      <c r="O56" s="145"/>
      <c r="P56" s="145"/>
      <c r="Q56" s="32"/>
    </row>
    <row r="57" spans="1:23" hidden="1" x14ac:dyDescent="0.2">
      <c r="A57" s="17"/>
      <c r="B57" s="20"/>
      <c r="C57" s="20"/>
      <c r="D57" s="20"/>
      <c r="E57" s="3370"/>
      <c r="F57" s="242"/>
      <c r="G57" s="3371"/>
      <c r="H57" s="1082"/>
      <c r="I57" s="17"/>
      <c r="J57" s="28"/>
      <c r="N57" s="145"/>
      <c r="O57" s="145"/>
      <c r="P57" s="145"/>
      <c r="Q57" s="32"/>
    </row>
    <row r="58" spans="1:23" hidden="1" x14ac:dyDescent="0.2">
      <c r="E58" s="28"/>
      <c r="F58" s="28"/>
      <c r="H58" s="1082" t="str">
        <f t="shared" si="11"/>
        <v/>
      </c>
      <c r="J58" s="28"/>
      <c r="K58" s="28">
        <f t="shared" si="9"/>
        <v>0</v>
      </c>
      <c r="L58" s="28">
        <f t="shared" si="10"/>
        <v>0</v>
      </c>
      <c r="N58" s="145"/>
      <c r="O58" s="145"/>
      <c r="P58" s="145"/>
      <c r="Q58" s="32"/>
    </row>
    <row r="59" spans="1:23" hidden="1" x14ac:dyDescent="0.2">
      <c r="E59" s="28"/>
      <c r="F59" s="28"/>
      <c r="H59" s="1082" t="str">
        <f t="shared" si="11"/>
        <v/>
      </c>
      <c r="J59" s="28"/>
      <c r="K59" s="28">
        <f t="shared" si="9"/>
        <v>0</v>
      </c>
      <c r="L59" s="28">
        <f t="shared" si="10"/>
        <v>0</v>
      </c>
      <c r="N59" s="145"/>
      <c r="O59" s="145"/>
      <c r="P59" s="145"/>
      <c r="Q59" s="32"/>
    </row>
    <row r="60" spans="1:23" hidden="1" x14ac:dyDescent="0.2">
      <c r="E60" s="28"/>
      <c r="F60" s="28"/>
      <c r="H60" s="1082" t="str">
        <f t="shared" si="11"/>
        <v/>
      </c>
      <c r="J60" s="28"/>
      <c r="K60" s="28">
        <f t="shared" si="9"/>
        <v>0</v>
      </c>
      <c r="L60" s="28">
        <f t="shared" si="10"/>
        <v>0</v>
      </c>
      <c r="N60" s="145"/>
      <c r="O60" s="145"/>
      <c r="P60" s="145"/>
      <c r="Q60" s="32"/>
    </row>
    <row r="61" spans="1:23" x14ac:dyDescent="0.2">
      <c r="A61" s="3"/>
      <c r="B61" s="20" t="s">
        <v>9123</v>
      </c>
      <c r="C61" s="17"/>
      <c r="D61" s="17"/>
      <c r="E61" s="368">
        <f>'TRA8'!G102</f>
      </c>
      <c r="F61" s="613" t="s">
        <v>1501</v>
      </c>
      <c r="G61" s="887" t="s">
        <v>591</v>
      </c>
      <c r="H61" s="1082" t="str">
        <f>IF(AND(S61&lt;&gt;1,E61=""),"Amount !",IF(AND(S61&lt;&gt;0,G61=""),"Taxed Account !",""))</f>
        <v/>
      </c>
      <c r="I61" s="860"/>
      <c r="J61" s="142"/>
      <c r="N61" s="145"/>
      <c r="O61" s="145"/>
      <c r="P61" s="145"/>
      <c r="Q61" s="32"/>
      <c r="S61" s="28">
        <f>COUNTA(E61,G61,C61)</f>
      </c>
      <c r="U61" s="28">
        <f>IF($G61=_FTA3,$E61,0)</f>
      </c>
      <c r="V61" s="28">
        <f>IF($G61=_UA2,$E61,0)</f>
      </c>
      <c r="W61" s="28">
        <f>IF($G61=_INC2,$E61,0)</f>
      </c>
    </row>
    <row r="62" spans="1:23" hidden="1" x14ac:dyDescent="0.2">
      <c r="A62" s="4668" t="s">
        <v>6195</v>
      </c>
      <c r="B62" s="4669"/>
      <c r="C62" s="429"/>
      <c r="D62" s="222" t="str">
        <f>IF(E62="","",IF(ISBLANK(C62),"Legislation !",""))</f>
        <v/>
      </c>
      <c r="E62" s="365"/>
      <c r="F62" s="619"/>
      <c r="G62" s="366"/>
      <c r="H62" s="1082" t="str">
        <f>IF(AND(S62=1,E62=""),"Amount !",IF(AND(S62=1,G62=""),"Taxed Account !",""))</f>
        <v/>
      </c>
      <c r="I62" s="860"/>
      <c r="J62" s="142"/>
      <c r="K62" s="28">
        <f>IF(AND(H62="",D62=""),0,1)</f>
      </c>
      <c r="L62" s="28">
        <f>IF(AND(G62&lt;&gt;"",E62=""),1,0)</f>
      </c>
      <c r="M62" s="28">
        <f>SUM(L12:L62)</f>
      </c>
      <c r="N62" s="145"/>
      <c r="O62" s="145"/>
      <c r="P62" s="145"/>
      <c r="Q62" s="32"/>
      <c r="S62" s="28">
        <f>COUNTA(E62,G62,C62)</f>
      </c>
      <c r="U62" s="28">
        <f>IF($G62=_FTA3,$E62,0)</f>
      </c>
      <c r="V62" s="28">
        <f>IF($G62=_UA2,$E62,0)</f>
      </c>
      <c r="W62" s="28">
        <f>IF($G62=_INC2,$E62,0)</f>
      </c>
    </row>
    <row r="63" spans="1:23" ht="27.75" customHeight="1" x14ac:dyDescent="0.2">
      <c r="A63" s="4670" t="s">
        <v>4673</v>
      </c>
      <c r="B63" s="4670"/>
      <c r="C63" s="4670"/>
      <c r="D63" s="4670"/>
      <c r="E63" s="1053"/>
      <c r="F63" s="1053"/>
      <c r="G63" s="1053"/>
      <c r="H63" s="1082"/>
      <c r="I63" s="860"/>
      <c r="J63" s="142"/>
      <c r="Q63" s="32"/>
    </row>
    <row r="64" spans="1:23" ht="14.25" x14ac:dyDescent="0.2">
      <c r="A64" s="1099" t="s">
        <v>6820</v>
      </c>
      <c r="B64" s="1100"/>
      <c r="C64" s="1100"/>
      <c r="D64" s="1100"/>
      <c r="E64" s="1101">
        <f>SUM(E12:E14,E16:E24,E26:E62,E6:E8)</f>
      </c>
      <c r="F64" s="1315" t="s">
        <v>4674</v>
      </c>
      <c r="G64" s="1052"/>
      <c r="H64" s="1082"/>
      <c r="I64" s="860"/>
      <c r="J64" s="142"/>
      <c r="K64" s="28">
        <f>SUM(K5:K62)</f>
      </c>
      <c r="L64" s="30">
        <f>IF(E64=0,0,IF(K64&lt;&gt;0,100,IF(E77="Yes",1,100)))</f>
      </c>
      <c r="M64" s="32"/>
      <c r="N64" s="32"/>
      <c r="O64" s="32"/>
      <c r="P64" s="32"/>
      <c r="U64" s="30">
        <f>SUM(U5:U62)</f>
      </c>
      <c r="V64" s="30">
        <f>SUM(V5:V62)</f>
      </c>
      <c r="W64" s="30">
        <f>SUM(W5:W62)</f>
      </c>
    </row>
    <row r="65" spans="1:27" ht="6.75" customHeight="1" x14ac:dyDescent="0.2">
      <c r="A65" s="3"/>
      <c r="B65" s="237"/>
      <c r="C65" s="3"/>
      <c r="D65" s="3"/>
      <c r="E65" s="860"/>
      <c r="F65" s="1053"/>
      <c r="G65" s="1054"/>
      <c r="H65" s="1055"/>
      <c r="I65" s="860"/>
      <c r="J65" s="142"/>
      <c r="L65" s="142"/>
      <c r="M65" s="142"/>
      <c r="N65" s="142"/>
      <c r="O65" s="142"/>
    </row>
    <row r="66" spans="1:27" ht="14.25" x14ac:dyDescent="0.2">
      <c r="A66" s="1099" t="s">
        <v>3720</v>
      </c>
      <c r="B66" s="1100"/>
      <c r="C66" s="1100"/>
      <c r="D66" s="1102"/>
      <c r="E66" s="1053"/>
      <c r="F66" s="1053"/>
      <c r="G66" s="860"/>
      <c r="H66" s="1056"/>
      <c r="I66" s="860"/>
      <c r="J66" s="142"/>
      <c r="M66" s="147"/>
    </row>
    <row r="67" spans="1:27" x14ac:dyDescent="0.2">
      <c r="A67" s="1103"/>
      <c r="B67" s="1057" t="s">
        <v>1767</v>
      </c>
      <c r="C67" s="1103"/>
      <c r="D67" s="1103"/>
      <c r="E67" s="1101">
        <f>U64</f>
      </c>
      <c r="F67" s="1103"/>
      <c r="G67" s="1103"/>
      <c r="H67" s="860"/>
      <c r="I67" s="860"/>
      <c r="J67" s="142"/>
    </row>
    <row r="68" spans="1:27" ht="4.1500000000000004" customHeight="1" x14ac:dyDescent="0.2">
      <c r="A68" s="1103"/>
      <c r="B68" s="1057"/>
      <c r="C68" s="1103"/>
      <c r="D68" s="1103"/>
      <c r="E68" s="1103"/>
      <c r="F68" s="1103"/>
      <c r="G68" s="1103"/>
      <c r="H68" s="860"/>
      <c r="I68" s="860"/>
      <c r="J68" s="142"/>
    </row>
    <row r="69" spans="1:27" x14ac:dyDescent="0.2">
      <c r="A69" s="1103"/>
      <c r="B69" s="1057" t="s">
        <v>591</v>
      </c>
      <c r="C69" s="1103"/>
      <c r="D69" s="1103"/>
      <c r="E69" s="1101">
        <f>V64</f>
      </c>
      <c r="F69" s="1103"/>
      <c r="G69" s="1103"/>
      <c r="H69" s="860"/>
      <c r="I69" s="860"/>
      <c r="J69" s="142"/>
    </row>
    <row r="70" spans="1:27" ht="4.1500000000000004" customHeight="1" x14ac:dyDescent="0.2">
      <c r="A70" s="1103"/>
      <c r="B70" s="1057"/>
      <c r="C70" s="1103"/>
      <c r="D70" s="1103"/>
      <c r="E70" s="1103"/>
      <c r="F70" s="1103"/>
      <c r="G70" s="1103"/>
      <c r="H70" s="860"/>
      <c r="I70" s="860"/>
      <c r="J70" s="142"/>
    </row>
    <row r="71" spans="1:27" x14ac:dyDescent="0.2">
      <c r="A71" s="1103"/>
      <c r="B71" s="1057" t="s">
        <v>374</v>
      </c>
      <c r="C71" s="1103"/>
      <c r="D71" s="1103"/>
      <c r="E71" s="1101">
        <f>W64</f>
      </c>
      <c r="F71" s="1103"/>
      <c r="G71" s="1103"/>
      <c r="H71" s="860"/>
      <c r="I71" s="860"/>
      <c r="J71" s="142"/>
    </row>
    <row r="72" spans="1:27" ht="4.1500000000000004" customHeight="1" x14ac:dyDescent="0.2">
      <c r="A72" s="1103"/>
      <c r="B72" s="1103"/>
      <c r="C72" s="1103"/>
      <c r="D72" s="1103"/>
      <c r="E72" s="1103"/>
      <c r="F72" s="1103"/>
      <c r="G72" s="1103"/>
      <c r="H72" s="860"/>
      <c r="I72" s="860"/>
      <c r="J72" s="142"/>
    </row>
    <row r="73" spans="1:27" x14ac:dyDescent="0.2">
      <c r="A73" s="1104" t="s">
        <v>394</v>
      </c>
      <c r="B73" s="1014"/>
      <c r="C73" s="1014"/>
      <c r="D73" s="1015"/>
      <c r="E73" s="1101">
        <f>SUM(E67,E69,E71)</f>
      </c>
      <c r="F73" s="3795" t="str">
        <f>IF(OR(M62&lt;&gt;0,E73&lt;&gt;E64)," Missing amounts and/or taxed accounts not properly indicated !","")</f>
        <v/>
      </c>
      <c r="G73" s="1103"/>
      <c r="H73" s="860"/>
      <c r="I73" s="860"/>
      <c r="J73" s="142"/>
      <c r="L73" s="28">
        <f>IF(F73="",0,1)</f>
      </c>
    </row>
    <row r="74" spans="1:27" ht="4.1500000000000004" customHeight="1" x14ac:dyDescent="0.2">
      <c r="A74" s="63"/>
      <c r="B74" s="63"/>
      <c r="C74" s="17"/>
      <c r="D74" s="17"/>
      <c r="E74" s="242"/>
      <c r="F74" s="242"/>
      <c r="G74" s="17"/>
      <c r="H74" s="17"/>
      <c r="I74" s="17"/>
      <c r="J74" s="142"/>
    </row>
    <row r="75" spans="1:27" x14ac:dyDescent="0.2">
      <c r="A75" s="617"/>
      <c r="B75" s="4408" t="str">
        <f>_xlfn.SINGLE(MTCA)</f>
      </c>
      <c r="C75" s="4408"/>
      <c r="D75" s="65" t="str">
        <f>ver</f>
        <v>TA2_e-CO_2025_Ver 1.1</v>
      </c>
      <c r="E75" s="3"/>
      <c r="F75" s="2"/>
      <c r="G75" s="3"/>
      <c r="H75" s="56" t="s">
        <v>1026</v>
      </c>
      <c r="I75" s="56"/>
      <c r="J75" s="142"/>
    </row>
    <row r="76" spans="1:27" ht="4.5" customHeight="1" x14ac:dyDescent="0.2">
      <c r="A76" s="617"/>
      <c r="B76" s="617"/>
      <c r="C76" s="3"/>
      <c r="D76" s="3"/>
      <c r="E76" s="3"/>
      <c r="F76" s="2"/>
      <c r="G76" s="3"/>
      <c r="H76" s="56"/>
      <c r="I76" s="56"/>
      <c r="J76" s="60"/>
    </row>
    <row r="77" spans="1:27" x14ac:dyDescent="0.2">
      <c r="A77" s="617"/>
      <c r="B77" s="617"/>
      <c r="C77" s="237"/>
      <c r="D77" s="563" t="str">
        <f>COM</f>
      </c>
      <c r="E77" s="275"/>
      <c r="F77" s="624" t="str">
        <f>IF(E64=0,"",IF(E77="",re,""))</f>
        <v/>
      </c>
      <c r="G77" s="3"/>
      <c r="H77" s="56"/>
      <c r="I77" s="56"/>
      <c r="J77" s="60"/>
    </row>
    <row r="78" spans="1:27" ht="7.5" customHeight="1" x14ac:dyDescent="0.2">
      <c r="A78" s="617"/>
      <c r="B78" s="617"/>
      <c r="C78" s="3"/>
      <c r="D78" s="3"/>
      <c r="E78" s="3"/>
      <c r="F78" s="2"/>
      <c r="G78" s="3"/>
      <c r="H78" s="56"/>
      <c r="I78" s="56"/>
      <c r="J78" s="60"/>
    </row>
    <row r="79" spans="1:27" x14ac:dyDescent="0.2">
      <c r="A79" s="617"/>
      <c r="B79" s="617"/>
      <c r="C79" s="4636" t="s">
        <v>6290</v>
      </c>
      <c r="D79" s="4636"/>
      <c r="E79" s="4636"/>
      <c r="F79" s="2"/>
      <c r="G79" s="3"/>
      <c r="H79" s="56"/>
      <c r="I79" s="56"/>
      <c r="J79" s="60"/>
      <c r="AA79" s="28" t="s">
        <v>4457</v>
      </c>
    </row>
    <row r="80" spans="1:27" x14ac:dyDescent="0.2">
      <c r="A80" s="617"/>
      <c r="B80" s="617"/>
      <c r="C80" s="3"/>
      <c r="D80" s="3"/>
      <c r="E80" s="3"/>
      <c r="F80" s="2"/>
      <c r="G80" s="3"/>
      <c r="H80" s="56"/>
      <c r="I80" s="56"/>
      <c r="J80" s="60"/>
      <c r="AA80" s="28" t="s">
        <v>1736</v>
      </c>
    </row>
    <row r="81" spans="1:10" hidden="1" x14ac:dyDescent="0.2">
      <c r="A81" s="47"/>
      <c r="B81" s="47"/>
      <c r="C81" s="47"/>
      <c r="D81" s="47"/>
      <c r="E81" s="47"/>
      <c r="F81" s="47"/>
      <c r="G81" s="47"/>
      <c r="H81" s="28"/>
      <c r="J81" s="47"/>
    </row>
    <row r="82" spans="1:10" hidden="1" x14ac:dyDescent="0.2">
      <c r="A82" s="47"/>
      <c r="B82" s="47"/>
      <c r="C82" s="47"/>
      <c r="D82" s="47"/>
      <c r="E82" s="47"/>
      <c r="F82" s="47"/>
      <c r="G82" s="47"/>
      <c r="H82" s="28"/>
      <c r="J82" s="47"/>
    </row>
    <row r="83" spans="1:10" hidden="1" x14ac:dyDescent="0.2">
      <c r="A83" s="47"/>
      <c r="B83" s="47"/>
      <c r="C83" s="47"/>
      <c r="D83" s="47"/>
      <c r="E83" s="47"/>
      <c r="F83" s="47"/>
      <c r="G83" s="47"/>
      <c r="H83" s="28"/>
      <c r="J83" s="47"/>
    </row>
    <row r="84" spans="1:10" hidden="1" x14ac:dyDescent="0.2">
      <c r="A84" s="47"/>
      <c r="B84" s="47"/>
      <c r="C84" s="47"/>
      <c r="D84" s="47"/>
      <c r="E84" s="47"/>
      <c r="F84" s="47"/>
      <c r="G84" s="47"/>
      <c r="H84" s="28"/>
      <c r="J84" s="47"/>
    </row>
    <row r="85" spans="1:10" hidden="1" x14ac:dyDescent="0.2">
      <c r="A85" s="47"/>
      <c r="B85" s="47"/>
      <c r="C85" s="47"/>
      <c r="D85" s="47"/>
      <c r="E85" s="47"/>
      <c r="F85" s="47"/>
      <c r="G85" s="47"/>
      <c r="H85" s="28"/>
      <c r="J85" s="47"/>
    </row>
    <row r="86" spans="1:10" hidden="1" x14ac:dyDescent="0.2">
      <c r="A86" s="47"/>
      <c r="B86" s="47"/>
      <c r="C86" s="47"/>
      <c r="D86" s="47"/>
      <c r="E86" s="47"/>
      <c r="F86" s="47"/>
      <c r="G86" s="47"/>
      <c r="H86" s="28"/>
      <c r="J86" s="47"/>
    </row>
    <row r="87" spans="1:10" hidden="1" x14ac:dyDescent="0.2">
      <c r="A87" s="47"/>
      <c r="B87" s="47"/>
      <c r="C87" s="47"/>
      <c r="D87" s="47"/>
      <c r="E87" s="47"/>
      <c r="F87" s="47"/>
      <c r="G87" s="47"/>
      <c r="H87" s="28"/>
      <c r="J87" s="47"/>
    </row>
    <row r="88" spans="1:10" hidden="1" x14ac:dyDescent="0.2">
      <c r="A88" s="47"/>
      <c r="B88" s="47"/>
      <c r="C88" s="47"/>
      <c r="D88" s="47"/>
      <c r="E88" s="47"/>
      <c r="F88" s="47"/>
      <c r="G88" s="47"/>
      <c r="H88" s="28"/>
      <c r="J88" s="47"/>
    </row>
    <row r="89" spans="1:10" hidden="1" x14ac:dyDescent="0.2">
      <c r="A89" s="47"/>
      <c r="B89" s="47"/>
      <c r="C89" s="47"/>
      <c r="D89" s="47"/>
      <c r="E89" s="47"/>
      <c r="F89" s="47"/>
      <c r="G89" s="47"/>
      <c r="H89" s="28"/>
      <c r="J89" s="47"/>
    </row>
    <row r="90" spans="1:10" hidden="1" x14ac:dyDescent="0.2">
      <c r="A90" s="47"/>
      <c r="B90" s="47"/>
      <c r="C90" s="47"/>
      <c r="D90" s="47"/>
      <c r="E90" s="47"/>
      <c r="F90" s="47"/>
      <c r="G90" s="47"/>
      <c r="H90" s="28"/>
      <c r="J90" s="47"/>
    </row>
    <row r="91" spans="1:10" hidden="1" x14ac:dyDescent="0.2">
      <c r="A91" s="47"/>
      <c r="B91" s="47"/>
      <c r="C91" s="47"/>
      <c r="D91" s="47"/>
      <c r="E91" s="47"/>
      <c r="F91" s="47"/>
      <c r="G91" s="47"/>
      <c r="H91" s="28"/>
      <c r="J91" s="47"/>
    </row>
    <row r="92" spans="1:10" hidden="1" x14ac:dyDescent="0.2">
      <c r="A92" s="47"/>
      <c r="B92" s="47"/>
      <c r="C92" s="47"/>
      <c r="D92" s="47"/>
      <c r="E92" s="47"/>
      <c r="F92" s="47"/>
      <c r="G92" s="47"/>
      <c r="H92" s="28"/>
      <c r="J92" s="47"/>
    </row>
    <row r="93" spans="1:10" hidden="1" x14ac:dyDescent="0.2">
      <c r="A93" s="47"/>
      <c r="B93" s="47"/>
      <c r="C93" s="47"/>
      <c r="D93" s="47"/>
      <c r="E93" s="47"/>
      <c r="F93" s="47"/>
      <c r="G93" s="47"/>
      <c r="H93" s="28"/>
      <c r="J93" s="47"/>
    </row>
    <row r="94" spans="1:10" hidden="1" x14ac:dyDescent="0.2">
      <c r="A94" s="47"/>
      <c r="B94" s="47"/>
      <c r="C94" s="47"/>
      <c r="D94" s="47"/>
      <c r="E94" s="47"/>
      <c r="F94" s="47"/>
      <c r="G94" s="47"/>
      <c r="H94" s="28"/>
      <c r="J94" s="47"/>
    </row>
    <row r="95" spans="1:10" hidden="1" x14ac:dyDescent="0.2">
      <c r="A95" s="47"/>
      <c r="B95" s="47"/>
      <c r="C95" s="47"/>
      <c r="D95" s="47"/>
      <c r="E95" s="47"/>
      <c r="F95" s="47"/>
      <c r="G95" s="47"/>
      <c r="H95" s="28"/>
      <c r="J95" s="47"/>
    </row>
    <row r="96" spans="1:10" hidden="1" x14ac:dyDescent="0.2">
      <c r="A96" s="47"/>
      <c r="B96" s="47"/>
      <c r="C96" s="47"/>
      <c r="D96" s="47"/>
      <c r="E96" s="47"/>
      <c r="F96" s="47"/>
      <c r="G96" s="47"/>
      <c r="H96" s="28"/>
      <c r="J96" s="47"/>
    </row>
    <row r="97" spans="1:10" hidden="1" x14ac:dyDescent="0.2">
      <c r="A97" s="47"/>
      <c r="B97" s="47"/>
      <c r="C97" s="47"/>
      <c r="D97" s="47"/>
      <c r="E97" s="47"/>
      <c r="F97" s="47"/>
      <c r="G97" s="47"/>
      <c r="H97" s="28"/>
      <c r="J97" s="47"/>
    </row>
    <row r="98" spans="1:10" hidden="1" x14ac:dyDescent="0.2">
      <c r="A98" s="47"/>
      <c r="B98" s="47"/>
      <c r="C98" s="47"/>
      <c r="D98" s="47"/>
      <c r="E98" s="47"/>
      <c r="F98" s="47"/>
      <c r="G98" s="47"/>
      <c r="H98" s="28"/>
      <c r="J98" s="47"/>
    </row>
    <row r="99" spans="1:10" hidden="1" x14ac:dyDescent="0.2">
      <c r="A99" s="47"/>
      <c r="B99" s="47"/>
      <c r="C99" s="47"/>
      <c r="D99" s="47"/>
      <c r="E99" s="47"/>
      <c r="F99" s="47"/>
      <c r="G99" s="47"/>
      <c r="H99" s="28"/>
      <c r="J99" s="47"/>
    </row>
    <row r="100" spans="1:10" hidden="1" x14ac:dyDescent="0.2">
      <c r="A100" s="47"/>
      <c r="B100" s="47"/>
      <c r="C100" s="47"/>
      <c r="D100" s="47"/>
      <c r="E100" s="47"/>
      <c r="F100" s="47"/>
      <c r="G100" s="47"/>
      <c r="H100" s="28"/>
      <c r="J100" s="47"/>
    </row>
    <row r="101" spans="1:10" hidden="1" x14ac:dyDescent="0.2">
      <c r="A101" s="47"/>
      <c r="B101" s="47"/>
      <c r="C101" s="47"/>
      <c r="D101" s="47"/>
      <c r="E101" s="47"/>
      <c r="F101" s="47"/>
      <c r="G101" s="47"/>
      <c r="H101" s="28"/>
      <c r="J101" s="47"/>
    </row>
    <row r="102" spans="1:10" hidden="1" x14ac:dyDescent="0.2">
      <c r="A102" s="47"/>
      <c r="B102" s="47"/>
      <c r="C102" s="47"/>
      <c r="D102" s="47"/>
      <c r="E102" s="47"/>
      <c r="F102" s="47"/>
      <c r="G102" s="47"/>
      <c r="H102" s="28"/>
      <c r="J102" s="47"/>
    </row>
    <row r="103" spans="1:10" hidden="1" x14ac:dyDescent="0.2">
      <c r="A103" s="47"/>
      <c r="B103" s="47"/>
      <c r="C103" s="47"/>
      <c r="D103" s="47"/>
      <c r="E103" s="47"/>
      <c r="F103" s="47"/>
      <c r="G103" s="47"/>
      <c r="H103" s="28"/>
      <c r="J103" s="47"/>
    </row>
    <row r="104" spans="1:10" hidden="1" x14ac:dyDescent="0.2">
      <c r="A104" s="47"/>
      <c r="B104" s="47"/>
      <c r="C104" s="47"/>
      <c r="D104" s="47"/>
      <c r="E104" s="47"/>
      <c r="F104" s="47"/>
      <c r="G104" s="47"/>
      <c r="H104" s="28"/>
      <c r="J104" s="47"/>
    </row>
    <row r="105" spans="1:10" hidden="1" x14ac:dyDescent="0.2">
      <c r="A105" s="47"/>
      <c r="B105" s="47"/>
      <c r="C105" s="47"/>
      <c r="D105" s="47"/>
      <c r="E105" s="47"/>
      <c r="F105" s="47"/>
      <c r="G105" s="47"/>
      <c r="H105" s="28"/>
      <c r="J105" s="47"/>
    </row>
    <row r="106" spans="1:10" hidden="1" x14ac:dyDescent="0.2">
      <c r="A106" s="47"/>
      <c r="B106" s="47"/>
      <c r="C106" s="47"/>
      <c r="D106" s="47"/>
      <c r="E106" s="47"/>
      <c r="F106" s="47"/>
      <c r="G106" s="47"/>
      <c r="H106" s="28"/>
      <c r="J106" s="47"/>
    </row>
    <row r="107" spans="1:10" ht="12.75" hidden="1" customHeight="1" x14ac:dyDescent="0.2">
      <c r="A107" s="47"/>
      <c r="B107" s="47"/>
      <c r="C107" s="47"/>
      <c r="D107" s="47"/>
      <c r="E107" s="47"/>
      <c r="F107" s="47"/>
      <c r="G107" s="47"/>
      <c r="H107" s="28"/>
      <c r="J107" s="47"/>
    </row>
    <row r="108" spans="1:10" ht="12.75" hidden="1" customHeight="1" x14ac:dyDescent="0.2">
      <c r="A108" s="47"/>
      <c r="B108" s="47"/>
      <c r="C108" s="47"/>
      <c r="D108" s="47"/>
      <c r="E108" s="47"/>
      <c r="F108" s="47"/>
      <c r="G108" s="47"/>
      <c r="H108" s="28"/>
      <c r="J108" s="47"/>
    </row>
    <row r="109" spans="1:10" ht="12.75" hidden="1" customHeight="1" x14ac:dyDescent="0.2">
      <c r="A109" s="47"/>
      <c r="B109" s="47"/>
      <c r="C109" s="47"/>
      <c r="D109" s="47"/>
      <c r="E109" s="47"/>
      <c r="F109" s="47"/>
      <c r="G109" s="47"/>
      <c r="H109" s="28"/>
      <c r="J109" s="47"/>
    </row>
    <row r="110" spans="1:10" ht="12.75" hidden="1" customHeight="1" x14ac:dyDescent="0.2">
      <c r="A110" s="47"/>
      <c r="B110" s="47"/>
      <c r="C110" s="47"/>
      <c r="D110" s="47"/>
      <c r="E110" s="47"/>
      <c r="F110" s="47"/>
      <c r="G110" s="47"/>
      <c r="H110" s="28"/>
      <c r="J110" s="47"/>
    </row>
  </sheetData>
  <sheetProtection algorithmName="SHA-512" hashValue="EnleZeHGSxvvixRVQxzXj8694Z3XNwJXysMautfJUaGCd1HqaJ6mFO3Af/gCngDq7bc6khZvlxL9qUaiETk1Wg==" saltValue="3iY5hz34KZgaLkJxRTQESA==" spinCount="100000" sheet="1" objects="1" scenarios="1"/>
  <customSheetViews>
    <customSheetView guid="{99B5278F-6EA9-4B1A-8623-27A4DF4AD5E4}" hiddenRows="1" hiddenColumns="1">
      <selection activeCell="G27" sqref="G27"/>
      <pageMargins left="0.23622047244094491" right="7.874015748031496E-2" top="0.15" bottom="0.51" header="0.11" footer="0.51181102362204722"/>
      <pageSetup paperSize="9" scale="95" orientation="landscape" r:id="rId1"/>
      <headerFooter alignWithMargins="0"/>
    </customSheetView>
  </customSheetViews>
  <mergeCells count="12">
    <mergeCell ref="B75:C75"/>
    <mergeCell ref="C79:E79"/>
    <mergeCell ref="A1:F1"/>
    <mergeCell ref="B21:D21"/>
    <mergeCell ref="A62:B62"/>
    <mergeCell ref="A63:D63"/>
    <mergeCell ref="B36:D36"/>
    <mergeCell ref="B42:D42"/>
    <mergeCell ref="B45:D45"/>
    <mergeCell ref="B40:D40"/>
    <mergeCell ref="B41:D41"/>
    <mergeCell ref="B44:D44"/>
  </mergeCells>
  <phoneticPr fontId="110" type="noConversion"/>
  <conditionalFormatting sqref="D26:D28">
    <cfRule type="cellIs" dxfId="780" priority="1" stopIfTrue="1" operator="notEqual">
      <formula>$O$25</formula>
    </cfRule>
  </conditionalFormatting>
  <dataValidations count="9">
    <dataValidation type="list" allowBlank="1" showInputMessage="1" showErrorMessage="1" errorTitle="Choose item from Dropdown list! " sqref="E77" xr:uid="{00000000-0002-0000-1500-000000000000}">
      <formula1>$AA$78:$AA$80</formula1>
    </dataValidation>
    <dataValidation type="list" allowBlank="1" showInputMessage="1" showErrorMessage="1" errorTitle="Choose item from Dropdown list! " sqref="G12:G14 G16:G24 G6:G8" xr:uid="{00000000-0002-0000-1500-000001000000}">
      <formula1>$N$12:$N$15</formula1>
    </dataValidation>
    <dataValidation type="textLength" errorStyle="information" operator="greaterThan" allowBlank="1" showInputMessage="1" showErrorMessage="1" errorTitle="Exempt Income" error="Make sure that the correct Act and applicable articles are quoted!" sqref="B28:B30 B26 C29:C30 C62" xr:uid="{00000000-0002-0000-1500-000002000000}">
      <formula1>8</formula1>
    </dataValidation>
    <dataValidation type="whole" operator="greaterThanOrEqual" allowBlank="1" showInputMessage="1" showErrorMessage="1" errorTitle="Exempt income" error="Please enter a positive value !" sqref="E12:E14 E6:E8 E16:E17 E19:E24 E26:E30 E61:E62" xr:uid="{00000000-0002-0000-1500-000003000000}">
      <formula1>0</formula1>
    </dataValidation>
    <dataValidation operator="greaterThanOrEqual" allowBlank="1" showInputMessage="1" showErrorMessage="1" errorTitle="Positive value!" error="  " sqref="E18" xr:uid="{00000000-0002-0000-1500-000004000000}"/>
    <dataValidation type="list" allowBlank="1" showInputMessage="1" showErrorMessage="1" errorTitle="Choose item from Dropdown list! " sqref="G62 G38:G57 G28 G30:G35" xr:uid="{00000000-0002-0000-1500-000005000000}">
      <formula1>$N$12:$N$14</formula1>
    </dataValidation>
    <dataValidation type="textLength" operator="greaterThan" allowBlank="1" showInputMessage="1" showErrorMessage="1" errorTitle="Exempt Benefit Scheme" error="Please enter the correct description!" sqref="C6:C8" xr:uid="{00000000-0002-0000-1500-000006000000}">
      <formula1>7</formula1>
    </dataValidation>
    <dataValidation type="whole" operator="greaterThanOrEqual" allowBlank="1" showInputMessage="1" showErrorMessage="1" errorTitle="Exemption" error="Please enter a positive value!" sqref="E31 E33:E57" xr:uid="{00000000-0002-0000-1500-000007000000}">
      <formula1>0</formula1>
    </dataValidation>
    <dataValidation allowBlank="1" showInputMessage="1" showErrorMessage="1" errorTitle="Choose item from Dropdown list! " sqref="G61" xr:uid="{00000000-0002-0000-1500-000008000000}"/>
  </dataValidations>
  <hyperlinks>
    <hyperlink ref="F18" location="TRA2!j45" display="TRA2!j45" xr:uid="{00000000-0004-0000-1500-000000000000}"/>
    <hyperlink ref="C79" location="Index!A1" display="Index!A1" xr:uid="{00000000-0004-0000-1500-000001000000}"/>
    <hyperlink ref="F26" location="TRA8!d44" display="TRA8!d44" xr:uid="{00000000-0004-0000-1500-000002000000}"/>
    <hyperlink ref="F21" location="TRA37!A1" display="TRA37!A1" xr:uid="{00000000-0004-0000-1500-000003000000}"/>
    <hyperlink ref="F22:F24" location="TRA37!A1" display="TRA37!A1" xr:uid="{00000000-0004-0000-1500-000004000000}"/>
    <hyperlink ref="C79:E79" location="Index!A1" display="Index!A1" xr:uid="{00000000-0004-0000-1500-000005000000}"/>
    <hyperlink ref="F64" location="'p3'!A1" display=" Page 3 return" xr:uid="{00000000-0004-0000-1500-000006000000}"/>
    <hyperlink ref="F27" location="TRA15!A1" display="TRA 15" xr:uid="{00000000-0004-0000-1500-000007000000}"/>
    <hyperlink ref="F30" location="TRA67!D44" display="TRA 67" xr:uid="{00000000-0004-0000-1500-000008000000}"/>
    <hyperlink ref="F32" location="'TRA17'!A1" display="TRA 17" xr:uid="{00000000-0004-0000-1500-000009000000}"/>
    <hyperlink ref="F61" location="TRA8!d44" display="TRA8!d44" xr:uid="{00000000-0004-0000-1500-00000A000000}"/>
  </hyperlinks>
  <pageMargins left="0.23622047244094491" right="7.874015748031496E-2" top="0.15748031496062992" bottom="0.54" header="0.11811023622047245" footer="0.16"/>
  <pageSetup paperSize="9" scale="95" orientation="landscape" r:id="rId2"/>
  <headerFooter alignWithMargins="0">
    <oddFooter>&amp;LName&amp;CSignature&amp;RDate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dimension ref="A1:CC43"/>
  <sheetViews>
    <sheetView zoomScaleNormal="100" workbookViewId="0">
      <selection activeCell="L22" sqref="L22"/>
    </sheetView>
  </sheetViews>
  <sheetFormatPr defaultColWidth="0" defaultRowHeight="12.75" customHeight="1" zeroHeight="1" x14ac:dyDescent="0.2"/>
  <cols>
    <col min="1" max="1" width="13.5703125" style="3507" customWidth="1"/>
    <col min="2" max="2" width="40.28515625" style="3507" customWidth="1"/>
    <col min="3" max="3" width="11.5703125" style="3507" customWidth="1"/>
    <col min="4" max="4" width="0.7109375" style="3507" customWidth="1"/>
    <col min="5" max="5" width="10.7109375" style="3507" customWidth="1"/>
    <col min="6" max="6" width="0.7109375" style="3507" customWidth="1"/>
    <col min="7" max="7" width="10.7109375" style="3518" customWidth="1"/>
    <col min="8" max="8" width="0.7109375" style="3507" customWidth="1"/>
    <col min="9" max="9" width="10.7109375" style="3507" customWidth="1"/>
    <col min="10" max="10" width="0.7109375" style="3507" customWidth="1"/>
    <col min="11" max="11" width="10" style="3507" customWidth="1"/>
    <col min="12" max="12" width="21.5703125" style="3508" bestFit="1" customWidth="1"/>
    <col min="13" max="81" width="9.28515625" style="28" hidden="1" customWidth="1"/>
    <col min="82" max="16384" width="9.28515625" style="142" hidden="1"/>
  </cols>
  <sheetData>
    <row r="1" spans="1:26" ht="12.75" customHeight="1" x14ac:dyDescent="0.2">
      <c r="A1" s="4679" t="str">
        <f>_ref1</f>
      </c>
      <c r="B1" s="4679"/>
      <c r="C1" s="4679"/>
      <c r="D1" s="4679"/>
      <c r="E1" s="4679"/>
      <c r="F1" s="4679"/>
      <c r="G1" s="4679"/>
      <c r="J1" s="4675" t="str">
        <f>_YA1</f>
      </c>
      <c r="K1" s="4675"/>
      <c r="O1" s="1760" t="s">
        <v>9885</v>
      </c>
      <c r="P1" s="28" t="str">
        <f>'p2'!$G$36</f>
      </c>
    </row>
    <row r="2" spans="1:26" ht="12.75" customHeight="1" x14ac:dyDescent="0.2">
      <c r="A2" s="3509"/>
      <c r="B2" s="3509"/>
      <c r="C2" s="3509"/>
      <c r="D2" s="3509"/>
      <c r="E2" s="3509"/>
      <c r="F2" s="3509"/>
      <c r="G2" s="3509"/>
      <c r="J2" s="3510"/>
      <c r="K2" s="3510"/>
      <c r="O2" s="1760" t="s">
        <v>9886</v>
      </c>
      <c r="P2" s="28">
        <f>IF('p2'!$G$36="",0,1)</f>
      </c>
    </row>
    <row r="3" spans="1:26" ht="24.75" customHeight="1" x14ac:dyDescent="0.2">
      <c r="A3" s="4680" t="s">
        <v>10227</v>
      </c>
      <c r="B3" s="4680"/>
      <c r="C3" s="4680"/>
      <c r="D3" s="4680"/>
      <c r="E3" s="4680"/>
      <c r="F3" s="4680"/>
      <c r="G3" s="4680"/>
      <c r="H3" s="4680"/>
      <c r="I3" s="4680"/>
      <c r="J3" s="3510"/>
      <c r="K3" s="3511"/>
      <c r="L3" s="3512" t="str">
        <f>IF(AND(P2=1,P1="n",K3&lt;&gt;""),"Check p2 question 30!",IF(AND(K3="",P1="y",T36&gt;0),re,IF(K3="no","Cannot surrender group loss!","")))</f>
        <v/>
      </c>
      <c r="O3" s="1736"/>
      <c r="R3" s="28">
        <f>IF(L3="",0,1)</f>
      </c>
      <c r="T3" s="28">
        <f>COUNTA(K3)</f>
      </c>
    </row>
    <row r="4" spans="1:26" ht="12.75" customHeight="1" x14ac:dyDescent="0.2">
      <c r="A4" s="3509"/>
      <c r="B4" s="3509"/>
      <c r="C4" s="3509"/>
      <c r="D4" s="3509"/>
      <c r="E4" s="3509"/>
      <c r="F4" s="3509"/>
      <c r="G4" s="3509"/>
      <c r="L4" s="3512"/>
      <c r="O4" s="1736"/>
    </row>
    <row r="5" spans="1:26" ht="12.75" hidden="1" customHeight="1" x14ac:dyDescent="0.2">
      <c r="A5" s="3509"/>
      <c r="B5" s="3509"/>
      <c r="C5" s="3509"/>
      <c r="D5" s="3509"/>
      <c r="E5" s="3509"/>
      <c r="F5" s="3509"/>
      <c r="G5" s="3509"/>
      <c r="L5" s="3512"/>
      <c r="O5" s="1736"/>
    </row>
    <row r="6" spans="1:26" ht="12.75" hidden="1" customHeight="1" x14ac:dyDescent="0.2">
      <c r="A6" s="3509"/>
      <c r="B6" s="3509"/>
      <c r="C6" s="3509"/>
      <c r="D6" s="3509"/>
      <c r="E6" s="3509"/>
      <c r="F6" s="3509"/>
      <c r="G6" s="3509"/>
      <c r="L6" s="3512"/>
      <c r="O6" s="1736"/>
    </row>
    <row r="7" spans="1:26" ht="12.75" hidden="1" customHeight="1" x14ac:dyDescent="0.2">
      <c r="A7" s="3509"/>
      <c r="B7" s="3509"/>
      <c r="C7" s="3509"/>
      <c r="D7" s="3509"/>
      <c r="E7" s="3509"/>
      <c r="F7" s="3509"/>
      <c r="G7" s="3509"/>
      <c r="L7" s="3512"/>
      <c r="O7" s="1736"/>
    </row>
    <row r="8" spans="1:26" ht="12.75" hidden="1" customHeight="1" x14ac:dyDescent="0.2">
      <c r="A8" s="3509"/>
      <c r="B8" s="3509"/>
      <c r="C8" s="3509"/>
      <c r="D8" s="3509"/>
      <c r="E8" s="3509"/>
      <c r="F8" s="3509"/>
      <c r="G8" s="3509"/>
      <c r="L8" s="3512"/>
      <c r="O8" s="1736"/>
    </row>
    <row r="9" spans="1:26" ht="12.75" hidden="1" customHeight="1" x14ac:dyDescent="0.2">
      <c r="A9" s="3509"/>
      <c r="B9" s="3509"/>
      <c r="C9" s="3509"/>
      <c r="D9" s="3509"/>
      <c r="E9" s="3509"/>
      <c r="F9" s="3509"/>
      <c r="G9" s="3509"/>
      <c r="L9" s="3512"/>
      <c r="O9" s="1736"/>
    </row>
    <row r="10" spans="1:26" ht="12.75" hidden="1" customHeight="1" x14ac:dyDescent="0.2">
      <c r="A10" s="3509"/>
      <c r="B10" s="3509"/>
      <c r="C10" s="3509"/>
      <c r="D10" s="3509"/>
      <c r="E10" s="3509"/>
      <c r="F10" s="3509"/>
      <c r="G10" s="3509"/>
      <c r="L10" s="3512"/>
      <c r="O10" s="1736"/>
    </row>
    <row r="11" spans="1:26" ht="12.75" hidden="1" customHeight="1" x14ac:dyDescent="0.2">
      <c r="A11" s="3509"/>
      <c r="B11" s="3509"/>
      <c r="C11" s="3509"/>
      <c r="D11" s="3509"/>
      <c r="E11" s="3509"/>
      <c r="F11" s="3509"/>
      <c r="G11" s="3509"/>
      <c r="J11" s="3510"/>
      <c r="K11" s="3510"/>
    </row>
    <row r="12" spans="1:26" ht="15" x14ac:dyDescent="0.2">
      <c r="A12" s="1105" t="s">
        <v>6279</v>
      </c>
      <c r="B12" s="620"/>
      <c r="C12" s="620"/>
      <c r="D12" s="620"/>
      <c r="E12" s="620"/>
      <c r="F12" s="620"/>
      <c r="G12" s="620"/>
      <c r="H12" s="620"/>
      <c r="I12" s="620"/>
      <c r="J12" s="620"/>
      <c r="K12" s="621"/>
      <c r="Z12" s="28" t="s">
        <v>5806</v>
      </c>
    </row>
    <row r="13" spans="1:26" x14ac:dyDescent="0.2">
      <c r="A13" s="4676" t="s">
        <v>2678</v>
      </c>
      <c r="B13" s="4677" t="s">
        <v>3141</v>
      </c>
      <c r="C13" s="4676" t="s">
        <v>2100</v>
      </c>
      <c r="D13" s="3513"/>
      <c r="E13" s="4676" t="s">
        <v>4693</v>
      </c>
      <c r="F13" s="3516"/>
      <c r="G13" s="4514" t="s">
        <v>3712</v>
      </c>
      <c r="H13" s="3"/>
      <c r="I13" s="4514" t="s">
        <v>2105</v>
      </c>
      <c r="J13" s="3"/>
      <c r="K13" s="4522" t="s">
        <v>2106</v>
      </c>
      <c r="Z13" s="28" t="s">
        <v>363</v>
      </c>
    </row>
    <row r="14" spans="1:26" ht="12.75" customHeight="1" x14ac:dyDescent="0.2">
      <c r="A14" s="4451"/>
      <c r="B14" s="4452"/>
      <c r="C14" s="4451"/>
      <c r="D14" s="3513"/>
      <c r="E14" s="4451"/>
      <c r="F14" s="3516"/>
      <c r="G14" s="4475"/>
      <c r="H14" s="3"/>
      <c r="I14" s="4475"/>
      <c r="J14" s="3"/>
      <c r="K14" s="4522"/>
      <c r="Z14" s="28" t="s">
        <v>2372</v>
      </c>
    </row>
    <row r="15" spans="1:26" x14ac:dyDescent="0.2">
      <c r="A15" s="4451"/>
      <c r="B15" s="4678"/>
      <c r="C15" s="4451"/>
      <c r="D15" s="3513"/>
      <c r="E15" s="4451"/>
      <c r="F15" s="3516"/>
      <c r="G15" s="4475"/>
      <c r="H15" s="3"/>
      <c r="I15" s="4475"/>
      <c r="J15" s="3"/>
      <c r="K15" s="4514"/>
    </row>
    <row r="16" spans="1:26" x14ac:dyDescent="0.2">
      <c r="A16" s="622"/>
      <c r="B16" s="623"/>
      <c r="C16" s="1125"/>
      <c r="D16" s="3514"/>
      <c r="E16" s="623"/>
      <c r="F16" s="3516"/>
      <c r="G16" s="405">
        <f t="shared" ref="G16:G35" si="0">IF($C16="",0,IF($C16=$Z$12,$E16,0))</f>
      </c>
      <c r="H16" s="50"/>
      <c r="I16" s="405">
        <f t="shared" ref="I16:I35" si="1">IF($C16="",0,IF($C16=$Z$13,$E16,0))</f>
      </c>
      <c r="J16" s="17"/>
      <c r="K16" s="405">
        <f t="shared" ref="K16:K35" si="2">IF($C16="",0,IF($C16=$Z$14,$E16,0))</f>
      </c>
      <c r="L16" s="3512" t="str">
        <f>IF(T16=0,"",IF(T16&lt;&gt;4,"All Details!",""))</f>
        <v/>
      </c>
      <c r="R16" s="28">
        <f>IF(L16="",0,1)</f>
      </c>
      <c r="T16" s="28">
        <f>COUNTA(A16:E16)</f>
      </c>
    </row>
    <row r="17" spans="1:20" x14ac:dyDescent="0.2">
      <c r="A17" s="622"/>
      <c r="B17" s="623"/>
      <c r="C17" s="1125"/>
      <c r="D17" s="3514"/>
      <c r="E17" s="623"/>
      <c r="F17" s="3516"/>
      <c r="G17" s="405">
        <f t="shared" si="0"/>
        <v>0</v>
      </c>
      <c r="H17" s="50"/>
      <c r="I17" s="405">
        <f t="shared" si="1"/>
        <v>0</v>
      </c>
      <c r="J17" s="17"/>
      <c r="K17" s="405">
        <f t="shared" si="2"/>
        <v>0</v>
      </c>
      <c r="L17" s="3512" t="str">
        <f t="shared" ref="L17:L35" si="3">IF(T17=0,"",IF(T17&lt;&gt;4,"All Details!",""))</f>
        <v/>
      </c>
      <c r="R17" s="28">
        <f t="shared" ref="R17:R35" si="4">IF(L17="",0,1)</f>
      </c>
      <c r="T17" s="28">
        <f t="shared" ref="T17:T34" si="5">COUNTA(A17:E17)</f>
      </c>
    </row>
    <row r="18" spans="1:20" x14ac:dyDescent="0.2">
      <c r="A18" s="622"/>
      <c r="B18" s="623"/>
      <c r="C18" s="1125"/>
      <c r="D18" s="3514"/>
      <c r="E18" s="623"/>
      <c r="F18" s="3516"/>
      <c r="G18" s="405">
        <f t="shared" si="0"/>
        <v>0</v>
      </c>
      <c r="H18" s="50"/>
      <c r="I18" s="405">
        <f t="shared" si="1"/>
        <v>0</v>
      </c>
      <c r="J18" s="17"/>
      <c r="K18" s="405">
        <f t="shared" si="2"/>
        <v>0</v>
      </c>
      <c r="L18" s="3512" t="str">
        <f t="shared" si="3"/>
        <v/>
      </c>
      <c r="R18" s="28">
        <f t="shared" si="4"/>
        <v>0</v>
      </c>
      <c r="T18" s="28">
        <f t="shared" si="5"/>
        <v>0</v>
      </c>
    </row>
    <row r="19" spans="1:20" x14ac:dyDescent="0.2">
      <c r="A19" s="622"/>
      <c r="B19" s="623"/>
      <c r="C19" s="1125"/>
      <c r="D19" s="3514"/>
      <c r="E19" s="623"/>
      <c r="F19" s="3516"/>
      <c r="G19" s="405">
        <f t="shared" si="0"/>
        <v>0</v>
      </c>
      <c r="H19" s="50"/>
      <c r="I19" s="405">
        <f t="shared" si="1"/>
        <v>0</v>
      </c>
      <c r="J19" s="17"/>
      <c r="K19" s="405">
        <f t="shared" si="2"/>
        <v>0</v>
      </c>
      <c r="L19" s="3512" t="str">
        <f t="shared" si="3"/>
        <v/>
      </c>
      <c r="R19" s="28">
        <f t="shared" si="4"/>
        <v>0</v>
      </c>
      <c r="T19" s="28">
        <f t="shared" si="5"/>
        <v>0</v>
      </c>
    </row>
    <row r="20" spans="1:20" x14ac:dyDescent="0.2">
      <c r="A20" s="622"/>
      <c r="B20" s="623"/>
      <c r="C20" s="1125"/>
      <c r="D20" s="3514"/>
      <c r="E20" s="623"/>
      <c r="F20" s="3516"/>
      <c r="G20" s="405">
        <f t="shared" si="0"/>
        <v>0</v>
      </c>
      <c r="H20" s="50"/>
      <c r="I20" s="405">
        <f t="shared" si="1"/>
        <v>0</v>
      </c>
      <c r="J20" s="17"/>
      <c r="K20" s="405">
        <f t="shared" si="2"/>
        <v>0</v>
      </c>
      <c r="L20" s="3512" t="str">
        <f t="shared" si="3"/>
        <v/>
      </c>
      <c r="R20" s="28">
        <f t="shared" si="4"/>
        <v>0</v>
      </c>
      <c r="T20" s="28">
        <f t="shared" si="5"/>
        <v>0</v>
      </c>
    </row>
    <row r="21" spans="1:20" x14ac:dyDescent="0.2">
      <c r="A21" s="622"/>
      <c r="B21" s="623"/>
      <c r="C21" s="1125"/>
      <c r="D21" s="3514"/>
      <c r="E21" s="623"/>
      <c r="F21" s="3516"/>
      <c r="G21" s="405">
        <f t="shared" si="0"/>
        <v>0</v>
      </c>
      <c r="H21" s="50"/>
      <c r="I21" s="405">
        <f t="shared" si="1"/>
        <v>0</v>
      </c>
      <c r="J21" s="17"/>
      <c r="K21" s="405">
        <f t="shared" si="2"/>
        <v>0</v>
      </c>
      <c r="L21" s="3512" t="str">
        <f t="shared" si="3"/>
        <v/>
      </c>
      <c r="R21" s="28">
        <f t="shared" si="4"/>
        <v>0</v>
      </c>
      <c r="T21" s="28">
        <f t="shared" si="5"/>
        <v>0</v>
      </c>
    </row>
    <row r="22" spans="1:20" x14ac:dyDescent="0.2">
      <c r="A22" s="622"/>
      <c r="B22" s="623"/>
      <c r="C22" s="1125"/>
      <c r="D22" s="3514"/>
      <c r="E22" s="623"/>
      <c r="F22" s="3516"/>
      <c r="G22" s="405">
        <f t="shared" si="0"/>
        <v>0</v>
      </c>
      <c r="H22" s="50"/>
      <c r="I22" s="405">
        <f t="shared" si="1"/>
        <v>0</v>
      </c>
      <c r="J22" s="17"/>
      <c r="K22" s="405">
        <f t="shared" si="2"/>
        <v>0</v>
      </c>
      <c r="L22" s="3512" t="str">
        <f t="shared" si="3"/>
        <v/>
      </c>
      <c r="R22" s="28">
        <f t="shared" si="4"/>
        <v>0</v>
      </c>
      <c r="T22" s="28">
        <f t="shared" si="5"/>
        <v>0</v>
      </c>
    </row>
    <row r="23" spans="1:20" x14ac:dyDescent="0.2">
      <c r="A23" s="622"/>
      <c r="B23" s="623"/>
      <c r="C23" s="1125"/>
      <c r="D23" s="3514"/>
      <c r="E23" s="623"/>
      <c r="F23" s="3516"/>
      <c r="G23" s="405">
        <f t="shared" si="0"/>
        <v>0</v>
      </c>
      <c r="H23" s="50"/>
      <c r="I23" s="405">
        <f t="shared" si="1"/>
        <v>0</v>
      </c>
      <c r="J23" s="17"/>
      <c r="K23" s="405">
        <f t="shared" si="2"/>
        <v>0</v>
      </c>
      <c r="L23" s="3512" t="str">
        <f t="shared" si="3"/>
        <v/>
      </c>
      <c r="R23" s="28">
        <f t="shared" si="4"/>
        <v>0</v>
      </c>
      <c r="T23" s="28">
        <f t="shared" si="5"/>
        <v>0</v>
      </c>
    </row>
    <row r="24" spans="1:20" x14ac:dyDescent="0.2">
      <c r="A24" s="622"/>
      <c r="B24" s="623"/>
      <c r="C24" s="1125"/>
      <c r="D24" s="3514"/>
      <c r="E24" s="623"/>
      <c r="F24" s="3516"/>
      <c r="G24" s="405">
        <f t="shared" si="0"/>
        <v>0</v>
      </c>
      <c r="H24" s="50"/>
      <c r="I24" s="405">
        <f t="shared" si="1"/>
        <v>0</v>
      </c>
      <c r="J24" s="17"/>
      <c r="K24" s="405">
        <f t="shared" si="2"/>
        <v>0</v>
      </c>
      <c r="L24" s="3512" t="str">
        <f t="shared" si="3"/>
        <v/>
      </c>
      <c r="R24" s="28">
        <f t="shared" si="4"/>
        <v>0</v>
      </c>
      <c r="T24" s="28">
        <f t="shared" si="5"/>
        <v>0</v>
      </c>
    </row>
    <row r="25" spans="1:20" x14ac:dyDescent="0.2">
      <c r="A25" s="622"/>
      <c r="B25" s="623"/>
      <c r="C25" s="1125"/>
      <c r="D25" s="3514"/>
      <c r="E25" s="623"/>
      <c r="F25" s="3516"/>
      <c r="G25" s="405">
        <f t="shared" si="0"/>
        <v>0</v>
      </c>
      <c r="H25" s="50"/>
      <c r="I25" s="405">
        <f t="shared" si="1"/>
        <v>0</v>
      </c>
      <c r="J25" s="17"/>
      <c r="K25" s="405">
        <f t="shared" si="2"/>
        <v>0</v>
      </c>
      <c r="L25" s="3512" t="str">
        <f t="shared" si="3"/>
        <v/>
      </c>
      <c r="R25" s="28">
        <f t="shared" si="4"/>
        <v>0</v>
      </c>
      <c r="T25" s="28">
        <f t="shared" si="5"/>
        <v>0</v>
      </c>
    </row>
    <row r="26" spans="1:20" x14ac:dyDescent="0.2">
      <c r="A26" s="622"/>
      <c r="B26" s="623"/>
      <c r="C26" s="1125"/>
      <c r="D26" s="3514"/>
      <c r="E26" s="623"/>
      <c r="F26" s="3516"/>
      <c r="G26" s="405">
        <f t="shared" si="0"/>
        <v>0</v>
      </c>
      <c r="H26" s="50"/>
      <c r="I26" s="405">
        <f t="shared" si="1"/>
        <v>0</v>
      </c>
      <c r="J26" s="17"/>
      <c r="K26" s="405">
        <f t="shared" si="2"/>
        <v>0</v>
      </c>
      <c r="L26" s="3512" t="str">
        <f t="shared" si="3"/>
        <v/>
      </c>
      <c r="R26" s="28">
        <f t="shared" si="4"/>
        <v>0</v>
      </c>
      <c r="T26" s="28">
        <f t="shared" si="5"/>
        <v>0</v>
      </c>
    </row>
    <row r="27" spans="1:20" x14ac:dyDescent="0.2">
      <c r="A27" s="622"/>
      <c r="B27" s="623"/>
      <c r="C27" s="1125"/>
      <c r="D27" s="3514"/>
      <c r="E27" s="623"/>
      <c r="F27" s="3516"/>
      <c r="G27" s="405">
        <f t="shared" si="0"/>
        <v>0</v>
      </c>
      <c r="H27" s="50"/>
      <c r="I27" s="405">
        <f t="shared" si="1"/>
        <v>0</v>
      </c>
      <c r="J27" s="17"/>
      <c r="K27" s="405">
        <f t="shared" si="2"/>
        <v>0</v>
      </c>
      <c r="L27" s="3512" t="str">
        <f t="shared" si="3"/>
        <v/>
      </c>
      <c r="R27" s="28">
        <f t="shared" si="4"/>
        <v>0</v>
      </c>
      <c r="T27" s="28">
        <f t="shared" si="5"/>
        <v>0</v>
      </c>
    </row>
    <row r="28" spans="1:20" x14ac:dyDescent="0.2">
      <c r="A28" s="622"/>
      <c r="B28" s="623"/>
      <c r="C28" s="1125"/>
      <c r="D28" s="3514"/>
      <c r="E28" s="623"/>
      <c r="F28" s="3516"/>
      <c r="G28" s="405">
        <f t="shared" si="0"/>
        <v>0</v>
      </c>
      <c r="H28" s="50"/>
      <c r="I28" s="405">
        <f t="shared" si="1"/>
        <v>0</v>
      </c>
      <c r="J28" s="17"/>
      <c r="K28" s="405">
        <f t="shared" si="2"/>
        <v>0</v>
      </c>
      <c r="L28" s="3512" t="str">
        <f t="shared" si="3"/>
        <v/>
      </c>
      <c r="R28" s="28">
        <f t="shared" si="4"/>
        <v>0</v>
      </c>
      <c r="T28" s="28">
        <f t="shared" si="5"/>
        <v>0</v>
      </c>
    </row>
    <row r="29" spans="1:20" x14ac:dyDescent="0.2">
      <c r="A29" s="622"/>
      <c r="B29" s="623"/>
      <c r="C29" s="1125"/>
      <c r="D29" s="3514"/>
      <c r="E29" s="623"/>
      <c r="F29" s="3516"/>
      <c r="G29" s="405">
        <f t="shared" si="0"/>
        <v>0</v>
      </c>
      <c r="H29" s="50"/>
      <c r="I29" s="405">
        <f t="shared" si="1"/>
        <v>0</v>
      </c>
      <c r="J29" s="17"/>
      <c r="K29" s="405">
        <f t="shared" si="2"/>
        <v>0</v>
      </c>
      <c r="L29" s="3512" t="str">
        <f t="shared" si="3"/>
        <v/>
      </c>
      <c r="R29" s="28">
        <f t="shared" si="4"/>
        <v>0</v>
      </c>
      <c r="T29" s="28">
        <f t="shared" si="5"/>
        <v>0</v>
      </c>
    </row>
    <row r="30" spans="1:20" x14ac:dyDescent="0.2">
      <c r="A30" s="622"/>
      <c r="B30" s="623"/>
      <c r="C30" s="1125"/>
      <c r="D30" s="3514"/>
      <c r="E30" s="623"/>
      <c r="F30" s="3516"/>
      <c r="G30" s="405">
        <f t="shared" si="0"/>
        <v>0</v>
      </c>
      <c r="H30" s="50"/>
      <c r="I30" s="405">
        <f t="shared" si="1"/>
        <v>0</v>
      </c>
      <c r="J30" s="17"/>
      <c r="K30" s="405">
        <f t="shared" si="2"/>
        <v>0</v>
      </c>
      <c r="L30" s="3512" t="str">
        <f t="shared" si="3"/>
        <v/>
      </c>
      <c r="R30" s="28">
        <f t="shared" si="4"/>
        <v>0</v>
      </c>
      <c r="T30" s="28">
        <f t="shared" si="5"/>
        <v>0</v>
      </c>
    </row>
    <row r="31" spans="1:20" x14ac:dyDescent="0.2">
      <c r="A31" s="622"/>
      <c r="B31" s="623"/>
      <c r="C31" s="1125"/>
      <c r="D31" s="3514"/>
      <c r="E31" s="623"/>
      <c r="F31" s="3516"/>
      <c r="G31" s="405">
        <f t="shared" si="0"/>
        <v>0</v>
      </c>
      <c r="H31" s="50"/>
      <c r="I31" s="405">
        <f t="shared" si="1"/>
        <v>0</v>
      </c>
      <c r="J31" s="17"/>
      <c r="K31" s="405">
        <f t="shared" si="2"/>
        <v>0</v>
      </c>
      <c r="L31" s="3512" t="str">
        <f t="shared" si="3"/>
        <v/>
      </c>
      <c r="R31" s="28">
        <f t="shared" si="4"/>
        <v>0</v>
      </c>
      <c r="T31" s="28">
        <f t="shared" si="5"/>
        <v>0</v>
      </c>
    </row>
    <row r="32" spans="1:20" x14ac:dyDescent="0.2">
      <c r="A32" s="622"/>
      <c r="B32" s="623"/>
      <c r="C32" s="1125"/>
      <c r="D32" s="3514"/>
      <c r="E32" s="623"/>
      <c r="F32" s="3516"/>
      <c r="G32" s="405">
        <f t="shared" si="0"/>
        <v>0</v>
      </c>
      <c r="H32" s="50"/>
      <c r="I32" s="405">
        <f t="shared" si="1"/>
        <v>0</v>
      </c>
      <c r="J32" s="17"/>
      <c r="K32" s="405">
        <f t="shared" si="2"/>
        <v>0</v>
      </c>
      <c r="L32" s="3512" t="str">
        <f t="shared" si="3"/>
        <v/>
      </c>
      <c r="R32" s="28">
        <f t="shared" si="4"/>
        <v>0</v>
      </c>
      <c r="T32" s="28">
        <f t="shared" si="5"/>
        <v>0</v>
      </c>
    </row>
    <row r="33" spans="1:21" x14ac:dyDescent="0.2">
      <c r="A33" s="622"/>
      <c r="B33" s="623"/>
      <c r="C33" s="1125"/>
      <c r="D33" s="3514"/>
      <c r="E33" s="623"/>
      <c r="F33" s="3516"/>
      <c r="G33" s="405">
        <f t="shared" si="0"/>
        <v>0</v>
      </c>
      <c r="H33" s="50"/>
      <c r="I33" s="405">
        <f t="shared" si="1"/>
        <v>0</v>
      </c>
      <c r="J33" s="17"/>
      <c r="K33" s="405">
        <f t="shared" si="2"/>
        <v>0</v>
      </c>
      <c r="L33" s="3512" t="str">
        <f t="shared" si="3"/>
        <v/>
      </c>
      <c r="R33" s="28">
        <f t="shared" si="4"/>
        <v>0</v>
      </c>
      <c r="T33" s="28">
        <f t="shared" si="5"/>
        <v>0</v>
      </c>
    </row>
    <row r="34" spans="1:21" x14ac:dyDescent="0.2">
      <c r="A34" s="622"/>
      <c r="B34" s="623"/>
      <c r="C34" s="1125"/>
      <c r="D34" s="3514"/>
      <c r="E34" s="623"/>
      <c r="F34" s="3516"/>
      <c r="G34" s="405">
        <f t="shared" si="0"/>
        <v>0</v>
      </c>
      <c r="H34" s="50"/>
      <c r="I34" s="405">
        <f t="shared" si="1"/>
        <v>0</v>
      </c>
      <c r="J34" s="17"/>
      <c r="K34" s="405">
        <f t="shared" si="2"/>
        <v>0</v>
      </c>
      <c r="L34" s="3512" t="str">
        <f t="shared" si="3"/>
        <v/>
      </c>
      <c r="R34" s="28">
        <f t="shared" si="4"/>
        <v>0</v>
      </c>
      <c r="T34" s="28">
        <f t="shared" si="5"/>
        <v>0</v>
      </c>
    </row>
    <row r="35" spans="1:21" x14ac:dyDescent="0.2">
      <c r="A35" s="622"/>
      <c r="B35" s="623"/>
      <c r="C35" s="1125"/>
      <c r="D35" s="3514"/>
      <c r="E35" s="623"/>
      <c r="F35" s="3516"/>
      <c r="G35" s="405">
        <f t="shared" si="0"/>
        <v>0</v>
      </c>
      <c r="H35" s="50"/>
      <c r="I35" s="405">
        <f t="shared" si="1"/>
        <v>0</v>
      </c>
      <c r="J35" s="17"/>
      <c r="K35" s="405">
        <f t="shared" si="2"/>
        <v>0</v>
      </c>
      <c r="L35" s="3512" t="str">
        <f t="shared" si="3"/>
        <v/>
      </c>
      <c r="R35" s="28">
        <f t="shared" si="4"/>
        <v>0</v>
      </c>
      <c r="T35" s="28">
        <f>COUNTA(A35:E35)</f>
      </c>
    </row>
    <row r="36" spans="1:21" ht="13.5" thickBot="1" x14ac:dyDescent="0.25">
      <c r="A36" s="3518"/>
      <c r="B36" s="4672" t="s">
        <v>3142</v>
      </c>
      <c r="C36" s="4673"/>
      <c r="D36" s="3515"/>
      <c r="E36" s="625">
        <f>SUM(E16:E35)</f>
      </c>
      <c r="F36" s="3516"/>
      <c r="G36" s="625">
        <f>SUM(G16:G35)</f>
      </c>
      <c r="H36" s="50"/>
      <c r="I36" s="625">
        <f>SUM(I16:I35)</f>
      </c>
      <c r="J36" s="17"/>
      <c r="K36" s="625">
        <f>SUM(K16:K35)</f>
      </c>
      <c r="P36" s="28">
        <f>IF(OR(C37&lt;&gt;"",A37&lt;&gt;""),1,0)</f>
      </c>
      <c r="R36" s="28">
        <f>SUM(R3:R35)</f>
      </c>
      <c r="T36" s="28">
        <f>SUM(T3:T35)</f>
      </c>
    </row>
    <row r="37" spans="1:21" ht="13.5" thickTop="1" x14ac:dyDescent="0.2">
      <c r="A37" s="3519" t="str">
        <f>IF('p4'!E43="","","Check losses reported on page 4!")</f>
        <v/>
      </c>
      <c r="B37" s="3515"/>
      <c r="C37" s="3520" t="str">
        <f>IF(I36+K36+G36&lt;&gt;E36,"Check tax A/Cs!","")</f>
        <v/>
      </c>
      <c r="D37" s="3515"/>
      <c r="E37" s="3515"/>
      <c r="F37" s="3515"/>
      <c r="G37" s="3515"/>
      <c r="H37" s="3520"/>
      <c r="I37" s="3520"/>
      <c r="J37" s="3520"/>
      <c r="K37" s="3520"/>
    </row>
    <row r="38" spans="1:21" ht="15" x14ac:dyDescent="0.2">
      <c r="A38" s="3507" t="str">
        <f>_xlfn.SINGLE(MTCA)</f>
      </c>
      <c r="B38" s="3521"/>
      <c r="C38" s="3516" t="str">
        <f>ver</f>
        <v>TA2_e-CO_2025_Ver 1.1</v>
      </c>
      <c r="D38" s="3516"/>
      <c r="E38" s="3516"/>
      <c r="F38" s="3516"/>
      <c r="G38" s="3522"/>
      <c r="H38" s="3521"/>
      <c r="I38" s="3521"/>
      <c r="K38" s="3523" t="s">
        <v>3190</v>
      </c>
    </row>
    <row r="39" spans="1:21" x14ac:dyDescent="0.2">
      <c r="B39" s="4671"/>
      <c r="C39" s="4671"/>
      <c r="D39" s="3517"/>
      <c r="E39" s="3517"/>
      <c r="F39" s="3517"/>
      <c r="I39" s="3523"/>
    </row>
    <row r="40" spans="1:21" x14ac:dyDescent="0.2">
      <c r="E40" s="563" t="str">
        <f>COM</f>
      </c>
      <c r="G40" s="331"/>
      <c r="I40" s="3524" t="str">
        <f>IF(AND(E36&gt;0,G40="",T36&gt;0),re,"")</f>
        <v/>
      </c>
      <c r="R40" s="28">
        <f>IF((E36+T3)=0,0,IF(R36&gt;0,100,IF(G40="Yes",1,100)))</f>
      </c>
    </row>
    <row r="41" spans="1:21" x14ac:dyDescent="0.2">
      <c r="G41" s="3507"/>
      <c r="I41" s="3518"/>
      <c r="U41" s="28" t="s">
        <v>4457</v>
      </c>
    </row>
    <row r="42" spans="1:21" x14ac:dyDescent="0.2">
      <c r="A42" s="4674" t="s">
        <v>6290</v>
      </c>
      <c r="B42" s="4674"/>
      <c r="G42" s="3507"/>
      <c r="I42" s="3518"/>
      <c r="U42" s="28" t="s">
        <v>1736</v>
      </c>
    </row>
    <row r="43" spans="1:21" hidden="1" x14ac:dyDescent="0.2">
      <c r="A43" s="3518"/>
      <c r="B43" s="4671"/>
      <c r="C43" s="4671"/>
      <c r="D43" s="3517"/>
      <c r="E43" s="3517"/>
      <c r="F43" s="3517"/>
    </row>
  </sheetData>
  <sheetProtection algorithmName="SHA-512" hashValue="gGWNYs61eP6M+Dgngy4vujjv/Roq1BDS/lu+29zUFgy1VYlNHipED16+0DDUPMQTXrcZqlPRNoP4ELbJQuLQlA==" saltValue="XyXlkYGHhZAr8BjHDsj8OQ==" spinCount="100000" sheet="1" objects="1" scenarios="1"/>
  <customSheetViews>
    <customSheetView guid="{99B5278F-6EA9-4B1A-8623-27A4DF4AD5E4}" hiddenRows="1" hiddenColumns="1">
      <selection activeCell="A6" sqref="A6"/>
      <pageMargins left="0.75" right="0.75" top="1" bottom="1" header="0.5" footer="0.5"/>
      <pageSetup paperSize="9" orientation="landscape" r:id="rId1"/>
      <headerFooter alignWithMargins="0"/>
    </customSheetView>
  </customSheetViews>
  <mergeCells count="14">
    <mergeCell ref="B43:C43"/>
    <mergeCell ref="B36:C36"/>
    <mergeCell ref="B39:C39"/>
    <mergeCell ref="A42:B42"/>
    <mergeCell ref="J1:K1"/>
    <mergeCell ref="A13:A15"/>
    <mergeCell ref="B13:B15"/>
    <mergeCell ref="C13:C15"/>
    <mergeCell ref="E13:E15"/>
    <mergeCell ref="G13:G15"/>
    <mergeCell ref="I13:I15"/>
    <mergeCell ref="K13:K15"/>
    <mergeCell ref="A1:G1"/>
    <mergeCell ref="A3:I3"/>
  </mergeCells>
  <phoneticPr fontId="110" type="noConversion"/>
  <conditionalFormatting sqref="K3">
    <cfRule type="expression" dxfId="779" priority="1">
      <formula>$P$1="n"</formula>
    </cfRule>
    <cfRule type="expression" dxfId="778" priority="2">
      <formula>$P$1="y"</formula>
    </cfRule>
    <cfRule type="expression" dxfId="777" priority="1904" stopIfTrue="1">
      <formula>$P$2=0</formula>
    </cfRule>
  </conditionalFormatting>
  <conditionalFormatting sqref="L3:L10">
    <cfRule type="cellIs" dxfId="776" priority="3" stopIfTrue="1" operator="notEqual">
      <formula>#REF!</formula>
    </cfRule>
  </conditionalFormatting>
  <conditionalFormatting sqref="L16:L35">
    <cfRule type="cellIs" dxfId="775" priority="5" stopIfTrue="1" operator="notEqual">
      <formula>#REF!</formula>
    </cfRule>
  </conditionalFormatting>
  <dataValidations count="8">
    <dataValidation type="textLength" operator="greaterThanOrEqual" allowBlank="1" showInputMessage="1" showErrorMessage="1" errorTitle="IT / ROC number" error="Please enter the correct reference!" sqref="A16:A35" xr:uid="{00000000-0002-0000-1600-000000000000}">
      <formula1>3</formula1>
    </dataValidation>
    <dataValidation type="textLength" operator="greaterThanOrEqual" allowBlank="1" showInputMessage="1" showErrorMessage="1" errorTitle="Company Name" error="Please enter a proper name!" sqref="B16:B35" xr:uid="{00000000-0002-0000-1600-000001000000}">
      <formula1>6</formula1>
    </dataValidation>
    <dataValidation type="whole" operator="greaterThanOrEqual" allowBlank="1" showInputMessage="1" showErrorMessage="1" errorTitle="Amount" error="Please enter a positive value!" sqref="E16:E35" xr:uid="{00000000-0002-0000-1600-000002000000}">
      <formula1>0</formula1>
    </dataValidation>
    <dataValidation type="whole" operator="lessThanOrEqual" allowBlank="1" showInputMessage="1" showErrorMessage="1" errorTitle="TRA 19" error="Please enter a positive number !" sqref="H16:H35" xr:uid="{00000000-0002-0000-1600-000003000000}">
      <formula1>0</formula1>
    </dataValidation>
    <dataValidation type="list" allowBlank="1" showInputMessage="1" showErrorMessage="1" errorTitle="Choose item from Dropdown list! " sqref="G40" xr:uid="{00000000-0002-0000-1600-000004000000}">
      <formula1>$U$40:$U$42</formula1>
    </dataValidation>
    <dataValidation operator="greaterThanOrEqual" allowBlank="1" showInputMessage="1" showErrorMessage="1" errorTitle="TRA 19" error="Please enter a positive number !" sqref="G16:G35 K16:K35 I16:I35" xr:uid="{00000000-0002-0000-1600-000005000000}"/>
    <dataValidation type="list" allowBlank="1" showInputMessage="1" showErrorMessage="1" sqref="K3" xr:uid="{00000000-0002-0000-1600-000006000000}">
      <formula1>yn</formula1>
    </dataValidation>
    <dataValidation type="list" allowBlank="1" showInputMessage="1" showErrorMessage="1" sqref="C16:C35" xr:uid="{00000000-0002-0000-1600-000007000000}">
      <formula1>$Z$11:$Z$14</formula1>
    </dataValidation>
  </dataValidations>
  <hyperlinks>
    <hyperlink ref="A42" location="Index!A1" display="Index!A1" xr:uid="{00000000-0004-0000-1600-000000000000}"/>
  </hyperlinks>
  <pageMargins left="0.74803149606299213" right="0.74803149606299213" top="0.98425196850393704" bottom="0.98425196850393704" header="0.51181102362204722" footer="0.51181102362204722"/>
  <pageSetup paperSize="9" orientation="landscape" r:id="rId2"/>
  <headerFooter alignWithMargins="0">
    <oddFooter>&amp;LName&amp;CSignature&amp;RDate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pageSetUpPr fitToPage="1"/>
  </sheetPr>
  <dimension ref="A1:CC55"/>
  <sheetViews>
    <sheetView zoomScaleNormal="100" workbookViewId="0">
      <selection sqref="A1:G1"/>
    </sheetView>
  </sheetViews>
  <sheetFormatPr defaultColWidth="0" defaultRowHeight="12.75" customHeight="1" zeroHeight="1" x14ac:dyDescent="0.2"/>
  <cols>
    <col min="1" max="1" width="13.5703125" style="28" customWidth="1"/>
    <col min="2" max="2" width="40.28515625" style="28" customWidth="1"/>
    <col min="3" max="3" width="11.5703125" style="28" customWidth="1"/>
    <col min="4" max="4" width="0.7109375" style="28" customWidth="1"/>
    <col min="5" max="5" width="10.7109375" style="28" customWidth="1"/>
    <col min="6" max="6" width="0.7109375" style="28" customWidth="1"/>
    <col min="7" max="7" width="10.7109375" style="2660" customWidth="1"/>
    <col min="8" max="8" width="0.7109375" style="28" customWidth="1"/>
    <col min="9" max="9" width="10.7109375" style="28" customWidth="1"/>
    <col min="10" max="10" width="0.7109375" style="28" customWidth="1"/>
    <col min="11" max="11" width="10" style="28" customWidth="1"/>
    <col min="12" max="12" width="19.28515625" style="2263" customWidth="1"/>
    <col min="13" max="81" width="9.28515625" style="28" hidden="1" customWidth="1"/>
    <col min="82" max="16384" width="9.28515625" style="142" hidden="1"/>
  </cols>
  <sheetData>
    <row r="1" spans="1:26" ht="12.75" customHeight="1" x14ac:dyDescent="0.2">
      <c r="A1" s="4687" t="str">
        <f>_ref1</f>
      </c>
      <c r="B1" s="4687"/>
      <c r="C1" s="4687"/>
      <c r="D1" s="4687"/>
      <c r="E1" s="4687"/>
      <c r="F1" s="4687"/>
      <c r="G1" s="4687"/>
      <c r="H1" s="2263"/>
      <c r="I1" s="2263"/>
      <c r="J1" s="4681" t="str">
        <f>_YA1</f>
      </c>
      <c r="K1" s="4681"/>
      <c r="O1" s="1760" t="s">
        <v>9885</v>
      </c>
      <c r="P1" s="28" t="str">
        <f>'p2'!$G$36</f>
      </c>
    </row>
    <row r="2" spans="1:26" ht="12.75" customHeight="1" x14ac:dyDescent="0.2">
      <c r="A2" s="1936"/>
      <c r="B2" s="1936"/>
      <c r="C2" s="1936"/>
      <c r="D2" s="1936"/>
      <c r="E2" s="1936"/>
      <c r="F2" s="1936"/>
      <c r="G2" s="1936"/>
      <c r="H2" s="2263"/>
      <c r="I2" s="2263"/>
      <c r="J2" s="1943"/>
      <c r="K2" s="1943"/>
      <c r="O2" s="1760" t="s">
        <v>9886</v>
      </c>
      <c r="P2" s="28">
        <f>IF('p2'!$G$36="",0,1)</f>
      </c>
    </row>
    <row r="3" spans="1:26" ht="24.75" customHeight="1" x14ac:dyDescent="0.2">
      <c r="A3" s="4684" t="s">
        <v>10226</v>
      </c>
      <c r="B3" s="4684"/>
      <c r="C3" s="4684"/>
      <c r="D3" s="4684"/>
      <c r="E3" s="4684"/>
      <c r="F3" s="4684"/>
      <c r="G3" s="4684"/>
      <c r="H3" s="4684"/>
      <c r="I3" s="4684"/>
      <c r="J3" s="1943"/>
      <c r="K3" s="3506"/>
      <c r="L3" s="3505" t="str">
        <f>IF(AND(P2=1,P1="n",K3&lt;&gt;""),"Check p2 question 30!",IF(AND(K3="",P1="y",T36&gt;0),re,IF(AND(E36&gt;0,K3="no"),"Cannot claim group loss!","")))</f>
        <v/>
      </c>
      <c r="R3" s="28">
        <f>IF(L3="",0,1)</f>
      </c>
      <c r="T3" s="28">
        <f>COUNTA(K3)</f>
      </c>
    </row>
    <row r="4" spans="1:26" ht="12.75" customHeight="1" x14ac:dyDescent="0.2">
      <c r="A4" s="1936"/>
      <c r="B4" s="1936"/>
      <c r="C4" s="1936"/>
      <c r="D4" s="1936"/>
      <c r="E4" s="1936"/>
      <c r="F4" s="1936"/>
      <c r="G4" s="1936"/>
      <c r="H4" s="2263"/>
      <c r="I4" s="2263"/>
      <c r="J4" s="2263"/>
      <c r="K4" s="2263"/>
      <c r="L4" s="3505"/>
    </row>
    <row r="5" spans="1:26" ht="12.75" hidden="1" customHeight="1" x14ac:dyDescent="0.2">
      <c r="A5" s="1936"/>
      <c r="B5" s="1936"/>
      <c r="C5" s="1936"/>
      <c r="D5" s="1936"/>
      <c r="E5" s="1936"/>
      <c r="F5" s="1936"/>
      <c r="G5" s="1936"/>
      <c r="H5" s="2263"/>
      <c r="I5" s="2263"/>
      <c r="J5" s="2263"/>
      <c r="K5" s="2263"/>
      <c r="L5" s="3505"/>
    </row>
    <row r="6" spans="1:26" ht="12.75" hidden="1" customHeight="1" x14ac:dyDescent="0.2">
      <c r="A6" s="1936"/>
      <c r="B6" s="1936"/>
      <c r="C6" s="1936"/>
      <c r="D6" s="1936"/>
      <c r="E6" s="1936"/>
      <c r="F6" s="1936"/>
      <c r="G6" s="1936"/>
      <c r="H6" s="2263"/>
      <c r="I6" s="2263"/>
      <c r="J6" s="2263"/>
      <c r="K6" s="2263"/>
      <c r="L6" s="3505"/>
    </row>
    <row r="7" spans="1:26" ht="12.75" hidden="1" customHeight="1" x14ac:dyDescent="0.2">
      <c r="A7" s="1936"/>
      <c r="B7" s="1936"/>
      <c r="C7" s="1936"/>
      <c r="D7" s="1936"/>
      <c r="E7" s="1936"/>
      <c r="F7" s="1936"/>
      <c r="G7" s="1936"/>
      <c r="H7" s="2263"/>
      <c r="I7" s="2263"/>
      <c r="J7" s="2263"/>
      <c r="K7" s="2263"/>
      <c r="L7" s="3505"/>
    </row>
    <row r="8" spans="1:26" ht="12.75" hidden="1" customHeight="1" x14ac:dyDescent="0.2">
      <c r="A8" s="1936"/>
      <c r="B8" s="1936"/>
      <c r="C8" s="1936"/>
      <c r="D8" s="1936"/>
      <c r="E8" s="1936"/>
      <c r="F8" s="1936"/>
      <c r="G8" s="1936"/>
      <c r="H8" s="2263"/>
      <c r="I8" s="2263"/>
      <c r="J8" s="2263"/>
      <c r="K8" s="2263"/>
      <c r="L8" s="3505"/>
    </row>
    <row r="9" spans="1:26" ht="12.75" hidden="1" customHeight="1" x14ac:dyDescent="0.2">
      <c r="A9" s="1936"/>
      <c r="B9" s="1936"/>
      <c r="C9" s="1936"/>
      <c r="D9" s="1936"/>
      <c r="E9" s="1936"/>
      <c r="F9" s="1936"/>
      <c r="G9" s="1936"/>
      <c r="H9" s="2263"/>
      <c r="I9" s="2263"/>
      <c r="J9" s="2263"/>
      <c r="K9" s="2263"/>
      <c r="L9" s="3505"/>
    </row>
    <row r="10" spans="1:26" ht="12.75" hidden="1" customHeight="1" x14ac:dyDescent="0.2">
      <c r="A10" s="1936"/>
      <c r="B10" s="1936"/>
      <c r="C10" s="1936"/>
      <c r="D10" s="1936"/>
      <c r="E10" s="1936"/>
      <c r="F10" s="1936"/>
      <c r="G10" s="1936"/>
      <c r="H10" s="2263"/>
      <c r="I10" s="2263"/>
      <c r="J10" s="2263"/>
      <c r="K10" s="2263"/>
      <c r="L10" s="3505"/>
    </row>
    <row r="11" spans="1:26" ht="12.75" hidden="1" customHeight="1" x14ac:dyDescent="0.2">
      <c r="A11" s="1936"/>
      <c r="B11" s="1936"/>
      <c r="C11" s="1936"/>
      <c r="D11" s="1936"/>
      <c r="E11" s="1936"/>
      <c r="F11" s="1936"/>
      <c r="G11" s="1936"/>
      <c r="H11" s="2263"/>
      <c r="I11" s="2263"/>
      <c r="J11" s="1943"/>
      <c r="K11" s="1943"/>
    </row>
    <row r="12" spans="1:26" ht="15" x14ac:dyDescent="0.2">
      <c r="A12" s="1105" t="s">
        <v>6048</v>
      </c>
      <c r="B12" s="620"/>
      <c r="C12" s="620"/>
      <c r="D12" s="620"/>
      <c r="E12" s="620"/>
      <c r="F12" s="620"/>
      <c r="G12" s="620"/>
      <c r="H12" s="620"/>
      <c r="I12" s="620"/>
      <c r="J12" s="620"/>
      <c r="K12" s="621"/>
      <c r="Z12" s="28" t="s">
        <v>5806</v>
      </c>
    </row>
    <row r="13" spans="1:26" ht="18" customHeight="1" x14ac:dyDescent="0.2">
      <c r="A13" s="626" t="s">
        <v>6143</v>
      </c>
      <c r="B13" s="128"/>
      <c r="C13" s="128"/>
      <c r="D13" s="627"/>
      <c r="E13" s="128"/>
      <c r="F13" s="1126"/>
      <c r="G13" s="1127"/>
      <c r="H13" s="128"/>
      <c r="I13" s="128"/>
      <c r="J13" s="128"/>
      <c r="K13" s="174"/>
      <c r="Z13" s="28" t="s">
        <v>363</v>
      </c>
    </row>
    <row r="14" spans="1:26" ht="12.75" customHeight="1" x14ac:dyDescent="0.2">
      <c r="A14" s="4682" t="s">
        <v>2678</v>
      </c>
      <c r="B14" s="4683" t="s">
        <v>3904</v>
      </c>
      <c r="C14" s="4504" t="s">
        <v>3905</v>
      </c>
      <c r="D14" s="3530"/>
      <c r="E14" s="4682" t="s">
        <v>4693</v>
      </c>
      <c r="F14" s="3525"/>
      <c r="G14" s="4522" t="s">
        <v>3712</v>
      </c>
      <c r="H14" s="3"/>
      <c r="I14" s="4522" t="s">
        <v>2105</v>
      </c>
      <c r="J14" s="3"/>
      <c r="K14" s="4522" t="s">
        <v>2106</v>
      </c>
      <c r="Z14" s="28" t="s">
        <v>2372</v>
      </c>
    </row>
    <row r="15" spans="1:26" ht="24.75" customHeight="1" x14ac:dyDescent="0.2">
      <c r="A15" s="4676"/>
      <c r="B15" s="4677"/>
      <c r="C15" s="4444"/>
      <c r="D15" s="3530"/>
      <c r="E15" s="4676"/>
      <c r="F15" s="3525"/>
      <c r="G15" s="4514"/>
      <c r="H15" s="3"/>
      <c r="I15" s="4514"/>
      <c r="J15" s="3"/>
      <c r="K15" s="4514"/>
    </row>
    <row r="16" spans="1:26" x14ac:dyDescent="0.2">
      <c r="A16" s="622"/>
      <c r="B16" s="623"/>
      <c r="C16" s="1125"/>
      <c r="D16" s="3531"/>
      <c r="E16" s="623"/>
      <c r="F16" s="3526"/>
      <c r="G16" s="405">
        <f t="shared" ref="G16:G35" si="0">IF($C16="",0,IF($C16=$Z$12,$E16,0))</f>
      </c>
      <c r="H16" s="17"/>
      <c r="I16" s="405">
        <f t="shared" ref="I16:I35" si="1">IF($C16="",0,IF($C16=$Z$13,$E16,0))</f>
      </c>
      <c r="J16" s="50"/>
      <c r="K16" s="405">
        <f t="shared" ref="K16:K35" si="2">IF($C16="",0,IF($C16=$Z$14,$E16,0))</f>
      </c>
      <c r="L16" s="3527" t="str">
        <f>IF(T16=0,"",IF(T16&lt;&gt;4,"All Details!",""))</f>
        <v/>
      </c>
      <c r="R16" s="28">
        <f>IF(L16="",0,1)</f>
      </c>
      <c r="T16" s="28">
        <f>COUNTA(A16:E16)</f>
      </c>
    </row>
    <row r="17" spans="1:20" x14ac:dyDescent="0.2">
      <c r="A17" s="622"/>
      <c r="B17" s="623"/>
      <c r="C17" s="1125"/>
      <c r="D17" s="3531"/>
      <c r="E17" s="623"/>
      <c r="F17" s="3526"/>
      <c r="G17" s="405">
        <f>IF($C17="",0,IF($C17=$Z$12,$E17,0))</f>
      </c>
      <c r="H17" s="17"/>
      <c r="I17" s="405">
        <f>IF($C17="",0,IF($C17=$Z$13,$E17,0))</f>
      </c>
      <c r="J17" s="50"/>
      <c r="K17" s="405">
        <f>IF($C17="",0,IF($C17=$Z$14,$E17,0))</f>
      </c>
      <c r="L17" s="3527" t="str">
        <f t="shared" ref="L17:L35" si="3">IF(T17=0,"",IF(T17&lt;&gt;4,"All Details!",""))</f>
        <v/>
      </c>
      <c r="R17" s="28">
        <f t="shared" ref="R17:R34" si="4">IF(L17="",0,1)</f>
      </c>
      <c r="T17" s="28">
        <f t="shared" ref="T17:T35" si="5">COUNTA(A17:E17)</f>
      </c>
    </row>
    <row r="18" spans="1:20" x14ac:dyDescent="0.2">
      <c r="A18" s="622"/>
      <c r="B18" s="623"/>
      <c r="C18" s="1125"/>
      <c r="D18" s="3531"/>
      <c r="E18" s="623"/>
      <c r="F18" s="3526"/>
      <c r="G18" s="405">
        <f>IF($C18="",0,IF($C18=$Z$12,$E18,0))</f>
      </c>
      <c r="H18" s="17"/>
      <c r="I18" s="405">
        <f>IF($C18="",0,IF($C18=$Z$13,$E18,0))</f>
      </c>
      <c r="J18" s="50"/>
      <c r="K18" s="405">
        <f>IF($C18="",0,IF($C18=$Z$14,$E18,0))</f>
      </c>
      <c r="L18" s="3527" t="str">
        <f t="shared" si="3"/>
        <v/>
      </c>
      <c r="R18" s="28">
        <f t="shared" si="4"/>
        <v>0</v>
      </c>
      <c r="T18" s="28">
        <f t="shared" si="5"/>
        <v>0</v>
      </c>
    </row>
    <row r="19" spans="1:20" x14ac:dyDescent="0.2">
      <c r="A19" s="622"/>
      <c r="B19" s="623"/>
      <c r="C19" s="1125"/>
      <c r="D19" s="3531"/>
      <c r="E19" s="623"/>
      <c r="F19" s="3526"/>
      <c r="G19" s="405">
        <f t="shared" si="0"/>
        <v>0</v>
      </c>
      <c r="H19" s="17"/>
      <c r="I19" s="405">
        <f t="shared" si="1"/>
        <v>0</v>
      </c>
      <c r="J19" s="50"/>
      <c r="K19" s="405">
        <f t="shared" si="2"/>
        <v>0</v>
      </c>
      <c r="L19" s="3527" t="str">
        <f t="shared" si="3"/>
        <v/>
      </c>
      <c r="R19" s="28">
        <f t="shared" si="4"/>
        <v>0</v>
      </c>
      <c r="T19" s="28">
        <f t="shared" si="5"/>
        <v>0</v>
      </c>
    </row>
    <row r="20" spans="1:20" x14ac:dyDescent="0.2">
      <c r="A20" s="622"/>
      <c r="B20" s="623"/>
      <c r="C20" s="1125"/>
      <c r="D20" s="3531"/>
      <c r="E20" s="623"/>
      <c r="F20" s="3526"/>
      <c r="G20" s="405">
        <f t="shared" si="0"/>
        <v>0</v>
      </c>
      <c r="H20" s="17"/>
      <c r="I20" s="405">
        <f t="shared" si="1"/>
        <v>0</v>
      </c>
      <c r="J20" s="50"/>
      <c r="K20" s="405">
        <f t="shared" si="2"/>
        <v>0</v>
      </c>
      <c r="L20" s="3527" t="str">
        <f t="shared" si="3"/>
        <v/>
      </c>
      <c r="R20" s="28">
        <f t="shared" si="4"/>
        <v>0</v>
      </c>
      <c r="T20" s="28">
        <f t="shared" si="5"/>
        <v>0</v>
      </c>
    </row>
    <row r="21" spans="1:20" x14ac:dyDescent="0.2">
      <c r="A21" s="622"/>
      <c r="B21" s="623"/>
      <c r="C21" s="1125"/>
      <c r="D21" s="3531"/>
      <c r="E21" s="623"/>
      <c r="F21" s="3526"/>
      <c r="G21" s="405">
        <f t="shared" si="0"/>
        <v>0</v>
      </c>
      <c r="H21" s="17"/>
      <c r="I21" s="405">
        <f t="shared" si="1"/>
        <v>0</v>
      </c>
      <c r="J21" s="50"/>
      <c r="K21" s="405">
        <f t="shared" si="2"/>
        <v>0</v>
      </c>
      <c r="L21" s="3527" t="str">
        <f t="shared" si="3"/>
        <v/>
      </c>
      <c r="R21" s="28">
        <f t="shared" si="4"/>
        <v>0</v>
      </c>
      <c r="T21" s="28">
        <f t="shared" si="5"/>
        <v>0</v>
      </c>
    </row>
    <row r="22" spans="1:20" x14ac:dyDescent="0.2">
      <c r="A22" s="622"/>
      <c r="B22" s="623"/>
      <c r="C22" s="1125"/>
      <c r="D22" s="3531"/>
      <c r="E22" s="623"/>
      <c r="F22" s="3526"/>
      <c r="G22" s="405">
        <f t="shared" si="0"/>
        <v>0</v>
      </c>
      <c r="H22" s="17"/>
      <c r="I22" s="405">
        <f t="shared" si="1"/>
        <v>0</v>
      </c>
      <c r="J22" s="50"/>
      <c r="K22" s="405">
        <f t="shared" si="2"/>
        <v>0</v>
      </c>
      <c r="L22" s="3527" t="str">
        <f t="shared" si="3"/>
        <v/>
      </c>
      <c r="R22" s="28">
        <f t="shared" si="4"/>
        <v>0</v>
      </c>
      <c r="T22" s="28">
        <f t="shared" si="5"/>
        <v>0</v>
      </c>
    </row>
    <row r="23" spans="1:20" x14ac:dyDescent="0.2">
      <c r="A23" s="622"/>
      <c r="B23" s="623"/>
      <c r="C23" s="1125"/>
      <c r="D23" s="3531"/>
      <c r="E23" s="623"/>
      <c r="F23" s="3526"/>
      <c r="G23" s="405">
        <f t="shared" si="0"/>
        <v>0</v>
      </c>
      <c r="H23" s="17"/>
      <c r="I23" s="405">
        <f t="shared" si="1"/>
        <v>0</v>
      </c>
      <c r="J23" s="50"/>
      <c r="K23" s="405">
        <f t="shared" si="2"/>
        <v>0</v>
      </c>
      <c r="L23" s="3527" t="str">
        <f t="shared" si="3"/>
        <v/>
      </c>
      <c r="R23" s="28">
        <f t="shared" si="4"/>
        <v>0</v>
      </c>
      <c r="T23" s="28">
        <f t="shared" si="5"/>
        <v>0</v>
      </c>
    </row>
    <row r="24" spans="1:20" x14ac:dyDescent="0.2">
      <c r="A24" s="622"/>
      <c r="B24" s="623"/>
      <c r="C24" s="1125"/>
      <c r="D24" s="3531"/>
      <c r="E24" s="623"/>
      <c r="F24" s="3526"/>
      <c r="G24" s="405">
        <f t="shared" si="0"/>
        <v>0</v>
      </c>
      <c r="H24" s="17"/>
      <c r="I24" s="405">
        <f t="shared" si="1"/>
        <v>0</v>
      </c>
      <c r="J24" s="50"/>
      <c r="K24" s="405">
        <f t="shared" si="2"/>
        <v>0</v>
      </c>
      <c r="L24" s="3527" t="str">
        <f t="shared" si="3"/>
        <v/>
      </c>
      <c r="R24" s="28">
        <f t="shared" si="4"/>
        <v>0</v>
      </c>
      <c r="T24" s="28">
        <f t="shared" si="5"/>
        <v>0</v>
      </c>
    </row>
    <row r="25" spans="1:20" x14ac:dyDescent="0.2">
      <c r="A25" s="622"/>
      <c r="B25" s="623"/>
      <c r="C25" s="1125"/>
      <c r="D25" s="3531"/>
      <c r="E25" s="623"/>
      <c r="F25" s="3526"/>
      <c r="G25" s="405">
        <f t="shared" si="0"/>
        <v>0</v>
      </c>
      <c r="H25" s="17"/>
      <c r="I25" s="405">
        <f t="shared" si="1"/>
        <v>0</v>
      </c>
      <c r="J25" s="50"/>
      <c r="K25" s="405">
        <f t="shared" si="2"/>
        <v>0</v>
      </c>
      <c r="L25" s="3527" t="str">
        <f t="shared" si="3"/>
        <v/>
      </c>
      <c r="R25" s="28">
        <f t="shared" si="4"/>
        <v>0</v>
      </c>
      <c r="T25" s="28">
        <f t="shared" si="5"/>
        <v>0</v>
      </c>
    </row>
    <row r="26" spans="1:20" x14ac:dyDescent="0.2">
      <c r="A26" s="622"/>
      <c r="B26" s="623"/>
      <c r="C26" s="1125"/>
      <c r="D26" s="3531"/>
      <c r="E26" s="623"/>
      <c r="F26" s="3526"/>
      <c r="G26" s="405">
        <f t="shared" si="0"/>
        <v>0</v>
      </c>
      <c r="H26" s="17"/>
      <c r="I26" s="405">
        <f t="shared" si="1"/>
        <v>0</v>
      </c>
      <c r="J26" s="50"/>
      <c r="K26" s="405">
        <f t="shared" si="2"/>
        <v>0</v>
      </c>
      <c r="L26" s="3527" t="str">
        <f t="shared" si="3"/>
        <v/>
      </c>
      <c r="R26" s="28">
        <f t="shared" si="4"/>
        <v>0</v>
      </c>
      <c r="T26" s="28">
        <f t="shared" si="5"/>
        <v>0</v>
      </c>
    </row>
    <row r="27" spans="1:20" x14ac:dyDescent="0.2">
      <c r="A27" s="622"/>
      <c r="B27" s="623"/>
      <c r="C27" s="1125"/>
      <c r="D27" s="3531"/>
      <c r="E27" s="623"/>
      <c r="F27" s="3526"/>
      <c r="G27" s="405">
        <f t="shared" si="0"/>
        <v>0</v>
      </c>
      <c r="H27" s="17"/>
      <c r="I27" s="405">
        <f t="shared" si="1"/>
        <v>0</v>
      </c>
      <c r="J27" s="50"/>
      <c r="K27" s="405">
        <f t="shared" si="2"/>
        <v>0</v>
      </c>
      <c r="L27" s="3527" t="str">
        <f t="shared" si="3"/>
        <v/>
      </c>
      <c r="R27" s="28">
        <f t="shared" si="4"/>
        <v>0</v>
      </c>
      <c r="T27" s="28">
        <f t="shared" si="5"/>
        <v>0</v>
      </c>
    </row>
    <row r="28" spans="1:20" x14ac:dyDescent="0.2">
      <c r="A28" s="622"/>
      <c r="B28" s="623"/>
      <c r="C28" s="1125"/>
      <c r="D28" s="3531"/>
      <c r="E28" s="623"/>
      <c r="F28" s="3526"/>
      <c r="G28" s="405">
        <f t="shared" si="0"/>
        <v>0</v>
      </c>
      <c r="H28" s="17"/>
      <c r="I28" s="405">
        <f t="shared" si="1"/>
        <v>0</v>
      </c>
      <c r="J28" s="50"/>
      <c r="K28" s="405">
        <f t="shared" si="2"/>
        <v>0</v>
      </c>
      <c r="L28" s="3527" t="str">
        <f t="shared" si="3"/>
        <v/>
      </c>
      <c r="R28" s="28">
        <f t="shared" si="4"/>
        <v>0</v>
      </c>
      <c r="T28" s="28">
        <f t="shared" si="5"/>
        <v>0</v>
      </c>
    </row>
    <row r="29" spans="1:20" x14ac:dyDescent="0.2">
      <c r="A29" s="622"/>
      <c r="B29" s="623"/>
      <c r="C29" s="1125"/>
      <c r="D29" s="3531"/>
      <c r="E29" s="623"/>
      <c r="F29" s="3526"/>
      <c r="G29" s="405">
        <f t="shared" si="0"/>
        <v>0</v>
      </c>
      <c r="H29" s="17"/>
      <c r="I29" s="405">
        <f t="shared" si="1"/>
        <v>0</v>
      </c>
      <c r="J29" s="50"/>
      <c r="K29" s="405">
        <f t="shared" si="2"/>
        <v>0</v>
      </c>
      <c r="L29" s="3527" t="str">
        <f t="shared" si="3"/>
        <v/>
      </c>
      <c r="R29" s="28">
        <f t="shared" si="4"/>
        <v>0</v>
      </c>
      <c r="T29" s="28">
        <f t="shared" si="5"/>
        <v>0</v>
      </c>
    </row>
    <row r="30" spans="1:20" x14ac:dyDescent="0.2">
      <c r="A30" s="622"/>
      <c r="B30" s="623"/>
      <c r="C30" s="1125"/>
      <c r="D30" s="3531"/>
      <c r="E30" s="623"/>
      <c r="F30" s="3526"/>
      <c r="G30" s="405">
        <f t="shared" si="0"/>
        <v>0</v>
      </c>
      <c r="H30" s="17"/>
      <c r="I30" s="405">
        <f t="shared" si="1"/>
        <v>0</v>
      </c>
      <c r="J30" s="50"/>
      <c r="K30" s="405">
        <f t="shared" si="2"/>
        <v>0</v>
      </c>
      <c r="L30" s="3527" t="str">
        <f t="shared" si="3"/>
        <v/>
      </c>
      <c r="R30" s="28">
        <f t="shared" si="4"/>
        <v>0</v>
      </c>
      <c r="T30" s="28">
        <f t="shared" si="5"/>
        <v>0</v>
      </c>
    </row>
    <row r="31" spans="1:20" x14ac:dyDescent="0.2">
      <c r="A31" s="622"/>
      <c r="B31" s="623"/>
      <c r="C31" s="1125"/>
      <c r="D31" s="3531"/>
      <c r="E31" s="623"/>
      <c r="F31" s="3526"/>
      <c r="G31" s="405">
        <f t="shared" si="0"/>
        <v>0</v>
      </c>
      <c r="H31" s="17"/>
      <c r="I31" s="405">
        <f t="shared" si="1"/>
        <v>0</v>
      </c>
      <c r="J31" s="50"/>
      <c r="K31" s="405">
        <f t="shared" si="2"/>
        <v>0</v>
      </c>
      <c r="L31" s="3527" t="str">
        <f t="shared" si="3"/>
        <v/>
      </c>
      <c r="R31" s="28">
        <f t="shared" si="4"/>
        <v>0</v>
      </c>
      <c r="T31" s="28">
        <f t="shared" si="5"/>
        <v>0</v>
      </c>
    </row>
    <row r="32" spans="1:20" x14ac:dyDescent="0.2">
      <c r="A32" s="622"/>
      <c r="B32" s="623"/>
      <c r="C32" s="1125"/>
      <c r="D32" s="3531"/>
      <c r="E32" s="623"/>
      <c r="F32" s="3526"/>
      <c r="G32" s="405">
        <f t="shared" si="0"/>
        <v>0</v>
      </c>
      <c r="H32" s="17"/>
      <c r="I32" s="405">
        <f t="shared" si="1"/>
        <v>0</v>
      </c>
      <c r="J32" s="50"/>
      <c r="K32" s="405">
        <f t="shared" si="2"/>
        <v>0</v>
      </c>
      <c r="L32" s="3527" t="str">
        <f t="shared" si="3"/>
        <v/>
      </c>
      <c r="R32" s="28">
        <f t="shared" si="4"/>
        <v>0</v>
      </c>
      <c r="T32" s="28">
        <f t="shared" si="5"/>
        <v>0</v>
      </c>
    </row>
    <row r="33" spans="1:31" x14ac:dyDescent="0.2">
      <c r="A33" s="622"/>
      <c r="B33" s="623"/>
      <c r="C33" s="1125"/>
      <c r="D33" s="3531"/>
      <c r="E33" s="623"/>
      <c r="F33" s="3526"/>
      <c r="G33" s="405">
        <f t="shared" si="0"/>
        <v>0</v>
      </c>
      <c r="H33" s="17"/>
      <c r="I33" s="405">
        <f t="shared" si="1"/>
        <v>0</v>
      </c>
      <c r="J33" s="50"/>
      <c r="K33" s="405">
        <f t="shared" si="2"/>
        <v>0</v>
      </c>
      <c r="L33" s="3527" t="str">
        <f t="shared" si="3"/>
        <v/>
      </c>
      <c r="R33" s="28">
        <f t="shared" si="4"/>
        <v>0</v>
      </c>
      <c r="T33" s="28">
        <f t="shared" si="5"/>
        <v>0</v>
      </c>
    </row>
    <row r="34" spans="1:31" x14ac:dyDescent="0.2">
      <c r="A34" s="622"/>
      <c r="B34" s="623"/>
      <c r="C34" s="1125"/>
      <c r="D34" s="3531"/>
      <c r="E34" s="623"/>
      <c r="F34" s="3526"/>
      <c r="G34" s="405">
        <f t="shared" si="0"/>
        <v>0</v>
      </c>
      <c r="H34" s="17"/>
      <c r="I34" s="405">
        <f t="shared" si="1"/>
        <v>0</v>
      </c>
      <c r="J34" s="50"/>
      <c r="K34" s="405">
        <f t="shared" si="2"/>
        <v>0</v>
      </c>
      <c r="L34" s="3527" t="str">
        <f t="shared" si="3"/>
        <v/>
      </c>
      <c r="R34" s="28">
        <f t="shared" si="4"/>
        <v>0</v>
      </c>
      <c r="T34" s="28">
        <f t="shared" si="5"/>
        <v>0</v>
      </c>
    </row>
    <row r="35" spans="1:31" x14ac:dyDescent="0.2">
      <c r="A35" s="622"/>
      <c r="B35" s="623"/>
      <c r="C35" s="1125"/>
      <c r="D35" s="3531"/>
      <c r="E35" s="623"/>
      <c r="F35" s="3526"/>
      <c r="G35" s="405">
        <f t="shared" si="0"/>
        <v>0</v>
      </c>
      <c r="H35" s="17"/>
      <c r="I35" s="405">
        <f t="shared" si="1"/>
        <v>0</v>
      </c>
      <c r="J35" s="50"/>
      <c r="K35" s="405">
        <f t="shared" si="2"/>
        <v>0</v>
      </c>
      <c r="L35" s="3527" t="str">
        <f t="shared" si="3"/>
        <v/>
      </c>
      <c r="R35" s="28">
        <f>IF(L35="",0,1)</f>
      </c>
      <c r="T35" s="28">
        <f t="shared" si="5"/>
        <v>0</v>
      </c>
    </row>
    <row r="36" spans="1:31" ht="15" thickBot="1" x14ac:dyDescent="0.25">
      <c r="A36" s="2263"/>
      <c r="B36" s="1316" t="s">
        <v>3682</v>
      </c>
      <c r="C36" s="628"/>
      <c r="D36" s="3532"/>
      <c r="E36" s="625">
        <f>SUM(E16:E35)</f>
      </c>
      <c r="F36" s="3526"/>
      <c r="G36" s="405">
        <f>SUM(G16:G35)</f>
      </c>
      <c r="H36" s="17"/>
      <c r="I36" s="405">
        <f>SUM(I16:I35)</f>
      </c>
      <c r="J36" s="50"/>
      <c r="K36" s="405">
        <f>SUM(K16:K35)</f>
      </c>
      <c r="T36" s="28">
        <f>SUM(T3:T35)</f>
      </c>
    </row>
    <row r="37" spans="1:31" ht="13.5" thickTop="1" x14ac:dyDescent="0.2">
      <c r="A37" s="3534" t="str">
        <f>EUR</f>
        <v/>
      </c>
      <c r="B37" s="2263"/>
      <c r="C37" s="2263"/>
      <c r="D37" s="2263"/>
      <c r="E37" s="3535" t="str">
        <f>IF(I36+K36+G36&lt;&gt;E36,"Check tax A/Cs!","")</f>
        <v/>
      </c>
      <c r="F37" s="2263"/>
      <c r="G37" s="2263"/>
      <c r="H37" s="2263"/>
      <c r="I37" s="2263"/>
      <c r="J37" s="2263"/>
      <c r="K37" s="2263"/>
    </row>
    <row r="38" spans="1:31" ht="14.25" x14ac:dyDescent="0.2">
      <c r="A38" s="3536" t="s">
        <v>2296</v>
      </c>
      <c r="B38" s="3533"/>
      <c r="C38" s="3533"/>
      <c r="D38" s="3533"/>
      <c r="E38" s="2263"/>
      <c r="F38" s="2263"/>
      <c r="G38" s="623"/>
      <c r="H38" s="2166"/>
      <c r="I38" s="623"/>
      <c r="J38" s="2166"/>
      <c r="K38" s="623"/>
      <c r="L38" s="2654" t="str">
        <f>IF(AND(ya=2008,G38&lt;&gt;"")," Delete value!","")</f>
        <v/>
      </c>
      <c r="N38" s="28">
        <f>IF(ya=2008,0,999999999999)</f>
      </c>
      <c r="P38" s="30">
        <f>COUNT(I38,K38,G42,G46,I46,K46)</f>
      </c>
      <c r="R38" s="28">
        <f>IF(L38="",0,1)</f>
      </c>
    </row>
    <row r="39" spans="1:31" ht="4.5" customHeight="1" x14ac:dyDescent="0.2">
      <c r="A39" s="2263"/>
      <c r="B39" s="2263"/>
      <c r="C39" s="2263"/>
      <c r="D39" s="2263"/>
      <c r="E39" s="2263"/>
      <c r="F39" s="2263"/>
      <c r="G39" s="2166"/>
      <c r="H39" s="2166"/>
      <c r="I39" s="2166"/>
      <c r="J39" s="2166"/>
      <c r="K39" s="2166"/>
    </row>
    <row r="40" spans="1:31" ht="14.25" x14ac:dyDescent="0.2">
      <c r="A40" s="3536" t="s">
        <v>8</v>
      </c>
      <c r="B40" s="2263"/>
      <c r="C40" s="2263"/>
      <c r="D40" s="2263"/>
      <c r="E40" s="2263"/>
      <c r="F40" s="2263"/>
      <c r="G40" s="630">
        <f>G36+G38</f>
      </c>
      <c r="H40" s="2166"/>
      <c r="I40" s="630">
        <f>I36+I38</f>
      </c>
      <c r="J40" s="2166"/>
      <c r="K40" s="630">
        <f>K36+K38</f>
      </c>
    </row>
    <row r="41" spans="1:31" ht="4.5" customHeight="1" x14ac:dyDescent="0.2">
      <c r="A41" s="2263"/>
      <c r="B41" s="2263"/>
      <c r="C41" s="2263"/>
      <c r="D41" s="2263"/>
      <c r="E41" s="2263"/>
      <c r="F41" s="2263"/>
      <c r="G41" s="3544"/>
      <c r="H41" s="3544"/>
      <c r="I41" s="3544"/>
      <c r="J41" s="3544"/>
      <c r="K41" s="3544"/>
    </row>
    <row r="42" spans="1:31" ht="14.25" x14ac:dyDescent="0.2">
      <c r="A42" s="3536" t="s">
        <v>3906</v>
      </c>
      <c r="B42" s="2263"/>
      <c r="C42" s="2263"/>
      <c r="D42" s="2263"/>
      <c r="E42" s="2263"/>
      <c r="F42" s="2263"/>
      <c r="G42" s="280"/>
      <c r="H42" s="2166"/>
      <c r="I42" s="285">
        <f>G42*-1</f>
      </c>
      <c r="J42" s="3544"/>
      <c r="K42" s="3545" t="str">
        <f>IF(T42=0,"",T42)</f>
        <v/>
      </c>
      <c r="R42" s="28">
        <f>IF(K42="",0,1)</f>
      </c>
      <c r="T42" s="28">
        <f>IF(AND(G42&lt;0,G42*-1&gt;G40)," Exceeds amount under IPA!",IF(AND(G42&lt;0,G42*-1&gt;AB46)," Exceeds amount under MTA!",IF(AND(G42&gt;0,G42&gt;I40)," Exceeds amount under MTA!",0)))</f>
      </c>
    </row>
    <row r="43" spans="1:31" ht="4.5" customHeight="1" x14ac:dyDescent="0.2">
      <c r="A43" s="2263"/>
      <c r="B43" s="2263"/>
      <c r="C43" s="2263"/>
      <c r="D43" s="2263"/>
      <c r="E43" s="2263"/>
      <c r="F43" s="2263"/>
      <c r="G43" s="3544"/>
      <c r="H43" s="3544"/>
      <c r="I43" s="3544"/>
      <c r="J43" s="3544"/>
      <c r="K43" s="3544"/>
    </row>
    <row r="44" spans="1:31" ht="14.25" x14ac:dyDescent="0.2">
      <c r="A44" s="3536" t="s">
        <v>3907</v>
      </c>
      <c r="B44" s="2263"/>
      <c r="C44" s="2263"/>
      <c r="D44" s="2263"/>
      <c r="E44" s="2263"/>
      <c r="F44" s="2263"/>
      <c r="G44" s="285">
        <f>G40+G42</f>
      </c>
      <c r="H44" s="3544"/>
      <c r="I44" s="285">
        <f>I40+I42</f>
      </c>
      <c r="J44" s="3544"/>
      <c r="K44" s="285">
        <f>K40</f>
      </c>
      <c r="N44" s="84">
        <f>(G44+I44+K44)</f>
      </c>
    </row>
    <row r="45" spans="1:31" ht="5.25" customHeight="1" x14ac:dyDescent="0.2">
      <c r="A45" s="2263"/>
      <c r="B45" s="2263"/>
      <c r="C45" s="2263"/>
      <c r="D45" s="2263"/>
      <c r="E45" s="2263"/>
      <c r="F45" s="2263"/>
      <c r="G45" s="3544"/>
      <c r="H45" s="3544"/>
      <c r="I45" s="3544"/>
      <c r="J45" s="3544"/>
      <c r="K45" s="3544"/>
    </row>
    <row r="46" spans="1:31" ht="14.25" x14ac:dyDescent="0.2">
      <c r="A46" s="3536" t="s">
        <v>4949</v>
      </c>
      <c r="B46" s="2263"/>
      <c r="C46" s="2263"/>
      <c r="D46" s="2263"/>
      <c r="E46" s="2263"/>
      <c r="F46" s="2263"/>
      <c r="G46" s="280"/>
      <c r="H46" s="3544"/>
      <c r="I46" s="280"/>
      <c r="J46" s="3544"/>
      <c r="K46" s="280"/>
      <c r="L46" s="3528" t="str">
        <f>IF(T46&lt;&gt;0,reo,IF(N46&gt;N44," Check values!",""))</f>
        <v/>
      </c>
      <c r="N46" s="84">
        <f>(G46+I46+K46)*-1</f>
      </c>
      <c r="P46" s="28">
        <f>COUNT(G46,I46,K46)</f>
      </c>
      <c r="R46" s="28">
        <f>IF(L46=reo,1,0)</f>
      </c>
      <c r="T46" s="28">
        <f>SUM(U46:W46)</f>
      </c>
      <c r="U46" s="28">
        <f>IF(AND(G44&gt;0,G46=""),1,0)</f>
      </c>
      <c r="V46" s="28">
        <f>IF(AND(I44&gt;0,I46=""),1,0)</f>
      </c>
      <c r="W46" s="28">
        <f>IF(AND(K44&gt;0,K46=""),1,0)</f>
      </c>
      <c r="AA46" s="28">
        <f>'p4'!K45</f>
      </c>
      <c r="AB46" s="28">
        <f>'p4'!O45</f>
      </c>
      <c r="AC46" s="28">
        <f>'p4'!R45</f>
      </c>
    </row>
    <row r="47" spans="1:31" ht="5.25" customHeight="1" x14ac:dyDescent="0.2">
      <c r="A47" s="3537"/>
      <c r="B47" s="2263"/>
      <c r="C47" s="2263"/>
      <c r="D47" s="2263"/>
      <c r="E47" s="2263"/>
      <c r="F47" s="2263"/>
      <c r="G47" s="3544"/>
      <c r="H47" s="3544"/>
      <c r="I47" s="3544"/>
      <c r="J47" s="3544"/>
      <c r="K47" s="3544"/>
    </row>
    <row r="48" spans="1:31" ht="14.25" x14ac:dyDescent="0.2">
      <c r="A48" s="3536" t="s">
        <v>792</v>
      </c>
      <c r="B48" s="2263"/>
      <c r="C48" s="2263"/>
      <c r="D48" s="2263"/>
      <c r="E48" s="2263"/>
      <c r="F48" s="2263"/>
      <c r="G48" s="285">
        <f>G44+G46</f>
      </c>
      <c r="H48" s="3544"/>
      <c r="I48" s="285">
        <f>I44+I46</f>
      </c>
      <c r="J48" s="3544"/>
      <c r="K48" s="285">
        <f>K44+K46</f>
      </c>
      <c r="L48" s="3529"/>
      <c r="R48" s="28">
        <f>IF(L48="",0,1)</f>
      </c>
      <c r="Z48" s="28">
        <f>SUM(AA48:AD48)</f>
      </c>
      <c r="AA48" s="28">
        <f>IF(G46*-1&gt;AA46,1,0)</f>
      </c>
      <c r="AB48" s="28">
        <f>IF(I46*-1&gt;AB46,1,0)</f>
      </c>
      <c r="AC48" s="28">
        <f>IF(K46*-1&gt;AC46,1,0)</f>
      </c>
      <c r="AD48" s="28">
        <f>IF('p4'!J48="",0,1)</f>
      </c>
      <c r="AE48" s="32">
        <f>IF(Index!E148&lt;&gt;1,0,1)</f>
      </c>
    </row>
    <row r="49" spans="1:26" x14ac:dyDescent="0.2">
      <c r="A49" s="3538" t="str">
        <f>IF(G46+I46+K46=0,"",IF(Z48&gt;0,"Not enough Income to make the claim!",""))</f>
        <v/>
      </c>
      <c r="B49" s="3532"/>
      <c r="C49" s="3532"/>
      <c r="D49" s="3532"/>
      <c r="E49" s="3532"/>
      <c r="F49" s="3539"/>
      <c r="H49" s="2263"/>
      <c r="I49" s="2660"/>
      <c r="J49" s="2263"/>
      <c r="K49" s="2263"/>
    </row>
    <row r="50" spans="1:26" ht="21.75" customHeight="1" x14ac:dyDescent="0.2">
      <c r="A50" s="2189" t="str">
        <f>_xlfn.SINGLE(MTCA)</f>
      </c>
      <c r="B50" s="3540"/>
      <c r="C50" s="3541" t="str">
        <f>ver</f>
        <v>TA2_e-CO_2025_Ver 1.1</v>
      </c>
      <c r="D50" s="3541"/>
      <c r="E50" s="3541"/>
      <c r="F50" s="3541"/>
      <c r="G50" s="3540"/>
      <c r="H50" s="3540"/>
      <c r="I50" s="3540"/>
      <c r="J50" s="2189"/>
      <c r="K50" s="3546" t="s">
        <v>1689</v>
      </c>
      <c r="L50" s="2189"/>
      <c r="R50" s="28">
        <f>SUM(R3:R48)</f>
      </c>
      <c r="Z50" s="177">
        <f>IF(OR(A49&lt;&gt;"",E37&lt;&gt;""),1,IF(AND(L46&lt;&gt;"",L46&lt;&gt;reo),1,0))</f>
      </c>
    </row>
    <row r="51" spans="1:26" x14ac:dyDescent="0.2">
      <c r="A51" s="2263"/>
      <c r="B51" s="4685"/>
      <c r="C51" s="4685"/>
      <c r="D51" s="3542"/>
      <c r="E51" s="3542"/>
      <c r="F51" s="3542"/>
      <c r="H51" s="2263"/>
      <c r="I51" s="3546"/>
      <c r="J51" s="2263"/>
      <c r="K51" s="2263"/>
    </row>
    <row r="52" spans="1:26" x14ac:dyDescent="0.2">
      <c r="A52" s="2263"/>
      <c r="B52" s="2263"/>
      <c r="C52" s="2263"/>
      <c r="D52" s="2263"/>
      <c r="E52" s="3543" t="str">
        <f>COM</f>
      </c>
      <c r="F52" s="2263"/>
      <c r="G52" s="331"/>
      <c r="H52" s="2263"/>
      <c r="I52" s="3546"/>
      <c r="J52" s="2263"/>
      <c r="K52" s="2263"/>
      <c r="R52" s="28">
        <f>IF(E36+P38=0,0,IF(R50&gt;0,100,IF(G52="Yes",1,100)))</f>
      </c>
    </row>
    <row r="53" spans="1:26" x14ac:dyDescent="0.2">
      <c r="A53" s="2263"/>
      <c r="B53" s="2263"/>
      <c r="C53" s="2263"/>
      <c r="D53" s="2263"/>
      <c r="E53" s="2263"/>
      <c r="F53" s="2263"/>
      <c r="G53" s="2263"/>
      <c r="H53" s="2263"/>
      <c r="I53" s="2660"/>
      <c r="J53" s="2263"/>
      <c r="K53" s="2263"/>
      <c r="U53" s="28" t="s">
        <v>4457</v>
      </c>
    </row>
    <row r="54" spans="1:26" x14ac:dyDescent="0.2">
      <c r="A54" s="4686" t="s">
        <v>6290</v>
      </c>
      <c r="B54" s="4686"/>
      <c r="C54" s="2263"/>
      <c r="D54" s="2263"/>
      <c r="E54" s="2263"/>
      <c r="F54" s="2263"/>
      <c r="G54" s="2263"/>
      <c r="H54" s="2263"/>
      <c r="I54" s="2660"/>
      <c r="J54" s="2263"/>
      <c r="K54" s="2263"/>
      <c r="U54" s="28" t="s">
        <v>1736</v>
      </c>
    </row>
    <row r="55" spans="1:26" x14ac:dyDescent="0.2">
      <c r="A55" s="2660"/>
      <c r="B55" s="4685"/>
      <c r="C55" s="4685"/>
      <c r="D55" s="3542"/>
      <c r="E55" s="3542"/>
      <c r="F55" s="3542"/>
      <c r="H55" s="2263"/>
      <c r="I55" s="2263"/>
      <c r="J55" s="2263"/>
      <c r="K55" s="2263"/>
    </row>
  </sheetData>
  <sheetProtection algorithmName="SHA-512" hashValue="47gt7RJEtrdEk0Fi6v97TrfWxMl+qtW7hgkS4NgXAlV/chMeybA4Jqvl6zrMdITRln3fsjqAOwue9xM96hypSw==" saltValue="zSRf1W5mY+32RlbhVdFZtA==" spinCount="100000" sheet="1" objects="1" scenarios="1"/>
  <customSheetViews>
    <customSheetView guid="{99B5278F-6EA9-4B1A-8623-27A4DF4AD5E4}" fitToPage="1" hiddenRows="1" hiddenColumns="1" topLeftCell="A7">
      <selection activeCell="I36" sqref="I36"/>
      <pageMargins left="0.74803149606299213" right="0.74803149606299213" top="0.98425196850393704" bottom="0.98425196850393704" header="0.51181102362204722" footer="0.51181102362204722"/>
      <pageSetup paperSize="9" scale="80" orientation="landscape" r:id="rId1"/>
      <headerFooter alignWithMargins="0"/>
    </customSheetView>
  </customSheetViews>
  <mergeCells count="13">
    <mergeCell ref="B51:C51"/>
    <mergeCell ref="A54:B54"/>
    <mergeCell ref="B55:C55"/>
    <mergeCell ref="A1:G1"/>
    <mergeCell ref="E14:E15"/>
    <mergeCell ref="G14:G15"/>
    <mergeCell ref="J1:K1"/>
    <mergeCell ref="A14:A15"/>
    <mergeCell ref="B14:B15"/>
    <mergeCell ref="C14:C15"/>
    <mergeCell ref="I14:I15"/>
    <mergeCell ref="K14:K15"/>
    <mergeCell ref="A3:I3"/>
  </mergeCells>
  <phoneticPr fontId="110" type="noConversion"/>
  <conditionalFormatting sqref="G38">
    <cfRule type="expression" dxfId="774" priority="7" stopIfTrue="1">
      <formula>ya=2008</formula>
    </cfRule>
  </conditionalFormatting>
  <conditionalFormatting sqref="K3">
    <cfRule type="expression" dxfId="773" priority="1">
      <formula>$P$1="n"</formula>
    </cfRule>
    <cfRule type="expression" dxfId="772" priority="2">
      <formula>$P$1="y"</formula>
    </cfRule>
    <cfRule type="expression" dxfId="771" priority="3" stopIfTrue="1">
      <formula>$P$2=0</formula>
    </cfRule>
  </conditionalFormatting>
  <conditionalFormatting sqref="L3:L10">
    <cfRule type="cellIs" dxfId="770" priority="4" stopIfTrue="1" operator="notEqual">
      <formula>#REF!</formula>
    </cfRule>
  </conditionalFormatting>
  <conditionalFormatting sqref="L16:L35">
    <cfRule type="cellIs" dxfId="769" priority="6" stopIfTrue="1" operator="notEqual">
      <formula>#REF!</formula>
    </cfRule>
  </conditionalFormatting>
  <conditionalFormatting sqref="L46">
    <cfRule type="expression" dxfId="768" priority="10" stopIfTrue="1">
      <formula>$L$46=reo</formula>
    </cfRule>
  </conditionalFormatting>
  <dataValidations count="12">
    <dataValidation type="textLength" operator="greaterThanOrEqual" allowBlank="1" showInputMessage="1" showErrorMessage="1" errorTitle="IT / ROC number" error="Please enter the correct reference!" sqref="A16:A35" xr:uid="{00000000-0002-0000-1700-000000000000}">
      <formula1>3</formula1>
    </dataValidation>
    <dataValidation type="textLength" operator="greaterThanOrEqual" allowBlank="1" showInputMessage="1" showErrorMessage="1" errorTitle="Company Name" error="Please enter a proper name!" sqref="B16:B35" xr:uid="{00000000-0002-0000-1700-000001000000}">
      <formula1>6</formula1>
    </dataValidation>
    <dataValidation type="whole" operator="greaterThanOrEqual" allowBlank="1" showInputMessage="1" showErrorMessage="1" errorTitle="Amount" error="Please enter a positive value!" sqref="E16:E35" xr:uid="{00000000-0002-0000-1700-000002000000}">
      <formula1>0</formula1>
    </dataValidation>
    <dataValidation type="list" allowBlank="1" showInputMessage="1" showErrorMessage="1" errorTitle="Choose item from Dropdown list! " sqref="G52" xr:uid="{00000000-0002-0000-1700-000003000000}">
      <formula1>$U$52:$U$54</formula1>
    </dataValidation>
    <dataValidation type="whole" operator="greaterThanOrEqual" allowBlank="1" showInputMessage="1" showErrorMessage="1" errorTitle="Amount b/fwd" error="Please enter a positive value!" sqref="I42 K38 I38" xr:uid="{00000000-0002-0000-1700-000004000000}">
      <formula1>0</formula1>
    </dataValidation>
    <dataValidation type="list" allowBlank="1" showInputMessage="1" showErrorMessage="1" sqref="C16:C35" xr:uid="{00000000-0002-0000-1700-000005000000}">
      <formula1>$Z$1:$Z$14</formula1>
    </dataValidation>
    <dataValidation type="whole" operator="lessThanOrEqual" allowBlank="1" showInputMessage="1" showErrorMessage="1" errorTitle="TRA 19" error="Please enter a positive number !" sqref="J16:J35" xr:uid="{00000000-0002-0000-1700-000006000000}">
      <formula1>0</formula1>
    </dataValidation>
    <dataValidation operator="greaterThanOrEqual" allowBlank="1" showInputMessage="1" showErrorMessage="1" errorTitle="TRA 19" error="Please enter a positive number !" sqref="G16:G35 I16:I35 K16:K35" xr:uid="{00000000-0002-0000-1700-000007000000}"/>
    <dataValidation type="whole" allowBlank="1" showInputMessage="1" showErrorMessage="1" errorTitle="Amount b/fwd" error="Please enter a positive value!_x000a_OR_x000a_No b/fwd for Y/A 2008!" sqref="G38" xr:uid="{00000000-0002-0000-1700-000008000000}">
      <formula1>0</formula1>
      <formula2>N38</formula2>
    </dataValidation>
    <dataValidation type="whole" allowBlank="1" showInputMessage="1" showErrorMessage="1" errorTitle="Group Loss absorbed current year" error="Please enter a negative value!" sqref="G46 I46 K46" xr:uid="{00000000-0002-0000-1700-000009000000}">
      <formula1>G44*-1</formula1>
      <formula2>0</formula2>
    </dataValidation>
    <dataValidation type="whole" allowBlank="1" showInputMessage="1" showErrorMessage="1" errorTitle="Account transfer" error="Please enter:_x000a_A positive value that does not exceed the total amount available under the MTA!_x000a_OR_x000a_A negative value up to the amount indicated under the IPA!" promptTitle="Account Transfer" prompt="Enter a negative value if transferring from the IPA to the MTA_x000a_OR_x000a_A positive value if transferring from the MTA to the IPA" sqref="G42" xr:uid="{00000000-0002-0000-1700-00000A000000}">
      <formula1>G40*-1</formula1>
      <formula2>I40</formula2>
    </dataValidation>
    <dataValidation type="list" allowBlank="1" showInputMessage="1" showErrorMessage="1" sqref="K3" xr:uid="{00000000-0002-0000-1700-00000B000000}">
      <formula1>yn</formula1>
    </dataValidation>
  </dataValidations>
  <hyperlinks>
    <hyperlink ref="A54" location="Index!A1" display="Index!A1" xr:uid="{00000000-0004-0000-1700-000000000000}"/>
  </hyperlinks>
  <pageMargins left="0.74803149606299213" right="0.74803149606299213" top="0.98425196850393704" bottom="0.98425196850393704" header="0.51181102362204722" footer="0.51181102362204722"/>
  <pageSetup paperSize="9" scale="74" orientation="landscape" r:id="rId2"/>
  <headerFooter differentOddEven="1" alignWithMargins="0">
    <oddFooter>&amp;LName&amp;CSignature&amp;RDate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CZ55"/>
  <sheetViews>
    <sheetView showGridLines="0" workbookViewId="0">
      <selection activeCell="F12" sqref="F12"/>
    </sheetView>
  </sheetViews>
  <sheetFormatPr defaultColWidth="0" defaultRowHeight="12.75" zeroHeight="1" x14ac:dyDescent="0.2"/>
  <cols>
    <col min="1" max="1" width="12.7109375" style="28" customWidth="1"/>
    <col min="2" max="2" width="12.5703125" style="28" customWidth="1"/>
    <col min="3" max="3" width="13.5703125" style="28" customWidth="1"/>
    <col min="4" max="4" width="13.42578125" style="28" customWidth="1"/>
    <col min="5" max="5" width="12" style="28" bestFit="1" customWidth="1"/>
    <col min="6" max="6" width="12.7109375" style="28" customWidth="1"/>
    <col min="7" max="7" width="11" style="28" customWidth="1"/>
    <col min="8" max="8" width="8.7109375" style="28" customWidth="1"/>
    <col min="9" max="9" width="9.28515625" style="28" customWidth="1"/>
    <col min="10" max="10" width="9.28515625" style="28" hidden="1" customWidth="1"/>
    <col min="11" max="11" width="3.28515625" style="28" hidden="1" customWidth="1"/>
    <col min="12" max="12" width="4.42578125" style="28" hidden="1" customWidth="1"/>
    <col min="13" max="13" width="3.28515625" style="28" hidden="1" customWidth="1"/>
    <col min="14" max="15" width="9.28515625" style="28" hidden="1" customWidth="1"/>
    <col min="16" max="16" width="10.7109375" style="28" hidden="1" customWidth="1"/>
    <col min="17" max="104" width="9.28515625" style="28" hidden="1" customWidth="1"/>
    <col min="105" max="16384" width="9.28515625" style="142" hidden="1"/>
  </cols>
  <sheetData>
    <row r="1" spans="1:31" x14ac:dyDescent="0.2">
      <c r="A1" s="4425" t="str">
        <f>_ref1</f>
      </c>
      <c r="B1" s="4425"/>
      <c r="C1" s="4425"/>
      <c r="D1" s="4425"/>
      <c r="E1" s="4425"/>
      <c r="F1" s="4425"/>
      <c r="G1" s="4425"/>
      <c r="H1" s="64" t="str">
        <f>_YA1</f>
      </c>
      <c r="I1" s="3"/>
      <c r="J1" s="142"/>
      <c r="K1" s="142"/>
    </row>
    <row r="2" spans="1:31" ht="15" x14ac:dyDescent="0.2">
      <c r="A2" s="252" t="str">
        <f>IF(E4="",O10,O9)</f>
      </c>
      <c r="B2" s="253"/>
      <c r="C2" s="253"/>
      <c r="D2" s="253"/>
      <c r="E2" s="253"/>
      <c r="F2" s="253"/>
      <c r="G2" s="253"/>
      <c r="H2" s="254"/>
      <c r="I2" s="3"/>
      <c r="J2" s="142"/>
      <c r="K2" s="142"/>
      <c r="N2" s="28">
        <v>6</v>
      </c>
      <c r="O2" s="28">
        <f>E4</f>
      </c>
      <c r="P2" s="28" t="s">
        <v>363</v>
      </c>
      <c r="Q2" s="28">
        <f>COUNTA(B10:G15)</f>
      </c>
      <c r="AA2" s="28" t="s">
        <v>4457</v>
      </c>
      <c r="AB2" s="28" t="s">
        <v>3243</v>
      </c>
    </row>
    <row r="3" spans="1:31" ht="5.25" customHeight="1" x14ac:dyDescent="0.2">
      <c r="A3" s="3"/>
      <c r="B3" s="3"/>
      <c r="C3" s="3"/>
      <c r="D3" s="3"/>
      <c r="E3" s="3"/>
      <c r="F3" s="3"/>
      <c r="G3" s="3"/>
      <c r="H3" s="3"/>
      <c r="I3" s="3"/>
      <c r="J3" s="142"/>
      <c r="K3" s="142"/>
      <c r="N3" s="139" t="s">
        <v>4480</v>
      </c>
      <c r="P3" s="28" t="s">
        <v>2372</v>
      </c>
      <c r="AA3" s="28" t="s">
        <v>1736</v>
      </c>
      <c r="AB3" s="28" t="s">
        <v>363</v>
      </c>
    </row>
    <row r="4" spans="1:31" ht="14.25" customHeight="1" x14ac:dyDescent="0.2">
      <c r="A4" s="4694" t="s">
        <v>4225</v>
      </c>
      <c r="B4" s="4694"/>
      <c r="C4" s="4694"/>
      <c r="D4" s="4695"/>
      <c r="E4" s="275"/>
      <c r="F4" s="65" t="s">
        <v>6942</v>
      </c>
      <c r="G4" s="3"/>
      <c r="H4" s="3"/>
      <c r="I4" s="624" t="str">
        <f>IF(AND(Q2&gt;0,E4=""),re,"")</f>
        <v/>
      </c>
      <c r="J4" s="142"/>
      <c r="K4" s="142"/>
      <c r="L4" s="28">
        <f>IF(I4="",0,1)</f>
      </c>
      <c r="N4" s="28">
        <f>IF(E4="",0,IF(E4=6,1,IF(E4=N3,2)))</f>
      </c>
      <c r="AB4" s="28" t="s">
        <v>2372</v>
      </c>
    </row>
    <row r="5" spans="1:31" ht="3" customHeight="1" x14ac:dyDescent="0.2">
      <c r="A5" s="539"/>
      <c r="B5" s="539"/>
      <c r="C5" s="539"/>
      <c r="D5" s="539"/>
      <c r="E5" s="539"/>
      <c r="F5" s="65"/>
      <c r="G5" s="3"/>
      <c r="H5" s="3"/>
      <c r="I5" s="2"/>
      <c r="J5" s="142"/>
      <c r="K5" s="142"/>
      <c r="AC5" s="28">
        <v>6</v>
      </c>
      <c r="AD5" s="28" t="s">
        <v>4480</v>
      </c>
      <c r="AE5" s="28" t="s">
        <v>363</v>
      </c>
    </row>
    <row r="6" spans="1:31" ht="14.25" customHeight="1" x14ac:dyDescent="0.2">
      <c r="A6" s="4408" t="s">
        <v>4677</v>
      </c>
      <c r="B6" s="4408"/>
      <c r="C6" s="4408"/>
      <c r="D6" s="4408"/>
      <c r="E6" s="4408"/>
      <c r="F6" s="4408"/>
      <c r="G6" s="4408"/>
      <c r="H6" s="331"/>
      <c r="I6" s="624" t="str">
        <f>IF(AND(Q2&gt;0,H6=""),re,"")</f>
        <v/>
      </c>
      <c r="J6" s="142"/>
      <c r="K6" s="142"/>
      <c r="L6" s="28">
        <f>IF(I6="",0,1)</f>
      </c>
    </row>
    <row r="7" spans="1:31" ht="3.75" customHeight="1" x14ac:dyDescent="0.2">
      <c r="A7" s="3"/>
      <c r="B7" s="3"/>
      <c r="C7" s="3"/>
      <c r="D7" s="3"/>
      <c r="E7" s="3"/>
      <c r="F7" s="3"/>
      <c r="G7" s="3"/>
      <c r="H7" s="3"/>
      <c r="I7" s="3"/>
      <c r="J7" s="142"/>
      <c r="K7" s="142"/>
    </row>
    <row r="8" spans="1:31" x14ac:dyDescent="0.2">
      <c r="A8" s="3"/>
      <c r="B8" s="4698" t="s">
        <v>3577</v>
      </c>
      <c r="C8" s="4699"/>
      <c r="D8" s="4700"/>
      <c r="E8" s="4701" t="s">
        <v>3578</v>
      </c>
      <c r="F8" s="4701"/>
      <c r="G8" s="4701"/>
      <c r="H8" s="3"/>
      <c r="I8" s="3"/>
      <c r="J8" s="142"/>
      <c r="K8" s="142"/>
      <c r="O8" s="67" t="s">
        <v>3579</v>
      </c>
      <c r="P8" s="68" t="s">
        <v>2332</v>
      </c>
      <c r="Q8" s="67" t="s">
        <v>2333</v>
      </c>
    </row>
    <row r="9" spans="1:31" ht="22.5" x14ac:dyDescent="0.2">
      <c r="A9" s="78"/>
      <c r="B9" s="269" t="s">
        <v>2334</v>
      </c>
      <c r="C9" s="269" t="s">
        <v>2335</v>
      </c>
      <c r="D9" s="269" t="s">
        <v>3425</v>
      </c>
      <c r="E9" s="269" t="s">
        <v>3426</v>
      </c>
      <c r="F9" s="269" t="s">
        <v>5583</v>
      </c>
      <c r="G9" s="269" t="s">
        <v>5584</v>
      </c>
      <c r="H9" s="3"/>
      <c r="I9" s="3"/>
      <c r="J9" s="142"/>
      <c r="K9" s="142"/>
      <c r="O9" s="28" t="str">
        <f>O8&amp;P8&amp;E4&amp;Q8</f>
      </c>
    </row>
    <row r="10" spans="1:31" x14ac:dyDescent="0.2">
      <c r="A10" s="3"/>
      <c r="B10" s="632"/>
      <c r="C10" s="364"/>
      <c r="D10" s="364"/>
      <c r="E10" s="632"/>
      <c r="F10" s="364"/>
      <c r="G10" s="223"/>
      <c r="H10" s="222" t="str">
        <f t="shared" ref="H10:H15" si="0">IF($Q$2=0,"",IF(M10=0,"",IF(M10&lt;&gt;6,"All details required!","")))</f>
        <v/>
      </c>
      <c r="I10" s="3"/>
      <c r="J10" s="142"/>
      <c r="K10" s="142"/>
      <c r="L10" s="28">
        <f t="shared" ref="L10:L15" si="1">IF(H10="",0,1)</f>
      </c>
      <c r="M10" s="28">
        <f t="shared" ref="M10:M15" si="2">COUNTA(B10:G10)</f>
      </c>
      <c r="O10" s="28" t="str">
        <f>O8&amp;Q8</f>
      </c>
    </row>
    <row r="11" spans="1:31" x14ac:dyDescent="0.2">
      <c r="A11" s="3"/>
      <c r="B11" s="632"/>
      <c r="C11" s="364"/>
      <c r="D11" s="364"/>
      <c r="E11" s="632"/>
      <c r="F11" s="364"/>
      <c r="G11" s="223"/>
      <c r="H11" s="222" t="str">
        <f t="shared" si="0"/>
        <v/>
      </c>
      <c r="I11" s="3"/>
      <c r="J11" s="142"/>
      <c r="K11" s="142"/>
      <c r="L11" s="28">
        <f t="shared" si="1"/>
        <v>0</v>
      </c>
      <c r="M11" s="28">
        <f t="shared" si="2"/>
        <v>0</v>
      </c>
    </row>
    <row r="12" spans="1:31" x14ac:dyDescent="0.2">
      <c r="A12" s="3"/>
      <c r="B12" s="632"/>
      <c r="C12" s="364"/>
      <c r="D12" s="364"/>
      <c r="E12" s="632"/>
      <c r="F12" s="364"/>
      <c r="G12" s="223"/>
      <c r="H12" s="222" t="str">
        <f t="shared" si="0"/>
        <v/>
      </c>
      <c r="I12" s="3"/>
      <c r="J12" s="142"/>
      <c r="K12" s="142"/>
      <c r="L12" s="28">
        <f t="shared" si="1"/>
        <v>0</v>
      </c>
      <c r="M12" s="28">
        <f t="shared" si="2"/>
        <v>0</v>
      </c>
    </row>
    <row r="13" spans="1:31" x14ac:dyDescent="0.2">
      <c r="A13" s="3"/>
      <c r="B13" s="632"/>
      <c r="C13" s="364"/>
      <c r="D13" s="364"/>
      <c r="E13" s="632"/>
      <c r="F13" s="364"/>
      <c r="G13" s="223"/>
      <c r="H13" s="222" t="str">
        <f t="shared" si="0"/>
        <v/>
      </c>
      <c r="I13" s="3"/>
      <c r="J13" s="142"/>
      <c r="K13" s="142"/>
      <c r="L13" s="28">
        <f t="shared" si="1"/>
        <v>0</v>
      </c>
      <c r="M13" s="28">
        <f t="shared" si="2"/>
        <v>0</v>
      </c>
    </row>
    <row r="14" spans="1:31" x14ac:dyDescent="0.2">
      <c r="A14" s="3"/>
      <c r="B14" s="632"/>
      <c r="C14" s="364"/>
      <c r="D14" s="364"/>
      <c r="E14" s="632"/>
      <c r="F14" s="364"/>
      <c r="G14" s="223"/>
      <c r="H14" s="222" t="str">
        <f t="shared" si="0"/>
        <v/>
      </c>
      <c r="I14" s="3"/>
      <c r="J14" s="142"/>
      <c r="K14" s="142"/>
      <c r="L14" s="28">
        <f t="shared" si="1"/>
        <v>0</v>
      </c>
      <c r="M14" s="28">
        <f t="shared" si="2"/>
        <v>0</v>
      </c>
    </row>
    <row r="15" spans="1:31" x14ac:dyDescent="0.2">
      <c r="A15" s="3"/>
      <c r="B15" s="632"/>
      <c r="C15" s="364"/>
      <c r="D15" s="364"/>
      <c r="E15" s="632"/>
      <c r="F15" s="364"/>
      <c r="G15" s="223"/>
      <c r="H15" s="222" t="str">
        <f t="shared" si="0"/>
        <v/>
      </c>
      <c r="I15" s="3"/>
      <c r="J15" s="142"/>
      <c r="K15" s="142"/>
      <c r="L15" s="28">
        <f t="shared" si="1"/>
        <v>0</v>
      </c>
      <c r="M15" s="28">
        <f t="shared" si="2"/>
        <v>0</v>
      </c>
    </row>
    <row r="16" spans="1:31" ht="3.75" customHeight="1" x14ac:dyDescent="0.2">
      <c r="A16" s="3"/>
      <c r="B16" s="3"/>
      <c r="C16" s="3"/>
      <c r="D16" s="3"/>
      <c r="E16" s="3"/>
      <c r="F16" s="3"/>
      <c r="G16" s="3"/>
      <c r="H16" s="61"/>
      <c r="I16" s="3"/>
      <c r="J16" s="142"/>
      <c r="K16" s="142"/>
    </row>
    <row r="17" spans="1:93" x14ac:dyDescent="0.2">
      <c r="A17" s="3"/>
      <c r="B17" s="4702" t="s">
        <v>5585</v>
      </c>
      <c r="C17" s="4703"/>
      <c r="D17" s="4703"/>
      <c r="E17" s="4703"/>
      <c r="F17" s="4704"/>
      <c r="G17" s="405">
        <f>SUM(G10:G15)</f>
      </c>
      <c r="H17" s="3"/>
      <c r="I17" s="3"/>
      <c r="J17" s="142"/>
      <c r="K17" s="142"/>
      <c r="O17" s="32">
        <f>I17+J17</f>
      </c>
    </row>
    <row r="18" spans="1:93" ht="5.25" customHeight="1" x14ac:dyDescent="0.2">
      <c r="A18" s="3"/>
      <c r="B18" s="3"/>
      <c r="C18" s="3"/>
      <c r="D18" s="3"/>
      <c r="E18" s="3"/>
      <c r="F18" s="3"/>
      <c r="G18" s="3"/>
      <c r="H18" s="3"/>
      <c r="I18" s="3"/>
      <c r="J18" s="142"/>
      <c r="K18" s="142"/>
      <c r="O18" s="32"/>
    </row>
    <row r="19" spans="1:93" x14ac:dyDescent="0.2">
      <c r="A19" s="327" t="s">
        <v>1740</v>
      </c>
      <c r="B19" s="327"/>
      <c r="C19" s="327"/>
      <c r="D19" s="327"/>
      <c r="E19" s="367">
        <v>0.35</v>
      </c>
      <c r="F19" s="633" t="s">
        <v>4358</v>
      </c>
      <c r="G19" s="634">
        <f>IF(H6="Yes","",IF(E21="",0,E19-E21))</f>
      </c>
      <c r="H19" s="3"/>
      <c r="I19" s="3"/>
      <c r="J19" s="142"/>
      <c r="K19" s="142"/>
    </row>
    <row r="20" spans="1:93" ht="3" customHeight="1" x14ac:dyDescent="0.2">
      <c r="A20" s="3"/>
      <c r="B20" s="3"/>
      <c r="C20" s="3"/>
      <c r="D20" s="3"/>
      <c r="E20" s="3"/>
      <c r="F20" s="3"/>
      <c r="G20" s="3"/>
      <c r="H20" s="3"/>
      <c r="I20" s="3"/>
      <c r="J20" s="142"/>
      <c r="K20" s="142"/>
      <c r="AD20" s="28">
        <v>0</v>
      </c>
    </row>
    <row r="21" spans="1:93" x14ac:dyDescent="0.2">
      <c r="A21" s="327" t="s">
        <v>4359</v>
      </c>
      <c r="B21" s="327"/>
      <c r="C21" s="327"/>
      <c r="D21" s="185" t="str">
        <f>"Article "&amp;E4</f>
        <v xml:space="preserve">Article </v>
      </c>
      <c r="E21" s="635"/>
      <c r="F21" s="17" t="s">
        <v>4360</v>
      </c>
      <c r="G21" s="405">
        <f>IF($G$19="","",ROUND(G17*$G$19,0))</f>
      </c>
      <c r="H21" s="3"/>
      <c r="I21" s="3"/>
      <c r="J21" s="142"/>
      <c r="K21" s="142"/>
      <c r="O21" s="28">
        <v>0.1925</v>
      </c>
    </row>
    <row r="22" spans="1:93" x14ac:dyDescent="0.2">
      <c r="A22" s="3"/>
      <c r="B22" s="3"/>
      <c r="C22" s="3"/>
      <c r="D22" s="3"/>
      <c r="E22" s="3"/>
      <c r="F22" s="3"/>
      <c r="G22" s="3"/>
      <c r="H22" s="3"/>
      <c r="I22" s="3"/>
      <c r="J22" s="142"/>
      <c r="K22" s="142"/>
      <c r="O22" s="28">
        <v>0.17499999999999999</v>
      </c>
    </row>
    <row r="23" spans="1:93" x14ac:dyDescent="0.2">
      <c r="A23" s="631"/>
      <c r="B23" s="631"/>
      <c r="C23" s="229"/>
      <c r="D23" s="120" t="s">
        <v>144</v>
      </c>
      <c r="E23" s="623"/>
      <c r="F23" s="636">
        <f>P23</f>
      </c>
      <c r="G23" s="534" t="str">
        <f>IF(AND(H$6=AA$3,E23=""),re,IF(AND(H$6=AA$2,E23&lt;&gt;""),"Delete!",IF(E23&gt;P23," Excessive!","")))</f>
        <v/>
      </c>
      <c r="H23" s="3"/>
      <c r="I23" s="3"/>
      <c r="J23" s="142"/>
      <c r="K23" s="142"/>
      <c r="L23" s="30">
        <f>IF(G23="",0,1)</f>
      </c>
      <c r="P23" s="44">
        <f>IF(H6=AA2,0,G17-G21)</f>
      </c>
    </row>
    <row r="24" spans="1:93" x14ac:dyDescent="0.2">
      <c r="A24" s="3"/>
      <c r="B24" s="237"/>
      <c r="C24" s="237"/>
      <c r="D24" s="539" t="s">
        <v>2033</v>
      </c>
      <c r="E24" s="1125"/>
      <c r="F24" s="17"/>
      <c r="G24" s="534" t="str">
        <f>IF(AND(H$6=AA$3,E24=""),re,IF(AND(H$6=AA$2,E24&lt;&gt;""),"Delete!",""))</f>
        <v/>
      </c>
      <c r="H24" s="3"/>
      <c r="I24" s="3"/>
      <c r="J24" s="142"/>
      <c r="K24" s="142"/>
      <c r="L24" s="30">
        <f>IF(G24="",0,1)</f>
      </c>
      <c r="R24" s="28" t="s">
        <v>2034</v>
      </c>
    </row>
    <row r="25" spans="1:93" ht="23.25" customHeight="1" x14ac:dyDescent="0.2">
      <c r="A25" s="17" t="str">
        <f>_xlfn.SINGLE(MTCA)</f>
      </c>
      <c r="B25" s="17"/>
      <c r="C25" s="17"/>
      <c r="D25" s="17" t="str">
        <f>ver</f>
        <v>TA2_e-CO_2025_Ver 1.1</v>
      </c>
      <c r="E25" s="17"/>
      <c r="F25" s="17"/>
      <c r="G25" s="17"/>
      <c r="H25" s="536" t="str">
        <f>IF($E$4=$N$3,"TRA 24","TRA 23")</f>
      </c>
      <c r="I25" s="3"/>
      <c r="J25" s="142"/>
      <c r="K25" s="142"/>
      <c r="CL25" s="28">
        <f>IF(ISBLANK(E30),0,1)</f>
      </c>
      <c r="CN25" s="28">
        <v>0.35</v>
      </c>
    </row>
    <row r="26" spans="1:93" ht="12.75" customHeight="1" x14ac:dyDescent="0.2">
      <c r="A26" s="327"/>
      <c r="B26" s="327"/>
      <c r="C26" s="327"/>
      <c r="D26" s="327"/>
      <c r="E26" s="327"/>
      <c r="F26" s="3"/>
      <c r="G26" s="3"/>
      <c r="H26" s="3"/>
      <c r="I26" s="3"/>
      <c r="J26" s="142"/>
      <c r="K26" s="142"/>
      <c r="R26" s="28" t="s">
        <v>5806</v>
      </c>
    </row>
    <row r="27" spans="1:93" x14ac:dyDescent="0.2">
      <c r="A27" s="4688" t="s">
        <v>3483</v>
      </c>
      <c r="B27" s="4689"/>
      <c r="C27" s="4689"/>
      <c r="D27" s="4689"/>
      <c r="E27" s="4689"/>
      <c r="F27" s="4689"/>
      <c r="G27" s="4689"/>
      <c r="H27" s="4690"/>
      <c r="I27" s="3"/>
      <c r="J27" s="142"/>
      <c r="K27" s="142"/>
      <c r="R27" s="28" t="s">
        <v>363</v>
      </c>
      <c r="CN27" s="28">
        <v>0.1925</v>
      </c>
    </row>
    <row r="28" spans="1:93" ht="5.25" customHeight="1" x14ac:dyDescent="0.2">
      <c r="A28" s="327"/>
      <c r="B28" s="327"/>
      <c r="C28" s="327"/>
      <c r="D28" s="327"/>
      <c r="E28" s="327"/>
      <c r="F28" s="3"/>
      <c r="G28" s="3"/>
      <c r="H28" s="3"/>
      <c r="I28" s="3"/>
      <c r="J28" s="142"/>
      <c r="K28" s="142"/>
    </row>
    <row r="29" spans="1:93" ht="36" x14ac:dyDescent="0.2">
      <c r="A29" s="4693" t="s">
        <v>107</v>
      </c>
      <c r="B29" s="4693"/>
      <c r="C29" s="4693"/>
      <c r="D29" s="362" t="s">
        <v>108</v>
      </c>
      <c r="E29" s="362" t="s">
        <v>6943</v>
      </c>
      <c r="F29" s="362" t="s">
        <v>109</v>
      </c>
      <c r="G29" s="362" t="s">
        <v>110</v>
      </c>
      <c r="H29" s="362" t="s">
        <v>111</v>
      </c>
      <c r="I29" s="3"/>
      <c r="J29" s="142"/>
      <c r="K29" s="142"/>
    </row>
    <row r="30" spans="1:93" x14ac:dyDescent="0.2">
      <c r="A30" s="4527"/>
      <c r="B30" s="4527"/>
      <c r="C30" s="4527"/>
      <c r="D30" s="223"/>
      <c r="E30" s="637"/>
      <c r="F30" s="638">
        <f>ROUND($E$21*E30/$E$19,4)</f>
      </c>
      <c r="G30" s="478">
        <f>E30-F30</f>
      </c>
      <c r="H30" s="405">
        <f>ROUND(D30*G30,0)</f>
      </c>
      <c r="I30" s="639" t="str">
        <f>IF(M30=0,"",IF(M30&lt;&gt;3,"Details!",""))</f>
        <v/>
      </c>
      <c r="J30" s="142"/>
      <c r="K30" s="142"/>
      <c r="L30" s="28">
        <f>IF(I30="",0,1)</f>
      </c>
      <c r="M30" s="28">
        <f>COUNTA(A30:E30)</f>
      </c>
      <c r="N30" s="142"/>
      <c r="O30" s="142"/>
      <c r="P30" s="142"/>
      <c r="Q30" s="142"/>
      <c r="R30" s="142"/>
      <c r="S30" s="142"/>
      <c r="T30" s="142"/>
      <c r="U30" s="142"/>
      <c r="V30" s="142"/>
      <c r="W30" s="142"/>
      <c r="X30" s="142"/>
      <c r="CO30" s="28">
        <f>IF(ISBLANK(H25),0,1)</f>
      </c>
    </row>
    <row r="31" spans="1:93" x14ac:dyDescent="0.2">
      <c r="A31" s="4527"/>
      <c r="B31" s="4527"/>
      <c r="C31" s="4527"/>
      <c r="D31" s="223"/>
      <c r="E31" s="637"/>
      <c r="F31" s="638">
        <f>ROUND($E$21*E31/$E$19,4)</f>
      </c>
      <c r="G31" s="478">
        <f>E31-F31</f>
      </c>
      <c r="H31" s="405">
        <f>ROUND(D31*G31,0)</f>
      </c>
      <c r="I31" s="639" t="str">
        <f>IF(M31=0,"",IF(M31&lt;&gt;3,"Details!",""))</f>
        <v/>
      </c>
      <c r="J31" s="142"/>
      <c r="K31" s="142"/>
      <c r="L31" s="28">
        <f>IF(I31="",0,1)</f>
      </c>
      <c r="M31" s="28">
        <f>COUNTA(A31:E31)</f>
      </c>
      <c r="N31" s="142"/>
      <c r="O31" s="142"/>
      <c r="P31" s="142"/>
      <c r="Q31" s="142"/>
      <c r="R31" s="142"/>
      <c r="S31" s="142"/>
      <c r="T31" s="142"/>
      <c r="U31" s="142"/>
      <c r="V31" s="142"/>
      <c r="W31" s="142"/>
      <c r="X31" s="142"/>
    </row>
    <row r="32" spans="1:93" x14ac:dyDescent="0.2">
      <c r="A32" s="4527"/>
      <c r="B32" s="4527"/>
      <c r="C32" s="4527"/>
      <c r="D32" s="223"/>
      <c r="E32" s="637"/>
      <c r="F32" s="638">
        <f>ROUND($E$21*E32/$E$19,4)</f>
      </c>
      <c r="G32" s="478">
        <f>E32-F32</f>
      </c>
      <c r="H32" s="405">
        <f>ROUND(D32*G32,0)</f>
      </c>
      <c r="I32" s="639" t="str">
        <f>IF(M32=0,"",IF(M32&lt;&gt;3,"Details!",""))</f>
        <v/>
      </c>
      <c r="J32" s="142"/>
      <c r="K32" s="142"/>
      <c r="L32" s="28">
        <f>IF(I32="",0,1)</f>
      </c>
      <c r="M32" s="28">
        <f>COUNTA(A32:E32)</f>
      </c>
      <c r="N32" s="142"/>
      <c r="O32" s="142"/>
      <c r="P32" s="142"/>
      <c r="Q32" s="142"/>
      <c r="R32" s="142"/>
      <c r="S32" s="142"/>
      <c r="T32" s="142"/>
      <c r="U32" s="142"/>
      <c r="V32" s="142"/>
      <c r="W32" s="142"/>
      <c r="X32" s="142"/>
    </row>
    <row r="33" spans="1:93" ht="12" customHeight="1" x14ac:dyDescent="0.2">
      <c r="A33" s="4527"/>
      <c r="B33" s="4527"/>
      <c r="C33" s="4527"/>
      <c r="D33" s="223"/>
      <c r="E33" s="637"/>
      <c r="F33" s="638">
        <f>ROUND($E$21*E33/$E$19,4)</f>
      </c>
      <c r="G33" s="478">
        <f>E33-F33</f>
      </c>
      <c r="H33" s="405">
        <f>ROUND(D33*G33,0)</f>
      </c>
      <c r="I33" s="639" t="str">
        <f>IF(M33=0,"",IF(M33&lt;&gt;3,"Details!",""))</f>
        <v/>
      </c>
      <c r="J33" s="142"/>
      <c r="K33" s="142"/>
      <c r="L33" s="28">
        <f>IF(I33="",0,1)</f>
      </c>
      <c r="M33" s="28">
        <f>COUNTA(A33:E33)</f>
      </c>
      <c r="N33" s="142"/>
      <c r="O33" s="142"/>
      <c r="P33" s="142"/>
      <c r="Q33" s="142"/>
      <c r="R33" s="142"/>
      <c r="S33" s="142"/>
      <c r="T33" s="142"/>
      <c r="U33" s="142"/>
      <c r="V33" s="142"/>
      <c r="W33" s="142"/>
      <c r="X33" s="142"/>
    </row>
    <row r="34" spans="1:93" x14ac:dyDescent="0.2">
      <c r="A34" s="4527"/>
      <c r="B34" s="4527"/>
      <c r="C34" s="4527"/>
      <c r="D34" s="223"/>
      <c r="E34" s="637"/>
      <c r="F34" s="638">
        <f>ROUND($E$21*E34/$E$19,4)</f>
      </c>
      <c r="G34" s="478">
        <f>E34-F34</f>
      </c>
      <c r="H34" s="405">
        <f>ROUND(D34*G34,0)</f>
      </c>
      <c r="I34" s="639" t="str">
        <f>IF(M34=0,"",IF(M34&lt;&gt;3,"Details!",""))</f>
        <v/>
      </c>
      <c r="J34" s="142"/>
      <c r="K34" s="142"/>
      <c r="L34" s="28">
        <f>IF(I34="",0,1)</f>
      </c>
      <c r="M34" s="28">
        <f>COUNTA(A34:E34)</f>
      </c>
      <c r="N34" s="142"/>
      <c r="O34" s="142"/>
      <c r="P34" s="142"/>
      <c r="Q34" s="142"/>
      <c r="R34" s="142"/>
      <c r="S34" s="142"/>
      <c r="T34" s="142"/>
      <c r="U34" s="142"/>
      <c r="V34" s="142"/>
      <c r="W34" s="142"/>
      <c r="X34" s="142"/>
      <c r="CO34" s="28">
        <f>CL25+CO30</f>
      </c>
    </row>
    <row r="35" spans="1:93" ht="3.75" customHeight="1" x14ac:dyDescent="0.2">
      <c r="A35" s="3"/>
      <c r="B35" s="3"/>
      <c r="C35" s="3"/>
      <c r="D35" s="3"/>
      <c r="E35" s="3"/>
      <c r="F35" s="3"/>
      <c r="G35" s="3"/>
      <c r="H35" s="3"/>
      <c r="I35" s="3"/>
      <c r="J35" s="142"/>
      <c r="K35" s="142"/>
      <c r="N35" s="142"/>
      <c r="O35" s="142"/>
      <c r="P35" s="142"/>
      <c r="Q35" s="142"/>
      <c r="R35" s="142"/>
      <c r="S35" s="142"/>
      <c r="T35" s="142"/>
      <c r="U35" s="142"/>
      <c r="V35" s="142"/>
      <c r="W35" s="142"/>
      <c r="X35" s="142"/>
    </row>
    <row r="36" spans="1:93" x14ac:dyDescent="0.2">
      <c r="A36" s="4696" t="str">
        <f>IF(H6&lt;&gt;"yes","",IF(D36&lt;&gt;G17,"Not equal to "&amp;G9,""))</f>
        <v/>
      </c>
      <c r="B36" s="4696"/>
      <c r="C36" s="4697"/>
      <c r="D36" s="405">
        <f>SUM(D30:D34)</f>
      </c>
      <c r="E36" s="4691" t="s">
        <v>112</v>
      </c>
      <c r="F36" s="4692"/>
      <c r="G36" s="478">
        <f>IF(D36=0,0,ROUND(H36/D36,6))</f>
      </c>
      <c r="H36" s="405">
        <f>SUM(H30:H34)</f>
      </c>
      <c r="I36" s="3"/>
      <c r="J36" s="142"/>
      <c r="K36" s="142"/>
      <c r="L36" s="28">
        <f>IF(A36="",0,1)</f>
      </c>
      <c r="N36" s="142"/>
      <c r="O36" s="142"/>
      <c r="P36" s="142"/>
      <c r="Q36" s="142"/>
      <c r="R36" s="142"/>
      <c r="S36" s="142"/>
      <c r="T36" s="142"/>
      <c r="U36" s="142"/>
      <c r="V36" s="142"/>
      <c r="W36" s="142"/>
      <c r="X36" s="142"/>
    </row>
    <row r="37" spans="1:93" ht="3" customHeight="1" x14ac:dyDescent="0.2">
      <c r="A37" s="3"/>
      <c r="B37" s="3"/>
      <c r="C37" s="3"/>
      <c r="D37" s="3"/>
      <c r="E37" s="3"/>
      <c r="F37" s="3"/>
      <c r="G37" s="3"/>
      <c r="H37" s="3"/>
      <c r="I37" s="3"/>
      <c r="J37" s="142"/>
      <c r="K37" s="142"/>
      <c r="N37" s="142"/>
      <c r="O37" s="142"/>
      <c r="P37" s="142"/>
      <c r="Q37" s="142"/>
      <c r="R37" s="142"/>
      <c r="S37" s="142"/>
      <c r="T37" s="142"/>
      <c r="U37" s="142"/>
      <c r="V37" s="142"/>
      <c r="W37" s="142"/>
      <c r="X37" s="142"/>
      <c r="CN37" s="28">
        <f>15.75+4.5</f>
      </c>
    </row>
    <row r="38" spans="1:93" x14ac:dyDescent="0.2">
      <c r="A38" s="3"/>
      <c r="B38" s="3"/>
      <c r="C38" s="211"/>
      <c r="D38" s="211"/>
      <c r="E38" s="539" t="s">
        <v>4361</v>
      </c>
      <c r="F38" s="223"/>
      <c r="G38" s="641">
        <f>P38</f>
      </c>
      <c r="H38" s="534" t="str">
        <f>IF(AND(H$6=AA$2,F38=""),re,IF(AND(H$6=AA$3,F38&lt;&gt;""),"Delete!",IF(F38&gt;P38," Excessive!","")))</f>
        <v/>
      </c>
      <c r="I38" s="3"/>
      <c r="J38" s="142"/>
      <c r="K38" s="142"/>
      <c r="L38" s="30">
        <f>IF(H38="",0,1)</f>
      </c>
      <c r="N38" s="142"/>
      <c r="O38" s="142"/>
      <c r="P38" s="142">
        <f>IF(H6=AA3,0,D36-H36)</f>
      </c>
      <c r="Q38" s="142"/>
      <c r="R38" s="142"/>
      <c r="S38" s="142"/>
      <c r="T38" s="142"/>
      <c r="U38" s="142"/>
      <c r="V38" s="142"/>
      <c r="W38" s="142"/>
      <c r="X38" s="142"/>
      <c r="Z38" s="192">
        <f>IF(H6="",0,IF(H6=AA2,F38,E23))</f>
      </c>
    </row>
    <row r="39" spans="1:93" x14ac:dyDescent="0.2">
      <c r="A39" s="3"/>
      <c r="B39" s="3"/>
      <c r="C39" s="237"/>
      <c r="D39" s="237"/>
      <c r="E39" s="72" t="str">
        <f>IF($H$6&lt;&gt;$AA$2,"",$R$24)</f>
        <v/>
      </c>
      <c r="F39" s="664"/>
      <c r="G39" s="631"/>
      <c r="H39" s="534" t="str">
        <f>IF(AND(H$6=AA$2,F39=""),re,IF(AND(H$6=AA$3,F39&lt;&gt;""),"Delete!",""))</f>
        <v/>
      </c>
      <c r="I39" s="3"/>
      <c r="J39" s="142"/>
      <c r="K39" s="142"/>
      <c r="L39" s="30">
        <f>IF(H39="",0,1)</f>
      </c>
      <c r="N39" s="142"/>
      <c r="O39" s="142"/>
      <c r="P39" s="142"/>
      <c r="Q39" s="142"/>
      <c r="R39" s="142"/>
      <c r="S39" s="142"/>
      <c r="T39" s="142"/>
      <c r="U39" s="142"/>
      <c r="V39" s="142"/>
      <c r="W39" s="142"/>
      <c r="X39" s="142"/>
      <c r="Z39" s="388">
        <f>IF(E4=N2,Z38,0)</f>
      </c>
      <c r="AA39" s="388">
        <f>IF(E4=N3,Z38,0)</f>
      </c>
    </row>
    <row r="40" spans="1:93" ht="20.25" customHeight="1" x14ac:dyDescent="0.2">
      <c r="A40" s="20" t="str">
        <f>_xlfn.SINGLE(MTCA)</f>
      </c>
      <c r="B40" s="631"/>
      <c r="C40" s="631"/>
      <c r="D40" s="20" t="str">
        <f>ver</f>
        <v>TA2_e-CO_2025_Ver 1.1</v>
      </c>
      <c r="E40" s="631"/>
      <c r="F40" s="631"/>
      <c r="G40" s="631"/>
      <c r="H40" s="119" t="str">
        <f>IF($E$4=$N$3,"TRA 24","TRA 23")</f>
      </c>
      <c r="I40" s="3"/>
      <c r="J40" s="142"/>
      <c r="K40" s="142"/>
      <c r="L40" s="28">
        <f>IF(E41="",0,1)</f>
      </c>
      <c r="N40" s="142"/>
      <c r="O40" s="142"/>
      <c r="P40" s="142"/>
      <c r="Q40" s="142"/>
      <c r="R40" s="142"/>
      <c r="S40" s="142"/>
      <c r="T40" s="142"/>
      <c r="U40" s="142"/>
      <c r="V40" s="142"/>
      <c r="W40" s="142"/>
      <c r="X40" s="142"/>
      <c r="Z40" s="388">
        <v>6</v>
      </c>
      <c r="AA40" s="388" t="s">
        <v>4480</v>
      </c>
    </row>
    <row r="41" spans="1:93" ht="15" x14ac:dyDescent="0.2">
      <c r="A41" s="642"/>
      <c r="B41" s="3"/>
      <c r="C41" s="563" t="str">
        <f>COM</f>
      </c>
      <c r="D41" s="331"/>
      <c r="E41" s="1506" t="str">
        <f>IF(Q2=0,"",IF(D41="",re,""))</f>
        <v/>
      </c>
      <c r="F41" s="3"/>
      <c r="G41" s="3"/>
      <c r="H41" s="3"/>
      <c r="I41" s="3"/>
      <c r="J41" s="142"/>
      <c r="K41" s="142"/>
      <c r="N41" s="142">
        <v>6</v>
      </c>
      <c r="O41" s="643" t="s">
        <v>6967</v>
      </c>
      <c r="P41" s="142"/>
      <c r="Q41" s="142"/>
      <c r="R41" s="142"/>
      <c r="S41" s="142"/>
      <c r="T41" s="142"/>
      <c r="U41" s="142"/>
      <c r="V41" s="142"/>
      <c r="W41" s="142"/>
      <c r="X41" s="142"/>
    </row>
    <row r="42" spans="1:93" x14ac:dyDescent="0.2">
      <c r="A42" s="3"/>
      <c r="B42" s="3"/>
      <c r="C42" s="3"/>
      <c r="D42" s="3"/>
      <c r="E42" s="3"/>
      <c r="F42" s="3"/>
      <c r="G42" s="3"/>
      <c r="H42" s="3"/>
      <c r="I42" s="3"/>
      <c r="J42" s="142"/>
      <c r="K42" s="142"/>
      <c r="L42" s="28">
        <f>IF(SUM(L2:L40)&gt;0,100,IF(R42+Q42=0,0,IF(D41="Yes",1,100)))</f>
      </c>
      <c r="N42" s="142">
        <f>IF(E4=N3,0,L42)</f>
      </c>
      <c r="O42" s="142">
        <f>IF(E4=N2,0,L42)</f>
      </c>
      <c r="P42" s="142"/>
      <c r="Q42" s="28">
        <f>IF($H$6="",0,IF($H$6="yes",D36,G17))</f>
      </c>
      <c r="R42" s="28">
        <f>IF($H$6="",0,IF($H$6="yes",G36,G19))</f>
      </c>
      <c r="S42" s="28">
        <f>IF($H$6="",0,IF($H$6="yes",F39,E24))</f>
      </c>
      <c r="T42" s="142"/>
      <c r="U42" s="142"/>
      <c r="V42" s="142"/>
      <c r="W42" s="142"/>
      <c r="X42" s="142"/>
    </row>
    <row r="43" spans="1:93" x14ac:dyDescent="0.2">
      <c r="A43" s="4636" t="s">
        <v>6290</v>
      </c>
      <c r="B43" s="4636"/>
      <c r="C43" s="4636"/>
      <c r="D43" s="3"/>
      <c r="E43" s="3"/>
      <c r="F43" s="1"/>
      <c r="G43" s="1" t="s">
        <v>113</v>
      </c>
      <c r="H43" s="3"/>
      <c r="I43" s="3"/>
      <c r="J43" s="142"/>
      <c r="K43" s="142"/>
      <c r="N43" s="142"/>
      <c r="O43" s="142"/>
      <c r="P43" s="142"/>
      <c r="Q43" s="142"/>
      <c r="R43" s="142"/>
      <c r="S43" s="142"/>
      <c r="T43" s="142"/>
      <c r="U43" s="142"/>
      <c r="V43" s="142"/>
      <c r="W43" s="142"/>
      <c r="X43" s="142"/>
    </row>
    <row r="44" spans="1:93" x14ac:dyDescent="0.2">
      <c r="A44" s="3"/>
      <c r="B44" s="3"/>
      <c r="C44" s="3"/>
      <c r="D44" s="3"/>
      <c r="E44" s="3"/>
      <c r="F44" s="3"/>
      <c r="G44" s="3"/>
      <c r="H44" s="3"/>
      <c r="I44" s="3"/>
      <c r="J44" s="142"/>
      <c r="K44" s="142"/>
      <c r="N44" s="142"/>
      <c r="O44" s="142"/>
      <c r="P44" s="142"/>
      <c r="Q44" s="142"/>
      <c r="R44" s="142"/>
      <c r="S44" s="142"/>
      <c r="T44" s="142"/>
      <c r="U44" s="142"/>
      <c r="V44" s="142"/>
      <c r="W44" s="142"/>
      <c r="X44" s="142"/>
    </row>
    <row r="45" spans="1:93" hidden="1" x14ac:dyDescent="0.2">
      <c r="N45" s="142"/>
      <c r="O45" s="142"/>
      <c r="P45" s="142"/>
      <c r="Q45" s="142"/>
      <c r="R45" s="142"/>
      <c r="S45" s="142"/>
      <c r="T45" s="142"/>
      <c r="U45" s="142"/>
      <c r="V45" s="142"/>
      <c r="W45" s="142"/>
      <c r="X45" s="142"/>
    </row>
    <row r="46" spans="1:93" hidden="1" x14ac:dyDescent="0.2">
      <c r="N46" s="142"/>
      <c r="O46" s="142"/>
      <c r="P46" s="142"/>
      <c r="Q46" s="142"/>
      <c r="R46" s="142"/>
      <c r="S46" s="142"/>
      <c r="T46" s="142"/>
      <c r="U46" s="142"/>
      <c r="V46" s="142"/>
      <c r="W46" s="142"/>
      <c r="X46" s="142"/>
    </row>
    <row r="47" spans="1:93" hidden="1" x14ac:dyDescent="0.2">
      <c r="N47" s="142"/>
      <c r="O47" s="142"/>
      <c r="P47" s="142"/>
      <c r="Q47" s="142"/>
      <c r="R47" s="142"/>
      <c r="S47" s="142"/>
      <c r="T47" s="142"/>
      <c r="U47" s="142"/>
      <c r="V47" s="142"/>
      <c r="W47" s="142"/>
      <c r="X47" s="142"/>
    </row>
    <row r="48" spans="1:93" hidden="1" x14ac:dyDescent="0.2">
      <c r="N48" s="142"/>
      <c r="O48" s="142"/>
      <c r="P48" s="142"/>
      <c r="Q48" s="142"/>
      <c r="R48" s="142"/>
      <c r="S48" s="142"/>
      <c r="T48" s="142"/>
      <c r="U48" s="142"/>
      <c r="V48" s="142"/>
      <c r="W48" s="142"/>
      <c r="X48" s="142"/>
    </row>
    <row r="52" spans="1:13" hidden="1" x14ac:dyDescent="0.2">
      <c r="A52" s="66"/>
      <c r="C52" s="66"/>
      <c r="E52" s="66"/>
      <c r="F52" s="66"/>
      <c r="G52" s="66"/>
      <c r="H52" s="66"/>
      <c r="I52" s="66"/>
      <c r="J52" s="66"/>
      <c r="K52" s="66"/>
      <c r="L52" s="66"/>
      <c r="M52" s="66"/>
    </row>
    <row r="53" spans="1:13" hidden="1" x14ac:dyDescent="0.2">
      <c r="A53" s="69" t="s">
        <v>2559</v>
      </c>
      <c r="C53" s="69"/>
      <c r="E53" s="66"/>
      <c r="F53" s="66"/>
      <c r="G53" s="66"/>
      <c r="H53" s="66"/>
      <c r="I53" s="66"/>
      <c r="J53" s="66"/>
      <c r="K53" s="66"/>
      <c r="L53" s="66"/>
      <c r="M53" s="66"/>
    </row>
    <row r="54" spans="1:13" hidden="1" x14ac:dyDescent="0.2">
      <c r="A54" s="107" t="s">
        <v>6295</v>
      </c>
      <c r="C54" s="69"/>
      <c r="E54" s="66"/>
      <c r="F54" s="66"/>
      <c r="G54" s="66"/>
      <c r="H54" s="66"/>
      <c r="I54" s="66"/>
      <c r="J54" s="66"/>
      <c r="K54" s="66"/>
      <c r="L54" s="66"/>
      <c r="M54" s="66"/>
    </row>
    <row r="55" spans="1:13" hidden="1" x14ac:dyDescent="0.2">
      <c r="A55" s="70"/>
      <c r="C55" s="70"/>
      <c r="E55" s="70"/>
      <c r="F55" s="70"/>
      <c r="G55" s="70"/>
      <c r="H55" s="70"/>
      <c r="I55" s="70"/>
      <c r="J55" s="70"/>
      <c r="K55" s="70"/>
      <c r="L55" s="70"/>
      <c r="M55" s="70"/>
    </row>
  </sheetData>
  <sheetProtection algorithmName="SHA-512" hashValue="dG81U+LYR/Q/jC1gnwLO9cGGvF+PVv7iey/swkVD3KPcVrPgJnAFFxYt/lW54vfTzxHMmO9IhCEzC05wR2GfyA==" saltValue="aCOJHmu122TAjFRzrGzlng==" spinCount="100000" sheet="1" objects="1" scenarios="1"/>
  <customSheetViews>
    <customSheetView guid="{99B5278F-6EA9-4B1A-8623-27A4DF4AD5E4}" showGridLines="0" hiddenRows="1" hiddenColumns="1">
      <selection activeCell="E4" sqref="E4"/>
      <pageMargins left="0.74803149606299213" right="0.74803149606299213" top="0.35" bottom="0.88" header="0.2" footer="0.51181102362204722"/>
      <printOptions horizontalCentered="1"/>
      <pageSetup paperSize="9" orientation="landscape" r:id="rId1"/>
      <headerFooter alignWithMargins="0">
        <oddFooter>&amp;LName&amp;CSignature&amp;RDate</oddFooter>
      </headerFooter>
    </customSheetView>
  </customSheetViews>
  <mergeCells count="16">
    <mergeCell ref="A43:C43"/>
    <mergeCell ref="A1:G1"/>
    <mergeCell ref="A27:H27"/>
    <mergeCell ref="E36:F36"/>
    <mergeCell ref="A31:C31"/>
    <mergeCell ref="A32:C32"/>
    <mergeCell ref="A33:C33"/>
    <mergeCell ref="A34:C34"/>
    <mergeCell ref="A29:C29"/>
    <mergeCell ref="A4:D4"/>
    <mergeCell ref="A6:G6"/>
    <mergeCell ref="A36:C36"/>
    <mergeCell ref="B8:D8"/>
    <mergeCell ref="E8:G8"/>
    <mergeCell ref="B17:F17"/>
    <mergeCell ref="A30:C30"/>
  </mergeCells>
  <phoneticPr fontId="0" type="noConversion"/>
  <conditionalFormatting sqref="A25 H25">
    <cfRule type="expression" dxfId="767" priority="14" stopIfTrue="1">
      <formula>$H$6="yes"</formula>
    </cfRule>
  </conditionalFormatting>
  <conditionalFormatting sqref="A40 H40">
    <cfRule type="expression" dxfId="766" priority="11" stopIfTrue="1">
      <formula>$H$6="no"</formula>
    </cfRule>
    <cfRule type="expression" dxfId="765" priority="12" stopIfTrue="1">
      <formula>$H$6=$A$42</formula>
    </cfRule>
  </conditionalFormatting>
  <conditionalFormatting sqref="A36:C36">
    <cfRule type="expression" dxfId="764" priority="15" stopIfTrue="1">
      <formula>$H$6&lt;&gt;"YES"</formula>
    </cfRule>
    <cfRule type="cellIs" dxfId="763" priority="16" stopIfTrue="1" operator="notEqual">
      <formula>$A$42</formula>
    </cfRule>
  </conditionalFormatting>
  <conditionalFormatting sqref="A30:E34">
    <cfRule type="expression" dxfId="762" priority="4" stopIfTrue="1">
      <formula>$H$6&lt;&gt;"YES"</formula>
    </cfRule>
  </conditionalFormatting>
  <conditionalFormatting sqref="B23:D23">
    <cfRule type="expression" dxfId="761" priority="7" stopIfTrue="1">
      <formula>$H$6="yes"</formula>
    </cfRule>
  </conditionalFormatting>
  <conditionalFormatting sqref="B24:D24">
    <cfRule type="expression" dxfId="760" priority="9" stopIfTrue="1">
      <formula>$H$6="Yes"</formula>
    </cfRule>
  </conditionalFormatting>
  <conditionalFormatting sqref="D25">
    <cfRule type="expression" dxfId="759" priority="17" stopIfTrue="1">
      <formula>$H$6="yes"</formula>
    </cfRule>
  </conditionalFormatting>
  <conditionalFormatting sqref="E19">
    <cfRule type="expression" dxfId="758" priority="18" stopIfTrue="1">
      <formula>$E$4=$K$1</formula>
    </cfRule>
  </conditionalFormatting>
  <conditionalFormatting sqref="E23:E24">
    <cfRule type="expression" dxfId="757" priority="1" stopIfTrue="1">
      <formula>$H$6="yes"</formula>
    </cfRule>
  </conditionalFormatting>
  <conditionalFormatting sqref="E39">
    <cfRule type="expression" dxfId="756" priority="5" stopIfTrue="1">
      <formula>$H$6="No"</formula>
    </cfRule>
  </conditionalFormatting>
  <conditionalFormatting sqref="F23">
    <cfRule type="expression" dxfId="755" priority="21" stopIfTrue="1">
      <formula>$H$6="yes"</formula>
    </cfRule>
  </conditionalFormatting>
  <conditionalFormatting sqref="F38:F39">
    <cfRule type="expression" dxfId="754" priority="2" stopIfTrue="1">
      <formula>$H$6&lt;&gt;"YES"</formula>
    </cfRule>
  </conditionalFormatting>
  <conditionalFormatting sqref="F39">
    <cfRule type="expression" dxfId="753" priority="43" stopIfTrue="1">
      <formula>$H$6&lt;&gt;"Yes"</formula>
    </cfRule>
  </conditionalFormatting>
  <conditionalFormatting sqref="G19 G21">
    <cfRule type="expression" dxfId="752" priority="20" stopIfTrue="1">
      <formula>$E$4=$K$1</formula>
    </cfRule>
  </conditionalFormatting>
  <conditionalFormatting sqref="G38">
    <cfRule type="expression" dxfId="751" priority="22" stopIfTrue="1">
      <formula>$H$6&lt;&gt;"YES"</formula>
    </cfRule>
  </conditionalFormatting>
  <conditionalFormatting sqref="H8:H9 H16:H22 F19:G22">
    <cfRule type="expression" dxfId="750" priority="13" stopIfTrue="1">
      <formula>$H$6="Yes"</formula>
    </cfRule>
  </conditionalFormatting>
  <conditionalFormatting sqref="I26:I29 A27:E29 F27:H34 I35:I39 D36:H37 B37:C37 A37:A38 C38:E38 G39 B40:G40">
    <cfRule type="expression" dxfId="749" priority="10" stopIfTrue="1">
      <formula>$H$6&lt;&gt;"YES"</formula>
    </cfRule>
  </conditionalFormatting>
  <dataValidations count="14">
    <dataValidation type="whole" allowBlank="1" showInputMessage="1" showErrorMessage="1" errorTitle="Incentives and Benefits Reserve" error="Excessive?" sqref="E23" xr:uid="{00000000-0002-0000-1800-000000000000}">
      <formula1>0</formula1>
      <formula2>P23</formula2>
    </dataValidation>
    <dataValidation type="whole" allowBlank="1" showInputMessage="1" showErrorMessage="1" errorTitle="Incentives and Benefits Reserve" error="Excessive?" sqref="F38" xr:uid="{00000000-0002-0000-1800-000001000000}">
      <formula1>0</formula1>
      <formula2>P38</formula2>
    </dataValidation>
    <dataValidation allowBlank="1" showInputMessage="1" sqref="E19" xr:uid="{00000000-0002-0000-1800-000002000000}"/>
    <dataValidation type="list" allowBlank="1" showInputMessage="1" showErrorMessage="1" errorTitle="Choose item from Dropdown list! " sqref="E21" xr:uid="{00000000-0002-0000-1800-000003000000}">
      <formula1>$O$20:$O$22</formula1>
    </dataValidation>
    <dataValidation type="list" allowBlank="1" showInputMessage="1" showErrorMessage="1" errorTitle="Choose item from Dropdown list! " sqref="E4" xr:uid="{00000000-0002-0000-1800-000004000000}">
      <formula1>$N$1:$N$3</formula1>
    </dataValidation>
    <dataValidation type="list" allowBlank="1" showInputMessage="1" showErrorMessage="1" errorTitle="Choose item from Dropdown list! " sqref="H6 D41" xr:uid="{00000000-0002-0000-1800-000005000000}">
      <formula1>$AA$1:$AA$3</formula1>
    </dataValidation>
    <dataValidation type="decimal" errorStyle="warning" operator="lessThanOrEqual" allowBlank="1" showInputMessage="1" showErrorMessage="1" errorTitle="Check percentage rate !" error="Tax rate cannot be higher than rate prescribed by Art 56(6) of the Income Tax Act!  _x000a_" sqref="E30:E34" xr:uid="{00000000-0002-0000-1800-000006000000}">
      <formula1>$E$19</formula1>
    </dataValidation>
    <dataValidation type="whole" operator="greaterThanOrEqual" allowBlank="1" showInputMessage="1" showErrorMessage="1" errorTitle="Set aside profits" error="Please enter a positive value !" sqref="G10:G15" xr:uid="{00000000-0002-0000-1800-000007000000}">
      <formula1>0</formula1>
    </dataValidation>
    <dataValidation type="date" operator="greaterThan" allowBlank="1" showInputMessage="1" showErrorMessage="1" errorTitle="Date of certificate" error="Please enter a valid date !" sqref="F10:F15" xr:uid="{00000000-0002-0000-1800-000008000000}">
      <formula1>31778</formula1>
    </dataValidation>
    <dataValidation type="textLength" operator="greaterThan" allowBlank="1" showInputMessage="1" showErrorMessage="1" errorTitle="Certificate Number" error="Please enter the correct certificate number !" sqref="E10:E15" xr:uid="{00000000-0002-0000-1800-000009000000}">
      <formula1>4</formula1>
    </dataValidation>
    <dataValidation type="whole" operator="greaterThanOrEqual" allowBlank="1" showInputMessage="1" showErrorMessage="1" errorTitle="Attributable Chargeable Income" error="Please enter a positive value !" sqref="D30:D34" xr:uid="{00000000-0002-0000-1800-00000A000000}">
      <formula1>0</formula1>
    </dataValidation>
    <dataValidation type="list" allowBlank="1" showInputMessage="1" sqref="A30:C34" xr:uid="{00000000-0002-0000-1800-00000B000000}">
      <formula1>$A$52:$A$55</formula1>
    </dataValidation>
    <dataValidation type="date" allowBlank="1" showInputMessage="1" showErrorMessage="1" errorTitle="Date" error="Please enter the correct  date!" sqref="C10:D15" xr:uid="{00000000-0002-0000-1800-00000C000000}">
      <formula1>31778</formula1>
      <formula2>44561</formula2>
    </dataValidation>
    <dataValidation type="list" allowBlank="1" showInputMessage="1" showErrorMessage="1" sqref="E24 F39" xr:uid="{00000000-0002-0000-1800-00000D000000}">
      <formula1>$R$25:$R$27</formula1>
    </dataValidation>
  </dataValidations>
  <hyperlinks>
    <hyperlink ref="A43" location="Index!A1" display="Index!A1" xr:uid="{00000000-0004-0000-1800-000000000000}"/>
    <hyperlink ref="A43:B43" location="Index!A1" display="Index!A1" xr:uid="{00000000-0004-0000-1800-000001000000}"/>
  </hyperlinks>
  <printOptions horizontalCentered="1"/>
  <pageMargins left="0.74803149606299213" right="0.74803149606299213" top="0.35" bottom="0.88" header="0.2" footer="0.51181102362204722"/>
  <pageSetup paperSize="9" orientation="landscape" r:id="rId2"/>
  <headerFooter alignWithMargins="0">
    <oddFooter>&amp;LName&amp;CSignature&amp;RDate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dimension ref="A1:AO52"/>
  <sheetViews>
    <sheetView showGridLines="0" workbookViewId="0">
      <selection activeCell="H14" sqref="H14"/>
    </sheetView>
  </sheetViews>
  <sheetFormatPr defaultColWidth="0" defaultRowHeight="12.75" zeroHeight="1" x14ac:dyDescent="0.2"/>
  <cols>
    <col min="1" max="1" width="1" style="28" customWidth="1"/>
    <col min="2" max="2" width="8" style="28" customWidth="1"/>
    <col min="3" max="3" width="11.28515625" style="28" customWidth="1"/>
    <col min="4" max="4" width="10" style="28" customWidth="1"/>
    <col min="5" max="5" width="0.42578125" style="28" customWidth="1"/>
    <col min="6" max="6" width="10.7109375" style="28" customWidth="1"/>
    <col min="7" max="7" width="10.5703125" style="28" customWidth="1"/>
    <col min="8" max="8" width="9.7109375" style="28" customWidth="1"/>
    <col min="9" max="9" width="8.5703125" style="28" bestFit="1" customWidth="1"/>
    <col min="10" max="10" width="10.7109375" style="28" customWidth="1"/>
    <col min="11" max="12" width="9.28515625" style="28" customWidth="1"/>
    <col min="13" max="16384" width="9.28515625" style="28" hidden="1"/>
  </cols>
  <sheetData>
    <row r="1" spans="1:41" x14ac:dyDescent="0.2">
      <c r="A1" s="3"/>
      <c r="B1" s="4408" t="str">
        <f>_ref1</f>
      </c>
      <c r="C1" s="4408"/>
      <c r="D1" s="4408"/>
      <c r="E1" s="4408"/>
      <c r="F1" s="4408"/>
      <c r="G1" s="4408"/>
      <c r="H1" s="4408"/>
      <c r="I1" s="4408"/>
      <c r="J1" s="4408"/>
      <c r="K1" s="64" t="str">
        <f>"Y/A " &amp;ya</f>
      </c>
      <c r="L1" s="3"/>
    </row>
    <row r="2" spans="1:41" ht="15" x14ac:dyDescent="0.2">
      <c r="A2" s="3"/>
      <c r="B2" s="4705" t="s">
        <v>5171</v>
      </c>
      <c r="C2" s="4706"/>
      <c r="D2" s="4706"/>
      <c r="E2" s="4706"/>
      <c r="F2" s="4706"/>
      <c r="G2" s="4706"/>
      <c r="H2" s="4706"/>
      <c r="I2" s="4706"/>
      <c r="J2" s="4706"/>
      <c r="K2" s="4707"/>
      <c r="L2" s="3"/>
      <c r="Q2" s="28" t="s">
        <v>5000</v>
      </c>
      <c r="R2" s="28" t="s">
        <v>1010</v>
      </c>
      <c r="Y2" s="28" t="s">
        <v>2011</v>
      </c>
      <c r="AA2" s="28">
        <f>IF(D3="",0,IF(D3=Y3,1,2))</f>
      </c>
      <c r="AO2" s="28" t="s">
        <v>4457</v>
      </c>
    </row>
    <row r="3" spans="1:41" x14ac:dyDescent="0.2">
      <c r="A3" s="3"/>
      <c r="B3" s="4713" t="s">
        <v>1065</v>
      </c>
      <c r="C3" s="4714"/>
      <c r="D3" s="4710"/>
      <c r="E3" s="4711"/>
      <c r="F3" s="4712"/>
      <c r="G3" s="3"/>
      <c r="H3" s="3"/>
      <c r="I3" s="3"/>
      <c r="J3" s="3"/>
      <c r="K3" s="3"/>
      <c r="L3" s="3"/>
      <c r="Y3" s="28" t="s">
        <v>2012</v>
      </c>
      <c r="AF3" s="28" t="s">
        <v>5806</v>
      </c>
      <c r="AO3" s="28" t="s">
        <v>1736</v>
      </c>
    </row>
    <row r="4" spans="1:41" ht="13.5" customHeight="1" x14ac:dyDescent="0.2">
      <c r="A4" s="3"/>
      <c r="B4" s="17" t="s">
        <v>1584</v>
      </c>
      <c r="C4" s="3"/>
      <c r="D4" s="3"/>
      <c r="E4" s="3"/>
      <c r="F4" s="3"/>
      <c r="G4" s="3"/>
      <c r="H4" s="3"/>
      <c r="I4" s="3"/>
      <c r="J4" s="3"/>
      <c r="K4" s="3"/>
      <c r="L4" s="3"/>
      <c r="Q4" s="28" t="s">
        <v>4457</v>
      </c>
      <c r="AF4" s="28" t="s">
        <v>363</v>
      </c>
    </row>
    <row r="5" spans="1:41" x14ac:dyDescent="0.2">
      <c r="A5" s="3"/>
      <c r="B5" s="4469" t="s">
        <v>4284</v>
      </c>
      <c r="C5" s="4469"/>
      <c r="D5" s="4469"/>
      <c r="E5" s="4469"/>
      <c r="F5" s="4469"/>
      <c r="G5" s="4469"/>
      <c r="H5" s="4469"/>
      <c r="I5" s="4469"/>
      <c r="J5" s="4469"/>
      <c r="K5" s="365"/>
      <c r="L5" s="61" t="str">
        <f>IF(K5&gt;0,"",IF(AND(ISBLANK(K5),(S25&gt;0)),"Value!",""))</f>
        <v/>
      </c>
      <c r="M5" s="28">
        <f>IF(L5="",0,1)</f>
      </c>
      <c r="Q5" s="28" t="s">
        <v>1736</v>
      </c>
      <c r="AF5" s="28" t="s">
        <v>2372</v>
      </c>
    </row>
    <row r="6" spans="1:41" ht="5.25" customHeight="1" x14ac:dyDescent="0.2">
      <c r="A6" s="3"/>
      <c r="B6" s="3"/>
      <c r="C6" s="3"/>
      <c r="D6" s="3"/>
      <c r="E6" s="3"/>
      <c r="F6" s="3"/>
      <c r="G6" s="3"/>
      <c r="H6" s="3"/>
      <c r="I6" s="3"/>
      <c r="J6" s="3"/>
      <c r="K6" s="3"/>
      <c r="L6" s="3"/>
    </row>
    <row r="7" spans="1:41" ht="12.75" customHeight="1" x14ac:dyDescent="0.2">
      <c r="A7" s="3"/>
      <c r="B7" s="134" t="s">
        <v>4285</v>
      </c>
      <c r="C7" s="1317"/>
      <c r="D7" s="1317"/>
      <c r="E7" s="1317"/>
      <c r="F7" s="1317"/>
      <c r="G7" s="1317"/>
      <c r="H7" s="174"/>
      <c r="I7" s="4709" t="s">
        <v>3956</v>
      </c>
      <c r="J7" s="4443" t="s">
        <v>407</v>
      </c>
      <c r="K7" s="4443" t="s">
        <v>111</v>
      </c>
      <c r="L7" s="3"/>
    </row>
    <row r="8" spans="1:41" ht="22.5" x14ac:dyDescent="0.2">
      <c r="A8" s="3"/>
      <c r="B8" s="1318" t="s">
        <v>657</v>
      </c>
      <c r="C8" s="1319"/>
      <c r="D8" s="1320"/>
      <c r="E8" s="3"/>
      <c r="F8" s="1301" t="s">
        <v>408</v>
      </c>
      <c r="G8" s="1302" t="s">
        <v>409</v>
      </c>
      <c r="H8" s="1302" t="s">
        <v>3957</v>
      </c>
      <c r="I8" s="4444"/>
      <c r="J8" s="4444"/>
      <c r="K8" s="4444"/>
      <c r="L8" s="3"/>
      <c r="AA8" s="142"/>
      <c r="AB8" s="142"/>
      <c r="AC8" s="142"/>
      <c r="AD8" s="142"/>
    </row>
    <row r="9" spans="1:41" x14ac:dyDescent="0.2">
      <c r="A9" s="3"/>
      <c r="B9" s="4317"/>
      <c r="C9" s="4318"/>
      <c r="D9" s="4319"/>
      <c r="E9" s="3"/>
      <c r="F9" s="1167"/>
      <c r="G9" s="647"/>
      <c r="H9" s="366"/>
      <c r="I9" s="647"/>
      <c r="J9" s="405">
        <f t="shared" ref="J9:J24" si="0">IF(I9=0.35,0,$K$5/100%*G9)</f>
      </c>
      <c r="K9" s="405">
        <f t="shared" ref="K9:K24" si="1">J9*I9</f>
      </c>
      <c r="L9" s="624" t="str">
        <f>IF(AND(K5&gt;0,S9=0),re,IF(S9=0,"",IF(S9&lt;&gt;5,$Q$2,"")))</f>
        <v/>
      </c>
      <c r="M9" s="28">
        <f t="shared" ref="M9:M24" si="2">IF(L9="",0,1)</f>
      </c>
      <c r="N9" s="28">
        <f t="shared" ref="N9:N24" si="3">IF(ISBLANK(B9),0,1)</f>
      </c>
      <c r="O9" s="28">
        <f t="shared" ref="O9:O24" si="4">IF(ISBLANK(F9),0,1)</f>
      </c>
      <c r="P9" s="28">
        <f t="shared" ref="P9:P24" si="5">IF(ISBLANK(G9),0,1)</f>
      </c>
      <c r="Q9" s="28">
        <f t="shared" ref="Q9:Q24" si="6">IF(ISBLANK(H9),0,1)</f>
      </c>
      <c r="R9" s="28">
        <f t="shared" ref="R9:R24" si="7">IF(ISBLANK(I9),0,1)</f>
      </c>
      <c r="S9" s="28">
        <f t="shared" ref="S9:S24" si="8">SUM(N9:R9)</f>
      </c>
      <c r="AA9" s="142"/>
      <c r="AB9" s="142"/>
      <c r="AC9" s="142"/>
      <c r="AD9" s="142"/>
    </row>
    <row r="10" spans="1:41" x14ac:dyDescent="0.2">
      <c r="A10" s="3"/>
      <c r="B10" s="4317"/>
      <c r="C10" s="4318"/>
      <c r="D10" s="4319"/>
      <c r="E10" s="3"/>
      <c r="F10" s="1167"/>
      <c r="G10" s="647"/>
      <c r="H10" s="366"/>
      <c r="I10" s="647"/>
      <c r="J10" s="405">
        <f t="shared" si="0"/>
        <v>0</v>
      </c>
      <c r="K10" s="405">
        <f t="shared" si="1"/>
        <v>0</v>
      </c>
      <c r="L10" s="624" t="str">
        <f t="shared" ref="L10:L24" si="9">IF(S10=0,"",IF(S10&lt;&gt;5,$Q$2,""))</f>
        <v/>
      </c>
      <c r="M10" s="28">
        <f t="shared" si="2"/>
        <v>0</v>
      </c>
      <c r="N10" s="28">
        <f t="shared" si="3"/>
        <v>0</v>
      </c>
      <c r="O10" s="28">
        <f t="shared" si="4"/>
        <v>0</v>
      </c>
      <c r="P10" s="28">
        <f t="shared" si="5"/>
        <v>0</v>
      </c>
      <c r="Q10" s="28">
        <f t="shared" si="6"/>
        <v>0</v>
      </c>
      <c r="R10" s="28">
        <f t="shared" si="7"/>
        <v>0</v>
      </c>
      <c r="S10" s="28">
        <f t="shared" si="8"/>
        <v>0</v>
      </c>
      <c r="AA10" s="142"/>
      <c r="AB10" s="142"/>
      <c r="AC10" s="142"/>
      <c r="AD10" s="142"/>
    </row>
    <row r="11" spans="1:41" x14ac:dyDescent="0.2">
      <c r="A11" s="3"/>
      <c r="B11" s="4317"/>
      <c r="C11" s="4318"/>
      <c r="D11" s="4319"/>
      <c r="E11" s="3"/>
      <c r="F11" s="1167"/>
      <c r="G11" s="647"/>
      <c r="H11" s="366"/>
      <c r="I11" s="647"/>
      <c r="J11" s="405">
        <f t="shared" si="0"/>
        <v>0</v>
      </c>
      <c r="K11" s="405">
        <f t="shared" si="1"/>
        <v>0</v>
      </c>
      <c r="L11" s="624" t="str">
        <f t="shared" si="9"/>
        <v/>
      </c>
      <c r="M11" s="28">
        <f t="shared" si="2"/>
        <v>0</v>
      </c>
      <c r="N11" s="28">
        <f t="shared" si="3"/>
        <v>0</v>
      </c>
      <c r="O11" s="28">
        <f t="shared" si="4"/>
        <v>0</v>
      </c>
      <c r="P11" s="28">
        <f t="shared" si="5"/>
        <v>0</v>
      </c>
      <c r="Q11" s="28">
        <f t="shared" si="6"/>
        <v>0</v>
      </c>
      <c r="R11" s="28">
        <f t="shared" si="7"/>
        <v>0</v>
      </c>
      <c r="S11" s="28">
        <f t="shared" si="8"/>
        <v>0</v>
      </c>
      <c r="AA11" s="142"/>
      <c r="AB11" s="142"/>
      <c r="AC11" s="142"/>
      <c r="AD11" s="142"/>
    </row>
    <row r="12" spans="1:41" x14ac:dyDescent="0.2">
      <c r="A12" s="3"/>
      <c r="B12" s="4317"/>
      <c r="C12" s="4318"/>
      <c r="D12" s="4319"/>
      <c r="E12" s="3"/>
      <c r="F12" s="1167"/>
      <c r="G12" s="647"/>
      <c r="H12" s="366"/>
      <c r="I12" s="647"/>
      <c r="J12" s="405">
        <f t="shared" si="0"/>
        <v>0</v>
      </c>
      <c r="K12" s="405">
        <f t="shared" si="1"/>
        <v>0</v>
      </c>
      <c r="L12" s="624" t="str">
        <f t="shared" si="9"/>
        <v/>
      </c>
      <c r="M12" s="28">
        <f t="shared" si="2"/>
        <v>0</v>
      </c>
      <c r="N12" s="28">
        <f t="shared" si="3"/>
        <v>0</v>
      </c>
      <c r="O12" s="28">
        <f t="shared" si="4"/>
        <v>0</v>
      </c>
      <c r="P12" s="28">
        <f t="shared" si="5"/>
        <v>0</v>
      </c>
      <c r="Q12" s="28">
        <f t="shared" si="6"/>
        <v>0</v>
      </c>
      <c r="R12" s="28">
        <f t="shared" si="7"/>
        <v>0</v>
      </c>
      <c r="S12" s="28">
        <f t="shared" si="8"/>
        <v>0</v>
      </c>
      <c r="AA12" s="142"/>
      <c r="AB12" s="142"/>
      <c r="AC12" s="142"/>
      <c r="AD12" s="142"/>
    </row>
    <row r="13" spans="1:41" x14ac:dyDescent="0.2">
      <c r="A13" s="3"/>
      <c r="B13" s="4317"/>
      <c r="C13" s="4318"/>
      <c r="D13" s="4319"/>
      <c r="E13" s="3"/>
      <c r="F13" s="1167"/>
      <c r="G13" s="647"/>
      <c r="H13" s="366"/>
      <c r="I13" s="647"/>
      <c r="J13" s="405">
        <f t="shared" si="0"/>
        <v>0</v>
      </c>
      <c r="K13" s="405">
        <f t="shared" si="1"/>
        <v>0</v>
      </c>
      <c r="L13" s="624" t="str">
        <f t="shared" si="9"/>
        <v/>
      </c>
      <c r="M13" s="28">
        <f t="shared" si="2"/>
        <v>0</v>
      </c>
      <c r="N13" s="28">
        <f t="shared" si="3"/>
        <v>0</v>
      </c>
      <c r="O13" s="28">
        <f t="shared" si="4"/>
        <v>0</v>
      </c>
      <c r="P13" s="28">
        <f t="shared" si="5"/>
        <v>0</v>
      </c>
      <c r="Q13" s="28">
        <f t="shared" si="6"/>
        <v>0</v>
      </c>
      <c r="R13" s="28">
        <f t="shared" si="7"/>
        <v>0</v>
      </c>
      <c r="S13" s="28">
        <f t="shared" si="8"/>
        <v>0</v>
      </c>
      <c r="AA13" s="142"/>
      <c r="AB13" s="142"/>
      <c r="AC13" s="142"/>
      <c r="AD13" s="142"/>
    </row>
    <row r="14" spans="1:41" x14ac:dyDescent="0.2">
      <c r="A14" s="3"/>
      <c r="B14" s="4317"/>
      <c r="C14" s="4318"/>
      <c r="D14" s="4319"/>
      <c r="E14" s="3"/>
      <c r="F14" s="1167"/>
      <c r="G14" s="647"/>
      <c r="H14" s="366"/>
      <c r="I14" s="647"/>
      <c r="J14" s="405">
        <f t="shared" si="0"/>
        <v>0</v>
      </c>
      <c r="K14" s="405">
        <f t="shared" si="1"/>
        <v>0</v>
      </c>
      <c r="L14" s="624" t="str">
        <f t="shared" si="9"/>
        <v/>
      </c>
      <c r="M14" s="28">
        <f t="shared" si="2"/>
        <v>0</v>
      </c>
      <c r="N14" s="28">
        <f t="shared" si="3"/>
        <v>0</v>
      </c>
      <c r="O14" s="28">
        <f t="shared" si="4"/>
        <v>0</v>
      </c>
      <c r="P14" s="28">
        <f t="shared" si="5"/>
        <v>0</v>
      </c>
      <c r="Q14" s="28">
        <f t="shared" si="6"/>
        <v>0</v>
      </c>
      <c r="R14" s="28">
        <f t="shared" si="7"/>
        <v>0</v>
      </c>
      <c r="S14" s="28">
        <f t="shared" si="8"/>
        <v>0</v>
      </c>
      <c r="AA14" s="142"/>
      <c r="AB14" s="142"/>
      <c r="AC14" s="142"/>
      <c r="AD14" s="142"/>
    </row>
    <row r="15" spans="1:41" x14ac:dyDescent="0.2">
      <c r="A15" s="3"/>
      <c r="B15" s="4317"/>
      <c r="C15" s="4318"/>
      <c r="D15" s="4319"/>
      <c r="E15" s="3"/>
      <c r="F15" s="1167"/>
      <c r="G15" s="647"/>
      <c r="H15" s="366"/>
      <c r="I15" s="647"/>
      <c r="J15" s="405">
        <f t="shared" si="0"/>
        <v>0</v>
      </c>
      <c r="K15" s="405">
        <f t="shared" si="1"/>
        <v>0</v>
      </c>
      <c r="L15" s="624" t="str">
        <f t="shared" si="9"/>
        <v/>
      </c>
      <c r="M15" s="28">
        <f t="shared" si="2"/>
        <v>0</v>
      </c>
      <c r="N15" s="28">
        <f t="shared" si="3"/>
        <v>0</v>
      </c>
      <c r="O15" s="28">
        <f t="shared" si="4"/>
        <v>0</v>
      </c>
      <c r="P15" s="28">
        <f t="shared" si="5"/>
        <v>0</v>
      </c>
      <c r="Q15" s="28">
        <f t="shared" si="6"/>
        <v>0</v>
      </c>
      <c r="R15" s="28">
        <f t="shared" si="7"/>
        <v>0</v>
      </c>
      <c r="S15" s="28">
        <f t="shared" si="8"/>
        <v>0</v>
      </c>
      <c r="AA15" s="142"/>
      <c r="AB15" s="142"/>
      <c r="AC15" s="142"/>
      <c r="AD15" s="142"/>
    </row>
    <row r="16" spans="1:41" x14ac:dyDescent="0.2">
      <c r="A16" s="3"/>
      <c r="B16" s="4317"/>
      <c r="C16" s="4318"/>
      <c r="D16" s="4319"/>
      <c r="E16" s="3"/>
      <c r="F16" s="1167"/>
      <c r="G16" s="647"/>
      <c r="H16" s="366"/>
      <c r="I16" s="647"/>
      <c r="J16" s="405">
        <f t="shared" si="0"/>
        <v>0</v>
      </c>
      <c r="K16" s="405">
        <f t="shared" si="1"/>
        <v>0</v>
      </c>
      <c r="L16" s="624" t="str">
        <f t="shared" si="9"/>
        <v/>
      </c>
      <c r="M16" s="28">
        <f t="shared" si="2"/>
        <v>0</v>
      </c>
      <c r="N16" s="28">
        <f t="shared" si="3"/>
        <v>0</v>
      </c>
      <c r="O16" s="28">
        <f t="shared" si="4"/>
        <v>0</v>
      </c>
      <c r="P16" s="28">
        <f t="shared" si="5"/>
        <v>0</v>
      </c>
      <c r="Q16" s="28">
        <f t="shared" si="6"/>
        <v>0</v>
      </c>
      <c r="R16" s="28">
        <f t="shared" si="7"/>
        <v>0</v>
      </c>
      <c r="S16" s="28">
        <f t="shared" si="8"/>
        <v>0</v>
      </c>
      <c r="AA16" s="142"/>
      <c r="AB16" s="142"/>
      <c r="AC16" s="142"/>
      <c r="AD16" s="142"/>
    </row>
    <row r="17" spans="1:30" x14ac:dyDescent="0.2">
      <c r="A17" s="3"/>
      <c r="B17" s="4317"/>
      <c r="C17" s="4318"/>
      <c r="D17" s="4319"/>
      <c r="E17" s="3"/>
      <c r="F17" s="1167"/>
      <c r="G17" s="647"/>
      <c r="H17" s="366"/>
      <c r="I17" s="647"/>
      <c r="J17" s="405">
        <f t="shared" si="0"/>
        <v>0</v>
      </c>
      <c r="K17" s="405">
        <f t="shared" si="1"/>
        <v>0</v>
      </c>
      <c r="L17" s="624" t="str">
        <f t="shared" si="9"/>
        <v/>
      </c>
      <c r="M17" s="28">
        <f t="shared" si="2"/>
        <v>0</v>
      </c>
      <c r="N17" s="28">
        <f t="shared" si="3"/>
        <v>0</v>
      </c>
      <c r="O17" s="28">
        <f t="shared" si="4"/>
        <v>0</v>
      </c>
      <c r="P17" s="28">
        <f t="shared" si="5"/>
        <v>0</v>
      </c>
      <c r="Q17" s="28">
        <f t="shared" si="6"/>
        <v>0</v>
      </c>
      <c r="R17" s="28">
        <f t="shared" si="7"/>
        <v>0</v>
      </c>
      <c r="S17" s="28">
        <f t="shared" si="8"/>
        <v>0</v>
      </c>
      <c r="AA17" s="142"/>
      <c r="AB17" s="142"/>
      <c r="AC17" s="142"/>
      <c r="AD17" s="142"/>
    </row>
    <row r="18" spans="1:30" x14ac:dyDescent="0.2">
      <c r="A18" s="3"/>
      <c r="B18" s="4317"/>
      <c r="C18" s="4318"/>
      <c r="D18" s="4319"/>
      <c r="E18" s="3"/>
      <c r="F18" s="1167"/>
      <c r="G18" s="647"/>
      <c r="H18" s="366"/>
      <c r="I18" s="647"/>
      <c r="J18" s="405">
        <f t="shared" si="0"/>
        <v>0</v>
      </c>
      <c r="K18" s="405">
        <f t="shared" si="1"/>
        <v>0</v>
      </c>
      <c r="L18" s="624" t="str">
        <f t="shared" si="9"/>
        <v/>
      </c>
      <c r="M18" s="28">
        <f t="shared" si="2"/>
        <v>0</v>
      </c>
      <c r="N18" s="28">
        <f t="shared" si="3"/>
        <v>0</v>
      </c>
      <c r="O18" s="28">
        <f t="shared" si="4"/>
        <v>0</v>
      </c>
      <c r="P18" s="28">
        <f t="shared" si="5"/>
        <v>0</v>
      </c>
      <c r="Q18" s="28">
        <f t="shared" si="6"/>
        <v>0</v>
      </c>
      <c r="R18" s="28">
        <f t="shared" si="7"/>
        <v>0</v>
      </c>
      <c r="S18" s="28">
        <f t="shared" si="8"/>
        <v>0</v>
      </c>
      <c r="AA18" s="142"/>
      <c r="AB18" s="142"/>
      <c r="AC18" s="142"/>
      <c r="AD18" s="142"/>
    </row>
    <row r="19" spans="1:30" x14ac:dyDescent="0.2">
      <c r="A19" s="3"/>
      <c r="B19" s="4317"/>
      <c r="C19" s="4318"/>
      <c r="D19" s="4319"/>
      <c r="E19" s="3"/>
      <c r="F19" s="1167"/>
      <c r="G19" s="647"/>
      <c r="H19" s="366"/>
      <c r="I19" s="647"/>
      <c r="J19" s="405">
        <f t="shared" si="0"/>
        <v>0</v>
      </c>
      <c r="K19" s="405">
        <f t="shared" si="1"/>
        <v>0</v>
      </c>
      <c r="L19" s="624" t="str">
        <f t="shared" si="9"/>
        <v/>
      </c>
      <c r="M19" s="28">
        <f t="shared" si="2"/>
        <v>0</v>
      </c>
      <c r="N19" s="28">
        <f t="shared" si="3"/>
        <v>0</v>
      </c>
      <c r="O19" s="28">
        <f t="shared" si="4"/>
        <v>0</v>
      </c>
      <c r="P19" s="28">
        <f t="shared" si="5"/>
        <v>0</v>
      </c>
      <c r="Q19" s="28">
        <f t="shared" si="6"/>
        <v>0</v>
      </c>
      <c r="R19" s="28">
        <f t="shared" si="7"/>
        <v>0</v>
      </c>
      <c r="S19" s="28">
        <f t="shared" si="8"/>
        <v>0</v>
      </c>
      <c r="AA19" s="142"/>
      <c r="AB19" s="142"/>
      <c r="AC19" s="142"/>
      <c r="AD19" s="142"/>
    </row>
    <row r="20" spans="1:30" x14ac:dyDescent="0.2">
      <c r="A20" s="3"/>
      <c r="B20" s="4317"/>
      <c r="C20" s="4318"/>
      <c r="D20" s="4319"/>
      <c r="E20" s="3"/>
      <c r="F20" s="1167"/>
      <c r="G20" s="647"/>
      <c r="H20" s="366"/>
      <c r="I20" s="647"/>
      <c r="J20" s="405">
        <f t="shared" si="0"/>
        <v>0</v>
      </c>
      <c r="K20" s="405">
        <f t="shared" si="1"/>
        <v>0</v>
      </c>
      <c r="L20" s="624" t="str">
        <f t="shared" si="9"/>
        <v/>
      </c>
      <c r="M20" s="28">
        <f t="shared" si="2"/>
        <v>0</v>
      </c>
      <c r="N20" s="28">
        <f t="shared" si="3"/>
        <v>0</v>
      </c>
      <c r="O20" s="28">
        <f t="shared" si="4"/>
        <v>0</v>
      </c>
      <c r="P20" s="28">
        <f t="shared" si="5"/>
        <v>0</v>
      </c>
      <c r="Q20" s="28">
        <f t="shared" si="6"/>
        <v>0</v>
      </c>
      <c r="R20" s="28">
        <f t="shared" si="7"/>
        <v>0</v>
      </c>
      <c r="S20" s="28">
        <f t="shared" si="8"/>
        <v>0</v>
      </c>
      <c r="AA20" s="142"/>
      <c r="AB20" s="142"/>
      <c r="AC20" s="142"/>
      <c r="AD20" s="142"/>
    </row>
    <row r="21" spans="1:30" x14ac:dyDescent="0.2">
      <c r="A21" s="3"/>
      <c r="B21" s="4317"/>
      <c r="C21" s="4318"/>
      <c r="D21" s="4319"/>
      <c r="E21" s="3"/>
      <c r="F21" s="1167"/>
      <c r="G21" s="647"/>
      <c r="H21" s="366"/>
      <c r="I21" s="647"/>
      <c r="J21" s="405">
        <f t="shared" si="0"/>
        <v>0</v>
      </c>
      <c r="K21" s="405">
        <f t="shared" si="1"/>
        <v>0</v>
      </c>
      <c r="L21" s="624" t="str">
        <f t="shared" si="9"/>
        <v/>
      </c>
      <c r="M21" s="28">
        <f t="shared" si="2"/>
        <v>0</v>
      </c>
      <c r="N21" s="28">
        <f t="shared" si="3"/>
        <v>0</v>
      </c>
      <c r="O21" s="28">
        <f t="shared" si="4"/>
        <v>0</v>
      </c>
      <c r="P21" s="28">
        <f t="shared" si="5"/>
        <v>0</v>
      </c>
      <c r="Q21" s="28">
        <f t="shared" si="6"/>
        <v>0</v>
      </c>
      <c r="R21" s="28">
        <f t="shared" si="7"/>
        <v>0</v>
      </c>
      <c r="S21" s="28">
        <f t="shared" si="8"/>
        <v>0</v>
      </c>
      <c r="AA21" s="142"/>
      <c r="AB21" s="142"/>
      <c r="AC21" s="142"/>
      <c r="AD21" s="142"/>
    </row>
    <row r="22" spans="1:30" x14ac:dyDescent="0.2">
      <c r="A22" s="3"/>
      <c r="B22" s="4317"/>
      <c r="C22" s="4318"/>
      <c r="D22" s="4319"/>
      <c r="E22" s="3"/>
      <c r="F22" s="1167"/>
      <c r="G22" s="647"/>
      <c r="H22" s="366"/>
      <c r="I22" s="647"/>
      <c r="J22" s="405">
        <f t="shared" si="0"/>
        <v>0</v>
      </c>
      <c r="K22" s="405">
        <f t="shared" si="1"/>
        <v>0</v>
      </c>
      <c r="L22" s="624" t="str">
        <f t="shared" si="9"/>
        <v/>
      </c>
      <c r="M22" s="28">
        <f t="shared" si="2"/>
        <v>0</v>
      </c>
      <c r="N22" s="28">
        <f t="shared" si="3"/>
        <v>0</v>
      </c>
      <c r="O22" s="28">
        <f t="shared" si="4"/>
        <v>0</v>
      </c>
      <c r="P22" s="28">
        <f t="shared" si="5"/>
        <v>0</v>
      </c>
      <c r="Q22" s="28">
        <f t="shared" si="6"/>
        <v>0</v>
      </c>
      <c r="R22" s="28">
        <f t="shared" si="7"/>
        <v>0</v>
      </c>
      <c r="S22" s="28">
        <f t="shared" si="8"/>
        <v>0</v>
      </c>
      <c r="AA22" s="142"/>
      <c r="AB22" s="142"/>
      <c r="AC22" s="142"/>
      <c r="AD22" s="142"/>
    </row>
    <row r="23" spans="1:30" x14ac:dyDescent="0.2">
      <c r="A23" s="3"/>
      <c r="B23" s="4317"/>
      <c r="C23" s="4318"/>
      <c r="D23" s="4319"/>
      <c r="E23" s="3"/>
      <c r="F23" s="1167"/>
      <c r="G23" s="647"/>
      <c r="H23" s="366"/>
      <c r="I23" s="647"/>
      <c r="J23" s="405">
        <f t="shared" si="0"/>
        <v>0</v>
      </c>
      <c r="K23" s="405">
        <f t="shared" si="1"/>
        <v>0</v>
      </c>
      <c r="L23" s="624" t="str">
        <f t="shared" si="9"/>
        <v/>
      </c>
      <c r="M23" s="28">
        <f t="shared" si="2"/>
        <v>0</v>
      </c>
      <c r="N23" s="28">
        <f t="shared" si="3"/>
        <v>0</v>
      </c>
      <c r="O23" s="28">
        <f t="shared" si="4"/>
        <v>0</v>
      </c>
      <c r="P23" s="28">
        <f t="shared" si="5"/>
        <v>0</v>
      </c>
      <c r="Q23" s="28">
        <f t="shared" si="6"/>
        <v>0</v>
      </c>
      <c r="R23" s="28">
        <f t="shared" si="7"/>
        <v>0</v>
      </c>
      <c r="S23" s="28">
        <f t="shared" si="8"/>
        <v>0</v>
      </c>
      <c r="AA23" s="142"/>
      <c r="AB23" s="142"/>
      <c r="AC23" s="142"/>
      <c r="AD23" s="142"/>
    </row>
    <row r="24" spans="1:30" x14ac:dyDescent="0.2">
      <c r="A24" s="3"/>
      <c r="B24" s="4317"/>
      <c r="C24" s="4318"/>
      <c r="D24" s="4319"/>
      <c r="E24" s="3"/>
      <c r="F24" s="1321"/>
      <c r="G24" s="647"/>
      <c r="H24" s="366"/>
      <c r="I24" s="647"/>
      <c r="J24" s="405">
        <f t="shared" si="0"/>
        <v>0</v>
      </c>
      <c r="K24" s="405">
        <f t="shared" si="1"/>
        <v>0</v>
      </c>
      <c r="L24" s="624" t="str">
        <f t="shared" si="9"/>
        <v/>
      </c>
      <c r="M24" s="28">
        <f t="shared" si="2"/>
        <v>0</v>
      </c>
      <c r="N24" s="28">
        <f t="shared" si="3"/>
        <v>0</v>
      </c>
      <c r="O24" s="28">
        <f t="shared" si="4"/>
        <v>0</v>
      </c>
      <c r="P24" s="28">
        <f t="shared" si="5"/>
        <v>0</v>
      </c>
      <c r="Q24" s="28">
        <f t="shared" si="6"/>
        <v>0</v>
      </c>
      <c r="R24" s="28">
        <f t="shared" si="7"/>
        <v>0</v>
      </c>
      <c r="S24" s="28">
        <f t="shared" si="8"/>
        <v>0</v>
      </c>
      <c r="AA24" s="142"/>
      <c r="AB24" s="142"/>
      <c r="AC24" s="142"/>
      <c r="AD24" s="142"/>
    </row>
    <row r="25" spans="1:30" x14ac:dyDescent="0.2">
      <c r="A25" s="3"/>
      <c r="B25" s="1322" t="s">
        <v>5590</v>
      </c>
      <c r="C25" s="221"/>
      <c r="D25" s="221"/>
      <c r="E25" s="1323" t="str">
        <f>IF(G25=0,"",IF(G25&lt;&gt;100%,R2,""))</f>
        <v/>
      </c>
      <c r="F25" s="1324" t="str">
        <f>IF(G25=0,"",IF(G25&lt;&gt;100%,R2,""))</f>
        <v/>
      </c>
      <c r="G25" s="1325">
        <f>SUM(G9:G24)</f>
      </c>
      <c r="H25" s="523"/>
      <c r="I25" s="1174"/>
      <c r="J25" s="541">
        <f>SUM(J9:J24)</f>
      </c>
      <c r="K25" s="541">
        <f>SUM(K9:K24)</f>
      </c>
      <c r="L25" s="3"/>
      <c r="M25" s="28">
        <f>IF(K26="",0,1)</f>
      </c>
      <c r="S25" s="28">
        <f>SUM(S9:S24)</f>
      </c>
      <c r="AA25" s="142"/>
      <c r="AB25" s="142"/>
      <c r="AC25" s="142"/>
      <c r="AD25" s="142"/>
    </row>
    <row r="26" spans="1:30" x14ac:dyDescent="0.2">
      <c r="A26" s="3"/>
      <c r="B26" s="656" t="s">
        <v>2295</v>
      </c>
      <c r="C26" s="3"/>
      <c r="D26" s="3"/>
      <c r="E26" s="3"/>
      <c r="F26" s="3"/>
      <c r="G26" s="3"/>
      <c r="H26" s="3"/>
      <c r="I26" s="3"/>
      <c r="J26" s="366"/>
      <c r="K26" s="222" t="str">
        <f>IF(AND(K5&gt;0,J26=""),re,"")</f>
        <v/>
      </c>
      <c r="L26" s="3"/>
      <c r="M26" s="28">
        <f>IF(E25="",0,1)</f>
      </c>
      <c r="S26" s="28" t="str">
        <f>IF(AND(ISBLANK(K5),S25=0),"empty","")</f>
      </c>
    </row>
    <row r="27" spans="1:30" ht="20.25" customHeight="1" x14ac:dyDescent="0.2">
      <c r="A27" s="3"/>
      <c r="B27" s="1326" t="s">
        <v>3958</v>
      </c>
      <c r="C27" s="3"/>
      <c r="D27" s="3"/>
      <c r="E27" s="3"/>
      <c r="F27" s="3"/>
      <c r="G27" s="3"/>
      <c r="H27" s="3"/>
      <c r="I27" s="3"/>
      <c r="J27" s="3"/>
      <c r="K27" s="3"/>
      <c r="L27" s="3"/>
      <c r="O27" s="192">
        <f>IF(J25=0,0,ROUND(K25/J25,4))</f>
      </c>
    </row>
    <row r="28" spans="1:30" x14ac:dyDescent="0.2">
      <c r="A28" s="3"/>
      <c r="B28" s="4708" t="s">
        <v>3959</v>
      </c>
      <c r="C28" s="4708"/>
      <c r="D28" s="4708"/>
      <c r="E28" s="4708"/>
      <c r="F28" s="4708"/>
      <c r="G28" s="4708"/>
      <c r="H28" s="4708"/>
      <c r="I28" s="4708"/>
      <c r="J28" s="3"/>
      <c r="K28" s="3"/>
      <c r="L28" s="3"/>
    </row>
    <row r="29" spans="1:30" ht="6.75" customHeight="1" x14ac:dyDescent="0.2">
      <c r="A29" s="3"/>
      <c r="B29" s="3"/>
      <c r="C29" s="3"/>
      <c r="D29" s="3"/>
      <c r="E29" s="3"/>
      <c r="F29" s="3"/>
      <c r="G29" s="3"/>
      <c r="H29" s="3"/>
      <c r="I29" s="3"/>
      <c r="J29" s="3"/>
      <c r="K29" s="3"/>
      <c r="L29" s="3"/>
    </row>
    <row r="30" spans="1:30" x14ac:dyDescent="0.2">
      <c r="A30" s="3"/>
      <c r="B30" s="4688" t="s">
        <v>2264</v>
      </c>
      <c r="C30" s="4689"/>
      <c r="D30" s="4689"/>
      <c r="E30" s="4689"/>
      <c r="F30" s="4689"/>
      <c r="G30" s="4690"/>
      <c r="H30" s="3"/>
      <c r="I30" s="61"/>
      <c r="J30" s="3"/>
      <c r="K30" s="3"/>
      <c r="L30" s="3"/>
    </row>
    <row r="31" spans="1:30" ht="22.5" x14ac:dyDescent="0.2">
      <c r="A31" s="3"/>
      <c r="B31" s="258" t="s">
        <v>5210</v>
      </c>
      <c r="C31" s="402" t="s">
        <v>3708</v>
      </c>
      <c r="D31" s="402" t="s">
        <v>2265</v>
      </c>
      <c r="E31" s="3"/>
      <c r="F31" s="401" t="s">
        <v>5522</v>
      </c>
      <c r="G31" s="401" t="s">
        <v>5268</v>
      </c>
      <c r="H31" s="3"/>
      <c r="I31" s="3"/>
      <c r="J31" s="3"/>
      <c r="K31" s="3"/>
      <c r="L31" s="3"/>
    </row>
    <row r="32" spans="1:30" x14ac:dyDescent="0.2">
      <c r="A32" s="3"/>
      <c r="B32" s="431"/>
      <c r="C32" s="223"/>
      <c r="D32" s="223"/>
      <c r="E32" s="3"/>
      <c r="F32" s="405">
        <f t="shared" ref="F32:F45" si="10">C32-D32</f>
      </c>
      <c r="G32" s="223"/>
      <c r="H32" s="3"/>
      <c r="I32" s="3"/>
      <c r="J32" s="3"/>
      <c r="K32" s="3"/>
      <c r="L32" s="3"/>
    </row>
    <row r="33" spans="1:13" x14ac:dyDescent="0.2">
      <c r="A33" s="3"/>
      <c r="B33" s="431"/>
      <c r="C33" s="223"/>
      <c r="D33" s="223"/>
      <c r="E33" s="3"/>
      <c r="F33" s="405">
        <f t="shared" si="10"/>
        <v>0</v>
      </c>
      <c r="G33" s="223"/>
      <c r="H33" s="3"/>
      <c r="I33" s="3"/>
      <c r="J33" s="3"/>
      <c r="K33" s="3"/>
      <c r="L33" s="3"/>
    </row>
    <row r="34" spans="1:13" x14ac:dyDescent="0.2">
      <c r="A34" s="3"/>
      <c r="B34" s="431"/>
      <c r="C34" s="223"/>
      <c r="D34" s="223"/>
      <c r="E34" s="3"/>
      <c r="F34" s="405">
        <f t="shared" si="10"/>
        <v>0</v>
      </c>
      <c r="G34" s="223"/>
      <c r="H34" s="3"/>
      <c r="I34" s="3"/>
      <c r="J34" s="3"/>
      <c r="K34" s="3"/>
      <c r="L34" s="3"/>
    </row>
    <row r="35" spans="1:13" x14ac:dyDescent="0.2">
      <c r="A35" s="3"/>
      <c r="B35" s="431"/>
      <c r="C35" s="223"/>
      <c r="D35" s="223"/>
      <c r="E35" s="3"/>
      <c r="F35" s="405">
        <f t="shared" si="10"/>
        <v>0</v>
      </c>
      <c r="G35" s="223"/>
      <c r="H35" s="3"/>
      <c r="I35" s="3"/>
      <c r="J35" s="3"/>
      <c r="K35" s="3"/>
      <c r="L35" s="3"/>
    </row>
    <row r="36" spans="1:13" x14ac:dyDescent="0.2">
      <c r="A36" s="3"/>
      <c r="B36" s="431"/>
      <c r="C36" s="223"/>
      <c r="D36" s="223"/>
      <c r="E36" s="3"/>
      <c r="F36" s="405">
        <f t="shared" si="10"/>
        <v>0</v>
      </c>
      <c r="G36" s="223"/>
      <c r="H36" s="3"/>
      <c r="I36" s="3"/>
      <c r="J36" s="3"/>
      <c r="K36" s="3"/>
      <c r="L36" s="3"/>
    </row>
    <row r="37" spans="1:13" x14ac:dyDescent="0.2">
      <c r="A37" s="3"/>
      <c r="B37" s="431"/>
      <c r="C37" s="223"/>
      <c r="D37" s="223"/>
      <c r="E37" s="3"/>
      <c r="F37" s="405">
        <f t="shared" si="10"/>
        <v>0</v>
      </c>
      <c r="G37" s="223"/>
      <c r="H37" s="3"/>
      <c r="I37" s="3"/>
      <c r="J37" s="3"/>
      <c r="K37" s="3"/>
      <c r="L37" s="3"/>
    </row>
    <row r="38" spans="1:13" x14ac:dyDescent="0.2">
      <c r="A38" s="3"/>
      <c r="B38" s="431"/>
      <c r="C38" s="223"/>
      <c r="D38" s="223"/>
      <c r="E38" s="3"/>
      <c r="F38" s="405">
        <f t="shared" si="10"/>
        <v>0</v>
      </c>
      <c r="G38" s="223"/>
      <c r="H38" s="3"/>
      <c r="I38" s="3"/>
      <c r="J38" s="3"/>
      <c r="K38" s="3"/>
      <c r="L38" s="3"/>
    </row>
    <row r="39" spans="1:13" x14ac:dyDescent="0.2">
      <c r="A39" s="3"/>
      <c r="B39" s="431"/>
      <c r="C39" s="223"/>
      <c r="D39" s="223"/>
      <c r="E39" s="3"/>
      <c r="F39" s="405">
        <f t="shared" si="10"/>
        <v>0</v>
      </c>
      <c r="G39" s="223"/>
      <c r="H39" s="3"/>
      <c r="I39" s="3"/>
      <c r="J39" s="3"/>
      <c r="K39" s="3"/>
      <c r="L39" s="3"/>
    </row>
    <row r="40" spans="1:13" x14ac:dyDescent="0.2">
      <c r="A40" s="3"/>
      <c r="B40" s="431"/>
      <c r="C40" s="223"/>
      <c r="D40" s="223"/>
      <c r="E40" s="3"/>
      <c r="F40" s="405">
        <f t="shared" si="10"/>
        <v>0</v>
      </c>
      <c r="G40" s="223"/>
      <c r="H40" s="3"/>
      <c r="I40" s="3"/>
      <c r="J40" s="3"/>
      <c r="K40" s="3"/>
      <c r="L40" s="3"/>
    </row>
    <row r="41" spans="1:13" x14ac:dyDescent="0.2">
      <c r="A41" s="3"/>
      <c r="B41" s="431"/>
      <c r="C41" s="223"/>
      <c r="D41" s="223"/>
      <c r="E41" s="3"/>
      <c r="F41" s="405">
        <f t="shared" si="10"/>
        <v>0</v>
      </c>
      <c r="G41" s="223"/>
      <c r="H41" s="3"/>
      <c r="I41" s="3"/>
      <c r="J41" s="3"/>
      <c r="K41" s="3"/>
      <c r="L41" s="3"/>
    </row>
    <row r="42" spans="1:13" x14ac:dyDescent="0.2">
      <c r="A42" s="3"/>
      <c r="B42" s="431"/>
      <c r="C42" s="223"/>
      <c r="D42" s="223"/>
      <c r="E42" s="3"/>
      <c r="F42" s="405">
        <f t="shared" si="10"/>
        <v>0</v>
      </c>
      <c r="G42" s="223"/>
      <c r="H42" s="3"/>
      <c r="I42" s="3"/>
      <c r="J42" s="3"/>
      <c r="K42" s="3"/>
      <c r="L42" s="3"/>
    </row>
    <row r="43" spans="1:13" x14ac:dyDescent="0.2">
      <c r="A43" s="3"/>
      <c r="B43" s="431"/>
      <c r="C43" s="223"/>
      <c r="D43" s="223"/>
      <c r="E43" s="3"/>
      <c r="F43" s="405">
        <f t="shared" si="10"/>
        <v>0</v>
      </c>
      <c r="G43" s="223"/>
      <c r="H43" s="3"/>
      <c r="I43" s="3"/>
      <c r="J43" s="3"/>
      <c r="K43" s="3"/>
      <c r="L43" s="3"/>
    </row>
    <row r="44" spans="1:13" x14ac:dyDescent="0.2">
      <c r="A44" s="3"/>
      <c r="B44" s="431"/>
      <c r="C44" s="223"/>
      <c r="D44" s="223"/>
      <c r="E44" s="3"/>
      <c r="F44" s="405">
        <f t="shared" si="10"/>
        <v>0</v>
      </c>
      <c r="G44" s="223"/>
      <c r="H44" s="3"/>
      <c r="I44" s="3"/>
      <c r="J44" s="3"/>
      <c r="K44" s="3"/>
      <c r="L44" s="3"/>
    </row>
    <row r="45" spans="1:13" x14ac:dyDescent="0.2">
      <c r="A45" s="3"/>
      <c r="B45" s="585"/>
      <c r="C45" s="223"/>
      <c r="D45" s="223"/>
      <c r="E45" s="3"/>
      <c r="F45" s="405">
        <f t="shared" si="10"/>
        <v>0</v>
      </c>
      <c r="G45" s="223"/>
      <c r="H45" s="3"/>
      <c r="I45" s="3"/>
      <c r="J45" s="3"/>
      <c r="K45" s="3"/>
      <c r="L45" s="3"/>
    </row>
    <row r="46" spans="1:13" x14ac:dyDescent="0.2">
      <c r="A46" s="3"/>
      <c r="B46" s="135" t="s">
        <v>6940</v>
      </c>
      <c r="C46" s="405">
        <f>SUM(C32:C45)</f>
      </c>
      <c r="D46" s="405">
        <f>SUM(D32:D45)</f>
      </c>
      <c r="E46" s="3"/>
      <c r="F46" s="405">
        <f>SUM(F32:F45)</f>
      </c>
      <c r="G46" s="405">
        <f>SUM(G32:G45)</f>
      </c>
      <c r="H46" s="222" t="str">
        <f>IF(M46=1," This part must be completed!","")</f>
        <v/>
      </c>
      <c r="I46" s="3"/>
      <c r="J46" s="3"/>
      <c r="K46" s="3"/>
      <c r="L46" s="3"/>
      <c r="M46" s="28">
        <f>IF(AND(J25&gt;0,F46=0),1,0)</f>
      </c>
    </row>
    <row r="47" spans="1:13" x14ac:dyDescent="0.2">
      <c r="A47" s="3"/>
      <c r="B47" s="17" t="str">
        <f>_xlfn.SINGLE(MTCA)</f>
      </c>
      <c r="C47" s="17"/>
      <c r="D47" s="17"/>
      <c r="E47" s="17"/>
      <c r="F47" s="17"/>
      <c r="G47" s="17" t="str">
        <f>ver</f>
        <v>TA2_e-CO_2025_Ver 1.1</v>
      </c>
      <c r="H47" s="3"/>
      <c r="I47" s="3"/>
      <c r="J47" s="3"/>
      <c r="K47" s="536" t="str">
        <f>IF(D3=Y2,"TRA 27",IF(D3=Y3,"TRA 28",""))</f>
        <v/>
      </c>
      <c r="L47" s="3"/>
    </row>
    <row r="48" spans="1:13" x14ac:dyDescent="0.2">
      <c r="A48" s="3"/>
      <c r="B48" s="3"/>
      <c r="C48" s="3"/>
      <c r="D48" s="3"/>
      <c r="E48" s="3"/>
      <c r="F48" s="3"/>
      <c r="G48" s="3"/>
      <c r="H48" s="3"/>
      <c r="I48" s="3"/>
      <c r="J48" s="3"/>
      <c r="K48" s="3"/>
      <c r="L48" s="3"/>
    </row>
    <row r="49" spans="1:14" x14ac:dyDescent="0.2">
      <c r="A49" s="3"/>
      <c r="B49" s="237"/>
      <c r="C49" s="3"/>
      <c r="D49" s="592" t="str">
        <f>COM</f>
      </c>
      <c r="E49" s="3"/>
      <c r="F49" s="331"/>
      <c r="G49" s="3"/>
      <c r="H49" s="3"/>
      <c r="I49" s="3"/>
      <c r="J49" s="3"/>
      <c r="K49" s="3"/>
      <c r="L49" s="3"/>
      <c r="M49" s="30">
        <f>IF(S26="empty",0,IF(D3=Y3,0,IF(SUM(M5:M46)&gt;0,100,IF(F49="Yes",1,100))))</f>
      </c>
      <c r="N49" s="30" t="s">
        <v>33</v>
      </c>
    </row>
    <row r="50" spans="1:14" x14ac:dyDescent="0.2">
      <c r="A50" s="3"/>
      <c r="B50" s="3"/>
      <c r="C50" s="3"/>
      <c r="D50" s="3"/>
      <c r="E50" s="3"/>
      <c r="F50" s="3"/>
      <c r="G50" s="3"/>
      <c r="H50" s="3"/>
      <c r="I50" s="3"/>
      <c r="J50" s="3"/>
      <c r="K50" s="3"/>
      <c r="L50" s="3"/>
      <c r="M50" s="30">
        <f>IF(S26="empty",0,IF(D3=Y2,0,IF(SUM(M5:M46)&gt;0,100,IF(F49="Yes",1,100))))</f>
      </c>
      <c r="N50" s="30" t="s">
        <v>3304</v>
      </c>
    </row>
    <row r="51" spans="1:14" x14ac:dyDescent="0.2">
      <c r="A51" s="3"/>
      <c r="B51" s="4636" t="s">
        <v>6290</v>
      </c>
      <c r="C51" s="4636"/>
      <c r="D51" s="4636"/>
      <c r="E51" s="4636"/>
      <c r="F51" s="4636"/>
      <c r="G51" s="3"/>
      <c r="H51" s="3"/>
      <c r="I51" s="3"/>
      <c r="J51" s="3"/>
      <c r="K51" s="3"/>
      <c r="L51" s="3"/>
    </row>
    <row r="52" spans="1:14" x14ac:dyDescent="0.2">
      <c r="A52" s="3"/>
      <c r="B52" s="3"/>
      <c r="C52" s="3"/>
      <c r="D52" s="3"/>
      <c r="E52" s="3"/>
      <c r="F52" s="3"/>
      <c r="G52" s="3"/>
      <c r="H52" s="3"/>
      <c r="I52" s="3"/>
      <c r="J52" s="3"/>
      <c r="K52" s="3"/>
      <c r="L52" s="3"/>
    </row>
  </sheetData>
  <sheetProtection algorithmName="SHA-512" hashValue="WfmKVzSHGiT3LVo1WP7ru70z6lvsYjq5e4wQHaV0pfRdqkd6svOeXGTUQU7mpktCo1mjAxDIM/8TsWtlv3n/LA==" saltValue="686nWcoZN791dPQbD1CXgA==" spinCount="100000" sheet="1" objects="1" scenarios="1"/>
  <customSheetViews>
    <customSheetView guid="{99B5278F-6EA9-4B1A-8623-27A4DF4AD5E4}" showGridLines="0" hiddenRows="1" hiddenColumns="1">
      <selection activeCell="D3" sqref="D3:F3"/>
      <pageMargins left="0.35433070866141736" right="0.27559055118110237" top="0.6692913385826772" bottom="0.98425196850393704" header="0.31496062992125984" footer="0.51181102362204722"/>
      <printOptions horizontalCentered="1"/>
      <pageSetup paperSize="9" orientation="portrait" r:id="rId1"/>
      <headerFooter alignWithMargins="0">
        <oddFooter>&amp;LName&amp;CSignature&amp;RDate</oddFooter>
      </headerFooter>
    </customSheetView>
  </customSheetViews>
  <mergeCells count="27">
    <mergeCell ref="B51:F51"/>
    <mergeCell ref="B30:G30"/>
    <mergeCell ref="B5:J5"/>
    <mergeCell ref="B11:D11"/>
    <mergeCell ref="B12:D12"/>
    <mergeCell ref="B13:D13"/>
    <mergeCell ref="B14:D14"/>
    <mergeCell ref="B15:D15"/>
    <mergeCell ref="B16:D16"/>
    <mergeCell ref="B17:D17"/>
    <mergeCell ref="B18:D18"/>
    <mergeCell ref="B23:D23"/>
    <mergeCell ref="B24:D24"/>
    <mergeCell ref="B19:D19"/>
    <mergeCell ref="B20:D20"/>
    <mergeCell ref="B21:D21"/>
    <mergeCell ref="B22:D22"/>
    <mergeCell ref="B1:J1"/>
    <mergeCell ref="B2:K2"/>
    <mergeCell ref="B28:I28"/>
    <mergeCell ref="I7:I8"/>
    <mergeCell ref="B9:D9"/>
    <mergeCell ref="B10:D10"/>
    <mergeCell ref="K7:K8"/>
    <mergeCell ref="J7:J8"/>
    <mergeCell ref="D3:F3"/>
    <mergeCell ref="B3:C3"/>
  </mergeCells>
  <phoneticPr fontId="0" type="noConversion"/>
  <conditionalFormatting sqref="B4">
    <cfRule type="expression" dxfId="748" priority="2" stopIfTrue="1">
      <formula>$D$3&lt;&gt;$Y$2</formula>
    </cfRule>
  </conditionalFormatting>
  <conditionalFormatting sqref="L9:L24">
    <cfRule type="cellIs" dxfId="747" priority="1" stopIfTrue="1" operator="equal">
      <formula>$Q$2</formula>
    </cfRule>
  </conditionalFormatting>
  <dataValidations count="9">
    <dataValidation type="whole" operator="greaterThanOrEqual" allowBlank="1" showInputMessage="1" showErrorMessage="1" error="Please enter a positive figure!" sqref="C32:D45 G32" xr:uid="{00000000-0002-0000-1900-000000000000}">
      <formula1>0</formula1>
    </dataValidation>
    <dataValidation type="list" allowBlank="1" showInputMessage="1" showErrorMessage="1" errorTitle="Dropdown list" error="Choose an item from the list!" sqref="H9:H24" xr:uid="{00000000-0002-0000-1900-000001000000}">
      <formula1>$Q$3:$Q$5</formula1>
    </dataValidation>
    <dataValidation type="decimal" allowBlank="1" showInputMessage="1" showErrorMessage="1" errorTitle="Percentage holding" error="Please enter a value expressed as a decimal!" sqref="G9:G24" xr:uid="{00000000-0002-0000-1900-000002000000}">
      <formula1>0</formula1>
      <formula2>1</formula2>
    </dataValidation>
    <dataValidation type="decimal" allowBlank="1" showInputMessage="1" showErrorMessage="1" errorTitle="Tax Rate" error="Please enter a value expressed as a decimal!" sqref="I9:I24" xr:uid="{00000000-0002-0000-1900-000003000000}">
      <formula1>0</formula1>
      <formula2>0.35</formula2>
    </dataValidation>
    <dataValidation type="whole" operator="greaterThanOrEqual" allowBlank="1" showInputMessage="1" showErrorMessage="1" errorTitle="Y/A" error="Please enter a positive figure that is greater than 2000!" sqref="B32:B45" xr:uid="{00000000-0002-0000-1900-000004000000}">
      <formula1>2001</formula1>
    </dataValidation>
    <dataValidation type="list" allowBlank="1" showInputMessage="1" showErrorMessage="1" errorTitle="Dropdown list" error="Choose an item from the list!" sqref="F49" xr:uid="{00000000-0002-0000-1900-000005000000}">
      <formula1>$AO$1:$AO$3</formula1>
    </dataValidation>
    <dataValidation type="whole" operator="greaterThanOrEqual" allowBlank="1" showInputMessage="1" showErrorMessage="1" errorTitle="INCOME" error="PLEASE ENTER A POSITIVE VALUE!" sqref="K5" xr:uid="{00000000-0002-0000-1900-000006000000}">
      <formula1>0</formula1>
    </dataValidation>
    <dataValidation type="list" allowBlank="1" showInputMessage="1" showErrorMessage="1" errorTitle="Act " error="Choose the appropriate description from the dropdown list" sqref="D3:F3" xr:uid="{00000000-0002-0000-1900-000007000000}">
      <formula1>$Y$1:$Y$3</formula1>
    </dataValidation>
    <dataValidation type="list" allowBlank="1" showInputMessage="1" showErrorMessage="1" sqref="J26" xr:uid="{00000000-0002-0000-1900-000008000000}">
      <formula1>$AF$2:$AF$5</formula1>
    </dataValidation>
  </dataValidations>
  <hyperlinks>
    <hyperlink ref="B51" location="Index!A1" display="Index!A1" xr:uid="{00000000-0004-0000-1900-000000000000}"/>
    <hyperlink ref="B51:F51" location="Index!A1" display="Index!A1" xr:uid="{00000000-0004-0000-1900-000001000000}"/>
  </hyperlinks>
  <printOptions horizontalCentered="1"/>
  <pageMargins left="0.35433070866141736" right="0.27559055118110237" top="0.6692913385826772" bottom="0.98425196850393704" header="0.31496062992125984" footer="0.51181102362204722"/>
  <pageSetup paperSize="9" orientation="portrait" r:id="rId2"/>
  <headerFooter alignWithMargins="0">
    <oddFooter>&amp;LName&amp;CSignature&amp;RDate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pageSetUpPr fitToPage="1"/>
  </sheetPr>
  <dimension ref="A1:AX115"/>
  <sheetViews>
    <sheetView showGridLines="0" workbookViewId="0">
      <selection activeCell="E13" sqref="E13"/>
    </sheetView>
  </sheetViews>
  <sheetFormatPr defaultColWidth="0" defaultRowHeight="12.75" customHeight="1" zeroHeight="1" x14ac:dyDescent="0.2"/>
  <cols>
    <col min="1" max="1" width="5.28515625" style="28" customWidth="1"/>
    <col min="2" max="2" width="50.5703125" style="28" customWidth="1"/>
    <col min="3" max="3" width="9.7109375" style="28" customWidth="1"/>
    <col min="4" max="4" width="14.28515625" style="28" customWidth="1"/>
    <col min="5" max="5" width="11.7109375" style="28" customWidth="1"/>
    <col min="6" max="6" width="11.42578125" style="28" customWidth="1"/>
    <col min="7" max="7" width="10.28515625" style="28" customWidth="1"/>
    <col min="8" max="8" width="18.7109375" style="28" customWidth="1"/>
    <col min="9" max="9" width="7.28515625" style="28" customWidth="1"/>
    <col min="10" max="10" width="4" style="28" hidden="1" customWidth="1"/>
    <col min="11" max="11" width="9.28515625" style="28" hidden="1" customWidth="1"/>
    <col min="12" max="12" width="10.28515625" style="28" hidden="1" customWidth="1"/>
    <col min="13" max="13" width="12.42578125" style="28" hidden="1" customWidth="1"/>
    <col min="14" max="28" width="9.28515625" style="28" hidden="1" customWidth="1"/>
    <col min="29" max="29" width="13.5703125" style="28" hidden="1" customWidth="1"/>
    <col min="30" max="30" width="9.28515625" style="28" hidden="1" customWidth="1"/>
    <col min="31" max="31" width="19.28515625" style="28" hidden="1" customWidth="1"/>
    <col min="32" max="16384" width="9.28515625" style="28" hidden="1"/>
  </cols>
  <sheetData>
    <row r="1" spans="1:50" ht="12.75" customHeight="1" x14ac:dyDescent="0.2">
      <c r="A1" s="4425" t="str">
        <f>_ref1</f>
      </c>
      <c r="B1" s="4425"/>
      <c r="C1" s="4425"/>
      <c r="D1" s="4425"/>
      <c r="E1" s="4425"/>
      <c r="F1" s="4425"/>
      <c r="G1" s="4425"/>
      <c r="H1" s="65" t="str">
        <f>_YA1</f>
      </c>
      <c r="I1" s="3"/>
      <c r="J1" s="71"/>
      <c r="O1" s="1736" t="s">
        <v>9964</v>
      </c>
      <c r="P1" s="28" t="str">
        <f>'p2'!G36</f>
      </c>
      <c r="AX1" s="122"/>
    </row>
    <row r="2" spans="1:50" ht="18" x14ac:dyDescent="0.25">
      <c r="A2" s="3582">
        <v>1</v>
      </c>
      <c r="B2" s="1013" t="s">
        <v>2657</v>
      </c>
      <c r="C2" s="872"/>
      <c r="D2" s="872"/>
      <c r="E2" s="872"/>
      <c r="F2" s="872"/>
      <c r="G2" s="872"/>
      <c r="H2" s="3581"/>
      <c r="I2" s="3"/>
      <c r="J2" s="71"/>
      <c r="K2" s="28">
        <f>COUNT(F5,E9,F9,F11,E14,F14,F16,E19)</f>
      </c>
    </row>
    <row r="3" spans="1:50" ht="3.75" customHeight="1" x14ac:dyDescent="0.2">
      <c r="A3" s="3"/>
      <c r="B3" s="3"/>
      <c r="C3" s="3"/>
      <c r="D3" s="3"/>
      <c r="E3" s="3"/>
      <c r="F3" s="3"/>
      <c r="G3" s="3"/>
      <c r="H3" s="3"/>
      <c r="I3" s="3"/>
      <c r="J3" s="71"/>
    </row>
    <row r="4" spans="1:50" ht="3.75" customHeight="1" x14ac:dyDescent="0.2">
      <c r="A4" s="3"/>
      <c r="B4" s="3"/>
      <c r="C4" s="3"/>
      <c r="D4" s="3"/>
      <c r="E4" s="3"/>
      <c r="F4" s="3"/>
      <c r="G4" s="3"/>
      <c r="H4" s="3"/>
      <c r="I4" s="3"/>
      <c r="J4" s="71"/>
    </row>
    <row r="5" spans="1:50" x14ac:dyDescent="0.2">
      <c r="A5" s="3"/>
      <c r="B5" s="1780" t="s">
        <v>9984</v>
      </c>
      <c r="C5" s="3"/>
      <c r="D5" s="3"/>
      <c r="E5" s="3"/>
      <c r="F5" s="275"/>
      <c r="G5" s="1300" t="str">
        <f>IF(AND($P$1="y",F5="",K2&gt;0),re,IF(AND($P$1="n",F5&lt;&gt;""),"Delete!",""))</f>
        <v/>
      </c>
      <c r="H5" s="3"/>
      <c r="I5" s="3"/>
      <c r="J5" s="79">
        <f>IF(G5="",0,1)</f>
      </c>
      <c r="L5" s="3123">
        <f>IF(AND($P$1="n",F5&lt;&gt;""),1,0)</f>
      </c>
    </row>
    <row r="6" spans="1:50" x14ac:dyDescent="0.2">
      <c r="A6" s="3"/>
      <c r="B6" s="4549"/>
      <c r="C6" s="4549"/>
      <c r="D6" s="4549"/>
      <c r="E6" s="4549"/>
      <c r="F6" s="17"/>
      <c r="G6" s="81"/>
      <c r="H6" s="78"/>
      <c r="I6" s="78"/>
      <c r="J6" s="79"/>
      <c r="K6" s="77"/>
      <c r="L6" s="77"/>
      <c r="M6" s="77"/>
      <c r="N6" s="77"/>
      <c r="O6" s="77"/>
      <c r="P6" s="77"/>
      <c r="Q6" s="77"/>
      <c r="R6" s="77"/>
      <c r="S6" s="77"/>
      <c r="T6" s="77"/>
      <c r="U6" s="77"/>
    </row>
    <row r="7" spans="1:50" ht="12.75" customHeight="1" x14ac:dyDescent="0.2">
      <c r="A7" s="3"/>
      <c r="B7" s="114"/>
      <c r="C7" s="114"/>
      <c r="D7" s="3"/>
      <c r="E7" s="4698" t="s">
        <v>5348</v>
      </c>
      <c r="F7" s="4699"/>
      <c r="G7" s="4700"/>
      <c r="H7" s="82"/>
      <c r="I7" s="78"/>
      <c r="J7" s="79"/>
      <c r="K7" s="77"/>
      <c r="L7" s="77"/>
      <c r="M7" s="83"/>
      <c r="N7" s="83"/>
      <c r="O7" s="77"/>
      <c r="P7" s="77"/>
      <c r="Q7" s="77"/>
      <c r="R7" s="77"/>
      <c r="S7" s="77"/>
      <c r="T7" s="77"/>
      <c r="U7" s="77"/>
    </row>
    <row r="8" spans="1:50" ht="12.75" customHeight="1" x14ac:dyDescent="0.2">
      <c r="A8" s="3"/>
      <c r="B8" s="1111" t="str">
        <f>EUR</f>
        <v/>
      </c>
      <c r="C8" s="3"/>
      <c r="D8" s="3"/>
      <c r="E8" s="1327" t="s">
        <v>5349</v>
      </c>
      <c r="F8" s="1327" t="s">
        <v>6132</v>
      </c>
      <c r="G8" s="1327" t="s">
        <v>5766</v>
      </c>
      <c r="H8" s="78"/>
      <c r="I8" s="78"/>
      <c r="J8" s="79"/>
      <c r="K8" s="77"/>
    </row>
    <row r="9" spans="1:50" x14ac:dyDescent="0.2">
      <c r="A9" s="3"/>
      <c r="B9" s="85" t="s">
        <v>2252</v>
      </c>
      <c r="C9" s="3"/>
      <c r="D9" s="3"/>
      <c r="E9" s="510"/>
      <c r="F9" s="510"/>
      <c r="G9" s="544">
        <f>E9+F9</f>
      </c>
      <c r="H9" s="1300" t="str">
        <f>IF(L9=0,"",IF(L9&lt;&gt;2,reo,""))</f>
        <v/>
      </c>
      <c r="I9" s="78"/>
      <c r="J9" s="79">
        <f>IF(H9="",0,1)</f>
      </c>
      <c r="K9" s="77"/>
      <c r="L9" s="28">
        <f>COUNT(E9:F9)</f>
      </c>
      <c r="V9" s="84"/>
    </row>
    <row r="10" spans="1:50" ht="4.5" customHeight="1" x14ac:dyDescent="0.2">
      <c r="A10" s="3"/>
      <c r="B10" s="3"/>
      <c r="C10" s="3"/>
      <c r="D10" s="3"/>
      <c r="E10" s="3"/>
      <c r="F10" s="3"/>
      <c r="G10" s="81"/>
      <c r="H10" s="78"/>
      <c r="I10" s="78"/>
      <c r="J10" s="79"/>
      <c r="K10" s="77"/>
      <c r="L10" s="28">
        <f>(F9+F10)*-1</f>
      </c>
      <c r="V10" s="84"/>
    </row>
    <row r="11" spans="1:50" x14ac:dyDescent="0.2">
      <c r="A11" s="3"/>
      <c r="B11" s="3" t="s">
        <v>5767</v>
      </c>
      <c r="C11" s="3"/>
      <c r="D11" s="3"/>
      <c r="E11" s="599" t="str">
        <f>IF(F9=0,"",IF(F11="",reo,""))</f>
        <v/>
      </c>
      <c r="F11" s="510"/>
      <c r="G11" s="544">
        <f>F11</f>
      </c>
      <c r="H11" s="78"/>
      <c r="I11" s="78"/>
      <c r="J11" s="79">
        <f>IF(E11="",0,1)</f>
      </c>
      <c r="K11" s="77"/>
      <c r="L11" s="28">
        <f>SUM(F9:F10)</f>
      </c>
      <c r="V11" s="84"/>
    </row>
    <row r="12" spans="1:50" ht="6" customHeight="1" x14ac:dyDescent="0.2">
      <c r="A12" s="3"/>
      <c r="B12" s="85"/>
      <c r="C12" s="3"/>
      <c r="D12" s="222"/>
      <c r="E12" s="222"/>
      <c r="F12" s="3"/>
      <c r="G12" s="78"/>
      <c r="H12" s="78"/>
      <c r="I12" s="78"/>
      <c r="J12" s="79">
        <f>IF(D12="",0,1)</f>
      </c>
      <c r="K12" s="77"/>
      <c r="N12" s="28">
        <f>G13</f>
      </c>
      <c r="V12" s="84"/>
    </row>
    <row r="13" spans="1:50" x14ac:dyDescent="0.2">
      <c r="A13" s="3"/>
      <c r="B13" s="3" t="s">
        <v>5765</v>
      </c>
      <c r="C13" s="3"/>
      <c r="D13" s="3"/>
      <c r="E13" s="222"/>
      <c r="F13" s="588">
        <f>SUM(F9:F11)</f>
      </c>
      <c r="G13" s="544">
        <f>SUM(G9:G12)</f>
      </c>
      <c r="H13" s="78"/>
      <c r="I13" s="78"/>
      <c r="J13" s="1162">
        <f>IF(D14="",0,1)</f>
      </c>
      <c r="K13" s="77"/>
      <c r="V13" s="84"/>
    </row>
    <row r="14" spans="1:50" x14ac:dyDescent="0.2">
      <c r="A14" s="3"/>
      <c r="B14" s="3" t="s">
        <v>3479</v>
      </c>
      <c r="C14" s="3"/>
      <c r="D14" s="599" t="str">
        <f>IF(AND(E9="",F9=""),"",IF(AND(E9&gt;0,E14=""),reo,IF(AND(F9&gt;0,F14=""),reo,"")))</f>
        <v/>
      </c>
      <c r="E14" s="510"/>
      <c r="F14" s="510"/>
      <c r="G14" s="544">
        <f>SUM(E14:F14)</f>
      </c>
      <c r="H14" s="1130" t="str">
        <f>IF(G14&gt;0," Must be negative!",IF(G14*-1&gt;G13,"Excessive!",""))</f>
        <v/>
      </c>
      <c r="I14" s="1329"/>
      <c r="J14" s="71">
        <f>IF(H14="",0,1)</f>
      </c>
      <c r="K14" s="77"/>
      <c r="M14" s="28">
        <f>(E9+G11)*-1</f>
      </c>
      <c r="N14" s="28">
        <f>G13*-1</f>
      </c>
      <c r="V14" s="84"/>
    </row>
    <row r="15" spans="1:50" x14ac:dyDescent="0.2">
      <c r="A15" s="3"/>
      <c r="B15" s="3" t="s">
        <v>3480</v>
      </c>
      <c r="C15" s="3"/>
      <c r="D15" s="3"/>
      <c r="E15" s="3"/>
      <c r="F15" s="544">
        <f>IF(F13+F14&lt;0,0,F13+F14)</f>
      </c>
      <c r="G15" s="544">
        <f>IF(G13+G14&lt;0,0,G13+G14)</f>
      </c>
      <c r="H15" s="78"/>
      <c r="I15" s="78"/>
      <c r="J15" s="79"/>
      <c r="K15" s="77"/>
      <c r="S15" s="28">
        <f>IF(T15=0,0,IF(F9+G14&lt;T15,1,0))</f>
      </c>
      <c r="T15" s="84">
        <f>G13+G14</f>
      </c>
      <c r="V15" s="84"/>
    </row>
    <row r="16" spans="1:50" x14ac:dyDescent="0.2">
      <c r="A16" s="3"/>
      <c r="B16" s="1780" t="s">
        <v>7985</v>
      </c>
      <c r="C16" s="3"/>
      <c r="D16" s="3"/>
      <c r="E16" s="1328" t="str">
        <f>IF(F16&gt;N16,"Excessive?","")</f>
        <v/>
      </c>
      <c r="F16" s="645"/>
      <c r="G16" s="1158" t="str">
        <f>IF(G15=0,"",IF(ISBLANK(F16),reo,""))</f>
        <v/>
      </c>
      <c r="H16" s="85"/>
      <c r="I16" s="85"/>
      <c r="J16" s="71">
        <f>IF(G16=reo,1,0)</f>
      </c>
      <c r="K16" s="84"/>
      <c r="L16" s="28">
        <f>L17*-1</f>
      </c>
      <c r="M16" s="84">
        <f>IF(F9+F11+G14&lt;0,0,F9+F11+G14)</f>
      </c>
      <c r="N16" s="28">
        <f>ROUND((F15+0.5)*1.07,0)</f>
      </c>
    </row>
    <row r="17" spans="1:27" x14ac:dyDescent="0.2">
      <c r="A17" s="3"/>
      <c r="B17" s="3" t="s">
        <v>4072</v>
      </c>
      <c r="C17" s="3"/>
      <c r="D17" s="3"/>
      <c r="E17" s="544">
        <f>Y17</f>
      </c>
      <c r="F17" s="1159"/>
      <c r="G17" s="81"/>
      <c r="H17" s="85"/>
      <c r="I17" s="85"/>
      <c r="J17" s="71">
        <f>IF(F17=re,1,0)</f>
      </c>
      <c r="K17" s="84"/>
      <c r="L17" s="28">
        <f>E9</f>
      </c>
      <c r="N17" s="84">
        <f>T15-M16+(G9-G13)</f>
      </c>
      <c r="Y17" s="299">
        <f>SUM(Z17:AA17)</f>
      </c>
      <c r="Z17" s="299">
        <f>E9+E14</f>
      </c>
      <c r="AA17" s="28">
        <f>F11*-1</f>
      </c>
    </row>
    <row r="18" spans="1:27" x14ac:dyDescent="0.2">
      <c r="A18" s="3"/>
      <c r="B18" s="3"/>
      <c r="C18" s="3"/>
      <c r="D18" s="17"/>
      <c r="E18" s="86"/>
      <c r="F18" s="86"/>
      <c r="G18" s="86"/>
      <c r="H18" s="85"/>
      <c r="I18" s="85"/>
      <c r="J18" s="71"/>
      <c r="K18" s="84"/>
      <c r="V18" s="84"/>
    </row>
    <row r="19" spans="1:27" x14ac:dyDescent="0.2">
      <c r="A19" s="17"/>
      <c r="B19" s="4715" t="s">
        <v>4465</v>
      </c>
      <c r="C19" s="4716"/>
      <c r="D19" s="4717"/>
      <c r="E19" s="280"/>
      <c r="F19" s="1154" t="str">
        <f>IF(K2=0,"",IF(AND(G14&lt;0,E19=""),re,IF(AND(G14=0,E19&gt;0),"No tax credit claimed for the year!",IF(AND(G14&lt;0,E19=0),"Amount relieved by tax credit required!",IF(E19&lt;0,"Cannot be negative!",IF(OR(E19&gt;M19,E19&lt;N19),Q19,""))))))</f>
        <v/>
      </c>
      <c r="G19" s="86"/>
      <c r="H19" s="3"/>
      <c r="I19" s="3"/>
      <c r="J19" s="71">
        <f>IF(OR(F19=Q19,F19=""),0,1)</f>
      </c>
      <c r="K19" s="32"/>
      <c r="L19" s="28">
        <f>G14/-5%</f>
      </c>
      <c r="M19" s="28">
        <f>L19</f>
      </c>
      <c r="N19" s="28">
        <f>ROUND(G14/-0.35,0)</f>
      </c>
      <c r="Q19" s="28" t="s">
        <v>4787</v>
      </c>
      <c r="V19" s="84"/>
    </row>
    <row r="20" spans="1:27" ht="15" customHeight="1" x14ac:dyDescent="0.2">
      <c r="A20" s="3"/>
      <c r="B20" s="1188"/>
      <c r="C20" s="86"/>
      <c r="D20" s="86"/>
      <c r="E20" s="1022"/>
      <c r="F20" s="86"/>
      <c r="G20" s="86"/>
      <c r="H20" s="3"/>
      <c r="I20" s="3"/>
      <c r="J20" s="71"/>
    </row>
    <row r="21" spans="1:27" hidden="1" x14ac:dyDescent="0.2">
      <c r="J21" s="71">
        <f>IF(F21="",0,1)</f>
      </c>
    </row>
    <row r="22" spans="1:27" x14ac:dyDescent="0.2">
      <c r="A22" s="17"/>
      <c r="B22" s="659"/>
      <c r="C22" s="17"/>
      <c r="D22" s="17"/>
      <c r="E22" s="830"/>
      <c r="F22" s="17"/>
      <c r="G22" s="536"/>
      <c r="H22" s="536"/>
      <c r="I22" s="3"/>
      <c r="J22" s="94">
        <f>SUM(J4:J19)</f>
      </c>
      <c r="K22" s="28">
        <f>IF(E16&lt;&gt;"",1,IF(F19=Q19,1,IF(AND(G16&lt;&gt;"",G16&lt;&gt;reo),1,IF(AND(F17&lt;&gt;"",F17&lt;&gt;re),1,0))))</f>
      </c>
      <c r="M22" s="413"/>
      <c r="N22" s="28">
        <f>K22</f>
      </c>
    </row>
    <row r="23" spans="1:27" s="1146" customFormat="1" ht="19.5" customHeight="1" x14ac:dyDescent="0.2">
      <c r="A23" s="818" t="str">
        <f>_xlfn.SINGLE(MTCA)</f>
      </c>
      <c r="B23" s="818"/>
      <c r="C23" s="818" t="str">
        <f>ver</f>
        <v>TA2_e-CO_2025_Ver 1.1</v>
      </c>
      <c r="D23" s="818"/>
      <c r="E23" s="1144"/>
      <c r="F23" s="818"/>
      <c r="G23" s="818"/>
      <c r="H23" s="859" t="s">
        <v>9987</v>
      </c>
      <c r="I23" s="857"/>
      <c r="J23" s="1145"/>
    </row>
    <row r="24" spans="1:27" s="1146" customFormat="1" ht="19.5" customHeight="1" x14ac:dyDescent="0.2">
      <c r="A24" s="818"/>
      <c r="B24" s="818"/>
      <c r="C24" s="818"/>
      <c r="D24" s="818"/>
      <c r="E24" s="1144"/>
      <c r="F24" s="818"/>
      <c r="G24" s="818"/>
      <c r="H24" s="859"/>
      <c r="I24" s="857"/>
      <c r="J24" s="1145"/>
    </row>
    <row r="25" spans="1:27" ht="18" x14ac:dyDescent="0.25">
      <c r="A25" s="3583">
        <v>2</v>
      </c>
      <c r="B25" s="1013" t="s">
        <v>2657</v>
      </c>
      <c r="C25" s="872"/>
      <c r="D25" s="872"/>
      <c r="E25" s="872"/>
      <c r="F25" s="872"/>
      <c r="G25" s="872"/>
      <c r="H25" s="3581"/>
      <c r="I25" s="3"/>
      <c r="J25" s="71"/>
      <c r="K25" s="28">
        <f>COUNT(F28,E32,F32,F34,E37,F37,F39,E42)</f>
      </c>
    </row>
    <row r="26" spans="1:27" ht="3.75" customHeight="1" x14ac:dyDescent="0.2">
      <c r="A26" s="3"/>
      <c r="B26" s="3"/>
      <c r="C26" s="3"/>
      <c r="D26" s="3"/>
      <c r="E26" s="3"/>
      <c r="F26" s="3"/>
      <c r="G26" s="3"/>
      <c r="H26" s="3"/>
      <c r="I26" s="3"/>
      <c r="J26" s="71"/>
    </row>
    <row r="27" spans="1:27" ht="3.75" customHeight="1" x14ac:dyDescent="0.2">
      <c r="A27" s="3"/>
      <c r="B27" s="3"/>
      <c r="C27" s="3"/>
      <c r="D27" s="3"/>
      <c r="E27" s="3"/>
      <c r="F27" s="3"/>
      <c r="G27" s="3"/>
      <c r="H27" s="3"/>
      <c r="I27" s="3"/>
      <c r="J27" s="71"/>
    </row>
    <row r="28" spans="1:27" x14ac:dyDescent="0.2">
      <c r="A28" s="3"/>
      <c r="B28" s="1780" t="s">
        <v>9984</v>
      </c>
      <c r="C28" s="3"/>
      <c r="D28" s="3"/>
      <c r="E28" s="3"/>
      <c r="F28" s="275"/>
      <c r="G28" s="1300" t="str">
        <f>IF(AND($P$1="y",F28="",K25&gt;0),re,IF(AND($P$1="n",F28&lt;&gt;""),"Delete!",""))</f>
        <v/>
      </c>
      <c r="H28" s="3"/>
      <c r="I28" s="3"/>
      <c r="J28" s="79">
        <f>IF(G28="",0,1)</f>
      </c>
      <c r="L28" s="3123">
        <f>IF(AND($P$1="n",F28&lt;&gt;""),1,0)</f>
      </c>
    </row>
    <row r="29" spans="1:27" x14ac:dyDescent="0.2">
      <c r="A29" s="3"/>
      <c r="B29" s="4549"/>
      <c r="C29" s="4549"/>
      <c r="D29" s="4549"/>
      <c r="E29" s="4549"/>
      <c r="F29" s="17"/>
      <c r="G29" s="81"/>
      <c r="H29" s="78"/>
      <c r="I29" s="78"/>
      <c r="J29" s="79"/>
      <c r="K29" s="77"/>
      <c r="L29" s="77"/>
      <c r="M29" s="77"/>
      <c r="N29" s="77"/>
      <c r="O29" s="77"/>
      <c r="P29" s="77"/>
      <c r="Q29" s="77"/>
      <c r="R29" s="77"/>
      <c r="S29" s="77"/>
      <c r="T29" s="77"/>
      <c r="U29" s="77"/>
    </row>
    <row r="30" spans="1:27" ht="12.75" customHeight="1" x14ac:dyDescent="0.2">
      <c r="A30" s="3"/>
      <c r="B30" s="114"/>
      <c r="C30" s="114"/>
      <c r="D30" s="3"/>
      <c r="E30" s="4698" t="s">
        <v>5348</v>
      </c>
      <c r="F30" s="4699"/>
      <c r="G30" s="4700"/>
      <c r="H30" s="82"/>
      <c r="I30" s="78"/>
      <c r="J30" s="79"/>
      <c r="K30" s="77"/>
      <c r="L30" s="77"/>
      <c r="M30" s="83"/>
      <c r="N30" s="83"/>
      <c r="O30" s="77"/>
      <c r="P30" s="77"/>
      <c r="Q30" s="77"/>
      <c r="R30" s="77"/>
      <c r="S30" s="77"/>
      <c r="T30" s="77"/>
      <c r="U30" s="77"/>
    </row>
    <row r="31" spans="1:27" ht="12.75" customHeight="1" x14ac:dyDescent="0.2">
      <c r="A31" s="3"/>
      <c r="B31" s="1111" t="str">
        <f>EUR</f>
        <v/>
      </c>
      <c r="C31" s="3"/>
      <c r="D31" s="3"/>
      <c r="E31" s="1327" t="s">
        <v>5349</v>
      </c>
      <c r="F31" s="1327" t="s">
        <v>6132</v>
      </c>
      <c r="G31" s="1327" t="s">
        <v>5766</v>
      </c>
      <c r="H31" s="78"/>
      <c r="I31" s="78"/>
      <c r="J31" s="79"/>
      <c r="K31" s="77"/>
    </row>
    <row r="32" spans="1:27" x14ac:dyDescent="0.2">
      <c r="A32" s="3"/>
      <c r="B32" s="85" t="s">
        <v>2252</v>
      </c>
      <c r="C32" s="3"/>
      <c r="D32" s="3"/>
      <c r="E32" s="510"/>
      <c r="F32" s="510"/>
      <c r="G32" s="544">
        <f>E32+F32</f>
      </c>
      <c r="H32" s="1300" t="str">
        <f>IF(L32=0,"",IF(L32&lt;&gt;2,reo,""))</f>
        <v/>
      </c>
      <c r="I32" s="78"/>
      <c r="J32" s="79">
        <f>IF(H32="",0,1)</f>
      </c>
      <c r="K32" s="77"/>
      <c r="L32" s="28">
        <f>COUNT(E32:F32)</f>
      </c>
      <c r="V32" s="84"/>
    </row>
    <row r="33" spans="1:27" ht="4.5" customHeight="1" x14ac:dyDescent="0.2">
      <c r="A33" s="3"/>
      <c r="B33" s="3"/>
      <c r="C33" s="3"/>
      <c r="D33" s="3"/>
      <c r="E33" s="3"/>
      <c r="F33" s="3"/>
      <c r="G33" s="81"/>
      <c r="H33" s="78"/>
      <c r="I33" s="78"/>
      <c r="J33" s="79"/>
      <c r="K33" s="77"/>
      <c r="L33" s="28">
        <f>(F32+F33)*-1</f>
      </c>
      <c r="V33" s="84"/>
    </row>
    <row r="34" spans="1:27" x14ac:dyDescent="0.2">
      <c r="A34" s="3"/>
      <c r="B34" s="3" t="s">
        <v>5767</v>
      </c>
      <c r="C34" s="3"/>
      <c r="D34" s="3"/>
      <c r="E34" s="599" t="str">
        <f>IF(F32=0,"",IF(F34="",reo,""))</f>
        <v/>
      </c>
      <c r="F34" s="510"/>
      <c r="G34" s="544">
        <f>F34</f>
      </c>
      <c r="H34" s="78"/>
      <c r="I34" s="78"/>
      <c r="J34" s="79">
        <f>IF(E34="",0,1)</f>
      </c>
      <c r="K34" s="77"/>
      <c r="L34" s="28">
        <f>SUM(F32:F33)</f>
      </c>
      <c r="V34" s="84"/>
    </row>
    <row r="35" spans="1:27" ht="6" customHeight="1" x14ac:dyDescent="0.2">
      <c r="A35" s="3"/>
      <c r="B35" s="85"/>
      <c r="C35" s="3"/>
      <c r="D35" s="222"/>
      <c r="E35" s="222"/>
      <c r="F35" s="3"/>
      <c r="G35" s="78"/>
      <c r="H35" s="78"/>
      <c r="I35" s="78"/>
      <c r="J35" s="79">
        <f>IF(D35="",0,1)</f>
      </c>
      <c r="K35" s="77"/>
      <c r="N35" s="28">
        <f>G36</f>
      </c>
      <c r="V35" s="84"/>
    </row>
    <row r="36" spans="1:27" x14ac:dyDescent="0.2">
      <c r="A36" s="3"/>
      <c r="B36" s="3" t="s">
        <v>5765</v>
      </c>
      <c r="C36" s="3"/>
      <c r="D36" s="3"/>
      <c r="E36" s="222"/>
      <c r="F36" s="588">
        <f>SUM(F32:F34)</f>
      </c>
      <c r="G36" s="544">
        <f>SUM(G32:G35)</f>
      </c>
      <c r="H36" s="78"/>
      <c r="I36" s="78"/>
      <c r="J36" s="1162">
        <f>IF(D37="",0,1)</f>
      </c>
      <c r="K36" s="77"/>
      <c r="V36" s="84"/>
    </row>
    <row r="37" spans="1:27" x14ac:dyDescent="0.2">
      <c r="A37" s="3"/>
      <c r="B37" s="3" t="s">
        <v>3479</v>
      </c>
      <c r="C37" s="3"/>
      <c r="D37" s="599" t="str">
        <f>IF(AND(E32="",F32=""),"",IF(AND(E32&gt;0,E37=""),reo,IF(AND(F32&gt;0,F37=""),reo,"")))</f>
        <v/>
      </c>
      <c r="E37" s="510"/>
      <c r="F37" s="510"/>
      <c r="G37" s="544">
        <f>SUM(E37:F37)</f>
      </c>
      <c r="H37" s="1130" t="str">
        <f>IF(AND($P$1="n",COUNTA(E37,F37)&gt;0),"Check - pg 2 q30",IF(G37&gt;0," Must be negative!",IF(G37*-1&gt;G36,"Excessive!","")))</f>
        <v/>
      </c>
      <c r="I37" s="1329"/>
      <c r="J37" s="71">
        <f>IF(H37="",0,1)</f>
      </c>
      <c r="K37" s="77"/>
      <c r="M37" s="28">
        <f>(E32+G34)*-1</f>
      </c>
      <c r="N37" s="28">
        <f>G36*-1</f>
      </c>
      <c r="V37" s="84"/>
    </row>
    <row r="38" spans="1:27" x14ac:dyDescent="0.2">
      <c r="A38" s="3"/>
      <c r="B38" s="3" t="s">
        <v>3480</v>
      </c>
      <c r="C38" s="3"/>
      <c r="D38" s="3"/>
      <c r="E38" s="3"/>
      <c r="F38" s="544">
        <f>IF(F36+F37&lt;0,0,F36+F37)</f>
      </c>
      <c r="G38" s="544">
        <f>IF(G36+G37&lt;0,0,G36+G37)</f>
      </c>
      <c r="H38" s="78"/>
      <c r="I38" s="78"/>
      <c r="J38" s="79"/>
      <c r="K38" s="77"/>
      <c r="S38" s="28">
        <f>IF(T38=0,0,IF(F32+G37&lt;T38,1,0))</f>
      </c>
      <c r="T38" s="84">
        <f>G36+G37</f>
      </c>
      <c r="V38" s="84"/>
    </row>
    <row r="39" spans="1:27" x14ac:dyDescent="0.2">
      <c r="A39" s="3"/>
      <c r="B39" s="1780" t="s">
        <v>7985</v>
      </c>
      <c r="C39" s="3"/>
      <c r="D39" s="3"/>
      <c r="E39" s="1328" t="str">
        <f>IF(F39&gt;N39,"Excessive?","")</f>
        <v/>
      </c>
      <c r="F39" s="645"/>
      <c r="G39" s="1158" t="str">
        <f>IF(G38=0,"",IF(ISBLANK(F39),reo,""))</f>
        <v/>
      </c>
      <c r="H39" s="85"/>
      <c r="I39" s="85"/>
      <c r="J39" s="71">
        <f>IF(G39=reo,1,0)</f>
      </c>
      <c r="K39" s="84"/>
      <c r="L39" s="28">
        <f>L40*-1</f>
      </c>
      <c r="M39" s="84">
        <f>IF(F32+F34+G37&lt;0,0,F32+F34+G37)</f>
      </c>
      <c r="N39" s="28">
        <f>ROUND((F38+0.5)*1.07,0)</f>
      </c>
    </row>
    <row r="40" spans="1:27" x14ac:dyDescent="0.2">
      <c r="A40" s="3"/>
      <c r="B40" s="3" t="s">
        <v>4072</v>
      </c>
      <c r="C40" s="3"/>
      <c r="D40" s="3"/>
      <c r="E40" s="544">
        <f>Y40</f>
      </c>
      <c r="F40" s="1159"/>
      <c r="G40" s="81"/>
      <c r="H40" s="85"/>
      <c r="I40" s="85"/>
      <c r="J40" s="71">
        <f>IF(F40=re,1,0)</f>
      </c>
      <c r="K40" s="84"/>
      <c r="L40" s="28">
        <f>E32</f>
      </c>
      <c r="N40" s="84">
        <f>T38-M39+(G32-G36)</f>
      </c>
      <c r="Y40" s="299">
        <f>SUM(Z40:AA40)</f>
      </c>
      <c r="Z40" s="299">
        <f>E32+E37</f>
      </c>
      <c r="AA40" s="28">
        <f>F34*-1</f>
      </c>
    </row>
    <row r="41" spans="1:27" x14ac:dyDescent="0.2">
      <c r="A41" s="3"/>
      <c r="B41" s="3"/>
      <c r="C41" s="3"/>
      <c r="D41" s="17"/>
      <c r="E41" s="86"/>
      <c r="F41" s="86"/>
      <c r="G41" s="86"/>
      <c r="H41" s="85"/>
      <c r="I41" s="85"/>
      <c r="J41" s="71"/>
      <c r="K41" s="84"/>
      <c r="V41" s="84"/>
    </row>
    <row r="42" spans="1:27" x14ac:dyDescent="0.2">
      <c r="A42" s="17"/>
      <c r="B42" s="4715" t="s">
        <v>4465</v>
      </c>
      <c r="C42" s="4716"/>
      <c r="D42" s="4717"/>
      <c r="E42" s="280"/>
      <c r="F42" s="1154" t="str">
        <f>IF(AND($P$1="n",COUNTA(E42)&gt;0),"Check - pg 2 q30",IF(K25=0,"",IF(AND(G37&lt;0,E42=""),re,IF(AND(G37=0,E42&gt;0),"No tax credit claimed for the year!",IF(AND(G37&lt;0,E42=0),"Amount relieved by tax credit required!",IF(E42&lt;0,"Cannot be negative!",IF(OR(E42&gt;M42,E42&lt;N42),Q42,"")))))))</f>
        <v/>
      </c>
      <c r="G42" s="86"/>
      <c r="H42" s="3"/>
      <c r="I42" s="3"/>
      <c r="J42" s="71">
        <f>IF(OR(F42=Q42,F42=""),0,1)</f>
      </c>
      <c r="K42" s="32"/>
      <c r="L42" s="28">
        <f>G37/-5%</f>
      </c>
      <c r="M42" s="28">
        <f>L42</f>
      </c>
      <c r="N42" s="28">
        <f>ROUND(G37/-0.35,0)</f>
      </c>
      <c r="Q42" s="28" t="s">
        <v>4787</v>
      </c>
      <c r="V42" s="84"/>
    </row>
    <row r="43" spans="1:27" ht="15" customHeight="1" x14ac:dyDescent="0.2">
      <c r="A43" s="3"/>
      <c r="B43" s="1188"/>
      <c r="C43" s="86"/>
      <c r="D43" s="86"/>
      <c r="E43" s="1022"/>
      <c r="F43" s="86"/>
      <c r="G43" s="86"/>
      <c r="H43" s="3"/>
      <c r="I43" s="3"/>
      <c r="J43" s="71"/>
    </row>
    <row r="44" spans="1:27" hidden="1" x14ac:dyDescent="0.2">
      <c r="J44" s="71">
        <f>IF(F44="",0,1)</f>
      </c>
    </row>
    <row r="45" spans="1:27" x14ac:dyDescent="0.2">
      <c r="A45" s="17"/>
      <c r="B45" s="659"/>
      <c r="C45" s="17"/>
      <c r="D45" s="17"/>
      <c r="E45" s="830"/>
      <c r="F45" s="17"/>
      <c r="G45" s="536"/>
      <c r="H45" s="536"/>
      <c r="I45" s="3"/>
      <c r="J45" s="94">
        <f>SUM(J28:J42)</f>
      </c>
      <c r="K45" s="28">
        <f>IF(E39&lt;&gt;"",1,IF(F42=Q42,1,IF(AND(G39&lt;&gt;"",G39&lt;&gt;reo),1,IF(AND(F40&lt;&gt;"",F40&lt;&gt;re),1,0))))</f>
      </c>
      <c r="M45" s="413"/>
      <c r="N45" s="28">
        <f>K45</f>
      </c>
    </row>
    <row r="46" spans="1:27" s="1146" customFormat="1" ht="19.5" customHeight="1" x14ac:dyDescent="0.2">
      <c r="A46" s="818" t="str">
        <f>_xlfn.SINGLE(MTCA)</f>
      </c>
      <c r="B46" s="818"/>
      <c r="C46" s="818" t="str">
        <f>ver</f>
        <v>TA2_e-CO_2025_Ver 1.1</v>
      </c>
      <c r="D46" s="818"/>
      <c r="E46" s="1144"/>
      <c r="F46" s="818"/>
      <c r="G46" s="818"/>
      <c r="H46" s="859" t="s">
        <v>9988</v>
      </c>
      <c r="I46" s="857"/>
      <c r="J46" s="1145"/>
    </row>
    <row r="47" spans="1:27" s="1146" customFormat="1" ht="19.5" customHeight="1" x14ac:dyDescent="0.2">
      <c r="A47" s="818"/>
      <c r="B47" s="818"/>
      <c r="C47" s="818"/>
      <c r="D47" s="818"/>
      <c r="E47" s="1144"/>
      <c r="F47" s="818"/>
      <c r="G47" s="818"/>
      <c r="H47" s="859"/>
      <c r="I47" s="857"/>
      <c r="J47" s="1145"/>
    </row>
    <row r="48" spans="1:27" ht="18" x14ac:dyDescent="0.25">
      <c r="A48" s="3582">
        <v>3</v>
      </c>
      <c r="B48" s="1013" t="s">
        <v>2657</v>
      </c>
      <c r="C48" s="872"/>
      <c r="D48" s="872"/>
      <c r="E48" s="872"/>
      <c r="F48" s="872"/>
      <c r="G48" s="872"/>
      <c r="H48" s="3581"/>
      <c r="I48" s="3"/>
      <c r="J48" s="71"/>
      <c r="K48" s="28">
        <f>COUNT(F51,E55,F55,F57,E60,F60,F62,E65)</f>
      </c>
    </row>
    <row r="49" spans="1:27" ht="3.75" customHeight="1" x14ac:dyDescent="0.2">
      <c r="A49" s="3"/>
      <c r="B49" s="3"/>
      <c r="C49" s="3"/>
      <c r="D49" s="3"/>
      <c r="E49" s="3"/>
      <c r="F49" s="3"/>
      <c r="G49" s="3"/>
      <c r="H49" s="3"/>
      <c r="I49" s="3"/>
      <c r="J49" s="71"/>
    </row>
    <row r="50" spans="1:27" ht="3.75" customHeight="1" x14ac:dyDescent="0.2">
      <c r="A50" s="3"/>
      <c r="B50" s="3"/>
      <c r="C50" s="3"/>
      <c r="D50" s="3"/>
      <c r="E50" s="3"/>
      <c r="F50" s="3"/>
      <c r="G50" s="3"/>
      <c r="H50" s="3"/>
      <c r="I50" s="3"/>
      <c r="J50" s="71"/>
    </row>
    <row r="51" spans="1:27" x14ac:dyDescent="0.2">
      <c r="A51" s="3"/>
      <c r="B51" s="1780" t="s">
        <v>9984</v>
      </c>
      <c r="C51" s="3"/>
      <c r="D51" s="3"/>
      <c r="E51" s="3"/>
      <c r="F51" s="275"/>
      <c r="G51" s="1300" t="str">
        <f>IF(AND($P$1="y",F51="",K48&gt;0),re,IF(AND($P$1="n",F51&lt;&gt;""),"Delete!",""))</f>
        <v/>
      </c>
      <c r="H51" s="3"/>
      <c r="I51" s="3"/>
      <c r="J51" s="79">
        <f>IF(G51="",0,1)</f>
      </c>
      <c r="L51" s="3123">
        <f>IF(AND($P$1="n",F51&lt;&gt;""),1,0)</f>
      </c>
    </row>
    <row r="52" spans="1:27" x14ac:dyDescent="0.2">
      <c r="A52" s="3"/>
      <c r="B52" s="4549"/>
      <c r="C52" s="4549"/>
      <c r="D52" s="4549"/>
      <c r="E52" s="4549"/>
      <c r="F52" s="17"/>
      <c r="G52" s="81"/>
      <c r="H52" s="78"/>
      <c r="I52" s="78"/>
      <c r="J52" s="79"/>
      <c r="K52" s="77"/>
      <c r="L52" s="77"/>
      <c r="M52" s="77"/>
      <c r="N52" s="77"/>
      <c r="O52" s="77"/>
      <c r="P52" s="77"/>
      <c r="Q52" s="77"/>
      <c r="R52" s="77"/>
      <c r="S52" s="77"/>
      <c r="T52" s="77"/>
      <c r="U52" s="77"/>
    </row>
    <row r="53" spans="1:27" ht="12.75" customHeight="1" x14ac:dyDescent="0.2">
      <c r="A53" s="3"/>
      <c r="B53" s="114"/>
      <c r="C53" s="114"/>
      <c r="D53" s="3"/>
      <c r="E53" s="4698" t="s">
        <v>5348</v>
      </c>
      <c r="F53" s="4699"/>
      <c r="G53" s="4700"/>
      <c r="H53" s="82"/>
      <c r="I53" s="78"/>
      <c r="J53" s="79"/>
      <c r="K53" s="77"/>
      <c r="L53" s="77"/>
      <c r="M53" s="83"/>
      <c r="N53" s="83"/>
      <c r="O53" s="77"/>
      <c r="P53" s="77"/>
      <c r="Q53" s="77"/>
      <c r="R53" s="77"/>
      <c r="S53" s="77"/>
      <c r="T53" s="77"/>
      <c r="U53" s="77"/>
    </row>
    <row r="54" spans="1:27" ht="12.75" customHeight="1" x14ac:dyDescent="0.2">
      <c r="A54" s="3"/>
      <c r="B54" s="1111" t="str">
        <f>EUR</f>
        <v/>
      </c>
      <c r="C54" s="3"/>
      <c r="D54" s="3"/>
      <c r="E54" s="1327" t="s">
        <v>5349</v>
      </c>
      <c r="F54" s="1327" t="s">
        <v>6132</v>
      </c>
      <c r="G54" s="1327" t="s">
        <v>5766</v>
      </c>
      <c r="H54" s="78"/>
      <c r="I54" s="78"/>
      <c r="J54" s="79"/>
      <c r="K54" s="77"/>
    </row>
    <row r="55" spans="1:27" x14ac:dyDescent="0.2">
      <c r="A55" s="3"/>
      <c r="B55" s="85" t="s">
        <v>2252</v>
      </c>
      <c r="C55" s="3"/>
      <c r="D55" s="3"/>
      <c r="E55" s="510"/>
      <c r="F55" s="510"/>
      <c r="G55" s="544">
        <f>E55+F55</f>
      </c>
      <c r="H55" s="1300" t="str">
        <f>IF(L55=0,"",IF(L55&lt;&gt;2,reo,""))</f>
        <v/>
      </c>
      <c r="I55" s="78"/>
      <c r="J55" s="79">
        <f>IF(H55="",0,1)</f>
      </c>
      <c r="K55" s="77"/>
      <c r="L55" s="28">
        <f>COUNT(E55:F55)</f>
      </c>
      <c r="V55" s="84"/>
    </row>
    <row r="56" spans="1:27" ht="4.5" customHeight="1" x14ac:dyDescent="0.2">
      <c r="A56" s="3"/>
      <c r="B56" s="3"/>
      <c r="C56" s="3"/>
      <c r="D56" s="3"/>
      <c r="E56" s="3"/>
      <c r="F56" s="3"/>
      <c r="G56" s="81"/>
      <c r="H56" s="78"/>
      <c r="I56" s="78"/>
      <c r="J56" s="79"/>
      <c r="K56" s="77"/>
      <c r="L56" s="28">
        <f>(F55+F56)*-1</f>
      </c>
      <c r="V56" s="84"/>
    </row>
    <row r="57" spans="1:27" x14ac:dyDescent="0.2">
      <c r="A57" s="3"/>
      <c r="B57" s="3" t="s">
        <v>5767</v>
      </c>
      <c r="C57" s="3"/>
      <c r="D57" s="3"/>
      <c r="E57" s="599" t="str">
        <f>IF(F55=0,"",IF(F57="",reo,""))</f>
        <v/>
      </c>
      <c r="F57" s="510"/>
      <c r="G57" s="544">
        <f>F57</f>
      </c>
      <c r="H57" s="78"/>
      <c r="I57" s="78"/>
      <c r="J57" s="79">
        <f>IF(E57="",0,1)</f>
      </c>
      <c r="K57" s="77"/>
      <c r="L57" s="28">
        <f>SUM(F55:F56)</f>
      </c>
      <c r="V57" s="84"/>
    </row>
    <row r="58" spans="1:27" ht="6" customHeight="1" x14ac:dyDescent="0.2">
      <c r="A58" s="3"/>
      <c r="B58" s="85"/>
      <c r="C58" s="3"/>
      <c r="D58" s="222"/>
      <c r="E58" s="222"/>
      <c r="F58" s="3"/>
      <c r="G58" s="78"/>
      <c r="H58" s="78"/>
      <c r="I58" s="78"/>
      <c r="J58" s="79">
        <f>IF(D58="",0,1)</f>
      </c>
      <c r="K58" s="77"/>
      <c r="N58" s="28">
        <f>G59</f>
      </c>
      <c r="V58" s="84"/>
    </row>
    <row r="59" spans="1:27" x14ac:dyDescent="0.2">
      <c r="A59" s="3"/>
      <c r="B59" s="3" t="s">
        <v>5765</v>
      </c>
      <c r="C59" s="3"/>
      <c r="D59" s="3"/>
      <c r="E59" s="222"/>
      <c r="F59" s="588">
        <f>SUM(F55:F57)</f>
      </c>
      <c r="G59" s="544">
        <f>SUM(G55:G58)</f>
      </c>
      <c r="H59" s="78"/>
      <c r="I59" s="78"/>
      <c r="J59" s="1162">
        <f>IF(D60="",0,1)</f>
      </c>
      <c r="K59" s="77"/>
      <c r="V59" s="84"/>
    </row>
    <row r="60" spans="1:27" x14ac:dyDescent="0.2">
      <c r="A60" s="3"/>
      <c r="B60" s="3" t="s">
        <v>3479</v>
      </c>
      <c r="C60" s="3"/>
      <c r="D60" s="599" t="str">
        <f>IF(AND(E55="",F55=""),"",IF(AND(E55&gt;0,E60=""),reo,IF(AND(F55&gt;0,F60=""),reo,"")))</f>
        <v/>
      </c>
      <c r="E60" s="510"/>
      <c r="F60" s="510"/>
      <c r="G60" s="544">
        <f>SUM(E60:F60)</f>
      </c>
      <c r="H60" s="1130" t="str">
        <f>IF(AND($P$1="n",COUNTA(E60,F60)&gt;0),"Check - pg 2 q30",IF(G60&gt;0," Must be negative!",IF(G60*-1&gt;G59,"Excessive!","")))</f>
        <v/>
      </c>
      <c r="I60" s="1329"/>
      <c r="J60" s="71">
        <f>IF(H60="",0,1)</f>
      </c>
      <c r="K60" s="77"/>
      <c r="M60" s="28">
        <f>(E55+G57)*-1</f>
      </c>
      <c r="N60" s="28">
        <f>G59*-1</f>
      </c>
      <c r="V60" s="84"/>
    </row>
    <row r="61" spans="1:27" x14ac:dyDescent="0.2">
      <c r="A61" s="3"/>
      <c r="B61" s="3" t="s">
        <v>3480</v>
      </c>
      <c r="C61" s="3"/>
      <c r="D61" s="3"/>
      <c r="E61" s="3"/>
      <c r="F61" s="544">
        <f>IF(F59+F60&lt;0,0,F59+F60)</f>
      </c>
      <c r="G61" s="544">
        <f>IF(G59+G60&lt;0,0,G59+G60)</f>
      </c>
      <c r="H61" s="78"/>
      <c r="I61" s="78"/>
      <c r="J61" s="79"/>
      <c r="K61" s="77"/>
      <c r="S61" s="28">
        <f>IF(T61=0,0,IF(F55+G60&lt;T61,1,0))</f>
      </c>
      <c r="T61" s="84">
        <f>G59+G60</f>
      </c>
      <c r="V61" s="84"/>
    </row>
    <row r="62" spans="1:27" x14ac:dyDescent="0.2">
      <c r="A62" s="3"/>
      <c r="B62" s="1780" t="s">
        <v>7985</v>
      </c>
      <c r="C62" s="3"/>
      <c r="D62" s="3"/>
      <c r="E62" s="1328" t="str">
        <f>IF(F62&gt;N62,"Excessive?","")</f>
        <v/>
      </c>
      <c r="F62" s="645"/>
      <c r="G62" s="1158" t="str">
        <f>IF(G61=0,"",IF(ISBLANK(F62),reo,""))</f>
        <v/>
      </c>
      <c r="H62" s="85"/>
      <c r="I62" s="85"/>
      <c r="J62" s="71">
        <f>IF(G62=reo,1,0)</f>
      </c>
      <c r="K62" s="84"/>
      <c r="L62" s="28">
        <f>L63*-1</f>
      </c>
      <c r="M62" s="84">
        <f>IF(F55+F57+G60&lt;0,0,F55+F57+G60)</f>
      </c>
      <c r="N62" s="28">
        <f>ROUND((F61+0.5)*1.07,0)</f>
      </c>
    </row>
    <row r="63" spans="1:27" x14ac:dyDescent="0.2">
      <c r="A63" s="3"/>
      <c r="B63" s="3" t="s">
        <v>4072</v>
      </c>
      <c r="C63" s="3"/>
      <c r="D63" s="3"/>
      <c r="E63" s="544">
        <f>Y63</f>
      </c>
      <c r="F63" s="1159"/>
      <c r="G63" s="81"/>
      <c r="H63" s="85"/>
      <c r="I63" s="85"/>
      <c r="J63" s="71">
        <f>IF(F63=re,1,0)</f>
      </c>
      <c r="K63" s="84"/>
      <c r="L63" s="28">
        <f>E55</f>
      </c>
      <c r="N63" s="84">
        <f>T61-M62+(G55-G59)</f>
      </c>
      <c r="Y63" s="299">
        <f>SUM(Z63:AA63)</f>
      </c>
      <c r="Z63" s="299">
        <f>E55+E60</f>
      </c>
      <c r="AA63" s="28">
        <f>F57*-1</f>
      </c>
    </row>
    <row r="64" spans="1:27" x14ac:dyDescent="0.2">
      <c r="A64" s="3"/>
      <c r="B64" s="3"/>
      <c r="C64" s="3"/>
      <c r="D64" s="17"/>
      <c r="E64" s="86"/>
      <c r="F64" s="86"/>
      <c r="G64" s="86"/>
      <c r="H64" s="85"/>
      <c r="I64" s="85"/>
      <c r="J64" s="71"/>
      <c r="K64" s="84"/>
      <c r="V64" s="84"/>
    </row>
    <row r="65" spans="1:22" x14ac:dyDescent="0.2">
      <c r="A65" s="17"/>
      <c r="B65" s="4715" t="s">
        <v>4465</v>
      </c>
      <c r="C65" s="4716"/>
      <c r="D65" s="4717"/>
      <c r="E65" s="280"/>
      <c r="F65" s="1154" t="str">
        <f>IF(AND($P$1="n",COUNTA(E65)&gt;0),"Check - pg 2 q30",IF(K48=0,"",IF(AND(G60&lt;0,E65=""),re,IF(AND(G60=0,E65&gt;0),"No tax credit claimed for the year!",IF(AND(G60&lt;0,E65=0),"Amount relieved by tax credit required!",IF(E65&lt;0,"Cannot be negative!",IF(OR(E65&gt;M65,E65&lt;N65),Q65,"")))))))</f>
        <v/>
      </c>
      <c r="G65" s="86"/>
      <c r="H65" s="3"/>
      <c r="I65" s="3"/>
      <c r="J65" s="71">
        <f>IF(OR(F65=Q65,F65=""),0,1)</f>
      </c>
      <c r="K65" s="32"/>
      <c r="L65" s="28">
        <f>G60/-5%</f>
      </c>
      <c r="M65" s="28">
        <f>L65</f>
      </c>
      <c r="N65" s="28">
        <f>ROUND(G60/-0.35,0)</f>
      </c>
      <c r="Q65" s="28" t="s">
        <v>4787</v>
      </c>
      <c r="V65" s="84"/>
    </row>
    <row r="66" spans="1:22" ht="15" customHeight="1" x14ac:dyDescent="0.2">
      <c r="A66" s="3"/>
      <c r="B66" s="1188"/>
      <c r="C66" s="86"/>
      <c r="D66" s="86"/>
      <c r="E66" s="1022"/>
      <c r="F66" s="86"/>
      <c r="G66" s="86"/>
      <c r="H66" s="3"/>
      <c r="I66" s="3"/>
      <c r="J66" s="71"/>
    </row>
    <row r="67" spans="1:22" hidden="1" x14ac:dyDescent="0.2">
      <c r="J67" s="71">
        <f>IF(F67="",0,1)</f>
      </c>
    </row>
    <row r="68" spans="1:22" x14ac:dyDescent="0.2">
      <c r="A68" s="17"/>
      <c r="B68" s="659"/>
      <c r="C68" s="17"/>
      <c r="D68" s="17"/>
      <c r="E68" s="830"/>
      <c r="F68" s="17"/>
      <c r="G68" s="536"/>
      <c r="H68" s="536"/>
      <c r="I68" s="3"/>
      <c r="J68" s="94">
        <f>SUM(J51:J65)</f>
      </c>
      <c r="K68" s="28">
        <f>IF(E62&lt;&gt;"",1,IF(F65=Q65,1,IF(AND(G62&lt;&gt;"",G62&lt;&gt;reo),1,IF(AND(F63&lt;&gt;"",F63&lt;&gt;re),1,0))))</f>
      </c>
      <c r="M68" s="413"/>
      <c r="N68" s="28">
        <f>K68</f>
      </c>
    </row>
    <row r="69" spans="1:22" s="1146" customFormat="1" ht="19.5" customHeight="1" x14ac:dyDescent="0.2">
      <c r="A69" s="818" t="str">
        <f>_xlfn.SINGLE(MTCA)</f>
      </c>
      <c r="B69" s="818"/>
      <c r="C69" s="818" t="str">
        <f>ver</f>
        <v>TA2_e-CO_2025_Ver 1.1</v>
      </c>
      <c r="D69" s="818"/>
      <c r="E69" s="1144"/>
      <c r="F69" s="818"/>
      <c r="G69" s="818"/>
      <c r="H69" s="859" t="s">
        <v>9989</v>
      </c>
      <c r="I69" s="857"/>
      <c r="J69" s="1145"/>
    </row>
    <row r="70" spans="1:22" s="1146" customFormat="1" ht="19.5" customHeight="1" x14ac:dyDescent="0.2">
      <c r="A70" s="818"/>
      <c r="B70" s="818"/>
      <c r="C70" s="818"/>
      <c r="D70" s="818"/>
      <c r="E70" s="1144"/>
      <c r="F70" s="818"/>
      <c r="G70" s="818"/>
      <c r="H70" s="859"/>
      <c r="I70" s="857"/>
      <c r="J70" s="1145"/>
    </row>
    <row r="71" spans="1:22" s="1146" customFormat="1" ht="19.5" customHeight="1" x14ac:dyDescent="0.25">
      <c r="A71" s="4517" t="s">
        <v>9990</v>
      </c>
      <c r="B71" s="4518"/>
      <c r="C71" s="4518"/>
      <c r="D71" s="4518"/>
      <c r="E71" s="4518"/>
      <c r="F71" s="4518"/>
      <c r="G71" s="4518"/>
      <c r="H71" s="4519"/>
      <c r="I71" s="857"/>
      <c r="J71" s="1145"/>
    </row>
    <row r="72" spans="1:22" s="1146" customFormat="1" x14ac:dyDescent="0.2">
      <c r="A72" s="818"/>
      <c r="B72" s="818"/>
      <c r="C72" s="818"/>
      <c r="D72" s="818"/>
      <c r="E72" s="1144"/>
      <c r="F72" s="818"/>
      <c r="G72" s="818"/>
      <c r="H72" s="859"/>
      <c r="I72" s="857"/>
      <c r="J72" s="1145"/>
    </row>
    <row r="73" spans="1:22" s="1146" customFormat="1" x14ac:dyDescent="0.2">
      <c r="A73" s="818"/>
      <c r="B73" s="1780" t="s">
        <v>3479</v>
      </c>
      <c r="C73" s="818"/>
      <c r="D73" s="818"/>
      <c r="E73" s="1329" t="s">
        <v>6215</v>
      </c>
      <c r="F73" s="544">
        <f>IF($P$1="n",-G14,SUM(G14+G37+G60)*-1)</f>
      </c>
      <c r="G73" s="818"/>
      <c r="H73" s="859"/>
      <c r="I73" s="857"/>
      <c r="J73" s="1145"/>
      <c r="K73" s="1145"/>
    </row>
    <row r="74" spans="1:22" s="1146" customFormat="1" ht="8.25" customHeight="1" x14ac:dyDescent="0.2">
      <c r="A74" s="818"/>
      <c r="B74" s="818"/>
      <c r="C74" s="818"/>
      <c r="D74" s="818"/>
      <c r="E74" s="1144"/>
      <c r="F74" s="818"/>
      <c r="G74" s="818"/>
      <c r="H74" s="859"/>
      <c r="I74" s="857"/>
      <c r="J74" s="1145"/>
      <c r="K74" s="1145"/>
    </row>
    <row r="75" spans="1:22" s="1146" customFormat="1" x14ac:dyDescent="0.2">
      <c r="A75" s="818"/>
      <c r="B75" s="1780" t="s">
        <v>4465</v>
      </c>
      <c r="C75" s="3"/>
      <c r="D75" s="3"/>
      <c r="E75" s="1329" t="s">
        <v>6215</v>
      </c>
      <c r="F75" s="544">
        <f>IF($P$1="n",E19,SUM(E19+E42+E65))</f>
      </c>
      <c r="G75" s="818"/>
      <c r="H75" s="859"/>
      <c r="I75" s="857"/>
    </row>
    <row r="76" spans="1:22" s="1146" customFormat="1" ht="19.5" customHeight="1" x14ac:dyDescent="0.2">
      <c r="A76" s="818"/>
      <c r="B76" s="818"/>
      <c r="C76" s="818"/>
      <c r="D76" s="818"/>
      <c r="E76" s="1144"/>
      <c r="F76" s="818"/>
      <c r="G76" s="818"/>
      <c r="H76" s="859"/>
      <c r="I76" s="857"/>
      <c r="J76" s="1145"/>
    </row>
    <row r="77" spans="1:22" s="1146" customFormat="1" ht="19.5" hidden="1" customHeight="1" x14ac:dyDescent="0.2">
      <c r="A77" s="818"/>
      <c r="B77" s="818"/>
      <c r="C77" s="818"/>
      <c r="D77" s="818"/>
      <c r="E77" s="1144"/>
      <c r="F77" s="818"/>
      <c r="G77" s="818"/>
      <c r="H77" s="859"/>
      <c r="I77" s="857"/>
      <c r="J77" s="1145"/>
    </row>
    <row r="78" spans="1:22" s="1146" customFormat="1" ht="19.5" hidden="1" customHeight="1" x14ac:dyDescent="0.2">
      <c r="A78" s="818"/>
      <c r="B78" s="818"/>
      <c r="C78" s="818"/>
      <c r="D78" s="818"/>
      <c r="E78" s="1144"/>
      <c r="F78" s="818"/>
      <c r="G78" s="818"/>
      <c r="H78" s="859"/>
      <c r="I78" s="857"/>
      <c r="J78" s="1145"/>
    </row>
    <row r="79" spans="1:22" s="1146" customFormat="1" ht="19.5" hidden="1" customHeight="1" x14ac:dyDescent="0.2">
      <c r="A79" s="818"/>
      <c r="B79" s="818"/>
      <c r="C79" s="818"/>
      <c r="D79" s="818"/>
      <c r="E79" s="1144"/>
      <c r="F79" s="818"/>
      <c r="G79" s="818"/>
      <c r="H79" s="859"/>
      <c r="I79" s="857"/>
      <c r="J79" s="1145"/>
    </row>
    <row r="80" spans="1:22" s="1146" customFormat="1" ht="19.5" hidden="1" customHeight="1" x14ac:dyDescent="0.2">
      <c r="A80" s="818"/>
      <c r="B80" s="818"/>
      <c r="C80" s="818"/>
      <c r="D80" s="818"/>
      <c r="E80" s="1144"/>
      <c r="F80" s="818"/>
      <c r="G80" s="818"/>
      <c r="H80" s="859"/>
      <c r="I80" s="857"/>
      <c r="J80" s="1145"/>
    </row>
    <row r="81" spans="1:10" s="1146" customFormat="1" ht="19.5" hidden="1" customHeight="1" x14ac:dyDescent="0.2">
      <c r="A81" s="818"/>
      <c r="B81" s="818"/>
      <c r="C81" s="818"/>
      <c r="D81" s="818"/>
      <c r="E81" s="1144"/>
      <c r="F81" s="818"/>
      <c r="G81" s="818"/>
      <c r="H81" s="859"/>
      <c r="I81" s="857"/>
      <c r="J81" s="1145"/>
    </row>
    <row r="82" spans="1:10" s="1146" customFormat="1" ht="19.5" hidden="1" customHeight="1" x14ac:dyDescent="0.2">
      <c r="A82" s="818"/>
      <c r="B82" s="818"/>
      <c r="C82" s="818"/>
      <c r="D82" s="818"/>
      <c r="E82" s="1144"/>
      <c r="F82" s="818"/>
      <c r="G82" s="818"/>
      <c r="H82" s="859"/>
      <c r="I82" s="857"/>
      <c r="J82" s="1145"/>
    </row>
    <row r="83" spans="1:10" s="1146" customFormat="1" ht="19.5" hidden="1" customHeight="1" x14ac:dyDescent="0.2">
      <c r="A83" s="818"/>
      <c r="B83" s="818"/>
      <c r="C83" s="818"/>
      <c r="D83" s="818"/>
      <c r="E83" s="1144"/>
      <c r="F83" s="818"/>
      <c r="G83" s="818"/>
      <c r="H83" s="859"/>
      <c r="I83" s="857"/>
      <c r="J83" s="1145"/>
    </row>
    <row r="84" spans="1:10" s="1146" customFormat="1" ht="19.5" hidden="1" customHeight="1" x14ac:dyDescent="0.2">
      <c r="A84" s="818"/>
      <c r="B84" s="818"/>
      <c r="C84" s="818"/>
      <c r="D84" s="818"/>
      <c r="E84" s="1144"/>
      <c r="F84" s="818"/>
      <c r="G84" s="818"/>
      <c r="H84" s="859"/>
      <c r="I84" s="857"/>
      <c r="J84" s="1145"/>
    </row>
    <row r="85" spans="1:10" s="1146" customFormat="1" ht="19.5" hidden="1" customHeight="1" x14ac:dyDescent="0.2">
      <c r="A85" s="818"/>
      <c r="B85" s="818"/>
      <c r="C85" s="818"/>
      <c r="D85" s="818"/>
      <c r="E85" s="1144"/>
      <c r="F85" s="818"/>
      <c r="G85" s="818"/>
      <c r="H85" s="859"/>
      <c r="I85" s="857"/>
      <c r="J85" s="1145"/>
    </row>
    <row r="86" spans="1:10" s="1146" customFormat="1" ht="19.5" hidden="1" customHeight="1" x14ac:dyDescent="0.2">
      <c r="A86" s="818"/>
      <c r="B86" s="818"/>
      <c r="C86" s="818"/>
      <c r="D86" s="818"/>
      <c r="E86" s="1144"/>
      <c r="F86" s="818"/>
      <c r="G86" s="818"/>
      <c r="H86" s="859"/>
      <c r="I86" s="857"/>
      <c r="J86" s="1145"/>
    </row>
    <row r="87" spans="1:10" s="1146" customFormat="1" ht="19.5" hidden="1" customHeight="1" x14ac:dyDescent="0.2">
      <c r="A87" s="818"/>
      <c r="B87" s="818"/>
      <c r="C87" s="818"/>
      <c r="D87" s="818"/>
      <c r="E87" s="1144"/>
      <c r="F87" s="818"/>
      <c r="G87" s="818"/>
      <c r="H87" s="859"/>
      <c r="I87" s="857"/>
      <c r="J87" s="1145"/>
    </row>
    <row r="88" spans="1:10" s="1146" customFormat="1" ht="19.5" hidden="1" customHeight="1" x14ac:dyDescent="0.2">
      <c r="A88" s="818"/>
      <c r="B88" s="818"/>
      <c r="C88" s="818"/>
      <c r="D88" s="818"/>
      <c r="E88" s="1144"/>
      <c r="F88" s="818"/>
      <c r="G88" s="818"/>
      <c r="H88" s="859"/>
      <c r="I88" s="857"/>
      <c r="J88" s="1145"/>
    </row>
    <row r="89" spans="1:10" s="1146" customFormat="1" ht="19.5" hidden="1" customHeight="1" x14ac:dyDescent="0.2">
      <c r="A89" s="818"/>
      <c r="B89" s="818"/>
      <c r="C89" s="818"/>
      <c r="D89" s="818"/>
      <c r="E89" s="1144"/>
      <c r="F89" s="818"/>
      <c r="G89" s="818"/>
      <c r="H89" s="859"/>
      <c r="I89" s="857"/>
      <c r="J89" s="1145"/>
    </row>
    <row r="90" spans="1:10" s="1146" customFormat="1" ht="19.5" hidden="1" customHeight="1" x14ac:dyDescent="0.2">
      <c r="A90" s="818"/>
      <c r="B90" s="818"/>
      <c r="C90" s="818"/>
      <c r="D90" s="818"/>
      <c r="E90" s="1144"/>
      <c r="F90" s="818"/>
      <c r="G90" s="818"/>
      <c r="H90" s="859"/>
      <c r="I90" s="857"/>
      <c r="J90" s="1145"/>
    </row>
    <row r="91" spans="1:10" s="1146" customFormat="1" ht="19.5" hidden="1" customHeight="1" x14ac:dyDescent="0.2">
      <c r="A91" s="818"/>
      <c r="B91" s="818"/>
      <c r="C91" s="818"/>
      <c r="D91" s="818"/>
      <c r="E91" s="1144"/>
      <c r="F91" s="818"/>
      <c r="G91" s="818"/>
      <c r="H91" s="859"/>
      <c r="I91" s="857"/>
      <c r="J91" s="1145"/>
    </row>
    <row r="92" spans="1:10" s="1146" customFormat="1" ht="19.5" hidden="1" customHeight="1" x14ac:dyDescent="0.2">
      <c r="A92" s="818"/>
      <c r="B92" s="818"/>
      <c r="C92" s="818"/>
      <c r="D92" s="818"/>
      <c r="E92" s="1144"/>
      <c r="F92" s="818"/>
      <c r="G92" s="818"/>
      <c r="H92" s="859"/>
      <c r="I92" s="857"/>
      <c r="J92" s="1145"/>
    </row>
    <row r="93" spans="1:10" s="1146" customFormat="1" ht="19.5" hidden="1" customHeight="1" x14ac:dyDescent="0.2">
      <c r="A93" s="818"/>
      <c r="B93" s="818"/>
      <c r="C93" s="818"/>
      <c r="D93" s="818"/>
      <c r="E93" s="1144"/>
      <c r="F93" s="818"/>
      <c r="G93" s="818"/>
      <c r="H93" s="859"/>
      <c r="I93" s="857"/>
      <c r="J93" s="1145"/>
    </row>
    <row r="94" spans="1:10" s="1146" customFormat="1" ht="19.5" hidden="1" customHeight="1" x14ac:dyDescent="0.2">
      <c r="A94" s="818"/>
      <c r="B94" s="818"/>
      <c r="C94" s="818"/>
      <c r="D94" s="818"/>
      <c r="E94" s="1144"/>
      <c r="F94" s="818"/>
      <c r="G94" s="818"/>
      <c r="H94" s="859"/>
      <c r="I94" s="857"/>
      <c r="J94" s="1145"/>
    </row>
    <row r="95" spans="1:10" s="1146" customFormat="1" ht="19.5" hidden="1" customHeight="1" x14ac:dyDescent="0.2">
      <c r="A95" s="818"/>
      <c r="B95" s="818"/>
      <c r="C95" s="818"/>
      <c r="D95" s="818"/>
      <c r="E95" s="1144"/>
      <c r="F95" s="818"/>
      <c r="G95" s="818"/>
      <c r="H95" s="859"/>
      <c r="I95" s="857"/>
      <c r="J95" s="1145"/>
    </row>
    <row r="96" spans="1:10" s="1146" customFormat="1" ht="19.5" hidden="1" customHeight="1" x14ac:dyDescent="0.2">
      <c r="A96" s="818"/>
      <c r="B96" s="818"/>
      <c r="C96" s="818"/>
      <c r="D96" s="818"/>
      <c r="E96" s="1144"/>
      <c r="F96" s="818"/>
      <c r="G96" s="818"/>
      <c r="H96" s="859"/>
      <c r="I96" s="857"/>
      <c r="J96" s="1145"/>
    </row>
    <row r="97" spans="1:15" s="1146" customFormat="1" ht="19.5" hidden="1" customHeight="1" x14ac:dyDescent="0.2">
      <c r="A97" s="818"/>
      <c r="B97" s="818"/>
      <c r="C97" s="818"/>
      <c r="D97" s="818"/>
      <c r="E97" s="1144"/>
      <c r="F97" s="818"/>
      <c r="G97" s="818"/>
      <c r="H97" s="859"/>
      <c r="I97" s="857"/>
      <c r="J97" s="1145"/>
    </row>
    <row r="98" spans="1:15" s="1146" customFormat="1" ht="19.5" hidden="1" customHeight="1" x14ac:dyDescent="0.2">
      <c r="A98" s="818"/>
      <c r="B98" s="818"/>
      <c r="C98" s="818"/>
      <c r="D98" s="818"/>
      <c r="E98" s="1144"/>
      <c r="F98" s="818"/>
      <c r="G98" s="818"/>
      <c r="H98" s="859"/>
      <c r="I98" s="857"/>
      <c r="J98" s="1145"/>
    </row>
    <row r="99" spans="1:15" s="1146" customFormat="1" ht="19.5" hidden="1" customHeight="1" x14ac:dyDescent="0.2">
      <c r="A99" s="818"/>
      <c r="B99" s="818"/>
      <c r="C99" s="818"/>
      <c r="D99" s="818"/>
      <c r="E99" s="1144"/>
      <c r="F99" s="818"/>
      <c r="G99" s="818"/>
      <c r="H99" s="859"/>
      <c r="I99" s="857"/>
      <c r="J99" s="1145"/>
    </row>
    <row r="100" spans="1:15" s="1146" customFormat="1" ht="19.5" hidden="1" customHeight="1" x14ac:dyDescent="0.2">
      <c r="A100" s="818"/>
      <c r="B100" s="818"/>
      <c r="C100" s="818"/>
      <c r="D100" s="818"/>
      <c r="E100" s="1144"/>
      <c r="F100" s="818"/>
      <c r="G100" s="818"/>
      <c r="H100" s="859"/>
      <c r="I100" s="857"/>
      <c r="J100" s="1145"/>
    </row>
    <row r="101" spans="1:15" s="1146" customFormat="1" ht="19.5" hidden="1" customHeight="1" x14ac:dyDescent="0.2">
      <c r="A101" s="818"/>
      <c r="B101" s="818"/>
      <c r="C101" s="818"/>
      <c r="D101" s="818"/>
      <c r="E101" s="1144"/>
      <c r="F101" s="818"/>
      <c r="G101" s="818"/>
      <c r="H101" s="859"/>
      <c r="I101" s="857"/>
      <c r="J101" s="1145"/>
    </row>
    <row r="102" spans="1:15" s="1146" customFormat="1" ht="19.5" hidden="1" customHeight="1" x14ac:dyDescent="0.2">
      <c r="A102" s="818"/>
      <c r="B102" s="818"/>
      <c r="C102" s="818"/>
      <c r="D102" s="818"/>
      <c r="E102" s="1144"/>
      <c r="F102" s="818"/>
      <c r="G102" s="818"/>
      <c r="H102" s="859"/>
      <c r="I102" s="857"/>
      <c r="J102" s="1145"/>
    </row>
    <row r="103" spans="1:15" s="1146" customFormat="1" ht="19.5" hidden="1" customHeight="1" x14ac:dyDescent="0.2">
      <c r="A103" s="818"/>
      <c r="B103" s="818"/>
      <c r="C103" s="818"/>
      <c r="D103" s="818"/>
      <c r="E103" s="1144"/>
      <c r="F103" s="818"/>
      <c r="G103" s="818"/>
      <c r="H103" s="859"/>
      <c r="I103" s="857"/>
      <c r="J103" s="1145"/>
    </row>
    <row r="104" spans="1:15" s="1146" customFormat="1" ht="19.5" hidden="1" customHeight="1" x14ac:dyDescent="0.2">
      <c r="A104" s="818"/>
      <c r="B104" s="818"/>
      <c r="C104" s="818"/>
      <c r="D104" s="818"/>
      <c r="E104" s="1144"/>
      <c r="F104" s="818"/>
      <c r="G104" s="818"/>
      <c r="H104" s="859"/>
      <c r="I104" s="857"/>
      <c r="J104" s="1145"/>
    </row>
    <row r="105" spans="1:15" s="1146" customFormat="1" ht="19.5" hidden="1" customHeight="1" x14ac:dyDescent="0.2">
      <c r="A105" s="818"/>
      <c r="B105" s="818"/>
      <c r="C105" s="818"/>
      <c r="D105" s="818"/>
      <c r="E105" s="1144"/>
      <c r="F105" s="818"/>
      <c r="G105" s="818"/>
      <c r="H105" s="859"/>
      <c r="I105" s="857"/>
      <c r="J105" s="1145"/>
    </row>
    <row r="106" spans="1:15" s="1146" customFormat="1" ht="19.5" hidden="1" customHeight="1" x14ac:dyDescent="0.2">
      <c r="A106" s="818"/>
      <c r="B106" s="818"/>
      <c r="C106" s="818"/>
      <c r="D106" s="818"/>
      <c r="E106" s="1144"/>
      <c r="F106" s="818"/>
      <c r="G106" s="818"/>
      <c r="H106" s="859"/>
      <c r="I106" s="857"/>
      <c r="J106" s="1145"/>
    </row>
    <row r="107" spans="1:15" s="1146" customFormat="1" ht="19.5" hidden="1" customHeight="1" x14ac:dyDescent="0.2">
      <c r="A107" s="818"/>
      <c r="B107" s="818"/>
      <c r="C107" s="818"/>
      <c r="D107" s="818"/>
      <c r="E107" s="1144"/>
      <c r="F107" s="818"/>
      <c r="G107" s="818"/>
      <c r="H107" s="859"/>
      <c r="I107" s="857"/>
      <c r="J107" s="1145"/>
    </row>
    <row r="108" spans="1:15" s="1146" customFormat="1" ht="19.5" hidden="1" customHeight="1" x14ac:dyDescent="0.2">
      <c r="A108" s="818"/>
      <c r="B108" s="818"/>
      <c r="C108" s="818"/>
      <c r="D108" s="818"/>
      <c r="E108" s="1144"/>
      <c r="F108" s="818"/>
      <c r="G108" s="818"/>
      <c r="H108" s="859"/>
      <c r="I108" s="857"/>
      <c r="J108" s="1145"/>
    </row>
    <row r="109" spans="1:15" s="1146" customFormat="1" ht="19.5" hidden="1" customHeight="1" x14ac:dyDescent="0.2">
      <c r="A109" s="818"/>
      <c r="B109" s="818"/>
      <c r="C109" s="818"/>
      <c r="D109" s="818"/>
      <c r="E109" s="1144"/>
      <c r="F109" s="818"/>
      <c r="G109" s="818"/>
      <c r="H109" s="859"/>
      <c r="I109" s="857"/>
      <c r="J109" s="1145"/>
    </row>
    <row r="110" spans="1:15" s="1146" customFormat="1" ht="19.5" hidden="1" customHeight="1" x14ac:dyDescent="0.2">
      <c r="A110" s="818"/>
      <c r="B110" s="818"/>
      <c r="C110" s="818"/>
      <c r="D110" s="818"/>
      <c r="E110" s="1144"/>
      <c r="F110" s="818"/>
      <c r="G110" s="818"/>
      <c r="H110" s="859"/>
      <c r="I110" s="857"/>
      <c r="J110" s="1145"/>
    </row>
    <row r="111" spans="1:15" s="1146" customFormat="1" ht="19.5" hidden="1" customHeight="1" x14ac:dyDescent="0.2">
      <c r="A111" s="818"/>
      <c r="B111" s="818"/>
      <c r="C111" s="818"/>
      <c r="D111" s="818"/>
      <c r="E111" s="1144"/>
      <c r="F111" s="818"/>
      <c r="G111" s="818"/>
      <c r="H111" s="859"/>
      <c r="I111" s="857"/>
      <c r="J111" s="1145"/>
    </row>
    <row r="112" spans="1:15" x14ac:dyDescent="0.2">
      <c r="A112" s="237"/>
      <c r="B112" s="563" t="str">
        <f>COM</f>
      </c>
      <c r="C112" s="275"/>
      <c r="D112" s="222" t="str">
        <f>IF(O112=0,"",IF(C112="",re,""))</f>
        <v/>
      </c>
      <c r="E112" s="3"/>
      <c r="F112" s="3"/>
      <c r="G112" s="3"/>
      <c r="H112" s="3"/>
      <c r="I112" s="3"/>
      <c r="J112" s="71"/>
      <c r="L112" s="30"/>
      <c r="M112" s="28" t="s">
        <v>4457</v>
      </c>
      <c r="N112" s="3579" t="s">
        <v>9985</v>
      </c>
      <c r="O112" s="1156">
        <f>K48+K25+K2</f>
      </c>
    </row>
    <row r="113" spans="1:15" x14ac:dyDescent="0.2">
      <c r="A113" s="3"/>
      <c r="B113" s="3"/>
      <c r="C113" s="3"/>
      <c r="D113" s="3"/>
      <c r="E113" s="3"/>
      <c r="F113" s="3"/>
      <c r="G113" s="3"/>
      <c r="H113" s="3"/>
      <c r="I113" s="3"/>
      <c r="J113" s="71"/>
      <c r="M113" s="28" t="s">
        <v>1736</v>
      </c>
      <c r="N113" s="3579" t="s">
        <v>9986</v>
      </c>
      <c r="O113" s="3580">
        <f>J22+J45+J68</f>
      </c>
    </row>
    <row r="114" spans="1:15" x14ac:dyDescent="0.2">
      <c r="A114" s="4636" t="s">
        <v>6290</v>
      </c>
      <c r="B114" s="4636"/>
      <c r="C114" s="4636"/>
      <c r="D114" s="4636"/>
      <c r="E114" s="4636"/>
      <c r="F114" s="3"/>
      <c r="G114" s="3"/>
      <c r="H114" s="3"/>
      <c r="I114" s="3"/>
      <c r="J114" s="71"/>
    </row>
    <row r="115" spans="1:15" x14ac:dyDescent="0.2">
      <c r="A115" s="3"/>
      <c r="B115" s="3"/>
      <c r="C115" s="3"/>
      <c r="D115" s="3"/>
      <c r="E115" s="3"/>
      <c r="F115" s="3"/>
      <c r="G115" s="3"/>
      <c r="H115" s="3"/>
      <c r="I115" s="3"/>
      <c r="J115" s="94">
        <f>IF(O112=0,0,IF(O113&gt;0,100,IF(C112="Yes",1,100)))</f>
      </c>
      <c r="O115" s="1163"/>
    </row>
  </sheetData>
  <sheetProtection algorithmName="SHA-512" hashValue="OEaA1zrxZLD6XC/lVCcfiQfDUP9a39r5dZMT3J22fmkpKakFKaBbRLixsE3zr0gjhCecavJgN4GCzRmp3KYh6g==" saltValue="Vg4HjzW0egDMYP3/qk6I8w==" spinCount="100000" sheet="1" objects="1" scenarios="1"/>
  <customSheetViews>
    <customSheetView guid="{99B5278F-6EA9-4B1A-8623-27A4DF4AD5E4}" showGridLines="0" fitToPage="1" hiddenRows="1" hiddenColumns="1">
      <selection activeCell="E7" sqref="E7"/>
      <pageMargins left="0.19685039370078741" right="0.19685039370078741" top="0.74803149606299213" bottom="0.98425196850393704" header="0.19685039370078741"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12">
    <mergeCell ref="E53:G53"/>
    <mergeCell ref="B65:D65"/>
    <mergeCell ref="A71:H71"/>
    <mergeCell ref="A114:E114"/>
    <mergeCell ref="A1:G1"/>
    <mergeCell ref="B6:E6"/>
    <mergeCell ref="B19:D19"/>
    <mergeCell ref="E7:G7"/>
    <mergeCell ref="B29:E29"/>
    <mergeCell ref="E30:G30"/>
    <mergeCell ref="B42:D42"/>
    <mergeCell ref="B52:E52"/>
  </mergeCells>
  <phoneticPr fontId="0" type="noConversion"/>
  <conditionalFormatting sqref="B9 B12">
    <cfRule type="expression" dxfId="746" priority="18" stopIfTrue="1">
      <formula>ya=2002</formula>
    </cfRule>
  </conditionalFormatting>
  <conditionalFormatting sqref="B32 B35">
    <cfRule type="expression" dxfId="745" priority="8" stopIfTrue="1">
      <formula>ya=2002</formula>
    </cfRule>
  </conditionalFormatting>
  <conditionalFormatting sqref="B55 B58">
    <cfRule type="expression" dxfId="744" priority="4" stopIfTrue="1">
      <formula>ya=2002</formula>
    </cfRule>
  </conditionalFormatting>
  <conditionalFormatting sqref="F5">
    <cfRule type="expression" dxfId="743" priority="3">
      <formula>$L$5=1</formula>
    </cfRule>
  </conditionalFormatting>
  <conditionalFormatting sqref="F17">
    <cfRule type="expression" dxfId="742" priority="22" stopIfTrue="1">
      <formula>$F$17=re</formula>
    </cfRule>
  </conditionalFormatting>
  <conditionalFormatting sqref="F19">
    <cfRule type="expression" dxfId="741" priority="20" stopIfTrue="1">
      <formula>$F$19=$Q$19</formula>
    </cfRule>
  </conditionalFormatting>
  <conditionalFormatting sqref="F28">
    <cfRule type="expression" dxfId="740" priority="2">
      <formula>$L$28=1</formula>
    </cfRule>
  </conditionalFormatting>
  <conditionalFormatting sqref="F40">
    <cfRule type="expression" dxfId="739" priority="11" stopIfTrue="1">
      <formula>$F$17=re</formula>
    </cfRule>
  </conditionalFormatting>
  <conditionalFormatting sqref="F42">
    <cfRule type="expression" dxfId="738" priority="9" stopIfTrue="1">
      <formula>$F$19=$Q$19</formula>
    </cfRule>
  </conditionalFormatting>
  <conditionalFormatting sqref="F51">
    <cfRule type="expression" dxfId="737" priority="1">
      <formula>$L$51=1</formula>
    </cfRule>
  </conditionalFormatting>
  <conditionalFormatting sqref="F63">
    <cfRule type="expression" dxfId="736" priority="7" stopIfTrue="1">
      <formula>$F$17=re</formula>
    </cfRule>
  </conditionalFormatting>
  <conditionalFormatting sqref="F65">
    <cfRule type="expression" dxfId="735" priority="5" stopIfTrue="1">
      <formula>$F$19=$Q$19</formula>
    </cfRule>
  </conditionalFormatting>
  <conditionalFormatting sqref="G16">
    <cfRule type="expression" dxfId="734" priority="21" stopIfTrue="1">
      <formula>$G$16=reo</formula>
    </cfRule>
  </conditionalFormatting>
  <conditionalFormatting sqref="G39">
    <cfRule type="expression" dxfId="733" priority="10" stopIfTrue="1">
      <formula>$G$16=reo</formula>
    </cfRule>
  </conditionalFormatting>
  <conditionalFormatting sqref="G62">
    <cfRule type="expression" dxfId="732" priority="6" stopIfTrue="1">
      <formula>$G$16=reo</formula>
    </cfRule>
  </conditionalFormatting>
  <dataValidations xWindow="62" yWindow="356" count="10">
    <dataValidation type="whole" allowBlank="1" showInputMessage="1" showErrorMessage="1" errorTitle="Deferred ITCr" error="Please enter a negative value_x000a_or_x000a_amount deferred exceeds the inflated ITC b/fwd available!" sqref="F11 F34 F57" xr:uid="{00000000-0002-0000-1A00-000000000000}">
      <formula1>L10</formula1>
      <formula2>0</formula2>
    </dataValidation>
    <dataValidation type="whole" allowBlank="1" showInputMessage="1" showErrorMessage="1" errorTitle="Tax credit utilised current year" error="Please enter a negative amount that does not exceed available tax credits!" sqref="G14 G37 G60" xr:uid="{00000000-0002-0000-1A00-000001000000}">
      <formula1>G13*-1</formula1>
      <formula2>0</formula2>
    </dataValidation>
    <dataValidation type="whole" errorStyle="warning" allowBlank="1" showInputMessage="1" showErrorMessage="1" errorTitle="Inflated Amount carried forward" error="Please enter a positive numeric value!_x000a_OR_x000a_Value may be excessive!" sqref="F16 F39 F62" xr:uid="{00000000-0002-0000-1A00-000002000000}">
      <formula1>0</formula1>
      <formula2>N16</formula2>
    </dataValidation>
    <dataValidation type="whole" errorStyle="warning" allowBlank="1" showInputMessage="1" showErrorMessage="1" errorTitle="Inflated Amount carried forward" error="Positive amount required_x000a_Or_x000a_Inputted amount may be excessive_x000a_Or_x000a_No tax credit claimed!" sqref="E19 E42 E65" xr:uid="{00000000-0002-0000-1A00-000003000000}">
      <formula1>0</formula1>
      <formula2>M19</formula2>
    </dataValidation>
    <dataValidation errorStyle="warning" allowBlank="1" showInputMessage="1" showErrorMessage="1" errorTitle="Inflated Amount carried forward" error="Please enter a positive numeric value!" sqref="E17 E40 E63" xr:uid="{00000000-0002-0000-1A00-000004000000}"/>
    <dataValidation type="whole" operator="greaterThanOrEqual" allowBlank="1" showInputMessage="1" showErrorMessage="1" errorTitle="ITC b/fwd" error="Please enter a positive amount!" sqref="E9:F9 E32:F32 E55:F55" xr:uid="{00000000-0002-0000-1A00-000005000000}">
      <formula1>0</formula1>
    </dataValidation>
    <dataValidation type="whole" allowBlank="1" showInputMessage="1" showErrorMessage="1" errorTitle="Tax Credit Utilised" error="Please enter a negative value that does not exceed available investment tax credit!" sqref="F14 F37 F60" xr:uid="{00000000-0002-0000-1A00-000006000000}">
      <formula1>F13*-1</formula1>
      <formula2>0</formula2>
    </dataValidation>
    <dataValidation type="whole" allowBlank="1" showInputMessage="1" showErrorMessage="1" errorTitle="Tax Credit Utilised" error="Please enter a negative value that does not exceed available investment tax credit!" sqref="E14 E37 E60" xr:uid="{00000000-0002-0000-1A00-000007000000}">
      <formula1>E9*-1</formula1>
      <formula2>0</formula2>
    </dataValidation>
    <dataValidation type="list" allowBlank="1" showInputMessage="1" showErrorMessage="1" errorTitle="Dropdown list" error="Choose an item from the list! " sqref="F5 F28 F51" xr:uid="{00000000-0002-0000-1A00-000008000000}">
      <formula1>FU</formula1>
    </dataValidation>
    <dataValidation type="list" allowBlank="1" showInputMessage="1" showErrorMessage="1" errorTitle="Dropdown list" error="Choose an item from the list! " sqref="C112" xr:uid="{00000000-0002-0000-1A00-000009000000}">
      <formula1>yn</formula1>
    </dataValidation>
  </dataValidations>
  <hyperlinks>
    <hyperlink ref="A114" location="Index!A1" display="Index!A1" xr:uid="{00000000-0004-0000-1A00-000000000000}"/>
    <hyperlink ref="E73" location="TRA35!A1" display="TRA 35" xr:uid="{00000000-0004-0000-1A00-000001000000}"/>
    <hyperlink ref="E75" location="TRA35!A1" display="TRA 35" xr:uid="{00000000-0004-0000-1A00-000002000000}"/>
  </hyperlinks>
  <printOptions horizontalCentered="1"/>
  <pageMargins left="0.19685039370078741" right="0.19685039370078741" top="0.74803149606299213" bottom="0.98425196850393704" header="0.19685039370078741" footer="0.51181102362204722"/>
  <pageSetup paperSize="9" scale="50" orientation="landscape" r:id="rId2"/>
  <headerFooter alignWithMargins="0">
    <oddFooter>&amp;LName&amp;CSignature&amp;RDate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dimension ref="A1:BZ32"/>
  <sheetViews>
    <sheetView showGridLines="0" workbookViewId="0">
      <selection activeCell="G10" sqref="G10"/>
    </sheetView>
  </sheetViews>
  <sheetFormatPr defaultColWidth="0" defaultRowHeight="12.75" zeroHeight="1" x14ac:dyDescent="0.2"/>
  <cols>
    <col min="1" max="1" width="2.28515625" style="28" customWidth="1"/>
    <col min="2" max="2" width="30" style="28" bestFit="1" customWidth="1"/>
    <col min="3" max="5" width="10.7109375" style="28" customWidth="1"/>
    <col min="6" max="6" width="10.7109375" style="28" hidden="1" customWidth="1"/>
    <col min="7" max="8" width="10.7109375" style="28" customWidth="1"/>
    <col min="9" max="9" width="10.7109375" style="28" hidden="1" customWidth="1"/>
    <col min="10" max="11" width="10.7109375" style="28" customWidth="1"/>
    <col min="12" max="12" width="10.7109375" style="28" hidden="1" customWidth="1"/>
    <col min="13" max="14" width="10.7109375" style="28" customWidth="1"/>
    <col min="15" max="15" width="1.5703125" style="28" customWidth="1"/>
    <col min="16" max="78" width="9.28515625" style="28" hidden="1" customWidth="1"/>
    <col min="79" max="16384" width="9.28515625" style="142" hidden="1"/>
  </cols>
  <sheetData>
    <row r="1" spans="2:39" x14ac:dyDescent="0.2">
      <c r="B1" s="4425" t="str">
        <f>_ref1</f>
      </c>
      <c r="C1" s="4425"/>
      <c r="D1" s="4425"/>
      <c r="E1" s="4425"/>
      <c r="F1" s="4425"/>
      <c r="G1" s="4425"/>
      <c r="H1" s="4425"/>
      <c r="I1" s="4425"/>
      <c r="J1" s="4425"/>
      <c r="K1" s="4425"/>
      <c r="L1" s="4425"/>
      <c r="M1" s="4360" t="str">
        <f>"Y/A "&amp;ya</f>
      </c>
      <c r="N1" s="4360"/>
    </row>
    <row r="2" spans="2:39" ht="15" x14ac:dyDescent="0.2">
      <c r="B2" s="4718" t="s">
        <v>2311</v>
      </c>
      <c r="C2" s="4718"/>
      <c r="D2" s="4718"/>
      <c r="E2" s="4718"/>
      <c r="F2" s="4719"/>
      <c r="G2" s="4718"/>
      <c r="H2" s="4718"/>
      <c r="I2" s="4719"/>
      <c r="J2" s="4718"/>
      <c r="K2" s="4718"/>
      <c r="L2" s="4718"/>
      <c r="M2" s="4718"/>
      <c r="N2" s="4718"/>
      <c r="W2" s="28" t="s">
        <v>4457</v>
      </c>
      <c r="X2" s="28" t="s">
        <v>363</v>
      </c>
    </row>
    <row r="3" spans="2:39" ht="19.5" customHeight="1" x14ac:dyDescent="0.2">
      <c r="B3" s="4722" t="s">
        <v>4759</v>
      </c>
      <c r="C3" s="4384" t="s">
        <v>4760</v>
      </c>
      <c r="D3" s="4621" t="s">
        <v>2437</v>
      </c>
      <c r="E3" s="4621" t="s">
        <v>3263</v>
      </c>
      <c r="F3" s="661"/>
      <c r="G3" s="4610" t="s">
        <v>2438</v>
      </c>
      <c r="H3" s="4621" t="s">
        <v>3263</v>
      </c>
      <c r="I3" s="661"/>
      <c r="J3" s="4610" t="s">
        <v>2439</v>
      </c>
      <c r="K3" s="4608" t="s">
        <v>3263</v>
      </c>
      <c r="L3" s="661"/>
      <c r="M3" s="4621" t="s">
        <v>2440</v>
      </c>
      <c r="N3" s="4621" t="s">
        <v>3263</v>
      </c>
      <c r="P3" s="83"/>
      <c r="W3" s="28" t="s">
        <v>1736</v>
      </c>
      <c r="X3" s="28" t="s">
        <v>2372</v>
      </c>
      <c r="AK3" s="28" t="s">
        <v>5806</v>
      </c>
    </row>
    <row r="4" spans="2:39" ht="18.75" customHeight="1" x14ac:dyDescent="0.2">
      <c r="B4" s="4723"/>
      <c r="C4" s="4384"/>
      <c r="D4" s="4621"/>
      <c r="E4" s="4621"/>
      <c r="F4" s="662"/>
      <c r="G4" s="4610"/>
      <c r="H4" s="4621"/>
      <c r="I4" s="662"/>
      <c r="J4" s="4610"/>
      <c r="K4" s="4608"/>
      <c r="L4" s="662"/>
      <c r="M4" s="4621"/>
      <c r="N4" s="4621"/>
      <c r="P4" s="83"/>
      <c r="S4" s="139"/>
      <c r="T4" s="139" t="s">
        <v>5806</v>
      </c>
      <c r="U4" s="139" t="s">
        <v>363</v>
      </c>
      <c r="V4" s="139" t="s">
        <v>2372</v>
      </c>
      <c r="W4" s="139"/>
      <c r="X4" s="139" t="s">
        <v>5806</v>
      </c>
      <c r="Y4" s="139" t="s">
        <v>363</v>
      </c>
      <c r="Z4" s="139" t="s">
        <v>2372</v>
      </c>
      <c r="AA4" s="139"/>
      <c r="AB4" s="139" t="s">
        <v>5806</v>
      </c>
      <c r="AC4" s="139" t="s">
        <v>363</v>
      </c>
      <c r="AD4" s="139" t="s">
        <v>2372</v>
      </c>
      <c r="AE4" s="28" t="s">
        <v>1499</v>
      </c>
      <c r="AK4" s="28" t="s">
        <v>363</v>
      </c>
    </row>
    <row r="5" spans="2:39" x14ac:dyDescent="0.2">
      <c r="B5" s="663" t="s">
        <v>453</v>
      </c>
      <c r="C5" s="355" t="s">
        <v>618</v>
      </c>
      <c r="D5" s="223"/>
      <c r="E5" s="664"/>
      <c r="F5" s="215"/>
      <c r="G5" s="432"/>
      <c r="H5" s="664"/>
      <c r="I5" s="215"/>
      <c r="J5" s="432"/>
      <c r="K5" s="665"/>
      <c r="L5" s="215"/>
      <c r="M5" s="405">
        <f>'p3'!I101</f>
      </c>
      <c r="N5" s="279" t="s">
        <v>2372</v>
      </c>
      <c r="S5" s="192"/>
      <c r="T5" s="192">
        <f t="shared" ref="T5:V16" si="0">IF($E5=T$4,$D5,0)</f>
      </c>
      <c r="U5" s="192">
        <f t="shared" si="0"/>
        <v>0</v>
      </c>
      <c r="V5" s="192">
        <f t="shared" si="0"/>
        <v>0</v>
      </c>
      <c r="W5" s="139"/>
      <c r="X5" s="192">
        <f t="shared" ref="X5:Z16" si="1">IF($H5=X$4,$G5,0)</f>
      </c>
      <c r="Y5" s="192">
        <f t="shared" si="1"/>
        <v>0</v>
      </c>
      <c r="Z5" s="192">
        <f t="shared" si="1"/>
        <v>0</v>
      </c>
      <c r="AA5" s="139"/>
      <c r="AB5" s="192">
        <f t="shared" ref="AB5:AD16" si="2">IF($K5=AB$4,$J5,0)</f>
      </c>
      <c r="AC5" s="192">
        <f t="shared" si="2"/>
        <v>0</v>
      </c>
      <c r="AD5" s="192">
        <f t="shared" si="2"/>
        <v>0</v>
      </c>
      <c r="AE5" s="553">
        <f>M5</f>
      </c>
      <c r="AF5" s="142"/>
      <c r="AG5" s="142"/>
      <c r="AH5" s="142"/>
      <c r="AI5" s="142"/>
      <c r="AJ5" s="142"/>
      <c r="AK5" s="28" t="s">
        <v>2372</v>
      </c>
      <c r="AL5" s="142"/>
      <c r="AM5" s="142"/>
    </row>
    <row r="6" spans="2:39" x14ac:dyDescent="0.2">
      <c r="B6" s="666" t="s">
        <v>1502</v>
      </c>
      <c r="C6" s="355" t="s">
        <v>1501</v>
      </c>
      <c r="D6" s="223"/>
      <c r="E6" s="664"/>
      <c r="F6" s="215"/>
      <c r="G6" s="432"/>
      <c r="H6" s="664"/>
      <c r="I6" s="215"/>
      <c r="J6" s="432"/>
      <c r="K6" s="665"/>
      <c r="L6" s="215"/>
      <c r="M6" s="405">
        <f>'TRA8'!F81</f>
      </c>
      <c r="N6" s="279" t="s">
        <v>2372</v>
      </c>
      <c r="S6" s="192"/>
      <c r="T6" s="192">
        <f t="shared" si="0"/>
        <v>0</v>
      </c>
      <c r="U6" s="192">
        <f t="shared" si="0"/>
        <v>0</v>
      </c>
      <c r="V6" s="192">
        <f t="shared" si="0"/>
        <v>0</v>
      </c>
      <c r="W6" s="139"/>
      <c r="X6" s="192">
        <f t="shared" si="1"/>
        <v>0</v>
      </c>
      <c r="Y6" s="192">
        <f t="shared" si="1"/>
        <v>0</v>
      </c>
      <c r="Z6" s="192">
        <f t="shared" si="1"/>
        <v>0</v>
      </c>
      <c r="AA6" s="139"/>
      <c r="AB6" s="192">
        <f t="shared" si="2"/>
        <v>0</v>
      </c>
      <c r="AC6" s="192">
        <f t="shared" si="2"/>
        <v>0</v>
      </c>
      <c r="AD6" s="192">
        <f t="shared" si="2"/>
        <v>0</v>
      </c>
      <c r="AE6" s="553">
        <f t="shared" ref="AE6:AE16" si="3">M6</f>
      </c>
      <c r="AF6" s="142"/>
      <c r="AG6" s="142"/>
      <c r="AH6" s="142"/>
      <c r="AI6" s="142"/>
      <c r="AJ6" s="142"/>
      <c r="AK6" s="142"/>
      <c r="AL6" s="142"/>
      <c r="AM6" s="142"/>
    </row>
    <row r="7" spans="2:39" x14ac:dyDescent="0.2">
      <c r="B7" s="666" t="s">
        <v>1504</v>
      </c>
      <c r="C7" s="355" t="s">
        <v>1503</v>
      </c>
      <c r="D7" s="223"/>
      <c r="E7" s="664"/>
      <c r="F7" s="215"/>
      <c r="G7" s="432"/>
      <c r="H7" s="664"/>
      <c r="I7" s="215"/>
      <c r="J7" s="432"/>
      <c r="K7" s="665"/>
      <c r="L7" s="215"/>
      <c r="M7" s="405">
        <f>TRA9_14!E9</f>
      </c>
      <c r="N7" s="279" t="s">
        <v>2372</v>
      </c>
      <c r="S7" s="192"/>
      <c r="T7" s="192">
        <f t="shared" si="0"/>
        <v>0</v>
      </c>
      <c r="U7" s="192">
        <f t="shared" si="0"/>
        <v>0</v>
      </c>
      <c r="V7" s="192">
        <f t="shared" si="0"/>
        <v>0</v>
      </c>
      <c r="W7" s="139"/>
      <c r="X7" s="192">
        <f t="shared" si="1"/>
        <v>0</v>
      </c>
      <c r="Y7" s="192">
        <f t="shared" si="1"/>
        <v>0</v>
      </c>
      <c r="Z7" s="192">
        <f t="shared" si="1"/>
        <v>0</v>
      </c>
      <c r="AA7" s="139"/>
      <c r="AB7" s="192">
        <f t="shared" si="2"/>
        <v>0</v>
      </c>
      <c r="AC7" s="192">
        <f t="shared" si="2"/>
        <v>0</v>
      </c>
      <c r="AD7" s="192">
        <f t="shared" si="2"/>
        <v>0</v>
      </c>
      <c r="AE7" s="553">
        <f t="shared" si="3"/>
        <v>0</v>
      </c>
      <c r="AF7" s="142"/>
      <c r="AG7" s="142"/>
      <c r="AH7" s="142"/>
      <c r="AI7" s="142"/>
      <c r="AJ7" s="142"/>
      <c r="AK7" s="142"/>
      <c r="AL7" s="142"/>
      <c r="AM7" s="142"/>
    </row>
    <row r="8" spans="2:39" x14ac:dyDescent="0.2">
      <c r="B8" s="666" t="s">
        <v>1506</v>
      </c>
      <c r="C8" s="355" t="s">
        <v>1505</v>
      </c>
      <c r="D8" s="223"/>
      <c r="E8" s="664"/>
      <c r="F8" s="215"/>
      <c r="G8" s="432"/>
      <c r="H8" s="664"/>
      <c r="I8" s="215"/>
      <c r="J8" s="432"/>
      <c r="K8" s="665"/>
      <c r="L8" s="215"/>
      <c r="M8" s="405">
        <f>TRA9_14!E40</f>
      </c>
      <c r="N8" s="279" t="s">
        <v>2372</v>
      </c>
      <c r="S8" s="192"/>
      <c r="T8" s="192">
        <f t="shared" si="0"/>
        <v>0</v>
      </c>
      <c r="U8" s="192">
        <f t="shared" si="0"/>
        <v>0</v>
      </c>
      <c r="V8" s="192">
        <f t="shared" si="0"/>
        <v>0</v>
      </c>
      <c r="W8" s="139"/>
      <c r="X8" s="192">
        <f t="shared" si="1"/>
        <v>0</v>
      </c>
      <c r="Y8" s="192">
        <f t="shared" si="1"/>
        <v>0</v>
      </c>
      <c r="Z8" s="192">
        <f t="shared" si="1"/>
        <v>0</v>
      </c>
      <c r="AA8" s="139"/>
      <c r="AB8" s="192">
        <f t="shared" si="2"/>
        <v>0</v>
      </c>
      <c r="AC8" s="192">
        <f t="shared" si="2"/>
        <v>0</v>
      </c>
      <c r="AD8" s="192">
        <f t="shared" si="2"/>
        <v>0</v>
      </c>
      <c r="AE8" s="553">
        <f t="shared" si="3"/>
        <v>0</v>
      </c>
      <c r="AF8" s="142"/>
      <c r="AG8" s="142"/>
      <c r="AH8" s="142"/>
      <c r="AI8" s="142"/>
      <c r="AJ8" s="142"/>
      <c r="AK8" s="142"/>
      <c r="AL8" s="142"/>
      <c r="AM8" s="142"/>
    </row>
    <row r="9" spans="2:39" x14ac:dyDescent="0.2">
      <c r="B9" s="666" t="s">
        <v>1508</v>
      </c>
      <c r="C9" s="355" t="s">
        <v>1507</v>
      </c>
      <c r="D9" s="223"/>
      <c r="E9" s="664"/>
      <c r="F9" s="215"/>
      <c r="G9" s="432"/>
      <c r="H9" s="664"/>
      <c r="I9" s="215"/>
      <c r="J9" s="432"/>
      <c r="K9" s="665"/>
      <c r="L9" s="215"/>
      <c r="M9" s="405">
        <f>TRA9_14!E64</f>
      </c>
      <c r="N9" s="279" t="s">
        <v>2372</v>
      </c>
      <c r="S9" s="192"/>
      <c r="T9" s="192">
        <f t="shared" si="0"/>
        <v>0</v>
      </c>
      <c r="U9" s="192">
        <f t="shared" si="0"/>
        <v>0</v>
      </c>
      <c r="V9" s="192">
        <f t="shared" si="0"/>
        <v>0</v>
      </c>
      <c r="W9" s="139"/>
      <c r="X9" s="192">
        <f t="shared" si="1"/>
        <v>0</v>
      </c>
      <c r="Y9" s="192">
        <f t="shared" si="1"/>
        <v>0</v>
      </c>
      <c r="Z9" s="192">
        <f t="shared" si="1"/>
        <v>0</v>
      </c>
      <c r="AA9" s="139"/>
      <c r="AB9" s="192">
        <f t="shared" si="2"/>
        <v>0</v>
      </c>
      <c r="AC9" s="192">
        <f t="shared" si="2"/>
        <v>0</v>
      </c>
      <c r="AD9" s="192">
        <f t="shared" si="2"/>
        <v>0</v>
      </c>
      <c r="AE9" s="553">
        <f t="shared" si="3"/>
        <v>0</v>
      </c>
      <c r="AF9" s="142"/>
      <c r="AG9" s="142"/>
      <c r="AH9" s="142"/>
      <c r="AI9" s="142"/>
      <c r="AJ9" s="142"/>
      <c r="AK9" s="142"/>
      <c r="AL9" s="142"/>
      <c r="AM9" s="142"/>
    </row>
    <row r="10" spans="2:39" x14ac:dyDescent="0.2">
      <c r="B10" s="666" t="s">
        <v>3416</v>
      </c>
      <c r="C10" s="355" t="s">
        <v>1509</v>
      </c>
      <c r="D10" s="223"/>
      <c r="E10" s="664"/>
      <c r="F10" s="215"/>
      <c r="G10" s="432"/>
      <c r="H10" s="664"/>
      <c r="I10" s="215"/>
      <c r="J10" s="432"/>
      <c r="K10" s="665"/>
      <c r="L10" s="215"/>
      <c r="M10" s="405">
        <f>TRA9_14!E88</f>
      </c>
      <c r="N10" s="279" t="s">
        <v>2372</v>
      </c>
      <c r="S10" s="192"/>
      <c r="T10" s="192">
        <f t="shared" si="0"/>
        <v>0</v>
      </c>
      <c r="U10" s="192">
        <f t="shared" si="0"/>
        <v>0</v>
      </c>
      <c r="V10" s="192">
        <f t="shared" si="0"/>
        <v>0</v>
      </c>
      <c r="W10" s="139"/>
      <c r="X10" s="192">
        <f t="shared" si="1"/>
        <v>0</v>
      </c>
      <c r="Y10" s="192">
        <f t="shared" si="1"/>
        <v>0</v>
      </c>
      <c r="Z10" s="192">
        <f t="shared" si="1"/>
        <v>0</v>
      </c>
      <c r="AA10" s="139"/>
      <c r="AB10" s="192">
        <f t="shared" si="2"/>
        <v>0</v>
      </c>
      <c r="AC10" s="192">
        <f t="shared" si="2"/>
        <v>0</v>
      </c>
      <c r="AD10" s="192">
        <f t="shared" si="2"/>
        <v>0</v>
      </c>
      <c r="AE10" s="553">
        <f t="shared" si="3"/>
        <v>0</v>
      </c>
      <c r="AF10" s="142"/>
      <c r="AG10" s="142"/>
      <c r="AH10" s="142"/>
      <c r="AI10" s="142"/>
      <c r="AJ10" s="142"/>
      <c r="AK10" s="142"/>
      <c r="AL10" s="142"/>
      <c r="AM10" s="142"/>
    </row>
    <row r="11" spans="2:39" x14ac:dyDescent="0.2">
      <c r="B11" s="666" t="s">
        <v>3285</v>
      </c>
      <c r="C11" s="355" t="s">
        <v>3091</v>
      </c>
      <c r="D11" s="223"/>
      <c r="E11" s="664"/>
      <c r="F11" s="215"/>
      <c r="G11" s="432"/>
      <c r="H11" s="664"/>
      <c r="I11" s="215"/>
      <c r="J11" s="432"/>
      <c r="K11" s="665"/>
      <c r="L11" s="215"/>
      <c r="M11" s="405">
        <f>TRA9_14!E112</f>
      </c>
      <c r="N11" s="279" t="s">
        <v>2372</v>
      </c>
      <c r="S11" s="192"/>
      <c r="T11" s="192">
        <f t="shared" si="0"/>
        <v>0</v>
      </c>
      <c r="U11" s="192">
        <f t="shared" si="0"/>
        <v>0</v>
      </c>
      <c r="V11" s="192">
        <f t="shared" si="0"/>
        <v>0</v>
      </c>
      <c r="W11" s="139"/>
      <c r="X11" s="192">
        <f t="shared" si="1"/>
        <v>0</v>
      </c>
      <c r="Y11" s="192">
        <f t="shared" si="1"/>
        <v>0</v>
      </c>
      <c r="Z11" s="192">
        <f t="shared" si="1"/>
        <v>0</v>
      </c>
      <c r="AA11" s="139"/>
      <c r="AB11" s="192">
        <f t="shared" si="2"/>
        <v>0</v>
      </c>
      <c r="AC11" s="192">
        <f t="shared" si="2"/>
        <v>0</v>
      </c>
      <c r="AD11" s="192">
        <f t="shared" si="2"/>
        <v>0</v>
      </c>
      <c r="AE11" s="553">
        <f t="shared" si="3"/>
        <v>0</v>
      </c>
      <c r="AF11" s="142"/>
      <c r="AG11" s="142"/>
      <c r="AH11" s="142"/>
      <c r="AI11" s="142"/>
      <c r="AJ11" s="142"/>
      <c r="AK11" s="142"/>
      <c r="AL11" s="142"/>
      <c r="AM11" s="142"/>
    </row>
    <row r="12" spans="2:39" x14ac:dyDescent="0.2">
      <c r="B12" s="666" t="s">
        <v>3287</v>
      </c>
      <c r="C12" s="355" t="s">
        <v>3286</v>
      </c>
      <c r="D12" s="223"/>
      <c r="E12" s="664"/>
      <c r="F12" s="215"/>
      <c r="G12" s="432"/>
      <c r="H12" s="664"/>
      <c r="I12" s="215"/>
      <c r="J12" s="432"/>
      <c r="K12" s="665"/>
      <c r="L12" s="215"/>
      <c r="M12" s="405">
        <f>TRA9_14!E138</f>
      </c>
      <c r="N12" s="279" t="s">
        <v>2372</v>
      </c>
      <c r="S12" s="192"/>
      <c r="T12" s="192">
        <f t="shared" si="0"/>
        <v>0</v>
      </c>
      <c r="U12" s="192">
        <f t="shared" si="0"/>
        <v>0</v>
      </c>
      <c r="V12" s="192">
        <f t="shared" si="0"/>
        <v>0</v>
      </c>
      <c r="W12" s="139"/>
      <c r="X12" s="192">
        <f t="shared" si="1"/>
        <v>0</v>
      </c>
      <c r="Y12" s="192">
        <f t="shared" si="1"/>
        <v>0</v>
      </c>
      <c r="Z12" s="192">
        <f t="shared" si="1"/>
        <v>0</v>
      </c>
      <c r="AA12" s="139"/>
      <c r="AB12" s="192">
        <f t="shared" si="2"/>
        <v>0</v>
      </c>
      <c r="AC12" s="192">
        <f t="shared" si="2"/>
        <v>0</v>
      </c>
      <c r="AD12" s="192">
        <f t="shared" si="2"/>
        <v>0</v>
      </c>
      <c r="AE12" s="553">
        <f t="shared" si="3"/>
        <v>0</v>
      </c>
      <c r="AF12" s="142"/>
      <c r="AG12" s="142"/>
      <c r="AH12" s="142"/>
      <c r="AI12" s="142"/>
      <c r="AJ12" s="142"/>
      <c r="AK12" s="142"/>
      <c r="AL12" s="142"/>
      <c r="AM12" s="142"/>
    </row>
    <row r="13" spans="2:39" x14ac:dyDescent="0.2">
      <c r="B13" s="667" t="s">
        <v>8750</v>
      </c>
      <c r="C13" s="355" t="s">
        <v>3288</v>
      </c>
      <c r="D13" s="223"/>
      <c r="E13" s="664"/>
      <c r="F13" s="216">
        <f>SUM(D5:D13)*-1</f>
      </c>
      <c r="G13" s="432"/>
      <c r="H13" s="664"/>
      <c r="I13" s="216">
        <f>SUM(G5:G13)*-1</f>
      </c>
      <c r="J13" s="432"/>
      <c r="K13" s="665"/>
      <c r="L13" s="216">
        <f>SUM(J5:J13)*-1</f>
      </c>
      <c r="M13" s="405">
        <f>'TRA15'!I69</f>
      </c>
      <c r="N13" s="279" t="s">
        <v>2372</v>
      </c>
      <c r="O13" s="45">
        <f>SUM(M5:M13)*-1</f>
      </c>
      <c r="Q13" s="32"/>
      <c r="S13" s="192"/>
      <c r="T13" s="192">
        <f t="shared" si="0"/>
        <v>0</v>
      </c>
      <c r="U13" s="192">
        <f t="shared" si="0"/>
        <v>0</v>
      </c>
      <c r="V13" s="192">
        <f t="shared" si="0"/>
        <v>0</v>
      </c>
      <c r="W13" s="139"/>
      <c r="X13" s="192">
        <f t="shared" si="1"/>
        <v>0</v>
      </c>
      <c r="Y13" s="192">
        <f t="shared" si="1"/>
        <v>0</v>
      </c>
      <c r="Z13" s="192">
        <f t="shared" si="1"/>
        <v>0</v>
      </c>
      <c r="AA13" s="139"/>
      <c r="AB13" s="192">
        <f t="shared" si="2"/>
        <v>0</v>
      </c>
      <c r="AC13" s="192">
        <f t="shared" si="2"/>
        <v>0</v>
      </c>
      <c r="AD13" s="192">
        <f t="shared" si="2"/>
        <v>0</v>
      </c>
      <c r="AE13" s="553">
        <f t="shared" si="3"/>
        <v>0</v>
      </c>
      <c r="AF13" s="142"/>
      <c r="AG13" s="142"/>
      <c r="AH13" s="142"/>
      <c r="AI13" s="142"/>
      <c r="AJ13" s="142"/>
      <c r="AK13" s="142"/>
      <c r="AL13" s="142"/>
      <c r="AM13" s="142"/>
    </row>
    <row r="14" spans="2:39" x14ac:dyDescent="0.2">
      <c r="B14" s="4720"/>
      <c r="C14" s="4721"/>
      <c r="D14" s="223"/>
      <c r="E14" s="664"/>
      <c r="F14" s="217">
        <f>F13+(D14*-1)</f>
      </c>
      <c r="G14" s="223"/>
      <c r="H14" s="664"/>
      <c r="I14" s="217">
        <f>I13+(G14*-1)</f>
      </c>
      <c r="J14" s="223"/>
      <c r="K14" s="665"/>
      <c r="L14" s="217">
        <f>L13+(J14*-1)</f>
      </c>
      <c r="M14" s="223"/>
      <c r="N14" s="279" t="str">
        <f>IF(ISBLANK(M14),"","FIA")</f>
        <v/>
      </c>
      <c r="O14" s="29">
        <f>O13+(M14*-1)</f>
      </c>
      <c r="S14" s="192"/>
      <c r="T14" s="192">
        <f t="shared" si="0"/>
        <v>0</v>
      </c>
      <c r="U14" s="192">
        <f t="shared" si="0"/>
        <v>0</v>
      </c>
      <c r="V14" s="192">
        <f t="shared" si="0"/>
        <v>0</v>
      </c>
      <c r="W14" s="139"/>
      <c r="X14" s="192">
        <f t="shared" si="1"/>
        <v>0</v>
      </c>
      <c r="Y14" s="192">
        <f t="shared" si="1"/>
        <v>0</v>
      </c>
      <c r="Z14" s="192">
        <f t="shared" si="1"/>
        <v>0</v>
      </c>
      <c r="AA14" s="139"/>
      <c r="AB14" s="192">
        <f t="shared" si="2"/>
        <v>0</v>
      </c>
      <c r="AC14" s="192">
        <f t="shared" si="2"/>
        <v>0</v>
      </c>
      <c r="AD14" s="192">
        <f t="shared" si="2"/>
        <v>0</v>
      </c>
      <c r="AE14" s="553">
        <f t="shared" si="3"/>
        <v>0</v>
      </c>
      <c r="AF14" s="142"/>
      <c r="AG14" s="142"/>
      <c r="AH14" s="142"/>
      <c r="AI14" s="142"/>
      <c r="AJ14" s="142"/>
      <c r="AK14" s="142"/>
      <c r="AL14" s="142"/>
      <c r="AM14" s="142"/>
    </row>
    <row r="15" spans="2:39" x14ac:dyDescent="0.2">
      <c r="B15" s="4720"/>
      <c r="C15" s="4721"/>
      <c r="D15" s="223"/>
      <c r="E15" s="664"/>
      <c r="F15" s="217">
        <f>F14+(D15*-1)</f>
      </c>
      <c r="G15" s="223"/>
      <c r="H15" s="664"/>
      <c r="I15" s="217">
        <f>I14+(G15*-1)</f>
      </c>
      <c r="J15" s="223"/>
      <c r="K15" s="665"/>
      <c r="L15" s="217">
        <f>L14+(J15*-1)</f>
      </c>
      <c r="M15" s="223"/>
      <c r="N15" s="279" t="str">
        <f>IF(ISBLANK(M15),"","FIA")</f>
        <v/>
      </c>
      <c r="O15" s="29">
        <f>O14+(M15*-1)</f>
      </c>
      <c r="S15" s="192"/>
      <c r="T15" s="192">
        <f t="shared" si="0"/>
        <v>0</v>
      </c>
      <c r="U15" s="192">
        <f t="shared" si="0"/>
        <v>0</v>
      </c>
      <c r="V15" s="192">
        <f t="shared" si="0"/>
        <v>0</v>
      </c>
      <c r="W15" s="139"/>
      <c r="X15" s="192">
        <f t="shared" si="1"/>
        <v>0</v>
      </c>
      <c r="Y15" s="192">
        <f t="shared" si="1"/>
        <v>0</v>
      </c>
      <c r="Z15" s="192">
        <f t="shared" si="1"/>
        <v>0</v>
      </c>
      <c r="AA15" s="139"/>
      <c r="AB15" s="192">
        <f t="shared" si="2"/>
        <v>0</v>
      </c>
      <c r="AC15" s="192">
        <f t="shared" si="2"/>
        <v>0</v>
      </c>
      <c r="AD15" s="192">
        <f t="shared" si="2"/>
        <v>0</v>
      </c>
      <c r="AE15" s="553">
        <f t="shared" si="3"/>
        <v>0</v>
      </c>
      <c r="AF15" s="142"/>
      <c r="AG15" s="142"/>
      <c r="AH15" s="142"/>
      <c r="AI15" s="142"/>
      <c r="AJ15" s="142"/>
      <c r="AK15" s="142"/>
      <c r="AL15" s="142"/>
      <c r="AM15" s="142"/>
    </row>
    <row r="16" spans="2:39" x14ac:dyDescent="0.2">
      <c r="B16" s="4720"/>
      <c r="C16" s="4721"/>
      <c r="D16" s="223"/>
      <c r="E16" s="664"/>
      <c r="F16" s="215"/>
      <c r="G16" s="223"/>
      <c r="H16" s="664"/>
      <c r="I16" s="215"/>
      <c r="J16" s="223"/>
      <c r="K16" s="665"/>
      <c r="L16" s="215"/>
      <c r="M16" s="223"/>
      <c r="N16" s="279" t="str">
        <f>IF(ISBLANK(M16),"","FIA")</f>
        <v/>
      </c>
      <c r="S16" s="192"/>
      <c r="T16" s="192">
        <f t="shared" si="0"/>
        <v>0</v>
      </c>
      <c r="U16" s="192">
        <f t="shared" si="0"/>
        <v>0</v>
      </c>
      <c r="V16" s="192">
        <f t="shared" si="0"/>
        <v>0</v>
      </c>
      <c r="W16" s="139"/>
      <c r="X16" s="192">
        <f t="shared" si="1"/>
        <v>0</v>
      </c>
      <c r="Y16" s="192">
        <f t="shared" si="1"/>
        <v>0</v>
      </c>
      <c r="Z16" s="192">
        <f t="shared" si="1"/>
        <v>0</v>
      </c>
      <c r="AA16" s="139"/>
      <c r="AB16" s="192">
        <f t="shared" si="2"/>
        <v>0</v>
      </c>
      <c r="AC16" s="192">
        <f t="shared" si="2"/>
        <v>0</v>
      </c>
      <c r="AD16" s="192">
        <f t="shared" si="2"/>
        <v>0</v>
      </c>
      <c r="AE16" s="553">
        <f t="shared" si="3"/>
        <v>0</v>
      </c>
      <c r="AF16" s="142"/>
      <c r="AG16" s="142"/>
      <c r="AH16" s="142"/>
      <c r="AI16" s="142"/>
      <c r="AJ16" s="142"/>
      <c r="AK16" s="142"/>
      <c r="AL16" s="142"/>
      <c r="AM16" s="142"/>
    </row>
    <row r="17" spans="1:31" x14ac:dyDescent="0.2">
      <c r="B17" s="4726" t="s">
        <v>5590</v>
      </c>
      <c r="C17" s="4726"/>
      <c r="D17" s="405">
        <f>SUM(D5:D16)</f>
      </c>
      <c r="E17" s="218"/>
      <c r="F17" s="219"/>
      <c r="G17" s="405">
        <f>SUM(G5:G16)</f>
      </c>
      <c r="H17" s="218"/>
      <c r="I17" s="219"/>
      <c r="J17" s="405">
        <f>SUM(J5:J16)</f>
      </c>
      <c r="K17" s="218"/>
      <c r="L17" s="219"/>
      <c r="M17" s="405">
        <f>SUM(M5:M16)</f>
      </c>
      <c r="N17" s="220"/>
      <c r="S17" s="192"/>
      <c r="T17" s="192">
        <f t="shared" ref="T17:AE17" si="4">SUM(T5:T16)</f>
      </c>
      <c r="U17" s="192">
        <f t="shared" si="4"/>
        <v>0</v>
      </c>
      <c r="V17" s="192">
        <f t="shared" si="4"/>
        <v>0</v>
      </c>
      <c r="W17" s="139"/>
      <c r="X17" s="192">
        <f t="shared" si="4"/>
        <v>0</v>
      </c>
      <c r="Y17" s="192">
        <f t="shared" si="4"/>
        <v>0</v>
      </c>
      <c r="Z17" s="192">
        <f t="shared" si="4"/>
        <v>0</v>
      </c>
      <c r="AA17" s="139"/>
      <c r="AB17" s="192">
        <f t="shared" si="4"/>
        <v>0</v>
      </c>
      <c r="AC17" s="192">
        <f t="shared" si="4"/>
        <v>0</v>
      </c>
      <c r="AD17" s="192">
        <f t="shared" si="4"/>
        <v>0</v>
      </c>
      <c r="AE17" s="192">
        <f t="shared" si="4"/>
        <v>0</v>
      </c>
    </row>
    <row r="18" spans="1:31" ht="4.5" customHeight="1" x14ac:dyDescent="0.2">
      <c r="B18" s="3"/>
      <c r="C18" s="3"/>
      <c r="D18" s="3"/>
      <c r="E18" s="3"/>
      <c r="F18" s="3"/>
      <c r="G18" s="3"/>
      <c r="H18" s="3"/>
      <c r="I18" s="3"/>
      <c r="J18" s="3"/>
      <c r="K18" s="3"/>
      <c r="L18" s="3"/>
      <c r="M18" s="3"/>
      <c r="N18" s="3"/>
      <c r="R18" s="44"/>
      <c r="S18" s="30"/>
      <c r="T18" s="30"/>
      <c r="V18" s="30"/>
      <c r="W18" s="30"/>
      <c r="X18" s="30"/>
      <c r="Y18" s="30"/>
      <c r="Z18" s="30"/>
    </row>
    <row r="19" spans="1:31" x14ac:dyDescent="0.2">
      <c r="B19" s="4521" t="s">
        <v>5003</v>
      </c>
      <c r="C19" s="4727" t="s">
        <v>5004</v>
      </c>
      <c r="D19" s="4728"/>
      <c r="E19" s="4729"/>
      <c r="F19" s="257"/>
      <c r="G19" s="4724" t="s">
        <v>5590</v>
      </c>
      <c r="H19" s="61" t="str">
        <f>IF(P27&lt;&gt;0,"Make sure that all tax accounts are indicated !","")</f>
        <v/>
      </c>
      <c r="I19" s="3"/>
      <c r="J19" s="3"/>
      <c r="K19" s="3"/>
      <c r="L19" s="3"/>
      <c r="M19" s="3"/>
      <c r="N19" s="3"/>
    </row>
    <row r="20" spans="1:31" x14ac:dyDescent="0.2">
      <c r="B20" s="4521"/>
      <c r="C20" s="255" t="s">
        <v>5806</v>
      </c>
      <c r="D20" s="255" t="s">
        <v>363</v>
      </c>
      <c r="E20" s="255" t="s">
        <v>2372</v>
      </c>
      <c r="G20" s="4725"/>
      <c r="H20" s="3"/>
      <c r="I20" s="3"/>
      <c r="J20" s="3"/>
      <c r="K20" s="3"/>
      <c r="L20" s="3"/>
      <c r="M20" s="3"/>
      <c r="N20" s="3"/>
    </row>
    <row r="21" spans="1:31" x14ac:dyDescent="0.2">
      <c r="B21" s="668" t="s">
        <v>2437</v>
      </c>
      <c r="C21" s="405">
        <f>T17</f>
      </c>
      <c r="D21" s="405">
        <f>U17</f>
      </c>
      <c r="E21" s="405">
        <f>V17</f>
      </c>
      <c r="F21" s="433">
        <f>V17</f>
      </c>
      <c r="G21" s="405">
        <f>SUM(C21:E21)</f>
      </c>
      <c r="H21" s="3"/>
      <c r="I21" s="3"/>
      <c r="J21" s="3"/>
      <c r="K21" s="3"/>
      <c r="L21" s="3"/>
      <c r="M21" s="3"/>
      <c r="N21" s="3"/>
    </row>
    <row r="22" spans="1:31" x14ac:dyDescent="0.2">
      <c r="B22" s="668" t="s">
        <v>5005</v>
      </c>
      <c r="C22" s="405">
        <f>X17</f>
      </c>
      <c r="D22" s="405">
        <f>Y17</f>
      </c>
      <c r="E22" s="405">
        <f>Z17</f>
      </c>
      <c r="F22" s="433">
        <f>Z17</f>
      </c>
      <c r="G22" s="405">
        <f>SUM(C22:E22)</f>
      </c>
      <c r="H22" s="3"/>
      <c r="I22" s="3"/>
      <c r="J22" s="3"/>
      <c r="K22" s="3"/>
      <c r="L22" s="3"/>
      <c r="M22" s="3"/>
      <c r="N22" s="3"/>
    </row>
    <row r="23" spans="1:31" x14ac:dyDescent="0.2">
      <c r="B23" s="668" t="s">
        <v>2439</v>
      </c>
      <c r="C23" s="405">
        <f>AB17</f>
      </c>
      <c r="D23" s="405">
        <f>AC17</f>
      </c>
      <c r="E23" s="405">
        <f>AD17</f>
      </c>
      <c r="F23" s="433">
        <f>AD17</f>
      </c>
      <c r="G23" s="405">
        <f>SUM(C23:E23)</f>
      </c>
      <c r="H23" s="3"/>
      <c r="I23" s="3"/>
      <c r="J23" s="3"/>
      <c r="K23" s="3"/>
      <c r="L23" s="3"/>
      <c r="M23" s="3"/>
      <c r="N23" s="3"/>
    </row>
    <row r="24" spans="1:31" x14ac:dyDescent="0.2">
      <c r="B24" s="669" t="s">
        <v>2440</v>
      </c>
      <c r="C24" s="221"/>
      <c r="D24" s="529"/>
      <c r="E24" s="405">
        <f>AE17</f>
      </c>
      <c r="F24" s="46"/>
      <c r="G24" s="405">
        <f>SUM(C24:E24)</f>
      </c>
      <c r="H24" s="3"/>
      <c r="I24" s="3"/>
      <c r="J24" s="3"/>
      <c r="K24" s="3"/>
      <c r="L24" s="3"/>
      <c r="M24" s="3"/>
      <c r="N24" s="3"/>
      <c r="P24" s="32">
        <f>SUM(D17,G17,J17,M17)</f>
      </c>
    </row>
    <row r="25" spans="1:31" x14ac:dyDescent="0.2">
      <c r="B25" s="318" t="s">
        <v>5006</v>
      </c>
      <c r="C25" s="451">
        <f>SUM(C21:C23)</f>
      </c>
      <c r="D25" s="451">
        <f>SUM(D21:D23)</f>
      </c>
      <c r="E25" s="405">
        <f>SUM(E21:E24)</f>
      </c>
      <c r="F25" s="46"/>
      <c r="G25" s="405">
        <f>SUM(C25:E25)</f>
      </c>
      <c r="H25" s="805" t="str">
        <f>IF('p5'!N30=0,"","Exceeds tax liability for the year(Page 5)!")</f>
        <v/>
      </c>
      <c r="I25" s="3"/>
      <c r="J25" s="3"/>
      <c r="K25" s="3"/>
      <c r="L25" s="3"/>
      <c r="M25" s="3"/>
      <c r="N25" s="3"/>
      <c r="P25" s="32">
        <f>SUM(C25,D25,E25)</f>
      </c>
    </row>
    <row r="26" spans="1:31" ht="5.25" customHeight="1" x14ac:dyDescent="0.2">
      <c r="B26" s="3"/>
      <c r="C26" s="3"/>
      <c r="D26" s="3"/>
      <c r="E26" s="3"/>
      <c r="F26" s="3"/>
      <c r="G26" s="17"/>
      <c r="H26" s="3"/>
      <c r="I26" s="3"/>
      <c r="J26" s="3"/>
      <c r="K26" s="3"/>
      <c r="L26" s="3"/>
      <c r="M26" s="3"/>
      <c r="N26" s="3"/>
    </row>
    <row r="27" spans="1:31" x14ac:dyDescent="0.2">
      <c r="A27" s="46"/>
      <c r="B27" s="17" t="str">
        <f>_xlfn.SINGLE(MTCA)</f>
      </c>
      <c r="C27" s="17"/>
      <c r="D27" s="3"/>
      <c r="E27" s="17" t="str">
        <f>ver</f>
        <v>TA2_e-CO_2025_Ver 1.1</v>
      </c>
      <c r="F27" s="17"/>
      <c r="G27" s="17"/>
      <c r="H27" s="17"/>
      <c r="I27" s="17"/>
      <c r="J27" s="17"/>
      <c r="K27" s="17"/>
      <c r="L27" s="17"/>
      <c r="M27" s="17"/>
      <c r="N27" s="17" t="s">
        <v>2310</v>
      </c>
      <c r="O27" s="46"/>
      <c r="P27" s="28">
        <f>IF(P24&lt;&gt;P25,1,0)</f>
      </c>
    </row>
    <row r="28" spans="1:31" x14ac:dyDescent="0.2">
      <c r="B28" s="237"/>
      <c r="C28" s="3"/>
      <c r="D28" s="3"/>
      <c r="E28" s="3"/>
      <c r="F28" s="3"/>
      <c r="G28" s="3"/>
      <c r="H28" s="3"/>
      <c r="I28" s="3"/>
      <c r="J28" s="3"/>
      <c r="K28" s="3"/>
      <c r="L28" s="3"/>
      <c r="M28" s="3"/>
      <c r="N28" s="3"/>
    </row>
    <row r="29" spans="1:31" x14ac:dyDescent="0.2">
      <c r="B29" s="237"/>
      <c r="C29" s="610" t="str">
        <f>COM</f>
      </c>
      <c r="D29" s="664"/>
      <c r="E29" s="3"/>
      <c r="F29" s="3"/>
      <c r="G29" s="3"/>
      <c r="H29" s="3"/>
      <c r="I29" s="3"/>
      <c r="J29" s="3"/>
      <c r="K29" s="3"/>
      <c r="L29" s="3"/>
      <c r="M29" s="3"/>
      <c r="N29" s="3"/>
      <c r="P29" s="94">
        <f>IF(P24=0,0,IF(P27&lt;&gt;0,100,IF(D29="Yes",1,100)))</f>
      </c>
    </row>
    <row r="30" spans="1:31" x14ac:dyDescent="0.2">
      <c r="B30" s="3"/>
      <c r="C30" s="3"/>
      <c r="D30" s="3"/>
      <c r="E30" s="3"/>
      <c r="F30" s="3"/>
      <c r="G30" s="3"/>
      <c r="H30" s="3"/>
      <c r="I30" s="3"/>
      <c r="J30" s="3"/>
      <c r="K30" s="3"/>
      <c r="L30" s="3"/>
      <c r="M30" s="3"/>
      <c r="N30" s="3"/>
    </row>
    <row r="31" spans="1:31" x14ac:dyDescent="0.2">
      <c r="B31" s="4636" t="s">
        <v>6290</v>
      </c>
      <c r="C31" s="4636"/>
      <c r="D31" s="4636"/>
      <c r="E31" s="4636"/>
      <c r="F31" s="4636"/>
      <c r="G31" s="3"/>
      <c r="H31" s="3"/>
      <c r="I31" s="3"/>
      <c r="J31" s="3"/>
      <c r="K31" s="3"/>
      <c r="L31" s="3"/>
      <c r="M31" s="3"/>
      <c r="N31" s="3"/>
    </row>
    <row r="32" spans="1:31" x14ac:dyDescent="0.2"/>
  </sheetData>
  <sheetProtection algorithmName="SHA-512" hashValue="Pj1xQdJmE0Gp9xj8cnPIPTWPbrxCSdft5/rvTjWXH1m/GO7dL3e0Xfv8j1mXZJ9fgfIcvB/2PpjjMt1QfDdqUg==" saltValue="zKtSoVk/E1gPGCP0bxFNiA==" spinCount="100000" sheet="1" objects="1" scenarios="1"/>
  <customSheetViews>
    <customSheetView guid="{99B5278F-6EA9-4B1A-8623-27A4DF4AD5E4}" showGridLines="0" hiddenRows="1" hiddenColumns="1">
      <selection activeCell="D5" sqref="D5"/>
      <pageMargins left="0.74803149606299213" right="0.27559055118110237" top="0.98425196850393704"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21">
    <mergeCell ref="G19:G20"/>
    <mergeCell ref="B16:C16"/>
    <mergeCell ref="B31:F31"/>
    <mergeCell ref="B19:B20"/>
    <mergeCell ref="B17:C17"/>
    <mergeCell ref="C19:E19"/>
    <mergeCell ref="B15:C15"/>
    <mergeCell ref="D3:D4"/>
    <mergeCell ref="N3:N4"/>
    <mergeCell ref="K3:K4"/>
    <mergeCell ref="B3:B4"/>
    <mergeCell ref="G3:G4"/>
    <mergeCell ref="B14:C14"/>
    <mergeCell ref="M1:N1"/>
    <mergeCell ref="B2:N2"/>
    <mergeCell ref="E3:E4"/>
    <mergeCell ref="H3:H4"/>
    <mergeCell ref="M3:M4"/>
    <mergeCell ref="B1:L1"/>
    <mergeCell ref="J3:J4"/>
    <mergeCell ref="C3:C4"/>
  </mergeCells>
  <phoneticPr fontId="0" type="noConversion"/>
  <dataValidations count="7">
    <dataValidation type="whole" operator="greaterThanOrEqual" allowBlank="1" showInputMessage="1" showErrorMessage="1" errorTitle="RELIEF OF DOUBLE TAXATION" error="PLEASE ENTER A WHOLE NUMBER THAT DOES NOT EXCEED TOTAL FRFTC!" sqref="M14:M16" xr:uid="{00000000-0002-0000-1B00-000000000000}">
      <formula1>O13</formula1>
    </dataValidation>
    <dataValidation type="whole" operator="greaterThanOrEqual" allowBlank="1" showInputMessage="1" showErrorMessage="1" errorTitle="RELIEF OF DOUBLE TAXATION" error="PLEASE ENTER A WHOLE NUMBER THAT DOES NOT EXCEED TOTAL DTR!" sqref="D14:D16" xr:uid="{00000000-0002-0000-1B00-000001000000}">
      <formula1>F13</formula1>
    </dataValidation>
    <dataValidation type="whole" operator="greaterThanOrEqual" allowBlank="1" showInputMessage="1" showErrorMessage="1" errorTitle="RELIEF OF DOUBLE TAXATION" error="PLEASE ENTER A WHOLE NUMBER THAT DOES NOT EXCEED TOTAL COMMONWEALTH RELIEF!" sqref="G14:G16" xr:uid="{00000000-0002-0000-1B00-000002000000}">
      <formula1>I13</formula1>
    </dataValidation>
    <dataValidation type="whole" operator="greaterThanOrEqual" allowBlank="1" showInputMessage="1" showErrorMessage="1" errorTitle="RELIEF OF DOUBLE TAXATION" error="PLEASE ENTER A WHOLE NUMBER THAT DOES NOT EXCEED TOTAL UNILATERAL RELIEF!" sqref="J14:J16" xr:uid="{00000000-0002-0000-1B00-000003000000}">
      <formula1>L13</formula1>
    </dataValidation>
    <dataValidation type="whole" operator="greaterThanOrEqual" allowBlank="1" showInputMessage="1" showErrorMessage="1" errorTitle="RELIEF OF DOUBLE TAXATION" error="PLEASE ENTER A POSITIVIE VALUE!" sqref="D5:D13 M5:M13 G5:G13 J5:J13" xr:uid="{00000000-0002-0000-1B00-000004000000}">
      <formula1>0</formula1>
    </dataValidation>
    <dataValidation type="list" operator="greaterThanOrEqual" allowBlank="1" showInputMessage="1" showErrorMessage="1" errorTitle="Dropdown list" error="Choose an item from the list!" sqref="D29" xr:uid="{00000000-0002-0000-1B00-000005000000}">
      <formula1>$W$1:$W$3</formula1>
    </dataValidation>
    <dataValidation type="list" operator="greaterThanOrEqual" allowBlank="1" showInputMessage="1" showErrorMessage="1" errorTitle="Dropdown list" error="Choose an item from the list!" sqref="E5:E16 K5:K16 H5:H16" xr:uid="{00000000-0002-0000-1B00-000006000000}">
      <formula1>$AK$2:$AK$5</formula1>
    </dataValidation>
  </dataValidations>
  <hyperlinks>
    <hyperlink ref="B31" location="Index!A1" display="Index!A1" xr:uid="{00000000-0004-0000-1B00-000000000000}"/>
  </hyperlinks>
  <printOptions horizontalCentered="1"/>
  <pageMargins left="0.74803149606299213" right="0.27559055118110237" top="0.98425196850393704" bottom="0.98425196850393704" header="0.51181102362204722" footer="0.51181102362204722"/>
  <pageSetup paperSize="9" orientation="landscape" r:id="rId2"/>
  <headerFooter alignWithMargins="0">
    <oddFooter>&amp;LName&amp;CSignature&amp;RDate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pageSetUpPr fitToPage="1"/>
  </sheetPr>
  <dimension ref="A1:CA186"/>
  <sheetViews>
    <sheetView showGridLines="0" zoomScaleNormal="100" workbookViewId="0"/>
  </sheetViews>
  <sheetFormatPr defaultColWidth="0" defaultRowHeight="12.75" zeroHeight="1" x14ac:dyDescent="0.2"/>
  <cols>
    <col min="1" max="1" width="7.42578125" style="28" customWidth="1"/>
    <col min="2" max="2" width="12.7109375" style="142" customWidth="1"/>
    <col min="3" max="3" width="14" style="142" customWidth="1"/>
    <col min="4" max="4" width="12.7109375" style="142" customWidth="1"/>
    <col min="5" max="5" width="6.42578125" style="142" customWidth="1"/>
    <col min="6" max="6" width="17" style="142" customWidth="1"/>
    <col min="7" max="7" width="9.28515625" style="142" customWidth="1"/>
    <col min="8" max="8" width="13.5703125" style="142" customWidth="1"/>
    <col min="9" max="9" width="14.28515625" style="142" customWidth="1"/>
    <col min="10" max="10" width="12.7109375" style="28" customWidth="1"/>
    <col min="11" max="11" width="2.7109375" style="1" customWidth="1"/>
    <col min="12" max="51" width="12.28515625" style="28" hidden="1" customWidth="1"/>
    <col min="52" max="52" width="5.7109375" style="28" hidden="1" customWidth="1"/>
    <col min="53" max="79" width="12.28515625" style="28" hidden="1" customWidth="1"/>
    <col min="80" max="16384" width="12.28515625" style="47" hidden="1"/>
  </cols>
  <sheetData>
    <row r="1" spans="1:55" x14ac:dyDescent="0.2">
      <c r="A1" s="1"/>
      <c r="B1" s="4425" t="str">
        <f>_ref1</f>
      </c>
      <c r="C1" s="4425"/>
      <c r="D1" s="4425"/>
      <c r="E1" s="4425"/>
      <c r="F1" s="4425"/>
      <c r="G1" s="4425"/>
      <c r="H1" s="4408"/>
      <c r="I1" s="539"/>
      <c r="J1" s="539" t="str">
        <f>_YA1</f>
      </c>
    </row>
    <row r="2" spans="1:55" ht="12.75" customHeight="1" x14ac:dyDescent="0.2">
      <c r="A2" s="1106"/>
      <c r="B2" s="4451" t="s">
        <v>3976</v>
      </c>
      <c r="C2" s="4451" t="s">
        <v>5914</v>
      </c>
      <c r="D2" s="4451" t="s">
        <v>4786</v>
      </c>
      <c r="E2" s="4451" t="s">
        <v>3263</v>
      </c>
      <c r="F2" s="4738" t="s">
        <v>3548</v>
      </c>
      <c r="G2" s="4736" t="s">
        <v>3506</v>
      </c>
      <c r="H2" s="4678" t="s">
        <v>4243</v>
      </c>
      <c r="I2" s="4678"/>
      <c r="J2" s="4678"/>
      <c r="N2" s="28" t="s">
        <v>5806</v>
      </c>
      <c r="O2" s="28" t="s">
        <v>4457</v>
      </c>
      <c r="AB2" s="4442" t="s">
        <v>3550</v>
      </c>
      <c r="AC2" s="4442"/>
    </row>
    <row r="3" spans="1:55" ht="33" customHeight="1" x14ac:dyDescent="0.2">
      <c r="A3" s="1106"/>
      <c r="B3" s="4451"/>
      <c r="C3" s="4451"/>
      <c r="D3" s="4451"/>
      <c r="E3" s="4451"/>
      <c r="F3" s="4676"/>
      <c r="G3" s="4737"/>
      <c r="H3" s="1088" t="s">
        <v>5806</v>
      </c>
      <c r="I3" s="1088" t="s">
        <v>363</v>
      </c>
      <c r="J3" s="1088" t="s">
        <v>2372</v>
      </c>
      <c r="N3" s="28" t="s">
        <v>363</v>
      </c>
      <c r="O3" s="28" t="s">
        <v>1736</v>
      </c>
      <c r="AA3" s="40" t="s">
        <v>3549</v>
      </c>
      <c r="AB3" s="40" t="s">
        <v>3551</v>
      </c>
      <c r="AC3" s="40" t="s">
        <v>3552</v>
      </c>
      <c r="AD3" s="28" t="s">
        <v>713</v>
      </c>
      <c r="AZ3" s="28">
        <f>IF(BA3=BB3,1,0)</f>
      </c>
      <c r="BC3" s="28" t="s">
        <v>3176</v>
      </c>
    </row>
    <row r="4" spans="1:55" x14ac:dyDescent="0.2">
      <c r="A4" s="1128"/>
      <c r="B4" s="1107"/>
      <c r="C4" s="575"/>
      <c r="D4" s="623"/>
      <c r="E4" s="569"/>
      <c r="F4" s="1085" t="str">
        <f t="shared" ref="F4:F37" si="0">IF(Q4=0,"",IF(E4="",$X$4,IF(G4="",$U$4,IF(G4=$O$3,$V$4,IF(Q4&lt;&gt;4,$S$4,"")))))</f>
        <v/>
      </c>
      <c r="G4" s="569"/>
      <c r="H4" s="2025" t="str">
        <f t="shared" ref="H4:H35" si="1">IF(E4=ip,D4,"")</f>
        <v/>
      </c>
      <c r="I4" s="2025" t="str">
        <f t="shared" ref="I4:I35" si="2">IF(E4=mt,D4,"")</f>
        <v/>
      </c>
      <c r="J4" s="2025" t="str">
        <f t="shared" ref="J4:J35" si="3">IF(E4=fi,D4,"")</f>
        <v/>
      </c>
      <c r="K4" s="1">
        <f t="shared" ref="K4:K37" si="4">IF(G4=$O$3,1,0)</f>
      </c>
      <c r="L4" s="74">
        <f>DATE(ya-2,1,1)</f>
      </c>
      <c r="M4" s="74">
        <f ca="1">TODAY()</f>
      </c>
      <c r="N4" s="28" t="s">
        <v>2372</v>
      </c>
      <c r="O4" s="142"/>
      <c r="P4" s="164">
        <f t="shared" ref="P4:P37" si="5">IF(Q4=0,0,IF(ISBLANK(G4),1,0))</f>
      </c>
      <c r="Q4" s="28">
        <f t="shared" ref="Q4:Q37" si="6">COUNTA(B4:E4)</f>
      </c>
      <c r="S4" s="142" t="s">
        <v>3340</v>
      </c>
      <c r="U4" s="28" t="s">
        <v>4532</v>
      </c>
      <c r="V4" s="28" t="s">
        <v>4533</v>
      </c>
      <c r="X4" s="28" t="s">
        <v>3341</v>
      </c>
      <c r="AA4" s="28">
        <f t="shared" ref="AA4:AA37" si="7">IF(K4=1,0,D4)</f>
      </c>
      <c r="AB4" s="28" t="str">
        <f t="shared" ref="AB4:AB35" si="8">IF(K4=1,0,I4)</f>
        <v/>
      </c>
      <c r="AC4" s="28" t="str">
        <f t="shared" ref="AC4:AC35" si="9">IF(K4=1,0,J4)</f>
        <v/>
      </c>
      <c r="AD4" s="28" t="str">
        <f t="shared" ref="AD4:AD37" si="10">IF(K4=1,0,H4)</f>
        <v/>
      </c>
    </row>
    <row r="5" spans="1:55" x14ac:dyDescent="0.2">
      <c r="A5" s="1128"/>
      <c r="B5" s="1107"/>
      <c r="C5" s="575"/>
      <c r="D5" s="623"/>
      <c r="E5" s="569"/>
      <c r="F5" s="1085" t="str">
        <f t="shared" si="0"/>
        <v/>
      </c>
      <c r="G5" s="569"/>
      <c r="H5" s="2025" t="str">
        <f t="shared" si="1"/>
        <v/>
      </c>
      <c r="I5" s="2025" t="str">
        <f t="shared" si="2"/>
        <v/>
      </c>
      <c r="J5" s="2025" t="str">
        <f t="shared" si="3"/>
        <v/>
      </c>
      <c r="K5" s="1">
        <f t="shared" si="4"/>
        <v>0</v>
      </c>
      <c r="O5" s="142"/>
      <c r="P5" s="164">
        <f t="shared" si="5"/>
        <v>0</v>
      </c>
      <c r="Q5" s="28">
        <f t="shared" si="6"/>
        <v>0</v>
      </c>
      <c r="R5" s="142"/>
      <c r="S5" s="142"/>
      <c r="AA5" s="28">
        <f t="shared" si="7"/>
        <v>0</v>
      </c>
      <c r="AB5" s="28" t="str">
        <f t="shared" si="8"/>
        <v/>
      </c>
      <c r="AC5" s="28" t="str">
        <f t="shared" si="9"/>
        <v/>
      </c>
      <c r="AD5" s="28" t="str">
        <f t="shared" si="10"/>
        <v/>
      </c>
    </row>
    <row r="6" spans="1:55" x14ac:dyDescent="0.2">
      <c r="A6" s="1128"/>
      <c r="B6" s="1107"/>
      <c r="C6" s="575"/>
      <c r="D6" s="623"/>
      <c r="E6" s="569"/>
      <c r="F6" s="1085" t="str">
        <f t="shared" si="0"/>
        <v/>
      </c>
      <c r="G6" s="569"/>
      <c r="H6" s="2025" t="str">
        <f t="shared" si="1"/>
        <v/>
      </c>
      <c r="I6" s="2025" t="str">
        <f t="shared" si="2"/>
        <v/>
      </c>
      <c r="J6" s="2025" t="str">
        <f t="shared" si="3"/>
        <v/>
      </c>
      <c r="K6" s="1">
        <f t="shared" si="4"/>
        <v>0</v>
      </c>
      <c r="O6" s="142"/>
      <c r="P6" s="164">
        <f t="shared" si="5"/>
        <v>0</v>
      </c>
      <c r="Q6" s="28">
        <f t="shared" si="6"/>
        <v>0</v>
      </c>
      <c r="R6" s="142"/>
      <c r="S6" s="142"/>
      <c r="AA6" s="28">
        <f t="shared" si="7"/>
        <v>0</v>
      </c>
      <c r="AB6" s="28" t="str">
        <f t="shared" si="8"/>
        <v/>
      </c>
      <c r="AC6" s="28" t="str">
        <f t="shared" si="9"/>
        <v/>
      </c>
      <c r="AD6" s="28" t="str">
        <f t="shared" si="10"/>
        <v/>
      </c>
    </row>
    <row r="7" spans="1:55" x14ac:dyDescent="0.2">
      <c r="A7" s="1128"/>
      <c r="B7" s="1107"/>
      <c r="C7" s="575"/>
      <c r="D7" s="623"/>
      <c r="E7" s="569"/>
      <c r="F7" s="1085" t="str">
        <f t="shared" si="0"/>
        <v/>
      </c>
      <c r="G7" s="569"/>
      <c r="H7" s="2025" t="str">
        <f t="shared" si="1"/>
        <v/>
      </c>
      <c r="I7" s="2025" t="str">
        <f t="shared" si="2"/>
        <v/>
      </c>
      <c r="J7" s="2025" t="str">
        <f t="shared" si="3"/>
        <v/>
      </c>
      <c r="K7" s="1">
        <f t="shared" si="4"/>
        <v>0</v>
      </c>
      <c r="O7" s="142"/>
      <c r="P7" s="164">
        <f t="shared" si="5"/>
        <v>0</v>
      </c>
      <c r="Q7" s="28">
        <f t="shared" si="6"/>
        <v>0</v>
      </c>
      <c r="R7" s="142"/>
      <c r="S7" s="142"/>
      <c r="AA7" s="28">
        <f t="shared" si="7"/>
        <v>0</v>
      </c>
      <c r="AB7" s="28" t="str">
        <f t="shared" si="8"/>
        <v/>
      </c>
      <c r="AC7" s="28" t="str">
        <f t="shared" si="9"/>
        <v/>
      </c>
      <c r="AD7" s="28" t="str">
        <f t="shared" si="10"/>
        <v/>
      </c>
    </row>
    <row r="8" spans="1:55" x14ac:dyDescent="0.2">
      <c r="A8" s="1128"/>
      <c r="B8" s="1107"/>
      <c r="C8" s="575"/>
      <c r="D8" s="623"/>
      <c r="E8" s="569"/>
      <c r="F8" s="1085" t="str">
        <f t="shared" si="0"/>
        <v/>
      </c>
      <c r="G8" s="569"/>
      <c r="H8" s="2025" t="str">
        <f t="shared" si="1"/>
        <v/>
      </c>
      <c r="I8" s="2025" t="str">
        <f t="shared" si="2"/>
        <v/>
      </c>
      <c r="J8" s="2025" t="str">
        <f t="shared" si="3"/>
        <v/>
      </c>
      <c r="K8" s="1">
        <f t="shared" si="4"/>
        <v>0</v>
      </c>
      <c r="O8" s="142"/>
      <c r="P8" s="164">
        <f t="shared" si="5"/>
        <v>0</v>
      </c>
      <c r="Q8" s="28">
        <f t="shared" si="6"/>
        <v>0</v>
      </c>
      <c r="R8" s="142"/>
      <c r="S8" s="142"/>
      <c r="AA8" s="28">
        <f t="shared" si="7"/>
        <v>0</v>
      </c>
      <c r="AB8" s="28" t="str">
        <f t="shared" si="8"/>
        <v/>
      </c>
      <c r="AC8" s="28" t="str">
        <f t="shared" si="9"/>
        <v/>
      </c>
      <c r="AD8" s="28" t="str">
        <f t="shared" si="10"/>
        <v/>
      </c>
    </row>
    <row r="9" spans="1:55" x14ac:dyDescent="0.2">
      <c r="A9" s="1128"/>
      <c r="B9" s="1107"/>
      <c r="C9" s="575"/>
      <c r="D9" s="623"/>
      <c r="E9" s="569"/>
      <c r="F9" s="1085" t="str">
        <f t="shared" si="0"/>
        <v/>
      </c>
      <c r="G9" s="569"/>
      <c r="H9" s="2025" t="str">
        <f t="shared" si="1"/>
        <v/>
      </c>
      <c r="I9" s="2025" t="str">
        <f t="shared" si="2"/>
        <v/>
      </c>
      <c r="J9" s="2025" t="str">
        <f t="shared" si="3"/>
        <v/>
      </c>
      <c r="K9" s="1">
        <f t="shared" si="4"/>
        <v>0</v>
      </c>
      <c r="O9" s="142"/>
      <c r="P9" s="164">
        <f t="shared" si="5"/>
        <v>0</v>
      </c>
      <c r="Q9" s="28">
        <f t="shared" si="6"/>
        <v>0</v>
      </c>
      <c r="R9" s="142"/>
      <c r="S9" s="142"/>
      <c r="AA9" s="28">
        <f t="shared" si="7"/>
        <v>0</v>
      </c>
      <c r="AB9" s="28" t="str">
        <f t="shared" si="8"/>
        <v/>
      </c>
      <c r="AC9" s="28" t="str">
        <f t="shared" si="9"/>
        <v/>
      </c>
      <c r="AD9" s="28" t="str">
        <f t="shared" si="10"/>
        <v/>
      </c>
    </row>
    <row r="10" spans="1:55" x14ac:dyDescent="0.2">
      <c r="A10" s="1128"/>
      <c r="B10" s="1107"/>
      <c r="C10" s="575"/>
      <c r="D10" s="623"/>
      <c r="E10" s="569"/>
      <c r="F10" s="1085" t="str">
        <f t="shared" si="0"/>
        <v/>
      </c>
      <c r="G10" s="569"/>
      <c r="H10" s="2025" t="str">
        <f t="shared" si="1"/>
        <v/>
      </c>
      <c r="I10" s="2025" t="str">
        <f t="shared" si="2"/>
        <v/>
      </c>
      <c r="J10" s="2025" t="str">
        <f t="shared" si="3"/>
        <v/>
      </c>
      <c r="K10" s="1">
        <f t="shared" si="4"/>
        <v>0</v>
      </c>
      <c r="M10" s="28">
        <f>COUNTA(B4:D157)</f>
      </c>
      <c r="O10" s="142"/>
      <c r="P10" s="164">
        <f t="shared" si="5"/>
        <v>0</v>
      </c>
      <c r="Q10" s="28">
        <f t="shared" si="6"/>
        <v>0</v>
      </c>
      <c r="R10" s="142"/>
      <c r="S10" s="142"/>
      <c r="AA10" s="28">
        <f t="shared" si="7"/>
        <v>0</v>
      </c>
      <c r="AB10" s="28" t="str">
        <f t="shared" si="8"/>
        <v/>
      </c>
      <c r="AC10" s="28" t="str">
        <f t="shared" si="9"/>
        <v/>
      </c>
      <c r="AD10" s="28" t="str">
        <f t="shared" si="10"/>
        <v/>
      </c>
    </row>
    <row r="11" spans="1:55" x14ac:dyDescent="0.2">
      <c r="A11" s="1128"/>
      <c r="B11" s="1107"/>
      <c r="C11" s="575"/>
      <c r="D11" s="623"/>
      <c r="E11" s="569"/>
      <c r="F11" s="1085" t="str">
        <f t="shared" si="0"/>
        <v/>
      </c>
      <c r="G11" s="569"/>
      <c r="H11" s="2025" t="str">
        <f t="shared" si="1"/>
        <v/>
      </c>
      <c r="I11" s="2025" t="str">
        <f t="shared" si="2"/>
        <v/>
      </c>
      <c r="J11" s="2025" t="str">
        <f t="shared" si="3"/>
        <v/>
      </c>
      <c r="K11" s="1">
        <f t="shared" si="4"/>
        <v>0</v>
      </c>
      <c r="O11" s="142"/>
      <c r="P11" s="164">
        <f t="shared" si="5"/>
        <v>0</v>
      </c>
      <c r="Q11" s="28">
        <f t="shared" si="6"/>
        <v>0</v>
      </c>
      <c r="R11" s="142"/>
      <c r="S11" s="142"/>
      <c r="AA11" s="28">
        <f t="shared" si="7"/>
        <v>0</v>
      </c>
      <c r="AB11" s="28" t="str">
        <f t="shared" si="8"/>
        <v/>
      </c>
      <c r="AC11" s="28" t="str">
        <f t="shared" si="9"/>
        <v/>
      </c>
      <c r="AD11" s="28" t="str">
        <f t="shared" si="10"/>
        <v/>
      </c>
    </row>
    <row r="12" spans="1:55" x14ac:dyDescent="0.2">
      <c r="A12" s="1128"/>
      <c r="B12" s="1107"/>
      <c r="C12" s="575"/>
      <c r="D12" s="623"/>
      <c r="E12" s="569"/>
      <c r="F12" s="1085" t="str">
        <f t="shared" si="0"/>
        <v/>
      </c>
      <c r="G12" s="569"/>
      <c r="H12" s="2025" t="str">
        <f t="shared" si="1"/>
        <v/>
      </c>
      <c r="I12" s="2025" t="str">
        <f t="shared" si="2"/>
        <v/>
      </c>
      <c r="J12" s="2025" t="str">
        <f t="shared" si="3"/>
        <v/>
      </c>
      <c r="K12" s="1">
        <f t="shared" si="4"/>
        <v>0</v>
      </c>
      <c r="O12" s="142"/>
      <c r="P12" s="164">
        <f t="shared" si="5"/>
        <v>0</v>
      </c>
      <c r="Q12" s="28">
        <f t="shared" si="6"/>
        <v>0</v>
      </c>
      <c r="R12" s="142"/>
      <c r="S12" s="142"/>
      <c r="AA12" s="28">
        <f t="shared" si="7"/>
        <v>0</v>
      </c>
      <c r="AB12" s="28" t="str">
        <f t="shared" si="8"/>
        <v/>
      </c>
      <c r="AC12" s="28" t="str">
        <f t="shared" si="9"/>
        <v/>
      </c>
      <c r="AD12" s="28" t="str">
        <f t="shared" si="10"/>
        <v/>
      </c>
    </row>
    <row r="13" spans="1:55" x14ac:dyDescent="0.2">
      <c r="A13" s="1128"/>
      <c r="B13" s="1107"/>
      <c r="C13" s="575"/>
      <c r="D13" s="623"/>
      <c r="E13" s="569"/>
      <c r="F13" s="1085" t="str">
        <f t="shared" si="0"/>
        <v/>
      </c>
      <c r="G13" s="569"/>
      <c r="H13" s="2025" t="str">
        <f t="shared" si="1"/>
        <v/>
      </c>
      <c r="I13" s="2025" t="str">
        <f t="shared" si="2"/>
        <v/>
      </c>
      <c r="J13" s="2025" t="str">
        <f t="shared" si="3"/>
        <v/>
      </c>
      <c r="K13" s="1">
        <f t="shared" si="4"/>
        <v>0</v>
      </c>
      <c r="O13" s="142"/>
      <c r="P13" s="164">
        <f t="shared" si="5"/>
        <v>0</v>
      </c>
      <c r="Q13" s="28">
        <f t="shared" si="6"/>
        <v>0</v>
      </c>
      <c r="R13" s="142"/>
      <c r="S13" s="142"/>
      <c r="AA13" s="28">
        <f t="shared" si="7"/>
        <v>0</v>
      </c>
      <c r="AB13" s="28" t="str">
        <f t="shared" si="8"/>
        <v/>
      </c>
      <c r="AC13" s="28" t="str">
        <f t="shared" si="9"/>
        <v/>
      </c>
      <c r="AD13" s="28" t="str">
        <f t="shared" si="10"/>
        <v/>
      </c>
    </row>
    <row r="14" spans="1:55" x14ac:dyDescent="0.2">
      <c r="A14" s="1128"/>
      <c r="B14" s="1107"/>
      <c r="C14" s="575"/>
      <c r="D14" s="623"/>
      <c r="E14" s="569"/>
      <c r="F14" s="1085" t="str">
        <f t="shared" si="0"/>
        <v/>
      </c>
      <c r="G14" s="569"/>
      <c r="H14" s="2025" t="str">
        <f t="shared" si="1"/>
        <v/>
      </c>
      <c r="I14" s="2025" t="str">
        <f t="shared" si="2"/>
        <v/>
      </c>
      <c r="J14" s="2025" t="str">
        <f t="shared" si="3"/>
        <v/>
      </c>
      <c r="K14" s="1">
        <f t="shared" si="4"/>
        <v>0</v>
      </c>
      <c r="O14" s="142"/>
      <c r="P14" s="164">
        <f t="shared" si="5"/>
        <v>0</v>
      </c>
      <c r="Q14" s="28">
        <f t="shared" si="6"/>
        <v>0</v>
      </c>
      <c r="R14" s="142"/>
      <c r="S14" s="142"/>
      <c r="AA14" s="28">
        <f t="shared" si="7"/>
        <v>0</v>
      </c>
      <c r="AB14" s="28" t="str">
        <f t="shared" si="8"/>
        <v/>
      </c>
      <c r="AC14" s="28" t="str">
        <f t="shared" si="9"/>
        <v/>
      </c>
      <c r="AD14" s="28" t="str">
        <f t="shared" si="10"/>
        <v/>
      </c>
    </row>
    <row r="15" spans="1:55" x14ac:dyDescent="0.2">
      <c r="A15" s="1128"/>
      <c r="B15" s="1107"/>
      <c r="C15" s="575"/>
      <c r="D15" s="623"/>
      <c r="E15" s="569"/>
      <c r="F15" s="1085" t="str">
        <f t="shared" si="0"/>
        <v/>
      </c>
      <c r="G15" s="569"/>
      <c r="H15" s="2025" t="str">
        <f t="shared" si="1"/>
        <v/>
      </c>
      <c r="I15" s="2025" t="str">
        <f t="shared" si="2"/>
        <v/>
      </c>
      <c r="J15" s="2025" t="str">
        <f t="shared" si="3"/>
        <v/>
      </c>
      <c r="K15" s="1">
        <f t="shared" si="4"/>
        <v>0</v>
      </c>
      <c r="O15" s="142"/>
      <c r="P15" s="164">
        <f t="shared" si="5"/>
        <v>0</v>
      </c>
      <c r="Q15" s="28">
        <f t="shared" si="6"/>
        <v>0</v>
      </c>
      <c r="R15" s="142"/>
      <c r="S15" s="142"/>
      <c r="AA15" s="28">
        <f t="shared" si="7"/>
        <v>0</v>
      </c>
      <c r="AB15" s="28" t="str">
        <f t="shared" si="8"/>
        <v/>
      </c>
      <c r="AC15" s="28" t="str">
        <f t="shared" si="9"/>
        <v/>
      </c>
      <c r="AD15" s="28" t="str">
        <f t="shared" si="10"/>
        <v/>
      </c>
    </row>
    <row r="16" spans="1:55" x14ac:dyDescent="0.2">
      <c r="A16" s="1128"/>
      <c r="B16" s="1107"/>
      <c r="C16" s="575"/>
      <c r="D16" s="623"/>
      <c r="E16" s="569"/>
      <c r="F16" s="1085" t="str">
        <f t="shared" si="0"/>
        <v/>
      </c>
      <c r="G16" s="569"/>
      <c r="H16" s="2025" t="str">
        <f t="shared" si="1"/>
        <v/>
      </c>
      <c r="I16" s="2025" t="str">
        <f t="shared" si="2"/>
        <v/>
      </c>
      <c r="J16" s="2025" t="str">
        <f t="shared" si="3"/>
        <v/>
      </c>
      <c r="K16" s="1">
        <f t="shared" si="4"/>
        <v>0</v>
      </c>
      <c r="O16" s="142"/>
      <c r="P16" s="164">
        <f t="shared" si="5"/>
        <v>0</v>
      </c>
      <c r="Q16" s="28">
        <f t="shared" si="6"/>
        <v>0</v>
      </c>
      <c r="R16" s="142"/>
      <c r="S16" s="142"/>
      <c r="AA16" s="28">
        <f t="shared" si="7"/>
        <v>0</v>
      </c>
      <c r="AB16" s="28" t="str">
        <f t="shared" si="8"/>
        <v/>
      </c>
      <c r="AC16" s="28" t="str">
        <f t="shared" si="9"/>
        <v/>
      </c>
      <c r="AD16" s="28" t="str">
        <f t="shared" si="10"/>
        <v/>
      </c>
    </row>
    <row r="17" spans="1:30" x14ac:dyDescent="0.2">
      <c r="A17" s="1128"/>
      <c r="B17" s="1107"/>
      <c r="C17" s="575"/>
      <c r="D17" s="623"/>
      <c r="E17" s="569"/>
      <c r="F17" s="1085" t="str">
        <f t="shared" si="0"/>
        <v/>
      </c>
      <c r="G17" s="569"/>
      <c r="H17" s="2025" t="str">
        <f t="shared" si="1"/>
        <v/>
      </c>
      <c r="I17" s="2025" t="str">
        <f t="shared" si="2"/>
        <v/>
      </c>
      <c r="J17" s="2025" t="str">
        <f t="shared" si="3"/>
        <v/>
      </c>
      <c r="K17" s="1">
        <f t="shared" si="4"/>
        <v>0</v>
      </c>
      <c r="O17" s="142"/>
      <c r="P17" s="164">
        <f t="shared" si="5"/>
        <v>0</v>
      </c>
      <c r="Q17" s="28">
        <f t="shared" si="6"/>
        <v>0</v>
      </c>
      <c r="R17" s="142"/>
      <c r="S17" s="142"/>
      <c r="AA17" s="28">
        <f t="shared" si="7"/>
        <v>0</v>
      </c>
      <c r="AB17" s="28" t="str">
        <f t="shared" si="8"/>
        <v/>
      </c>
      <c r="AC17" s="28" t="str">
        <f t="shared" si="9"/>
        <v/>
      </c>
      <c r="AD17" s="28" t="str">
        <f t="shared" si="10"/>
        <v/>
      </c>
    </row>
    <row r="18" spans="1:30" x14ac:dyDescent="0.2">
      <c r="A18" s="1128"/>
      <c r="B18" s="1107"/>
      <c r="C18" s="575"/>
      <c r="D18" s="623"/>
      <c r="E18" s="569"/>
      <c r="F18" s="1085" t="str">
        <f t="shared" si="0"/>
        <v/>
      </c>
      <c r="G18" s="569"/>
      <c r="H18" s="2025" t="str">
        <f t="shared" si="1"/>
        <v/>
      </c>
      <c r="I18" s="2025" t="str">
        <f t="shared" si="2"/>
        <v/>
      </c>
      <c r="J18" s="2025" t="str">
        <f t="shared" si="3"/>
        <v/>
      </c>
      <c r="K18" s="1">
        <f t="shared" si="4"/>
        <v>0</v>
      </c>
      <c r="O18" s="142"/>
      <c r="P18" s="164">
        <f t="shared" si="5"/>
        <v>0</v>
      </c>
      <c r="Q18" s="28">
        <f t="shared" si="6"/>
        <v>0</v>
      </c>
      <c r="R18" s="142"/>
      <c r="S18" s="142"/>
      <c r="AA18" s="28">
        <f t="shared" si="7"/>
        <v>0</v>
      </c>
      <c r="AB18" s="28" t="str">
        <f t="shared" si="8"/>
        <v/>
      </c>
      <c r="AC18" s="28" t="str">
        <f t="shared" si="9"/>
        <v/>
      </c>
      <c r="AD18" s="28" t="str">
        <f t="shared" si="10"/>
        <v/>
      </c>
    </row>
    <row r="19" spans="1:30" x14ac:dyDescent="0.2">
      <c r="A19" s="1128"/>
      <c r="B19" s="1107"/>
      <c r="C19" s="575"/>
      <c r="D19" s="623"/>
      <c r="E19" s="569"/>
      <c r="F19" s="1085" t="str">
        <f t="shared" si="0"/>
        <v/>
      </c>
      <c r="G19" s="569"/>
      <c r="H19" s="2025" t="str">
        <f t="shared" si="1"/>
        <v/>
      </c>
      <c r="I19" s="2025" t="str">
        <f t="shared" si="2"/>
        <v/>
      </c>
      <c r="J19" s="2025" t="str">
        <f t="shared" si="3"/>
        <v/>
      </c>
      <c r="K19" s="1">
        <f t="shared" si="4"/>
        <v>0</v>
      </c>
      <c r="O19" s="142"/>
      <c r="P19" s="164">
        <f t="shared" si="5"/>
        <v>0</v>
      </c>
      <c r="Q19" s="28">
        <f t="shared" si="6"/>
        <v>0</v>
      </c>
      <c r="R19" s="142"/>
      <c r="S19" s="142"/>
      <c r="AA19" s="28">
        <f t="shared" si="7"/>
        <v>0</v>
      </c>
      <c r="AB19" s="28" t="str">
        <f t="shared" si="8"/>
        <v/>
      </c>
      <c r="AC19" s="28" t="str">
        <f t="shared" si="9"/>
        <v/>
      </c>
      <c r="AD19" s="28" t="str">
        <f t="shared" si="10"/>
        <v/>
      </c>
    </row>
    <row r="20" spans="1:30" x14ac:dyDescent="0.2">
      <c r="A20" s="1128"/>
      <c r="B20" s="1107"/>
      <c r="C20" s="575"/>
      <c r="D20" s="623"/>
      <c r="E20" s="569"/>
      <c r="F20" s="1085" t="str">
        <f t="shared" si="0"/>
        <v/>
      </c>
      <c r="G20" s="569"/>
      <c r="H20" s="2025" t="str">
        <f t="shared" si="1"/>
        <v/>
      </c>
      <c r="I20" s="2025" t="str">
        <f t="shared" si="2"/>
        <v/>
      </c>
      <c r="J20" s="2025" t="str">
        <f t="shared" si="3"/>
        <v/>
      </c>
      <c r="K20" s="1">
        <f t="shared" si="4"/>
        <v>0</v>
      </c>
      <c r="O20" s="142"/>
      <c r="P20" s="164">
        <f t="shared" si="5"/>
        <v>0</v>
      </c>
      <c r="Q20" s="28">
        <f t="shared" si="6"/>
        <v>0</v>
      </c>
      <c r="R20" s="142"/>
      <c r="S20" s="142"/>
      <c r="AA20" s="28">
        <f t="shared" si="7"/>
        <v>0</v>
      </c>
      <c r="AB20" s="28" t="str">
        <f t="shared" si="8"/>
        <v/>
      </c>
      <c r="AC20" s="28" t="str">
        <f t="shared" si="9"/>
        <v/>
      </c>
      <c r="AD20" s="28" t="str">
        <f t="shared" si="10"/>
        <v/>
      </c>
    </row>
    <row r="21" spans="1:30" x14ac:dyDescent="0.2">
      <c r="A21" s="1128"/>
      <c r="B21" s="1107"/>
      <c r="C21" s="575"/>
      <c r="D21" s="623"/>
      <c r="E21" s="569"/>
      <c r="F21" s="1085" t="str">
        <f t="shared" si="0"/>
        <v/>
      </c>
      <c r="G21" s="569"/>
      <c r="H21" s="2025" t="str">
        <f t="shared" si="1"/>
        <v/>
      </c>
      <c r="I21" s="2025" t="str">
        <f t="shared" si="2"/>
        <v/>
      </c>
      <c r="J21" s="2025" t="str">
        <f t="shared" si="3"/>
        <v/>
      </c>
      <c r="K21" s="1">
        <f t="shared" si="4"/>
        <v>0</v>
      </c>
      <c r="O21" s="142"/>
      <c r="P21" s="164">
        <f t="shared" si="5"/>
        <v>0</v>
      </c>
      <c r="Q21" s="28">
        <f t="shared" si="6"/>
        <v>0</v>
      </c>
      <c r="R21" s="142"/>
      <c r="S21" s="142"/>
      <c r="AA21" s="28">
        <f t="shared" si="7"/>
        <v>0</v>
      </c>
      <c r="AB21" s="28" t="str">
        <f t="shared" si="8"/>
        <v/>
      </c>
      <c r="AC21" s="28" t="str">
        <f t="shared" si="9"/>
        <v/>
      </c>
      <c r="AD21" s="28" t="str">
        <f t="shared" si="10"/>
        <v/>
      </c>
    </row>
    <row r="22" spans="1:30" x14ac:dyDescent="0.2">
      <c r="A22" s="1128"/>
      <c r="B22" s="1107"/>
      <c r="C22" s="575"/>
      <c r="D22" s="623"/>
      <c r="E22" s="569"/>
      <c r="F22" s="1085" t="str">
        <f t="shared" si="0"/>
        <v/>
      </c>
      <c r="G22" s="569"/>
      <c r="H22" s="2025" t="str">
        <f t="shared" si="1"/>
        <v/>
      </c>
      <c r="I22" s="2025" t="str">
        <f t="shared" si="2"/>
        <v/>
      </c>
      <c r="J22" s="2025" t="str">
        <f t="shared" si="3"/>
        <v/>
      </c>
      <c r="K22" s="1">
        <f t="shared" si="4"/>
        <v>0</v>
      </c>
      <c r="O22" s="142"/>
      <c r="P22" s="164">
        <f t="shared" si="5"/>
        <v>0</v>
      </c>
      <c r="Q22" s="28">
        <f t="shared" si="6"/>
        <v>0</v>
      </c>
      <c r="R22" s="142"/>
      <c r="S22" s="142"/>
      <c r="AA22" s="28">
        <f t="shared" si="7"/>
        <v>0</v>
      </c>
      <c r="AB22" s="28" t="str">
        <f t="shared" si="8"/>
        <v/>
      </c>
      <c r="AC22" s="28" t="str">
        <f t="shared" si="9"/>
        <v/>
      </c>
      <c r="AD22" s="28" t="str">
        <f t="shared" si="10"/>
        <v/>
      </c>
    </row>
    <row r="23" spans="1:30" x14ac:dyDescent="0.2">
      <c r="A23" s="1128"/>
      <c r="B23" s="1107"/>
      <c r="C23" s="575"/>
      <c r="D23" s="623"/>
      <c r="E23" s="569"/>
      <c r="F23" s="1085" t="str">
        <f t="shared" si="0"/>
        <v/>
      </c>
      <c r="G23" s="569"/>
      <c r="H23" s="2025" t="str">
        <f t="shared" si="1"/>
        <v/>
      </c>
      <c r="I23" s="2025" t="str">
        <f t="shared" si="2"/>
        <v/>
      </c>
      <c r="J23" s="2025" t="str">
        <f t="shared" si="3"/>
        <v/>
      </c>
      <c r="K23" s="1">
        <f t="shared" si="4"/>
        <v>0</v>
      </c>
      <c r="O23" s="142"/>
      <c r="P23" s="164">
        <f t="shared" si="5"/>
        <v>0</v>
      </c>
      <c r="Q23" s="28">
        <f t="shared" si="6"/>
        <v>0</v>
      </c>
      <c r="R23" s="142"/>
      <c r="S23" s="142"/>
      <c r="AA23" s="28">
        <f t="shared" si="7"/>
        <v>0</v>
      </c>
      <c r="AB23" s="28" t="str">
        <f t="shared" si="8"/>
        <v/>
      </c>
      <c r="AC23" s="28" t="str">
        <f t="shared" si="9"/>
        <v/>
      </c>
      <c r="AD23" s="28" t="str">
        <f t="shared" si="10"/>
        <v/>
      </c>
    </row>
    <row r="24" spans="1:30" x14ac:dyDescent="0.2">
      <c r="A24" s="1128"/>
      <c r="B24" s="1107"/>
      <c r="C24" s="575"/>
      <c r="D24" s="623"/>
      <c r="E24" s="569"/>
      <c r="F24" s="1085" t="str">
        <f t="shared" si="0"/>
        <v/>
      </c>
      <c r="G24" s="569"/>
      <c r="H24" s="2025" t="str">
        <f t="shared" si="1"/>
        <v/>
      </c>
      <c r="I24" s="2025" t="str">
        <f t="shared" si="2"/>
        <v/>
      </c>
      <c r="J24" s="2025" t="str">
        <f t="shared" si="3"/>
        <v/>
      </c>
      <c r="K24" s="1">
        <f t="shared" si="4"/>
        <v>0</v>
      </c>
      <c r="O24" s="142"/>
      <c r="P24" s="164">
        <f t="shared" si="5"/>
        <v>0</v>
      </c>
      <c r="Q24" s="28">
        <f t="shared" si="6"/>
        <v>0</v>
      </c>
      <c r="R24" s="142"/>
      <c r="S24" s="142"/>
      <c r="AA24" s="28">
        <f t="shared" si="7"/>
        <v>0</v>
      </c>
      <c r="AB24" s="28" t="str">
        <f t="shared" si="8"/>
        <v/>
      </c>
      <c r="AC24" s="28" t="str">
        <f t="shared" si="9"/>
        <v/>
      </c>
      <c r="AD24" s="28" t="str">
        <f t="shared" si="10"/>
        <v/>
      </c>
    </row>
    <row r="25" spans="1:30" x14ac:dyDescent="0.2">
      <c r="A25" s="1128"/>
      <c r="B25" s="1107"/>
      <c r="C25" s="575"/>
      <c r="D25" s="623"/>
      <c r="E25" s="569"/>
      <c r="F25" s="1085" t="str">
        <f t="shared" si="0"/>
        <v/>
      </c>
      <c r="G25" s="569"/>
      <c r="H25" s="2025" t="str">
        <f t="shared" si="1"/>
        <v/>
      </c>
      <c r="I25" s="2025" t="str">
        <f t="shared" si="2"/>
        <v/>
      </c>
      <c r="J25" s="2025" t="str">
        <f t="shared" si="3"/>
        <v/>
      </c>
      <c r="K25" s="1">
        <f t="shared" si="4"/>
        <v>0</v>
      </c>
      <c r="O25" s="142"/>
      <c r="P25" s="164">
        <f t="shared" si="5"/>
        <v>0</v>
      </c>
      <c r="Q25" s="28">
        <f t="shared" si="6"/>
        <v>0</v>
      </c>
      <c r="R25" s="142"/>
      <c r="S25" s="142"/>
      <c r="AA25" s="28">
        <f t="shared" si="7"/>
        <v>0</v>
      </c>
      <c r="AB25" s="28" t="str">
        <f t="shared" si="8"/>
        <v/>
      </c>
      <c r="AC25" s="28" t="str">
        <f t="shared" si="9"/>
        <v/>
      </c>
      <c r="AD25" s="28" t="str">
        <f t="shared" si="10"/>
        <v/>
      </c>
    </row>
    <row r="26" spans="1:30" x14ac:dyDescent="0.2">
      <c r="A26" s="1128"/>
      <c r="B26" s="1107"/>
      <c r="C26" s="575"/>
      <c r="D26" s="623"/>
      <c r="E26" s="569"/>
      <c r="F26" s="1085" t="str">
        <f t="shared" si="0"/>
        <v/>
      </c>
      <c r="G26" s="569"/>
      <c r="H26" s="2025" t="str">
        <f t="shared" si="1"/>
        <v/>
      </c>
      <c r="I26" s="2025" t="str">
        <f t="shared" si="2"/>
        <v/>
      </c>
      <c r="J26" s="2025" t="str">
        <f t="shared" si="3"/>
        <v/>
      </c>
      <c r="K26" s="1">
        <f t="shared" si="4"/>
        <v>0</v>
      </c>
      <c r="O26" s="142"/>
      <c r="P26" s="164">
        <f t="shared" si="5"/>
        <v>0</v>
      </c>
      <c r="Q26" s="28">
        <f t="shared" si="6"/>
        <v>0</v>
      </c>
      <c r="R26" s="142"/>
      <c r="S26" s="142"/>
      <c r="AA26" s="28">
        <f t="shared" si="7"/>
        <v>0</v>
      </c>
      <c r="AB26" s="28" t="str">
        <f t="shared" si="8"/>
        <v/>
      </c>
      <c r="AC26" s="28" t="str">
        <f t="shared" si="9"/>
        <v/>
      </c>
      <c r="AD26" s="28" t="str">
        <f t="shared" si="10"/>
        <v/>
      </c>
    </row>
    <row r="27" spans="1:30" x14ac:dyDescent="0.2">
      <c r="A27" s="1128"/>
      <c r="B27" s="1107"/>
      <c r="C27" s="575"/>
      <c r="D27" s="623"/>
      <c r="E27" s="569"/>
      <c r="F27" s="1085" t="str">
        <f t="shared" si="0"/>
        <v/>
      </c>
      <c r="G27" s="569"/>
      <c r="H27" s="2025" t="str">
        <f t="shared" si="1"/>
        <v/>
      </c>
      <c r="I27" s="2025" t="str">
        <f t="shared" si="2"/>
        <v/>
      </c>
      <c r="J27" s="2025" t="str">
        <f t="shared" si="3"/>
        <v/>
      </c>
      <c r="K27" s="1">
        <f t="shared" si="4"/>
        <v>0</v>
      </c>
      <c r="O27" s="142"/>
      <c r="P27" s="164">
        <f t="shared" si="5"/>
        <v>0</v>
      </c>
      <c r="Q27" s="28">
        <f t="shared" si="6"/>
        <v>0</v>
      </c>
      <c r="R27" s="142"/>
      <c r="S27" s="142"/>
      <c r="AA27" s="28">
        <f t="shared" si="7"/>
        <v>0</v>
      </c>
      <c r="AB27" s="28" t="str">
        <f t="shared" si="8"/>
        <v/>
      </c>
      <c r="AC27" s="28" t="str">
        <f t="shared" si="9"/>
        <v/>
      </c>
      <c r="AD27" s="28" t="str">
        <f t="shared" si="10"/>
        <v/>
      </c>
    </row>
    <row r="28" spans="1:30" x14ac:dyDescent="0.2">
      <c r="A28" s="1128"/>
      <c r="B28" s="1107"/>
      <c r="C28" s="575"/>
      <c r="D28" s="623"/>
      <c r="E28" s="569"/>
      <c r="F28" s="1085" t="str">
        <f t="shared" si="0"/>
        <v/>
      </c>
      <c r="G28" s="569"/>
      <c r="H28" s="2025" t="str">
        <f t="shared" si="1"/>
        <v/>
      </c>
      <c r="I28" s="2025" t="str">
        <f t="shared" si="2"/>
        <v/>
      </c>
      <c r="J28" s="2025" t="str">
        <f t="shared" si="3"/>
        <v/>
      </c>
      <c r="K28" s="1">
        <f t="shared" si="4"/>
        <v>0</v>
      </c>
      <c r="O28" s="142"/>
      <c r="P28" s="164">
        <f t="shared" si="5"/>
        <v>0</v>
      </c>
      <c r="Q28" s="28">
        <f t="shared" si="6"/>
        <v>0</v>
      </c>
      <c r="R28" s="142"/>
      <c r="S28" s="142"/>
      <c r="AA28" s="28">
        <f t="shared" si="7"/>
        <v>0</v>
      </c>
      <c r="AB28" s="28" t="str">
        <f t="shared" si="8"/>
        <v/>
      </c>
      <c r="AC28" s="28" t="str">
        <f t="shared" si="9"/>
        <v/>
      </c>
      <c r="AD28" s="28" t="str">
        <f t="shared" si="10"/>
        <v/>
      </c>
    </row>
    <row r="29" spans="1:30" x14ac:dyDescent="0.2">
      <c r="A29" s="1128"/>
      <c r="B29" s="1107"/>
      <c r="C29" s="575"/>
      <c r="D29" s="623"/>
      <c r="E29" s="569"/>
      <c r="F29" s="1085" t="str">
        <f t="shared" si="0"/>
        <v/>
      </c>
      <c r="G29" s="569"/>
      <c r="H29" s="2025" t="str">
        <f t="shared" si="1"/>
        <v/>
      </c>
      <c r="I29" s="2025" t="str">
        <f t="shared" si="2"/>
        <v/>
      </c>
      <c r="J29" s="2025" t="str">
        <f t="shared" si="3"/>
        <v/>
      </c>
      <c r="K29" s="1">
        <f t="shared" si="4"/>
        <v>0</v>
      </c>
      <c r="O29" s="142"/>
      <c r="P29" s="164">
        <f t="shared" si="5"/>
        <v>0</v>
      </c>
      <c r="Q29" s="28">
        <f t="shared" si="6"/>
        <v>0</v>
      </c>
      <c r="R29" s="142"/>
      <c r="S29" s="142"/>
      <c r="AA29" s="28">
        <f t="shared" si="7"/>
        <v>0</v>
      </c>
      <c r="AB29" s="28" t="str">
        <f t="shared" si="8"/>
        <v/>
      </c>
      <c r="AC29" s="28" t="str">
        <f t="shared" si="9"/>
        <v/>
      </c>
      <c r="AD29" s="28" t="str">
        <f t="shared" si="10"/>
        <v/>
      </c>
    </row>
    <row r="30" spans="1:30" x14ac:dyDescent="0.2">
      <c r="A30" s="1128"/>
      <c r="B30" s="1107"/>
      <c r="C30" s="575"/>
      <c r="D30" s="623"/>
      <c r="E30" s="569"/>
      <c r="F30" s="1085" t="str">
        <f t="shared" si="0"/>
        <v/>
      </c>
      <c r="G30" s="569"/>
      <c r="H30" s="2025" t="str">
        <f t="shared" si="1"/>
        <v/>
      </c>
      <c r="I30" s="2025" t="str">
        <f t="shared" si="2"/>
        <v/>
      </c>
      <c r="J30" s="2025" t="str">
        <f t="shared" si="3"/>
        <v/>
      </c>
      <c r="K30" s="1">
        <f t="shared" si="4"/>
        <v>0</v>
      </c>
      <c r="O30" s="142"/>
      <c r="P30" s="164">
        <f t="shared" si="5"/>
        <v>0</v>
      </c>
      <c r="Q30" s="28">
        <f t="shared" si="6"/>
        <v>0</v>
      </c>
      <c r="R30" s="142"/>
      <c r="S30" s="142"/>
      <c r="AA30" s="28">
        <f t="shared" si="7"/>
        <v>0</v>
      </c>
      <c r="AB30" s="28" t="str">
        <f t="shared" si="8"/>
        <v/>
      </c>
      <c r="AC30" s="28" t="str">
        <f t="shared" si="9"/>
        <v/>
      </c>
      <c r="AD30" s="28" t="str">
        <f t="shared" si="10"/>
        <v/>
      </c>
    </row>
    <row r="31" spans="1:30" x14ac:dyDescent="0.2">
      <c r="A31" s="1128"/>
      <c r="B31" s="1107"/>
      <c r="C31" s="575"/>
      <c r="D31" s="623"/>
      <c r="E31" s="569"/>
      <c r="F31" s="1085" t="str">
        <f t="shared" si="0"/>
        <v/>
      </c>
      <c r="G31" s="569"/>
      <c r="H31" s="2025" t="str">
        <f t="shared" si="1"/>
        <v/>
      </c>
      <c r="I31" s="2025" t="str">
        <f t="shared" si="2"/>
        <v/>
      </c>
      <c r="J31" s="2025" t="str">
        <f t="shared" si="3"/>
        <v/>
      </c>
      <c r="K31" s="1">
        <f t="shared" si="4"/>
        <v>0</v>
      </c>
      <c r="O31" s="142"/>
      <c r="P31" s="164">
        <f t="shared" si="5"/>
        <v>0</v>
      </c>
      <c r="Q31" s="28">
        <f t="shared" si="6"/>
        <v>0</v>
      </c>
      <c r="R31" s="142"/>
      <c r="S31" s="142"/>
      <c r="AA31" s="28">
        <f t="shared" si="7"/>
        <v>0</v>
      </c>
      <c r="AB31" s="28" t="str">
        <f t="shared" si="8"/>
        <v/>
      </c>
      <c r="AC31" s="28" t="str">
        <f t="shared" si="9"/>
        <v/>
      </c>
      <c r="AD31" s="28" t="str">
        <f t="shared" si="10"/>
        <v/>
      </c>
    </row>
    <row r="32" spans="1:30" x14ac:dyDescent="0.2">
      <c r="A32" s="1128"/>
      <c r="B32" s="1107"/>
      <c r="C32" s="575"/>
      <c r="D32" s="623"/>
      <c r="E32" s="569"/>
      <c r="F32" s="1085" t="str">
        <f t="shared" si="0"/>
        <v/>
      </c>
      <c r="G32" s="569"/>
      <c r="H32" s="2025" t="str">
        <f t="shared" si="1"/>
        <v/>
      </c>
      <c r="I32" s="2025" t="str">
        <f t="shared" si="2"/>
        <v/>
      </c>
      <c r="J32" s="2025" t="str">
        <f t="shared" si="3"/>
        <v/>
      </c>
      <c r="K32" s="1">
        <f t="shared" si="4"/>
        <v>0</v>
      </c>
      <c r="O32" s="142"/>
      <c r="P32" s="164">
        <f t="shared" si="5"/>
        <v>0</v>
      </c>
      <c r="Q32" s="28">
        <f t="shared" si="6"/>
        <v>0</v>
      </c>
      <c r="R32" s="142"/>
      <c r="S32" s="142"/>
      <c r="AA32" s="28">
        <f t="shared" si="7"/>
        <v>0</v>
      </c>
      <c r="AB32" s="28" t="str">
        <f t="shared" si="8"/>
        <v/>
      </c>
      <c r="AC32" s="28" t="str">
        <f t="shared" si="9"/>
        <v/>
      </c>
      <c r="AD32" s="28" t="str">
        <f t="shared" si="10"/>
        <v/>
      </c>
    </row>
    <row r="33" spans="1:30" x14ac:dyDescent="0.2">
      <c r="A33" s="1128"/>
      <c r="B33" s="1107"/>
      <c r="C33" s="575"/>
      <c r="D33" s="623"/>
      <c r="E33" s="569"/>
      <c r="F33" s="1085" t="str">
        <f t="shared" si="0"/>
        <v/>
      </c>
      <c r="G33" s="569"/>
      <c r="H33" s="2025" t="str">
        <f t="shared" si="1"/>
        <v/>
      </c>
      <c r="I33" s="2025" t="str">
        <f t="shared" si="2"/>
        <v/>
      </c>
      <c r="J33" s="2025" t="str">
        <f t="shared" si="3"/>
        <v/>
      </c>
      <c r="K33" s="1">
        <f t="shared" si="4"/>
        <v>0</v>
      </c>
      <c r="O33" s="142"/>
      <c r="P33" s="164">
        <f t="shared" si="5"/>
        <v>0</v>
      </c>
      <c r="Q33" s="28">
        <f t="shared" si="6"/>
        <v>0</v>
      </c>
      <c r="R33" s="142"/>
      <c r="S33" s="142"/>
      <c r="AA33" s="28">
        <f t="shared" si="7"/>
        <v>0</v>
      </c>
      <c r="AB33" s="28" t="str">
        <f t="shared" si="8"/>
        <v/>
      </c>
      <c r="AC33" s="28" t="str">
        <f t="shared" si="9"/>
        <v/>
      </c>
      <c r="AD33" s="28" t="str">
        <f t="shared" si="10"/>
        <v/>
      </c>
    </row>
    <row r="34" spans="1:30" x14ac:dyDescent="0.2">
      <c r="A34" s="1128"/>
      <c r="B34" s="1107"/>
      <c r="C34" s="575"/>
      <c r="D34" s="623"/>
      <c r="E34" s="569"/>
      <c r="F34" s="1085" t="str">
        <f t="shared" si="0"/>
        <v/>
      </c>
      <c r="G34" s="569"/>
      <c r="H34" s="2025" t="str">
        <f t="shared" si="1"/>
        <v/>
      </c>
      <c r="I34" s="2025" t="str">
        <f t="shared" si="2"/>
        <v/>
      </c>
      <c r="J34" s="2025" t="str">
        <f t="shared" si="3"/>
        <v/>
      </c>
      <c r="K34" s="1">
        <f t="shared" si="4"/>
        <v>0</v>
      </c>
      <c r="O34" s="142"/>
      <c r="P34" s="164">
        <f t="shared" si="5"/>
        <v>0</v>
      </c>
      <c r="Q34" s="28">
        <f t="shared" si="6"/>
        <v>0</v>
      </c>
      <c r="R34" s="142"/>
      <c r="S34" s="142"/>
      <c r="AA34" s="28">
        <f t="shared" si="7"/>
        <v>0</v>
      </c>
      <c r="AB34" s="28" t="str">
        <f t="shared" si="8"/>
        <v/>
      </c>
      <c r="AC34" s="28" t="str">
        <f t="shared" si="9"/>
        <v/>
      </c>
      <c r="AD34" s="28" t="str">
        <f t="shared" si="10"/>
        <v/>
      </c>
    </row>
    <row r="35" spans="1:30" x14ac:dyDescent="0.2">
      <c r="A35" s="1128"/>
      <c r="B35" s="1107"/>
      <c r="C35" s="575"/>
      <c r="D35" s="623"/>
      <c r="E35" s="569"/>
      <c r="F35" s="1085" t="str">
        <f t="shared" si="0"/>
        <v/>
      </c>
      <c r="G35" s="569"/>
      <c r="H35" s="2025" t="str">
        <f t="shared" si="1"/>
        <v/>
      </c>
      <c r="I35" s="2025" t="str">
        <f t="shared" si="2"/>
        <v/>
      </c>
      <c r="J35" s="2025" t="str">
        <f t="shared" si="3"/>
        <v/>
      </c>
      <c r="K35" s="1">
        <f t="shared" si="4"/>
        <v>0</v>
      </c>
      <c r="O35" s="142"/>
      <c r="P35" s="164">
        <f t="shared" si="5"/>
        <v>0</v>
      </c>
      <c r="Q35" s="28">
        <f t="shared" si="6"/>
        <v>0</v>
      </c>
      <c r="R35" s="142"/>
      <c r="S35" s="142"/>
      <c r="AA35" s="28">
        <f t="shared" si="7"/>
        <v>0</v>
      </c>
      <c r="AB35" s="28" t="str">
        <f t="shared" si="8"/>
        <v/>
      </c>
      <c r="AC35" s="28" t="str">
        <f t="shared" si="9"/>
        <v/>
      </c>
      <c r="AD35" s="28" t="str">
        <f t="shared" si="10"/>
        <v/>
      </c>
    </row>
    <row r="36" spans="1:30" x14ac:dyDescent="0.2">
      <c r="A36" s="1128"/>
      <c r="B36" s="1107"/>
      <c r="C36" s="575"/>
      <c r="D36" s="623"/>
      <c r="E36" s="569"/>
      <c r="F36" s="1085" t="str">
        <f t="shared" si="0"/>
        <v/>
      </c>
      <c r="G36" s="569"/>
      <c r="H36" s="2025" t="str">
        <f>IF(E36=ip,D36,"")</f>
        <v/>
      </c>
      <c r="I36" s="2025" t="str">
        <f>IF(E36=mt,D36,"")</f>
        <v/>
      </c>
      <c r="J36" s="2025" t="str">
        <f>IF(E36=fi,D36,"")</f>
        <v/>
      </c>
      <c r="K36" s="1">
        <f t="shared" si="4"/>
        <v>0</v>
      </c>
      <c r="O36" s="142"/>
      <c r="P36" s="164">
        <f t="shared" si="5"/>
        <v>0</v>
      </c>
      <c r="Q36" s="28">
        <f t="shared" si="6"/>
        <v>0</v>
      </c>
      <c r="R36" s="142"/>
      <c r="S36" s="142"/>
      <c r="AA36" s="28">
        <f t="shared" si="7"/>
        <v>0</v>
      </c>
      <c r="AB36" s="28" t="str">
        <f>IF(K36=1,0,I36)</f>
        <v/>
      </c>
      <c r="AC36" s="28" t="str">
        <f>IF(K36=1,0,J36)</f>
        <v/>
      </c>
      <c r="AD36" s="28" t="str">
        <f t="shared" si="10"/>
        <v/>
      </c>
    </row>
    <row r="37" spans="1:30" x14ac:dyDescent="0.2">
      <c r="A37" s="1128"/>
      <c r="B37" s="1107"/>
      <c r="C37" s="575"/>
      <c r="D37" s="623"/>
      <c r="E37" s="569"/>
      <c r="F37" s="1085" t="str">
        <f t="shared" si="0"/>
        <v/>
      </c>
      <c r="G37" s="569"/>
      <c r="H37" s="2025" t="str">
        <f>IF(E37=ip,D37,"")</f>
        <v/>
      </c>
      <c r="I37" s="2025" t="str">
        <f>IF(E37=mt,D37,"")</f>
        <v/>
      </c>
      <c r="J37" s="2025" t="str">
        <f>IF(E37=fi,D37,"")</f>
        <v/>
      </c>
      <c r="K37" s="1">
        <f t="shared" si="4"/>
        <v>0</v>
      </c>
      <c r="O37" s="142"/>
      <c r="P37" s="164">
        <f t="shared" si="5"/>
        <v>0</v>
      </c>
      <c r="Q37" s="28">
        <f t="shared" si="6"/>
        <v>0</v>
      </c>
      <c r="R37" s="142"/>
      <c r="S37" s="142"/>
      <c r="AA37" s="28">
        <f t="shared" si="7"/>
        <v>0</v>
      </c>
      <c r="AB37" s="28" t="str">
        <f>IF(K37=1,0,I37)</f>
        <v/>
      </c>
      <c r="AC37" s="28" t="str">
        <f>IF(K37=1,0,J37)</f>
        <v/>
      </c>
      <c r="AD37" s="28" t="str">
        <f t="shared" si="10"/>
        <v/>
      </c>
    </row>
    <row r="38" spans="1:30" x14ac:dyDescent="0.2">
      <c r="A38" s="1128"/>
      <c r="B38" s="1107"/>
      <c r="C38" s="575"/>
      <c r="D38" s="623"/>
      <c r="E38" s="569"/>
      <c r="F38" s="1085" t="str">
        <f t="shared" ref="F38:F88" si="11">IF(Q38=0,"",IF(E38="",$X$4,IF(G38="",$U$4,IF(G38=$O$3,$V$4,IF(Q38&lt;&gt;4,$S$4,"")))))</f>
        <v/>
      </c>
      <c r="G38" s="569"/>
      <c r="H38" s="2025" t="str">
        <f t="shared" ref="H38:H88" si="12">IF(E38=ip,D38,"")</f>
        <v/>
      </c>
      <c r="I38" s="2025" t="str">
        <f t="shared" ref="I38:I88" si="13">IF(E38=mt,D38,"")</f>
        <v/>
      </c>
      <c r="J38" s="2025" t="str">
        <f t="shared" ref="J38:J88" si="14">IF(E38=fi,D38,"")</f>
        <v/>
      </c>
      <c r="K38" s="1">
        <f t="shared" ref="K38:K88" si="15">IF(G38=$O$3,1,0)</f>
      </c>
      <c r="O38" s="142"/>
      <c r="P38" s="164">
        <f t="shared" ref="P38:P88" si="16">IF(Q38=0,0,IF(ISBLANK(G38),1,0))</f>
      </c>
      <c r="Q38" s="28">
        <f t="shared" ref="Q38:Q88" si="17">COUNTA(B38:E38)</f>
      </c>
      <c r="R38" s="142"/>
      <c r="S38" s="142"/>
      <c r="AA38" s="28">
        <f t="shared" ref="AA38:AA88" si="18">IF(K38=1,0,D38)</f>
      </c>
      <c r="AB38" s="28" t="str">
        <f t="shared" ref="AB38:AB88" si="19">IF(K38=1,0,I38)</f>
        <v/>
      </c>
      <c r="AC38" s="28" t="str">
        <f t="shared" ref="AC38:AC88" si="20">IF(K38=1,0,J38)</f>
        <v/>
      </c>
      <c r="AD38" s="28" t="str">
        <f t="shared" ref="AD38:AD88" si="21">IF(K38=1,0,H38)</f>
        <v/>
      </c>
    </row>
    <row r="39" spans="1:30" x14ac:dyDescent="0.2">
      <c r="A39" s="1128"/>
      <c r="B39" s="1107"/>
      <c r="C39" s="575"/>
      <c r="D39" s="623"/>
      <c r="E39" s="569"/>
      <c r="F39" s="1085" t="str">
        <f t="shared" si="11"/>
        <v/>
      </c>
      <c r="G39" s="569"/>
      <c r="H39" s="2025" t="str">
        <f t="shared" si="12"/>
        <v/>
      </c>
      <c r="I39" s="2025" t="str">
        <f t="shared" si="13"/>
        <v/>
      </c>
      <c r="J39" s="2025" t="str">
        <f t="shared" si="14"/>
        <v/>
      </c>
      <c r="K39" s="1">
        <f t="shared" si="15"/>
        <v>0</v>
      </c>
      <c r="O39" s="142"/>
      <c r="P39" s="164">
        <f t="shared" si="16"/>
        <v>0</v>
      </c>
      <c r="Q39" s="28">
        <f t="shared" si="17"/>
        <v>0</v>
      </c>
      <c r="R39" s="142"/>
      <c r="S39" s="142"/>
      <c r="AA39" s="28">
        <f t="shared" si="18"/>
        <v>0</v>
      </c>
      <c r="AB39" s="28" t="str">
        <f t="shared" si="19"/>
        <v/>
      </c>
      <c r="AC39" s="28" t="str">
        <f t="shared" si="20"/>
        <v/>
      </c>
      <c r="AD39" s="28" t="str">
        <f t="shared" si="21"/>
        <v/>
      </c>
    </row>
    <row r="40" spans="1:30" x14ac:dyDescent="0.2">
      <c r="A40" s="1128"/>
      <c r="B40" s="1107"/>
      <c r="C40" s="575"/>
      <c r="D40" s="623"/>
      <c r="E40" s="569"/>
      <c r="F40" s="1085" t="str">
        <f t="shared" si="11"/>
        <v/>
      </c>
      <c r="G40" s="569"/>
      <c r="H40" s="2025" t="str">
        <f t="shared" si="12"/>
        <v/>
      </c>
      <c r="I40" s="2025" t="str">
        <f t="shared" si="13"/>
        <v/>
      </c>
      <c r="J40" s="2025" t="str">
        <f t="shared" si="14"/>
        <v/>
      </c>
      <c r="K40" s="1">
        <f t="shared" si="15"/>
        <v>0</v>
      </c>
      <c r="O40" s="142"/>
      <c r="P40" s="164">
        <f t="shared" si="16"/>
        <v>0</v>
      </c>
      <c r="Q40" s="28">
        <f t="shared" si="17"/>
        <v>0</v>
      </c>
      <c r="R40" s="142"/>
      <c r="S40" s="142"/>
      <c r="AA40" s="28">
        <f t="shared" si="18"/>
        <v>0</v>
      </c>
      <c r="AB40" s="28" t="str">
        <f t="shared" si="19"/>
        <v/>
      </c>
      <c r="AC40" s="28" t="str">
        <f t="shared" si="20"/>
        <v/>
      </c>
      <c r="AD40" s="28" t="str">
        <f t="shared" si="21"/>
        <v/>
      </c>
    </row>
    <row r="41" spans="1:30" x14ac:dyDescent="0.2">
      <c r="A41" s="1128"/>
      <c r="B41" s="1107"/>
      <c r="C41" s="575"/>
      <c r="D41" s="623"/>
      <c r="E41" s="569"/>
      <c r="F41" s="1085" t="str">
        <f t="shared" si="11"/>
        <v/>
      </c>
      <c r="G41" s="569"/>
      <c r="H41" s="2025" t="str">
        <f t="shared" si="12"/>
        <v/>
      </c>
      <c r="I41" s="2025" t="str">
        <f t="shared" si="13"/>
        <v/>
      </c>
      <c r="J41" s="2025" t="str">
        <f t="shared" si="14"/>
        <v/>
      </c>
      <c r="K41" s="1">
        <f t="shared" si="15"/>
        <v>0</v>
      </c>
      <c r="O41" s="142"/>
      <c r="P41" s="164">
        <f t="shared" si="16"/>
        <v>0</v>
      </c>
      <c r="Q41" s="28">
        <f t="shared" si="17"/>
        <v>0</v>
      </c>
      <c r="R41" s="142"/>
      <c r="S41" s="142"/>
      <c r="AA41" s="28">
        <f t="shared" si="18"/>
        <v>0</v>
      </c>
      <c r="AB41" s="28" t="str">
        <f t="shared" si="19"/>
        <v/>
      </c>
      <c r="AC41" s="28" t="str">
        <f t="shared" si="20"/>
        <v/>
      </c>
      <c r="AD41" s="28" t="str">
        <f t="shared" si="21"/>
        <v/>
      </c>
    </row>
    <row r="42" spans="1:30" x14ac:dyDescent="0.2">
      <c r="A42" s="1128"/>
      <c r="B42" s="1107"/>
      <c r="C42" s="575"/>
      <c r="D42" s="623"/>
      <c r="E42" s="569"/>
      <c r="F42" s="1085" t="str">
        <f t="shared" si="11"/>
        <v/>
      </c>
      <c r="G42" s="569"/>
      <c r="H42" s="2025" t="str">
        <f t="shared" si="12"/>
        <v/>
      </c>
      <c r="I42" s="2025" t="str">
        <f t="shared" si="13"/>
        <v/>
      </c>
      <c r="J42" s="2025" t="str">
        <f t="shared" si="14"/>
        <v/>
      </c>
      <c r="K42" s="1">
        <f t="shared" si="15"/>
        <v>0</v>
      </c>
      <c r="O42" s="142"/>
      <c r="P42" s="164">
        <f t="shared" si="16"/>
        <v>0</v>
      </c>
      <c r="Q42" s="28">
        <f t="shared" si="17"/>
        <v>0</v>
      </c>
      <c r="R42" s="142"/>
      <c r="S42" s="142"/>
      <c r="AA42" s="28">
        <f t="shared" si="18"/>
        <v>0</v>
      </c>
      <c r="AB42" s="28" t="str">
        <f t="shared" si="19"/>
        <v/>
      </c>
      <c r="AC42" s="28" t="str">
        <f t="shared" si="20"/>
        <v/>
      </c>
      <c r="AD42" s="28" t="str">
        <f t="shared" si="21"/>
        <v/>
      </c>
    </row>
    <row r="43" spans="1:30" x14ac:dyDescent="0.2">
      <c r="A43" s="1128"/>
      <c r="B43" s="1107"/>
      <c r="C43" s="575"/>
      <c r="D43" s="623"/>
      <c r="E43" s="569"/>
      <c r="F43" s="1085" t="str">
        <f t="shared" si="11"/>
        <v/>
      </c>
      <c r="G43" s="569"/>
      <c r="H43" s="2025" t="str">
        <f t="shared" si="12"/>
        <v/>
      </c>
      <c r="I43" s="2025" t="str">
        <f t="shared" si="13"/>
        <v/>
      </c>
      <c r="J43" s="2025" t="str">
        <f t="shared" si="14"/>
        <v/>
      </c>
      <c r="K43" s="1">
        <f t="shared" si="15"/>
        <v>0</v>
      </c>
      <c r="O43" s="142"/>
      <c r="P43" s="164">
        <f t="shared" si="16"/>
        <v>0</v>
      </c>
      <c r="Q43" s="28">
        <f t="shared" si="17"/>
        <v>0</v>
      </c>
      <c r="R43" s="142"/>
      <c r="S43" s="142"/>
      <c r="AA43" s="28">
        <f t="shared" si="18"/>
        <v>0</v>
      </c>
      <c r="AB43" s="28" t="str">
        <f t="shared" si="19"/>
        <v/>
      </c>
      <c r="AC43" s="28" t="str">
        <f t="shared" si="20"/>
        <v/>
      </c>
      <c r="AD43" s="28" t="str">
        <f t="shared" si="21"/>
        <v/>
      </c>
    </row>
    <row r="44" spans="1:30" x14ac:dyDescent="0.2">
      <c r="A44" s="1128"/>
      <c r="B44" s="1107"/>
      <c r="C44" s="575"/>
      <c r="D44" s="623"/>
      <c r="E44" s="569"/>
      <c r="F44" s="1085" t="str">
        <f t="shared" si="11"/>
        <v/>
      </c>
      <c r="G44" s="569"/>
      <c r="H44" s="2025" t="str">
        <f t="shared" si="12"/>
        <v/>
      </c>
      <c r="I44" s="2025" t="str">
        <f t="shared" si="13"/>
        <v/>
      </c>
      <c r="J44" s="2025" t="str">
        <f t="shared" si="14"/>
        <v/>
      </c>
      <c r="K44" s="1">
        <f t="shared" si="15"/>
        <v>0</v>
      </c>
      <c r="O44" s="142"/>
      <c r="P44" s="164">
        <f t="shared" si="16"/>
        <v>0</v>
      </c>
      <c r="Q44" s="28">
        <f t="shared" si="17"/>
        <v>0</v>
      </c>
      <c r="R44" s="142"/>
      <c r="S44" s="142"/>
      <c r="AA44" s="28">
        <f t="shared" si="18"/>
        <v>0</v>
      </c>
      <c r="AB44" s="28" t="str">
        <f t="shared" si="19"/>
        <v/>
      </c>
      <c r="AC44" s="28" t="str">
        <f t="shared" si="20"/>
        <v/>
      </c>
      <c r="AD44" s="28" t="str">
        <f t="shared" si="21"/>
        <v/>
      </c>
    </row>
    <row r="45" spans="1:30" x14ac:dyDescent="0.2">
      <c r="A45" s="1128"/>
      <c r="B45" s="1107"/>
      <c r="C45" s="575"/>
      <c r="D45" s="623"/>
      <c r="E45" s="569"/>
      <c r="F45" s="1085" t="str">
        <f t="shared" si="11"/>
        <v/>
      </c>
      <c r="G45" s="569"/>
      <c r="H45" s="2025" t="str">
        <f t="shared" si="12"/>
        <v/>
      </c>
      <c r="I45" s="2025" t="str">
        <f t="shared" si="13"/>
        <v/>
      </c>
      <c r="J45" s="2025" t="str">
        <f t="shared" si="14"/>
        <v/>
      </c>
      <c r="K45" s="1">
        <f t="shared" si="15"/>
        <v>0</v>
      </c>
      <c r="O45" s="142"/>
      <c r="P45" s="164">
        <f t="shared" si="16"/>
        <v>0</v>
      </c>
      <c r="Q45" s="28">
        <f t="shared" si="17"/>
        <v>0</v>
      </c>
      <c r="R45" s="142"/>
      <c r="S45" s="142"/>
      <c r="AA45" s="28">
        <f t="shared" si="18"/>
        <v>0</v>
      </c>
      <c r="AB45" s="28" t="str">
        <f t="shared" si="19"/>
        <v/>
      </c>
      <c r="AC45" s="28" t="str">
        <f t="shared" si="20"/>
        <v/>
      </c>
      <c r="AD45" s="28" t="str">
        <f t="shared" si="21"/>
        <v/>
      </c>
    </row>
    <row r="46" spans="1:30" x14ac:dyDescent="0.2">
      <c r="A46" s="1128"/>
      <c r="B46" s="1107"/>
      <c r="C46" s="575"/>
      <c r="D46" s="623"/>
      <c r="E46" s="569"/>
      <c r="F46" s="1085" t="str">
        <f t="shared" si="11"/>
        <v/>
      </c>
      <c r="G46" s="569"/>
      <c r="H46" s="2025" t="str">
        <f t="shared" si="12"/>
        <v/>
      </c>
      <c r="I46" s="2025" t="str">
        <f t="shared" si="13"/>
        <v/>
      </c>
      <c r="J46" s="2025" t="str">
        <f t="shared" si="14"/>
        <v/>
      </c>
      <c r="K46" s="1">
        <f t="shared" si="15"/>
        <v>0</v>
      </c>
      <c r="O46" s="142"/>
      <c r="P46" s="164">
        <f t="shared" si="16"/>
        <v>0</v>
      </c>
      <c r="Q46" s="28">
        <f t="shared" si="17"/>
        <v>0</v>
      </c>
      <c r="R46" s="142"/>
      <c r="S46" s="142"/>
      <c r="AA46" s="28">
        <f t="shared" si="18"/>
        <v>0</v>
      </c>
      <c r="AB46" s="28" t="str">
        <f t="shared" si="19"/>
        <v/>
      </c>
      <c r="AC46" s="28" t="str">
        <f t="shared" si="20"/>
        <v/>
      </c>
      <c r="AD46" s="28" t="str">
        <f t="shared" si="21"/>
        <v/>
      </c>
    </row>
    <row r="47" spans="1:30" x14ac:dyDescent="0.2">
      <c r="A47" s="1128"/>
      <c r="B47" s="1107"/>
      <c r="C47" s="575"/>
      <c r="D47" s="623"/>
      <c r="E47" s="569"/>
      <c r="F47" s="1085" t="str">
        <f t="shared" si="11"/>
        <v/>
      </c>
      <c r="G47" s="569"/>
      <c r="H47" s="2025" t="str">
        <f t="shared" si="12"/>
        <v/>
      </c>
      <c r="I47" s="2025" t="str">
        <f t="shared" si="13"/>
        <v/>
      </c>
      <c r="J47" s="2025" t="str">
        <f t="shared" si="14"/>
        <v/>
      </c>
      <c r="K47" s="1">
        <f t="shared" si="15"/>
        <v>0</v>
      </c>
      <c r="O47" s="142"/>
      <c r="P47" s="164">
        <f t="shared" si="16"/>
        <v>0</v>
      </c>
      <c r="Q47" s="28">
        <f t="shared" si="17"/>
        <v>0</v>
      </c>
      <c r="R47" s="142"/>
      <c r="S47" s="142"/>
      <c r="AA47" s="28">
        <f t="shared" si="18"/>
        <v>0</v>
      </c>
      <c r="AB47" s="28" t="str">
        <f t="shared" si="19"/>
        <v/>
      </c>
      <c r="AC47" s="28" t="str">
        <f t="shared" si="20"/>
        <v/>
      </c>
      <c r="AD47" s="28" t="str">
        <f t="shared" si="21"/>
        <v/>
      </c>
    </row>
    <row r="48" spans="1:30" x14ac:dyDescent="0.2">
      <c r="A48" s="1128"/>
      <c r="B48" s="1107"/>
      <c r="C48" s="575"/>
      <c r="D48" s="623"/>
      <c r="E48" s="569"/>
      <c r="F48" s="1085" t="str">
        <f t="shared" si="11"/>
        <v/>
      </c>
      <c r="G48" s="569"/>
      <c r="H48" s="2025" t="str">
        <f t="shared" si="12"/>
        <v/>
      </c>
      <c r="I48" s="2025" t="str">
        <f t="shared" si="13"/>
        <v/>
      </c>
      <c r="J48" s="2025" t="str">
        <f t="shared" si="14"/>
        <v/>
      </c>
      <c r="K48" s="1">
        <f t="shared" si="15"/>
        <v>0</v>
      </c>
      <c r="O48" s="142"/>
      <c r="P48" s="164">
        <f t="shared" si="16"/>
        <v>0</v>
      </c>
      <c r="Q48" s="28">
        <f t="shared" si="17"/>
        <v>0</v>
      </c>
      <c r="R48" s="142"/>
      <c r="S48" s="142"/>
      <c r="AA48" s="28">
        <f t="shared" si="18"/>
        <v>0</v>
      </c>
      <c r="AB48" s="28" t="str">
        <f t="shared" si="19"/>
        <v/>
      </c>
      <c r="AC48" s="28" t="str">
        <f t="shared" si="20"/>
        <v/>
      </c>
      <c r="AD48" s="28" t="str">
        <f t="shared" si="21"/>
        <v/>
      </c>
    </row>
    <row r="49" spans="1:30" x14ac:dyDescent="0.2">
      <c r="A49" s="1128"/>
      <c r="B49" s="1107"/>
      <c r="C49" s="575"/>
      <c r="D49" s="623"/>
      <c r="E49" s="569"/>
      <c r="F49" s="1085" t="str">
        <f t="shared" si="11"/>
        <v/>
      </c>
      <c r="G49" s="569"/>
      <c r="H49" s="2025" t="str">
        <f t="shared" si="12"/>
        <v/>
      </c>
      <c r="I49" s="2025" t="str">
        <f t="shared" si="13"/>
        <v/>
      </c>
      <c r="J49" s="2025" t="str">
        <f t="shared" si="14"/>
        <v/>
      </c>
      <c r="K49" s="1">
        <f t="shared" si="15"/>
        <v>0</v>
      </c>
      <c r="O49" s="142"/>
      <c r="P49" s="164">
        <f t="shared" si="16"/>
        <v>0</v>
      </c>
      <c r="Q49" s="28">
        <f t="shared" si="17"/>
        <v>0</v>
      </c>
      <c r="R49" s="142"/>
      <c r="S49" s="142"/>
      <c r="AA49" s="28">
        <f t="shared" si="18"/>
        <v>0</v>
      </c>
      <c r="AB49" s="28" t="str">
        <f t="shared" si="19"/>
        <v/>
      </c>
      <c r="AC49" s="28" t="str">
        <f t="shared" si="20"/>
        <v/>
      </c>
      <c r="AD49" s="28" t="str">
        <f t="shared" si="21"/>
        <v/>
      </c>
    </row>
    <row r="50" spans="1:30" x14ac:dyDescent="0.2">
      <c r="A50" s="1128"/>
      <c r="B50" s="1107"/>
      <c r="C50" s="575"/>
      <c r="D50" s="623"/>
      <c r="E50" s="569"/>
      <c r="F50" s="1085" t="str">
        <f t="shared" si="11"/>
        <v/>
      </c>
      <c r="G50" s="569"/>
      <c r="H50" s="2025" t="str">
        <f t="shared" si="12"/>
        <v/>
      </c>
      <c r="I50" s="2025" t="str">
        <f t="shared" si="13"/>
        <v/>
      </c>
      <c r="J50" s="2025" t="str">
        <f t="shared" si="14"/>
        <v/>
      </c>
      <c r="K50" s="1">
        <f t="shared" si="15"/>
        <v>0</v>
      </c>
      <c r="O50" s="142"/>
      <c r="P50" s="164">
        <f t="shared" si="16"/>
        <v>0</v>
      </c>
      <c r="Q50" s="28">
        <f t="shared" si="17"/>
        <v>0</v>
      </c>
      <c r="R50" s="142"/>
      <c r="S50" s="142"/>
      <c r="AA50" s="28">
        <f t="shared" si="18"/>
        <v>0</v>
      </c>
      <c r="AB50" s="28" t="str">
        <f t="shared" si="19"/>
        <v/>
      </c>
      <c r="AC50" s="28" t="str">
        <f t="shared" si="20"/>
        <v/>
      </c>
      <c r="AD50" s="28" t="str">
        <f t="shared" si="21"/>
        <v/>
      </c>
    </row>
    <row r="51" spans="1:30" x14ac:dyDescent="0.2">
      <c r="A51" s="1128"/>
      <c r="B51" s="1107"/>
      <c r="C51" s="575"/>
      <c r="D51" s="623"/>
      <c r="E51" s="569"/>
      <c r="F51" s="1085" t="str">
        <f t="shared" si="11"/>
        <v/>
      </c>
      <c r="G51" s="569"/>
      <c r="H51" s="2025" t="str">
        <f t="shared" si="12"/>
        <v/>
      </c>
      <c r="I51" s="2025" t="str">
        <f t="shared" si="13"/>
        <v/>
      </c>
      <c r="J51" s="2025" t="str">
        <f t="shared" si="14"/>
        <v/>
      </c>
      <c r="K51" s="1">
        <f t="shared" si="15"/>
        <v>0</v>
      </c>
      <c r="O51" s="142"/>
      <c r="P51" s="164">
        <f t="shared" si="16"/>
        <v>0</v>
      </c>
      <c r="Q51" s="28">
        <f t="shared" si="17"/>
        <v>0</v>
      </c>
      <c r="R51" s="142"/>
      <c r="S51" s="142"/>
      <c r="AA51" s="28">
        <f t="shared" si="18"/>
        <v>0</v>
      </c>
      <c r="AB51" s="28" t="str">
        <f t="shared" si="19"/>
        <v/>
      </c>
      <c r="AC51" s="28" t="str">
        <f t="shared" si="20"/>
        <v/>
      </c>
      <c r="AD51" s="28" t="str">
        <f t="shared" si="21"/>
        <v/>
      </c>
    </row>
    <row r="52" spans="1:30" x14ac:dyDescent="0.2">
      <c r="A52" s="1128"/>
      <c r="B52" s="1107"/>
      <c r="C52" s="575"/>
      <c r="D52" s="623"/>
      <c r="E52" s="569"/>
      <c r="F52" s="1085" t="str">
        <f t="shared" si="11"/>
        <v/>
      </c>
      <c r="G52" s="569"/>
      <c r="H52" s="2025" t="str">
        <f t="shared" si="12"/>
        <v/>
      </c>
      <c r="I52" s="2025" t="str">
        <f t="shared" si="13"/>
        <v/>
      </c>
      <c r="J52" s="2025" t="str">
        <f t="shared" si="14"/>
        <v/>
      </c>
      <c r="K52" s="1">
        <f t="shared" si="15"/>
        <v>0</v>
      </c>
      <c r="O52" s="142"/>
      <c r="P52" s="164">
        <f t="shared" si="16"/>
        <v>0</v>
      </c>
      <c r="Q52" s="28">
        <f t="shared" si="17"/>
        <v>0</v>
      </c>
      <c r="R52" s="142"/>
      <c r="S52" s="142"/>
      <c r="AA52" s="28">
        <f t="shared" si="18"/>
        <v>0</v>
      </c>
      <c r="AB52" s="28" t="str">
        <f t="shared" si="19"/>
        <v/>
      </c>
      <c r="AC52" s="28" t="str">
        <f t="shared" si="20"/>
        <v/>
      </c>
      <c r="AD52" s="28" t="str">
        <f t="shared" si="21"/>
        <v/>
      </c>
    </row>
    <row r="53" spans="1:30" x14ac:dyDescent="0.2">
      <c r="A53" s="1128"/>
      <c r="B53" s="1107"/>
      <c r="C53" s="575"/>
      <c r="D53" s="623"/>
      <c r="E53" s="569"/>
      <c r="F53" s="1085" t="str">
        <f t="shared" si="11"/>
        <v/>
      </c>
      <c r="G53" s="569"/>
      <c r="H53" s="2025" t="str">
        <f t="shared" si="12"/>
        <v/>
      </c>
      <c r="I53" s="2025" t="str">
        <f t="shared" si="13"/>
        <v/>
      </c>
      <c r="J53" s="2025" t="str">
        <f t="shared" si="14"/>
        <v/>
      </c>
      <c r="K53" s="1">
        <f t="shared" si="15"/>
        <v>0</v>
      </c>
      <c r="O53" s="142"/>
      <c r="P53" s="164">
        <f t="shared" si="16"/>
        <v>0</v>
      </c>
      <c r="Q53" s="28">
        <f t="shared" si="17"/>
        <v>0</v>
      </c>
      <c r="R53" s="142"/>
      <c r="S53" s="142"/>
      <c r="AA53" s="28">
        <f t="shared" si="18"/>
        <v>0</v>
      </c>
      <c r="AB53" s="28" t="str">
        <f t="shared" si="19"/>
        <v/>
      </c>
      <c r="AC53" s="28" t="str">
        <f t="shared" si="20"/>
        <v/>
      </c>
      <c r="AD53" s="28" t="str">
        <f t="shared" si="21"/>
        <v/>
      </c>
    </row>
    <row r="54" spans="1:30" x14ac:dyDescent="0.2">
      <c r="A54" s="1128"/>
      <c r="B54" s="1107"/>
      <c r="C54" s="575"/>
      <c r="D54" s="623"/>
      <c r="E54" s="569"/>
      <c r="F54" s="1085" t="str">
        <f t="shared" si="11"/>
        <v/>
      </c>
      <c r="G54" s="569"/>
      <c r="H54" s="2025" t="str">
        <f t="shared" si="12"/>
        <v/>
      </c>
      <c r="I54" s="2025" t="str">
        <f t="shared" si="13"/>
        <v/>
      </c>
      <c r="J54" s="2025" t="str">
        <f t="shared" si="14"/>
        <v/>
      </c>
      <c r="K54" s="1">
        <f t="shared" si="15"/>
        <v>0</v>
      </c>
      <c r="O54" s="142"/>
      <c r="P54" s="164">
        <f t="shared" si="16"/>
        <v>0</v>
      </c>
      <c r="Q54" s="28">
        <f t="shared" si="17"/>
        <v>0</v>
      </c>
      <c r="R54" s="142"/>
      <c r="S54" s="142"/>
      <c r="AA54" s="28">
        <f t="shared" si="18"/>
        <v>0</v>
      </c>
      <c r="AB54" s="28" t="str">
        <f t="shared" si="19"/>
        <v/>
      </c>
      <c r="AC54" s="28" t="str">
        <f t="shared" si="20"/>
        <v/>
      </c>
      <c r="AD54" s="28" t="str">
        <f t="shared" si="21"/>
        <v/>
      </c>
    </row>
    <row r="55" spans="1:30" x14ac:dyDescent="0.2">
      <c r="A55" s="1128"/>
      <c r="B55" s="1107"/>
      <c r="C55" s="575"/>
      <c r="D55" s="623"/>
      <c r="E55" s="569"/>
      <c r="F55" s="1085" t="str">
        <f t="shared" si="11"/>
        <v/>
      </c>
      <c r="G55" s="569"/>
      <c r="H55" s="2025" t="str">
        <f t="shared" si="12"/>
        <v/>
      </c>
      <c r="I55" s="2025" t="str">
        <f t="shared" si="13"/>
        <v/>
      </c>
      <c r="J55" s="2025" t="str">
        <f t="shared" si="14"/>
        <v/>
      </c>
      <c r="K55" s="1">
        <f t="shared" si="15"/>
        <v>0</v>
      </c>
      <c r="O55" s="142"/>
      <c r="P55" s="164">
        <f t="shared" si="16"/>
        <v>0</v>
      </c>
      <c r="Q55" s="28">
        <f t="shared" si="17"/>
        <v>0</v>
      </c>
      <c r="R55" s="142"/>
      <c r="S55" s="142"/>
      <c r="AA55" s="28">
        <f t="shared" si="18"/>
        <v>0</v>
      </c>
      <c r="AB55" s="28" t="str">
        <f t="shared" si="19"/>
        <v/>
      </c>
      <c r="AC55" s="28" t="str">
        <f t="shared" si="20"/>
        <v/>
      </c>
      <c r="AD55" s="28" t="str">
        <f t="shared" si="21"/>
        <v/>
      </c>
    </row>
    <row r="56" spans="1:30" x14ac:dyDescent="0.2">
      <c r="A56" s="1128"/>
      <c r="B56" s="1107"/>
      <c r="C56" s="575"/>
      <c r="D56" s="623"/>
      <c r="E56" s="569"/>
      <c r="F56" s="1085" t="str">
        <f t="shared" si="11"/>
        <v/>
      </c>
      <c r="G56" s="569"/>
      <c r="H56" s="2025" t="str">
        <f t="shared" si="12"/>
        <v/>
      </c>
      <c r="I56" s="2025" t="str">
        <f t="shared" si="13"/>
        <v/>
      </c>
      <c r="J56" s="2025" t="str">
        <f t="shared" si="14"/>
        <v/>
      </c>
      <c r="K56" s="1">
        <f t="shared" si="15"/>
        <v>0</v>
      </c>
      <c r="O56" s="142"/>
      <c r="P56" s="164">
        <f t="shared" si="16"/>
        <v>0</v>
      </c>
      <c r="Q56" s="28">
        <f t="shared" si="17"/>
        <v>0</v>
      </c>
      <c r="R56" s="142"/>
      <c r="S56" s="142"/>
      <c r="AA56" s="28">
        <f t="shared" si="18"/>
        <v>0</v>
      </c>
      <c r="AB56" s="28" t="str">
        <f t="shared" si="19"/>
        <v/>
      </c>
      <c r="AC56" s="28" t="str">
        <f t="shared" si="20"/>
        <v/>
      </c>
      <c r="AD56" s="28" t="str">
        <f t="shared" si="21"/>
        <v/>
      </c>
    </row>
    <row r="57" spans="1:30" x14ac:dyDescent="0.2">
      <c r="A57" s="1128"/>
      <c r="B57" s="1107"/>
      <c r="C57" s="575"/>
      <c r="D57" s="623"/>
      <c r="E57" s="569"/>
      <c r="F57" s="1085" t="str">
        <f t="shared" si="11"/>
        <v/>
      </c>
      <c r="G57" s="569"/>
      <c r="H57" s="2025" t="str">
        <f t="shared" si="12"/>
        <v/>
      </c>
      <c r="I57" s="2025" t="str">
        <f t="shared" si="13"/>
        <v/>
      </c>
      <c r="J57" s="2025" t="str">
        <f t="shared" si="14"/>
        <v/>
      </c>
      <c r="K57" s="1">
        <f t="shared" si="15"/>
        <v>0</v>
      </c>
      <c r="O57" s="142"/>
      <c r="P57" s="164">
        <f t="shared" si="16"/>
        <v>0</v>
      </c>
      <c r="Q57" s="28">
        <f t="shared" si="17"/>
        <v>0</v>
      </c>
      <c r="R57" s="142"/>
      <c r="S57" s="142"/>
      <c r="AA57" s="28">
        <f t="shared" si="18"/>
        <v>0</v>
      </c>
      <c r="AB57" s="28" t="str">
        <f t="shared" si="19"/>
        <v/>
      </c>
      <c r="AC57" s="28" t="str">
        <f t="shared" si="20"/>
        <v/>
      </c>
      <c r="AD57" s="28" t="str">
        <f t="shared" si="21"/>
        <v/>
      </c>
    </row>
    <row r="58" spans="1:30" x14ac:dyDescent="0.2">
      <c r="A58" s="1128"/>
      <c r="B58" s="1107"/>
      <c r="C58" s="575"/>
      <c r="D58" s="623"/>
      <c r="E58" s="569"/>
      <c r="F58" s="1085" t="str">
        <f t="shared" si="11"/>
        <v/>
      </c>
      <c r="G58" s="569"/>
      <c r="H58" s="2025" t="str">
        <f t="shared" si="12"/>
        <v/>
      </c>
      <c r="I58" s="2025" t="str">
        <f t="shared" si="13"/>
        <v/>
      </c>
      <c r="J58" s="2025" t="str">
        <f t="shared" si="14"/>
        <v/>
      </c>
      <c r="K58" s="1">
        <f t="shared" si="15"/>
        <v>0</v>
      </c>
      <c r="O58" s="142"/>
      <c r="P58" s="164">
        <f t="shared" si="16"/>
        <v>0</v>
      </c>
      <c r="Q58" s="28">
        <f t="shared" si="17"/>
        <v>0</v>
      </c>
      <c r="R58" s="142"/>
      <c r="S58" s="142"/>
      <c r="AA58" s="28">
        <f t="shared" si="18"/>
        <v>0</v>
      </c>
      <c r="AB58" s="28" t="str">
        <f t="shared" si="19"/>
        <v/>
      </c>
      <c r="AC58" s="28" t="str">
        <f t="shared" si="20"/>
        <v/>
      </c>
      <c r="AD58" s="28" t="str">
        <f t="shared" si="21"/>
        <v/>
      </c>
    </row>
    <row r="59" spans="1:30" x14ac:dyDescent="0.2">
      <c r="A59" s="1128"/>
      <c r="B59" s="1107"/>
      <c r="C59" s="575"/>
      <c r="D59" s="623"/>
      <c r="E59" s="569"/>
      <c r="F59" s="1085" t="str">
        <f t="shared" si="11"/>
        <v/>
      </c>
      <c r="G59" s="569"/>
      <c r="H59" s="2025" t="str">
        <f t="shared" si="12"/>
        <v/>
      </c>
      <c r="I59" s="2025" t="str">
        <f t="shared" si="13"/>
        <v/>
      </c>
      <c r="J59" s="2025" t="str">
        <f t="shared" si="14"/>
        <v/>
      </c>
      <c r="K59" s="1">
        <f t="shared" si="15"/>
        <v>0</v>
      </c>
      <c r="O59" s="142"/>
      <c r="P59" s="164">
        <f t="shared" si="16"/>
        <v>0</v>
      </c>
      <c r="Q59" s="28">
        <f t="shared" si="17"/>
        <v>0</v>
      </c>
      <c r="R59" s="142"/>
      <c r="S59" s="142"/>
      <c r="AA59" s="28">
        <f t="shared" si="18"/>
        <v>0</v>
      </c>
      <c r="AB59" s="28" t="str">
        <f t="shared" si="19"/>
        <v/>
      </c>
      <c r="AC59" s="28" t="str">
        <f t="shared" si="20"/>
        <v/>
      </c>
      <c r="AD59" s="28" t="str">
        <f t="shared" si="21"/>
        <v/>
      </c>
    </row>
    <row r="60" spans="1:30" x14ac:dyDescent="0.2">
      <c r="A60" s="1128"/>
      <c r="B60" s="1107"/>
      <c r="C60" s="575"/>
      <c r="D60" s="623"/>
      <c r="E60" s="569"/>
      <c r="F60" s="1085" t="str">
        <f t="shared" si="11"/>
        <v/>
      </c>
      <c r="G60" s="569"/>
      <c r="H60" s="2025" t="str">
        <f t="shared" si="12"/>
        <v/>
      </c>
      <c r="I60" s="2025" t="str">
        <f t="shared" si="13"/>
        <v/>
      </c>
      <c r="J60" s="2025" t="str">
        <f t="shared" si="14"/>
        <v/>
      </c>
      <c r="K60" s="1">
        <f t="shared" si="15"/>
        <v>0</v>
      </c>
      <c r="O60" s="142"/>
      <c r="P60" s="164">
        <f t="shared" si="16"/>
        <v>0</v>
      </c>
      <c r="Q60" s="28">
        <f t="shared" si="17"/>
        <v>0</v>
      </c>
      <c r="R60" s="142"/>
      <c r="S60" s="142"/>
      <c r="AA60" s="28">
        <f t="shared" si="18"/>
        <v>0</v>
      </c>
      <c r="AB60" s="28" t="str">
        <f t="shared" si="19"/>
        <v/>
      </c>
      <c r="AC60" s="28" t="str">
        <f t="shared" si="20"/>
        <v/>
      </c>
      <c r="AD60" s="28" t="str">
        <f t="shared" si="21"/>
        <v/>
      </c>
    </row>
    <row r="61" spans="1:30" x14ac:dyDescent="0.2">
      <c r="A61" s="1128"/>
      <c r="B61" s="1107"/>
      <c r="C61" s="575"/>
      <c r="D61" s="623"/>
      <c r="E61" s="569"/>
      <c r="F61" s="1085" t="str">
        <f t="shared" si="11"/>
        <v/>
      </c>
      <c r="G61" s="569"/>
      <c r="H61" s="2025" t="str">
        <f t="shared" si="12"/>
        <v/>
      </c>
      <c r="I61" s="2025" t="str">
        <f t="shared" si="13"/>
        <v/>
      </c>
      <c r="J61" s="2025" t="str">
        <f t="shared" si="14"/>
        <v/>
      </c>
      <c r="K61" s="1">
        <f t="shared" si="15"/>
        <v>0</v>
      </c>
      <c r="O61" s="142"/>
      <c r="P61" s="164">
        <f t="shared" si="16"/>
        <v>0</v>
      </c>
      <c r="Q61" s="28">
        <f t="shared" si="17"/>
        <v>0</v>
      </c>
      <c r="R61" s="142"/>
      <c r="S61" s="142"/>
      <c r="AA61" s="28">
        <f t="shared" si="18"/>
        <v>0</v>
      </c>
      <c r="AB61" s="28" t="str">
        <f t="shared" si="19"/>
        <v/>
      </c>
      <c r="AC61" s="28" t="str">
        <f t="shared" si="20"/>
        <v/>
      </c>
      <c r="AD61" s="28" t="str">
        <f t="shared" si="21"/>
        <v/>
      </c>
    </row>
    <row r="62" spans="1:30" x14ac:dyDescent="0.2">
      <c r="A62" s="1128"/>
      <c r="B62" s="1107"/>
      <c r="C62" s="575"/>
      <c r="D62" s="623"/>
      <c r="E62" s="569"/>
      <c r="F62" s="1085" t="str">
        <f t="shared" si="11"/>
        <v/>
      </c>
      <c r="G62" s="569"/>
      <c r="H62" s="2025" t="str">
        <f t="shared" si="12"/>
        <v/>
      </c>
      <c r="I62" s="2025" t="str">
        <f t="shared" si="13"/>
        <v/>
      </c>
      <c r="J62" s="2025" t="str">
        <f t="shared" si="14"/>
        <v/>
      </c>
      <c r="K62" s="1">
        <f t="shared" si="15"/>
        <v>0</v>
      </c>
      <c r="O62" s="142"/>
      <c r="P62" s="164">
        <f t="shared" si="16"/>
        <v>0</v>
      </c>
      <c r="Q62" s="28">
        <f t="shared" si="17"/>
        <v>0</v>
      </c>
      <c r="R62" s="142"/>
      <c r="S62" s="142"/>
      <c r="AA62" s="28">
        <f t="shared" si="18"/>
        <v>0</v>
      </c>
      <c r="AB62" s="28" t="str">
        <f t="shared" si="19"/>
        <v/>
      </c>
      <c r="AC62" s="28" t="str">
        <f t="shared" si="20"/>
        <v/>
      </c>
      <c r="AD62" s="28" t="str">
        <f t="shared" si="21"/>
        <v/>
      </c>
    </row>
    <row r="63" spans="1:30" x14ac:dyDescent="0.2">
      <c r="A63" s="1128"/>
      <c r="B63" s="1107"/>
      <c r="C63" s="575"/>
      <c r="D63" s="623"/>
      <c r="E63" s="569"/>
      <c r="F63" s="1085" t="str">
        <f t="shared" si="11"/>
        <v/>
      </c>
      <c r="G63" s="569"/>
      <c r="H63" s="2025" t="str">
        <f t="shared" si="12"/>
        <v/>
      </c>
      <c r="I63" s="2025" t="str">
        <f t="shared" si="13"/>
        <v/>
      </c>
      <c r="J63" s="2025" t="str">
        <f t="shared" si="14"/>
        <v/>
      </c>
      <c r="K63" s="1">
        <f t="shared" si="15"/>
        <v>0</v>
      </c>
      <c r="O63" s="142"/>
      <c r="P63" s="164">
        <f t="shared" si="16"/>
        <v>0</v>
      </c>
      <c r="Q63" s="28">
        <f t="shared" si="17"/>
        <v>0</v>
      </c>
      <c r="R63" s="142"/>
      <c r="S63" s="142"/>
      <c r="AA63" s="28">
        <f t="shared" si="18"/>
        <v>0</v>
      </c>
      <c r="AB63" s="28" t="str">
        <f t="shared" si="19"/>
        <v/>
      </c>
      <c r="AC63" s="28" t="str">
        <f t="shared" si="20"/>
        <v/>
      </c>
      <c r="AD63" s="28" t="str">
        <f t="shared" si="21"/>
        <v/>
      </c>
    </row>
    <row r="64" spans="1:30" x14ac:dyDescent="0.2">
      <c r="A64" s="1128"/>
      <c r="B64" s="1107"/>
      <c r="C64" s="575"/>
      <c r="D64" s="623"/>
      <c r="E64" s="569"/>
      <c r="F64" s="1085" t="str">
        <f t="shared" si="11"/>
        <v/>
      </c>
      <c r="G64" s="569"/>
      <c r="H64" s="2025" t="str">
        <f t="shared" si="12"/>
        <v/>
      </c>
      <c r="I64" s="2025" t="str">
        <f t="shared" si="13"/>
        <v/>
      </c>
      <c r="J64" s="2025" t="str">
        <f t="shared" si="14"/>
        <v/>
      </c>
      <c r="K64" s="1">
        <f t="shared" si="15"/>
        <v>0</v>
      </c>
      <c r="O64" s="142"/>
      <c r="P64" s="164">
        <f t="shared" si="16"/>
        <v>0</v>
      </c>
      <c r="Q64" s="28">
        <f t="shared" si="17"/>
        <v>0</v>
      </c>
      <c r="R64" s="142"/>
      <c r="S64" s="142"/>
      <c r="AA64" s="28">
        <f t="shared" si="18"/>
        <v>0</v>
      </c>
      <c r="AB64" s="28" t="str">
        <f t="shared" si="19"/>
        <v/>
      </c>
      <c r="AC64" s="28" t="str">
        <f t="shared" si="20"/>
        <v/>
      </c>
      <c r="AD64" s="28" t="str">
        <f t="shared" si="21"/>
        <v/>
      </c>
    </row>
    <row r="65" spans="1:30" x14ac:dyDescent="0.2">
      <c r="A65" s="1128"/>
      <c r="B65" s="1107"/>
      <c r="C65" s="575"/>
      <c r="D65" s="623"/>
      <c r="E65" s="569"/>
      <c r="F65" s="1085" t="str">
        <f t="shared" si="11"/>
        <v/>
      </c>
      <c r="G65" s="569"/>
      <c r="H65" s="2025" t="str">
        <f t="shared" si="12"/>
        <v/>
      </c>
      <c r="I65" s="2025" t="str">
        <f t="shared" si="13"/>
        <v/>
      </c>
      <c r="J65" s="2025" t="str">
        <f t="shared" si="14"/>
        <v/>
      </c>
      <c r="K65" s="1">
        <f t="shared" si="15"/>
        <v>0</v>
      </c>
      <c r="O65" s="142"/>
      <c r="P65" s="164">
        <f t="shared" si="16"/>
        <v>0</v>
      </c>
      <c r="Q65" s="28">
        <f t="shared" si="17"/>
        <v>0</v>
      </c>
      <c r="R65" s="142"/>
      <c r="S65" s="142"/>
      <c r="AA65" s="28">
        <f t="shared" si="18"/>
        <v>0</v>
      </c>
      <c r="AB65" s="28" t="str">
        <f t="shared" si="19"/>
        <v/>
      </c>
      <c r="AC65" s="28" t="str">
        <f t="shared" si="20"/>
        <v/>
      </c>
      <c r="AD65" s="28" t="str">
        <f t="shared" si="21"/>
        <v/>
      </c>
    </row>
    <row r="66" spans="1:30" x14ac:dyDescent="0.2">
      <c r="A66" s="1128"/>
      <c r="B66" s="1107"/>
      <c r="C66" s="575"/>
      <c r="D66" s="623"/>
      <c r="E66" s="569"/>
      <c r="F66" s="1085" t="str">
        <f t="shared" si="11"/>
        <v/>
      </c>
      <c r="G66" s="569"/>
      <c r="H66" s="2025" t="str">
        <f t="shared" si="12"/>
        <v/>
      </c>
      <c r="I66" s="2025" t="str">
        <f t="shared" si="13"/>
        <v/>
      </c>
      <c r="J66" s="2025" t="str">
        <f t="shared" si="14"/>
        <v/>
      </c>
      <c r="K66" s="1">
        <f t="shared" si="15"/>
        <v>0</v>
      </c>
      <c r="O66" s="142"/>
      <c r="P66" s="164">
        <f t="shared" si="16"/>
        <v>0</v>
      </c>
      <c r="Q66" s="28">
        <f t="shared" si="17"/>
        <v>0</v>
      </c>
      <c r="R66" s="142"/>
      <c r="S66" s="142"/>
      <c r="AA66" s="28">
        <f t="shared" si="18"/>
        <v>0</v>
      </c>
      <c r="AB66" s="28" t="str">
        <f t="shared" si="19"/>
        <v/>
      </c>
      <c r="AC66" s="28" t="str">
        <f t="shared" si="20"/>
        <v/>
      </c>
      <c r="AD66" s="28" t="str">
        <f t="shared" si="21"/>
        <v/>
      </c>
    </row>
    <row r="67" spans="1:30" x14ac:dyDescent="0.2">
      <c r="A67" s="1128"/>
      <c r="B67" s="1107"/>
      <c r="C67" s="575"/>
      <c r="D67" s="623"/>
      <c r="E67" s="569"/>
      <c r="F67" s="1085" t="str">
        <f t="shared" si="11"/>
        <v/>
      </c>
      <c r="G67" s="569"/>
      <c r="H67" s="2025" t="str">
        <f t="shared" si="12"/>
        <v/>
      </c>
      <c r="I67" s="2025" t="str">
        <f t="shared" si="13"/>
        <v/>
      </c>
      <c r="J67" s="2025" t="str">
        <f t="shared" si="14"/>
        <v/>
      </c>
      <c r="K67" s="1">
        <f t="shared" si="15"/>
        <v>0</v>
      </c>
      <c r="O67" s="142"/>
      <c r="P67" s="164">
        <f t="shared" si="16"/>
        <v>0</v>
      </c>
      <c r="Q67" s="28">
        <f t="shared" si="17"/>
        <v>0</v>
      </c>
      <c r="R67" s="142"/>
      <c r="S67" s="142"/>
      <c r="AA67" s="28">
        <f t="shared" si="18"/>
        <v>0</v>
      </c>
      <c r="AB67" s="28" t="str">
        <f t="shared" si="19"/>
        <v/>
      </c>
      <c r="AC67" s="28" t="str">
        <f t="shared" si="20"/>
        <v/>
      </c>
      <c r="AD67" s="28" t="str">
        <f t="shared" si="21"/>
        <v/>
      </c>
    </row>
    <row r="68" spans="1:30" x14ac:dyDescent="0.2">
      <c r="A68" s="1128"/>
      <c r="B68" s="1107"/>
      <c r="C68" s="575"/>
      <c r="D68" s="623"/>
      <c r="E68" s="569"/>
      <c r="F68" s="1085" t="str">
        <f t="shared" si="11"/>
        <v/>
      </c>
      <c r="G68" s="569"/>
      <c r="H68" s="2025" t="str">
        <f t="shared" si="12"/>
        <v/>
      </c>
      <c r="I68" s="2025" t="str">
        <f t="shared" si="13"/>
        <v/>
      </c>
      <c r="J68" s="2025" t="str">
        <f t="shared" si="14"/>
        <v/>
      </c>
      <c r="K68" s="1">
        <f t="shared" si="15"/>
        <v>0</v>
      </c>
      <c r="O68" s="142"/>
      <c r="P68" s="164">
        <f t="shared" si="16"/>
        <v>0</v>
      </c>
      <c r="Q68" s="28">
        <f t="shared" si="17"/>
        <v>0</v>
      </c>
      <c r="R68" s="142"/>
      <c r="S68" s="142"/>
      <c r="AA68" s="28">
        <f t="shared" si="18"/>
        <v>0</v>
      </c>
      <c r="AB68" s="28" t="str">
        <f t="shared" si="19"/>
        <v/>
      </c>
      <c r="AC68" s="28" t="str">
        <f t="shared" si="20"/>
        <v/>
      </c>
      <c r="AD68" s="28" t="str">
        <f t="shared" si="21"/>
        <v/>
      </c>
    </row>
    <row r="69" spans="1:30" x14ac:dyDescent="0.2">
      <c r="A69" s="1128"/>
      <c r="B69" s="1107"/>
      <c r="C69" s="575"/>
      <c r="D69" s="623"/>
      <c r="E69" s="569"/>
      <c r="F69" s="1085" t="str">
        <f t="shared" si="11"/>
        <v/>
      </c>
      <c r="G69" s="569"/>
      <c r="H69" s="2025" t="str">
        <f t="shared" si="12"/>
        <v/>
      </c>
      <c r="I69" s="2025" t="str">
        <f t="shared" si="13"/>
        <v/>
      </c>
      <c r="J69" s="2025" t="str">
        <f t="shared" si="14"/>
        <v/>
      </c>
      <c r="K69" s="1">
        <f t="shared" si="15"/>
        <v>0</v>
      </c>
      <c r="O69" s="142"/>
      <c r="P69" s="164">
        <f t="shared" si="16"/>
        <v>0</v>
      </c>
      <c r="Q69" s="28">
        <f t="shared" si="17"/>
        <v>0</v>
      </c>
      <c r="R69" s="142"/>
      <c r="S69" s="142"/>
      <c r="AA69" s="28">
        <f>IF(K69=1,0,D69)</f>
      </c>
      <c r="AB69" s="28" t="str">
        <f t="shared" si="19"/>
        <v/>
      </c>
      <c r="AC69" s="28" t="str">
        <f t="shared" si="20"/>
        <v/>
      </c>
      <c r="AD69" s="28" t="str">
        <f t="shared" si="21"/>
        <v/>
      </c>
    </row>
    <row r="70" spans="1:30" x14ac:dyDescent="0.2">
      <c r="A70" s="1128"/>
      <c r="B70" s="1107"/>
      <c r="C70" s="575"/>
      <c r="D70" s="623"/>
      <c r="E70" s="569"/>
      <c r="F70" s="1085" t="str">
        <f t="shared" si="11"/>
        <v/>
      </c>
      <c r="G70" s="569"/>
      <c r="H70" s="2025" t="str">
        <f t="shared" si="12"/>
        <v/>
      </c>
      <c r="I70" s="2025" t="str">
        <f t="shared" si="13"/>
        <v/>
      </c>
      <c r="J70" s="2025" t="str">
        <f t="shared" si="14"/>
        <v/>
      </c>
      <c r="K70" s="1">
        <f t="shared" si="15"/>
        <v>0</v>
      </c>
      <c r="O70" s="142"/>
      <c r="P70" s="164">
        <f t="shared" si="16"/>
        <v>0</v>
      </c>
      <c r="Q70" s="28">
        <f t="shared" si="17"/>
        <v>0</v>
      </c>
      <c r="R70" s="142"/>
      <c r="S70" s="142"/>
      <c r="AA70" s="28">
        <f t="shared" si="18"/>
        <v>0</v>
      </c>
      <c r="AB70" s="28" t="str">
        <f t="shared" si="19"/>
        <v/>
      </c>
      <c r="AC70" s="28" t="str">
        <f t="shared" si="20"/>
        <v/>
      </c>
      <c r="AD70" s="28" t="str">
        <f t="shared" si="21"/>
        <v/>
      </c>
    </row>
    <row r="71" spans="1:30" x14ac:dyDescent="0.2">
      <c r="A71" s="1128"/>
      <c r="B71" s="1107"/>
      <c r="C71" s="575"/>
      <c r="D71" s="623"/>
      <c r="E71" s="569"/>
      <c r="F71" s="1085" t="str">
        <f t="shared" si="11"/>
        <v/>
      </c>
      <c r="G71" s="569"/>
      <c r="H71" s="2025" t="str">
        <f t="shared" si="12"/>
        <v/>
      </c>
      <c r="I71" s="2025" t="str">
        <f t="shared" si="13"/>
        <v/>
      </c>
      <c r="J71" s="2025" t="str">
        <f t="shared" si="14"/>
        <v/>
      </c>
      <c r="K71" s="1">
        <f t="shared" si="15"/>
        <v>0</v>
      </c>
      <c r="O71" s="142"/>
      <c r="P71" s="164">
        <f t="shared" si="16"/>
        <v>0</v>
      </c>
      <c r="Q71" s="28">
        <f t="shared" si="17"/>
        <v>0</v>
      </c>
      <c r="R71" s="142"/>
      <c r="S71" s="142"/>
      <c r="AA71" s="28">
        <f t="shared" si="18"/>
        <v>0</v>
      </c>
      <c r="AB71" s="28" t="str">
        <f t="shared" si="19"/>
        <v/>
      </c>
      <c r="AC71" s="28" t="str">
        <f t="shared" si="20"/>
        <v/>
      </c>
      <c r="AD71" s="28" t="str">
        <f t="shared" si="21"/>
        <v/>
      </c>
    </row>
    <row r="72" spans="1:30" x14ac:dyDescent="0.2">
      <c r="A72" s="1128"/>
      <c r="B72" s="1107"/>
      <c r="C72" s="575"/>
      <c r="D72" s="623"/>
      <c r="E72" s="569"/>
      <c r="F72" s="1085" t="str">
        <f t="shared" si="11"/>
        <v/>
      </c>
      <c r="G72" s="569"/>
      <c r="H72" s="2025" t="str">
        <f t="shared" si="12"/>
        <v/>
      </c>
      <c r="I72" s="2025" t="str">
        <f t="shared" si="13"/>
        <v/>
      </c>
      <c r="J72" s="2025" t="str">
        <f t="shared" si="14"/>
        <v/>
      </c>
      <c r="K72" s="1">
        <f t="shared" si="15"/>
        <v>0</v>
      </c>
      <c r="O72" s="142"/>
      <c r="P72" s="164">
        <f t="shared" si="16"/>
        <v>0</v>
      </c>
      <c r="Q72" s="28">
        <f t="shared" si="17"/>
        <v>0</v>
      </c>
      <c r="R72" s="142"/>
      <c r="S72" s="142"/>
      <c r="AA72" s="28">
        <f t="shared" si="18"/>
        <v>0</v>
      </c>
      <c r="AB72" s="28" t="str">
        <f t="shared" si="19"/>
        <v/>
      </c>
      <c r="AC72" s="28" t="str">
        <f t="shared" si="20"/>
        <v/>
      </c>
      <c r="AD72" s="28" t="str">
        <f t="shared" si="21"/>
        <v/>
      </c>
    </row>
    <row r="73" spans="1:30" x14ac:dyDescent="0.2">
      <c r="A73" s="1128"/>
      <c r="B73" s="1107"/>
      <c r="C73" s="575"/>
      <c r="D73" s="623"/>
      <c r="E73" s="569"/>
      <c r="F73" s="1085" t="str">
        <f t="shared" si="11"/>
        <v/>
      </c>
      <c r="G73" s="569"/>
      <c r="H73" s="2025" t="str">
        <f t="shared" si="12"/>
        <v/>
      </c>
      <c r="I73" s="2025" t="str">
        <f t="shared" si="13"/>
        <v/>
      </c>
      <c r="J73" s="2025" t="str">
        <f t="shared" si="14"/>
        <v/>
      </c>
      <c r="K73" s="1">
        <f t="shared" si="15"/>
        <v>0</v>
      </c>
      <c r="O73" s="142"/>
      <c r="P73" s="164">
        <f t="shared" si="16"/>
        <v>0</v>
      </c>
      <c r="Q73" s="28">
        <f t="shared" si="17"/>
        <v>0</v>
      </c>
      <c r="R73" s="142"/>
      <c r="S73" s="142"/>
      <c r="AA73" s="28">
        <f t="shared" si="18"/>
        <v>0</v>
      </c>
      <c r="AB73" s="28" t="str">
        <f t="shared" si="19"/>
        <v/>
      </c>
      <c r="AC73" s="28" t="str">
        <f t="shared" si="20"/>
        <v/>
      </c>
      <c r="AD73" s="28" t="str">
        <f t="shared" si="21"/>
        <v/>
      </c>
    </row>
    <row r="74" spans="1:30" x14ac:dyDescent="0.2">
      <c r="A74" s="1128"/>
      <c r="B74" s="1107"/>
      <c r="C74" s="575"/>
      <c r="D74" s="623"/>
      <c r="E74" s="569"/>
      <c r="F74" s="1085" t="str">
        <f t="shared" si="11"/>
        <v/>
      </c>
      <c r="G74" s="569"/>
      <c r="H74" s="2025" t="str">
        <f t="shared" si="12"/>
        <v/>
      </c>
      <c r="I74" s="2025" t="str">
        <f t="shared" si="13"/>
        <v/>
      </c>
      <c r="J74" s="2025" t="str">
        <f t="shared" si="14"/>
        <v/>
      </c>
      <c r="K74" s="1">
        <f t="shared" si="15"/>
        <v>0</v>
      </c>
      <c r="O74" s="142"/>
      <c r="P74" s="164">
        <f t="shared" si="16"/>
        <v>0</v>
      </c>
      <c r="Q74" s="28">
        <f t="shared" si="17"/>
        <v>0</v>
      </c>
      <c r="R74" s="142"/>
      <c r="S74" s="142"/>
      <c r="AA74" s="28">
        <f t="shared" si="18"/>
        <v>0</v>
      </c>
      <c r="AB74" s="28" t="str">
        <f t="shared" si="19"/>
        <v/>
      </c>
      <c r="AC74" s="28" t="str">
        <f t="shared" si="20"/>
        <v/>
      </c>
      <c r="AD74" s="28" t="str">
        <f t="shared" si="21"/>
        <v/>
      </c>
    </row>
    <row r="75" spans="1:30" x14ac:dyDescent="0.2">
      <c r="A75" s="1128"/>
      <c r="B75" s="1107"/>
      <c r="C75" s="575"/>
      <c r="D75" s="623"/>
      <c r="E75" s="569"/>
      <c r="F75" s="1085" t="str">
        <f t="shared" si="11"/>
        <v/>
      </c>
      <c r="G75" s="569"/>
      <c r="H75" s="2025" t="str">
        <f t="shared" si="12"/>
        <v/>
      </c>
      <c r="I75" s="2025" t="str">
        <f t="shared" si="13"/>
        <v/>
      </c>
      <c r="J75" s="2025" t="str">
        <f t="shared" si="14"/>
        <v/>
      </c>
      <c r="K75" s="1">
        <f t="shared" si="15"/>
        <v>0</v>
      </c>
      <c r="O75" s="142"/>
      <c r="P75" s="164">
        <f t="shared" si="16"/>
        <v>0</v>
      </c>
      <c r="Q75" s="28">
        <f t="shared" si="17"/>
        <v>0</v>
      </c>
      <c r="R75" s="142"/>
      <c r="S75" s="142"/>
      <c r="AA75" s="28">
        <f t="shared" si="18"/>
        <v>0</v>
      </c>
      <c r="AB75" s="28" t="str">
        <f t="shared" si="19"/>
        <v/>
      </c>
      <c r="AC75" s="28" t="str">
        <f t="shared" si="20"/>
        <v/>
      </c>
      <c r="AD75" s="28" t="str">
        <f t="shared" si="21"/>
        <v/>
      </c>
    </row>
    <row r="76" spans="1:30" x14ac:dyDescent="0.2">
      <c r="A76" s="1128"/>
      <c r="B76" s="1107"/>
      <c r="C76" s="575"/>
      <c r="D76" s="623"/>
      <c r="E76" s="569"/>
      <c r="F76" s="1085" t="str">
        <f t="shared" si="11"/>
        <v/>
      </c>
      <c r="G76" s="569"/>
      <c r="H76" s="2025" t="str">
        <f t="shared" si="12"/>
        <v/>
      </c>
      <c r="I76" s="2025" t="str">
        <f t="shared" si="13"/>
        <v/>
      </c>
      <c r="J76" s="2025" t="str">
        <f t="shared" si="14"/>
        <v/>
      </c>
      <c r="K76" s="1">
        <f t="shared" si="15"/>
        <v>0</v>
      </c>
      <c r="O76" s="142"/>
      <c r="P76" s="164">
        <f t="shared" si="16"/>
        <v>0</v>
      </c>
      <c r="Q76" s="28">
        <f t="shared" si="17"/>
        <v>0</v>
      </c>
      <c r="R76" s="142"/>
      <c r="S76" s="142"/>
      <c r="AA76" s="28">
        <f t="shared" si="18"/>
        <v>0</v>
      </c>
      <c r="AB76" s="28" t="str">
        <f t="shared" si="19"/>
        <v/>
      </c>
      <c r="AC76" s="28" t="str">
        <f t="shared" si="20"/>
        <v/>
      </c>
      <c r="AD76" s="28" t="str">
        <f t="shared" si="21"/>
        <v/>
      </c>
    </row>
    <row r="77" spans="1:30" x14ac:dyDescent="0.2">
      <c r="A77" s="1128"/>
      <c r="B77" s="1107"/>
      <c r="C77" s="575"/>
      <c r="D77" s="623"/>
      <c r="E77" s="569"/>
      <c r="F77" s="1085" t="str">
        <f t="shared" si="11"/>
        <v/>
      </c>
      <c r="G77" s="569"/>
      <c r="H77" s="2025" t="str">
        <f t="shared" si="12"/>
        <v/>
      </c>
      <c r="I77" s="2025" t="str">
        <f t="shared" si="13"/>
        <v/>
      </c>
      <c r="J77" s="2025" t="str">
        <f t="shared" si="14"/>
        <v/>
      </c>
      <c r="K77" s="1">
        <f t="shared" si="15"/>
        <v>0</v>
      </c>
      <c r="O77" s="142"/>
      <c r="P77" s="164">
        <f t="shared" si="16"/>
        <v>0</v>
      </c>
      <c r="Q77" s="28">
        <f t="shared" si="17"/>
        <v>0</v>
      </c>
      <c r="R77" s="142"/>
      <c r="S77" s="142"/>
      <c r="AA77" s="28">
        <f t="shared" si="18"/>
        <v>0</v>
      </c>
      <c r="AB77" s="28" t="str">
        <f t="shared" si="19"/>
        <v/>
      </c>
      <c r="AC77" s="28" t="str">
        <f t="shared" si="20"/>
        <v/>
      </c>
      <c r="AD77" s="28" t="str">
        <f t="shared" si="21"/>
        <v/>
      </c>
    </row>
    <row r="78" spans="1:30" x14ac:dyDescent="0.2">
      <c r="A78" s="1128"/>
      <c r="B78" s="1107"/>
      <c r="C78" s="575"/>
      <c r="D78" s="623"/>
      <c r="E78" s="569"/>
      <c r="F78" s="1085" t="str">
        <f t="shared" si="11"/>
        <v/>
      </c>
      <c r="G78" s="569"/>
      <c r="H78" s="2025" t="str">
        <f t="shared" si="12"/>
        <v/>
      </c>
      <c r="I78" s="2025" t="str">
        <f t="shared" si="13"/>
        <v/>
      </c>
      <c r="J78" s="2025" t="str">
        <f t="shared" si="14"/>
        <v/>
      </c>
      <c r="K78" s="1">
        <f t="shared" si="15"/>
        <v>0</v>
      </c>
      <c r="O78" s="142"/>
      <c r="P78" s="164">
        <f t="shared" si="16"/>
        <v>0</v>
      </c>
      <c r="Q78" s="28">
        <f t="shared" si="17"/>
        <v>0</v>
      </c>
      <c r="R78" s="142"/>
      <c r="S78" s="142"/>
      <c r="AA78" s="28">
        <f t="shared" si="18"/>
        <v>0</v>
      </c>
      <c r="AB78" s="28" t="str">
        <f t="shared" si="19"/>
        <v/>
      </c>
      <c r="AC78" s="28" t="str">
        <f t="shared" si="20"/>
        <v/>
      </c>
      <c r="AD78" s="28" t="str">
        <f t="shared" si="21"/>
        <v/>
      </c>
    </row>
    <row r="79" spans="1:30" x14ac:dyDescent="0.2">
      <c r="A79" s="1128"/>
      <c r="B79" s="1107"/>
      <c r="C79" s="575"/>
      <c r="D79" s="623"/>
      <c r="E79" s="569"/>
      <c r="F79" s="1085" t="str">
        <f t="shared" si="11"/>
        <v/>
      </c>
      <c r="G79" s="569"/>
      <c r="H79" s="2025" t="str">
        <f t="shared" si="12"/>
        <v/>
      </c>
      <c r="I79" s="2025" t="str">
        <f t="shared" si="13"/>
        <v/>
      </c>
      <c r="J79" s="2025" t="str">
        <f t="shared" si="14"/>
        <v/>
      </c>
      <c r="K79" s="1">
        <f t="shared" si="15"/>
        <v>0</v>
      </c>
      <c r="O79" s="142"/>
      <c r="P79" s="164">
        <f t="shared" si="16"/>
        <v>0</v>
      </c>
      <c r="Q79" s="28">
        <f t="shared" si="17"/>
        <v>0</v>
      </c>
      <c r="R79" s="142"/>
      <c r="S79" s="142"/>
      <c r="AA79" s="28">
        <f t="shared" si="18"/>
        <v>0</v>
      </c>
      <c r="AB79" s="28" t="str">
        <f t="shared" si="19"/>
        <v/>
      </c>
      <c r="AC79" s="28" t="str">
        <f t="shared" si="20"/>
        <v/>
      </c>
      <c r="AD79" s="28" t="str">
        <f t="shared" si="21"/>
        <v/>
      </c>
    </row>
    <row r="80" spans="1:30" x14ac:dyDescent="0.2">
      <c r="A80" s="1128"/>
      <c r="B80" s="1107"/>
      <c r="C80" s="575"/>
      <c r="D80" s="623"/>
      <c r="E80" s="569"/>
      <c r="F80" s="1085" t="str">
        <f t="shared" si="11"/>
        <v/>
      </c>
      <c r="G80" s="569"/>
      <c r="H80" s="2025" t="str">
        <f t="shared" si="12"/>
        <v/>
      </c>
      <c r="I80" s="2025" t="str">
        <f t="shared" si="13"/>
        <v/>
      </c>
      <c r="J80" s="2025" t="str">
        <f t="shared" si="14"/>
        <v/>
      </c>
      <c r="K80" s="1">
        <f t="shared" si="15"/>
        <v>0</v>
      </c>
      <c r="O80" s="142"/>
      <c r="P80" s="164">
        <f t="shared" si="16"/>
        <v>0</v>
      </c>
      <c r="Q80" s="28">
        <f t="shared" si="17"/>
        <v>0</v>
      </c>
      <c r="R80" s="142"/>
      <c r="S80" s="142"/>
      <c r="AA80" s="28">
        <f t="shared" si="18"/>
        <v>0</v>
      </c>
      <c r="AB80" s="28" t="str">
        <f t="shared" si="19"/>
        <v/>
      </c>
      <c r="AC80" s="28" t="str">
        <f t="shared" si="20"/>
        <v/>
      </c>
      <c r="AD80" s="28" t="str">
        <f t="shared" si="21"/>
        <v/>
      </c>
    </row>
    <row r="81" spans="1:30" x14ac:dyDescent="0.2">
      <c r="A81" s="1128"/>
      <c r="B81" s="1107"/>
      <c r="C81" s="575"/>
      <c r="D81" s="623"/>
      <c r="E81" s="569"/>
      <c r="F81" s="1085" t="str">
        <f t="shared" si="11"/>
        <v/>
      </c>
      <c r="G81" s="569"/>
      <c r="H81" s="2025" t="str">
        <f t="shared" si="12"/>
        <v/>
      </c>
      <c r="I81" s="2025" t="str">
        <f t="shared" si="13"/>
        <v/>
      </c>
      <c r="J81" s="2025" t="str">
        <f t="shared" si="14"/>
        <v/>
      </c>
      <c r="K81" s="1">
        <f t="shared" si="15"/>
        <v>0</v>
      </c>
      <c r="O81" s="142"/>
      <c r="P81" s="164">
        <f t="shared" si="16"/>
        <v>0</v>
      </c>
      <c r="Q81" s="28">
        <f t="shared" si="17"/>
        <v>0</v>
      </c>
      <c r="R81" s="142"/>
      <c r="S81" s="142"/>
      <c r="AA81" s="28">
        <f t="shared" si="18"/>
        <v>0</v>
      </c>
      <c r="AB81" s="28" t="str">
        <f t="shared" si="19"/>
        <v/>
      </c>
      <c r="AC81" s="28" t="str">
        <f t="shared" si="20"/>
        <v/>
      </c>
      <c r="AD81" s="28" t="str">
        <f t="shared" si="21"/>
        <v/>
      </c>
    </row>
    <row r="82" spans="1:30" x14ac:dyDescent="0.2">
      <c r="A82" s="1128"/>
      <c r="B82" s="1107"/>
      <c r="C82" s="575"/>
      <c r="D82" s="623"/>
      <c r="E82" s="569"/>
      <c r="F82" s="1085" t="str">
        <f t="shared" si="11"/>
        <v/>
      </c>
      <c r="G82" s="569"/>
      <c r="H82" s="2025" t="str">
        <f t="shared" si="12"/>
        <v/>
      </c>
      <c r="I82" s="2025" t="str">
        <f t="shared" si="13"/>
        <v/>
      </c>
      <c r="J82" s="2025" t="str">
        <f t="shared" si="14"/>
        <v/>
      </c>
      <c r="K82" s="1">
        <f t="shared" si="15"/>
        <v>0</v>
      </c>
      <c r="O82" s="142"/>
      <c r="P82" s="164">
        <f t="shared" si="16"/>
        <v>0</v>
      </c>
      <c r="Q82" s="28">
        <f t="shared" si="17"/>
        <v>0</v>
      </c>
      <c r="R82" s="142"/>
      <c r="S82" s="142"/>
      <c r="AA82" s="28">
        <f t="shared" si="18"/>
        <v>0</v>
      </c>
      <c r="AB82" s="28" t="str">
        <f t="shared" si="19"/>
        <v/>
      </c>
      <c r="AC82" s="28" t="str">
        <f t="shared" si="20"/>
        <v/>
      </c>
      <c r="AD82" s="28" t="str">
        <f t="shared" si="21"/>
        <v/>
      </c>
    </row>
    <row r="83" spans="1:30" x14ac:dyDescent="0.2">
      <c r="A83" s="1128"/>
      <c r="B83" s="1107"/>
      <c r="C83" s="575"/>
      <c r="D83" s="623"/>
      <c r="E83" s="569"/>
      <c r="F83" s="1085" t="str">
        <f t="shared" si="11"/>
        <v/>
      </c>
      <c r="G83" s="569"/>
      <c r="H83" s="2025" t="str">
        <f t="shared" si="12"/>
        <v/>
      </c>
      <c r="I83" s="2025" t="str">
        <f t="shared" si="13"/>
        <v/>
      </c>
      <c r="J83" s="2025" t="str">
        <f t="shared" si="14"/>
        <v/>
      </c>
      <c r="K83" s="1">
        <f t="shared" si="15"/>
        <v>0</v>
      </c>
      <c r="O83" s="142"/>
      <c r="P83" s="164">
        <f t="shared" si="16"/>
        <v>0</v>
      </c>
      <c r="Q83" s="28">
        <f t="shared" si="17"/>
        <v>0</v>
      </c>
      <c r="R83" s="142"/>
      <c r="S83" s="142"/>
      <c r="AA83" s="28">
        <f t="shared" si="18"/>
        <v>0</v>
      </c>
      <c r="AB83" s="28" t="str">
        <f t="shared" si="19"/>
        <v/>
      </c>
      <c r="AC83" s="28" t="str">
        <f t="shared" si="20"/>
        <v/>
      </c>
      <c r="AD83" s="28" t="str">
        <f t="shared" si="21"/>
        <v/>
      </c>
    </row>
    <row r="84" spans="1:30" x14ac:dyDescent="0.2">
      <c r="A84" s="1128"/>
      <c r="B84" s="1107"/>
      <c r="C84" s="575"/>
      <c r="D84" s="623"/>
      <c r="E84" s="569"/>
      <c r="F84" s="1085" t="str">
        <f t="shared" si="11"/>
        <v/>
      </c>
      <c r="G84" s="569"/>
      <c r="H84" s="2025" t="str">
        <f t="shared" si="12"/>
        <v/>
      </c>
      <c r="I84" s="2025" t="str">
        <f t="shared" si="13"/>
        <v/>
      </c>
      <c r="J84" s="2025" t="str">
        <f t="shared" si="14"/>
        <v/>
      </c>
      <c r="K84" s="1">
        <f t="shared" si="15"/>
        <v>0</v>
      </c>
      <c r="O84" s="142"/>
      <c r="P84" s="164">
        <f t="shared" si="16"/>
        <v>0</v>
      </c>
      <c r="Q84" s="28">
        <f t="shared" si="17"/>
        <v>0</v>
      </c>
      <c r="R84" s="142"/>
      <c r="S84" s="142"/>
      <c r="AA84" s="28">
        <f t="shared" si="18"/>
        <v>0</v>
      </c>
      <c r="AB84" s="28" t="str">
        <f t="shared" si="19"/>
        <v/>
      </c>
      <c r="AC84" s="28" t="str">
        <f t="shared" si="20"/>
        <v/>
      </c>
      <c r="AD84" s="28" t="str">
        <f t="shared" si="21"/>
        <v/>
      </c>
    </row>
    <row r="85" spans="1:30" x14ac:dyDescent="0.2">
      <c r="A85" s="1128"/>
      <c r="B85" s="1107"/>
      <c r="C85" s="575"/>
      <c r="D85" s="623"/>
      <c r="E85" s="569"/>
      <c r="F85" s="1085" t="str">
        <f t="shared" si="11"/>
        <v/>
      </c>
      <c r="G85" s="569"/>
      <c r="H85" s="2025" t="str">
        <f t="shared" si="12"/>
        <v/>
      </c>
      <c r="I85" s="2025" t="str">
        <f t="shared" si="13"/>
        <v/>
      </c>
      <c r="J85" s="2025" t="str">
        <f t="shared" si="14"/>
        <v/>
      </c>
      <c r="K85" s="1">
        <f t="shared" si="15"/>
        <v>0</v>
      </c>
      <c r="O85" s="142"/>
      <c r="P85" s="164">
        <f t="shared" si="16"/>
        <v>0</v>
      </c>
      <c r="Q85" s="28">
        <f t="shared" si="17"/>
        <v>0</v>
      </c>
      <c r="R85" s="142"/>
      <c r="S85" s="142"/>
      <c r="AA85" s="28">
        <f t="shared" si="18"/>
        <v>0</v>
      </c>
      <c r="AB85" s="28" t="str">
        <f t="shared" si="19"/>
        <v/>
      </c>
      <c r="AC85" s="28" t="str">
        <f t="shared" si="20"/>
        <v/>
      </c>
      <c r="AD85" s="28" t="str">
        <f t="shared" si="21"/>
        <v/>
      </c>
    </row>
    <row r="86" spans="1:30" x14ac:dyDescent="0.2">
      <c r="A86" s="1128"/>
      <c r="B86" s="1107"/>
      <c r="C86" s="575"/>
      <c r="D86" s="623"/>
      <c r="E86" s="569"/>
      <c r="F86" s="1085" t="str">
        <f t="shared" si="11"/>
        <v/>
      </c>
      <c r="G86" s="569"/>
      <c r="H86" s="2025" t="str">
        <f t="shared" si="12"/>
        <v/>
      </c>
      <c r="I86" s="2025" t="str">
        <f t="shared" si="13"/>
        <v/>
      </c>
      <c r="J86" s="2025" t="str">
        <f t="shared" si="14"/>
        <v/>
      </c>
      <c r="K86" s="1">
        <f t="shared" si="15"/>
        <v>0</v>
      </c>
      <c r="O86" s="142"/>
      <c r="P86" s="164">
        <f t="shared" si="16"/>
        <v>0</v>
      </c>
      <c r="Q86" s="28">
        <f t="shared" si="17"/>
        <v>0</v>
      </c>
      <c r="R86" s="142"/>
      <c r="S86" s="142"/>
      <c r="AA86" s="28">
        <f t="shared" si="18"/>
        <v>0</v>
      </c>
      <c r="AB86" s="28" t="str">
        <f t="shared" si="19"/>
        <v/>
      </c>
      <c r="AC86" s="28" t="str">
        <f t="shared" si="20"/>
        <v/>
      </c>
      <c r="AD86" s="28" t="str">
        <f t="shared" si="21"/>
        <v/>
      </c>
    </row>
    <row r="87" spans="1:30" x14ac:dyDescent="0.2">
      <c r="A87" s="1128"/>
      <c r="B87" s="1107"/>
      <c r="C87" s="575"/>
      <c r="D87" s="623"/>
      <c r="E87" s="569"/>
      <c r="F87" s="1085" t="str">
        <f t="shared" si="11"/>
        <v/>
      </c>
      <c r="G87" s="569"/>
      <c r="H87" s="2025" t="str">
        <f t="shared" si="12"/>
        <v/>
      </c>
      <c r="I87" s="2025" t="str">
        <f t="shared" si="13"/>
        <v/>
      </c>
      <c r="J87" s="2025" t="str">
        <f t="shared" si="14"/>
        <v/>
      </c>
      <c r="K87" s="1">
        <f t="shared" si="15"/>
        <v>0</v>
      </c>
      <c r="O87" s="142"/>
      <c r="P87" s="164">
        <f t="shared" si="16"/>
        <v>0</v>
      </c>
      <c r="Q87" s="28">
        <f t="shared" si="17"/>
        <v>0</v>
      </c>
      <c r="R87" s="142"/>
      <c r="S87" s="142"/>
      <c r="AA87" s="28">
        <f t="shared" si="18"/>
        <v>0</v>
      </c>
      <c r="AB87" s="28" t="str">
        <f t="shared" si="19"/>
        <v/>
      </c>
      <c r="AC87" s="28" t="str">
        <f t="shared" si="20"/>
        <v/>
      </c>
      <c r="AD87" s="28" t="str">
        <f t="shared" si="21"/>
        <v/>
      </c>
    </row>
    <row r="88" spans="1:30" x14ac:dyDescent="0.2">
      <c r="A88" s="1128"/>
      <c r="B88" s="1107"/>
      <c r="C88" s="575"/>
      <c r="D88" s="623"/>
      <c r="E88" s="569"/>
      <c r="F88" s="1085" t="str">
        <f t="shared" si="11"/>
        <v/>
      </c>
      <c r="G88" s="569"/>
      <c r="H88" s="2025" t="str">
        <f t="shared" si="12"/>
        <v/>
      </c>
      <c r="I88" s="2025" t="str">
        <f t="shared" si="13"/>
        <v/>
      </c>
      <c r="J88" s="2025" t="str">
        <f t="shared" si="14"/>
        <v/>
      </c>
      <c r="K88" s="1">
        <f t="shared" si="15"/>
        <v>0</v>
      </c>
      <c r="O88" s="142"/>
      <c r="P88" s="164">
        <f t="shared" si="16"/>
        <v>0</v>
      </c>
      <c r="Q88" s="28">
        <f t="shared" si="17"/>
        <v>0</v>
      </c>
      <c r="R88" s="142"/>
      <c r="S88" s="142"/>
      <c r="AA88" s="28">
        <f t="shared" si="18"/>
        <v>0</v>
      </c>
      <c r="AB88" s="28" t="str">
        <f t="shared" si="19"/>
        <v/>
      </c>
      <c r="AC88" s="28" t="str">
        <f t="shared" si="20"/>
        <v/>
      </c>
      <c r="AD88" s="28" t="str">
        <f t="shared" si="21"/>
        <v/>
      </c>
    </row>
    <row r="89" spans="1:30" hidden="1" x14ac:dyDescent="0.2">
      <c r="A89" s="1128"/>
      <c r="B89" s="1107"/>
      <c r="C89" s="575"/>
      <c r="D89" s="623"/>
      <c r="E89" s="569"/>
      <c r="F89" s="1085"/>
      <c r="G89" s="569"/>
      <c r="H89" s="2025"/>
      <c r="I89" s="2025"/>
      <c r="J89" s="2025"/>
      <c r="O89" s="142"/>
      <c r="P89" s="164"/>
      <c r="R89" s="142"/>
      <c r="S89" s="142"/>
    </row>
    <row r="90" spans="1:30" hidden="1" x14ac:dyDescent="0.2">
      <c r="A90" s="1128"/>
      <c r="B90" s="1107"/>
      <c r="C90" s="575"/>
      <c r="D90" s="623"/>
      <c r="E90" s="569"/>
      <c r="F90" s="1085"/>
      <c r="G90" s="569"/>
      <c r="H90" s="2025"/>
      <c r="I90" s="2025"/>
      <c r="J90" s="2025"/>
      <c r="O90" s="142"/>
      <c r="P90" s="164"/>
      <c r="R90" s="142"/>
      <c r="S90" s="142"/>
    </row>
    <row r="91" spans="1:30" hidden="1" x14ac:dyDescent="0.2">
      <c r="A91" s="1128"/>
      <c r="B91" s="1107"/>
      <c r="C91" s="575"/>
      <c r="D91" s="623"/>
      <c r="E91" s="569"/>
      <c r="F91" s="1085"/>
      <c r="G91" s="569"/>
      <c r="H91" s="2025"/>
      <c r="I91" s="2025"/>
      <c r="J91" s="2025"/>
      <c r="O91" s="142"/>
      <c r="P91" s="164"/>
      <c r="R91" s="142"/>
      <c r="S91" s="142"/>
    </row>
    <row r="92" spans="1:30" hidden="1" x14ac:dyDescent="0.2">
      <c r="A92" s="1128"/>
      <c r="B92" s="1107"/>
      <c r="C92" s="575"/>
      <c r="D92" s="623"/>
      <c r="E92" s="569"/>
      <c r="F92" s="1085"/>
      <c r="G92" s="569"/>
      <c r="H92" s="2025"/>
      <c r="I92" s="2025"/>
      <c r="J92" s="2025"/>
      <c r="O92" s="142"/>
      <c r="P92" s="164"/>
      <c r="R92" s="142"/>
      <c r="S92" s="142"/>
    </row>
    <row r="93" spans="1:30" hidden="1" x14ac:dyDescent="0.2">
      <c r="A93" s="1128"/>
      <c r="B93" s="1107"/>
      <c r="C93" s="575"/>
      <c r="D93" s="623"/>
      <c r="E93" s="569"/>
      <c r="F93" s="1085"/>
      <c r="G93" s="569"/>
      <c r="H93" s="2025"/>
      <c r="I93" s="2025"/>
      <c r="J93" s="2025"/>
      <c r="O93" s="142"/>
      <c r="P93" s="164"/>
      <c r="R93" s="142"/>
      <c r="S93" s="142"/>
    </row>
    <row r="94" spans="1:30" hidden="1" x14ac:dyDescent="0.2">
      <c r="A94" s="1128"/>
      <c r="B94" s="1107"/>
      <c r="C94" s="575"/>
      <c r="D94" s="623"/>
      <c r="E94" s="569"/>
      <c r="F94" s="1085"/>
      <c r="G94" s="569"/>
      <c r="H94" s="2025"/>
      <c r="I94" s="2025"/>
      <c r="J94" s="2025"/>
      <c r="O94" s="142"/>
      <c r="P94" s="164"/>
      <c r="R94" s="142"/>
      <c r="S94" s="142"/>
    </row>
    <row r="95" spans="1:30" hidden="1" x14ac:dyDescent="0.2">
      <c r="A95" s="1128"/>
      <c r="B95" s="1107"/>
      <c r="C95" s="575"/>
      <c r="D95" s="623"/>
      <c r="E95" s="569"/>
      <c r="F95" s="1085"/>
      <c r="G95" s="569"/>
      <c r="H95" s="2025"/>
      <c r="I95" s="2025"/>
      <c r="J95" s="2025"/>
      <c r="O95" s="142"/>
      <c r="P95" s="164"/>
      <c r="R95" s="142"/>
      <c r="S95" s="142"/>
    </row>
    <row r="96" spans="1:30" hidden="1" x14ac:dyDescent="0.2">
      <c r="A96" s="1128"/>
      <c r="B96" s="1107"/>
      <c r="C96" s="575"/>
      <c r="D96" s="623"/>
      <c r="E96" s="569"/>
      <c r="F96" s="1085"/>
      <c r="G96" s="569"/>
      <c r="H96" s="2025"/>
      <c r="I96" s="2025"/>
      <c r="J96" s="2025"/>
      <c r="O96" s="142"/>
      <c r="P96" s="164"/>
      <c r="R96" s="142"/>
      <c r="S96" s="142"/>
    </row>
    <row r="97" spans="1:19" hidden="1" x14ac:dyDescent="0.2">
      <c r="A97" s="1128"/>
      <c r="B97" s="1107"/>
      <c r="C97" s="575"/>
      <c r="D97" s="623"/>
      <c r="E97" s="569"/>
      <c r="F97" s="1085"/>
      <c r="G97" s="569"/>
      <c r="H97" s="2025"/>
      <c r="I97" s="2025"/>
      <c r="J97" s="2025"/>
      <c r="O97" s="142"/>
      <c r="P97" s="164"/>
      <c r="R97" s="142"/>
      <c r="S97" s="142"/>
    </row>
    <row r="98" spans="1:19" hidden="1" x14ac:dyDescent="0.2">
      <c r="A98" s="1128"/>
      <c r="B98" s="1107"/>
      <c r="C98" s="575"/>
      <c r="D98" s="623"/>
      <c r="E98" s="569"/>
      <c r="F98" s="1085"/>
      <c r="G98" s="569"/>
      <c r="H98" s="2025"/>
      <c r="I98" s="2025"/>
      <c r="J98" s="2025"/>
      <c r="O98" s="142"/>
      <c r="P98" s="164"/>
      <c r="R98" s="142"/>
      <c r="S98" s="142"/>
    </row>
    <row r="99" spans="1:19" hidden="1" x14ac:dyDescent="0.2">
      <c r="A99" s="1128"/>
      <c r="B99" s="1107"/>
      <c r="C99" s="575"/>
      <c r="D99" s="623"/>
      <c r="E99" s="569"/>
      <c r="F99" s="1085"/>
      <c r="G99" s="569"/>
      <c r="H99" s="2025"/>
      <c r="I99" s="2025"/>
      <c r="J99" s="2025"/>
      <c r="O99" s="142"/>
      <c r="P99" s="164"/>
      <c r="R99" s="142"/>
      <c r="S99" s="142"/>
    </row>
    <row r="100" spans="1:19" hidden="1" x14ac:dyDescent="0.2">
      <c r="A100" s="1128"/>
      <c r="B100" s="1107"/>
      <c r="C100" s="575"/>
      <c r="D100" s="623"/>
      <c r="E100" s="569"/>
      <c r="F100" s="1085"/>
      <c r="G100" s="569"/>
      <c r="H100" s="2025"/>
      <c r="I100" s="2025"/>
      <c r="J100" s="2025"/>
      <c r="O100" s="142"/>
      <c r="P100" s="164"/>
      <c r="R100" s="142"/>
      <c r="S100" s="142"/>
    </row>
    <row r="101" spans="1:19" hidden="1" x14ac:dyDescent="0.2">
      <c r="A101" s="1128"/>
      <c r="B101" s="1107"/>
      <c r="C101" s="575"/>
      <c r="D101" s="623"/>
      <c r="E101" s="569"/>
      <c r="F101" s="1085"/>
      <c r="G101" s="569"/>
      <c r="H101" s="2025"/>
      <c r="I101" s="2025"/>
      <c r="J101" s="2025"/>
      <c r="O101" s="142"/>
      <c r="P101" s="164"/>
      <c r="R101" s="142"/>
      <c r="S101" s="142"/>
    </row>
    <row r="102" spans="1:19" hidden="1" x14ac:dyDescent="0.2">
      <c r="A102" s="1128"/>
      <c r="B102" s="1107"/>
      <c r="C102" s="575"/>
      <c r="D102" s="623"/>
      <c r="E102" s="569"/>
      <c r="F102" s="1085"/>
      <c r="G102" s="569"/>
      <c r="H102" s="2025"/>
      <c r="I102" s="2025"/>
      <c r="J102" s="2025"/>
      <c r="O102" s="142"/>
      <c r="P102" s="164"/>
      <c r="R102" s="142"/>
      <c r="S102" s="142"/>
    </row>
    <row r="103" spans="1:19" hidden="1" x14ac:dyDescent="0.2">
      <c r="A103" s="1128"/>
      <c r="B103" s="1107"/>
      <c r="C103" s="575"/>
      <c r="D103" s="623"/>
      <c r="E103" s="569"/>
      <c r="F103" s="1085"/>
      <c r="G103" s="569"/>
      <c r="H103" s="2025"/>
      <c r="I103" s="2025"/>
      <c r="J103" s="2025"/>
      <c r="O103" s="142"/>
      <c r="P103" s="164"/>
      <c r="R103" s="142"/>
      <c r="S103" s="142"/>
    </row>
    <row r="104" spans="1:19" hidden="1" x14ac:dyDescent="0.2">
      <c r="A104" s="1128"/>
      <c r="B104" s="1107"/>
      <c r="C104" s="575"/>
      <c r="D104" s="623"/>
      <c r="E104" s="569"/>
      <c r="F104" s="1085"/>
      <c r="G104" s="569"/>
      <c r="H104" s="2025"/>
      <c r="I104" s="2025"/>
      <c r="J104" s="2025"/>
      <c r="O104" s="142"/>
      <c r="P104" s="164"/>
      <c r="R104" s="142"/>
      <c r="S104" s="142"/>
    </row>
    <row r="105" spans="1:19" hidden="1" x14ac:dyDescent="0.2">
      <c r="A105" s="1128"/>
      <c r="B105" s="1107"/>
      <c r="C105" s="575"/>
      <c r="D105" s="623"/>
      <c r="E105" s="569"/>
      <c r="F105" s="1085"/>
      <c r="G105" s="569"/>
      <c r="H105" s="2025"/>
      <c r="I105" s="2025"/>
      <c r="J105" s="2025"/>
      <c r="O105" s="142"/>
      <c r="P105" s="164"/>
      <c r="R105" s="142"/>
      <c r="S105" s="142"/>
    </row>
    <row r="106" spans="1:19" hidden="1" x14ac:dyDescent="0.2">
      <c r="A106" s="1128"/>
      <c r="B106" s="1107"/>
      <c r="C106" s="575"/>
      <c r="D106" s="623"/>
      <c r="E106" s="569"/>
      <c r="F106" s="1085"/>
      <c r="G106" s="569"/>
      <c r="H106" s="2025"/>
      <c r="I106" s="2025"/>
      <c r="J106" s="2025"/>
      <c r="O106" s="142"/>
      <c r="P106" s="164"/>
      <c r="R106" s="142"/>
      <c r="S106" s="142"/>
    </row>
    <row r="107" spans="1:19" hidden="1" x14ac:dyDescent="0.2">
      <c r="A107" s="1128"/>
      <c r="B107" s="1107"/>
      <c r="C107" s="575"/>
      <c r="D107" s="623"/>
      <c r="E107" s="569"/>
      <c r="F107" s="1085"/>
      <c r="G107" s="569"/>
      <c r="H107" s="2025"/>
      <c r="I107" s="2025"/>
      <c r="J107" s="2025"/>
      <c r="O107" s="142"/>
      <c r="P107" s="164"/>
      <c r="R107" s="142"/>
      <c r="S107" s="142"/>
    </row>
    <row r="108" spans="1:19" hidden="1" x14ac:dyDescent="0.2">
      <c r="A108" s="1128"/>
      <c r="B108" s="1107"/>
      <c r="C108" s="575"/>
      <c r="D108" s="623"/>
      <c r="E108" s="569"/>
      <c r="F108" s="1085"/>
      <c r="G108" s="569"/>
      <c r="H108" s="2025"/>
      <c r="I108" s="2025"/>
      <c r="J108" s="2025"/>
      <c r="O108" s="142"/>
      <c r="P108" s="164"/>
      <c r="R108" s="142"/>
      <c r="S108" s="142"/>
    </row>
    <row r="109" spans="1:19" hidden="1" x14ac:dyDescent="0.2">
      <c r="A109" s="1128"/>
      <c r="B109" s="1107"/>
      <c r="C109" s="575"/>
      <c r="D109" s="623"/>
      <c r="E109" s="569"/>
      <c r="F109" s="1085"/>
      <c r="G109" s="569"/>
      <c r="H109" s="2025"/>
      <c r="I109" s="2025"/>
      <c r="J109" s="2025"/>
      <c r="O109" s="142"/>
      <c r="P109" s="164"/>
      <c r="R109" s="142"/>
      <c r="S109" s="142"/>
    </row>
    <row r="110" spans="1:19" hidden="1" x14ac:dyDescent="0.2">
      <c r="A110" s="1128"/>
      <c r="B110" s="1107"/>
      <c r="C110" s="575"/>
      <c r="D110" s="623"/>
      <c r="E110" s="569"/>
      <c r="F110" s="1085"/>
      <c r="G110" s="569"/>
      <c r="H110" s="2025"/>
      <c r="I110" s="2025"/>
      <c r="J110" s="2025"/>
      <c r="O110" s="142"/>
      <c r="P110" s="164"/>
      <c r="R110" s="142"/>
      <c r="S110" s="142"/>
    </row>
    <row r="111" spans="1:19" hidden="1" x14ac:dyDescent="0.2">
      <c r="A111" s="1128"/>
      <c r="B111" s="1107"/>
      <c r="C111" s="575"/>
      <c r="D111" s="623"/>
      <c r="E111" s="569"/>
      <c r="F111" s="1085"/>
      <c r="G111" s="569"/>
      <c r="H111" s="2025"/>
      <c r="I111" s="2025"/>
      <c r="J111" s="2025"/>
      <c r="O111" s="142"/>
      <c r="P111" s="164"/>
      <c r="R111" s="142"/>
      <c r="S111" s="142"/>
    </row>
    <row r="112" spans="1:19" hidden="1" x14ac:dyDescent="0.2">
      <c r="A112" s="1128"/>
      <c r="B112" s="1107"/>
      <c r="C112" s="575"/>
      <c r="D112" s="623"/>
      <c r="E112" s="569"/>
      <c r="F112" s="1085"/>
      <c r="G112" s="569"/>
      <c r="H112" s="2025"/>
      <c r="I112" s="2025"/>
      <c r="J112" s="2025"/>
      <c r="O112" s="142"/>
      <c r="P112" s="164"/>
      <c r="R112" s="142"/>
      <c r="S112" s="142"/>
    </row>
    <row r="113" spans="1:19" hidden="1" x14ac:dyDescent="0.2">
      <c r="A113" s="1128"/>
      <c r="B113" s="1107"/>
      <c r="C113" s="575"/>
      <c r="D113" s="623"/>
      <c r="E113" s="569"/>
      <c r="F113" s="1085"/>
      <c r="G113" s="569"/>
      <c r="H113" s="2025"/>
      <c r="I113" s="2025"/>
      <c r="J113" s="2025"/>
      <c r="O113" s="142"/>
      <c r="P113" s="164"/>
      <c r="R113" s="142"/>
      <c r="S113" s="142"/>
    </row>
    <row r="114" spans="1:19" hidden="1" x14ac:dyDescent="0.2">
      <c r="A114" s="1128"/>
      <c r="B114" s="1107"/>
      <c r="C114" s="575"/>
      <c r="D114" s="623"/>
      <c r="E114" s="569"/>
      <c r="F114" s="1085"/>
      <c r="G114" s="569"/>
      <c r="H114" s="2025"/>
      <c r="I114" s="2025"/>
      <c r="J114" s="2025"/>
      <c r="O114" s="142"/>
      <c r="P114" s="164"/>
      <c r="R114" s="142"/>
      <c r="S114" s="142"/>
    </row>
    <row r="115" spans="1:19" hidden="1" x14ac:dyDescent="0.2">
      <c r="A115" s="1128"/>
      <c r="B115" s="1107"/>
      <c r="C115" s="575"/>
      <c r="D115" s="623"/>
      <c r="E115" s="569"/>
      <c r="F115" s="1085"/>
      <c r="G115" s="569"/>
      <c r="H115" s="2025"/>
      <c r="I115" s="2025"/>
      <c r="J115" s="2025"/>
      <c r="O115" s="142"/>
      <c r="P115" s="164"/>
      <c r="R115" s="142"/>
      <c r="S115" s="142"/>
    </row>
    <row r="116" spans="1:19" hidden="1" x14ac:dyDescent="0.2">
      <c r="A116" s="1128"/>
      <c r="B116" s="1107"/>
      <c r="C116" s="575"/>
      <c r="D116" s="623"/>
      <c r="E116" s="569"/>
      <c r="F116" s="1085"/>
      <c r="G116" s="569"/>
      <c r="H116" s="2025"/>
      <c r="I116" s="2025"/>
      <c r="J116" s="2025"/>
      <c r="O116" s="142"/>
      <c r="P116" s="164"/>
      <c r="R116" s="142"/>
      <c r="S116" s="142"/>
    </row>
    <row r="117" spans="1:19" hidden="1" x14ac:dyDescent="0.2">
      <c r="A117" s="1128"/>
      <c r="B117" s="1107"/>
      <c r="C117" s="575"/>
      <c r="D117" s="623"/>
      <c r="E117" s="569"/>
      <c r="F117" s="1085"/>
      <c r="G117" s="569"/>
      <c r="H117" s="2025"/>
      <c r="I117" s="2025"/>
      <c r="J117" s="2025"/>
      <c r="O117" s="142"/>
      <c r="P117" s="164"/>
      <c r="R117" s="142"/>
      <c r="S117" s="142"/>
    </row>
    <row r="118" spans="1:19" hidden="1" x14ac:dyDescent="0.2">
      <c r="A118" s="1128"/>
      <c r="B118" s="1107"/>
      <c r="C118" s="575"/>
      <c r="D118" s="623"/>
      <c r="E118" s="569"/>
      <c r="F118" s="1085"/>
      <c r="G118" s="569"/>
      <c r="H118" s="2025"/>
      <c r="I118" s="2025"/>
      <c r="J118" s="2025"/>
      <c r="O118" s="142"/>
      <c r="P118" s="164"/>
      <c r="R118" s="142"/>
      <c r="S118" s="142"/>
    </row>
    <row r="119" spans="1:19" hidden="1" x14ac:dyDescent="0.2">
      <c r="A119" s="1128"/>
      <c r="B119" s="1107"/>
      <c r="C119" s="575"/>
      <c r="D119" s="623"/>
      <c r="E119" s="569"/>
      <c r="F119" s="1085"/>
      <c r="G119" s="569"/>
      <c r="H119" s="2025"/>
      <c r="I119" s="2025"/>
      <c r="J119" s="2025"/>
      <c r="O119" s="142"/>
      <c r="P119" s="164"/>
      <c r="R119" s="142"/>
      <c r="S119" s="142"/>
    </row>
    <row r="120" spans="1:19" hidden="1" x14ac:dyDescent="0.2">
      <c r="A120" s="1128"/>
      <c r="B120" s="1107"/>
      <c r="C120" s="575"/>
      <c r="D120" s="623"/>
      <c r="E120" s="569"/>
      <c r="F120" s="1085"/>
      <c r="G120" s="569"/>
      <c r="H120" s="2025"/>
      <c r="I120" s="2025"/>
      <c r="J120" s="2025"/>
      <c r="O120" s="142"/>
      <c r="P120" s="164"/>
      <c r="R120" s="142"/>
      <c r="S120" s="142"/>
    </row>
    <row r="121" spans="1:19" hidden="1" x14ac:dyDescent="0.2">
      <c r="A121" s="1128"/>
      <c r="B121" s="1107"/>
      <c r="C121" s="575"/>
      <c r="D121" s="623"/>
      <c r="E121" s="569"/>
      <c r="F121" s="1085"/>
      <c r="G121" s="569"/>
      <c r="H121" s="2025"/>
      <c r="I121" s="2025"/>
      <c r="J121" s="2025"/>
      <c r="O121" s="142"/>
      <c r="P121" s="164"/>
      <c r="R121" s="142"/>
      <c r="S121" s="142"/>
    </row>
    <row r="122" spans="1:19" hidden="1" x14ac:dyDescent="0.2">
      <c r="A122" s="1128"/>
      <c r="B122" s="1107"/>
      <c r="C122" s="575"/>
      <c r="D122" s="623"/>
      <c r="E122" s="569"/>
      <c r="F122" s="1085"/>
      <c r="G122" s="569"/>
      <c r="H122" s="2025"/>
      <c r="I122" s="2025"/>
      <c r="J122" s="2025"/>
      <c r="O122" s="142"/>
      <c r="P122" s="164"/>
      <c r="R122" s="142"/>
      <c r="S122" s="142"/>
    </row>
    <row r="123" spans="1:19" hidden="1" x14ac:dyDescent="0.2">
      <c r="A123" s="1128"/>
      <c r="B123" s="1107"/>
      <c r="C123" s="575"/>
      <c r="D123" s="623"/>
      <c r="E123" s="569"/>
      <c r="F123" s="1085"/>
      <c r="G123" s="569"/>
      <c r="H123" s="2025"/>
      <c r="I123" s="2025"/>
      <c r="J123" s="2025"/>
      <c r="O123" s="142"/>
      <c r="P123" s="164"/>
      <c r="R123" s="142"/>
      <c r="S123" s="142"/>
    </row>
    <row r="124" spans="1:19" hidden="1" x14ac:dyDescent="0.2">
      <c r="A124" s="1128"/>
      <c r="B124" s="1107"/>
      <c r="C124" s="575"/>
      <c r="D124" s="623"/>
      <c r="E124" s="569"/>
      <c r="F124" s="1085"/>
      <c r="G124" s="569"/>
      <c r="H124" s="2025"/>
      <c r="I124" s="2025"/>
      <c r="J124" s="2025"/>
      <c r="O124" s="142"/>
      <c r="P124" s="164"/>
      <c r="R124" s="142"/>
      <c r="S124" s="142"/>
    </row>
    <row r="125" spans="1:19" hidden="1" x14ac:dyDescent="0.2">
      <c r="A125" s="1128"/>
      <c r="B125" s="1107"/>
      <c r="C125" s="575"/>
      <c r="D125" s="623"/>
      <c r="E125" s="569"/>
      <c r="F125" s="1085"/>
      <c r="G125" s="569"/>
      <c r="H125" s="2025"/>
      <c r="I125" s="2025"/>
      <c r="J125" s="2025"/>
      <c r="O125" s="142"/>
      <c r="P125" s="164"/>
      <c r="R125" s="142"/>
      <c r="S125" s="142"/>
    </row>
    <row r="126" spans="1:19" hidden="1" x14ac:dyDescent="0.2">
      <c r="A126" s="1128"/>
      <c r="B126" s="1107"/>
      <c r="C126" s="575"/>
      <c r="D126" s="623"/>
      <c r="E126" s="569"/>
      <c r="F126" s="1085"/>
      <c r="G126" s="569"/>
      <c r="H126" s="2025"/>
      <c r="I126" s="2025"/>
      <c r="J126" s="2025"/>
      <c r="O126" s="142"/>
      <c r="P126" s="164"/>
      <c r="R126" s="142"/>
      <c r="S126" s="142"/>
    </row>
    <row r="127" spans="1:19" hidden="1" x14ac:dyDescent="0.2">
      <c r="A127" s="1128"/>
      <c r="B127" s="1107"/>
      <c r="C127" s="575"/>
      <c r="D127" s="623"/>
      <c r="E127" s="569"/>
      <c r="F127" s="1085"/>
      <c r="G127" s="569"/>
      <c r="H127" s="2025"/>
      <c r="I127" s="2025"/>
      <c r="J127" s="2025"/>
      <c r="O127" s="142"/>
      <c r="P127" s="164"/>
      <c r="R127" s="142"/>
      <c r="S127" s="142"/>
    </row>
    <row r="128" spans="1:19" hidden="1" x14ac:dyDescent="0.2">
      <c r="A128" s="1128"/>
      <c r="B128" s="1107"/>
      <c r="C128" s="575"/>
      <c r="D128" s="623"/>
      <c r="E128" s="569"/>
      <c r="F128" s="1085"/>
      <c r="G128" s="569"/>
      <c r="H128" s="2025"/>
      <c r="I128" s="2025"/>
      <c r="J128" s="2025"/>
      <c r="O128" s="142"/>
      <c r="P128" s="164"/>
      <c r="R128" s="142"/>
      <c r="S128" s="142"/>
    </row>
    <row r="129" spans="1:30" hidden="1" x14ac:dyDescent="0.2">
      <c r="A129" s="1128"/>
      <c r="B129" s="1107"/>
      <c r="C129" s="575"/>
      <c r="D129" s="623"/>
      <c r="E129" s="569"/>
      <c r="F129" s="1085"/>
      <c r="G129" s="569"/>
      <c r="H129" s="2025"/>
      <c r="I129" s="2025"/>
      <c r="J129" s="2025"/>
      <c r="O129" s="142"/>
      <c r="P129" s="164"/>
      <c r="R129" s="142"/>
      <c r="S129" s="142"/>
    </row>
    <row r="130" spans="1:30" hidden="1" x14ac:dyDescent="0.2">
      <c r="A130" s="1128"/>
      <c r="B130" s="1107"/>
      <c r="C130" s="575"/>
      <c r="D130" s="623"/>
      <c r="E130" s="569"/>
      <c r="F130" s="1085"/>
      <c r="G130" s="569"/>
      <c r="H130" s="2025"/>
      <c r="I130" s="2025"/>
      <c r="J130" s="2025"/>
      <c r="O130" s="142"/>
      <c r="P130" s="164"/>
      <c r="R130" s="142"/>
      <c r="S130" s="142"/>
    </row>
    <row r="131" spans="1:30" hidden="1" x14ac:dyDescent="0.2">
      <c r="A131" s="1128"/>
      <c r="B131" s="1107"/>
      <c r="C131" s="575"/>
      <c r="D131" s="623"/>
      <c r="E131" s="569"/>
      <c r="F131" s="1085"/>
      <c r="G131" s="569"/>
      <c r="H131" s="2025"/>
      <c r="I131" s="2025"/>
      <c r="J131" s="2025"/>
      <c r="O131" s="142"/>
      <c r="P131" s="164"/>
      <c r="R131" s="142"/>
      <c r="S131" s="142"/>
    </row>
    <row r="132" spans="1:30" hidden="1" x14ac:dyDescent="0.2">
      <c r="A132" s="1128"/>
      <c r="B132" s="1107"/>
      <c r="C132" s="575"/>
      <c r="D132" s="623"/>
      <c r="E132" s="569"/>
      <c r="F132" s="1085"/>
      <c r="G132" s="569"/>
      <c r="H132" s="2025"/>
      <c r="I132" s="2025"/>
      <c r="J132" s="2025"/>
      <c r="O132" s="142"/>
      <c r="P132" s="164"/>
      <c r="R132" s="142"/>
      <c r="S132" s="142"/>
    </row>
    <row r="133" spans="1:30" hidden="1" x14ac:dyDescent="0.2">
      <c r="A133" s="1128"/>
      <c r="B133" s="1107"/>
      <c r="C133" s="575"/>
      <c r="D133" s="623"/>
      <c r="E133" s="569"/>
      <c r="F133" s="1085"/>
      <c r="G133" s="569"/>
      <c r="H133" s="2025"/>
      <c r="I133" s="2025"/>
      <c r="J133" s="2025"/>
      <c r="O133" s="142"/>
      <c r="P133" s="164"/>
      <c r="R133" s="142"/>
      <c r="S133" s="142"/>
    </row>
    <row r="134" spans="1:30" hidden="1" x14ac:dyDescent="0.2">
      <c r="A134" s="1128"/>
      <c r="B134" s="1107"/>
      <c r="C134" s="575"/>
      <c r="D134" s="623"/>
      <c r="E134" s="569"/>
      <c r="F134" s="1085"/>
      <c r="G134" s="569"/>
      <c r="H134" s="2025"/>
      <c r="I134" s="2025"/>
      <c r="J134" s="2025"/>
      <c r="O134" s="142"/>
      <c r="P134" s="164"/>
      <c r="R134" s="142"/>
      <c r="S134" s="142"/>
    </row>
    <row r="135" spans="1:30" hidden="1" x14ac:dyDescent="0.2">
      <c r="A135" s="1128"/>
      <c r="B135" s="1107"/>
      <c r="C135" s="575"/>
      <c r="D135" s="623"/>
      <c r="E135" s="569"/>
      <c r="F135" s="1085"/>
      <c r="G135" s="569"/>
      <c r="H135" s="2025"/>
      <c r="I135" s="2025"/>
      <c r="J135" s="2025"/>
      <c r="O135" s="142"/>
      <c r="P135" s="164"/>
      <c r="R135" s="142"/>
      <c r="S135" s="142"/>
    </row>
    <row r="136" spans="1:30" hidden="1" x14ac:dyDescent="0.2">
      <c r="A136" s="1128"/>
      <c r="B136" s="1107"/>
      <c r="C136" s="575"/>
      <c r="D136" s="623"/>
      <c r="E136" s="569"/>
      <c r="F136" s="1085"/>
      <c r="G136" s="569"/>
      <c r="H136" s="2025"/>
      <c r="I136" s="2025"/>
      <c r="J136" s="2025"/>
      <c r="O136" s="142"/>
      <c r="P136" s="164"/>
      <c r="R136" s="142"/>
      <c r="S136" s="142"/>
    </row>
    <row r="137" spans="1:30" hidden="1" x14ac:dyDescent="0.2">
      <c r="A137" s="1128"/>
      <c r="B137" s="1107"/>
      <c r="C137" s="575"/>
      <c r="D137" s="623"/>
      <c r="E137" s="569"/>
      <c r="F137" s="1085"/>
      <c r="G137" s="569"/>
      <c r="H137" s="2025"/>
      <c r="I137" s="2025"/>
      <c r="J137" s="2025"/>
      <c r="O137" s="142"/>
      <c r="P137" s="164"/>
      <c r="R137" s="142"/>
      <c r="S137" s="142"/>
    </row>
    <row r="138" spans="1:30" hidden="1" x14ac:dyDescent="0.2">
      <c r="A138" s="1128"/>
      <c r="B138" s="1107"/>
      <c r="C138" s="575"/>
      <c r="D138" s="623"/>
      <c r="E138" s="569"/>
      <c r="F138" s="1085"/>
      <c r="G138" s="569"/>
      <c r="H138" s="2025"/>
      <c r="I138" s="2025"/>
      <c r="J138" s="2025"/>
      <c r="O138" s="142"/>
      <c r="P138" s="164"/>
      <c r="R138" s="142"/>
      <c r="S138" s="142"/>
    </row>
    <row r="139" spans="1:30" x14ac:dyDescent="0.2">
      <c r="A139" s="1128"/>
      <c r="B139" s="1107"/>
      <c r="C139" s="575"/>
      <c r="D139" s="623"/>
      <c r="E139" s="569"/>
      <c r="F139" s="1085" t="str">
        <f t="shared" ref="F139:F157" si="22">IF(Q139=0,"",IF(E139="",$X$4,IF(G139="",$U$4,IF(G139=$O$3,$V$4,IF(Q139&lt;&gt;4,$S$4,"")))))</f>
        <v/>
      </c>
      <c r="G139" s="569"/>
      <c r="H139" s="2025" t="str">
        <f t="shared" ref="H139:H157" si="23">IF(E139=ip,D139,"")</f>
        <v/>
      </c>
      <c r="I139" s="2025" t="str">
        <f t="shared" ref="I139:I157" si="24">IF(E139=mt,D139,"")</f>
        <v/>
      </c>
      <c r="J139" s="2025" t="str">
        <f t="shared" ref="J139:J157" si="25">IF(E139=fi,D139,"")</f>
        <v/>
      </c>
      <c r="K139" s="1">
        <f t="shared" ref="K139:K159" si="26">IF(G139=$O$3,1,0)</f>
      </c>
      <c r="O139" s="142"/>
      <c r="P139" s="164">
        <f t="shared" ref="P139:P159" si="27">IF(Q139=0,0,IF(ISBLANK(G139),1,0))</f>
      </c>
      <c r="Q139" s="28">
        <f t="shared" ref="Q139:Q159" si="28">COUNTA(B139:E139)</f>
      </c>
      <c r="R139" s="142"/>
      <c r="S139" s="142"/>
      <c r="AA139" s="28">
        <f t="shared" ref="AA139:AA159" si="29">IF(K139=1,0,D139)</f>
      </c>
      <c r="AB139" s="28" t="str">
        <f t="shared" ref="AB139:AB159" si="30">IF(K139=1,0,I139)</f>
        <v/>
      </c>
      <c r="AC139" s="28" t="str">
        <f t="shared" ref="AC139:AC159" si="31">IF(K139=1,0,J139)</f>
        <v/>
      </c>
      <c r="AD139" s="28" t="str">
        <f t="shared" ref="AD139:AD159" si="32">IF(K139=1,0,H139)</f>
        <v/>
      </c>
    </row>
    <row r="140" spans="1:30" x14ac:dyDescent="0.2">
      <c r="A140" s="1128"/>
      <c r="B140" s="1107"/>
      <c r="C140" s="575"/>
      <c r="D140" s="623"/>
      <c r="E140" s="569"/>
      <c r="F140" s="1085" t="str">
        <f t="shared" si="22"/>
        <v/>
      </c>
      <c r="G140" s="569"/>
      <c r="H140" s="2025" t="str">
        <f t="shared" si="23"/>
        <v/>
      </c>
      <c r="I140" s="2025" t="str">
        <f t="shared" si="24"/>
        <v/>
      </c>
      <c r="J140" s="2025" t="str">
        <f t="shared" si="25"/>
        <v/>
      </c>
      <c r="K140" s="1">
        <f t="shared" si="26"/>
        <v>0</v>
      </c>
      <c r="O140" s="142"/>
      <c r="P140" s="164">
        <f t="shared" si="27"/>
        <v>0</v>
      </c>
      <c r="Q140" s="28">
        <f t="shared" si="28"/>
        <v>0</v>
      </c>
      <c r="R140" s="142"/>
      <c r="S140" s="142"/>
      <c r="AA140" s="28">
        <f t="shared" si="29"/>
        <v>0</v>
      </c>
      <c r="AB140" s="28" t="str">
        <f t="shared" si="30"/>
        <v/>
      </c>
      <c r="AC140" s="28" t="str">
        <f t="shared" si="31"/>
        <v/>
      </c>
      <c r="AD140" s="28" t="str">
        <f t="shared" si="32"/>
        <v/>
      </c>
    </row>
    <row r="141" spans="1:30" x14ac:dyDescent="0.2">
      <c r="A141" s="1128"/>
      <c r="B141" s="1107"/>
      <c r="C141" s="575"/>
      <c r="D141" s="623"/>
      <c r="E141" s="569"/>
      <c r="F141" s="1085" t="str">
        <f t="shared" si="22"/>
        <v/>
      </c>
      <c r="G141" s="569"/>
      <c r="H141" s="2025" t="str">
        <f t="shared" si="23"/>
        <v/>
      </c>
      <c r="I141" s="2025" t="str">
        <f t="shared" si="24"/>
        <v/>
      </c>
      <c r="J141" s="2025" t="str">
        <f t="shared" si="25"/>
        <v/>
      </c>
      <c r="K141" s="1">
        <f t="shared" si="26"/>
        <v>0</v>
      </c>
      <c r="O141" s="142"/>
      <c r="P141" s="164">
        <f t="shared" si="27"/>
        <v>0</v>
      </c>
      <c r="Q141" s="28">
        <f t="shared" si="28"/>
        <v>0</v>
      </c>
      <c r="R141" s="142"/>
      <c r="S141" s="142"/>
      <c r="AA141" s="28">
        <f t="shared" si="29"/>
        <v>0</v>
      </c>
      <c r="AB141" s="28" t="str">
        <f t="shared" si="30"/>
        <v/>
      </c>
      <c r="AC141" s="28" t="str">
        <f t="shared" si="31"/>
        <v/>
      </c>
      <c r="AD141" s="28" t="str">
        <f t="shared" si="32"/>
        <v/>
      </c>
    </row>
    <row r="142" spans="1:30" x14ac:dyDescent="0.2">
      <c r="A142" s="1128"/>
      <c r="B142" s="1107"/>
      <c r="C142" s="575"/>
      <c r="D142" s="623"/>
      <c r="E142" s="569"/>
      <c r="F142" s="1085" t="str">
        <f t="shared" si="22"/>
        <v/>
      </c>
      <c r="G142" s="569"/>
      <c r="H142" s="2025" t="str">
        <f t="shared" si="23"/>
        <v/>
      </c>
      <c r="I142" s="2025" t="str">
        <f t="shared" si="24"/>
        <v/>
      </c>
      <c r="J142" s="2025" t="str">
        <f t="shared" si="25"/>
        <v/>
      </c>
      <c r="K142" s="1">
        <f t="shared" si="26"/>
        <v>0</v>
      </c>
      <c r="O142" s="142"/>
      <c r="P142" s="164">
        <f t="shared" si="27"/>
        <v>0</v>
      </c>
      <c r="Q142" s="28">
        <f t="shared" si="28"/>
        <v>0</v>
      </c>
      <c r="R142" s="142"/>
      <c r="S142" s="142"/>
      <c r="AA142" s="28">
        <f t="shared" si="29"/>
        <v>0</v>
      </c>
      <c r="AB142" s="28" t="str">
        <f t="shared" si="30"/>
        <v/>
      </c>
      <c r="AC142" s="28" t="str">
        <f t="shared" si="31"/>
        <v/>
      </c>
      <c r="AD142" s="28" t="str">
        <f t="shared" si="32"/>
        <v/>
      </c>
    </row>
    <row r="143" spans="1:30" x14ac:dyDescent="0.2">
      <c r="A143" s="1128"/>
      <c r="B143" s="1107"/>
      <c r="C143" s="575"/>
      <c r="D143" s="623"/>
      <c r="E143" s="569"/>
      <c r="F143" s="1085" t="str">
        <f t="shared" si="22"/>
        <v/>
      </c>
      <c r="G143" s="569"/>
      <c r="H143" s="2025" t="str">
        <f t="shared" si="23"/>
        <v/>
      </c>
      <c r="I143" s="2025" t="str">
        <f t="shared" si="24"/>
        <v/>
      </c>
      <c r="J143" s="2025" t="str">
        <f t="shared" si="25"/>
        <v/>
      </c>
      <c r="K143" s="1">
        <f t="shared" si="26"/>
        <v>0</v>
      </c>
      <c r="O143" s="142"/>
      <c r="P143" s="164">
        <f t="shared" si="27"/>
        <v>0</v>
      </c>
      <c r="Q143" s="28">
        <f t="shared" si="28"/>
        <v>0</v>
      </c>
      <c r="R143" s="142"/>
      <c r="S143" s="142"/>
      <c r="AA143" s="28">
        <f t="shared" si="29"/>
        <v>0</v>
      </c>
      <c r="AB143" s="28" t="str">
        <f t="shared" si="30"/>
        <v/>
      </c>
      <c r="AC143" s="28" t="str">
        <f t="shared" si="31"/>
        <v/>
      </c>
      <c r="AD143" s="28" t="str">
        <f t="shared" si="32"/>
        <v/>
      </c>
    </row>
    <row r="144" spans="1:30" x14ac:dyDescent="0.2">
      <c r="A144" s="1128"/>
      <c r="B144" s="1107"/>
      <c r="C144" s="575"/>
      <c r="D144" s="623"/>
      <c r="E144" s="569"/>
      <c r="F144" s="1085" t="str">
        <f t="shared" si="22"/>
        <v/>
      </c>
      <c r="G144" s="569"/>
      <c r="H144" s="2025" t="str">
        <f t="shared" si="23"/>
        <v/>
      </c>
      <c r="I144" s="2025" t="str">
        <f t="shared" si="24"/>
        <v/>
      </c>
      <c r="J144" s="2025" t="str">
        <f t="shared" si="25"/>
        <v/>
      </c>
      <c r="K144" s="1">
        <f t="shared" si="26"/>
        <v>0</v>
      </c>
      <c r="O144" s="142"/>
      <c r="P144" s="164">
        <f t="shared" si="27"/>
        <v>0</v>
      </c>
      <c r="Q144" s="28">
        <f t="shared" si="28"/>
        <v>0</v>
      </c>
      <c r="R144" s="142"/>
      <c r="S144" s="142"/>
      <c r="AA144" s="28">
        <f t="shared" si="29"/>
        <v>0</v>
      </c>
      <c r="AB144" s="28" t="str">
        <f t="shared" si="30"/>
        <v/>
      </c>
      <c r="AC144" s="28" t="str">
        <f t="shared" si="31"/>
        <v/>
      </c>
      <c r="AD144" s="28" t="str">
        <f t="shared" si="32"/>
        <v/>
      </c>
    </row>
    <row r="145" spans="1:79" x14ac:dyDescent="0.2">
      <c r="A145" s="1128"/>
      <c r="B145" s="1107"/>
      <c r="C145" s="575"/>
      <c r="D145" s="623"/>
      <c r="E145" s="569"/>
      <c r="F145" s="1085" t="str">
        <f t="shared" si="22"/>
        <v/>
      </c>
      <c r="G145" s="569"/>
      <c r="H145" s="2025" t="str">
        <f t="shared" si="23"/>
        <v/>
      </c>
      <c r="I145" s="2025" t="str">
        <f t="shared" si="24"/>
        <v/>
      </c>
      <c r="J145" s="2025" t="str">
        <f t="shared" si="25"/>
        <v/>
      </c>
      <c r="K145" s="1">
        <f t="shared" si="26"/>
        <v>0</v>
      </c>
      <c r="O145" s="142"/>
      <c r="P145" s="164">
        <f t="shared" si="27"/>
        <v>0</v>
      </c>
      <c r="Q145" s="28">
        <f t="shared" si="28"/>
        <v>0</v>
      </c>
      <c r="R145" s="142"/>
      <c r="S145" s="142"/>
      <c r="AA145" s="28">
        <f t="shared" si="29"/>
        <v>0</v>
      </c>
      <c r="AB145" s="28" t="str">
        <f t="shared" si="30"/>
        <v/>
      </c>
      <c r="AC145" s="28" t="str">
        <f t="shared" si="31"/>
        <v/>
      </c>
      <c r="AD145" s="28" t="str">
        <f t="shared" si="32"/>
        <v/>
      </c>
    </row>
    <row r="146" spans="1:79" x14ac:dyDescent="0.2">
      <c r="A146" s="1128"/>
      <c r="B146" s="1107"/>
      <c r="C146" s="575"/>
      <c r="D146" s="623"/>
      <c r="E146" s="569"/>
      <c r="F146" s="1085" t="str">
        <f t="shared" si="22"/>
        <v/>
      </c>
      <c r="G146" s="569"/>
      <c r="H146" s="2025" t="str">
        <f t="shared" si="23"/>
        <v/>
      </c>
      <c r="I146" s="2025" t="str">
        <f t="shared" si="24"/>
        <v/>
      </c>
      <c r="J146" s="2025" t="str">
        <f t="shared" si="25"/>
        <v/>
      </c>
      <c r="K146" s="1">
        <f t="shared" si="26"/>
        <v>0</v>
      </c>
      <c r="O146" s="142"/>
      <c r="P146" s="164">
        <f t="shared" si="27"/>
        <v>0</v>
      </c>
      <c r="Q146" s="28">
        <f t="shared" si="28"/>
        <v>0</v>
      </c>
      <c r="R146" s="142"/>
      <c r="S146" s="142"/>
      <c r="AA146" s="28">
        <f t="shared" si="29"/>
        <v>0</v>
      </c>
      <c r="AB146" s="28" t="str">
        <f t="shared" si="30"/>
        <v/>
      </c>
      <c r="AC146" s="28" t="str">
        <f t="shared" si="31"/>
        <v/>
      </c>
      <c r="AD146" s="28" t="str">
        <f t="shared" si="32"/>
        <v/>
      </c>
    </row>
    <row r="147" spans="1:79" x14ac:dyDescent="0.2">
      <c r="A147" s="1128"/>
      <c r="B147" s="1107"/>
      <c r="C147" s="575"/>
      <c r="D147" s="623"/>
      <c r="E147" s="569"/>
      <c r="F147" s="1085" t="str">
        <f t="shared" si="22"/>
        <v/>
      </c>
      <c r="G147" s="569"/>
      <c r="H147" s="2025" t="str">
        <f t="shared" si="23"/>
        <v/>
      </c>
      <c r="I147" s="2025" t="str">
        <f t="shared" si="24"/>
        <v/>
      </c>
      <c r="J147" s="2025" t="str">
        <f t="shared" si="25"/>
        <v/>
      </c>
      <c r="K147" s="1">
        <f t="shared" si="26"/>
        <v>0</v>
      </c>
      <c r="O147" s="142"/>
      <c r="P147" s="164">
        <f t="shared" si="27"/>
        <v>0</v>
      </c>
      <c r="Q147" s="28">
        <f t="shared" si="28"/>
        <v>0</v>
      </c>
      <c r="R147" s="142"/>
      <c r="S147" s="142"/>
      <c r="AA147" s="28">
        <f t="shared" si="29"/>
        <v>0</v>
      </c>
      <c r="AB147" s="28" t="str">
        <f t="shared" si="30"/>
        <v/>
      </c>
      <c r="AC147" s="28" t="str">
        <f t="shared" si="31"/>
        <v/>
      </c>
      <c r="AD147" s="28" t="str">
        <f t="shared" si="32"/>
        <v/>
      </c>
    </row>
    <row r="148" spans="1:79" x14ac:dyDescent="0.2">
      <c r="A148" s="1128"/>
      <c r="B148" s="1107"/>
      <c r="C148" s="575"/>
      <c r="D148" s="623"/>
      <c r="E148" s="569"/>
      <c r="F148" s="1085" t="str">
        <f t="shared" si="22"/>
        <v/>
      </c>
      <c r="G148" s="569"/>
      <c r="H148" s="2025" t="str">
        <f t="shared" si="23"/>
        <v/>
      </c>
      <c r="I148" s="2025" t="str">
        <f t="shared" si="24"/>
        <v/>
      </c>
      <c r="J148" s="2025" t="str">
        <f t="shared" si="25"/>
        <v/>
      </c>
      <c r="K148" s="1">
        <f t="shared" si="26"/>
        <v>0</v>
      </c>
      <c r="O148" s="142"/>
      <c r="P148" s="164">
        <f t="shared" si="27"/>
        <v>0</v>
      </c>
      <c r="Q148" s="28">
        <f t="shared" si="28"/>
        <v>0</v>
      </c>
      <c r="R148" s="142"/>
      <c r="S148" s="142"/>
      <c r="AA148" s="28">
        <f t="shared" si="29"/>
        <v>0</v>
      </c>
      <c r="AB148" s="28" t="str">
        <f t="shared" si="30"/>
        <v/>
      </c>
      <c r="AC148" s="28" t="str">
        <f t="shared" si="31"/>
        <v/>
      </c>
      <c r="AD148" s="28" t="str">
        <f t="shared" si="32"/>
        <v/>
      </c>
    </row>
    <row r="149" spans="1:79" x14ac:dyDescent="0.2">
      <c r="A149" s="1128"/>
      <c r="B149" s="1107"/>
      <c r="C149" s="575"/>
      <c r="D149" s="623"/>
      <c r="E149" s="569"/>
      <c r="F149" s="1085" t="str">
        <f t="shared" si="22"/>
        <v/>
      </c>
      <c r="G149" s="569"/>
      <c r="H149" s="2025" t="str">
        <f t="shared" si="23"/>
        <v/>
      </c>
      <c r="I149" s="2025" t="str">
        <f t="shared" si="24"/>
        <v/>
      </c>
      <c r="J149" s="2025" t="str">
        <f t="shared" si="25"/>
        <v/>
      </c>
      <c r="K149" s="1">
        <f t="shared" si="26"/>
        <v>0</v>
      </c>
      <c r="O149" s="142"/>
      <c r="P149" s="164">
        <f t="shared" si="27"/>
        <v>0</v>
      </c>
      <c r="Q149" s="28">
        <f t="shared" si="28"/>
        <v>0</v>
      </c>
      <c r="R149" s="142"/>
      <c r="S149" s="142"/>
      <c r="AA149" s="28">
        <f t="shared" si="29"/>
        <v>0</v>
      </c>
      <c r="AB149" s="28" t="str">
        <f t="shared" si="30"/>
        <v/>
      </c>
      <c r="AC149" s="28" t="str">
        <f t="shared" si="31"/>
        <v/>
      </c>
      <c r="AD149" s="28" t="str">
        <f t="shared" si="32"/>
        <v/>
      </c>
    </row>
    <row r="150" spans="1:79" x14ac:dyDescent="0.2">
      <c r="A150" s="1128"/>
      <c r="B150" s="1107"/>
      <c r="C150" s="575"/>
      <c r="D150" s="623"/>
      <c r="E150" s="569"/>
      <c r="F150" s="1085" t="str">
        <f t="shared" si="22"/>
        <v/>
      </c>
      <c r="G150" s="569"/>
      <c r="H150" s="2025" t="str">
        <f t="shared" si="23"/>
        <v/>
      </c>
      <c r="I150" s="2025" t="str">
        <f t="shared" si="24"/>
        <v/>
      </c>
      <c r="J150" s="2025" t="str">
        <f t="shared" si="25"/>
        <v/>
      </c>
      <c r="K150" s="1">
        <f t="shared" si="26"/>
        <v>0</v>
      </c>
      <c r="O150" s="142"/>
      <c r="P150" s="164">
        <f t="shared" si="27"/>
        <v>0</v>
      </c>
      <c r="Q150" s="28">
        <f t="shared" si="28"/>
        <v>0</v>
      </c>
      <c r="R150" s="142"/>
      <c r="S150" s="142"/>
      <c r="AA150" s="28">
        <f t="shared" si="29"/>
        <v>0</v>
      </c>
      <c r="AB150" s="28" t="str">
        <f t="shared" si="30"/>
        <v/>
      </c>
      <c r="AC150" s="28" t="str">
        <f t="shared" si="31"/>
        <v/>
      </c>
      <c r="AD150" s="28" t="str">
        <f t="shared" si="32"/>
        <v/>
      </c>
    </row>
    <row r="151" spans="1:79" x14ac:dyDescent="0.2">
      <c r="A151" s="1128"/>
      <c r="B151" s="1107"/>
      <c r="C151" s="575"/>
      <c r="D151" s="623"/>
      <c r="E151" s="569"/>
      <c r="F151" s="1085" t="str">
        <f t="shared" si="22"/>
        <v/>
      </c>
      <c r="G151" s="569"/>
      <c r="H151" s="2025" t="str">
        <f t="shared" si="23"/>
        <v/>
      </c>
      <c r="I151" s="2025" t="str">
        <f t="shared" si="24"/>
        <v/>
      </c>
      <c r="J151" s="2025" t="str">
        <f t="shared" si="25"/>
        <v/>
      </c>
      <c r="K151" s="1">
        <f t="shared" si="26"/>
        <v>0</v>
      </c>
      <c r="O151" s="142"/>
      <c r="P151" s="164">
        <f t="shared" si="27"/>
        <v>0</v>
      </c>
      <c r="Q151" s="28">
        <f t="shared" si="28"/>
        <v>0</v>
      </c>
      <c r="R151" s="142"/>
      <c r="S151" s="142"/>
      <c r="AA151" s="28">
        <f t="shared" si="29"/>
        <v>0</v>
      </c>
      <c r="AB151" s="28" t="str">
        <f t="shared" si="30"/>
        <v/>
      </c>
      <c r="AC151" s="28" t="str">
        <f t="shared" si="31"/>
        <v/>
      </c>
      <c r="AD151" s="28" t="str">
        <f t="shared" si="32"/>
        <v/>
      </c>
    </row>
    <row r="152" spans="1:79" x14ac:dyDescent="0.2">
      <c r="A152" s="1128"/>
      <c r="B152" s="1107"/>
      <c r="C152" s="575"/>
      <c r="D152" s="623"/>
      <c r="E152" s="569"/>
      <c r="F152" s="1085" t="str">
        <f t="shared" si="22"/>
        <v/>
      </c>
      <c r="G152" s="569"/>
      <c r="H152" s="2025" t="str">
        <f t="shared" si="23"/>
        <v/>
      </c>
      <c r="I152" s="2025" t="str">
        <f t="shared" si="24"/>
        <v/>
      </c>
      <c r="J152" s="2025" t="str">
        <f t="shared" si="25"/>
        <v/>
      </c>
      <c r="K152" s="1">
        <f t="shared" si="26"/>
        <v>0</v>
      </c>
      <c r="O152" s="142"/>
      <c r="P152" s="164">
        <f t="shared" si="27"/>
        <v>0</v>
      </c>
      <c r="Q152" s="28">
        <f t="shared" si="28"/>
        <v>0</v>
      </c>
      <c r="R152" s="142"/>
      <c r="S152" s="142"/>
      <c r="AA152" s="28">
        <f t="shared" si="29"/>
        <v>0</v>
      </c>
      <c r="AB152" s="28" t="str">
        <f t="shared" si="30"/>
        <v/>
      </c>
      <c r="AC152" s="28" t="str">
        <f t="shared" si="31"/>
        <v/>
      </c>
      <c r="AD152" s="28" t="str">
        <f t="shared" si="32"/>
        <v/>
      </c>
    </row>
    <row r="153" spans="1:79" x14ac:dyDescent="0.2">
      <c r="A153" s="1128"/>
      <c r="B153" s="1107"/>
      <c r="C153" s="575"/>
      <c r="D153" s="623"/>
      <c r="E153" s="569"/>
      <c r="F153" s="1085" t="str">
        <f t="shared" si="22"/>
        <v/>
      </c>
      <c r="G153" s="569"/>
      <c r="H153" s="2025" t="str">
        <f t="shared" si="23"/>
        <v/>
      </c>
      <c r="I153" s="2025" t="str">
        <f t="shared" si="24"/>
        <v/>
      </c>
      <c r="J153" s="2025" t="str">
        <f t="shared" si="25"/>
        <v/>
      </c>
      <c r="K153" s="1">
        <f t="shared" si="26"/>
        <v>0</v>
      </c>
      <c r="O153" s="142"/>
      <c r="P153" s="164">
        <f t="shared" si="27"/>
        <v>0</v>
      </c>
      <c r="Q153" s="28">
        <f t="shared" si="28"/>
        <v>0</v>
      </c>
      <c r="R153" s="142"/>
      <c r="S153" s="142"/>
      <c r="AA153" s="28">
        <f t="shared" si="29"/>
        <v>0</v>
      </c>
      <c r="AB153" s="28" t="str">
        <f t="shared" si="30"/>
        <v/>
      </c>
      <c r="AC153" s="28" t="str">
        <f t="shared" si="31"/>
        <v/>
      </c>
      <c r="AD153" s="28" t="str">
        <f t="shared" si="32"/>
        <v/>
      </c>
    </row>
    <row r="154" spans="1:79" x14ac:dyDescent="0.2">
      <c r="A154" s="1128"/>
      <c r="B154" s="1107"/>
      <c r="C154" s="575"/>
      <c r="D154" s="623"/>
      <c r="E154" s="569"/>
      <c r="F154" s="1085" t="str">
        <f t="shared" si="22"/>
        <v/>
      </c>
      <c r="G154" s="569"/>
      <c r="H154" s="2025" t="str">
        <f t="shared" si="23"/>
        <v/>
      </c>
      <c r="I154" s="2025" t="str">
        <f t="shared" si="24"/>
        <v/>
      </c>
      <c r="J154" s="2025" t="str">
        <f t="shared" si="25"/>
        <v/>
      </c>
      <c r="K154" s="1">
        <f t="shared" si="26"/>
        <v>0</v>
      </c>
      <c r="O154" s="142"/>
      <c r="P154" s="164">
        <f t="shared" si="27"/>
        <v>0</v>
      </c>
      <c r="Q154" s="28">
        <f t="shared" si="28"/>
        <v>0</v>
      </c>
      <c r="R154" s="142"/>
      <c r="S154" s="142"/>
      <c r="AA154" s="28">
        <f t="shared" si="29"/>
        <v>0</v>
      </c>
      <c r="AB154" s="28" t="str">
        <f t="shared" si="30"/>
        <v/>
      </c>
      <c r="AC154" s="28" t="str">
        <f t="shared" si="31"/>
        <v/>
      </c>
      <c r="AD154" s="28" t="str">
        <f t="shared" si="32"/>
        <v/>
      </c>
    </row>
    <row r="155" spans="1:79" x14ac:dyDescent="0.2">
      <c r="A155" s="1128"/>
      <c r="B155" s="1107"/>
      <c r="C155" s="575"/>
      <c r="D155" s="623"/>
      <c r="E155" s="569"/>
      <c r="F155" s="1085" t="str">
        <f t="shared" si="22"/>
        <v/>
      </c>
      <c r="G155" s="569"/>
      <c r="H155" s="2025" t="str">
        <f t="shared" si="23"/>
        <v/>
      </c>
      <c r="I155" s="2025" t="str">
        <f t="shared" si="24"/>
        <v/>
      </c>
      <c r="J155" s="2025" t="str">
        <f t="shared" si="25"/>
        <v/>
      </c>
      <c r="K155" s="1">
        <f t="shared" si="26"/>
        <v>0</v>
      </c>
      <c r="O155" s="142"/>
      <c r="P155" s="164">
        <f t="shared" si="27"/>
        <v>0</v>
      </c>
      <c r="Q155" s="28">
        <f t="shared" si="28"/>
        <v>0</v>
      </c>
      <c r="R155" s="142"/>
      <c r="S155" s="142"/>
      <c r="AA155" s="28">
        <f t="shared" si="29"/>
        <v>0</v>
      </c>
      <c r="AB155" s="28" t="str">
        <f t="shared" si="30"/>
        <v/>
      </c>
      <c r="AC155" s="28" t="str">
        <f t="shared" si="31"/>
        <v/>
      </c>
      <c r="AD155" s="28" t="str">
        <f t="shared" si="32"/>
        <v/>
      </c>
    </row>
    <row r="156" spans="1:79" x14ac:dyDescent="0.2">
      <c r="A156" s="1128"/>
      <c r="B156" s="1107"/>
      <c r="C156" s="575"/>
      <c r="D156" s="623"/>
      <c r="E156" s="569"/>
      <c r="F156" s="1085" t="str">
        <f t="shared" si="22"/>
        <v/>
      </c>
      <c r="G156" s="569"/>
      <c r="H156" s="2025" t="str">
        <f t="shared" si="23"/>
        <v/>
      </c>
      <c r="I156" s="2025" t="str">
        <f t="shared" si="24"/>
        <v/>
      </c>
      <c r="J156" s="2025" t="str">
        <f t="shared" si="25"/>
        <v/>
      </c>
      <c r="K156" s="1">
        <f t="shared" si="26"/>
        <v>0</v>
      </c>
      <c r="O156" s="142"/>
      <c r="P156" s="164">
        <f t="shared" si="27"/>
        <v>0</v>
      </c>
      <c r="Q156" s="28">
        <f t="shared" si="28"/>
        <v>0</v>
      </c>
      <c r="R156" s="142"/>
      <c r="S156" s="142"/>
      <c r="AA156" s="28">
        <f t="shared" si="29"/>
        <v>0</v>
      </c>
      <c r="AB156" s="28" t="str">
        <f t="shared" si="30"/>
        <v/>
      </c>
      <c r="AC156" s="28" t="str">
        <f t="shared" si="31"/>
        <v/>
      </c>
      <c r="AD156" s="28" t="str">
        <f t="shared" si="32"/>
        <v/>
      </c>
    </row>
    <row r="157" spans="1:79" x14ac:dyDescent="0.2">
      <c r="A157" s="1128"/>
      <c r="B157" s="1107"/>
      <c r="C157" s="575"/>
      <c r="D157" s="623"/>
      <c r="E157" s="569"/>
      <c r="F157" s="1085" t="str">
        <f t="shared" si="22"/>
        <v/>
      </c>
      <c r="G157" s="569"/>
      <c r="H157" s="2025" t="str">
        <f t="shared" si="23"/>
        <v/>
      </c>
      <c r="I157" s="2025" t="str">
        <f t="shared" si="24"/>
        <v/>
      </c>
      <c r="J157" s="2025" t="str">
        <f t="shared" si="25"/>
        <v/>
      </c>
      <c r="K157" s="1">
        <f t="shared" si="26"/>
        <v>0</v>
      </c>
      <c r="O157" s="142"/>
      <c r="P157" s="164">
        <f t="shared" si="27"/>
        <v>0</v>
      </c>
      <c r="Q157" s="28">
        <f t="shared" si="28"/>
        <v>0</v>
      </c>
      <c r="R157" s="142"/>
      <c r="S157" s="142"/>
      <c r="AA157" s="28">
        <f t="shared" si="29"/>
        <v>0</v>
      </c>
      <c r="AB157" s="28" t="str">
        <f t="shared" si="30"/>
        <v/>
      </c>
      <c r="AC157" s="28" t="str">
        <f t="shared" si="31"/>
        <v/>
      </c>
      <c r="AD157" s="28" t="str">
        <f t="shared" si="32"/>
        <v/>
      </c>
    </row>
    <row r="158" spans="1:79" s="2017" customFormat="1" ht="17.25" customHeight="1" x14ac:dyDescent="0.2">
      <c r="A158" s="64"/>
      <c r="B158" s="2026" t="s">
        <v>1804</v>
      </c>
      <c r="C158" s="264"/>
      <c r="D158" s="264"/>
      <c r="E158" s="264"/>
      <c r="F158" s="264"/>
      <c r="G158" s="264"/>
      <c r="H158" s="2025">
        <f>SUM(H4:H157)</f>
      </c>
      <c r="I158" s="2025">
        <f>SUM(I4:I157)</f>
      </c>
      <c r="J158" s="2025">
        <f>SUM(J4:J157)</f>
      </c>
      <c r="K158" s="2015">
        <f t="shared" si="26"/>
        <v>0</v>
      </c>
      <c r="L158" s="66"/>
      <c r="M158" s="66"/>
      <c r="N158" s="66"/>
      <c r="O158" s="1133"/>
      <c r="P158" s="2016">
        <f t="shared" si="27"/>
        <v>1</v>
      </c>
      <c r="Q158" s="66">
        <f t="shared" si="28"/>
        <v>1</v>
      </c>
      <c r="R158" s="1133"/>
      <c r="S158" s="1133"/>
      <c r="T158" s="66"/>
      <c r="U158" s="66"/>
      <c r="V158" s="66"/>
      <c r="W158" s="66"/>
      <c r="X158" s="66"/>
      <c r="Y158" s="66"/>
      <c r="Z158" s="66"/>
      <c r="AA158" s="66">
        <f t="shared" si="29"/>
        <v>0</v>
      </c>
      <c r="AB158" s="66">
        <f t="shared" si="30"/>
        <v>0</v>
      </c>
      <c r="AC158" s="66">
        <f t="shared" si="31"/>
        <v>0</v>
      </c>
      <c r="AD158" s="66">
        <f t="shared" si="32"/>
        <v>0</v>
      </c>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1408">
        <f>H158</f>
      </c>
      <c r="BC158" s="1408">
        <f>I158</f>
      </c>
      <c r="BD158" s="1408">
        <f>J158</f>
      </c>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row>
    <row r="159" spans="1:79" s="2020" customFormat="1" ht="17.25" customHeight="1" x14ac:dyDescent="0.2">
      <c r="A159" s="231"/>
      <c r="B159" s="2088" t="s">
        <v>7483</v>
      </c>
      <c r="C159" s="264"/>
      <c r="D159" s="264"/>
      <c r="E159" s="264"/>
      <c r="F159" s="264"/>
      <c r="G159" s="2043"/>
      <c r="H159" s="2027">
        <f>IF(BA159&lt;0,BA159,0)</f>
      </c>
      <c r="I159" s="2089" t="s">
        <v>7485</v>
      </c>
      <c r="J159" s="2037">
        <v>0</v>
      </c>
      <c r="K159" s="2018">
        <f t="shared" si="26"/>
        <v>0</v>
      </c>
      <c r="L159" s="1511"/>
      <c r="M159" s="1511"/>
      <c r="N159" s="1511"/>
      <c r="O159" s="2014"/>
      <c r="P159" s="2019">
        <f t="shared" si="27"/>
        <v>1</v>
      </c>
      <c r="Q159" s="1511">
        <f t="shared" si="28"/>
        <v>1</v>
      </c>
      <c r="R159" s="2014"/>
      <c r="S159" s="2014"/>
      <c r="T159" s="1511"/>
      <c r="U159" s="1511"/>
      <c r="V159" s="1511"/>
      <c r="W159" s="1511"/>
      <c r="X159" s="1511"/>
      <c r="Y159" s="1511"/>
      <c r="Z159" s="1511"/>
      <c r="AA159" s="1511">
        <f t="shared" si="29"/>
        <v>0</v>
      </c>
      <c r="AB159" s="1511" t="str">
        <f t="shared" si="30"/>
        <v xml:space="preserve">   TRA 89</v>
      </c>
      <c r="AC159" s="1511">
        <f t="shared" si="31"/>
        <v>0</v>
      </c>
      <c r="AD159" s="1511">
        <f t="shared" si="32"/>
        <v>0</v>
      </c>
      <c r="AE159" s="1511"/>
      <c r="AF159" s="1511"/>
      <c r="AG159" s="1511"/>
      <c r="AH159" s="1511"/>
      <c r="AI159" s="1511"/>
      <c r="AJ159" s="1511"/>
      <c r="AK159" s="1511"/>
      <c r="AL159" s="1511"/>
      <c r="AM159" s="1511"/>
      <c r="AN159" s="1511"/>
      <c r="AO159" s="1511"/>
      <c r="AP159" s="1511"/>
      <c r="AQ159" s="1511"/>
      <c r="AR159" s="1511"/>
      <c r="AS159" s="1511"/>
      <c r="AT159" s="1511"/>
      <c r="AU159" s="1511"/>
      <c r="AV159" s="1511"/>
      <c r="AW159" s="1511"/>
      <c r="AX159" s="1511"/>
      <c r="AY159" s="1511"/>
      <c r="AZ159" s="1511">
        <f>'TRA89'!O76*-1</f>
      </c>
      <c r="BA159" s="2021">
        <f>'TRA89'!O74*-1</f>
      </c>
      <c r="BB159" s="1511"/>
      <c r="BC159" s="1511">
        <f>IF(BC158&gt;BB158,BC158,BB158)</f>
      </c>
      <c r="BD159" s="1511">
        <f>IF(BD158&gt;BC159,BD158,BC159)</f>
      </c>
      <c r="BE159" s="1511"/>
      <c r="BF159" s="1511"/>
      <c r="BG159" s="1511"/>
      <c r="BH159" s="1511"/>
      <c r="BI159" s="1511"/>
      <c r="BJ159" s="1511"/>
      <c r="BK159" s="1511"/>
      <c r="BL159" s="1511"/>
      <c r="BM159" s="1511"/>
      <c r="BN159" s="1511"/>
      <c r="BO159" s="1511"/>
      <c r="BP159" s="1511"/>
      <c r="BQ159" s="1511"/>
      <c r="BR159" s="1511"/>
      <c r="BS159" s="1511"/>
      <c r="BT159" s="1511"/>
      <c r="BU159" s="1511"/>
      <c r="BV159" s="1511"/>
      <c r="BW159" s="1511"/>
      <c r="BX159" s="1511"/>
      <c r="BY159" s="1511"/>
      <c r="BZ159" s="1511"/>
      <c r="CA159" s="1511"/>
    </row>
    <row r="160" spans="1:79" s="2020" customFormat="1" ht="17.25" customHeight="1" x14ac:dyDescent="0.2">
      <c r="A160" s="231"/>
      <c r="B160" s="2088" t="s">
        <v>7486</v>
      </c>
      <c r="C160" s="264"/>
      <c r="D160" s="264"/>
      <c r="E160" s="264"/>
      <c r="F160" s="264"/>
      <c r="G160" s="2043"/>
      <c r="H160" s="2027">
        <f>IF(AZ159&gt;0,AZ159,0)</f>
      </c>
      <c r="I160" s="2089" t="s">
        <v>7485</v>
      </c>
      <c r="J160" s="2037"/>
      <c r="K160" s="2018"/>
      <c r="L160" s="1511"/>
      <c r="M160" s="1511"/>
      <c r="N160" s="1511"/>
      <c r="O160" s="2014"/>
      <c r="P160" s="2019"/>
      <c r="Q160" s="1511"/>
      <c r="R160" s="2014"/>
      <c r="S160" s="2014"/>
      <c r="T160" s="1511"/>
      <c r="U160" s="1511"/>
      <c r="V160" s="1511"/>
      <c r="W160" s="1511"/>
      <c r="X160" s="1511"/>
      <c r="Y160" s="1511"/>
      <c r="Z160" s="1511"/>
      <c r="AA160" s="1511"/>
      <c r="AB160" s="1511"/>
      <c r="AC160" s="1511"/>
      <c r="AD160" s="1511"/>
      <c r="AE160" s="1511"/>
      <c r="AF160" s="1511"/>
      <c r="AG160" s="1511"/>
      <c r="AH160" s="1511"/>
      <c r="AI160" s="1511"/>
      <c r="AJ160" s="1511"/>
      <c r="AK160" s="1511"/>
      <c r="AL160" s="1511"/>
      <c r="AM160" s="1511"/>
      <c r="AN160" s="1511"/>
      <c r="AO160" s="1511"/>
      <c r="AP160" s="1511"/>
      <c r="AQ160" s="1511"/>
      <c r="AR160" s="1511"/>
      <c r="AS160" s="1511"/>
      <c r="AT160" s="1511"/>
      <c r="AU160" s="1511"/>
      <c r="AV160" s="1511"/>
      <c r="AW160" s="1511"/>
      <c r="AX160" s="1511"/>
      <c r="AY160" s="1511"/>
      <c r="AZ160" s="1511"/>
      <c r="BA160" s="2021"/>
      <c r="BB160" s="1511"/>
      <c r="BC160" s="1511"/>
      <c r="BD160" s="1511"/>
      <c r="BE160" s="1511"/>
      <c r="BF160" s="1511"/>
      <c r="BG160" s="1511"/>
      <c r="BH160" s="1511"/>
      <c r="BI160" s="1511"/>
      <c r="BJ160" s="1511"/>
      <c r="BK160" s="1511"/>
      <c r="BL160" s="1511"/>
      <c r="BM160" s="1511"/>
      <c r="BN160" s="1511"/>
      <c r="BO160" s="1511"/>
      <c r="BP160" s="1511"/>
      <c r="BQ160" s="1511"/>
      <c r="BR160" s="1511"/>
      <c r="BS160" s="1511"/>
      <c r="BT160" s="1511"/>
      <c r="BU160" s="1511"/>
      <c r="BV160" s="1511"/>
      <c r="BW160" s="1511"/>
      <c r="BX160" s="1511"/>
      <c r="BY160" s="1511"/>
      <c r="BZ160" s="1511"/>
      <c r="CA160" s="1511"/>
    </row>
    <row r="161" spans="1:79" ht="18.75" customHeight="1" x14ac:dyDescent="0.2">
      <c r="A161" s="64"/>
      <c r="B161" s="4732" t="s">
        <v>714</v>
      </c>
      <c r="C161" s="4733"/>
      <c r="D161" s="4734"/>
      <c r="E161" s="1108" t="s">
        <v>363</v>
      </c>
      <c r="F161" s="1109"/>
      <c r="G161" s="2024"/>
      <c r="H161" s="2042"/>
      <c r="I161" s="2025">
        <f>'TRA41'!H10</f>
      </c>
      <c r="J161" s="2022" t="s">
        <v>200</v>
      </c>
      <c r="M161" s="28">
        <f>'TRA41'!P5</f>
      </c>
      <c r="O161" s="142"/>
      <c r="P161" s="164">
        <f>SUM(P4:P157)</f>
      </c>
      <c r="Q161" s="142"/>
      <c r="R161" s="142"/>
      <c r="S161" s="142"/>
      <c r="AA161" s="32">
        <f>I161</f>
      </c>
      <c r="AB161" s="32">
        <f>I161</f>
      </c>
      <c r="AD161" s="28">
        <f>IF(K161=1,0,H161)</f>
      </c>
      <c r="AZ161" s="2026" t="s">
        <v>7484</v>
      </c>
      <c r="BA161" s="2026" t="s">
        <v>7483</v>
      </c>
    </row>
    <row r="162" spans="1:79" s="2017" customFormat="1" ht="18.75" customHeight="1" x14ac:dyDescent="0.2">
      <c r="A162" s="65"/>
      <c r="B162" s="2028" t="s">
        <v>5590</v>
      </c>
      <c r="C162" s="264"/>
      <c r="D162" s="2029" t="str">
        <f>IF(K163&lt;&gt;0,"Indicate all Tax A/cs!","")</f>
        <v/>
      </c>
      <c r="E162" s="2030"/>
      <c r="F162" s="2023"/>
      <c r="G162" s="2024"/>
      <c r="H162" s="2031">
        <f>IF(H158+H159+H160&lt;0,0,H158+H159+H160)</f>
      </c>
      <c r="I162" s="2032">
        <f>I158+I161</f>
      </c>
      <c r="J162" s="2031">
        <f>J158</f>
      </c>
      <c r="K162" s="2015"/>
      <c r="L162" s="66"/>
      <c r="M162" s="66"/>
      <c r="N162" s="66"/>
      <c r="O162" s="66"/>
      <c r="P162" s="66"/>
      <c r="Q162" s="66"/>
      <c r="R162" s="66"/>
      <c r="S162" s="66"/>
      <c r="T162" s="66"/>
      <c r="U162" s="66"/>
      <c r="V162" s="66"/>
      <c r="W162" s="66"/>
      <c r="X162" s="66"/>
      <c r="Y162" s="66"/>
      <c r="Z162" s="66"/>
      <c r="AA162" s="66">
        <f>SUM(AA4:AA157)</f>
      </c>
      <c r="AB162" s="66">
        <f>SUM(AB4:AB157)</f>
      </c>
      <c r="AC162" s="66">
        <f>SUM(AC4:AC157)</f>
      </c>
      <c r="AD162" s="66">
        <f>SUM(AD4:AD157)</f>
      </c>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row>
    <row r="163" spans="1:79" ht="19.5" customHeight="1" x14ac:dyDescent="0.2">
      <c r="A163" s="3"/>
      <c r="B163" s="3"/>
      <c r="C163" s="3"/>
      <c r="D163" s="3"/>
      <c r="E163" s="3"/>
      <c r="F163" s="3"/>
      <c r="G163" s="3"/>
      <c r="H163" s="3"/>
      <c r="I163" s="3"/>
      <c r="J163" s="3"/>
      <c r="K163" s="1">
        <f>IF(AA162&lt;&gt;AB163,1,0)</f>
      </c>
      <c r="M163" s="1110">
        <f>ROUND(SUM(D4:D159,I161),0)</f>
      </c>
      <c r="AB163" s="28">
        <f>AB162+AC162+AD162</f>
      </c>
    </row>
    <row r="164" spans="1:79" ht="13.5" x14ac:dyDescent="0.2">
      <c r="A164" s="3"/>
      <c r="B164" s="17" t="str">
        <f>_xlfn.SINGLE(MTCA)</f>
      </c>
      <c r="C164" s="1117"/>
      <c r="D164" s="1117"/>
      <c r="E164" s="1117"/>
      <c r="F164" s="65" t="str">
        <f>ver</f>
        <v>TA2_e-CO_2025_Ver 1.1</v>
      </c>
      <c r="G164" s="1117"/>
      <c r="H164" s="1117"/>
      <c r="I164" s="1117"/>
      <c r="J164" s="536" t="s">
        <v>2312</v>
      </c>
    </row>
    <row r="165" spans="1:79" ht="4.5" customHeight="1" x14ac:dyDescent="0.2">
      <c r="A165" s="3"/>
      <c r="B165" s="1117"/>
      <c r="C165" s="1117"/>
      <c r="D165" s="1117"/>
      <c r="E165" s="1117"/>
      <c r="F165" s="1117"/>
      <c r="G165" s="1117"/>
      <c r="H165" s="1117"/>
      <c r="I165" s="1117"/>
      <c r="J165" s="3"/>
    </row>
    <row r="166" spans="1:79" ht="12.75" customHeight="1" x14ac:dyDescent="0.2">
      <c r="A166" s="3"/>
      <c r="B166" s="237"/>
      <c r="C166" s="211"/>
      <c r="D166" s="592" t="str">
        <f>COM</f>
      </c>
      <c r="E166" s="2106"/>
      <c r="F166" s="2105" t="str">
        <f>IF(E166="",re,"")</f>
        <v/>
      </c>
      <c r="G166" s="17"/>
      <c r="H166" s="17"/>
      <c r="I166" s="3"/>
      <c r="J166" s="3"/>
    </row>
    <row r="167" spans="1:79" ht="9.75" customHeight="1" x14ac:dyDescent="0.2">
      <c r="A167" s="3"/>
      <c r="B167" s="1111"/>
      <c r="C167" s="1111"/>
      <c r="D167" s="1111"/>
      <c r="E167" s="1111"/>
      <c r="F167" s="1111"/>
      <c r="G167" s="1111"/>
      <c r="H167" s="1111"/>
      <c r="I167" s="1111"/>
      <c r="J167" s="1111"/>
    </row>
    <row r="168" spans="1:79" ht="48" customHeight="1" x14ac:dyDescent="0.2">
      <c r="A168" s="3"/>
      <c r="B168" s="4743" t="s">
        <v>7636</v>
      </c>
      <c r="C168" s="4743"/>
      <c r="D168" s="4743"/>
      <c r="E168" s="4743"/>
      <c r="F168" s="4743"/>
      <c r="G168" s="4743"/>
      <c r="H168" s="4743"/>
      <c r="I168" s="4743"/>
      <c r="J168" s="4743"/>
      <c r="K168" s="1">
        <f>IF(E166="",100,IF(P161&lt;&gt;0,100,IF(K163&lt;&gt;0,100,IF(E166="Yes",1,100))))</f>
      </c>
    </row>
    <row r="169" spans="1:79" x14ac:dyDescent="0.2">
      <c r="A169" s="3"/>
      <c r="B169" s="1111"/>
      <c r="C169" s="3"/>
      <c r="D169" s="3"/>
      <c r="E169" s="3"/>
      <c r="F169" s="3"/>
      <c r="G169" s="3"/>
      <c r="H169" s="3"/>
      <c r="I169" s="3"/>
      <c r="J169" s="3"/>
    </row>
    <row r="170" spans="1:79" ht="18.75" customHeight="1" x14ac:dyDescent="0.2">
      <c r="A170" s="3"/>
      <c r="B170" s="4739" t="s">
        <v>5198</v>
      </c>
      <c r="C170" s="4740"/>
      <c r="D170" s="4740"/>
      <c r="E170" s="4740"/>
      <c r="F170" s="4740"/>
      <c r="G170" s="4740"/>
      <c r="H170" s="4740"/>
      <c r="I170" s="4740"/>
      <c r="J170" s="3"/>
    </row>
    <row r="171" spans="1:79" s="28" customFormat="1" ht="2.25" customHeight="1" x14ac:dyDescent="0.2">
      <c r="A171" s="3"/>
      <c r="B171" s="3"/>
      <c r="C171" s="3"/>
      <c r="D171" s="3"/>
      <c r="E171" s="3"/>
      <c r="F171" s="3"/>
      <c r="G171" s="3"/>
      <c r="H171" s="3"/>
      <c r="I171" s="3"/>
      <c r="J171" s="3"/>
      <c r="K171" s="1"/>
    </row>
    <row r="172" spans="1:79" s="28" customFormat="1" ht="3.75" customHeight="1" x14ac:dyDescent="0.2">
      <c r="A172" s="3"/>
      <c r="B172" s="1112"/>
      <c r="C172" s="3"/>
      <c r="D172" s="3"/>
      <c r="E172" s="3"/>
      <c r="F172" s="3"/>
      <c r="G172" s="3"/>
      <c r="H172" s="3"/>
      <c r="I172" s="3"/>
      <c r="J172" s="3"/>
      <c r="K172" s="1"/>
    </row>
    <row r="173" spans="1:79" s="28" customFormat="1" ht="2.25" customHeight="1" x14ac:dyDescent="0.2">
      <c r="A173" s="3"/>
      <c r="B173" s="3"/>
      <c r="C173" s="3"/>
      <c r="D173" s="3"/>
      <c r="E173" s="3"/>
      <c r="F173" s="3"/>
      <c r="G173" s="3"/>
      <c r="H173" s="3"/>
      <c r="I173" s="3"/>
      <c r="J173" s="3"/>
      <c r="K173" s="1"/>
    </row>
    <row r="174" spans="1:79" s="28" customFormat="1" x14ac:dyDescent="0.2">
      <c r="A174" s="3"/>
      <c r="B174" s="4741" t="s">
        <v>938</v>
      </c>
      <c r="C174" s="4735"/>
      <c r="D174" s="4735"/>
      <c r="E174" s="4735"/>
      <c r="F174" s="4735"/>
      <c r="G174" s="4735"/>
      <c r="H174" s="4735"/>
      <c r="I174" s="4735"/>
      <c r="J174" s="3"/>
      <c r="K174" s="1"/>
    </row>
    <row r="175" spans="1:79" s="28" customFormat="1" ht="3.75" customHeight="1" x14ac:dyDescent="0.2">
      <c r="A175" s="3"/>
      <c r="B175" s="237"/>
      <c r="C175" s="237"/>
      <c r="D175" s="237"/>
      <c r="E175" s="237"/>
      <c r="F175" s="237"/>
      <c r="G175" s="237"/>
      <c r="H175" s="237"/>
      <c r="I175" s="237"/>
      <c r="J175" s="3"/>
      <c r="K175" s="1"/>
    </row>
    <row r="176" spans="1:79" s="28" customFormat="1" ht="23.25" customHeight="1" x14ac:dyDescent="0.2">
      <c r="A176" s="4446"/>
      <c r="B176" s="4730" t="s">
        <v>1099</v>
      </c>
      <c r="C176" s="4731"/>
      <c r="D176" s="4731"/>
      <c r="E176" s="4731"/>
      <c r="F176" s="4731"/>
      <c r="G176" s="4731"/>
      <c r="H176" s="4731"/>
      <c r="I176" s="4731"/>
      <c r="J176" s="419"/>
      <c r="K176" s="1"/>
    </row>
    <row r="177" spans="1:11" s="28" customFormat="1" ht="4.5" customHeight="1" x14ac:dyDescent="0.2">
      <c r="A177" s="4446"/>
      <c r="B177" s="1114"/>
      <c r="C177" s="1114"/>
      <c r="D177" s="1114"/>
      <c r="E177" s="1114"/>
      <c r="F177" s="1114"/>
      <c r="G177" s="1114"/>
      <c r="H177" s="1114"/>
      <c r="I177" s="1114"/>
      <c r="J177" s="419"/>
      <c r="K177" s="1"/>
    </row>
    <row r="178" spans="1:11" s="28" customFormat="1" ht="14.25" customHeight="1" x14ac:dyDescent="0.2">
      <c r="A178" s="2"/>
      <c r="B178" s="4730" t="s">
        <v>3415</v>
      </c>
      <c r="C178" s="4731"/>
      <c r="D178" s="4731"/>
      <c r="E178" s="4731"/>
      <c r="F178" s="4731"/>
      <c r="G178" s="4731"/>
      <c r="H178" s="4731"/>
      <c r="I178" s="4731"/>
      <c r="J178" s="1113"/>
      <c r="K178" s="1"/>
    </row>
    <row r="179" spans="1:11" s="28" customFormat="1" ht="6.75" customHeight="1" x14ac:dyDescent="0.2">
      <c r="A179" s="4446"/>
      <c r="B179" s="237"/>
      <c r="C179" s="1114"/>
      <c r="D179" s="1114"/>
      <c r="E179" s="1114"/>
      <c r="F179" s="1114"/>
      <c r="G179" s="1114"/>
      <c r="H179" s="1114"/>
      <c r="I179" s="1114"/>
      <c r="J179" s="419"/>
      <c r="K179" s="1"/>
    </row>
    <row r="180" spans="1:11" s="28" customFormat="1" x14ac:dyDescent="0.2">
      <c r="A180" s="4446"/>
      <c r="B180" s="4730" t="s">
        <v>1928</v>
      </c>
      <c r="C180" s="4731"/>
      <c r="D180" s="4731"/>
      <c r="E180" s="4731"/>
      <c r="F180" s="4731"/>
      <c r="G180" s="4731"/>
      <c r="H180" s="4731"/>
      <c r="I180" s="4731"/>
      <c r="J180" s="419"/>
      <c r="K180" s="1"/>
    </row>
    <row r="181" spans="1:11" s="28" customFormat="1" ht="8.25" customHeight="1" x14ac:dyDescent="0.2">
      <c r="A181" s="3"/>
      <c r="B181" s="237"/>
      <c r="C181" s="237"/>
      <c r="D181" s="237"/>
      <c r="E181" s="237"/>
      <c r="F181" s="237"/>
      <c r="G181" s="237"/>
      <c r="H181" s="237"/>
      <c r="I181" s="237"/>
      <c r="J181" s="3"/>
      <c r="K181" s="1"/>
    </row>
    <row r="182" spans="1:11" s="28" customFormat="1" ht="45" customHeight="1" x14ac:dyDescent="0.2">
      <c r="A182" s="3"/>
      <c r="B182" s="4735" t="s">
        <v>3484</v>
      </c>
      <c r="C182" s="4735"/>
      <c r="D182" s="4735"/>
      <c r="E182" s="4735"/>
      <c r="F182" s="4735"/>
      <c r="G182" s="4735"/>
      <c r="H182" s="4735"/>
      <c r="I182" s="4735"/>
      <c r="J182" s="3"/>
      <c r="K182" s="1"/>
    </row>
    <row r="183" spans="1:11" s="28" customFormat="1" ht="42" customHeight="1" x14ac:dyDescent="0.2">
      <c r="A183" s="3"/>
      <c r="B183" s="4742" t="s">
        <v>7401</v>
      </c>
      <c r="C183" s="4742"/>
      <c r="D183" s="4742"/>
      <c r="E183" s="4742"/>
      <c r="F183" s="4742"/>
      <c r="G183" s="4742"/>
      <c r="H183" s="4742"/>
      <c r="I183" s="4742"/>
      <c r="J183" s="3"/>
      <c r="K183" s="1"/>
    </row>
    <row r="184" spans="1:11" s="28" customFormat="1" ht="42.75" customHeight="1" x14ac:dyDescent="0.2">
      <c r="A184" s="3"/>
      <c r="B184" s="4731" t="s">
        <v>4447</v>
      </c>
      <c r="C184" s="4731"/>
      <c r="D184" s="4731"/>
      <c r="E184" s="4731"/>
      <c r="F184" s="4731"/>
      <c r="G184" s="4731"/>
      <c r="H184" s="4731"/>
      <c r="I184" s="4731"/>
      <c r="J184" s="1115"/>
      <c r="K184" s="1"/>
    </row>
    <row r="185" spans="1:11" s="28" customFormat="1" x14ac:dyDescent="0.2">
      <c r="A185" s="1116"/>
      <c r="B185" s="4636" t="s">
        <v>6290</v>
      </c>
      <c r="C185" s="4636"/>
      <c r="D185" s="4636"/>
      <c r="E185" s="4636"/>
      <c r="F185" s="4636"/>
      <c r="G185" s="1116"/>
      <c r="H185" s="1116"/>
      <c r="I185" s="1116"/>
      <c r="J185" s="1116"/>
      <c r="K185" s="1"/>
    </row>
    <row r="186" spans="1:11" s="28" customFormat="1" x14ac:dyDescent="0.2">
      <c r="A186" s="204"/>
      <c r="B186" s="204"/>
      <c r="C186" s="204"/>
      <c r="D186" s="204"/>
      <c r="E186" s="204"/>
      <c r="F186" s="204"/>
      <c r="G186" s="204"/>
      <c r="H186" s="204"/>
      <c r="I186" s="204"/>
      <c r="J186" s="204"/>
      <c r="K186" s="1"/>
    </row>
  </sheetData>
  <sheetProtection algorithmName="SHA-512" hashValue="ymgDlnUdrDFwihjl2XN65cjsYsrx6O1o99tTXPCABY8RgMq68t5P78wRt9ohgSrU7+SM13hxxGRbt8k/HpnZxQ==" saltValue="H8Wci5tfZQas6G8AYwCfew==" spinCount="100000" sheet="1" objects="1" scenarios="1"/>
  <customSheetViews>
    <customSheetView guid="{99B5278F-6EA9-4B1A-8623-27A4DF4AD5E4}" showGridLines="0" fitToPage="1" hiddenRows="1" hiddenColumns="1">
      <selection activeCell="B4" sqref="B4"/>
      <pageMargins left="0.47" right="0.45" top="0.22" bottom="0.62" header="0.23622047244094491" footer="0.42"/>
      <printOptions horizontalCentered="1"/>
      <pageSetup paperSize="9" scale="84" orientation="portrait" horizontalDpi="300" verticalDpi="300" r:id="rId1"/>
      <headerFooter alignWithMargins="0">
        <oddFooter>&amp;LName&amp;CSignature&amp;RDate</oddFooter>
      </headerFooter>
    </customSheetView>
  </customSheetViews>
  <mergeCells count="22">
    <mergeCell ref="B185:F185"/>
    <mergeCell ref="B184:I184"/>
    <mergeCell ref="B182:I182"/>
    <mergeCell ref="B178:I178"/>
    <mergeCell ref="AB2:AC2"/>
    <mergeCell ref="H2:J2"/>
    <mergeCell ref="G2:G3"/>
    <mergeCell ref="F2:F3"/>
    <mergeCell ref="B176:I176"/>
    <mergeCell ref="B170:I170"/>
    <mergeCell ref="B174:I174"/>
    <mergeCell ref="B183:I183"/>
    <mergeCell ref="B168:J168"/>
    <mergeCell ref="A179:A180"/>
    <mergeCell ref="B180:I180"/>
    <mergeCell ref="B1:H1"/>
    <mergeCell ref="B2:B3"/>
    <mergeCell ref="C2:C3"/>
    <mergeCell ref="E2:E3"/>
    <mergeCell ref="D2:D3"/>
    <mergeCell ref="B161:D161"/>
    <mergeCell ref="A176:A177"/>
  </mergeCells>
  <phoneticPr fontId="0" type="noConversion"/>
  <conditionalFormatting sqref="A2:A3 J172:J183 A172:A185 J185">
    <cfRule type="expression" dxfId="731" priority="11" stopIfTrue="1">
      <formula>$A$1=0</formula>
    </cfRule>
  </conditionalFormatting>
  <conditionalFormatting sqref="B4:D157 H4:J158">
    <cfRule type="expression" dxfId="730" priority="1" stopIfTrue="1">
      <formula>$K4=1</formula>
    </cfRule>
  </conditionalFormatting>
  <conditionalFormatting sqref="B161:D161">
    <cfRule type="expression" dxfId="729" priority="14" stopIfTrue="1">
      <formula>$M$161=0</formula>
    </cfRule>
  </conditionalFormatting>
  <conditionalFormatting sqref="E161">
    <cfRule type="expression" dxfId="728" priority="15" stopIfTrue="1">
      <formula>$M$161=0</formula>
    </cfRule>
  </conditionalFormatting>
  <conditionalFormatting sqref="F4:F157">
    <cfRule type="expression" dxfId="727" priority="2" stopIfTrue="1">
      <formula>$F4=$S$4</formula>
    </cfRule>
    <cfRule type="expression" dxfId="726" priority="3" stopIfTrue="1">
      <formula>$F4=$V$4</formula>
    </cfRule>
  </conditionalFormatting>
  <conditionalFormatting sqref="H159:H160">
    <cfRule type="expression" dxfId="725" priority="5" stopIfTrue="1">
      <formula>$K159=1</formula>
    </cfRule>
  </conditionalFormatting>
  <conditionalFormatting sqref="I161">
    <cfRule type="expression" dxfId="724" priority="10" stopIfTrue="1">
      <formula>$M$161=0</formula>
    </cfRule>
  </conditionalFormatting>
  <dataValidations count="8">
    <dataValidation type="list" allowBlank="1" showInputMessage="1" showErrorMessage="1" errorTitle="Dropdown list" error="Choose an item from the list!_x000a_" sqref="E166" xr:uid="{00000000-0002-0000-1C00-000000000000}">
      <formula1>$O$1:$O$3</formula1>
    </dataValidation>
    <dataValidation allowBlank="1" showInputMessage="1" showErrorMessage="1" errorTitle="Dropdown list" error="Choose an item from the list!" sqref="J161" xr:uid="{00000000-0002-0000-1C00-000001000000}"/>
    <dataValidation allowBlank="1" showInputMessage="1" sqref="E2:E3" xr:uid="{00000000-0002-0000-1C00-000002000000}"/>
    <dataValidation type="list" allowBlank="1" showInputMessage="1" showErrorMessage="1" errorTitle="Dropdown list" error="Choose an item from the list!" sqref="E4:E157" xr:uid="{00000000-0002-0000-1C00-000003000000}">
      <formula1>$N$1:$N$4</formula1>
    </dataValidation>
    <dataValidation type="textLength" operator="lessThanOrEqual" allowBlank="1" showInputMessage="1" showErrorMessage="1" errorTitle="Correct Receipt Number" error="Ensure that the correct receipt number is entered!" sqref="B4:B157" xr:uid="{00000000-0002-0000-1C00-000004000000}">
      <formula1>6</formula1>
    </dataValidation>
    <dataValidation type="date" allowBlank="1" showInputMessage="1" showErrorMessage="1" errorTitle="Date" error="Check date format dd/mm/yyyy_x000a_OR_x000a_date indicated not within Y/A_x000a_OR_x000a_date is future dated!" sqref="C4:C157" xr:uid="{00000000-0002-0000-1C00-000005000000}">
      <formula1>$L$4</formula1>
      <formula2>$M$4</formula2>
    </dataValidation>
    <dataValidation type="list" allowBlank="1" showInputMessage="1" showErrorMessage="1" sqref="G4:G157" xr:uid="{00000000-0002-0000-1C00-000006000000}">
      <formula1>$O$1:$O$3</formula1>
    </dataValidation>
    <dataValidation type="whole" operator="greaterThanOrEqual" allowBlank="1" showErrorMessage="1" errorTitle="Amount" error="Please enter a positive whole value! " promptTitle="Amount Currency" prompt="Where the share capital is denominated in Maltese Lira and payments have been effected in Maltese Lira, please enter the Euro equivalent.  Conversion is automatically effected at the bottom part. " sqref="D4:D157" xr:uid="{00000000-0002-0000-1C00-000007000000}">
      <formula1>0</formula1>
    </dataValidation>
  </dataValidations>
  <hyperlinks>
    <hyperlink ref="B185" location="Index!A1" display="Index!A1" xr:uid="{00000000-0004-0000-1C00-000000000000}"/>
    <hyperlink ref="J161" location="TRA41!A1" display="TRA41!A1" xr:uid="{00000000-0004-0000-1C00-000001000000}"/>
    <hyperlink ref="I159" location="'TRA89'!A1" display="TRA 89" xr:uid="{00000000-0004-0000-1C00-000002000000}"/>
    <hyperlink ref="I160" location="'TRA89'!A1" display="TRA 89" xr:uid="{00000000-0004-0000-1C00-000003000000}"/>
  </hyperlinks>
  <printOptions horizontalCentered="1"/>
  <pageMargins left="0.47" right="0.45" top="0.22" bottom="0.62" header="0.23622047244094491" footer="0.42"/>
  <pageSetup paperSize="9" scale="52" orientation="portrait" r:id="rId2"/>
  <headerFooter alignWithMargins="0">
    <oddFooter>&amp;LName&amp;CSignature&amp;RDate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6"/>
  <dimension ref="A1:AF52"/>
  <sheetViews>
    <sheetView showGridLines="0" workbookViewId="0">
      <selection activeCell="F26" sqref="F26"/>
    </sheetView>
  </sheetViews>
  <sheetFormatPr defaultColWidth="0" defaultRowHeight="12.75" zeroHeight="1" x14ac:dyDescent="0.2"/>
  <cols>
    <col min="1" max="1" width="2" style="28" customWidth="1"/>
    <col min="2" max="2" width="17.5703125" style="28" customWidth="1"/>
    <col min="3" max="3" width="27.5703125" style="28" customWidth="1"/>
    <col min="4" max="4" width="9.7109375" style="28" customWidth="1"/>
    <col min="5" max="7" width="9.28515625" style="28" customWidth="1"/>
    <col min="8" max="9" width="9.5703125" style="28" customWidth="1"/>
    <col min="10" max="16384" width="9.5703125" style="28" hidden="1"/>
  </cols>
  <sheetData>
    <row r="1" spans="1:32" ht="15.75" customHeight="1" x14ac:dyDescent="0.2">
      <c r="A1" s="680"/>
      <c r="B1" s="4747" t="str">
        <f>_ref1</f>
      </c>
      <c r="C1" s="4748"/>
      <c r="D1" s="4748"/>
      <c r="E1" s="4748"/>
      <c r="F1" s="4748"/>
      <c r="G1" s="4748"/>
      <c r="H1" s="671" t="str">
        <f>_YA1</f>
      </c>
      <c r="I1" s="222"/>
      <c r="L1" s="150"/>
      <c r="O1" s="28" t="s">
        <v>6291</v>
      </c>
    </row>
    <row r="2" spans="1:32" ht="15" x14ac:dyDescent="0.2">
      <c r="A2" s="680"/>
      <c r="B2" s="672" t="s">
        <v>9887</v>
      </c>
      <c r="C2" s="673"/>
      <c r="D2" s="673"/>
      <c r="E2" s="674"/>
      <c r="F2" s="674"/>
      <c r="G2" s="674"/>
      <c r="H2" s="675"/>
      <c r="I2" s="676"/>
      <c r="J2" s="677"/>
      <c r="O2" s="28" t="s">
        <v>6292</v>
      </c>
      <c r="P2" s="28" t="s">
        <v>4457</v>
      </c>
    </row>
    <row r="3" spans="1:32" x14ac:dyDescent="0.2">
      <c r="A3" s="680"/>
      <c r="B3" s="678"/>
      <c r="C3" s="679"/>
      <c r="D3" s="680"/>
      <c r="E3" s="117"/>
      <c r="F3" s="681"/>
      <c r="G3" s="681"/>
      <c r="H3" s="681"/>
      <c r="I3" s="222"/>
      <c r="O3" s="28" t="s">
        <v>6293</v>
      </c>
      <c r="P3" s="28" t="s">
        <v>1736</v>
      </c>
      <c r="AF3" s="28" t="s">
        <v>5806</v>
      </c>
    </row>
    <row r="4" spans="1:32" ht="25.5" x14ac:dyDescent="0.2">
      <c r="A4" s="680"/>
      <c r="B4" s="682" t="s">
        <v>5887</v>
      </c>
      <c r="C4" s="652"/>
      <c r="D4" s="483" t="s">
        <v>3667</v>
      </c>
      <c r="E4" s="683" t="s">
        <v>3708</v>
      </c>
      <c r="F4" s="684" t="s">
        <v>3654</v>
      </c>
      <c r="G4" s="685" t="s">
        <v>111</v>
      </c>
      <c r="H4" s="685" t="s">
        <v>6001</v>
      </c>
      <c r="I4" s="222"/>
      <c r="O4" s="28" t="s">
        <v>1577</v>
      </c>
      <c r="U4" s="28" t="s">
        <v>712</v>
      </c>
      <c r="Z4" s="28" t="s">
        <v>2265</v>
      </c>
      <c r="AF4" s="28" t="s">
        <v>363</v>
      </c>
    </row>
    <row r="5" spans="1:32" x14ac:dyDescent="0.2">
      <c r="A5" s="680"/>
      <c r="B5" s="686"/>
      <c r="C5" s="687"/>
      <c r="D5" s="688"/>
      <c r="E5" s="117"/>
      <c r="F5" s="681"/>
      <c r="G5" s="681"/>
      <c r="H5" s="681"/>
      <c r="I5" s="222"/>
      <c r="U5" s="28" t="s">
        <v>5806</v>
      </c>
      <c r="V5" s="28" t="s">
        <v>363</v>
      </c>
      <c r="W5" s="28" t="s">
        <v>2372</v>
      </c>
      <c r="Z5" s="28" t="s">
        <v>5806</v>
      </c>
      <c r="AA5" s="28" t="s">
        <v>363</v>
      </c>
      <c r="AB5" s="28" t="s">
        <v>2372</v>
      </c>
      <c r="AF5" s="28" t="s">
        <v>2372</v>
      </c>
    </row>
    <row r="6" spans="1:32" hidden="1" x14ac:dyDescent="0.2">
      <c r="I6" s="222"/>
    </row>
    <row r="7" spans="1:32" x14ac:dyDescent="0.2">
      <c r="A7" s="680"/>
      <c r="B7" s="3672" t="s">
        <v>6595</v>
      </c>
      <c r="C7" s="3673"/>
      <c r="D7" s="692" t="s">
        <v>1029</v>
      </c>
      <c r="E7" s="689">
        <f>IF(M7=1,TRA23_24!Q42,0)</f>
      </c>
      <c r="F7" s="690">
        <f>IF(M7=1,TRA23_24!R42,0)</f>
      </c>
      <c r="G7" s="689">
        <f>ROUND(E7*F7,0)</f>
      </c>
      <c r="H7" s="691" t="str">
        <f>IF(M7=1,TRA23_24!S42,"")</f>
        <v/>
      </c>
      <c r="I7" s="222"/>
      <c r="M7" s="28">
        <f>TRA23_24!N4</f>
      </c>
      <c r="U7" s="28">
        <f t="shared" ref="U7:W22" si="0">IF($H7=U$5,$E7,0)</f>
      </c>
      <c r="V7" s="28">
        <f t="shared" si="0"/>
        <v>0</v>
      </c>
      <c r="W7" s="28">
        <f t="shared" si="0"/>
        <v>0</v>
      </c>
      <c r="Z7" s="28">
        <f t="shared" ref="Z7:AB22" si="1">IF($H7=Z$5,$G7,0)</f>
      </c>
      <c r="AA7" s="28">
        <f t="shared" si="1"/>
        <v>0</v>
      </c>
      <c r="AB7" s="28">
        <f t="shared" si="1"/>
        <v>0</v>
      </c>
    </row>
    <row r="8" spans="1:32" x14ac:dyDescent="0.2">
      <c r="A8" s="680"/>
      <c r="B8" s="3672" t="s">
        <v>5066</v>
      </c>
      <c r="C8" s="3673"/>
      <c r="D8" s="692" t="s">
        <v>1690</v>
      </c>
      <c r="E8" s="689">
        <f>IF(M7=2,TRA23_24!Q42,0)</f>
      </c>
      <c r="F8" s="690">
        <f>IF(M7=2,TRA23_24!R42,0)</f>
      </c>
      <c r="G8" s="689">
        <f>ROUND(E8*F8,0)</f>
      </c>
      <c r="H8" s="691" t="str">
        <f>IF(M7=2,TRA23_24!S42,"")</f>
        <v/>
      </c>
      <c r="I8" s="222"/>
      <c r="M8" s="28">
        <f>TRA27_28!AA2</f>
      </c>
      <c r="U8" s="28">
        <f t="shared" si="0"/>
        <v>0</v>
      </c>
      <c r="V8" s="28">
        <f t="shared" si="0"/>
        <v>0</v>
      </c>
      <c r="W8" s="28">
        <f t="shared" si="0"/>
        <v>0</v>
      </c>
      <c r="Z8" s="28">
        <f t="shared" si="1"/>
        <v>0</v>
      </c>
      <c r="AA8" s="28">
        <f t="shared" si="1"/>
        <v>0</v>
      </c>
      <c r="AB8" s="28">
        <f t="shared" si="1"/>
        <v>0</v>
      </c>
    </row>
    <row r="9" spans="1:32" x14ac:dyDescent="0.2">
      <c r="A9" s="680"/>
      <c r="B9" s="3672" t="s">
        <v>2013</v>
      </c>
      <c r="C9" s="3673"/>
      <c r="D9" s="692" t="s">
        <v>5888</v>
      </c>
      <c r="E9" s="689">
        <f>IF(M8=1,TRA27_28!J25,0)</f>
      </c>
      <c r="F9" s="690">
        <f>IF(M8=1,TRA27_28!O27,0)</f>
      </c>
      <c r="G9" s="689">
        <f>ROUND(E9*F9,0)</f>
      </c>
      <c r="H9" s="691" t="str">
        <f>IF(M8=1,TRA27_28!J26,"")</f>
        <v/>
      </c>
      <c r="I9" s="222"/>
      <c r="U9" s="28">
        <f t="shared" si="0"/>
        <v>0</v>
      </c>
      <c r="V9" s="28">
        <f t="shared" si="0"/>
        <v>0</v>
      </c>
      <c r="W9" s="28">
        <f t="shared" si="0"/>
        <v>0</v>
      </c>
      <c r="Z9" s="28">
        <f t="shared" si="1"/>
        <v>0</v>
      </c>
      <c r="AA9" s="28">
        <f t="shared" si="1"/>
        <v>0</v>
      </c>
      <c r="AB9" s="28">
        <f t="shared" si="1"/>
        <v>0</v>
      </c>
    </row>
    <row r="10" spans="1:32" ht="12.75" hidden="1" customHeight="1" x14ac:dyDescent="0.2">
      <c r="A10" s="680"/>
      <c r="B10" s="28" t="s">
        <v>434</v>
      </c>
      <c r="D10" s="28" t="s">
        <v>1691</v>
      </c>
      <c r="E10" s="28">
        <v>0</v>
      </c>
      <c r="F10" s="28">
        <v>0</v>
      </c>
      <c r="G10" s="28">
        <v>0</v>
      </c>
      <c r="I10" s="222"/>
      <c r="U10" s="28">
        <f t="shared" si="0"/>
        <v>0</v>
      </c>
      <c r="V10" s="28">
        <f t="shared" si="0"/>
        <v>0</v>
      </c>
      <c r="W10" s="28">
        <f t="shared" si="0"/>
        <v>0</v>
      </c>
      <c r="Z10" s="28">
        <f t="shared" si="1"/>
        <v>0</v>
      </c>
      <c r="AA10" s="28">
        <f t="shared" si="1"/>
        <v>0</v>
      </c>
      <c r="AB10" s="28">
        <f t="shared" si="1"/>
        <v>0</v>
      </c>
    </row>
    <row r="11" spans="1:32" ht="12.75" hidden="1" customHeight="1" x14ac:dyDescent="0.2">
      <c r="A11" s="680"/>
      <c r="B11" s="28" t="s">
        <v>3485</v>
      </c>
      <c r="D11" s="28" t="s">
        <v>1693</v>
      </c>
      <c r="E11" s="28">
        <v>0</v>
      </c>
      <c r="F11" s="28">
        <v>0</v>
      </c>
      <c r="G11" s="28">
        <v>0</v>
      </c>
      <c r="I11" s="222"/>
      <c r="M11" s="30"/>
      <c r="U11" s="28">
        <f t="shared" si="0"/>
        <v>0</v>
      </c>
      <c r="V11" s="28">
        <f t="shared" si="0"/>
        <v>0</v>
      </c>
      <c r="W11" s="28">
        <f t="shared" si="0"/>
        <v>0</v>
      </c>
      <c r="Z11" s="28">
        <f t="shared" si="1"/>
        <v>0</v>
      </c>
      <c r="AA11" s="28">
        <f t="shared" si="1"/>
        <v>0</v>
      </c>
      <c r="AB11" s="28">
        <f t="shared" si="1"/>
        <v>0</v>
      </c>
    </row>
    <row r="12" spans="1:32" ht="12.75" hidden="1" customHeight="1" x14ac:dyDescent="0.2">
      <c r="A12" s="680"/>
      <c r="B12" s="28" t="s">
        <v>3486</v>
      </c>
      <c r="D12" s="28" t="s">
        <v>1693</v>
      </c>
      <c r="E12" s="28">
        <v>0</v>
      </c>
      <c r="F12" s="28">
        <v>0</v>
      </c>
      <c r="G12" s="28">
        <v>0</v>
      </c>
      <c r="I12" s="222"/>
      <c r="M12" s="32"/>
      <c r="Z12" s="28">
        <f t="shared" si="1"/>
        <v>0</v>
      </c>
      <c r="AA12" s="28">
        <f t="shared" si="1"/>
        <v>0</v>
      </c>
      <c r="AB12" s="28">
        <f t="shared" si="1"/>
        <v>0</v>
      </c>
    </row>
    <row r="13" spans="1:32" x14ac:dyDescent="0.2">
      <c r="A13" s="680"/>
      <c r="B13" s="3672" t="s">
        <v>3487</v>
      </c>
      <c r="C13" s="3673"/>
      <c r="D13" s="692"/>
      <c r="E13" s="497"/>
      <c r="F13" s="690">
        <f>IF(OR(E13="",E13=0),0,5%)</f>
      </c>
      <c r="G13" s="689">
        <f>ROUND(E13*F13,0)</f>
      </c>
      <c r="H13" s="366"/>
      <c r="I13" s="222" t="str">
        <f>IF(AND(E13&lt;&gt;"",ISBLANK(H13))," Tax A/c!","")</f>
        <v/>
      </c>
      <c r="K13" s="28">
        <f>IF(I13="",0,1)</f>
      </c>
      <c r="U13" s="28">
        <f t="shared" si="0"/>
        <v>0</v>
      </c>
      <c r="V13" s="28">
        <f t="shared" si="0"/>
        <v>0</v>
      </c>
      <c r="W13" s="28">
        <f t="shared" si="0"/>
        <v>0</v>
      </c>
      <c r="Z13" s="28">
        <f t="shared" si="1"/>
        <v>0</v>
      </c>
      <c r="AA13" s="28">
        <f t="shared" si="1"/>
        <v>0</v>
      </c>
      <c r="AB13" s="28">
        <f t="shared" si="1"/>
        <v>0</v>
      </c>
    </row>
    <row r="14" spans="1:32" x14ac:dyDescent="0.2">
      <c r="A14" s="680"/>
      <c r="B14" s="3672" t="s">
        <v>5458</v>
      </c>
      <c r="C14" s="3673"/>
      <c r="D14" s="693"/>
      <c r="E14" s="497"/>
      <c r="F14" s="694"/>
      <c r="G14" s="689">
        <f>IF(N14=0,0,IF(ISBLANK(F14),$O$1,IF(ISBLANK(E14),$O$2,ROUND(E14*F14,0))))</f>
      </c>
      <c r="H14" s="366"/>
      <c r="I14" s="222" t="str">
        <f>IF(N14=0,"",IF(H14=""," Tax A/c!",""))</f>
        <v/>
      </c>
      <c r="K14" s="28">
        <f t="shared" ref="K14:K26" si="2">IF(I14="",0,1)</f>
      </c>
      <c r="L14" s="28">
        <f>IF(G14=$O$1,1,IF(G14=$O$2,1,0))</f>
      </c>
      <c r="N14" s="28">
        <f>COUNT(E14:F14,H14)</f>
      </c>
      <c r="O14" s="28">
        <f>COUNT(E34:F34)</f>
      </c>
      <c r="U14" s="28">
        <f t="shared" si="0"/>
        <v>0</v>
      </c>
      <c r="V14" s="28">
        <f t="shared" si="0"/>
        <v>0</v>
      </c>
      <c r="W14" s="28">
        <f t="shared" si="0"/>
        <v>0</v>
      </c>
      <c r="Z14" s="28">
        <f t="shared" si="1"/>
        <v>0</v>
      </c>
      <c r="AA14" s="28">
        <f t="shared" si="1"/>
        <v>0</v>
      </c>
      <c r="AB14" s="28">
        <f t="shared" si="1"/>
        <v>0</v>
      </c>
    </row>
    <row r="15" spans="1:32" x14ac:dyDescent="0.2">
      <c r="A15" s="680"/>
      <c r="B15" s="3672" t="s">
        <v>529</v>
      </c>
      <c r="C15" s="3673"/>
      <c r="D15" s="692"/>
      <c r="E15" s="497"/>
      <c r="F15" s="690">
        <f>IF(OR(E15="",E15=0),0,27.5%)</f>
      </c>
      <c r="G15" s="689">
        <f>ROUND(E15*F15,0)</f>
      </c>
      <c r="H15" s="366"/>
      <c r="I15" s="222" t="str">
        <f>IF(AND(E15&lt;&gt;"",ISBLANK(H15))," Tax A/c!","")</f>
        <v/>
      </c>
      <c r="K15" s="28">
        <f t="shared" si="2"/>
        <v>0</v>
      </c>
      <c r="U15" s="28">
        <f t="shared" si="0"/>
        <v>0</v>
      </c>
      <c r="V15" s="28">
        <f t="shared" si="0"/>
        <v>0</v>
      </c>
      <c r="W15" s="28">
        <f t="shared" si="0"/>
        <v>0</v>
      </c>
      <c r="Z15" s="28">
        <f t="shared" si="1"/>
        <v>0</v>
      </c>
      <c r="AA15" s="28">
        <f t="shared" si="1"/>
        <v>0</v>
      </c>
      <c r="AB15" s="28">
        <f t="shared" si="1"/>
        <v>0</v>
      </c>
    </row>
    <row r="16" spans="1:32" x14ac:dyDescent="0.2">
      <c r="A16" s="680"/>
      <c r="B16" s="3672" t="s">
        <v>2369</v>
      </c>
      <c r="C16" s="3673"/>
      <c r="D16" s="692" t="s">
        <v>1049</v>
      </c>
      <c r="E16" s="689">
        <f>IF(M8=2,TRA27_28!J25,0)</f>
      </c>
      <c r="F16" s="690">
        <f>IF(M8=2,TRA27_28!O27,0)</f>
      </c>
      <c r="G16" s="689">
        <f>ROUND(E16*F16,0)</f>
      </c>
      <c r="H16" s="691" t="str">
        <f>IF(M8=2,TRA27_28!J26,"")</f>
        <v/>
      </c>
      <c r="I16" s="222"/>
      <c r="U16" s="28">
        <f t="shared" si="0"/>
        <v>0</v>
      </c>
      <c r="V16" s="28">
        <f t="shared" si="0"/>
        <v>0</v>
      </c>
      <c r="W16" s="28">
        <f t="shared" si="0"/>
        <v>0</v>
      </c>
      <c r="Z16" s="28">
        <f t="shared" si="1"/>
        <v>0</v>
      </c>
      <c r="AA16" s="28">
        <f t="shared" si="1"/>
        <v>0</v>
      </c>
      <c r="AB16" s="28">
        <f t="shared" si="1"/>
        <v>0</v>
      </c>
    </row>
    <row r="17" spans="1:28" x14ac:dyDescent="0.2">
      <c r="A17" s="680"/>
      <c r="B17" s="3672" t="s">
        <v>2370</v>
      </c>
      <c r="C17" s="3673"/>
      <c r="D17" s="695" t="s">
        <v>1020</v>
      </c>
      <c r="E17" s="497"/>
      <c r="F17" s="694"/>
      <c r="G17" s="689">
        <f>IF(N17=0,0,IF(ISBLANK(F17),$O$1,IF(ISBLANK(E17),$O$2,ROUND(E17*F17,0))))</f>
      </c>
      <c r="H17" s="366"/>
      <c r="I17" s="222" t="str">
        <f t="shared" ref="I17:I26" si="3">IF(N17=0,"",IF(H17=""," Tax A/c!",""))</f>
        <v/>
      </c>
      <c r="K17" s="28">
        <f t="shared" si="2"/>
        <v>0</v>
      </c>
      <c r="L17" s="28">
        <f>IF(G17=$O$1,1,IF(G17=$O$2,1,0))</f>
      </c>
      <c r="N17" s="28">
        <f>COUNT(E17:F17)</f>
      </c>
      <c r="O17" s="28">
        <f>COUNT(H17:I17)</f>
      </c>
      <c r="U17" s="28">
        <f t="shared" si="0"/>
        <v>0</v>
      </c>
      <c r="V17" s="28">
        <f t="shared" si="0"/>
        <v>0</v>
      </c>
      <c r="W17" s="28">
        <f t="shared" si="0"/>
        <v>0</v>
      </c>
      <c r="Z17" s="28">
        <f t="shared" si="1"/>
        <v>0</v>
      </c>
      <c r="AA17" s="28">
        <f t="shared" si="1"/>
        <v>0</v>
      </c>
      <c r="AB17" s="28">
        <f t="shared" si="1"/>
        <v>0</v>
      </c>
    </row>
    <row r="18" spans="1:28" x14ac:dyDescent="0.2">
      <c r="A18" s="680"/>
      <c r="B18" s="3672" t="s">
        <v>1828</v>
      </c>
      <c r="C18" s="3673"/>
      <c r="D18" s="695" t="s">
        <v>1020</v>
      </c>
      <c r="E18" s="497"/>
      <c r="F18" s="694"/>
      <c r="G18" s="689">
        <f>IF(N18=0,0,IF(ISBLANK(F18),$O$1,IF(ISBLANK(E18),$O$2,ROUND(E18*F18,0))))</f>
      </c>
      <c r="H18" s="366"/>
      <c r="I18" s="222" t="str">
        <f t="shared" si="3"/>
        <v/>
      </c>
      <c r="K18" s="28">
        <f t="shared" si="2"/>
        <v>0</v>
      </c>
      <c r="L18" s="28">
        <f>IF(G18=$O$1,1,IF(G18=$O$2,1,0))</f>
      </c>
      <c r="N18" s="28">
        <f>COUNT(E18:F18)</f>
      </c>
      <c r="O18" s="28">
        <f>COUNT(E35:F35)</f>
      </c>
      <c r="U18" s="28">
        <f t="shared" si="0"/>
        <v>0</v>
      </c>
      <c r="V18" s="28">
        <f t="shared" si="0"/>
        <v>0</v>
      </c>
      <c r="W18" s="28">
        <f t="shared" si="0"/>
        <v>0</v>
      </c>
      <c r="Z18" s="28">
        <f t="shared" si="1"/>
        <v>0</v>
      </c>
      <c r="AA18" s="28">
        <f t="shared" si="1"/>
        <v>0</v>
      </c>
      <c r="AB18" s="28">
        <f t="shared" si="1"/>
        <v>0</v>
      </c>
    </row>
    <row r="19" spans="1:28" x14ac:dyDescent="0.2">
      <c r="A19" s="680"/>
      <c r="B19" s="4744" t="s">
        <v>9888</v>
      </c>
      <c r="C19" s="4745"/>
      <c r="D19" s="695"/>
      <c r="E19" s="117"/>
      <c r="F19" s="696"/>
      <c r="G19" s="696"/>
      <c r="H19" s="696"/>
      <c r="I19" s="222"/>
      <c r="Z19" s="28">
        <f t="shared" si="1"/>
        <v>0</v>
      </c>
      <c r="AA19" s="28">
        <f t="shared" si="1"/>
        <v>0</v>
      </c>
      <c r="AB19" s="28">
        <f t="shared" si="1"/>
        <v>0</v>
      </c>
    </row>
    <row r="20" spans="1:28" x14ac:dyDescent="0.2">
      <c r="A20" s="680"/>
      <c r="B20" s="697" t="s">
        <v>3707</v>
      </c>
      <c r="C20" s="844" t="s">
        <v>9889</v>
      </c>
      <c r="D20" s="695" t="str">
        <f>IF(N20=0,"",IF(ISBLANK(C20),$O$3,""))</f>
        <v/>
      </c>
      <c r="E20" s="497"/>
      <c r="F20" s="694"/>
      <c r="G20" s="689">
        <f t="shared" ref="G20:G26" si="4">IF(N20=0,0,IF(ISBLANK(F20),$O$1,IF(ISBLANK(E20),$O$2,ROUND(E20*F20,0))))</f>
      </c>
      <c r="H20" s="366"/>
      <c r="I20" s="222" t="str">
        <f t="shared" si="3"/>
        <v/>
      </c>
      <c r="K20" s="28">
        <f t="shared" si="2"/>
        <v>0</v>
      </c>
      <c r="L20" s="28">
        <f t="shared" ref="L20:L26" si="5">IF(D20=$O$3,1,IF(G20=$O$1,1,IF(G20=$O$2,1,0)))</f>
      </c>
      <c r="N20" s="28">
        <f t="shared" ref="N20:N26" si="6">COUNT(E20:F20)</f>
      </c>
      <c r="U20" s="28">
        <f t="shared" si="0"/>
        <v>0</v>
      </c>
      <c r="V20" s="28">
        <f t="shared" si="0"/>
        <v>0</v>
      </c>
      <c r="W20" s="28">
        <f t="shared" si="0"/>
        <v>0</v>
      </c>
      <c r="Z20" s="28">
        <f t="shared" si="1"/>
        <v>0</v>
      </c>
      <c r="AA20" s="28">
        <f t="shared" si="1"/>
        <v>0</v>
      </c>
      <c r="AB20" s="28">
        <f t="shared" si="1"/>
        <v>0</v>
      </c>
    </row>
    <row r="21" spans="1:28" x14ac:dyDescent="0.2">
      <c r="A21" s="680"/>
      <c r="B21" s="697" t="s">
        <v>3707</v>
      </c>
      <c r="C21" s="844" t="s">
        <v>10135</v>
      </c>
      <c r="D21" s="692" t="s">
        <v>10120</v>
      </c>
      <c r="E21" s="689">
        <f>Q21</f>
      </c>
      <c r="F21" s="690">
        <v>0.05</v>
      </c>
      <c r="G21" s="689">
        <f>R21</f>
      </c>
      <c r="H21" s="3647" t="str">
        <f>S21</f>
        <v/>
      </c>
      <c r="I21" s="222"/>
      <c r="Q21" s="89">
        <f>'TRA120'!J13</f>
      </c>
      <c r="R21" s="89">
        <f>IF('TRA120'!J15="",0,'TRA120'!J15)</f>
      </c>
      <c r="S21" s="91" t="str">
        <f>IF('TRA120'!J17=0,"",'TRA120'!J17)</f>
        <v/>
      </c>
      <c r="U21" s="28">
        <f t="shared" si="0"/>
        <v>0</v>
      </c>
      <c r="V21" s="28">
        <f t="shared" si="0"/>
        <v>0</v>
      </c>
      <c r="W21" s="28">
        <f t="shared" si="0"/>
        <v>0</v>
      </c>
      <c r="Z21" s="28">
        <f t="shared" si="1"/>
        <v>0</v>
      </c>
      <c r="AA21" s="28">
        <f t="shared" si="1"/>
        <v>0</v>
      </c>
      <c r="AB21" s="28">
        <f t="shared" si="1"/>
        <v>0</v>
      </c>
    </row>
    <row r="22" spans="1:28" x14ac:dyDescent="0.2">
      <c r="A22" s="680"/>
      <c r="B22" s="697" t="s">
        <v>3707</v>
      </c>
      <c r="C22" s="698"/>
      <c r="D22" s="695" t="str">
        <f>IF(N22=0,"",IF(ISBLANK(C22),$O$3,""))</f>
        <v/>
      </c>
      <c r="E22" s="497"/>
      <c r="F22" s="694"/>
      <c r="G22" s="689">
        <f t="shared" si="4"/>
        <v>0</v>
      </c>
      <c r="H22" s="366"/>
      <c r="I22" s="222" t="str">
        <f t="shared" si="3"/>
        <v/>
      </c>
      <c r="K22" s="28">
        <f t="shared" si="2"/>
        <v>0</v>
      </c>
      <c r="L22" s="28">
        <f t="shared" si="5"/>
        <v>0</v>
      </c>
      <c r="N22" s="28">
        <f t="shared" si="6"/>
        <v>0</v>
      </c>
      <c r="U22" s="28">
        <f t="shared" si="0"/>
        <v>0</v>
      </c>
      <c r="V22" s="28">
        <f t="shared" si="0"/>
        <v>0</v>
      </c>
      <c r="W22" s="28">
        <f t="shared" si="0"/>
        <v>0</v>
      </c>
      <c r="Z22" s="28">
        <f t="shared" si="1"/>
        <v>0</v>
      </c>
      <c r="AA22" s="28">
        <f t="shared" si="1"/>
        <v>0</v>
      </c>
      <c r="AB22" s="28">
        <f t="shared" si="1"/>
        <v>0</v>
      </c>
    </row>
    <row r="23" spans="1:28" x14ac:dyDescent="0.2">
      <c r="A23" s="680"/>
      <c r="B23" s="697" t="s">
        <v>3707</v>
      </c>
      <c r="C23" s="698"/>
      <c r="D23" s="695" t="str">
        <f>IF(N23=0,"",IF(ISBLANK(C23),$O$3,""))</f>
        <v/>
      </c>
      <c r="E23" s="497"/>
      <c r="F23" s="694"/>
      <c r="G23" s="689">
        <f t="shared" si="4"/>
        <v>0</v>
      </c>
      <c r="H23" s="366"/>
      <c r="I23" s="222" t="str">
        <f t="shared" si="3"/>
        <v/>
      </c>
      <c r="K23" s="28">
        <f t="shared" si="2"/>
        <v>0</v>
      </c>
      <c r="L23" s="28">
        <f t="shared" si="5"/>
        <v>0</v>
      </c>
      <c r="N23" s="28">
        <f t="shared" si="6"/>
        <v>0</v>
      </c>
      <c r="U23" s="28">
        <f t="shared" ref="U23:W26" si="7">IF($H23=U$5,$E23,0)</f>
      </c>
      <c r="V23" s="28">
        <f t="shared" si="7"/>
        <v>0</v>
      </c>
      <c r="W23" s="28">
        <f t="shared" si="7"/>
        <v>0</v>
      </c>
      <c r="Z23" s="28">
        <f t="shared" ref="Z23:AB26" si="8">IF($H23=Z$5,$G23,0)</f>
      </c>
      <c r="AA23" s="28">
        <f t="shared" si="8"/>
        <v>0</v>
      </c>
      <c r="AB23" s="28">
        <f t="shared" si="8"/>
        <v>0</v>
      </c>
    </row>
    <row r="24" spans="1:28" x14ac:dyDescent="0.2">
      <c r="A24" s="680"/>
      <c r="B24" s="697" t="s">
        <v>3707</v>
      </c>
      <c r="C24" s="698"/>
      <c r="D24" s="695" t="str">
        <f>IF(N24=0,"",IF(ISBLANK(C24),$O$3,""))</f>
        <v/>
      </c>
      <c r="E24" s="497"/>
      <c r="F24" s="694"/>
      <c r="G24" s="689">
        <f t="shared" si="4"/>
        <v>0</v>
      </c>
      <c r="H24" s="366"/>
      <c r="I24" s="222" t="str">
        <f t="shared" si="3"/>
        <v/>
      </c>
      <c r="K24" s="28">
        <f t="shared" si="2"/>
        <v>0</v>
      </c>
      <c r="L24" s="28">
        <f t="shared" si="5"/>
        <v>0</v>
      </c>
      <c r="N24" s="28">
        <f t="shared" si="6"/>
        <v>0</v>
      </c>
      <c r="U24" s="28">
        <f t="shared" si="7"/>
        <v>0</v>
      </c>
      <c r="V24" s="28">
        <f t="shared" si="7"/>
        <v>0</v>
      </c>
      <c r="W24" s="28">
        <f t="shared" si="7"/>
        <v>0</v>
      </c>
      <c r="Z24" s="28">
        <f t="shared" si="8"/>
        <v>0</v>
      </c>
      <c r="AA24" s="28">
        <f t="shared" si="8"/>
        <v>0</v>
      </c>
      <c r="AB24" s="28">
        <f t="shared" si="8"/>
        <v>0</v>
      </c>
    </row>
    <row r="25" spans="1:28" x14ac:dyDescent="0.2">
      <c r="A25" s="680"/>
      <c r="B25" s="697" t="s">
        <v>3707</v>
      </c>
      <c r="C25" s="698"/>
      <c r="D25" s="695" t="str">
        <f>IF(N25=0,"",IF(ISBLANK(C25),$O$3,""))</f>
        <v/>
      </c>
      <c r="E25" s="497"/>
      <c r="F25" s="694"/>
      <c r="G25" s="689">
        <f t="shared" si="4"/>
        <v>0</v>
      </c>
      <c r="H25" s="366"/>
      <c r="I25" s="222" t="str">
        <f t="shared" si="3"/>
        <v/>
      </c>
      <c r="K25" s="28">
        <f t="shared" si="2"/>
        <v>0</v>
      </c>
      <c r="L25" s="28">
        <f t="shared" si="5"/>
        <v>0</v>
      </c>
      <c r="N25" s="28">
        <f t="shared" si="6"/>
        <v>0</v>
      </c>
      <c r="U25" s="28">
        <f t="shared" si="7"/>
        <v>0</v>
      </c>
      <c r="V25" s="28">
        <f t="shared" si="7"/>
        <v>0</v>
      </c>
      <c r="W25" s="28">
        <f t="shared" si="7"/>
        <v>0</v>
      </c>
      <c r="Z25" s="28">
        <f t="shared" si="8"/>
        <v>0</v>
      </c>
      <c r="AA25" s="28">
        <f t="shared" si="8"/>
        <v>0</v>
      </c>
      <c r="AB25" s="28">
        <f t="shared" si="8"/>
        <v>0</v>
      </c>
    </row>
    <row r="26" spans="1:28" x14ac:dyDescent="0.2">
      <c r="A26" s="680"/>
      <c r="B26" s="697" t="s">
        <v>3707</v>
      </c>
      <c r="C26" s="698"/>
      <c r="D26" s="695" t="str">
        <f>IF(N26=0,"",IF(ISBLANK(C26),$O$3,""))</f>
        <v/>
      </c>
      <c r="E26" s="497"/>
      <c r="F26" s="694"/>
      <c r="G26" s="689">
        <f t="shared" si="4"/>
        <v>0</v>
      </c>
      <c r="H26" s="366"/>
      <c r="I26" s="222" t="str">
        <f t="shared" si="3"/>
        <v/>
      </c>
      <c r="K26" s="28">
        <f t="shared" si="2"/>
        <v>0</v>
      </c>
      <c r="L26" s="28">
        <f t="shared" si="5"/>
        <v>0</v>
      </c>
      <c r="N26" s="28">
        <f t="shared" si="6"/>
        <v>0</v>
      </c>
      <c r="U26" s="28">
        <f t="shared" si="7"/>
        <v>0</v>
      </c>
      <c r="V26" s="28">
        <f t="shared" si="7"/>
        <v>0</v>
      </c>
      <c r="W26" s="28">
        <f t="shared" si="7"/>
        <v>0</v>
      </c>
      <c r="Z26" s="28">
        <f t="shared" si="8"/>
        <v>0</v>
      </c>
      <c r="AA26" s="28">
        <f t="shared" si="8"/>
        <v>0</v>
      </c>
      <c r="AB26" s="28">
        <f t="shared" si="8"/>
        <v>0</v>
      </c>
    </row>
    <row r="27" spans="1:28" x14ac:dyDescent="0.2">
      <c r="A27" s="680"/>
      <c r="B27" s="699"/>
      <c r="C27" s="676"/>
      <c r="D27" s="676"/>
      <c r="E27" s="676"/>
      <c r="F27" s="676"/>
      <c r="G27" s="676"/>
      <c r="H27" s="676"/>
      <c r="I27" s="222"/>
      <c r="K27" s="28">
        <f>SUM(K13:K26)</f>
      </c>
      <c r="U27" s="192">
        <f>ROUND(SUM(U7:U26),0)</f>
      </c>
      <c r="V27" s="192">
        <f>ROUND(SUM(V7:V26),0)</f>
      </c>
      <c r="W27" s="192">
        <f>ROUND(SUM(W7:W26),0)</f>
      </c>
      <c r="Z27" s="192">
        <f>ROUND(SUM(Z7:Z26),0)</f>
      </c>
      <c r="AA27" s="192">
        <f>ROUND(SUM(AA7:AA26),0)</f>
      </c>
      <c r="AB27" s="192">
        <f>ROUND(SUM(AB7:AB26),0)</f>
      </c>
    </row>
    <row r="28" spans="1:28" x14ac:dyDescent="0.2">
      <c r="A28" s="680"/>
      <c r="B28" s="4746" t="s">
        <v>5590</v>
      </c>
      <c r="C28" s="4746"/>
      <c r="D28" s="4746"/>
      <c r="E28" s="223"/>
      <c r="F28" s="676" t="str">
        <f>IF(M29=0,"",IF(E28="",re,""))</f>
        <v/>
      </c>
      <c r="G28" s="223"/>
      <c r="H28" s="222" t="str">
        <f>IF(M29=0,"",IF(ISBLANK(G28),re,""))</f>
        <v/>
      </c>
      <c r="I28" s="222"/>
      <c r="K28" s="28">
        <f>IF(OR(F28&lt;&gt;"",H28&lt;&gt;""),1,0)</f>
      </c>
      <c r="W28" s="28">
        <f>SUM(U27:W27)</f>
      </c>
      <c r="AB28" s="28">
        <f>SUM(Z27:AB27)</f>
      </c>
    </row>
    <row r="29" spans="1:28" x14ac:dyDescent="0.2">
      <c r="A29" s="680"/>
      <c r="B29" s="1118" t="str">
        <f>IF(E28&lt;&gt;E29,$O$4,IF(G28&lt;&gt;G29,$O$4,""))</f>
        <v/>
      </c>
      <c r="C29" s="679"/>
      <c r="D29" s="679"/>
      <c r="E29" s="700">
        <f>ROUND(SUM(E6:E11,E13:E18,E20:E26),0)</f>
      </c>
      <c r="F29" s="680"/>
      <c r="G29" s="700">
        <f>ROUND(SUM(G6:G18,G20:G26),0)</f>
      </c>
      <c r="H29" s="679"/>
      <c r="I29" s="222"/>
      <c r="L29" s="28">
        <f>SUM(L28,L20:L26,L17:L18,L14,K27,K28)</f>
      </c>
      <c r="M29" s="32">
        <f>SUM(E29,G29)</f>
      </c>
    </row>
    <row r="32" spans="1:28" hidden="1" x14ac:dyDescent="0.2">
      <c r="L32" s="28">
        <f>IF(M29=0,0,IF(L29&lt;&gt;0,100,IF(D50&lt;&gt;P2,100,1)))</f>
      </c>
    </row>
    <row r="47" spans="1:9" x14ac:dyDescent="0.2">
      <c r="A47" s="3"/>
      <c r="B47" s="3"/>
      <c r="C47" s="3"/>
      <c r="D47" s="3"/>
      <c r="E47" s="3"/>
      <c r="F47" s="3"/>
      <c r="G47" s="3"/>
      <c r="H47" s="3"/>
      <c r="I47" s="3"/>
    </row>
    <row r="48" spans="1:9" x14ac:dyDescent="0.2">
      <c r="A48" s="3"/>
      <c r="B48" s="17" t="str">
        <f>_xlfn.SINGLE(MTCA)</f>
      </c>
      <c r="C48" s="536" t="str">
        <f>ver</f>
        <v>TA2_e-CO_2025_Ver 1.1</v>
      </c>
      <c r="D48" s="3"/>
      <c r="E48" s="3"/>
      <c r="F48" s="3"/>
      <c r="G48" s="3"/>
      <c r="H48" s="536" t="s">
        <v>6951</v>
      </c>
      <c r="I48" s="3"/>
    </row>
    <row r="49" spans="1:9" x14ac:dyDescent="0.2">
      <c r="A49" s="3"/>
      <c r="B49" s="17"/>
      <c r="C49" s="3"/>
      <c r="D49" s="3"/>
      <c r="E49" s="3"/>
      <c r="F49" s="3"/>
      <c r="G49" s="3"/>
      <c r="H49" s="3"/>
      <c r="I49" s="3"/>
    </row>
    <row r="50" spans="1:9" x14ac:dyDescent="0.2">
      <c r="A50" s="3"/>
      <c r="B50" s="237"/>
      <c r="C50" s="610" t="str">
        <f>COM</f>
      </c>
      <c r="D50" s="275"/>
      <c r="E50" s="3"/>
      <c r="F50" s="3"/>
      <c r="G50" s="3"/>
      <c r="H50" s="3"/>
      <c r="I50" s="3"/>
    </row>
    <row r="51" spans="1:9" x14ac:dyDescent="0.2">
      <c r="A51" s="3"/>
      <c r="B51" s="3"/>
      <c r="C51" s="3"/>
      <c r="D51" s="3"/>
      <c r="E51" s="3"/>
      <c r="F51" s="3"/>
      <c r="G51" s="3"/>
      <c r="H51" s="3"/>
      <c r="I51" s="3"/>
    </row>
    <row r="52" spans="1:9" x14ac:dyDescent="0.2">
      <c r="A52" s="3"/>
      <c r="B52" s="1175" t="s">
        <v>6290</v>
      </c>
      <c r="C52" s="1175"/>
      <c r="D52" s="1175"/>
      <c r="E52" s="1175"/>
      <c r="F52" s="1175"/>
      <c r="G52" s="3"/>
      <c r="H52" s="3"/>
      <c r="I52" s="3"/>
    </row>
  </sheetData>
  <sheetProtection algorithmName="SHA-512" hashValue="zSfqK72YtTF87pXqoguyi8HgqojVe3ScEYgpRNj87aId3biQMZgmy+bl7N48tAlvr6N5tTx5BaHa/JLTJNwbXA==" saltValue="HDgPSJa2fFQYY6M9VYxvhQ==" spinCount="100000" sheet="1" objects="1" scenarios="1"/>
  <customSheetViews>
    <customSheetView guid="{99B5278F-6EA9-4B1A-8623-27A4DF4AD5E4}" showGridLines="0" hiddenRows="1" hiddenColumns="1">
      <selection activeCell="E13" sqref="E13"/>
      <pageMargins left="0.51181102362204722" right="0.35433070866141736" top="0.70866141732283472" bottom="0.98425196850393704" header="0.51181102362204722" footer="0.51181102362204722"/>
      <printOptions horizontalCentered="1"/>
      <pageSetup paperSize="9" orientation="portrait" horizontalDpi="300" verticalDpi="300" r:id="rId1"/>
      <headerFooter alignWithMargins="0">
        <oddFooter>&amp;LName&amp;CSignature&amp;RDate</oddFooter>
      </headerFooter>
    </customSheetView>
  </customSheetViews>
  <mergeCells count="3">
    <mergeCell ref="B19:C19"/>
    <mergeCell ref="B28:D28"/>
    <mergeCell ref="B1:G1"/>
  </mergeCells>
  <phoneticPr fontId="0" type="noConversion"/>
  <conditionalFormatting sqref="B27:H27 F28">
    <cfRule type="cellIs" dxfId="723" priority="1" stopIfTrue="1" operator="equal">
      <formula>"yes"</formula>
    </cfRule>
  </conditionalFormatting>
  <conditionalFormatting sqref="G14 G17:G18 G20:G26">
    <cfRule type="cellIs" dxfId="722" priority="2" stopIfTrue="1" operator="equal">
      <formula>$O$1</formula>
    </cfRule>
    <cfRule type="cellIs" dxfId="721" priority="3" stopIfTrue="1" operator="equal">
      <formula>$O$2</formula>
    </cfRule>
  </conditionalFormatting>
  <dataValidations count="11">
    <dataValidation type="whole" errorStyle="warning" operator="equal" allowBlank="1" showInputMessage="1" showErrorMessage="1" errorTitle="TOTALS" error="CHECK VALUE ENTERED!" sqref="E28 G28" xr:uid="{00000000-0002-0000-1D00-000000000000}">
      <formula1>E29</formula1>
    </dataValidation>
    <dataValidation type="whole" operator="greaterThanOrEqual" allowBlank="1" showInputMessage="1" showErrorMessage="1" errorTitle="CHARGEABLE INCOME" error="PLEASE ENTER A POSITIVE VALUE!" sqref="E17:E18 E13:E15 E20 E22:E26" xr:uid="{00000000-0002-0000-1D00-000001000000}">
      <formula1>0</formula1>
    </dataValidation>
    <dataValidation allowBlank="1" showInputMessage="1" showErrorMessage="1" errorTitle="BPA - REGULATION 6 [MINIMUM TAX]" error="FIELDS 84a AND / OR 84b CANNOT BE BLANK!" sqref="G20:G26 G7:G18" xr:uid="{00000000-0002-0000-1D00-000002000000}"/>
    <dataValidation operator="greaterThanOrEqual" allowBlank="1" showInputMessage="1" showErrorMessage="1" errorTitle="CHARGEABLE INCOME" error="PLEASE ENTER A POSITIVE VALUE!" sqref="E16 E9" xr:uid="{00000000-0002-0000-1D00-000003000000}"/>
    <dataValidation allowBlank="1" showInputMessage="1" showErrorMessage="1" errorTitle="REDUCED RATES" error="RATE MUST BE POSITIVE AND CANNOT BE MORE THAN 35%!" sqref="F9 F16" xr:uid="{00000000-0002-0000-1D00-000004000000}"/>
    <dataValidation errorStyle="warning" allowBlank="1" showInputMessage="1" showErrorMessage="1" errorTitle="BPA  -  ARTICLE 6" error="ENSURE THAT THE CORRECT RATE IS ENTERED!" sqref="F7:F8" xr:uid="{00000000-0002-0000-1D00-000005000000}"/>
    <dataValidation type="textLength" allowBlank="1" showInputMessage="1" showErrorMessage="1" errorTitle="LEGISLATION" error="Please quote correct legislation and article!" sqref="C20:C26" xr:uid="{00000000-0002-0000-1D00-000006000000}">
      <formula1>4</formula1>
      <formula2>22</formula2>
    </dataValidation>
    <dataValidation type="list" allowBlank="1" showInputMessage="1" showErrorMessage="1" errorTitle="Dropdown list" error="Choose an item from the list!_x000a_" sqref="D50" xr:uid="{00000000-0002-0000-1D00-000007000000}">
      <formula1>$P$1:$P$3</formula1>
    </dataValidation>
    <dataValidation type="decimal" allowBlank="1" showInputMessage="1" showErrorMessage="1" errorTitle="Rate" error="Please enter a value expressed as a decimal!_x000a_0% will not be accepted; exempt income should be included in TRA 18!" sqref="F14 F20:F26 F17:F18" xr:uid="{00000000-0002-0000-1D00-000008000000}">
      <formula1>0.001</formula1>
      <formula2>0.35</formula2>
    </dataValidation>
    <dataValidation type="list" allowBlank="1" showInputMessage="1" showErrorMessage="1" sqref="H13:H15 H17:H18 H20 H22:H26" xr:uid="{00000000-0002-0000-1D00-000009000000}">
      <formula1>$AF$2:$AF$5</formula1>
    </dataValidation>
    <dataValidation operator="greaterThanOrEqual" allowBlank="1" showInputMessage="1" showErrorMessage="1" sqref="E21" xr:uid="{00000000-0002-0000-1D00-00000A000000}"/>
  </dataValidations>
  <hyperlinks>
    <hyperlink ref="D7" location="TRA23_24!A1" display="TRA23_24!A1" xr:uid="{00000000-0004-0000-1D00-000000000000}"/>
    <hyperlink ref="D8" location="TRA23_24!A1" display="TRA23_24!A1" xr:uid="{00000000-0004-0000-1D00-000001000000}"/>
    <hyperlink ref="D9" location="TRA27_28!A1" display="TRA27_28!A1" xr:uid="{00000000-0004-0000-1D00-000002000000}"/>
    <hyperlink ref="D16" location="TRA27_28!A1" display="TRA27_28!A1" xr:uid="{00000000-0004-0000-1D00-000003000000}"/>
    <hyperlink ref="B52" location="Index!a31" display="Index!a31" xr:uid="{00000000-0004-0000-1D00-000004000000}"/>
    <hyperlink ref="D21" location="'TRA120'!A1" display="TRA 120" xr:uid="{00000000-0004-0000-1D00-000005000000}"/>
  </hyperlinks>
  <printOptions horizontalCentered="1"/>
  <pageMargins left="0.51181102362204722" right="0.35433070866141736" top="0.70866141732283472" bottom="0.98425196850393704" header="0.51181102362204722" footer="0.51181102362204722"/>
  <pageSetup paperSize="9" orientation="landscape" r:id="rId2"/>
  <headerFooter alignWithMargins="0">
    <oddFooter>&amp;LName&amp;CSignature&amp;RDate</oddFooter>
  </headerFooter>
  <ignoredErrors>
    <ignoredError sqref="H21" unlockedFormula="1"/>
    <ignoredError sqref="G21" formula="1"/>
  </ignoredError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7">
    <pageSetUpPr fitToPage="1"/>
  </sheetPr>
  <dimension ref="A1:BZ61"/>
  <sheetViews>
    <sheetView showGridLines="0" workbookViewId="0">
      <selection activeCell="G28" sqref="G28"/>
    </sheetView>
  </sheetViews>
  <sheetFormatPr defaultColWidth="0" defaultRowHeight="12.75" customHeight="1" zeroHeight="1" x14ac:dyDescent="0.2"/>
  <cols>
    <col min="1" max="1" width="2.28515625" style="28" customWidth="1"/>
    <col min="2" max="2" width="50.5703125" style="47" customWidth="1"/>
    <col min="3" max="3" width="9.7109375" style="47" customWidth="1"/>
    <col min="4" max="4" width="10.7109375" style="47" customWidth="1"/>
    <col min="5" max="5" width="9.7109375" style="47" customWidth="1"/>
    <col min="6" max="6" width="9.28515625" style="47" customWidth="1"/>
    <col min="7" max="7" width="10" style="47" customWidth="1"/>
    <col min="8" max="8" width="10.28515625" style="47" customWidth="1"/>
    <col min="9" max="9" width="10.5703125" style="47" customWidth="1"/>
    <col min="10" max="10" width="4" style="71" hidden="1" customWidth="1"/>
    <col min="11" max="11" width="9.28515625" style="28" hidden="1" customWidth="1"/>
    <col min="12" max="12" width="10.28515625" style="28" hidden="1" customWidth="1"/>
    <col min="13" max="28" width="9.28515625" style="28" hidden="1" customWidth="1"/>
    <col min="29" max="29" width="13.5703125" style="28" hidden="1" customWidth="1"/>
    <col min="30" max="30" width="9.28515625" style="28" hidden="1" customWidth="1"/>
    <col min="31" max="31" width="19.28515625" style="28" hidden="1" customWidth="1"/>
    <col min="32" max="78" width="9.28515625" style="28" hidden="1" customWidth="1"/>
    <col min="79" max="16384" width="9.28515625" style="47" hidden="1"/>
  </cols>
  <sheetData>
    <row r="1" spans="1:50" ht="12.75" customHeight="1" x14ac:dyDescent="0.2">
      <c r="A1" s="4425" t="str">
        <f>_ref1</f>
      </c>
      <c r="B1" s="4425"/>
      <c r="C1" s="4425"/>
      <c r="D1" s="4425"/>
      <c r="E1" s="4425"/>
      <c r="F1" s="4425"/>
      <c r="G1" s="4425"/>
      <c r="H1" s="65" t="str">
        <f>_YA1</f>
      </c>
      <c r="I1" s="3"/>
      <c r="AX1" s="122">
        <f>ya</f>
      </c>
    </row>
    <row r="2" spans="1:50" ht="18" x14ac:dyDescent="0.25">
      <c r="A2" s="4476" t="s">
        <v>3232</v>
      </c>
      <c r="B2" s="4476"/>
      <c r="C2" s="4476"/>
      <c r="D2" s="4476"/>
      <c r="E2" s="4476"/>
      <c r="F2" s="4476"/>
      <c r="G2" s="4476"/>
      <c r="H2" s="4476"/>
      <c r="I2" s="3"/>
      <c r="K2" s="28">
        <f>IF(AND(ISBLANK(C4),ISBLANK(D6),ISBLANK(D8),ISBLANK(D10),D12=0,ISBLANK(D26)),0,1)</f>
      </c>
      <c r="AB2" s="28" t="s">
        <v>3233</v>
      </c>
      <c r="AC2" s="28" t="str">
        <f>IF(D8="","",IF(D8=AB2,0.45,IF(D8=AB3,0.8,IF(D8=AB4,0.35,IF(D8=AB5,0.6)))))</f>
        <v/>
      </c>
    </row>
    <row r="3" spans="1:50" ht="3.75" customHeight="1" x14ac:dyDescent="0.2">
      <c r="A3" s="3"/>
      <c r="B3" s="3"/>
      <c r="C3" s="3"/>
      <c r="D3" s="3"/>
      <c r="E3" s="3"/>
      <c r="F3" s="3"/>
      <c r="G3" s="3"/>
      <c r="H3" s="3"/>
      <c r="I3" s="3"/>
      <c r="L3" s="28" t="s">
        <v>1785</v>
      </c>
      <c r="AB3" s="28" t="s">
        <v>3234</v>
      </c>
    </row>
    <row r="4" spans="1:50" x14ac:dyDescent="0.2">
      <c r="A4" s="3"/>
      <c r="B4" s="653" t="s">
        <v>6210</v>
      </c>
      <c r="C4" s="4749"/>
      <c r="D4" s="4750"/>
      <c r="E4" s="61" t="str">
        <f>IF(K2=0,"",IF(ISBLANK(C4),"Certificate number !",""))</f>
        <v/>
      </c>
      <c r="F4" s="3"/>
      <c r="G4" s="3"/>
      <c r="H4" s="3"/>
      <c r="I4" s="3"/>
      <c r="J4" s="71">
        <f>IF(E4="",0,1)</f>
      </c>
      <c r="AB4" s="28" t="s">
        <v>3235</v>
      </c>
    </row>
    <row r="5" spans="1:50" ht="5.25" customHeight="1" x14ac:dyDescent="0.2">
      <c r="A5" s="3"/>
      <c r="B5" s="3"/>
      <c r="C5" s="3"/>
      <c r="D5" s="3"/>
      <c r="E5" s="3"/>
      <c r="F5" s="3"/>
      <c r="G5" s="3"/>
      <c r="H5" s="3"/>
      <c r="I5" s="3"/>
      <c r="L5" s="28">
        <f>IF(D6="",1,0)</f>
      </c>
      <c r="AB5" s="28" t="s">
        <v>3236</v>
      </c>
    </row>
    <row r="6" spans="1:50" x14ac:dyDescent="0.2">
      <c r="A6" s="3"/>
      <c r="B6" s="4754" t="s">
        <v>6211</v>
      </c>
      <c r="C6" s="4755"/>
      <c r="D6" s="275"/>
      <c r="E6" s="249" t="str">
        <f>IF(K2=0,"",IF(ISBLANK(D6)," Required!",""))</f>
        <v/>
      </c>
      <c r="F6" s="72"/>
      <c r="G6" s="72"/>
      <c r="H6" s="3"/>
      <c r="I6" s="3"/>
      <c r="J6" s="71">
        <f>IF(E6="",0,1)</f>
      </c>
      <c r="Q6" s="40" t="s">
        <v>4457</v>
      </c>
    </row>
    <row r="7" spans="1:50" ht="4.5" customHeight="1" x14ac:dyDescent="0.2">
      <c r="A7" s="3"/>
      <c r="B7" s="3"/>
      <c r="C7" s="3"/>
      <c r="D7" s="3"/>
      <c r="E7" s="3"/>
      <c r="F7" s="3"/>
      <c r="G7" s="3"/>
      <c r="H7" s="3"/>
      <c r="I7" s="3"/>
      <c r="Q7" s="40" t="s">
        <v>1736</v>
      </c>
    </row>
    <row r="8" spans="1:50" x14ac:dyDescent="0.2">
      <c r="A8" s="3"/>
      <c r="B8" s="4752" t="s">
        <v>1516</v>
      </c>
      <c r="C8" s="4753"/>
      <c r="D8" s="702"/>
      <c r="E8" s="595" t="str">
        <f>IF(K2=0,"",IF(ISBLANK(D8),"Indicate appropriate subregulation!",""))</f>
        <v/>
      </c>
      <c r="F8" s="539"/>
      <c r="G8" s="539"/>
      <c r="H8" s="3"/>
      <c r="I8" s="3"/>
      <c r="J8" s="71">
        <f>IF(E8="",0,1)</f>
      </c>
    </row>
    <row r="9" spans="1:50" ht="12" customHeight="1" x14ac:dyDescent="0.2">
      <c r="A9" s="3"/>
      <c r="B9" s="358"/>
      <c r="C9" s="3"/>
      <c r="D9" s="358"/>
      <c r="E9" s="358"/>
      <c r="F9" s="358"/>
      <c r="G9" s="358"/>
      <c r="H9" s="3"/>
      <c r="I9" s="3"/>
    </row>
    <row r="10" spans="1:50" ht="12" customHeight="1" x14ac:dyDescent="0.2">
      <c r="A10" s="3"/>
      <c r="B10" s="4269" t="s">
        <v>2225</v>
      </c>
      <c r="C10" s="4751"/>
      <c r="D10" s="655"/>
      <c r="E10" s="249" t="str">
        <f>IF(K2=0,"",IF(ISBLANK(D10)," Required!",""))</f>
        <v/>
      </c>
      <c r="F10" s="358"/>
      <c r="G10" s="358"/>
      <c r="H10" s="3"/>
      <c r="I10" s="3"/>
      <c r="J10" s="71">
        <f>IF(E10="",0,1)</f>
      </c>
    </row>
    <row r="11" spans="1:50" ht="12" hidden="1" customHeight="1" x14ac:dyDescent="0.2">
      <c r="A11" s="3"/>
      <c r="B11" s="358"/>
      <c r="C11" s="3"/>
      <c r="D11" s="358"/>
      <c r="E11" s="358"/>
      <c r="F11" s="358"/>
      <c r="G11" s="358"/>
      <c r="H11" s="3"/>
      <c r="I11" s="3"/>
    </row>
    <row r="12" spans="1:50" hidden="1" x14ac:dyDescent="0.2">
      <c r="A12" s="72"/>
      <c r="B12" s="120" t="s">
        <v>4537</v>
      </c>
      <c r="C12" s="3"/>
      <c r="D12" s="223">
        <f>ROUND(D24,0)</f>
      </c>
      <c r="E12" s="406"/>
      <c r="F12" s="3"/>
      <c r="G12" s="639"/>
      <c r="H12" s="3"/>
      <c r="I12" s="3"/>
    </row>
    <row r="13" spans="1:50" ht="5.25" hidden="1" customHeight="1" x14ac:dyDescent="0.2">
      <c r="A13" s="34"/>
      <c r="B13" s="34"/>
      <c r="C13" s="34"/>
      <c r="D13" s="34"/>
      <c r="E13" s="34"/>
      <c r="F13" s="3"/>
      <c r="G13" s="3"/>
      <c r="H13" s="3"/>
      <c r="I13" s="3"/>
    </row>
    <row r="14" spans="1:50" hidden="1" x14ac:dyDescent="0.2">
      <c r="A14" s="34"/>
      <c r="C14" s="34"/>
      <c r="F14" s="3"/>
      <c r="G14" s="64"/>
      <c r="H14" s="3"/>
      <c r="I14" s="3"/>
      <c r="J14" s="28"/>
    </row>
    <row r="15" spans="1:50" ht="12.75" customHeight="1" x14ac:dyDescent="0.2">
      <c r="A15" s="34"/>
      <c r="B15" s="34"/>
      <c r="C15" s="34"/>
      <c r="D15" s="703" t="str">
        <f>IF(AC2="","","Max. = "&amp;AC2*100&amp;"%")</f>
        <v/>
      </c>
      <c r="E15" s="34"/>
      <c r="F15" s="3"/>
      <c r="G15" s="3"/>
      <c r="H15" s="3"/>
      <c r="I15" s="3"/>
    </row>
    <row r="16" spans="1:50" x14ac:dyDescent="0.2">
      <c r="A16" s="34"/>
      <c r="B16" s="4270" t="s">
        <v>4539</v>
      </c>
      <c r="C16" s="4272"/>
      <c r="D16" s="34"/>
      <c r="E16" s="658"/>
      <c r="F16" s="658"/>
      <c r="G16" s="658"/>
      <c r="H16" s="3"/>
      <c r="I16" s="3"/>
      <c r="L16" s="131">
        <f>IF(K2=0,0,IF(D10="",0,ROUND(D12*D10,0)))</f>
      </c>
      <c r="M16" s="74"/>
    </row>
    <row r="17" spans="1:24" ht="5.25" customHeight="1" x14ac:dyDescent="0.2">
      <c r="A17" s="3"/>
      <c r="B17" s="34"/>
      <c r="C17" s="34"/>
      <c r="D17" s="34"/>
      <c r="E17" s="3"/>
      <c r="F17" s="3"/>
      <c r="G17" s="3"/>
      <c r="H17" s="3"/>
      <c r="I17" s="3"/>
      <c r="L17" s="30" t="s">
        <v>3696</v>
      </c>
    </row>
    <row r="18" spans="1:24" ht="14.25" x14ac:dyDescent="0.2">
      <c r="A18" s="2" t="s">
        <v>4540</v>
      </c>
      <c r="B18" s="3" t="s">
        <v>1517</v>
      </c>
      <c r="C18" s="223"/>
      <c r="D18" s="34"/>
      <c r="E18" s="75"/>
      <c r="F18" s="3"/>
      <c r="G18" s="3"/>
      <c r="H18" s="3"/>
      <c r="I18" s="3"/>
    </row>
    <row r="19" spans="1:24" ht="12.75" customHeight="1" x14ac:dyDescent="0.2">
      <c r="A19" s="2" t="s">
        <v>4545</v>
      </c>
      <c r="B19" s="3" t="s">
        <v>1518</v>
      </c>
      <c r="C19" s="223"/>
      <c r="D19" s="3"/>
      <c r="E19" s="50"/>
      <c r="F19" s="17"/>
      <c r="G19" s="3"/>
      <c r="H19" s="3"/>
      <c r="I19" s="3"/>
    </row>
    <row r="20" spans="1:24" ht="12.75" customHeight="1" x14ac:dyDescent="0.2">
      <c r="A20" s="2" t="s">
        <v>4541</v>
      </c>
      <c r="B20" s="3" t="s">
        <v>2934</v>
      </c>
      <c r="C20" s="223"/>
      <c r="D20" s="17"/>
      <c r="E20" s="17"/>
      <c r="F20" s="17"/>
      <c r="G20" s="61"/>
      <c r="H20" s="3"/>
      <c r="I20" s="3"/>
    </row>
    <row r="21" spans="1:24" ht="12.75" customHeight="1" x14ac:dyDescent="0.2">
      <c r="A21" s="2" t="s">
        <v>4542</v>
      </c>
      <c r="B21" s="3" t="s">
        <v>4538</v>
      </c>
      <c r="C21" s="223"/>
      <c r="D21" s="242"/>
      <c r="E21" s="114"/>
      <c r="F21" s="17"/>
      <c r="G21" s="3"/>
      <c r="H21" s="3"/>
      <c r="I21" s="3"/>
      <c r="R21" s="28">
        <v>1</v>
      </c>
      <c r="S21" s="76" t="s">
        <v>1080</v>
      </c>
    </row>
    <row r="22" spans="1:24" ht="12.75" customHeight="1" x14ac:dyDescent="0.2">
      <c r="A22" s="2" t="s">
        <v>4543</v>
      </c>
      <c r="B22" s="3" t="s">
        <v>4546</v>
      </c>
      <c r="C22" s="223"/>
      <c r="D22" s="242"/>
      <c r="E22" s="114"/>
      <c r="F22" s="17"/>
      <c r="G22" s="3"/>
      <c r="H22" s="3"/>
      <c r="I22" s="3"/>
      <c r="R22" s="28">
        <v>3</v>
      </c>
      <c r="S22" s="28" t="s">
        <v>1082</v>
      </c>
    </row>
    <row r="23" spans="1:24" ht="12.75" customHeight="1" x14ac:dyDescent="0.2">
      <c r="A23" s="2" t="s">
        <v>4544</v>
      </c>
      <c r="B23" s="3" t="s">
        <v>4536</v>
      </c>
      <c r="C23" s="223"/>
      <c r="D23" s="4461"/>
      <c r="E23" s="4461"/>
      <c r="F23" s="4461"/>
      <c r="G23" s="4461"/>
      <c r="H23" s="3"/>
      <c r="I23" s="3"/>
      <c r="M23" s="32">
        <f>ROUND(SUM(C18:C23),0)</f>
      </c>
      <c r="O23" s="76" t="s">
        <v>6838</v>
      </c>
      <c r="P23" s="77" t="s">
        <v>6839</v>
      </c>
      <c r="Q23" s="28" t="s">
        <v>4693</v>
      </c>
      <c r="R23" s="28">
        <v>4</v>
      </c>
      <c r="S23" s="28" t="s">
        <v>6840</v>
      </c>
    </row>
    <row r="24" spans="1:24" ht="12.75" customHeight="1" thickBot="1" x14ac:dyDescent="0.25">
      <c r="A24" s="3"/>
      <c r="B24" s="3" t="s">
        <v>4537</v>
      </c>
      <c r="C24" s="3"/>
      <c r="D24" s="625">
        <f>SUM(C18:C23)</f>
      </c>
      <c r="E24" s="50"/>
      <c r="F24" s="17"/>
      <c r="G24" s="3"/>
      <c r="H24" s="3"/>
      <c r="I24" s="3"/>
      <c r="R24" s="28">
        <v>5</v>
      </c>
      <c r="S24" s="77" t="s">
        <v>3541</v>
      </c>
      <c r="X24" s="28" t="s">
        <v>3542</v>
      </c>
    </row>
    <row r="25" spans="1:24" ht="12.75" customHeight="1" thickTop="1" x14ac:dyDescent="0.2">
      <c r="A25" s="3"/>
      <c r="B25" s="3"/>
      <c r="C25" s="3"/>
      <c r="D25" s="406"/>
      <c r="E25" s="406"/>
      <c r="F25" s="17"/>
      <c r="G25" s="3"/>
      <c r="H25" s="3"/>
      <c r="I25" s="3"/>
      <c r="R25" s="28">
        <v>6</v>
      </c>
      <c r="S25" s="28" t="s">
        <v>1098</v>
      </c>
    </row>
    <row r="26" spans="1:24" x14ac:dyDescent="0.2">
      <c r="A26" s="3"/>
      <c r="B26" s="539" t="s">
        <v>3181</v>
      </c>
      <c r="C26" s="3"/>
      <c r="D26" s="223"/>
      <c r="E26" s="706" t="str">
        <f>IF(K2=0,"",IF(ISBLANK(D26),vl,IF(D26&gt;L16,L17,"")))</f>
        <v/>
      </c>
      <c r="F26" s="283"/>
      <c r="G26" s="283"/>
      <c r="H26" s="3"/>
      <c r="I26" s="3"/>
      <c r="J26" s="71">
        <f>IF(E26="",0,1)</f>
      </c>
      <c r="L26" s="28">
        <f>IF(D24=D18,0,IF(D24&lt;D18,2,IF(D24&gt;D18,1)))</f>
      </c>
      <c r="R26" s="28">
        <v>8</v>
      </c>
      <c r="S26" s="28" t="s">
        <v>6845</v>
      </c>
    </row>
    <row r="27" spans="1:24" ht="13.5" customHeight="1" x14ac:dyDescent="0.2">
      <c r="A27" s="3"/>
      <c r="B27" s="3"/>
      <c r="C27" s="3"/>
      <c r="D27" s="3"/>
      <c r="E27" s="14" t="s">
        <v>432</v>
      </c>
      <c r="F27" s="3"/>
      <c r="G27" s="3"/>
      <c r="H27" s="275" t="s">
        <v>4457</v>
      </c>
      <c r="I27" s="61" t="str">
        <f>IF(E26&lt;&gt;L17,"",IF(ISBLANK(H27),"Yes or No",""))</f>
        <v/>
      </c>
      <c r="J27" s="71">
        <f>IF(E26&lt;&gt;L17,0,IF(H27="Yes",-1,1))</f>
      </c>
    </row>
    <row r="28" spans="1:24" ht="35.25" customHeight="1" x14ac:dyDescent="0.2">
      <c r="A28" s="3"/>
      <c r="B28" s="4550" t="s">
        <v>1064</v>
      </c>
      <c r="C28" s="4552"/>
      <c r="D28" s="362" t="s">
        <v>6939</v>
      </c>
      <c r="E28" s="362" t="s">
        <v>2967</v>
      </c>
      <c r="F28" s="4154" t="s">
        <v>111</v>
      </c>
      <c r="G28" s="3"/>
      <c r="H28" s="78"/>
      <c r="I28" s="78"/>
      <c r="J28" s="79"/>
      <c r="K28" s="77"/>
      <c r="N28" s="77"/>
      <c r="O28" s="77"/>
      <c r="P28" s="77"/>
      <c r="Q28" s="77"/>
      <c r="R28" s="77"/>
      <c r="S28" s="77"/>
      <c r="T28" s="77"/>
      <c r="U28" s="77"/>
    </row>
    <row r="29" spans="1:24" x14ac:dyDescent="0.2">
      <c r="A29" s="3"/>
      <c r="B29" s="4533"/>
      <c r="C29" s="4533"/>
      <c r="D29" s="223"/>
      <c r="E29" s="647"/>
      <c r="F29" s="405" t="str">
        <f t="shared" ref="F29:F34" si="0">IF(D29="","",ROUND(D29*E29,0))</f>
        <v/>
      </c>
      <c r="G29" s="4756" t="str">
        <f t="shared" ref="G29:G34" si="1">IF(R29=0,"",VLOOKUP(R29,$R$21:$S$26,2,FALSE))</f>
        <v/>
      </c>
      <c r="H29" s="4757"/>
      <c r="I29" s="78"/>
      <c r="J29" s="79">
        <f t="shared" ref="J29:J34" si="2">IF(G29="",0,1)</f>
      </c>
      <c r="K29" s="77"/>
      <c r="L29" s="80">
        <f t="shared" ref="L29:L34" si="3">SUM(D29:E29)</f>
      </c>
      <c r="M29" s="77"/>
      <c r="N29" s="77">
        <f t="shared" ref="N29:N34" si="4">IF(ISBLANK(B29),0,1)</f>
      </c>
      <c r="O29" s="77">
        <f t="shared" ref="O29:O34" si="5">IF($L29=0,0,IF(ISBLANK(B29),1,0))</f>
      </c>
      <c r="P29" s="77">
        <f t="shared" ref="P29:P34" si="6">IF($L29+$N29=0,0,IF(ISBLANK(D29),3,0))</f>
      </c>
      <c r="Q29" s="77">
        <f t="shared" ref="Q29:Q34" si="7">IF($L29+$N29=0,0,IF(ISBLANK(E29),5,0))</f>
      </c>
      <c r="R29" s="77">
        <f t="shared" ref="R29:R34" si="8">SUM(O29:Q29)</f>
      </c>
      <c r="S29" s="77"/>
      <c r="T29" s="77"/>
      <c r="U29" s="77"/>
    </row>
    <row r="30" spans="1:24" ht="12.75" customHeight="1" x14ac:dyDescent="0.2">
      <c r="A30" s="3"/>
      <c r="B30" s="4533"/>
      <c r="C30" s="4533"/>
      <c r="D30" s="223"/>
      <c r="E30" s="647"/>
      <c r="F30" s="405" t="str">
        <f t="shared" si="0"/>
        <v/>
      </c>
      <c r="G30" s="4756" t="str">
        <f t="shared" si="1"/>
        <v/>
      </c>
      <c r="H30" s="4757"/>
      <c r="I30" s="78"/>
      <c r="J30" s="79">
        <f t="shared" si="2"/>
        <v>0</v>
      </c>
      <c r="K30" s="77"/>
      <c r="L30" s="80">
        <f t="shared" si="3"/>
        <v>0</v>
      </c>
      <c r="M30" s="77"/>
      <c r="N30" s="77">
        <f t="shared" si="4"/>
        <v>0</v>
      </c>
      <c r="O30" s="77">
        <f t="shared" si="5"/>
        <v>0</v>
      </c>
      <c r="P30" s="77">
        <f t="shared" si="6"/>
        <v>0</v>
      </c>
      <c r="Q30" s="77">
        <f t="shared" si="7"/>
        <v>0</v>
      </c>
      <c r="R30" s="77">
        <f t="shared" si="8"/>
        <v>0</v>
      </c>
      <c r="S30" s="77"/>
      <c r="T30" s="77"/>
      <c r="U30" s="77"/>
    </row>
    <row r="31" spans="1:24" ht="12.75" customHeight="1" x14ac:dyDescent="0.2">
      <c r="A31" s="3"/>
      <c r="B31" s="4533"/>
      <c r="C31" s="4533"/>
      <c r="D31" s="223"/>
      <c r="E31" s="647"/>
      <c r="F31" s="405" t="str">
        <f t="shared" si="0"/>
        <v/>
      </c>
      <c r="G31" s="4756" t="str">
        <f t="shared" si="1"/>
        <v/>
      </c>
      <c r="H31" s="4757"/>
      <c r="I31" s="78"/>
      <c r="J31" s="79">
        <f t="shared" si="2"/>
        <v>0</v>
      </c>
      <c r="K31" s="77"/>
      <c r="L31" s="80">
        <f t="shared" si="3"/>
        <v>0</v>
      </c>
      <c r="M31" s="77"/>
      <c r="N31" s="77">
        <f t="shared" si="4"/>
        <v>0</v>
      </c>
      <c r="O31" s="77">
        <f t="shared" si="5"/>
        <v>0</v>
      </c>
      <c r="P31" s="77">
        <f t="shared" si="6"/>
        <v>0</v>
      </c>
      <c r="Q31" s="77">
        <f t="shared" si="7"/>
        <v>0</v>
      </c>
      <c r="R31" s="77">
        <f t="shared" si="8"/>
        <v>0</v>
      </c>
      <c r="S31" s="77"/>
      <c r="T31" s="77"/>
      <c r="U31" s="77"/>
    </row>
    <row r="32" spans="1:24" ht="12.75" customHeight="1" x14ac:dyDescent="0.2">
      <c r="A32" s="3"/>
      <c r="B32" s="4533"/>
      <c r="C32" s="4533"/>
      <c r="D32" s="223"/>
      <c r="E32" s="647"/>
      <c r="F32" s="405" t="str">
        <f t="shared" si="0"/>
        <v/>
      </c>
      <c r="G32" s="4756" t="str">
        <f t="shared" si="1"/>
        <v/>
      </c>
      <c r="H32" s="4757"/>
      <c r="I32" s="78"/>
      <c r="J32" s="79">
        <f t="shared" si="2"/>
        <v>0</v>
      </c>
      <c r="K32" s="77"/>
      <c r="L32" s="80">
        <f t="shared" si="3"/>
        <v>0</v>
      </c>
      <c r="M32" s="77"/>
      <c r="N32" s="77">
        <f t="shared" si="4"/>
        <v>0</v>
      </c>
      <c r="O32" s="77">
        <f t="shared" si="5"/>
        <v>0</v>
      </c>
      <c r="P32" s="77">
        <f t="shared" si="6"/>
        <v>0</v>
      </c>
      <c r="Q32" s="77">
        <f t="shared" si="7"/>
        <v>0</v>
      </c>
      <c r="R32" s="77">
        <f t="shared" si="8"/>
        <v>0</v>
      </c>
      <c r="S32" s="77"/>
      <c r="T32" s="77"/>
      <c r="U32" s="77"/>
    </row>
    <row r="33" spans="1:31" ht="12.75" customHeight="1" x14ac:dyDescent="0.2">
      <c r="A33" s="3"/>
      <c r="B33" s="4533"/>
      <c r="C33" s="4533"/>
      <c r="D33" s="223"/>
      <c r="E33" s="647"/>
      <c r="F33" s="405" t="str">
        <f t="shared" si="0"/>
        <v/>
      </c>
      <c r="G33" s="4756" t="str">
        <f t="shared" si="1"/>
        <v/>
      </c>
      <c r="H33" s="4757"/>
      <c r="I33" s="78"/>
      <c r="J33" s="79">
        <f t="shared" si="2"/>
        <v>0</v>
      </c>
      <c r="K33" s="77"/>
      <c r="L33" s="80">
        <f t="shared" si="3"/>
        <v>0</v>
      </c>
      <c r="M33" s="77"/>
      <c r="N33" s="77">
        <f t="shared" si="4"/>
        <v>0</v>
      </c>
      <c r="O33" s="77">
        <f t="shared" si="5"/>
        <v>0</v>
      </c>
      <c r="P33" s="77">
        <f t="shared" si="6"/>
        <v>0</v>
      </c>
      <c r="Q33" s="77">
        <f t="shared" si="7"/>
        <v>0</v>
      </c>
      <c r="R33" s="77">
        <f t="shared" si="8"/>
        <v>0</v>
      </c>
      <c r="S33" s="77"/>
      <c r="T33" s="77"/>
      <c r="U33" s="77"/>
    </row>
    <row r="34" spans="1:31" ht="12.75" customHeight="1" x14ac:dyDescent="0.2">
      <c r="A34" s="3"/>
      <c r="B34" s="4533"/>
      <c r="C34" s="4533"/>
      <c r="D34" s="223"/>
      <c r="E34" s="647"/>
      <c r="F34" s="405" t="str">
        <f t="shared" si="0"/>
        <v/>
      </c>
      <c r="G34" s="4756" t="str">
        <f t="shared" si="1"/>
        <v/>
      </c>
      <c r="H34" s="4757"/>
      <c r="I34" s="78"/>
      <c r="J34" s="79">
        <f t="shared" si="2"/>
        <v>0</v>
      </c>
      <c r="K34" s="77"/>
      <c r="L34" s="80">
        <f t="shared" si="3"/>
        <v>0</v>
      </c>
      <c r="M34" s="77"/>
      <c r="N34" s="77">
        <f t="shared" si="4"/>
        <v>0</v>
      </c>
      <c r="O34" s="77">
        <f t="shared" si="5"/>
        <v>0</v>
      </c>
      <c r="P34" s="77">
        <f t="shared" si="6"/>
        <v>0</v>
      </c>
      <c r="Q34" s="77">
        <f t="shared" si="7"/>
        <v>0</v>
      </c>
      <c r="R34" s="77">
        <f t="shared" si="8"/>
        <v>0</v>
      </c>
      <c r="S34" s="77"/>
      <c r="T34" s="77"/>
      <c r="U34" s="77"/>
    </row>
    <row r="35" spans="1:31" ht="13.5" thickBot="1" x14ac:dyDescent="0.25">
      <c r="A35" s="3"/>
      <c r="B35" s="4469" t="s">
        <v>4213</v>
      </c>
      <c r="C35" s="4469"/>
      <c r="D35" s="4469"/>
      <c r="E35" s="4469"/>
      <c r="F35" s="625">
        <f>SUM(F29:F34)</f>
      </c>
      <c r="G35" s="81"/>
      <c r="H35" s="78"/>
      <c r="I35" s="78"/>
      <c r="J35" s="79"/>
      <c r="K35" s="77"/>
      <c r="L35" s="77"/>
      <c r="M35" s="77"/>
      <c r="N35" s="77"/>
      <c r="O35" s="77"/>
      <c r="P35" s="77"/>
      <c r="Q35" s="77"/>
      <c r="R35" s="77"/>
      <c r="S35" s="77"/>
      <c r="T35" s="77"/>
      <c r="U35" s="77"/>
    </row>
    <row r="36" spans="1:31" ht="12.75" customHeight="1" thickTop="1" x14ac:dyDescent="0.2">
      <c r="A36" s="3"/>
      <c r="B36" s="4761"/>
      <c r="C36" s="4761"/>
      <c r="D36" s="4761"/>
      <c r="E36" s="4761"/>
      <c r="F36" s="17"/>
      <c r="G36" s="81"/>
      <c r="H36" s="78"/>
      <c r="I36" s="78"/>
      <c r="J36" s="79"/>
      <c r="K36" s="77"/>
      <c r="L36" s="77"/>
      <c r="M36" s="77"/>
      <c r="N36" s="77"/>
      <c r="O36" s="77"/>
      <c r="P36" s="77"/>
      <c r="Q36" s="77"/>
      <c r="R36" s="77"/>
      <c r="S36" s="77"/>
      <c r="T36" s="77"/>
      <c r="U36" s="77"/>
    </row>
    <row r="37" spans="1:31" x14ac:dyDescent="0.2">
      <c r="A37" s="3"/>
      <c r="B37" s="329" t="s">
        <v>2226</v>
      </c>
      <c r="C37" s="710"/>
      <c r="D37" s="128"/>
      <c r="E37" s="129"/>
      <c r="F37" s="130"/>
      <c r="G37" s="81"/>
      <c r="H37" s="82"/>
      <c r="I37" s="78"/>
      <c r="J37" s="79"/>
      <c r="K37" s="77"/>
      <c r="L37" s="77"/>
      <c r="M37" s="83"/>
      <c r="N37" s="83"/>
      <c r="O37" s="77"/>
      <c r="P37" s="77"/>
      <c r="Q37" s="77"/>
      <c r="R37" s="77"/>
      <c r="S37" s="77"/>
      <c r="T37" s="77"/>
      <c r="U37" s="77"/>
    </row>
    <row r="38" spans="1:31" x14ac:dyDescent="0.2">
      <c r="A38" s="3"/>
      <c r="B38" s="85" t="s">
        <v>2099</v>
      </c>
      <c r="C38" s="3"/>
      <c r="D38" s="3"/>
      <c r="E38" s="17"/>
      <c r="F38" s="645"/>
      <c r="G38" s="81"/>
      <c r="H38" s="78"/>
      <c r="I38" s="78"/>
      <c r="J38" s="79"/>
      <c r="K38" s="77"/>
      <c r="L38" s="77"/>
      <c r="M38" s="77"/>
      <c r="N38" s="77"/>
      <c r="O38" s="77"/>
      <c r="P38" s="77"/>
      <c r="Q38" s="77"/>
      <c r="R38" s="77"/>
      <c r="S38" s="77"/>
      <c r="T38" s="77"/>
      <c r="U38" s="77"/>
      <c r="V38" s="84"/>
    </row>
    <row r="39" spans="1:31" x14ac:dyDescent="0.2">
      <c r="A39" s="3"/>
      <c r="B39" s="3" t="s">
        <v>619</v>
      </c>
      <c r="C39" s="3"/>
      <c r="D39" s="3"/>
      <c r="E39" s="17"/>
      <c r="F39" s="544">
        <f>D26</f>
      </c>
      <c r="G39" s="81"/>
      <c r="H39" s="78"/>
      <c r="I39" s="78"/>
      <c r="J39" s="79"/>
      <c r="K39" s="77"/>
      <c r="L39" s="77">
        <f>(F38+F39)*-1</f>
      </c>
      <c r="M39" s="77"/>
      <c r="N39" s="77"/>
      <c r="O39" s="77"/>
      <c r="P39" s="77"/>
      <c r="Q39" s="77"/>
      <c r="R39" s="77"/>
      <c r="S39" s="77"/>
      <c r="T39" s="77"/>
      <c r="U39" s="77"/>
      <c r="V39" s="84"/>
    </row>
    <row r="40" spans="1:31" ht="5.25" customHeight="1" x14ac:dyDescent="0.2">
      <c r="A40" s="3"/>
      <c r="B40" s="3"/>
      <c r="C40" s="3"/>
      <c r="D40" s="3"/>
      <c r="E40" s="17"/>
      <c r="F40" s="81"/>
      <c r="G40" s="81"/>
      <c r="H40" s="78"/>
      <c r="I40" s="78"/>
      <c r="J40" s="79"/>
      <c r="K40" s="77"/>
      <c r="L40" s="236">
        <f>SUM(F38:F39)</f>
      </c>
      <c r="M40" s="77"/>
      <c r="N40" s="77"/>
      <c r="O40" s="77"/>
      <c r="P40" s="77"/>
      <c r="Q40" s="77"/>
      <c r="R40" s="77"/>
      <c r="S40" s="77"/>
      <c r="T40" s="77"/>
      <c r="U40" s="77"/>
      <c r="V40" s="84"/>
    </row>
    <row r="41" spans="1:31" ht="12" customHeight="1" x14ac:dyDescent="0.2">
      <c r="A41" s="3"/>
      <c r="B41" s="3" t="s">
        <v>3209</v>
      </c>
      <c r="C41" s="3"/>
      <c r="D41" s="3"/>
      <c r="E41" s="17"/>
      <c r="F41" s="544">
        <f>IF(L40&lt;F35,L40*-1,F35*-1)</f>
      </c>
      <c r="G41" s="81"/>
      <c r="H41" s="78"/>
      <c r="I41" s="78"/>
      <c r="J41" s="79"/>
      <c r="K41" s="77"/>
      <c r="M41" s="77"/>
      <c r="N41" s="77"/>
      <c r="O41" s="77"/>
      <c r="P41" s="77"/>
      <c r="Q41" s="77"/>
      <c r="R41" s="77"/>
      <c r="S41" s="77"/>
      <c r="T41" s="77"/>
      <c r="U41" s="77"/>
      <c r="V41" s="84"/>
    </row>
    <row r="42" spans="1:31" x14ac:dyDescent="0.2">
      <c r="A42" s="3"/>
      <c r="B42" s="3" t="s">
        <v>5814</v>
      </c>
      <c r="C42" s="3"/>
      <c r="D42" s="3"/>
      <c r="E42" s="17"/>
      <c r="F42" s="544">
        <f>F41+L40</f>
      </c>
      <c r="G42" s="81"/>
      <c r="H42" s="78"/>
      <c r="I42" s="78"/>
      <c r="J42" s="79"/>
      <c r="K42" s="77"/>
      <c r="L42" s="77"/>
      <c r="M42" s="77"/>
      <c r="N42" s="77"/>
      <c r="O42" s="77"/>
      <c r="P42" s="77"/>
      <c r="Q42" s="77"/>
      <c r="R42" s="77"/>
      <c r="S42" s="77"/>
      <c r="T42" s="77"/>
      <c r="U42" s="77"/>
      <c r="V42" s="84"/>
    </row>
    <row r="43" spans="1:31" x14ac:dyDescent="0.2">
      <c r="A43" s="3"/>
      <c r="B43" s="1780" t="s">
        <v>7984</v>
      </c>
      <c r="C43" s="3"/>
      <c r="D43" s="3"/>
      <c r="E43" s="17"/>
      <c r="F43" s="510"/>
      <c r="G43" s="1130" t="str">
        <f>IF(F42=0,"",IF(ISBLANK(F43),reo,""))</f>
        <v/>
      </c>
      <c r="H43" s="85"/>
      <c r="I43" s="85"/>
      <c r="J43" s="71">
        <f>IF(G43="",0,1)</f>
      </c>
      <c r="K43" s="84"/>
      <c r="L43" s="84"/>
      <c r="M43" s="84"/>
      <c r="N43" s="84"/>
      <c r="O43" s="84"/>
      <c r="P43" s="84"/>
      <c r="Q43" s="84"/>
      <c r="R43" s="84"/>
      <c r="S43" s="84"/>
      <c r="T43" s="84"/>
      <c r="U43" s="84"/>
    </row>
    <row r="44" spans="1:31" x14ac:dyDescent="0.2">
      <c r="A44" s="3"/>
      <c r="B44" s="1306" t="str">
        <f>EUR</f>
        <v/>
      </c>
      <c r="C44" s="3"/>
      <c r="D44" s="17"/>
      <c r="E44" s="86"/>
      <c r="F44" s="86"/>
      <c r="G44" s="86"/>
      <c r="H44" s="85"/>
      <c r="I44" s="85"/>
      <c r="K44" s="84"/>
      <c r="L44" s="84"/>
      <c r="M44" s="84"/>
      <c r="N44" s="84"/>
      <c r="O44" s="84"/>
      <c r="P44" s="84"/>
      <c r="Q44" s="84"/>
      <c r="R44" s="84"/>
      <c r="S44" s="84"/>
      <c r="T44" s="84"/>
      <c r="U44" s="84"/>
      <c r="V44" s="84"/>
    </row>
    <row r="45" spans="1:31" ht="15" customHeight="1" x14ac:dyDescent="0.2">
      <c r="A45" s="17"/>
      <c r="B45" s="4758" t="s">
        <v>5200</v>
      </c>
      <c r="C45" s="4759"/>
      <c r="D45" s="4760"/>
      <c r="E45" s="4451" t="s">
        <v>4466</v>
      </c>
      <c r="F45" s="4451" t="s">
        <v>5447</v>
      </c>
      <c r="G45" s="4451" t="s">
        <v>5603</v>
      </c>
      <c r="H45" s="3"/>
      <c r="I45" s="3"/>
      <c r="K45" s="32"/>
    </row>
    <row r="46" spans="1:31" ht="15" customHeight="1" x14ac:dyDescent="0.2">
      <c r="A46" s="3"/>
      <c r="B46" s="707"/>
      <c r="C46" s="708"/>
      <c r="D46" s="709"/>
      <c r="E46" s="4451"/>
      <c r="F46" s="4451"/>
      <c r="G46" s="4451"/>
      <c r="H46" s="3"/>
      <c r="I46" s="3"/>
      <c r="AC46" s="87" t="s">
        <v>5604</v>
      </c>
      <c r="AD46" s="88" t="s">
        <v>5447</v>
      </c>
      <c r="AE46" s="87" t="s">
        <v>391</v>
      </c>
    </row>
    <row r="47" spans="1:31" x14ac:dyDescent="0.2">
      <c r="A47" s="3"/>
      <c r="B47" s="4416" t="str">
        <f t="shared" ref="B47:B52" si="9">IF(B29="","",B29)</f>
        <v/>
      </c>
      <c r="C47" s="4416"/>
      <c r="D47" s="4416"/>
      <c r="E47" s="405" t="str">
        <f t="shared" ref="E47:E52" si="10">AE47</f>
        <v/>
      </c>
      <c r="F47" s="634" t="str">
        <f t="shared" ref="F47:F52" si="11">AD47</f>
        <v/>
      </c>
      <c r="G47" s="405" t="str">
        <f t="shared" ref="G47:G52" si="12">AC47</f>
        <v/>
      </c>
      <c r="H47" s="3"/>
      <c r="I47" s="3"/>
      <c r="W47" s="28">
        <f>F41*-1</f>
      </c>
      <c r="X47" s="28" t="str">
        <f>IF(AD47="","",W47/AD47)</f>
        <v/>
      </c>
      <c r="Y47" s="28" t="str">
        <f t="shared" ref="Y47:Y52" si="13">IF(X47="","",IF(X47&gt;D29,D29,X47))</f>
        <v/>
      </c>
      <c r="Z47" s="28" t="e">
        <f t="shared" ref="Z47:Z52" si="14">Y47*AD47</f>
      </c>
      <c r="AA47" s="28" t="e">
        <f>W47-Z47</f>
      </c>
      <c r="AC47" s="89" t="str">
        <f t="shared" ref="AC47:AC52" si="15">IF(AD47="","",AE47*AD47)</f>
        <v/>
      </c>
      <c r="AD47" s="90" t="str">
        <f t="shared" ref="AD47:AD53" si="16">IF(E29="","",E29)</f>
        <v/>
      </c>
      <c r="AE47" s="91" t="str">
        <f t="shared" ref="AE47:AE52" si="17">Y47</f>
        <v/>
      </c>
    </row>
    <row r="48" spans="1:31" x14ac:dyDescent="0.2">
      <c r="A48" s="3"/>
      <c r="B48" s="4416" t="str">
        <f t="shared" si="9"/>
        <v/>
      </c>
      <c r="C48" s="4416"/>
      <c r="D48" s="4416"/>
      <c r="E48" s="405" t="str">
        <f t="shared" si="10"/>
        <v/>
      </c>
      <c r="F48" s="634" t="str">
        <f t="shared" si="11"/>
        <v/>
      </c>
      <c r="G48" s="405" t="str">
        <f t="shared" si="12"/>
        <v/>
      </c>
      <c r="H48" s="3"/>
      <c r="I48" s="3"/>
      <c r="X48" s="28" t="str">
        <f>IF(AD48="","",AA47/AD48)</f>
        <v/>
      </c>
      <c r="Y48" s="28" t="str">
        <f t="shared" si="13"/>
        <v/>
      </c>
      <c r="Z48" s="28" t="e">
        <f t="shared" si="14"/>
        <v>#VALUE!</v>
      </c>
      <c r="AA48" s="28" t="e">
        <f>AA47-Z48</f>
      </c>
      <c r="AC48" s="89" t="str">
        <f t="shared" si="15"/>
        <v/>
      </c>
      <c r="AD48" s="90" t="str">
        <f t="shared" si="16"/>
        <v/>
      </c>
      <c r="AE48" s="91" t="str">
        <f t="shared" si="17"/>
        <v/>
      </c>
    </row>
    <row r="49" spans="1:31" x14ac:dyDescent="0.2">
      <c r="A49" s="3"/>
      <c r="B49" s="4416" t="str">
        <f t="shared" si="9"/>
        <v/>
      </c>
      <c r="C49" s="4416"/>
      <c r="D49" s="4416"/>
      <c r="E49" s="405" t="str">
        <f t="shared" si="10"/>
        <v/>
      </c>
      <c r="F49" s="634" t="str">
        <f t="shared" si="11"/>
        <v/>
      </c>
      <c r="G49" s="405" t="str">
        <f t="shared" si="12"/>
        <v/>
      </c>
      <c r="H49" s="3"/>
      <c r="I49" s="3"/>
      <c r="X49" s="28" t="str">
        <f>IF(AD49="","",AA48/AD49)</f>
        <v/>
      </c>
      <c r="Y49" s="28" t="str">
        <f t="shared" si="13"/>
        <v/>
      </c>
      <c r="Z49" s="28" t="e">
        <f t="shared" si="14"/>
        <v>#VALUE!</v>
      </c>
      <c r="AA49" s="28" t="e">
        <f>AA48-Z49</f>
      </c>
      <c r="AC49" s="89" t="str">
        <f t="shared" si="15"/>
        <v/>
      </c>
      <c r="AD49" s="90" t="str">
        <f t="shared" si="16"/>
        <v/>
      </c>
      <c r="AE49" s="91" t="str">
        <f t="shared" si="17"/>
        <v/>
      </c>
    </row>
    <row r="50" spans="1:31" x14ac:dyDescent="0.2">
      <c r="A50" s="3"/>
      <c r="B50" s="4416" t="str">
        <f t="shared" si="9"/>
        <v/>
      </c>
      <c r="C50" s="4416"/>
      <c r="D50" s="4416"/>
      <c r="E50" s="405" t="str">
        <f t="shared" si="10"/>
        <v/>
      </c>
      <c r="F50" s="634" t="str">
        <f t="shared" si="11"/>
        <v/>
      </c>
      <c r="G50" s="405" t="str">
        <f t="shared" si="12"/>
        <v/>
      </c>
      <c r="H50" s="3"/>
      <c r="I50" s="3"/>
      <c r="X50" s="28" t="str">
        <f>IF(AD50="","",AA49/AD50)</f>
        <v/>
      </c>
      <c r="Y50" s="28" t="str">
        <f t="shared" si="13"/>
        <v/>
      </c>
      <c r="Z50" s="28" t="e">
        <f t="shared" si="14"/>
        <v>#VALUE!</v>
      </c>
      <c r="AA50" s="28" t="e">
        <f>AA49-Z50</f>
      </c>
      <c r="AC50" s="89" t="str">
        <f t="shared" si="15"/>
        <v/>
      </c>
      <c r="AD50" s="90" t="str">
        <f t="shared" si="16"/>
        <v/>
      </c>
      <c r="AE50" s="91" t="str">
        <f t="shared" si="17"/>
        <v/>
      </c>
    </row>
    <row r="51" spans="1:31" x14ac:dyDescent="0.2">
      <c r="A51" s="3"/>
      <c r="B51" s="4416" t="str">
        <f t="shared" si="9"/>
        <v/>
      </c>
      <c r="C51" s="4416"/>
      <c r="D51" s="4416"/>
      <c r="E51" s="405" t="str">
        <f t="shared" si="10"/>
        <v/>
      </c>
      <c r="F51" s="634" t="str">
        <f t="shared" si="11"/>
        <v/>
      </c>
      <c r="G51" s="405" t="str">
        <f t="shared" si="12"/>
        <v/>
      </c>
      <c r="H51" s="3"/>
      <c r="I51" s="3"/>
      <c r="X51" s="28" t="str">
        <f>IF(AD51="","",AA50/AD51)</f>
        <v/>
      </c>
      <c r="Y51" s="28" t="str">
        <f t="shared" si="13"/>
        <v/>
      </c>
      <c r="Z51" s="28" t="e">
        <f t="shared" si="14"/>
        <v>#VALUE!</v>
      </c>
      <c r="AA51" s="28" t="e">
        <f>AA50-Z51</f>
      </c>
      <c r="AC51" s="89" t="str">
        <f t="shared" si="15"/>
        <v/>
      </c>
      <c r="AD51" s="90" t="str">
        <f t="shared" si="16"/>
        <v/>
      </c>
      <c r="AE51" s="91" t="str">
        <f t="shared" si="17"/>
        <v/>
      </c>
    </row>
    <row r="52" spans="1:31" x14ac:dyDescent="0.2">
      <c r="A52" s="3"/>
      <c r="B52" s="4416" t="str">
        <f t="shared" si="9"/>
        <v/>
      </c>
      <c r="C52" s="4416"/>
      <c r="D52" s="4416"/>
      <c r="E52" s="405" t="str">
        <f t="shared" si="10"/>
        <v/>
      </c>
      <c r="F52" s="634" t="str">
        <f t="shared" si="11"/>
        <v/>
      </c>
      <c r="G52" s="405" t="str">
        <f t="shared" si="12"/>
        <v/>
      </c>
      <c r="H52" s="3"/>
      <c r="I52" s="3"/>
      <c r="X52" s="28" t="str">
        <f>IF(AD52="","",AA51/AD52)</f>
        <v/>
      </c>
      <c r="Y52" s="28" t="str">
        <f t="shared" si="13"/>
        <v/>
      </c>
      <c r="Z52" s="28" t="e">
        <f t="shared" si="14"/>
        <v>#VALUE!</v>
      </c>
      <c r="AA52" s="28" t="e">
        <f>AA51-Z52</f>
      </c>
      <c r="AC52" s="89" t="str">
        <f t="shared" si="15"/>
        <v/>
      </c>
      <c r="AD52" s="90" t="str">
        <f t="shared" si="16"/>
        <v/>
      </c>
      <c r="AE52" s="91" t="str">
        <f t="shared" si="17"/>
        <v/>
      </c>
    </row>
    <row r="53" spans="1:31" ht="13.5" thickBot="1" x14ac:dyDescent="0.25">
      <c r="A53" s="3"/>
      <c r="B53" s="4465" t="s">
        <v>5590</v>
      </c>
      <c r="C53" s="4466"/>
      <c r="D53" s="4466"/>
      <c r="E53" s="456">
        <f>ROUND(SUM(E47:E52),0)</f>
      </c>
      <c r="F53" s="17"/>
      <c r="G53" s="456">
        <f>SUM(G47:G52)</f>
      </c>
      <c r="H53" s="3"/>
      <c r="I53" s="3"/>
      <c r="AC53" s="32">
        <f>SUM(AC47:AC52)</f>
      </c>
      <c r="AD53" s="92" t="str">
        <f t="shared" si="16"/>
        <v/>
      </c>
      <c r="AE53" s="93">
        <f>SUM(AE47:AE52)</f>
      </c>
    </row>
    <row r="54" spans="1:31" ht="13.5" thickTop="1" x14ac:dyDescent="0.2">
      <c r="A54" s="3"/>
      <c r="B54" s="17" t="str">
        <f>_xlfn.SINGLE(MTCA)</f>
      </c>
      <c r="C54" s="17" t="str">
        <f>ver</f>
        <v>TA2_e-CO_2025_Ver 1.1</v>
      </c>
      <c r="D54" s="17"/>
      <c r="E54" s="660"/>
      <c r="F54" s="17"/>
      <c r="G54" s="536" t="s">
        <v>2536</v>
      </c>
      <c r="H54" s="3"/>
      <c r="I54" s="3"/>
      <c r="J54" s="94">
        <f>IF(K2=0,0,IF(SUM(J4:J44)&gt;0,100,IF(C56="Yes",1,100)))</f>
      </c>
    </row>
    <row r="55" spans="1:31" x14ac:dyDescent="0.2">
      <c r="A55" s="3"/>
      <c r="B55" s="3"/>
      <c r="C55" s="3"/>
      <c r="D55" s="3"/>
      <c r="E55" s="3"/>
      <c r="F55" s="3"/>
      <c r="G55" s="3"/>
      <c r="H55" s="3"/>
      <c r="I55" s="3"/>
    </row>
    <row r="56" spans="1:31" x14ac:dyDescent="0.2">
      <c r="A56" s="3"/>
      <c r="B56" s="610" t="str">
        <f>COM</f>
      </c>
      <c r="C56" s="275"/>
      <c r="D56" s="3"/>
      <c r="E56" s="3"/>
      <c r="F56" s="3"/>
      <c r="G56" s="3"/>
      <c r="H56" s="3"/>
      <c r="I56" s="3"/>
    </row>
    <row r="57" spans="1:31" x14ac:dyDescent="0.2">
      <c r="A57" s="3"/>
      <c r="B57" s="3"/>
      <c r="C57" s="3"/>
      <c r="D57" s="3"/>
      <c r="E57" s="3"/>
      <c r="F57" s="3"/>
      <c r="G57" s="3"/>
      <c r="H57" s="3"/>
      <c r="I57" s="3"/>
    </row>
    <row r="58" spans="1:31" x14ac:dyDescent="0.2">
      <c r="A58" s="3"/>
      <c r="B58" s="1175" t="s">
        <v>6290</v>
      </c>
      <c r="C58" s="1175"/>
      <c r="D58" s="1175"/>
      <c r="E58" s="1175"/>
      <c r="F58" s="3"/>
      <c r="G58" s="3"/>
      <c r="H58" s="3"/>
      <c r="I58" s="3"/>
    </row>
    <row r="59" spans="1:31" x14ac:dyDescent="0.2">
      <c r="A59" s="3"/>
      <c r="B59" s="3"/>
      <c r="C59" s="3"/>
      <c r="D59" s="3"/>
      <c r="E59" s="3"/>
      <c r="F59" s="3"/>
      <c r="G59" s="3"/>
      <c r="H59" s="3"/>
      <c r="I59" s="3"/>
    </row>
    <row r="61" spans="1:31" ht="12.75" hidden="1" customHeight="1" x14ac:dyDescent="0.2">
      <c r="J61" s="28"/>
    </row>
  </sheetData>
  <sheetProtection algorithmName="SHA-512" hashValue="p/eyPyCUp9kvuVOKS1FgwQAG3KJZWM95ruxX44eaChyAjjdug77u3Cpa+xwOLVy6PCckBQ6AAwyPyloDvUGqIQ==" saltValue="D+i2++dEY5as/eeG41C8tQ==" spinCount="100000" sheet="1" objects="1" scenarios="1"/>
  <customSheetViews>
    <customSheetView guid="{99B5278F-6EA9-4B1A-8623-27A4DF4AD5E4}" showGridLines="0" fitToPage="1" hiddenRows="1" hiddenColumns="1">
      <selection activeCell="C4" sqref="C4:D4"/>
      <pageMargins left="0.19685039370078741" right="0.23622047244094491" top="0.98425196850393704" bottom="0.98425196850393704" header="0.51181102362204722" footer="0.51181102362204722"/>
      <pageSetup paperSize="9" scale="82" orientation="portrait" r:id="rId1"/>
      <headerFooter alignWithMargins="0">
        <oddFooter>&amp;LName&amp;CSignature&amp;RDate</oddFooter>
      </headerFooter>
    </customSheetView>
  </customSheetViews>
  <mergeCells count="34">
    <mergeCell ref="B35:E35"/>
    <mergeCell ref="B45:D45"/>
    <mergeCell ref="B53:D53"/>
    <mergeCell ref="B52:D52"/>
    <mergeCell ref="B50:D50"/>
    <mergeCell ref="B51:D51"/>
    <mergeCell ref="B36:E36"/>
    <mergeCell ref="G45:G46"/>
    <mergeCell ref="F45:F46"/>
    <mergeCell ref="B49:D49"/>
    <mergeCell ref="B47:D47"/>
    <mergeCell ref="B48:D48"/>
    <mergeCell ref="E45:E46"/>
    <mergeCell ref="D23:G23"/>
    <mergeCell ref="B30:C30"/>
    <mergeCell ref="B32:C32"/>
    <mergeCell ref="B28:C28"/>
    <mergeCell ref="G30:H30"/>
    <mergeCell ref="B29:C29"/>
    <mergeCell ref="G29:H29"/>
    <mergeCell ref="G31:H31"/>
    <mergeCell ref="B34:C34"/>
    <mergeCell ref="B31:C31"/>
    <mergeCell ref="G32:H32"/>
    <mergeCell ref="G33:H33"/>
    <mergeCell ref="G34:H34"/>
    <mergeCell ref="B33:C33"/>
    <mergeCell ref="B16:C16"/>
    <mergeCell ref="A1:G1"/>
    <mergeCell ref="A2:H2"/>
    <mergeCell ref="C4:D4"/>
    <mergeCell ref="B10:C10"/>
    <mergeCell ref="B8:C8"/>
    <mergeCell ref="B6:C6"/>
  </mergeCells>
  <phoneticPr fontId="0" type="noConversion"/>
  <conditionalFormatting sqref="B38">
    <cfRule type="expression" dxfId="720" priority="7" stopIfTrue="1">
      <formula>ya=2003</formula>
    </cfRule>
  </conditionalFormatting>
  <conditionalFormatting sqref="B30:C34">
    <cfRule type="expression" dxfId="719" priority="2" stopIfTrue="1">
      <formula>$B29=$P$12</formula>
    </cfRule>
  </conditionalFormatting>
  <conditionalFormatting sqref="D24">
    <cfRule type="expression" dxfId="718" priority="4" stopIfTrue="1">
      <formula>$E$26=ma</formula>
    </cfRule>
  </conditionalFormatting>
  <conditionalFormatting sqref="D30:E34">
    <cfRule type="expression" dxfId="717" priority="3" stopIfTrue="1">
      <formula>$B30=$P$12</formula>
    </cfRule>
  </conditionalFormatting>
  <conditionalFormatting sqref="E18">
    <cfRule type="expression" dxfId="716" priority="5" stopIfTrue="1">
      <formula>$E$26=ma</formula>
    </cfRule>
  </conditionalFormatting>
  <conditionalFormatting sqref="E27:H27">
    <cfRule type="expression" dxfId="715" priority="9" stopIfTrue="1">
      <formula>$E$26&lt;&gt;$L$17</formula>
    </cfRule>
  </conditionalFormatting>
  <conditionalFormatting sqref="F29:F34">
    <cfRule type="cellIs" dxfId="714" priority="1" stopIfTrue="1" operator="equal">
      <formula>$P$23</formula>
    </cfRule>
  </conditionalFormatting>
  <conditionalFormatting sqref="F38">
    <cfRule type="expression" dxfId="713" priority="8" stopIfTrue="1">
      <formula>ya=2003</formula>
    </cfRule>
  </conditionalFormatting>
  <conditionalFormatting sqref="F48:F52">
    <cfRule type="expression" dxfId="712" priority="6" stopIfTrue="1">
      <formula>$E48=0</formula>
    </cfRule>
  </conditionalFormatting>
  <dataValidations xWindow="542" yWindow="279" count="12">
    <dataValidation type="list" allowBlank="1" showInputMessage="1" showErrorMessage="1" errorTitle="Dropdown list" error="Choose an item from the list! " sqref="D6 C56 H27" xr:uid="{00000000-0002-0000-1E00-000000000000}">
      <formula1>$Q$5:$Q$7</formula1>
    </dataValidation>
    <dataValidation type="whole" operator="greaterThanOrEqual" allowBlank="1" showInputMessage="1" showErrorMessage="1" errorTitle="Positive value required!" sqref="F39" xr:uid="{00000000-0002-0000-1E00-000001000000}">
      <formula1>0</formula1>
    </dataValidation>
    <dataValidation type="whole" operator="greaterThanOrEqual" allowBlank="1" showInputMessage="1" showErrorMessage="1" errorTitle="ITC b/fwd" error="Please enter a positive amount!" sqref="F38" xr:uid="{00000000-0002-0000-1E00-000002000000}">
      <formula1>0</formula1>
    </dataValidation>
    <dataValidation type="whole" operator="greaterThanOrEqual" allowBlank="1" showInputMessage="1" showErrorMessage="1" errorTitle="Income" error="Please enter a positive numeric value!" sqref="D29:D34" xr:uid="{00000000-0002-0000-1E00-000003000000}">
      <formula1>0</formula1>
    </dataValidation>
    <dataValidation type="list" allowBlank="1" showInputMessage="1" showErrorMessage="1" errorTitle="Training Provided" error="Choose description from the dropdown list!" sqref="D8" xr:uid="{00000000-0002-0000-1E00-000004000000}">
      <formula1>$AB$1:$AB$5</formula1>
    </dataValidation>
    <dataValidation type="textLength" operator="greaterThanOrEqual" allowBlank="1" showInputMessage="1" showErrorMessage="1" errorTitle="Certificate" error="Please quote the full reference!" sqref="C4:D4" xr:uid="{00000000-0002-0000-1E00-000005000000}">
      <formula1>5</formula1>
    </dataValidation>
    <dataValidation type="whole" operator="greaterThanOrEqual" allowBlank="1" showInputMessage="1" showErrorMessage="1" errorTitle="Eligible costs" error="Please enter a positive numeric value!" sqref="C18:C23" xr:uid="{00000000-0002-0000-1E00-000006000000}">
      <formula1>0</formula1>
    </dataValidation>
    <dataValidation type="decimal" allowBlank="1" showInputMessage="1" showErrorMessage="1" errorTitle="Tax rate" error="Please enter a value expressed as a decimal! " sqref="E29:E34" xr:uid="{00000000-0002-0000-1E00-000007000000}">
      <formula1>0</formula1>
      <formula2>0.35</formula2>
    </dataValidation>
    <dataValidation type="textLength" operator="greaterThanOrEqual" allowBlank="1" showInputMessage="1" showErrorMessage="1" errorTitle="Description" error="Proper description please!" sqref="B29:C34" xr:uid="{00000000-0002-0000-1E00-000008000000}">
      <formula1>4</formula1>
    </dataValidation>
    <dataValidation type="whole" operator="greaterThanOrEqual" allowBlank="1" showInputMessage="1" showErrorMessage="1" errorTitle="Approved credit" error="Please input a positive amount!" sqref="D26" xr:uid="{00000000-0002-0000-1E00-000009000000}">
      <formula1>0</formula1>
    </dataValidation>
    <dataValidation type="decimal" allowBlank="1" showInputMessage="1" showErrorMessage="1" errorTitle="Maximum percentage" error="Please input the percentage expressed as a decimal figure that does not exceed the percentage contemplated under this Regulation!" promptTitle="Maximum Percentage" prompt="Please enter the maximum percentage expressed as a Positive DECIMAL value." sqref="D10" xr:uid="{00000000-0002-0000-1E00-00000A000000}">
      <formula1>0</formula1>
      <formula2>AC2</formula2>
    </dataValidation>
    <dataValidation type="whole" operator="greaterThanOrEqual" allowBlank="1" showInputMessage="1" showErrorMessage="1" errorTitle="Inflated Amount carried forward" error="Please enter a positive numeric value!" sqref="F43" xr:uid="{00000000-0002-0000-1E00-00000B000000}">
      <formula1>0</formula1>
    </dataValidation>
  </dataValidations>
  <hyperlinks>
    <hyperlink ref="B58" location="Index!A1" display="Index!A1" xr:uid="{00000000-0004-0000-1E00-000000000000}"/>
  </hyperlinks>
  <pageMargins left="0.19685039370078741" right="0.23622047244094491" top="0.98425196850393704" bottom="0.98425196850393704" header="0.51181102362204722" footer="0.51181102362204722"/>
  <pageSetup paperSize="9" scale="82" orientation="portrait" r:id="rId2"/>
  <headerFooter alignWithMargins="0">
    <oddFooter>&amp;LName&amp;CSignature&amp;RDate</oddFooter>
  </headerFooter>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8"/>
  <dimension ref="A1:XFC85"/>
  <sheetViews>
    <sheetView showGridLines="0" zoomScaleNormal="100" workbookViewId="0">
      <selection activeCell="I4" sqref="I4"/>
    </sheetView>
  </sheetViews>
  <sheetFormatPr defaultColWidth="0" defaultRowHeight="12.75" zeroHeight="1" x14ac:dyDescent="0.2"/>
  <cols>
    <col min="1" max="4" width="9.28515625" style="28" customWidth="1"/>
    <col min="5" max="5" width="11" style="28" customWidth="1"/>
    <col min="6" max="6" width="10.28515625" style="28" bestFit="1" customWidth="1"/>
    <col min="7" max="7" width="9.28515625" style="28" customWidth="1"/>
    <col min="8" max="8" width="9" style="28" customWidth="1"/>
    <col min="9" max="9" width="15.42578125" style="28" customWidth="1"/>
    <col min="10" max="10" width="9.28515625" style="28" bestFit="1" customWidth="1"/>
    <col min="11" max="11" width="12.7109375" style="28" customWidth="1"/>
    <col min="12" max="12" width="14.28515625" style="28" customWidth="1"/>
    <col min="13" max="13" width="21" style="28" customWidth="1"/>
    <col min="14" max="14" width="0.42578125" style="28" customWidth="1"/>
    <col min="15" max="15" width="4" style="28" hidden="1"/>
    <col min="16" max="16" width="8.7109375" style="28" hidden="1"/>
    <col min="17" max="17" width="4.28515625" style="28" hidden="1"/>
    <col min="18" max="21" width="8.7109375" style="28" hidden="1"/>
    <col min="22" max="22" width="5.5703125" style="28" hidden="1"/>
    <col min="23" max="23" width="5.7109375" style="28" hidden="1"/>
    <col min="24" max="25" width="7" style="28" hidden="1"/>
    <col min="26" max="26" width="8.7109375" style="28" hidden="1"/>
    <col min="27" max="27" width="25.28515625" style="28" hidden="1"/>
    <col min="28" max="79" width="8.7109375" style="28" hidden="1"/>
    <col min="80" max="16383" width="8.7109375" style="47" hidden="1"/>
    <col min="16384" max="16384" width="1" style="47" customWidth="1"/>
  </cols>
  <sheetData>
    <row r="1" spans="1:79" x14ac:dyDescent="0.2">
      <c r="A1" s="4762" t="str">
        <f>_ref1</f>
      </c>
      <c r="B1" s="4762"/>
      <c r="C1" s="4762"/>
      <c r="D1" s="4762"/>
      <c r="E1" s="4762"/>
      <c r="F1" s="4762"/>
      <c r="G1" s="4762"/>
      <c r="H1" s="4762"/>
      <c r="I1" s="4762"/>
      <c r="J1" s="4762"/>
      <c r="K1" s="4763"/>
      <c r="L1" s="1060" t="str">
        <f>_YA1</f>
      </c>
      <c r="T1" s="2125" t="s">
        <v>5392</v>
      </c>
      <c r="U1" s="2125"/>
      <c r="AA1" s="28" t="s">
        <v>2105</v>
      </c>
    </row>
    <row r="2" spans="1:79" ht="23.25" x14ac:dyDescent="0.25">
      <c r="A2" s="644" t="s">
        <v>1820</v>
      </c>
      <c r="B2" s="421"/>
      <c r="C2" s="421"/>
      <c r="D2" s="421"/>
      <c r="E2" s="421"/>
      <c r="F2" s="421"/>
      <c r="G2" s="421"/>
      <c r="H2" s="421"/>
      <c r="I2" s="421"/>
      <c r="J2" s="422"/>
      <c r="K2" s="1330" t="s">
        <v>4528</v>
      </c>
      <c r="L2" s="1331" t="s">
        <v>5665</v>
      </c>
      <c r="M2" s="783" t="s">
        <v>7337</v>
      </c>
      <c r="Q2" s="28" t="s">
        <v>4457</v>
      </c>
      <c r="T2" s="2125" t="s">
        <v>5806</v>
      </c>
      <c r="U2" s="2125" t="s">
        <v>363</v>
      </c>
      <c r="V2" s="4442" t="s">
        <v>5806</v>
      </c>
      <c r="W2" s="4442"/>
      <c r="X2" s="4442" t="s">
        <v>363</v>
      </c>
      <c r="Y2" s="4442"/>
      <c r="AA2" s="28" t="s">
        <v>3712</v>
      </c>
    </row>
    <row r="3" spans="1:79" x14ac:dyDescent="0.2">
      <c r="A3" s="4766" t="s">
        <v>2657</v>
      </c>
      <c r="B3" s="4767"/>
      <c r="C3" s="4767"/>
      <c r="D3" s="4767"/>
      <c r="E3" s="4767"/>
      <c r="F3" s="4767"/>
      <c r="G3" s="4767"/>
      <c r="H3" s="4767"/>
      <c r="I3" s="1901"/>
      <c r="J3" s="1902" t="s">
        <v>1050</v>
      </c>
      <c r="K3" s="451">
        <f>'TRA29'!F73</f>
      </c>
      <c r="L3" s="405">
        <f>'TRA29'!F75</f>
      </c>
      <c r="M3" s="366" t="s">
        <v>2105</v>
      </c>
      <c r="N3" s="545"/>
      <c r="O3" s="28">
        <f>IF(N3="",0,1)</f>
      </c>
      <c r="Q3" s="28" t="s">
        <v>1736</v>
      </c>
      <c r="T3" s="40">
        <f>IF(L3=0,0,IF(M3=ipc,ROUND(K3/L3,3),0))</f>
      </c>
      <c r="U3" s="40">
        <f>IF(L3=0,0,IF(M3=mtc,ROUND(K3/L3,3),0))</f>
      </c>
      <c r="V3" s="40">
        <f>IF($M3="",0,IF($M3=ipc,K3,0))</f>
      </c>
      <c r="W3" s="40">
        <f>IF($M3="",0,IF($M3=ipc,L3,0))</f>
      </c>
      <c r="X3" s="40">
        <f>IF($M3="",0,IF($M3=mtc,K3,0))</f>
      </c>
      <c r="Y3" s="40">
        <f>IF($M3="",0,IF($M3=mtc,L3,0))</f>
      </c>
    </row>
    <row r="4" spans="1:79" x14ac:dyDescent="0.2">
      <c r="A4" s="4764" t="s">
        <v>3232</v>
      </c>
      <c r="B4" s="4765"/>
      <c r="C4" s="4765"/>
      <c r="D4" s="4765"/>
      <c r="E4" s="4765"/>
      <c r="F4" s="4765"/>
      <c r="G4" s="4765"/>
      <c r="H4" s="4765"/>
      <c r="I4" s="1903"/>
      <c r="J4" s="1904" t="s">
        <v>2536</v>
      </c>
      <c r="K4" s="405">
        <f>'TRA34'!F41*-1</f>
      </c>
      <c r="L4" s="405">
        <f>'TRA34'!E53</f>
      </c>
      <c r="M4" s="366" t="s">
        <v>2105</v>
      </c>
      <c r="N4" s="545"/>
      <c r="O4" s="28">
        <f t="shared" ref="O4:O49" si="0">IF(N4="",0,1)</f>
      </c>
      <c r="T4" s="40">
        <f t="shared" ref="T4:T48" si="1">IF(L4=0,0,IF(M4=ipc,ROUND(K4/L4,3),0))</f>
      </c>
      <c r="U4" s="40">
        <f t="shared" ref="U4:U48" si="2">IF(L4=0,0,IF(M4=mtc,ROUND(K4/L4,3),0))</f>
      </c>
      <c r="V4" s="40">
        <f t="shared" ref="V4:V48" si="3">IF($M4="",0,IF($M4=ipc,K4,0))</f>
      </c>
      <c r="W4" s="40">
        <f t="shared" ref="W4:W48" si="4">IF($M4="",0,IF($M4=ipc,L4,0))</f>
      </c>
      <c r="X4" s="40">
        <f t="shared" ref="X4:X48" si="5">IF($M4="",0,IF($M4=mtc,K4,0))</f>
      </c>
      <c r="Y4" s="40">
        <f t="shared" ref="Y4:Y48" si="6">IF($M4="",0,IF($M4=mtc,L4,0))</f>
      </c>
    </row>
    <row r="5" spans="1:79" x14ac:dyDescent="0.2">
      <c r="A5" s="4764" t="s">
        <v>1857</v>
      </c>
      <c r="B5" s="4765"/>
      <c r="C5" s="4765"/>
      <c r="D5" s="4765"/>
      <c r="E5" s="4765"/>
      <c r="F5" s="4765"/>
      <c r="G5" s="4765"/>
      <c r="H5" s="4765"/>
      <c r="I5" s="4768"/>
      <c r="J5" s="1904" t="s">
        <v>3321</v>
      </c>
      <c r="K5" s="405">
        <f>'TRA36'!G57</f>
      </c>
      <c r="L5" s="405">
        <f>'TRA36'!G60</f>
      </c>
      <c r="M5" s="366" t="s">
        <v>2105</v>
      </c>
      <c r="N5" s="545"/>
      <c r="O5" s="28">
        <f t="shared" si="0"/>
        <v>0</v>
      </c>
      <c r="T5" s="40">
        <f t="shared" si="1"/>
        <v>0</v>
      </c>
      <c r="U5" s="40">
        <f t="shared" si="2"/>
        <v>0</v>
      </c>
      <c r="V5" s="40">
        <f t="shared" si="3"/>
        <v>0</v>
      </c>
      <c r="W5" s="40">
        <f t="shared" si="4"/>
        <v>0</v>
      </c>
      <c r="X5" s="40">
        <f t="shared" si="5"/>
        <v>0</v>
      </c>
      <c r="Y5" s="40">
        <f t="shared" si="6"/>
        <v>0</v>
      </c>
    </row>
    <row r="6" spans="1:79" x14ac:dyDescent="0.2">
      <c r="A6" s="1909" t="s">
        <v>7708</v>
      </c>
      <c r="B6" s="1914"/>
      <c r="C6" s="1914"/>
      <c r="D6" s="1914"/>
      <c r="E6" s="1914"/>
      <c r="F6" s="1914"/>
      <c r="G6" s="1914"/>
      <c r="H6" s="1914"/>
      <c r="I6" s="1914"/>
      <c r="J6" s="1904" t="s">
        <v>1501</v>
      </c>
      <c r="K6" s="1119">
        <f>'TRA8'!U74</f>
      </c>
      <c r="L6" s="1153">
        <f>'TRA8'!T74</f>
      </c>
      <c r="M6" s="2108" t="s">
        <v>3712</v>
      </c>
      <c r="N6" s="545"/>
      <c r="O6" s="28">
        <f t="shared" si="0"/>
        <v>0</v>
      </c>
      <c r="T6" s="40">
        <f t="shared" si="1"/>
        <v>0</v>
      </c>
      <c r="U6" s="40">
        <f t="shared" si="2"/>
        <v>0</v>
      </c>
      <c r="V6" s="40">
        <f t="shared" si="3"/>
        <v>0</v>
      </c>
      <c r="W6" s="40">
        <f t="shared" si="4"/>
        <v>0</v>
      </c>
      <c r="X6" s="40">
        <f t="shared" si="5"/>
        <v>0</v>
      </c>
      <c r="Y6" s="40">
        <f t="shared" si="6"/>
        <v>0</v>
      </c>
    </row>
    <row r="7" spans="1:79" x14ac:dyDescent="0.2">
      <c r="A7" s="1905" t="s">
        <v>7709</v>
      </c>
      <c r="B7" s="1915"/>
      <c r="C7" s="1915"/>
      <c r="D7" s="1915"/>
      <c r="E7" s="1915"/>
      <c r="F7" s="1915"/>
      <c r="G7" s="1915"/>
      <c r="H7" s="1915"/>
      <c r="I7" s="1903"/>
      <c r="J7" s="1904" t="s">
        <v>1501</v>
      </c>
      <c r="K7" s="1119">
        <f>'TRA8'!W74</f>
      </c>
      <c r="L7" s="1153">
        <f>'TRA8'!V74</f>
      </c>
      <c r="M7" s="2108" t="s">
        <v>2105</v>
      </c>
      <c r="N7" s="545"/>
      <c r="O7" s="28">
        <f t="shared" si="0"/>
        <v>0</v>
      </c>
      <c r="T7" s="40">
        <f t="shared" si="1"/>
        <v>0</v>
      </c>
      <c r="U7" s="40">
        <f t="shared" si="2"/>
        <v>0</v>
      </c>
      <c r="V7" s="40">
        <f t="shared" si="3"/>
        <v>0</v>
      </c>
      <c r="W7" s="40">
        <f t="shared" si="4"/>
        <v>0</v>
      </c>
      <c r="X7" s="40">
        <f t="shared" si="5"/>
        <v>0</v>
      </c>
      <c r="Y7" s="40">
        <f t="shared" si="6"/>
        <v>0</v>
      </c>
    </row>
    <row r="8" spans="1:79" hidden="1" x14ac:dyDescent="0.2">
      <c r="A8" s="2652" t="s">
        <v>7710</v>
      </c>
      <c r="B8" s="1908"/>
      <c r="C8" s="1908"/>
      <c r="D8" s="1908"/>
      <c r="E8" s="1908"/>
      <c r="F8" s="1908"/>
      <c r="G8" s="1908"/>
      <c r="H8" s="1908"/>
      <c r="I8" s="1908"/>
      <c r="J8" s="1904" t="s">
        <v>320</v>
      </c>
      <c r="K8" s="1119">
        <f>'TRA66'!H71</f>
      </c>
      <c r="L8" s="1153">
        <f>'TRA66'!I71</f>
      </c>
      <c r="M8" s="366" t="s">
        <v>2105</v>
      </c>
      <c r="N8" s="545"/>
      <c r="O8" s="28">
        <f t="shared" si="0"/>
        <v>0</v>
      </c>
      <c r="T8" s="40">
        <f t="shared" si="1"/>
        <v>0</v>
      </c>
      <c r="U8" s="40">
        <f t="shared" si="2"/>
        <v>0</v>
      </c>
      <c r="V8" s="40">
        <f t="shared" si="3"/>
        <v>0</v>
      </c>
      <c r="W8" s="40">
        <f t="shared" si="4"/>
        <v>0</v>
      </c>
      <c r="X8" s="40">
        <f t="shared" si="5"/>
        <v>0</v>
      </c>
      <c r="Y8" s="40">
        <f t="shared" si="6"/>
        <v>0</v>
      </c>
    </row>
    <row r="9" spans="1:79" hidden="1" x14ac:dyDescent="0.2">
      <c r="A9" s="1908" t="s">
        <v>5468</v>
      </c>
      <c r="B9" s="1908"/>
      <c r="C9" s="1908"/>
      <c r="D9" s="1908"/>
      <c r="E9" s="1908"/>
      <c r="F9" s="1908"/>
      <c r="G9" s="1908"/>
      <c r="H9" s="1908"/>
      <c r="I9" s="1908"/>
      <c r="J9" s="1907" t="s">
        <v>2990</v>
      </c>
      <c r="K9" s="142">
        <v>0</v>
      </c>
      <c r="L9" s="142">
        <v>0</v>
      </c>
      <c r="N9" s="545"/>
      <c r="O9" s="28">
        <f t="shared" si="0"/>
        <v>0</v>
      </c>
      <c r="T9" s="40">
        <f t="shared" si="1"/>
        <v>0</v>
      </c>
      <c r="U9" s="40">
        <f t="shared" si="2"/>
        <v>0</v>
      </c>
      <c r="V9" s="40">
        <f t="shared" si="3"/>
        <v>0</v>
      </c>
      <c r="W9" s="40">
        <f t="shared" si="4"/>
        <v>0</v>
      </c>
      <c r="X9" s="40">
        <f t="shared" si="5"/>
        <v>0</v>
      </c>
      <c r="Y9" s="40">
        <f t="shared" si="6"/>
        <v>0</v>
      </c>
    </row>
    <row r="10" spans="1:79" hidden="1" x14ac:dyDescent="0.2">
      <c r="A10" s="1908" t="s">
        <v>4131</v>
      </c>
      <c r="B10" s="1908"/>
      <c r="C10" s="1908"/>
      <c r="D10" s="1908"/>
      <c r="E10" s="1908"/>
      <c r="F10" s="1908"/>
      <c r="G10" s="1908"/>
      <c r="H10" s="1908"/>
      <c r="I10" s="1908"/>
      <c r="J10" s="1907" t="s">
        <v>2991</v>
      </c>
      <c r="K10" s="142">
        <v>0</v>
      </c>
      <c r="L10" s="142">
        <v>0</v>
      </c>
      <c r="N10" s="545"/>
      <c r="O10" s="28">
        <f t="shared" si="0"/>
        <v>0</v>
      </c>
      <c r="T10" s="40">
        <f t="shared" si="1"/>
        <v>0</v>
      </c>
      <c r="U10" s="40">
        <f t="shared" si="2"/>
        <v>0</v>
      </c>
      <c r="V10" s="40">
        <f t="shared" si="3"/>
        <v>0</v>
      </c>
      <c r="W10" s="40">
        <f t="shared" si="4"/>
        <v>0</v>
      </c>
      <c r="X10" s="40">
        <f t="shared" si="5"/>
        <v>0</v>
      </c>
      <c r="Y10" s="40">
        <f t="shared" si="6"/>
        <v>0</v>
      </c>
    </row>
    <row r="11" spans="1:79" hidden="1" x14ac:dyDescent="0.2">
      <c r="A11" s="1908" t="s">
        <v>1583</v>
      </c>
      <c r="B11" s="1908"/>
      <c r="C11" s="1908"/>
      <c r="D11" s="1908"/>
      <c r="E11" s="1908"/>
      <c r="F11" s="1908"/>
      <c r="G11" s="1908"/>
      <c r="H11" s="1908"/>
      <c r="I11" s="1908"/>
      <c r="J11" s="1907" t="s">
        <v>2992</v>
      </c>
      <c r="K11" s="142">
        <v>0</v>
      </c>
      <c r="L11" s="142">
        <v>0</v>
      </c>
      <c r="N11" s="545"/>
      <c r="O11" s="28">
        <f t="shared" si="0"/>
        <v>0</v>
      </c>
      <c r="T11" s="40">
        <f t="shared" si="1"/>
        <v>0</v>
      </c>
      <c r="U11" s="40">
        <f t="shared" si="2"/>
        <v>0</v>
      </c>
      <c r="V11" s="40">
        <f t="shared" si="3"/>
        <v>0</v>
      </c>
      <c r="W11" s="40">
        <f t="shared" si="4"/>
        <v>0</v>
      </c>
      <c r="X11" s="40">
        <f t="shared" si="5"/>
        <v>0</v>
      </c>
      <c r="Y11" s="40">
        <f t="shared" si="6"/>
        <v>0</v>
      </c>
    </row>
    <row r="12" spans="1:79" s="1533" customFormat="1" hidden="1" x14ac:dyDescent="0.2">
      <c r="A12" s="1905" t="s">
        <v>5413</v>
      </c>
      <c r="B12" s="1906"/>
      <c r="C12" s="1906"/>
      <c r="D12" s="1906"/>
      <c r="E12" s="1906"/>
      <c r="F12" s="1906"/>
      <c r="G12" s="1906"/>
      <c r="H12" s="1906"/>
      <c r="I12" s="1903"/>
      <c r="J12" s="1907" t="s">
        <v>2993</v>
      </c>
      <c r="K12" s="1531">
        <v>0</v>
      </c>
      <c r="L12" s="1123">
        <v>0</v>
      </c>
      <c r="M12" s="428" t="s">
        <v>2105</v>
      </c>
      <c r="N12" s="545"/>
      <c r="O12" s="1532">
        <f t="shared" si="0"/>
        <v>0</v>
      </c>
      <c r="P12" s="1532"/>
      <c r="Q12" s="1532"/>
      <c r="R12" s="1532"/>
      <c r="S12" s="1532"/>
      <c r="T12" s="40">
        <f t="shared" si="1"/>
        <v>0</v>
      </c>
      <c r="U12" s="40">
        <f t="shared" si="2"/>
        <v>0</v>
      </c>
      <c r="V12" s="40">
        <f t="shared" si="3"/>
        <v>0</v>
      </c>
      <c r="W12" s="40">
        <f t="shared" si="4"/>
        <v>0</v>
      </c>
      <c r="X12" s="40">
        <f t="shared" si="5"/>
        <v>0</v>
      </c>
      <c r="Y12" s="40">
        <f t="shared" si="6"/>
        <v>0</v>
      </c>
      <c r="Z12" s="1532"/>
      <c r="AA12" s="1532"/>
      <c r="AB12" s="1532"/>
      <c r="AC12" s="1532"/>
      <c r="AD12" s="1532"/>
      <c r="AE12" s="1532"/>
      <c r="AF12" s="1532"/>
      <c r="AG12" s="1532"/>
      <c r="AH12" s="1532"/>
      <c r="AI12" s="1532"/>
      <c r="AJ12" s="1532"/>
      <c r="AK12" s="1532"/>
      <c r="AL12" s="1532"/>
      <c r="AM12" s="1532"/>
      <c r="AN12" s="1532"/>
      <c r="AO12" s="1532"/>
      <c r="AP12" s="1532"/>
      <c r="AQ12" s="1532"/>
      <c r="AR12" s="1532"/>
      <c r="AS12" s="1532"/>
      <c r="AT12" s="1532"/>
      <c r="AU12" s="1532"/>
      <c r="AV12" s="1532"/>
      <c r="AW12" s="1532"/>
      <c r="AX12" s="1532"/>
      <c r="AY12" s="1532"/>
      <c r="AZ12" s="1532"/>
      <c r="BA12" s="1532"/>
      <c r="BB12" s="1532"/>
      <c r="BC12" s="1532"/>
      <c r="BD12" s="1532"/>
      <c r="BE12" s="1532"/>
      <c r="BF12" s="1532"/>
      <c r="BG12" s="1532"/>
      <c r="BH12" s="1532"/>
      <c r="BI12" s="1532"/>
      <c r="BJ12" s="1532"/>
      <c r="BK12" s="1532"/>
      <c r="BL12" s="1532"/>
      <c r="BM12" s="1532"/>
      <c r="BN12" s="1532"/>
      <c r="BO12" s="1532"/>
      <c r="BP12" s="1532"/>
      <c r="BQ12" s="1532"/>
      <c r="BR12" s="1532"/>
      <c r="BS12" s="1532"/>
      <c r="BT12" s="1532"/>
      <c r="BU12" s="1532"/>
      <c r="BV12" s="1532"/>
      <c r="BW12" s="1532"/>
      <c r="BX12" s="1532"/>
      <c r="BY12" s="1532"/>
      <c r="BZ12" s="1532"/>
      <c r="CA12" s="1532"/>
    </row>
    <row r="13" spans="1:79" x14ac:dyDescent="0.2">
      <c r="A13" s="1909" t="s">
        <v>7463</v>
      </c>
      <c r="B13" s="1906"/>
      <c r="C13" s="1906"/>
      <c r="D13" s="1906"/>
      <c r="E13" s="1906"/>
      <c r="F13" s="1906"/>
      <c r="G13" s="1906"/>
      <c r="H13" s="1906"/>
      <c r="I13" s="1903"/>
      <c r="J13" s="1904" t="s">
        <v>7454</v>
      </c>
      <c r="K13" s="405">
        <f>'TRA91'!H38</f>
      </c>
      <c r="L13" s="535">
        <f>'TRA91'!K42</f>
      </c>
      <c r="M13" s="366" t="s">
        <v>2105</v>
      </c>
      <c r="N13" s="545"/>
      <c r="O13" s="28">
        <f t="shared" si="0"/>
        <v>0</v>
      </c>
      <c r="T13" s="40">
        <f t="shared" si="1"/>
        <v>0</v>
      </c>
      <c r="U13" s="40">
        <f t="shared" si="2"/>
        <v>0</v>
      </c>
      <c r="V13" s="40">
        <f t="shared" si="3"/>
        <v>0</v>
      </c>
      <c r="W13" s="40">
        <f t="shared" si="4"/>
        <v>0</v>
      </c>
      <c r="X13" s="40">
        <f t="shared" si="5"/>
        <v>0</v>
      </c>
      <c r="Y13" s="40">
        <f t="shared" si="6"/>
        <v>0</v>
      </c>
    </row>
    <row r="14" spans="1:79" hidden="1" x14ac:dyDescent="0.2">
      <c r="A14" s="1905" t="s">
        <v>3627</v>
      </c>
      <c r="B14" s="1906"/>
      <c r="C14" s="1906"/>
      <c r="D14" s="1906"/>
      <c r="E14" s="1906"/>
      <c r="F14" s="1906"/>
      <c r="G14" s="1906"/>
      <c r="H14" s="1906"/>
      <c r="I14" s="1903"/>
      <c r="J14" s="1904"/>
      <c r="K14" s="405">
        <f>'TRA49'!O184</f>
      </c>
      <c r="L14" s="535">
        <f>'TRA49'!O190</f>
      </c>
      <c r="M14" s="366" t="s">
        <v>2105</v>
      </c>
      <c r="N14" s="545"/>
      <c r="O14" s="28">
        <f t="shared" si="0"/>
        <v>0</v>
      </c>
      <c r="T14" s="40">
        <f t="shared" si="1"/>
        <v>0</v>
      </c>
      <c r="U14" s="40">
        <f t="shared" si="2"/>
        <v>0</v>
      </c>
      <c r="V14" s="40">
        <f t="shared" si="3"/>
        <v>0</v>
      </c>
      <c r="W14" s="40">
        <f t="shared" si="4"/>
        <v>0</v>
      </c>
      <c r="X14" s="40">
        <f t="shared" si="5"/>
        <v>0</v>
      </c>
      <c r="Y14" s="40">
        <f t="shared" si="6"/>
        <v>0</v>
      </c>
    </row>
    <row r="15" spans="1:79" x14ac:dyDescent="0.2">
      <c r="A15" s="1909" t="s">
        <v>7441</v>
      </c>
      <c r="B15" s="1908"/>
      <c r="C15" s="1908"/>
      <c r="D15" s="1908"/>
      <c r="E15" s="1908"/>
      <c r="F15" s="1908"/>
      <c r="G15" s="1908"/>
      <c r="H15" s="1908"/>
      <c r="I15" s="1908"/>
      <c r="J15" s="1904" t="s">
        <v>7440</v>
      </c>
      <c r="K15" s="405">
        <f>'TRA90'!E34</f>
      </c>
      <c r="L15" s="535">
        <f>'TRA90'!E37</f>
      </c>
      <c r="M15" s="366" t="s">
        <v>2105</v>
      </c>
      <c r="N15" s="545" t="str">
        <f>IF(AND(M15="",K15+L15&gt;0),"Tax Account?","")</f>
        <v/>
      </c>
      <c r="O15" s="28">
        <f>IF(N15="",0,1)</f>
      </c>
      <c r="T15" s="40">
        <f t="shared" si="1"/>
        <v>0</v>
      </c>
      <c r="U15" s="40">
        <f t="shared" si="2"/>
        <v>0</v>
      </c>
      <c r="V15" s="40">
        <f t="shared" si="3"/>
        <v>0</v>
      </c>
      <c r="W15" s="40">
        <f t="shared" si="4"/>
        <v>0</v>
      </c>
      <c r="X15" s="40">
        <f t="shared" si="5"/>
        <v>0</v>
      </c>
      <c r="Y15" s="40">
        <f t="shared" si="6"/>
        <v>0</v>
      </c>
      <c r="Z15" s="1736"/>
      <c r="AA15" s="1736"/>
    </row>
    <row r="16" spans="1:79" x14ac:dyDescent="0.2">
      <c r="A16" s="1909" t="s">
        <v>7172</v>
      </c>
      <c r="B16" s="1906"/>
      <c r="C16" s="1906"/>
      <c r="D16" s="1906"/>
      <c r="E16" s="1906"/>
      <c r="F16" s="1906"/>
      <c r="G16" s="1906"/>
      <c r="H16" s="1906"/>
      <c r="I16" s="1903"/>
      <c r="J16" s="1910" t="s">
        <v>7171</v>
      </c>
      <c r="K16" s="405">
        <f>'TRA86'!I431</f>
      </c>
      <c r="L16" s="535">
        <f>'TRA86'!I433</f>
      </c>
      <c r="M16" s="366" t="s">
        <v>2105</v>
      </c>
      <c r="N16" s="545"/>
      <c r="O16" s="28">
        <f t="shared" si="0"/>
        <v>0</v>
      </c>
      <c r="T16" s="40">
        <f t="shared" si="1"/>
        <v>0</v>
      </c>
      <c r="U16" s="40">
        <f t="shared" si="2"/>
        <v>0</v>
      </c>
      <c r="V16" s="40">
        <f t="shared" si="3"/>
        <v>0</v>
      </c>
      <c r="W16" s="40">
        <f t="shared" si="4"/>
        <v>0</v>
      </c>
      <c r="X16" s="40">
        <f t="shared" si="5"/>
        <v>0</v>
      </c>
      <c r="Y16" s="40">
        <f t="shared" si="6"/>
        <v>0</v>
      </c>
    </row>
    <row r="17" spans="1:79" ht="12" customHeight="1" x14ac:dyDescent="0.2">
      <c r="A17" s="1909" t="s">
        <v>10257</v>
      </c>
      <c r="B17" s="1911"/>
      <c r="C17" s="1912"/>
      <c r="D17" s="1912"/>
      <c r="E17" s="1912"/>
      <c r="F17" s="1912"/>
      <c r="G17" s="1912"/>
      <c r="H17" s="1912"/>
      <c r="I17" s="1913"/>
      <c r="J17" s="1910" t="s">
        <v>7103</v>
      </c>
      <c r="K17" s="405">
        <f>'TRA88'!I201</f>
      </c>
      <c r="L17" s="535">
        <f>'TRA88'!I203</f>
      </c>
      <c r="M17" s="366" t="s">
        <v>2105</v>
      </c>
      <c r="N17" s="545"/>
      <c r="O17" s="28">
        <f>IF(N17="",0,1)</f>
      </c>
      <c r="T17" s="40">
        <f t="shared" si="1"/>
        <v>0</v>
      </c>
      <c r="U17" s="40">
        <f t="shared" si="2"/>
        <v>0</v>
      </c>
      <c r="V17" s="40">
        <f t="shared" si="3"/>
        <v>0</v>
      </c>
      <c r="W17" s="40">
        <f t="shared" si="4"/>
        <v>0</v>
      </c>
      <c r="X17" s="40">
        <f t="shared" si="5"/>
        <v>0</v>
      </c>
      <c r="Y17" s="40">
        <f t="shared" si="6"/>
        <v>0</v>
      </c>
    </row>
    <row r="18" spans="1:79" x14ac:dyDescent="0.2">
      <c r="A18" s="1909" t="s">
        <v>3568</v>
      </c>
      <c r="B18" s="1914"/>
      <c r="C18" s="1914"/>
      <c r="D18" s="1914"/>
      <c r="E18" s="1914"/>
      <c r="F18" s="1914"/>
      <c r="G18" s="1914"/>
      <c r="H18" s="1914"/>
      <c r="I18" s="1913"/>
      <c r="J18" s="1910" t="s">
        <v>5389</v>
      </c>
      <c r="K18" s="405">
        <f>'TRA54'!D142</f>
      </c>
      <c r="L18" s="535">
        <f>'TRA54'!D144</f>
      </c>
      <c r="M18" s="366" t="s">
        <v>2105</v>
      </c>
      <c r="N18" s="545"/>
      <c r="O18" s="28">
        <f t="shared" si="0"/>
        <v>0</v>
      </c>
      <c r="T18" s="40">
        <f t="shared" si="1"/>
        <v>0</v>
      </c>
      <c r="U18" s="40">
        <f t="shared" si="2"/>
        <v>0</v>
      </c>
      <c r="V18" s="40">
        <f t="shared" si="3"/>
        <v>0</v>
      </c>
      <c r="W18" s="40">
        <f t="shared" si="4"/>
        <v>0</v>
      </c>
      <c r="X18" s="40">
        <f t="shared" si="5"/>
        <v>0</v>
      </c>
      <c r="Y18" s="40">
        <f t="shared" si="6"/>
        <v>0</v>
      </c>
    </row>
    <row r="19" spans="1:79" x14ac:dyDescent="0.2">
      <c r="A19" s="1909" t="s">
        <v>3569</v>
      </c>
      <c r="B19" s="1915"/>
      <c r="C19" s="1915"/>
      <c r="D19" s="1915"/>
      <c r="E19" s="1915"/>
      <c r="F19" s="1915"/>
      <c r="G19" s="1915"/>
      <c r="H19" s="1915"/>
      <c r="I19" s="1903"/>
      <c r="J19" s="1904" t="s">
        <v>3567</v>
      </c>
      <c r="K19" s="1119">
        <f>'TRA65'!F44*-1</f>
      </c>
      <c r="L19" s="1153">
        <f>'TRA65'!I54</f>
      </c>
      <c r="M19" s="366" t="s">
        <v>2105</v>
      </c>
      <c r="N19" s="545"/>
      <c r="O19" s="28">
        <f t="shared" si="0"/>
        <v>0</v>
      </c>
      <c r="T19" s="40">
        <f t="shared" si="1"/>
        <v>0</v>
      </c>
      <c r="U19" s="40">
        <f t="shared" si="2"/>
        <v>0</v>
      </c>
      <c r="V19" s="40">
        <f t="shared" si="3"/>
        <v>0</v>
      </c>
      <c r="W19" s="40">
        <f t="shared" si="4"/>
        <v>0</v>
      </c>
      <c r="X19" s="40">
        <f t="shared" si="5"/>
        <v>0</v>
      </c>
      <c r="Y19" s="40">
        <f t="shared" si="6"/>
        <v>0</v>
      </c>
    </row>
    <row r="20" spans="1:79" x14ac:dyDescent="0.2">
      <c r="A20" s="1909" t="s">
        <v>7795</v>
      </c>
      <c r="B20" s="1914"/>
      <c r="C20" s="1914"/>
      <c r="D20" s="1914"/>
      <c r="E20" s="1914"/>
      <c r="F20" s="1914"/>
      <c r="G20" s="1914"/>
      <c r="H20" s="1914"/>
      <c r="I20" s="1913"/>
      <c r="J20" s="2207" t="s">
        <v>7800</v>
      </c>
      <c r="K20" s="1119">
        <f>'TRA92'!I35</f>
      </c>
      <c r="L20" s="1153">
        <f>'TRA92'!I39</f>
      </c>
      <c r="M20" s="366" t="s">
        <v>2105</v>
      </c>
      <c r="N20" s="545"/>
      <c r="O20" s="28">
        <f t="shared" si="0"/>
        <v>0</v>
      </c>
      <c r="T20" s="40">
        <f>IF(L20=0,0,IF(M20=ipc,ROUND(K20/L20,3),0))</f>
      </c>
      <c r="U20" s="40">
        <f>IF(L20=0,0,IF(M20=mtc,ROUND(K20/L20,3),0))</f>
      </c>
      <c r="V20" s="40">
        <f t="shared" ref="V20:W23" si="7">IF($M20="",0,IF($M20=ipc,K20,0))</f>
      </c>
      <c r="W20" s="40">
        <f t="shared" si="7"/>
        <v>0</v>
      </c>
      <c r="X20" s="40">
        <f t="shared" ref="X20:Y23" si="8">IF($M20="",0,IF($M20=mtc,K20,0))</f>
      </c>
      <c r="Y20" s="40">
        <f t="shared" si="8"/>
        <v>0</v>
      </c>
    </row>
    <row r="21" spans="1:79" hidden="1" x14ac:dyDescent="0.2">
      <c r="A21" s="1909" t="s">
        <v>7796</v>
      </c>
      <c r="B21" s="1914"/>
      <c r="C21" s="1914"/>
      <c r="D21" s="1914"/>
      <c r="E21" s="1914"/>
      <c r="F21" s="1914"/>
      <c r="G21" s="1914"/>
      <c r="H21" s="1914"/>
      <c r="I21" s="1913"/>
      <c r="J21" s="2207" t="s">
        <v>7765</v>
      </c>
      <c r="K21" s="1119">
        <f>'TRA93'!F30</f>
      </c>
      <c r="L21" s="1153">
        <f>'TRA93'!G35</f>
      </c>
      <c r="M21" s="366" t="s">
        <v>2105</v>
      </c>
      <c r="N21" s="545"/>
      <c r="O21" s="28">
        <f t="shared" si="0"/>
        <v>0</v>
      </c>
      <c r="T21" s="40">
        <f>IF(L21=0,0,IF(M21=ipc,ROUND(K21/L21,3),0))</f>
      </c>
      <c r="U21" s="40">
        <f>IF(L21=0,0,IF(M21=mtc,ROUND(K21/L21,3),0))</f>
      </c>
      <c r="V21" s="40">
        <f t="shared" si="7"/>
        <v>0</v>
      </c>
      <c r="W21" s="40">
        <f t="shared" si="7"/>
        <v>0</v>
      </c>
      <c r="X21" s="40">
        <f t="shared" si="8"/>
        <v>0</v>
      </c>
      <c r="Y21" s="40">
        <f t="shared" si="8"/>
        <v>0</v>
      </c>
    </row>
    <row r="22" spans="1:79" x14ac:dyDescent="0.2">
      <c r="A22" s="1909" t="s">
        <v>7799</v>
      </c>
      <c r="B22" s="1914"/>
      <c r="C22" s="1914"/>
      <c r="D22" s="1914"/>
      <c r="E22" s="1914"/>
      <c r="F22" s="1914"/>
      <c r="G22" s="1914"/>
      <c r="H22" s="1914"/>
      <c r="I22" s="1913"/>
      <c r="J22" s="2207" t="s">
        <v>7768</v>
      </c>
      <c r="K22" s="1119">
        <f>'TRA94'!G24</f>
      </c>
      <c r="L22" s="1153">
        <f>'TRA94'!G27</f>
      </c>
      <c r="M22" s="366" t="s">
        <v>2105</v>
      </c>
      <c r="N22" s="545"/>
      <c r="O22" s="28">
        <f t="shared" si="0"/>
        <v>0</v>
      </c>
      <c r="T22" s="40">
        <f>IF(L22=0,0,IF(M22=ipc,ROUND(K22/L22,3),0))</f>
      </c>
      <c r="U22" s="40">
        <f>IF(L22=0,0,IF(M22=mtc,ROUND(K22/L22,3),0))</f>
      </c>
      <c r="V22" s="40">
        <f t="shared" si="7"/>
        <v>0</v>
      </c>
      <c r="W22" s="40">
        <f t="shared" si="7"/>
        <v>0</v>
      </c>
      <c r="X22" s="40">
        <f t="shared" si="8"/>
        <v>0</v>
      </c>
      <c r="Y22" s="40">
        <f t="shared" si="8"/>
        <v>0</v>
      </c>
    </row>
    <row r="23" spans="1:79" x14ac:dyDescent="0.2">
      <c r="A23" s="1909" t="s">
        <v>8089</v>
      </c>
      <c r="B23" s="1914"/>
      <c r="C23" s="1914"/>
      <c r="D23" s="1914"/>
      <c r="E23" s="1914"/>
      <c r="F23" s="1914"/>
      <c r="G23" s="1914"/>
      <c r="H23" s="1914"/>
      <c r="I23" s="1913"/>
      <c r="J23" s="2207" t="s">
        <v>7992</v>
      </c>
      <c r="K23" s="3093">
        <f>'TRA96'!J57</f>
      </c>
      <c r="L23" s="3094">
        <f>'TRA96'!J61</f>
      </c>
      <c r="M23" s="366" t="s">
        <v>2105</v>
      </c>
      <c r="N23" s="545"/>
      <c r="O23" s="2479">
        <f t="shared" si="0"/>
        <v>0</v>
      </c>
      <c r="P23" s="2479"/>
      <c r="Q23" s="2479"/>
      <c r="R23" s="2479"/>
      <c r="S23" s="2479"/>
      <c r="T23" s="2480">
        <f>IF(L23=0,0,IF(M23=ipc,ROUND(K23/L23,3),0))</f>
      </c>
      <c r="U23" s="2480">
        <f>IF(L23=0,0,IF(M23=mtc,ROUND(K23/L23,3),0))</f>
      </c>
      <c r="V23" s="2480">
        <f t="shared" si="7"/>
        <v>0</v>
      </c>
      <c r="W23" s="2480">
        <f t="shared" si="7"/>
        <v>0</v>
      </c>
      <c r="X23" s="2480">
        <f t="shared" si="8"/>
        <v>0</v>
      </c>
      <c r="Y23" s="2480">
        <f t="shared" si="8"/>
        <v>0</v>
      </c>
      <c r="Z23" s="2479"/>
      <c r="AA23" s="2479">
        <f>IF(M23=ipc,L23,0)</f>
      </c>
      <c r="AB23" s="2479">
        <f>IF(M23=mtc,L23,0)</f>
      </c>
      <c r="AC23" s="2479"/>
    </row>
    <row r="24" spans="1:79" s="2393" customFormat="1" ht="13.5" hidden="1" customHeight="1" x14ac:dyDescent="0.2">
      <c r="A24" s="2384" t="s">
        <v>727</v>
      </c>
      <c r="B24" s="2385"/>
      <c r="C24" s="2385"/>
      <c r="D24" s="2385"/>
      <c r="E24" s="2385"/>
      <c r="F24" s="2385"/>
      <c r="G24" s="2385"/>
      <c r="H24" s="2385"/>
      <c r="I24" s="2386"/>
      <c r="J24" t="s">
        <v>5633</v>
      </c>
      <c r="K24" s="2388">
        <f>'TRA71'!F26</f>
      </c>
      <c r="L24" s="2389">
        <f>'TRA71'!F29</f>
      </c>
      <c r="M24" s="2390" t="s">
        <v>2105</v>
      </c>
      <c r="N24" s="2391"/>
      <c r="O24" s="2391">
        <f t="shared" si="0"/>
        <v>0</v>
      </c>
      <c r="P24" s="2391"/>
      <c r="Q24" s="2391"/>
      <c r="R24" s="2391"/>
      <c r="S24" s="2391"/>
      <c r="T24" s="2392">
        <f t="shared" si="1"/>
        <v>0</v>
      </c>
      <c r="U24" s="2392">
        <f t="shared" si="2"/>
        <v>0</v>
      </c>
      <c r="V24" s="2392">
        <f t="shared" si="3"/>
        <v>0</v>
      </c>
      <c r="W24" s="2392">
        <f t="shared" si="4"/>
        <v>0</v>
      </c>
      <c r="X24" s="2392">
        <f t="shared" si="5"/>
        <v>0</v>
      </c>
      <c r="Y24" s="2392">
        <f t="shared" si="6"/>
        <v>0</v>
      </c>
      <c r="Z24" s="2391"/>
      <c r="AA24" s="2391"/>
      <c r="AB24" s="2391"/>
      <c r="AC24" s="2391"/>
      <c r="AD24" s="2391"/>
      <c r="AE24" s="2391"/>
      <c r="AF24" s="2391"/>
      <c r="AG24" s="2391"/>
      <c r="AH24" s="2391"/>
      <c r="AI24" s="2391"/>
      <c r="AJ24" s="2391"/>
      <c r="AK24" s="2391"/>
      <c r="AL24" s="2391"/>
      <c r="AM24" s="2391"/>
      <c r="AN24" s="2391"/>
      <c r="AO24" s="2391"/>
      <c r="AP24" s="2391"/>
      <c r="AQ24" s="2391"/>
      <c r="AR24" s="2391"/>
      <c r="AS24" s="2391"/>
      <c r="AT24" s="2391"/>
      <c r="AU24" s="2391"/>
      <c r="AV24" s="2391"/>
      <c r="AW24" s="2391"/>
      <c r="AX24" s="2391"/>
      <c r="AY24" s="2391"/>
      <c r="AZ24" s="2391"/>
      <c r="BA24" s="2391"/>
      <c r="BB24" s="2391"/>
      <c r="BC24" s="2391"/>
      <c r="BD24" s="2391"/>
      <c r="BE24" s="2391"/>
      <c r="BF24" s="2391"/>
      <c r="BG24" s="2391"/>
      <c r="BH24" s="2391"/>
      <c r="BI24" s="2391"/>
      <c r="BJ24" s="2391"/>
      <c r="BK24" s="2391"/>
      <c r="BL24" s="2391"/>
      <c r="BM24" s="2391"/>
      <c r="BN24" s="2391"/>
      <c r="BO24" s="2391"/>
      <c r="BP24" s="2391"/>
      <c r="BQ24" s="2391"/>
      <c r="BR24" s="2391"/>
      <c r="BS24" s="2391"/>
      <c r="BT24" s="2391"/>
      <c r="BU24" s="2391"/>
      <c r="BV24" s="2391"/>
      <c r="BW24" s="2391"/>
      <c r="BX24" s="2391"/>
      <c r="BY24" s="2391"/>
      <c r="BZ24" s="2391"/>
      <c r="CA24" s="2391"/>
    </row>
    <row r="25" spans="1:79" s="2393" customFormat="1" ht="13.5" customHeight="1" x14ac:dyDescent="0.2">
      <c r="A25" s="1905" t="s">
        <v>8312</v>
      </c>
      <c r="B25" s="1905"/>
      <c r="C25" s="1905"/>
      <c r="D25" s="1905"/>
      <c r="E25" s="1905"/>
      <c r="F25" s="1905"/>
      <c r="G25" s="1906"/>
      <c r="H25" s="1906"/>
      <c r="I25" s="2622"/>
      <c r="J25" s="2207" t="s">
        <v>7997</v>
      </c>
      <c r="K25" s="1119">
        <f>'TRA101'!H9</f>
      </c>
      <c r="L25" s="1119">
        <f>'TRA101'!H13</f>
      </c>
      <c r="M25" s="366" t="s">
        <v>2105</v>
      </c>
      <c r="N25" s="2391"/>
      <c r="O25" s="28">
        <f t="shared" si="0"/>
        <v>0</v>
      </c>
      <c r="P25" s="2391"/>
      <c r="Q25" s="2391"/>
      <c r="R25" s="2391"/>
      <c r="S25" s="2391"/>
      <c r="T25" s="40">
        <f t="shared" si="1"/>
        <v>0</v>
      </c>
      <c r="U25" s="40">
        <f t="shared" si="2"/>
        <v>0</v>
      </c>
      <c r="V25" s="40">
        <f t="shared" si="3"/>
        <v>0</v>
      </c>
      <c r="W25" s="40">
        <f t="shared" si="4"/>
        <v>0</v>
      </c>
      <c r="X25" s="40">
        <f t="shared" si="5"/>
        <v>0</v>
      </c>
      <c r="Y25" s="40">
        <f t="shared" si="6"/>
        <v>0</v>
      </c>
      <c r="Z25" s="2391"/>
      <c r="AA25" s="2391"/>
      <c r="AB25" s="2391"/>
      <c r="AC25" s="2391"/>
      <c r="AD25" s="2391"/>
      <c r="AE25" s="2391"/>
      <c r="AF25" s="2391"/>
      <c r="AG25" s="2391"/>
      <c r="AH25" s="2391"/>
      <c r="AI25" s="2391"/>
      <c r="AJ25" s="2391"/>
      <c r="AK25" s="2391"/>
      <c r="AL25" s="2391"/>
      <c r="AM25" s="2391"/>
      <c r="AN25" s="2391"/>
      <c r="AO25" s="2391"/>
      <c r="AP25" s="2391"/>
      <c r="AQ25" s="2391"/>
      <c r="AR25" s="2391"/>
      <c r="AS25" s="2391"/>
      <c r="AT25" s="2391"/>
      <c r="AU25" s="2391"/>
      <c r="AV25" s="2391"/>
      <c r="AW25" s="2391"/>
      <c r="AX25" s="2391"/>
      <c r="AY25" s="2391"/>
      <c r="AZ25" s="2391"/>
      <c r="BA25" s="2391"/>
      <c r="BB25" s="2391"/>
      <c r="BC25" s="2391"/>
      <c r="BD25" s="2391"/>
      <c r="BE25" s="2391"/>
      <c r="BF25" s="2391"/>
      <c r="BG25" s="2391"/>
      <c r="BH25" s="2391"/>
      <c r="BI25" s="2391"/>
      <c r="BJ25" s="2391"/>
      <c r="BK25" s="2391"/>
      <c r="BL25" s="2391"/>
      <c r="BM25" s="2391"/>
      <c r="BN25" s="2391"/>
      <c r="BO25" s="2391"/>
      <c r="BP25" s="2391"/>
      <c r="BQ25" s="2391"/>
      <c r="BR25" s="2391"/>
      <c r="BS25" s="2391"/>
      <c r="BT25" s="2391"/>
      <c r="BU25" s="2391"/>
      <c r="BV25" s="2391"/>
      <c r="BW25" s="2391"/>
      <c r="BX25" s="2391"/>
      <c r="BY25" s="2391"/>
      <c r="BZ25" s="2391"/>
      <c r="CA25" s="2391"/>
    </row>
    <row r="26" spans="1:79" s="2393" customFormat="1" ht="13.5" customHeight="1" x14ac:dyDescent="0.2">
      <c r="A26" s="1905" t="s">
        <v>8304</v>
      </c>
      <c r="B26" s="1905"/>
      <c r="C26" s="1905"/>
      <c r="D26" s="1905"/>
      <c r="E26" s="1905"/>
      <c r="F26" s="1905"/>
      <c r="G26" s="1906"/>
      <c r="H26" s="1906"/>
      <c r="I26" s="2622"/>
      <c r="J26" s="2207" t="s">
        <v>7998</v>
      </c>
      <c r="K26" s="1119">
        <f>'TRA102'!I37</f>
      </c>
      <c r="L26" s="1119">
        <f>'TRA102'!I41</f>
      </c>
      <c r="M26" s="366" t="s">
        <v>2105</v>
      </c>
      <c r="N26" s="2391"/>
      <c r="O26" s="28">
        <f t="shared" si="0"/>
        <v>0</v>
      </c>
      <c r="P26" s="2391"/>
      <c r="Q26" s="2391"/>
      <c r="R26" s="2391"/>
      <c r="S26" s="2391"/>
      <c r="T26" s="40">
        <f t="shared" si="1"/>
        <v>0</v>
      </c>
      <c r="U26" s="40">
        <f t="shared" si="2"/>
        <v>0</v>
      </c>
      <c r="V26" s="40">
        <f t="shared" si="3"/>
        <v>0</v>
      </c>
      <c r="W26" s="40">
        <f t="shared" si="4"/>
        <v>0</v>
      </c>
      <c r="X26" s="40">
        <f t="shared" si="5"/>
        <v>0</v>
      </c>
      <c r="Y26" s="40">
        <f t="shared" si="6"/>
        <v>0</v>
      </c>
      <c r="Z26" s="2391"/>
      <c r="AA26" s="2391"/>
      <c r="AB26" s="2391"/>
      <c r="AC26" s="2391"/>
      <c r="AD26" s="2391"/>
      <c r="AE26" s="2391"/>
      <c r="AF26" s="2391"/>
      <c r="AG26" s="2391"/>
      <c r="AH26" s="2391"/>
      <c r="AI26" s="2391"/>
      <c r="AJ26" s="2391"/>
      <c r="AK26" s="2391"/>
      <c r="AL26" s="2391"/>
      <c r="AM26" s="2391"/>
      <c r="AN26" s="2391"/>
      <c r="AO26" s="2391"/>
      <c r="AP26" s="2391"/>
      <c r="AQ26" s="2391"/>
      <c r="AR26" s="2391"/>
      <c r="AS26" s="2391"/>
      <c r="AT26" s="2391"/>
      <c r="AU26" s="2391"/>
      <c r="AV26" s="2391"/>
      <c r="AW26" s="2391"/>
      <c r="AX26" s="2391"/>
      <c r="AY26" s="2391"/>
      <c r="AZ26" s="2391"/>
      <c r="BA26" s="2391"/>
      <c r="BB26" s="2391"/>
      <c r="BC26" s="2391"/>
      <c r="BD26" s="2391"/>
      <c r="BE26" s="2391"/>
      <c r="BF26" s="2391"/>
      <c r="BG26" s="2391"/>
      <c r="BH26" s="2391"/>
      <c r="BI26" s="2391"/>
      <c r="BJ26" s="2391"/>
      <c r="BK26" s="2391"/>
      <c r="BL26" s="2391"/>
      <c r="BM26" s="2391"/>
      <c r="BN26" s="2391"/>
      <c r="BO26" s="2391"/>
      <c r="BP26" s="2391"/>
      <c r="BQ26" s="2391"/>
      <c r="BR26" s="2391"/>
      <c r="BS26" s="2391"/>
      <c r="BT26" s="2391"/>
      <c r="BU26" s="2391"/>
      <c r="BV26" s="2391"/>
      <c r="BW26" s="2391"/>
      <c r="BX26" s="2391"/>
      <c r="BY26" s="2391"/>
      <c r="BZ26" s="2391"/>
      <c r="CA26" s="2391"/>
    </row>
    <row r="27" spans="1:79" s="2393" customFormat="1" ht="13.5" hidden="1" customHeight="1" x14ac:dyDescent="0.2">
      <c r="A27" s="1905" t="s">
        <v>8305</v>
      </c>
      <c r="B27" s="1905"/>
      <c r="C27" s="1905"/>
      <c r="D27" s="1905"/>
      <c r="E27" s="1905"/>
      <c r="F27" s="1905"/>
      <c r="G27" s="1906"/>
      <c r="H27" s="1906"/>
      <c r="I27" s="2622"/>
      <c r="J27" s="2207" t="s">
        <v>8295</v>
      </c>
      <c r="K27" s="1119">
        <f>'TRA103'!C21</f>
      </c>
      <c r="L27" s="1119">
        <f>'TRA103'!C24</f>
      </c>
      <c r="M27" s="366" t="s">
        <v>2105</v>
      </c>
      <c r="N27" s="2391"/>
      <c r="O27" s="28">
        <f t="shared" si="0"/>
        <v>0</v>
      </c>
      <c r="P27" s="2391"/>
      <c r="Q27" s="2391"/>
      <c r="R27" s="2391"/>
      <c r="S27" s="2391"/>
      <c r="T27" s="40">
        <f t="shared" si="1"/>
        <v>0</v>
      </c>
      <c r="U27" s="40">
        <f t="shared" si="2"/>
        <v>0</v>
      </c>
      <c r="V27" s="40">
        <f t="shared" si="3"/>
        <v>0</v>
      </c>
      <c r="W27" s="40">
        <f t="shared" si="4"/>
        <v>0</v>
      </c>
      <c r="X27" s="40">
        <f t="shared" si="5"/>
        <v>0</v>
      </c>
      <c r="Y27" s="40">
        <f t="shared" si="6"/>
        <v>0</v>
      </c>
      <c r="Z27" s="2391"/>
      <c r="AA27" s="2391"/>
      <c r="AB27" s="2391"/>
      <c r="AC27" s="2391"/>
      <c r="AD27" s="2391"/>
      <c r="AE27" s="2391"/>
      <c r="AF27" s="2391"/>
      <c r="AG27" s="2391"/>
      <c r="AH27" s="2391"/>
      <c r="AI27" s="2391"/>
      <c r="AJ27" s="2391"/>
      <c r="AK27" s="2391"/>
      <c r="AL27" s="2391"/>
      <c r="AM27" s="2391"/>
      <c r="AN27" s="2391"/>
      <c r="AO27" s="2391"/>
      <c r="AP27" s="2391"/>
      <c r="AQ27" s="2391"/>
      <c r="AR27" s="2391"/>
      <c r="AS27" s="2391"/>
      <c r="AT27" s="2391"/>
      <c r="AU27" s="2391"/>
      <c r="AV27" s="2391"/>
      <c r="AW27" s="2391"/>
      <c r="AX27" s="2391"/>
      <c r="AY27" s="2391"/>
      <c r="AZ27" s="2391"/>
      <c r="BA27" s="2391"/>
      <c r="BB27" s="2391"/>
      <c r="BC27" s="2391"/>
      <c r="BD27" s="2391"/>
      <c r="BE27" s="2391"/>
      <c r="BF27" s="2391"/>
      <c r="BG27" s="2391"/>
      <c r="BH27" s="2391"/>
      <c r="BI27" s="2391"/>
      <c r="BJ27" s="2391"/>
      <c r="BK27" s="2391"/>
      <c r="BL27" s="2391"/>
      <c r="BM27" s="2391"/>
      <c r="BN27" s="2391"/>
      <c r="BO27" s="2391"/>
      <c r="BP27" s="2391"/>
      <c r="BQ27" s="2391"/>
      <c r="BR27" s="2391"/>
      <c r="BS27" s="2391"/>
      <c r="BT27" s="2391"/>
      <c r="BU27" s="2391"/>
      <c r="BV27" s="2391"/>
      <c r="BW27" s="2391"/>
      <c r="BX27" s="2391"/>
      <c r="BY27" s="2391"/>
      <c r="BZ27" s="2391"/>
      <c r="CA27" s="2391"/>
    </row>
    <row r="28" spans="1:79" s="2393" customFormat="1" ht="13.5" customHeight="1" x14ac:dyDescent="0.2">
      <c r="A28" s="1905" t="s">
        <v>8311</v>
      </c>
      <c r="B28" s="1905"/>
      <c r="C28" s="1905"/>
      <c r="D28" s="1905"/>
      <c r="E28" s="1905"/>
      <c r="F28" s="1905"/>
      <c r="G28" s="1906"/>
      <c r="H28" s="1906"/>
      <c r="I28" s="2622"/>
      <c r="J28" s="2207" t="s">
        <v>8303</v>
      </c>
      <c r="K28" s="1119">
        <f>'TRA104'!H38</f>
      </c>
      <c r="L28" s="1119">
        <f>'TRA104'!K42</f>
      </c>
      <c r="M28" s="366" t="s">
        <v>2105</v>
      </c>
      <c r="N28" s="2391"/>
      <c r="O28" s="28">
        <f t="shared" si="0"/>
        <v>0</v>
      </c>
      <c r="P28" s="2391"/>
      <c r="Q28" s="2391"/>
      <c r="R28" s="2391"/>
      <c r="S28" s="2391"/>
      <c r="T28" s="40">
        <f>IF(L28=0,0,IF(M28=ipc,ROUND(K28/L28,3),0))</f>
      </c>
      <c r="U28" s="40">
        <f>IF(L28=0,0,IF(M28=mtc,ROUND(K28/L28,3),0))</f>
      </c>
      <c r="V28" s="40">
        <f>IF($M28="",0,IF($M28=ipc,K28,0))</f>
      </c>
      <c r="W28" s="40">
        <f>IF($M28="",0,IF($M28=ipc,L28,0))</f>
      </c>
      <c r="X28" s="40">
        <f>IF($M28="",0,IF($M28=mtc,K28,0))</f>
      </c>
      <c r="Y28" s="40">
        <f>IF($M28="",0,IF($M28=mtc,L28,0))</f>
      </c>
      <c r="Z28" s="2391"/>
      <c r="AA28" s="2391"/>
      <c r="AB28" s="2391"/>
      <c r="AC28" s="2391"/>
      <c r="AD28" s="2391"/>
      <c r="AE28" s="2391"/>
      <c r="AF28" s="2391"/>
      <c r="AG28" s="2391"/>
      <c r="AH28" s="2391"/>
      <c r="AI28" s="2391"/>
      <c r="AJ28" s="2391"/>
      <c r="AK28" s="2391"/>
      <c r="AL28" s="2391"/>
      <c r="AM28" s="2391"/>
      <c r="AN28" s="2391"/>
      <c r="AO28" s="2391"/>
      <c r="AP28" s="2391"/>
      <c r="AQ28" s="2391"/>
      <c r="AR28" s="2391"/>
      <c r="AS28" s="2391"/>
      <c r="AT28" s="2391"/>
      <c r="AU28" s="2391"/>
      <c r="AV28" s="2391"/>
      <c r="AW28" s="2391"/>
      <c r="AX28" s="2391"/>
      <c r="AY28" s="2391"/>
      <c r="AZ28" s="2391"/>
      <c r="BA28" s="2391"/>
      <c r="BB28" s="2391"/>
      <c r="BC28" s="2391"/>
      <c r="BD28" s="2391"/>
      <c r="BE28" s="2391"/>
      <c r="BF28" s="2391"/>
      <c r="BG28" s="2391"/>
      <c r="BH28" s="2391"/>
      <c r="BI28" s="2391"/>
      <c r="BJ28" s="2391"/>
      <c r="BK28" s="2391"/>
      <c r="BL28" s="2391"/>
      <c r="BM28" s="2391"/>
      <c r="BN28" s="2391"/>
      <c r="BO28" s="2391"/>
      <c r="BP28" s="2391"/>
      <c r="BQ28" s="2391"/>
      <c r="BR28" s="2391"/>
      <c r="BS28" s="2391"/>
      <c r="BT28" s="2391"/>
      <c r="BU28" s="2391"/>
      <c r="BV28" s="2391"/>
      <c r="BW28" s="2391"/>
      <c r="BX28" s="2391"/>
      <c r="BY28" s="2391"/>
      <c r="BZ28" s="2391"/>
      <c r="CA28" s="2391"/>
    </row>
    <row r="29" spans="1:79" s="2393" customFormat="1" ht="13.5" hidden="1" customHeight="1" x14ac:dyDescent="0.2">
      <c r="A29" s="1905" t="s">
        <v>8310</v>
      </c>
      <c r="B29" s="1905"/>
      <c r="C29" s="1905"/>
      <c r="D29" s="1906"/>
      <c r="E29" s="1906"/>
      <c r="F29" s="1906"/>
      <c r="G29" s="1906"/>
      <c r="H29" s="1906"/>
      <c r="I29" s="2622"/>
      <c r="J29" s="2207" t="s">
        <v>8309</v>
      </c>
      <c r="K29" s="1119">
        <f>'TRA105'!H23</f>
      </c>
      <c r="L29" s="1119">
        <f>'TRA105'!H28</f>
      </c>
      <c r="M29" s="366" t="s">
        <v>2105</v>
      </c>
      <c r="N29" s="2391"/>
      <c r="O29" s="28">
        <f t="shared" si="0"/>
        <v>0</v>
      </c>
      <c r="P29" s="2391"/>
      <c r="Q29" s="2391"/>
      <c r="R29" s="2391"/>
      <c r="S29" s="2391"/>
      <c r="T29" s="40">
        <f t="shared" si="1"/>
        <v>0</v>
      </c>
      <c r="U29" s="40">
        <f>IF(L29=0,0,IF(M29=mtc,ROUND(K29/L29,3),0))</f>
      </c>
      <c r="V29" s="40">
        <f t="shared" si="3"/>
        <v>0</v>
      </c>
      <c r="W29" s="40">
        <f t="shared" si="4"/>
        <v>0</v>
      </c>
      <c r="X29" s="40">
        <f t="shared" si="5"/>
        <v>0</v>
      </c>
      <c r="Y29" s="40">
        <f t="shared" si="6"/>
        <v>0</v>
      </c>
      <c r="Z29" s="2391"/>
      <c r="AA29" s="2391"/>
      <c r="AB29" s="2391"/>
      <c r="AC29" s="2391"/>
      <c r="AD29" s="2391"/>
      <c r="AE29" s="2391"/>
      <c r="AF29" s="2391"/>
      <c r="AG29" s="2391"/>
      <c r="AH29" s="2391"/>
      <c r="AI29" s="2391"/>
      <c r="AJ29" s="2391"/>
      <c r="AK29" s="2391"/>
      <c r="AL29" s="2391"/>
      <c r="AM29" s="2391"/>
      <c r="AN29" s="2391"/>
      <c r="AO29" s="2391"/>
      <c r="AP29" s="2391"/>
      <c r="AQ29" s="2391"/>
      <c r="AR29" s="2391"/>
      <c r="AS29" s="2391"/>
      <c r="AT29" s="2391"/>
      <c r="AU29" s="2391"/>
      <c r="AV29" s="2391"/>
      <c r="AW29" s="2391"/>
      <c r="AX29" s="2391"/>
      <c r="AY29" s="2391"/>
      <c r="AZ29" s="2391"/>
      <c r="BA29" s="2391"/>
      <c r="BB29" s="2391"/>
      <c r="BC29" s="2391"/>
      <c r="BD29" s="2391"/>
      <c r="BE29" s="2391"/>
      <c r="BF29" s="2391"/>
      <c r="BG29" s="2391"/>
      <c r="BH29" s="2391"/>
      <c r="BI29" s="2391"/>
      <c r="BJ29" s="2391"/>
      <c r="BK29" s="2391"/>
      <c r="BL29" s="2391"/>
      <c r="BM29" s="2391"/>
      <c r="BN29" s="2391"/>
      <c r="BO29" s="2391"/>
      <c r="BP29" s="2391"/>
      <c r="BQ29" s="2391"/>
      <c r="BR29" s="2391"/>
      <c r="BS29" s="2391"/>
      <c r="BT29" s="2391"/>
      <c r="BU29" s="2391"/>
      <c r="BV29" s="2391"/>
      <c r="BW29" s="2391"/>
      <c r="BX29" s="2391"/>
      <c r="BY29" s="2391"/>
      <c r="BZ29" s="2391"/>
      <c r="CA29" s="2391"/>
    </row>
    <row r="30" spans="1:79" s="2393" customFormat="1" ht="13.5" hidden="1" customHeight="1" x14ac:dyDescent="0.2">
      <c r="A30" s="1905" t="s">
        <v>8680</v>
      </c>
      <c r="B30" s="1906"/>
      <c r="C30" s="1906"/>
      <c r="D30" s="1906"/>
      <c r="E30" s="1906"/>
      <c r="F30" s="1906"/>
      <c r="G30" s="1906"/>
      <c r="H30" s="1906"/>
      <c r="I30" s="2622"/>
      <c r="J30" s="2207" t="s">
        <v>8677</v>
      </c>
      <c r="K30" s="1119">
        <f>'TRA106'!I20</f>
      </c>
      <c r="L30" s="1119">
        <f>'TRA106'!I22</f>
      </c>
      <c r="M30" s="366" t="s">
        <v>2105</v>
      </c>
      <c r="N30" s="2391"/>
      <c r="O30" s="28">
        <f t="shared" si="0"/>
        <v>0</v>
      </c>
      <c r="P30" s="2391"/>
      <c r="Q30" s="2391"/>
      <c r="R30" s="2391"/>
      <c r="S30" s="2391"/>
      <c r="T30" s="40">
        <f t="shared" si="1"/>
        <v>0</v>
      </c>
      <c r="U30" s="40">
        <f t="shared" si="2"/>
        <v>0</v>
      </c>
      <c r="V30" s="40">
        <f t="shared" si="3"/>
        <v>0</v>
      </c>
      <c r="W30" s="40">
        <f t="shared" si="4"/>
        <v>0</v>
      </c>
      <c r="X30" s="40">
        <f t="shared" si="5"/>
        <v>0</v>
      </c>
      <c r="Y30" s="40">
        <f t="shared" si="6"/>
        <v>0</v>
      </c>
      <c r="Z30" s="2391"/>
      <c r="AA30" s="2391"/>
      <c r="AB30" s="2391"/>
      <c r="AC30" s="2391"/>
      <c r="AD30" s="2391"/>
      <c r="AE30" s="2391"/>
      <c r="AF30" s="2391"/>
      <c r="AG30" s="2391"/>
      <c r="AH30" s="2391"/>
      <c r="AI30" s="2391"/>
      <c r="AJ30" s="2391"/>
      <c r="AK30" s="2391"/>
      <c r="AL30" s="2391"/>
      <c r="AM30" s="2391"/>
      <c r="AN30" s="2391"/>
      <c r="AO30" s="2391"/>
      <c r="AP30" s="2391"/>
      <c r="AQ30" s="2391"/>
      <c r="AR30" s="2391"/>
      <c r="AS30" s="2391"/>
      <c r="AT30" s="2391"/>
      <c r="AU30" s="2391"/>
      <c r="AV30" s="2391"/>
      <c r="AW30" s="2391"/>
      <c r="AX30" s="2391"/>
      <c r="AY30" s="2391"/>
      <c r="AZ30" s="2391"/>
      <c r="BA30" s="2391"/>
      <c r="BB30" s="2391"/>
      <c r="BC30" s="2391"/>
      <c r="BD30" s="2391"/>
      <c r="BE30" s="2391"/>
      <c r="BF30" s="2391"/>
      <c r="BG30" s="2391"/>
      <c r="BH30" s="2391"/>
      <c r="BI30" s="2391"/>
      <c r="BJ30" s="2391"/>
      <c r="BK30" s="2391"/>
      <c r="BL30" s="2391"/>
      <c r="BM30" s="2391"/>
      <c r="BN30" s="2391"/>
      <c r="BO30" s="2391"/>
      <c r="BP30" s="2391"/>
      <c r="BQ30" s="2391"/>
      <c r="BR30" s="2391"/>
      <c r="BS30" s="2391"/>
      <c r="BT30" s="2391"/>
      <c r="BU30" s="2391"/>
      <c r="BV30" s="2391"/>
      <c r="BW30" s="2391"/>
      <c r="BX30" s="2391"/>
      <c r="BY30" s="2391"/>
      <c r="BZ30" s="2391"/>
      <c r="CA30" s="2391"/>
    </row>
    <row r="31" spans="1:79" s="2393" customFormat="1" ht="13.5" customHeight="1" x14ac:dyDescent="0.2">
      <c r="A31" s="1905" t="s">
        <v>8730</v>
      </c>
      <c r="B31" s="1906"/>
      <c r="C31" s="1906"/>
      <c r="D31" s="1906"/>
      <c r="E31" s="1906"/>
      <c r="F31" s="1906"/>
      <c r="G31" s="1906"/>
      <c r="H31" s="1906"/>
      <c r="I31" s="2622"/>
      <c r="J31" s="2207" t="s">
        <v>8733</v>
      </c>
      <c r="K31" s="1119">
        <f>'TRA108'!H29</f>
      </c>
      <c r="L31" s="1119">
        <f>'TRA108'!H34</f>
      </c>
      <c r="M31" s="366" t="s">
        <v>2105</v>
      </c>
      <c r="N31" s="2391"/>
      <c r="O31" s="28">
        <f>IF(N31="",0,1)</f>
      </c>
      <c r="P31" s="2391"/>
      <c r="Q31" s="2391"/>
      <c r="R31" s="2391"/>
      <c r="S31" s="2391"/>
      <c r="T31" s="40">
        <f t="shared" ref="T31:T42" si="9">IF(L31=0,0,IF(M31=ipc,ROUND(K31/L31,3),0))</f>
      </c>
      <c r="U31" s="40">
        <f>IF(L31=0,0,IF(M31=mtc,ROUND(K31/L31,3),0))</f>
      </c>
      <c r="V31" s="40">
        <f>IF($M31="",0,IF($M31=ipc,K31,0))</f>
      </c>
      <c r="W31" s="40">
        <f>IF($M31="",0,IF($M31=ipc,L31,0))</f>
      </c>
      <c r="X31" s="40">
        <f>IF($M31="",0,IF($M31=mtc,K31,0))</f>
      </c>
      <c r="Y31" s="40">
        <f>IF($M31="",0,IF($M31=mtc,L31,0))</f>
      </c>
      <c r="Z31" s="2391"/>
      <c r="AA31" s="2391"/>
      <c r="AB31" s="2391"/>
      <c r="AC31" s="2391"/>
      <c r="AD31" s="2391"/>
      <c r="AE31" s="2391"/>
      <c r="AF31" s="2391"/>
      <c r="AG31" s="2391"/>
      <c r="AH31" s="2391"/>
      <c r="AI31" s="2391"/>
      <c r="AJ31" s="2391"/>
      <c r="AK31" s="2391"/>
      <c r="AL31" s="2391"/>
      <c r="AM31" s="2391"/>
      <c r="AN31" s="2391"/>
      <c r="AO31" s="2391"/>
      <c r="AP31" s="2391"/>
      <c r="AQ31" s="2391"/>
      <c r="AR31" s="2391"/>
      <c r="AS31" s="2391"/>
      <c r="AT31" s="2391"/>
      <c r="AU31" s="2391"/>
      <c r="AV31" s="2391"/>
      <c r="AW31" s="2391"/>
      <c r="AX31" s="2391"/>
      <c r="AY31" s="2391"/>
      <c r="AZ31" s="2391"/>
      <c r="BA31" s="2391"/>
      <c r="BB31" s="2391"/>
      <c r="BC31" s="2391"/>
      <c r="BD31" s="2391"/>
      <c r="BE31" s="2391"/>
      <c r="BF31" s="2391"/>
      <c r="BG31" s="2391"/>
      <c r="BH31" s="2391"/>
      <c r="BI31" s="2391"/>
      <c r="BJ31" s="2391"/>
      <c r="BK31" s="2391"/>
      <c r="BL31" s="2391"/>
      <c r="BM31" s="2391"/>
      <c r="BN31" s="2391"/>
      <c r="BO31" s="2391"/>
      <c r="BP31" s="2391"/>
      <c r="BQ31" s="2391"/>
      <c r="BR31" s="2391"/>
      <c r="BS31" s="2391"/>
      <c r="BT31" s="2391"/>
      <c r="BU31" s="2391"/>
      <c r="BV31" s="2391"/>
      <c r="BW31" s="2391"/>
      <c r="BX31" s="2391"/>
      <c r="BY31" s="2391"/>
      <c r="BZ31" s="2391"/>
      <c r="CA31" s="2391"/>
    </row>
    <row r="32" spans="1:79" s="2393" customFormat="1" ht="13.5" customHeight="1" x14ac:dyDescent="0.2">
      <c r="A32" s="1905" t="s">
        <v>8731</v>
      </c>
      <c r="B32" s="1906"/>
      <c r="C32" s="1906"/>
      <c r="D32" s="1906"/>
      <c r="E32" s="1906"/>
      <c r="F32" s="1906"/>
      <c r="G32" s="1906"/>
      <c r="H32" s="1906"/>
      <c r="I32" s="2622"/>
      <c r="J32" s="2207" t="s">
        <v>8734</v>
      </c>
      <c r="K32" s="1119">
        <f>'TRA109'!F30</f>
      </c>
      <c r="L32" s="1119">
        <f>'TRA109'!G35</f>
      </c>
      <c r="M32" s="366" t="s">
        <v>2105</v>
      </c>
      <c r="N32" s="2391"/>
      <c r="O32" s="28">
        <f>IF(N32="",0,1)</f>
      </c>
      <c r="P32" s="2391"/>
      <c r="Q32" s="2391"/>
      <c r="R32" s="2391"/>
      <c r="S32" s="2391"/>
      <c r="T32" s="40">
        <f t="shared" si="9"/>
        <v>0</v>
      </c>
      <c r="U32" s="40">
        <f t="shared" ref="U32:U38" si="10">IF(L32=0,0,IF(M32=mtc,ROUND(K32/L32,3),0))</f>
      </c>
      <c r="V32" s="40">
        <f>IF($M32="",0,IF($M32=ipc,K32,0))</f>
      </c>
      <c r="W32" s="40">
        <f>IF($M32="",0,IF($M32=ipc,L32,0))</f>
      </c>
      <c r="X32" s="40">
        <f>IF($M32="",0,IF($M32=mtc,K32,0))</f>
      </c>
      <c r="Y32" s="40">
        <f>IF($M32="",0,IF($M32=mtc,L32,0))</f>
      </c>
      <c r="Z32" s="2391"/>
      <c r="AA32" s="2391"/>
      <c r="AB32" s="2391"/>
      <c r="AC32" s="2391"/>
      <c r="AD32" s="2391"/>
      <c r="AE32" s="2391"/>
      <c r="AF32" s="2391"/>
      <c r="AG32" s="2391"/>
      <c r="AH32" s="2391"/>
      <c r="AI32" s="2391"/>
      <c r="AJ32" s="2391"/>
      <c r="AK32" s="2391"/>
      <c r="AL32" s="2391"/>
      <c r="AM32" s="2391"/>
      <c r="AN32" s="2391"/>
      <c r="AO32" s="2391"/>
      <c r="AP32" s="2391"/>
      <c r="AQ32" s="2391"/>
      <c r="AR32" s="2391"/>
      <c r="AS32" s="2391"/>
      <c r="AT32" s="2391"/>
      <c r="AU32" s="2391"/>
      <c r="AV32" s="2391"/>
      <c r="AW32" s="2391"/>
      <c r="AX32" s="2391"/>
      <c r="AY32" s="2391"/>
      <c r="AZ32" s="2391"/>
      <c r="BA32" s="2391"/>
      <c r="BB32" s="2391"/>
      <c r="BC32" s="2391"/>
      <c r="BD32" s="2391"/>
      <c r="BE32" s="2391"/>
      <c r="BF32" s="2391"/>
      <c r="BG32" s="2391"/>
      <c r="BH32" s="2391"/>
      <c r="BI32" s="2391"/>
      <c r="BJ32" s="2391"/>
      <c r="BK32" s="2391"/>
      <c r="BL32" s="2391"/>
      <c r="BM32" s="2391"/>
      <c r="BN32" s="2391"/>
      <c r="BO32" s="2391"/>
      <c r="BP32" s="2391"/>
      <c r="BQ32" s="2391"/>
      <c r="BR32" s="2391"/>
      <c r="BS32" s="2391"/>
      <c r="BT32" s="2391"/>
      <c r="BU32" s="2391"/>
      <c r="BV32" s="2391"/>
      <c r="BW32" s="2391"/>
      <c r="BX32" s="2391"/>
      <c r="BY32" s="2391"/>
      <c r="BZ32" s="2391"/>
      <c r="CA32" s="2391"/>
    </row>
    <row r="33" spans="1:79" s="2393" customFormat="1" ht="13.5" hidden="1" customHeight="1" x14ac:dyDescent="0.2">
      <c r="A33" s="1909" t="s">
        <v>9240</v>
      </c>
      <c r="B33" s="1912"/>
      <c r="C33" s="1912"/>
      <c r="D33" s="1912"/>
      <c r="E33" s="1912"/>
      <c r="F33" s="1912"/>
      <c r="G33" s="1912"/>
      <c r="H33" s="1912"/>
      <c r="I33" s="3362"/>
      <c r="J33" s="2207" t="s">
        <v>9238</v>
      </c>
      <c r="K33" s="1119">
        <f>'TRA114'!I64</f>
      </c>
      <c r="L33" s="1119">
        <f>'TRA114'!I66</f>
      </c>
      <c r="M33" s="366" t="s">
        <v>2105</v>
      </c>
      <c r="N33" s="2391"/>
      <c r="O33" s="28">
        <f t="shared" ref="O33:O40" si="11">IF(N33="",0,1)</f>
      </c>
      <c r="P33" s="2391"/>
      <c r="Q33" s="2391"/>
      <c r="R33" s="2391"/>
      <c r="S33" s="2391"/>
      <c r="T33" s="40">
        <f t="shared" si="9"/>
        <v>0</v>
      </c>
      <c r="U33" s="40">
        <f t="shared" si="10"/>
        <v>0</v>
      </c>
      <c r="V33" s="40">
        <f t="shared" ref="V33:W35" si="12">IF($M33="",0,IF($M33=ipc,K33,0))</f>
      </c>
      <c r="W33" s="40">
        <f t="shared" si="12"/>
        <v>0</v>
      </c>
      <c r="X33" s="40">
        <f t="shared" ref="X33:Y35" si="13">IF($M33="",0,IF($M33=mtc,K33,0))</f>
      </c>
      <c r="Y33" s="40">
        <f t="shared" si="13"/>
        <v>0</v>
      </c>
      <c r="Z33" s="2391"/>
      <c r="AA33" s="2391"/>
      <c r="AB33" s="2391"/>
      <c r="AC33" s="2391"/>
      <c r="AD33" s="2391"/>
      <c r="AE33" s="2391"/>
      <c r="AF33" s="2391"/>
      <c r="AG33" s="2391"/>
      <c r="AH33" s="2391"/>
      <c r="AI33" s="2391"/>
      <c r="AJ33" s="2391"/>
      <c r="AK33" s="2391"/>
      <c r="AL33" s="2391"/>
      <c r="AM33" s="2391"/>
      <c r="AN33" s="2391"/>
      <c r="AO33" s="2391"/>
      <c r="AP33" s="2391"/>
      <c r="AQ33" s="2391"/>
      <c r="AR33" s="2391"/>
      <c r="AS33" s="2391"/>
      <c r="AT33" s="2391"/>
      <c r="AU33" s="2391"/>
      <c r="AV33" s="2391"/>
      <c r="AW33" s="2391"/>
      <c r="AX33" s="2391"/>
      <c r="AY33" s="2391"/>
      <c r="AZ33" s="2391"/>
      <c r="BA33" s="2391"/>
      <c r="BB33" s="2391"/>
      <c r="BC33" s="2391"/>
      <c r="BD33" s="2391"/>
      <c r="BE33" s="2391"/>
      <c r="BF33" s="2391"/>
      <c r="BG33" s="2391"/>
      <c r="BH33" s="2391"/>
      <c r="BI33" s="2391"/>
      <c r="BJ33" s="2391"/>
      <c r="BK33" s="2391"/>
      <c r="BL33" s="2391"/>
      <c r="BM33" s="2391"/>
      <c r="BN33" s="2391"/>
      <c r="BO33" s="2391"/>
      <c r="BP33" s="2391"/>
      <c r="BQ33" s="2391"/>
      <c r="BR33" s="2391"/>
      <c r="BS33" s="2391"/>
      <c r="BT33" s="2391"/>
      <c r="BU33" s="2391"/>
      <c r="BV33" s="2391"/>
      <c r="BW33" s="2391"/>
      <c r="BX33" s="2391"/>
      <c r="BY33" s="2391"/>
      <c r="BZ33" s="2391"/>
      <c r="CA33" s="2391"/>
    </row>
    <row r="34" spans="1:79" s="2393" customFormat="1" ht="13.5" customHeight="1" x14ac:dyDescent="0.2">
      <c r="A34" s="1905" t="s">
        <v>9242</v>
      </c>
      <c r="B34" s="1906"/>
      <c r="C34" s="1906"/>
      <c r="D34" s="1906"/>
      <c r="E34" s="1906"/>
      <c r="F34" s="1906"/>
      <c r="G34" s="1906"/>
      <c r="H34" s="1906"/>
      <c r="I34" s="2622"/>
      <c r="J34" s="2207" t="s">
        <v>9239</v>
      </c>
      <c r="K34" s="1119">
        <f>'TRA115'!G88</f>
      </c>
      <c r="L34" s="1119">
        <f>'TRA115'!G90</f>
      </c>
      <c r="M34" s="366" t="s">
        <v>2105</v>
      </c>
      <c r="N34" s="2391"/>
      <c r="O34" s="28">
        <f t="shared" si="11"/>
        <v>0</v>
      </c>
      <c r="P34" s="2391"/>
      <c r="Q34" s="2391"/>
      <c r="R34" s="2391"/>
      <c r="S34" s="2391"/>
      <c r="T34" s="40">
        <f t="shared" si="9"/>
        <v>0</v>
      </c>
      <c r="U34" s="40">
        <f t="shared" si="10"/>
        <v>0</v>
      </c>
      <c r="V34" s="40">
        <f t="shared" si="12"/>
        <v>0</v>
      </c>
      <c r="W34" s="40">
        <f t="shared" si="12"/>
        <v>0</v>
      </c>
      <c r="X34" s="40">
        <f t="shared" si="13"/>
        <v>0</v>
      </c>
      <c r="Y34" s="40">
        <f t="shared" si="13"/>
        <v>0</v>
      </c>
      <c r="Z34" s="2391"/>
      <c r="AA34" s="2391"/>
      <c r="AB34" s="2391"/>
      <c r="AC34" s="2391"/>
      <c r="AD34" s="2391"/>
      <c r="AE34" s="2391"/>
      <c r="AF34" s="2391"/>
      <c r="AG34" s="2391"/>
      <c r="AH34" s="2391"/>
      <c r="AI34" s="2391"/>
      <c r="AJ34" s="2391"/>
      <c r="AK34" s="2391"/>
      <c r="AL34" s="2391"/>
      <c r="AM34" s="2391"/>
      <c r="AN34" s="2391"/>
      <c r="AO34" s="2391"/>
      <c r="AP34" s="2391"/>
      <c r="AQ34" s="2391"/>
      <c r="AR34" s="2391"/>
      <c r="AS34" s="2391"/>
      <c r="AT34" s="2391"/>
      <c r="AU34" s="2391"/>
      <c r="AV34" s="2391"/>
      <c r="AW34" s="2391"/>
      <c r="AX34" s="2391"/>
      <c r="AY34" s="2391"/>
      <c r="AZ34" s="2391"/>
      <c r="BA34" s="2391"/>
      <c r="BB34" s="2391"/>
      <c r="BC34" s="2391"/>
      <c r="BD34" s="2391"/>
      <c r="BE34" s="2391"/>
      <c r="BF34" s="2391"/>
      <c r="BG34" s="2391"/>
      <c r="BH34" s="2391"/>
      <c r="BI34" s="2391"/>
      <c r="BJ34" s="2391"/>
      <c r="BK34" s="2391"/>
      <c r="BL34" s="2391"/>
      <c r="BM34" s="2391"/>
      <c r="BN34" s="2391"/>
      <c r="BO34" s="2391"/>
      <c r="BP34" s="2391"/>
      <c r="BQ34" s="2391"/>
      <c r="BR34" s="2391"/>
      <c r="BS34" s="2391"/>
      <c r="BT34" s="2391"/>
      <c r="BU34" s="2391"/>
      <c r="BV34" s="2391"/>
      <c r="BW34" s="2391"/>
      <c r="BX34" s="2391"/>
      <c r="BY34" s="2391"/>
      <c r="BZ34" s="2391"/>
      <c r="CA34" s="2391"/>
    </row>
    <row r="35" spans="1:79" s="2393" customFormat="1" ht="13.5" customHeight="1" x14ac:dyDescent="0.2">
      <c r="A35" s="1905" t="s">
        <v>10134</v>
      </c>
      <c r="B35" s="1906"/>
      <c r="C35" s="1906"/>
      <c r="D35" s="1906"/>
      <c r="E35" s="1906"/>
      <c r="F35" s="1906"/>
      <c r="G35" s="1906"/>
      <c r="H35" s="1906"/>
      <c r="I35" s="2622"/>
      <c r="J35" s="2207" t="s">
        <v>10128</v>
      </c>
      <c r="K35" s="1119">
        <f>'TRA121'!H57</f>
      </c>
      <c r="L35" s="1119">
        <f>'TRA121'!H62</f>
      </c>
      <c r="M35" s="366" t="s">
        <v>2105</v>
      </c>
      <c r="N35" s="2391"/>
      <c r="O35" s="28">
        <f t="shared" si="11"/>
        <v>0</v>
      </c>
      <c r="P35" s="2391"/>
      <c r="Q35" s="2391"/>
      <c r="R35" s="2391"/>
      <c r="S35" s="2391"/>
      <c r="T35" s="40">
        <f t="shared" si="9"/>
        <v>0</v>
      </c>
      <c r="U35" s="40">
        <f t="shared" si="10"/>
        <v>0</v>
      </c>
      <c r="V35" s="40">
        <f t="shared" si="12"/>
        <v>0</v>
      </c>
      <c r="W35" s="40">
        <f t="shared" si="12"/>
        <v>0</v>
      </c>
      <c r="X35" s="40">
        <f t="shared" si="13"/>
        <v>0</v>
      </c>
      <c r="Y35" s="40">
        <f t="shared" si="13"/>
        <v>0</v>
      </c>
      <c r="Z35" s="2391"/>
      <c r="AA35" s="2391"/>
      <c r="AB35" s="2391"/>
      <c r="AC35" s="2391"/>
      <c r="AD35" s="2391"/>
      <c r="AE35" s="2391"/>
      <c r="AF35" s="2391"/>
      <c r="AG35" s="2391"/>
      <c r="AH35" s="2391"/>
      <c r="AI35" s="2391"/>
      <c r="AJ35" s="2391"/>
      <c r="AK35" s="2391"/>
      <c r="AL35" s="2391"/>
      <c r="AM35" s="2391"/>
      <c r="AN35" s="2391"/>
      <c r="AO35" s="2391"/>
      <c r="AP35" s="2391"/>
      <c r="AQ35" s="2391"/>
      <c r="AR35" s="2391"/>
      <c r="AS35" s="2391"/>
      <c r="AT35" s="2391"/>
      <c r="AU35" s="2391"/>
      <c r="AV35" s="2391"/>
      <c r="AW35" s="2391"/>
      <c r="AX35" s="2391"/>
      <c r="AY35" s="2391"/>
      <c r="AZ35" s="2391"/>
      <c r="BA35" s="2391"/>
      <c r="BB35" s="2391"/>
      <c r="BC35" s="2391"/>
      <c r="BD35" s="2391"/>
      <c r="BE35" s="2391"/>
      <c r="BF35" s="2391"/>
      <c r="BG35" s="2391"/>
      <c r="BH35" s="2391"/>
      <c r="BI35" s="2391"/>
      <c r="BJ35" s="2391"/>
      <c r="BK35" s="2391"/>
      <c r="BL35" s="2391"/>
      <c r="BM35" s="2391"/>
      <c r="BN35" s="2391"/>
      <c r="BO35" s="2391"/>
      <c r="BP35" s="2391"/>
      <c r="BQ35" s="2391"/>
      <c r="BR35" s="2391"/>
      <c r="BS35" s="2391"/>
      <c r="BT35" s="2391"/>
      <c r="BU35" s="2391"/>
      <c r="BV35" s="2391"/>
      <c r="BW35" s="2391"/>
      <c r="BX35" s="2391"/>
      <c r="BY35" s="2391"/>
      <c r="BZ35" s="2391"/>
      <c r="CA35" s="2391"/>
    </row>
    <row r="36" spans="1:79" s="2393" customFormat="1" ht="13.5" customHeight="1" x14ac:dyDescent="0.2">
      <c r="A36" s="1905" t="s">
        <v>10255</v>
      </c>
      <c r="B36" s="1906"/>
      <c r="C36" s="1906"/>
      <c r="D36" s="1906"/>
      <c r="E36" s="1906"/>
      <c r="F36" s="1906"/>
      <c r="G36" s="1906"/>
      <c r="H36" s="1906"/>
      <c r="I36" s="2622"/>
      <c r="J36" s="2207" t="s">
        <v>10254</v>
      </c>
      <c r="K36" s="1119">
        <f>'TRA122'!H33</f>
      </c>
      <c r="L36" s="1119">
        <f>'TRA122'!H38</f>
      </c>
      <c r="M36" s="366" t="s">
        <v>2105</v>
      </c>
      <c r="N36" s="2391"/>
      <c r="O36" s="28">
        <f t="shared" si="11"/>
        <v>0</v>
      </c>
      <c r="P36" s="2391"/>
      <c r="Q36" s="2391"/>
      <c r="R36" s="2391"/>
      <c r="S36" s="2391"/>
      <c r="T36" s="40">
        <f t="shared" si="9"/>
        <v>0</v>
      </c>
      <c r="U36" s="40">
        <f t="shared" si="10"/>
        <v>0</v>
      </c>
      <c r="V36" s="40">
        <f t="shared" ref="V36:W42" si="14">IF($M36="",0,IF($M36=ipc,K36,0))</f>
      </c>
      <c r="W36" s="40">
        <f t="shared" si="14"/>
        <v>0</v>
      </c>
      <c r="X36" s="40">
        <f t="shared" ref="X36:Y42" si="15">IF($M36="",0,IF($M36=mtc,K36,0))</f>
      </c>
      <c r="Y36" s="40">
        <f t="shared" si="15"/>
        <v>0</v>
      </c>
      <c r="Z36" s="2391"/>
      <c r="AA36" s="2391"/>
      <c r="AB36" s="2391"/>
      <c r="AC36" s="2391"/>
      <c r="AD36" s="2391"/>
      <c r="AE36" s="2391"/>
      <c r="AF36" s="2391"/>
      <c r="AG36" s="2391"/>
      <c r="AH36" s="2391"/>
      <c r="AI36" s="2391"/>
      <c r="AJ36" s="2391"/>
      <c r="AK36" s="2391"/>
      <c r="AL36" s="2391"/>
      <c r="AM36" s="2391"/>
      <c r="AN36" s="2391"/>
      <c r="AO36" s="2391"/>
      <c r="AP36" s="2391"/>
      <c r="AQ36" s="2391"/>
      <c r="AR36" s="2391"/>
      <c r="AS36" s="2391"/>
      <c r="AT36" s="2391"/>
      <c r="AU36" s="2391"/>
      <c r="AV36" s="2391"/>
      <c r="AW36" s="2391"/>
      <c r="AX36" s="2391"/>
      <c r="AY36" s="2391"/>
      <c r="AZ36" s="2391"/>
      <c r="BA36" s="2391"/>
      <c r="BB36" s="2391"/>
      <c r="BC36" s="2391"/>
      <c r="BD36" s="2391"/>
      <c r="BE36" s="2391"/>
      <c r="BF36" s="2391"/>
      <c r="BG36" s="2391"/>
      <c r="BH36" s="2391"/>
      <c r="BI36" s="2391"/>
      <c r="BJ36" s="2391"/>
      <c r="BK36" s="2391"/>
      <c r="BL36" s="2391"/>
      <c r="BM36" s="2391"/>
      <c r="BN36" s="2391"/>
      <c r="BO36" s="2391"/>
      <c r="BP36" s="2391"/>
      <c r="BQ36" s="2391"/>
      <c r="BR36" s="2391"/>
      <c r="BS36" s="2391"/>
      <c r="BT36" s="2391"/>
      <c r="BU36" s="2391"/>
      <c r="BV36" s="2391"/>
      <c r="BW36" s="2391"/>
      <c r="BX36" s="2391"/>
      <c r="BY36" s="2391"/>
      <c r="BZ36" s="2391"/>
      <c r="CA36" s="2391"/>
    </row>
    <row r="37" spans="1:79" s="2393" customFormat="1" ht="13.5" customHeight="1" x14ac:dyDescent="0.2">
      <c r="A37" s="1905" t="s">
        <v>10304</v>
      </c>
      <c r="B37" s="1906"/>
      <c r="C37" s="1906"/>
      <c r="D37" s="1906"/>
      <c r="E37" s="1906"/>
      <c r="F37" s="1906"/>
      <c r="G37" s="1906"/>
      <c r="H37" s="1906"/>
      <c r="I37" s="2622"/>
      <c r="J37" s="2207" t="s">
        <v>10303</v>
      </c>
      <c r="K37" s="1119">
        <f>'TRA123'!I256</f>
      </c>
      <c r="L37" s="1119">
        <f>'TRA123'!I258</f>
      </c>
      <c r="M37" s="366" t="s">
        <v>2105</v>
      </c>
      <c r="N37" s="2391"/>
      <c r="O37" s="28">
        <f t="shared" si="11"/>
        <v>0</v>
      </c>
      <c r="P37" s="2391"/>
      <c r="Q37" s="2391"/>
      <c r="R37" s="2391"/>
      <c r="S37" s="2391"/>
      <c r="T37" s="40">
        <f t="shared" si="9"/>
        <v>0</v>
      </c>
      <c r="U37" s="40">
        <f t="shared" si="10"/>
        <v>0</v>
      </c>
      <c r="V37" s="40">
        <f t="shared" si="14"/>
        <v>0</v>
      </c>
      <c r="W37" s="40">
        <f t="shared" si="14"/>
        <v>0</v>
      </c>
      <c r="X37" s="40">
        <f t="shared" si="15"/>
        <v>0</v>
      </c>
      <c r="Y37" s="40">
        <f t="shared" si="15"/>
        <v>0</v>
      </c>
      <c r="Z37" s="2391"/>
      <c r="AA37" s="2391"/>
      <c r="AB37" s="2391"/>
      <c r="AC37" s="2391"/>
      <c r="AD37" s="2391"/>
      <c r="AE37" s="2391"/>
      <c r="AF37" s="2391"/>
      <c r="AG37" s="2391"/>
      <c r="AH37" s="2391"/>
      <c r="AI37" s="2391"/>
      <c r="AJ37" s="2391"/>
      <c r="AK37" s="2391"/>
      <c r="AL37" s="2391"/>
      <c r="AM37" s="2391"/>
      <c r="AN37" s="2391"/>
      <c r="AO37" s="2391"/>
      <c r="AP37" s="2391"/>
      <c r="AQ37" s="2391"/>
      <c r="AR37" s="2391"/>
      <c r="AS37" s="2391"/>
      <c r="AT37" s="2391"/>
      <c r="AU37" s="2391"/>
      <c r="AV37" s="2391"/>
      <c r="AW37" s="2391"/>
      <c r="AX37" s="2391"/>
      <c r="AY37" s="2391"/>
      <c r="AZ37" s="2391"/>
      <c r="BA37" s="2391"/>
      <c r="BB37" s="2391"/>
      <c r="BC37" s="2391"/>
      <c r="BD37" s="2391"/>
      <c r="BE37" s="2391"/>
      <c r="BF37" s="2391"/>
      <c r="BG37" s="2391"/>
      <c r="BH37" s="2391"/>
      <c r="BI37" s="2391"/>
      <c r="BJ37" s="2391"/>
      <c r="BK37" s="2391"/>
      <c r="BL37" s="2391"/>
      <c r="BM37" s="2391"/>
      <c r="BN37" s="2391"/>
      <c r="BO37" s="2391"/>
      <c r="BP37" s="2391"/>
      <c r="BQ37" s="2391"/>
      <c r="BR37" s="2391"/>
      <c r="BS37" s="2391"/>
      <c r="BT37" s="2391"/>
      <c r="BU37" s="2391"/>
      <c r="BV37" s="2391"/>
      <c r="BW37" s="2391"/>
      <c r="BX37" s="2391"/>
      <c r="BY37" s="2391"/>
      <c r="BZ37" s="2391"/>
      <c r="CA37" s="2391"/>
    </row>
    <row r="38" spans="1:79" s="2393" customFormat="1" ht="13.5" customHeight="1" x14ac:dyDescent="0.2">
      <c r="A38" s="1909" t="s">
        <v>10474</v>
      </c>
      <c r="B38" s="1912"/>
      <c r="C38" s="1912"/>
      <c r="D38" s="1912"/>
      <c r="E38" s="1912"/>
      <c r="F38" s="1912"/>
      <c r="G38" s="1912"/>
      <c r="H38" s="1912"/>
      <c r="I38" s="3362"/>
      <c r="J38" s="2207" t="s">
        <v>10473</v>
      </c>
      <c r="K38" s="1119">
        <f>'TRA126'!I82</f>
      </c>
      <c r="L38" s="1119">
        <f>'TRA126'!J85</f>
      </c>
      <c r="M38" s="366" t="s">
        <v>2105</v>
      </c>
      <c r="N38" s="2391"/>
      <c r="O38" s="28">
        <f t="shared" si="11"/>
        <v>0</v>
      </c>
      <c r="P38" s="2391"/>
      <c r="Q38" s="2391"/>
      <c r="R38" s="2391"/>
      <c r="S38" s="2391"/>
      <c r="T38" s="40">
        <f t="shared" si="9"/>
        <v>0</v>
      </c>
      <c r="U38" s="40">
        <f t="shared" si="10"/>
        <v>0</v>
      </c>
      <c r="V38" s="40">
        <f t="shared" si="14"/>
        <v>0</v>
      </c>
      <c r="W38" s="40">
        <f t="shared" si="14"/>
        <v>0</v>
      </c>
      <c r="X38" s="40">
        <f t="shared" si="15"/>
        <v>0</v>
      </c>
      <c r="Y38" s="40">
        <f t="shared" si="15"/>
        <v>0</v>
      </c>
      <c r="Z38" s="2391"/>
      <c r="AA38" s="2391"/>
      <c r="AB38" s="2391"/>
      <c r="AC38" s="2391"/>
      <c r="AD38" s="2391"/>
      <c r="AE38" s="2391"/>
      <c r="AF38" s="2391"/>
      <c r="AG38" s="2391"/>
      <c r="AH38" s="2391"/>
      <c r="AI38" s="2391"/>
      <c r="AJ38" s="2391"/>
      <c r="AK38" s="2391"/>
      <c r="AL38" s="2391"/>
      <c r="AM38" s="2391"/>
      <c r="AN38" s="2391"/>
      <c r="AO38" s="2391"/>
      <c r="AP38" s="2391"/>
      <c r="AQ38" s="2391"/>
      <c r="AR38" s="2391"/>
      <c r="AS38" s="2391"/>
      <c r="AT38" s="2391"/>
      <c r="AU38" s="2391"/>
      <c r="AV38" s="2391"/>
      <c r="AW38" s="2391"/>
      <c r="AX38" s="2391"/>
      <c r="AY38" s="2391"/>
      <c r="AZ38" s="2391"/>
      <c r="BA38" s="2391"/>
      <c r="BB38" s="2391"/>
      <c r="BC38" s="2391"/>
      <c r="BD38" s="2391"/>
      <c r="BE38" s="2391"/>
      <c r="BF38" s="2391"/>
      <c r="BG38" s="2391"/>
      <c r="BH38" s="2391"/>
      <c r="BI38" s="2391"/>
      <c r="BJ38" s="2391"/>
      <c r="BK38" s="2391"/>
      <c r="BL38" s="2391"/>
      <c r="BM38" s="2391"/>
      <c r="BN38" s="2391"/>
      <c r="BO38" s="2391"/>
      <c r="BP38" s="2391"/>
      <c r="BQ38" s="2391"/>
      <c r="BR38" s="2391"/>
      <c r="BS38" s="2391"/>
      <c r="BT38" s="2391"/>
      <c r="BU38" s="2391"/>
      <c r="BV38" s="2391"/>
      <c r="BW38" s="2391"/>
      <c r="BX38" s="2391"/>
      <c r="BY38" s="2391"/>
      <c r="BZ38" s="2391"/>
      <c r="CA38" s="2391"/>
    </row>
    <row r="39" spans="1:79" s="2393" customFormat="1" ht="13.5" customHeight="1" x14ac:dyDescent="0.2">
      <c r="A39" s="1909" t="s">
        <v>10478</v>
      </c>
      <c r="B39" s="1912"/>
      <c r="C39" s="1912"/>
      <c r="D39" s="1912"/>
      <c r="E39" s="1912"/>
      <c r="F39" s="1912"/>
      <c r="G39" s="1912"/>
      <c r="H39" s="1912"/>
      <c r="I39" s="3362"/>
      <c r="J39" s="2207" t="s">
        <v>10477</v>
      </c>
      <c r="K39" s="1119">
        <f>'TRA127'!H83</f>
      </c>
      <c r="L39" s="1119">
        <f>'TRA127'!I87</f>
      </c>
      <c r="M39" s="366" t="s">
        <v>2105</v>
      </c>
      <c r="N39" s="2391"/>
      <c r="O39" s="28">
        <f t="shared" si="11"/>
        <v>0</v>
      </c>
      <c r="P39" s="2391"/>
      <c r="Q39" s="2391"/>
      <c r="R39" s="2391"/>
      <c r="S39" s="2391"/>
      <c r="T39" s="40">
        <f t="shared" si="9"/>
        <v>0</v>
      </c>
      <c r="U39" s="40">
        <f t="shared" ref="U39:U44" si="16">IF(L39=0,0,IF(M39=mtc,ROUND(K39/L39,3),0))</f>
      </c>
      <c r="V39" s="40">
        <f t="shared" si="14"/>
        <v>0</v>
      </c>
      <c r="W39" s="40">
        <f t="shared" si="14"/>
        <v>0</v>
      </c>
      <c r="X39" s="40">
        <f t="shared" si="15"/>
        <v>0</v>
      </c>
      <c r="Y39" s="40">
        <f t="shared" si="15"/>
        <v>0</v>
      </c>
      <c r="Z39" s="2391"/>
      <c r="AA39" s="2391"/>
      <c r="AB39" s="2391"/>
      <c r="AC39" s="2391"/>
      <c r="AD39" s="2391"/>
      <c r="AE39" s="2391"/>
      <c r="AF39" s="2391"/>
      <c r="AG39" s="2391"/>
      <c r="AH39" s="2391"/>
      <c r="AI39" s="2391"/>
      <c r="AJ39" s="2391"/>
      <c r="AK39" s="2391"/>
      <c r="AL39" s="2391"/>
      <c r="AM39" s="2391"/>
      <c r="AN39" s="2391"/>
      <c r="AO39" s="2391"/>
      <c r="AP39" s="2391"/>
      <c r="AQ39" s="2391"/>
      <c r="AR39" s="2391"/>
      <c r="AS39" s="2391"/>
      <c r="AT39" s="2391"/>
      <c r="AU39" s="2391"/>
      <c r="AV39" s="2391"/>
      <c r="AW39" s="2391"/>
      <c r="AX39" s="2391"/>
      <c r="AY39" s="2391"/>
      <c r="AZ39" s="2391"/>
      <c r="BA39" s="2391"/>
      <c r="BB39" s="2391"/>
      <c r="BC39" s="2391"/>
      <c r="BD39" s="2391"/>
      <c r="BE39" s="2391"/>
      <c r="BF39" s="2391"/>
      <c r="BG39" s="2391"/>
      <c r="BH39" s="2391"/>
      <c r="BI39" s="2391"/>
      <c r="BJ39" s="2391"/>
      <c r="BK39" s="2391"/>
      <c r="BL39" s="2391"/>
      <c r="BM39" s="2391"/>
      <c r="BN39" s="2391"/>
      <c r="BO39" s="2391"/>
      <c r="BP39" s="2391"/>
      <c r="BQ39" s="2391"/>
      <c r="BR39" s="2391"/>
      <c r="BS39" s="2391"/>
      <c r="BT39" s="2391"/>
      <c r="BU39" s="2391"/>
      <c r="BV39" s="2391"/>
      <c r="BW39" s="2391"/>
      <c r="BX39" s="2391"/>
      <c r="BY39" s="2391"/>
      <c r="BZ39" s="2391"/>
      <c r="CA39" s="2391"/>
    </row>
    <row r="40" spans="1:79" s="2393" customFormat="1" ht="13.5" customHeight="1" x14ac:dyDescent="0.2">
      <c r="A40" s="1909" t="s">
        <v>10480</v>
      </c>
      <c r="B40" s="1912"/>
      <c r="C40" s="1912"/>
      <c r="D40" s="1912"/>
      <c r="E40" s="1912"/>
      <c r="F40" s="1912"/>
      <c r="G40" s="1912"/>
      <c r="H40" s="1912"/>
      <c r="I40" s="3362"/>
      <c r="J40" s="2207" t="s">
        <v>10481</v>
      </c>
      <c r="K40" s="1119">
        <f>'TRA128'!I82</f>
      </c>
      <c r="L40" s="1119">
        <f>'TRA128'!J85</f>
      </c>
      <c r="M40" s="366" t="s">
        <v>2105</v>
      </c>
      <c r="N40" s="2391"/>
      <c r="O40" s="28">
        <f t="shared" si="11"/>
        <v>0</v>
      </c>
      <c r="P40" s="2391"/>
      <c r="Q40" s="2391"/>
      <c r="R40" s="2391"/>
      <c r="S40" s="2391"/>
      <c r="T40" s="40">
        <f t="shared" si="9"/>
        <v>0</v>
      </c>
      <c r="U40" s="40">
        <f t="shared" si="16"/>
        <v>0</v>
      </c>
      <c r="V40" s="40">
        <f t="shared" si="14"/>
        <v>0</v>
      </c>
      <c r="W40" s="40">
        <f t="shared" si="14"/>
        <v>0</v>
      </c>
      <c r="X40" s="40">
        <f t="shared" si="15"/>
        <v>0</v>
      </c>
      <c r="Y40" s="40">
        <f t="shared" si="15"/>
        <v>0</v>
      </c>
      <c r="Z40" s="2391"/>
      <c r="AA40" s="2391"/>
      <c r="AB40" s="2391"/>
      <c r="AC40" s="2391"/>
      <c r="AD40" s="2391"/>
      <c r="AE40" s="2391"/>
      <c r="AF40" s="2391"/>
      <c r="AG40" s="2391"/>
      <c r="AH40" s="2391"/>
      <c r="AI40" s="2391"/>
      <c r="AJ40" s="2391"/>
      <c r="AK40" s="2391"/>
      <c r="AL40" s="2391"/>
      <c r="AM40" s="2391"/>
      <c r="AN40" s="2391"/>
      <c r="AO40" s="2391"/>
      <c r="AP40" s="2391"/>
      <c r="AQ40" s="2391"/>
      <c r="AR40" s="2391"/>
      <c r="AS40" s="2391"/>
      <c r="AT40" s="2391"/>
      <c r="AU40" s="2391"/>
      <c r="AV40" s="2391"/>
      <c r="AW40" s="2391"/>
      <c r="AX40" s="2391"/>
      <c r="AY40" s="2391"/>
      <c r="AZ40" s="2391"/>
      <c r="BA40" s="2391"/>
      <c r="BB40" s="2391"/>
      <c r="BC40" s="2391"/>
      <c r="BD40" s="2391"/>
      <c r="BE40" s="2391"/>
      <c r="BF40" s="2391"/>
      <c r="BG40" s="2391"/>
      <c r="BH40" s="2391"/>
      <c r="BI40" s="2391"/>
      <c r="BJ40" s="2391"/>
      <c r="BK40" s="2391"/>
      <c r="BL40" s="2391"/>
      <c r="BM40" s="2391"/>
      <c r="BN40" s="2391"/>
      <c r="BO40" s="2391"/>
      <c r="BP40" s="2391"/>
      <c r="BQ40" s="2391"/>
      <c r="BR40" s="2391"/>
      <c r="BS40" s="2391"/>
      <c r="BT40" s="2391"/>
      <c r="BU40" s="2391"/>
      <c r="BV40" s="2391"/>
      <c r="BW40" s="2391"/>
      <c r="BX40" s="2391"/>
      <c r="BY40" s="2391"/>
      <c r="BZ40" s="2391"/>
      <c r="CA40" s="2391"/>
    </row>
    <row r="41" spans="1:79" s="2393" customFormat="1" ht="13.5" hidden="1" customHeight="1" x14ac:dyDescent="0.2">
      <c r="A41" s="4013" t="s">
        <v>10492</v>
      </c>
      <c r="B41" s="1906"/>
      <c r="C41" s="1906"/>
      <c r="D41" s="1906"/>
      <c r="E41" s="1906"/>
      <c r="F41" s="1906"/>
      <c r="G41" s="1906"/>
      <c r="H41" s="1906"/>
      <c r="I41" s="2622"/>
      <c r="J41" s="2207" t="s">
        <v>10493</v>
      </c>
      <c r="K41" s="1119">
        <f>'TRA129'!H28</f>
      </c>
      <c r="L41" s="1119">
        <f>'TRA129'!H33</f>
      </c>
      <c r="M41" s="366" t="s">
        <v>2105</v>
      </c>
      <c r="N41" s="2391"/>
      <c r="O41" s="2479">
        <f t="shared" si="0"/>
        <v>0</v>
      </c>
      <c r="P41" s="2391"/>
      <c r="Q41" s="2391"/>
      <c r="R41" s="2391"/>
      <c r="S41" s="2391"/>
      <c r="T41" s="2480">
        <f t="shared" si="9"/>
        <v>0</v>
      </c>
      <c r="U41" s="2480">
        <f t="shared" si="16"/>
        <v>0</v>
      </c>
      <c r="V41" s="2480">
        <f t="shared" si="14"/>
        <v>0</v>
      </c>
      <c r="W41" s="2480">
        <f t="shared" si="14"/>
        <v>0</v>
      </c>
      <c r="X41" s="2480">
        <f t="shared" si="15"/>
        <v>0</v>
      </c>
      <c r="Y41" s="2480">
        <f t="shared" si="15"/>
        <v>0</v>
      </c>
      <c r="Z41" s="2391"/>
      <c r="AA41" s="2479">
        <f>IF(M41=ipc,L41,0)</f>
      </c>
      <c r="AB41" s="2479">
        <f>IF(M41=mtc,L41,0)</f>
      </c>
      <c r="AC41" s="2391"/>
      <c r="AD41" s="2391"/>
      <c r="AE41" s="2391"/>
      <c r="AF41" s="2391"/>
      <c r="AG41" s="2391"/>
      <c r="AH41" s="2391"/>
      <c r="AI41" s="2391"/>
      <c r="AJ41" s="2391"/>
      <c r="AK41" s="2391"/>
      <c r="AL41" s="2391"/>
      <c r="AM41" s="2391"/>
      <c r="AN41" s="2391"/>
      <c r="AO41" s="2391"/>
      <c r="AP41" s="2391"/>
      <c r="AQ41" s="2391"/>
      <c r="AR41" s="2391"/>
      <c r="AS41" s="2391"/>
      <c r="AT41" s="2391"/>
      <c r="AU41" s="2391"/>
      <c r="AV41" s="2391"/>
      <c r="AW41" s="2391"/>
      <c r="AX41" s="2391"/>
      <c r="AY41" s="2391"/>
      <c r="AZ41" s="2391"/>
      <c r="BA41" s="2391"/>
      <c r="BB41" s="2391"/>
      <c r="BC41" s="2391"/>
      <c r="BD41" s="2391"/>
      <c r="BE41" s="2391"/>
      <c r="BF41" s="2391"/>
      <c r="BG41" s="2391"/>
      <c r="BH41" s="2391"/>
      <c r="BI41" s="2391"/>
      <c r="BJ41" s="2391"/>
      <c r="BK41" s="2391"/>
      <c r="BL41" s="2391"/>
      <c r="BM41" s="2391"/>
      <c r="BN41" s="2391"/>
      <c r="BO41" s="2391"/>
      <c r="BP41" s="2391"/>
      <c r="BQ41" s="2391"/>
      <c r="BR41" s="2391"/>
      <c r="BS41" s="2391"/>
      <c r="BT41" s="2391"/>
      <c r="BU41" s="2391"/>
      <c r="BV41" s="2391"/>
      <c r="BW41" s="2391"/>
      <c r="BX41" s="2391"/>
      <c r="BY41" s="2391"/>
      <c r="BZ41" s="2391"/>
      <c r="CA41" s="2391"/>
    </row>
    <row r="42" spans="1:79" s="2393" customFormat="1" ht="13.5" customHeight="1" x14ac:dyDescent="0.2">
      <c r="A42" s="1909" t="s">
        <v>10521</v>
      </c>
      <c r="B42" s="1912"/>
      <c r="C42" s="1912"/>
      <c r="D42" s="1912"/>
      <c r="E42" s="1912"/>
      <c r="F42" s="1912"/>
      <c r="G42" s="1912"/>
      <c r="H42" s="1912"/>
      <c r="I42" s="3362"/>
      <c r="J42" s="2207" t="s">
        <v>10522</v>
      </c>
      <c r="K42" s="1119">
        <f>'TRA130'!I82</f>
      </c>
      <c r="L42" s="1119">
        <f>'TRA130'!J85</f>
      </c>
      <c r="M42" s="366" t="s">
        <v>2105</v>
      </c>
      <c r="N42" s="2391"/>
      <c r="O42" s="28">
        <f t="shared" si="0"/>
        <v>0</v>
      </c>
      <c r="P42" s="2391"/>
      <c r="Q42" s="2391"/>
      <c r="R42" s="2391"/>
      <c r="S42" s="2391"/>
      <c r="T42" s="40">
        <f t="shared" si="9"/>
        <v>0</v>
      </c>
      <c r="U42" s="40">
        <f t="shared" si="16"/>
        <v>0</v>
      </c>
      <c r="V42" s="40">
        <f t="shared" si="14"/>
        <v>0</v>
      </c>
      <c r="W42" s="40">
        <f t="shared" si="14"/>
        <v>0</v>
      </c>
      <c r="X42" s="40">
        <f t="shared" si="15"/>
        <v>0</v>
      </c>
      <c r="Y42" s="40">
        <f t="shared" si="15"/>
        <v>0</v>
      </c>
      <c r="Z42" s="2391"/>
      <c r="AA42" s="2391"/>
      <c r="AB42" s="2391"/>
      <c r="AC42" s="2391"/>
      <c r="AD42" s="2391"/>
      <c r="AE42" s="2391"/>
      <c r="AF42" s="2391"/>
      <c r="AG42" s="2391"/>
      <c r="AH42" s="2391"/>
      <c r="AI42" s="2391"/>
      <c r="AJ42" s="2391"/>
      <c r="AK42" s="2391"/>
      <c r="AL42" s="2391"/>
      <c r="AM42" s="2391"/>
      <c r="AN42" s="2391"/>
      <c r="AO42" s="2391"/>
      <c r="AP42" s="2391"/>
      <c r="AQ42" s="2391"/>
      <c r="AR42" s="2391"/>
      <c r="AS42" s="2391"/>
      <c r="AT42" s="2391"/>
      <c r="AU42" s="2391"/>
      <c r="AV42" s="2391"/>
      <c r="AW42" s="2391"/>
      <c r="AX42" s="2391"/>
      <c r="AY42" s="2391"/>
      <c r="AZ42" s="2391"/>
      <c r="BA42" s="2391"/>
      <c r="BB42" s="2391"/>
      <c r="BC42" s="2391"/>
      <c r="BD42" s="2391"/>
      <c r="BE42" s="2391"/>
      <c r="BF42" s="2391"/>
      <c r="BG42" s="2391"/>
      <c r="BH42" s="2391"/>
      <c r="BI42" s="2391"/>
      <c r="BJ42" s="2391"/>
      <c r="BK42" s="2391"/>
      <c r="BL42" s="2391"/>
      <c r="BM42" s="2391"/>
      <c r="BN42" s="2391"/>
      <c r="BO42" s="2391"/>
      <c r="BP42" s="2391"/>
      <c r="BQ42" s="2391"/>
      <c r="BR42" s="2391"/>
      <c r="BS42" s="2391"/>
      <c r="BT42" s="2391"/>
      <c r="BU42" s="2391"/>
      <c r="BV42" s="2391"/>
      <c r="BW42" s="2391"/>
      <c r="BX42" s="2391"/>
      <c r="BY42" s="2391"/>
      <c r="BZ42" s="2391"/>
      <c r="CA42" s="2391"/>
    </row>
    <row r="43" spans="1:79" s="2393" customFormat="1" ht="13.5" customHeight="1" x14ac:dyDescent="0.2">
      <c r="A43" s="1909" t="s">
        <v>10667</v>
      </c>
      <c r="B43" s="1912"/>
      <c r="C43" s="1912"/>
      <c r="D43" s="1912"/>
      <c r="E43" s="1912"/>
      <c r="F43" s="1912"/>
      <c r="G43" s="1912"/>
      <c r="H43" s="1912"/>
      <c r="I43" s="3362"/>
      <c r="J43" s="2207" t="s">
        <v>10643</v>
      </c>
      <c r="K43" s="1119">
        <f>'TRA131'!I82</f>
      </c>
      <c r="L43" s="1119">
        <f>'TRA131'!J85</f>
      </c>
      <c r="M43" s="366" t="s">
        <v>2105</v>
      </c>
      <c r="N43" s="2391"/>
      <c r="O43" s="28">
        <f t="shared" si="0"/>
        <v>0</v>
      </c>
      <c r="P43" s="2391"/>
      <c r="Q43" s="2391"/>
      <c r="R43" s="2391"/>
      <c r="S43" s="2391"/>
      <c r="T43" s="40">
        <f t="shared" ref="T43" si="17">IF(L43=0,0,IF(M43=ipc,ROUND(K43/L43,3),0))</f>
      </c>
      <c r="U43" s="40">
        <f t="shared" si="16"/>
        <v>0</v>
      </c>
      <c r="V43" s="40">
        <f t="shared" ref="V43" si="18">IF($M43="",0,IF($M43=ipc,K43,0))</f>
      </c>
      <c r="W43" s="40">
        <f t="shared" ref="W43" si="19">IF($M43="",0,IF($M43=ipc,L43,0))</f>
      </c>
      <c r="X43" s="40">
        <f t="shared" ref="X43" si="20">IF($M43="",0,IF($M43=mtc,K43,0))</f>
      </c>
      <c r="Y43" s="40">
        <f t="shared" ref="Y43" si="21">IF($M43="",0,IF($M43=mtc,L43,0))</f>
      </c>
      <c r="Z43" s="2391"/>
      <c r="AA43" s="2391"/>
      <c r="AB43" s="2391"/>
      <c r="AC43" s="2391"/>
      <c r="AD43" s="2391"/>
      <c r="AE43" s="2391"/>
      <c r="AF43" s="2391"/>
      <c r="AG43" s="2391"/>
      <c r="AH43" s="2391"/>
      <c r="AI43" s="2391"/>
      <c r="AJ43" s="2391"/>
      <c r="AK43" s="2391"/>
      <c r="AL43" s="2391"/>
      <c r="AM43" s="2391"/>
      <c r="AN43" s="2391"/>
      <c r="AO43" s="2391"/>
      <c r="AP43" s="2391"/>
      <c r="AQ43" s="2391"/>
      <c r="AR43" s="2391"/>
      <c r="AS43" s="2391"/>
      <c r="AT43" s="2391"/>
      <c r="AU43" s="2391"/>
      <c r="AV43" s="2391"/>
      <c r="AW43" s="2391"/>
      <c r="AX43" s="2391"/>
      <c r="AY43" s="2391"/>
      <c r="AZ43" s="2391"/>
      <c r="BA43" s="2391"/>
      <c r="BB43" s="2391"/>
      <c r="BC43" s="2391"/>
      <c r="BD43" s="2391"/>
      <c r="BE43" s="2391"/>
      <c r="BF43" s="2391"/>
      <c r="BG43" s="2391"/>
      <c r="BH43" s="2391"/>
      <c r="BI43" s="2391"/>
      <c r="BJ43" s="2391"/>
      <c r="BK43" s="2391"/>
      <c r="BL43" s="2391"/>
      <c r="BM43" s="2391"/>
      <c r="BN43" s="2391"/>
      <c r="BO43" s="2391"/>
      <c r="BP43" s="2391"/>
      <c r="BQ43" s="2391"/>
      <c r="BR43" s="2391"/>
      <c r="BS43" s="2391"/>
      <c r="BT43" s="2391"/>
      <c r="BU43" s="2391"/>
      <c r="BV43" s="2391"/>
      <c r="BW43" s="2391"/>
      <c r="BX43" s="2391"/>
      <c r="BY43" s="2391"/>
      <c r="BZ43" s="2391"/>
      <c r="CA43" s="2391"/>
    </row>
    <row r="44" spans="1:79" s="2393" customFormat="1" ht="13.5" customHeight="1" x14ac:dyDescent="0.2">
      <c r="A44" s="1909" t="s">
        <v>10668</v>
      </c>
      <c r="B44" s="1912"/>
      <c r="C44" s="1912"/>
      <c r="D44" s="1912"/>
      <c r="E44" s="1912"/>
      <c r="F44" s="1912"/>
      <c r="G44" s="1912"/>
      <c r="H44" s="1912"/>
      <c r="I44" s="3362"/>
      <c r="J44" s="2207" t="s">
        <v>10648</v>
      </c>
      <c r="K44" s="1119">
        <f>'TRA132'!J82</f>
      </c>
      <c r="L44" s="1119">
        <f>'TRA132'!K85</f>
      </c>
      <c r="M44" s="366" t="s">
        <v>2105</v>
      </c>
      <c r="N44" s="2391"/>
      <c r="O44" s="28">
        <f t="shared" ref="O44" si="22">IF(N44="",0,1)</f>
      </c>
      <c r="P44" s="2391"/>
      <c r="Q44" s="2391"/>
      <c r="R44" s="2391"/>
      <c r="S44" s="2391"/>
      <c r="T44" s="40">
        <f t="shared" ref="T44" si="23">IF(L44=0,0,IF(M44=ipc,ROUND(K44/L44,3),0))</f>
      </c>
      <c r="U44" s="40">
        <f t="shared" si="16"/>
        <v>0</v>
      </c>
      <c r="V44" s="40">
        <f t="shared" ref="V44" si="24">IF($M44="",0,IF($M44=ipc,K44,0))</f>
      </c>
      <c r="W44" s="40">
        <f t="shared" ref="W44" si="25">IF($M44="",0,IF($M44=ipc,L44,0))</f>
      </c>
      <c r="X44" s="40">
        <f t="shared" ref="X44" si="26">IF($M44="",0,IF($M44=mtc,K44,0))</f>
      </c>
      <c r="Y44" s="40">
        <f t="shared" ref="Y44" si="27">IF($M44="",0,IF($M44=mtc,L44,0))</f>
      </c>
      <c r="Z44" s="2391"/>
      <c r="AA44" s="2391"/>
      <c r="AB44" s="2391"/>
      <c r="AC44" s="2391"/>
      <c r="AD44" s="2391"/>
      <c r="AE44" s="2391"/>
      <c r="AF44" s="2391"/>
      <c r="AG44" s="2391"/>
      <c r="AH44" s="2391"/>
      <c r="AI44" s="2391"/>
      <c r="AJ44" s="2391"/>
      <c r="AK44" s="2391"/>
      <c r="AL44" s="2391"/>
      <c r="AM44" s="2391"/>
      <c r="AN44" s="2391"/>
      <c r="AO44" s="2391"/>
      <c r="AP44" s="2391"/>
      <c r="AQ44" s="2391"/>
      <c r="AR44" s="2391"/>
      <c r="AS44" s="2391"/>
      <c r="AT44" s="2391"/>
      <c r="AU44" s="2391"/>
      <c r="AV44" s="2391"/>
      <c r="AW44" s="2391"/>
      <c r="AX44" s="2391"/>
      <c r="AY44" s="2391"/>
      <c r="AZ44" s="2391"/>
      <c r="BA44" s="2391"/>
      <c r="BB44" s="2391"/>
      <c r="BC44" s="2391"/>
      <c r="BD44" s="2391"/>
      <c r="BE44" s="2391"/>
      <c r="BF44" s="2391"/>
      <c r="BG44" s="2391"/>
      <c r="BH44" s="2391"/>
      <c r="BI44" s="2391"/>
      <c r="BJ44" s="2391"/>
      <c r="BK44" s="2391"/>
      <c r="BL44" s="2391"/>
      <c r="BM44" s="2391"/>
      <c r="BN44" s="2391"/>
      <c r="BO44" s="2391"/>
      <c r="BP44" s="2391"/>
      <c r="BQ44" s="2391"/>
      <c r="BR44" s="2391"/>
      <c r="BS44" s="2391"/>
      <c r="BT44" s="2391"/>
      <c r="BU44" s="2391"/>
      <c r="BV44" s="2391"/>
      <c r="BW44" s="2391"/>
      <c r="BX44" s="2391"/>
      <c r="BY44" s="2391"/>
      <c r="BZ44" s="2391"/>
      <c r="CA44" s="2391"/>
    </row>
    <row r="45" spans="1:79" s="2393" customFormat="1" ht="13.5" customHeight="1" x14ac:dyDescent="0.2">
      <c r="A45" s="1909" t="s">
        <v>10669</v>
      </c>
      <c r="B45" s="1912"/>
      <c r="C45" s="1912"/>
      <c r="D45" s="1912"/>
      <c r="E45" s="1912"/>
      <c r="F45" s="1912"/>
      <c r="G45" s="1912"/>
      <c r="H45" s="1912"/>
      <c r="I45" s="3362"/>
      <c r="J45" s="2207" t="s">
        <v>10651</v>
      </c>
      <c r="K45" s="1119">
        <f>'TRA133'!I82</f>
      </c>
      <c r="L45" s="1119">
        <f>'TRA133'!J85</f>
      </c>
      <c r="M45" s="366" t="s">
        <v>2105</v>
      </c>
      <c r="N45" s="2391"/>
      <c r="O45" s="28">
        <f t="shared" ref="O45" si="28">IF(N45="",0,1)</f>
      </c>
      <c r="P45" s="2391"/>
      <c r="Q45" s="2391"/>
      <c r="R45" s="2391"/>
      <c r="S45" s="2391"/>
      <c r="T45" s="40">
        <f t="shared" ref="T45" si="29">IF(L45=0,0,IF(M45=ipc,ROUND(K45/L45,3),0))</f>
      </c>
      <c r="U45" s="40">
        <f t="shared" ref="U45" si="30">IF(L45=0,0,IF(M45=mtc,ROUND(K45/L45,3),0))</f>
      </c>
      <c r="V45" s="40">
        <f t="shared" ref="V45" si="31">IF($M45="",0,IF($M45=ipc,K45,0))</f>
      </c>
      <c r="W45" s="40">
        <f t="shared" ref="W45" si="32">IF($M45="",0,IF($M45=ipc,L45,0))</f>
      </c>
      <c r="X45" s="40">
        <f t="shared" ref="X45" si="33">IF($M45="",0,IF($M45=mtc,K45,0))</f>
      </c>
      <c r="Y45" s="40">
        <f t="shared" ref="Y45" si="34">IF($M45="",0,IF($M45=mtc,L45,0))</f>
      </c>
      <c r="Z45" s="2391"/>
      <c r="AA45" s="2391"/>
      <c r="AB45" s="2391"/>
      <c r="AC45" s="2391"/>
      <c r="AD45" s="2391"/>
      <c r="AE45" s="2391"/>
      <c r="AF45" s="2391"/>
      <c r="AG45" s="2391"/>
      <c r="AH45" s="2391"/>
      <c r="AI45" s="2391"/>
      <c r="AJ45" s="2391"/>
      <c r="AK45" s="2391"/>
      <c r="AL45" s="2391"/>
      <c r="AM45" s="2391"/>
      <c r="AN45" s="2391"/>
      <c r="AO45" s="2391"/>
      <c r="AP45" s="2391"/>
      <c r="AQ45" s="2391"/>
      <c r="AR45" s="2391"/>
      <c r="AS45" s="2391"/>
      <c r="AT45" s="2391"/>
      <c r="AU45" s="2391"/>
      <c r="AV45" s="2391"/>
      <c r="AW45" s="2391"/>
      <c r="AX45" s="2391"/>
      <c r="AY45" s="2391"/>
      <c r="AZ45" s="2391"/>
      <c r="BA45" s="2391"/>
      <c r="BB45" s="2391"/>
      <c r="BC45" s="2391"/>
      <c r="BD45" s="2391"/>
      <c r="BE45" s="2391"/>
      <c r="BF45" s="2391"/>
      <c r="BG45" s="2391"/>
      <c r="BH45" s="2391"/>
      <c r="BI45" s="2391"/>
      <c r="BJ45" s="2391"/>
      <c r="BK45" s="2391"/>
      <c r="BL45" s="2391"/>
      <c r="BM45" s="2391"/>
      <c r="BN45" s="2391"/>
      <c r="BO45" s="2391"/>
      <c r="BP45" s="2391"/>
      <c r="BQ45" s="2391"/>
      <c r="BR45" s="2391"/>
      <c r="BS45" s="2391"/>
      <c r="BT45" s="2391"/>
      <c r="BU45" s="2391"/>
      <c r="BV45" s="2391"/>
      <c r="BW45" s="2391"/>
      <c r="BX45" s="2391"/>
      <c r="BY45" s="2391"/>
      <c r="BZ45" s="2391"/>
      <c r="CA45" s="2391"/>
    </row>
    <row r="46" spans="1:79" s="2393" customFormat="1" ht="13.5" customHeight="1" x14ac:dyDescent="0.2">
      <c r="A46" s="1909" t="s">
        <v>10666</v>
      </c>
      <c r="B46" s="1912"/>
      <c r="C46" s="1912"/>
      <c r="D46" s="1912"/>
      <c r="E46" s="1912"/>
      <c r="F46" s="1912"/>
      <c r="G46" s="1912"/>
      <c r="H46" s="1912"/>
      <c r="I46" s="3362"/>
      <c r="J46" s="2207" t="s">
        <v>10665</v>
      </c>
      <c r="K46" s="1119">
        <f>'TRA134'!G47</f>
      </c>
      <c r="L46" s="1119">
        <f>'TRA134'!G49</f>
      </c>
      <c r="M46" s="366" t="s">
        <v>2105</v>
      </c>
      <c r="N46" s="2391"/>
      <c r="O46" s="28">
        <f t="shared" ref="O46" si="35">IF(N46="",0,1)</f>
      </c>
      <c r="P46" s="2391"/>
      <c r="Q46" s="2391"/>
      <c r="R46" s="2391"/>
      <c r="S46" s="2391"/>
      <c r="T46" s="40">
        <f t="shared" ref="T46" si="36">IF(L46=0,0,IF(M46=ipc,ROUND(K46/L46,3),0))</f>
      </c>
      <c r="U46" s="40">
        <f t="shared" ref="U46" si="37">IF(L46=0,0,IF(M46=mtc,ROUND(K46/L46,3),0))</f>
      </c>
      <c r="V46" s="40">
        <f t="shared" ref="V46" si="38">IF($M46="",0,IF($M46=ipc,K46,0))</f>
      </c>
      <c r="W46" s="40">
        <f t="shared" ref="W46" si="39">IF($M46="",0,IF($M46=ipc,L46,0))</f>
      </c>
      <c r="X46" s="40">
        <f t="shared" ref="X46" si="40">IF($M46="",0,IF($M46=mtc,K46,0))</f>
      </c>
      <c r="Y46" s="40">
        <f t="shared" ref="Y46" si="41">IF($M46="",0,IF($M46=mtc,L46,0))</f>
      </c>
      <c r="Z46" s="2391"/>
      <c r="AA46" s="2391"/>
      <c r="AB46" s="2391"/>
      <c r="AC46" s="2391"/>
      <c r="AD46" s="2391"/>
      <c r="AE46" s="2391"/>
      <c r="AF46" s="2391"/>
      <c r="AG46" s="2391"/>
      <c r="AH46" s="2391"/>
      <c r="AI46" s="2391"/>
      <c r="AJ46" s="2391"/>
      <c r="AK46" s="2391"/>
      <c r="AL46" s="2391"/>
      <c r="AM46" s="2391"/>
      <c r="AN46" s="2391"/>
      <c r="AO46" s="2391"/>
      <c r="AP46" s="2391"/>
      <c r="AQ46" s="2391"/>
      <c r="AR46" s="2391"/>
      <c r="AS46" s="2391"/>
      <c r="AT46" s="2391"/>
      <c r="AU46" s="2391"/>
      <c r="AV46" s="2391"/>
      <c r="AW46" s="2391"/>
      <c r="AX46" s="2391"/>
      <c r="AY46" s="2391"/>
      <c r="AZ46" s="2391"/>
      <c r="BA46" s="2391"/>
      <c r="BB46" s="2391"/>
      <c r="BC46" s="2391"/>
      <c r="BD46" s="2391"/>
      <c r="BE46" s="2391"/>
      <c r="BF46" s="2391"/>
      <c r="BG46" s="2391"/>
      <c r="BH46" s="2391"/>
      <c r="BI46" s="2391"/>
      <c r="BJ46" s="2391"/>
      <c r="BK46" s="2391"/>
      <c r="BL46" s="2391"/>
      <c r="BM46" s="2391"/>
      <c r="BN46" s="2391"/>
      <c r="BO46" s="2391"/>
      <c r="BP46" s="2391"/>
      <c r="BQ46" s="2391"/>
      <c r="BR46" s="2391"/>
      <c r="BS46" s="2391"/>
      <c r="BT46" s="2391"/>
      <c r="BU46" s="2391"/>
      <c r="BV46" s="2391"/>
      <c r="BW46" s="2391"/>
      <c r="BX46" s="2391"/>
      <c r="BY46" s="2391"/>
      <c r="BZ46" s="2391"/>
      <c r="CA46" s="2391"/>
    </row>
    <row r="47" spans="1:79" s="2393" customFormat="1" ht="13.5" hidden="1" customHeight="1" x14ac:dyDescent="0.2">
      <c r="A47" s="1909"/>
      <c r="B47" s="1912"/>
      <c r="C47" s="1912"/>
      <c r="D47" s="1912"/>
      <c r="E47" s="1912"/>
      <c r="F47" s="1912"/>
      <c r="G47" s="1912"/>
      <c r="H47" s="1912"/>
      <c r="I47" s="3362"/>
      <c r="J47" s="2207"/>
      <c r="K47" s="1119"/>
      <c r="L47" s="1119"/>
      <c r="M47" s="366"/>
      <c r="N47" s="2391"/>
      <c r="O47" s="28"/>
      <c r="P47" s="2391"/>
      <c r="Q47" s="2391"/>
      <c r="R47" s="2391"/>
      <c r="S47" s="2391"/>
      <c r="T47" s="40"/>
      <c r="U47" s="40"/>
      <c r="V47" s="40"/>
      <c r="W47" s="40"/>
      <c r="X47" s="40"/>
      <c r="Y47" s="40"/>
      <c r="Z47" s="2391"/>
      <c r="AA47" s="2391"/>
      <c r="AB47" s="2391"/>
      <c r="AC47" s="2391"/>
      <c r="AD47" s="2391"/>
      <c r="AE47" s="2391"/>
      <c r="AF47" s="2391"/>
      <c r="AG47" s="2391"/>
      <c r="AH47" s="2391"/>
      <c r="AI47" s="2391"/>
      <c r="AJ47" s="2391"/>
      <c r="AK47" s="2391"/>
      <c r="AL47" s="2391"/>
      <c r="AM47" s="2391"/>
      <c r="AN47" s="2391"/>
      <c r="AO47" s="2391"/>
      <c r="AP47" s="2391"/>
      <c r="AQ47" s="2391"/>
      <c r="AR47" s="2391"/>
      <c r="AS47" s="2391"/>
      <c r="AT47" s="2391"/>
      <c r="AU47" s="2391"/>
      <c r="AV47" s="2391"/>
      <c r="AW47" s="2391"/>
      <c r="AX47" s="2391"/>
      <c r="AY47" s="2391"/>
      <c r="AZ47" s="2391"/>
      <c r="BA47" s="2391"/>
      <c r="BB47" s="2391"/>
      <c r="BC47" s="2391"/>
      <c r="BD47" s="2391"/>
      <c r="BE47" s="2391"/>
      <c r="BF47" s="2391"/>
      <c r="BG47" s="2391"/>
      <c r="BH47" s="2391"/>
      <c r="BI47" s="2391"/>
      <c r="BJ47" s="2391"/>
      <c r="BK47" s="2391"/>
      <c r="BL47" s="2391"/>
      <c r="BM47" s="2391"/>
      <c r="BN47" s="2391"/>
      <c r="BO47" s="2391"/>
      <c r="BP47" s="2391"/>
      <c r="BQ47" s="2391"/>
      <c r="BR47" s="2391"/>
      <c r="BS47" s="2391"/>
      <c r="BT47" s="2391"/>
      <c r="BU47" s="2391"/>
      <c r="BV47" s="2391"/>
      <c r="BW47" s="2391"/>
      <c r="BX47" s="2391"/>
      <c r="BY47" s="2391"/>
      <c r="BZ47" s="2391"/>
      <c r="CA47" s="2391"/>
    </row>
    <row r="48" spans="1:79" s="2393" customFormat="1" ht="13.5" hidden="1" customHeight="1" x14ac:dyDescent="0.2">
      <c r="A48" s="4027" t="s">
        <v>3352</v>
      </c>
      <c r="B48" s="4028"/>
      <c r="C48" s="4028"/>
      <c r="D48" s="4028"/>
      <c r="E48" s="4028"/>
      <c r="F48" s="4028"/>
      <c r="G48" s="4028"/>
      <c r="H48" s="4028"/>
      <c r="I48" s="4029"/>
      <c r="J48" s="2387" t="s">
        <v>760</v>
      </c>
      <c r="K48" s="2388">
        <f>'TRA81'!H21</f>
      </c>
      <c r="L48" s="2389">
        <f>'TRA81'!H26</f>
      </c>
      <c r="M48" s="366" t="s">
        <v>2105</v>
      </c>
      <c r="N48" s="2391"/>
      <c r="O48" s="2391">
        <f t="shared" si="0"/>
        <v>0</v>
      </c>
      <c r="P48" s="2391"/>
      <c r="Q48" s="2391"/>
      <c r="R48" s="2391"/>
      <c r="S48" s="2391"/>
      <c r="T48" s="2392">
        <f t="shared" si="1"/>
        <v>0</v>
      </c>
      <c r="U48" s="2392">
        <f t="shared" si="2"/>
        <v>0</v>
      </c>
      <c r="V48" s="2392">
        <f t="shared" si="3"/>
        <v>0</v>
      </c>
      <c r="W48" s="2392">
        <f t="shared" si="4"/>
        <v>0</v>
      </c>
      <c r="X48" s="2392">
        <f t="shared" si="5"/>
        <v>0</v>
      </c>
      <c r="Y48" s="2392">
        <f t="shared" si="6"/>
        <v>0</v>
      </c>
      <c r="Z48" s="2391"/>
      <c r="AA48" s="2391"/>
      <c r="AB48" s="2391"/>
      <c r="AC48" s="2391"/>
      <c r="AD48" s="2391"/>
      <c r="AE48" s="2391"/>
      <c r="AF48" s="2391"/>
      <c r="AG48" s="2391"/>
      <c r="AH48" s="2391"/>
      <c r="AI48" s="2391"/>
      <c r="AJ48" s="2391"/>
      <c r="AK48" s="2391"/>
      <c r="AL48" s="2391"/>
      <c r="AM48" s="2391"/>
      <c r="AN48" s="2391"/>
      <c r="AO48" s="2391"/>
      <c r="AP48" s="2391"/>
      <c r="AQ48" s="2391"/>
      <c r="AR48" s="2391"/>
      <c r="AS48" s="2391"/>
      <c r="AT48" s="2391"/>
      <c r="AU48" s="2391"/>
      <c r="AV48" s="2391"/>
      <c r="AW48" s="2391"/>
      <c r="AX48" s="2391"/>
      <c r="AY48" s="2391"/>
      <c r="AZ48" s="2391"/>
      <c r="BA48" s="2391"/>
      <c r="BB48" s="2391"/>
      <c r="BC48" s="2391"/>
      <c r="BD48" s="2391"/>
      <c r="BE48" s="2391"/>
      <c r="BF48" s="2391"/>
      <c r="BG48" s="2391"/>
      <c r="BH48" s="2391"/>
      <c r="BI48" s="2391"/>
      <c r="BJ48" s="2391"/>
      <c r="BK48" s="2391"/>
      <c r="BL48" s="2391"/>
      <c r="BM48" s="2391"/>
      <c r="BN48" s="2391"/>
      <c r="BO48" s="2391"/>
      <c r="BP48" s="2391"/>
      <c r="BQ48" s="2391"/>
      <c r="BR48" s="2391"/>
      <c r="BS48" s="2391"/>
      <c r="BT48" s="2391"/>
      <c r="BU48" s="2391"/>
      <c r="BV48" s="2391"/>
      <c r="BW48" s="2391"/>
      <c r="BX48" s="2391"/>
      <c r="BY48" s="2391"/>
      <c r="BZ48" s="2391"/>
      <c r="CA48" s="2391"/>
    </row>
    <row r="49" spans="1:28" ht="8.25" customHeight="1" x14ac:dyDescent="0.2">
      <c r="A49" s="4030"/>
      <c r="B49" s="4030"/>
      <c r="C49" s="4030"/>
      <c r="D49" s="4030"/>
      <c r="E49" s="4030"/>
      <c r="F49" s="4030"/>
      <c r="G49" s="4030"/>
      <c r="H49" s="4030"/>
      <c r="I49" s="4030"/>
      <c r="J49" s="2623"/>
      <c r="K49" s="2623"/>
      <c r="L49" s="2623"/>
      <c r="M49" s="2623"/>
      <c r="O49" s="28">
        <f t="shared" si="0"/>
        <v>0</v>
      </c>
      <c r="V49" s="40"/>
      <c r="W49" s="40"/>
      <c r="X49" s="40"/>
      <c r="Y49" s="40"/>
    </row>
    <row r="50" spans="1:28" ht="13.5" customHeight="1" x14ac:dyDescent="0.2">
      <c r="A50" s="1905" t="s">
        <v>8252</v>
      </c>
      <c r="B50" s="1916"/>
      <c r="C50" s="1916"/>
      <c r="D50" s="1916"/>
      <c r="E50" s="1916"/>
      <c r="F50" s="1916"/>
      <c r="G50" s="1916"/>
      <c r="H50" s="1916"/>
      <c r="I50" s="1916"/>
      <c r="J50" s="1910" t="s">
        <v>970</v>
      </c>
      <c r="K50" s="405">
        <f>V50</f>
      </c>
      <c r="L50" s="405">
        <f>W50</f>
      </c>
      <c r="M50" s="2623"/>
      <c r="V50" s="40">
        <f>SUM(V3:V49)</f>
      </c>
      <c r="W50" s="40">
        <f>SUM(W3:W49)</f>
      </c>
      <c r="X50" s="40">
        <f>SUM(X3:X49)</f>
      </c>
      <c r="Y50" s="40">
        <f>SUM(Y3:Y49)</f>
      </c>
      <c r="AA50" s="2481">
        <f>L50</f>
      </c>
      <c r="AB50" s="2481">
        <f>L51</f>
      </c>
    </row>
    <row r="51" spans="1:28" x14ac:dyDescent="0.2">
      <c r="A51" s="1905" t="s">
        <v>8253</v>
      </c>
      <c r="B51" s="1917"/>
      <c r="C51" s="1917"/>
      <c r="D51" s="1917"/>
      <c r="E51" s="1917"/>
      <c r="F51" s="1917"/>
      <c r="G51" s="1917"/>
      <c r="H51" s="1917"/>
      <c r="I51" s="1917"/>
      <c r="J51" s="1910" t="s">
        <v>970</v>
      </c>
      <c r="K51" s="1119">
        <f>X50</f>
      </c>
      <c r="L51" s="405">
        <f>Y50</f>
      </c>
      <c r="M51" s="2623"/>
      <c r="AA51" s="2479"/>
      <c r="AB51" s="2479"/>
    </row>
    <row r="52" spans="1:28" x14ac:dyDescent="0.2">
      <c r="A52" s="349" t="s">
        <v>3561</v>
      </c>
      <c r="B52" s="1161"/>
      <c r="C52" s="1161"/>
      <c r="D52" s="1161"/>
      <c r="E52" s="1161"/>
      <c r="F52" s="1161"/>
      <c r="G52" s="1161"/>
      <c r="H52" s="1161"/>
      <c r="I52" s="1161"/>
      <c r="J52" s="1333"/>
      <c r="K52" s="1332">
        <f>SUM(K50:K51)</f>
      </c>
      <c r="L52" s="799">
        <f>SUM(L50:L51)</f>
      </c>
      <c r="M52" s="2623"/>
      <c r="AA52" s="2479"/>
      <c r="AB52" s="2479"/>
    </row>
    <row r="53" spans="1:28" x14ac:dyDescent="0.2">
      <c r="A53" s="2623"/>
      <c r="B53" s="2623"/>
      <c r="C53" s="2623"/>
      <c r="D53" s="2623"/>
      <c r="E53" s="2623"/>
      <c r="F53" s="2623"/>
      <c r="G53" s="2623"/>
      <c r="H53" s="2623"/>
      <c r="I53" s="2623"/>
      <c r="J53" s="2623"/>
      <c r="K53" s="2623"/>
      <c r="L53" s="2623"/>
      <c r="M53" s="2623"/>
      <c r="AA53" s="2479"/>
      <c r="AB53" s="2479"/>
    </row>
    <row r="54" spans="1:28" x14ac:dyDescent="0.2">
      <c r="A54" s="2624" t="s">
        <v>8254</v>
      </c>
      <c r="B54" s="2625"/>
      <c r="C54" s="2625"/>
      <c r="D54" s="2625"/>
      <c r="E54" s="2625"/>
      <c r="F54" s="2625"/>
      <c r="G54" s="2625"/>
      <c r="H54" s="2625"/>
      <c r="I54" s="2625"/>
      <c r="J54" s="2625"/>
      <c r="K54" s="2625"/>
      <c r="L54" s="2626"/>
      <c r="M54" s="2623"/>
      <c r="AA54" s="2479"/>
      <c r="AB54" s="2479"/>
    </row>
    <row r="55" spans="1:28" x14ac:dyDescent="0.2">
      <c r="A55" s="2475" t="s">
        <v>8096</v>
      </c>
      <c r="B55" s="2476"/>
      <c r="C55" s="2476"/>
      <c r="D55" s="2476"/>
      <c r="E55" s="2476"/>
      <c r="F55" s="2476"/>
      <c r="G55" s="2476"/>
      <c r="H55" s="2476"/>
      <c r="I55" s="2476"/>
      <c r="J55" s="1904" t="s">
        <v>6131</v>
      </c>
      <c r="K55" s="4769"/>
      <c r="L55" s="799">
        <f>L23+L41</f>
      </c>
      <c r="M55" s="2623"/>
      <c r="AA55" s="2481">
        <f>AA50-AA23-AA41</f>
      </c>
      <c r="AB55" s="2481">
        <f>AB50-AB23-AB41</f>
      </c>
    </row>
    <row r="56" spans="1:28" x14ac:dyDescent="0.2">
      <c r="A56" s="2475" t="s">
        <v>8250</v>
      </c>
      <c r="B56" s="2476"/>
      <c r="C56" s="2476"/>
      <c r="D56" s="2476"/>
      <c r="E56" s="2476"/>
      <c r="F56" s="2476"/>
      <c r="G56" s="2476"/>
      <c r="H56" s="2476"/>
      <c r="I56" s="2476"/>
      <c r="J56" s="1904" t="s">
        <v>2665</v>
      </c>
      <c r="K56" s="4770"/>
      <c r="L56" s="799">
        <f>AA55</f>
      </c>
      <c r="M56" s="2623"/>
      <c r="AA56" s="2481"/>
      <c r="AB56" s="2481"/>
    </row>
    <row r="57" spans="1:28" x14ac:dyDescent="0.2">
      <c r="A57" s="2475" t="s">
        <v>8251</v>
      </c>
      <c r="B57" s="2476"/>
      <c r="C57" s="2476"/>
      <c r="D57" s="2476"/>
      <c r="E57" s="2476"/>
      <c r="F57" s="2476"/>
      <c r="G57" s="2476"/>
      <c r="H57" s="2476"/>
      <c r="I57" s="2476"/>
      <c r="J57" s="1904" t="s">
        <v>1037</v>
      </c>
      <c r="K57" s="4771"/>
      <c r="L57" s="799">
        <f>AB55</f>
      </c>
      <c r="M57" s="2623"/>
      <c r="AA57" s="2481"/>
      <c r="AB57" s="2481"/>
    </row>
    <row r="58" spans="1:28" x14ac:dyDescent="0.2">
      <c r="A58" s="2623"/>
      <c r="B58" s="2623"/>
      <c r="C58" s="2623"/>
      <c r="D58" s="2623"/>
      <c r="E58" s="2623"/>
      <c r="F58" s="2623"/>
      <c r="G58" s="2623"/>
      <c r="H58" s="2623"/>
      <c r="I58" s="2623"/>
      <c r="J58" s="2623"/>
      <c r="K58" s="2623"/>
      <c r="L58" s="2623"/>
      <c r="M58" s="2623"/>
      <c r="AA58" s="2481"/>
      <c r="AB58" s="2481"/>
    </row>
    <row r="59" spans="1:28" x14ac:dyDescent="0.2">
      <c r="A59" s="46" t="str">
        <f>_xlfn.SINGLE(MTCA)</f>
      </c>
      <c r="G59" s="46" t="str">
        <f>ver</f>
        <v>TA2_e-CO_2025_Ver 1.1</v>
      </c>
      <c r="M59" s="1647" t="s">
        <v>951</v>
      </c>
      <c r="O59" s="28">
        <f>SUM(O3:O55)</f>
      </c>
      <c r="AA59" s="2479"/>
      <c r="AB59" s="2479"/>
    </row>
    <row r="60" spans="1:28" x14ac:dyDescent="0.2"/>
    <row r="61" spans="1:28" x14ac:dyDescent="0.2">
      <c r="D61" s="418" t="str">
        <f>COM</f>
      </c>
      <c r="E61" s="275"/>
      <c r="F61" s="2178" t="str">
        <f>IF(AND(SUM(L55:L57)&gt;0,E61=""),re,"")</f>
        <v/>
      </c>
      <c r="O61" s="28">
        <f>IF(O59&lt;&gt;0,100,IF(AND(K52=0,L52=0),0,IF(E61=Q2,1,100)))</f>
      </c>
    </row>
    <row r="62" spans="1:28" x14ac:dyDescent="0.2"/>
    <row r="63" spans="1:28" x14ac:dyDescent="0.2">
      <c r="A63" s="4418" t="s">
        <v>6290</v>
      </c>
      <c r="B63" s="4418"/>
      <c r="C63" s="4418"/>
      <c r="D63" s="4418"/>
      <c r="E63" s="4418"/>
    </row>
    <row r="85" spans="10:14" hidden="1" x14ac:dyDescent="0.2">
      <c r="J85" s="28">
        <v>3000</v>
      </c>
      <c r="N85" s="28">
        <f>COUNT(J85)</f>
      </c>
    </row>
  </sheetData>
  <sheetProtection algorithmName="SHA-512" hashValue="h/33iXUJ8OIfrZDg2aaP/IPa6dKnP8eTA4wULh7Ihivo6ghbMMHQBwoevPT1uV2mh25zOe+p0/zZrYc1MeThXQ==" saltValue="NxazAVxdtvkRwm87ERKrkA==" spinCount="100000" sheet="1" objects="1" scenarios="1"/>
  <customSheetViews>
    <customSheetView guid="{99B5278F-6EA9-4B1A-8623-27A4DF4AD5E4}" showGridLines="0" hiddenRows="1" hiddenColumns="1">
      <selection activeCell="J20" sqref="J20"/>
      <pageMargins left="0.12" right="0.02" top="0.98425196850393704"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8">
    <mergeCell ref="V2:W2"/>
    <mergeCell ref="X2:Y2"/>
    <mergeCell ref="A1:K1"/>
    <mergeCell ref="A63:E63"/>
    <mergeCell ref="A4:H4"/>
    <mergeCell ref="A3:H3"/>
    <mergeCell ref="A5:I5"/>
    <mergeCell ref="K55:K57"/>
  </mergeCells>
  <phoneticPr fontId="0" type="noConversion"/>
  <dataValidations count="2">
    <dataValidation type="list" allowBlank="1" showInputMessage="1" showErrorMessage="1" errorTitle="Dropdown list" error="Choose an item from the list! " sqref="E61" xr:uid="{00000000-0002-0000-1F00-000000000000}">
      <formula1>$Q$1:$Q$3</formula1>
    </dataValidation>
    <dataValidation type="list" allowBlank="1" showInputMessage="1" showErrorMessage="1" sqref="M8 M3:M5 M12:M48" xr:uid="{00000000-0002-0000-1F00-000001000000}">
      <formula1>$AA$1:$AA$2</formula1>
    </dataValidation>
  </dataValidations>
  <hyperlinks>
    <hyperlink ref="A63" location="Index!A1" display="Index!A1" xr:uid="{00000000-0004-0000-1F00-000000000000}"/>
    <hyperlink ref="J3" location="TRA29!A1" display="TRA29!A1" xr:uid="{00000000-0004-0000-1F00-000001000000}"/>
    <hyperlink ref="J4" location="TRA34!A1" display="TRA34!A1" xr:uid="{00000000-0004-0000-1F00-000002000000}"/>
    <hyperlink ref="J5" location="TRA36!g57" display="TRA36!g57" xr:uid="{00000000-0004-0000-1F00-000003000000}"/>
    <hyperlink ref="A63:E63" location="Index!a1" display="Index!a1" xr:uid="{00000000-0004-0000-1F00-000004000000}"/>
    <hyperlink ref="J8:J9" location="TRA42!A1" display="TRA 42" xr:uid="{00000000-0004-0000-1F00-000005000000}"/>
    <hyperlink ref="J18" location="TRA54!A1" display="TRA 54" xr:uid="{00000000-0004-0000-1F00-000006000000}"/>
    <hyperlink ref="J19" location="TRA65!A1" display="TRA 65" xr:uid="{00000000-0004-0000-1F00-000007000000}"/>
    <hyperlink ref="J50" location="'p5'!A1" display="Page 5" xr:uid="{00000000-0004-0000-1F00-000008000000}"/>
    <hyperlink ref="J51" location="'p5'!A1" display="Page 5" xr:uid="{00000000-0004-0000-1F00-000009000000}"/>
    <hyperlink ref="J56" location="TRA62_IPA!A1" display="TRA62_IPA" xr:uid="{00000000-0004-0000-1F00-00000A000000}"/>
    <hyperlink ref="J57" location="TRA63_MTA_FIA!A1" display="TRA63_MTA_FIA" xr:uid="{00000000-0004-0000-1F00-00000B000000}"/>
    <hyperlink ref="A24" location="TRA71!A1" display="ME Act - LN 107 of 2010 - Tax Credit for Micro Enterprises" xr:uid="{00000000-0004-0000-1F00-00000C000000}"/>
    <hyperlink ref="J48" location="TRA81!A1" display="TRA 81" xr:uid="{00000000-0004-0000-1F00-00000D000000}"/>
    <hyperlink ref="J16" location="'TRA86'!A1" display="TRA 86" xr:uid="{00000000-0004-0000-1F00-00000E000000}"/>
    <hyperlink ref="J17" location="'TRA88'!A1" display="TRA 88" xr:uid="{00000000-0004-0000-1F00-00000F000000}"/>
    <hyperlink ref="J15" location="'TRA90'!A1" display="TRA 90" xr:uid="{00000000-0004-0000-1F00-000010000000}"/>
    <hyperlink ref="J13" location="'TRA91'!A1" display="TRA 91" xr:uid="{00000000-0004-0000-1F00-000011000000}"/>
    <hyperlink ref="J6" location="'TRA8'!A1" display="TRA 08" xr:uid="{00000000-0004-0000-1F00-000012000000}"/>
    <hyperlink ref="J7" location="'TRA8'!A1" display="TRA 08" xr:uid="{00000000-0004-0000-1F00-000013000000}"/>
    <hyperlink ref="J8" location="'TRA66'!A1" display="TRA 66" xr:uid="{00000000-0004-0000-1F00-000014000000}"/>
    <hyperlink ref="J20" location="'TRA92'!A1" display="TRA 92" xr:uid="{00000000-0004-0000-1F00-000015000000}"/>
    <hyperlink ref="J21" location="'TRA93'!A1" display="TRA 93" xr:uid="{00000000-0004-0000-1F00-000016000000}"/>
    <hyperlink ref="J22" location="'TRA94'!A1" display="TRA 94" xr:uid="{00000000-0004-0000-1F00-000017000000}"/>
    <hyperlink ref="J23" location="'TRA96'!A1" display="TRA 96" xr:uid="{00000000-0004-0000-1F00-000018000000}"/>
    <hyperlink ref="A23" location="'TRA96'!A1" display="ITA - LN 228 of 2017 - Voluntary Occupational Pension Scheme Rules, 2017 " xr:uid="{00000000-0004-0000-1F00-000019000000}"/>
    <hyperlink ref="J55" location="TRA61_FTA!A1" display="TRA 61" xr:uid="{00000000-0004-0000-1F00-00001A000000}"/>
    <hyperlink ref="J25" location="'TRA101'!A1" display="TRA 101" xr:uid="{00000000-0004-0000-1F00-00001B000000}"/>
    <hyperlink ref="J26" location="'TRA102'!A1" display="TRA 102" xr:uid="{00000000-0004-0000-1F00-00001C000000}"/>
    <hyperlink ref="J27" location="'TRA103'!A1" display="TRA 103" xr:uid="{00000000-0004-0000-1F00-00001D000000}"/>
    <hyperlink ref="J29" location="'TRA105'!A1" display="TRA 105" xr:uid="{00000000-0004-0000-1F00-00001E000000}"/>
    <hyperlink ref="J28" location="'TRA104'!A1" display="TRA 104" xr:uid="{00000000-0004-0000-1F00-00001F000000}"/>
    <hyperlink ref="J30" location="'TRA106'!A1" display="TRA 106" xr:uid="{00000000-0004-0000-1F00-000020000000}"/>
    <hyperlink ref="J31" location="'TRA108'!A1" display="TRA 108" xr:uid="{00000000-0004-0000-1F00-000021000000}"/>
    <hyperlink ref="J32" location="'TRA109'!A1" display="TRA 109" xr:uid="{00000000-0004-0000-1F00-000022000000}"/>
    <hyperlink ref="J33" location="'TRA114'!A1" display="TRA 114" xr:uid="{00000000-0004-0000-1F00-000023000000}"/>
    <hyperlink ref="J34" location="'TRA115'!A1" display="TRA 115" xr:uid="{00000000-0004-0000-1F00-000024000000}"/>
    <hyperlink ref="J35" location="'TRA121'!A1" display="TRA 121" xr:uid="{00000000-0004-0000-1F00-000025000000}"/>
    <hyperlink ref="A36" location="'TRA122'!A1" display="ME Act - SL 463.38 - Business Development 2021" xr:uid="{00000000-0004-0000-1F00-000026000000}"/>
    <hyperlink ref="J36" location="'TRA122'!A1" display="TRA 122" xr:uid="{00000000-0004-0000-1F00-000027000000}"/>
    <hyperlink ref="J37" location="'TRA123'!A1" display="TRA 123" xr:uid="{00000000-0004-0000-1F00-000028000000}"/>
    <hyperlink ref="J38" location="'TRA126'!A1" display="TRA 126" xr:uid="{02BC9363-FC1E-422E-BDB3-E215F4292464}"/>
    <hyperlink ref="J39" location="'TRA127'!A1" display="TRA 127" xr:uid="{9CCC85CF-3325-4B71-900D-BC4EB132D9DD}"/>
    <hyperlink ref="J40" location="'TRA128'!A1" display="TRA 128" xr:uid="{195CA13E-17FF-4533-A953-85A02ACFA1AD}"/>
    <hyperlink ref="J41" location="'TRA129'!A1" display="TRA 129" xr:uid="{8816EED8-E546-41B0-9268-19BC3D7824D8}"/>
    <hyperlink ref="J42" location="'TRA130'!A1" display="TRA 130" xr:uid="{152514D4-5B0F-496F-B030-4C370CBFF3DC}"/>
    <hyperlink ref="J43" location="'TRA131'!A1" display="TRA 131" xr:uid="{3C8A702C-90B6-4FB0-BA1F-037F6B51EEAB}"/>
    <hyperlink ref="J44" location="'TRA132'!A1" display="TRA 132" xr:uid="{120025EB-ECAD-4183-8361-A9BF629F4B2D}"/>
    <hyperlink ref="J45" location="'TRA133'!A1" display="TRA 133" xr:uid="{EF0A58C6-2771-40BF-8882-8227997EA8FC}"/>
    <hyperlink ref="J46" location="'TRA134'!A1" display="TRA 135" xr:uid="{22E20054-C840-441A-A2A7-9B02AF7C9B8E}"/>
  </hyperlinks>
  <printOptions horizontalCentered="1"/>
  <pageMargins left="0.19685039370078741" right="0.19685039370078741" top="0.98425196850393704" bottom="0.98425196850393704" header="0.51181102362204722" footer="0.51181102362204722"/>
  <pageSetup paperSize="9" scale="95" orientation="landscape" r:id="rId2"/>
  <headerFooter alignWithMargins="0">
    <oddFooter>&amp;LName&amp;CSignature&amp;RDate</oddFooter>
  </headerFooter>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9">
    <pageSetUpPr fitToPage="1"/>
  </sheetPr>
  <dimension ref="A1:AA78"/>
  <sheetViews>
    <sheetView showGridLines="0" topLeftCell="A17" workbookViewId="0">
      <selection sqref="A1:G1"/>
    </sheetView>
  </sheetViews>
  <sheetFormatPr defaultColWidth="0" defaultRowHeight="12.75" customHeight="1" zeroHeight="1" x14ac:dyDescent="0.2"/>
  <cols>
    <col min="1" max="1" width="44.28515625" style="28" customWidth="1"/>
    <col min="2" max="2" width="1" style="28" hidden="1" customWidth="1"/>
    <col min="3" max="3" width="13.7109375" style="40" customWidth="1"/>
    <col min="4" max="4" width="0.42578125" style="28" customWidth="1"/>
    <col min="5" max="5" width="11.7109375" style="28" customWidth="1"/>
    <col min="6" max="6" width="1.42578125" style="28" customWidth="1"/>
    <col min="7" max="7" width="14.5703125" style="84" customWidth="1"/>
    <col min="8" max="8" width="15.7109375" style="28" customWidth="1"/>
    <col min="9" max="9" width="1" style="28" customWidth="1"/>
    <col min="10" max="10" width="2" style="28" hidden="1" customWidth="1"/>
    <col min="11" max="11" width="8.7109375" style="28" hidden="1" customWidth="1"/>
    <col min="12" max="12" width="0" style="28" hidden="1" customWidth="1"/>
    <col min="13" max="13" width="41.42578125" style="28" hidden="1" customWidth="1"/>
    <col min="14" max="14" width="10.28515625" style="28" hidden="1" customWidth="1"/>
    <col min="15" max="19" width="0" style="28" hidden="1" customWidth="1"/>
    <col min="20" max="20" width="21.42578125" style="28" hidden="1" customWidth="1"/>
    <col min="21" max="22" width="0" style="28" hidden="1" customWidth="1"/>
    <col min="23" max="23" width="25.28515625" style="28" hidden="1" customWidth="1"/>
    <col min="24" max="26" width="0" style="28" hidden="1" customWidth="1"/>
    <col min="27" max="27" width="4.28515625" style="28" hidden="1" customWidth="1"/>
    <col min="28" max="29" width="0" style="28" hidden="1" customWidth="1"/>
    <col min="30" max="16384" width="0" style="28" hidden="1"/>
  </cols>
  <sheetData>
    <row r="1" spans="1:27" x14ac:dyDescent="0.2">
      <c r="A1" s="4624" t="str">
        <f>_ref1</f>
      </c>
      <c r="B1" s="4624"/>
      <c r="C1" s="4624"/>
      <c r="D1" s="4624"/>
      <c r="E1" s="4624"/>
      <c r="F1" s="4624"/>
      <c r="G1" s="4624"/>
      <c r="H1" s="72" t="str">
        <f>_YA1</f>
      </c>
      <c r="I1" s="3"/>
      <c r="K1" s="28" t="s">
        <v>5063</v>
      </c>
      <c r="M1" s="28" t="s">
        <v>4458</v>
      </c>
      <c r="W1" s="28" t="s">
        <v>4459</v>
      </c>
    </row>
    <row r="2" spans="1:27" ht="15" x14ac:dyDescent="0.2">
      <c r="A2" s="611" t="s">
        <v>2499</v>
      </c>
      <c r="B2" s="199"/>
      <c r="C2" s="711"/>
      <c r="D2" s="199"/>
      <c r="E2" s="199"/>
      <c r="F2" s="199"/>
      <c r="G2" s="712"/>
      <c r="H2" s="200"/>
      <c r="I2" s="3"/>
      <c r="M2" s="28" t="s">
        <v>1041</v>
      </c>
      <c r="T2" s="28" t="s">
        <v>1042</v>
      </c>
      <c r="W2" s="28" t="s">
        <v>1043</v>
      </c>
      <c r="AA2" s="28" t="s">
        <v>4457</v>
      </c>
    </row>
    <row r="3" spans="1:27" ht="7.5" customHeight="1" x14ac:dyDescent="0.2">
      <c r="A3" s="237"/>
      <c r="B3" s="3"/>
      <c r="C3" s="2"/>
      <c r="D3" s="3"/>
      <c r="E3" s="3"/>
      <c r="F3" s="3"/>
      <c r="G3" s="85"/>
      <c r="H3" s="3"/>
      <c r="I3" s="3"/>
      <c r="M3" s="28" t="s">
        <v>5580</v>
      </c>
      <c r="T3" s="28" t="s">
        <v>4581</v>
      </c>
      <c r="W3" s="28" t="s">
        <v>6203</v>
      </c>
      <c r="AA3" s="28" t="s">
        <v>1736</v>
      </c>
    </row>
    <row r="4" spans="1:27" x14ac:dyDescent="0.2">
      <c r="A4" s="4773" t="s">
        <v>3757</v>
      </c>
      <c r="B4" s="4774"/>
      <c r="C4" s="4774"/>
      <c r="D4" s="3"/>
      <c r="E4" s="3"/>
      <c r="F4" s="3"/>
      <c r="G4" s="3"/>
      <c r="H4" s="3"/>
      <c r="I4" s="3"/>
      <c r="T4" s="28" t="s">
        <v>5335</v>
      </c>
      <c r="W4" s="28" t="s">
        <v>5336</v>
      </c>
    </row>
    <row r="5" spans="1:27" x14ac:dyDescent="0.2">
      <c r="A5" s="4774"/>
      <c r="B5" s="4774"/>
      <c r="C5" s="4774"/>
      <c r="D5" s="3"/>
      <c r="E5" s="4775"/>
      <c r="F5" s="4776"/>
      <c r="G5" s="4777"/>
      <c r="H5" s="61" t="str">
        <f>IF(G46=0,"",IF(ISBLANK(E5),"Choose!",""))</f>
        <v/>
      </c>
      <c r="I5" s="3"/>
      <c r="J5" s="28">
        <f>IF(H5="",0,1)</f>
      </c>
      <c r="T5" s="28" t="s">
        <v>1682</v>
      </c>
    </row>
    <row r="6" spans="1:27" ht="12.75" customHeight="1" x14ac:dyDescent="0.2">
      <c r="A6" s="4773" t="str">
        <f>"Please indicate the number of Ys/A remaining for the benefit subsequent to the Y/A "&amp;ya-1</f>
      </c>
      <c r="B6" s="4774"/>
      <c r="C6" s="4774"/>
      <c r="D6" s="3"/>
      <c r="E6" s="3"/>
      <c r="F6" s="3"/>
      <c r="G6" s="3"/>
      <c r="H6" s="3"/>
      <c r="I6" s="3"/>
    </row>
    <row r="7" spans="1:27" x14ac:dyDescent="0.2">
      <c r="A7" s="4774"/>
      <c r="B7" s="4774"/>
      <c r="C7" s="4774"/>
      <c r="D7" s="3"/>
      <c r="E7" s="713"/>
      <c r="F7" s="3"/>
      <c r="G7" s="61" t="str">
        <f>IF(E5=T5,"",IF(E5="","",IF(ISBLANK(E7),"Required!","")))</f>
        <v/>
      </c>
      <c r="H7" s="3"/>
      <c r="I7" s="3"/>
      <c r="J7" s="28">
        <f>IF(G7="",0,1)</f>
      </c>
      <c r="K7" s="28">
        <f>COUNTA(E5,E7)</f>
      </c>
    </row>
    <row r="8" spans="1:27" ht="5.25" customHeight="1" x14ac:dyDescent="0.2">
      <c r="A8" s="3"/>
      <c r="B8" s="3"/>
      <c r="C8" s="2"/>
      <c r="D8" s="3"/>
      <c r="E8" s="3"/>
      <c r="F8" s="3"/>
      <c r="G8" s="85"/>
      <c r="H8" s="3"/>
      <c r="I8" s="3"/>
      <c r="T8" s="28" t="e">
        <f>VLOOKUP(E5,T2:W5,4)</f>
      </c>
    </row>
    <row r="9" spans="1:27" ht="15" x14ac:dyDescent="0.2">
      <c r="A9" s="611" t="s">
        <v>1683</v>
      </c>
      <c r="B9" s="199"/>
      <c r="C9" s="711"/>
      <c r="D9" s="199"/>
      <c r="E9" s="200"/>
      <c r="F9" s="3"/>
      <c r="G9" s="85"/>
      <c r="H9" s="3"/>
      <c r="I9" s="3"/>
    </row>
    <row r="10" spans="1:27" ht="14.25" customHeight="1" x14ac:dyDescent="0.2">
      <c r="A10" s="3"/>
      <c r="B10" s="3"/>
      <c r="C10" s="2"/>
      <c r="D10" s="3"/>
      <c r="E10" s="3"/>
      <c r="F10" s="3"/>
      <c r="G10" s="85"/>
      <c r="H10" s="3"/>
      <c r="I10" s="3"/>
    </row>
    <row r="11" spans="1:27" ht="14.25" x14ac:dyDescent="0.2">
      <c r="A11" s="3"/>
      <c r="B11" s="3"/>
      <c r="C11" s="293" t="s">
        <v>3426</v>
      </c>
      <c r="D11" s="3"/>
      <c r="E11" s="293" t="s">
        <v>1684</v>
      </c>
      <c r="F11" s="3"/>
      <c r="G11" s="714" t="s">
        <v>3758</v>
      </c>
      <c r="H11" s="3"/>
      <c r="I11" s="3"/>
    </row>
    <row r="12" spans="1:27" x14ac:dyDescent="0.2">
      <c r="A12" s="3" t="str">
        <f>"APPROVED Qualifying expenditure for Y/A "&amp;ya</f>
      </c>
      <c r="B12" s="3"/>
      <c r="C12" s="715"/>
      <c r="D12" s="3"/>
      <c r="E12" s="716"/>
      <c r="F12" s="3"/>
      <c r="G12" s="717"/>
      <c r="H12" s="534" t="str">
        <f>IF(J12&lt;&gt;0,$M$3,"")</f>
        <v/>
      </c>
      <c r="I12" s="3"/>
      <c r="J12" s="28">
        <f>IF(K12=0,0,IF(K12&lt;&gt;3,1,0))</f>
      </c>
      <c r="K12" s="28">
        <f>COUNTA(C12,E12,G12)</f>
      </c>
      <c r="M12" s="74">
        <f>DATE(ya-2,1,1)</f>
      </c>
      <c r="N12" s="74">
        <f>DATE(ya-1,12,31)</f>
      </c>
    </row>
    <row r="13" spans="1:27" x14ac:dyDescent="0.2">
      <c r="A13" s="17"/>
      <c r="B13" s="3"/>
      <c r="C13" s="3"/>
      <c r="D13" s="3"/>
      <c r="E13" s="3"/>
      <c r="F13" s="3"/>
      <c r="G13" s="727" t="s">
        <v>3759</v>
      </c>
      <c r="H13" s="3"/>
      <c r="I13" s="3"/>
    </row>
    <row r="14" spans="1:27" ht="7.5" customHeight="1" x14ac:dyDescent="0.2">
      <c r="A14" s="3"/>
      <c r="B14" s="3"/>
      <c r="C14" s="2"/>
      <c r="D14" s="3"/>
      <c r="E14" s="3"/>
      <c r="F14" s="3"/>
      <c r="G14" s="85"/>
      <c r="H14" s="3"/>
      <c r="I14" s="3"/>
    </row>
    <row r="15" spans="1:27" ht="15" x14ac:dyDescent="0.2">
      <c r="A15" s="611" t="s">
        <v>1685</v>
      </c>
      <c r="B15" s="199"/>
      <c r="C15" s="711"/>
      <c r="D15" s="199"/>
      <c r="E15" s="200"/>
      <c r="F15" s="3"/>
      <c r="G15" s="85"/>
      <c r="H15" s="3"/>
      <c r="I15" s="3"/>
    </row>
    <row r="16" spans="1:27" ht="5.0999999999999996" customHeight="1" x14ac:dyDescent="0.2">
      <c r="A16" s="3"/>
      <c r="B16" s="3"/>
      <c r="C16" s="2"/>
      <c r="D16" s="3"/>
      <c r="E16" s="3"/>
      <c r="F16" s="3"/>
      <c r="G16" s="85"/>
      <c r="H16" s="3"/>
      <c r="I16" s="3"/>
      <c r="K16" s="30"/>
    </row>
    <row r="17" spans="1:11" ht="14.25" x14ac:dyDescent="0.2">
      <c r="A17" s="3"/>
      <c r="B17" s="3"/>
      <c r="C17" s="293" t="s">
        <v>3426</v>
      </c>
      <c r="D17" s="3"/>
      <c r="E17" s="293" t="s">
        <v>1684</v>
      </c>
      <c r="F17" s="3"/>
      <c r="G17" s="714" t="s">
        <v>3758</v>
      </c>
      <c r="H17" s="3"/>
      <c r="I17" s="3"/>
    </row>
    <row r="18" spans="1:11" x14ac:dyDescent="0.2">
      <c r="A18" s="3" t="str">
        <f>"APPROVED Eligible expenditure for Y/A "&amp;ya</f>
      </c>
      <c r="B18" s="3"/>
      <c r="C18" s="715"/>
      <c r="D18" s="3"/>
      <c r="E18" s="716"/>
      <c r="F18" s="3"/>
      <c r="G18" s="717"/>
      <c r="H18" s="534" t="str">
        <f>IF(J18&lt;&gt;0,$M$3,"")</f>
        <v/>
      </c>
      <c r="I18" s="3"/>
      <c r="J18" s="28">
        <f>IF(K18=0,0,IF(K18&lt;&gt;3,1,0))</f>
      </c>
      <c r="K18" s="28">
        <f>COUNTA(C18,E18,G18)</f>
      </c>
    </row>
    <row r="19" spans="1:11" x14ac:dyDescent="0.2">
      <c r="A19" s="3"/>
      <c r="B19" s="3"/>
      <c r="C19" s="3"/>
      <c r="D19" s="3"/>
      <c r="E19" s="3"/>
      <c r="F19" s="3"/>
      <c r="G19" s="727" t="s">
        <v>3759</v>
      </c>
      <c r="H19" s="3"/>
      <c r="I19" s="3"/>
    </row>
    <row r="20" spans="1:11" ht="6" customHeight="1" x14ac:dyDescent="0.2">
      <c r="A20" s="3"/>
      <c r="B20" s="3"/>
      <c r="C20" s="2"/>
      <c r="D20" s="3"/>
      <c r="E20" s="3"/>
      <c r="F20" s="3"/>
      <c r="G20" s="85"/>
      <c r="H20" s="3"/>
      <c r="I20" s="3"/>
    </row>
    <row r="21" spans="1:11" ht="15" x14ac:dyDescent="0.2">
      <c r="A21" s="611" t="s">
        <v>1686</v>
      </c>
      <c r="B21" s="199"/>
      <c r="C21" s="711"/>
      <c r="D21" s="199"/>
      <c r="E21" s="200"/>
      <c r="F21" s="3"/>
      <c r="G21" s="85"/>
      <c r="H21" s="3"/>
      <c r="I21" s="3"/>
    </row>
    <row r="22" spans="1:11" ht="5.0999999999999996" customHeight="1" x14ac:dyDescent="0.2">
      <c r="A22" s="3"/>
      <c r="B22" s="3"/>
      <c r="C22" s="2"/>
      <c r="D22" s="3"/>
      <c r="E22" s="3"/>
      <c r="F22" s="3"/>
      <c r="G22" s="85"/>
      <c r="H22" s="3"/>
      <c r="I22" s="3"/>
    </row>
    <row r="23" spans="1:11" ht="14.25" x14ac:dyDescent="0.2">
      <c r="A23" s="3"/>
      <c r="B23" s="3"/>
      <c r="C23" s="293" t="s">
        <v>3426</v>
      </c>
      <c r="D23" s="3"/>
      <c r="E23" s="293" t="s">
        <v>1684</v>
      </c>
      <c r="F23" s="3"/>
      <c r="G23" s="714" t="s">
        <v>3758</v>
      </c>
      <c r="H23" s="3"/>
      <c r="I23" s="3"/>
    </row>
    <row r="24" spans="1:11" x14ac:dyDescent="0.2">
      <c r="A24" s="3" t="str">
        <f>"APPROVED Eligible costs for Y/A "&amp;ya</f>
      </c>
      <c r="B24" s="3"/>
      <c r="C24" s="715"/>
      <c r="D24" s="3"/>
      <c r="E24" s="716"/>
      <c r="F24" s="3"/>
      <c r="G24" s="717"/>
      <c r="H24" s="534" t="str">
        <f>IF(J24&lt;&gt;0,$M$3,"")</f>
        <v/>
      </c>
      <c r="I24" s="3"/>
      <c r="J24" s="28">
        <f>IF(K24=0,0,IF(K24&lt;&gt;3,1,0))</f>
      </c>
      <c r="K24" s="28">
        <f>COUNTA(C24,E24,G24)</f>
      </c>
    </row>
    <row r="25" spans="1:11" x14ac:dyDescent="0.2">
      <c r="A25" s="3"/>
      <c r="B25" s="3"/>
      <c r="C25" s="3"/>
      <c r="D25" s="3"/>
      <c r="E25" s="3"/>
      <c r="F25" s="3"/>
      <c r="G25" s="727" t="s">
        <v>3759</v>
      </c>
      <c r="H25" s="3"/>
      <c r="I25" s="3"/>
    </row>
    <row r="26" spans="1:11" ht="7.5" customHeight="1" x14ac:dyDescent="0.2">
      <c r="A26" s="3"/>
      <c r="B26" s="3"/>
      <c r="C26" s="2"/>
      <c r="D26" s="3"/>
      <c r="E26" s="3"/>
      <c r="F26" s="3"/>
      <c r="G26" s="85"/>
      <c r="H26" s="3"/>
      <c r="I26" s="3"/>
    </row>
    <row r="27" spans="1:11" ht="15" x14ac:dyDescent="0.2">
      <c r="A27" s="611" t="s">
        <v>1687</v>
      </c>
      <c r="B27" s="199"/>
      <c r="C27" s="711"/>
      <c r="D27" s="199"/>
      <c r="E27" s="200"/>
      <c r="F27" s="3"/>
      <c r="G27" s="85"/>
      <c r="H27" s="3"/>
      <c r="I27" s="3"/>
    </row>
    <row r="28" spans="1:11" ht="5.0999999999999996" customHeight="1" x14ac:dyDescent="0.2">
      <c r="A28" s="3"/>
      <c r="B28" s="3"/>
      <c r="C28" s="2"/>
      <c r="D28" s="3"/>
      <c r="E28" s="3"/>
      <c r="F28" s="3"/>
      <c r="G28" s="85"/>
      <c r="H28" s="3"/>
      <c r="I28" s="3"/>
    </row>
    <row r="29" spans="1:11" ht="14.25" x14ac:dyDescent="0.2">
      <c r="A29" s="3"/>
      <c r="B29" s="3"/>
      <c r="C29" s="293" t="s">
        <v>3426</v>
      </c>
      <c r="D29" s="3"/>
      <c r="E29" s="293" t="s">
        <v>1684</v>
      </c>
      <c r="F29" s="3"/>
      <c r="G29" s="714" t="s">
        <v>3758</v>
      </c>
      <c r="H29" s="3"/>
      <c r="I29" s="3"/>
    </row>
    <row r="30" spans="1:11" x14ac:dyDescent="0.2">
      <c r="A30" s="3" t="str">
        <f>"APPROVED Eligible expenditure for Y/A "&amp;ya</f>
      </c>
      <c r="B30" s="3"/>
      <c r="C30" s="715"/>
      <c r="D30" s="3"/>
      <c r="E30" s="716"/>
      <c r="F30" s="3"/>
      <c r="G30" s="717"/>
      <c r="H30" s="534" t="str">
        <f>IF(J30&lt;&gt;0,$M$3,"")</f>
        <v/>
      </c>
      <c r="I30" s="3"/>
      <c r="J30" s="28">
        <f>IF(K30=0,0,IF(K30&lt;&gt;3,1,0))</f>
      </c>
      <c r="K30" s="28">
        <f>COUNTA(C30,E30,G30)</f>
      </c>
    </row>
    <row r="31" spans="1:11" x14ac:dyDescent="0.2">
      <c r="A31" s="3"/>
      <c r="B31" s="3"/>
      <c r="C31" s="3"/>
      <c r="D31" s="3"/>
      <c r="E31" s="3"/>
      <c r="F31" s="3"/>
      <c r="G31" s="727" t="s">
        <v>3759</v>
      </c>
      <c r="H31" s="3"/>
      <c r="I31" s="3"/>
    </row>
    <row r="32" spans="1:11" ht="4.5" customHeight="1" x14ac:dyDescent="0.2">
      <c r="A32" s="3"/>
      <c r="B32" s="3"/>
      <c r="C32" s="2"/>
      <c r="D32" s="3"/>
      <c r="E32" s="3"/>
      <c r="F32" s="3"/>
      <c r="G32" s="85"/>
      <c r="H32" s="3"/>
      <c r="I32" s="3"/>
    </row>
    <row r="33" spans="1:9" x14ac:dyDescent="0.2">
      <c r="A33" s="559" t="s">
        <v>1688</v>
      </c>
      <c r="B33" s="128"/>
      <c r="C33" s="250"/>
      <c r="D33" s="128"/>
      <c r="E33" s="128"/>
      <c r="F33" s="174"/>
      <c r="G33" s="340">
        <f>SUM(G12,G18,G24,G30)</f>
      </c>
      <c r="H33" s="3"/>
      <c r="I33" s="3"/>
    </row>
    <row r="34" spans="1:9" ht="0.75" customHeight="1" x14ac:dyDescent="0.2">
      <c r="A34" s="3"/>
      <c r="B34" s="3"/>
      <c r="C34" s="2"/>
      <c r="D34" s="3"/>
      <c r="E34" s="3"/>
      <c r="F34" s="3"/>
      <c r="G34" s="85"/>
      <c r="H34" s="3"/>
      <c r="I34" s="3"/>
    </row>
    <row r="35" spans="1:9" ht="6.75" customHeight="1" x14ac:dyDescent="0.2">
      <c r="A35" s="3"/>
      <c r="B35" s="3"/>
      <c r="C35" s="2"/>
      <c r="D35" s="3"/>
      <c r="E35" s="3"/>
      <c r="F35" s="3"/>
      <c r="G35" s="85"/>
      <c r="H35" s="3"/>
      <c r="I35" s="3"/>
    </row>
    <row r="36" spans="1:9" ht="15" x14ac:dyDescent="0.2">
      <c r="A36" s="611" t="s">
        <v>5078</v>
      </c>
      <c r="B36" s="199"/>
      <c r="C36" s="711"/>
      <c r="D36" s="199"/>
      <c r="E36" s="200"/>
      <c r="F36" s="3"/>
      <c r="G36" s="85"/>
      <c r="H36" s="3"/>
      <c r="I36" s="3"/>
    </row>
    <row r="37" spans="1:9" x14ac:dyDescent="0.2">
      <c r="A37" s="3" t="s">
        <v>5079</v>
      </c>
      <c r="B37" s="3"/>
      <c r="C37" s="2"/>
      <c r="D37" s="3"/>
      <c r="E37" s="714" t="s">
        <v>4693</v>
      </c>
      <c r="F37" s="3"/>
      <c r="G37" s="85"/>
      <c r="H37" s="3"/>
      <c r="I37" s="3"/>
    </row>
    <row r="38" spans="1:9" x14ac:dyDescent="0.2">
      <c r="A38" s="2" t="s">
        <v>5080</v>
      </c>
      <c r="B38" s="3"/>
      <c r="C38" s="2"/>
      <c r="D38" s="3"/>
      <c r="E38" s="339"/>
      <c r="F38" s="3"/>
      <c r="G38" s="85"/>
      <c r="H38" s="3"/>
      <c r="I38" s="3"/>
    </row>
    <row r="39" spans="1:9" x14ac:dyDescent="0.2">
      <c r="A39" s="2" t="s">
        <v>4768</v>
      </c>
      <c r="B39" s="3"/>
      <c r="C39" s="2"/>
      <c r="D39" s="3"/>
      <c r="E39" s="339"/>
      <c r="F39" s="3"/>
      <c r="G39" s="85"/>
      <c r="H39" s="3"/>
      <c r="I39" s="3"/>
    </row>
    <row r="40" spans="1:9" x14ac:dyDescent="0.2">
      <c r="A40" s="2" t="s">
        <v>4769</v>
      </c>
      <c r="B40" s="3"/>
      <c r="C40" s="2"/>
      <c r="D40" s="3"/>
      <c r="E40" s="339"/>
      <c r="F40" s="3"/>
      <c r="G40" s="85"/>
      <c r="H40" s="3"/>
      <c r="I40" s="3"/>
    </row>
    <row r="41" spans="1:9" x14ac:dyDescent="0.2">
      <c r="A41" s="2" t="s">
        <v>4770</v>
      </c>
      <c r="B41" s="3"/>
      <c r="C41" s="2"/>
      <c r="D41" s="3"/>
      <c r="E41" s="339"/>
      <c r="F41" s="3"/>
      <c r="G41" s="85"/>
      <c r="H41" s="3"/>
      <c r="I41" s="3"/>
    </row>
    <row r="42" spans="1:9" x14ac:dyDescent="0.2">
      <c r="A42" s="2" t="s">
        <v>4771</v>
      </c>
      <c r="B42" s="3"/>
      <c r="C42" s="2"/>
      <c r="D42" s="3"/>
      <c r="E42" s="339"/>
      <c r="F42" s="3"/>
      <c r="G42" s="85"/>
      <c r="H42" s="3"/>
      <c r="I42" s="3"/>
    </row>
    <row r="43" spans="1:9" ht="2.25" customHeight="1" x14ac:dyDescent="0.2">
      <c r="A43" s="3"/>
      <c r="B43" s="3"/>
      <c r="C43" s="2"/>
      <c r="D43" s="3"/>
      <c r="E43" s="3"/>
      <c r="F43" s="3"/>
      <c r="G43" s="85"/>
      <c r="H43" s="3"/>
      <c r="I43" s="3"/>
    </row>
    <row r="44" spans="1:9" x14ac:dyDescent="0.2">
      <c r="A44" s="559" t="s">
        <v>4772</v>
      </c>
      <c r="B44" s="128"/>
      <c r="C44" s="250"/>
      <c r="D44" s="128"/>
      <c r="E44" s="128"/>
      <c r="F44" s="174"/>
      <c r="G44" s="340">
        <f>SUM(E38:E42)</f>
      </c>
      <c r="H44" s="3"/>
      <c r="I44" s="3"/>
    </row>
    <row r="45" spans="1:9" ht="4.5" customHeight="1" x14ac:dyDescent="0.2">
      <c r="A45" s="3"/>
      <c r="B45" s="3"/>
      <c r="C45" s="2"/>
      <c r="D45" s="3"/>
      <c r="E45" s="3"/>
      <c r="F45" s="3"/>
      <c r="G45" s="85"/>
      <c r="H45" s="3"/>
      <c r="I45" s="3"/>
    </row>
    <row r="46" spans="1:9" ht="18" x14ac:dyDescent="0.2">
      <c r="A46" s="457" t="s">
        <v>5653</v>
      </c>
      <c r="B46" s="199"/>
      <c r="C46" s="711"/>
      <c r="D46" s="199"/>
      <c r="E46" s="199"/>
      <c r="F46" s="200"/>
      <c r="G46" s="345">
        <f>IF(G44&gt;G33,0,G33-G44)</f>
      </c>
      <c r="H46" s="718">
        <v>2</v>
      </c>
      <c r="I46" s="3"/>
    </row>
    <row r="47" spans="1:9" ht="21" customHeight="1" x14ac:dyDescent="0.2">
      <c r="A47" s="3"/>
      <c r="B47" s="3"/>
      <c r="C47" s="2"/>
      <c r="D47" s="3"/>
      <c r="E47" s="3"/>
      <c r="F47" s="3"/>
      <c r="G47" s="728" t="s">
        <v>2643</v>
      </c>
      <c r="H47" s="3"/>
      <c r="I47" s="3"/>
    </row>
    <row r="48" spans="1:9" ht="15" x14ac:dyDescent="0.2">
      <c r="A48" s="611" t="s">
        <v>6485</v>
      </c>
      <c r="B48" s="186"/>
      <c r="C48" s="556"/>
      <c r="D48" s="186"/>
      <c r="E48" s="186"/>
      <c r="F48" s="186"/>
      <c r="G48" s="719"/>
      <c r="H48" s="3"/>
      <c r="I48" s="3"/>
    </row>
    <row r="49" spans="1:14" ht="4.5" customHeight="1" x14ac:dyDescent="0.2">
      <c r="A49" s="3"/>
      <c r="B49" s="3"/>
      <c r="C49" s="2"/>
      <c r="D49" s="3"/>
      <c r="E49" s="3"/>
      <c r="F49" s="3"/>
      <c r="G49" s="85"/>
      <c r="H49" s="3"/>
      <c r="I49" s="3"/>
    </row>
    <row r="50" spans="1:14" x14ac:dyDescent="0.2">
      <c r="A50" s="3" t="s">
        <v>6486</v>
      </c>
      <c r="B50" s="3"/>
      <c r="C50" s="3"/>
      <c r="D50" s="3"/>
      <c r="E50" s="3"/>
      <c r="F50" s="3"/>
      <c r="G50" s="339"/>
      <c r="H50" s="61" t="str">
        <f>IF(E5="","",IF(ISBLANK(G50),"Required!",""))</f>
        <v/>
      </c>
      <c r="I50" s="3"/>
      <c r="J50" s="28">
        <f>IF(H50="",0,1)</f>
      </c>
    </row>
    <row r="51" spans="1:14" x14ac:dyDescent="0.2">
      <c r="A51" s="327" t="s">
        <v>3631</v>
      </c>
      <c r="B51" s="3"/>
      <c r="C51" s="720">
        <f>IF(K53=0,0,IF(K63=0,0,IF(ISBLANK(G73),G66,IF(G66&gt;G73,G66,G73))))</f>
      </c>
      <c r="D51" s="3"/>
      <c r="E51" s="4694" t="s">
        <v>1952</v>
      </c>
      <c r="F51" s="4695"/>
      <c r="G51" s="340">
        <f>ROUND(G50*C51,0)</f>
      </c>
      <c r="H51" s="3"/>
      <c r="I51" s="3"/>
    </row>
    <row r="52" spans="1:14" x14ac:dyDescent="0.2">
      <c r="A52" s="3" t="s">
        <v>6074</v>
      </c>
      <c r="B52" s="3"/>
      <c r="C52" s="3"/>
      <c r="D52" s="3"/>
      <c r="E52" s="3"/>
      <c r="F52" s="3"/>
      <c r="G52" s="340">
        <f>G50-G51</f>
      </c>
      <c r="H52" s="3"/>
      <c r="I52" s="3"/>
    </row>
    <row r="53" spans="1:14" ht="14.25" customHeight="1" x14ac:dyDescent="0.2">
      <c r="A53" s="3" t="s">
        <v>4248</v>
      </c>
      <c r="B53" s="3"/>
      <c r="C53" s="3"/>
      <c r="D53" s="3"/>
      <c r="E53" s="331"/>
      <c r="F53" s="3"/>
      <c r="G53" s="534" t="str">
        <f>IF(ISBLANK(G50),"",IF(AND(G50&gt;0,E53=""),"&lt; Required!",IF(E53="No","No benefit!","")))</f>
        <v/>
      </c>
      <c r="H53" s="3"/>
      <c r="I53" s="3"/>
      <c r="K53" s="28">
        <f>IF(ISBLANK(E53),0,IF(E53="No",0,1))</f>
      </c>
    </row>
    <row r="54" spans="1:14" x14ac:dyDescent="0.2">
      <c r="A54" s="3" t="s">
        <v>4987</v>
      </c>
      <c r="B54" s="3"/>
      <c r="C54" s="2"/>
      <c r="D54" s="3"/>
      <c r="E54" s="3"/>
      <c r="F54" s="3"/>
      <c r="G54" s="339"/>
      <c r="H54" s="534" t="str">
        <f>IF(ya&lt;&gt;2004,"",IF(G54&gt;0,"No b/fwd for "&amp;ya&amp;"!",""))</f>
        <v/>
      </c>
      <c r="I54" s="3"/>
      <c r="J54" s="28">
        <f>IF(H54="",0,1)</f>
      </c>
    </row>
    <row r="55" spans="1:14" x14ac:dyDescent="0.2">
      <c r="A55" s="3" t="s">
        <v>4249</v>
      </c>
      <c r="B55" s="3"/>
      <c r="C55" s="2"/>
      <c r="D55" s="3"/>
      <c r="E55" s="3"/>
      <c r="F55" s="3"/>
      <c r="G55" s="340">
        <f>G46</f>
      </c>
      <c r="H55" s="3"/>
      <c r="I55" s="3"/>
    </row>
    <row r="56" spans="1:14" x14ac:dyDescent="0.2">
      <c r="A56" s="3" t="s">
        <v>4196</v>
      </c>
      <c r="B56" s="3"/>
      <c r="C56" s="2"/>
      <c r="D56" s="3"/>
      <c r="E56" s="3"/>
      <c r="F56" s="3"/>
      <c r="G56" s="340">
        <f>IF(ya=2004,G55,G54+G55)</f>
      </c>
      <c r="H56" s="3"/>
      <c r="I56" s="3"/>
    </row>
    <row r="57" spans="1:14" x14ac:dyDescent="0.2">
      <c r="A57" s="3" t="s">
        <v>3312</v>
      </c>
      <c r="B57" s="3"/>
      <c r="C57" s="2"/>
      <c r="D57" s="3"/>
      <c r="E57" s="3"/>
      <c r="F57" s="3"/>
      <c r="G57" s="340">
        <f>IF(G56&gt;G52,G52,G56)</f>
      </c>
      <c r="H57" s="1335" t="s">
        <v>951</v>
      </c>
      <c r="I57" s="3"/>
    </row>
    <row r="58" spans="1:14" x14ac:dyDescent="0.2">
      <c r="A58" s="3" t="s">
        <v>3313</v>
      </c>
      <c r="B58" s="3"/>
      <c r="C58" s="2"/>
      <c r="D58" s="3"/>
      <c r="E58" s="3"/>
      <c r="F58" s="3"/>
      <c r="G58" s="340">
        <f>G56-G57</f>
      </c>
      <c r="H58" s="3"/>
      <c r="I58" s="3"/>
    </row>
    <row r="59" spans="1:14" x14ac:dyDescent="0.2">
      <c r="A59" s="1780" t="s">
        <v>7986</v>
      </c>
      <c r="B59" s="3"/>
      <c r="C59" s="2"/>
      <c r="D59" s="3"/>
      <c r="E59" s="3"/>
      <c r="F59" s="3"/>
      <c r="G59" s="510"/>
      <c r="H59" s="1130" t="str">
        <f>IF(G58=0,"",IF(ISBLANK(G59),reo,""))</f>
        <v/>
      </c>
      <c r="I59" s="3"/>
      <c r="J59" s="28">
        <f>IF(H59="",0,1)</f>
      </c>
      <c r="K59" s="84"/>
    </row>
    <row r="60" spans="1:14" x14ac:dyDescent="0.2">
      <c r="A60" s="65" t="s">
        <v>7339</v>
      </c>
      <c r="B60" s="3"/>
      <c r="C60" s="2"/>
      <c r="D60" s="3"/>
      <c r="E60" s="3"/>
      <c r="F60" s="3"/>
      <c r="G60" s="339"/>
      <c r="H60" s="534" t="str">
        <f>IF(G57=0,"",IF(G60="",re,""))</f>
        <v/>
      </c>
      <c r="I60" s="3"/>
      <c r="J60" s="28">
        <f>IF(H60="",0,1)</f>
      </c>
    </row>
    <row r="61" spans="1:14" x14ac:dyDescent="0.2">
      <c r="A61" s="1334" t="str">
        <f>EUR</f>
        <v/>
      </c>
      <c r="B61" s="14"/>
      <c r="C61" s="1304"/>
      <c r="D61" s="14"/>
      <c r="E61" s="14"/>
      <c r="F61" s="14"/>
      <c r="G61" s="721"/>
      <c r="H61" s="14"/>
      <c r="I61" s="14"/>
    </row>
    <row r="62" spans="1:14" ht="14.25" x14ac:dyDescent="0.2">
      <c r="A62" s="8" t="s">
        <v>6643</v>
      </c>
      <c r="B62" s="3"/>
      <c r="C62" s="722"/>
      <c r="D62" s="3"/>
      <c r="E62" s="3"/>
      <c r="F62" s="3"/>
      <c r="G62" s="85"/>
      <c r="H62" s="3"/>
      <c r="I62" s="3"/>
    </row>
    <row r="63" spans="1:14" x14ac:dyDescent="0.2">
      <c r="A63" s="8" t="s">
        <v>3314</v>
      </c>
      <c r="B63" s="723"/>
      <c r="C63" s="327"/>
      <c r="D63" s="723"/>
      <c r="E63" s="724"/>
      <c r="F63" s="3"/>
      <c r="G63" s="61" t="str">
        <f>IF($K$63=0,"",IF(ISBLANK(E63),$K$1,""))</f>
        <v/>
      </c>
      <c r="H63" s="4772" t="str">
        <f>IF(K63=0,"",IF(K64=4,"",M3))</f>
        <v/>
      </c>
      <c r="I63" s="3"/>
      <c r="K63" s="28">
        <f>IF(E5=T3,1,IF(E5=T4,1,0))</f>
      </c>
    </row>
    <row r="64" spans="1:14" x14ac:dyDescent="0.2">
      <c r="A64" s="8" t="s">
        <v>3315</v>
      </c>
      <c r="B64" s="723"/>
      <c r="C64" s="725"/>
      <c r="D64" s="723"/>
      <c r="E64" s="61" t="str">
        <f>IF($K$63=0,"",IF(ISBLANK(C64),$K$1,""))</f>
        <v/>
      </c>
      <c r="F64" s="3"/>
      <c r="G64" s="3"/>
      <c r="H64" s="4772"/>
      <c r="I64" s="3"/>
      <c r="K64" s="28">
        <f>COUNTA(E63,C64,E65,G66)</f>
      </c>
      <c r="N64" s="149"/>
    </row>
    <row r="65" spans="1:11" x14ac:dyDescent="0.2">
      <c r="A65" s="8" t="s">
        <v>227</v>
      </c>
      <c r="B65" s="2"/>
      <c r="C65" s="2"/>
      <c r="D65" s="2"/>
      <c r="E65" s="724"/>
      <c r="F65" s="3"/>
      <c r="G65" s="61" t="str">
        <f>IF($K$63=0,"",IF(ISBLANK(E65),$K$1,""))</f>
        <v/>
      </c>
      <c r="H65" s="4772"/>
      <c r="I65" s="3"/>
    </row>
    <row r="66" spans="1:11" x14ac:dyDescent="0.2">
      <c r="A66" s="327" t="s">
        <v>3317</v>
      </c>
      <c r="B66" s="327"/>
      <c r="C66" s="327"/>
      <c r="D66" s="327"/>
      <c r="E66" s="327"/>
      <c r="F66" s="2"/>
      <c r="G66" s="726"/>
      <c r="H66" s="4772"/>
      <c r="I66" s="61" t="s">
        <v>1020</v>
      </c>
      <c r="J66" s="28">
        <f>IF(H63=M3,1,0)</f>
      </c>
    </row>
    <row r="67" spans="1:11" x14ac:dyDescent="0.2">
      <c r="A67" s="3"/>
      <c r="B67" s="3"/>
      <c r="C67" s="3"/>
      <c r="D67" s="3"/>
      <c r="E67" s="3"/>
      <c r="F67" s="3"/>
      <c r="G67" s="3"/>
      <c r="H67" s="3"/>
      <c r="I67" s="3"/>
    </row>
    <row r="68" spans="1:11" ht="6" customHeight="1" x14ac:dyDescent="0.2">
      <c r="A68" s="3"/>
      <c r="B68" s="3"/>
      <c r="C68" s="3"/>
      <c r="D68" s="3"/>
      <c r="E68" s="3"/>
      <c r="F68" s="3"/>
      <c r="G68" s="3"/>
      <c r="H68" s="3"/>
      <c r="I68" s="3"/>
    </row>
    <row r="69" spans="1:11" x14ac:dyDescent="0.2">
      <c r="A69" s="3" t="s">
        <v>5754</v>
      </c>
      <c r="B69" s="3"/>
      <c r="C69" s="3"/>
      <c r="D69" s="3"/>
      <c r="E69" s="3"/>
      <c r="F69" s="3"/>
      <c r="G69" s="3"/>
      <c r="H69" s="3"/>
      <c r="I69" s="3"/>
    </row>
    <row r="70" spans="1:11" x14ac:dyDescent="0.2">
      <c r="A70" s="72" t="s">
        <v>3318</v>
      </c>
      <c r="B70" s="3"/>
      <c r="C70" s="288"/>
      <c r="D70" s="72"/>
      <c r="E70" s="61" t="str">
        <f>IF($K$63=0,"",IF($K$71=0,"",IF(ISBLANK(C70),$K$1,"")))</f>
        <v/>
      </c>
      <c r="F70" s="3"/>
      <c r="G70" s="3"/>
      <c r="H70" s="4772" t="str">
        <f>IF(K63=0,"",IF(K71=0,"",IF(K71=3,"",M3)))</f>
        <v/>
      </c>
      <c r="I70" s="3"/>
    </row>
    <row r="71" spans="1:11" x14ac:dyDescent="0.2">
      <c r="A71" s="539" t="s">
        <v>3319</v>
      </c>
      <c r="B71" s="3"/>
      <c r="C71" s="716"/>
      <c r="E71" s="61" t="str">
        <f>IF($K$63=0,"",IF($K$71=0,"",IF(ISBLANK(C71),$K$1,"")))</f>
        <v/>
      </c>
      <c r="F71" s="3"/>
      <c r="G71" s="3"/>
      <c r="H71" s="4772"/>
      <c r="I71" s="3"/>
      <c r="J71" s="28">
        <f>IF(H70=M3,1,0)</f>
      </c>
      <c r="K71" s="28">
        <f>COUNTA(C70,C71,G73)</f>
      </c>
    </row>
    <row r="72" spans="1:11" ht="8.25" customHeight="1" x14ac:dyDescent="0.2">
      <c r="A72" s="85"/>
      <c r="B72" s="85"/>
      <c r="C72" s="85"/>
      <c r="D72" s="85"/>
      <c r="E72" s="85"/>
      <c r="F72" s="85"/>
      <c r="G72" s="85"/>
      <c r="H72" s="4772"/>
      <c r="I72" s="3"/>
    </row>
    <row r="73" spans="1:11" x14ac:dyDescent="0.2">
      <c r="A73" s="85"/>
      <c r="B73" s="85"/>
      <c r="C73" s="4754" t="s">
        <v>3320</v>
      </c>
      <c r="D73" s="4754"/>
      <c r="E73" s="4754"/>
      <c r="F73" s="72"/>
      <c r="G73" s="726"/>
      <c r="H73" s="4772"/>
      <c r="I73" s="61" t="s">
        <v>1020</v>
      </c>
    </row>
    <row r="74" spans="1:11" x14ac:dyDescent="0.2">
      <c r="A74" s="3"/>
      <c r="B74" s="3"/>
      <c r="C74" s="3"/>
      <c r="D74" s="3"/>
      <c r="E74" s="3"/>
      <c r="F74" s="3"/>
      <c r="G74" s="3"/>
      <c r="H74" s="3"/>
      <c r="I74" s="3"/>
    </row>
    <row r="75" spans="1:11" ht="12" customHeight="1" x14ac:dyDescent="0.2">
      <c r="A75" s="679" t="str">
        <f>_xlfn.SINGLE(MTCA)</f>
      </c>
      <c r="B75" s="3"/>
      <c r="C75" s="4549" t="str">
        <f>ver</f>
        <v>TA2_e-CO_2025_Ver 1.1</v>
      </c>
      <c r="D75" s="4549"/>
      <c r="E75" s="4549"/>
      <c r="F75" s="3"/>
      <c r="G75" s="3"/>
      <c r="H75" s="536" t="s">
        <v>3321</v>
      </c>
      <c r="I75" s="3"/>
      <c r="J75" s="28">
        <f>SUM(J5:J74)</f>
      </c>
    </row>
    <row r="76" spans="1:11" x14ac:dyDescent="0.2">
      <c r="C76" s="28"/>
    </row>
    <row r="77" spans="1:11" x14ac:dyDescent="0.2">
      <c r="C77" s="28"/>
      <c r="E77" s="418" t="str">
        <f>COM</f>
      </c>
      <c r="G77" s="275"/>
      <c r="J77" s="30">
        <f>IF(K7=0,0,IF(J75&lt;&gt;0,100,IF(G77="Yes",1,100)))</f>
      </c>
    </row>
    <row r="78" spans="1:11" ht="12.75" customHeight="1" x14ac:dyDescent="0.2">
      <c r="A78" s="1336" t="s">
        <v>6290</v>
      </c>
      <c r="B78" s="1336"/>
      <c r="C78" s="1336"/>
      <c r="D78" s="1336"/>
      <c r="E78" s="1336"/>
    </row>
  </sheetData>
  <sheetProtection algorithmName="SHA-512" hashValue="kdxSUUDlvarzud3gq4WWd3S876bC4JaL34ewpl8kCQ39UK6GYqp8PDVeHkmSj20s5eZJhOfE2NYeymqp57Lf2Q==" saltValue="hUKirjksSBc6H/E7yeOkCg==" spinCount="100000" sheet="1" objects="1" scenarios="1"/>
  <customSheetViews>
    <customSheetView guid="{99B5278F-6EA9-4B1A-8623-27A4DF4AD5E4}" showGridLines="0" fitToPage="1" hiddenRows="1" hiddenColumns="1">
      <selection activeCell="E5" sqref="E5:G5"/>
      <pageMargins left="0.75" right="0.13" top="0.12" bottom="0.45" header="0.1" footer="0.14000000000000001"/>
      <pageSetup paperSize="9" scale="92" orientation="portrait" horizontalDpi="300" verticalDpi="300" r:id="rId1"/>
      <headerFooter alignWithMargins="0">
        <oddFooter>&amp;LName&amp;CSignature&amp;RDate</oddFooter>
      </headerFooter>
    </customSheetView>
  </customSheetViews>
  <mergeCells count="9">
    <mergeCell ref="A1:G1"/>
    <mergeCell ref="C75:E75"/>
    <mergeCell ref="H63:H66"/>
    <mergeCell ref="H70:H73"/>
    <mergeCell ref="C73:E73"/>
    <mergeCell ref="A4:C5"/>
    <mergeCell ref="E5:G5"/>
    <mergeCell ref="A6:C7"/>
    <mergeCell ref="E51:F51"/>
  </mergeCells>
  <phoneticPr fontId="0" type="noConversion"/>
  <conditionalFormatting sqref="A51 E51:F51">
    <cfRule type="expression" dxfId="711" priority="8" stopIfTrue="1">
      <formula>$E$5=$T$2</formula>
    </cfRule>
    <cfRule type="expression" dxfId="710" priority="9" stopIfTrue="1">
      <formula>$E$5=$T$5</formula>
    </cfRule>
  </conditionalFormatting>
  <conditionalFormatting sqref="A62:H73">
    <cfRule type="expression" dxfId="709" priority="10" stopIfTrue="1">
      <formula>$E$5=$T$2</formula>
    </cfRule>
  </conditionalFormatting>
  <conditionalFormatting sqref="E6 A6:D7">
    <cfRule type="expression" dxfId="708" priority="5" stopIfTrue="1">
      <formula>$E$5=$T$5</formula>
    </cfRule>
  </conditionalFormatting>
  <conditionalFormatting sqref="E7">
    <cfRule type="expression" dxfId="707" priority="6" stopIfTrue="1">
      <formula>$E$5=$T$5</formula>
    </cfRule>
  </conditionalFormatting>
  <conditionalFormatting sqref="F53 B54:F54">
    <cfRule type="expression" dxfId="706" priority="7" stopIfTrue="1">
      <formula>$H$1=2004</formula>
    </cfRule>
  </conditionalFormatting>
  <conditionalFormatting sqref="G51 B51:D52 H51:I52 A52 E52:G52 I62:I65 I67:I68">
    <cfRule type="expression" dxfId="705" priority="1" stopIfTrue="1">
      <formula>$E$5=$T$2</formula>
    </cfRule>
    <cfRule type="expression" dxfId="704" priority="2" stopIfTrue="1">
      <formula>$E$5=$T$5</formula>
    </cfRule>
  </conditionalFormatting>
  <conditionalFormatting sqref="I66 I73">
    <cfRule type="expression" dxfId="703" priority="3" stopIfTrue="1">
      <formula>$E$4=$T$2</formula>
    </cfRule>
    <cfRule type="expression" dxfId="702" priority="4" stopIfTrue="1">
      <formula>$E$4=$T$5</formula>
    </cfRule>
  </conditionalFormatting>
  <dataValidations count="14">
    <dataValidation type="whole" operator="greaterThanOrEqual" allowBlank="1" showInputMessage="1" showErrorMessage="1" errorTitle="Amount" error="Please enter a positive numeric value!" sqref="E38:E42 G12 G18 G24 G30" xr:uid="{00000000-0002-0000-2000-000000000000}">
      <formula1>0</formula1>
    </dataValidation>
    <dataValidation type="textLength" operator="greaterThan" allowBlank="1" showInputMessage="1" showErrorMessage="1" errorTitle="Certificate Number" error="Please enter the correct certificate number!" sqref="C18 C24 C30 C12" xr:uid="{00000000-0002-0000-2000-000001000000}">
      <formula1>4</formula1>
    </dataValidation>
    <dataValidation type="list" allowBlank="1" showInputMessage="1" showErrorMessage="1" sqref="E5" xr:uid="{00000000-0002-0000-2000-000002000000}">
      <formula1>$T$1:$T$5</formula1>
    </dataValidation>
    <dataValidation type="list" allowBlank="1" showInputMessage="1" showErrorMessage="1" sqref="E53 G77" xr:uid="{00000000-0002-0000-2000-000003000000}">
      <formula1>$AA$1:$AA$3</formula1>
    </dataValidation>
    <dataValidation type="whole" allowBlank="1" showInputMessage="1" showErrorMessage="1" errorTitle="Year chosen" error="Please indicate the year as a four digit number between 1995 and 2003!" sqref="C64" xr:uid="{00000000-0002-0000-2000-000004000000}">
      <formula1>1995</formula1>
      <formula2>2003</formula2>
    </dataValidation>
    <dataValidation type="whole" errorStyle="warning" allowBlank="1" showInputMessage="1" showErrorMessage="1" errorTitle="Number of years" error="Please enter the correct number of Years of Assessment remaining for the benefit!" sqref="E7" xr:uid="{00000000-0002-0000-2000-000005000000}">
      <formula1>0</formula1>
      <formula2>10</formula2>
    </dataValidation>
    <dataValidation type="date" allowBlank="1" showInputMessage="1" showErrorMessage="1" errorTitle="Date" error="Date format dd/mm/yyyy!_x000a_Date must fall within current Y/A!" sqref="E12 E18 E24 E30 C71" xr:uid="{00000000-0002-0000-2000-000006000000}">
      <formula1>$M$12</formula1>
      <formula2>$N$12</formula2>
    </dataValidation>
    <dataValidation type="whole" operator="greaterThanOrEqual" allowBlank="1" showInputMessage="1" showErrorMessage="1" errorTitle="Tax due" error="Please enter a positive numeric value!" sqref="G50" xr:uid="{00000000-0002-0000-2000-000007000000}">
      <formula1>0</formula1>
    </dataValidation>
    <dataValidation type="whole" operator="greaterThanOrEqual" allowBlank="1" showInputMessage="1" showErrorMessage="1" errorTitle="Tax credits b/fwd" error="Please enter a positive numeric value!" sqref="G54" xr:uid="{00000000-0002-0000-2000-000008000000}">
      <formula1>0</formula1>
    </dataValidation>
    <dataValidation type="whole" operator="greaterThanOrEqual" allowBlank="1" showInputMessage="1" showErrorMessage="1" errorTitle="Income tax due" error="Please enter a positive numeric value!" sqref="E63 E65" xr:uid="{00000000-0002-0000-2000-000009000000}">
      <formula1>0</formula1>
    </dataValidation>
    <dataValidation type="decimal" allowBlank="1" showInputMessage="1" showErrorMessage="1" errorTitle="Proportion" error="Please enter a positive value expressed as a decimal!" sqref="G66 G73" xr:uid="{00000000-0002-0000-2000-00000A000000}">
      <formula1>0</formula1>
      <formula2>1</formula2>
    </dataValidation>
    <dataValidation type="textLength" operator="greaterThan" allowBlank="1" showInputMessage="1" showErrorMessage="1" errorTitle="Approval reference" error="Please enter the correct approval reference!" sqref="C70" xr:uid="{00000000-0002-0000-2000-00000B000000}">
      <formula1>4</formula1>
    </dataValidation>
    <dataValidation type="whole" operator="greaterThanOrEqual" allowBlank="1" showInputMessage="1" showErrorMessage="1" sqref="G60" xr:uid="{00000000-0002-0000-2000-00000C000000}">
      <formula1>0</formula1>
    </dataValidation>
    <dataValidation type="whole" operator="greaterThanOrEqual" allowBlank="1" showInputMessage="1" showErrorMessage="1" errorTitle="Inflated Amount carried forward" error="Please enter a positive numeric value!" sqref="G59" xr:uid="{00000000-0002-0000-2000-00000D000000}">
      <formula1>0</formula1>
    </dataValidation>
  </dataValidations>
  <hyperlinks>
    <hyperlink ref="A78" location="Index!a1" display="Index!a1" xr:uid="{00000000-0004-0000-2000-000000000000}"/>
    <hyperlink ref="H57" location="TRA35!k5" display="TRA35!k5" xr:uid="{00000000-0004-0000-2000-000001000000}"/>
  </hyperlinks>
  <pageMargins left="0.75" right="0.13" top="0.12" bottom="0.45" header="0.1" footer="0.14000000000000001"/>
  <pageSetup paperSize="9" scale="92" orientation="portrait" horizontalDpi="300" verticalDpi="300" r:id="rId2"/>
  <headerFooter alignWithMargins="0">
    <oddFooter>&amp;LName&amp;CSignature&amp;RDate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A42"/>
  <sheetViews>
    <sheetView showGridLines="0" workbookViewId="0">
      <selection activeCell="E7" sqref="E7"/>
    </sheetView>
  </sheetViews>
  <sheetFormatPr defaultColWidth="0" defaultRowHeight="12.75" customHeight="1" zeroHeight="1" x14ac:dyDescent="0.2"/>
  <cols>
    <col min="1" max="1" width="65.5703125" style="28" customWidth="1"/>
    <col min="2" max="2" width="1" style="28" hidden="1" customWidth="1"/>
    <col min="3" max="3" width="13.7109375" style="40" customWidth="1"/>
    <col min="4" max="4" width="9.7109375" style="28" customWidth="1"/>
    <col min="5" max="5" width="11.7109375" style="28" customWidth="1"/>
    <col min="6" max="6" width="1.7109375" style="28" customWidth="1"/>
    <col min="7" max="7" width="11.7109375" style="84" customWidth="1"/>
    <col min="8" max="8" width="1.42578125" style="28" customWidth="1"/>
    <col min="9" max="9" width="11.7109375" style="28" customWidth="1"/>
    <col min="10" max="16384" width="9.28515625" style="28" hidden="1"/>
  </cols>
  <sheetData>
    <row r="1" spans="1:27" x14ac:dyDescent="0.2">
      <c r="A1" s="4275" t="str">
        <f>_ref1</f>
      </c>
      <c r="B1" s="4275"/>
      <c r="C1" s="4275"/>
      <c r="D1" s="4275"/>
      <c r="E1" s="4275"/>
      <c r="F1" s="4275"/>
      <c r="G1" s="4275"/>
      <c r="H1" s="4275"/>
      <c r="I1" s="72" t="str">
        <f>_YA1</f>
      </c>
      <c r="K1" s="28" t="s">
        <v>5063</v>
      </c>
    </row>
    <row r="2" spans="1:27" ht="15" x14ac:dyDescent="0.2">
      <c r="A2" s="611" t="s">
        <v>5064</v>
      </c>
      <c r="B2" s="199"/>
      <c r="C2" s="711"/>
      <c r="D2" s="199"/>
      <c r="E2" s="200"/>
      <c r="F2" s="3"/>
      <c r="G2" s="85"/>
      <c r="H2" s="3"/>
      <c r="I2" s="3"/>
      <c r="N2" s="40"/>
      <c r="T2" s="28" t="s">
        <v>1042</v>
      </c>
      <c r="AA2" s="28" t="s">
        <v>4457</v>
      </c>
    </row>
    <row r="3" spans="1:27" ht="22.5" customHeight="1" x14ac:dyDescent="0.2">
      <c r="A3" s="817" t="s">
        <v>4735</v>
      </c>
      <c r="B3" s="3"/>
      <c r="C3" s="2"/>
      <c r="D3" s="3"/>
      <c r="E3" s="3"/>
      <c r="F3" s="3"/>
      <c r="G3" s="85"/>
      <c r="H3" s="3"/>
      <c r="I3" s="3"/>
      <c r="N3" s="40"/>
      <c r="T3" s="28" t="s">
        <v>4581</v>
      </c>
      <c r="AA3" s="28" t="s">
        <v>1736</v>
      </c>
    </row>
    <row r="4" spans="1:27" x14ac:dyDescent="0.2">
      <c r="A4" s="4661" t="s">
        <v>319</v>
      </c>
      <c r="B4" s="4661"/>
      <c r="C4" s="4661"/>
      <c r="D4" s="4662"/>
      <c r="E4" s="4779"/>
      <c r="F4" s="4780"/>
      <c r="G4" s="4781"/>
      <c r="H4" s="3"/>
      <c r="I4" s="61" t="str">
        <f>IF($K$6=0,"",IF(ISBLANK(E4),$K$1,""))</f>
        <v/>
      </c>
      <c r="J4" s="28">
        <f>IF(E4=$K$1,1,0)</f>
      </c>
      <c r="K4" s="30">
        <f>IF(E4=T2,1,IF(E4=T5,1,0))</f>
      </c>
      <c r="T4" s="28" t="s">
        <v>5335</v>
      </c>
    </row>
    <row r="5" spans="1:27" ht="5.25" customHeight="1" x14ac:dyDescent="0.2">
      <c r="A5" s="3"/>
      <c r="B5" s="3"/>
      <c r="C5" s="3"/>
      <c r="D5" s="3"/>
      <c r="E5" s="3"/>
      <c r="F5" s="3"/>
      <c r="G5" s="3"/>
      <c r="H5" s="3"/>
      <c r="I5" s="3"/>
      <c r="T5" s="28" t="s">
        <v>1682</v>
      </c>
    </row>
    <row r="6" spans="1:27" x14ac:dyDescent="0.2">
      <c r="A6" s="3"/>
      <c r="B6" s="3"/>
      <c r="C6" s="3"/>
      <c r="D6" s="3"/>
      <c r="E6" s="3"/>
      <c r="F6" s="3"/>
      <c r="G6" s="3"/>
      <c r="H6" s="3"/>
      <c r="I6" s="3"/>
      <c r="K6" s="30">
        <f>COUNTA(E4,E7,E10,E11,E13,G15)</f>
      </c>
    </row>
    <row r="7" spans="1:27" x14ac:dyDescent="0.2">
      <c r="A7" s="4782" t="str">
        <f>"Please indicate the number of Y/As remaining for the benefit subsequent to the Y/A "&amp;ya-1</f>
      </c>
      <c r="B7" s="4782"/>
      <c r="C7" s="4782"/>
      <c r="D7" s="4783"/>
      <c r="E7" s="597"/>
      <c r="F7" s="3"/>
      <c r="G7" s="61" t="str">
        <f>IF($K$6=0,"",IF($E$4=$T$5,"",IF(ISBLANK(E7),$K$1,"")))</f>
        <v/>
      </c>
      <c r="H7" s="3"/>
      <c r="I7" s="3"/>
      <c r="J7" s="28">
        <f>IF(G7=$K$1,1,0)</f>
      </c>
    </row>
    <row r="8" spans="1:27" ht="3" customHeight="1" x14ac:dyDescent="0.2">
      <c r="A8" s="3"/>
      <c r="B8" s="3"/>
      <c r="C8" s="3"/>
      <c r="D8" s="3"/>
      <c r="E8" s="17"/>
      <c r="F8" s="3"/>
      <c r="G8" s="3"/>
      <c r="H8" s="3"/>
      <c r="I8" s="3"/>
      <c r="M8" s="28" t="s">
        <v>5580</v>
      </c>
      <c r="T8" s="28" t="e">
        <f>VLOOKUP(E4,T2:W5,4)</f>
      </c>
    </row>
    <row r="9" spans="1:27" x14ac:dyDescent="0.2">
      <c r="A9" s="4754" t="s">
        <v>2392</v>
      </c>
      <c r="B9" s="4754"/>
      <c r="C9" s="4754"/>
      <c r="D9" s="3"/>
      <c r="E9" s="17"/>
      <c r="F9" s="3"/>
      <c r="G9" s="3"/>
      <c r="H9" s="3"/>
      <c r="I9" s="3"/>
    </row>
    <row r="10" spans="1:27" x14ac:dyDescent="0.2">
      <c r="A10" s="4754" t="s">
        <v>6574</v>
      </c>
      <c r="B10" s="4754"/>
      <c r="C10" s="4754"/>
      <c r="D10" s="3"/>
      <c r="E10" s="729"/>
      <c r="F10" s="3"/>
      <c r="G10" s="61" t="str">
        <f>IF($K$6=0,"",IF($E$4=$T$5,"",IF(ISBLANK(E10),$K$1,"")))</f>
        <v/>
      </c>
      <c r="H10" s="3"/>
      <c r="I10" s="3"/>
      <c r="J10" s="28">
        <f>IF(G10=$K$1,1,0)</f>
      </c>
    </row>
    <row r="11" spans="1:27" x14ac:dyDescent="0.2">
      <c r="A11" s="4754" t="s">
        <v>6575</v>
      </c>
      <c r="B11" s="4754"/>
      <c r="C11" s="4754"/>
      <c r="D11" s="3"/>
      <c r="E11" s="730"/>
      <c r="F11" s="3"/>
      <c r="G11" s="61" t="str">
        <f>IF($K$6=0,"",IF($E$4=$T$5,"",IF(ISBLANK(E11),$K$1,"")))</f>
        <v/>
      </c>
      <c r="H11" s="3"/>
      <c r="I11" s="3"/>
      <c r="J11" s="28">
        <f>IF(G11=$K$1,1,0)</f>
      </c>
      <c r="M11" s="74">
        <f>DATE(ya,12,31)</f>
      </c>
    </row>
    <row r="12" spans="1:27" ht="4.5" customHeight="1" x14ac:dyDescent="0.2">
      <c r="A12" s="3"/>
      <c r="B12" s="3"/>
      <c r="C12" s="3"/>
      <c r="D12" s="3"/>
      <c r="E12" s="17"/>
      <c r="F12" s="3"/>
      <c r="G12" s="3"/>
      <c r="H12" s="3"/>
      <c r="I12" s="3"/>
    </row>
    <row r="13" spans="1:27" x14ac:dyDescent="0.2">
      <c r="A13" s="72" t="s">
        <v>5768</v>
      </c>
      <c r="B13" s="3"/>
      <c r="C13" s="3"/>
      <c r="D13" s="3"/>
      <c r="E13" s="366"/>
      <c r="F13" s="3"/>
      <c r="G13" s="61" t="str">
        <f>IF($K$6=0,"",IF(ISBLANK(E13),$K$1,""))</f>
        <v/>
      </c>
      <c r="H13" s="3"/>
      <c r="I13" s="3"/>
      <c r="J13" s="28">
        <f>IF(G13=$K$1,1,0)</f>
      </c>
      <c r="K13" s="30">
        <f>IF(E4&lt;&gt;T4,1,IF(ISBLANK(E13),0,IF(E13="No",0,1)))</f>
      </c>
    </row>
    <row r="14" spans="1:27" ht="3" customHeight="1" x14ac:dyDescent="0.2">
      <c r="A14" s="3"/>
      <c r="B14" s="3"/>
      <c r="C14" s="3"/>
      <c r="D14" s="3"/>
      <c r="E14" s="3"/>
      <c r="F14" s="3"/>
      <c r="G14" s="3"/>
      <c r="H14" s="3"/>
      <c r="I14" s="3"/>
    </row>
    <row r="15" spans="1:27" ht="14.25" x14ac:dyDescent="0.2">
      <c r="A15" s="731" t="s">
        <v>5391</v>
      </c>
      <c r="C15" s="3"/>
      <c r="D15" s="3"/>
      <c r="E15" s="3"/>
      <c r="F15" s="3"/>
      <c r="G15" s="223"/>
      <c r="H15" s="3"/>
      <c r="I15" s="61" t="str">
        <f>IF($K$6=0,"",IF(ISBLANK(G15),$K$1,""))</f>
        <v/>
      </c>
      <c r="J15" s="28">
        <f>IF(I15=$K$1,1,0)</f>
      </c>
    </row>
    <row r="16" spans="1:27" x14ac:dyDescent="0.2">
      <c r="A16" s="8" t="s">
        <v>5392</v>
      </c>
      <c r="C16" s="647"/>
      <c r="D16" s="3"/>
      <c r="E16" s="61" t="str">
        <f>IF($K$16=0,"",IF(ISBLANK(C16),$K$1,""))</f>
        <v/>
      </c>
      <c r="F16" s="3"/>
      <c r="G16" s="17"/>
      <c r="H16" s="3"/>
      <c r="I16" s="3"/>
      <c r="J16" s="28">
        <f>IF(E16=$K$1,1,0)</f>
      </c>
      <c r="K16" s="30">
        <f>IF(E4=T4,1,IF(E4=T3,1,0))</f>
      </c>
    </row>
    <row r="17" spans="1:18" x14ac:dyDescent="0.2">
      <c r="A17" s="8" t="s">
        <v>2265</v>
      </c>
      <c r="B17" s="3"/>
      <c r="C17" s="3"/>
      <c r="D17" s="3"/>
      <c r="E17" s="3"/>
      <c r="F17" s="3"/>
      <c r="G17" s="405">
        <f>ROUND(G15*C16,0)</f>
      </c>
      <c r="H17" s="3"/>
      <c r="I17" s="3"/>
      <c r="M17" s="28">
        <f>IF(E29=0,0,E27/E29)</f>
      </c>
    </row>
    <row r="18" spans="1:18" x14ac:dyDescent="0.2">
      <c r="A18" s="8" t="s">
        <v>6642</v>
      </c>
      <c r="B18" s="3"/>
      <c r="C18" s="732">
        <f>IF(K13=0,0,IF(ISBLANK(G37),G30,IF(G30&gt;G37,G30,G37)))</f>
      </c>
      <c r="D18" s="3"/>
      <c r="E18" s="3"/>
      <c r="F18" s="3"/>
      <c r="G18" s="17"/>
      <c r="H18" s="3"/>
      <c r="I18" s="3"/>
    </row>
    <row r="19" spans="1:18" x14ac:dyDescent="0.2">
      <c r="A19" s="4275" t="s">
        <v>5393</v>
      </c>
      <c r="B19" s="4289"/>
      <c r="C19" s="72"/>
      <c r="D19" s="72"/>
      <c r="E19" s="72"/>
      <c r="F19" s="701"/>
      <c r="G19" s="405">
        <f>ROUND(G17*C18,0)</f>
      </c>
      <c r="H19" s="3"/>
      <c r="I19" s="3"/>
    </row>
    <row r="20" spans="1:18" x14ac:dyDescent="0.2">
      <c r="A20" s="4275" t="s">
        <v>4210</v>
      </c>
      <c r="B20" s="4275"/>
      <c r="C20" s="4275"/>
      <c r="D20" s="4275"/>
      <c r="E20" s="4275"/>
      <c r="F20" s="4289"/>
      <c r="G20" s="544">
        <f>G17-G19</f>
      </c>
      <c r="H20" s="3"/>
      <c r="I20" s="3"/>
    </row>
    <row r="21" spans="1:18" x14ac:dyDescent="0.2">
      <c r="A21" s="3"/>
      <c r="B21" s="3"/>
      <c r="C21" s="3"/>
      <c r="D21" s="3"/>
      <c r="E21" s="3"/>
      <c r="F21" s="3"/>
      <c r="G21" s="17"/>
      <c r="H21" s="3"/>
      <c r="I21" s="3"/>
    </row>
    <row r="22" spans="1:18" x14ac:dyDescent="0.2">
      <c r="A22" s="3" t="s">
        <v>2391</v>
      </c>
      <c r="B22" s="3"/>
      <c r="C22" s="3"/>
      <c r="D22" s="3"/>
      <c r="E22" s="1337" t="s">
        <v>1026</v>
      </c>
      <c r="F22" s="3"/>
      <c r="G22" s="544">
        <f>IF(E13="No",0,IF(K4=1,G15,K22))</f>
      </c>
      <c r="H22" s="3"/>
      <c r="I22" s="3"/>
      <c r="K22" s="30">
        <f>IF(ISBLANK(C16),0,ROUND(G19/C16,0))</f>
      </c>
    </row>
    <row r="23" spans="1:18" ht="6" customHeight="1" x14ac:dyDescent="0.2">
      <c r="A23" s="3"/>
      <c r="B23" s="3"/>
      <c r="C23" s="3"/>
      <c r="D23" s="3"/>
      <c r="E23" s="3"/>
      <c r="F23" s="3"/>
      <c r="G23" s="17"/>
      <c r="H23" s="3"/>
      <c r="I23" s="3"/>
      <c r="K23" s="44">
        <f>G15-K22</f>
      </c>
      <c r="L23" s="28">
        <f>ROUND(K23*C16,0)</f>
      </c>
      <c r="M23" s="32">
        <f>K23-L23</f>
      </c>
    </row>
    <row r="24" spans="1:18" x14ac:dyDescent="0.2">
      <c r="A24" s="4275" t="s">
        <v>6946</v>
      </c>
      <c r="B24" s="4275"/>
      <c r="C24" s="4275"/>
      <c r="D24" s="4275"/>
      <c r="E24" s="4275"/>
      <c r="F24" s="4289"/>
      <c r="G24" s="544">
        <f>K23</f>
      </c>
      <c r="H24" s="85"/>
      <c r="I24" s="3"/>
      <c r="R24" s="28">
        <f>IF($E$4=T2,$G$22,0)</f>
      </c>
    </row>
    <row r="25" spans="1:18" x14ac:dyDescent="0.2">
      <c r="A25" s="14"/>
      <c r="B25" s="14"/>
      <c r="C25" s="14"/>
      <c r="D25" s="14"/>
      <c r="E25" s="14"/>
      <c r="F25" s="14"/>
      <c r="G25" s="14"/>
      <c r="H25" s="14"/>
      <c r="I25" s="3"/>
      <c r="R25" s="28">
        <f>IF($E$4=T3,$G$22,0)</f>
      </c>
    </row>
    <row r="26" spans="1:18" x14ac:dyDescent="0.2">
      <c r="A26" s="8" t="s">
        <v>6641</v>
      </c>
      <c r="B26" s="3"/>
      <c r="C26" s="733"/>
      <c r="D26" s="17"/>
      <c r="E26" s="17"/>
      <c r="F26" s="17"/>
      <c r="G26" s="17"/>
      <c r="H26" s="17"/>
      <c r="I26" s="17"/>
      <c r="R26" s="28">
        <f>IF($E$4=T4,$G$22,0)</f>
      </c>
    </row>
    <row r="27" spans="1:18" x14ac:dyDescent="0.2">
      <c r="A27" s="8" t="s">
        <v>3314</v>
      </c>
      <c r="B27" s="723"/>
      <c r="C27" s="114"/>
      <c r="D27" s="734"/>
      <c r="E27" s="735"/>
      <c r="F27" s="17"/>
      <c r="G27" s="222" t="str">
        <f>IF($K$16=0,"",IF(ISBLANK(E27),$K$1,""))</f>
        <v/>
      </c>
      <c r="H27" s="17"/>
      <c r="I27" s="17"/>
      <c r="J27" s="28">
        <f>IF(G27=$K$1,1,0)</f>
      </c>
      <c r="R27" s="28">
        <f>IF($E$4=T5,$G$22,0)</f>
      </c>
    </row>
    <row r="28" spans="1:18" x14ac:dyDescent="0.2">
      <c r="A28" s="8" t="s">
        <v>3315</v>
      </c>
      <c r="B28" s="723"/>
      <c r="C28" s="431"/>
      <c r="D28" s="734"/>
      <c r="E28" s="222" t="str">
        <f>IF($K$16=0,"",IF(ISBLANK(C28),$K$1,""))</f>
        <v/>
      </c>
      <c r="F28" s="17"/>
      <c r="G28" s="17"/>
      <c r="H28" s="17"/>
      <c r="I28" s="17"/>
      <c r="J28" s="28">
        <f>IF(E28=$K$1,1,0)</f>
      </c>
    </row>
    <row r="29" spans="1:18" x14ac:dyDescent="0.2">
      <c r="A29" s="8" t="s">
        <v>3316</v>
      </c>
      <c r="B29" s="2"/>
      <c r="C29" s="242"/>
      <c r="D29" s="242"/>
      <c r="E29" s="735"/>
      <c r="F29" s="17"/>
      <c r="G29" s="222" t="str">
        <f>IF($K$16=0,"",IF(ISBLANK(E29),$K$1,""))</f>
        <v/>
      </c>
      <c r="H29" s="17"/>
      <c r="I29" s="17"/>
      <c r="J29" s="28">
        <f>IF(G29=$K$1,1,0)</f>
      </c>
    </row>
    <row r="30" spans="1:18" x14ac:dyDescent="0.2">
      <c r="A30" s="327" t="s">
        <v>3317</v>
      </c>
      <c r="B30" s="327"/>
      <c r="C30" s="114"/>
      <c r="D30" s="114"/>
      <c r="E30" s="114"/>
      <c r="F30" s="242"/>
      <c r="G30" s="647"/>
      <c r="H30" s="17"/>
      <c r="I30" s="222" t="str">
        <f>IF($K$16=0,"",IF(ISBLANK(G30),$K$1,""))</f>
        <v/>
      </c>
      <c r="M30" s="150">
        <f>G30</f>
      </c>
      <c r="N30" s="150">
        <v>1</v>
      </c>
    </row>
    <row r="31" spans="1:18" ht="3.75" customHeight="1" x14ac:dyDescent="0.2">
      <c r="A31" s="3"/>
      <c r="B31" s="3"/>
      <c r="C31" s="17"/>
      <c r="D31" s="17"/>
      <c r="E31" s="17"/>
      <c r="F31" s="17"/>
      <c r="G31" s="17"/>
      <c r="H31" s="17"/>
      <c r="I31" s="17"/>
    </row>
    <row r="32" spans="1:18" ht="10.5" customHeight="1" x14ac:dyDescent="0.2">
      <c r="A32" s="3"/>
      <c r="B32" s="3"/>
      <c r="C32" s="17"/>
      <c r="D32" s="17"/>
      <c r="E32" s="17"/>
      <c r="F32" s="17"/>
      <c r="G32" s="17"/>
      <c r="H32" s="17"/>
      <c r="I32" s="17"/>
    </row>
    <row r="33" spans="1:11" x14ac:dyDescent="0.2">
      <c r="A33" s="3" t="s">
        <v>5754</v>
      </c>
      <c r="B33" s="3"/>
      <c r="C33" s="17"/>
      <c r="D33" s="17"/>
      <c r="E33" s="17"/>
      <c r="F33" s="17"/>
      <c r="G33" s="17"/>
      <c r="H33" s="17"/>
      <c r="I33" s="17"/>
    </row>
    <row r="34" spans="1:11" x14ac:dyDescent="0.2">
      <c r="A34" s="72" t="s">
        <v>3318</v>
      </c>
      <c r="B34" s="3"/>
      <c r="C34" s="428"/>
      <c r="D34" s="536"/>
      <c r="E34" s="222" t="str">
        <f>IF($K$16=0,"",IF($K$37=0,"",IF(ISBLANK(C34),$K$1,"")))</f>
        <v/>
      </c>
      <c r="F34" s="17"/>
      <c r="G34" s="17"/>
      <c r="H34" s="17"/>
      <c r="I34" s="17"/>
      <c r="J34" s="28">
        <f>IF(E34=$K$1,1,0)</f>
      </c>
    </row>
    <row r="35" spans="1:11" x14ac:dyDescent="0.2">
      <c r="A35" s="539" t="s">
        <v>3319</v>
      </c>
      <c r="B35" s="3"/>
      <c r="C35" s="736"/>
      <c r="D35" s="17"/>
      <c r="E35" s="222" t="str">
        <f>IF($K$16=0,"",IF($K$37=0,"",IF(ISBLANK(C35),$K$1,"")))</f>
        <v/>
      </c>
      <c r="F35" s="17"/>
      <c r="G35" s="17"/>
      <c r="H35" s="17"/>
      <c r="I35" s="17"/>
      <c r="J35" s="28">
        <f>IF(E35=$K$1,1,0)</f>
      </c>
    </row>
    <row r="36" spans="1:11" ht="4.5" customHeight="1" x14ac:dyDescent="0.2">
      <c r="A36" s="85"/>
      <c r="B36" s="85"/>
      <c r="C36" s="86"/>
      <c r="D36" s="86"/>
      <c r="E36" s="86"/>
      <c r="F36" s="86"/>
      <c r="G36" s="86"/>
      <c r="H36" s="17"/>
      <c r="I36" s="17"/>
    </row>
    <row r="37" spans="1:11" x14ac:dyDescent="0.2">
      <c r="A37" s="85"/>
      <c r="B37" s="85"/>
      <c r="C37" s="4778" t="s">
        <v>3320</v>
      </c>
      <c r="D37" s="4778"/>
      <c r="E37" s="4778"/>
      <c r="F37" s="536"/>
      <c r="G37" s="647"/>
      <c r="H37" s="17"/>
      <c r="I37" s="222" t="str">
        <f>IF($K$16=0,"",IF($K$37=0,"",IF(ISBLANK(G37),$K$1,"")))</f>
        <v/>
      </c>
      <c r="J37" s="28">
        <f>IF(I37=$K$1,1,0)</f>
      </c>
      <c r="K37" s="28">
        <f>COUNTA(C34,C35,G37)</f>
      </c>
    </row>
    <row r="38" spans="1:11" ht="15" customHeight="1" x14ac:dyDescent="0.2">
      <c r="A38" s="679"/>
      <c r="B38" s="3"/>
      <c r="C38" s="242"/>
      <c r="D38" s="17"/>
      <c r="E38" s="17"/>
      <c r="F38" s="17"/>
      <c r="G38" s="536"/>
      <c r="H38" s="17"/>
      <c r="I38" s="17"/>
    </row>
    <row r="39" spans="1:11" x14ac:dyDescent="0.2">
      <c r="A39" s="679" t="str">
        <f>_xlfn.SINGLE(MTCA)</f>
      </c>
      <c r="B39" s="86"/>
      <c r="C39" s="86" t="str">
        <f>ver</f>
        <v>TA2_e-CO_2025_Ver 1.1</v>
      </c>
      <c r="D39" s="86"/>
      <c r="E39" s="86"/>
      <c r="F39" s="86"/>
      <c r="G39" s="86"/>
      <c r="H39" s="17"/>
      <c r="I39" s="536" t="s">
        <v>1778</v>
      </c>
      <c r="J39" s="28">
        <f>SUM(J4:J37)</f>
      </c>
    </row>
    <row r="40" spans="1:11" ht="8.25" customHeight="1" x14ac:dyDescent="0.2"/>
    <row r="41" spans="1:11" x14ac:dyDescent="0.2">
      <c r="A41" s="418" t="str">
        <f>COM</f>
      </c>
      <c r="C41" s="331"/>
      <c r="J41" s="30">
        <f>IF(K6=0,0,IF(J39&lt;&gt;0,100,IF(C41="Yes",1,100)))</f>
      </c>
    </row>
    <row r="42" spans="1:11" x14ac:dyDescent="0.2">
      <c r="A42" s="1336" t="s">
        <v>6290</v>
      </c>
    </row>
  </sheetData>
  <sheetProtection algorithmName="SHA-512" hashValue="fIZYNDHb7WILTBKoC9/1pfB+SLTCga4fCXmnzol/ACBUB4ZokEh8Qic+HMc2bJCh4nxrRr5POZ8uC6cnc5yICA==" saltValue="thdUpiuq5TvFA0r5GCy7KQ==" spinCount="100000" sheet="1" objects="1" scenarios="1"/>
  <customSheetViews>
    <customSheetView guid="{99B5278F-6EA9-4B1A-8623-27A4DF4AD5E4}" showGridLines="0" hiddenRows="1" hiddenColumns="1">
      <selection activeCell="E4" sqref="E4:G4"/>
      <pageMargins left="0.74803149606299213" right="0.74803149606299213" top="0.59055118110236227"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11">
    <mergeCell ref="A24:F24"/>
    <mergeCell ref="C37:E37"/>
    <mergeCell ref="A19:B19"/>
    <mergeCell ref="A20:F20"/>
    <mergeCell ref="A1:H1"/>
    <mergeCell ref="A4:D4"/>
    <mergeCell ref="A10:C10"/>
    <mergeCell ref="A11:C11"/>
    <mergeCell ref="E4:G4"/>
    <mergeCell ref="A9:C9"/>
    <mergeCell ref="A7:D7"/>
  </mergeCells>
  <phoneticPr fontId="0" type="noConversion"/>
  <conditionalFormatting sqref="A7:D7">
    <cfRule type="expression" dxfId="701" priority="8" stopIfTrue="1">
      <formula>$E$4=$T$5</formula>
    </cfRule>
  </conditionalFormatting>
  <conditionalFormatting sqref="A16:G20 A24:H37 I30 I37">
    <cfRule type="expression" dxfId="700" priority="4" stopIfTrue="1">
      <formula>$E$4=$T$2</formula>
    </cfRule>
    <cfRule type="expression" dxfId="699" priority="5" stopIfTrue="1">
      <formula>$E$4=$T$5</formula>
    </cfRule>
  </conditionalFormatting>
  <conditionalFormatting sqref="D6:E6">
    <cfRule type="expression" dxfId="698" priority="3" stopIfTrue="1">
      <formula>$E$4=$T$5</formula>
    </cfRule>
  </conditionalFormatting>
  <conditionalFormatting sqref="E7">
    <cfRule type="expression" dxfId="697" priority="9" stopIfTrue="1">
      <formula>$E$4=$T$5</formula>
    </cfRule>
  </conditionalFormatting>
  <conditionalFormatting sqref="H15:H23 I16:I29 A21:G23 I31:I32">
    <cfRule type="expression" dxfId="696" priority="1" stopIfTrue="1">
      <formula>$E$5=$T$2</formula>
    </cfRule>
    <cfRule type="expression" dxfId="695" priority="2" stopIfTrue="1">
      <formula>$E$5=$T$5</formula>
    </cfRule>
  </conditionalFormatting>
  <dataValidations count="12">
    <dataValidation type="textLength" operator="greaterThan" allowBlank="1" showInputMessage="1" showErrorMessage="1" errorTitle="Certificate Number" error="Please enter the correct certificate number!" sqref="E10" xr:uid="{00000000-0002-0000-2100-000000000000}">
      <formula1>4</formula1>
    </dataValidation>
    <dataValidation type="list" allowBlank="1" showInputMessage="1" showErrorMessage="1" sqref="E4" xr:uid="{00000000-0002-0000-2100-000001000000}">
      <formula1>$T$1:$T$5</formula1>
    </dataValidation>
    <dataValidation type="whole" allowBlank="1" showInputMessage="1" showErrorMessage="1" errorTitle="Year chosen" error="Please indicate the year as a four digit number between 1995 and 2003!" sqref="C28" xr:uid="{00000000-0002-0000-2100-000002000000}">
      <formula1>1995</formula1>
      <formula2>2003</formula2>
    </dataValidation>
    <dataValidation type="list" allowBlank="1" showInputMessage="1" showErrorMessage="1" sqref="E13 C41" xr:uid="{00000000-0002-0000-2100-000003000000}">
      <formula1>$AA$1:$AA$3</formula1>
    </dataValidation>
    <dataValidation type="date" operator="lessThanOrEqual" allowBlank="1" showInputMessage="1" showErrorMessage="1" errorTitle="Date" error="Please enter the correct date in the format dd/mm/yyyy!" sqref="E11" xr:uid="{00000000-0002-0000-2100-000004000000}">
      <formula1>M11</formula1>
    </dataValidation>
    <dataValidation type="whole" operator="greaterThanOrEqual" allowBlank="1" showInputMessage="1" showErrorMessage="1" errorTitle="Chargeable income" error="Please enter a positive numeric value!" sqref="G15" xr:uid="{00000000-0002-0000-2100-000005000000}">
      <formula1>0</formula1>
    </dataValidation>
    <dataValidation type="whole" operator="greaterThanOrEqual" allowBlank="1" showInputMessage="1" showErrorMessage="1" errorTitle="Income tax due" error="Please enter a positive numeric value!" sqref="E27 E29" xr:uid="{00000000-0002-0000-2100-000006000000}">
      <formula1>0</formula1>
    </dataValidation>
    <dataValidation type="decimal" allowBlank="1" showInputMessage="1" showErrorMessage="1" errorTitle="Proportion" error="Please enter a positive value expressed as a decimal up to a value of 1!" sqref="G30 G37" xr:uid="{00000000-0002-0000-2100-000007000000}">
      <formula1>0</formula1>
      <formula2>1</formula2>
    </dataValidation>
    <dataValidation type="date" operator="lessThanOrEqual" allowBlank="1" showInputMessage="1" showErrorMessage="1" errorTitle="Date" error="Please enter the correct date in the format dd/mm/yyyy which must fall within the current Y/A!" sqref="C35" xr:uid="{00000000-0002-0000-2100-000008000000}">
      <formula1>M11</formula1>
    </dataValidation>
    <dataValidation type="textLength" operator="greaterThan" allowBlank="1" showInputMessage="1" showErrorMessage="1" errorTitle="Approval reference" error="Please enter the correct approval reference!" sqref="C34" xr:uid="{00000000-0002-0000-2100-000009000000}">
      <formula1>4</formula1>
    </dataValidation>
    <dataValidation type="whole" errorStyle="warning" allowBlank="1" showInputMessage="1" showErrorMessage="1" errorTitle="Number of years" error="Please enter the correct number of Years of Assessment remaining for the benefit!" sqref="E7" xr:uid="{00000000-0002-0000-2100-00000A000000}">
      <formula1>0</formula1>
      <formula2>10</formula2>
    </dataValidation>
    <dataValidation type="decimal" allowBlank="1" showInputMessage="1" showErrorMessage="1" errorTitle="Rate" error="Please enter a value expressed as a decimal! " sqref="C16" xr:uid="{00000000-0002-0000-2100-00000B000000}">
      <formula1>0</formula1>
      <formula2>0.35</formula2>
    </dataValidation>
  </dataValidations>
  <hyperlinks>
    <hyperlink ref="A42" location="Index!a1" display="Index!a1" xr:uid="{00000000-0004-0000-2100-000000000000}"/>
    <hyperlink ref="E22" location="TRA18!A1" display="TRA18!A1" xr:uid="{00000000-0004-0000-2100-000001000000}"/>
  </hyperlinks>
  <printOptions horizontalCentered="1"/>
  <pageMargins left="0.74803149606299213" right="0.74803149606299213" top="0.59055118110236227" bottom="0.98425196850393704" header="0.51181102362204722" footer="0.51181102362204722"/>
  <pageSetup paperSize="9" orientation="landscape" r:id="rId2"/>
  <headerFooter alignWithMargins="0">
    <oddFooter>&amp;LName&amp;CSignature&amp;RDate</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1"/>
  <dimension ref="A1:AA63"/>
  <sheetViews>
    <sheetView showGridLines="0" workbookViewId="0"/>
  </sheetViews>
  <sheetFormatPr defaultColWidth="0" defaultRowHeight="12.75" zeroHeight="1" x14ac:dyDescent="0.2"/>
  <cols>
    <col min="1" max="1" width="1.5703125" style="28" customWidth="1"/>
    <col min="2" max="2" width="10.7109375" style="28" customWidth="1"/>
    <col min="3" max="3" width="10.5703125" style="40" customWidth="1"/>
    <col min="4" max="5" width="12.7109375" style="40" customWidth="1"/>
    <col min="6" max="6" width="12.7109375" style="139" customWidth="1"/>
    <col min="7" max="7" width="10.42578125" style="40" customWidth="1"/>
    <col min="8" max="8" width="20.7109375" style="62" customWidth="1"/>
    <col min="9" max="9" width="38" style="62" customWidth="1"/>
    <col min="10" max="10" width="13" style="28" customWidth="1"/>
    <col min="11" max="14" width="9.28515625" style="28" hidden="1" customWidth="1"/>
    <col min="15" max="16" width="10.28515625" style="28" hidden="1" customWidth="1"/>
    <col min="17" max="16384" width="9.28515625" style="28" hidden="1"/>
  </cols>
  <sheetData>
    <row r="1" spans="1:27" x14ac:dyDescent="0.2">
      <c r="A1" s="3"/>
      <c r="B1" s="3" t="str">
        <f>_ref1</f>
      </c>
      <c r="C1" s="2"/>
      <c r="D1" s="2"/>
      <c r="E1" s="2"/>
      <c r="F1" s="2"/>
      <c r="G1" s="2"/>
      <c r="H1" s="3"/>
      <c r="I1" s="72" t="str">
        <f>_YA1</f>
      </c>
      <c r="J1" s="3"/>
      <c r="M1" s="28" t="s">
        <v>1897</v>
      </c>
      <c r="Y1" s="1736" t="s">
        <v>7474</v>
      </c>
      <c r="Z1" s="28">
        <f>Income!W65*-1</f>
      </c>
      <c r="AA1" s="28">
        <v>5311</v>
      </c>
    </row>
    <row r="2" spans="1:27" ht="15" x14ac:dyDescent="0.2">
      <c r="A2" s="3"/>
      <c r="B2" s="4792" t="str">
        <f>UPPER("Tax guideline on bad debts")</f>
      </c>
      <c r="C2" s="4793"/>
      <c r="D2" s="4793"/>
      <c r="E2" s="4793"/>
      <c r="F2" s="4793"/>
      <c r="G2" s="4793"/>
      <c r="H2" s="4793"/>
      <c r="I2" s="4794"/>
      <c r="J2" s="3"/>
      <c r="Y2" s="1736" t="s">
        <v>7475</v>
      </c>
      <c r="Z2" s="28">
        <f>Income!W234</f>
      </c>
      <c r="AA2" s="28">
        <v>6601</v>
      </c>
    </row>
    <row r="3" spans="1:27" ht="13.5" customHeight="1" x14ac:dyDescent="0.2">
      <c r="A3" s="2"/>
      <c r="B3" s="2"/>
      <c r="C3" s="2"/>
      <c r="D3" s="2"/>
      <c r="E3" s="2"/>
      <c r="F3" s="2"/>
      <c r="G3" s="2"/>
      <c r="H3" s="3"/>
      <c r="I3" s="3"/>
      <c r="J3" s="3"/>
    </row>
    <row r="4" spans="1:27" ht="19.5" customHeight="1" x14ac:dyDescent="0.2">
      <c r="A4" s="3"/>
      <c r="B4" s="4795" t="s">
        <v>5169</v>
      </c>
      <c r="C4" s="4795"/>
      <c r="D4" s="4795"/>
      <c r="E4" s="4795"/>
      <c r="F4" s="4795"/>
      <c r="G4" s="4795"/>
      <c r="H4" s="4795"/>
      <c r="I4" s="4795"/>
      <c r="J4" s="4784" t="str">
        <f>IF(AND(Z$2&gt;0,N27=0),"Values present in TIFD code 6601!","")</f>
        <v/>
      </c>
    </row>
    <row r="5" spans="1:27" ht="15" x14ac:dyDescent="0.2">
      <c r="A5" s="3"/>
      <c r="B5" s="4796" t="s">
        <v>4073</v>
      </c>
      <c r="C5" s="4796"/>
      <c r="D5" s="4796"/>
      <c r="E5" s="4796"/>
      <c r="F5" s="4796"/>
      <c r="G5" s="4796"/>
      <c r="H5" s="4796" t="s">
        <v>4074</v>
      </c>
      <c r="I5" s="4796"/>
      <c r="J5" s="4784"/>
    </row>
    <row r="6" spans="1:27" s="46" customFormat="1" ht="33.75" x14ac:dyDescent="0.2">
      <c r="A6" s="3"/>
      <c r="B6" s="741" t="s">
        <v>2735</v>
      </c>
      <c r="C6" s="741" t="s">
        <v>2736</v>
      </c>
      <c r="D6" s="741" t="s">
        <v>5731</v>
      </c>
      <c r="E6" s="741" t="s">
        <v>5732</v>
      </c>
      <c r="F6" s="741" t="s">
        <v>5733</v>
      </c>
      <c r="G6" s="741" t="s">
        <v>5734</v>
      </c>
      <c r="H6" s="741" t="s">
        <v>657</v>
      </c>
      <c r="I6" s="741" t="s">
        <v>3152</v>
      </c>
      <c r="J6" s="4784"/>
      <c r="P6" s="2104">
        <f>IF(J4="",0,1)</f>
      </c>
    </row>
    <row r="7" spans="1:27" ht="17.100000000000001" customHeight="1" x14ac:dyDescent="0.2">
      <c r="A7" s="3"/>
      <c r="B7" s="291">
        <v>1</v>
      </c>
      <c r="C7" s="575"/>
      <c r="D7" s="568"/>
      <c r="E7" s="568"/>
      <c r="F7" s="497"/>
      <c r="G7" s="742"/>
      <c r="H7" s="152"/>
      <c r="I7" s="152"/>
      <c r="J7" s="61" t="str">
        <f>IF(K7=1,$M$1,"")</f>
        <v/>
      </c>
      <c r="K7" s="28">
        <f>IF(M7=0,0,IF(M7=7,0,1))</f>
      </c>
      <c r="M7" s="28">
        <f t="shared" ref="M7:M25" si="0">COUNTA(C7:I7)</f>
      </c>
    </row>
    <row r="8" spans="1:27" ht="17.100000000000001" customHeight="1" x14ac:dyDescent="0.2">
      <c r="A8" s="3"/>
      <c r="B8" s="291">
        <v>2</v>
      </c>
      <c r="C8" s="575"/>
      <c r="D8" s="568"/>
      <c r="E8" s="568"/>
      <c r="F8" s="497"/>
      <c r="G8" s="742"/>
      <c r="H8" s="152"/>
      <c r="I8" s="152"/>
      <c r="J8" s="61" t="str">
        <f t="shared" ref="J8:J25" si="1">IF(K8=1,$M$1,"")</f>
        <v/>
      </c>
      <c r="K8" s="28">
        <f t="shared" ref="K8:K52" si="2">IF(M8=0,0,IF(M8=7,0,1))</f>
      </c>
      <c r="M8" s="28">
        <f t="shared" si="0"/>
        <v>0</v>
      </c>
    </row>
    <row r="9" spans="1:27" ht="17.100000000000001" customHeight="1" x14ac:dyDescent="0.2">
      <c r="A9" s="3"/>
      <c r="B9" s="291">
        <v>3</v>
      </c>
      <c r="C9" s="575"/>
      <c r="D9" s="568"/>
      <c r="E9" s="568"/>
      <c r="F9" s="497"/>
      <c r="G9" s="742"/>
      <c r="H9" s="152"/>
      <c r="I9" s="152"/>
      <c r="J9" s="61" t="str">
        <f t="shared" si="1"/>
        <v/>
      </c>
      <c r="K9" s="28">
        <f t="shared" si="2"/>
        <v>0</v>
      </c>
      <c r="M9" s="28">
        <f t="shared" si="0"/>
        <v>0</v>
      </c>
    </row>
    <row r="10" spans="1:27" ht="17.100000000000001" customHeight="1" x14ac:dyDescent="0.2">
      <c r="A10" s="3"/>
      <c r="B10" s="291">
        <v>4</v>
      </c>
      <c r="C10" s="575"/>
      <c r="D10" s="568"/>
      <c r="E10" s="568"/>
      <c r="F10" s="497"/>
      <c r="G10" s="742"/>
      <c r="H10" s="152"/>
      <c r="I10" s="152"/>
      <c r="J10" s="61" t="str">
        <f t="shared" si="1"/>
        <v/>
      </c>
      <c r="K10" s="28">
        <f t="shared" si="2"/>
        <v>0</v>
      </c>
      <c r="M10" s="28">
        <f t="shared" si="0"/>
        <v>0</v>
      </c>
    </row>
    <row r="11" spans="1:27" ht="17.100000000000001" customHeight="1" x14ac:dyDescent="0.2">
      <c r="A11" s="3"/>
      <c r="B11" s="291">
        <v>5</v>
      </c>
      <c r="C11" s="575"/>
      <c r="D11" s="568"/>
      <c r="E11" s="568"/>
      <c r="F11" s="497"/>
      <c r="G11" s="742"/>
      <c r="H11" s="152"/>
      <c r="I11" s="152"/>
      <c r="J11" s="61" t="str">
        <f t="shared" si="1"/>
        <v/>
      </c>
      <c r="K11" s="28">
        <f t="shared" si="2"/>
        <v>0</v>
      </c>
      <c r="M11" s="28">
        <f t="shared" si="0"/>
        <v>0</v>
      </c>
    </row>
    <row r="12" spans="1:27" ht="17.100000000000001" customHeight="1" x14ac:dyDescent="0.2">
      <c r="A12" s="3"/>
      <c r="B12" s="291">
        <v>6</v>
      </c>
      <c r="C12" s="575"/>
      <c r="D12" s="568"/>
      <c r="E12" s="568"/>
      <c r="F12" s="497"/>
      <c r="G12" s="742"/>
      <c r="H12" s="152"/>
      <c r="I12" s="152"/>
      <c r="J12" s="61" t="str">
        <f t="shared" si="1"/>
        <v/>
      </c>
      <c r="K12" s="28">
        <f t="shared" si="2"/>
        <v>0</v>
      </c>
      <c r="M12" s="28">
        <f t="shared" si="0"/>
        <v>0</v>
      </c>
    </row>
    <row r="13" spans="1:27" ht="17.100000000000001" customHeight="1" x14ac:dyDescent="0.2">
      <c r="A13" s="3"/>
      <c r="B13" s="291">
        <v>7</v>
      </c>
      <c r="C13" s="575"/>
      <c r="D13" s="568"/>
      <c r="E13" s="568"/>
      <c r="F13" s="497"/>
      <c r="G13" s="742"/>
      <c r="H13" s="152"/>
      <c r="I13" s="152"/>
      <c r="J13" s="61" t="str">
        <f t="shared" si="1"/>
        <v/>
      </c>
      <c r="K13" s="28">
        <f t="shared" si="2"/>
        <v>0</v>
      </c>
      <c r="M13" s="28">
        <f t="shared" si="0"/>
        <v>0</v>
      </c>
    </row>
    <row r="14" spans="1:27" ht="17.100000000000001" customHeight="1" x14ac:dyDescent="0.2">
      <c r="A14" s="3"/>
      <c r="B14" s="291">
        <v>8</v>
      </c>
      <c r="C14" s="575"/>
      <c r="D14" s="568"/>
      <c r="E14" s="568"/>
      <c r="F14" s="497"/>
      <c r="G14" s="742"/>
      <c r="H14" s="152"/>
      <c r="I14" s="152"/>
      <c r="J14" s="61" t="str">
        <f t="shared" si="1"/>
        <v/>
      </c>
      <c r="K14" s="28">
        <f t="shared" si="2"/>
        <v>0</v>
      </c>
      <c r="M14" s="28">
        <f t="shared" si="0"/>
        <v>0</v>
      </c>
    </row>
    <row r="15" spans="1:27" ht="17.100000000000001" customHeight="1" x14ac:dyDescent="0.2">
      <c r="A15" s="3"/>
      <c r="B15" s="291">
        <v>9</v>
      </c>
      <c r="C15" s="575"/>
      <c r="D15" s="568"/>
      <c r="E15" s="568"/>
      <c r="F15" s="497"/>
      <c r="G15" s="742"/>
      <c r="H15" s="152"/>
      <c r="I15" s="152"/>
      <c r="J15" s="61" t="str">
        <f t="shared" si="1"/>
        <v/>
      </c>
      <c r="K15" s="28">
        <f t="shared" si="2"/>
        <v>0</v>
      </c>
      <c r="M15" s="28">
        <f t="shared" si="0"/>
        <v>0</v>
      </c>
    </row>
    <row r="16" spans="1:27" ht="17.100000000000001" customHeight="1" x14ac:dyDescent="0.2">
      <c r="A16" s="3"/>
      <c r="B16" s="291">
        <v>10</v>
      </c>
      <c r="C16" s="575"/>
      <c r="D16" s="568"/>
      <c r="E16" s="568"/>
      <c r="F16" s="497"/>
      <c r="G16" s="742"/>
      <c r="H16" s="152"/>
      <c r="I16" s="152"/>
      <c r="J16" s="61" t="str">
        <f t="shared" si="1"/>
        <v/>
      </c>
      <c r="K16" s="28">
        <f t="shared" si="2"/>
        <v>0</v>
      </c>
      <c r="M16" s="28">
        <f t="shared" si="0"/>
        <v>0</v>
      </c>
    </row>
    <row r="17" spans="1:16" ht="17.100000000000001" customHeight="1" x14ac:dyDescent="0.2">
      <c r="A17" s="3"/>
      <c r="B17" s="291">
        <v>11</v>
      </c>
      <c r="C17" s="575"/>
      <c r="D17" s="568"/>
      <c r="E17" s="568"/>
      <c r="F17" s="497"/>
      <c r="G17" s="742"/>
      <c r="H17" s="152"/>
      <c r="I17" s="152"/>
      <c r="J17" s="61" t="str">
        <f t="shared" si="1"/>
        <v/>
      </c>
      <c r="K17" s="28">
        <f t="shared" si="2"/>
        <v>0</v>
      </c>
      <c r="M17" s="28">
        <f t="shared" si="0"/>
        <v>0</v>
      </c>
    </row>
    <row r="18" spans="1:16" ht="17.100000000000001" customHeight="1" x14ac:dyDescent="0.2">
      <c r="A18" s="3"/>
      <c r="B18" s="291">
        <v>12</v>
      </c>
      <c r="C18" s="575"/>
      <c r="D18" s="568"/>
      <c r="E18" s="568"/>
      <c r="F18" s="497"/>
      <c r="G18" s="742"/>
      <c r="H18" s="152"/>
      <c r="I18" s="152"/>
      <c r="J18" s="61" t="str">
        <f t="shared" si="1"/>
        <v/>
      </c>
      <c r="K18" s="28">
        <f t="shared" si="2"/>
        <v>0</v>
      </c>
      <c r="M18" s="28">
        <f t="shared" si="0"/>
        <v>0</v>
      </c>
    </row>
    <row r="19" spans="1:16" ht="17.100000000000001" customHeight="1" x14ac:dyDescent="0.2">
      <c r="A19" s="3"/>
      <c r="B19" s="291">
        <v>13</v>
      </c>
      <c r="C19" s="575"/>
      <c r="D19" s="568"/>
      <c r="E19" s="568"/>
      <c r="F19" s="497"/>
      <c r="G19" s="742"/>
      <c r="H19" s="152"/>
      <c r="I19" s="152"/>
      <c r="J19" s="61" t="str">
        <f t="shared" si="1"/>
        <v/>
      </c>
      <c r="K19" s="28">
        <f t="shared" si="2"/>
        <v>0</v>
      </c>
      <c r="M19" s="28">
        <f t="shared" si="0"/>
        <v>0</v>
      </c>
    </row>
    <row r="20" spans="1:16" ht="17.100000000000001" customHeight="1" x14ac:dyDescent="0.2">
      <c r="A20" s="3"/>
      <c r="B20" s="291">
        <v>14</v>
      </c>
      <c r="C20" s="575"/>
      <c r="D20" s="568"/>
      <c r="E20" s="568"/>
      <c r="F20" s="497"/>
      <c r="G20" s="742"/>
      <c r="H20" s="152"/>
      <c r="I20" s="152"/>
      <c r="J20" s="61" t="str">
        <f t="shared" si="1"/>
        <v/>
      </c>
      <c r="K20" s="28">
        <f t="shared" si="2"/>
        <v>0</v>
      </c>
      <c r="M20" s="28">
        <f t="shared" si="0"/>
        <v>0</v>
      </c>
    </row>
    <row r="21" spans="1:16" ht="17.100000000000001" customHeight="1" x14ac:dyDescent="0.2">
      <c r="A21" s="3"/>
      <c r="B21" s="291">
        <v>15</v>
      </c>
      <c r="C21" s="575"/>
      <c r="D21" s="568"/>
      <c r="E21" s="568"/>
      <c r="F21" s="497"/>
      <c r="G21" s="742"/>
      <c r="H21" s="152"/>
      <c r="I21" s="152"/>
      <c r="J21" s="61" t="str">
        <f t="shared" si="1"/>
        <v/>
      </c>
      <c r="K21" s="28">
        <f t="shared" si="2"/>
        <v>0</v>
      </c>
      <c r="M21" s="28">
        <f t="shared" si="0"/>
        <v>0</v>
      </c>
    </row>
    <row r="22" spans="1:16" ht="17.100000000000001" customHeight="1" x14ac:dyDescent="0.2">
      <c r="A22" s="3"/>
      <c r="B22" s="291">
        <v>16</v>
      </c>
      <c r="C22" s="575"/>
      <c r="D22" s="568"/>
      <c r="E22" s="568"/>
      <c r="F22" s="497"/>
      <c r="G22" s="742"/>
      <c r="H22" s="152"/>
      <c r="I22" s="152"/>
      <c r="J22" s="61" t="str">
        <f t="shared" si="1"/>
        <v/>
      </c>
      <c r="K22" s="28">
        <f t="shared" si="2"/>
        <v>0</v>
      </c>
      <c r="M22" s="28">
        <f t="shared" si="0"/>
        <v>0</v>
      </c>
    </row>
    <row r="23" spans="1:16" ht="17.100000000000001" customHeight="1" x14ac:dyDescent="0.2">
      <c r="A23" s="3"/>
      <c r="B23" s="291">
        <v>17</v>
      </c>
      <c r="C23" s="575"/>
      <c r="D23" s="568"/>
      <c r="E23" s="568"/>
      <c r="F23" s="497"/>
      <c r="G23" s="742"/>
      <c r="H23" s="152"/>
      <c r="I23" s="152"/>
      <c r="J23" s="61" t="str">
        <f t="shared" si="1"/>
        <v/>
      </c>
      <c r="K23" s="28">
        <f t="shared" si="2"/>
        <v>0</v>
      </c>
      <c r="M23" s="28">
        <f t="shared" si="0"/>
        <v>0</v>
      </c>
    </row>
    <row r="24" spans="1:16" ht="17.100000000000001" customHeight="1" x14ac:dyDescent="0.2">
      <c r="A24" s="3"/>
      <c r="B24" s="291">
        <v>18</v>
      </c>
      <c r="C24" s="575"/>
      <c r="D24" s="568"/>
      <c r="E24" s="568"/>
      <c r="F24" s="497"/>
      <c r="G24" s="742"/>
      <c r="H24" s="152"/>
      <c r="I24" s="152"/>
      <c r="J24" s="61" t="str">
        <f t="shared" si="1"/>
        <v/>
      </c>
      <c r="K24" s="28">
        <f t="shared" si="2"/>
        <v>0</v>
      </c>
      <c r="M24" s="28">
        <f t="shared" si="0"/>
        <v>0</v>
      </c>
    </row>
    <row r="25" spans="1:16" ht="17.100000000000001" customHeight="1" x14ac:dyDescent="0.2">
      <c r="A25" s="3"/>
      <c r="B25" s="291">
        <v>19</v>
      </c>
      <c r="C25" s="575"/>
      <c r="D25" s="568"/>
      <c r="E25" s="568"/>
      <c r="F25" s="497"/>
      <c r="G25" s="743"/>
      <c r="H25" s="152"/>
      <c r="I25" s="152"/>
      <c r="J25" s="61" t="str">
        <f t="shared" si="1"/>
        <v/>
      </c>
      <c r="K25" s="28">
        <f t="shared" si="2"/>
        <v>0</v>
      </c>
      <c r="M25" s="28">
        <f t="shared" si="0"/>
        <v>0</v>
      </c>
    </row>
    <row r="26" spans="1:16" ht="17.100000000000001" customHeight="1" x14ac:dyDescent="0.2">
      <c r="A26" s="3"/>
      <c r="B26" s="4399" t="s">
        <v>7983</v>
      </c>
      <c r="C26" s="4400"/>
      <c r="D26" s="4400"/>
      <c r="E26" s="4400"/>
      <c r="F26" s="4400"/>
      <c r="G26" s="744"/>
      <c r="H26" s="4786" t="s">
        <v>5162</v>
      </c>
      <c r="I26" s="4787"/>
      <c r="J26" s="4785" t="str">
        <f>IF(O27&lt;&gt;Z2,"Aggregate bad debt amounts do not agree with TIFD!","")</f>
        <v/>
      </c>
      <c r="K26" s="28">
        <f t="shared" si="2"/>
        <v>0</v>
      </c>
    </row>
    <row r="27" spans="1:16" ht="17.100000000000001" customHeight="1" x14ac:dyDescent="0.2">
      <c r="A27" s="3"/>
      <c r="B27" s="123" t="s">
        <v>5161</v>
      </c>
      <c r="C27" s="123"/>
      <c r="D27" s="123"/>
      <c r="E27" s="123"/>
      <c r="F27" s="745"/>
      <c r="G27" s="746" t="str">
        <f>IF(K27=0,"",IF(ISBLANK(F27),"Required!",""))</f>
        <v/>
      </c>
      <c r="H27" s="4788"/>
      <c r="I27" s="4789"/>
      <c r="J27" s="4785"/>
      <c r="K27" s="28">
        <f>IF(M27=0,0,IF(M27=2,0,1))</f>
      </c>
      <c r="M27" s="28">
        <f>COUNT(F27:F28)</f>
      </c>
      <c r="N27" s="28">
        <f>SUM(M7:M27)</f>
      </c>
      <c r="O27" s="32">
        <f>SUM(F7:F25)+F27</f>
      </c>
      <c r="P27" s="2103">
        <f>IF(J26="",0,1)</f>
      </c>
    </row>
    <row r="28" spans="1:16" ht="17.100000000000001" customHeight="1" x14ac:dyDescent="0.2">
      <c r="A28" s="3"/>
      <c r="B28" s="123" t="s">
        <v>3417</v>
      </c>
      <c r="C28" s="123"/>
      <c r="D28" s="123"/>
      <c r="E28" s="123"/>
      <c r="F28" s="745"/>
      <c r="G28" s="747" t="str">
        <f>IF(K27=0,"",IF(ISBLANK(F28),"Required!",""))</f>
        <v/>
      </c>
      <c r="H28" s="4790"/>
      <c r="I28" s="4791"/>
      <c r="J28" s="4785"/>
    </row>
    <row r="29" spans="1:16" x14ac:dyDescent="0.2">
      <c r="A29" s="3"/>
      <c r="B29" s="679" t="str">
        <f>_xlfn.SINGLE(MTCA)</f>
      </c>
      <c r="C29" s="748"/>
      <c r="D29" s="748"/>
      <c r="E29" s="748"/>
      <c r="F29" s="185" t="str">
        <f>ver</f>
        <v>TA2_e-CO_2025_Ver 1.1</v>
      </c>
      <c r="G29" s="748"/>
      <c r="H29" s="358"/>
      <c r="I29" s="119" t="s">
        <v>3238</v>
      </c>
      <c r="J29" s="61"/>
    </row>
    <row r="30" spans="1:16" x14ac:dyDescent="0.2">
      <c r="A30" s="3"/>
      <c r="B30" s="631"/>
      <c r="C30" s="748"/>
      <c r="D30" s="748"/>
      <c r="E30" s="748"/>
      <c r="F30" s="653"/>
      <c r="G30" s="748"/>
      <c r="H30" s="358"/>
      <c r="I30" s="358"/>
      <c r="J30" s="61"/>
    </row>
    <row r="31" spans="1:16" ht="17.25" customHeight="1" x14ac:dyDescent="0.2">
      <c r="A31" s="3"/>
      <c r="B31" s="4795" t="s">
        <v>6518</v>
      </c>
      <c r="C31" s="4795"/>
      <c r="D31" s="4795"/>
      <c r="E31" s="4795"/>
      <c r="F31" s="4795"/>
      <c r="G31" s="4795"/>
      <c r="H31" s="4795"/>
      <c r="I31" s="4795"/>
      <c r="J31" s="4784" t="str">
        <f>IF(AND(Z$1&gt;0,N55=0),"Values present in TIFD code 5311!","")</f>
        <v/>
      </c>
      <c r="P31" s="2103">
        <f>IF(J31="",0,1)</f>
      </c>
    </row>
    <row r="32" spans="1:16" ht="15" x14ac:dyDescent="0.2">
      <c r="A32" s="3"/>
      <c r="B32" s="4796" t="s">
        <v>4073</v>
      </c>
      <c r="C32" s="4796"/>
      <c r="D32" s="4796"/>
      <c r="E32" s="4796"/>
      <c r="F32" s="4796"/>
      <c r="G32" s="4796"/>
      <c r="H32" s="4796" t="s">
        <v>4074</v>
      </c>
      <c r="I32" s="4796"/>
      <c r="J32" s="4784"/>
    </row>
    <row r="33" spans="1:13" ht="45" x14ac:dyDescent="0.2">
      <c r="A33" s="3"/>
      <c r="B33" s="741" t="s">
        <v>2735</v>
      </c>
      <c r="C33" s="741" t="s">
        <v>2096</v>
      </c>
      <c r="D33" s="741" t="s">
        <v>6966</v>
      </c>
      <c r="E33" s="741" t="s">
        <v>3093</v>
      </c>
      <c r="F33" s="741" t="s">
        <v>3094</v>
      </c>
      <c r="G33" s="741" t="s">
        <v>5734</v>
      </c>
      <c r="H33" s="741" t="s">
        <v>657</v>
      </c>
      <c r="I33" s="741" t="s">
        <v>3152</v>
      </c>
      <c r="J33" s="4784"/>
    </row>
    <row r="34" spans="1:13" ht="17.100000000000001" customHeight="1" x14ac:dyDescent="0.2">
      <c r="A34" s="3"/>
      <c r="B34" s="291">
        <v>1</v>
      </c>
      <c r="C34" s="568"/>
      <c r="D34" s="497"/>
      <c r="E34" s="575"/>
      <c r="F34" s="749"/>
      <c r="G34" s="742"/>
      <c r="H34" s="152"/>
      <c r="I34" s="152"/>
      <c r="J34" s="61" t="str">
        <f t="shared" ref="J34:J52" si="3">IF(K34=1,$M$1,"")</f>
        <v/>
      </c>
      <c r="K34" s="28">
        <f t="shared" si="2"/>
        <v>0</v>
      </c>
      <c r="M34" s="28">
        <f t="shared" ref="M34:M52" si="4">COUNTA(C34:I34)</f>
      </c>
    </row>
    <row r="35" spans="1:13" ht="17.100000000000001" customHeight="1" x14ac:dyDescent="0.2">
      <c r="A35" s="3"/>
      <c r="B35" s="291">
        <v>2</v>
      </c>
      <c r="C35" s="568"/>
      <c r="D35" s="497"/>
      <c r="E35" s="575"/>
      <c r="F35" s="749"/>
      <c r="G35" s="742"/>
      <c r="H35" s="152"/>
      <c r="I35" s="152"/>
      <c r="J35" s="61" t="str">
        <f t="shared" si="3"/>
        <v/>
      </c>
      <c r="K35" s="28">
        <f t="shared" si="2"/>
        <v>0</v>
      </c>
      <c r="M35" s="28">
        <f t="shared" si="4"/>
        <v>0</v>
      </c>
    </row>
    <row r="36" spans="1:13" ht="17.100000000000001" customHeight="1" x14ac:dyDescent="0.2">
      <c r="A36" s="3"/>
      <c r="B36" s="291">
        <v>3</v>
      </c>
      <c r="C36" s="568"/>
      <c r="D36" s="497"/>
      <c r="E36" s="575"/>
      <c r="F36" s="749"/>
      <c r="G36" s="742"/>
      <c r="H36" s="152"/>
      <c r="I36" s="152"/>
      <c r="J36" s="61" t="str">
        <f t="shared" si="3"/>
        <v/>
      </c>
      <c r="K36" s="28">
        <f t="shared" si="2"/>
        <v>0</v>
      </c>
      <c r="M36" s="28">
        <f t="shared" si="4"/>
        <v>0</v>
      </c>
    </row>
    <row r="37" spans="1:13" ht="17.100000000000001" customHeight="1" x14ac:dyDescent="0.2">
      <c r="A37" s="3"/>
      <c r="B37" s="291">
        <v>4</v>
      </c>
      <c r="C37" s="568"/>
      <c r="D37" s="497"/>
      <c r="E37" s="575"/>
      <c r="F37" s="749"/>
      <c r="G37" s="742"/>
      <c r="H37" s="152"/>
      <c r="I37" s="152"/>
      <c r="J37" s="61" t="str">
        <f t="shared" si="3"/>
        <v/>
      </c>
      <c r="K37" s="28">
        <f t="shared" si="2"/>
        <v>0</v>
      </c>
      <c r="M37" s="28">
        <f t="shared" si="4"/>
        <v>0</v>
      </c>
    </row>
    <row r="38" spans="1:13" ht="17.100000000000001" customHeight="1" x14ac:dyDescent="0.2">
      <c r="A38" s="3"/>
      <c r="B38" s="291">
        <v>5</v>
      </c>
      <c r="C38" s="568"/>
      <c r="D38" s="497"/>
      <c r="E38" s="575"/>
      <c r="F38" s="749"/>
      <c r="G38" s="742"/>
      <c r="H38" s="152"/>
      <c r="I38" s="152"/>
      <c r="J38" s="61" t="str">
        <f t="shared" si="3"/>
        <v/>
      </c>
      <c r="K38" s="28">
        <f t="shared" si="2"/>
        <v>0</v>
      </c>
      <c r="M38" s="28">
        <f t="shared" si="4"/>
        <v>0</v>
      </c>
    </row>
    <row r="39" spans="1:13" ht="17.100000000000001" customHeight="1" x14ac:dyDescent="0.2">
      <c r="A39" s="3"/>
      <c r="B39" s="291">
        <v>6</v>
      </c>
      <c r="C39" s="568"/>
      <c r="D39" s="497"/>
      <c r="E39" s="575"/>
      <c r="F39" s="749"/>
      <c r="G39" s="742"/>
      <c r="H39" s="152"/>
      <c r="I39" s="152"/>
      <c r="J39" s="61" t="str">
        <f t="shared" si="3"/>
        <v/>
      </c>
      <c r="K39" s="28">
        <f t="shared" si="2"/>
        <v>0</v>
      </c>
      <c r="M39" s="28">
        <f t="shared" si="4"/>
        <v>0</v>
      </c>
    </row>
    <row r="40" spans="1:13" ht="17.100000000000001" customHeight="1" x14ac:dyDescent="0.2">
      <c r="A40" s="3"/>
      <c r="B40" s="291">
        <v>7</v>
      </c>
      <c r="C40" s="568"/>
      <c r="D40" s="497"/>
      <c r="E40" s="575"/>
      <c r="F40" s="749"/>
      <c r="G40" s="742"/>
      <c r="H40" s="152"/>
      <c r="I40" s="152"/>
      <c r="J40" s="61" t="str">
        <f t="shared" si="3"/>
        <v/>
      </c>
      <c r="K40" s="28">
        <f t="shared" si="2"/>
        <v>0</v>
      </c>
      <c r="M40" s="28">
        <f t="shared" si="4"/>
        <v>0</v>
      </c>
    </row>
    <row r="41" spans="1:13" ht="17.100000000000001" customHeight="1" x14ac:dyDescent="0.2">
      <c r="A41" s="3"/>
      <c r="B41" s="291">
        <v>8</v>
      </c>
      <c r="C41" s="568"/>
      <c r="D41" s="497"/>
      <c r="E41" s="575"/>
      <c r="F41" s="749"/>
      <c r="G41" s="742"/>
      <c r="H41" s="152"/>
      <c r="I41" s="152"/>
      <c r="J41" s="61" t="str">
        <f t="shared" si="3"/>
        <v/>
      </c>
      <c r="K41" s="28">
        <f t="shared" si="2"/>
        <v>0</v>
      </c>
      <c r="M41" s="28">
        <f t="shared" si="4"/>
        <v>0</v>
      </c>
    </row>
    <row r="42" spans="1:13" ht="17.100000000000001" customHeight="1" x14ac:dyDescent="0.2">
      <c r="A42" s="3"/>
      <c r="B42" s="291">
        <v>9</v>
      </c>
      <c r="C42" s="568"/>
      <c r="D42" s="497"/>
      <c r="E42" s="575"/>
      <c r="F42" s="749"/>
      <c r="G42" s="742"/>
      <c r="H42" s="152"/>
      <c r="I42" s="152"/>
      <c r="J42" s="61" t="str">
        <f t="shared" si="3"/>
        <v/>
      </c>
      <c r="K42" s="28">
        <f t="shared" si="2"/>
        <v>0</v>
      </c>
      <c r="M42" s="28">
        <f t="shared" si="4"/>
        <v>0</v>
      </c>
    </row>
    <row r="43" spans="1:13" ht="17.100000000000001" customHeight="1" x14ac:dyDescent="0.2">
      <c r="A43" s="3"/>
      <c r="B43" s="291">
        <v>10</v>
      </c>
      <c r="C43" s="568"/>
      <c r="D43" s="497"/>
      <c r="E43" s="575"/>
      <c r="F43" s="749"/>
      <c r="G43" s="742"/>
      <c r="H43" s="152"/>
      <c r="I43" s="152"/>
      <c r="J43" s="61" t="str">
        <f t="shared" si="3"/>
        <v/>
      </c>
      <c r="K43" s="28">
        <f t="shared" si="2"/>
        <v>0</v>
      </c>
      <c r="M43" s="28">
        <f t="shared" si="4"/>
        <v>0</v>
      </c>
    </row>
    <row r="44" spans="1:13" ht="17.100000000000001" customHeight="1" x14ac:dyDescent="0.2">
      <c r="A44" s="3"/>
      <c r="B44" s="291">
        <v>11</v>
      </c>
      <c r="C44" s="568"/>
      <c r="D44" s="497"/>
      <c r="E44" s="575"/>
      <c r="F44" s="749"/>
      <c r="G44" s="742"/>
      <c r="H44" s="152"/>
      <c r="I44" s="152"/>
      <c r="J44" s="61" t="str">
        <f t="shared" si="3"/>
        <v/>
      </c>
      <c r="K44" s="28">
        <f t="shared" si="2"/>
        <v>0</v>
      </c>
      <c r="M44" s="28">
        <f t="shared" si="4"/>
        <v>0</v>
      </c>
    </row>
    <row r="45" spans="1:13" ht="17.100000000000001" customHeight="1" x14ac:dyDescent="0.2">
      <c r="A45" s="3"/>
      <c r="B45" s="291">
        <v>12</v>
      </c>
      <c r="C45" s="568"/>
      <c r="D45" s="497"/>
      <c r="E45" s="575"/>
      <c r="F45" s="749"/>
      <c r="G45" s="742"/>
      <c r="H45" s="152"/>
      <c r="I45" s="152"/>
      <c r="J45" s="61" t="str">
        <f t="shared" si="3"/>
        <v/>
      </c>
      <c r="K45" s="28">
        <f t="shared" si="2"/>
        <v>0</v>
      </c>
      <c r="M45" s="28">
        <f t="shared" si="4"/>
        <v>0</v>
      </c>
    </row>
    <row r="46" spans="1:13" ht="17.100000000000001" customHeight="1" x14ac:dyDescent="0.2">
      <c r="A46" s="3"/>
      <c r="B46" s="291">
        <v>13</v>
      </c>
      <c r="C46" s="568"/>
      <c r="D46" s="497"/>
      <c r="E46" s="575"/>
      <c r="F46" s="749"/>
      <c r="G46" s="742"/>
      <c r="H46" s="152"/>
      <c r="I46" s="152"/>
      <c r="J46" s="61" t="str">
        <f t="shared" si="3"/>
        <v/>
      </c>
      <c r="K46" s="28">
        <f t="shared" si="2"/>
        <v>0</v>
      </c>
      <c r="M46" s="28">
        <f t="shared" si="4"/>
        <v>0</v>
      </c>
    </row>
    <row r="47" spans="1:13" ht="17.100000000000001" customHeight="1" x14ac:dyDescent="0.2">
      <c r="A47" s="3"/>
      <c r="B47" s="291">
        <v>14</v>
      </c>
      <c r="C47" s="568"/>
      <c r="D47" s="497"/>
      <c r="E47" s="575"/>
      <c r="F47" s="749"/>
      <c r="G47" s="742"/>
      <c r="H47" s="152"/>
      <c r="I47" s="152"/>
      <c r="J47" s="61" t="str">
        <f t="shared" si="3"/>
        <v/>
      </c>
      <c r="K47" s="28">
        <f t="shared" si="2"/>
        <v>0</v>
      </c>
      <c r="M47" s="28">
        <f t="shared" si="4"/>
        <v>0</v>
      </c>
    </row>
    <row r="48" spans="1:13" ht="17.100000000000001" customHeight="1" x14ac:dyDescent="0.2">
      <c r="A48" s="3"/>
      <c r="B48" s="291">
        <v>15</v>
      </c>
      <c r="C48" s="568"/>
      <c r="D48" s="497"/>
      <c r="E48" s="575"/>
      <c r="F48" s="749"/>
      <c r="G48" s="742"/>
      <c r="H48" s="152"/>
      <c r="I48" s="152"/>
      <c r="J48" s="61" t="str">
        <f t="shared" si="3"/>
        <v/>
      </c>
      <c r="K48" s="28">
        <f t="shared" si="2"/>
        <v>0</v>
      </c>
      <c r="M48" s="28">
        <f t="shared" si="4"/>
        <v>0</v>
      </c>
    </row>
    <row r="49" spans="1:18" ht="17.100000000000001" customHeight="1" x14ac:dyDescent="0.2">
      <c r="A49" s="3"/>
      <c r="B49" s="291">
        <v>16</v>
      </c>
      <c r="C49" s="568"/>
      <c r="D49" s="497"/>
      <c r="E49" s="575"/>
      <c r="F49" s="749"/>
      <c r="G49" s="742"/>
      <c r="H49" s="152"/>
      <c r="I49" s="152"/>
      <c r="J49" s="61" t="str">
        <f t="shared" si="3"/>
        <v/>
      </c>
      <c r="K49" s="28">
        <f t="shared" si="2"/>
        <v>0</v>
      </c>
      <c r="M49" s="28">
        <f t="shared" si="4"/>
        <v>0</v>
      </c>
    </row>
    <row r="50" spans="1:18" ht="17.100000000000001" customHeight="1" x14ac:dyDescent="0.2">
      <c r="A50" s="3"/>
      <c r="B50" s="291">
        <v>17</v>
      </c>
      <c r="C50" s="568"/>
      <c r="D50" s="497"/>
      <c r="E50" s="575"/>
      <c r="F50" s="749"/>
      <c r="G50" s="742"/>
      <c r="H50" s="152"/>
      <c r="I50" s="152"/>
      <c r="J50" s="61" t="str">
        <f t="shared" si="3"/>
        <v/>
      </c>
      <c r="K50" s="28">
        <f t="shared" si="2"/>
        <v>0</v>
      </c>
      <c r="M50" s="28">
        <f t="shared" si="4"/>
        <v>0</v>
      </c>
    </row>
    <row r="51" spans="1:18" ht="17.100000000000001" customHeight="1" x14ac:dyDescent="0.2">
      <c r="A51" s="3"/>
      <c r="B51" s="291">
        <v>18</v>
      </c>
      <c r="C51" s="568"/>
      <c r="D51" s="497"/>
      <c r="E51" s="575"/>
      <c r="F51" s="749"/>
      <c r="G51" s="742"/>
      <c r="H51" s="152"/>
      <c r="I51" s="152"/>
      <c r="J51" s="61" t="str">
        <f t="shared" si="3"/>
        <v/>
      </c>
      <c r="K51" s="28">
        <f t="shared" si="2"/>
        <v>0</v>
      </c>
      <c r="M51" s="28">
        <f t="shared" si="4"/>
        <v>0</v>
      </c>
    </row>
    <row r="52" spans="1:18" ht="17.100000000000001" customHeight="1" x14ac:dyDescent="0.2">
      <c r="A52" s="3"/>
      <c r="B52" s="291">
        <v>19</v>
      </c>
      <c r="C52" s="568"/>
      <c r="D52" s="497"/>
      <c r="E52" s="575"/>
      <c r="F52" s="749"/>
      <c r="G52" s="742"/>
      <c r="H52" s="152"/>
      <c r="I52" s="152"/>
      <c r="J52" s="61" t="str">
        <f t="shared" si="3"/>
        <v/>
      </c>
      <c r="K52" s="28">
        <f t="shared" si="2"/>
        <v>0</v>
      </c>
      <c r="M52" s="28">
        <f t="shared" si="4"/>
        <v>0</v>
      </c>
      <c r="O52" s="74"/>
    </row>
    <row r="53" spans="1:18" ht="17.100000000000001" customHeight="1" x14ac:dyDescent="0.2">
      <c r="A53" s="3"/>
      <c r="B53" s="4399" t="s">
        <v>5163</v>
      </c>
      <c r="C53" s="4400"/>
      <c r="D53" s="4400"/>
      <c r="E53" s="4400"/>
      <c r="F53" s="4400"/>
      <c r="G53" s="744"/>
      <c r="H53" s="4786" t="s">
        <v>5999</v>
      </c>
      <c r="I53" s="4787"/>
      <c r="J53" s="4785" t="str">
        <f>IF(O55&lt;&gt;Z1,"Aggregate BD recoveries do not agree with TIFD!","")</f>
        <v/>
      </c>
      <c r="O53" s="74"/>
    </row>
    <row r="54" spans="1:18" ht="17.100000000000001" customHeight="1" x14ac:dyDescent="0.2">
      <c r="A54" s="3"/>
      <c r="B54" s="123" t="s">
        <v>3782</v>
      </c>
      <c r="C54" s="123"/>
      <c r="D54" s="123"/>
      <c r="E54" s="123"/>
      <c r="F54" s="745"/>
      <c r="G54" s="746" t="str">
        <f>IF(K54=0,"",IF(ISBLANK(F54),"Required!",""))</f>
        <v/>
      </c>
      <c r="H54" s="4788"/>
      <c r="I54" s="4789"/>
      <c r="J54" s="4785"/>
      <c r="O54" s="74"/>
    </row>
    <row r="55" spans="1:18" ht="17.100000000000001" customHeight="1" x14ac:dyDescent="0.2">
      <c r="A55" s="3"/>
      <c r="B55" s="123" t="s">
        <v>3783</v>
      </c>
      <c r="C55" s="123"/>
      <c r="D55" s="123"/>
      <c r="E55" s="123"/>
      <c r="F55" s="745"/>
      <c r="G55" s="747" t="str">
        <f>IF(K54=0,"",IF(ISBLANK(F55),"Required!",""))</f>
        <v/>
      </c>
      <c r="H55" s="4790"/>
      <c r="I55" s="4791"/>
      <c r="J55" s="4785"/>
      <c r="K55" s="28">
        <f>IF(M55=0,0,IF(M55=2,0,1))</f>
      </c>
      <c r="M55" s="28">
        <f>COUNT(F54:F55)</f>
      </c>
      <c r="N55" s="28">
        <f>SUM(M34:M55)</f>
      </c>
      <c r="O55" s="32">
        <f>SUM(D34:D52)+F54</f>
      </c>
      <c r="P55" s="2102">
        <f>IF(J53="",0,1)</f>
      </c>
      <c r="Q55" s="32">
        <f>IF(R55=0,0,1)</f>
      </c>
      <c r="R55" s="28">
        <f>SUM(P6:P55)</f>
      </c>
    </row>
    <row r="56" spans="1:18" x14ac:dyDescent="0.2">
      <c r="A56" s="3"/>
      <c r="B56" s="679" t="str">
        <f>_xlfn.SINGLE(MTCA)</f>
      </c>
      <c r="C56" s="3"/>
      <c r="D56" s="3"/>
      <c r="E56" s="3"/>
      <c r="F56" s="17" t="str">
        <f>ver</f>
        <v>TA2_e-CO_2025_Ver 1.1</v>
      </c>
      <c r="G56" s="3"/>
      <c r="H56" s="3"/>
      <c r="I56" s="536" t="s">
        <v>3095</v>
      </c>
      <c r="J56" s="3"/>
      <c r="K56" s="28">
        <f>SUM(K7:K55)</f>
      </c>
      <c r="M56" s="28">
        <f>SUM(M6:M55)</f>
      </c>
      <c r="O56" s="74"/>
    </row>
    <row r="57" spans="1:18" x14ac:dyDescent="0.2">
      <c r="O57" s="74">
        <f>DATE(ya-2,1,1)</f>
      </c>
      <c r="P57" s="74">
        <f>DATE(ya-1,12,31)</f>
      </c>
    </row>
    <row r="58" spans="1:18" x14ac:dyDescent="0.2">
      <c r="B58" s="4797" t="s">
        <v>6290</v>
      </c>
      <c r="C58" s="4797"/>
      <c r="E58" s="750"/>
      <c r="F58" s="418" t="str">
        <f>COM</f>
      </c>
      <c r="G58" s="331"/>
      <c r="K58" s="2082">
        <f>IF(M56=0,0,IF(K56&lt;&gt;0,100,IF(G58&lt;&gt;"Yes",100,1)))</f>
      </c>
      <c r="O58" s="74">
        <f>IF(ISBLANK('p1'!G66),0,'p1'!G66)</f>
      </c>
      <c r="P58" s="74">
        <f>IF(ISBLANK('p1'!M66),0,'p1'!M66)</f>
      </c>
    </row>
    <row r="59" spans="1:18" x14ac:dyDescent="0.2">
      <c r="O59" s="74">
        <f>IF(O58&gt;O57,O58,O57)</f>
      </c>
      <c r="P59" s="74">
        <f>IF(P58&gt;P57,P58,P57)</f>
      </c>
    </row>
    <row r="62" spans="1:18" hidden="1" x14ac:dyDescent="0.2">
      <c r="H62" s="62" t="s">
        <v>4457</v>
      </c>
    </row>
    <row r="63" spans="1:18" hidden="1" x14ac:dyDescent="0.2">
      <c r="H63" s="62" t="s">
        <v>1736</v>
      </c>
    </row>
  </sheetData>
  <sheetProtection algorithmName="SHA-512" hashValue="Q8niNTH3mjLDP8M3y0iaw1tRXWIkduWP/TgF8Et8n5W94yGTIPW3CAT1oPpqHBcbIWSctFUgVWkV/NKdxvzoOQ==" saltValue="56dKpKPOCO2BCB5NT9ozSQ==" spinCount="100000" sheet="1" objects="1" scenarios="1"/>
  <customSheetViews>
    <customSheetView guid="{99B5278F-6EA9-4B1A-8623-27A4DF4AD5E4}" showGridLines="0" hiddenRows="1" hiddenColumns="1">
      <selection activeCell="C7" sqref="C7"/>
      <rowBreaks count="1" manualBreakCount="1">
        <brk id="29" max="9" man="1"/>
      </rowBreaks>
      <pageMargins left="0.27559055118110237" right="0.15" top="0.47244094488188981" bottom="0.62992125984251968" header="0.51181102362204722" footer="0.51181102362204722"/>
      <printOptions horizontalCentered="1"/>
      <pageSetup paperSize="9" orientation="landscape" horizontalDpi="4294967293" verticalDpi="300" r:id="rId1"/>
      <headerFooter alignWithMargins="0">
        <oddFooter>&amp;LName&amp;CSignature&amp;RDate</oddFooter>
      </headerFooter>
    </customSheetView>
  </customSheetViews>
  <mergeCells count="16">
    <mergeCell ref="B2:I2"/>
    <mergeCell ref="B4:I4"/>
    <mergeCell ref="B5:G5"/>
    <mergeCell ref="H5:I5"/>
    <mergeCell ref="B58:C58"/>
    <mergeCell ref="B31:I31"/>
    <mergeCell ref="B32:G32"/>
    <mergeCell ref="H32:I32"/>
    <mergeCell ref="B26:F26"/>
    <mergeCell ref="H26:I28"/>
    <mergeCell ref="J31:J33"/>
    <mergeCell ref="J4:J6"/>
    <mergeCell ref="J26:J28"/>
    <mergeCell ref="J53:J55"/>
    <mergeCell ref="B53:F53"/>
    <mergeCell ref="H53:I55"/>
  </mergeCells>
  <phoneticPr fontId="0" type="noConversion"/>
  <dataValidations count="13">
    <dataValidation type="list" allowBlank="1" showInputMessage="1" showErrorMessage="1" sqref="G58" xr:uid="{00000000-0002-0000-2200-000000000000}">
      <formula1>$H$61:$H$63</formula1>
    </dataValidation>
    <dataValidation type="whole" operator="greaterThan" allowBlank="1" showInputMessage="1" showErrorMessage="1" errorTitle="Debts recovered" error="Please enter a positive amount!" sqref="D34:D52" xr:uid="{00000000-0002-0000-2200-000001000000}">
      <formula1>0</formula1>
    </dataValidation>
    <dataValidation type="whole" operator="greaterThan" allowBlank="1" showInputMessage="1" showErrorMessage="1" errorTitle="Amount of bad debt" error="Please enter a positive amount!" sqref="F7:F25" xr:uid="{00000000-0002-0000-2200-000002000000}">
      <formula1>0</formula1>
    </dataValidation>
    <dataValidation type="whole" allowBlank="1" showInputMessage="1" showErrorMessage="1" errorTitle="Year" error="Please enter a 4 digit number which is not the current basis year!" sqref="D7:D25" xr:uid="{00000000-0002-0000-2200-000003000000}">
      <formula1>1990</formula1>
      <formula2>ya-2</formula2>
    </dataValidation>
    <dataValidation type="textLength" allowBlank="1" showInputMessage="1" showErrorMessage="1" errorTitle="Address" error="Please enter the correct address!" sqref="I34:I52" xr:uid="{00000000-0002-0000-2200-000004000000}">
      <formula1>5</formula1>
      <formula2>30</formula2>
    </dataValidation>
    <dataValidation type="textLength" allowBlank="1" showInputMessage="1" showErrorMessage="1" errorTitle="Name " error="Please enter the correct name and surname!" sqref="H34:H52" xr:uid="{00000000-0002-0000-2200-000005000000}">
      <formula1>5</formula1>
      <formula2>15</formula2>
    </dataValidation>
    <dataValidation type="date" errorStyle="warning" allowBlank="1" showInputMessage="1" showErrorMessage="1" errorTitle="Date" error="Check date format dd/mm/yyyy and make sure that the date indicated falls within the current year of assessment!" sqref="E34:E52 C7:C25" xr:uid="{00000000-0002-0000-2200-000006000000}">
      <formula1>$O$59</formula1>
      <formula2>$P$59</formula2>
    </dataValidation>
    <dataValidation type="textLength" allowBlank="1" showInputMessage="1" showErrorMessage="1" errorTitle="IT / ID number" error="Please quote correct number!" sqref="G7:G25 G34:G52" xr:uid="{00000000-0002-0000-2200-000007000000}">
      <formula1>4</formula1>
      <formula2>10</formula2>
    </dataValidation>
    <dataValidation type="whole" operator="greaterThan" allowBlank="1" showInputMessage="1" showErrorMessage="1" errorTitle="Transaction Number" error="Please enter a positive number!" sqref="C34:C52" xr:uid="{00000000-0002-0000-2200-000008000000}">
      <formula1>0</formula1>
    </dataValidation>
    <dataValidation type="whole" operator="greaterThan" allowBlank="1" showInputMessage="1" showErrorMessage="1" errorTitle="Amount of bad debts" error="Please enter a whole numeric value!" sqref="F54:F55 F27:F28" xr:uid="{00000000-0002-0000-2200-000009000000}">
      <formula1>0</formula1>
    </dataValidation>
    <dataValidation type="textLength" operator="greaterThanOrEqual" allowBlank="1" showInputMessage="1" showErrorMessage="1" errorTitle="Name " error="Please enter the correct name and surname!" sqref="H7:H25" xr:uid="{00000000-0002-0000-2200-00000A000000}">
      <formula1>3</formula1>
    </dataValidation>
    <dataValidation type="textLength" operator="greaterThanOrEqual" allowBlank="1" showInputMessage="1" showErrorMessage="1" errorTitle="Address" error="Please enter the correct address!" sqref="I7:I25" xr:uid="{00000000-0002-0000-2200-00000B000000}">
      <formula1>3</formula1>
    </dataValidation>
    <dataValidation type="textLength" operator="greaterThanOrEqual" allowBlank="1" showInputMessage="1" showErrorMessage="1" errorTitle="Invoice Number" error="Please enter a valid invoice number!" sqref="E7:E25" xr:uid="{00000000-0002-0000-2200-00000C000000}">
      <formula1>3</formula1>
    </dataValidation>
  </dataValidations>
  <hyperlinks>
    <hyperlink ref="B58" location="Index!b43" display="Index!b43" xr:uid="{00000000-0004-0000-2200-000000000000}"/>
    <hyperlink ref="B58:C58" location="Index!a1" display="Index!a1" xr:uid="{00000000-0004-0000-2200-000001000000}"/>
  </hyperlinks>
  <printOptions horizontalCentered="1"/>
  <pageMargins left="0.2" right="0.15" top="0.37" bottom="0.62992125984251968" header="0.25" footer="0.51181102362204722"/>
  <pageSetup paperSize="9" orientation="landscape" r:id="rId2"/>
  <headerFooter alignWithMargins="0">
    <oddFooter>&amp;LName&amp;CSignature&amp;RDate</oddFooter>
  </headerFooter>
  <rowBreaks count="1" manualBreakCount="1">
    <brk id="29" max="9" man="1"/>
  </rowBreaks>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2"/>
  <dimension ref="A1:L561"/>
  <sheetViews>
    <sheetView showGridLines="0" workbookViewId="0">
      <selection activeCell="B20" sqref="B20:D20"/>
    </sheetView>
  </sheetViews>
  <sheetFormatPr defaultColWidth="0" defaultRowHeight="12.75" zeroHeight="1" x14ac:dyDescent="0.2"/>
  <cols>
    <col min="1" max="1" width="9.7109375" style="28" customWidth="1"/>
    <col min="2" max="2" width="35" style="28" customWidth="1"/>
    <col min="3" max="3" width="13.5703125" style="28" customWidth="1"/>
    <col min="4" max="4" width="16.42578125" style="28" customWidth="1"/>
    <col min="5" max="5" width="15.28515625" style="28" customWidth="1"/>
    <col min="6" max="6" width="3" style="28" customWidth="1"/>
    <col min="7" max="16384" width="0" style="28" hidden="1"/>
  </cols>
  <sheetData>
    <row r="1" spans="1:12" x14ac:dyDescent="0.2">
      <c r="A1" s="3" t="str">
        <f>_ref1</f>
      </c>
      <c r="B1" s="3"/>
      <c r="C1" s="3"/>
      <c r="D1" s="3"/>
      <c r="E1" s="3" t="str">
        <f>_YA1</f>
      </c>
      <c r="F1" s="3"/>
    </row>
    <row r="2" spans="1:12" ht="15" x14ac:dyDescent="0.2">
      <c r="A2" s="644" t="s">
        <v>4765</v>
      </c>
      <c r="B2" s="199"/>
      <c r="C2" s="199"/>
      <c r="D2" s="199"/>
      <c r="E2" s="200"/>
      <c r="F2" s="3"/>
    </row>
    <row r="3" spans="1:12" ht="6" customHeight="1" x14ac:dyDescent="0.2">
      <c r="A3" s="3"/>
      <c r="B3" s="3"/>
      <c r="C3" s="3"/>
      <c r="D3" s="3"/>
      <c r="E3" s="3"/>
      <c r="F3" s="3"/>
      <c r="L3" s="28" t="s">
        <v>5063</v>
      </c>
    </row>
    <row r="4" spans="1:12" x14ac:dyDescent="0.2">
      <c r="A4" s="751" t="s">
        <v>4450</v>
      </c>
      <c r="B4" s="4799" t="s">
        <v>2307</v>
      </c>
      <c r="C4" s="4799"/>
      <c r="D4" s="4799"/>
      <c r="E4" s="752" t="s">
        <v>4693</v>
      </c>
      <c r="F4" s="3"/>
      <c r="L4" s="28" t="s">
        <v>4200</v>
      </c>
    </row>
    <row r="5" spans="1:12" x14ac:dyDescent="0.2">
      <c r="A5" s="288"/>
      <c r="B5" s="4798" t="str">
        <f>IF(ISBLANK(A5),"",IF(ISERROR(L5),$L$4,L5))</f>
        <v/>
      </c>
      <c r="C5" s="4798"/>
      <c r="D5" s="4798"/>
      <c r="E5" s="339"/>
      <c r="F5" s="283" t="str">
        <f>IF(I5=1,"?","")</f>
        <v/>
      </c>
      <c r="H5" s="28">
        <f>IF(ISERROR(L5),1,IF(I5=1,1,0))</f>
      </c>
      <c r="I5" s="28">
        <f>COUNT(A5,E5)</f>
      </c>
      <c r="L5" s="28">
        <f>IF(ISBLANK(A5),0,VLOOKUP(A5,$B$50:$C$561,2,FALSE))</f>
      </c>
    </row>
    <row r="6" spans="1:12" x14ac:dyDescent="0.2">
      <c r="A6" s="288"/>
      <c r="B6" s="4798" t="str">
        <f t="shared" ref="B6:B13" si="0">IF(ISBLANK(A6),"",VLOOKUP(A6,$B$50:$C$561,2,FALSE))</f>
        <v/>
      </c>
      <c r="C6" s="4798"/>
      <c r="D6" s="4798"/>
      <c r="E6" s="339"/>
      <c r="F6" s="283" t="str">
        <f t="shared" ref="F6:F20" si="1">IF(I6=1,"?","")</f>
        <v/>
      </c>
      <c r="H6" s="28">
        <f t="shared" ref="H6:H13" si="2">IF(ISERROR(L6),1,IF(I6=1,1,0))</f>
      </c>
      <c r="I6" s="28">
        <f t="shared" ref="I6:I13" si="3">COUNT(A6,E6)</f>
      </c>
      <c r="L6" s="28">
        <f t="shared" ref="L6:L13" si="4">IF(ISBLANK(A6),0,VLOOKUP(A6,$B$50:$C$561,2,FALSE))</f>
      </c>
    </row>
    <row r="7" spans="1:12" x14ac:dyDescent="0.2">
      <c r="A7" s="288"/>
      <c r="B7" s="4798" t="str">
        <f t="shared" si="0"/>
        <v/>
      </c>
      <c r="C7" s="4798"/>
      <c r="D7" s="4798"/>
      <c r="E7" s="339"/>
      <c r="F7" s="283" t="str">
        <f t="shared" si="1"/>
        <v/>
      </c>
      <c r="H7" s="28">
        <f t="shared" si="2"/>
        <v>0</v>
      </c>
      <c r="I7" s="28">
        <f t="shared" si="3"/>
        <v>0</v>
      </c>
      <c r="L7" s="28">
        <f t="shared" si="4"/>
        <v>0</v>
      </c>
    </row>
    <row r="8" spans="1:12" x14ac:dyDescent="0.2">
      <c r="A8" s="288"/>
      <c r="B8" s="4798" t="str">
        <f t="shared" si="0"/>
        <v/>
      </c>
      <c r="C8" s="4798"/>
      <c r="D8" s="4798"/>
      <c r="E8" s="339"/>
      <c r="F8" s="283" t="str">
        <f t="shared" si="1"/>
        <v/>
      </c>
      <c r="H8" s="28">
        <f t="shared" si="2"/>
        <v>0</v>
      </c>
      <c r="I8" s="28">
        <f t="shared" si="3"/>
        <v>0</v>
      </c>
      <c r="L8" s="28">
        <f t="shared" si="4"/>
        <v>0</v>
      </c>
    </row>
    <row r="9" spans="1:12" x14ac:dyDescent="0.2">
      <c r="A9" s="288"/>
      <c r="B9" s="4798" t="str">
        <f t="shared" si="0"/>
        <v/>
      </c>
      <c r="C9" s="4798"/>
      <c r="D9" s="4798"/>
      <c r="E9" s="339"/>
      <c r="F9" s="283" t="str">
        <f t="shared" si="1"/>
        <v/>
      </c>
      <c r="H9" s="28">
        <f t="shared" si="2"/>
        <v>0</v>
      </c>
      <c r="I9" s="28">
        <f t="shared" si="3"/>
        <v>0</v>
      </c>
      <c r="L9" s="28">
        <f t="shared" si="4"/>
        <v>0</v>
      </c>
    </row>
    <row r="10" spans="1:12" x14ac:dyDescent="0.2">
      <c r="A10" s="288"/>
      <c r="B10" s="4798" t="str">
        <f t="shared" si="0"/>
        <v/>
      </c>
      <c r="C10" s="4798"/>
      <c r="D10" s="4798"/>
      <c r="E10" s="339"/>
      <c r="F10" s="283" t="str">
        <f t="shared" si="1"/>
        <v/>
      </c>
      <c r="H10" s="28">
        <f t="shared" si="2"/>
        <v>0</v>
      </c>
      <c r="I10" s="28">
        <f t="shared" si="3"/>
        <v>0</v>
      </c>
      <c r="L10" s="28">
        <f t="shared" si="4"/>
        <v>0</v>
      </c>
    </row>
    <row r="11" spans="1:12" x14ac:dyDescent="0.2">
      <c r="A11" s="288"/>
      <c r="B11" s="4798" t="str">
        <f t="shared" si="0"/>
        <v/>
      </c>
      <c r="C11" s="4798"/>
      <c r="D11" s="4798"/>
      <c r="E11" s="339"/>
      <c r="F11" s="283" t="str">
        <f t="shared" si="1"/>
        <v/>
      </c>
      <c r="H11" s="28">
        <f t="shared" si="2"/>
        <v>0</v>
      </c>
      <c r="I11" s="28">
        <f t="shared" si="3"/>
        <v>0</v>
      </c>
      <c r="L11" s="28">
        <f t="shared" si="4"/>
        <v>0</v>
      </c>
    </row>
    <row r="12" spans="1:12" x14ac:dyDescent="0.2">
      <c r="A12" s="288"/>
      <c r="B12" s="4798" t="str">
        <f t="shared" si="0"/>
        <v/>
      </c>
      <c r="C12" s="4798"/>
      <c r="D12" s="4798"/>
      <c r="E12" s="339"/>
      <c r="F12" s="283" t="str">
        <f t="shared" si="1"/>
        <v/>
      </c>
      <c r="H12" s="28">
        <f t="shared" si="2"/>
        <v>0</v>
      </c>
      <c r="I12" s="28">
        <f t="shared" si="3"/>
        <v>0</v>
      </c>
      <c r="L12" s="28">
        <f t="shared" si="4"/>
        <v>0</v>
      </c>
    </row>
    <row r="13" spans="1:12" x14ac:dyDescent="0.2">
      <c r="A13" s="288"/>
      <c r="B13" s="4798" t="str">
        <f t="shared" si="0"/>
        <v/>
      </c>
      <c r="C13" s="4798"/>
      <c r="D13" s="4798"/>
      <c r="E13" s="339"/>
      <c r="F13" s="283" t="str">
        <f t="shared" si="1"/>
        <v/>
      </c>
      <c r="H13" s="28">
        <f t="shared" si="2"/>
        <v>0</v>
      </c>
      <c r="I13" s="28">
        <f t="shared" si="3"/>
        <v>0</v>
      </c>
      <c r="L13" s="28">
        <f t="shared" si="4"/>
        <v>0</v>
      </c>
    </row>
    <row r="14" spans="1:12" x14ac:dyDescent="0.2">
      <c r="A14" s="293" t="s">
        <v>3215</v>
      </c>
      <c r="B14" s="4533"/>
      <c r="C14" s="4533"/>
      <c r="D14" s="4533"/>
      <c r="E14" s="339"/>
      <c r="F14" s="283" t="str">
        <f t="shared" si="1"/>
        <v/>
      </c>
      <c r="H14" s="28">
        <f>IF(I14=1,1,0)</f>
      </c>
      <c r="I14" s="28">
        <f>COUNTA(B14:E14)</f>
      </c>
    </row>
    <row r="15" spans="1:12" x14ac:dyDescent="0.2">
      <c r="A15" s="293" t="s">
        <v>3216</v>
      </c>
      <c r="B15" s="4533"/>
      <c r="C15" s="4533"/>
      <c r="D15" s="4533"/>
      <c r="E15" s="339"/>
      <c r="F15" s="283" t="str">
        <f t="shared" si="1"/>
        <v/>
      </c>
      <c r="H15" s="28">
        <f t="shared" ref="H15:H20" si="5">IF(I15=1,1,0)</f>
      </c>
      <c r="I15" s="28">
        <f t="shared" ref="I15:I20" si="6">COUNTA(B15:E15)</f>
      </c>
    </row>
    <row r="16" spans="1:12" x14ac:dyDescent="0.2">
      <c r="A16" s="293" t="s">
        <v>3217</v>
      </c>
      <c r="B16" s="4533"/>
      <c r="C16" s="4533"/>
      <c r="D16" s="4533"/>
      <c r="E16" s="339"/>
      <c r="F16" s="283" t="str">
        <f t="shared" si="1"/>
        <v/>
      </c>
      <c r="H16" s="28">
        <f t="shared" si="5"/>
        <v>0</v>
      </c>
      <c r="I16" s="28">
        <f t="shared" si="6"/>
        <v>0</v>
      </c>
    </row>
    <row r="17" spans="1:12" x14ac:dyDescent="0.2">
      <c r="A17" s="293" t="s">
        <v>5092</v>
      </c>
      <c r="B17" s="4533"/>
      <c r="C17" s="4533"/>
      <c r="D17" s="4533"/>
      <c r="E17" s="339"/>
      <c r="F17" s="283" t="str">
        <f t="shared" si="1"/>
        <v/>
      </c>
      <c r="H17" s="28">
        <f t="shared" si="5"/>
        <v>0</v>
      </c>
      <c r="I17" s="28">
        <f t="shared" si="6"/>
        <v>0</v>
      </c>
    </row>
    <row r="18" spans="1:12" x14ac:dyDescent="0.2">
      <c r="A18" s="293" t="s">
        <v>5093</v>
      </c>
      <c r="B18" s="4533"/>
      <c r="C18" s="4533"/>
      <c r="D18" s="4533"/>
      <c r="E18" s="339"/>
      <c r="F18" s="283" t="str">
        <f t="shared" si="1"/>
        <v/>
      </c>
      <c r="H18" s="28">
        <f t="shared" si="5"/>
        <v>0</v>
      </c>
      <c r="I18" s="28">
        <f t="shared" si="6"/>
        <v>0</v>
      </c>
    </row>
    <row r="19" spans="1:12" x14ac:dyDescent="0.2">
      <c r="A19" s="293" t="s">
        <v>5094</v>
      </c>
      <c r="B19" s="4533"/>
      <c r="C19" s="4533"/>
      <c r="D19" s="4533"/>
      <c r="E19" s="339"/>
      <c r="F19" s="283" t="str">
        <f t="shared" si="1"/>
        <v/>
      </c>
      <c r="H19" s="28">
        <f t="shared" si="5"/>
        <v>0</v>
      </c>
      <c r="I19" s="28">
        <f t="shared" si="6"/>
        <v>0</v>
      </c>
    </row>
    <row r="20" spans="1:12" x14ac:dyDescent="0.2">
      <c r="A20" s="293" t="s">
        <v>3834</v>
      </c>
      <c r="B20" s="4533"/>
      <c r="C20" s="4533"/>
      <c r="D20" s="4533"/>
      <c r="E20" s="339"/>
      <c r="F20" s="283" t="str">
        <f t="shared" si="1"/>
        <v/>
      </c>
      <c r="H20" s="28">
        <f t="shared" si="5"/>
        <v>0</v>
      </c>
      <c r="I20" s="28">
        <f t="shared" si="6"/>
        <v>0</v>
      </c>
      <c r="J20" s="28">
        <f>SUM(I5:I20)</f>
      </c>
    </row>
    <row r="21" spans="1:12" x14ac:dyDescent="0.2">
      <c r="A21" s="3"/>
      <c r="B21" s="3"/>
      <c r="C21" s="3"/>
      <c r="D21" s="3"/>
      <c r="E21" s="3"/>
      <c r="F21" s="3"/>
    </row>
    <row r="22" spans="1:12" ht="14.25" x14ac:dyDescent="0.2">
      <c r="A22" s="753" t="s">
        <v>3214</v>
      </c>
      <c r="B22" s="162"/>
      <c r="C22" s="162"/>
      <c r="D22" s="162"/>
      <c r="E22" s="163"/>
      <c r="F22" s="3"/>
    </row>
    <row r="23" spans="1:12" ht="6" customHeight="1" x14ac:dyDescent="0.2">
      <c r="A23" s="3"/>
      <c r="B23" s="3"/>
      <c r="C23" s="3"/>
      <c r="D23" s="3"/>
      <c r="E23" s="3"/>
      <c r="F23" s="3"/>
    </row>
    <row r="24" spans="1:12" x14ac:dyDescent="0.2">
      <c r="A24" s="3" t="s">
        <v>4449</v>
      </c>
      <c r="B24" s="754"/>
      <c r="C24" s="539" t="s">
        <v>4201</v>
      </c>
      <c r="D24" s="4317"/>
      <c r="E24" s="4319"/>
      <c r="F24" s="3"/>
      <c r="L24" s="28" t="s">
        <v>620</v>
      </c>
    </row>
    <row r="25" spans="1:12" x14ac:dyDescent="0.2">
      <c r="A25" s="3"/>
      <c r="B25" s="640" t="str">
        <f>IF($J$20=0,"",IF(ISBLANK(B24),$L$3,""))</f>
        <v/>
      </c>
      <c r="C25" s="639"/>
      <c r="D25" s="4800" t="str">
        <f>IF($J$20=0,"",IF(ISBLANK(D24),$L$3,""))</f>
        <v/>
      </c>
      <c r="E25" s="4800"/>
      <c r="F25" s="3"/>
      <c r="H25" s="28">
        <f>IF(B25=L3,1,IF(D25=L3,1,IF(C27=L3,1,IF(C33=L3,1,0))))</f>
      </c>
      <c r="L25" s="28" t="s">
        <v>621</v>
      </c>
    </row>
    <row r="26" spans="1:12" x14ac:dyDescent="0.2">
      <c r="A26" s="8" t="s">
        <v>1754</v>
      </c>
      <c r="B26" s="3"/>
      <c r="C26" s="4801"/>
      <c r="D26" s="4802"/>
      <c r="E26" s="4803"/>
      <c r="F26" s="3"/>
      <c r="L26" s="28" t="s">
        <v>3260</v>
      </c>
    </row>
    <row r="27" spans="1:12" x14ac:dyDescent="0.2">
      <c r="A27" s="3"/>
      <c r="B27" s="3"/>
      <c r="C27" s="4696" t="str">
        <f>IF($J$20=0,"",IF(ISBLANK(C26),$L$3,""))</f>
        <v/>
      </c>
      <c r="D27" s="4696"/>
      <c r="E27" s="4696"/>
      <c r="F27" s="3"/>
      <c r="L27" s="28" t="s">
        <v>622</v>
      </c>
    </row>
    <row r="28" spans="1:12" x14ac:dyDescent="0.2">
      <c r="A28" s="3" t="s">
        <v>5197</v>
      </c>
      <c r="B28" s="3"/>
      <c r="C28" s="4804"/>
      <c r="D28" s="4805"/>
      <c r="E28" s="4806"/>
      <c r="F28" s="3"/>
    </row>
    <row r="29" spans="1:12" x14ac:dyDescent="0.2">
      <c r="A29" s="3"/>
      <c r="B29" s="3"/>
      <c r="C29" s="4807"/>
      <c r="D29" s="4808"/>
      <c r="E29" s="4809"/>
      <c r="F29" s="3"/>
    </row>
    <row r="30" spans="1:12" x14ac:dyDescent="0.2">
      <c r="A30" s="3"/>
      <c r="B30" s="3"/>
      <c r="C30" s="4810"/>
      <c r="D30" s="4808"/>
      <c r="E30" s="4809"/>
      <c r="F30" s="3"/>
    </row>
    <row r="31" spans="1:12" x14ac:dyDescent="0.2">
      <c r="A31" s="3"/>
      <c r="B31" s="3"/>
      <c r="C31" s="4807"/>
      <c r="D31" s="4808"/>
      <c r="E31" s="4809"/>
      <c r="F31" s="3"/>
    </row>
    <row r="32" spans="1:12" x14ac:dyDescent="0.2">
      <c r="A32" s="3"/>
      <c r="B32" s="3"/>
      <c r="C32" s="4811"/>
      <c r="D32" s="4812"/>
      <c r="E32" s="4813"/>
      <c r="F32" s="3"/>
    </row>
    <row r="33" spans="1:12" x14ac:dyDescent="0.2">
      <c r="A33" s="3"/>
      <c r="B33" s="3"/>
      <c r="C33" s="4696" t="str">
        <f>IF($J$20=0,"",IF(ISBLANK(C28),$L$3,""))</f>
        <v/>
      </c>
      <c r="D33" s="4696"/>
      <c r="E33" s="4696"/>
      <c r="F33" s="3"/>
    </row>
    <row r="34" spans="1:12" x14ac:dyDescent="0.2">
      <c r="A34" s="17" t="str">
        <f>_xlfn.SINGLE(MTCA)</f>
      </c>
      <c r="B34" s="17"/>
      <c r="C34" s="17" t="str">
        <f>ver</f>
        <v>TA2_e-CO_2025_Ver 1.1</v>
      </c>
      <c r="D34" s="17"/>
      <c r="E34" s="536" t="s">
        <v>5271</v>
      </c>
      <c r="F34" s="3"/>
      <c r="H34" s="28">
        <f>SUM(H5:H25)</f>
      </c>
    </row>
    <row r="35" spans="1:12" x14ac:dyDescent="0.2">
      <c r="A35" s="3"/>
      <c r="B35" s="3"/>
      <c r="C35" s="3"/>
      <c r="D35" s="3"/>
      <c r="E35" s="3"/>
      <c r="F35" s="3"/>
    </row>
    <row r="36" spans="1:12" x14ac:dyDescent="0.2">
      <c r="A36" s="1175" t="s">
        <v>6290</v>
      </c>
      <c r="B36" s="2"/>
      <c r="C36" s="739"/>
      <c r="D36" s="610" t="str">
        <f>COM</f>
      </c>
      <c r="E36" s="331"/>
      <c r="F36" s="3"/>
      <c r="H36" s="28">
        <f>IF(J20=0,0,IF(H34&lt;&gt;0,100,IF(E36&lt;&gt;"Yes",100,1)))</f>
      </c>
      <c r="L36" s="28" t="s">
        <v>4457</v>
      </c>
    </row>
    <row r="37" spans="1:12" x14ac:dyDescent="0.2">
      <c r="A37" s="3"/>
      <c r="B37" s="3"/>
      <c r="C37" s="3"/>
      <c r="D37" s="3"/>
      <c r="E37" s="3"/>
      <c r="F37" s="3"/>
      <c r="L37" s="28" t="s">
        <v>1736</v>
      </c>
    </row>
    <row r="38" spans="1:12" x14ac:dyDescent="0.2">
      <c r="A38" s="3"/>
      <c r="B38" s="3"/>
      <c r="C38" s="3"/>
      <c r="D38" s="3"/>
      <c r="E38" s="3"/>
      <c r="F38" s="3"/>
    </row>
    <row r="50" spans="2:3" hidden="1" x14ac:dyDescent="0.2">
      <c r="B50" s="28">
        <v>1000</v>
      </c>
      <c r="C50" s="28" t="s">
        <v>1007</v>
      </c>
    </row>
    <row r="51" spans="2:3" hidden="1" x14ac:dyDescent="0.2">
      <c r="B51" s="28">
        <v>1001</v>
      </c>
      <c r="C51" s="28" t="s">
        <v>5752</v>
      </c>
    </row>
    <row r="52" spans="2:3" hidden="1" x14ac:dyDescent="0.2">
      <c r="B52" s="28">
        <v>1002</v>
      </c>
      <c r="C52" s="28" t="s">
        <v>5753</v>
      </c>
    </row>
    <row r="53" spans="2:3" hidden="1" x14ac:dyDescent="0.2">
      <c r="B53" s="28">
        <v>1003</v>
      </c>
      <c r="C53" s="28" t="s">
        <v>4676</v>
      </c>
    </row>
    <row r="54" spans="2:3" hidden="1" x14ac:dyDescent="0.2">
      <c r="B54" s="28">
        <v>1004</v>
      </c>
      <c r="C54" s="28" t="s">
        <v>5490</v>
      </c>
    </row>
    <row r="55" spans="2:3" hidden="1" x14ac:dyDescent="0.2">
      <c r="B55" s="28">
        <v>1005</v>
      </c>
      <c r="C55" s="28" t="s">
        <v>5491</v>
      </c>
    </row>
    <row r="56" spans="2:3" hidden="1" x14ac:dyDescent="0.2">
      <c r="B56" s="28">
        <v>1006</v>
      </c>
      <c r="C56" s="28" t="s">
        <v>5492</v>
      </c>
    </row>
    <row r="57" spans="2:3" hidden="1" x14ac:dyDescent="0.2">
      <c r="B57" s="28">
        <v>1007</v>
      </c>
      <c r="C57" s="28" t="s">
        <v>2289</v>
      </c>
    </row>
    <row r="58" spans="2:3" hidden="1" x14ac:dyDescent="0.2">
      <c r="B58" s="28">
        <v>1008</v>
      </c>
      <c r="C58" s="28" t="s">
        <v>4197</v>
      </c>
    </row>
    <row r="59" spans="2:3" hidden="1" x14ac:dyDescent="0.2">
      <c r="B59" s="28">
        <v>1009</v>
      </c>
      <c r="C59" s="28" t="s">
        <v>4198</v>
      </c>
    </row>
    <row r="60" spans="2:3" hidden="1" x14ac:dyDescent="0.2">
      <c r="B60" s="28">
        <v>1198</v>
      </c>
      <c r="C60" s="28" t="s">
        <v>4199</v>
      </c>
    </row>
    <row r="61" spans="2:3" hidden="1" x14ac:dyDescent="0.2">
      <c r="B61" s="28">
        <v>1199</v>
      </c>
      <c r="C61" s="28" t="s">
        <v>2192</v>
      </c>
    </row>
    <row r="62" spans="2:3" hidden="1" x14ac:dyDescent="0.2">
      <c r="B62" s="28">
        <v>1200</v>
      </c>
      <c r="C62" s="28" t="s">
        <v>5067</v>
      </c>
    </row>
    <row r="63" spans="2:3" hidden="1" x14ac:dyDescent="0.2">
      <c r="B63" s="28">
        <v>1201</v>
      </c>
      <c r="C63" s="28" t="s">
        <v>5068</v>
      </c>
    </row>
    <row r="64" spans="2:3" hidden="1" x14ac:dyDescent="0.2">
      <c r="B64" s="28">
        <v>1202</v>
      </c>
      <c r="C64" s="28" t="s">
        <v>6655</v>
      </c>
    </row>
    <row r="65" spans="2:3" hidden="1" x14ac:dyDescent="0.2">
      <c r="B65" s="28">
        <v>1203</v>
      </c>
      <c r="C65" s="28" t="s">
        <v>6060</v>
      </c>
    </row>
    <row r="66" spans="2:3" hidden="1" x14ac:dyDescent="0.2">
      <c r="B66" s="28">
        <v>1204</v>
      </c>
      <c r="C66" s="28" t="s">
        <v>6634</v>
      </c>
    </row>
    <row r="67" spans="2:3" hidden="1" x14ac:dyDescent="0.2">
      <c r="B67" s="28">
        <v>1205</v>
      </c>
      <c r="C67" s="28" t="s">
        <v>2748</v>
      </c>
    </row>
    <row r="68" spans="2:3" hidden="1" x14ac:dyDescent="0.2">
      <c r="B68" s="28">
        <v>1206</v>
      </c>
      <c r="C68" s="28" t="s">
        <v>2749</v>
      </c>
    </row>
    <row r="69" spans="2:3" hidden="1" x14ac:dyDescent="0.2">
      <c r="B69" s="28">
        <v>1207</v>
      </c>
      <c r="C69" s="28" t="s">
        <v>3716</v>
      </c>
    </row>
    <row r="70" spans="2:3" hidden="1" x14ac:dyDescent="0.2">
      <c r="B70" s="28">
        <v>1208</v>
      </c>
      <c r="C70" s="28" t="s">
        <v>2653</v>
      </c>
    </row>
    <row r="71" spans="2:3" hidden="1" x14ac:dyDescent="0.2">
      <c r="B71" s="28">
        <v>1209</v>
      </c>
      <c r="C71" s="28" t="s">
        <v>1558</v>
      </c>
    </row>
    <row r="72" spans="2:3" hidden="1" x14ac:dyDescent="0.2">
      <c r="B72" s="28">
        <v>1210</v>
      </c>
      <c r="C72" s="28" t="s">
        <v>1559</v>
      </c>
    </row>
    <row r="73" spans="2:3" hidden="1" x14ac:dyDescent="0.2">
      <c r="B73" s="28">
        <v>1300</v>
      </c>
      <c r="C73" s="28" t="s">
        <v>1560</v>
      </c>
    </row>
    <row r="74" spans="2:3" hidden="1" x14ac:dyDescent="0.2">
      <c r="B74" s="28">
        <v>1301</v>
      </c>
      <c r="C74" s="28" t="s">
        <v>4974</v>
      </c>
    </row>
    <row r="75" spans="2:3" hidden="1" x14ac:dyDescent="0.2">
      <c r="B75" s="28">
        <v>1302</v>
      </c>
      <c r="C75" s="28" t="s">
        <v>550</v>
      </c>
    </row>
    <row r="76" spans="2:3" hidden="1" x14ac:dyDescent="0.2">
      <c r="B76" s="28">
        <v>1303</v>
      </c>
      <c r="C76" s="28" t="s">
        <v>218</v>
      </c>
    </row>
    <row r="77" spans="2:3" hidden="1" x14ac:dyDescent="0.2">
      <c r="B77" s="28">
        <v>1304</v>
      </c>
      <c r="C77" s="28" t="s">
        <v>1136</v>
      </c>
    </row>
    <row r="78" spans="2:3" hidden="1" x14ac:dyDescent="0.2">
      <c r="B78" s="28">
        <v>1305</v>
      </c>
      <c r="C78" s="28" t="s">
        <v>1137</v>
      </c>
    </row>
    <row r="79" spans="2:3" hidden="1" x14ac:dyDescent="0.2">
      <c r="B79" s="28">
        <v>1306</v>
      </c>
      <c r="C79" s="28" t="s">
        <v>1138</v>
      </c>
    </row>
    <row r="80" spans="2:3" hidden="1" x14ac:dyDescent="0.2">
      <c r="B80" s="28">
        <v>1307</v>
      </c>
      <c r="C80" s="28" t="s">
        <v>1139</v>
      </c>
    </row>
    <row r="81" spans="2:3" hidden="1" x14ac:dyDescent="0.2">
      <c r="B81" s="28">
        <v>1350</v>
      </c>
      <c r="C81" s="28" t="s">
        <v>1140</v>
      </c>
    </row>
    <row r="82" spans="2:3" hidden="1" x14ac:dyDescent="0.2">
      <c r="B82" s="28">
        <v>1351</v>
      </c>
      <c r="C82" s="28" t="s">
        <v>794</v>
      </c>
    </row>
    <row r="83" spans="2:3" hidden="1" x14ac:dyDescent="0.2">
      <c r="B83" s="28">
        <v>1352</v>
      </c>
      <c r="C83" s="28" t="s">
        <v>795</v>
      </c>
    </row>
    <row r="84" spans="2:3" hidden="1" x14ac:dyDescent="0.2">
      <c r="B84" s="28">
        <v>1353</v>
      </c>
      <c r="C84" s="28" t="s">
        <v>796</v>
      </c>
    </row>
    <row r="85" spans="2:3" hidden="1" x14ac:dyDescent="0.2">
      <c r="B85" s="28">
        <v>1354</v>
      </c>
      <c r="C85" s="28" t="s">
        <v>5443</v>
      </c>
    </row>
    <row r="86" spans="2:3" hidden="1" x14ac:dyDescent="0.2">
      <c r="B86" s="28">
        <v>1355</v>
      </c>
      <c r="C86" s="28" t="s">
        <v>3633</v>
      </c>
    </row>
    <row r="87" spans="2:3" hidden="1" x14ac:dyDescent="0.2">
      <c r="B87" s="28">
        <v>1356</v>
      </c>
      <c r="C87" s="28" t="s">
        <v>3634</v>
      </c>
    </row>
    <row r="88" spans="2:3" hidden="1" x14ac:dyDescent="0.2">
      <c r="B88" s="28">
        <v>1357</v>
      </c>
      <c r="C88" s="28" t="s">
        <v>1925</v>
      </c>
    </row>
    <row r="89" spans="2:3" hidden="1" x14ac:dyDescent="0.2">
      <c r="B89" s="28">
        <v>1358</v>
      </c>
      <c r="C89" s="28" t="s">
        <v>1926</v>
      </c>
    </row>
    <row r="90" spans="2:3" hidden="1" x14ac:dyDescent="0.2">
      <c r="B90" s="28">
        <v>1359</v>
      </c>
      <c r="C90" s="28" t="s">
        <v>3595</v>
      </c>
    </row>
    <row r="91" spans="2:3" hidden="1" x14ac:dyDescent="0.2">
      <c r="B91" s="28">
        <v>1360</v>
      </c>
      <c r="C91" s="28" t="s">
        <v>6635</v>
      </c>
    </row>
    <row r="92" spans="2:3" hidden="1" x14ac:dyDescent="0.2">
      <c r="B92" s="28">
        <v>1361</v>
      </c>
      <c r="C92" s="28" t="s">
        <v>3457</v>
      </c>
    </row>
    <row r="93" spans="2:3" hidden="1" x14ac:dyDescent="0.2">
      <c r="B93" s="28">
        <v>1362</v>
      </c>
      <c r="C93" s="28" t="s">
        <v>6636</v>
      </c>
    </row>
    <row r="94" spans="2:3" hidden="1" x14ac:dyDescent="0.2">
      <c r="B94" s="28">
        <v>1363</v>
      </c>
      <c r="C94" s="28" t="s">
        <v>4214</v>
      </c>
    </row>
    <row r="95" spans="2:3" hidden="1" x14ac:dyDescent="0.2">
      <c r="B95" s="28">
        <v>1364</v>
      </c>
      <c r="C95" s="28" t="s">
        <v>5770</v>
      </c>
    </row>
    <row r="96" spans="2:3" hidden="1" x14ac:dyDescent="0.2">
      <c r="B96" s="28">
        <v>1365</v>
      </c>
      <c r="C96" s="28" t="s">
        <v>4215</v>
      </c>
    </row>
    <row r="97" spans="2:3" hidden="1" x14ac:dyDescent="0.2">
      <c r="B97" s="28">
        <v>1366</v>
      </c>
      <c r="C97" s="28" t="s">
        <v>1044</v>
      </c>
    </row>
    <row r="98" spans="2:3" hidden="1" x14ac:dyDescent="0.2">
      <c r="B98" s="28">
        <v>1367</v>
      </c>
      <c r="C98" s="28" t="s">
        <v>5414</v>
      </c>
    </row>
    <row r="99" spans="2:3" hidden="1" x14ac:dyDescent="0.2">
      <c r="B99" s="28">
        <v>1368</v>
      </c>
      <c r="C99" s="28" t="s">
        <v>1045</v>
      </c>
    </row>
    <row r="100" spans="2:3" hidden="1" x14ac:dyDescent="0.2">
      <c r="B100" s="28">
        <v>1369</v>
      </c>
      <c r="C100" s="28" t="s">
        <v>2595</v>
      </c>
    </row>
    <row r="101" spans="2:3" hidden="1" x14ac:dyDescent="0.2">
      <c r="B101" s="28">
        <v>1370</v>
      </c>
      <c r="C101" s="28" t="s">
        <v>1046</v>
      </c>
    </row>
    <row r="102" spans="2:3" hidden="1" x14ac:dyDescent="0.2">
      <c r="B102" s="28">
        <v>1371</v>
      </c>
      <c r="C102" s="28" t="s">
        <v>5401</v>
      </c>
    </row>
    <row r="103" spans="2:3" hidden="1" x14ac:dyDescent="0.2">
      <c r="B103" s="28">
        <v>1372</v>
      </c>
      <c r="C103" s="28" t="s">
        <v>6425</v>
      </c>
    </row>
    <row r="104" spans="2:3" hidden="1" x14ac:dyDescent="0.2">
      <c r="B104" s="28">
        <v>1373</v>
      </c>
      <c r="C104" s="28" t="s">
        <v>5402</v>
      </c>
    </row>
    <row r="105" spans="2:3" hidden="1" x14ac:dyDescent="0.2">
      <c r="B105" s="28">
        <v>1374</v>
      </c>
      <c r="C105" s="28" t="s">
        <v>4467</v>
      </c>
    </row>
    <row r="106" spans="2:3" hidden="1" x14ac:dyDescent="0.2">
      <c r="B106" s="28">
        <v>1375</v>
      </c>
      <c r="C106" s="28" t="s">
        <v>615</v>
      </c>
    </row>
    <row r="107" spans="2:3" hidden="1" x14ac:dyDescent="0.2">
      <c r="B107" s="28">
        <v>1376</v>
      </c>
      <c r="C107" s="28" t="s">
        <v>6532</v>
      </c>
    </row>
    <row r="108" spans="2:3" hidden="1" x14ac:dyDescent="0.2">
      <c r="B108" s="28">
        <v>1377</v>
      </c>
      <c r="C108" s="28" t="s">
        <v>3922</v>
      </c>
    </row>
    <row r="109" spans="2:3" hidden="1" x14ac:dyDescent="0.2">
      <c r="B109" s="28">
        <v>1378</v>
      </c>
      <c r="C109" s="28" t="s">
        <v>3923</v>
      </c>
    </row>
    <row r="110" spans="2:3" hidden="1" x14ac:dyDescent="0.2">
      <c r="B110" s="28">
        <v>1379</v>
      </c>
      <c r="C110" s="28" t="s">
        <v>3924</v>
      </c>
    </row>
    <row r="111" spans="2:3" hidden="1" x14ac:dyDescent="0.2">
      <c r="B111" s="28">
        <v>1380</v>
      </c>
      <c r="C111" s="28" t="s">
        <v>6533</v>
      </c>
    </row>
    <row r="112" spans="2:3" hidden="1" x14ac:dyDescent="0.2">
      <c r="B112" s="28">
        <v>1381</v>
      </c>
      <c r="C112" s="28" t="s">
        <v>6280</v>
      </c>
    </row>
    <row r="113" spans="2:3" hidden="1" x14ac:dyDescent="0.2">
      <c r="B113" s="28">
        <v>1382</v>
      </c>
      <c r="C113" s="28" t="s">
        <v>6281</v>
      </c>
    </row>
    <row r="114" spans="2:3" hidden="1" x14ac:dyDescent="0.2">
      <c r="B114" s="28">
        <v>1383</v>
      </c>
      <c r="C114" s="28" t="s">
        <v>135</v>
      </c>
    </row>
    <row r="115" spans="2:3" hidden="1" x14ac:dyDescent="0.2">
      <c r="B115" s="28">
        <v>1384</v>
      </c>
      <c r="C115" s="28" t="s">
        <v>6534</v>
      </c>
    </row>
    <row r="116" spans="2:3" hidden="1" x14ac:dyDescent="0.2">
      <c r="B116" s="28">
        <v>1385</v>
      </c>
      <c r="C116" s="28" t="s">
        <v>136</v>
      </c>
    </row>
    <row r="117" spans="2:3" hidden="1" x14ac:dyDescent="0.2">
      <c r="B117" s="28">
        <v>1386</v>
      </c>
      <c r="C117" s="28" t="s">
        <v>4998</v>
      </c>
    </row>
    <row r="118" spans="2:3" hidden="1" x14ac:dyDescent="0.2">
      <c r="B118" s="28">
        <v>1387</v>
      </c>
      <c r="C118" s="28" t="s">
        <v>4999</v>
      </c>
    </row>
    <row r="119" spans="2:3" hidden="1" x14ac:dyDescent="0.2">
      <c r="B119" s="28">
        <v>1388</v>
      </c>
      <c r="C119" s="28" t="s">
        <v>4075</v>
      </c>
    </row>
    <row r="120" spans="2:3" hidden="1" x14ac:dyDescent="0.2">
      <c r="B120" s="28">
        <v>1389</v>
      </c>
      <c r="C120" s="28" t="s">
        <v>6535</v>
      </c>
    </row>
    <row r="121" spans="2:3" hidden="1" x14ac:dyDescent="0.2">
      <c r="B121" s="28">
        <v>1390</v>
      </c>
      <c r="C121" s="28" t="s">
        <v>1390</v>
      </c>
    </row>
    <row r="122" spans="2:3" hidden="1" x14ac:dyDescent="0.2">
      <c r="B122" s="28">
        <v>1391</v>
      </c>
      <c r="C122" s="28" t="s">
        <v>528</v>
      </c>
    </row>
    <row r="123" spans="2:3" hidden="1" x14ac:dyDescent="0.2">
      <c r="B123" s="28">
        <v>1392</v>
      </c>
      <c r="C123" s="28" t="s">
        <v>4219</v>
      </c>
    </row>
    <row r="124" spans="2:3" hidden="1" x14ac:dyDescent="0.2">
      <c r="B124" s="28">
        <v>1393</v>
      </c>
      <c r="C124" s="28" t="s">
        <v>1898</v>
      </c>
    </row>
    <row r="125" spans="2:3" hidden="1" x14ac:dyDescent="0.2">
      <c r="B125" s="28">
        <v>1394</v>
      </c>
      <c r="C125" s="28" t="s">
        <v>722</v>
      </c>
    </row>
    <row r="126" spans="2:3" hidden="1" x14ac:dyDescent="0.2">
      <c r="B126" s="28">
        <v>1395</v>
      </c>
      <c r="C126" s="28" t="s">
        <v>1899</v>
      </c>
    </row>
    <row r="127" spans="2:3" hidden="1" x14ac:dyDescent="0.2">
      <c r="B127" s="28">
        <v>1396</v>
      </c>
      <c r="C127" s="28" t="s">
        <v>6607</v>
      </c>
    </row>
    <row r="128" spans="2:3" hidden="1" x14ac:dyDescent="0.2">
      <c r="B128" s="28">
        <v>1397</v>
      </c>
      <c r="C128" s="28" t="s">
        <v>1900</v>
      </c>
    </row>
    <row r="129" spans="2:3" hidden="1" x14ac:dyDescent="0.2">
      <c r="B129" s="28">
        <v>1398</v>
      </c>
      <c r="C129" s="28" t="s">
        <v>994</v>
      </c>
    </row>
    <row r="130" spans="2:3" hidden="1" x14ac:dyDescent="0.2">
      <c r="B130" s="28">
        <v>1600</v>
      </c>
      <c r="C130" s="28" t="s">
        <v>995</v>
      </c>
    </row>
    <row r="131" spans="2:3" hidden="1" x14ac:dyDescent="0.2">
      <c r="B131" s="28">
        <v>1601</v>
      </c>
      <c r="C131" s="28" t="s">
        <v>996</v>
      </c>
    </row>
    <row r="132" spans="2:3" hidden="1" x14ac:dyDescent="0.2">
      <c r="B132" s="28">
        <v>1602</v>
      </c>
      <c r="C132" s="28" t="s">
        <v>2223</v>
      </c>
    </row>
    <row r="133" spans="2:3" hidden="1" x14ac:dyDescent="0.2">
      <c r="B133" s="28">
        <v>1603</v>
      </c>
      <c r="C133" s="28" t="s">
        <v>5997</v>
      </c>
    </row>
    <row r="134" spans="2:3" hidden="1" x14ac:dyDescent="0.2">
      <c r="B134" s="28">
        <v>1604</v>
      </c>
      <c r="C134" s="28" t="s">
        <v>5998</v>
      </c>
    </row>
    <row r="135" spans="2:3" hidden="1" x14ac:dyDescent="0.2">
      <c r="B135" s="28">
        <v>1605</v>
      </c>
      <c r="C135" s="28" t="s">
        <v>5345</v>
      </c>
    </row>
    <row r="136" spans="2:3" hidden="1" x14ac:dyDescent="0.2">
      <c r="B136" s="28">
        <v>1606</v>
      </c>
      <c r="C136" s="28" t="s">
        <v>5346</v>
      </c>
    </row>
    <row r="137" spans="2:3" hidden="1" x14ac:dyDescent="0.2">
      <c r="B137" s="28">
        <v>1607</v>
      </c>
      <c r="C137" s="28" t="s">
        <v>5684</v>
      </c>
    </row>
    <row r="138" spans="2:3" hidden="1" x14ac:dyDescent="0.2">
      <c r="B138" s="28">
        <v>1608</v>
      </c>
      <c r="C138" s="28" t="s">
        <v>5685</v>
      </c>
    </row>
    <row r="139" spans="2:3" hidden="1" x14ac:dyDescent="0.2">
      <c r="B139" s="28">
        <v>1609</v>
      </c>
      <c r="C139" s="28" t="s">
        <v>5510</v>
      </c>
    </row>
    <row r="140" spans="2:3" hidden="1" x14ac:dyDescent="0.2">
      <c r="B140" s="28">
        <v>1610</v>
      </c>
      <c r="C140" s="28" t="s">
        <v>4355</v>
      </c>
    </row>
    <row r="141" spans="2:3" hidden="1" x14ac:dyDescent="0.2">
      <c r="B141" s="28">
        <v>1611</v>
      </c>
      <c r="C141" s="28" t="s">
        <v>3271</v>
      </c>
    </row>
    <row r="142" spans="2:3" hidden="1" x14ac:dyDescent="0.2">
      <c r="B142" s="28">
        <v>1612</v>
      </c>
      <c r="C142" s="28" t="s">
        <v>2121</v>
      </c>
    </row>
    <row r="143" spans="2:3" hidden="1" x14ac:dyDescent="0.2">
      <c r="B143" s="28">
        <v>1698</v>
      </c>
      <c r="C143" s="28" t="s">
        <v>944</v>
      </c>
    </row>
    <row r="144" spans="2:3" hidden="1" x14ac:dyDescent="0.2">
      <c r="B144" s="28">
        <v>1699</v>
      </c>
      <c r="C144" s="28" t="s">
        <v>3183</v>
      </c>
    </row>
    <row r="145" spans="2:3" hidden="1" x14ac:dyDescent="0.2">
      <c r="B145" s="28">
        <v>1700</v>
      </c>
      <c r="C145" s="28" t="s">
        <v>6639</v>
      </c>
    </row>
    <row r="146" spans="2:3" hidden="1" x14ac:dyDescent="0.2">
      <c r="B146" s="28">
        <v>1701</v>
      </c>
      <c r="C146" s="28" t="s">
        <v>6640</v>
      </c>
    </row>
    <row r="147" spans="2:3" hidden="1" x14ac:dyDescent="0.2">
      <c r="B147" s="28">
        <v>1702</v>
      </c>
      <c r="C147" s="28" t="s">
        <v>2217</v>
      </c>
    </row>
    <row r="148" spans="2:3" hidden="1" x14ac:dyDescent="0.2">
      <c r="B148" s="28">
        <v>1703</v>
      </c>
      <c r="C148" s="28" t="s">
        <v>4479</v>
      </c>
    </row>
    <row r="149" spans="2:3" hidden="1" x14ac:dyDescent="0.2">
      <c r="B149" s="28">
        <v>1715</v>
      </c>
      <c r="C149" s="28" t="s">
        <v>2122</v>
      </c>
    </row>
    <row r="150" spans="2:3" hidden="1" x14ac:dyDescent="0.2">
      <c r="B150" s="28">
        <v>1720</v>
      </c>
      <c r="C150" s="28" t="s">
        <v>4965</v>
      </c>
    </row>
    <row r="151" spans="2:3" hidden="1" x14ac:dyDescent="0.2">
      <c r="B151" s="28">
        <v>1730</v>
      </c>
      <c r="C151" s="28" t="s">
        <v>5719</v>
      </c>
    </row>
    <row r="152" spans="2:3" hidden="1" x14ac:dyDescent="0.2">
      <c r="B152" s="28">
        <v>1731</v>
      </c>
      <c r="C152" s="28" t="s">
        <v>5720</v>
      </c>
    </row>
    <row r="153" spans="2:3" hidden="1" x14ac:dyDescent="0.2">
      <c r="B153" s="28">
        <v>1732</v>
      </c>
      <c r="C153" s="28" t="s">
        <v>3619</v>
      </c>
    </row>
    <row r="154" spans="2:3" hidden="1" x14ac:dyDescent="0.2">
      <c r="B154" s="28">
        <v>1733</v>
      </c>
      <c r="C154" s="28" t="s">
        <v>3620</v>
      </c>
    </row>
    <row r="155" spans="2:3" hidden="1" x14ac:dyDescent="0.2">
      <c r="B155" s="28">
        <v>1734</v>
      </c>
      <c r="C155" s="28" t="s">
        <v>3343</v>
      </c>
    </row>
    <row r="156" spans="2:3" hidden="1" x14ac:dyDescent="0.2">
      <c r="B156" s="28">
        <v>1735</v>
      </c>
      <c r="C156" s="28" t="s">
        <v>4679</v>
      </c>
    </row>
    <row r="157" spans="2:3" hidden="1" x14ac:dyDescent="0.2">
      <c r="B157" s="28">
        <v>1736</v>
      </c>
      <c r="C157" s="28" t="s">
        <v>6075</v>
      </c>
    </row>
    <row r="158" spans="2:3" hidden="1" x14ac:dyDescent="0.2">
      <c r="B158" s="28">
        <v>1740</v>
      </c>
      <c r="C158" s="28" t="s">
        <v>10569</v>
      </c>
    </row>
    <row r="159" spans="2:3" hidden="1" x14ac:dyDescent="0.2">
      <c r="B159" s="28">
        <v>1750</v>
      </c>
      <c r="C159" s="28" t="s">
        <v>6076</v>
      </c>
    </row>
    <row r="160" spans="2:3" hidden="1" x14ac:dyDescent="0.2">
      <c r="B160" s="28">
        <v>1760</v>
      </c>
      <c r="C160" s="28" t="s">
        <v>5635</v>
      </c>
    </row>
    <row r="161" spans="2:3" hidden="1" x14ac:dyDescent="0.2">
      <c r="B161" s="28">
        <v>1761</v>
      </c>
      <c r="C161" s="28" t="s">
        <v>4220</v>
      </c>
    </row>
    <row r="162" spans="2:3" hidden="1" x14ac:dyDescent="0.2">
      <c r="B162" s="28">
        <v>1762</v>
      </c>
      <c r="C162" s="28" t="s">
        <v>4221</v>
      </c>
    </row>
    <row r="163" spans="2:3" hidden="1" x14ac:dyDescent="0.2">
      <c r="B163" s="28">
        <v>1763</v>
      </c>
      <c r="C163" s="28" t="s">
        <v>4222</v>
      </c>
    </row>
    <row r="164" spans="2:3" hidden="1" x14ac:dyDescent="0.2">
      <c r="B164" s="28">
        <v>1764</v>
      </c>
      <c r="C164" s="28" t="s">
        <v>4223</v>
      </c>
    </row>
    <row r="165" spans="2:3" hidden="1" x14ac:dyDescent="0.2">
      <c r="B165" s="28">
        <v>1765</v>
      </c>
      <c r="C165" s="28" t="s">
        <v>4224</v>
      </c>
    </row>
    <row r="166" spans="2:3" hidden="1" x14ac:dyDescent="0.2">
      <c r="B166" s="28">
        <v>1766</v>
      </c>
      <c r="C166" s="28" t="s">
        <v>6476</v>
      </c>
    </row>
    <row r="167" spans="2:3" hidden="1" x14ac:dyDescent="0.2">
      <c r="B167" s="28">
        <v>1767</v>
      </c>
      <c r="C167" s="28" t="s">
        <v>3027</v>
      </c>
    </row>
    <row r="168" spans="2:3" hidden="1" x14ac:dyDescent="0.2">
      <c r="B168" s="28">
        <v>1768</v>
      </c>
      <c r="C168" s="28" t="s">
        <v>53</v>
      </c>
    </row>
    <row r="169" spans="2:3" hidden="1" x14ac:dyDescent="0.2">
      <c r="B169" s="28">
        <v>1769</v>
      </c>
      <c r="C169" s="28" t="s">
        <v>54</v>
      </c>
    </row>
    <row r="170" spans="2:3" hidden="1" x14ac:dyDescent="0.2">
      <c r="B170" s="28">
        <v>1770</v>
      </c>
      <c r="C170" s="28" t="s">
        <v>55</v>
      </c>
    </row>
    <row r="171" spans="2:3" hidden="1" x14ac:dyDescent="0.2">
      <c r="B171" s="28">
        <v>1800</v>
      </c>
      <c r="C171" s="28" t="s">
        <v>1141</v>
      </c>
    </row>
    <row r="172" spans="2:3" hidden="1" x14ac:dyDescent="0.2">
      <c r="B172" s="28">
        <v>1801</v>
      </c>
      <c r="C172" s="28" t="s">
        <v>3760</v>
      </c>
    </row>
    <row r="173" spans="2:3" hidden="1" x14ac:dyDescent="0.2">
      <c r="B173" s="28">
        <v>1802</v>
      </c>
      <c r="C173" s="28" t="s">
        <v>4247</v>
      </c>
    </row>
    <row r="174" spans="2:3" hidden="1" x14ac:dyDescent="0.2">
      <c r="B174" s="28">
        <v>1803</v>
      </c>
      <c r="C174" s="28" t="s">
        <v>5627</v>
      </c>
    </row>
    <row r="175" spans="2:3" hidden="1" x14ac:dyDescent="0.2">
      <c r="B175" s="28">
        <v>1998</v>
      </c>
      <c r="C175" s="28" t="s">
        <v>5628</v>
      </c>
    </row>
    <row r="176" spans="2:3" hidden="1" x14ac:dyDescent="0.2">
      <c r="B176" s="28">
        <v>1999</v>
      </c>
      <c r="C176" s="28" t="s">
        <v>5629</v>
      </c>
    </row>
    <row r="177" spans="2:3" hidden="1" x14ac:dyDescent="0.2">
      <c r="B177" s="28">
        <v>2000</v>
      </c>
      <c r="C177" s="28" t="s">
        <v>5630</v>
      </c>
    </row>
    <row r="178" spans="2:3" hidden="1" x14ac:dyDescent="0.2">
      <c r="B178" s="28">
        <v>2001</v>
      </c>
      <c r="C178" s="28" t="s">
        <v>5631</v>
      </c>
    </row>
    <row r="179" spans="2:3" hidden="1" x14ac:dyDescent="0.2">
      <c r="B179" s="28">
        <v>2002</v>
      </c>
      <c r="C179" s="28" t="s">
        <v>5632</v>
      </c>
    </row>
    <row r="180" spans="2:3" hidden="1" x14ac:dyDescent="0.2">
      <c r="B180" s="28">
        <v>2003</v>
      </c>
      <c r="C180" s="28" t="s">
        <v>2006</v>
      </c>
    </row>
    <row r="181" spans="2:3" hidden="1" x14ac:dyDescent="0.2">
      <c r="B181" s="28">
        <v>2004</v>
      </c>
      <c r="C181" s="28" t="s">
        <v>3374</v>
      </c>
    </row>
    <row r="182" spans="2:3" hidden="1" x14ac:dyDescent="0.2">
      <c r="B182" s="28">
        <v>2005</v>
      </c>
      <c r="C182" s="28" t="s">
        <v>3375</v>
      </c>
    </row>
    <row r="183" spans="2:3" hidden="1" x14ac:dyDescent="0.2">
      <c r="B183" s="28">
        <v>2006</v>
      </c>
      <c r="C183" s="28" t="s">
        <v>1935</v>
      </c>
    </row>
    <row r="184" spans="2:3" hidden="1" x14ac:dyDescent="0.2">
      <c r="B184" s="28">
        <v>2007</v>
      </c>
      <c r="C184" s="28" t="s">
        <v>4175</v>
      </c>
    </row>
    <row r="185" spans="2:3" hidden="1" x14ac:dyDescent="0.2">
      <c r="B185" s="28">
        <v>2050</v>
      </c>
      <c r="C185" s="28" t="s">
        <v>4176</v>
      </c>
    </row>
    <row r="186" spans="2:3" hidden="1" x14ac:dyDescent="0.2">
      <c r="B186" s="28">
        <v>2051</v>
      </c>
      <c r="C186" s="28" t="s">
        <v>437</v>
      </c>
    </row>
    <row r="187" spans="2:3" hidden="1" x14ac:dyDescent="0.2">
      <c r="B187" s="28">
        <v>2052</v>
      </c>
      <c r="C187" s="28" t="s">
        <v>438</v>
      </c>
    </row>
    <row r="188" spans="2:3" hidden="1" x14ac:dyDescent="0.2">
      <c r="B188" s="28">
        <v>2053</v>
      </c>
      <c r="C188" s="28" t="s">
        <v>5244</v>
      </c>
    </row>
    <row r="189" spans="2:3" hidden="1" x14ac:dyDescent="0.2">
      <c r="B189" s="28">
        <v>2054</v>
      </c>
      <c r="C189" s="28" t="s">
        <v>6296</v>
      </c>
    </row>
    <row r="190" spans="2:3" hidden="1" x14ac:dyDescent="0.2">
      <c r="B190" s="28">
        <v>2055</v>
      </c>
      <c r="C190" s="28" t="s">
        <v>2368</v>
      </c>
    </row>
    <row r="191" spans="2:3" hidden="1" x14ac:dyDescent="0.2">
      <c r="B191" s="28">
        <v>2056</v>
      </c>
      <c r="C191" s="28" t="s">
        <v>4451</v>
      </c>
    </row>
    <row r="192" spans="2:3" hidden="1" x14ac:dyDescent="0.2">
      <c r="B192" s="28">
        <v>2057</v>
      </c>
      <c r="C192" s="28" t="s">
        <v>4452</v>
      </c>
    </row>
    <row r="193" spans="2:3" hidden="1" x14ac:dyDescent="0.2">
      <c r="B193" s="28">
        <v>2058</v>
      </c>
      <c r="C193" s="28" t="s">
        <v>4453</v>
      </c>
    </row>
    <row r="194" spans="2:3" hidden="1" x14ac:dyDescent="0.2">
      <c r="B194" s="28">
        <v>2059</v>
      </c>
      <c r="C194" s="28" t="s">
        <v>6282</v>
      </c>
    </row>
    <row r="195" spans="2:3" hidden="1" x14ac:dyDescent="0.2">
      <c r="B195" s="28">
        <v>2060</v>
      </c>
      <c r="C195" s="28" t="s">
        <v>439</v>
      </c>
    </row>
    <row r="196" spans="2:3" hidden="1" x14ac:dyDescent="0.2">
      <c r="B196" s="28">
        <v>2100</v>
      </c>
      <c r="C196" s="28" t="s">
        <v>828</v>
      </c>
    </row>
    <row r="197" spans="2:3" hidden="1" x14ac:dyDescent="0.2">
      <c r="B197" s="28">
        <v>2101</v>
      </c>
      <c r="C197" s="28" t="s">
        <v>1916</v>
      </c>
    </row>
    <row r="198" spans="2:3" hidden="1" x14ac:dyDescent="0.2">
      <c r="B198" s="28">
        <v>2102</v>
      </c>
      <c r="C198" s="28" t="s">
        <v>1712</v>
      </c>
    </row>
    <row r="199" spans="2:3" hidden="1" x14ac:dyDescent="0.2">
      <c r="B199" s="28">
        <v>2103</v>
      </c>
      <c r="C199" s="28" t="s">
        <v>11</v>
      </c>
    </row>
    <row r="200" spans="2:3" hidden="1" x14ac:dyDescent="0.2">
      <c r="B200" s="28">
        <v>2104</v>
      </c>
      <c r="C200" s="28" t="s">
        <v>2116</v>
      </c>
    </row>
    <row r="201" spans="2:3" hidden="1" x14ac:dyDescent="0.2">
      <c r="B201" s="28">
        <v>2105</v>
      </c>
      <c r="C201" s="28" t="s">
        <v>2117</v>
      </c>
    </row>
    <row r="202" spans="2:3" hidden="1" x14ac:dyDescent="0.2">
      <c r="B202" s="28">
        <v>2106</v>
      </c>
      <c r="C202" s="28" t="s">
        <v>2118</v>
      </c>
    </row>
    <row r="203" spans="2:3" hidden="1" x14ac:dyDescent="0.2">
      <c r="B203" s="28">
        <v>2130</v>
      </c>
      <c r="C203" s="28" t="s">
        <v>10570</v>
      </c>
    </row>
    <row r="204" spans="2:3" hidden="1" x14ac:dyDescent="0.2">
      <c r="B204" s="28">
        <v>2140</v>
      </c>
      <c r="C204" s="28" t="s">
        <v>2008</v>
      </c>
    </row>
    <row r="205" spans="2:3" hidden="1" x14ac:dyDescent="0.2">
      <c r="B205" s="28">
        <v>2150</v>
      </c>
      <c r="C205" s="28" t="s">
        <v>6878</v>
      </c>
    </row>
    <row r="206" spans="2:3" hidden="1" x14ac:dyDescent="0.2">
      <c r="B206" s="28">
        <v>2151</v>
      </c>
      <c r="C206" s="28" t="s">
        <v>3113</v>
      </c>
    </row>
    <row r="207" spans="2:3" hidden="1" x14ac:dyDescent="0.2">
      <c r="B207" s="28">
        <v>2152</v>
      </c>
      <c r="C207" s="28" t="s">
        <v>3114</v>
      </c>
    </row>
    <row r="208" spans="2:3" hidden="1" x14ac:dyDescent="0.2">
      <c r="B208" s="28">
        <v>2153</v>
      </c>
      <c r="C208" s="28" t="s">
        <v>3115</v>
      </c>
    </row>
    <row r="209" spans="2:3" hidden="1" x14ac:dyDescent="0.2">
      <c r="B209" s="28">
        <v>2154</v>
      </c>
      <c r="C209" s="28" t="s">
        <v>3116</v>
      </c>
    </row>
    <row r="210" spans="2:3" hidden="1" x14ac:dyDescent="0.2">
      <c r="B210" s="28">
        <v>2155</v>
      </c>
      <c r="C210" s="28" t="s">
        <v>3117</v>
      </c>
    </row>
    <row r="211" spans="2:3" hidden="1" x14ac:dyDescent="0.2">
      <c r="B211" s="28">
        <v>2200</v>
      </c>
      <c r="C211" s="28" t="s">
        <v>3118</v>
      </c>
    </row>
    <row r="212" spans="2:3" hidden="1" x14ac:dyDescent="0.2">
      <c r="B212" s="28">
        <v>2201</v>
      </c>
      <c r="C212" s="28" t="s">
        <v>3119</v>
      </c>
    </row>
    <row r="213" spans="2:3" hidden="1" x14ac:dyDescent="0.2">
      <c r="B213" s="28">
        <v>2202</v>
      </c>
      <c r="C213" s="28" t="s">
        <v>4136</v>
      </c>
    </row>
    <row r="214" spans="2:3" hidden="1" x14ac:dyDescent="0.2">
      <c r="B214" s="28">
        <v>2203</v>
      </c>
      <c r="C214" s="28" t="s">
        <v>4137</v>
      </c>
    </row>
    <row r="215" spans="2:3" hidden="1" x14ac:dyDescent="0.2">
      <c r="B215" s="28">
        <v>2204</v>
      </c>
      <c r="C215" s="28" t="s">
        <v>147</v>
      </c>
    </row>
    <row r="216" spans="2:3" hidden="1" x14ac:dyDescent="0.2">
      <c r="B216" s="28">
        <v>2205</v>
      </c>
      <c r="C216" s="28" t="s">
        <v>148</v>
      </c>
    </row>
    <row r="217" spans="2:3" hidden="1" x14ac:dyDescent="0.2">
      <c r="B217" s="28">
        <v>2298</v>
      </c>
      <c r="C217" s="28" t="s">
        <v>600</v>
      </c>
    </row>
    <row r="218" spans="2:3" hidden="1" x14ac:dyDescent="0.2">
      <c r="B218" s="28">
        <v>2299</v>
      </c>
      <c r="C218" s="28" t="s">
        <v>601</v>
      </c>
    </row>
    <row r="219" spans="2:3" hidden="1" x14ac:dyDescent="0.2">
      <c r="B219" s="28">
        <v>3000</v>
      </c>
      <c r="C219" s="28" t="s">
        <v>602</v>
      </c>
    </row>
    <row r="220" spans="2:3" hidden="1" x14ac:dyDescent="0.2">
      <c r="B220" s="28">
        <v>3020</v>
      </c>
      <c r="C220" s="28" t="s">
        <v>603</v>
      </c>
    </row>
    <row r="221" spans="2:3" hidden="1" x14ac:dyDescent="0.2">
      <c r="B221" s="28">
        <v>3021</v>
      </c>
      <c r="C221" s="28" t="s">
        <v>2503</v>
      </c>
    </row>
    <row r="222" spans="2:3" hidden="1" x14ac:dyDescent="0.2">
      <c r="B222" s="28">
        <v>3022</v>
      </c>
      <c r="C222" s="28" t="s">
        <v>2627</v>
      </c>
    </row>
    <row r="223" spans="2:3" hidden="1" x14ac:dyDescent="0.2">
      <c r="B223" s="28">
        <v>3023</v>
      </c>
      <c r="C223" s="28" t="s">
        <v>1593</v>
      </c>
    </row>
    <row r="224" spans="2:3" hidden="1" x14ac:dyDescent="0.2">
      <c r="B224" s="28">
        <v>3024</v>
      </c>
      <c r="C224" s="28" t="s">
        <v>1566</v>
      </c>
    </row>
    <row r="225" spans="2:3" hidden="1" x14ac:dyDescent="0.2">
      <c r="B225" s="28">
        <v>3040</v>
      </c>
      <c r="C225" s="28" t="s">
        <v>4958</v>
      </c>
    </row>
    <row r="226" spans="2:3" hidden="1" x14ac:dyDescent="0.2">
      <c r="B226" s="28">
        <v>3050</v>
      </c>
      <c r="C226" s="28" t="s">
        <v>4959</v>
      </c>
    </row>
    <row r="227" spans="2:3" hidden="1" x14ac:dyDescent="0.2">
      <c r="B227" s="28">
        <v>3080</v>
      </c>
      <c r="C227" s="28" t="s">
        <v>6081</v>
      </c>
    </row>
    <row r="228" spans="2:3" hidden="1" x14ac:dyDescent="0.2">
      <c r="B228" s="28">
        <v>3100</v>
      </c>
      <c r="C228" s="28" t="s">
        <v>4482</v>
      </c>
    </row>
    <row r="229" spans="2:3" hidden="1" x14ac:dyDescent="0.2">
      <c r="B229" s="28">
        <v>3101</v>
      </c>
      <c r="C229" s="28" t="s">
        <v>4483</v>
      </c>
    </row>
    <row r="230" spans="2:3" hidden="1" x14ac:dyDescent="0.2">
      <c r="B230" s="28">
        <v>3102</v>
      </c>
      <c r="C230" s="28" t="s">
        <v>4484</v>
      </c>
    </row>
    <row r="231" spans="2:3" hidden="1" x14ac:dyDescent="0.2">
      <c r="B231" s="28">
        <v>3103</v>
      </c>
      <c r="C231" s="28" t="s">
        <v>4485</v>
      </c>
    </row>
    <row r="232" spans="2:3" hidden="1" x14ac:dyDescent="0.2">
      <c r="B232" s="28">
        <v>3104</v>
      </c>
      <c r="C232" s="28" t="s">
        <v>4486</v>
      </c>
    </row>
    <row r="233" spans="2:3" hidden="1" x14ac:dyDescent="0.2">
      <c r="B233" s="28">
        <v>3105</v>
      </c>
      <c r="C233" s="28" t="s">
        <v>4487</v>
      </c>
    </row>
    <row r="234" spans="2:3" hidden="1" x14ac:dyDescent="0.2">
      <c r="B234" s="28">
        <v>3106</v>
      </c>
      <c r="C234" s="28" t="s">
        <v>4488</v>
      </c>
    </row>
    <row r="235" spans="2:3" hidden="1" x14ac:dyDescent="0.2">
      <c r="B235" s="28">
        <v>3107</v>
      </c>
      <c r="C235" s="28" t="s">
        <v>4489</v>
      </c>
    </row>
    <row r="236" spans="2:3" hidden="1" x14ac:dyDescent="0.2">
      <c r="B236" s="28">
        <v>3108</v>
      </c>
      <c r="C236" s="28" t="s">
        <v>2434</v>
      </c>
    </row>
    <row r="237" spans="2:3" hidden="1" x14ac:dyDescent="0.2">
      <c r="B237" s="28">
        <v>3200</v>
      </c>
      <c r="C237" s="28" t="s">
        <v>2435</v>
      </c>
    </row>
    <row r="238" spans="2:3" hidden="1" x14ac:dyDescent="0.2">
      <c r="B238" s="28">
        <v>3201</v>
      </c>
      <c r="C238" s="28" t="s">
        <v>2436</v>
      </c>
    </row>
    <row r="239" spans="2:3" hidden="1" x14ac:dyDescent="0.2">
      <c r="B239" s="28">
        <v>3202</v>
      </c>
      <c r="C239" s="28" t="s">
        <v>5394</v>
      </c>
    </row>
    <row r="240" spans="2:3" hidden="1" x14ac:dyDescent="0.2">
      <c r="B240" s="28">
        <v>3203</v>
      </c>
      <c r="C240" s="28" t="s">
        <v>5395</v>
      </c>
    </row>
    <row r="241" spans="2:3" hidden="1" x14ac:dyDescent="0.2">
      <c r="B241" s="28">
        <v>3204</v>
      </c>
      <c r="C241" s="28" t="s">
        <v>5396</v>
      </c>
    </row>
    <row r="242" spans="2:3" hidden="1" x14ac:dyDescent="0.2">
      <c r="B242" s="28">
        <v>3205</v>
      </c>
      <c r="C242" s="28" t="s">
        <v>6713</v>
      </c>
    </row>
    <row r="243" spans="2:3" hidden="1" x14ac:dyDescent="0.2">
      <c r="B243" s="28">
        <v>3206</v>
      </c>
      <c r="C243" s="28" t="s">
        <v>6714</v>
      </c>
    </row>
    <row r="244" spans="2:3" hidden="1" x14ac:dyDescent="0.2">
      <c r="B244" s="28">
        <v>3300</v>
      </c>
      <c r="C244" s="28" t="s">
        <v>789</v>
      </c>
    </row>
    <row r="245" spans="2:3" hidden="1" x14ac:dyDescent="0.2">
      <c r="B245" s="28">
        <v>3301</v>
      </c>
      <c r="C245" s="28" t="s">
        <v>790</v>
      </c>
    </row>
    <row r="246" spans="2:3" hidden="1" x14ac:dyDescent="0.2">
      <c r="B246" s="28">
        <v>3302</v>
      </c>
      <c r="C246" s="28" t="s">
        <v>467</v>
      </c>
    </row>
    <row r="247" spans="2:3" hidden="1" x14ac:dyDescent="0.2">
      <c r="B247" s="28">
        <v>3303</v>
      </c>
      <c r="C247" s="28" t="s">
        <v>1765</v>
      </c>
    </row>
    <row r="248" spans="2:3" hidden="1" x14ac:dyDescent="0.2">
      <c r="B248" s="28">
        <v>3304</v>
      </c>
      <c r="C248" s="28" t="s">
        <v>1766</v>
      </c>
    </row>
    <row r="249" spans="2:3" hidden="1" x14ac:dyDescent="0.2">
      <c r="B249" s="28">
        <v>3305</v>
      </c>
      <c r="C249" s="28" t="s">
        <v>6578</v>
      </c>
    </row>
    <row r="250" spans="2:3" hidden="1" x14ac:dyDescent="0.2">
      <c r="B250" s="28">
        <v>3306</v>
      </c>
      <c r="C250" s="28" t="s">
        <v>6579</v>
      </c>
    </row>
    <row r="251" spans="2:3" hidden="1" x14ac:dyDescent="0.2">
      <c r="B251" s="28">
        <v>3370</v>
      </c>
      <c r="C251" s="28" t="s">
        <v>973</v>
      </c>
    </row>
    <row r="252" spans="2:3" hidden="1" x14ac:dyDescent="0.2">
      <c r="B252" s="28">
        <v>3380</v>
      </c>
      <c r="C252" s="28" t="s">
        <v>974</v>
      </c>
    </row>
    <row r="253" spans="2:3" hidden="1" x14ac:dyDescent="0.2">
      <c r="B253" s="28">
        <v>3390</v>
      </c>
      <c r="C253" s="28" t="s">
        <v>10571</v>
      </c>
    </row>
    <row r="254" spans="2:3" hidden="1" x14ac:dyDescent="0.2">
      <c r="B254" s="28">
        <v>3400</v>
      </c>
      <c r="C254" s="28" t="s">
        <v>4275</v>
      </c>
    </row>
    <row r="255" spans="2:3" hidden="1" x14ac:dyDescent="0.2">
      <c r="B255" s="28">
        <v>3401</v>
      </c>
      <c r="C255" s="28" t="s">
        <v>4276</v>
      </c>
    </row>
    <row r="256" spans="2:3" hidden="1" x14ac:dyDescent="0.2">
      <c r="B256" s="28">
        <v>3402</v>
      </c>
      <c r="C256" s="28" t="s">
        <v>4277</v>
      </c>
    </row>
    <row r="257" spans="2:3" hidden="1" x14ac:dyDescent="0.2">
      <c r="B257" s="28">
        <v>3403</v>
      </c>
      <c r="C257" s="28" t="s">
        <v>4278</v>
      </c>
    </row>
    <row r="258" spans="2:3" hidden="1" x14ac:dyDescent="0.2">
      <c r="B258" s="28">
        <v>3404</v>
      </c>
      <c r="C258" s="28" t="s">
        <v>3237</v>
      </c>
    </row>
    <row r="259" spans="2:3" hidden="1" x14ac:dyDescent="0.2">
      <c r="B259" s="28">
        <v>3405</v>
      </c>
      <c r="C259" s="28" t="s">
        <v>695</v>
      </c>
    </row>
    <row r="260" spans="2:3" hidden="1" x14ac:dyDescent="0.2">
      <c r="B260" s="28">
        <v>3499</v>
      </c>
      <c r="C260" s="28" t="s">
        <v>696</v>
      </c>
    </row>
    <row r="261" spans="2:3" hidden="1" x14ac:dyDescent="0.2">
      <c r="B261" s="28">
        <v>3500</v>
      </c>
      <c r="C261" s="28" t="s">
        <v>697</v>
      </c>
    </row>
    <row r="262" spans="2:3" hidden="1" x14ac:dyDescent="0.2">
      <c r="B262" s="28">
        <v>3501</v>
      </c>
      <c r="C262" s="28" t="s">
        <v>4462</v>
      </c>
    </row>
    <row r="263" spans="2:3" hidden="1" x14ac:dyDescent="0.2">
      <c r="B263" s="28">
        <v>3502</v>
      </c>
      <c r="C263" s="28" t="s">
        <v>4463</v>
      </c>
    </row>
    <row r="264" spans="2:3" hidden="1" x14ac:dyDescent="0.2">
      <c r="B264" s="28">
        <v>3503</v>
      </c>
      <c r="C264" s="28" t="s">
        <v>4464</v>
      </c>
    </row>
    <row r="265" spans="2:3" hidden="1" x14ac:dyDescent="0.2">
      <c r="B265" s="28">
        <v>3504</v>
      </c>
      <c r="C265" s="28" t="s">
        <v>10572</v>
      </c>
    </row>
    <row r="266" spans="2:3" hidden="1" x14ac:dyDescent="0.2">
      <c r="B266" s="28">
        <v>3520</v>
      </c>
      <c r="C266" s="28" t="s">
        <v>6202</v>
      </c>
    </row>
    <row r="267" spans="2:3" hidden="1" x14ac:dyDescent="0.2">
      <c r="B267" s="28">
        <v>3530</v>
      </c>
      <c r="C267" s="28" t="s">
        <v>100</v>
      </c>
    </row>
    <row r="268" spans="2:3" hidden="1" x14ac:dyDescent="0.2">
      <c r="B268" s="28">
        <v>3540</v>
      </c>
      <c r="C268" s="28" t="s">
        <v>101</v>
      </c>
    </row>
    <row r="269" spans="2:3" hidden="1" x14ac:dyDescent="0.2">
      <c r="B269" s="28">
        <v>3550</v>
      </c>
      <c r="C269" s="28" t="s">
        <v>793</v>
      </c>
    </row>
    <row r="270" spans="2:3" hidden="1" x14ac:dyDescent="0.2">
      <c r="B270" s="28">
        <v>3551</v>
      </c>
      <c r="C270" s="28" t="s">
        <v>468</v>
      </c>
    </row>
    <row r="271" spans="2:3" hidden="1" x14ac:dyDescent="0.2">
      <c r="B271" s="28">
        <v>3552</v>
      </c>
      <c r="C271" s="28" t="s">
        <v>6021</v>
      </c>
    </row>
    <row r="272" spans="2:3" hidden="1" x14ac:dyDescent="0.2">
      <c r="B272" s="28">
        <v>3553</v>
      </c>
      <c r="C272" s="28" t="s">
        <v>6022</v>
      </c>
    </row>
    <row r="273" spans="2:3" hidden="1" x14ac:dyDescent="0.2">
      <c r="B273" s="28">
        <v>3554</v>
      </c>
      <c r="C273" s="28" t="s">
        <v>6</v>
      </c>
    </row>
    <row r="274" spans="2:3" hidden="1" x14ac:dyDescent="0.2">
      <c r="B274" s="28">
        <v>3555</v>
      </c>
      <c r="C274" s="28" t="s">
        <v>3830</v>
      </c>
    </row>
    <row r="275" spans="2:3" hidden="1" x14ac:dyDescent="0.2">
      <c r="B275" s="28">
        <v>3570</v>
      </c>
      <c r="C275" s="28" t="s">
        <v>4601</v>
      </c>
    </row>
    <row r="276" spans="2:3" hidden="1" x14ac:dyDescent="0.2">
      <c r="B276" s="28">
        <v>3580</v>
      </c>
      <c r="C276" s="28" t="s">
        <v>2202</v>
      </c>
    </row>
    <row r="277" spans="2:3" hidden="1" x14ac:dyDescent="0.2">
      <c r="B277" s="28">
        <v>3600</v>
      </c>
      <c r="C277" s="28" t="s">
        <v>6155</v>
      </c>
    </row>
    <row r="278" spans="2:3" hidden="1" x14ac:dyDescent="0.2">
      <c r="B278" s="28">
        <v>3601</v>
      </c>
      <c r="C278" s="28" t="s">
        <v>6156</v>
      </c>
    </row>
    <row r="279" spans="2:3" hidden="1" x14ac:dyDescent="0.2">
      <c r="B279" s="28">
        <v>3602</v>
      </c>
      <c r="C279" s="28" t="s">
        <v>6157</v>
      </c>
    </row>
    <row r="280" spans="2:3" hidden="1" x14ac:dyDescent="0.2">
      <c r="B280" s="28">
        <v>3603</v>
      </c>
      <c r="C280" s="28" t="s">
        <v>6158</v>
      </c>
    </row>
    <row r="281" spans="2:3" hidden="1" x14ac:dyDescent="0.2">
      <c r="B281" s="28">
        <v>3604</v>
      </c>
      <c r="C281" s="28" t="s">
        <v>6159</v>
      </c>
    </row>
    <row r="282" spans="2:3" hidden="1" x14ac:dyDescent="0.2">
      <c r="B282" s="28">
        <v>3798</v>
      </c>
      <c r="C282" s="28" t="s">
        <v>6160</v>
      </c>
    </row>
    <row r="283" spans="2:3" hidden="1" x14ac:dyDescent="0.2">
      <c r="B283" s="28">
        <v>3799</v>
      </c>
      <c r="C283" s="28" t="s">
        <v>6161</v>
      </c>
    </row>
    <row r="284" spans="2:3" hidden="1" x14ac:dyDescent="0.2">
      <c r="B284" s="28">
        <v>3800</v>
      </c>
      <c r="C284" s="28" t="s">
        <v>6162</v>
      </c>
    </row>
    <row r="285" spans="2:3" hidden="1" x14ac:dyDescent="0.2">
      <c r="B285" s="28">
        <v>3801</v>
      </c>
      <c r="C285" s="28" t="s">
        <v>6107</v>
      </c>
    </row>
    <row r="286" spans="2:3" hidden="1" x14ac:dyDescent="0.2">
      <c r="B286" s="28">
        <v>3802</v>
      </c>
      <c r="C286" s="28" t="s">
        <v>3239</v>
      </c>
    </row>
    <row r="287" spans="2:3" hidden="1" x14ac:dyDescent="0.2">
      <c r="B287" s="28">
        <v>3803</v>
      </c>
      <c r="C287" s="28" t="s">
        <v>3240</v>
      </c>
    </row>
    <row r="288" spans="2:3" hidden="1" x14ac:dyDescent="0.2">
      <c r="B288" s="28">
        <v>3804</v>
      </c>
      <c r="C288" s="28" t="s">
        <v>3241</v>
      </c>
    </row>
    <row r="289" spans="2:3" hidden="1" x14ac:dyDescent="0.2">
      <c r="B289" s="28">
        <v>3805</v>
      </c>
      <c r="C289" s="28" t="s">
        <v>6596</v>
      </c>
    </row>
    <row r="290" spans="2:3" hidden="1" x14ac:dyDescent="0.2">
      <c r="B290" s="28">
        <v>3806</v>
      </c>
      <c r="C290" s="28" t="s">
        <v>4253</v>
      </c>
    </row>
    <row r="291" spans="2:3" hidden="1" x14ac:dyDescent="0.2">
      <c r="B291" s="28">
        <v>3807</v>
      </c>
      <c r="C291" s="28" t="s">
        <v>4254</v>
      </c>
    </row>
    <row r="292" spans="2:3" hidden="1" x14ac:dyDescent="0.2">
      <c r="B292" s="28">
        <v>3890</v>
      </c>
      <c r="C292" s="28" t="s">
        <v>3952</v>
      </c>
    </row>
    <row r="293" spans="2:3" hidden="1" x14ac:dyDescent="0.2">
      <c r="B293" s="28">
        <v>3900</v>
      </c>
      <c r="C293" s="28" t="s">
        <v>3953</v>
      </c>
    </row>
    <row r="294" spans="2:3" hidden="1" x14ac:dyDescent="0.2">
      <c r="B294" s="28">
        <v>3901</v>
      </c>
      <c r="C294" s="28" t="s">
        <v>3954</v>
      </c>
    </row>
    <row r="295" spans="2:3" hidden="1" x14ac:dyDescent="0.2">
      <c r="B295" s="28">
        <v>3902</v>
      </c>
      <c r="C295" s="28" t="s">
        <v>2373</v>
      </c>
    </row>
    <row r="296" spans="2:3" hidden="1" x14ac:dyDescent="0.2">
      <c r="B296" s="28">
        <v>3903</v>
      </c>
      <c r="C296" s="28" t="s">
        <v>3825</v>
      </c>
    </row>
    <row r="297" spans="2:3" hidden="1" x14ac:dyDescent="0.2">
      <c r="B297" s="28">
        <v>3904</v>
      </c>
      <c r="C297" s="28" t="s">
        <v>3762</v>
      </c>
    </row>
    <row r="298" spans="2:3" hidden="1" x14ac:dyDescent="0.2">
      <c r="B298" s="28">
        <v>3905</v>
      </c>
      <c r="C298" s="28" t="s">
        <v>3763</v>
      </c>
    </row>
    <row r="299" spans="2:3" hidden="1" x14ac:dyDescent="0.2">
      <c r="B299" s="28">
        <v>3906</v>
      </c>
      <c r="C299" s="28" t="s">
        <v>5605</v>
      </c>
    </row>
    <row r="300" spans="2:3" hidden="1" x14ac:dyDescent="0.2">
      <c r="B300" s="28">
        <v>3950</v>
      </c>
      <c r="C300" s="28" t="s">
        <v>5606</v>
      </c>
    </row>
    <row r="301" spans="2:3" hidden="1" x14ac:dyDescent="0.2">
      <c r="B301" s="28">
        <v>3998</v>
      </c>
      <c r="C301" s="28" t="s">
        <v>850</v>
      </c>
    </row>
    <row r="302" spans="2:3" hidden="1" x14ac:dyDescent="0.2">
      <c r="B302" s="28">
        <v>3999</v>
      </c>
      <c r="C302" s="28" t="s">
        <v>4665</v>
      </c>
    </row>
    <row r="303" spans="2:3" hidden="1" x14ac:dyDescent="0.2">
      <c r="B303" s="28">
        <v>5000</v>
      </c>
      <c r="C303" s="28" t="s">
        <v>2734</v>
      </c>
    </row>
    <row r="304" spans="2:3" hidden="1" x14ac:dyDescent="0.2">
      <c r="B304" s="28">
        <v>5001</v>
      </c>
      <c r="C304" s="28" t="s">
        <v>5485</v>
      </c>
    </row>
    <row r="305" spans="2:3" hidden="1" x14ac:dyDescent="0.2">
      <c r="B305" s="28">
        <v>5002</v>
      </c>
      <c r="C305" s="28" t="s">
        <v>5416</v>
      </c>
    </row>
    <row r="306" spans="2:3" hidden="1" x14ac:dyDescent="0.2">
      <c r="B306" s="28">
        <v>5003</v>
      </c>
      <c r="C306" s="28" t="s">
        <v>5417</v>
      </c>
    </row>
    <row r="307" spans="2:3" hidden="1" x14ac:dyDescent="0.2">
      <c r="B307" s="28">
        <v>5004</v>
      </c>
      <c r="C307" s="28" t="s">
        <v>5418</v>
      </c>
    </row>
    <row r="308" spans="2:3" hidden="1" x14ac:dyDescent="0.2">
      <c r="B308" s="28">
        <v>5005</v>
      </c>
      <c r="C308" s="28" t="s">
        <v>6632</v>
      </c>
    </row>
    <row r="309" spans="2:3" hidden="1" x14ac:dyDescent="0.2">
      <c r="B309" s="28">
        <v>5006</v>
      </c>
      <c r="C309" s="28" t="s">
        <v>4847</v>
      </c>
    </row>
    <row r="310" spans="2:3" hidden="1" x14ac:dyDescent="0.2">
      <c r="B310" s="28">
        <v>5007</v>
      </c>
      <c r="C310" s="28" t="s">
        <v>4848</v>
      </c>
    </row>
    <row r="311" spans="2:3" hidden="1" x14ac:dyDescent="0.2">
      <c r="B311" s="28">
        <v>5008</v>
      </c>
      <c r="C311" s="28" t="s">
        <v>6576</v>
      </c>
    </row>
    <row r="312" spans="2:3" hidden="1" x14ac:dyDescent="0.2">
      <c r="B312" s="28">
        <v>5009</v>
      </c>
      <c r="C312" s="28" t="s">
        <v>6577</v>
      </c>
    </row>
    <row r="313" spans="2:3" hidden="1" x14ac:dyDescent="0.2">
      <c r="B313" s="28">
        <v>5010</v>
      </c>
      <c r="C313" s="28" t="s">
        <v>1914</v>
      </c>
    </row>
    <row r="314" spans="2:3" hidden="1" x14ac:dyDescent="0.2">
      <c r="B314" s="28">
        <v>5011</v>
      </c>
      <c r="C314" s="28" t="s">
        <v>1915</v>
      </c>
    </row>
    <row r="315" spans="2:3" hidden="1" x14ac:dyDescent="0.2">
      <c r="B315" s="28">
        <v>5099</v>
      </c>
      <c r="C315" s="28" t="s">
        <v>3628</v>
      </c>
    </row>
    <row r="316" spans="2:3" hidden="1" x14ac:dyDescent="0.2">
      <c r="B316" s="28">
        <v>5100</v>
      </c>
      <c r="C316" s="28" t="s">
        <v>3629</v>
      </c>
    </row>
    <row r="317" spans="2:3" hidden="1" x14ac:dyDescent="0.2">
      <c r="B317" s="28">
        <v>5101</v>
      </c>
      <c r="C317" s="28" t="s">
        <v>3630</v>
      </c>
    </row>
    <row r="318" spans="2:3" hidden="1" x14ac:dyDescent="0.2">
      <c r="B318" s="28">
        <v>5102</v>
      </c>
      <c r="C318" s="28" t="s">
        <v>5525</v>
      </c>
    </row>
    <row r="319" spans="2:3" hidden="1" x14ac:dyDescent="0.2">
      <c r="B319" s="28">
        <v>5103</v>
      </c>
      <c r="C319" s="28" t="s">
        <v>5179</v>
      </c>
    </row>
    <row r="320" spans="2:3" hidden="1" x14ac:dyDescent="0.2">
      <c r="B320" s="28">
        <v>5104</v>
      </c>
      <c r="C320" s="28" t="s">
        <v>5180</v>
      </c>
    </row>
    <row r="321" spans="2:3" hidden="1" x14ac:dyDescent="0.2">
      <c r="B321" s="28">
        <v>5105</v>
      </c>
      <c r="C321" s="28" t="s">
        <v>3787</v>
      </c>
    </row>
    <row r="322" spans="2:3" hidden="1" x14ac:dyDescent="0.2">
      <c r="B322" s="28">
        <v>5106</v>
      </c>
      <c r="C322" s="28" t="s">
        <v>3788</v>
      </c>
    </row>
    <row r="323" spans="2:3" hidden="1" x14ac:dyDescent="0.2">
      <c r="B323" s="28">
        <v>5107</v>
      </c>
      <c r="C323" s="28" t="s">
        <v>5699</v>
      </c>
    </row>
    <row r="324" spans="2:3" hidden="1" x14ac:dyDescent="0.2">
      <c r="B324" s="28">
        <v>5108</v>
      </c>
      <c r="C324" s="28" t="s">
        <v>2381</v>
      </c>
    </row>
    <row r="325" spans="2:3" hidden="1" x14ac:dyDescent="0.2">
      <c r="B325" s="28">
        <v>5109</v>
      </c>
      <c r="C325" s="28" t="s">
        <v>2441</v>
      </c>
    </row>
    <row r="326" spans="2:3" hidden="1" x14ac:dyDescent="0.2">
      <c r="B326" s="28">
        <v>5110</v>
      </c>
      <c r="C326" s="28" t="s">
        <v>2442</v>
      </c>
    </row>
    <row r="327" spans="2:3" hidden="1" x14ac:dyDescent="0.2">
      <c r="B327" s="28">
        <v>5111</v>
      </c>
      <c r="C327" s="28" t="s">
        <v>2443</v>
      </c>
    </row>
    <row r="328" spans="2:3" hidden="1" x14ac:dyDescent="0.2">
      <c r="B328" s="28">
        <v>5112</v>
      </c>
      <c r="C328" s="28" t="s">
        <v>5397</v>
      </c>
    </row>
    <row r="329" spans="2:3" hidden="1" x14ac:dyDescent="0.2">
      <c r="B329" s="28">
        <v>5190</v>
      </c>
      <c r="C329" s="28" t="s">
        <v>1906</v>
      </c>
    </row>
    <row r="330" spans="2:3" hidden="1" x14ac:dyDescent="0.2">
      <c r="B330" s="28">
        <v>5191</v>
      </c>
      <c r="C330" s="28" t="s">
        <v>1907</v>
      </c>
    </row>
    <row r="331" spans="2:3" hidden="1" x14ac:dyDescent="0.2">
      <c r="B331" s="28">
        <v>5200</v>
      </c>
      <c r="C331" s="28" t="s">
        <v>1908</v>
      </c>
    </row>
    <row r="332" spans="2:3" hidden="1" x14ac:dyDescent="0.2">
      <c r="B332" s="28">
        <v>5201</v>
      </c>
      <c r="C332" s="28" t="s">
        <v>1909</v>
      </c>
    </row>
    <row r="333" spans="2:3" hidden="1" x14ac:dyDescent="0.2">
      <c r="B333" s="28">
        <v>5202</v>
      </c>
      <c r="C333" s="28" t="s">
        <v>1910</v>
      </c>
    </row>
    <row r="334" spans="2:3" hidden="1" x14ac:dyDescent="0.2">
      <c r="B334" s="28">
        <v>5203</v>
      </c>
      <c r="C334" s="28" t="s">
        <v>1911</v>
      </c>
    </row>
    <row r="335" spans="2:3" hidden="1" x14ac:dyDescent="0.2">
      <c r="B335" s="28">
        <v>5204</v>
      </c>
      <c r="C335" s="28" t="s">
        <v>1912</v>
      </c>
    </row>
    <row r="336" spans="2:3" hidden="1" x14ac:dyDescent="0.2">
      <c r="B336" s="28">
        <v>5250</v>
      </c>
      <c r="C336" s="28" t="s">
        <v>616</v>
      </c>
    </row>
    <row r="337" spans="2:3" hidden="1" x14ac:dyDescent="0.2">
      <c r="B337" s="28">
        <v>5251</v>
      </c>
      <c r="C337" s="28" t="s">
        <v>617</v>
      </c>
    </row>
    <row r="338" spans="2:3" hidden="1" x14ac:dyDescent="0.2">
      <c r="B338" s="28">
        <v>5252</v>
      </c>
      <c r="C338" s="28" t="s">
        <v>1913</v>
      </c>
    </row>
    <row r="339" spans="2:3" hidden="1" x14ac:dyDescent="0.2">
      <c r="B339" s="28">
        <v>5253</v>
      </c>
      <c r="C339" s="28" t="s">
        <v>5398</v>
      </c>
    </row>
    <row r="340" spans="2:3" hidden="1" x14ac:dyDescent="0.2">
      <c r="B340" s="28">
        <v>5280</v>
      </c>
      <c r="C340" s="28" t="s">
        <v>5399</v>
      </c>
    </row>
    <row r="341" spans="2:3" hidden="1" x14ac:dyDescent="0.2">
      <c r="B341" s="28">
        <v>5281</v>
      </c>
      <c r="C341" s="28" t="s">
        <v>5400</v>
      </c>
    </row>
    <row r="342" spans="2:3" hidden="1" x14ac:dyDescent="0.2">
      <c r="B342" s="28">
        <v>5282</v>
      </c>
      <c r="C342" s="28" t="s">
        <v>3324</v>
      </c>
    </row>
    <row r="343" spans="2:3" hidden="1" x14ac:dyDescent="0.2">
      <c r="B343" s="28">
        <v>5283</v>
      </c>
      <c r="C343" s="28" t="s">
        <v>2986</v>
      </c>
    </row>
    <row r="344" spans="2:3" hidden="1" x14ac:dyDescent="0.2">
      <c r="B344" s="28">
        <v>5284</v>
      </c>
      <c r="C344" s="28" t="s">
        <v>3427</v>
      </c>
    </row>
    <row r="345" spans="2:3" hidden="1" x14ac:dyDescent="0.2">
      <c r="B345" s="28">
        <v>5300</v>
      </c>
      <c r="C345" s="28" t="s">
        <v>3428</v>
      </c>
    </row>
    <row r="346" spans="2:3" hidden="1" x14ac:dyDescent="0.2">
      <c r="B346" s="28">
        <v>5301</v>
      </c>
      <c r="C346" s="28" t="s">
        <v>5537</v>
      </c>
    </row>
    <row r="347" spans="2:3" hidden="1" x14ac:dyDescent="0.2">
      <c r="B347" s="28">
        <v>5302</v>
      </c>
      <c r="C347" s="28" t="s">
        <v>5538</v>
      </c>
    </row>
    <row r="348" spans="2:3" hidden="1" x14ac:dyDescent="0.2">
      <c r="B348" s="28">
        <v>5303</v>
      </c>
      <c r="C348" s="28" t="s">
        <v>5539</v>
      </c>
    </row>
    <row r="349" spans="2:3" hidden="1" x14ac:dyDescent="0.2">
      <c r="B349" s="28">
        <v>5304</v>
      </c>
      <c r="C349" s="28" t="s">
        <v>5540</v>
      </c>
    </row>
    <row r="350" spans="2:3" hidden="1" x14ac:dyDescent="0.2">
      <c r="B350" s="28">
        <v>5305</v>
      </c>
      <c r="C350" s="28" t="s">
        <v>5541</v>
      </c>
    </row>
    <row r="351" spans="2:3" hidden="1" x14ac:dyDescent="0.2">
      <c r="B351" s="28">
        <v>5306</v>
      </c>
      <c r="C351" s="28" t="s">
        <v>5542</v>
      </c>
    </row>
    <row r="352" spans="2:3" hidden="1" x14ac:dyDescent="0.2">
      <c r="B352" s="28">
        <v>5307</v>
      </c>
      <c r="C352" s="28" t="s">
        <v>5543</v>
      </c>
    </row>
    <row r="353" spans="2:3" hidden="1" x14ac:dyDescent="0.2">
      <c r="B353" s="28">
        <v>5308</v>
      </c>
      <c r="C353" s="28" t="s">
        <v>5544</v>
      </c>
    </row>
    <row r="354" spans="2:3" hidden="1" x14ac:dyDescent="0.2">
      <c r="B354" s="28">
        <v>5309</v>
      </c>
      <c r="C354" s="28" t="s">
        <v>9</v>
      </c>
    </row>
    <row r="355" spans="2:3" hidden="1" x14ac:dyDescent="0.2">
      <c r="B355" s="28">
        <v>5310</v>
      </c>
      <c r="C355" s="28" t="s">
        <v>457</v>
      </c>
    </row>
    <row r="356" spans="2:3" hidden="1" x14ac:dyDescent="0.2">
      <c r="B356" s="28">
        <v>5311</v>
      </c>
      <c r="C356" s="28" t="s">
        <v>458</v>
      </c>
    </row>
    <row r="357" spans="2:3" hidden="1" x14ac:dyDescent="0.2">
      <c r="B357" s="28">
        <v>5498</v>
      </c>
      <c r="C357" s="28" t="s">
        <v>459</v>
      </c>
    </row>
    <row r="358" spans="2:3" hidden="1" x14ac:dyDescent="0.2">
      <c r="B358" s="28">
        <v>5499</v>
      </c>
      <c r="C358" s="28" t="s">
        <v>460</v>
      </c>
    </row>
    <row r="359" spans="2:3" hidden="1" x14ac:dyDescent="0.2">
      <c r="B359" s="28">
        <v>5500</v>
      </c>
      <c r="C359" s="28" t="s">
        <v>461</v>
      </c>
    </row>
    <row r="360" spans="2:3" hidden="1" x14ac:dyDescent="0.2">
      <c r="B360" s="28">
        <v>5501</v>
      </c>
      <c r="C360" s="28" t="s">
        <v>462</v>
      </c>
    </row>
    <row r="361" spans="2:3" hidden="1" x14ac:dyDescent="0.2">
      <c r="B361" s="28">
        <v>5502</v>
      </c>
      <c r="C361" s="28" t="s">
        <v>2388</v>
      </c>
    </row>
    <row r="362" spans="2:3" hidden="1" x14ac:dyDescent="0.2">
      <c r="B362" s="28">
        <v>5503</v>
      </c>
      <c r="C362" s="28" t="s">
        <v>3067</v>
      </c>
    </row>
    <row r="363" spans="2:3" hidden="1" x14ac:dyDescent="0.2">
      <c r="B363" s="28">
        <v>5504</v>
      </c>
      <c r="C363" s="28" t="s">
        <v>3068</v>
      </c>
    </row>
    <row r="364" spans="2:3" hidden="1" x14ac:dyDescent="0.2">
      <c r="B364" s="28">
        <v>5550</v>
      </c>
      <c r="C364" s="28" t="s">
        <v>2134</v>
      </c>
    </row>
    <row r="365" spans="2:3" hidden="1" x14ac:dyDescent="0.2">
      <c r="B365" s="28">
        <v>5551</v>
      </c>
      <c r="C365" s="28" t="s">
        <v>5130</v>
      </c>
    </row>
    <row r="366" spans="2:3" hidden="1" x14ac:dyDescent="0.2">
      <c r="B366" s="28">
        <v>5552</v>
      </c>
      <c r="C366" s="28" t="s">
        <v>6843</v>
      </c>
    </row>
    <row r="367" spans="2:3" hidden="1" x14ac:dyDescent="0.2">
      <c r="B367" s="28">
        <v>5553</v>
      </c>
      <c r="C367" s="28" t="s">
        <v>6844</v>
      </c>
    </row>
    <row r="368" spans="2:3" hidden="1" x14ac:dyDescent="0.2">
      <c r="B368" s="28">
        <v>5554</v>
      </c>
      <c r="C368" s="28" t="s">
        <v>3326</v>
      </c>
    </row>
    <row r="369" spans="2:3" hidden="1" x14ac:dyDescent="0.2">
      <c r="B369" s="28">
        <v>5555</v>
      </c>
      <c r="C369" s="28" t="s">
        <v>3327</v>
      </c>
    </row>
    <row r="370" spans="2:3" hidden="1" x14ac:dyDescent="0.2">
      <c r="B370" s="28">
        <v>5556</v>
      </c>
      <c r="C370" s="28" t="s">
        <v>4602</v>
      </c>
    </row>
    <row r="371" spans="2:3" hidden="1" x14ac:dyDescent="0.2">
      <c r="B371" s="28">
        <v>5557</v>
      </c>
      <c r="C371" s="28" t="s">
        <v>4675</v>
      </c>
    </row>
    <row r="372" spans="2:3" hidden="1" x14ac:dyDescent="0.2">
      <c r="B372" s="28">
        <v>5600</v>
      </c>
      <c r="C372" s="28" t="s">
        <v>2203</v>
      </c>
    </row>
    <row r="373" spans="2:3" hidden="1" x14ac:dyDescent="0.2">
      <c r="B373" s="28">
        <v>5601</v>
      </c>
      <c r="C373" s="28" t="s">
        <v>2204</v>
      </c>
    </row>
    <row r="374" spans="2:3" hidden="1" x14ac:dyDescent="0.2">
      <c r="B374" s="28">
        <v>5602</v>
      </c>
      <c r="C374" s="28" t="s">
        <v>2205</v>
      </c>
    </row>
    <row r="375" spans="2:3" hidden="1" x14ac:dyDescent="0.2">
      <c r="B375" s="28">
        <v>5603</v>
      </c>
      <c r="C375" s="28" t="s">
        <v>5415</v>
      </c>
    </row>
    <row r="376" spans="2:3" hidden="1" x14ac:dyDescent="0.2">
      <c r="B376" s="28">
        <v>5604</v>
      </c>
      <c r="C376" s="28" t="s">
        <v>3300</v>
      </c>
    </row>
    <row r="377" spans="2:3" hidden="1" x14ac:dyDescent="0.2">
      <c r="B377" s="28">
        <v>5605</v>
      </c>
      <c r="C377" s="28" t="s">
        <v>427</v>
      </c>
    </row>
    <row r="378" spans="2:3" hidden="1" x14ac:dyDescent="0.2">
      <c r="B378" s="28">
        <v>5606</v>
      </c>
      <c r="C378" s="28" t="s">
        <v>4702</v>
      </c>
    </row>
    <row r="379" spans="2:3" hidden="1" x14ac:dyDescent="0.2">
      <c r="B379" s="28">
        <v>5607</v>
      </c>
      <c r="C379" s="28" t="s">
        <v>4703</v>
      </c>
    </row>
    <row r="380" spans="2:3" hidden="1" x14ac:dyDescent="0.2">
      <c r="B380" s="28">
        <v>5608</v>
      </c>
      <c r="C380" s="28" t="s">
        <v>3192</v>
      </c>
    </row>
    <row r="381" spans="2:3" hidden="1" x14ac:dyDescent="0.2">
      <c r="B381" s="28">
        <v>5609</v>
      </c>
      <c r="C381" s="28" t="s">
        <v>400</v>
      </c>
    </row>
    <row r="382" spans="2:3" hidden="1" x14ac:dyDescent="0.2">
      <c r="B382" s="28">
        <v>5610</v>
      </c>
      <c r="C382" s="28" t="s">
        <v>401</v>
      </c>
    </row>
    <row r="383" spans="2:3" hidden="1" x14ac:dyDescent="0.2">
      <c r="B383" s="28">
        <v>5611</v>
      </c>
      <c r="C383" s="28" t="s">
        <v>221</v>
      </c>
    </row>
    <row r="384" spans="2:3" hidden="1" x14ac:dyDescent="0.2">
      <c r="B384" s="28">
        <v>5700</v>
      </c>
      <c r="C384" s="28" t="s">
        <v>222</v>
      </c>
    </row>
    <row r="385" spans="2:3" hidden="1" x14ac:dyDescent="0.2">
      <c r="B385" s="28">
        <v>5701</v>
      </c>
      <c r="C385" s="28" t="s">
        <v>58</v>
      </c>
    </row>
    <row r="386" spans="2:3" hidden="1" x14ac:dyDescent="0.2">
      <c r="B386" s="28">
        <v>5702</v>
      </c>
      <c r="C386" s="28" t="s">
        <v>5531</v>
      </c>
    </row>
    <row r="387" spans="2:3" hidden="1" x14ac:dyDescent="0.2">
      <c r="B387" s="28">
        <v>5703</v>
      </c>
      <c r="C387" s="28" t="s">
        <v>4194</v>
      </c>
    </row>
    <row r="388" spans="2:3" hidden="1" x14ac:dyDescent="0.2">
      <c r="B388" s="28">
        <v>5704</v>
      </c>
      <c r="C388" s="28" t="s">
        <v>3221</v>
      </c>
    </row>
    <row r="389" spans="2:3" hidden="1" x14ac:dyDescent="0.2">
      <c r="B389" s="28">
        <v>5998</v>
      </c>
      <c r="C389" s="28" t="s">
        <v>20</v>
      </c>
    </row>
    <row r="390" spans="2:3" hidden="1" x14ac:dyDescent="0.2">
      <c r="B390" s="28">
        <v>5999</v>
      </c>
      <c r="C390" s="28" t="s">
        <v>6566</v>
      </c>
    </row>
    <row r="391" spans="2:3" hidden="1" x14ac:dyDescent="0.2">
      <c r="B391" s="28">
        <v>6000</v>
      </c>
      <c r="C391" s="28" t="s">
        <v>6567</v>
      </c>
    </row>
    <row r="392" spans="2:3" hidden="1" x14ac:dyDescent="0.2">
      <c r="B392" s="28">
        <v>6001</v>
      </c>
      <c r="C392" s="28" t="s">
        <v>6568</v>
      </c>
    </row>
    <row r="393" spans="2:3" hidden="1" x14ac:dyDescent="0.2">
      <c r="B393" s="28">
        <v>6002</v>
      </c>
      <c r="C393" s="28" t="s">
        <v>6569</v>
      </c>
    </row>
    <row r="394" spans="2:3" hidden="1" x14ac:dyDescent="0.2">
      <c r="B394" s="28">
        <v>6003</v>
      </c>
      <c r="C394" s="28" t="s">
        <v>6570</v>
      </c>
    </row>
    <row r="395" spans="2:3" hidden="1" x14ac:dyDescent="0.2">
      <c r="B395" s="28">
        <v>6004</v>
      </c>
      <c r="C395" s="28" t="s">
        <v>6571</v>
      </c>
    </row>
    <row r="396" spans="2:3" hidden="1" x14ac:dyDescent="0.2">
      <c r="B396" s="28">
        <v>6020</v>
      </c>
      <c r="C396" s="28" t="s">
        <v>2086</v>
      </c>
    </row>
    <row r="397" spans="2:3" hidden="1" x14ac:dyDescent="0.2">
      <c r="B397" s="28">
        <v>6021</v>
      </c>
      <c r="C397" s="28" t="s">
        <v>2087</v>
      </c>
    </row>
    <row r="398" spans="2:3" hidden="1" x14ac:dyDescent="0.2">
      <c r="B398" s="28">
        <v>6022</v>
      </c>
      <c r="C398" s="28" t="s">
        <v>4140</v>
      </c>
    </row>
    <row r="399" spans="2:3" hidden="1" x14ac:dyDescent="0.2">
      <c r="B399" s="28">
        <v>6023</v>
      </c>
      <c r="C399" s="28" t="s">
        <v>5201</v>
      </c>
    </row>
    <row r="400" spans="2:3" hidden="1" x14ac:dyDescent="0.2">
      <c r="B400" s="28">
        <v>6024</v>
      </c>
      <c r="C400" s="28" t="s">
        <v>2273</v>
      </c>
    </row>
    <row r="401" spans="2:3" hidden="1" x14ac:dyDescent="0.2">
      <c r="B401" s="28">
        <v>6025</v>
      </c>
      <c r="C401" s="28" t="s">
        <v>3623</v>
      </c>
    </row>
    <row r="402" spans="2:3" hidden="1" x14ac:dyDescent="0.2">
      <c r="B402" s="28">
        <v>6026</v>
      </c>
      <c r="C402" s="28" t="s">
        <v>5486</v>
      </c>
    </row>
    <row r="403" spans="2:3" hidden="1" x14ac:dyDescent="0.2">
      <c r="B403" s="28">
        <v>6027</v>
      </c>
      <c r="C403" s="28" t="s">
        <v>3624</v>
      </c>
    </row>
    <row r="404" spans="2:3" hidden="1" x14ac:dyDescent="0.2">
      <c r="B404" s="28">
        <v>6028</v>
      </c>
      <c r="C404" s="28" t="s">
        <v>5509</v>
      </c>
    </row>
    <row r="405" spans="2:3" hidden="1" x14ac:dyDescent="0.2">
      <c r="B405" s="28">
        <v>6029</v>
      </c>
      <c r="C405" s="28" t="s">
        <v>2240</v>
      </c>
    </row>
    <row r="406" spans="2:3" hidden="1" x14ac:dyDescent="0.2">
      <c r="B406" s="28">
        <v>6030</v>
      </c>
      <c r="C406" s="28" t="s">
        <v>2241</v>
      </c>
    </row>
    <row r="407" spans="2:3" hidden="1" x14ac:dyDescent="0.2">
      <c r="B407" s="28">
        <v>6031</v>
      </c>
      <c r="C407" s="28" t="s">
        <v>1186</v>
      </c>
    </row>
    <row r="408" spans="2:3" hidden="1" x14ac:dyDescent="0.2">
      <c r="B408" s="28">
        <v>6032</v>
      </c>
      <c r="C408" s="28" t="s">
        <v>1187</v>
      </c>
    </row>
    <row r="409" spans="2:3" hidden="1" x14ac:dyDescent="0.2">
      <c r="B409" s="28">
        <v>6033</v>
      </c>
      <c r="C409" s="28" t="s">
        <v>1188</v>
      </c>
    </row>
    <row r="410" spans="2:3" hidden="1" x14ac:dyDescent="0.2">
      <c r="B410" s="28">
        <v>6034</v>
      </c>
      <c r="C410" s="28" t="s">
        <v>1189</v>
      </c>
    </row>
    <row r="411" spans="2:3" hidden="1" x14ac:dyDescent="0.2">
      <c r="B411" s="28">
        <v>6035</v>
      </c>
      <c r="C411" s="28" t="s">
        <v>2654</v>
      </c>
    </row>
    <row r="412" spans="2:3" hidden="1" x14ac:dyDescent="0.2">
      <c r="B412" s="28">
        <v>6036</v>
      </c>
      <c r="C412" s="28" t="s">
        <v>5129</v>
      </c>
    </row>
    <row r="413" spans="2:3" hidden="1" x14ac:dyDescent="0.2">
      <c r="B413" s="28">
        <v>6037</v>
      </c>
      <c r="C413" s="28" t="s">
        <v>356</v>
      </c>
    </row>
    <row r="414" spans="2:3" hidden="1" x14ac:dyDescent="0.2">
      <c r="B414" s="28">
        <v>6099</v>
      </c>
      <c r="C414" s="28" t="s">
        <v>3718</v>
      </c>
    </row>
    <row r="415" spans="2:3" hidden="1" x14ac:dyDescent="0.2">
      <c r="B415" s="28">
        <v>6100</v>
      </c>
      <c r="C415" s="28" t="s">
        <v>3719</v>
      </c>
    </row>
    <row r="416" spans="2:3" hidden="1" x14ac:dyDescent="0.2">
      <c r="B416" s="28">
        <v>6101</v>
      </c>
      <c r="C416" s="28" t="s">
        <v>5090</v>
      </c>
    </row>
    <row r="417" spans="2:3" hidden="1" x14ac:dyDescent="0.2">
      <c r="B417" s="28">
        <v>6120</v>
      </c>
      <c r="C417" s="28" t="s">
        <v>5091</v>
      </c>
    </row>
    <row r="418" spans="2:3" hidden="1" x14ac:dyDescent="0.2">
      <c r="B418" s="28">
        <v>6121</v>
      </c>
      <c r="C418" s="28" t="s">
        <v>3835</v>
      </c>
    </row>
    <row r="419" spans="2:3" hidden="1" x14ac:dyDescent="0.2">
      <c r="B419" s="28">
        <v>6122</v>
      </c>
      <c r="C419" s="28" t="s">
        <v>4588</v>
      </c>
    </row>
    <row r="420" spans="2:3" hidden="1" x14ac:dyDescent="0.2">
      <c r="B420" s="28">
        <v>6140</v>
      </c>
      <c r="C420" s="28" t="s">
        <v>4589</v>
      </c>
    </row>
    <row r="421" spans="2:3" hidden="1" x14ac:dyDescent="0.2">
      <c r="B421" s="28">
        <v>6141</v>
      </c>
      <c r="C421" s="28" t="s">
        <v>4590</v>
      </c>
    </row>
    <row r="422" spans="2:3" hidden="1" x14ac:dyDescent="0.2">
      <c r="B422" s="28">
        <v>6142</v>
      </c>
      <c r="C422" s="28" t="s">
        <v>3184</v>
      </c>
    </row>
    <row r="423" spans="2:3" hidden="1" x14ac:dyDescent="0.2">
      <c r="B423" s="28">
        <v>6143</v>
      </c>
      <c r="C423" s="28" t="s">
        <v>3185</v>
      </c>
    </row>
    <row r="424" spans="2:3" hidden="1" x14ac:dyDescent="0.2">
      <c r="B424" s="28">
        <v>6170</v>
      </c>
      <c r="C424" s="28" t="s">
        <v>3186</v>
      </c>
    </row>
    <row r="425" spans="2:3" hidden="1" x14ac:dyDescent="0.2">
      <c r="B425" s="28">
        <v>6171</v>
      </c>
      <c r="C425" s="28" t="s">
        <v>3969</v>
      </c>
    </row>
    <row r="426" spans="2:3" hidden="1" x14ac:dyDescent="0.2">
      <c r="B426" s="28">
        <v>6172</v>
      </c>
      <c r="C426" s="28" t="s">
        <v>3970</v>
      </c>
    </row>
    <row r="427" spans="2:3" hidden="1" x14ac:dyDescent="0.2">
      <c r="B427" s="28">
        <v>6173</v>
      </c>
      <c r="C427" s="28" t="s">
        <v>3971</v>
      </c>
    </row>
    <row r="428" spans="2:3" hidden="1" x14ac:dyDescent="0.2">
      <c r="B428" s="28">
        <v>6174</v>
      </c>
      <c r="C428" s="28" t="s">
        <v>5543</v>
      </c>
    </row>
    <row r="429" spans="2:3" hidden="1" x14ac:dyDescent="0.2">
      <c r="B429" s="28">
        <v>6175</v>
      </c>
      <c r="C429" s="28" t="s">
        <v>3972</v>
      </c>
    </row>
    <row r="430" spans="2:3" hidden="1" x14ac:dyDescent="0.2">
      <c r="B430" s="28">
        <v>6176</v>
      </c>
      <c r="C430" s="28" t="s">
        <v>3973</v>
      </c>
    </row>
    <row r="431" spans="2:3" hidden="1" x14ac:dyDescent="0.2">
      <c r="B431" s="28">
        <v>6177</v>
      </c>
      <c r="C431" s="28" t="s">
        <v>3974</v>
      </c>
    </row>
    <row r="432" spans="2:3" hidden="1" x14ac:dyDescent="0.2">
      <c r="B432" s="28">
        <v>6178</v>
      </c>
      <c r="C432" s="28" t="s">
        <v>5542</v>
      </c>
    </row>
    <row r="433" spans="2:3" hidden="1" x14ac:dyDescent="0.2">
      <c r="B433" s="28">
        <v>6179</v>
      </c>
      <c r="C433" s="28" t="s">
        <v>3975</v>
      </c>
    </row>
    <row r="434" spans="2:3" hidden="1" x14ac:dyDescent="0.2">
      <c r="B434" s="28">
        <v>6180</v>
      </c>
      <c r="C434" s="28" t="s">
        <v>2729</v>
      </c>
    </row>
    <row r="435" spans="2:3" hidden="1" x14ac:dyDescent="0.2">
      <c r="B435" s="28">
        <v>6200</v>
      </c>
      <c r="C435" s="28" t="s">
        <v>873</v>
      </c>
    </row>
    <row r="436" spans="2:3" hidden="1" x14ac:dyDescent="0.2">
      <c r="B436" s="28">
        <v>6201</v>
      </c>
      <c r="C436" s="28" t="s">
        <v>874</v>
      </c>
    </row>
    <row r="437" spans="2:3" hidden="1" x14ac:dyDescent="0.2">
      <c r="B437" s="28">
        <v>6202</v>
      </c>
      <c r="C437" s="28" t="s">
        <v>875</v>
      </c>
    </row>
    <row r="438" spans="2:3" hidden="1" x14ac:dyDescent="0.2">
      <c r="B438" s="28">
        <v>6203</v>
      </c>
      <c r="C438" s="28" t="s">
        <v>6628</v>
      </c>
    </row>
    <row r="439" spans="2:3" hidden="1" x14ac:dyDescent="0.2">
      <c r="B439" s="28">
        <v>6204</v>
      </c>
      <c r="C439" s="28" t="s">
        <v>4583</v>
      </c>
    </row>
    <row r="440" spans="2:3" hidden="1" x14ac:dyDescent="0.2">
      <c r="B440" s="28">
        <v>6220</v>
      </c>
      <c r="C440" s="28" t="s">
        <v>4584</v>
      </c>
    </row>
    <row r="441" spans="2:3" hidden="1" x14ac:dyDescent="0.2">
      <c r="B441" s="28">
        <v>6221</v>
      </c>
      <c r="C441" s="28" t="s">
        <v>4585</v>
      </c>
    </row>
    <row r="442" spans="2:3" hidden="1" x14ac:dyDescent="0.2">
      <c r="B442" s="28">
        <v>6222</v>
      </c>
      <c r="C442" s="28" t="s">
        <v>4586</v>
      </c>
    </row>
    <row r="443" spans="2:3" hidden="1" x14ac:dyDescent="0.2">
      <c r="B443" s="28">
        <v>6223</v>
      </c>
      <c r="C443" s="28" t="s">
        <v>4587</v>
      </c>
    </row>
    <row r="444" spans="2:3" hidden="1" x14ac:dyDescent="0.2">
      <c r="B444" s="28">
        <v>6224</v>
      </c>
      <c r="C444" s="28" t="s">
        <v>1562</v>
      </c>
    </row>
    <row r="445" spans="2:3" hidden="1" x14ac:dyDescent="0.2">
      <c r="B445" s="28">
        <v>6225</v>
      </c>
      <c r="C445" s="28" t="s">
        <v>1563</v>
      </c>
    </row>
    <row r="446" spans="2:3" hidden="1" x14ac:dyDescent="0.2">
      <c r="B446" s="28">
        <v>6226</v>
      </c>
      <c r="C446" s="28" t="s">
        <v>5980</v>
      </c>
    </row>
    <row r="447" spans="2:3" hidden="1" x14ac:dyDescent="0.2">
      <c r="B447" s="28">
        <v>6227</v>
      </c>
      <c r="C447" s="28" t="s">
        <v>5981</v>
      </c>
    </row>
    <row r="448" spans="2:3" hidden="1" x14ac:dyDescent="0.2">
      <c r="B448" s="28">
        <v>6228</v>
      </c>
      <c r="C448" s="28" t="s">
        <v>5982</v>
      </c>
    </row>
    <row r="449" spans="2:3" hidden="1" x14ac:dyDescent="0.2">
      <c r="B449" s="28">
        <v>6250</v>
      </c>
      <c r="C449" s="28" t="s">
        <v>5983</v>
      </c>
    </row>
    <row r="450" spans="2:3" hidden="1" x14ac:dyDescent="0.2">
      <c r="B450" s="28">
        <v>6251</v>
      </c>
      <c r="C450" s="28" t="s">
        <v>3342</v>
      </c>
    </row>
    <row r="451" spans="2:3" hidden="1" x14ac:dyDescent="0.2">
      <c r="B451" s="28">
        <v>6252</v>
      </c>
      <c r="C451" s="28" t="s">
        <v>3814</v>
      </c>
    </row>
    <row r="452" spans="2:3" hidden="1" x14ac:dyDescent="0.2">
      <c r="B452" s="28">
        <v>6253</v>
      </c>
      <c r="C452" s="28" t="s">
        <v>3815</v>
      </c>
    </row>
    <row r="453" spans="2:3" hidden="1" x14ac:dyDescent="0.2">
      <c r="B453" s="28">
        <v>6254</v>
      </c>
      <c r="C453" s="28" t="s">
        <v>5724</v>
      </c>
    </row>
    <row r="454" spans="2:3" hidden="1" x14ac:dyDescent="0.2">
      <c r="B454" s="28">
        <v>6255</v>
      </c>
      <c r="C454" s="28" t="s">
        <v>5725</v>
      </c>
    </row>
    <row r="455" spans="2:3" hidden="1" x14ac:dyDescent="0.2">
      <c r="B455" s="28">
        <v>6290</v>
      </c>
      <c r="C455" s="28" t="s">
        <v>5726</v>
      </c>
    </row>
    <row r="456" spans="2:3" hidden="1" x14ac:dyDescent="0.2">
      <c r="B456" s="28">
        <v>6291</v>
      </c>
      <c r="C456" s="28" t="s">
        <v>2291</v>
      </c>
    </row>
    <row r="457" spans="2:3" hidden="1" x14ac:dyDescent="0.2">
      <c r="B457" s="28">
        <v>6292</v>
      </c>
      <c r="C457" s="28" t="s">
        <v>2292</v>
      </c>
    </row>
    <row r="458" spans="2:3" hidden="1" x14ac:dyDescent="0.2">
      <c r="B458" s="28">
        <v>6293</v>
      </c>
      <c r="C458" s="28" t="s">
        <v>6964</v>
      </c>
    </row>
    <row r="459" spans="2:3" hidden="1" x14ac:dyDescent="0.2">
      <c r="B459" s="28">
        <v>6294</v>
      </c>
      <c r="C459" s="28" t="s">
        <v>6965</v>
      </c>
    </row>
    <row r="460" spans="2:3" hidden="1" x14ac:dyDescent="0.2">
      <c r="B460" s="28">
        <v>6295</v>
      </c>
      <c r="C460" s="28" t="s">
        <v>2243</v>
      </c>
    </row>
    <row r="461" spans="2:3" hidden="1" x14ac:dyDescent="0.2">
      <c r="B461" s="28">
        <v>6310</v>
      </c>
      <c r="C461" s="28" t="s">
        <v>2244</v>
      </c>
    </row>
    <row r="462" spans="2:3" hidden="1" x14ac:dyDescent="0.2">
      <c r="B462" s="28">
        <v>6311</v>
      </c>
      <c r="C462" s="28" t="s">
        <v>1561</v>
      </c>
    </row>
    <row r="463" spans="2:3" hidden="1" x14ac:dyDescent="0.2">
      <c r="B463" s="28">
        <v>6312</v>
      </c>
      <c r="C463" s="28" t="s">
        <v>6497</v>
      </c>
    </row>
    <row r="464" spans="2:3" hidden="1" x14ac:dyDescent="0.2">
      <c r="B464" s="28">
        <v>6313</v>
      </c>
      <c r="C464" s="28" t="s">
        <v>6498</v>
      </c>
    </row>
    <row r="465" spans="2:3" hidden="1" x14ac:dyDescent="0.2">
      <c r="B465" s="28">
        <v>6314</v>
      </c>
      <c r="C465" s="28" t="s">
        <v>6499</v>
      </c>
    </row>
    <row r="466" spans="2:3" hidden="1" x14ac:dyDescent="0.2">
      <c r="B466" s="28">
        <v>6340</v>
      </c>
      <c r="C466" s="28" t="s">
        <v>3365</v>
      </c>
    </row>
    <row r="467" spans="2:3" hidden="1" x14ac:dyDescent="0.2">
      <c r="B467" s="28">
        <v>6341</v>
      </c>
      <c r="C467" s="28" t="s">
        <v>3366</v>
      </c>
    </row>
    <row r="468" spans="2:3" hidden="1" x14ac:dyDescent="0.2">
      <c r="B468" s="28">
        <v>6342</v>
      </c>
      <c r="C468" s="28" t="s">
        <v>3367</v>
      </c>
    </row>
    <row r="469" spans="2:3" hidden="1" x14ac:dyDescent="0.2">
      <c r="B469" s="28">
        <v>6343</v>
      </c>
      <c r="C469" s="28" t="s">
        <v>2658</v>
      </c>
    </row>
    <row r="470" spans="2:3" hidden="1" x14ac:dyDescent="0.2">
      <c r="B470" s="28">
        <v>6344</v>
      </c>
      <c r="C470" s="28" t="s">
        <v>10573</v>
      </c>
    </row>
    <row r="471" spans="2:3" hidden="1" x14ac:dyDescent="0.2">
      <c r="B471" s="28">
        <v>6345</v>
      </c>
      <c r="C471" s="28" t="s">
        <v>2458</v>
      </c>
    </row>
    <row r="472" spans="2:3" hidden="1" x14ac:dyDescent="0.2">
      <c r="B472" s="28">
        <v>6346</v>
      </c>
      <c r="C472" s="28" t="s">
        <v>2459</v>
      </c>
    </row>
    <row r="473" spans="2:3" hidden="1" x14ac:dyDescent="0.2">
      <c r="B473" s="28">
        <v>6347</v>
      </c>
      <c r="C473" s="28" t="s">
        <v>2460</v>
      </c>
    </row>
    <row r="474" spans="2:3" hidden="1" x14ac:dyDescent="0.2">
      <c r="B474" s="28">
        <v>6348</v>
      </c>
      <c r="C474" s="28" t="s">
        <v>2461</v>
      </c>
    </row>
    <row r="475" spans="2:3" hidden="1" x14ac:dyDescent="0.2">
      <c r="B475" s="28">
        <v>6380</v>
      </c>
      <c r="C475" s="28" t="s">
        <v>2462</v>
      </c>
    </row>
    <row r="476" spans="2:3" hidden="1" x14ac:dyDescent="0.2">
      <c r="B476" s="28">
        <v>6381</v>
      </c>
      <c r="C476" s="28" t="s">
        <v>2463</v>
      </c>
    </row>
    <row r="477" spans="2:3" hidden="1" x14ac:dyDescent="0.2">
      <c r="B477" s="28">
        <v>6382</v>
      </c>
      <c r="C477" s="28" t="s">
        <v>3110</v>
      </c>
    </row>
    <row r="478" spans="2:3" hidden="1" x14ac:dyDescent="0.2">
      <c r="B478" s="28">
        <v>6383</v>
      </c>
      <c r="C478" s="28" t="s">
        <v>3111</v>
      </c>
    </row>
    <row r="479" spans="2:3" hidden="1" x14ac:dyDescent="0.2">
      <c r="B479" s="28">
        <v>6384</v>
      </c>
      <c r="C479" s="28" t="s">
        <v>3112</v>
      </c>
    </row>
    <row r="480" spans="2:3" hidden="1" x14ac:dyDescent="0.2">
      <c r="B480" s="28">
        <v>6385</v>
      </c>
      <c r="C480" s="28" t="s">
        <v>6186</v>
      </c>
    </row>
    <row r="481" spans="2:3" hidden="1" x14ac:dyDescent="0.2">
      <c r="B481" s="28">
        <v>6400</v>
      </c>
      <c r="C481" s="28" t="s">
        <v>5487</v>
      </c>
    </row>
    <row r="482" spans="2:3" hidden="1" x14ac:dyDescent="0.2">
      <c r="B482" s="28">
        <v>6401</v>
      </c>
      <c r="C482" s="28" t="s">
        <v>5595</v>
      </c>
    </row>
    <row r="483" spans="2:3" hidden="1" x14ac:dyDescent="0.2">
      <c r="B483" s="28">
        <v>6402</v>
      </c>
      <c r="C483" s="28" t="s">
        <v>3948</v>
      </c>
    </row>
    <row r="484" spans="2:3" hidden="1" x14ac:dyDescent="0.2">
      <c r="B484" s="28">
        <v>6403</v>
      </c>
      <c r="C484" s="28" t="s">
        <v>6661</v>
      </c>
    </row>
    <row r="485" spans="2:3" hidden="1" x14ac:dyDescent="0.2">
      <c r="B485" s="28">
        <v>6404</v>
      </c>
      <c r="C485" s="28" t="s">
        <v>2563</v>
      </c>
    </row>
    <row r="486" spans="2:3" hidden="1" x14ac:dyDescent="0.2">
      <c r="B486" s="28">
        <v>6410</v>
      </c>
      <c r="C486" s="28" t="s">
        <v>99</v>
      </c>
    </row>
    <row r="487" spans="2:3" hidden="1" x14ac:dyDescent="0.2">
      <c r="B487" s="28">
        <v>6411</v>
      </c>
      <c r="C487" s="28" t="s">
        <v>31</v>
      </c>
    </row>
    <row r="488" spans="2:3" hidden="1" x14ac:dyDescent="0.2">
      <c r="B488" s="28">
        <v>6412</v>
      </c>
      <c r="C488" s="28" t="s">
        <v>32</v>
      </c>
    </row>
    <row r="489" spans="2:3" hidden="1" x14ac:dyDescent="0.2">
      <c r="B489" s="28">
        <v>6413</v>
      </c>
      <c r="C489" s="28" t="s">
        <v>5467</v>
      </c>
    </row>
    <row r="490" spans="2:3" hidden="1" x14ac:dyDescent="0.2">
      <c r="B490" s="28">
        <v>6420</v>
      </c>
      <c r="C490" s="28" t="s">
        <v>4448</v>
      </c>
    </row>
    <row r="491" spans="2:3" hidden="1" x14ac:dyDescent="0.2">
      <c r="B491" s="28">
        <v>6421</v>
      </c>
      <c r="C491" s="28" t="s">
        <v>6212</v>
      </c>
    </row>
    <row r="492" spans="2:3" hidden="1" x14ac:dyDescent="0.2">
      <c r="B492" s="28">
        <v>6422</v>
      </c>
      <c r="C492" s="28" t="s">
        <v>1818</v>
      </c>
    </row>
    <row r="493" spans="2:3" hidden="1" x14ac:dyDescent="0.2">
      <c r="B493" s="28">
        <v>6423</v>
      </c>
      <c r="C493" s="28" t="s">
        <v>1819</v>
      </c>
    </row>
    <row r="494" spans="2:3" hidden="1" x14ac:dyDescent="0.2">
      <c r="B494" s="28">
        <v>6430</v>
      </c>
      <c r="C494" s="28" t="s">
        <v>1755</v>
      </c>
    </row>
    <row r="495" spans="2:3" hidden="1" x14ac:dyDescent="0.2">
      <c r="B495" s="28">
        <v>6431</v>
      </c>
      <c r="C495" s="28" t="s">
        <v>1756</v>
      </c>
    </row>
    <row r="496" spans="2:3" hidden="1" x14ac:dyDescent="0.2">
      <c r="B496" s="28">
        <v>6432</v>
      </c>
      <c r="C496" s="28" t="s">
        <v>1757</v>
      </c>
    </row>
    <row r="497" spans="2:3" hidden="1" x14ac:dyDescent="0.2">
      <c r="B497" s="28">
        <v>6433</v>
      </c>
      <c r="C497" s="28" t="s">
        <v>1758</v>
      </c>
    </row>
    <row r="498" spans="2:3" hidden="1" x14ac:dyDescent="0.2">
      <c r="B498" s="28">
        <v>6434</v>
      </c>
      <c r="C498" s="28" t="s">
        <v>5459</v>
      </c>
    </row>
    <row r="499" spans="2:3" hidden="1" x14ac:dyDescent="0.2">
      <c r="B499" s="28">
        <v>6435</v>
      </c>
      <c r="C499" s="28" t="s">
        <v>5460</v>
      </c>
    </row>
    <row r="500" spans="2:3" hidden="1" x14ac:dyDescent="0.2">
      <c r="B500" s="28">
        <v>6436</v>
      </c>
      <c r="C500" s="28" t="s">
        <v>5461</v>
      </c>
    </row>
    <row r="501" spans="2:3" hidden="1" x14ac:dyDescent="0.2">
      <c r="B501" s="28">
        <v>6437</v>
      </c>
      <c r="C501" s="28" t="s">
        <v>5462</v>
      </c>
    </row>
    <row r="502" spans="2:3" hidden="1" x14ac:dyDescent="0.2">
      <c r="B502" s="28">
        <v>6438</v>
      </c>
      <c r="C502" s="28" t="s">
        <v>5463</v>
      </c>
    </row>
    <row r="503" spans="2:3" hidden="1" x14ac:dyDescent="0.2">
      <c r="B503" s="28">
        <v>6439</v>
      </c>
      <c r="C503" s="28" t="s">
        <v>6283</v>
      </c>
    </row>
    <row r="504" spans="2:3" hidden="1" x14ac:dyDescent="0.2">
      <c r="B504" s="28">
        <v>6440</v>
      </c>
      <c r="C504" s="28" t="s">
        <v>2486</v>
      </c>
    </row>
    <row r="505" spans="2:3" hidden="1" x14ac:dyDescent="0.2">
      <c r="B505" s="28">
        <v>6441</v>
      </c>
      <c r="C505" s="28" t="s">
        <v>2659</v>
      </c>
    </row>
    <row r="506" spans="2:3" hidden="1" x14ac:dyDescent="0.2">
      <c r="B506" s="28">
        <v>6442</v>
      </c>
      <c r="C506" s="28" t="s">
        <v>3065</v>
      </c>
    </row>
    <row r="507" spans="2:3" hidden="1" x14ac:dyDescent="0.2">
      <c r="B507" s="28">
        <v>6443</v>
      </c>
      <c r="C507" s="28" t="s">
        <v>6715</v>
      </c>
    </row>
    <row r="508" spans="2:3" hidden="1" x14ac:dyDescent="0.2">
      <c r="B508" s="28">
        <v>6444</v>
      </c>
      <c r="C508" s="28" t="s">
        <v>988</v>
      </c>
    </row>
    <row r="509" spans="2:3" hidden="1" x14ac:dyDescent="0.2">
      <c r="B509" s="28">
        <v>6445</v>
      </c>
      <c r="C509" s="28" t="s">
        <v>989</v>
      </c>
    </row>
    <row r="510" spans="2:3" hidden="1" x14ac:dyDescent="0.2">
      <c r="B510" s="28">
        <v>6446</v>
      </c>
      <c r="C510" s="28" t="s">
        <v>990</v>
      </c>
    </row>
    <row r="511" spans="2:3" hidden="1" x14ac:dyDescent="0.2">
      <c r="B511" s="28">
        <v>6447</v>
      </c>
      <c r="C511" s="28" t="s">
        <v>991</v>
      </c>
    </row>
    <row r="512" spans="2:3" hidden="1" x14ac:dyDescent="0.2">
      <c r="B512" s="28">
        <v>6448</v>
      </c>
      <c r="C512" s="28" t="s">
        <v>5600</v>
      </c>
    </row>
    <row r="513" spans="2:3" hidden="1" x14ac:dyDescent="0.2">
      <c r="B513" s="28">
        <v>6449</v>
      </c>
      <c r="C513" s="28" t="s">
        <v>5601</v>
      </c>
    </row>
    <row r="514" spans="2:3" hidden="1" x14ac:dyDescent="0.2">
      <c r="B514" s="28">
        <v>6450</v>
      </c>
      <c r="C514" s="28" t="s">
        <v>3675</v>
      </c>
    </row>
    <row r="515" spans="2:3" hidden="1" x14ac:dyDescent="0.2">
      <c r="B515" s="28">
        <v>6451</v>
      </c>
      <c r="C515" s="28" t="s">
        <v>1943</v>
      </c>
    </row>
    <row r="516" spans="2:3" hidden="1" x14ac:dyDescent="0.2">
      <c r="B516" s="28">
        <v>6452</v>
      </c>
      <c r="C516" s="28" t="s">
        <v>1944</v>
      </c>
    </row>
    <row r="517" spans="2:3" hidden="1" x14ac:dyDescent="0.2">
      <c r="B517" s="28">
        <v>6453</v>
      </c>
      <c r="C517" s="28" t="s">
        <v>1945</v>
      </c>
    </row>
    <row r="518" spans="2:3" hidden="1" x14ac:dyDescent="0.2">
      <c r="B518" s="28">
        <v>6454</v>
      </c>
      <c r="C518" s="28" t="s">
        <v>4193</v>
      </c>
    </row>
    <row r="519" spans="2:3" hidden="1" x14ac:dyDescent="0.2">
      <c r="B519" s="28">
        <v>6455</v>
      </c>
      <c r="C519" s="28" t="s">
        <v>4986</v>
      </c>
    </row>
    <row r="520" spans="2:3" hidden="1" x14ac:dyDescent="0.2">
      <c r="B520" s="28">
        <v>6456</v>
      </c>
      <c r="C520" s="28" t="s">
        <v>2826</v>
      </c>
    </row>
    <row r="521" spans="2:3" hidden="1" x14ac:dyDescent="0.2">
      <c r="B521" s="28">
        <v>6457</v>
      </c>
      <c r="C521" s="28" t="s">
        <v>2827</v>
      </c>
    </row>
    <row r="522" spans="2:3" hidden="1" x14ac:dyDescent="0.2">
      <c r="B522" s="28">
        <v>6600</v>
      </c>
      <c r="C522" s="28" t="s">
        <v>2828</v>
      </c>
    </row>
    <row r="523" spans="2:3" hidden="1" x14ac:dyDescent="0.2">
      <c r="B523" s="28">
        <v>6601</v>
      </c>
      <c r="C523" s="28" t="s">
        <v>1515</v>
      </c>
    </row>
    <row r="524" spans="2:3" hidden="1" x14ac:dyDescent="0.2">
      <c r="B524" s="28">
        <v>6602</v>
      </c>
      <c r="C524" s="28" t="s">
        <v>3558</v>
      </c>
    </row>
    <row r="525" spans="2:3" hidden="1" x14ac:dyDescent="0.2">
      <c r="B525" s="28">
        <v>6603</v>
      </c>
      <c r="C525" s="28" t="s">
        <v>3559</v>
      </c>
    </row>
    <row r="526" spans="2:3" hidden="1" x14ac:dyDescent="0.2">
      <c r="B526" s="28">
        <v>6604</v>
      </c>
      <c r="C526" s="28" t="s">
        <v>3560</v>
      </c>
    </row>
    <row r="527" spans="2:3" hidden="1" x14ac:dyDescent="0.2">
      <c r="B527" s="28">
        <v>6605</v>
      </c>
      <c r="C527" s="28" t="s">
        <v>6710</v>
      </c>
    </row>
    <row r="528" spans="2:3" hidden="1" x14ac:dyDescent="0.2">
      <c r="B528" s="28">
        <v>6606</v>
      </c>
      <c r="C528" s="28" t="s">
        <v>6711</v>
      </c>
    </row>
    <row r="529" spans="2:3" hidden="1" x14ac:dyDescent="0.2">
      <c r="B529" s="28">
        <v>6607</v>
      </c>
      <c r="C529" s="28" t="s">
        <v>6712</v>
      </c>
    </row>
    <row r="530" spans="2:3" hidden="1" x14ac:dyDescent="0.2">
      <c r="B530" s="28">
        <v>6608</v>
      </c>
      <c r="C530" s="28" t="s">
        <v>2512</v>
      </c>
    </row>
    <row r="531" spans="2:3" hidden="1" x14ac:dyDescent="0.2">
      <c r="B531" s="28">
        <v>6609</v>
      </c>
      <c r="C531" s="28" t="s">
        <v>2513</v>
      </c>
    </row>
    <row r="532" spans="2:3" hidden="1" x14ac:dyDescent="0.2">
      <c r="B532" s="28">
        <v>6610</v>
      </c>
      <c r="C532" s="28" t="s">
        <v>2514</v>
      </c>
    </row>
    <row r="533" spans="2:3" hidden="1" x14ac:dyDescent="0.2">
      <c r="B533" s="28">
        <v>6611</v>
      </c>
      <c r="C533" s="28" t="s">
        <v>105</v>
      </c>
    </row>
    <row r="534" spans="2:3" hidden="1" x14ac:dyDescent="0.2">
      <c r="B534" s="28">
        <v>6612</v>
      </c>
      <c r="C534" s="28" t="s">
        <v>106</v>
      </c>
    </row>
    <row r="535" spans="2:3" hidden="1" x14ac:dyDescent="0.2">
      <c r="B535" s="28">
        <v>6613</v>
      </c>
      <c r="C535" s="28" t="s">
        <v>4833</v>
      </c>
    </row>
    <row r="536" spans="2:3" hidden="1" x14ac:dyDescent="0.2">
      <c r="B536" s="28">
        <v>6996</v>
      </c>
      <c r="C536" s="28" t="s">
        <v>4121</v>
      </c>
    </row>
    <row r="537" spans="2:3" hidden="1" x14ac:dyDescent="0.2">
      <c r="B537" s="28">
        <v>6997</v>
      </c>
      <c r="C537" s="28" t="s">
        <v>5350</v>
      </c>
    </row>
    <row r="538" spans="2:3" hidden="1" x14ac:dyDescent="0.2">
      <c r="B538" s="28">
        <v>6998</v>
      </c>
      <c r="C538" s="28" t="s">
        <v>5351</v>
      </c>
    </row>
    <row r="539" spans="2:3" hidden="1" x14ac:dyDescent="0.2">
      <c r="B539" s="28">
        <v>7050</v>
      </c>
      <c r="C539" s="28" t="s">
        <v>5352</v>
      </c>
    </row>
    <row r="540" spans="2:3" hidden="1" x14ac:dyDescent="0.2">
      <c r="B540" s="28">
        <v>7050</v>
      </c>
      <c r="C540" s="28" t="s">
        <v>5352</v>
      </c>
    </row>
    <row r="541" spans="2:3" hidden="1" x14ac:dyDescent="0.2">
      <c r="B541" s="28">
        <v>7060</v>
      </c>
      <c r="C541" s="28" t="s">
        <v>5353</v>
      </c>
    </row>
    <row r="542" spans="2:3" hidden="1" x14ac:dyDescent="0.2">
      <c r="B542" s="28">
        <v>7080</v>
      </c>
      <c r="C542" s="28" t="s">
        <v>5354</v>
      </c>
    </row>
    <row r="543" spans="2:3" hidden="1" x14ac:dyDescent="0.2">
      <c r="B543" s="28">
        <v>7100</v>
      </c>
      <c r="C543" s="28" t="s">
        <v>5355</v>
      </c>
    </row>
    <row r="544" spans="2:3" hidden="1" x14ac:dyDescent="0.2">
      <c r="B544" s="28">
        <v>7200</v>
      </c>
      <c r="C544" s="28" t="s">
        <v>5356</v>
      </c>
    </row>
    <row r="545" spans="2:3" hidden="1" x14ac:dyDescent="0.2">
      <c r="B545" s="28">
        <v>7201</v>
      </c>
      <c r="C545" s="28" t="s">
        <v>589</v>
      </c>
    </row>
    <row r="546" spans="2:3" hidden="1" x14ac:dyDescent="0.2">
      <c r="B546" s="28">
        <v>7202</v>
      </c>
      <c r="C546" s="28" t="s">
        <v>4363</v>
      </c>
    </row>
    <row r="547" spans="2:3" hidden="1" x14ac:dyDescent="0.2">
      <c r="B547" s="28">
        <v>7203</v>
      </c>
      <c r="C547" s="28" t="s">
        <v>4364</v>
      </c>
    </row>
    <row r="548" spans="2:3" hidden="1" x14ac:dyDescent="0.2">
      <c r="B548" s="28">
        <v>7204</v>
      </c>
      <c r="C548" s="28" t="s">
        <v>2674</v>
      </c>
    </row>
    <row r="549" spans="2:3" hidden="1" x14ac:dyDescent="0.2">
      <c r="B549" s="28">
        <v>7205</v>
      </c>
      <c r="C549" s="28" t="s">
        <v>2675</v>
      </c>
    </row>
    <row r="550" spans="2:3" hidden="1" x14ac:dyDescent="0.2">
      <c r="B550" s="28">
        <v>7206</v>
      </c>
      <c r="C550" s="28" t="s">
        <v>2676</v>
      </c>
    </row>
    <row r="551" spans="2:3" hidden="1" x14ac:dyDescent="0.2">
      <c r="B551" s="28">
        <v>7207</v>
      </c>
      <c r="C551" s="28" t="s">
        <v>3459</v>
      </c>
    </row>
    <row r="552" spans="2:3" hidden="1" x14ac:dyDescent="0.2">
      <c r="B552" s="28">
        <v>7500</v>
      </c>
      <c r="C552" s="28" t="s">
        <v>4209</v>
      </c>
    </row>
    <row r="553" spans="2:3" hidden="1" x14ac:dyDescent="0.2">
      <c r="B553" s="28">
        <v>7501</v>
      </c>
      <c r="C553" s="28" t="s">
        <v>5666</v>
      </c>
    </row>
    <row r="554" spans="2:3" hidden="1" x14ac:dyDescent="0.2">
      <c r="B554" s="28">
        <v>7502</v>
      </c>
      <c r="C554" s="28" t="s">
        <v>648</v>
      </c>
    </row>
    <row r="555" spans="2:3" hidden="1" x14ac:dyDescent="0.2">
      <c r="B555" s="28">
        <v>7503</v>
      </c>
      <c r="C555" s="28" t="s">
        <v>4228</v>
      </c>
    </row>
    <row r="556" spans="2:3" hidden="1" x14ac:dyDescent="0.2">
      <c r="B556" s="28">
        <v>7504</v>
      </c>
      <c r="C556" s="28" t="s">
        <v>6504</v>
      </c>
    </row>
    <row r="557" spans="2:3" hidden="1" x14ac:dyDescent="0.2">
      <c r="B557" s="28">
        <v>7505</v>
      </c>
      <c r="C557" s="28" t="s">
        <v>4141</v>
      </c>
    </row>
    <row r="558" spans="2:3" hidden="1" x14ac:dyDescent="0.2">
      <c r="B558" s="28">
        <v>7506</v>
      </c>
      <c r="C558" s="28" t="s">
        <v>4126</v>
      </c>
    </row>
    <row r="559" spans="2:3" hidden="1" x14ac:dyDescent="0.2">
      <c r="B559" s="28">
        <v>7507</v>
      </c>
      <c r="C559" s="28" t="s">
        <v>1554</v>
      </c>
    </row>
    <row r="560" spans="2:3" hidden="1" x14ac:dyDescent="0.2">
      <c r="B560" s="28">
        <v>7508</v>
      </c>
      <c r="C560" s="28" t="s">
        <v>1929</v>
      </c>
    </row>
    <row r="561" spans="2:3" hidden="1" x14ac:dyDescent="0.2">
      <c r="B561" s="28">
        <v>7600</v>
      </c>
      <c r="C561" s="28" t="s">
        <v>2215</v>
      </c>
    </row>
  </sheetData>
  <sheetProtection algorithmName="SHA-512" hashValue="StALykLSztfA+lOyBRAC4geZGDr4bVmbUfh/NxNR8POtck8fFXlWwCmCFxn4xMIaMJHMSkL1Qzjyquav1h92KQ==" saltValue="H3/Bh+3bXiocmxqlfENjgw==" spinCount="100000" sheet="1" objects="1" scenarios="1"/>
  <customSheetViews>
    <customSheetView guid="{99B5278F-6EA9-4B1A-8623-27A4DF4AD5E4}" showGridLines="0" hiddenRows="1" hiddenColumns="1">
      <selection activeCell="A5" sqref="A5"/>
      <pageMargins left="0.44" right="0.19" top="1" bottom="1" header="0.5" footer="0.5"/>
      <pageSetup paperSize="9" orientation="portrait" horizontalDpi="4294967294" verticalDpi="300" r:id="rId1"/>
      <headerFooter alignWithMargins="0">
        <oddFooter>&amp;LName&amp;CSignature&amp;RDate</oddFooter>
      </headerFooter>
    </customSheetView>
  </customSheetViews>
  <mergeCells count="25">
    <mergeCell ref="D24:E24"/>
    <mergeCell ref="D25:E25"/>
    <mergeCell ref="C33:E33"/>
    <mergeCell ref="C27:E27"/>
    <mergeCell ref="C26:E26"/>
    <mergeCell ref="C28:E29"/>
    <mergeCell ref="C30:E31"/>
    <mergeCell ref="C32:E32"/>
    <mergeCell ref="B14:D14"/>
    <mergeCell ref="B15:D15"/>
    <mergeCell ref="B20:D20"/>
    <mergeCell ref="B16:D16"/>
    <mergeCell ref="B17:D17"/>
    <mergeCell ref="B18:D18"/>
    <mergeCell ref="B19:D19"/>
    <mergeCell ref="B4:D4"/>
    <mergeCell ref="B6:D6"/>
    <mergeCell ref="B7:D7"/>
    <mergeCell ref="B8:D8"/>
    <mergeCell ref="B5:D5"/>
    <mergeCell ref="B13:D13"/>
    <mergeCell ref="B9:D9"/>
    <mergeCell ref="B10:D10"/>
    <mergeCell ref="B11:D11"/>
    <mergeCell ref="B12:D12"/>
  </mergeCells>
  <phoneticPr fontId="0" type="noConversion"/>
  <conditionalFormatting sqref="A5:A20">
    <cfRule type="expression" dxfId="694" priority="2" stopIfTrue="1">
      <formula>$B5=$L$4</formula>
    </cfRule>
  </conditionalFormatting>
  <conditionalFormatting sqref="B5:D20">
    <cfRule type="expression" dxfId="693" priority="1" stopIfTrue="1">
      <formula>$B5=$L$4</formula>
    </cfRule>
  </conditionalFormatting>
  <dataValidations count="10">
    <dataValidation type="list" allowBlank="1" showInputMessage="1" showErrorMessage="1" sqref="C26" xr:uid="{00000000-0002-0000-2300-000000000000}">
      <formula1>$L$23:$L$27</formula1>
    </dataValidation>
    <dataValidation errorStyle="warning" allowBlank="1" showInputMessage="1" showErrorMessage="1" sqref="B303:C561" xr:uid="{00000000-0002-0000-2300-000001000000}"/>
    <dataValidation type="whole" allowBlank="1" showInputMessage="1" showErrorMessage="1" errorTitle="TIFD code" error="Please insert a correct four digit number!" sqref="A5:A13" xr:uid="{00000000-0002-0000-2300-000002000000}">
      <formula1>1000</formula1>
      <formula2>7600</formula2>
    </dataValidation>
    <dataValidation type="list" allowBlank="1" showInputMessage="1" showErrorMessage="1" sqref="E36" xr:uid="{00000000-0002-0000-2300-000003000000}">
      <formula1>$L$35:$L$37</formula1>
    </dataValidation>
    <dataValidation allowBlank="1" showInputMessage="1" showErrorMessage="1" errorTitle="TIFD code" error="Please insert a correct four digit number!" sqref="A14:A20" xr:uid="{00000000-0002-0000-2300-000004000000}"/>
    <dataValidation type="textLength" allowBlank="1" showInputMessage="1" showErrorMessage="1" errorTitle="Item description" error="Please enter a brief description, not exceeding 40 characters, of the item upon which advice has been given!" sqref="B14:D20" xr:uid="{00000000-0002-0000-2300-000005000000}">
      <formula1>4</formula1>
      <formula2>40</formula2>
    </dataValidation>
    <dataValidation type="whole" operator="greaterThanOrEqual" allowBlank="1" showInputMessage="1" showErrorMessage="1" errorTitle="Amount" error="Please enter a positive numeric value!" sqref="E5:E20" xr:uid="{00000000-0002-0000-2300-000006000000}">
      <formula1>0</formula1>
    </dataValidation>
    <dataValidation type="textLength" allowBlank="1" showInputMessage="1" showErrorMessage="1" errorTitle="Surname" error="Check! Accepts srting length between 3 and 20 characters!" sqref="B24" xr:uid="{00000000-0002-0000-2300-000007000000}">
      <formula1>3</formula1>
      <formula2>20</formula2>
    </dataValidation>
    <dataValidation type="textLength" allowBlank="1" showInputMessage="1" showErrorMessage="1" errorTitle="Name" error="Check! Accepts srting length between 3 and 20 characters!" sqref="D24" xr:uid="{00000000-0002-0000-2300-000008000000}">
      <formula1>3</formula1>
      <formula2>20</formula2>
    </dataValidation>
    <dataValidation type="textLength" allowBlank="1" showInputMessage="1" showErrorMessage="1" errorTitle="Advice" error="Please be concise and do not exceed 100 characters!" sqref="C28:E29 C30:E31 C32:E32" xr:uid="{00000000-0002-0000-2300-000009000000}">
      <formula1>10</formula1>
      <formula2>100</formula2>
    </dataValidation>
  </dataValidations>
  <hyperlinks>
    <hyperlink ref="A36" location="Index!a1" display="Index!a1" xr:uid="{00000000-0004-0000-2300-000000000000}"/>
  </hyperlinks>
  <pageMargins left="0.44" right="0.19" top="1" bottom="1" header="0.5" footer="0.5"/>
  <pageSetup paperSize="9" orientation="portrait" r:id="rId2"/>
  <headerFooter alignWithMargins="0">
    <oddFooter>&amp;LName&amp;CSignature&amp;RDate</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6">
    <pageSetUpPr fitToPage="1"/>
  </sheetPr>
  <dimension ref="A1:X58"/>
  <sheetViews>
    <sheetView workbookViewId="0">
      <selection activeCell="J17" sqref="J17"/>
    </sheetView>
  </sheetViews>
  <sheetFormatPr defaultColWidth="0" defaultRowHeight="12.75" zeroHeight="1" x14ac:dyDescent="0.2"/>
  <cols>
    <col min="1" max="1" width="2" style="28" customWidth="1"/>
    <col min="2" max="2" width="23.28515625" style="28" customWidth="1"/>
    <col min="3" max="3" width="7.42578125" style="28" customWidth="1"/>
    <col min="4" max="4" width="10.28515625" style="28" customWidth="1"/>
    <col min="5" max="5" width="0.5703125" style="28" customWidth="1"/>
    <col min="6" max="6" width="12.7109375" style="28" customWidth="1"/>
    <col min="7" max="7" width="0.5703125" style="28" customWidth="1"/>
    <col min="8" max="8" width="12.7109375" style="28" customWidth="1"/>
    <col min="9" max="9" width="0.5703125" style="28" customWidth="1"/>
    <col min="10" max="10" width="12.7109375" style="28" customWidth="1"/>
    <col min="11" max="11" width="0.5703125" style="28" customWidth="1"/>
    <col min="12" max="12" width="11.7109375" style="28" customWidth="1"/>
    <col min="13" max="13" width="19" style="28" customWidth="1"/>
    <col min="14" max="16384" width="9.28515625" style="28" hidden="1"/>
  </cols>
  <sheetData>
    <row r="1" spans="1:23" x14ac:dyDescent="0.2">
      <c r="A1" s="3"/>
      <c r="B1" s="4408" t="str">
        <f>_ref1</f>
      </c>
      <c r="C1" s="4408"/>
      <c r="D1" s="4408"/>
      <c r="E1" s="4408"/>
      <c r="F1" s="4408"/>
      <c r="G1" s="4408"/>
      <c r="H1" s="4408"/>
      <c r="I1" s="4408"/>
      <c r="J1" s="4408"/>
      <c r="K1" s="65"/>
      <c r="L1" s="65" t="str">
        <f>_YA1</f>
      </c>
      <c r="M1" s="3"/>
      <c r="N1" s="28">
        <f>reg</f>
      </c>
      <c r="O1" s="28">
        <f>ya</f>
      </c>
    </row>
    <row r="2" spans="1:23" ht="6" customHeight="1" x14ac:dyDescent="0.2">
      <c r="A2" s="3"/>
      <c r="B2" s="3"/>
      <c r="C2" s="3"/>
      <c r="D2" s="3"/>
      <c r="E2" s="3"/>
      <c r="F2" s="3"/>
      <c r="G2" s="3"/>
      <c r="H2" s="3"/>
      <c r="I2" s="3"/>
      <c r="J2" s="3"/>
      <c r="K2" s="3"/>
      <c r="L2" s="3"/>
      <c r="M2" s="3"/>
      <c r="P2" s="28" t="s">
        <v>4457</v>
      </c>
    </row>
    <row r="3" spans="1:23" ht="15" x14ac:dyDescent="0.2">
      <c r="A3" s="3"/>
      <c r="B3" s="4339" t="s">
        <v>5116</v>
      </c>
      <c r="C3" s="4340"/>
      <c r="D3" s="4340"/>
      <c r="E3" s="4340"/>
      <c r="F3" s="4340"/>
      <c r="G3" s="4340"/>
      <c r="H3" s="4340"/>
      <c r="I3" s="4340"/>
      <c r="J3" s="4340"/>
      <c r="K3" s="4340"/>
      <c r="L3" s="4341"/>
      <c r="M3" s="3"/>
      <c r="P3" s="28" t="s">
        <v>1736</v>
      </c>
    </row>
    <row r="4" spans="1:23" ht="27.75" customHeight="1" x14ac:dyDescent="0.2">
      <c r="A4" s="3"/>
      <c r="B4" s="755" t="str">
        <f>_FTA1</f>
      </c>
      <c r="C4" s="3"/>
      <c r="D4" s="3"/>
      <c r="E4" s="3"/>
      <c r="F4" s="3"/>
      <c r="G4" s="3"/>
      <c r="H4" s="3"/>
      <c r="I4" s="3"/>
      <c r="J4" s="3"/>
      <c r="K4" s="3"/>
      <c r="L4" s="3"/>
      <c r="M4" s="3"/>
    </row>
    <row r="5" spans="1:23" x14ac:dyDescent="0.2">
      <c r="A5" s="3"/>
      <c r="B5" s="4688" t="s">
        <v>5170</v>
      </c>
      <c r="C5" s="4689"/>
      <c r="D5" s="4689"/>
      <c r="E5" s="4689"/>
      <c r="F5" s="4690"/>
      <c r="G5" s="3"/>
      <c r="H5" s="275"/>
      <c r="I5" s="3"/>
      <c r="J5" s="61" t="str">
        <f>IF(O5=1,"",IF(R27&gt;0,"Required!",""))</f>
        <v/>
      </c>
      <c r="K5" s="3"/>
      <c r="L5" s="3"/>
      <c r="M5" s="3"/>
      <c r="N5" s="28">
        <f>IF(J5="",0,1)</f>
      </c>
      <c r="O5" s="28">
        <f>IF(ISBLANK(H5),0,1)</f>
      </c>
      <c r="P5" s="28">
        <f>IF(H5=P2,1,0)</f>
      </c>
    </row>
    <row r="6" spans="1:23" ht="5.25" customHeight="1" x14ac:dyDescent="0.2">
      <c r="A6" s="3"/>
      <c r="B6" s="3"/>
      <c r="C6" s="3"/>
      <c r="D6" s="3"/>
      <c r="E6" s="3"/>
      <c r="F6" s="3"/>
      <c r="G6" s="3"/>
      <c r="H6" s="3"/>
      <c r="I6" s="3"/>
      <c r="J6" s="3"/>
      <c r="K6" s="3"/>
      <c r="L6" s="3"/>
      <c r="M6" s="3"/>
    </row>
    <row r="7" spans="1:23" x14ac:dyDescent="0.2">
      <c r="A7" s="3"/>
      <c r="B7" s="559" t="s">
        <v>5189</v>
      </c>
      <c r="C7" s="128"/>
      <c r="D7" s="128"/>
      <c r="E7" s="128"/>
      <c r="F7" s="128"/>
      <c r="G7" s="128"/>
      <c r="H7" s="128"/>
      <c r="I7" s="128"/>
      <c r="J7" s="128"/>
      <c r="K7" s="128"/>
      <c r="L7" s="174"/>
      <c r="M7" s="3"/>
    </row>
    <row r="8" spans="1:23" ht="79.5" customHeight="1" x14ac:dyDescent="0.2">
      <c r="A8" s="3"/>
      <c r="B8" s="4814" t="s">
        <v>2201</v>
      </c>
      <c r="C8" s="4815"/>
      <c r="D8" s="4815"/>
      <c r="E8" s="4815"/>
      <c r="F8" s="4815"/>
      <c r="G8" s="4815"/>
      <c r="H8" s="4815"/>
      <c r="I8" s="4815"/>
      <c r="J8" s="4815"/>
      <c r="K8" s="4815"/>
      <c r="L8" s="4816"/>
      <c r="M8" s="3"/>
    </row>
    <row r="9" spans="1:23" x14ac:dyDescent="0.2">
      <c r="A9" s="3"/>
      <c r="B9" s="756"/>
      <c r="C9" s="419"/>
      <c r="D9" s="419"/>
      <c r="E9" s="419"/>
      <c r="F9" s="419"/>
      <c r="G9" s="419"/>
      <c r="H9" s="419"/>
      <c r="I9" s="419"/>
      <c r="J9" s="419"/>
      <c r="K9" s="419"/>
      <c r="L9" s="757"/>
      <c r="M9" s="3"/>
      <c r="W9" s="28" t="s">
        <v>5586</v>
      </c>
    </row>
    <row r="10" spans="1:23" ht="13.5" customHeight="1" x14ac:dyDescent="0.2">
      <c r="A10" s="3"/>
      <c r="B10" s="559" t="str">
        <f>IF(H5=P2,W9,W10)</f>
      </c>
      <c r="C10" s="758"/>
      <c r="D10" s="758"/>
      <c r="E10" s="758"/>
      <c r="F10" s="759"/>
      <c r="G10" s="419"/>
      <c r="H10" s="405">
        <f>IF(P5=1,L27,0)</f>
      </c>
      <c r="I10" s="3"/>
      <c r="J10" s="1338" t="s">
        <v>2312</v>
      </c>
      <c r="K10" s="3"/>
      <c r="L10" s="6"/>
      <c r="M10" s="3"/>
      <c r="W10" s="28" t="s">
        <v>6517</v>
      </c>
    </row>
    <row r="11" spans="1:23" ht="13.5" customHeight="1" x14ac:dyDescent="0.2">
      <c r="A11" s="3"/>
      <c r="B11" s="13"/>
      <c r="C11" s="760"/>
      <c r="D11" s="760"/>
      <c r="E11" s="760"/>
      <c r="F11" s="760"/>
      <c r="G11" s="14"/>
      <c r="H11" s="14"/>
      <c r="I11" s="14"/>
      <c r="J11" s="14"/>
      <c r="K11" s="14"/>
      <c r="L11" s="15"/>
      <c r="M11" s="3"/>
    </row>
    <row r="12" spans="1:23" ht="13.5" customHeight="1" x14ac:dyDescent="0.2">
      <c r="A12" s="3"/>
      <c r="B12" s="3"/>
      <c r="C12" s="419"/>
      <c r="D12" s="419"/>
      <c r="E12" s="419"/>
      <c r="F12" s="419"/>
      <c r="G12" s="419"/>
      <c r="H12" s="3"/>
      <c r="I12" s="3"/>
      <c r="J12" s="3"/>
      <c r="K12" s="3"/>
      <c r="L12" s="3"/>
      <c r="M12" s="3"/>
    </row>
    <row r="13" spans="1:23" ht="15" x14ac:dyDescent="0.2">
      <c r="A13" s="3"/>
      <c r="B13" s="4820" t="s">
        <v>2644</v>
      </c>
      <c r="C13" s="4638"/>
      <c r="D13" s="4821"/>
      <c r="E13" s="3"/>
      <c r="F13" s="4817" t="s">
        <v>5587</v>
      </c>
      <c r="G13" s="4818"/>
      <c r="H13" s="4818"/>
      <c r="I13" s="4818"/>
      <c r="J13" s="4818"/>
      <c r="K13" s="4818"/>
      <c r="L13" s="4819"/>
      <c r="M13" s="3"/>
    </row>
    <row r="14" spans="1:23" ht="22.5" x14ac:dyDescent="0.2">
      <c r="A14" s="3"/>
      <c r="B14" s="4726" t="s">
        <v>2726</v>
      </c>
      <c r="C14" s="4726"/>
      <c r="D14" s="533" t="s">
        <v>4177</v>
      </c>
      <c r="E14" s="3"/>
      <c r="F14" s="741" t="s">
        <v>4178</v>
      </c>
      <c r="G14" s="175"/>
      <c r="H14" s="741" t="s">
        <v>4179</v>
      </c>
      <c r="I14" s="17"/>
      <c r="J14" s="741" t="s">
        <v>6669</v>
      </c>
      <c r="K14" s="3"/>
      <c r="L14" s="741" t="s">
        <v>7</v>
      </c>
      <c r="M14" s="3"/>
    </row>
    <row r="15" spans="1:23" ht="2.25" customHeight="1" x14ac:dyDescent="0.2">
      <c r="A15" s="3"/>
      <c r="B15" s="3"/>
      <c r="C15" s="3"/>
      <c r="D15" s="3"/>
      <c r="E15" s="3"/>
      <c r="F15" s="3"/>
      <c r="G15" s="3"/>
      <c r="H15" s="3"/>
      <c r="I15" s="3"/>
      <c r="J15" s="3"/>
      <c r="K15" s="3"/>
      <c r="L15" s="3"/>
      <c r="M15" s="3"/>
    </row>
    <row r="16" spans="1:23" x14ac:dyDescent="0.2">
      <c r="A16" s="3"/>
      <c r="B16" s="4533"/>
      <c r="C16" s="4533"/>
      <c r="D16" s="428"/>
      <c r="E16" s="3"/>
      <c r="F16" s="405">
        <f>H16+J16</f>
      </c>
      <c r="G16" s="34"/>
      <c r="H16" s="223"/>
      <c r="I16" s="50"/>
      <c r="J16" s="223"/>
      <c r="K16" s="50"/>
      <c r="L16" s="761"/>
      <c r="M16" s="222" t="str">
        <f>IF(AND(R27=0,0=O5),"",IF(P16&lt;&gt;5,"Blank cells!",IF(V16=1,"Check 3% tax!","")))</f>
        <v/>
      </c>
      <c r="N16" s="28">
        <f>IF(M16="",0,1)</f>
      </c>
      <c r="P16" s="28">
        <f t="shared" ref="P16:P25" si="0">COUNTA(B16,D16,H16,J16,L16)</f>
      </c>
      <c r="R16" s="28">
        <f>J16*0.03</f>
      </c>
      <c r="S16" s="28">
        <f>R16-3</f>
      </c>
      <c r="T16" s="28">
        <f>R16+3</f>
      </c>
      <c r="V16" s="28">
        <f>IF(L16&lt;S16,1,IF(L16&gt;T16,1,0))</f>
      </c>
    </row>
    <row r="17" spans="1:22" x14ac:dyDescent="0.2">
      <c r="A17" s="3"/>
      <c r="B17" s="4533"/>
      <c r="C17" s="4533"/>
      <c r="D17" s="428"/>
      <c r="E17" s="17"/>
      <c r="F17" s="405">
        <f t="shared" ref="F17:F25" si="1">H17+J17</f>
      </c>
      <c r="G17" s="50"/>
      <c r="H17" s="223"/>
      <c r="I17" s="50"/>
      <c r="J17" s="223"/>
      <c r="K17" s="50"/>
      <c r="L17" s="761"/>
      <c r="M17" s="222" t="str">
        <f t="shared" ref="M17:M25" si="2">IF(P17=0,"",IF(P17&lt;&gt;5,"Blank cells!",IF(V17=1,"Check 3% tax!","")))</f>
        <v/>
      </c>
      <c r="N17" s="28">
        <f t="shared" ref="N17:N25" si="3">IF(M17="",0,1)</f>
      </c>
      <c r="P17" s="28">
        <f t="shared" si="0"/>
        <v>0</v>
      </c>
      <c r="R17" s="28">
        <f t="shared" ref="R17:R25" si="4">J17*0.03</f>
      </c>
      <c r="S17" s="28">
        <f t="shared" ref="S17:S25" si="5">R17-3</f>
      </c>
      <c r="T17" s="28">
        <f t="shared" ref="T17:T25" si="6">R17+3</f>
      </c>
      <c r="V17" s="28">
        <f t="shared" ref="V17:V25" si="7">IF(L17&lt;S17,1,IF(L17&gt;T17,1,0))</f>
      </c>
    </row>
    <row r="18" spans="1:22" x14ac:dyDescent="0.2">
      <c r="A18" s="3"/>
      <c r="B18" s="4533"/>
      <c r="C18" s="4533"/>
      <c r="D18" s="428"/>
      <c r="E18" s="17"/>
      <c r="F18" s="405">
        <f t="shared" si="1"/>
        <v>0</v>
      </c>
      <c r="G18" s="50"/>
      <c r="H18" s="223"/>
      <c r="I18" s="50"/>
      <c r="J18" s="223"/>
      <c r="K18" s="50"/>
      <c r="L18" s="761"/>
      <c r="M18" s="222" t="str">
        <f t="shared" si="2"/>
        <v/>
      </c>
      <c r="N18" s="28">
        <f t="shared" si="3"/>
        <v>0</v>
      </c>
      <c r="P18" s="28">
        <f t="shared" si="0"/>
        <v>0</v>
      </c>
      <c r="R18" s="28">
        <f t="shared" si="4"/>
        <v>0</v>
      </c>
      <c r="S18" s="28">
        <f t="shared" si="5"/>
        <v>-3</v>
      </c>
      <c r="T18" s="28">
        <f t="shared" si="6"/>
        <v>3</v>
      </c>
      <c r="V18" s="28">
        <f t="shared" si="7"/>
        <v>0</v>
      </c>
    </row>
    <row r="19" spans="1:22" x14ac:dyDescent="0.2">
      <c r="A19" s="3"/>
      <c r="B19" s="4533"/>
      <c r="C19" s="4533"/>
      <c r="D19" s="428"/>
      <c r="E19" s="17"/>
      <c r="F19" s="405">
        <f t="shared" si="1"/>
        <v>0</v>
      </c>
      <c r="G19" s="50"/>
      <c r="H19" s="223"/>
      <c r="I19" s="50"/>
      <c r="J19" s="223"/>
      <c r="K19" s="50"/>
      <c r="L19" s="761"/>
      <c r="M19" s="222" t="str">
        <f t="shared" si="2"/>
        <v/>
      </c>
      <c r="N19" s="28">
        <f t="shared" si="3"/>
        <v>0</v>
      </c>
      <c r="P19" s="28">
        <f t="shared" si="0"/>
        <v>0</v>
      </c>
      <c r="R19" s="28">
        <f t="shared" si="4"/>
        <v>0</v>
      </c>
      <c r="S19" s="28">
        <f t="shared" si="5"/>
        <v>-3</v>
      </c>
      <c r="T19" s="28">
        <f t="shared" si="6"/>
        <v>3</v>
      </c>
      <c r="V19" s="28">
        <f t="shared" si="7"/>
        <v>0</v>
      </c>
    </row>
    <row r="20" spans="1:22" x14ac:dyDescent="0.2">
      <c r="A20" s="3"/>
      <c r="B20" s="4533"/>
      <c r="C20" s="4533"/>
      <c r="D20" s="428"/>
      <c r="E20" s="17"/>
      <c r="F20" s="405">
        <f t="shared" si="1"/>
        <v>0</v>
      </c>
      <c r="G20" s="50"/>
      <c r="H20" s="223"/>
      <c r="I20" s="50"/>
      <c r="J20" s="223"/>
      <c r="K20" s="50"/>
      <c r="L20" s="761"/>
      <c r="M20" s="222" t="str">
        <f t="shared" si="2"/>
        <v/>
      </c>
      <c r="N20" s="28">
        <f t="shared" si="3"/>
        <v>0</v>
      </c>
      <c r="P20" s="28">
        <f t="shared" si="0"/>
        <v>0</v>
      </c>
      <c r="R20" s="28">
        <f t="shared" si="4"/>
        <v>0</v>
      </c>
      <c r="S20" s="28">
        <f t="shared" si="5"/>
        <v>-3</v>
      </c>
      <c r="T20" s="28">
        <f t="shared" si="6"/>
        <v>3</v>
      </c>
      <c r="V20" s="28">
        <f t="shared" si="7"/>
        <v>0</v>
      </c>
    </row>
    <row r="21" spans="1:22" x14ac:dyDescent="0.2">
      <c r="A21" s="3"/>
      <c r="B21" s="4533"/>
      <c r="C21" s="4533"/>
      <c r="D21" s="428"/>
      <c r="E21" s="17"/>
      <c r="F21" s="405">
        <f t="shared" si="1"/>
        <v>0</v>
      </c>
      <c r="G21" s="50"/>
      <c r="H21" s="223"/>
      <c r="I21" s="50"/>
      <c r="J21" s="223"/>
      <c r="K21" s="50"/>
      <c r="L21" s="761"/>
      <c r="M21" s="222" t="str">
        <f t="shared" si="2"/>
        <v/>
      </c>
      <c r="N21" s="28">
        <f t="shared" si="3"/>
        <v>0</v>
      </c>
      <c r="P21" s="28">
        <f t="shared" si="0"/>
        <v>0</v>
      </c>
      <c r="R21" s="28">
        <f t="shared" si="4"/>
        <v>0</v>
      </c>
      <c r="S21" s="28">
        <f t="shared" si="5"/>
        <v>-3</v>
      </c>
      <c r="T21" s="28">
        <f t="shared" si="6"/>
        <v>3</v>
      </c>
      <c r="V21" s="28">
        <f t="shared" si="7"/>
        <v>0</v>
      </c>
    </row>
    <row r="22" spans="1:22" x14ac:dyDescent="0.2">
      <c r="A22" s="3"/>
      <c r="B22" s="4533"/>
      <c r="C22" s="4533"/>
      <c r="D22" s="428"/>
      <c r="E22" s="17"/>
      <c r="F22" s="405">
        <f t="shared" si="1"/>
        <v>0</v>
      </c>
      <c r="G22" s="50"/>
      <c r="H22" s="223"/>
      <c r="I22" s="50"/>
      <c r="J22" s="223"/>
      <c r="K22" s="50"/>
      <c r="L22" s="761"/>
      <c r="M22" s="222" t="str">
        <f t="shared" si="2"/>
        <v/>
      </c>
      <c r="N22" s="28">
        <f t="shared" si="3"/>
        <v>0</v>
      </c>
      <c r="P22" s="28">
        <f t="shared" si="0"/>
        <v>0</v>
      </c>
      <c r="R22" s="28">
        <f t="shared" si="4"/>
        <v>0</v>
      </c>
      <c r="S22" s="28">
        <f t="shared" si="5"/>
        <v>-3</v>
      </c>
      <c r="T22" s="28">
        <f t="shared" si="6"/>
        <v>3</v>
      </c>
      <c r="V22" s="28">
        <f t="shared" si="7"/>
        <v>0</v>
      </c>
    </row>
    <row r="23" spans="1:22" x14ac:dyDescent="0.2">
      <c r="A23" s="3"/>
      <c r="B23" s="4533"/>
      <c r="C23" s="4533"/>
      <c r="D23" s="428"/>
      <c r="E23" s="17"/>
      <c r="F23" s="405">
        <f t="shared" si="1"/>
        <v>0</v>
      </c>
      <c r="G23" s="50"/>
      <c r="H23" s="223"/>
      <c r="I23" s="50"/>
      <c r="J23" s="223"/>
      <c r="K23" s="50"/>
      <c r="L23" s="761"/>
      <c r="M23" s="222" t="str">
        <f t="shared" si="2"/>
        <v/>
      </c>
      <c r="N23" s="28">
        <f t="shared" si="3"/>
        <v>0</v>
      </c>
      <c r="P23" s="28">
        <f t="shared" si="0"/>
        <v>0</v>
      </c>
      <c r="R23" s="28">
        <f t="shared" si="4"/>
        <v>0</v>
      </c>
      <c r="S23" s="28">
        <f t="shared" si="5"/>
        <v>-3</v>
      </c>
      <c r="T23" s="28">
        <f t="shared" si="6"/>
        <v>3</v>
      </c>
      <c r="V23" s="28">
        <f t="shared" si="7"/>
        <v>0</v>
      </c>
    </row>
    <row r="24" spans="1:22" x14ac:dyDescent="0.2">
      <c r="A24" s="3"/>
      <c r="B24" s="4533"/>
      <c r="C24" s="4533"/>
      <c r="D24" s="428"/>
      <c r="E24" s="17"/>
      <c r="F24" s="405">
        <f t="shared" si="1"/>
        <v>0</v>
      </c>
      <c r="G24" s="50"/>
      <c r="H24" s="223"/>
      <c r="I24" s="50"/>
      <c r="J24" s="223"/>
      <c r="K24" s="50"/>
      <c r="L24" s="761"/>
      <c r="M24" s="222" t="str">
        <f t="shared" si="2"/>
        <v/>
      </c>
      <c r="N24" s="28">
        <f t="shared" si="3"/>
        <v>0</v>
      </c>
      <c r="P24" s="28">
        <f t="shared" si="0"/>
        <v>0</v>
      </c>
      <c r="R24" s="28">
        <f t="shared" si="4"/>
        <v>0</v>
      </c>
      <c r="S24" s="28">
        <f t="shared" si="5"/>
        <v>-3</v>
      </c>
      <c r="T24" s="28">
        <f t="shared" si="6"/>
        <v>3</v>
      </c>
      <c r="V24" s="28">
        <f t="shared" si="7"/>
        <v>0</v>
      </c>
    </row>
    <row r="25" spans="1:22" x14ac:dyDescent="0.2">
      <c r="A25" s="3"/>
      <c r="B25" s="4533"/>
      <c r="C25" s="4533"/>
      <c r="D25" s="428"/>
      <c r="E25" s="17"/>
      <c r="F25" s="405">
        <f t="shared" si="1"/>
        <v>0</v>
      </c>
      <c r="G25" s="50"/>
      <c r="H25" s="223"/>
      <c r="I25" s="50"/>
      <c r="J25" s="223"/>
      <c r="K25" s="50"/>
      <c r="L25" s="761"/>
      <c r="M25" s="222" t="str">
        <f t="shared" si="2"/>
        <v/>
      </c>
      <c r="N25" s="28">
        <f t="shared" si="3"/>
        <v>0</v>
      </c>
      <c r="P25" s="28">
        <f t="shared" si="0"/>
        <v>0</v>
      </c>
      <c r="R25" s="28">
        <f t="shared" si="4"/>
        <v>0</v>
      </c>
      <c r="S25" s="28">
        <f t="shared" si="5"/>
        <v>-3</v>
      </c>
      <c r="T25" s="28">
        <f t="shared" si="6"/>
        <v>3</v>
      </c>
      <c r="V25" s="28">
        <f t="shared" si="7"/>
        <v>0</v>
      </c>
    </row>
    <row r="26" spans="1:22" ht="3" customHeight="1" x14ac:dyDescent="0.2">
      <c r="A26" s="3"/>
      <c r="B26" s="3"/>
      <c r="C26" s="3"/>
      <c r="D26" s="17"/>
      <c r="E26" s="17"/>
      <c r="F26" s="50"/>
      <c r="G26" s="50"/>
      <c r="H26" s="50"/>
      <c r="I26" s="50"/>
      <c r="J26" s="50"/>
      <c r="K26" s="50"/>
      <c r="L26" s="50"/>
      <c r="M26" s="3"/>
    </row>
    <row r="27" spans="1:22" x14ac:dyDescent="0.2">
      <c r="A27" s="3"/>
      <c r="B27" s="559" t="s">
        <v>5590</v>
      </c>
      <c r="C27" s="128"/>
      <c r="D27" s="762"/>
      <c r="E27" s="17"/>
      <c r="F27" s="405">
        <f>SUM(F16:F25)</f>
      </c>
      <c r="G27" s="50"/>
      <c r="H27" s="405">
        <f>SUM(H16:H25)</f>
      </c>
      <c r="I27" s="50"/>
      <c r="J27" s="405">
        <f>SUM(J16:J25)</f>
      </c>
      <c r="K27" s="50"/>
      <c r="L27" s="405">
        <f>ROUND(SUM(L16:L25),0)</f>
      </c>
      <c r="M27" s="3"/>
      <c r="R27" s="763">
        <f>SUM(F27:L27)+F29</f>
      </c>
    </row>
    <row r="28" spans="1:22" x14ac:dyDescent="0.2">
      <c r="A28" s="3"/>
      <c r="B28" s="4822"/>
      <c r="C28" s="4269"/>
      <c r="D28" s="4269"/>
      <c r="E28" s="4269"/>
      <c r="F28" s="4751"/>
      <c r="G28" s="34"/>
      <c r="H28" s="764"/>
      <c r="I28" s="34"/>
      <c r="J28" s="764"/>
      <c r="K28" s="34"/>
      <c r="L28" s="764"/>
      <c r="M28" s="3"/>
    </row>
    <row r="29" spans="1:22" x14ac:dyDescent="0.2">
      <c r="A29" s="3"/>
      <c r="B29" s="559" t="s">
        <v>5829</v>
      </c>
      <c r="C29" s="128"/>
      <c r="D29" s="174"/>
      <c r="E29" s="3"/>
      <c r="F29" s="510"/>
      <c r="G29" s="50"/>
      <c r="H29" s="765" t="str">
        <f>IF(R27=0,"",IF(ISBLANK(F29),"Required!",""))</f>
        <v/>
      </c>
      <c r="I29" s="50"/>
      <c r="J29" s="766"/>
      <c r="K29" s="50"/>
      <c r="L29" s="766"/>
      <c r="M29" s="3"/>
      <c r="N29" s="28">
        <f>IF(H29="",0,1)</f>
      </c>
    </row>
    <row r="30" spans="1:22" x14ac:dyDescent="0.2">
      <c r="A30" s="3"/>
      <c r="B30" s="4822"/>
      <c r="C30" s="4269"/>
      <c r="D30" s="4269"/>
      <c r="E30" s="4269"/>
      <c r="F30" s="4751"/>
      <c r="G30" s="50"/>
      <c r="H30" s="766"/>
      <c r="I30" s="50"/>
      <c r="J30" s="766"/>
      <c r="K30" s="50"/>
      <c r="L30" s="766"/>
      <c r="M30" s="3"/>
    </row>
    <row r="31" spans="1:22" x14ac:dyDescent="0.2">
      <c r="A31" s="3"/>
      <c r="B31" s="559" t="s">
        <v>5830</v>
      </c>
      <c r="C31" s="128"/>
      <c r="D31" s="174"/>
      <c r="E31" s="3"/>
      <c r="F31" s="544">
        <f>F27-F29</f>
      </c>
      <c r="G31" s="50"/>
      <c r="H31" s="766"/>
      <c r="I31" s="50"/>
      <c r="J31" s="766"/>
      <c r="K31" s="50"/>
      <c r="L31" s="766"/>
      <c r="M31" s="3"/>
    </row>
    <row r="32" spans="1:22" x14ac:dyDescent="0.2">
      <c r="A32" s="3"/>
      <c r="B32" s="11"/>
      <c r="C32" s="3"/>
      <c r="D32" s="3"/>
      <c r="E32" s="3"/>
      <c r="F32" s="50"/>
      <c r="G32" s="50"/>
      <c r="H32" s="766"/>
      <c r="I32" s="50"/>
      <c r="J32" s="766"/>
      <c r="K32" s="50"/>
      <c r="L32" s="766"/>
      <c r="M32" s="3"/>
    </row>
    <row r="33" spans="1:24" x14ac:dyDescent="0.2">
      <c r="A33" s="3"/>
      <c r="B33" s="559" t="s">
        <v>5831</v>
      </c>
      <c r="C33" s="128"/>
      <c r="D33" s="128"/>
      <c r="E33" s="128"/>
      <c r="F33" s="394"/>
      <c r="G33" s="50"/>
      <c r="H33" s="544">
        <f>IF(H5=P2,0,IF(F27=0,0,ROUND(F29*H27/F27,0)))</f>
      </c>
      <c r="I33" s="50"/>
      <c r="J33" s="544">
        <f>IF(H5=P2,0,F29-H33)</f>
      </c>
      <c r="K33" s="50"/>
      <c r="L33" s="766"/>
      <c r="M33" s="3"/>
    </row>
    <row r="34" spans="1:24" x14ac:dyDescent="0.2">
      <c r="A34" s="3"/>
      <c r="B34" s="11"/>
      <c r="C34" s="3"/>
      <c r="D34" s="3"/>
      <c r="E34" s="3"/>
      <c r="F34" s="50"/>
      <c r="G34" s="50"/>
      <c r="H34" s="766"/>
      <c r="I34" s="50"/>
      <c r="J34" s="766"/>
      <c r="K34" s="50"/>
      <c r="L34" s="766"/>
      <c r="M34" s="3"/>
    </row>
    <row r="35" spans="1:24" x14ac:dyDescent="0.2">
      <c r="A35" s="3"/>
      <c r="B35" s="559" t="s">
        <v>5832</v>
      </c>
      <c r="C35" s="128"/>
      <c r="D35" s="128"/>
      <c r="E35" s="128"/>
      <c r="F35" s="394"/>
      <c r="G35" s="50"/>
      <c r="H35" s="766"/>
      <c r="I35" s="50"/>
      <c r="J35" s="544">
        <f>IF(H5=P2,0,ROUND(J27*0.6,0))</f>
      </c>
      <c r="K35" s="50"/>
      <c r="L35" s="766"/>
      <c r="M35" s="3"/>
    </row>
    <row r="36" spans="1:24" x14ac:dyDescent="0.2">
      <c r="A36" s="3"/>
      <c r="B36" s="11"/>
      <c r="C36" s="3"/>
      <c r="D36" s="3"/>
      <c r="E36" s="3"/>
      <c r="F36" s="50"/>
      <c r="G36" s="50"/>
      <c r="H36" s="766"/>
      <c r="I36" s="50"/>
      <c r="J36" s="766"/>
      <c r="K36" s="50"/>
      <c r="L36" s="766"/>
      <c r="M36" s="3"/>
    </row>
    <row r="37" spans="1:24" x14ac:dyDescent="0.2">
      <c r="A37" s="3"/>
      <c r="B37" s="559" t="s">
        <v>2389</v>
      </c>
      <c r="C37" s="128"/>
      <c r="D37" s="128"/>
      <c r="E37" s="128"/>
      <c r="F37" s="394"/>
      <c r="G37" s="50"/>
      <c r="H37" s="544">
        <f>IF(H5=P2,0,H27-H33)</f>
      </c>
      <c r="I37" s="50"/>
      <c r="J37" s="766"/>
      <c r="K37" s="50"/>
      <c r="L37" s="766"/>
      <c r="M37" s="3"/>
    </row>
    <row r="38" spans="1:24" x14ac:dyDescent="0.2">
      <c r="A38" s="3"/>
      <c r="B38" s="11"/>
      <c r="C38" s="3"/>
      <c r="D38" s="3"/>
      <c r="E38" s="3"/>
      <c r="F38" s="50"/>
      <c r="G38" s="50"/>
      <c r="H38" s="50"/>
      <c r="I38" s="34"/>
      <c r="J38" s="196"/>
      <c r="K38" s="34"/>
      <c r="L38" s="196"/>
      <c r="M38" s="3"/>
    </row>
    <row r="39" spans="1:24" x14ac:dyDescent="0.2">
      <c r="A39" s="3"/>
      <c r="B39" s="559" t="s">
        <v>197</v>
      </c>
      <c r="C39" s="128"/>
      <c r="D39" s="128"/>
      <c r="E39" s="128"/>
      <c r="F39" s="767"/>
      <c r="G39" s="767"/>
      <c r="H39" s="347"/>
      <c r="I39" s="34"/>
      <c r="J39" s="544">
        <f>IF(H5=P2,0,J27-J33)</f>
      </c>
      <c r="K39" s="34"/>
      <c r="L39" s="196"/>
      <c r="M39" s="3"/>
    </row>
    <row r="40" spans="1:24" x14ac:dyDescent="0.2">
      <c r="A40" s="3"/>
      <c r="B40" s="11"/>
      <c r="C40" s="3"/>
      <c r="D40" s="3"/>
      <c r="E40" s="3"/>
      <c r="F40" s="50"/>
      <c r="G40" s="50"/>
      <c r="H40" s="50"/>
      <c r="I40" s="34"/>
      <c r="J40" s="196"/>
      <c r="K40" s="34"/>
      <c r="L40" s="196"/>
      <c r="M40" s="3"/>
    </row>
    <row r="41" spans="1:24" x14ac:dyDescent="0.2">
      <c r="A41" s="3"/>
      <c r="B41" s="559" t="s">
        <v>198</v>
      </c>
      <c r="C41" s="128"/>
      <c r="D41" s="128"/>
      <c r="E41" s="128"/>
      <c r="F41" s="767"/>
      <c r="G41" s="767"/>
      <c r="H41" s="174"/>
      <c r="I41" s="34"/>
      <c r="J41" s="768"/>
      <c r="K41" s="50"/>
      <c r="L41" s="544">
        <f>IF(P5=0,L27,0)</f>
      </c>
      <c r="M41" s="3"/>
      <c r="O41" s="84"/>
    </row>
    <row r="42" spans="1:24" x14ac:dyDescent="0.2">
      <c r="A42" s="3"/>
      <c r="B42" s="11"/>
      <c r="C42" s="3"/>
      <c r="D42" s="3"/>
      <c r="E42" s="3"/>
      <c r="F42" s="50"/>
      <c r="G42" s="50"/>
      <c r="H42" s="50"/>
      <c r="I42" s="34"/>
      <c r="J42" s="766"/>
      <c r="K42" s="50"/>
      <c r="L42" s="766"/>
      <c r="M42" s="3"/>
    </row>
    <row r="43" spans="1:24" x14ac:dyDescent="0.2">
      <c r="A43" s="3"/>
      <c r="B43" s="135" t="s">
        <v>393</v>
      </c>
      <c r="C43" s="128"/>
      <c r="D43" s="128"/>
      <c r="E43" s="128"/>
      <c r="F43" s="128"/>
      <c r="G43" s="767"/>
      <c r="H43" s="347"/>
      <c r="I43" s="34"/>
      <c r="J43" s="544">
        <f>IF(P5=1,0,ROUND(J35*0.95,0))</f>
      </c>
      <c r="K43" s="50"/>
      <c r="L43" s="769"/>
      <c r="M43" s="3"/>
      <c r="T43" s="4762" t="s">
        <v>199</v>
      </c>
      <c r="U43" s="4762"/>
      <c r="V43" s="4762"/>
      <c r="W43" s="4762"/>
      <c r="X43" s="4762"/>
    </row>
    <row r="44" spans="1:24" x14ac:dyDescent="0.2">
      <c r="A44" s="3"/>
      <c r="B44" s="679" t="str">
        <f>_xlfn.SINGLE(MTCA)</f>
      </c>
      <c r="C44" s="4823" t="str">
        <f>ver</f>
        <v>TA2_e-CO_2025_Ver 1.1</v>
      </c>
      <c r="D44" s="4823"/>
      <c r="E44" s="4823"/>
      <c r="F44" s="4823"/>
      <c r="G44" s="4823"/>
      <c r="H44" s="4823"/>
      <c r="I44" s="4823"/>
      <c r="J44" s="4823"/>
      <c r="K44" s="50"/>
      <c r="L44" s="536" t="s">
        <v>200</v>
      </c>
      <c r="M44" s="3"/>
      <c r="N44" s="28">
        <f>SUM(N5:N29)</f>
      </c>
      <c r="T44" s="28" t="s">
        <v>3042</v>
      </c>
    </row>
    <row r="45" spans="1:24" x14ac:dyDescent="0.2">
      <c r="A45" s="3"/>
      <c r="B45" s="3"/>
      <c r="C45" s="3"/>
      <c r="D45" s="3"/>
      <c r="E45" s="3"/>
      <c r="F45" s="34"/>
      <c r="G45" s="34"/>
      <c r="H45" s="34"/>
      <c r="I45" s="34"/>
      <c r="J45" s="34"/>
      <c r="K45" s="34"/>
      <c r="L45" s="34"/>
      <c r="M45" s="3"/>
    </row>
    <row r="46" spans="1:24" x14ac:dyDescent="0.2">
      <c r="A46" s="3"/>
      <c r="B46" s="3"/>
      <c r="C46" s="3"/>
      <c r="D46" s="3"/>
      <c r="E46" s="3"/>
      <c r="F46" s="34"/>
      <c r="G46" s="34"/>
      <c r="H46" s="34"/>
      <c r="I46" s="34"/>
      <c r="J46" s="34"/>
      <c r="K46" s="34"/>
      <c r="L46" s="34"/>
      <c r="M46" s="3"/>
    </row>
    <row r="47" spans="1:24" x14ac:dyDescent="0.2">
      <c r="A47" s="3"/>
      <c r="B47" s="4273" t="s">
        <v>6290</v>
      </c>
      <c r="C47" s="4273"/>
      <c r="D47" s="2"/>
      <c r="E47" s="739"/>
      <c r="F47" s="72"/>
      <c r="G47" s="2"/>
      <c r="H47" s="770" t="str">
        <f>COM</f>
      </c>
      <c r="I47" s="34"/>
      <c r="J47" s="275"/>
      <c r="K47" s="34"/>
      <c r="L47" s="34"/>
      <c r="M47" s="3"/>
      <c r="N47" s="28">
        <f>IF(R27=0,0,IF(N44&gt;0,100,IF(J47&lt;&gt;P2,100,1)))</f>
      </c>
    </row>
    <row r="48" spans="1:24" x14ac:dyDescent="0.2">
      <c r="A48" s="3"/>
      <c r="B48" s="34"/>
      <c r="C48" s="34"/>
      <c r="D48" s="34"/>
      <c r="E48" s="34"/>
      <c r="F48" s="34"/>
      <c r="G48" s="34"/>
      <c r="H48" s="34"/>
      <c r="I48" s="34"/>
      <c r="J48" s="34"/>
      <c r="K48" s="34"/>
      <c r="L48" s="34"/>
      <c r="M48" s="3"/>
    </row>
    <row r="49" spans="6:12" hidden="1" x14ac:dyDescent="0.2">
      <c r="F49" s="32"/>
      <c r="G49" s="32"/>
      <c r="H49" s="32"/>
      <c r="I49" s="32"/>
      <c r="J49" s="32"/>
      <c r="K49" s="32"/>
      <c r="L49" s="32"/>
    </row>
    <row r="50" spans="6:12" hidden="1" x14ac:dyDescent="0.2">
      <c r="F50" s="32"/>
      <c r="G50" s="32"/>
      <c r="H50" s="32"/>
      <c r="I50" s="32"/>
      <c r="J50" s="32"/>
      <c r="K50" s="32"/>
      <c r="L50" s="32"/>
    </row>
    <row r="51" spans="6:12" hidden="1" x14ac:dyDescent="0.2">
      <c r="F51" s="32"/>
      <c r="G51" s="32"/>
      <c r="H51" s="32"/>
      <c r="I51" s="32"/>
      <c r="J51" s="32"/>
      <c r="K51" s="32"/>
      <c r="L51" s="32"/>
    </row>
    <row r="52" spans="6:12" hidden="1" x14ac:dyDescent="0.2">
      <c r="F52" s="32"/>
      <c r="G52" s="32"/>
      <c r="H52" s="32"/>
      <c r="I52" s="32"/>
      <c r="J52" s="32"/>
      <c r="K52" s="32"/>
      <c r="L52" s="32"/>
    </row>
    <row r="53" spans="6:12" hidden="1" x14ac:dyDescent="0.2">
      <c r="F53" s="32"/>
      <c r="G53" s="32"/>
      <c r="H53" s="32"/>
      <c r="I53" s="32"/>
      <c r="J53" s="32"/>
      <c r="K53" s="32"/>
      <c r="L53" s="32"/>
    </row>
    <row r="54" spans="6:12" hidden="1" x14ac:dyDescent="0.2">
      <c r="F54" s="32"/>
      <c r="G54" s="32"/>
      <c r="H54" s="32"/>
      <c r="I54" s="32"/>
      <c r="J54" s="32"/>
      <c r="K54" s="32"/>
      <c r="L54" s="32"/>
    </row>
    <row r="55" spans="6:12" hidden="1" x14ac:dyDescent="0.2">
      <c r="F55" s="32"/>
      <c r="G55" s="32"/>
      <c r="H55" s="32"/>
      <c r="I55" s="32"/>
      <c r="J55" s="32"/>
      <c r="K55" s="32"/>
      <c r="L55" s="32"/>
    </row>
    <row r="56" spans="6:12" hidden="1" x14ac:dyDescent="0.2">
      <c r="F56" s="32"/>
      <c r="G56" s="32"/>
      <c r="H56" s="32"/>
      <c r="I56" s="32"/>
      <c r="J56" s="32"/>
      <c r="K56" s="32"/>
      <c r="L56" s="32"/>
    </row>
    <row r="57" spans="6:12" hidden="1" x14ac:dyDescent="0.2">
      <c r="F57" s="32"/>
      <c r="G57" s="32"/>
      <c r="H57" s="32"/>
      <c r="I57" s="32"/>
      <c r="J57" s="32"/>
      <c r="K57" s="32"/>
      <c r="L57" s="32"/>
    </row>
    <row r="58" spans="6:12" hidden="1" x14ac:dyDescent="0.2">
      <c r="F58" s="32"/>
      <c r="G58" s="32"/>
      <c r="H58" s="32"/>
      <c r="I58" s="32"/>
      <c r="J58" s="32"/>
      <c r="K58" s="32"/>
      <c r="L58" s="32"/>
    </row>
  </sheetData>
  <sheetProtection algorithmName="SHA-512" hashValue="Ya4q9RS9mIZeeU99I2g4JcN5MhHcIReOglLWKDhNJ5SpzQvEPhfwQsnjbcYGyxQ87vfYUqwkFxHGlgjg2S3Ing==" saltValue="wxJaU+uTRgtiSJWkymhHVA==" spinCount="100000" sheet="1" objects="1" scenarios="1"/>
  <customSheetViews>
    <customSheetView guid="{99B5278F-6EA9-4B1A-8623-27A4DF4AD5E4}" fitToPage="1" hiddenRows="1" hiddenColumns="1">
      <selection activeCell="H5" sqref="H5"/>
      <pageMargins left="0.26" right="0.13" top="1" bottom="1" header="0.5" footer="0.5"/>
      <pageSetup paperSize="9" scale="89" orientation="portrait" horizontalDpi="300" verticalDpi="300" r:id="rId1"/>
      <headerFooter alignWithMargins="0">
        <oddFooter>&amp;LName&amp;CSignature&amp;RDate</oddFooter>
      </headerFooter>
    </customSheetView>
  </customSheetViews>
  <mergeCells count="22">
    <mergeCell ref="T43:X43"/>
    <mergeCell ref="B47:C47"/>
    <mergeCell ref="B25:C25"/>
    <mergeCell ref="B28:F28"/>
    <mergeCell ref="B30:F30"/>
    <mergeCell ref="C44:J44"/>
    <mergeCell ref="B24:C24"/>
    <mergeCell ref="B14:C14"/>
    <mergeCell ref="B16:C16"/>
    <mergeCell ref="B13:D13"/>
    <mergeCell ref="B18:C18"/>
    <mergeCell ref="B23:C23"/>
    <mergeCell ref="B22:C22"/>
    <mergeCell ref="B19:C19"/>
    <mergeCell ref="B20:C20"/>
    <mergeCell ref="B21:C21"/>
    <mergeCell ref="B17:C17"/>
    <mergeCell ref="B1:J1"/>
    <mergeCell ref="B3:L3"/>
    <mergeCell ref="B5:F5"/>
    <mergeCell ref="B8:L8"/>
    <mergeCell ref="F13:L13"/>
  </mergeCells>
  <phoneticPr fontId="0" type="noConversion"/>
  <conditionalFormatting sqref="B7:L9 L10 B11:L11">
    <cfRule type="expression" dxfId="692" priority="4" stopIfTrue="1">
      <formula>$P$5=0</formula>
    </cfRule>
  </conditionalFormatting>
  <conditionalFormatting sqref="B32:L32 A33:M43">
    <cfRule type="expression" dxfId="691" priority="1" stopIfTrue="1">
      <formula>$P$5=1</formula>
    </cfRule>
  </conditionalFormatting>
  <conditionalFormatting sqref="G10">
    <cfRule type="expression" dxfId="690" priority="5" stopIfTrue="1">
      <formula>$P$5=1</formula>
    </cfRule>
  </conditionalFormatting>
  <conditionalFormatting sqref="H10">
    <cfRule type="expression" dxfId="689" priority="8" stopIfTrue="1">
      <formula>$P$5=0</formula>
    </cfRule>
  </conditionalFormatting>
  <conditionalFormatting sqref="H28:L31">
    <cfRule type="expression" dxfId="688" priority="2" stopIfTrue="1">
      <formula>$P$5=1</formula>
    </cfRule>
  </conditionalFormatting>
  <conditionalFormatting sqref="I10">
    <cfRule type="expression" dxfId="687" priority="6" stopIfTrue="1">
      <formula>$P$5=1</formula>
    </cfRule>
  </conditionalFormatting>
  <conditionalFormatting sqref="J10">
    <cfRule type="expression" dxfId="686" priority="7" stopIfTrue="1">
      <formula>$P$5=0</formula>
    </cfRule>
  </conditionalFormatting>
  <conditionalFormatting sqref="K10">
    <cfRule type="expression" dxfId="685" priority="3" stopIfTrue="1">
      <formula>$P$5=0</formula>
    </cfRule>
  </conditionalFormatting>
  <dataValidations count="9">
    <dataValidation type="whole" allowBlank="1" showInputMessage="1" showErrorMessage="1" errorTitle="Withholding Tax" error="Amount entered does not represent 3% of qualifying sales!" sqref="F16:F25" xr:uid="{00000000-0002-0000-2400-000000000000}">
      <formula1>J16</formula1>
      <formula2>K16</formula2>
    </dataValidation>
    <dataValidation type="list" allowBlank="1" showInputMessage="1" showErrorMessage="1" sqref="H5 J47" xr:uid="{00000000-0002-0000-2400-000001000000}">
      <formula1>$P$1:$P$3</formula1>
    </dataValidation>
    <dataValidation type="textLength" operator="greaterThan" allowBlank="1" showInputMessage="1" showErrorMessage="1" errorTitle="Name of Payor" error="Please input the correct name!" sqref="B16:B25" xr:uid="{00000000-0002-0000-2400-000002000000}">
      <formula1>7</formula1>
    </dataValidation>
    <dataValidation type="whole" allowBlank="1" showInputMessage="1" showErrorMessage="1" errorTitle="SAP number" error="Please enter numeric values!" sqref="D16:D25" xr:uid="{00000000-0002-0000-2400-000003000000}">
      <formula1>1</formula1>
      <formula2>200</formula2>
    </dataValidation>
    <dataValidation type="whole" operator="greaterThanOrEqual" allowBlank="1" showInputMessage="1" showErrorMessage="1" errorTitle="Non-qualifying sales" error="Please enter a whole positive numeric value!_x000a_" sqref="H16:H25" xr:uid="{00000000-0002-0000-2400-000004000000}">
      <formula1>0</formula1>
    </dataValidation>
    <dataValidation type="whole" operator="greaterThanOrEqual" allowBlank="1" showInputMessage="1" showErrorMessage="1" errorTitle="Qualifying sales" error="Please enter a whole positive numeric value!_x000a_" sqref="J16:J25" xr:uid="{00000000-0002-0000-2400-000005000000}">
      <formula1>0</formula1>
    </dataValidation>
    <dataValidation type="decimal" allowBlank="1" showInputMessage="1" showErrorMessage="1" errorTitle="Withholding Tax" error="Amount entered does not represent 3% of qualifying sales!" sqref="L16:L25" xr:uid="{00000000-0002-0000-2400-000006000000}">
      <formula1>S16</formula1>
      <formula2>T16</formula2>
    </dataValidation>
    <dataValidation type="whole" operator="greaterThanOrEqual" allowBlank="1" showInputMessage="1" showErrorMessage="1" errorTitle="Expenditure" error="Please enter a whole positive numeric value!" sqref="F29" xr:uid="{00000000-0002-0000-2400-000007000000}">
      <formula1>0</formula1>
    </dataValidation>
    <dataValidation type="list" allowBlank="1" showInputMessage="1" showErrorMessage="1" sqref="G47" xr:uid="{00000000-0002-0000-2400-000008000000}">
      <formula1>$H$61:$H$63</formula1>
    </dataValidation>
  </dataValidations>
  <hyperlinks>
    <hyperlink ref="B47" location="Index!b43" display="Index!b43" xr:uid="{00000000-0004-0000-2400-000000000000}"/>
    <hyperlink ref="B47:C47" location="Index!a1" display="Index!a1" xr:uid="{00000000-0004-0000-2400-000001000000}"/>
    <hyperlink ref="J10" location="TRA31!G59" display="TRA31!G59" xr:uid="{00000000-0004-0000-2400-000002000000}"/>
  </hyperlinks>
  <pageMargins left="0.26" right="0.13" top="1" bottom="1" header="0.5" footer="0.5"/>
  <pageSetup paperSize="9" scale="89" orientation="portrait" r:id="rId2"/>
  <headerFooter alignWithMargins="0">
    <oddFooter>&amp;LName&amp;CSignature&amp;RDate</oddFooter>
  </headerFooter>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pageSetUpPr fitToPage="1"/>
  </sheetPr>
  <dimension ref="A1:CP205"/>
  <sheetViews>
    <sheetView topLeftCell="XFD1048576" zoomScaleNormal="100" workbookViewId="0">
      <selection activeCell="C3" sqref="C1:K1048576"/>
    </sheetView>
  </sheetViews>
  <sheetFormatPr defaultColWidth="0" defaultRowHeight="12.75" zeroHeight="1" x14ac:dyDescent="0.2"/>
  <cols>
    <col min="1" max="1" width="0" style="28" hidden="1" customWidth="1"/>
    <col min="2" max="2" width="0.5703125" style="28" hidden="1" customWidth="1"/>
    <col min="3" max="3" width="15.42578125" style="28" hidden="1" customWidth="1"/>
    <col min="4" max="4" width="21.42578125" style="28" hidden="1" customWidth="1"/>
    <col min="5" max="5" width="1.7109375" style="28" hidden="1" customWidth="1"/>
    <col min="6" max="6" width="11.42578125" style="28" hidden="1" customWidth="1"/>
    <col min="7" max="7" width="11.28515625" style="28" hidden="1" customWidth="1"/>
    <col min="8" max="8" width="10.7109375" style="28" hidden="1" customWidth="1"/>
    <col min="9" max="9" width="11" style="28" hidden="1" customWidth="1"/>
    <col min="10" max="10" width="11.28515625" style="28" hidden="1" customWidth="1"/>
    <col min="11" max="11" width="28.5703125" style="28" hidden="1" customWidth="1"/>
    <col min="12" max="17" width="10.7109375" style="28" hidden="1" customWidth="1"/>
    <col min="18" max="19" width="13.28515625" style="28" hidden="1" customWidth="1"/>
    <col min="20" max="27" width="9.28515625" style="28" hidden="1" customWidth="1"/>
    <col min="28" max="28" width="24.42578125" style="28" hidden="1" customWidth="1"/>
    <col min="29" max="30" width="9.28515625" style="92" hidden="1" customWidth="1"/>
    <col min="31" max="78" width="9.28515625" style="28" hidden="1" customWidth="1"/>
    <col min="79" max="79" width="5" style="28" hidden="1" customWidth="1"/>
    <col min="80" max="81" width="10.28515625" style="28" hidden="1" customWidth="1"/>
    <col min="82" max="16384" width="9.28515625" style="28" hidden="1"/>
  </cols>
  <sheetData>
    <row r="1" spans="1:94" hidden="1" x14ac:dyDescent="0.2">
      <c r="A1" s="30"/>
      <c r="C1" s="30" t="s">
        <v>6423</v>
      </c>
      <c r="P1" s="771"/>
      <c r="BZ1" s="28" t="s">
        <v>3694</v>
      </c>
      <c r="CA1" s="28" t="s">
        <v>3080</v>
      </c>
    </row>
    <row r="2" spans="1:94" hidden="1" x14ac:dyDescent="0.2">
      <c r="B2" s="3"/>
      <c r="C2" s="4408" t="str">
        <f>_ref1</f>
      </c>
      <c r="D2" s="4408"/>
      <c r="E2" s="4408"/>
      <c r="F2" s="4408"/>
      <c r="G2" s="4408"/>
      <c r="H2" s="4408"/>
      <c r="I2" s="4408"/>
      <c r="J2" s="539" t="str">
        <f>_YA1</f>
      </c>
      <c r="K2" s="3"/>
      <c r="R2" s="74"/>
    </row>
    <row r="3" spans="1:94" ht="3.75" hidden="1" customHeight="1" x14ac:dyDescent="0.2">
      <c r="B3" s="3"/>
      <c r="C3" s="3"/>
      <c r="D3" s="3"/>
      <c r="E3" s="3"/>
      <c r="F3" s="3"/>
      <c r="G3" s="3"/>
      <c r="H3" s="3"/>
      <c r="I3" s="3"/>
      <c r="J3" s="3"/>
      <c r="K3" s="3"/>
      <c r="R3" s="74"/>
      <c r="CB3" s="74">
        <f>DATE(ya,12,31)</f>
      </c>
      <c r="CC3" s="74">
        <v>38353</v>
      </c>
    </row>
    <row r="4" spans="1:94" ht="15" hidden="1" x14ac:dyDescent="0.2">
      <c r="B4" s="3"/>
      <c r="C4" s="1648" t="s">
        <v>2421</v>
      </c>
      <c r="D4" s="189"/>
      <c r="E4" s="189"/>
      <c r="F4" s="189"/>
      <c r="G4" s="189"/>
      <c r="H4" s="189"/>
      <c r="I4" s="189"/>
      <c r="J4" s="190"/>
      <c r="K4" s="4836" t="str">
        <f>IF(G7=A199,"Not entitled to benefits - Cancel any data entered in this sheet and check whether TRA01 applies!","")</f>
        <v/>
      </c>
      <c r="AC4" s="492" t="s">
        <v>3082</v>
      </c>
      <c r="AD4" s="492"/>
      <c r="BZ4" s="28" t="s">
        <v>5206</v>
      </c>
      <c r="CA4" s="28" t="s">
        <v>5207</v>
      </c>
      <c r="CB4" s="74">
        <f>DATE(ya,9,30)</f>
      </c>
      <c r="CC4" s="74">
        <v>38717</v>
      </c>
      <c r="CP4" s="28" t="s">
        <v>6521</v>
      </c>
    </row>
    <row r="5" spans="1:94" ht="14.25" hidden="1" x14ac:dyDescent="0.2">
      <c r="B5" s="3"/>
      <c r="C5" s="1120" t="s">
        <v>3172</v>
      </c>
      <c r="D5" s="178"/>
      <c r="E5" s="178"/>
      <c r="F5" s="178"/>
      <c r="G5" s="178"/>
      <c r="H5" s="178"/>
      <c r="I5" s="178"/>
      <c r="J5" s="179"/>
      <c r="K5" s="4836"/>
      <c r="AB5" s="28" t="s">
        <v>2999</v>
      </c>
      <c r="AC5" s="28" t="s">
        <v>3000</v>
      </c>
      <c r="BZ5" s="28" t="s">
        <v>3001</v>
      </c>
      <c r="CA5" s="28" t="s">
        <v>3002</v>
      </c>
      <c r="CB5" s="74">
        <f>DATE(ya,6,30)</f>
      </c>
      <c r="CC5" s="74">
        <v>39813</v>
      </c>
    </row>
    <row r="6" spans="1:94" ht="18.75" hidden="1" customHeight="1" x14ac:dyDescent="0.2">
      <c r="B6" s="3"/>
      <c r="C6" s="773" t="s">
        <v>3003</v>
      </c>
      <c r="D6" s="180"/>
      <c r="E6" s="180"/>
      <c r="F6" s="180"/>
      <c r="G6" s="180"/>
      <c r="H6" s="180"/>
      <c r="I6" s="180"/>
      <c r="J6" s="181"/>
      <c r="K6" s="4836"/>
      <c r="AB6" s="28" t="s">
        <v>3004</v>
      </c>
      <c r="AC6" s="28" t="s">
        <v>3005</v>
      </c>
      <c r="AD6" s="92">
        <v>0.35</v>
      </c>
      <c r="BZ6" s="28" t="s">
        <v>2932</v>
      </c>
      <c r="CA6" s="28" t="s">
        <v>2933</v>
      </c>
      <c r="CB6" s="74">
        <f>DATE(ya-1,12,31)</f>
      </c>
    </row>
    <row r="7" spans="1:94" hidden="1" x14ac:dyDescent="0.2">
      <c r="B7" s="3"/>
      <c r="C7" s="4408" t="s">
        <v>3478</v>
      </c>
      <c r="D7" s="4408"/>
      <c r="E7" s="3"/>
      <c r="F7" s="3"/>
      <c r="G7" s="774"/>
      <c r="H7" s="61" t="str">
        <f>IF($P$8=0,"",IF(ISBLANK(G7),re,IF(G7=A199,"&lt; Clear cell!","")))</f>
        <v/>
      </c>
      <c r="I7" s="3"/>
      <c r="J7" s="3"/>
      <c r="K7" s="3"/>
      <c r="AB7" s="28" t="s">
        <v>1090</v>
      </c>
      <c r="AC7" s="28" t="s">
        <v>1091</v>
      </c>
      <c r="AD7" s="92">
        <v>0.35</v>
      </c>
      <c r="CB7" s="74"/>
    </row>
    <row r="8" spans="1:94" ht="14.25" hidden="1" customHeight="1" x14ac:dyDescent="0.2">
      <c r="B8" s="3"/>
      <c r="C8" s="3" t="s">
        <v>1092</v>
      </c>
      <c r="D8" s="3"/>
      <c r="E8" s="3"/>
      <c r="F8" s="3"/>
      <c r="G8" s="202"/>
      <c r="H8" s="61" t="str">
        <f>IF($P$8=0,"",IF(ISBLANK(G8),re,""))</f>
        <v/>
      </c>
      <c r="I8" s="4837" t="str">
        <f>IF(F33=0,"",IF(P8&lt;&gt;11,"All data is required!",""))</f>
        <v/>
      </c>
      <c r="J8" s="4837"/>
      <c r="K8" s="3"/>
      <c r="L8" s="28">
        <f>IF(H8="",0,1)</f>
      </c>
      <c r="N8" s="28">
        <f>IF(I8="",0,1)</f>
      </c>
      <c r="P8" s="28">
        <f>COUNTA(G8,G7,G16,G13,G14,G12,G11,G10,G18,I19,I20,H57)</f>
      </c>
      <c r="Q8" s="28">
        <v>11</v>
      </c>
      <c r="AB8" s="28" t="s">
        <v>1093</v>
      </c>
      <c r="AC8" s="28" t="s">
        <v>1094</v>
      </c>
      <c r="AD8" s="92">
        <v>0.14000000000000001</v>
      </c>
      <c r="CA8" s="28" t="s">
        <v>1095</v>
      </c>
      <c r="CB8" s="74">
        <f>G12+1096</f>
      </c>
    </row>
    <row r="9" spans="1:94" hidden="1" x14ac:dyDescent="0.2">
      <c r="B9" s="3"/>
      <c r="C9" s="3" t="s">
        <v>3967</v>
      </c>
      <c r="D9" s="3"/>
      <c r="E9" s="3"/>
      <c r="F9" s="3"/>
      <c r="G9" s="1339"/>
      <c r="H9" s="3"/>
      <c r="I9" s="3"/>
      <c r="J9" s="3"/>
      <c r="K9" s="3"/>
      <c r="AB9" s="28" t="s">
        <v>3621</v>
      </c>
      <c r="AC9" s="28" t="s">
        <v>3622</v>
      </c>
      <c r="AD9" s="92">
        <v>0.35</v>
      </c>
    </row>
    <row r="10" spans="1:94" hidden="1" x14ac:dyDescent="0.2">
      <c r="B10" s="3"/>
      <c r="C10" s="3"/>
      <c r="D10" s="4754" t="s">
        <v>1759</v>
      </c>
      <c r="E10" s="4754"/>
      <c r="F10" s="4755"/>
      <c r="G10" s="775"/>
      <c r="H10" s="61" t="str">
        <f>IF($P$8=0,"",IF(ISBLANK(G10),re,""))</f>
        <v/>
      </c>
      <c r="I10" s="3"/>
      <c r="J10" s="3"/>
      <c r="K10" s="3"/>
      <c r="L10" s="28">
        <f t="shared" ref="L10:L18" si="0">IF(H10="",0,1)</f>
      </c>
      <c r="AB10" s="28" t="s">
        <v>1760</v>
      </c>
      <c r="AC10" s="28" t="s">
        <v>1761</v>
      </c>
      <c r="AD10" s="92">
        <v>0.105</v>
      </c>
    </row>
    <row r="11" spans="1:94" hidden="1" x14ac:dyDescent="0.2">
      <c r="B11" s="3"/>
      <c r="C11" s="3"/>
      <c r="D11" s="4754" t="s">
        <v>1762</v>
      </c>
      <c r="E11" s="4754"/>
      <c r="F11" s="4755"/>
      <c r="G11" s="776"/>
      <c r="H11" s="61" t="str">
        <f>IF($P$8=0,"",IF(ISBLANK(G11),re,""))</f>
        <v/>
      </c>
      <c r="I11" s="3"/>
      <c r="J11" s="3"/>
      <c r="K11" s="3"/>
      <c r="L11" s="28">
        <f t="shared" si="0"/>
        <v>0</v>
      </c>
      <c r="AB11" s="28" t="s">
        <v>1763</v>
      </c>
      <c r="AC11" s="28" t="s">
        <v>1764</v>
      </c>
      <c r="AD11" s="92">
        <v>0.105</v>
      </c>
    </row>
    <row r="12" spans="1:94" hidden="1" x14ac:dyDescent="0.2">
      <c r="B12" s="3"/>
      <c r="C12" s="3" t="s">
        <v>4777</v>
      </c>
      <c r="D12" s="3"/>
      <c r="E12" s="3"/>
      <c r="F12" s="3"/>
      <c r="G12" s="775"/>
      <c r="H12" s="61" t="str">
        <f>IF($P$8=0,"",IF(ISBLANK(G12),re,""))</f>
        <v/>
      </c>
      <c r="I12" s="3"/>
      <c r="J12" s="3"/>
      <c r="K12" s="3"/>
      <c r="L12" s="28">
        <f t="shared" si="0"/>
        <v>0</v>
      </c>
      <c r="AB12" s="777" t="s">
        <v>4778</v>
      </c>
      <c r="AC12" s="28" t="s">
        <v>4779</v>
      </c>
      <c r="AD12" s="92">
        <v>0.17499999999999999</v>
      </c>
    </row>
    <row r="13" spans="1:94" hidden="1" x14ac:dyDescent="0.2">
      <c r="B13" s="3"/>
      <c r="C13" s="3" t="s">
        <v>4780</v>
      </c>
      <c r="D13" s="3"/>
      <c r="E13" s="3"/>
      <c r="F13" s="3"/>
      <c r="G13" s="775"/>
      <c r="H13" s="61" t="str">
        <f>IF($P$8=0,"",IF(ISBLANK(G13),re,IF(G13-G12&gt;O13,more36,IF(G13&lt;G12,"Earlier than commencement!",""))))</f>
        <v/>
      </c>
      <c r="I13" s="3"/>
      <c r="J13" s="3"/>
      <c r="K13" s="3"/>
      <c r="L13" s="28">
        <f t="shared" si="0"/>
        <v>0</v>
      </c>
      <c r="N13" s="778"/>
      <c r="O13" s="779">
        <f>(365*3)+1</f>
      </c>
      <c r="P13" s="74"/>
      <c r="AC13" s="28"/>
    </row>
    <row r="14" spans="1:94" hidden="1" x14ac:dyDescent="0.2">
      <c r="B14" s="3"/>
      <c r="C14" s="3" t="s">
        <v>4781</v>
      </c>
      <c r="D14" s="3"/>
      <c r="E14" s="3"/>
      <c r="F14" s="3"/>
      <c r="G14" s="288"/>
      <c r="H14" s="61" t="str">
        <f>IF($P$8=0,"",IF(ISBLANK(G14),re,""))</f>
        <v/>
      </c>
      <c r="I14" s="3"/>
      <c r="J14" s="3"/>
      <c r="K14" s="3"/>
      <c r="L14" s="28">
        <f t="shared" si="0"/>
        <v>0</v>
      </c>
      <c r="N14" s="28">
        <f>YEAR(G12)</f>
      </c>
      <c r="O14" s="28">
        <f>YEAR(G13)</f>
      </c>
      <c r="P14" s="28">
        <f>N14+1</f>
      </c>
      <c r="Q14" s="28">
        <f>IF(N14+2&gt;ya,ya,N14+1)</f>
      </c>
      <c r="AB14" s="4824" t="s">
        <v>4782</v>
      </c>
      <c r="AC14" s="4824"/>
      <c r="AD14" s="4824"/>
    </row>
    <row r="15" spans="1:94" ht="4.5" hidden="1" customHeight="1" x14ac:dyDescent="0.2">
      <c r="B15" s="3"/>
      <c r="C15" s="3"/>
      <c r="D15" s="3"/>
      <c r="E15" s="3"/>
      <c r="F15" s="3"/>
      <c r="G15" s="3"/>
      <c r="H15" s="3"/>
      <c r="I15" s="3"/>
      <c r="J15" s="3"/>
      <c r="K15" s="3"/>
      <c r="AB15" s="28" t="s">
        <v>4783</v>
      </c>
      <c r="AC15" s="92" t="s">
        <v>4784</v>
      </c>
      <c r="AD15" s="92">
        <v>1</v>
      </c>
    </row>
    <row r="16" spans="1:94" hidden="1" x14ac:dyDescent="0.2">
      <c r="B16" s="3"/>
      <c r="C16" s="65" t="s">
        <v>6019</v>
      </c>
      <c r="D16" s="3"/>
      <c r="E16" s="3"/>
      <c r="F16" s="3"/>
      <c r="G16" s="4834"/>
      <c r="H16" s="4834"/>
      <c r="I16" s="61" t="str">
        <f>IF($P$8=0,"",IF(ISBLANK(G16),re,""))</f>
        <v/>
      </c>
      <c r="J16" s="3"/>
      <c r="K16" s="3"/>
      <c r="L16" s="28">
        <f>IF(I16="",0,1)</f>
      </c>
      <c r="N16" s="30">
        <f>COUNTA(G16,G7,I19,I20)</f>
      </c>
      <c r="R16" s="28">
        <f>IF(G16=A203,1,IF(G16=A204,2,IF(G16=A205,3,0)))</f>
      </c>
      <c r="AB16" s="28" t="s">
        <v>6020</v>
      </c>
      <c r="AC16" s="92" t="s">
        <v>4784</v>
      </c>
      <c r="AD16" s="92">
        <v>0.7</v>
      </c>
    </row>
    <row r="17" spans="2:30" ht="4.5" hidden="1" customHeight="1" x14ac:dyDescent="0.2">
      <c r="B17" s="3"/>
      <c r="C17" s="3"/>
      <c r="D17" s="3"/>
      <c r="E17" s="3"/>
      <c r="F17" s="3"/>
      <c r="G17" s="3"/>
      <c r="H17" s="3"/>
      <c r="I17" s="3"/>
      <c r="J17" s="3"/>
      <c r="K17" s="3"/>
      <c r="L17" s="28">
        <f>IF(H7="",0,1)</f>
      </c>
      <c r="R17" s="28">
        <f>IF(G7=A200,1,0)</f>
      </c>
      <c r="AB17" s="28" t="s">
        <v>5055</v>
      </c>
      <c r="AC17" s="92" t="s">
        <v>4784</v>
      </c>
      <c r="AD17" s="92">
        <v>0.45</v>
      </c>
    </row>
    <row r="18" spans="2:30" hidden="1" x14ac:dyDescent="0.2">
      <c r="B18" s="3"/>
      <c r="C18" s="3" t="s">
        <v>5056</v>
      </c>
      <c r="D18" s="3"/>
      <c r="E18" s="3"/>
      <c r="F18" s="3"/>
      <c r="G18" s="288"/>
      <c r="H18" s="780" t="str">
        <f>IF(P8=0,"",IF(H25=0,"",IF(ISBLANK(G18),pere,"")))</f>
        <v/>
      </c>
      <c r="I18" s="3"/>
      <c r="J18" s="3"/>
      <c r="K18" s="3"/>
      <c r="L18" s="28">
        <f t="shared" si="0"/>
        <v>0</v>
      </c>
      <c r="Q18" s="30">
        <f>IF(V25=0,0,999999)</f>
      </c>
    </row>
    <row r="19" spans="2:30" hidden="1" x14ac:dyDescent="0.2">
      <c r="B19" s="3"/>
      <c r="C19" s="17" t="s">
        <v>5038</v>
      </c>
      <c r="D19" s="3"/>
      <c r="E19" s="3"/>
      <c r="F19" s="3"/>
      <c r="G19" s="3"/>
      <c r="H19" s="3"/>
      <c r="I19" s="331"/>
      <c r="J19" s="61" t="str">
        <f>IF($P$8=0,"",IF(ISBLANK(I19),re,""))</f>
        <v/>
      </c>
      <c r="K19" s="3"/>
      <c r="L19" s="28">
        <f>IF(J19="",0,1)</f>
      </c>
      <c r="P19" s="28">
        <f>IF(ISBLANK(I19),0,IF(I19=$A$199,0,1))</f>
      </c>
      <c r="Q19" s="28" t="str">
        <f>IF(R19="A","(2)(a)",IF(R19="C","(2)(b)",""))</f>
        <v/>
      </c>
      <c r="R19" s="28" t="str">
        <f>IF(N16&lt;&gt;4,"No tax credit",IF(P19=0,"No tax credit",IF(P20=0,"",IF(P20=1,"A","C"))))</f>
      </c>
      <c r="S19" s="28" t="s">
        <v>4356</v>
      </c>
      <c r="AB19" s="4824" t="s">
        <v>4357</v>
      </c>
      <c r="AC19" s="4824"/>
      <c r="AD19" s="4824"/>
    </row>
    <row r="20" spans="2:30" hidden="1" x14ac:dyDescent="0.2">
      <c r="B20" s="3"/>
      <c r="C20" s="17" t="s">
        <v>6277</v>
      </c>
      <c r="D20" s="3"/>
      <c r="E20" s="3"/>
      <c r="F20" s="3"/>
      <c r="G20" s="3"/>
      <c r="H20" s="3"/>
      <c r="I20" s="331"/>
      <c r="J20" s="61" t="str">
        <f>IF($P$8=0,"",IF(ISBLANK(I20),re,""))</f>
        <v/>
      </c>
      <c r="K20" s="3"/>
      <c r="L20" s="28">
        <f>IF(J20="",0,1)</f>
      </c>
      <c r="P20" s="28">
        <f>IF(ISBLANK(I20),0,IF(I20=$A$199,1,2))</f>
      </c>
      <c r="Q20" s="28" t="str">
        <f>IF(R21="B","(3)(a)",IF(R21="D","(3)(b)","(4)"))</f>
      </c>
      <c r="S20" s="182" t="str">
        <f>"Tax Credit for year          Rule 11"&amp;Q19</f>
      </c>
      <c r="AB20" s="28" t="s">
        <v>2999</v>
      </c>
      <c r="AC20" s="28" t="s">
        <v>3000</v>
      </c>
    </row>
    <row r="21" spans="2:30" ht="4.5" hidden="1" customHeight="1" x14ac:dyDescent="0.2">
      <c r="B21" s="3"/>
      <c r="C21" s="3"/>
      <c r="D21" s="3"/>
      <c r="E21" s="3"/>
      <c r="F21" s="3"/>
      <c r="G21" s="3"/>
      <c r="H21" s="3"/>
      <c r="I21" s="3"/>
      <c r="J21" s="3"/>
      <c r="K21" s="3"/>
      <c r="R21" s="28" t="str">
        <f>IF(P19=0,"None",IF(P20=2,"E",IF(R17=1,"B","D")))</f>
      </c>
      <c r="S21" s="182" t="str">
        <f>"Threshold on total expenditure Rule 11"&amp;Q20</f>
      </c>
      <c r="AB21" s="28" t="s">
        <v>3004</v>
      </c>
      <c r="AC21" s="28" t="s">
        <v>3005</v>
      </c>
      <c r="AD21" s="92">
        <v>0.35</v>
      </c>
    </row>
    <row r="22" spans="2:30" hidden="1" x14ac:dyDescent="0.2">
      <c r="B22" s="3"/>
      <c r="C22" s="4832" t="s">
        <v>6278</v>
      </c>
      <c r="D22" s="4832"/>
      <c r="E22" s="3"/>
      <c r="F22" s="4835" t="s">
        <v>6925</v>
      </c>
      <c r="G22" s="4835"/>
      <c r="H22" s="4835"/>
      <c r="I22" s="4835"/>
      <c r="J22" s="4835"/>
      <c r="K22" s="61" t="str">
        <f>IF(P8=0,"",IF(ISBLANK(G16),"R&amp;D description G16 required!",""))</f>
        <v/>
      </c>
      <c r="L22" s="28">
        <f>IF(K22="",0,1)</f>
      </c>
      <c r="AB22" s="28" t="s">
        <v>1090</v>
      </c>
      <c r="AC22" s="28" t="s">
        <v>1091</v>
      </c>
      <c r="AD22" s="92">
        <v>0.35</v>
      </c>
    </row>
    <row r="23" spans="2:30" ht="67.5" hidden="1" customHeight="1" x14ac:dyDescent="0.2">
      <c r="B23" s="3"/>
      <c r="C23" s="4832"/>
      <c r="D23" s="4832"/>
      <c r="E23" s="3"/>
      <c r="F23" s="782" t="s">
        <v>6926</v>
      </c>
      <c r="G23" s="783" t="s">
        <v>6927</v>
      </c>
      <c r="H23" s="783" t="s">
        <v>6928</v>
      </c>
      <c r="I23" s="783" t="s">
        <v>1667</v>
      </c>
      <c r="J23" s="783" t="s">
        <v>3961</v>
      </c>
      <c r="K23" s="3"/>
      <c r="M23" s="183" t="s">
        <v>6294</v>
      </c>
      <c r="N23" s="184" t="s">
        <v>5723</v>
      </c>
      <c r="O23" s="184" t="s">
        <v>6705</v>
      </c>
      <c r="W23" s="28" t="s">
        <v>6706</v>
      </c>
      <c r="AB23" s="28" t="s">
        <v>1093</v>
      </c>
      <c r="AC23" s="28" t="s">
        <v>1094</v>
      </c>
      <c r="AD23" s="92">
        <v>0.14000000000000001</v>
      </c>
    </row>
    <row r="24" spans="2:30" ht="4.1500000000000004" hidden="1" customHeight="1" x14ac:dyDescent="0.2">
      <c r="B24" s="3"/>
      <c r="C24" s="3"/>
      <c r="D24" s="3"/>
      <c r="E24" s="3"/>
      <c r="F24" s="784"/>
      <c r="G24" s="3"/>
      <c r="H24" s="3"/>
      <c r="I24" s="3"/>
      <c r="J24" s="3"/>
      <c r="K24" s="3"/>
      <c r="AB24" s="28" t="s">
        <v>3621</v>
      </c>
      <c r="AC24" s="28" t="s">
        <v>3622</v>
      </c>
      <c r="AD24" s="92">
        <v>0.35</v>
      </c>
    </row>
    <row r="25" spans="2:30" hidden="1" x14ac:dyDescent="0.2">
      <c r="B25" s="3"/>
      <c r="C25" s="3" t="s">
        <v>3004</v>
      </c>
      <c r="D25" s="3"/>
      <c r="E25" s="3"/>
      <c r="F25" s="785"/>
      <c r="G25" s="785"/>
      <c r="H25" s="785"/>
      <c r="I25" s="786">
        <f>G25+H25</f>
      </c>
      <c r="J25" s="787">
        <f>IF(I25&gt;F25,F25,I25)</f>
      </c>
      <c r="K25" s="648" t="str">
        <f>IF(R25=0,"",IF(P25&lt;&gt;Q25,"&lt; All relevant data required or 0!",IF(G25+H25&gt;F25,max,"")))</f>
        <v/>
      </c>
      <c r="L25" s="28">
        <f>IF(K25="",0,IF(K25=max,0,1))</f>
      </c>
      <c r="M25" s="28">
        <f>IF($R$19=$S$19,0,IF(ISBLANK($G$16),0,IF($R$21="B",F25*VLOOKUP($G$16,TableB,3,FALSE),IF($R$21="D",F25*VLOOKUP($G$16,TableD,3,FALSE),IF($R$21="E",F25*VLOOKUP($G$16,TableE,3,FALSE))))))</f>
      </c>
      <c r="N25" s="28">
        <f t="shared" ref="N25:N31" si="1">IF($R$19=$S$19,0,IF(S25=0,0,IF($R$19="A",S25*VLOOKUP(C25,tableA,3,FALSE),IF($R$19="C",S25*VLOOKUP(C25,TableC,3,FALSE)))))</f>
      </c>
      <c r="O25" s="28">
        <f>IF($R$19=$S$19,0,IF(T25=0,0,IF($R$19="A",T25*VLOOKUP(C25,tableA,3,FALSE),IF($R$19="C",T25*VLOOKUP(C25,TableC,3,FALSE)))))</f>
      </c>
      <c r="P25" s="28">
        <f>IF(G$14=ya,2,3)</f>
      </c>
      <c r="Q25" s="28">
        <f>COUNT(F25:H25)</f>
      </c>
      <c r="R25" s="32">
        <f>SUM(F25:J25)</f>
      </c>
      <c r="S25" s="28">
        <f t="shared" ref="S25:S31" si="2">IF(G25&gt;F25,F25,G25)</f>
      </c>
      <c r="T25" s="28">
        <f>IF(F25&lt;G25,0,IF(H25&gt;F25-G25,F25-G25,H25))</f>
      </c>
      <c r="U25" s="28">
        <f>SUM(S25:T25)</f>
      </c>
      <c r="V25" s="28">
        <f>G25+H25</f>
      </c>
      <c r="W25" s="28">
        <f>IF(ya=G14,0,F25)</f>
      </c>
      <c r="X25" s="32"/>
      <c r="AB25" s="28" t="s">
        <v>1760</v>
      </c>
      <c r="AC25" s="28" t="s">
        <v>1761</v>
      </c>
      <c r="AD25" s="92">
        <v>0.105</v>
      </c>
    </row>
    <row r="26" spans="2:30" hidden="1" x14ac:dyDescent="0.2">
      <c r="B26" s="3"/>
      <c r="C26" s="3" t="s">
        <v>1090</v>
      </c>
      <c r="D26" s="3"/>
      <c r="E26" s="3"/>
      <c r="F26" s="785"/>
      <c r="G26" s="785"/>
      <c r="H26" s="724"/>
      <c r="I26" s="786">
        <f t="shared" ref="I26:I31" si="3">G26+H26</f>
      </c>
      <c r="J26" s="787">
        <f t="shared" ref="J26:J31" si="4">IF(I26&gt;F26,F26,I26)</f>
      </c>
      <c r="K26" s="648" t="str">
        <f t="shared" ref="K26:K31" si="5">IF(R26=0,"",IF(P26&lt;&gt;Q26,"&lt; All relevant data required or 0!",IF(G26+H26&gt;F26,max,"")))</f>
        <v/>
      </c>
      <c r="L26" s="28">
        <f t="shared" ref="L26:L31" si="6">IF(K26="",0,IF(K26=max,0,1))</f>
      </c>
      <c r="M26" s="28">
        <f t="shared" ref="M26:M31" si="7">IF($R$19=$S$19,0,IF(ISBLANK($G$16),0,IF($R$21="B",F26*VLOOKUP($G$16,TableB,3,FALSE),IF($R$21="D",F26*VLOOKUP($G$16,TableD,3,FALSE),IF($R$21="E",F26*VLOOKUP($G$16,TableE,3,FALSE))))))</f>
      </c>
      <c r="N26" s="28">
        <f t="shared" si="1"/>
        <v>0</v>
      </c>
      <c r="O26" s="28">
        <f t="shared" ref="O26:O31" si="8">IF($R$19=$S$19,0,IF(T26=0,0,IF($R$19="A",T26*VLOOKUP(C26,tableA,3,FALSE),IF($R$19="C",T26*VLOOKUP(C26,TableC,3,FALSE)))))</f>
      </c>
      <c r="P26" s="28">
        <f t="shared" ref="P26:P31" si="9">IF(G$14=ya,2,3)</f>
      </c>
      <c r="Q26" s="28">
        <f t="shared" ref="Q26:Q31" si="10">COUNT(F26:H26)</f>
      </c>
      <c r="R26" s="32">
        <f t="shared" ref="R26:R31" si="11">SUM(F26:J26)</f>
      </c>
      <c r="S26" s="28">
        <f t="shared" si="2"/>
        <v>0</v>
      </c>
      <c r="T26" s="28">
        <f t="shared" ref="T26:T31" si="12">IF(F26&lt;G26,0,IF(H26&gt;F26-G26,F26-G26,H26))</f>
      </c>
      <c r="U26" s="28">
        <f t="shared" ref="U26:U31" si="13">SUM(S26:T26)</f>
      </c>
      <c r="V26" s="28">
        <f t="shared" ref="V26:V31" si="14">SUM(G26:H26)</f>
      </c>
      <c r="W26" s="28">
        <f>IF(ya=G14,0,F26)</f>
      </c>
      <c r="AB26" s="28" t="s">
        <v>1763</v>
      </c>
      <c r="AC26" s="28" t="s">
        <v>1764</v>
      </c>
      <c r="AD26" s="92">
        <v>0.105</v>
      </c>
    </row>
    <row r="27" spans="2:30" hidden="1" x14ac:dyDescent="0.2">
      <c r="B27" s="3"/>
      <c r="C27" s="3" t="s">
        <v>1093</v>
      </c>
      <c r="D27" s="3"/>
      <c r="E27" s="3"/>
      <c r="F27" s="785"/>
      <c r="G27" s="785"/>
      <c r="H27" s="724"/>
      <c r="I27" s="786">
        <f t="shared" si="3"/>
        <v>0</v>
      </c>
      <c r="J27" s="787">
        <f t="shared" si="4"/>
        <v>0</v>
      </c>
      <c r="K27" s="648" t="str">
        <f t="shared" si="5"/>
        <v/>
      </c>
      <c r="L27" s="28">
        <f t="shared" si="6"/>
        <v>0</v>
      </c>
      <c r="M27" s="28">
        <f t="shared" si="7"/>
        <v>0</v>
      </c>
      <c r="N27" s="28">
        <f t="shared" si="1"/>
        <v>0</v>
      </c>
      <c r="O27" s="28">
        <f t="shared" si="8"/>
        <v>0</v>
      </c>
      <c r="P27" s="28">
        <f t="shared" si="9"/>
        <v>3</v>
      </c>
      <c r="Q27" s="28">
        <f t="shared" si="10"/>
        <v>0</v>
      </c>
      <c r="R27" s="32">
        <f t="shared" si="11"/>
        <v>0</v>
      </c>
      <c r="S27" s="28">
        <f t="shared" si="2"/>
        <v>0</v>
      </c>
      <c r="T27" s="28">
        <f t="shared" si="12"/>
        <v>0</v>
      </c>
      <c r="U27" s="28">
        <f t="shared" si="13"/>
        <v>0</v>
      </c>
      <c r="V27" s="28">
        <f t="shared" si="14"/>
        <v>0</v>
      </c>
      <c r="W27" s="28">
        <f>IF(ya=G14,0,F27)</f>
      </c>
      <c r="AB27" s="777" t="s">
        <v>4778</v>
      </c>
      <c r="AC27" s="28" t="s">
        <v>4779</v>
      </c>
      <c r="AD27" s="92">
        <v>0.1225</v>
      </c>
    </row>
    <row r="28" spans="2:30" ht="12.75" hidden="1" customHeight="1" x14ac:dyDescent="0.2">
      <c r="B28" s="3"/>
      <c r="C28" s="3" t="s">
        <v>3621</v>
      </c>
      <c r="D28" s="3"/>
      <c r="E28" s="3"/>
      <c r="F28" s="785"/>
      <c r="G28" s="785"/>
      <c r="H28" s="724"/>
      <c r="I28" s="786">
        <f t="shared" si="3"/>
        <v>0</v>
      </c>
      <c r="J28" s="787">
        <f t="shared" si="4"/>
        <v>0</v>
      </c>
      <c r="K28" s="648" t="str">
        <f t="shared" si="5"/>
        <v/>
      </c>
      <c r="L28" s="28">
        <f t="shared" si="6"/>
        <v>0</v>
      </c>
      <c r="M28" s="28">
        <f t="shared" si="7"/>
        <v>0</v>
      </c>
      <c r="N28" s="28">
        <f t="shared" si="1"/>
        <v>0</v>
      </c>
      <c r="O28" s="28">
        <f t="shared" si="8"/>
        <v>0</v>
      </c>
      <c r="P28" s="28">
        <f t="shared" si="9"/>
        <v>3</v>
      </c>
      <c r="Q28" s="28">
        <f t="shared" si="10"/>
        <v>0</v>
      </c>
      <c r="R28" s="32">
        <f t="shared" si="11"/>
        <v>0</v>
      </c>
      <c r="S28" s="28">
        <f t="shared" si="2"/>
        <v>0</v>
      </c>
      <c r="T28" s="28">
        <f t="shared" si="12"/>
        <v>0</v>
      </c>
      <c r="U28" s="28">
        <f t="shared" si="13"/>
        <v>0</v>
      </c>
      <c r="V28" s="28">
        <f t="shared" si="14"/>
        <v>0</v>
      </c>
      <c r="W28" s="28">
        <f>IF(ya=G14,0,F28)</f>
      </c>
    </row>
    <row r="29" spans="2:30" hidden="1" x14ac:dyDescent="0.2">
      <c r="B29" s="3"/>
      <c r="C29" s="3" t="s">
        <v>1760</v>
      </c>
      <c r="D29" s="3"/>
      <c r="E29" s="3"/>
      <c r="F29" s="785"/>
      <c r="G29" s="785"/>
      <c r="H29" s="724"/>
      <c r="I29" s="786">
        <f t="shared" si="3"/>
        <v>0</v>
      </c>
      <c r="J29" s="787">
        <f t="shared" si="4"/>
        <v>0</v>
      </c>
      <c r="K29" s="648" t="str">
        <f t="shared" si="5"/>
        <v/>
      </c>
      <c r="L29" s="28">
        <f t="shared" si="6"/>
        <v>0</v>
      </c>
      <c r="M29" s="28">
        <f t="shared" si="7"/>
        <v>0</v>
      </c>
      <c r="N29" s="28">
        <f t="shared" si="1"/>
        <v>0</v>
      </c>
      <c r="O29" s="28">
        <f t="shared" si="8"/>
        <v>0</v>
      </c>
      <c r="P29" s="28">
        <f t="shared" si="9"/>
        <v>3</v>
      </c>
      <c r="Q29" s="28">
        <f t="shared" si="10"/>
        <v>0</v>
      </c>
      <c r="R29" s="32">
        <f t="shared" si="11"/>
        <v>0</v>
      </c>
      <c r="S29" s="28">
        <f t="shared" si="2"/>
        <v>0</v>
      </c>
      <c r="T29" s="28">
        <f t="shared" si="12"/>
        <v>0</v>
      </c>
      <c r="U29" s="28">
        <f t="shared" si="13"/>
        <v>0</v>
      </c>
      <c r="V29" s="28">
        <f t="shared" si="14"/>
        <v>0</v>
      </c>
      <c r="W29" s="28">
        <f>IF(ya=G14,0,F29)</f>
      </c>
      <c r="AB29" s="4824" t="s">
        <v>6707</v>
      </c>
      <c r="AC29" s="4824"/>
      <c r="AD29" s="4824"/>
    </row>
    <row r="30" spans="2:30" hidden="1" x14ac:dyDescent="0.2">
      <c r="B30" s="3"/>
      <c r="C30" s="3" t="s">
        <v>1763</v>
      </c>
      <c r="D30" s="3"/>
      <c r="E30" s="3"/>
      <c r="F30" s="785"/>
      <c r="G30" s="785"/>
      <c r="H30" s="724"/>
      <c r="I30" s="786">
        <f t="shared" si="3"/>
        <v>0</v>
      </c>
      <c r="J30" s="787">
        <f t="shared" si="4"/>
        <v>0</v>
      </c>
      <c r="K30" s="648" t="str">
        <f t="shared" si="5"/>
        <v/>
      </c>
      <c r="L30" s="28">
        <f t="shared" si="6"/>
        <v>0</v>
      </c>
      <c r="M30" s="28">
        <f t="shared" si="7"/>
        <v>0</v>
      </c>
      <c r="N30" s="28">
        <f t="shared" si="1"/>
        <v>0</v>
      </c>
      <c r="O30" s="28">
        <f t="shared" si="8"/>
        <v>0</v>
      </c>
      <c r="P30" s="28">
        <f t="shared" si="9"/>
        <v>3</v>
      </c>
      <c r="Q30" s="28">
        <f t="shared" si="10"/>
        <v>0</v>
      </c>
      <c r="R30" s="32">
        <f t="shared" si="11"/>
        <v>0</v>
      </c>
      <c r="S30" s="28">
        <f t="shared" si="2"/>
        <v>0</v>
      </c>
      <c r="T30" s="28">
        <f t="shared" si="12"/>
        <v>0</v>
      </c>
      <c r="U30" s="28">
        <f t="shared" si="13"/>
        <v>0</v>
      </c>
      <c r="V30" s="28">
        <f t="shared" si="14"/>
        <v>0</v>
      </c>
      <c r="W30" s="28">
        <f>IF(ya=G14,0,F30)</f>
      </c>
      <c r="AB30" s="28" t="s">
        <v>4783</v>
      </c>
      <c r="AC30" s="92" t="s">
        <v>4784</v>
      </c>
      <c r="AD30" s="92">
        <v>1</v>
      </c>
    </row>
    <row r="31" spans="2:30" hidden="1" x14ac:dyDescent="0.2">
      <c r="B31" s="3"/>
      <c r="C31" s="358" t="s">
        <v>4778</v>
      </c>
      <c r="D31" s="649"/>
      <c r="E31" s="3"/>
      <c r="F31" s="724"/>
      <c r="G31" s="724"/>
      <c r="H31" s="724"/>
      <c r="I31" s="786">
        <f t="shared" si="3"/>
        <v>0</v>
      </c>
      <c r="J31" s="786">
        <f t="shared" si="4"/>
        <v>0</v>
      </c>
      <c r="K31" s="648" t="str">
        <f t="shared" si="5"/>
        <v/>
      </c>
      <c r="L31" s="28">
        <f t="shared" si="6"/>
        <v>0</v>
      </c>
      <c r="M31" s="28">
        <f t="shared" si="7"/>
        <v>0</v>
      </c>
      <c r="N31" s="28">
        <f t="shared" si="1"/>
        <v>0</v>
      </c>
      <c r="O31" s="28">
        <f t="shared" si="8"/>
        <v>0</v>
      </c>
      <c r="P31" s="28">
        <f t="shared" si="9"/>
        <v>3</v>
      </c>
      <c r="Q31" s="28">
        <f t="shared" si="10"/>
        <v>0</v>
      </c>
      <c r="R31" s="32">
        <f t="shared" si="11"/>
        <v>0</v>
      </c>
      <c r="S31" s="28">
        <f t="shared" si="2"/>
        <v>0</v>
      </c>
      <c r="T31" s="28">
        <f t="shared" si="12"/>
        <v>0</v>
      </c>
      <c r="U31" s="28">
        <f t="shared" si="13"/>
        <v>0</v>
      </c>
      <c r="V31" s="28">
        <f t="shared" si="14"/>
        <v>0</v>
      </c>
      <c r="W31" s="28">
        <f>IF(ya=G14,0,F31)</f>
      </c>
      <c r="AB31" s="28" t="s">
        <v>6020</v>
      </c>
      <c r="AC31" s="92" t="s">
        <v>4784</v>
      </c>
      <c r="AD31" s="92">
        <v>0.6</v>
      </c>
    </row>
    <row r="32" spans="2:30" hidden="1" x14ac:dyDescent="0.2">
      <c r="B32" s="3"/>
      <c r="C32" s="185" t="s">
        <v>6708</v>
      </c>
      <c r="D32" s="649"/>
      <c r="E32" s="3"/>
      <c r="F32" s="3"/>
      <c r="G32" s="3"/>
      <c r="H32" s="3"/>
      <c r="I32" s="3"/>
      <c r="J32" s="3"/>
      <c r="K32" s="3"/>
      <c r="AB32" s="28" t="s">
        <v>5055</v>
      </c>
      <c r="AC32" s="92" t="s">
        <v>4784</v>
      </c>
      <c r="AD32" s="92">
        <v>0.35</v>
      </c>
    </row>
    <row r="33" spans="2:30" ht="13.5" hidden="1" thickBot="1" x14ac:dyDescent="0.25">
      <c r="B33" s="3"/>
      <c r="C33" s="3" t="s">
        <v>5590</v>
      </c>
      <c r="D33" s="3"/>
      <c r="E33" s="3"/>
      <c r="F33" s="788">
        <f>SUM(F25:F31)</f>
      </c>
      <c r="G33" s="788">
        <f>SUM(G25:G31)</f>
      </c>
      <c r="H33" s="786">
        <f>SUM(H25:H31)</f>
      </c>
      <c r="I33" s="788">
        <f>SUM(I25:I31)</f>
      </c>
      <c r="J33" s="788">
        <f>SUM(J25:J31)</f>
      </c>
      <c r="K33" s="3"/>
      <c r="M33" s="28">
        <f>ROUND(SUM(M25,M26:M31),0)</f>
      </c>
      <c r="N33" s="28">
        <f>ROUND(SUM(N25,N26:N31),0)</f>
      </c>
      <c r="Q33" s="43">
        <f>SUM(Q25:Q31)</f>
      </c>
      <c r="S33" s="28">
        <f>SUM(S25:S31)</f>
      </c>
      <c r="T33" s="28">
        <f>SUM(T25:T31)</f>
      </c>
      <c r="U33" s="28">
        <f>SUM(U25:U31)</f>
      </c>
      <c r="V33" s="28">
        <f>SUM(V25:V31)</f>
      </c>
      <c r="W33" s="28">
        <f>SUM(W25:W31)</f>
      </c>
    </row>
    <row r="34" spans="2:30" ht="13.5" hidden="1" thickTop="1" x14ac:dyDescent="0.2">
      <c r="B34" s="3"/>
      <c r="C34" s="327" t="s">
        <v>5761</v>
      </c>
      <c r="D34" s="3"/>
      <c r="E34" s="3"/>
      <c r="F34" s="34"/>
      <c r="G34" s="789"/>
      <c r="H34" s="790"/>
      <c r="I34" s="780" t="str">
        <f>IF(G33=0,"",IF(ISBLANK(H34),reo,IF(H34&gt;G33,"&lt; More than previous expenditure in cell G33!","")))</f>
        <v/>
      </c>
      <c r="J34" s="3"/>
      <c r="K34" s="3"/>
      <c r="L34" s="28">
        <f>IF(I34="",0,1)</f>
      </c>
      <c r="AB34" s="4824" t="s">
        <v>5762</v>
      </c>
      <c r="AC34" s="4824"/>
      <c r="AD34" s="4824"/>
    </row>
    <row r="35" spans="2:30" hidden="1" x14ac:dyDescent="0.2">
      <c r="B35" s="3"/>
      <c r="C35" s="65" t="s">
        <v>5763</v>
      </c>
      <c r="D35" s="3"/>
      <c r="E35" s="3"/>
      <c r="F35" s="34"/>
      <c r="G35" s="789"/>
      <c r="H35" s="787">
        <f>SUM(H33:H34)</f>
      </c>
      <c r="I35" s="34"/>
      <c r="J35" s="3"/>
      <c r="K35" s="3"/>
      <c r="N35" s="28">
        <f>IF(I34="",0,1)</f>
      </c>
      <c r="AB35" s="28" t="s">
        <v>4783</v>
      </c>
      <c r="AC35" s="92" t="s">
        <v>4784</v>
      </c>
      <c r="AD35" s="92">
        <v>1</v>
      </c>
    </row>
    <row r="36" spans="2:30" hidden="1" x14ac:dyDescent="0.2">
      <c r="B36" s="3"/>
      <c r="C36" s="327" t="s">
        <v>5117</v>
      </c>
      <c r="D36" s="3"/>
      <c r="E36" s="3"/>
      <c r="F36" s="34"/>
      <c r="G36" s="328"/>
      <c r="H36" s="724"/>
      <c r="I36" s="706" t="str">
        <f>IF(H33+G33=0,"",IF(ISBLANK(H36),reo,IF(H36&gt;H35,"&lt; Exceeds expenditure available for deduction in cell H35!","")))</f>
        <v/>
      </c>
      <c r="J36" s="3"/>
      <c r="K36" s="3"/>
      <c r="L36" s="28">
        <f>IF(I36="",0,1)</f>
      </c>
      <c r="AB36" s="28" t="s">
        <v>6020</v>
      </c>
      <c r="AC36" s="92" t="s">
        <v>4784</v>
      </c>
      <c r="AD36" s="92">
        <v>0.75</v>
      </c>
    </row>
    <row r="37" spans="2:30" ht="13.5" hidden="1" thickBot="1" x14ac:dyDescent="0.25">
      <c r="B37" s="3"/>
      <c r="C37" s="327" t="s">
        <v>782</v>
      </c>
      <c r="D37" s="3"/>
      <c r="E37" s="3"/>
      <c r="F37" s="34"/>
      <c r="G37" s="34"/>
      <c r="H37" s="791">
        <f>IF(H36&gt;H35,0,H35-H36)</f>
      </c>
      <c r="I37" s="34"/>
      <c r="J37" s="3"/>
      <c r="K37" s="3"/>
      <c r="N37" s="28">
        <f>IF(I36="",0,1)</f>
      </c>
      <c r="AB37" s="28" t="s">
        <v>5055</v>
      </c>
      <c r="AC37" s="92" t="s">
        <v>4784</v>
      </c>
      <c r="AD37" s="92">
        <v>0.5</v>
      </c>
    </row>
    <row r="38" spans="2:30" ht="2.25" hidden="1" customHeight="1" thickTop="1" x14ac:dyDescent="0.2">
      <c r="B38" s="3"/>
      <c r="C38" s="34"/>
      <c r="D38" s="34"/>
      <c r="E38" s="34"/>
      <c r="F38" s="34"/>
      <c r="G38" s="34"/>
      <c r="H38" s="34"/>
      <c r="I38" s="34"/>
      <c r="J38" s="3"/>
      <c r="K38" s="3"/>
    </row>
    <row r="39" spans="2:30" ht="3.75" hidden="1" customHeight="1" x14ac:dyDescent="0.2">
      <c r="B39" s="3"/>
      <c r="C39" s="3"/>
      <c r="D39" s="3"/>
      <c r="E39" s="3"/>
      <c r="F39" s="3"/>
      <c r="G39" s="3"/>
      <c r="H39" s="3"/>
      <c r="I39" s="3"/>
      <c r="J39" s="3"/>
      <c r="K39" s="3"/>
    </row>
    <row r="40" spans="2:30" hidden="1" x14ac:dyDescent="0.2">
      <c r="B40" s="3"/>
      <c r="C40" s="4832" t="s">
        <v>6278</v>
      </c>
      <c r="D40" s="4832"/>
      <c r="E40" s="3"/>
      <c r="F40" s="4826" t="s">
        <v>783</v>
      </c>
      <c r="G40" s="4833"/>
      <c r="H40" s="4827"/>
      <c r="I40" s="4826" t="s">
        <v>784</v>
      </c>
      <c r="J40" s="4827"/>
      <c r="K40" s="283" t="str">
        <f>IF(P8=0,"",IF(R19=S19,S19,IF(K22="","",K22)))</f>
        <v/>
      </c>
      <c r="L40" s="28">
        <f>IF(K40="",0,1)</f>
      </c>
    </row>
    <row r="41" spans="2:30" ht="48" hidden="1" x14ac:dyDescent="0.2">
      <c r="B41" s="3"/>
      <c r="C41" s="4832"/>
      <c r="D41" s="4832"/>
      <c r="E41" s="3"/>
      <c r="F41" s="782" t="str">
        <f>S21</f>
      </c>
      <c r="G41" s="782" t="s">
        <v>3962</v>
      </c>
      <c r="H41" s="783" t="s">
        <v>785</v>
      </c>
      <c r="I41" s="782" t="s">
        <v>2957</v>
      </c>
      <c r="J41" s="782" t="str">
        <f>S20</f>
      </c>
      <c r="K41" s="3"/>
    </row>
    <row r="42" spans="2:30" hidden="1" x14ac:dyDescent="0.2">
      <c r="B42" s="3"/>
      <c r="C42" s="4832"/>
      <c r="D42" s="4832"/>
      <c r="E42" s="3"/>
      <c r="F42" s="792" t="str">
        <f>IF(R19=S19,"",IF(N16&lt;&gt;4,"","Table "&amp;R21))</f>
        <v/>
      </c>
      <c r="G42" s="4828" t="str">
        <f>IF(N16&lt;&gt;4,"",IF(R19=S19,"","Rule 11(5)"))</f>
        <v/>
      </c>
      <c r="H42" s="4829"/>
      <c r="I42" s="4830" t="str">
        <f>IF(N16&lt;&gt;4,"",IF(R19=S19,"","Table "&amp;R19))</f>
        <v/>
      </c>
      <c r="J42" s="4831"/>
      <c r="K42" s="3"/>
      <c r="M42" s="28" t="s">
        <v>6940</v>
      </c>
      <c r="N42" s="28" t="s">
        <v>2958</v>
      </c>
      <c r="O42" s="28" t="s">
        <v>2959</v>
      </c>
    </row>
    <row r="43" spans="2:30" hidden="1" x14ac:dyDescent="0.2">
      <c r="B43" s="3"/>
      <c r="C43" s="3" t="s">
        <v>3004</v>
      </c>
      <c r="D43" s="3"/>
      <c r="E43" s="3"/>
      <c r="F43" s="786">
        <f>Q43</f>
      </c>
      <c r="G43" s="223"/>
      <c r="H43" s="786">
        <f>IF(G43&gt;Q43,0,Q43-G43)</f>
      </c>
      <c r="I43" s="786">
        <f>ROUND(N43,0)</f>
      </c>
      <c r="J43" s="786">
        <f>IF(I43&gt;H43,0,IF(M43&gt;H43,H43-I43,O43))</f>
      </c>
      <c r="K43" s="61" t="str">
        <f>IF(F43=0,"",IF(ISBLANK(G43),reo,IF(J43&lt;O43,res,"")))</f>
        <v/>
      </c>
      <c r="L43" s="28">
        <f>IF(K43="",0,IF(K43=res,0,1))</f>
      </c>
      <c r="M43" s="32">
        <f>N43+O43</f>
      </c>
      <c r="N43" s="28">
        <f>IF(ya&lt;=$G$14,0,IF(N25&gt;F43,F43,ROUND(N25,0)))</f>
      </c>
      <c r="O43" s="32">
        <f>ROUND(O25,0)</f>
      </c>
      <c r="P43" s="28">
        <f>ROUND(R43,0)</f>
      </c>
      <c r="Q43" s="28">
        <f>ROUND(S43,0)</f>
      </c>
      <c r="R43" s="28">
        <f>IF($R$19=$S$19,0,IF(ISBLANK(J25),0,IF(J25=0,0,IF($R$19="A",J25*VLOOKUP(C25,tableA,3,FALSE),IF($R$19="C",J25*VLOOKUP(C25,TableC,3,FALSE))))))</f>
      </c>
      <c r="S43" s="28">
        <f>IF($R$19=$S$19,0,IF(ISBLANK($G$16),0,IF($R$21="B",J25*VLOOKUP($G$16,TableB,3,FALSE),IF($R$21="D",J25*VLOOKUP($G$16,TableD,3,FALSE),IF($R$21="E",J25*VLOOKUP($G$16,TableE,3,FALSE))))))</f>
      </c>
    </row>
    <row r="44" spans="2:30" hidden="1" x14ac:dyDescent="0.2">
      <c r="B44" s="3"/>
      <c r="C44" s="3" t="s">
        <v>1090</v>
      </c>
      <c r="D44" s="3"/>
      <c r="E44" s="3"/>
      <c r="F44" s="786">
        <f t="shared" ref="F44:F49" si="15">Q44</f>
      </c>
      <c r="G44" s="223"/>
      <c r="H44" s="786">
        <f t="shared" ref="H44:H49" si="16">IF(G44&gt;Q44,0,Q44-G44)</f>
      </c>
      <c r="I44" s="786">
        <f t="shared" ref="I44:I49" si="17">ROUND(N44,0)</f>
      </c>
      <c r="J44" s="786">
        <f t="shared" ref="J44:J49" si="18">IF(I44&gt;H44,0,IF(M44&gt;H44,H44-I44,O44))</f>
      </c>
      <c r="K44" s="61" t="str">
        <f t="shared" ref="K44:K49" si="19">IF(F44=0,"",IF(ISBLANK(G44),reo,IF(J44&lt;O44,res,"")))</f>
        <v/>
      </c>
      <c r="L44" s="28">
        <f t="shared" ref="L44:L49" si="20">IF(K44="",0,IF(K44=res,0,1))</f>
      </c>
      <c r="M44" s="32">
        <f t="shared" ref="M44:M49" si="21">N44+O44</f>
      </c>
      <c r="N44" s="28">
        <f t="shared" ref="N44:N49" si="22">IF(ya&lt;=$G$14,0,IF(N26&gt;F44,F44,ROUND(N26,0)))</f>
      </c>
      <c r="O44" s="32">
        <f t="shared" ref="O44:O49" si="23">ROUND(O26,0)</f>
      </c>
      <c r="P44" s="28">
        <f t="shared" ref="P44:Q49" si="24">ROUND(R44,0)</f>
      </c>
      <c r="Q44" s="28">
        <f t="shared" si="24"/>
        <v>0</v>
      </c>
      <c r="R44" s="28">
        <f>IF($R$19=$S$19,0,IF(ISBLANK(J26),0,IF(J26=0,0,IF($R$19="A",J26*VLOOKUP(C26,tableA,3,FALSE),IF($R$19="C",J26*VLOOKUP(C26,TableC,3,FALSE))))))</f>
      </c>
      <c r="S44" s="28">
        <f t="shared" ref="S44:S49" si="25">IF($R$19=$S$19,0,IF(ISBLANK($G$16),0,IF($R$21="B",J26*VLOOKUP($G$16,TableB,3,FALSE),IF($R$21="D",J26*VLOOKUP($G$16,TableD,3,FALSE),IF($R$21="E",J26*VLOOKUP($G$16,TableE,3,FALSE))))))</f>
      </c>
    </row>
    <row r="45" spans="2:30" hidden="1" x14ac:dyDescent="0.2">
      <c r="B45" s="3"/>
      <c r="C45" s="3" t="s">
        <v>1093</v>
      </c>
      <c r="D45" s="3"/>
      <c r="E45" s="3"/>
      <c r="F45" s="786">
        <f t="shared" si="15"/>
        <v>0</v>
      </c>
      <c r="G45" s="223"/>
      <c r="H45" s="786">
        <f t="shared" si="16"/>
        <v>0</v>
      </c>
      <c r="I45" s="786">
        <f t="shared" si="17"/>
        <v>0</v>
      </c>
      <c r="J45" s="786">
        <f t="shared" si="18"/>
        <v>0</v>
      </c>
      <c r="K45" s="61" t="str">
        <f t="shared" si="19"/>
        <v/>
      </c>
      <c r="L45" s="28">
        <f t="shared" si="20"/>
        <v>0</v>
      </c>
      <c r="M45" s="32">
        <f t="shared" si="21"/>
        <v>0</v>
      </c>
      <c r="N45" s="28">
        <f t="shared" si="22"/>
        <v>0</v>
      </c>
      <c r="O45" s="32">
        <f t="shared" si="23"/>
        <v>0</v>
      </c>
      <c r="P45" s="28">
        <f t="shared" si="24"/>
        <v>0</v>
      </c>
      <c r="Q45" s="28">
        <f t="shared" si="24"/>
        <v>0</v>
      </c>
      <c r="R45" s="28">
        <f>IF($R$19=$S$19,0,IF(ISBLANK(J27),0,IF(J27=0,0,IF($R$19="A",J27*VLOOKUP(C26,tableA,3,FALSE),IF($R$19="C",J27*VLOOKUP(C26,TableC,3,FALSE))))))</f>
      </c>
      <c r="S45" s="28">
        <f t="shared" si="25"/>
        <v>0</v>
      </c>
    </row>
    <row r="46" spans="2:30" hidden="1" x14ac:dyDescent="0.2">
      <c r="B46" s="3"/>
      <c r="C46" s="3" t="s">
        <v>3621</v>
      </c>
      <c r="D46" s="3"/>
      <c r="E46" s="3"/>
      <c r="F46" s="786">
        <f t="shared" si="15"/>
        <v>0</v>
      </c>
      <c r="G46" s="223"/>
      <c r="H46" s="786">
        <f t="shared" si="16"/>
        <v>0</v>
      </c>
      <c r="I46" s="786">
        <f t="shared" si="17"/>
        <v>0</v>
      </c>
      <c r="J46" s="786">
        <f t="shared" si="18"/>
        <v>0</v>
      </c>
      <c r="K46" s="61" t="str">
        <f t="shared" si="19"/>
        <v/>
      </c>
      <c r="L46" s="28">
        <f t="shared" si="20"/>
        <v>0</v>
      </c>
      <c r="M46" s="32">
        <f t="shared" si="21"/>
        <v>0</v>
      </c>
      <c r="N46" s="28">
        <f t="shared" si="22"/>
        <v>0</v>
      </c>
      <c r="O46" s="32">
        <f t="shared" si="23"/>
        <v>0</v>
      </c>
      <c r="P46" s="28">
        <f t="shared" si="24"/>
        <v>0</v>
      </c>
      <c r="Q46" s="28">
        <f t="shared" si="24"/>
        <v>0</v>
      </c>
      <c r="R46" s="28">
        <f>IF($R$19=$S$19,0,IF(ISBLANK(J28),0,IF(J28=0,0,IF($R$19="A",J28*VLOOKUP(C27,tableA,3,FALSE),IF($R$19="C",J28*VLOOKUP(C27,TableC,3,FALSE))))))</f>
      </c>
      <c r="S46" s="28">
        <f t="shared" si="25"/>
        <v>0</v>
      </c>
    </row>
    <row r="47" spans="2:30" hidden="1" x14ac:dyDescent="0.2">
      <c r="B47" s="3"/>
      <c r="C47" s="3" t="s">
        <v>1760</v>
      </c>
      <c r="D47" s="3"/>
      <c r="E47" s="3"/>
      <c r="F47" s="786">
        <f t="shared" si="15"/>
        <v>0</v>
      </c>
      <c r="G47" s="223"/>
      <c r="H47" s="786">
        <f t="shared" si="16"/>
        <v>0</v>
      </c>
      <c r="I47" s="786">
        <f t="shared" si="17"/>
        <v>0</v>
      </c>
      <c r="J47" s="786">
        <f t="shared" si="18"/>
        <v>0</v>
      </c>
      <c r="K47" s="61" t="str">
        <f t="shared" si="19"/>
        <v/>
      </c>
      <c r="L47" s="28">
        <f t="shared" si="20"/>
        <v>0</v>
      </c>
      <c r="M47" s="32">
        <f t="shared" si="21"/>
        <v>0</v>
      </c>
      <c r="N47" s="28">
        <f t="shared" si="22"/>
        <v>0</v>
      </c>
      <c r="O47" s="32">
        <f t="shared" si="23"/>
        <v>0</v>
      </c>
      <c r="P47" s="28">
        <f t="shared" si="24"/>
        <v>0</v>
      </c>
      <c r="Q47" s="28">
        <f t="shared" si="24"/>
        <v>0</v>
      </c>
      <c r="R47" s="28">
        <f>IF($R$19=$S$19,0,IF(ISBLANK(J29),0,IF(J29=0,0,IF($R$19="A",J29*VLOOKUP(C28,tableA,3,FALSE),IF($R$19="C",J29*VLOOKUP(C28,TableC,3,FALSE))))))</f>
      </c>
      <c r="S47" s="28">
        <f t="shared" si="25"/>
        <v>0</v>
      </c>
    </row>
    <row r="48" spans="2:30" hidden="1" x14ac:dyDescent="0.2">
      <c r="B48" s="3"/>
      <c r="C48" s="3" t="s">
        <v>1763</v>
      </c>
      <c r="D48" s="3"/>
      <c r="E48" s="3"/>
      <c r="F48" s="786">
        <f t="shared" si="15"/>
        <v>0</v>
      </c>
      <c r="G48" s="223"/>
      <c r="H48" s="786">
        <f t="shared" si="16"/>
        <v>0</v>
      </c>
      <c r="I48" s="786">
        <f t="shared" si="17"/>
        <v>0</v>
      </c>
      <c r="J48" s="786">
        <f t="shared" si="18"/>
        <v>0</v>
      </c>
      <c r="K48" s="61" t="str">
        <f t="shared" si="19"/>
        <v/>
      </c>
      <c r="L48" s="28">
        <f t="shared" si="20"/>
        <v>0</v>
      </c>
      <c r="M48" s="32">
        <f t="shared" si="21"/>
        <v>0</v>
      </c>
      <c r="N48" s="28">
        <f t="shared" si="22"/>
        <v>0</v>
      </c>
      <c r="O48" s="32">
        <f t="shared" si="23"/>
        <v>0</v>
      </c>
      <c r="P48" s="28">
        <f t="shared" si="24"/>
        <v>0</v>
      </c>
      <c r="Q48" s="28">
        <f t="shared" si="24"/>
        <v>0</v>
      </c>
      <c r="R48" s="28">
        <f>IF($R$19=$S$19,0,IF(ISBLANK(J30),0,IF(J30=0,0,IF($R$19="A",J30*VLOOKUP(C29,tableA,3,FALSE),IF($R$19="C",J30*VLOOKUP(C29,TableC,3,FALSE))))))</f>
      </c>
      <c r="S48" s="28">
        <f t="shared" si="25"/>
        <v>0</v>
      </c>
    </row>
    <row r="49" spans="2:19" hidden="1" x14ac:dyDescent="0.2">
      <c r="B49" s="3"/>
      <c r="C49" s="358" t="s">
        <v>4778</v>
      </c>
      <c r="D49" s="3"/>
      <c r="E49" s="3"/>
      <c r="F49" s="786">
        <f t="shared" si="15"/>
        <v>0</v>
      </c>
      <c r="G49" s="223"/>
      <c r="H49" s="786">
        <f t="shared" si="16"/>
        <v>0</v>
      </c>
      <c r="I49" s="786">
        <f t="shared" si="17"/>
        <v>0</v>
      </c>
      <c r="J49" s="786">
        <f t="shared" si="18"/>
        <v>0</v>
      </c>
      <c r="K49" s="61" t="str">
        <f t="shared" si="19"/>
        <v/>
      </c>
      <c r="L49" s="28">
        <f t="shared" si="20"/>
        <v>0</v>
      </c>
      <c r="M49" s="32">
        <f t="shared" si="21"/>
        <v>0</v>
      </c>
      <c r="N49" s="28">
        <f t="shared" si="22"/>
        <v>0</v>
      </c>
      <c r="O49" s="32">
        <f t="shared" si="23"/>
        <v>0</v>
      </c>
      <c r="P49" s="28">
        <f t="shared" si="24"/>
        <v>0</v>
      </c>
      <c r="Q49" s="28">
        <f t="shared" si="24"/>
        <v>0</v>
      </c>
      <c r="R49" s="28">
        <f>IF($R$19=$S$19,0,IF(ISBLANK(J31),0,IF(J31=0,0,IF($R$19="A",J31*VLOOKUP(C30,tableA,3,FALSE),IF($R$19="C",J31*VLOOKUP(C30,TableC,3,FALSE))))))</f>
      </c>
      <c r="S49" s="28">
        <f t="shared" si="25"/>
        <v>0</v>
      </c>
    </row>
    <row r="50" spans="2:19" ht="9" hidden="1" customHeight="1" x14ac:dyDescent="0.2">
      <c r="B50" s="3"/>
      <c r="C50" s="185" t="s">
        <v>6708</v>
      </c>
      <c r="D50" s="3"/>
      <c r="E50" s="3"/>
      <c r="F50" s="793"/>
      <c r="G50" s="178"/>
      <c r="H50" s="179"/>
      <c r="I50" s="793"/>
      <c r="J50" s="179"/>
      <c r="K50" s="3"/>
    </row>
    <row r="51" spans="2:19" ht="13.5" hidden="1" thickBot="1" x14ac:dyDescent="0.25">
      <c r="B51" s="34"/>
      <c r="C51" s="34" t="s">
        <v>5590</v>
      </c>
      <c r="D51" s="34"/>
      <c r="E51" s="34"/>
      <c r="F51" s="788">
        <f>SUM(F43:F49)</f>
      </c>
      <c r="G51" s="788">
        <f>SUM(G43:G49)</f>
      </c>
      <c r="H51" s="788">
        <f>SUM(H43:H49)</f>
      </c>
      <c r="I51" s="788">
        <f>SUM(I43:I49)</f>
      </c>
      <c r="J51" s="786">
        <f>SUM(J43:J49)</f>
      </c>
      <c r="K51" s="3"/>
    </row>
    <row r="52" spans="2:19" ht="13.5" hidden="1" thickTop="1" x14ac:dyDescent="0.2">
      <c r="B52" s="4825" t="s">
        <v>2960</v>
      </c>
      <c r="C52" s="4825"/>
      <c r="D52" s="4825"/>
      <c r="E52" s="4825"/>
      <c r="F52" s="4825"/>
      <c r="G52" s="4825"/>
      <c r="H52" s="4825"/>
      <c r="I52" s="3"/>
      <c r="J52" s="724"/>
      <c r="K52" s="222" t="str">
        <f>IF(J51+I51=0,"",IF(ISBLANK(J52),reo,IF(J52&gt;I51,"&lt; Exceeds tax credits in cell I51!","")))</f>
        <v/>
      </c>
      <c r="L52" s="28">
        <f>IF(K52="",0,1)</f>
      </c>
    </row>
    <row r="53" spans="2:19" hidden="1" x14ac:dyDescent="0.2">
      <c r="B53" s="4825" t="s">
        <v>2961</v>
      </c>
      <c r="C53" s="4825"/>
      <c r="D53" s="4825"/>
      <c r="E53" s="4825"/>
      <c r="F53" s="4825"/>
      <c r="G53" s="4825"/>
      <c r="H53" s="4825"/>
      <c r="I53" s="3"/>
      <c r="J53" s="786">
        <f>J51+J52</f>
      </c>
      <c r="K53" s="3"/>
      <c r="L53" s="28">
        <f>IF(I57="",0,1)</f>
      </c>
    </row>
    <row r="54" spans="2:19" hidden="1" x14ac:dyDescent="0.2">
      <c r="B54" s="4825" t="s">
        <v>2962</v>
      </c>
      <c r="C54" s="4825"/>
      <c r="D54" s="4825"/>
      <c r="E54" s="4825"/>
      <c r="F54" s="4825"/>
      <c r="G54" s="4825"/>
      <c r="H54" s="4825"/>
      <c r="I54" s="328"/>
      <c r="J54" s="724"/>
      <c r="K54" s="534" t="str">
        <f>IF(J51+J53+I51=0,"",IF(ISBLANK(J54),reo,IF(J54&gt;J53,"&lt; Exceeds available tax credits!","")))</f>
        <v/>
      </c>
      <c r="L54" s="28">
        <f>IF(K54="",0,1)</f>
      </c>
    </row>
    <row r="55" spans="2:19" ht="13.5" hidden="1" thickBot="1" x14ac:dyDescent="0.25">
      <c r="B55" s="4825" t="s">
        <v>435</v>
      </c>
      <c r="C55" s="4825"/>
      <c r="D55" s="4825"/>
      <c r="E55" s="4825"/>
      <c r="F55" s="4825"/>
      <c r="G55" s="4825"/>
      <c r="H55" s="4825"/>
      <c r="I55" s="3"/>
      <c r="J55" s="788">
        <f>IF(J54&gt;J53,0,J53-J54)</f>
      </c>
      <c r="K55" s="3"/>
    </row>
    <row r="56" spans="2:19" ht="6" hidden="1" customHeight="1" thickTop="1" x14ac:dyDescent="0.2">
      <c r="B56" s="34"/>
      <c r="C56" s="34"/>
      <c r="D56" s="34"/>
      <c r="E56" s="34"/>
      <c r="F56" s="34"/>
      <c r="G56" s="34"/>
      <c r="H56" s="34"/>
      <c r="I56" s="34"/>
      <c r="J56" s="3"/>
      <c r="K56" s="3"/>
      <c r="L56" s="30">
        <f>SUM(L6:L54)</f>
      </c>
      <c r="M56" s="28">
        <f>COUNTA(G8,G10,G11,G12,G13,G14,G16,G7,G18,I19,I20,F25:H31,H34,H36,G43:G49,J52,J54)</f>
      </c>
    </row>
    <row r="57" spans="2:19" hidden="1" x14ac:dyDescent="0.2">
      <c r="B57" s="3"/>
      <c r="C57" s="457" t="str">
        <f>"Income deemed relieved by the tax credit [Current] Y/A "&amp;ya</f>
      </c>
      <c r="D57" s="199"/>
      <c r="E57" s="199"/>
      <c r="F57" s="199"/>
      <c r="G57" s="200"/>
      <c r="H57" s="223"/>
      <c r="I57" s="222" t="str">
        <f>IF(P8=0,"",IF(ISBLANK(H57),re,""))</f>
        <v/>
      </c>
      <c r="J57" s="3"/>
      <c r="K57" s="3"/>
    </row>
    <row r="58" spans="2:19" ht="15.75" hidden="1" customHeight="1" x14ac:dyDescent="0.2">
      <c r="B58" s="3"/>
      <c r="C58" s="1147"/>
      <c r="D58" s="3"/>
      <c r="E58" s="3"/>
      <c r="F58" s="3"/>
      <c r="G58" s="3"/>
      <c r="H58" s="3"/>
      <c r="I58" s="3"/>
      <c r="J58" s="3"/>
      <c r="K58" s="3"/>
    </row>
    <row r="59" spans="2:19" ht="21.75" hidden="1" customHeight="1" x14ac:dyDescent="0.2">
      <c r="B59" s="3"/>
      <c r="C59" s="65" t="s">
        <v>10574</v>
      </c>
      <c r="D59" s="3"/>
      <c r="E59" s="65" t="str">
        <f>ver</f>
        <v>TA2_e-CO_2025_Ver 1.1</v>
      </c>
      <c r="F59" s="3"/>
      <c r="G59" s="3"/>
      <c r="H59" s="3"/>
      <c r="I59" s="3"/>
      <c r="J59" s="539" t="s">
        <v>2988</v>
      </c>
      <c r="K59" s="3"/>
    </row>
    <row r="60" spans="2:19" ht="4.5" hidden="1" customHeight="1" x14ac:dyDescent="0.2">
      <c r="B60" s="3"/>
      <c r="C60" s="3"/>
      <c r="D60" s="3"/>
      <c r="E60" s="3"/>
      <c r="F60" s="3"/>
      <c r="G60" s="3"/>
      <c r="H60" s="3"/>
      <c r="I60" s="3"/>
      <c r="J60" s="3"/>
      <c r="K60" s="3"/>
    </row>
    <row r="61" spans="2:19" hidden="1" x14ac:dyDescent="0.2">
      <c r="B61" s="3"/>
      <c r="C61" s="3"/>
      <c r="D61" s="3"/>
      <c r="E61" s="3"/>
      <c r="F61" s="610" t="str">
        <f>COM</f>
      </c>
      <c r="G61" s="275"/>
      <c r="H61" s="3"/>
      <c r="I61" s="3"/>
      <c r="J61" s="3"/>
      <c r="K61" s="3"/>
      <c r="L61" s="28">
        <f>IF(M56=0,0,IF(L56&gt;0,100,IF(G61=$A$200,1,100)))</f>
      </c>
    </row>
    <row r="62" spans="2:19" ht="3.75" hidden="1" customHeight="1" x14ac:dyDescent="0.2">
      <c r="B62" s="3"/>
      <c r="C62" s="3"/>
      <c r="D62" s="3"/>
      <c r="E62" s="3"/>
      <c r="F62" s="3"/>
      <c r="G62" s="3"/>
      <c r="H62" s="3"/>
      <c r="I62" s="3"/>
      <c r="J62" s="3"/>
      <c r="K62" s="3"/>
    </row>
    <row r="63" spans="2:19" hidden="1" x14ac:dyDescent="0.2">
      <c r="B63" s="3"/>
      <c r="C63" s="3"/>
      <c r="D63" s="3"/>
      <c r="E63" s="3"/>
      <c r="F63" s="3"/>
      <c r="G63" s="3"/>
      <c r="H63" s="3"/>
      <c r="I63" s="3"/>
      <c r="J63" s="3"/>
      <c r="K63" s="3"/>
    </row>
    <row r="199" spans="1:1" hidden="1" x14ac:dyDescent="0.2">
      <c r="A199" s="28" t="s">
        <v>1736</v>
      </c>
    </row>
    <row r="200" spans="1:1" hidden="1" x14ac:dyDescent="0.2">
      <c r="A200" s="28" t="s">
        <v>4457</v>
      </c>
    </row>
    <row r="203" spans="1:1" hidden="1" x14ac:dyDescent="0.2">
      <c r="A203" s="28" t="s">
        <v>4783</v>
      </c>
    </row>
    <row r="204" spans="1:1" hidden="1" x14ac:dyDescent="0.2">
      <c r="A204" s="28" t="s">
        <v>6020</v>
      </c>
    </row>
    <row r="205" spans="1:1" hidden="1" x14ac:dyDescent="0.2">
      <c r="A205" s="28" t="s">
        <v>5055</v>
      </c>
    </row>
  </sheetData>
  <sheetProtection algorithmName="SHA-512" hashValue="SlJGsKqDAl3xexSF0l2Eoh88ZE/+UUb+4fIWRjGZssZJcaQvCmfySJ3wbs3dVv8NfFzf/HlbPZCC7/QUc+1SuQ==" saltValue="Do5RYxNzJbzTUN2w/fCEVw==" spinCount="100000" sheet="1" objects="1" scenarios="1"/>
  <customSheetViews>
    <customSheetView guid="{99B5278F-6EA9-4B1A-8623-27A4DF4AD5E4}" fitToPage="1" hiddenRows="1" hiddenColumns="1" topLeftCell="C2">
      <selection activeCell="G7" sqref="G7"/>
      <pageMargins left="0.42" right="0.34" top="0.78" bottom="1" header="0.5" footer="0.5"/>
      <pageSetup paperSize="9" scale="79" orientation="portrait" r:id="rId1"/>
      <headerFooter alignWithMargins="0">
        <oddFooter>&amp;LName&amp;CSignature&amp;RDate</oddFooter>
      </headerFooter>
    </customSheetView>
  </customSheetViews>
  <mergeCells count="22">
    <mergeCell ref="K4:K6"/>
    <mergeCell ref="D11:F11"/>
    <mergeCell ref="C2:I2"/>
    <mergeCell ref="I8:J8"/>
    <mergeCell ref="D10:F10"/>
    <mergeCell ref="C7:D7"/>
    <mergeCell ref="B55:H55"/>
    <mergeCell ref="B53:H53"/>
    <mergeCell ref="B54:H54"/>
    <mergeCell ref="G16:H16"/>
    <mergeCell ref="C22:D23"/>
    <mergeCell ref="F22:J22"/>
    <mergeCell ref="AB14:AD14"/>
    <mergeCell ref="AB19:AD19"/>
    <mergeCell ref="B52:H52"/>
    <mergeCell ref="I40:J40"/>
    <mergeCell ref="G42:H42"/>
    <mergeCell ref="I42:J42"/>
    <mergeCell ref="AB29:AD29"/>
    <mergeCell ref="AB34:AD34"/>
    <mergeCell ref="C40:D42"/>
    <mergeCell ref="F40:H40"/>
  </mergeCells>
  <phoneticPr fontId="0" type="noConversion"/>
  <conditionalFormatting sqref="G7">
    <cfRule type="expression" dxfId="684" priority="1" stopIfTrue="1">
      <formula>$G$7=A199</formula>
    </cfRule>
  </conditionalFormatting>
  <conditionalFormatting sqref="G8 G10:G14 G16:H16 G18 I19:I20 F25:H31 H34 H36 G43:G49 J52 J54 H57">
    <cfRule type="expression" dxfId="683" priority="3" stopIfTrue="1">
      <formula>$G$7=$A$199</formula>
    </cfRule>
  </conditionalFormatting>
  <conditionalFormatting sqref="H8:H15 F8:F24 B8:E57 K8:K57 G9 I9:I18 J9:J51 G15 G17 H17:H24 G19:G24 I21:I57 H32:H33 G32:G42 F32:F57 H35 H37:H56 G50:G57 J53 J55:J57">
    <cfRule type="expression" dxfId="682" priority="2" stopIfTrue="1">
      <formula>$G$7=$A$199</formula>
    </cfRule>
  </conditionalFormatting>
  <conditionalFormatting sqref="I8:J8">
    <cfRule type="expression" dxfId="681" priority="4" stopIfTrue="1">
      <formula>$G$7=$A$199</formula>
    </cfRule>
    <cfRule type="expression" dxfId="680" priority="5" stopIfTrue="1">
      <formula>$I$8&lt;&gt;""</formula>
    </cfRule>
  </conditionalFormatting>
  <conditionalFormatting sqref="K25:K31">
    <cfRule type="expression" dxfId="679" priority="7" stopIfTrue="1">
      <formula>$K25&lt;&gt;""</formula>
    </cfRule>
  </conditionalFormatting>
  <dataValidations count="18">
    <dataValidation type="whole" allowBlank="1" showInputMessage="1" showErrorMessage="1" errorTitle="Unavailed Expenditure b/fwd" error="Please enter a positive value that does not exceed expenditure claimed in previous years!_x000a_" sqref="H34" xr:uid="{00000000-0002-0000-2500-000000000000}">
      <formula1>0</formula1>
      <formula2>G33</formula2>
    </dataValidation>
    <dataValidation type="whole" allowBlank="1" showInputMessage="1" showErrorMessage="1" errorTitle="Availed Expenditure" error="Positive value required!_x000a_Or_x000a_Cannot claim expenditure in excess of available expenditure!_x000a_" sqref="H36" xr:uid="{00000000-0002-0000-2500-000001000000}">
      <formula1>0</formula1>
      <formula2>H35</formula2>
    </dataValidation>
    <dataValidation type="whole" allowBlank="1" showInputMessage="1" showErrorMessage="1" errorTitle="Availed Tax Credit" error="Cannot claim tax credits in excess of available tax credits!_x000a_" sqref="J54" xr:uid="{00000000-0002-0000-2500-000002000000}">
      <formula1>0</formula1>
      <formula2>J53</formula2>
    </dataValidation>
    <dataValidation type="whole" errorStyle="warning" allowBlank="1" showInputMessage="1" showErrorMessage="1" errorTitle="Expenditure incurred [previous]" error="Please enter a positive value that does not exceed the approved Maximum Amount!_x000a_OR_x000a_This is the first year for this project!" sqref="G25:G31" xr:uid="{00000000-0002-0000-2500-000003000000}">
      <formula1>0</formula1>
      <formula2>W25</formula2>
    </dataValidation>
    <dataValidation type="whole" errorStyle="warning" allowBlank="1" showInputMessage="1" showErrorMessage="1" errorTitle="Expenditure incurred [current]" error="Please enter a positive value!_x000a_OR_x000a_Value entered together with amounts previously claimed exceeds the approved Maximum Amount!" sqref="H25:H31" xr:uid="{00000000-0002-0000-2500-000004000000}">
      <formula1>0</formula1>
      <formula2>T25</formula2>
    </dataValidation>
    <dataValidation type="date" errorStyle="warning" allowBlank="1" showInputMessage="1" showErrorMessage="1" errorTitle="Latest date for completion" error="Please enter the correct date that must be within 36 months from commencement!" promptTitle="Date Format" prompt="dd/mm/yyyy" sqref="G13" xr:uid="{00000000-0002-0000-2500-000005000000}">
      <formula1>G12</formula1>
      <formula2>CB8</formula2>
    </dataValidation>
    <dataValidation type="date" errorStyle="warning" allowBlank="1" showInputMessage="1" showErrorMessage="1" errorTitle="Date of Application" error="Please enter correct date that falls within the prescribed deadline!" promptTitle="Date Format" prompt="dd/mm/yyyy" sqref="G8" xr:uid="{00000000-0002-0000-2500-000006000000}">
      <formula1>CC3</formula1>
      <formula2>CB5</formula2>
    </dataValidation>
    <dataValidation type="date" errorStyle="warning" allowBlank="1" showInputMessage="1" showErrorMessage="1" errorTitle="Date of Approval" error="Please enter correct date that falls within the prescribed deadline!" promptTitle="Date Format" prompt="dd/mm/yyyy" sqref="G10" xr:uid="{00000000-0002-0000-2500-000007000000}">
      <formula1>CC3</formula1>
      <formula2>CB4</formula2>
    </dataValidation>
    <dataValidation type="date" errorStyle="warning" allowBlank="1" showInputMessage="1" showErrorMessage="1" errorTitle="Date of Commencement" error="Please enter the correct date as approved by ME!" promptTitle="Date Format" prompt="dd/mm/yyyy" sqref="G12" xr:uid="{00000000-0002-0000-2500-000008000000}">
      <formula1>CC3</formula1>
      <formula2>CB6</formula2>
    </dataValidation>
    <dataValidation type="whole" allowBlank="1" showInputMessage="1" showErrorMessage="1" errorTitle="Year of Assessment" error="Please indicate the correct year of assessment when the project commenced!_x000a_OR_x000a_Cannot be less than Y/A 2006 or greater than the current Y/A!" promptTitle="Year of assessment format" prompt="yyyy" sqref="G14" xr:uid="{00000000-0002-0000-2500-000009000000}">
      <formula1>P14</formula1>
      <formula2>Q14</formula2>
    </dataValidation>
    <dataValidation type="whole" allowBlank="1" showInputMessage="1" showErrorMessage="1" errorTitle="Unavailed Tax credit b/fwd" error="Exceeds the maximum tax credits that could be claimed in previous years!_x000a_" sqref="J52" xr:uid="{00000000-0002-0000-2500-00000A000000}">
      <formula1>0</formula1>
      <formula2>I51</formula2>
    </dataValidation>
    <dataValidation type="list" allowBlank="1" showInputMessage="1" showErrorMessage="1" sqref="G7 G61 I19:I20" xr:uid="{00000000-0002-0000-2500-00000B000000}">
      <formula1>$A$198:$A$200</formula1>
    </dataValidation>
    <dataValidation type="list" allowBlank="1" showInputMessage="1" showErrorMessage="1" sqref="G16" xr:uid="{00000000-0002-0000-2500-00000C000000}">
      <formula1>$A$202:$A$205</formula1>
    </dataValidation>
    <dataValidation type="whole" operator="greaterThanOrEqual" allowBlank="1" showInputMessage="1" showErrorMessage="1" errorTitle="Value of other Benefits" error="Please enter a positive value!" sqref="G43:G49" xr:uid="{00000000-0002-0000-2500-00000D000000}">
      <formula1>0</formula1>
    </dataValidation>
    <dataValidation type="whole" operator="greaterThanOrEqual" allowBlank="1" showInputMessage="1" showErrorMessage="1" errorTitle="Maximum Approved" error="Please enter a positive numeric value!" sqref="F25:F31" xr:uid="{00000000-0002-0000-2500-00000E000000}">
      <formula1>0</formula1>
    </dataValidation>
    <dataValidation type="textLength" errorStyle="warning" operator="greaterThanOrEqual" allowBlank="1" showInputMessage="1" showErrorMessage="1" errorTitle="Project number" error="Please enter the correct project number!" sqref="G11" xr:uid="{00000000-0002-0000-2500-00000F000000}">
      <formula1>4</formula1>
    </dataValidation>
    <dataValidation type="whole" allowBlank="1" showInputMessage="1" showErrorMessage="1" errorTitle="PE number" error="Correct PE number required!" sqref="G18" xr:uid="{00000000-0002-0000-2500-000010000000}">
      <formula1>500004</formula1>
      <formula2>999999</formula2>
    </dataValidation>
    <dataValidation type="whole" operator="greaterThanOrEqual" allowBlank="1" showInputMessage="1" showErrorMessage="1" errorTitle="Income Relieved by tax credit" error="Please enter a positive value!" sqref="H57" xr:uid="{00000000-0002-0000-2500-000011000000}">
      <formula1>0</formula1>
    </dataValidation>
  </dataValidations>
  <pageMargins left="0.42" right="0.34" top="0.78" bottom="1" header="0.5" footer="0.5"/>
  <pageSetup paperSize="9" scale="78" orientation="portrait" r:id="rId2"/>
  <headerFooter alignWithMargins="0">
    <oddFooter>&amp;LName&amp;CSignature&amp;RDate</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dimension ref="A1:CC215"/>
  <sheetViews>
    <sheetView topLeftCell="XFD1048576" zoomScaleNormal="100" workbookViewId="0">
      <selection activeCell="B2" sqref="A1:XFD1048576"/>
    </sheetView>
  </sheetViews>
  <sheetFormatPr defaultColWidth="0" defaultRowHeight="12.75" zeroHeight="1" x14ac:dyDescent="0.2"/>
  <cols>
    <col min="1" max="1" width="0" style="28" hidden="1" customWidth="1"/>
    <col min="2" max="2" width="3.28515625" style="28" hidden="1" customWidth="1"/>
    <col min="3" max="3" width="15.42578125" style="28" hidden="1" customWidth="1"/>
    <col min="4" max="4" width="23.42578125" style="28" hidden="1" customWidth="1"/>
    <col min="5" max="5" width="0.7109375" style="28" hidden="1" customWidth="1"/>
    <col min="6" max="6" width="12" style="28" hidden="1" customWidth="1"/>
    <col min="7" max="7" width="11.7109375" style="28" hidden="1" customWidth="1"/>
    <col min="8" max="8" width="12.28515625" style="28" hidden="1" customWidth="1"/>
    <col min="9" max="9" width="12" style="28" hidden="1" customWidth="1"/>
    <col min="10" max="11" width="12.28515625" style="28" hidden="1" customWidth="1"/>
    <col min="12" max="17" width="10.7109375" style="28" hidden="1" customWidth="1"/>
    <col min="18" max="19" width="13.28515625" style="28" hidden="1" customWidth="1"/>
    <col min="20" max="27" width="9.28515625" style="28" hidden="1" customWidth="1"/>
    <col min="28" max="28" width="24.42578125" style="28" hidden="1" customWidth="1"/>
    <col min="29" max="30" width="9.28515625" style="92" hidden="1" customWidth="1"/>
    <col min="31" max="79" width="9.28515625" style="28" hidden="1" customWidth="1"/>
    <col min="80" max="80" width="14.42578125" style="28" hidden="1" customWidth="1"/>
    <col min="81" max="81" width="10.28515625" style="28" hidden="1" customWidth="1"/>
    <col min="82" max="16384" width="0" style="28" hidden="1"/>
  </cols>
  <sheetData>
    <row r="1" spans="2:81" hidden="1" x14ac:dyDescent="0.2">
      <c r="B1" s="30" t="s">
        <v>6824</v>
      </c>
      <c r="P1" s="771"/>
      <c r="BZ1" s="28" t="s">
        <v>3694</v>
      </c>
      <c r="CA1" s="28" t="s">
        <v>3080</v>
      </c>
    </row>
    <row r="2" spans="2:81" hidden="1" x14ac:dyDescent="0.2">
      <c r="B2" s="3"/>
      <c r="C2" s="4408" t="str">
        <f>_ref1</f>
      </c>
      <c r="D2" s="4408"/>
      <c r="E2" s="4408"/>
      <c r="F2" s="4408"/>
      <c r="G2" s="4408"/>
      <c r="H2" s="4408"/>
      <c r="I2" s="4408"/>
      <c r="J2" s="4408"/>
      <c r="K2" s="65" t="str">
        <f>_YA1</f>
      </c>
      <c r="R2" s="74">
        <v>38353</v>
      </c>
      <c r="AC2" s="4824" t="s">
        <v>6424</v>
      </c>
      <c r="AD2" s="4824"/>
      <c r="AE2" s="4824"/>
    </row>
    <row r="3" spans="2:81" ht="16.5" hidden="1" customHeight="1" x14ac:dyDescent="0.2">
      <c r="B3" s="3"/>
      <c r="C3" s="739"/>
      <c r="D3" s="794"/>
      <c r="E3" s="794"/>
      <c r="F3" s="794"/>
      <c r="G3" s="794"/>
      <c r="H3" s="794"/>
      <c r="I3" s="794"/>
      <c r="J3" s="794"/>
      <c r="K3" s="794"/>
      <c r="P3" s="28">
        <f>IF(ISBLANK(C5),1,0)</f>
      </c>
      <c r="R3" s="74">
        <v>39813</v>
      </c>
      <c r="AC3" s="28" t="s">
        <v>2999</v>
      </c>
      <c r="AD3" s="92" t="s">
        <v>6875</v>
      </c>
      <c r="AE3" s="92"/>
      <c r="CB3" s="74">
        <f>DATE(ya,12,31)</f>
      </c>
      <c r="CC3" s="74">
        <v>38353</v>
      </c>
    </row>
    <row r="4" spans="2:81" ht="18" hidden="1" x14ac:dyDescent="0.25">
      <c r="B4" s="3"/>
      <c r="C4" s="772" t="str">
        <f>IF(C5="","",VLOOKUP(C5,$A$208:$E$209,2,FALSE))</f>
      </c>
      <c r="D4" s="189"/>
      <c r="E4" s="189"/>
      <c r="F4" s="1150"/>
      <c r="G4" s="189"/>
      <c r="H4" s="189"/>
      <c r="I4" s="189"/>
      <c r="J4" s="190"/>
      <c r="K4" s="860"/>
      <c r="O4" s="28">
        <f>IF(OR(I12&lt;&gt;"",I70&lt;&gt;"",I128&lt;&gt;""),1,0)</f>
      </c>
      <c r="AC4" s="28" t="s">
        <v>6876</v>
      </c>
      <c r="AE4" s="92">
        <v>0.17499999999999999</v>
      </c>
      <c r="BZ4" s="28" t="s">
        <v>5206</v>
      </c>
      <c r="CA4" s="28" t="s">
        <v>5207</v>
      </c>
      <c r="CB4" s="74">
        <f>DATE(ya,9,30)</f>
      </c>
      <c r="CC4" s="74">
        <v>38717</v>
      </c>
    </row>
    <row r="5" spans="2:81" ht="15" hidden="1" x14ac:dyDescent="0.2">
      <c r="B5" s="3"/>
      <c r="C5" s="4859" t="s">
        <v>2737</v>
      </c>
      <c r="D5" s="4860"/>
      <c r="E5" s="4860"/>
      <c r="F5" s="4860"/>
      <c r="G5" s="4860"/>
      <c r="H5" s="4860"/>
      <c r="I5" s="4860"/>
      <c r="J5" s="4861"/>
      <c r="K5" s="1148"/>
      <c r="AC5" s="4824" t="s">
        <v>2738</v>
      </c>
      <c r="AD5" s="4824"/>
      <c r="AE5" s="4824"/>
      <c r="BZ5" s="28" t="s">
        <v>3001</v>
      </c>
      <c r="CA5" s="28" t="s">
        <v>3002</v>
      </c>
      <c r="CB5" s="74">
        <f>DATE(ya,6,30)</f>
      </c>
      <c r="CC5" s="74">
        <v>39813</v>
      </c>
    </row>
    <row r="6" spans="2:81" ht="15" hidden="1" x14ac:dyDescent="0.2">
      <c r="B6" s="3"/>
      <c r="C6" s="773" t="s">
        <v>5256</v>
      </c>
      <c r="D6" s="180"/>
      <c r="E6" s="180"/>
      <c r="F6" s="180"/>
      <c r="G6" s="180"/>
      <c r="H6" s="180"/>
      <c r="I6" s="180"/>
      <c r="J6" s="181"/>
      <c r="K6" s="1148"/>
      <c r="AC6" s="28" t="s">
        <v>2739</v>
      </c>
      <c r="AE6" s="92">
        <v>0.8</v>
      </c>
      <c r="BZ6" s="28" t="s">
        <v>2932</v>
      </c>
      <c r="CA6" s="28" t="s">
        <v>2933</v>
      </c>
      <c r="CB6" s="74">
        <f>DATE(ya-1,12,31)</f>
      </c>
      <c r="CC6" s="74"/>
    </row>
    <row r="7" spans="2:81" hidden="1" x14ac:dyDescent="0.2">
      <c r="B7" s="3"/>
      <c r="C7" s="1340" t="s">
        <v>2740</v>
      </c>
      <c r="D7" s="3"/>
      <c r="E7" s="3"/>
      <c r="F7" s="3"/>
      <c r="G7" s="3"/>
      <c r="H7" s="3"/>
      <c r="I7" s="3"/>
      <c r="J7" s="3"/>
      <c r="K7" s="3"/>
      <c r="AC7" s="28" t="s">
        <v>2741</v>
      </c>
      <c r="AE7" s="92">
        <v>0.45</v>
      </c>
      <c r="CB7" s="74"/>
      <c r="CC7" s="74"/>
    </row>
    <row r="8" spans="2:81" hidden="1" x14ac:dyDescent="0.2">
      <c r="B8" s="3"/>
      <c r="C8" s="65" t="s">
        <v>3128</v>
      </c>
      <c r="D8" s="3"/>
      <c r="E8" s="3"/>
      <c r="F8" s="3"/>
      <c r="G8" s="364"/>
      <c r="H8" s="222" t="str">
        <f>IF(Q8=0,"",IF(ISBLANK(G8),re,IF(G8&lt;CC3,S19,IF(G8&gt;CB5,S19,""))))</f>
        <v/>
      </c>
      <c r="I8" s="4848" t="str">
        <f>IF(Q51=0,"",IF(Q8&lt;&gt;12,dat,""))</f>
        <v/>
      </c>
      <c r="J8" s="4848"/>
      <c r="K8" s="3"/>
      <c r="L8" s="28">
        <f>IF(H8="",0,1)</f>
      </c>
      <c r="N8" s="28">
        <v>1</v>
      </c>
      <c r="P8" s="28">
        <v>12</v>
      </c>
      <c r="Q8" s="30">
        <f>COUNTA(G8,G10,G11,G13,G12,G14,H16,H18,G20,G21,G22,G23,H56,I53,I51,G48,I40:I44,F29:H31,H33,H35)</f>
      </c>
      <c r="AC8" s="28"/>
      <c r="AE8" s="92"/>
      <c r="CA8" s="28" t="s">
        <v>1095</v>
      </c>
      <c r="CB8" s="74">
        <f>G12+1096</f>
      </c>
      <c r="CC8" s="74"/>
    </row>
    <row r="9" spans="2:81" hidden="1" x14ac:dyDescent="0.2">
      <c r="B9" s="3"/>
      <c r="C9" s="3" t="s">
        <v>3967</v>
      </c>
      <c r="D9" s="3"/>
      <c r="E9" s="3"/>
      <c r="F9" s="3"/>
      <c r="G9" s="3"/>
      <c r="H9" s="17"/>
      <c r="I9" s="17"/>
      <c r="J9" s="17"/>
      <c r="K9" s="3"/>
      <c r="AC9" s="4824" t="s">
        <v>3129</v>
      </c>
      <c r="AD9" s="4824"/>
      <c r="AE9" s="4824"/>
      <c r="CB9" s="74"/>
    </row>
    <row r="10" spans="2:81" hidden="1" x14ac:dyDescent="0.2">
      <c r="B10" s="3"/>
      <c r="C10" s="3"/>
      <c r="D10" s="4269" t="s">
        <v>1759</v>
      </c>
      <c r="E10" s="4269"/>
      <c r="F10" s="4269"/>
      <c r="G10" s="364"/>
      <c r="H10" s="222" t="str">
        <f>IF(Q8=0,"",IF(ISBLANK(G10),re,IF(G10&lt;CC3,S19,IF(G10&gt;CB4,S19,""))))</f>
        <v/>
      </c>
      <c r="I10" s="17"/>
      <c r="J10" s="17"/>
      <c r="K10" s="3"/>
      <c r="L10" s="28">
        <f>IF(H10="",0,1)</f>
      </c>
      <c r="AC10" s="28" t="s">
        <v>2999</v>
      </c>
      <c r="AE10" s="92"/>
    </row>
    <row r="11" spans="2:81" hidden="1" x14ac:dyDescent="0.2">
      <c r="B11" s="3"/>
      <c r="C11" s="3"/>
      <c r="D11" s="4269" t="s">
        <v>1762</v>
      </c>
      <c r="E11" s="4269"/>
      <c r="F11" s="4269"/>
      <c r="G11" s="632"/>
      <c r="H11" s="222" t="str">
        <f>IF(Q8=0,"",IF(ISBLANK(G11),re,""))</f>
        <v/>
      </c>
      <c r="I11" s="17"/>
      <c r="J11" s="17"/>
      <c r="K11" s="3"/>
      <c r="L11" s="28">
        <f>IF(H11="",0,1)</f>
      </c>
      <c r="AC11" s="28" t="s">
        <v>2739</v>
      </c>
      <c r="AE11" s="92">
        <v>0.6</v>
      </c>
    </row>
    <row r="12" spans="2:81" hidden="1" x14ac:dyDescent="0.2">
      <c r="B12" s="3"/>
      <c r="C12" s="3" t="s">
        <v>4955</v>
      </c>
      <c r="D12" s="3"/>
      <c r="E12" s="3"/>
      <c r="F12" s="3"/>
      <c r="G12" s="364"/>
      <c r="H12" s="222" t="str">
        <f>IF(Q8=0,"",IF(ISBLANK(G12),re,IF(G12&gt;CB6,"&lt; Future date?",IF(ISBLANK(I43),"",IF(G12&gt;=I43,"&lt; Check date!","")))))</f>
        <v/>
      </c>
      <c r="I12" s="1341" t="str">
        <f>IF(G12="","",IF(G12&gt;$CC$5,LATE,""))</f>
        <v/>
      </c>
      <c r="J12" s="3"/>
      <c r="K12" s="3"/>
      <c r="L12" s="28">
        <f>IF(H12="",0,1)</f>
      </c>
      <c r="AC12" s="28" t="s">
        <v>2741</v>
      </c>
      <c r="AE12" s="92">
        <v>0.35</v>
      </c>
    </row>
    <row r="13" spans="2:81" hidden="1" x14ac:dyDescent="0.2">
      <c r="B13" s="3"/>
      <c r="C13" s="3" t="s">
        <v>4956</v>
      </c>
      <c r="D13" s="3"/>
      <c r="E13" s="3"/>
      <c r="F13" s="3"/>
      <c r="G13" s="364"/>
      <c r="H13" s="222" t="str">
        <f>IF(Q8=0,"",IF(ISBLANK(G13),re,IF(G13-G12&gt;O13,more36,IF(G13&lt;G12,"Earlier than commencement!",IF(G13&lt;I43,"&lt; Check date!","")))))</f>
        <v/>
      </c>
      <c r="I13" s="17"/>
      <c r="J13" s="17"/>
      <c r="K13" s="3"/>
      <c r="L13" s="28">
        <f>IF(H13="",0,1)</f>
      </c>
      <c r="N13" s="778"/>
      <c r="O13" s="779">
        <f>(365*3)+1</f>
      </c>
      <c r="AC13" s="28"/>
      <c r="AD13" s="28"/>
    </row>
    <row r="14" spans="2:81" hidden="1" x14ac:dyDescent="0.2">
      <c r="B14" s="3"/>
      <c r="C14" s="65" t="s">
        <v>4957</v>
      </c>
      <c r="D14" s="3"/>
      <c r="E14" s="3"/>
      <c r="F14" s="3"/>
      <c r="G14" s="428"/>
      <c r="H14" s="222" t="str">
        <f>IF(Q8=0,"",IF(ISBLANK(G14),re,IF(G14&gt;ya,"&lt; Correct Y/A!",IF(G14&lt;P14,"&lt; Correct Y/A!",""))))</f>
        <v/>
      </c>
      <c r="I14" s="17"/>
      <c r="J14" s="17"/>
      <c r="K14" s="3"/>
      <c r="L14" s="28">
        <f>IF(H14="",0,1)</f>
      </c>
      <c r="N14" s="28">
        <f>YEAR(G12)</f>
      </c>
      <c r="O14" s="28">
        <f>YEAR(G13)</f>
      </c>
      <c r="P14" s="28">
        <f>N14+1</f>
      </c>
      <c r="Q14" s="28">
        <f>IF(N14+2&gt;ya,ya,N14+2)</f>
      </c>
      <c r="AC14" s="28"/>
      <c r="AD14" s="28"/>
    </row>
    <row r="15" spans="2:81" ht="3" hidden="1" customHeight="1" x14ac:dyDescent="0.2">
      <c r="B15" s="3"/>
      <c r="C15" s="3"/>
      <c r="D15" s="3"/>
      <c r="E15" s="3"/>
      <c r="F15" s="3"/>
      <c r="G15" s="222"/>
      <c r="H15" s="17"/>
      <c r="I15" s="17"/>
      <c r="J15" s="17"/>
      <c r="K15" s="3"/>
      <c r="AC15" s="28"/>
      <c r="AD15" s="28"/>
    </row>
    <row r="16" spans="2:81" hidden="1" x14ac:dyDescent="0.2">
      <c r="B16" s="3"/>
      <c r="C16" s="4275" t="s">
        <v>3478</v>
      </c>
      <c r="D16" s="4275"/>
      <c r="E16" s="4275"/>
      <c r="F16" s="4275"/>
      <c r="G16" s="222"/>
      <c r="H16" s="366"/>
      <c r="I16" s="222" t="str">
        <f>IF(Q8=0,"",IF(ISBLANK(H16),re,""))</f>
        <v/>
      </c>
      <c r="J16" s="17"/>
      <c r="K16" s="3"/>
      <c r="L16" s="28">
        <f>IF(I16="",0,1)</f>
      </c>
      <c r="N16" s="28">
        <v>500004</v>
      </c>
      <c r="O16" s="28">
        <v>999999</v>
      </c>
      <c r="P16" s="28" t="str">
        <f>IF(C5="","??",IF(H16=A$206,"B","C"))</f>
      </c>
      <c r="R16" s="28">
        <v>0</v>
      </c>
      <c r="AC16" s="28"/>
      <c r="AD16" s="28"/>
    </row>
    <row r="17" spans="2:30" ht="3" hidden="1" customHeight="1" x14ac:dyDescent="0.2">
      <c r="B17" s="3"/>
      <c r="C17" s="3"/>
      <c r="D17" s="3"/>
      <c r="E17" s="3"/>
      <c r="F17" s="3"/>
      <c r="G17" s="17"/>
      <c r="H17" s="17"/>
      <c r="I17" s="17"/>
      <c r="J17" s="17"/>
      <c r="K17" s="3"/>
      <c r="R17" s="28">
        <v>0</v>
      </c>
      <c r="AC17" s="28"/>
      <c r="AD17" s="28"/>
    </row>
    <row r="18" spans="2:30" hidden="1" x14ac:dyDescent="0.2">
      <c r="B18" s="3"/>
      <c r="C18" s="8" t="s">
        <v>2206</v>
      </c>
      <c r="D18" s="8"/>
      <c r="E18" s="8"/>
      <c r="F18" s="8"/>
      <c r="G18" s="114"/>
      <c r="H18" s="366"/>
      <c r="I18" s="222" t="str">
        <f>IF(Q8=0,"",IF(ISBLANK(H18),re,IF(H18=A$205,nob,"")))</f>
        <v/>
      </c>
      <c r="J18" s="17"/>
      <c r="K18" s="3"/>
      <c r="L18" s="28">
        <f>IF(I18="",0,1)</f>
      </c>
      <c r="P18" s="28" t="str">
        <f>IF(C5="","??",IF(H16=A$206,"G","H"))</f>
      </c>
      <c r="AC18" s="28"/>
      <c r="AD18" s="28"/>
    </row>
    <row r="19" spans="2:30" ht="3" hidden="1" customHeight="1" x14ac:dyDescent="0.2">
      <c r="B19" s="3"/>
      <c r="C19" s="3"/>
      <c r="D19" s="3"/>
      <c r="E19" s="3"/>
      <c r="F19" s="3"/>
      <c r="G19" s="17"/>
      <c r="H19" s="17"/>
      <c r="I19" s="17"/>
      <c r="J19" s="17"/>
      <c r="K19" s="3"/>
      <c r="S19" s="28" t="s">
        <v>2207</v>
      </c>
      <c r="AC19" s="28"/>
      <c r="AD19" s="28"/>
    </row>
    <row r="20" spans="2:30" hidden="1" x14ac:dyDescent="0.2">
      <c r="B20" s="3"/>
      <c r="C20" s="3" t="s">
        <v>2267</v>
      </c>
      <c r="D20" s="3"/>
      <c r="E20" s="3"/>
      <c r="F20" s="3"/>
      <c r="G20" s="428"/>
      <c r="H20" s="222" t="str">
        <f>IF(Q8=0,"",IF(ISBLANK(G20),pere,""))</f>
        <v/>
      </c>
      <c r="I20" s="17"/>
      <c r="J20" s="17"/>
      <c r="K20" s="3"/>
      <c r="L20" s="28">
        <f>IF(H20="",0,1)</f>
      </c>
      <c r="R20" s="28" t="s">
        <v>4356</v>
      </c>
      <c r="S20" s="28" t="s">
        <v>4356</v>
      </c>
      <c r="AC20" s="28"/>
      <c r="AD20" s="28"/>
    </row>
    <row r="21" spans="2:30" hidden="1" x14ac:dyDescent="0.2">
      <c r="B21" s="3"/>
      <c r="C21" s="3" t="s">
        <v>2268</v>
      </c>
      <c r="D21" s="3"/>
      <c r="E21" s="3"/>
      <c r="F21" s="3"/>
      <c r="G21" s="4317"/>
      <c r="H21" s="4318"/>
      <c r="I21" s="4319"/>
      <c r="J21" s="222" t="str">
        <f>IF(Q8=0,"",IF(ISBLANK(G21),re,""))</f>
        <v/>
      </c>
      <c r="K21" s="3"/>
      <c r="L21" s="28">
        <f>IF(J21="",0,1)</f>
      </c>
      <c r="S21" s="182" t="s">
        <v>2269</v>
      </c>
      <c r="AC21" s="28"/>
      <c r="AD21" s="28"/>
    </row>
    <row r="22" spans="2:30" hidden="1" x14ac:dyDescent="0.2">
      <c r="B22" s="3"/>
      <c r="C22" s="3" t="s">
        <v>2270</v>
      </c>
      <c r="D22" s="3"/>
      <c r="E22" s="3"/>
      <c r="F22" s="3"/>
      <c r="G22" s="428"/>
      <c r="H22" s="222" t="str">
        <f>IF(Q8=0,"",IF(ISBLANK(G22),re,""))</f>
        <v/>
      </c>
      <c r="I22" s="17"/>
      <c r="J22" s="17"/>
      <c r="K22" s="3"/>
      <c r="L22" s="28">
        <f>IF(H22="",0,1)</f>
      </c>
      <c r="S22" s="182"/>
      <c r="AC22" s="28"/>
      <c r="AD22" s="28"/>
    </row>
    <row r="23" spans="2:30" hidden="1" x14ac:dyDescent="0.2">
      <c r="B23" s="3"/>
      <c r="C23" s="3" t="s">
        <v>2271</v>
      </c>
      <c r="D23" s="3"/>
      <c r="E23" s="3"/>
      <c r="F23" s="3"/>
      <c r="G23" s="4852"/>
      <c r="H23" s="4853"/>
      <c r="I23" s="222" t="str">
        <f>IF(Q8=0,"",IF(ISBLANK(G23),re,""))</f>
        <v/>
      </c>
      <c r="J23" s="17"/>
      <c r="K23" s="3"/>
      <c r="L23" s="28">
        <f>IF(I23="",0,1)</f>
      </c>
      <c r="M23" s="28">
        <f>SUM(L8:L23)</f>
      </c>
      <c r="P23" s="28" t="str">
        <f>IF(C5=A$208,P16,P18)</f>
      </c>
      <c r="R23" s="28" t="s">
        <v>2272</v>
      </c>
      <c r="S23" s="182" t="str">
        <f>"Threshold (worked according to Table "&amp;P23&amp;")"</f>
      </c>
      <c r="AC23" s="28"/>
      <c r="AD23" s="28"/>
    </row>
    <row r="24" spans="2:30" ht="3" hidden="1" customHeight="1" x14ac:dyDescent="0.2">
      <c r="B24" s="3"/>
      <c r="C24" s="3"/>
      <c r="D24" s="3"/>
      <c r="E24" s="3"/>
      <c r="F24" s="3"/>
      <c r="G24" s="3"/>
      <c r="H24" s="3"/>
      <c r="I24" s="3"/>
      <c r="J24" s="3"/>
      <c r="K24" s="3"/>
      <c r="S24" s="182"/>
      <c r="AC24" s="28"/>
      <c r="AD24" s="28"/>
    </row>
    <row r="25" spans="2:30" ht="15" hidden="1" x14ac:dyDescent="0.2">
      <c r="B25" s="3"/>
      <c r="C25" s="611" t="s">
        <v>6378</v>
      </c>
      <c r="D25" s="186"/>
      <c r="E25" s="186"/>
      <c r="F25" s="186"/>
      <c r="G25" s="186"/>
      <c r="H25" s="186"/>
      <c r="I25" s="187"/>
      <c r="J25" s="61"/>
      <c r="K25" s="3"/>
      <c r="S25" s="182"/>
      <c r="AC25" s="28"/>
      <c r="AD25" s="28"/>
    </row>
    <row r="26" spans="2:30" hidden="1" x14ac:dyDescent="0.2">
      <c r="B26" s="3"/>
      <c r="C26" s="4844" t="s">
        <v>6379</v>
      </c>
      <c r="D26" s="4845"/>
      <c r="E26" s="194"/>
      <c r="F26" s="4835" t="s">
        <v>6925</v>
      </c>
      <c r="G26" s="4856"/>
      <c r="H26" s="4856"/>
      <c r="I26" s="4856"/>
      <c r="J26" s="795" t="str">
        <f>IF(I18=nob,nob,"")</f>
        <v/>
      </c>
      <c r="K26" s="3"/>
      <c r="AC26" s="28"/>
      <c r="AD26" s="28"/>
    </row>
    <row r="27" spans="2:30" ht="67.5" hidden="1" customHeight="1" x14ac:dyDescent="0.2">
      <c r="B27" s="3"/>
      <c r="C27" s="4846"/>
      <c r="D27" s="4847"/>
      <c r="E27" s="3"/>
      <c r="F27" s="783" t="s">
        <v>6380</v>
      </c>
      <c r="G27" s="783" t="s">
        <v>6927</v>
      </c>
      <c r="H27" s="783" t="s">
        <v>6928</v>
      </c>
      <c r="I27" s="783" t="s">
        <v>4127</v>
      </c>
      <c r="J27" s="4857" t="str">
        <f>IF(Q51=0,"",IF(ISBLANK(C5),"&lt; Choose LN! [Cell C5]",""))</f>
        <v/>
      </c>
      <c r="K27" s="4858"/>
      <c r="L27" s="28">
        <f>IF(J27="",0,1)</f>
      </c>
      <c r="M27" s="28" t="s">
        <v>2958</v>
      </c>
      <c r="N27" s="28" t="s">
        <v>4128</v>
      </c>
      <c r="O27" s="28" t="s">
        <v>4129</v>
      </c>
      <c r="Q27" s="28" t="s">
        <v>4130</v>
      </c>
      <c r="AC27" s="28"/>
      <c r="AD27" s="28"/>
    </row>
    <row r="28" spans="2:30" ht="4.1500000000000004" hidden="1" customHeight="1" x14ac:dyDescent="0.2">
      <c r="B28" s="3"/>
      <c r="C28" s="3"/>
      <c r="D28" s="3"/>
      <c r="E28" s="3"/>
      <c r="F28" s="784"/>
      <c r="G28" s="3"/>
      <c r="H28" s="3"/>
      <c r="I28" s="3"/>
      <c r="J28" s="3"/>
      <c r="K28" s="3"/>
      <c r="AC28" s="28"/>
      <c r="AD28" s="28"/>
    </row>
    <row r="29" spans="2:30" hidden="1" x14ac:dyDescent="0.2">
      <c r="B29" s="3"/>
      <c r="C29" s="3" t="s">
        <v>2245</v>
      </c>
      <c r="D29" s="3"/>
      <c r="E29" s="3"/>
      <c r="F29" s="525"/>
      <c r="G29" s="223"/>
      <c r="H29" s="223"/>
      <c r="I29" s="405">
        <f>IF(C5="",0,Z29)</f>
      </c>
      <c r="J29" s="61" t="str">
        <f>IF(Q51=0,"",IF(COUNT(F29:H29)&gt;U29,"&lt; No previous!",IF(COUNT(F29:H29)&lt;U29,"&lt; All data required or 0!",IF(Q29&gt;F29,res,IF(V29=1,"No Current!","")))))</f>
        <v/>
      </c>
      <c r="K29" s="796"/>
      <c r="L29" s="28">
        <f>IF(J29="",0,IF(J29=res,0,1))</f>
      </c>
      <c r="M29" s="28">
        <f>IF(ISBLANK(G14),0,IF(G14=ya,0,F29))</f>
      </c>
      <c r="N29" s="32">
        <f>IF(M29=0,F29,IF(G29&gt;F29,0,F29-G29))</f>
      </c>
      <c r="O29" s="28">
        <f>IF(M29=0,0,IF(G29&gt;F29,F29,G29))</f>
      </c>
      <c r="P29" s="32">
        <f>IF(F29-O29&gt;H29,H29,F29-O29)</f>
      </c>
      <c r="Q29" s="32">
        <f>G29+H29</f>
      </c>
      <c r="R29" s="28">
        <f>IF(G29&gt;F29,F29,G29)</f>
      </c>
      <c r="S29" s="28">
        <f>IF(H29&gt;F29-R29,F29-G29,H29)</f>
      </c>
      <c r="U29" s="28">
        <f>IF(G14=ya,2,3)</f>
      </c>
      <c r="V29" s="28">
        <f>IF(I44="",0,IF(I44=ya,0,IF(H29&gt;0,1,0)))</f>
      </c>
      <c r="X29" s="32">
        <f t="shared" ref="X29:Y31" si="0">IF(O29&lt;G29,O29,G29)</f>
      </c>
      <c r="Y29" s="32">
        <f t="shared" si="0"/>
        <v>0</v>
      </c>
      <c r="Z29" s="32">
        <f>IF(V29=1,X29,X29+Y29)</f>
      </c>
      <c r="AC29" s="28"/>
      <c r="AD29" s="28"/>
    </row>
    <row r="30" spans="2:30" hidden="1" x14ac:dyDescent="0.2">
      <c r="B30" s="3"/>
      <c r="C30" s="3" t="s">
        <v>2246</v>
      </c>
      <c r="D30" s="3"/>
      <c r="E30" s="61"/>
      <c r="F30" s="525"/>
      <c r="G30" s="223"/>
      <c r="H30" s="223"/>
      <c r="I30" s="405">
        <f>IF(C5="",0,Z30)</f>
      </c>
      <c r="J30" s="61" t="str">
        <f>IF(Q51=0,"",IF(COUNT(F30:H30)&gt;U30,"&lt; No previous!",IF(COUNT(F30:H30)&lt;U30,"&lt; All data required or 0!",IF(Q30&gt;F30,res,IF(V30=1,"No Current!","")))))</f>
        <v/>
      </c>
      <c r="K30" s="796"/>
      <c r="L30" s="28">
        <f>IF(J30="",0,IF(J30=res,0,1))</f>
      </c>
      <c r="M30" s="28">
        <f>IF(ISBLANK(G14),0,IF(G14=ya,0,F30))</f>
      </c>
      <c r="N30" s="32">
        <f>IF(G30&gt;F30,0,F30-G30)</f>
      </c>
      <c r="O30" s="28">
        <f>IF(M30=0,0,IF(G30&gt;F30,F30,G30))</f>
      </c>
      <c r="P30" s="32">
        <f>IF(F30-O30&gt;H30,H30,F30-O30)</f>
      </c>
      <c r="Q30" s="32">
        <f>G30+H30</f>
      </c>
      <c r="R30" s="28">
        <f>IF(G30&gt;F30,F30,G30)</f>
      </c>
      <c r="S30" s="28">
        <f>IF(H30&gt;F30-R30,F30-G30,H30)</f>
      </c>
      <c r="U30" s="28">
        <f>IF(G14=ya,2,3)</f>
      </c>
      <c r="V30" s="28">
        <f>IF(I44="",0,IF(I44=ya,0,IF(H30&gt;0,1,0)))</f>
      </c>
      <c r="X30" s="32">
        <f t="shared" si="0"/>
        <v>0</v>
      </c>
      <c r="Y30" s="32">
        <f t="shared" si="0"/>
        <v>0</v>
      </c>
      <c r="Z30" s="32">
        <f>IF(V30=1,X30,X30+Y30)</f>
      </c>
      <c r="AC30" s="28"/>
      <c r="AD30" s="28"/>
    </row>
    <row r="31" spans="2:30" hidden="1" x14ac:dyDescent="0.2">
      <c r="B31" s="3"/>
      <c r="C31" s="3" t="s">
        <v>2247</v>
      </c>
      <c r="D31" s="3"/>
      <c r="E31" s="3"/>
      <c r="F31" s="223"/>
      <c r="G31" s="223"/>
      <c r="H31" s="223"/>
      <c r="I31" s="405">
        <f>IF(C5="",0,Z31)</f>
      </c>
      <c r="J31" s="61" t="str">
        <f>IF(Q51=0,"",IF(COUNT(F31:H31)&gt;U31,"&lt; No previous!",IF(COUNT(F31:H31)&lt;U31,"&lt; All data required or 0!",IF(Q31&gt;F31,res,IF(V31=1,"No Current!","")))))</f>
        <v/>
      </c>
      <c r="K31" s="796"/>
      <c r="L31" s="28">
        <f>IF(J31="",0,IF(J31=res,0,1))</f>
      </c>
      <c r="M31" s="28">
        <f>IF(ISBLANK(G14),0,IF(G14=ya,0,F31))</f>
      </c>
      <c r="N31" s="32">
        <f>IF(G31&gt;F31,0,F31-G31)</f>
      </c>
      <c r="O31" s="28">
        <f>IF(M31=0,0,IF(G31&gt;F31,F31,G31))</f>
      </c>
      <c r="P31" s="32">
        <f>IF(F31-O31&gt;H31,H31,F31-O31)</f>
      </c>
      <c r="Q31" s="32">
        <f>G31+H31</f>
      </c>
      <c r="R31" s="28">
        <f>IF(G31&gt;F31,F31,G31)</f>
      </c>
      <c r="S31" s="28">
        <f>IF(H31&gt;F31-R31,F31-G31,H31)</f>
      </c>
      <c r="U31" s="28">
        <f>IF(G14=ya,2,3)</f>
      </c>
      <c r="V31" s="28">
        <f>IF(I44="",0,IF(I44=ya,0,IF(H31&gt;0,1,0)))</f>
      </c>
      <c r="X31" s="32">
        <f t="shared" si="0"/>
        <v>0</v>
      </c>
      <c r="Y31" s="32">
        <f t="shared" si="0"/>
        <v>0</v>
      </c>
      <c r="Z31" s="32">
        <f>IF(V31=1,X31,X31+Y31)</f>
      </c>
      <c r="AC31" s="28"/>
      <c r="AD31" s="28"/>
    </row>
    <row r="32" spans="2:30" ht="15" hidden="1" thickBot="1" x14ac:dyDescent="0.25">
      <c r="B32" s="3"/>
      <c r="C32" s="731" t="s">
        <v>5590</v>
      </c>
      <c r="D32" s="3"/>
      <c r="E32" s="3"/>
      <c r="F32" s="797">
        <f>SUM(F29:F31)</f>
      </c>
      <c r="G32" s="797">
        <f>O32</f>
      </c>
      <c r="H32" s="625">
        <f>IF(J26=nob,0,IF(I44="",P32,IF(I44&lt;ya,0,P32)))</f>
      </c>
      <c r="I32" s="797">
        <f>SUM(I29:I31)</f>
      </c>
      <c r="J32" s="61" t="str">
        <f>IF(S33&lt;&gt;V33,res,"")</f>
        <v/>
      </c>
      <c r="K32" s="3"/>
      <c r="O32" s="28">
        <f>SUM(O29:O31)</f>
      </c>
      <c r="P32" s="28">
        <f>SUM(P29:P31)</f>
      </c>
      <c r="V32" s="28">
        <f>SUM(V29:V31)</f>
      </c>
      <c r="AC32" s="28"/>
      <c r="AD32" s="28"/>
    </row>
    <row r="33" spans="2:54" ht="13.5" hidden="1" thickTop="1" x14ac:dyDescent="0.2">
      <c r="B33" s="3"/>
      <c r="C33" s="4275" t="s">
        <v>2516</v>
      </c>
      <c r="D33" s="4275"/>
      <c r="E33" s="4275"/>
      <c r="F33" s="4275"/>
      <c r="G33" s="4275"/>
      <c r="H33" s="798"/>
      <c r="I33" s="61" t="str">
        <f>IF(Q34=0,"",IF(G14=ya,"",IF(ISBLANK(H33),reo,IF(BB33=1,"&lt; Non-Numeric value!",IF(H33&gt;G32,"&lt; Excessive claim!","")))))</f>
        <v/>
      </c>
      <c r="J33" s="648"/>
      <c r="K33" s="3"/>
      <c r="L33" s="28">
        <f>IF(I33="",0,1)</f>
      </c>
      <c r="M33" s="28">
        <f>SUM(M29:M31)</f>
      </c>
      <c r="N33" s="32">
        <f>IF(G14=ya,1,0)</f>
      </c>
      <c r="O33" s="28">
        <f>IF($C$5=$A$209,0,O32)</f>
      </c>
      <c r="P33" s="28">
        <f>IF(G32&gt;F32,F32,G32)</f>
      </c>
      <c r="R33" s="28">
        <f>SUM(R29:R32)</f>
      </c>
      <c r="S33" s="28">
        <f>SUM(S29:S32)</f>
      </c>
      <c r="T33" s="32">
        <f>SUM(F29:F31)</f>
      </c>
      <c r="U33" s="32">
        <f>SUM(G29:G31)</f>
      </c>
      <c r="V33" s="32">
        <f>IF(V32&lt;&gt;0,0,SUM(H29:H31))</f>
      </c>
      <c r="AC33" s="28"/>
      <c r="AD33" s="28"/>
      <c r="BA33" s="28">
        <f>H33*1</f>
      </c>
      <c r="BB33" s="28">
        <f>IF(ISERROR(BA33),1,0)</f>
      </c>
    </row>
    <row r="34" spans="2:54" hidden="1" x14ac:dyDescent="0.2">
      <c r="B34" s="3"/>
      <c r="C34" s="4275" t="s">
        <v>3982</v>
      </c>
      <c r="D34" s="4275"/>
      <c r="E34" s="4275"/>
      <c r="F34" s="4275"/>
      <c r="G34" s="4275" t="s">
        <v>1020</v>
      </c>
      <c r="H34" s="799">
        <f>IF(G32=0,H32,SUM(H32:H33))</f>
      </c>
      <c r="I34" s="648" t="s">
        <v>1020</v>
      </c>
      <c r="J34" s="648" t="s">
        <v>1020</v>
      </c>
      <c r="K34" s="3"/>
      <c r="Q34" s="30">
        <f>COUNT(F29:H31)</f>
      </c>
      <c r="AC34" s="28" t="s">
        <v>5253</v>
      </c>
      <c r="AD34" s="28" t="s">
        <v>405</v>
      </c>
    </row>
    <row r="35" spans="2:54" hidden="1" x14ac:dyDescent="0.2">
      <c r="B35" s="3"/>
      <c r="C35" s="8" t="s">
        <v>4909</v>
      </c>
      <c r="D35" s="8"/>
      <c r="E35" s="8" t="s">
        <v>1020</v>
      </c>
      <c r="F35" s="8" t="s">
        <v>1020</v>
      </c>
      <c r="G35" s="1343"/>
      <c r="H35" s="432"/>
      <c r="I35" s="61" t="str">
        <f>IF(H35&gt;H34,"&lt; Excessive claim!",IF(H34=0,"",IF(ISBLANK(H35),reo,"")))</f>
        <v/>
      </c>
      <c r="J35" s="61"/>
      <c r="K35" s="3"/>
      <c r="L35" s="28">
        <f>IF(I35="",0,1)</f>
      </c>
      <c r="AC35" s="194">
        <f>IF($C5=A$208,H35,0)</f>
      </c>
      <c r="AD35" s="194">
        <f>IF($C5=A$209,H35,0)</f>
      </c>
    </row>
    <row r="36" spans="2:54" hidden="1" x14ac:dyDescent="0.2">
      <c r="B36" s="3"/>
      <c r="C36" s="4275" t="str">
        <f>IF($C$5=$A$209,$AA$36,$AA$36&amp;$AB$36)</f>
      </c>
      <c r="D36" s="4275"/>
      <c r="E36" s="4275"/>
      <c r="F36" s="4275"/>
      <c r="G36" s="4275"/>
      <c r="H36" s="799">
        <f>IF(H35&gt;H34,0,H34-H35)</f>
      </c>
      <c r="I36" s="648" t="s">
        <v>1020</v>
      </c>
      <c r="J36" s="648" t="s">
        <v>1020</v>
      </c>
      <c r="K36" s="3"/>
      <c r="AA36" s="28" t="s">
        <v>3363</v>
      </c>
      <c r="AB36" s="28" t="s">
        <v>3364</v>
      </c>
      <c r="AC36" s="28"/>
      <c r="AD36" s="28"/>
    </row>
    <row r="37" spans="2:54" ht="3" hidden="1" customHeight="1" x14ac:dyDescent="0.2">
      <c r="B37" s="3"/>
      <c r="C37" s="358"/>
      <c r="D37" s="649"/>
      <c r="E37" s="648" t="s">
        <v>1020</v>
      </c>
      <c r="F37" s="648" t="s">
        <v>1020</v>
      </c>
      <c r="G37" s="648" t="s">
        <v>1020</v>
      </c>
      <c r="H37" s="648" t="s">
        <v>1020</v>
      </c>
      <c r="I37" s="648" t="s">
        <v>1020</v>
      </c>
      <c r="J37" s="648" t="s">
        <v>1020</v>
      </c>
      <c r="K37" s="3"/>
      <c r="AC37" s="28"/>
      <c r="AD37" s="28"/>
    </row>
    <row r="38" spans="2:54" ht="15" hidden="1" x14ac:dyDescent="0.2">
      <c r="B38" s="3"/>
      <c r="C38" s="611" t="s">
        <v>340</v>
      </c>
      <c r="D38" s="186"/>
      <c r="E38" s="186"/>
      <c r="F38" s="186"/>
      <c r="G38" s="186"/>
      <c r="H38" s="186"/>
      <c r="I38" s="187"/>
      <c r="J38" s="800" t="str">
        <f>IF(I18=nob,R20,IF(I40=A$205,R20,IF(Q40&lt;&gt;5,"",IF(N46=0,"",IF(N46&lt;&gt;5,R20,"")))))</f>
        <v/>
      </c>
      <c r="K38" s="3"/>
      <c r="AC38" s="28"/>
      <c r="AD38" s="28"/>
    </row>
    <row r="39" spans="2:54" ht="3.75" hidden="1" customHeight="1" x14ac:dyDescent="0.2">
      <c r="B39" s="3"/>
      <c r="C39" s="41"/>
      <c r="D39" s="41"/>
      <c r="E39" s="41"/>
      <c r="F39" s="41"/>
      <c r="G39" s="41"/>
      <c r="H39" s="41"/>
      <c r="I39" s="41"/>
      <c r="J39" s="801"/>
      <c r="K39" s="3"/>
      <c r="AC39" s="28"/>
      <c r="AD39" s="28"/>
    </row>
    <row r="40" spans="2:54" hidden="1" x14ac:dyDescent="0.2">
      <c r="B40" s="3"/>
      <c r="C40" s="3" t="s">
        <v>5357</v>
      </c>
      <c r="D40" s="3"/>
      <c r="E40" s="3"/>
      <c r="F40" s="3"/>
      <c r="G40" s="3"/>
      <c r="H40" s="3"/>
      <c r="I40" s="366"/>
      <c r="J40" s="61" t="str">
        <f>IF(Q40=0,"",IF(Q34=0,"",IF(ISBLANK(I40),re,"")))</f>
        <v/>
      </c>
      <c r="K40" s="3"/>
      <c r="L40" s="28">
        <f>IF(J40="",0,IF(J40=res,0,1))</f>
      </c>
      <c r="N40" s="28">
        <f>IF(I40=$A$206,1,0)</f>
      </c>
      <c r="Q40" s="30">
        <f>COUNTA(I40:I44)</f>
      </c>
      <c r="AC40" s="28"/>
      <c r="AD40" s="28"/>
    </row>
    <row r="41" spans="2:54" hidden="1" x14ac:dyDescent="0.2">
      <c r="B41" s="3"/>
      <c r="C41" s="3" t="s">
        <v>6836</v>
      </c>
      <c r="D41" s="3"/>
      <c r="E41" s="3"/>
      <c r="F41" s="3"/>
      <c r="G41" s="3"/>
      <c r="H41" s="3"/>
      <c r="I41" s="366"/>
      <c r="J41" s="61" t="str">
        <f>IF(Q40=0,"",IF(I40=A205,"",IF(ISBLANK(I41),re,"")))</f>
        <v/>
      </c>
      <c r="K41" s="3"/>
      <c r="L41" s="28">
        <f>IF(J41="",0,IF(J41=res,0,1))</f>
      </c>
      <c r="N41" s="28">
        <f>IF(I41=$A$206,1,0)</f>
      </c>
      <c r="AC41" s="28"/>
      <c r="AD41" s="28"/>
    </row>
    <row r="42" spans="2:54" hidden="1" x14ac:dyDescent="0.2">
      <c r="B42" s="3"/>
      <c r="C42" s="3" t="str">
        <f>IF(C5="","Has the company submitted the relevant certificate?",VLOOKUP(C5,$A$208:$E$209,4,FALSE))</f>
      </c>
      <c r="D42" s="3"/>
      <c r="E42" s="3"/>
      <c r="F42" s="3"/>
      <c r="G42" s="3"/>
      <c r="H42" s="3"/>
      <c r="I42" s="366"/>
      <c r="J42" s="61" t="str">
        <f>IF(Q40=0,"",IF(I40=A205,"",IF(ISBLANK(I42),re,"")))</f>
        <v/>
      </c>
      <c r="K42" s="3"/>
      <c r="L42" s="28">
        <f>IF(J42="",0,IF(J42=res,0,1))</f>
      </c>
      <c r="N42" s="28">
        <f>IF(I42=$A$206,1,0)</f>
      </c>
      <c r="AC42" s="28"/>
      <c r="AD42" s="28"/>
    </row>
    <row r="43" spans="2:54" hidden="1" x14ac:dyDescent="0.2">
      <c r="B43" s="3"/>
      <c r="C43" s="3" t="s">
        <v>6837</v>
      </c>
      <c r="D43" s="3"/>
      <c r="E43" s="3"/>
      <c r="F43" s="3"/>
      <c r="G43" s="3"/>
      <c r="H43" s="3"/>
      <c r="I43" s="364"/>
      <c r="J43" s="61" t="str">
        <f>IF(Q40=0,"",IF(I40=A205,"",IF(ISBLANK(I43),re,IF(O43&gt;ya-1,"&lt; Future date?",IF(I43&lt;=G12,S19,IF(I43&gt;G13,S19,""))))))</f>
        <v/>
      </c>
      <c r="K43" s="3"/>
      <c r="L43" s="28">
        <f>IF(J43="",0,IF(J43=res,0,1))</f>
      </c>
      <c r="N43" s="28">
        <f>IF(ISBLANK(I43),0,IF(J43&lt;&gt;"",0,1))</f>
      </c>
      <c r="O43" s="28">
        <f>YEAR(I43)</f>
      </c>
    </row>
    <row r="44" spans="2:54" hidden="1" x14ac:dyDescent="0.2">
      <c r="B44" s="3"/>
      <c r="C44" s="3" t="s">
        <v>51</v>
      </c>
      <c r="D44" s="3"/>
      <c r="E44" s="3"/>
      <c r="F44" s="3"/>
      <c r="G44" s="3"/>
      <c r="H44" s="3"/>
      <c r="I44" s="428"/>
      <c r="J44" s="61" t="str">
        <f>IF(ISBLANK(I43),"",IF(ISBLANK(I44),re,IF(I44&gt;Q44,"&lt; Correct Y/A!",IF(I44&lt;P44,"&lt; Correct Y/A!",""))))</f>
        <v/>
      </c>
      <c r="K44" s="3"/>
      <c r="L44" s="28">
        <f>IF(J44="",0,IF(J44=res,0,1))</f>
      </c>
      <c r="N44" s="28">
        <f>IF(ISBLANK(I44),0,IF(J44&lt;&gt;"",0,1))</f>
      </c>
      <c r="P44" s="28">
        <f>O43+1</f>
      </c>
      <c r="Q44" s="28">
        <f>IF(O43+2&gt;ya,ya,O43+2)</f>
      </c>
    </row>
    <row r="45" spans="2:54" ht="3" hidden="1" customHeight="1" x14ac:dyDescent="0.2">
      <c r="B45" s="3"/>
      <c r="C45" s="3"/>
      <c r="D45" s="3"/>
      <c r="E45" s="3"/>
      <c r="F45" s="3"/>
      <c r="G45" s="3"/>
      <c r="H45" s="3"/>
      <c r="I45" s="3"/>
      <c r="J45" s="3"/>
      <c r="K45" s="3"/>
    </row>
    <row r="46" spans="2:54" ht="12.75" hidden="1" customHeight="1" x14ac:dyDescent="0.2">
      <c r="B46" s="3"/>
      <c r="C46" s="4840" t="s">
        <v>52</v>
      </c>
      <c r="D46" s="4840"/>
      <c r="E46" s="3"/>
      <c r="F46" s="4841" t="s">
        <v>2444</v>
      </c>
      <c r="G46" s="4842"/>
      <c r="H46" s="4843"/>
      <c r="I46" s="781" t="s">
        <v>784</v>
      </c>
      <c r="J46" s="4854" t="str">
        <f>J27</f>
        <v/>
      </c>
      <c r="K46" s="4855"/>
      <c r="L46" s="28">
        <f>IF(J46="",0,1)</f>
      </c>
      <c r="N46" s="28">
        <f>SUM(N40:N44)</f>
      </c>
    </row>
    <row r="47" spans="2:54" ht="57" hidden="1" customHeight="1" x14ac:dyDescent="0.2">
      <c r="B47" s="3"/>
      <c r="C47" s="4840"/>
      <c r="D47" s="4840"/>
      <c r="E47" s="3"/>
      <c r="F47" s="782" t="str">
        <f>S23</f>
      </c>
      <c r="G47" s="782" t="str">
        <f>IF(C5="","Value of other benefits",VLOOKUP(C5,$A$208:$E$209,5,FALSE))</f>
      </c>
      <c r="H47" s="782" t="s">
        <v>785</v>
      </c>
      <c r="I47" s="782" t="s">
        <v>403</v>
      </c>
      <c r="J47" s="3"/>
      <c r="K47" s="3"/>
    </row>
    <row r="48" spans="2:54" hidden="1" x14ac:dyDescent="0.2">
      <c r="B48" s="3"/>
      <c r="C48" s="4840"/>
      <c r="D48" s="4840"/>
      <c r="E48" s="3"/>
      <c r="F48" s="405">
        <f>ROUND(N48,0)</f>
      </c>
      <c r="G48" s="223"/>
      <c r="H48" s="405">
        <f>IF(G48="",0,IF(G48&gt;F48,0,F48-G48))</f>
      </c>
      <c r="I48" s="410">
        <f>IF(C5="",0,IF(J38=R20,0,IF(O48&lt;=H48,O48,H48)))</f>
      </c>
      <c r="J48" s="795" t="str">
        <f>IF(C5="","",IF(N46&lt;&gt;5,"",IF(ISBLANK(G48),reo,IF(O48&gt;I48,res,""))))</f>
        <v/>
      </c>
      <c r="K48" s="3"/>
      <c r="L48" s="28">
        <f>IF(J48=reo,1,0)</f>
      </c>
      <c r="N48" s="28">
        <f>IF(N46&lt;&gt;5,0,IF(I18=nob,0,IF(OR(P23="B",P23="G"),I32*VLOOKUP(G23,tableb1,3,FALSE),IF(OR(P23="C",P23="H"),I32*VLOOKUP(G23,TABLEC1,3,FALSE)))))</f>
      </c>
      <c r="O48" s="28">
        <f>ROUND(I32*0.175,0)</f>
      </c>
      <c r="Q48" s="30">
        <f>COUNT(G48,I53,I51)</f>
      </c>
    </row>
    <row r="49" spans="1:81" ht="14.25" hidden="1" customHeight="1" x14ac:dyDescent="0.2">
      <c r="B49" s="3"/>
      <c r="C49" s="802" t="str">
        <f>IF(C5=0,"",IF(C46=R20,"",IF(N46&lt;&gt;5,"",IF(J48&lt;&gt;"","","[Total Tax Credit before considering threshold and reduction = "&amp;I32&amp;" x 17.5% = "&amp;O48&amp;"]"))))</f>
        <v/>
      </c>
      <c r="D49" s="789"/>
      <c r="E49" s="789"/>
      <c r="F49" s="789"/>
      <c r="G49" s="803"/>
      <c r="H49" s="789"/>
      <c r="I49" s="789"/>
      <c r="J49" s="534" t="s">
        <v>1020</v>
      </c>
      <c r="K49" s="3"/>
    </row>
    <row r="50" spans="1:81" ht="3" hidden="1" customHeight="1" x14ac:dyDescent="0.2">
      <c r="B50" s="3"/>
      <c r="C50" s="802"/>
      <c r="D50" s="789"/>
      <c r="E50" s="789"/>
      <c r="F50" s="789"/>
      <c r="G50" s="803"/>
      <c r="H50" s="789"/>
      <c r="I50" s="789"/>
      <c r="J50" s="534"/>
      <c r="K50" s="3"/>
    </row>
    <row r="51" spans="1:81" hidden="1" x14ac:dyDescent="0.2">
      <c r="B51" s="3"/>
      <c r="C51" s="789"/>
      <c r="D51" s="789"/>
      <c r="E51" s="789"/>
      <c r="F51" s="105" t="s">
        <v>2960</v>
      </c>
      <c r="G51" s="789"/>
      <c r="H51" s="804"/>
      <c r="I51" s="223"/>
      <c r="J51" s="61" t="str">
        <f>IF(I48=0,"",IF(AND(N51=0,I51&gt;0),"&lt; Delete!",IF(N51=0,"",IF(ISBLANK(I51),reo,IF(I51&gt;I48,"&lt; Excessive!","")))))</f>
        <v/>
      </c>
      <c r="K51" s="3"/>
      <c r="L51" s="28">
        <f>IF(J51="",0,IF(J51=res,0,1))</f>
      </c>
      <c r="N51" s="28">
        <f>IF(I44=ya,0,I48)</f>
      </c>
      <c r="Q51" s="43">
        <f>Q8+Q66+Q124</f>
      </c>
    </row>
    <row r="52" spans="1:81" hidden="1" x14ac:dyDescent="0.2">
      <c r="B52" s="3"/>
      <c r="C52" s="789"/>
      <c r="D52" s="789"/>
      <c r="E52" s="789"/>
      <c r="F52" s="105" t="s">
        <v>2961</v>
      </c>
      <c r="G52" s="789"/>
      <c r="H52" s="106"/>
      <c r="I52" s="405">
        <f>IF(N51=0,I48,I51)</f>
      </c>
      <c r="J52" s="534" t="s">
        <v>1020</v>
      </c>
      <c r="K52" s="3"/>
      <c r="L52" s="28">
        <f>IF(I56="",0,1)</f>
      </c>
    </row>
    <row r="53" spans="1:81" hidden="1" x14ac:dyDescent="0.2">
      <c r="B53" s="3"/>
      <c r="C53" s="789"/>
      <c r="D53" s="789"/>
      <c r="E53" s="789"/>
      <c r="F53" s="4838" t="s">
        <v>2962</v>
      </c>
      <c r="G53" s="4838"/>
      <c r="H53" s="4839"/>
      <c r="I53" s="223"/>
      <c r="J53" s="61" t="str">
        <f>IF(N46=0,"",IF(I48=0,"",IF(ISBLANK(I53),re,IF(I53&gt;I52,"&lt; Excessive!!",IF(I53&gt;I48,"&lt; Excessive!","")))))</f>
        <v/>
      </c>
      <c r="K53" s="328"/>
      <c r="L53" s="28">
        <f>IF(J53="",0,IF(J53=res,0,1))</f>
      </c>
      <c r="N53" s="28">
        <f>ya</f>
      </c>
    </row>
    <row r="54" spans="1:81" ht="13.5" hidden="1" thickBot="1" x14ac:dyDescent="0.25">
      <c r="B54" s="3"/>
      <c r="C54" s="789"/>
      <c r="D54" s="789"/>
      <c r="E54" s="789"/>
      <c r="F54" s="105" t="s">
        <v>435</v>
      </c>
      <c r="G54" s="789"/>
      <c r="H54" s="34"/>
      <c r="I54" s="625">
        <f>IF(I53&gt;I52,0,I52-I53)</f>
      </c>
      <c r="J54" s="805" t="s">
        <v>1020</v>
      </c>
      <c r="K54" s="3"/>
      <c r="L54" s="43">
        <f>SUM(L4:L53)</f>
      </c>
    </row>
    <row r="55" spans="1:81" ht="13.5" hidden="1" thickTop="1" x14ac:dyDescent="0.2">
      <c r="B55" s="3"/>
      <c r="C55" s="805"/>
      <c r="D55" s="805" t="s">
        <v>1020</v>
      </c>
      <c r="E55" s="805" t="s">
        <v>1020</v>
      </c>
      <c r="F55" s="805" t="s">
        <v>1020</v>
      </c>
      <c r="G55" s="805" t="s">
        <v>1020</v>
      </c>
      <c r="H55" s="805" t="s">
        <v>1020</v>
      </c>
      <c r="I55" s="805" t="s">
        <v>1020</v>
      </c>
      <c r="J55" s="805" t="s">
        <v>1020</v>
      </c>
      <c r="K55" s="3"/>
    </row>
    <row r="56" spans="1:81" hidden="1" x14ac:dyDescent="0.2">
      <c r="B56" s="3"/>
      <c r="C56" s="457" t="str">
        <f>"Income deemed relieved by the tax credit [Current] Y/A "&amp;ya</f>
      </c>
      <c r="D56" s="199"/>
      <c r="E56" s="200"/>
      <c r="F56" s="199"/>
      <c r="G56" s="200"/>
      <c r="H56" s="223"/>
      <c r="I56" s="61" t="str">
        <f>IF(Q8=0,"",IF(ISBLANK(H56),re,""))</f>
        <v/>
      </c>
      <c r="J56" s="3"/>
      <c r="K56" s="539"/>
      <c r="M56" s="28">
        <f>ROUND(I53/0.35,0)</f>
      </c>
    </row>
    <row r="57" spans="1:81" ht="3" hidden="1" customHeight="1" x14ac:dyDescent="0.2">
      <c r="B57" s="3"/>
      <c r="C57" s="3"/>
      <c r="D57" s="3"/>
      <c r="E57" s="3"/>
      <c r="F57" s="3"/>
      <c r="G57" s="3"/>
      <c r="H57" s="3"/>
      <c r="I57" s="3"/>
      <c r="J57" s="3"/>
      <c r="K57" s="3"/>
    </row>
    <row r="58" spans="1:81" hidden="1" x14ac:dyDescent="0.2">
      <c r="B58" s="3"/>
      <c r="C58" s="65" t="s">
        <v>10574</v>
      </c>
      <c r="D58" s="3"/>
      <c r="E58" s="65" t="str">
        <f>ver</f>
        <v>TA2_e-CO_2025_Ver 1.1</v>
      </c>
      <c r="F58" s="3"/>
      <c r="G58" s="3"/>
      <c r="H58" s="3"/>
      <c r="I58" s="3"/>
      <c r="J58" s="539" t="str">
        <f>O58&amp;P58</f>
      </c>
      <c r="K58" s="3"/>
      <c r="O58" s="28" t="s">
        <v>1962</v>
      </c>
      <c r="P58" s="28" t="str">
        <f>IF(C5=A$209,"43_1","49_1")</f>
      </c>
    </row>
    <row r="59" spans="1:81" ht="3" hidden="1" customHeight="1" x14ac:dyDescent="0.2">
      <c r="B59" s="3"/>
      <c r="C59" s="211"/>
      <c r="D59" s="211"/>
      <c r="E59" s="211"/>
      <c r="F59" s="211"/>
      <c r="G59" s="211"/>
      <c r="H59" s="211"/>
      <c r="I59" s="3"/>
      <c r="J59" s="3"/>
      <c r="K59" s="3"/>
    </row>
    <row r="60" spans="1:81" hidden="1" x14ac:dyDescent="0.2">
      <c r="B60" s="3"/>
      <c r="C60" s="4408" t="str">
        <f>_ref1</f>
      </c>
      <c r="D60" s="4408"/>
      <c r="E60" s="4408"/>
      <c r="F60" s="4408"/>
      <c r="G60" s="4408"/>
      <c r="H60" s="4408"/>
      <c r="I60" s="4408"/>
      <c r="J60" s="4408"/>
      <c r="K60" s="65" t="str">
        <f>_YA1</f>
      </c>
      <c r="R60" s="74">
        <v>38353</v>
      </c>
      <c r="AC60" s="4824" t="s">
        <v>6424</v>
      </c>
      <c r="AD60" s="4824"/>
      <c r="AE60" s="4824"/>
    </row>
    <row r="61" spans="1:81" ht="15" hidden="1" x14ac:dyDescent="0.2">
      <c r="A61" s="142"/>
      <c r="B61" s="3"/>
      <c r="C61" s="739"/>
      <c r="D61" s="794"/>
      <c r="E61" s="794"/>
      <c r="F61" s="794"/>
      <c r="G61" s="794"/>
      <c r="H61" s="794"/>
      <c r="I61" s="794"/>
      <c r="J61" s="794"/>
      <c r="K61" s="794"/>
      <c r="P61" s="28">
        <f>IF(ISBLANK(C63),1,0)</f>
      </c>
      <c r="R61" s="74">
        <v>39813</v>
      </c>
      <c r="AC61" s="28" t="s">
        <v>2999</v>
      </c>
      <c r="AD61" s="92" t="s">
        <v>6875</v>
      </c>
      <c r="AE61" s="92"/>
      <c r="CB61" s="74">
        <f>DATE(ya,12,31)</f>
      </c>
      <c r="CC61" s="74">
        <v>38353</v>
      </c>
    </row>
    <row r="62" spans="1:81" ht="18" hidden="1" x14ac:dyDescent="0.25">
      <c r="B62" s="3"/>
      <c r="C62" s="772" t="str">
        <f>IF(C63="","",VLOOKUP(C63,$A$208:$E$209,2,FALSE))</f>
      </c>
      <c r="D62" s="189"/>
      <c r="E62" s="189"/>
      <c r="F62" s="189"/>
      <c r="G62" s="189"/>
      <c r="H62" s="189"/>
      <c r="I62" s="189"/>
      <c r="J62" s="190"/>
      <c r="K62" s="3"/>
      <c r="AC62" s="28" t="s">
        <v>6876</v>
      </c>
      <c r="AE62" s="92">
        <v>0.17499999999999999</v>
      </c>
      <c r="BZ62" s="28" t="s">
        <v>5206</v>
      </c>
      <c r="CA62" s="28" t="s">
        <v>5207</v>
      </c>
      <c r="CB62" s="74">
        <f>DATE(ya,9,30)</f>
      </c>
      <c r="CC62" s="74">
        <v>38717</v>
      </c>
    </row>
    <row r="63" spans="1:81" ht="18" hidden="1" x14ac:dyDescent="0.25">
      <c r="B63" s="3"/>
      <c r="C63" s="4849" t="str">
        <f>IF(C5="","",C5)</f>
      </c>
      <c r="D63" s="4850"/>
      <c r="E63" s="4850"/>
      <c r="F63" s="4850"/>
      <c r="G63" s="4850"/>
      <c r="H63" s="4850"/>
      <c r="I63" s="4850"/>
      <c r="J63" s="4851"/>
      <c r="K63" s="3"/>
      <c r="AC63" s="4824" t="s">
        <v>2738</v>
      </c>
      <c r="AD63" s="4824"/>
      <c r="AE63" s="4824"/>
      <c r="BZ63" s="28" t="s">
        <v>3001</v>
      </c>
      <c r="CA63" s="28" t="s">
        <v>3002</v>
      </c>
      <c r="CB63" s="74">
        <f>DATE(ya,6,30)</f>
      </c>
      <c r="CC63" s="74">
        <v>39813</v>
      </c>
    </row>
    <row r="64" spans="1:81" ht="15" hidden="1" x14ac:dyDescent="0.2">
      <c r="B64" s="3"/>
      <c r="C64" s="773" t="str">
        <f>IF(C63="","",VLOOKUP(C63,$A$208:$E$209,3,FALSE))</f>
      </c>
      <c r="D64" s="180"/>
      <c r="E64" s="180"/>
      <c r="F64" s="180"/>
      <c r="G64" s="180"/>
      <c r="H64" s="180"/>
      <c r="I64" s="180"/>
      <c r="J64" s="181"/>
      <c r="K64" s="3"/>
      <c r="AC64" s="28" t="s">
        <v>2739</v>
      </c>
      <c r="AE64" s="92">
        <v>0.8</v>
      </c>
      <c r="BZ64" s="28" t="s">
        <v>2932</v>
      </c>
      <c r="CA64" s="28" t="s">
        <v>2933</v>
      </c>
      <c r="CB64" s="74">
        <f>DATE(ya-1,12,31)</f>
      </c>
      <c r="CC64" s="74"/>
    </row>
    <row r="65" spans="2:81" hidden="1" x14ac:dyDescent="0.2">
      <c r="B65" s="3"/>
      <c r="C65" s="1340" t="s">
        <v>2740</v>
      </c>
      <c r="D65" s="3"/>
      <c r="E65" s="3"/>
      <c r="F65" s="3"/>
      <c r="G65" s="3"/>
      <c r="H65" s="3"/>
      <c r="I65" s="3"/>
      <c r="J65" s="3"/>
      <c r="K65" s="3"/>
      <c r="AC65" s="28" t="s">
        <v>2741</v>
      </c>
      <c r="AE65" s="92">
        <v>0.45</v>
      </c>
      <c r="CB65" s="74"/>
      <c r="CC65" s="74"/>
    </row>
    <row r="66" spans="2:81" hidden="1" x14ac:dyDescent="0.2">
      <c r="B66" s="3"/>
      <c r="C66" s="65" t="s">
        <v>3128</v>
      </c>
      <c r="D66" s="3"/>
      <c r="E66" s="3"/>
      <c r="F66" s="3"/>
      <c r="G66" s="364"/>
      <c r="H66" s="222" t="str">
        <f>IF(Q66=0,"",IF(ISBLANK(G66),re,IF(G66&lt;CC61,S77,IF(G66&gt;CB63,S77,""))))</f>
        <v/>
      </c>
      <c r="I66" s="4848" t="str">
        <f>IF(Q109=0,"",IF(Q66&lt;&gt;12,dat,""))</f>
        <v/>
      </c>
      <c r="J66" s="4848"/>
      <c r="K66" s="3"/>
      <c r="L66" s="28">
        <f>IF(H66="",0,1)</f>
      </c>
      <c r="N66" s="28">
        <v>1</v>
      </c>
      <c r="P66" s="28">
        <v>12</v>
      </c>
      <c r="Q66" s="30">
        <f>COUNTA(G66,G68,G69,G71,G70,G72,H74,H76,G78,G79,G80,G81,H114,I111,I109,G106,I98:I102,F87:H89,H91,H93)</f>
      </c>
      <c r="AC66" s="28"/>
      <c r="AE66" s="92"/>
      <c r="CA66" s="28" t="s">
        <v>1095</v>
      </c>
      <c r="CB66" s="74">
        <f>G70+1096</f>
      </c>
      <c r="CC66" s="74"/>
    </row>
    <row r="67" spans="2:81" hidden="1" x14ac:dyDescent="0.2">
      <c r="B67" s="3"/>
      <c r="C67" s="3" t="s">
        <v>3967</v>
      </c>
      <c r="D67" s="3"/>
      <c r="E67" s="3"/>
      <c r="F67" s="3"/>
      <c r="G67" s="1339"/>
      <c r="H67" s="17"/>
      <c r="I67" s="17"/>
      <c r="J67" s="17"/>
      <c r="K67" s="3"/>
      <c r="AC67" s="4824" t="s">
        <v>3129</v>
      </c>
      <c r="AD67" s="4824"/>
      <c r="AE67" s="4824"/>
      <c r="CB67" s="74"/>
    </row>
    <row r="68" spans="2:81" hidden="1" x14ac:dyDescent="0.2">
      <c r="B68" s="3"/>
      <c r="C68" s="3"/>
      <c r="D68" s="4269" t="s">
        <v>1759</v>
      </c>
      <c r="E68" s="4269"/>
      <c r="F68" s="4269"/>
      <c r="G68" s="364"/>
      <c r="H68" s="222" t="str">
        <f>IF(Q66=0,"",IF(ISBLANK(G68),re,IF(G68&lt;CC61,S77,IF(G68&gt;CB62,S77,""))))</f>
        <v/>
      </c>
      <c r="I68" s="17"/>
      <c r="J68" s="17"/>
      <c r="K68" s="3"/>
      <c r="L68" s="28">
        <f>IF(H68="",0,1)</f>
      </c>
      <c r="AC68" s="28" t="s">
        <v>2999</v>
      </c>
      <c r="AE68" s="92"/>
    </row>
    <row r="69" spans="2:81" hidden="1" x14ac:dyDescent="0.2">
      <c r="B69" s="3"/>
      <c r="C69" s="3"/>
      <c r="D69" s="4269" t="s">
        <v>1762</v>
      </c>
      <c r="E69" s="4269"/>
      <c r="F69" s="4269"/>
      <c r="G69" s="632"/>
      <c r="H69" s="222" t="str">
        <f>IF(Q66=0,"",IF(ISBLANK(G69),re,""))</f>
        <v/>
      </c>
      <c r="I69" s="17"/>
      <c r="J69" s="17"/>
      <c r="K69" s="3"/>
      <c r="L69" s="28">
        <f>IF(H69="",0,1)</f>
      </c>
      <c r="AC69" s="28" t="s">
        <v>2739</v>
      </c>
      <c r="AE69" s="92">
        <v>0.6</v>
      </c>
    </row>
    <row r="70" spans="2:81" hidden="1" x14ac:dyDescent="0.2">
      <c r="B70" s="3"/>
      <c r="C70" s="3" t="s">
        <v>4955</v>
      </c>
      <c r="D70" s="3"/>
      <c r="E70" s="3"/>
      <c r="F70" s="1342"/>
      <c r="G70" s="364"/>
      <c r="H70" s="222" t="str">
        <f>IF(Q66=0,"",IF(ISBLANK(G70),re,IF(G70&gt;CB64,"&lt; Future date?",IF(ISBLANK(I101),"",IF(G70&gt;=I101,"&lt; Check date!","")))))</f>
        <v/>
      </c>
      <c r="I70" s="1341" t="str">
        <f>IF(G70="","",IF(G70&gt;$CC$5,LATE,""))</f>
        <v/>
      </c>
      <c r="J70" s="17"/>
      <c r="K70" s="3"/>
      <c r="L70" s="28">
        <f>IF(H70="",0,1)</f>
      </c>
      <c r="AC70" s="28" t="s">
        <v>2741</v>
      </c>
      <c r="AE70" s="92">
        <v>0.35</v>
      </c>
    </row>
    <row r="71" spans="2:81" hidden="1" x14ac:dyDescent="0.2">
      <c r="B71" s="3"/>
      <c r="C71" s="3" t="s">
        <v>4956</v>
      </c>
      <c r="D71" s="3"/>
      <c r="E71" s="3"/>
      <c r="F71" s="3"/>
      <c r="G71" s="364"/>
      <c r="H71" s="222" t="str">
        <f>IF(Q66=0,"",IF(ISBLANK(G71),re,IF(G71-G70&gt;O71,more36,IF(G71&lt;G70,"Earlier than commencement!",IF(G71&lt;I101,"&lt; Check date!","")))))</f>
        <v/>
      </c>
      <c r="I71" s="17"/>
      <c r="J71" s="17"/>
      <c r="K71" s="3"/>
      <c r="L71" s="28">
        <f>IF(H71="",0,1)</f>
      </c>
      <c r="N71" s="778"/>
      <c r="O71" s="779">
        <f>(365*3)+1</f>
      </c>
      <c r="AC71" s="28"/>
      <c r="AD71" s="28"/>
    </row>
    <row r="72" spans="2:81" hidden="1" x14ac:dyDescent="0.2">
      <c r="B72" s="3"/>
      <c r="C72" s="65" t="s">
        <v>4957</v>
      </c>
      <c r="D72" s="3"/>
      <c r="E72" s="3"/>
      <c r="F72" s="3"/>
      <c r="G72" s="428"/>
      <c r="H72" s="222" t="str">
        <f>IF(Q66=0,"",IF(ISBLANK(G72),re,IF(G72&gt;ya,"&lt; Correct Y/A!",IF(G72&lt;P72,"&lt; Correct Y/A!",""))))</f>
        <v/>
      </c>
      <c r="I72" s="17"/>
      <c r="J72" s="17"/>
      <c r="K72" s="3"/>
      <c r="L72" s="28">
        <f>IF(H72="",0,1)</f>
      </c>
      <c r="N72" s="28">
        <f>YEAR(G70)</f>
      </c>
      <c r="O72" s="28">
        <f>YEAR(G71)</f>
      </c>
      <c r="P72" s="28">
        <f>N72+1</f>
      </c>
      <c r="Q72" s="28">
        <f>IF(N72+2&gt;ya,ya,N72+2)</f>
      </c>
      <c r="AC72" s="28"/>
      <c r="AD72" s="28"/>
    </row>
    <row r="73" spans="2:81" ht="3" hidden="1" customHeight="1" x14ac:dyDescent="0.2">
      <c r="B73" s="3"/>
      <c r="C73" s="3"/>
      <c r="D73" s="3"/>
      <c r="E73" s="3"/>
      <c r="F73" s="3"/>
      <c r="G73" s="222"/>
      <c r="H73" s="17"/>
      <c r="I73" s="17"/>
      <c r="J73" s="17"/>
      <c r="K73" s="3"/>
      <c r="AC73" s="28"/>
      <c r="AD73" s="28"/>
    </row>
    <row r="74" spans="2:81" hidden="1" x14ac:dyDescent="0.2">
      <c r="B74" s="3"/>
      <c r="C74" s="4275" t="s">
        <v>3478</v>
      </c>
      <c r="D74" s="4275"/>
      <c r="E74" s="4275"/>
      <c r="F74" s="4275"/>
      <c r="G74" s="222"/>
      <c r="H74" s="366"/>
      <c r="I74" s="222" t="str">
        <f>IF(Q66=0,"",IF(ISBLANK(H74),re,""))</f>
        <v/>
      </c>
      <c r="J74" s="17"/>
      <c r="K74" s="3"/>
      <c r="L74" s="28">
        <f>IF(I74="",0,1)</f>
      </c>
      <c r="N74" s="28">
        <v>500004</v>
      </c>
      <c r="O74" s="28">
        <v>999999</v>
      </c>
      <c r="P74" s="28" t="str">
        <f>IF(C63="","??",IF(H74=A$206,"B","C"))</f>
      </c>
      <c r="R74" s="28">
        <v>0</v>
      </c>
      <c r="AC74" s="28"/>
      <c r="AD74" s="28"/>
    </row>
    <row r="75" spans="2:81" ht="3" hidden="1" customHeight="1" x14ac:dyDescent="0.2">
      <c r="B75" s="3"/>
      <c r="C75" s="3"/>
      <c r="D75" s="3"/>
      <c r="E75" s="3"/>
      <c r="F75" s="3"/>
      <c r="G75" s="17"/>
      <c r="H75" s="17"/>
      <c r="I75" s="17"/>
      <c r="J75" s="17"/>
      <c r="K75" s="3"/>
      <c r="R75" s="28">
        <v>0</v>
      </c>
      <c r="AC75" s="28"/>
      <c r="AD75" s="28"/>
    </row>
    <row r="76" spans="2:81" hidden="1" x14ac:dyDescent="0.2">
      <c r="B76" s="3"/>
      <c r="C76" s="8" t="s">
        <v>2206</v>
      </c>
      <c r="D76" s="8"/>
      <c r="E76" s="8"/>
      <c r="F76" s="8"/>
      <c r="G76" s="114"/>
      <c r="H76" s="366"/>
      <c r="I76" s="222" t="str">
        <f>IF(Q66=0,"",IF(ISBLANK(H76),re,IF(H76=A$205,nob,"")))</f>
        <v/>
      </c>
      <c r="J76" s="17"/>
      <c r="K76" s="3"/>
      <c r="L76" s="28">
        <f>IF(I76="",0,1)</f>
      </c>
      <c r="P76" s="28" t="str">
        <f>IF(C63="","??",IF(H74=A$206,"G","H"))</f>
      </c>
      <c r="AC76" s="28"/>
      <c r="AD76" s="28"/>
    </row>
    <row r="77" spans="2:81" ht="3" hidden="1" customHeight="1" x14ac:dyDescent="0.2">
      <c r="B77" s="3"/>
      <c r="C77" s="3"/>
      <c r="D77" s="3"/>
      <c r="E77" s="3"/>
      <c r="F77" s="3"/>
      <c r="G77" s="17"/>
      <c r="H77" s="17"/>
      <c r="I77" s="17"/>
      <c r="J77" s="17"/>
      <c r="K77" s="3"/>
      <c r="S77" s="28" t="s">
        <v>2207</v>
      </c>
      <c r="AC77" s="28"/>
      <c r="AD77" s="28"/>
    </row>
    <row r="78" spans="2:81" hidden="1" x14ac:dyDescent="0.2">
      <c r="B78" s="3"/>
      <c r="C78" s="3" t="s">
        <v>2267</v>
      </c>
      <c r="D78" s="3"/>
      <c r="E78" s="3"/>
      <c r="F78" s="3"/>
      <c r="G78" s="428"/>
      <c r="H78" s="222" t="str">
        <f>IF(Q66=0,"",IF(ISBLANK(G78),pere,""))</f>
        <v/>
      </c>
      <c r="I78" s="17"/>
      <c r="J78" s="17"/>
      <c r="K78" s="3"/>
      <c r="L78" s="28">
        <f>IF(H78="",0,1)</f>
      </c>
      <c r="R78" s="28" t="s">
        <v>4356</v>
      </c>
      <c r="S78" s="28" t="s">
        <v>4356</v>
      </c>
      <c r="AC78" s="28"/>
      <c r="AD78" s="28"/>
    </row>
    <row r="79" spans="2:81" hidden="1" x14ac:dyDescent="0.2">
      <c r="B79" s="3"/>
      <c r="C79" s="3" t="s">
        <v>2268</v>
      </c>
      <c r="D79" s="3"/>
      <c r="E79" s="3"/>
      <c r="F79" s="3"/>
      <c r="G79" s="4317"/>
      <c r="H79" s="4318"/>
      <c r="I79" s="4319"/>
      <c r="J79" s="222" t="str">
        <f>IF(Q66=0,"",IF(ISBLANK(G79),re,""))</f>
        <v/>
      </c>
      <c r="K79" s="3"/>
      <c r="L79" s="28">
        <f>IF(J79="",0,1)</f>
      </c>
      <c r="S79" s="182" t="s">
        <v>2269</v>
      </c>
      <c r="AC79" s="28"/>
      <c r="AD79" s="28"/>
    </row>
    <row r="80" spans="2:81" hidden="1" x14ac:dyDescent="0.2">
      <c r="B80" s="3"/>
      <c r="C80" s="3" t="s">
        <v>2270</v>
      </c>
      <c r="D80" s="3"/>
      <c r="E80" s="3"/>
      <c r="F80" s="3"/>
      <c r="G80" s="428"/>
      <c r="H80" s="222" t="str">
        <f>IF(Q66=0,"",IF(ISBLANK(G80),re,""))</f>
        <v/>
      </c>
      <c r="I80" s="17"/>
      <c r="J80" s="17"/>
      <c r="K80" s="3"/>
      <c r="L80" s="28">
        <f>IF(H80="",0,1)</f>
      </c>
      <c r="S80" s="182"/>
      <c r="AC80" s="28"/>
      <c r="AD80" s="28"/>
    </row>
    <row r="81" spans="2:54" hidden="1" x14ac:dyDescent="0.2">
      <c r="B81" s="3"/>
      <c r="C81" s="3" t="s">
        <v>2271</v>
      </c>
      <c r="D81" s="3"/>
      <c r="E81" s="3"/>
      <c r="F81" s="3"/>
      <c r="G81" s="4852"/>
      <c r="H81" s="4853"/>
      <c r="I81" s="222" t="str">
        <f>IF(Q66=0,"",IF(ISBLANK(G81),re,""))</f>
        <v/>
      </c>
      <c r="J81" s="17"/>
      <c r="K81" s="3"/>
      <c r="L81" s="28">
        <f>IF(I81="",0,1)</f>
      </c>
      <c r="P81" s="28" t="str">
        <f>IF(C63=A208,P74,P76)</f>
      </c>
      <c r="R81" s="28" t="s">
        <v>2272</v>
      </c>
      <c r="S81" s="182" t="str">
        <f>"Threshold (worked according to Table "&amp;P81&amp;")"</f>
      </c>
      <c r="AC81" s="28"/>
      <c r="AD81" s="28"/>
    </row>
    <row r="82" spans="2:54" ht="3" hidden="1" customHeight="1" x14ac:dyDescent="0.2">
      <c r="B82" s="3"/>
      <c r="C82" s="3"/>
      <c r="D82" s="3"/>
      <c r="E82" s="3"/>
      <c r="F82" s="3"/>
      <c r="G82" s="3"/>
      <c r="H82" s="3"/>
      <c r="I82" s="3"/>
      <c r="J82" s="3"/>
      <c r="K82" s="3"/>
      <c r="S82" s="182"/>
      <c r="AC82" s="28"/>
      <c r="AD82" s="28"/>
    </row>
    <row r="83" spans="2:54" ht="15" hidden="1" x14ac:dyDescent="0.2">
      <c r="B83" s="3"/>
      <c r="C83" s="611" t="s">
        <v>6378</v>
      </c>
      <c r="D83" s="186"/>
      <c r="E83" s="186"/>
      <c r="F83" s="186"/>
      <c r="G83" s="186"/>
      <c r="H83" s="186"/>
      <c r="I83" s="187"/>
      <c r="J83" s="61"/>
      <c r="K83" s="3"/>
      <c r="S83" s="182"/>
      <c r="AC83" s="28"/>
      <c r="AD83" s="28"/>
    </row>
    <row r="84" spans="2:54" hidden="1" x14ac:dyDescent="0.2">
      <c r="B84" s="3"/>
      <c r="C84" s="4844" t="s">
        <v>6379</v>
      </c>
      <c r="D84" s="4845"/>
      <c r="E84" s="194"/>
      <c r="F84" s="4835" t="s">
        <v>6925</v>
      </c>
      <c r="G84" s="4856"/>
      <c r="H84" s="4856"/>
      <c r="I84" s="4856"/>
      <c r="J84" s="795" t="str">
        <f>IF(I76=nob,nob,"")</f>
        <v/>
      </c>
      <c r="K84" s="3"/>
      <c r="AC84" s="28"/>
      <c r="AD84" s="28"/>
    </row>
    <row r="85" spans="2:54" ht="56.25" hidden="1" x14ac:dyDescent="0.2">
      <c r="B85" s="3"/>
      <c r="C85" s="4846"/>
      <c r="D85" s="4847"/>
      <c r="E85" s="3"/>
      <c r="F85" s="783" t="s">
        <v>6380</v>
      </c>
      <c r="G85" s="783" t="s">
        <v>6927</v>
      </c>
      <c r="H85" s="783" t="s">
        <v>6928</v>
      </c>
      <c r="I85" s="783" t="s">
        <v>4127</v>
      </c>
      <c r="J85" s="4857" t="str">
        <f>IF(Q109=0,"",IF(ISBLANK(C63),"&lt; Choose LN! [Cell C63]",""))</f>
        <v/>
      </c>
      <c r="K85" s="4858"/>
      <c r="L85" s="28">
        <f>IF(J85="",0,1)</f>
      </c>
      <c r="M85" s="28" t="s">
        <v>2958</v>
      </c>
      <c r="N85" s="28" t="s">
        <v>4128</v>
      </c>
      <c r="O85" s="28" t="s">
        <v>4129</v>
      </c>
      <c r="Q85" s="28" t="s">
        <v>4130</v>
      </c>
      <c r="AC85" s="28"/>
      <c r="AD85" s="28"/>
    </row>
    <row r="86" spans="2:54" ht="3" hidden="1" customHeight="1" x14ac:dyDescent="0.2">
      <c r="B86" s="3"/>
      <c r="C86" s="3"/>
      <c r="D86" s="3"/>
      <c r="E86" s="3"/>
      <c r="F86" s="784"/>
      <c r="G86" s="3"/>
      <c r="H86" s="3"/>
      <c r="I86" s="3"/>
      <c r="J86" s="3"/>
      <c r="K86" s="3"/>
      <c r="AC86" s="28"/>
      <c r="AD86" s="28"/>
    </row>
    <row r="87" spans="2:54" hidden="1" x14ac:dyDescent="0.2">
      <c r="B87" s="3"/>
      <c r="C87" s="3" t="s">
        <v>2245</v>
      </c>
      <c r="D87" s="3"/>
      <c r="E87" s="3"/>
      <c r="F87" s="525"/>
      <c r="G87" s="223"/>
      <c r="H87" s="223"/>
      <c r="I87" s="405">
        <f>IF(C63="",0,Z87)</f>
      </c>
      <c r="J87" s="61" t="str">
        <f>IF(Q109=0,"",IF(COUNT(F87:H87)&gt;U87,"&lt; No previous!",IF(COUNT(F87:H87)&lt;U87,"&lt; All data required or 0!",IF(Q87&gt;F87,res,IF(V87=1,"No Current!","")))))</f>
        <v/>
      </c>
      <c r="K87" s="3"/>
      <c r="L87" s="28">
        <f>IF(J87="",0,IF(J87=res,0,1))</f>
      </c>
      <c r="M87" s="28">
        <f>IF(ISBLANK(G72),0,IF(G72=ya,0,F87))</f>
      </c>
      <c r="N87" s="32">
        <f>IF(M87=0,F87,IF(G87&gt;F87,0,F87-G87))</f>
      </c>
      <c r="O87" s="28">
        <f>IF(M87=0,0,IF(G87&gt;F87,F87,G87))</f>
      </c>
      <c r="P87" s="32">
        <f>IF(F87-O87&gt;H87,H87,F87-O87)</f>
      </c>
      <c r="Q87" s="32">
        <f>G87+H87</f>
      </c>
      <c r="R87" s="28">
        <f>IF(G87&gt;F87,F87,G87)</f>
      </c>
      <c r="S87" s="28">
        <f>IF(H87&gt;F87-R87,F87-G87,H87)</f>
      </c>
      <c r="U87" s="28">
        <f>IF(G72=ya,2,3)</f>
      </c>
      <c r="V87" s="28">
        <f>IF(I102="",0,IF(I102=ya,0,IF(H87&gt;0,1,0)))</f>
      </c>
      <c r="X87" s="32">
        <f t="shared" ref="X87:Y89" si="1">IF(O87&lt;G87,O87,G87)</f>
      </c>
      <c r="Y87" s="32">
        <f t="shared" si="1"/>
        <v>0</v>
      </c>
      <c r="Z87" s="32">
        <f>IF(V87=1,X87,X87+Y87)</f>
      </c>
      <c r="AC87" s="28"/>
      <c r="AD87" s="28"/>
    </row>
    <row r="88" spans="2:54" hidden="1" x14ac:dyDescent="0.2">
      <c r="B88" s="3"/>
      <c r="C88" s="3" t="s">
        <v>2246</v>
      </c>
      <c r="D88" s="3"/>
      <c r="E88" s="61"/>
      <c r="F88" s="525"/>
      <c r="G88" s="223"/>
      <c r="H88" s="223"/>
      <c r="I88" s="405">
        <f>IF(C63="",0,Z88)</f>
      </c>
      <c r="J88" s="61" t="str">
        <f>IF(Q109=0,"",IF(COUNT(F88:H88)&gt;U88,"&lt; No previous!",IF(COUNT(F88:H88)&lt;U88,"&lt; All data required or 0!",IF(Q88&gt;F88,res,IF(V88=1,"No Current!","")))))</f>
        <v/>
      </c>
      <c r="K88" s="3"/>
      <c r="L88" s="28">
        <f>IF(J88="",0,IF(J88=res,0,1))</f>
      </c>
      <c r="M88" s="28">
        <f>IF(ISBLANK(G72),0,IF(G72=ya,0,F88))</f>
      </c>
      <c r="N88" s="32">
        <f>IF(G88&gt;F88,0,F88-G88)</f>
      </c>
      <c r="O88" s="28">
        <f>IF(M88=0,0,IF(G88&gt;F88,F88,G88))</f>
      </c>
      <c r="P88" s="32">
        <f>IF(F88-O88&gt;H88,H88,F88-O88)</f>
      </c>
      <c r="Q88" s="32">
        <f>G88+H88</f>
      </c>
      <c r="R88" s="28">
        <f>IF(G88&gt;F88,F88,G88)</f>
      </c>
      <c r="S88" s="28">
        <f>IF(H88&gt;F88-R88,F88-G88,H88)</f>
      </c>
      <c r="U88" s="28">
        <f>IF(G72=ya,2,3)</f>
      </c>
      <c r="V88" s="28">
        <f>IF(I102="",0,IF(I102=ya,0,IF(H88&gt;0,1,0)))</f>
      </c>
      <c r="X88" s="32">
        <f t="shared" si="1"/>
        <v>0</v>
      </c>
      <c r="Y88" s="32">
        <f t="shared" si="1"/>
        <v>0</v>
      </c>
      <c r="Z88" s="32">
        <f>IF(V88=1,X88,X88+Y88)</f>
      </c>
      <c r="AC88" s="28"/>
      <c r="AD88" s="28"/>
    </row>
    <row r="89" spans="2:54" hidden="1" x14ac:dyDescent="0.2">
      <c r="B89" s="3"/>
      <c r="C89" s="3" t="s">
        <v>2247</v>
      </c>
      <c r="D89" s="3"/>
      <c r="E89" s="3"/>
      <c r="F89" s="223"/>
      <c r="G89" s="223"/>
      <c r="H89" s="223"/>
      <c r="I89" s="405">
        <f>IF(C63="",0,Z89)</f>
      </c>
      <c r="J89" s="61" t="str">
        <f>IF(Q109=0,"",IF(COUNT(F89:H89)&gt;U89,"&lt; No previous!",IF(COUNT(F89:H89)&lt;U89,"&lt; All data required or 0!",IF(Q89&gt;F89,res,IF(V89=1,"No Current!","")))))</f>
        <v/>
      </c>
      <c r="K89" s="3"/>
      <c r="L89" s="28">
        <f>IF(J89="",0,IF(J89=res,0,1))</f>
      </c>
      <c r="M89" s="28">
        <f>IF(ISBLANK(G72),0,IF(G72=ya,0,F89))</f>
      </c>
      <c r="N89" s="32">
        <f>IF(G89&gt;F89,0,F89-G89)</f>
      </c>
      <c r="O89" s="28">
        <f>IF(M89=0,0,IF(G89&gt;F89,F89,G89))</f>
      </c>
      <c r="P89" s="32">
        <f>IF(F89-O89&gt;H89,H89,F89-O89)</f>
      </c>
      <c r="Q89" s="32">
        <f>G89+H89</f>
      </c>
      <c r="R89" s="28">
        <f>IF(G89&gt;F89,F89,G89)</f>
      </c>
      <c r="S89" s="28">
        <f>IF(H89&gt;F89-R89,F89-G89,H89)</f>
      </c>
      <c r="U89" s="28">
        <f>IF(G72=ya,2,3)</f>
      </c>
      <c r="V89" s="28">
        <f>IF(I102="",0,IF(I102=ya,0,IF(H89&gt;0,1,0)))</f>
      </c>
      <c r="X89" s="32">
        <f t="shared" si="1"/>
        <v>0</v>
      </c>
      <c r="Y89" s="32">
        <f t="shared" si="1"/>
        <v>0</v>
      </c>
      <c r="Z89" s="32">
        <f>IF(V89=1,X89,X89+Y89)</f>
      </c>
      <c r="AC89" s="28"/>
      <c r="AD89" s="28"/>
    </row>
    <row r="90" spans="2:54" ht="15" hidden="1" thickBot="1" x14ac:dyDescent="0.25">
      <c r="B90" s="3"/>
      <c r="C90" s="731" t="s">
        <v>5590</v>
      </c>
      <c r="D90" s="3"/>
      <c r="E90" s="3"/>
      <c r="F90" s="797">
        <f>SUM(F87:F89)</f>
      </c>
      <c r="G90" s="797">
        <f>O90</f>
      </c>
      <c r="H90" s="625">
        <f>IF(J84=nob,0,IF(I102="",P90,IF(I102&lt;ya,0,P90)))</f>
      </c>
      <c r="I90" s="797">
        <f>SUM(I87:I89)</f>
      </c>
      <c r="J90" s="61" t="str">
        <f>IF(S91&lt;&gt;V91,res,"")</f>
        <v/>
      </c>
      <c r="K90" s="3"/>
      <c r="O90" s="28">
        <f>SUM(O87:O89)</f>
      </c>
      <c r="P90" s="28">
        <f>SUM(P87:P89)</f>
      </c>
      <c r="V90" s="28">
        <f>SUM(V87:V89)</f>
      </c>
      <c r="AC90" s="28"/>
      <c r="AD90" s="28"/>
    </row>
    <row r="91" spans="2:54" ht="13.5" hidden="1" thickTop="1" x14ac:dyDescent="0.2">
      <c r="B91" s="3"/>
      <c r="C91" s="4275" t="s">
        <v>2516</v>
      </c>
      <c r="D91" s="4275"/>
      <c r="E91" s="4275"/>
      <c r="F91" s="4275"/>
      <c r="G91" s="4275"/>
      <c r="H91" s="798"/>
      <c r="I91" s="61" t="str">
        <f>IF(Q92=0,"",IF(G72=ya,"",IF(ISBLANK(H91),reo,IF(BB91=1,"&lt; Non-Numeric value!",IF(H91&gt;G90,"&lt; Excessive claim!","")))))</f>
        <v/>
      </c>
      <c r="J91" s="648"/>
      <c r="K91" s="3"/>
      <c r="L91" s="28">
        <f>IF(I91="",0,1)</f>
      </c>
      <c r="M91" s="28">
        <f>SUM(M87:M89)</f>
      </c>
      <c r="N91" s="32">
        <f>IF(G72=ya,1,0)</f>
      </c>
      <c r="O91" s="28">
        <f>IF($C$5=$A$209,0,O90)</f>
      </c>
      <c r="P91" s="28">
        <f>IF(G90&gt;F90,F90,G90)</f>
      </c>
      <c r="R91" s="28">
        <f>SUM(R87:R90)</f>
      </c>
      <c r="S91" s="28">
        <f>SUM(S87:S90)</f>
      </c>
      <c r="T91" s="32">
        <f>SUM(F87:F89)</f>
      </c>
      <c r="U91" s="32">
        <f>SUM(G87:G89)</f>
      </c>
      <c r="V91" s="32">
        <f>IF(V90&lt;&gt;0,0,SUM(H87:H89))</f>
      </c>
      <c r="AC91" s="28"/>
      <c r="AD91" s="28"/>
      <c r="BA91" s="28">
        <f>H91*1</f>
      </c>
      <c r="BB91" s="28">
        <f>IF(ISERROR(BA91),1,0)</f>
      </c>
    </row>
    <row r="92" spans="2:54" hidden="1" x14ac:dyDescent="0.2">
      <c r="B92" s="3"/>
      <c r="C92" s="4275" t="s">
        <v>3982</v>
      </c>
      <c r="D92" s="4275"/>
      <c r="E92" s="4275"/>
      <c r="F92" s="4275"/>
      <c r="G92" s="4275" t="s">
        <v>1020</v>
      </c>
      <c r="H92" s="799">
        <f>IF(G90=0,H90,SUM(H90:H91))</f>
      </c>
      <c r="I92" s="648" t="s">
        <v>1020</v>
      </c>
      <c r="J92" s="648" t="s">
        <v>1020</v>
      </c>
      <c r="K92" s="3"/>
      <c r="Q92" s="30">
        <f>COUNT(F87:H89)</f>
      </c>
      <c r="AC92" s="28" t="s">
        <v>5253</v>
      </c>
      <c r="AD92" s="28" t="s">
        <v>405</v>
      </c>
    </row>
    <row r="93" spans="2:54" hidden="1" x14ac:dyDescent="0.2">
      <c r="B93" s="3"/>
      <c r="C93" s="8" t="s">
        <v>4909</v>
      </c>
      <c r="D93" s="8"/>
      <c r="E93" s="8" t="s">
        <v>1020</v>
      </c>
      <c r="F93" s="8" t="s">
        <v>1020</v>
      </c>
      <c r="G93" s="1343"/>
      <c r="H93" s="432"/>
      <c r="I93" s="61" t="str">
        <f>IF(H93&gt;H92,"&lt; Excessive claim!",IF(H92=0,"",IF(ISBLANK(H93),reo,"")))</f>
        <v/>
      </c>
      <c r="J93" s="61"/>
      <c r="K93" s="3"/>
      <c r="L93" s="28">
        <f>IF(I93="",0,1)</f>
      </c>
      <c r="AC93" s="194">
        <f>IF($C63=A$208,H93,0)</f>
      </c>
      <c r="AD93" s="194">
        <f>IF($C63=A$209,H93,0)</f>
      </c>
    </row>
    <row r="94" spans="2:54" hidden="1" x14ac:dyDescent="0.2">
      <c r="B94" s="3"/>
      <c r="C94" s="4275" t="str">
        <f>C36</f>
      </c>
      <c r="D94" s="4275"/>
      <c r="E94" s="4275"/>
      <c r="F94" s="4275"/>
      <c r="G94" s="4275"/>
      <c r="H94" s="799">
        <f>IF(H93&gt;H92,0,H92-H93)</f>
      </c>
      <c r="I94" s="648" t="s">
        <v>1020</v>
      </c>
      <c r="J94" s="648" t="s">
        <v>1020</v>
      </c>
      <c r="K94" s="3"/>
      <c r="AC94" s="28"/>
      <c r="AD94" s="28"/>
    </row>
    <row r="95" spans="2:54" ht="3" hidden="1" customHeight="1" x14ac:dyDescent="0.2">
      <c r="B95" s="3"/>
      <c r="C95" s="358"/>
      <c r="D95" s="649"/>
      <c r="E95" s="648" t="s">
        <v>1020</v>
      </c>
      <c r="F95" s="648" t="s">
        <v>1020</v>
      </c>
      <c r="G95" s="648" t="s">
        <v>1020</v>
      </c>
      <c r="H95" s="648" t="s">
        <v>1020</v>
      </c>
      <c r="I95" s="648" t="s">
        <v>1020</v>
      </c>
      <c r="J95" s="648" t="s">
        <v>1020</v>
      </c>
      <c r="K95" s="3"/>
      <c r="AC95" s="28"/>
      <c r="AD95" s="28"/>
    </row>
    <row r="96" spans="2:54" ht="15" hidden="1" x14ac:dyDescent="0.2">
      <c r="B96" s="3"/>
      <c r="C96" s="611" t="s">
        <v>340</v>
      </c>
      <c r="D96" s="186"/>
      <c r="E96" s="186"/>
      <c r="F96" s="186"/>
      <c r="G96" s="186"/>
      <c r="H96" s="186"/>
      <c r="I96" s="187"/>
      <c r="J96" s="800" t="str">
        <f>IF(I76=nob,R78,IF(I98=A$205,R78,IF(Q98&lt;&gt;5,"",IF(N104=0,"",IF(N104&lt;&gt;5,R78,"")))))</f>
        <v/>
      </c>
      <c r="K96" s="3"/>
      <c r="AC96" s="28"/>
      <c r="AD96" s="28"/>
    </row>
    <row r="97" spans="2:30" ht="3" hidden="1" customHeight="1" x14ac:dyDescent="0.2">
      <c r="B97" s="3"/>
      <c r="C97" s="41"/>
      <c r="D97" s="41"/>
      <c r="E97" s="41"/>
      <c r="F97" s="41"/>
      <c r="G97" s="41"/>
      <c r="H97" s="41"/>
      <c r="I97" s="41"/>
      <c r="J97" s="801"/>
      <c r="K97" s="3"/>
      <c r="AC97" s="28"/>
      <c r="AD97" s="28"/>
    </row>
    <row r="98" spans="2:30" hidden="1" x14ac:dyDescent="0.2">
      <c r="B98" s="3"/>
      <c r="C98" s="3" t="s">
        <v>5357</v>
      </c>
      <c r="D98" s="3"/>
      <c r="E98" s="3"/>
      <c r="F98" s="3"/>
      <c r="G98" s="3"/>
      <c r="H98" s="3"/>
      <c r="I98" s="366"/>
      <c r="J98" s="61" t="str">
        <f>IF(Q98=0,"",IF(Q92=0,"",IF(ISBLANK(I98),re,"")))</f>
        <v/>
      </c>
      <c r="K98" s="3"/>
      <c r="L98" s="28">
        <f>IF(J98="",0,IF(J98=res,0,1))</f>
      </c>
      <c r="N98" s="28">
        <f>IF(I98=$A$206,1,0)</f>
      </c>
      <c r="Q98" s="30">
        <f>COUNTA(I98:I102)</f>
      </c>
      <c r="AC98" s="28"/>
      <c r="AD98" s="28"/>
    </row>
    <row r="99" spans="2:30" hidden="1" x14ac:dyDescent="0.2">
      <c r="B99" s="3"/>
      <c r="C99" s="3" t="s">
        <v>6836</v>
      </c>
      <c r="D99" s="3"/>
      <c r="E99" s="3"/>
      <c r="F99" s="3"/>
      <c r="G99" s="3"/>
      <c r="H99" s="3"/>
      <c r="I99" s="366"/>
      <c r="J99" s="61" t="str">
        <f>IF(Q98=0,"",IF(I98=A205,"",IF(ISBLANK(I99),re,"")))</f>
        <v/>
      </c>
      <c r="K99" s="3"/>
      <c r="L99" s="28">
        <f>IF(J99="",0,IF(J99=res,0,1))</f>
      </c>
      <c r="N99" s="28">
        <f>IF(I99=$A$206,1,0)</f>
      </c>
      <c r="AC99" s="28"/>
      <c r="AD99" s="28"/>
    </row>
    <row r="100" spans="2:30" hidden="1" x14ac:dyDescent="0.2">
      <c r="B100" s="3"/>
      <c r="C100" s="3" t="str">
        <f>IF(C63="","Has the company submitted the relevant certificate?",VLOOKUP(C63,$A$208:$E$209,4,FALSE))</f>
      </c>
      <c r="D100" s="3"/>
      <c r="E100" s="3"/>
      <c r="F100" s="3"/>
      <c r="G100" s="3"/>
      <c r="H100" s="3"/>
      <c r="I100" s="366"/>
      <c r="J100" s="61" t="str">
        <f>IF(Q98=0,"",IF(I98=A205,"",IF(ISBLANK(I100),re,"")))</f>
        <v/>
      </c>
      <c r="K100" s="3"/>
      <c r="L100" s="28">
        <f>IF(J100="",0,IF(J100=res,0,1))</f>
      </c>
      <c r="N100" s="28">
        <f>IF(I100=$A$206,1,0)</f>
      </c>
      <c r="AC100" s="28"/>
      <c r="AD100" s="28"/>
    </row>
    <row r="101" spans="2:30" hidden="1" x14ac:dyDescent="0.2">
      <c r="B101" s="3"/>
      <c r="C101" s="3" t="s">
        <v>6837</v>
      </c>
      <c r="D101" s="3"/>
      <c r="E101" s="3"/>
      <c r="F101" s="3"/>
      <c r="G101" s="3"/>
      <c r="H101" s="3"/>
      <c r="I101" s="364"/>
      <c r="J101" s="61" t="str">
        <f>IF(Q98=0,"",IF(I98=A205,"",IF(ISBLANK(I101),re,IF(O101&gt;ya-1,"&lt; Future date?",IF(I101&lt;=G70,S77,IF(I101&gt;G71,S77,""))))))</f>
        <v/>
      </c>
      <c r="K101" s="3"/>
      <c r="L101" s="28">
        <f>IF(J101="",0,IF(J101=res,0,1))</f>
      </c>
      <c r="N101" s="28">
        <f>IF(ISBLANK(I101),0,IF(J101&lt;&gt;"",0,1))</f>
      </c>
      <c r="O101" s="28">
        <f>YEAR(I101)</f>
      </c>
    </row>
    <row r="102" spans="2:30" hidden="1" x14ac:dyDescent="0.2">
      <c r="B102" s="3"/>
      <c r="C102" s="3" t="s">
        <v>51</v>
      </c>
      <c r="D102" s="3"/>
      <c r="E102" s="3"/>
      <c r="F102" s="3"/>
      <c r="G102" s="3"/>
      <c r="H102" s="3"/>
      <c r="I102" s="428"/>
      <c r="J102" s="61" t="str">
        <f>IF(ISBLANK(I101),"",IF(ISBLANK(I102),re,IF(I102&gt;Q102,"&lt; Correct Y/A!",IF(I102&lt;P102,"&lt; Correct Y/A!",""))))</f>
        <v/>
      </c>
      <c r="K102" s="3"/>
      <c r="L102" s="28">
        <f>IF(J102="",0,IF(J102=res,0,1))</f>
      </c>
      <c r="N102" s="28">
        <f>IF(ISBLANK(I102),0,IF(J102&lt;&gt;"",0,1))</f>
      </c>
      <c r="P102" s="28">
        <f>O101+1</f>
      </c>
      <c r="Q102" s="28">
        <f>IF(O101+2&gt;ya,ya,O101+2)</f>
      </c>
    </row>
    <row r="103" spans="2:30" ht="3" hidden="1" customHeight="1" x14ac:dyDescent="0.2">
      <c r="B103" s="3"/>
      <c r="C103" s="3"/>
      <c r="D103" s="3"/>
      <c r="E103" s="3"/>
      <c r="F103" s="3"/>
      <c r="G103" s="3"/>
      <c r="H103" s="3"/>
      <c r="I103" s="3"/>
      <c r="J103" s="3"/>
      <c r="K103" s="3"/>
    </row>
    <row r="104" spans="2:30" hidden="1" x14ac:dyDescent="0.2">
      <c r="B104" s="3"/>
      <c r="C104" s="4840" t="s">
        <v>52</v>
      </c>
      <c r="D104" s="4840"/>
      <c r="E104" s="3"/>
      <c r="F104" s="4841" t="s">
        <v>2444</v>
      </c>
      <c r="G104" s="4842"/>
      <c r="H104" s="4843"/>
      <c r="I104" s="781" t="s">
        <v>784</v>
      </c>
      <c r="J104" s="4854" t="str">
        <f>J85</f>
        <v/>
      </c>
      <c r="K104" s="4855"/>
      <c r="L104" s="28">
        <f>IF(J104="",0,1)</f>
      </c>
      <c r="N104" s="28">
        <f>SUM(N98:N102)</f>
      </c>
    </row>
    <row r="105" spans="2:30" ht="48" hidden="1" x14ac:dyDescent="0.2">
      <c r="B105" s="3"/>
      <c r="C105" s="4840"/>
      <c r="D105" s="4840"/>
      <c r="E105" s="3"/>
      <c r="F105" s="782" t="str">
        <f>S81</f>
      </c>
      <c r="G105" s="782" t="str">
        <f>IF(C63="","Value of other benefits",VLOOKUP(C63,$A$208:$E$209,5,FALSE))</f>
      </c>
      <c r="H105" s="782" t="s">
        <v>785</v>
      </c>
      <c r="I105" s="782" t="s">
        <v>403</v>
      </c>
      <c r="J105" s="3"/>
      <c r="K105" s="3"/>
    </row>
    <row r="106" spans="2:30" hidden="1" x14ac:dyDescent="0.2">
      <c r="B106" s="3"/>
      <c r="C106" s="4840"/>
      <c r="D106" s="4840"/>
      <c r="E106" s="3"/>
      <c r="F106" s="405">
        <f>ROUND(N106,0)</f>
      </c>
      <c r="G106" s="223"/>
      <c r="H106" s="405">
        <f>IF(G106="",0,IF(G106&gt;F106,0,F106-G106))</f>
      </c>
      <c r="I106" s="410">
        <f>IF(C63="",0,IF(J96=R78,0,IF(O106&lt;=H106,O106,H106)))</f>
      </c>
      <c r="J106" s="795" t="str">
        <f>IF(C63="","",IF(N104&lt;&gt;5,"",IF(ISBLANK(G106),reo,IF(O106&gt;I106,res,""))))</f>
        <v/>
      </c>
      <c r="K106" s="3"/>
      <c r="L106" s="28">
        <f>IF(J106="",0,IF(J106=res,0,1))</f>
      </c>
      <c r="N106" s="28">
        <f>IF(N104&lt;&gt;5,0,IF(I76=nob,0,IF(OR(P81="B",P81="G"),I90*VLOOKUP(G81,tableb1,3,FALSE),IF(OR(P81="C",P81="H"),I90*VLOOKUP(G81,TABLEC1,3,FALSE)))))</f>
      </c>
      <c r="O106" s="28">
        <f>ROUND(I90*0.175,0)</f>
      </c>
      <c r="Q106" s="30">
        <f>COUNT(G106,I111,I109)</f>
      </c>
    </row>
    <row r="107" spans="2:30" ht="14.25" hidden="1" x14ac:dyDescent="0.2">
      <c r="B107" s="3"/>
      <c r="C107" s="802" t="str">
        <f>IF(C63=0,"",IF(C104=R78,"",IF(N104&lt;&gt;5,"",IF(J106&lt;&gt;"","","[Total Tax Credit before considering threshold and reduction = "&amp;I90&amp;" x 17.5% = "&amp;O106&amp;"]"))))</f>
        <v/>
      </c>
      <c r="D107" s="789"/>
      <c r="E107" s="789"/>
      <c r="F107" s="789"/>
      <c r="G107" s="803"/>
      <c r="H107" s="789"/>
      <c r="I107" s="789"/>
      <c r="J107" s="534" t="s">
        <v>1020</v>
      </c>
      <c r="K107" s="3"/>
    </row>
    <row r="108" spans="2:30" ht="3" hidden="1" customHeight="1" x14ac:dyDescent="0.2">
      <c r="B108" s="3"/>
      <c r="C108" s="802"/>
      <c r="D108" s="789"/>
      <c r="E108" s="789"/>
      <c r="F108" s="789"/>
      <c r="G108" s="803"/>
      <c r="H108" s="789"/>
      <c r="I108" s="789"/>
      <c r="J108" s="534"/>
      <c r="K108" s="3"/>
    </row>
    <row r="109" spans="2:30" hidden="1" x14ac:dyDescent="0.2">
      <c r="B109" s="3"/>
      <c r="C109" s="789"/>
      <c r="D109" s="789"/>
      <c r="E109" s="789"/>
      <c r="F109" s="105" t="s">
        <v>2960</v>
      </c>
      <c r="G109" s="789"/>
      <c r="H109" s="806"/>
      <c r="I109" s="223"/>
      <c r="J109" s="61" t="str">
        <f>IF(I106=0,"",IF(AND(N109=0,I109&gt;0),"&lt; Delete!",IF(N109=0,"",IF(ISBLANK(I109),reo,IF(I109&gt;I106,"&lt; Excessive!","")))))</f>
        <v/>
      </c>
      <c r="K109" s="3"/>
      <c r="L109" s="28">
        <f>IF(J109="",0,IF(J109=res,0,1))</f>
      </c>
      <c r="N109" s="28">
        <f>IF(I102=ya,0,I106)</f>
      </c>
      <c r="Q109" s="28">
        <f>Q106+Q98+Q92+Q66</f>
      </c>
    </row>
    <row r="110" spans="2:30" hidden="1" x14ac:dyDescent="0.2">
      <c r="B110" s="3"/>
      <c r="C110" s="789"/>
      <c r="D110" s="789"/>
      <c r="E110" s="789"/>
      <c r="F110" s="105" t="s">
        <v>2961</v>
      </c>
      <c r="G110" s="789"/>
      <c r="H110" s="106"/>
      <c r="I110" s="405">
        <f>IF(N109=0,I106,I109)</f>
      </c>
      <c r="J110" s="534" t="s">
        <v>1020</v>
      </c>
      <c r="K110" s="3"/>
      <c r="L110" s="28">
        <f>IF(I114="",0,1)</f>
      </c>
    </row>
    <row r="111" spans="2:30" hidden="1" x14ac:dyDescent="0.2">
      <c r="B111" s="3"/>
      <c r="C111" s="789"/>
      <c r="D111" s="789"/>
      <c r="E111" s="789"/>
      <c r="F111" s="4838" t="s">
        <v>2962</v>
      </c>
      <c r="G111" s="4838"/>
      <c r="H111" s="4839"/>
      <c r="I111" s="223"/>
      <c r="J111" s="61" t="str">
        <f>IF(N104=0,"",IF(I106=0,"",IF(ISBLANK(I111),re,IF(I111&gt;I110,"&lt; Excessive!!",IF(I111&gt;I106,"&lt; Excessive!","")))))</f>
        <v/>
      </c>
      <c r="K111" s="328"/>
      <c r="L111" s="28">
        <f>IF(J111="",0,IF(J111=res,0,1))</f>
      </c>
      <c r="N111" s="28">
        <f>ya</f>
      </c>
    </row>
    <row r="112" spans="2:30" ht="13.5" hidden="1" thickBot="1" x14ac:dyDescent="0.25">
      <c r="B112" s="3"/>
      <c r="C112" s="789"/>
      <c r="D112" s="789"/>
      <c r="E112" s="789"/>
      <c r="F112" s="105" t="s">
        <v>435</v>
      </c>
      <c r="G112" s="789"/>
      <c r="H112" s="34"/>
      <c r="I112" s="625">
        <f>IF(I111&gt;I110,0,I110-I111)</f>
      </c>
      <c r="J112" s="805" t="s">
        <v>1020</v>
      </c>
      <c r="K112" s="3"/>
      <c r="L112" s="43">
        <f>SUM(L62:L111)</f>
      </c>
    </row>
    <row r="113" spans="2:81" ht="3" hidden="1" customHeight="1" thickTop="1" x14ac:dyDescent="0.2">
      <c r="B113" s="3"/>
      <c r="C113" s="805"/>
      <c r="D113" s="805" t="s">
        <v>1020</v>
      </c>
      <c r="E113" s="805" t="s">
        <v>1020</v>
      </c>
      <c r="F113" s="805" t="s">
        <v>1020</v>
      </c>
      <c r="G113" s="805" t="s">
        <v>1020</v>
      </c>
      <c r="H113" s="805" t="s">
        <v>1020</v>
      </c>
      <c r="I113" s="805" t="s">
        <v>1020</v>
      </c>
      <c r="J113" s="805" t="s">
        <v>1020</v>
      </c>
      <c r="K113" s="3"/>
      <c r="L113" s="43"/>
    </row>
    <row r="114" spans="2:81" hidden="1" x14ac:dyDescent="0.2">
      <c r="B114" s="3"/>
      <c r="C114" s="457" t="str">
        <f>"Income deemed relieved by the tax credit [Current] Y/A "&amp;ya</f>
      </c>
      <c r="D114" s="199"/>
      <c r="E114" s="200"/>
      <c r="F114" s="199"/>
      <c r="G114" s="200"/>
      <c r="H114" s="223"/>
      <c r="I114" s="222" t="str">
        <f>IF(Q66=0,"",IF(ISBLANK(H114),re,""))</f>
        <v/>
      </c>
      <c r="J114" s="3"/>
      <c r="K114" s="539"/>
      <c r="L114" s="43"/>
      <c r="M114" s="28">
        <f>ROUND(I111/0.35,0)</f>
      </c>
    </row>
    <row r="115" spans="2:81" ht="3" hidden="1" customHeight="1" x14ac:dyDescent="0.2">
      <c r="B115" s="3"/>
      <c r="C115" s="3"/>
      <c r="D115" s="3"/>
      <c r="E115" s="3"/>
      <c r="F115" s="3"/>
      <c r="G115" s="3"/>
      <c r="H115" s="3"/>
      <c r="I115" s="3"/>
      <c r="J115" s="3"/>
      <c r="K115" s="3"/>
    </row>
    <row r="116" spans="2:81" hidden="1" x14ac:dyDescent="0.2">
      <c r="B116" s="3"/>
      <c r="C116" s="65" t="s">
        <v>10574</v>
      </c>
      <c r="D116" s="3"/>
      <c r="E116" s="65" t="str">
        <f>ver</f>
        <v>TA2_e-CO_2025_Ver 1.1</v>
      </c>
      <c r="F116" s="3"/>
      <c r="G116" s="3"/>
      <c r="H116" s="3"/>
      <c r="I116" s="3"/>
      <c r="J116" s="539" t="str">
        <f>O116&amp;P116</f>
      </c>
      <c r="K116" s="3"/>
      <c r="O116" s="28" t="s">
        <v>1962</v>
      </c>
      <c r="P116" s="28" t="str">
        <f>IF(C63=A$209,"43_2","49_2")</f>
      </c>
    </row>
    <row r="117" spans="2:81" ht="3" hidden="1" customHeight="1" x14ac:dyDescent="0.2">
      <c r="B117" s="3"/>
      <c r="C117" s="211"/>
      <c r="D117" s="211"/>
      <c r="E117" s="211"/>
      <c r="F117" s="211"/>
      <c r="G117" s="211"/>
      <c r="H117" s="211"/>
      <c r="I117" s="3"/>
      <c r="J117" s="3"/>
      <c r="K117" s="3"/>
    </row>
    <row r="118" spans="2:81" hidden="1" x14ac:dyDescent="0.2">
      <c r="B118" s="3"/>
      <c r="C118" s="4408" t="str">
        <f>_ref1</f>
      </c>
      <c r="D118" s="4408"/>
      <c r="E118" s="4408"/>
      <c r="F118" s="4408"/>
      <c r="G118" s="4408"/>
      <c r="H118" s="4408"/>
      <c r="I118" s="4408"/>
      <c r="J118" s="4408"/>
      <c r="K118" s="65" t="str">
        <f>_YA1</f>
      </c>
      <c r="R118" s="74">
        <v>38353</v>
      </c>
      <c r="AC118" s="4824" t="s">
        <v>6424</v>
      </c>
      <c r="AD118" s="4824"/>
      <c r="AE118" s="4824"/>
    </row>
    <row r="119" spans="2:81" ht="15" hidden="1" x14ac:dyDescent="0.2">
      <c r="B119" s="3"/>
      <c r="C119" s="1149"/>
      <c r="D119" s="794"/>
      <c r="E119" s="794"/>
      <c r="F119" s="794"/>
      <c r="G119" s="794"/>
      <c r="H119" s="794"/>
      <c r="I119" s="794"/>
      <c r="J119" s="794"/>
      <c r="K119" s="794"/>
      <c r="P119" s="28">
        <f>IF(ISBLANK(C121),1,0)</f>
      </c>
      <c r="R119" s="74">
        <v>39813</v>
      </c>
      <c r="AC119" s="28" t="s">
        <v>2999</v>
      </c>
      <c r="AD119" s="92" t="s">
        <v>6875</v>
      </c>
      <c r="AE119" s="92"/>
      <c r="CB119" s="74">
        <f>DATE(ya,12,31)</f>
      </c>
      <c r="CC119" s="74">
        <v>38353</v>
      </c>
    </row>
    <row r="120" spans="2:81" ht="18" hidden="1" x14ac:dyDescent="0.25">
      <c r="B120" s="3"/>
      <c r="C120" s="772" t="str">
        <f>IF(C121="","",VLOOKUP(C121,$A$208:$E$209,2,FALSE))</f>
      </c>
      <c r="D120" s="189"/>
      <c r="E120" s="189"/>
      <c r="F120" s="189"/>
      <c r="G120" s="189"/>
      <c r="H120" s="189"/>
      <c r="I120" s="189"/>
      <c r="J120" s="190"/>
      <c r="K120" s="3"/>
      <c r="AC120" s="28" t="s">
        <v>6876</v>
      </c>
      <c r="AE120" s="92">
        <v>0.17499999999999999</v>
      </c>
      <c r="BZ120" s="28" t="s">
        <v>5206</v>
      </c>
      <c r="CA120" s="28" t="s">
        <v>5207</v>
      </c>
      <c r="CB120" s="74">
        <f>DATE(ya,9,30)</f>
      </c>
      <c r="CC120" s="74">
        <v>38717</v>
      </c>
    </row>
    <row r="121" spans="2:81" ht="18" hidden="1" x14ac:dyDescent="0.25">
      <c r="B121" s="3"/>
      <c r="C121" s="4849" t="str">
        <f>IF(C63="","",C63)</f>
      </c>
      <c r="D121" s="4850"/>
      <c r="E121" s="4850"/>
      <c r="F121" s="4850"/>
      <c r="G121" s="4850"/>
      <c r="H121" s="4850"/>
      <c r="I121" s="4850"/>
      <c r="J121" s="4851"/>
      <c r="K121" s="3"/>
      <c r="AC121" s="4824" t="s">
        <v>2738</v>
      </c>
      <c r="AD121" s="4824"/>
      <c r="AE121" s="4824"/>
      <c r="BZ121" s="28" t="s">
        <v>3001</v>
      </c>
      <c r="CA121" s="28" t="s">
        <v>3002</v>
      </c>
      <c r="CB121" s="74">
        <f>DATE(ya,6,30)</f>
      </c>
      <c r="CC121" s="74">
        <v>39813</v>
      </c>
    </row>
    <row r="122" spans="2:81" ht="15" hidden="1" x14ac:dyDescent="0.2">
      <c r="B122" s="3"/>
      <c r="C122" s="773" t="str">
        <f>IF(C121="","",VLOOKUP(C121,$A$208:$E$209,3,FALSE))</f>
      </c>
      <c r="D122" s="180"/>
      <c r="E122" s="180"/>
      <c r="F122" s="180"/>
      <c r="G122" s="180"/>
      <c r="H122" s="180"/>
      <c r="I122" s="180"/>
      <c r="J122" s="181"/>
      <c r="K122" s="3"/>
      <c r="AC122" s="28" t="s">
        <v>2739</v>
      </c>
      <c r="AE122" s="92">
        <v>0.8</v>
      </c>
      <c r="BZ122" s="28" t="s">
        <v>2932</v>
      </c>
      <c r="CA122" s="28" t="s">
        <v>2933</v>
      </c>
      <c r="CB122" s="74">
        <f>DATE(ya-1,12,31)</f>
      </c>
      <c r="CC122" s="74"/>
    </row>
    <row r="123" spans="2:81" hidden="1" x14ac:dyDescent="0.2">
      <c r="B123" s="3"/>
      <c r="C123" s="1340" t="s">
        <v>2740</v>
      </c>
      <c r="D123" s="3"/>
      <c r="E123" s="3"/>
      <c r="F123" s="3"/>
      <c r="G123" s="3"/>
      <c r="H123" s="3"/>
      <c r="I123" s="3"/>
      <c r="J123" s="3"/>
      <c r="K123" s="3"/>
      <c r="AC123" s="28" t="s">
        <v>2741</v>
      </c>
      <c r="AE123" s="92">
        <v>0.45</v>
      </c>
      <c r="CB123" s="74"/>
      <c r="CC123" s="74"/>
    </row>
    <row r="124" spans="2:81" hidden="1" x14ac:dyDescent="0.2">
      <c r="B124" s="3"/>
      <c r="C124" s="65" t="s">
        <v>3128</v>
      </c>
      <c r="D124" s="3"/>
      <c r="E124" s="3"/>
      <c r="F124" s="3"/>
      <c r="G124" s="364"/>
      <c r="H124" s="222" t="str">
        <f>IF(Q124=0,"",IF(ISBLANK(G124),re,IF(G124&lt;CC119,S135,IF(G124&gt;CB121,S135,""))))</f>
        <v/>
      </c>
      <c r="I124" s="4848" t="str">
        <f>IF(Q167=0,"",IF(Q124&lt;&gt;12,dat,""))</f>
        <v/>
      </c>
      <c r="J124" s="4848"/>
      <c r="K124" s="3"/>
      <c r="L124" s="28">
        <f>IF(H124="",0,1)</f>
      </c>
      <c r="N124" s="28">
        <v>1</v>
      </c>
      <c r="P124" s="28">
        <v>12</v>
      </c>
      <c r="Q124" s="30">
        <f>COUNTA(G124,G126,G127,G129,G128,G130,H132,H134,G136,G137,G138,G139,F145:H147,H149,H151,I156:I160,G164,I169,H172)</f>
      </c>
      <c r="AC124" s="28"/>
      <c r="AE124" s="92"/>
      <c r="CA124" s="28" t="s">
        <v>1095</v>
      </c>
      <c r="CB124" s="74">
        <f>G128+1096</f>
      </c>
      <c r="CC124" s="74"/>
    </row>
    <row r="125" spans="2:81" hidden="1" x14ac:dyDescent="0.2">
      <c r="B125" s="3"/>
      <c r="C125" s="3" t="s">
        <v>3967</v>
      </c>
      <c r="D125" s="3"/>
      <c r="E125" s="3"/>
      <c r="F125" s="3"/>
      <c r="G125" s="1339"/>
      <c r="H125" s="17"/>
      <c r="I125" s="17"/>
      <c r="J125" s="17"/>
      <c r="K125" s="3"/>
      <c r="AC125" s="4824" t="s">
        <v>3129</v>
      </c>
      <c r="AD125" s="4824"/>
      <c r="AE125" s="4824"/>
      <c r="CB125" s="74"/>
    </row>
    <row r="126" spans="2:81" hidden="1" x14ac:dyDescent="0.2">
      <c r="B126" s="3"/>
      <c r="C126" s="3"/>
      <c r="D126" s="4269" t="s">
        <v>1759</v>
      </c>
      <c r="E126" s="4269"/>
      <c r="F126" s="4269"/>
      <c r="G126" s="364"/>
      <c r="H126" s="222" t="str">
        <f>IF(Q124=0,"",IF(ISBLANK(G126),re,IF(G126&lt;CC119,S135,IF(G126&gt;CB120,S135,""))))</f>
        <v/>
      </c>
      <c r="I126" s="17"/>
      <c r="J126" s="17"/>
      <c r="K126" s="3"/>
      <c r="L126" s="28">
        <f>IF(H126="",0,1)</f>
      </c>
      <c r="AC126" s="28" t="s">
        <v>2999</v>
      </c>
      <c r="AE126" s="92"/>
    </row>
    <row r="127" spans="2:81" hidden="1" x14ac:dyDescent="0.2">
      <c r="B127" s="3"/>
      <c r="C127" s="3"/>
      <c r="D127" s="4269" t="s">
        <v>1762</v>
      </c>
      <c r="E127" s="4269"/>
      <c r="F127" s="4269"/>
      <c r="G127" s="632"/>
      <c r="H127" s="222" t="str">
        <f>IF(Q124=0,"",IF(ISBLANK(G127),re,""))</f>
        <v/>
      </c>
      <c r="I127" s="17"/>
      <c r="J127" s="17"/>
      <c r="K127" s="3"/>
      <c r="L127" s="28">
        <f>IF(H127="",0,1)</f>
      </c>
      <c r="AC127" s="28" t="s">
        <v>2739</v>
      </c>
      <c r="AE127" s="92">
        <v>0.6</v>
      </c>
    </row>
    <row r="128" spans="2:81" hidden="1" x14ac:dyDescent="0.2">
      <c r="B128" s="3"/>
      <c r="C128" s="3" t="s">
        <v>4955</v>
      </c>
      <c r="D128" s="3"/>
      <c r="E128" s="3"/>
      <c r="F128" s="1342"/>
      <c r="G128" s="364"/>
      <c r="H128" s="222" t="str">
        <f>IF(Q124=0,"",IF(ISBLANK(G128),re,IF(G128&gt;CB122,"&lt; Future date?",IF(ISBLANK(I159),"",IF(G128&gt;=I159,"&lt; Check date!","")))))</f>
        <v/>
      </c>
      <c r="I128" s="1341" t="str">
        <f>IF(G128="","",IF(G128&gt;$CC$5,LATE,""))</f>
        <v/>
      </c>
      <c r="J128" s="17"/>
      <c r="K128" s="3"/>
      <c r="L128" s="28">
        <f>IF(H128="",0,1)</f>
      </c>
      <c r="AC128" s="28" t="s">
        <v>2741</v>
      </c>
      <c r="AE128" s="92">
        <v>0.35</v>
      </c>
    </row>
    <row r="129" spans="2:30" hidden="1" x14ac:dyDescent="0.2">
      <c r="B129" s="3"/>
      <c r="C129" s="3" t="s">
        <v>4956</v>
      </c>
      <c r="D129" s="3"/>
      <c r="E129" s="3"/>
      <c r="F129" s="3"/>
      <c r="G129" s="364"/>
      <c r="H129" s="222" t="str">
        <f>IF(Q124=0,"",IF(ISBLANK(G129),re,IF(G129-G128&gt;O129,more36,IF(G129&lt;G128,"Earlier than commencement!",IF(G129&lt;I159,"&lt; Check date!","")))))</f>
        <v/>
      </c>
      <c r="I129" s="17"/>
      <c r="J129" s="17"/>
      <c r="K129" s="3"/>
      <c r="L129" s="28">
        <f>IF(H129="",0,1)</f>
      </c>
      <c r="N129" s="778"/>
      <c r="O129" s="779">
        <f>(365*3)+1</f>
      </c>
      <c r="AC129" s="28"/>
      <c r="AD129" s="28"/>
    </row>
    <row r="130" spans="2:30" hidden="1" x14ac:dyDescent="0.2">
      <c r="B130" s="3"/>
      <c r="C130" s="65" t="s">
        <v>4957</v>
      </c>
      <c r="D130" s="3"/>
      <c r="E130" s="3"/>
      <c r="F130" s="3"/>
      <c r="G130" s="428"/>
      <c r="H130" s="222" t="str">
        <f>IF(Q124=0,"",IF(ISBLANK(G130),re,IF(G130&gt;ya,"&lt; Correct Y/A!",IF(G130&lt;P130,"&lt; Correct Y/A!",""))))</f>
        <v/>
      </c>
      <c r="I130" s="17"/>
      <c r="J130" s="17"/>
      <c r="K130" s="3"/>
      <c r="L130" s="28">
        <f>IF(H130="",0,1)</f>
      </c>
      <c r="N130" s="28">
        <f>YEAR(G128)</f>
      </c>
      <c r="O130" s="28">
        <f>YEAR(G129)</f>
      </c>
      <c r="P130" s="28">
        <f>N130+1</f>
      </c>
      <c r="Q130" s="28">
        <f>IF(N130+2&gt;ya,ya,N130+2)</f>
      </c>
      <c r="AC130" s="28"/>
      <c r="AD130" s="28"/>
    </row>
    <row r="131" spans="2:30" ht="3" hidden="1" customHeight="1" x14ac:dyDescent="0.2">
      <c r="B131" s="3"/>
      <c r="C131" s="3"/>
      <c r="D131" s="3"/>
      <c r="E131" s="3"/>
      <c r="F131" s="3"/>
      <c r="G131" s="222"/>
      <c r="H131" s="17"/>
      <c r="I131" s="17"/>
      <c r="J131" s="17"/>
      <c r="K131" s="3"/>
      <c r="AC131" s="28"/>
      <c r="AD131" s="28"/>
    </row>
    <row r="132" spans="2:30" hidden="1" x14ac:dyDescent="0.2">
      <c r="B132" s="3"/>
      <c r="C132" s="4275" t="s">
        <v>3478</v>
      </c>
      <c r="D132" s="4275"/>
      <c r="E132" s="4275"/>
      <c r="F132" s="4275"/>
      <c r="G132" s="222"/>
      <c r="H132" s="366"/>
      <c r="I132" s="222" t="str">
        <f>IF(Q124=0,"",IF(ISBLANK(H132),re,""))</f>
        <v/>
      </c>
      <c r="J132" s="17"/>
      <c r="K132" s="3"/>
      <c r="L132" s="28">
        <f>IF(I132="",0,1)</f>
      </c>
      <c r="N132" s="28">
        <v>500004</v>
      </c>
      <c r="O132" s="28">
        <v>999999</v>
      </c>
      <c r="P132" s="28" t="str">
        <f>IF(C121="","??",IF(H132=A$206,"B","C"))</f>
      </c>
      <c r="R132" s="28">
        <v>0</v>
      </c>
      <c r="AC132" s="28"/>
      <c r="AD132" s="28"/>
    </row>
    <row r="133" spans="2:30" ht="3" hidden="1" customHeight="1" x14ac:dyDescent="0.2">
      <c r="B133" s="3"/>
      <c r="C133" s="3"/>
      <c r="D133" s="3"/>
      <c r="E133" s="3"/>
      <c r="F133" s="3"/>
      <c r="G133" s="17"/>
      <c r="H133" s="17"/>
      <c r="I133" s="17"/>
      <c r="J133" s="17"/>
      <c r="K133" s="3"/>
      <c r="R133" s="28">
        <v>0</v>
      </c>
      <c r="AC133" s="28"/>
      <c r="AD133" s="28"/>
    </row>
    <row r="134" spans="2:30" hidden="1" x14ac:dyDescent="0.2">
      <c r="B134" s="3"/>
      <c r="C134" s="8" t="s">
        <v>2206</v>
      </c>
      <c r="D134" s="8"/>
      <c r="E134" s="8"/>
      <c r="F134" s="8"/>
      <c r="G134" s="114"/>
      <c r="H134" s="366"/>
      <c r="I134" s="222" t="str">
        <f>IF(Q124=0,"",IF(ISBLANK(H134),re,IF(H134=A$205,nob,"")))</f>
        <v/>
      </c>
      <c r="J134" s="17"/>
      <c r="K134" s="3"/>
      <c r="L134" s="28">
        <f>IF(I134="",0,1)</f>
      </c>
      <c r="P134" s="28" t="str">
        <f>IF(C121="","??",IF(H132=A$206,"G","H"))</f>
      </c>
      <c r="AC134" s="28"/>
      <c r="AD134" s="28"/>
    </row>
    <row r="135" spans="2:30" ht="3" hidden="1" customHeight="1" x14ac:dyDescent="0.2">
      <c r="B135" s="3"/>
      <c r="C135" s="3"/>
      <c r="D135" s="3"/>
      <c r="E135" s="3"/>
      <c r="F135" s="3"/>
      <c r="G135" s="17"/>
      <c r="H135" s="17"/>
      <c r="I135" s="17"/>
      <c r="J135" s="17"/>
      <c r="K135" s="3"/>
      <c r="S135" s="28" t="s">
        <v>2207</v>
      </c>
      <c r="AC135" s="28"/>
      <c r="AD135" s="28"/>
    </row>
    <row r="136" spans="2:30" hidden="1" x14ac:dyDescent="0.2">
      <c r="B136" s="3"/>
      <c r="C136" s="3" t="s">
        <v>2267</v>
      </c>
      <c r="D136" s="3"/>
      <c r="E136" s="3"/>
      <c r="F136" s="3"/>
      <c r="G136" s="428"/>
      <c r="H136" s="222" t="str">
        <f>IF(Q124=0,"",IF(ISBLANK(G136),pere,""))</f>
        <v/>
      </c>
      <c r="I136" s="17"/>
      <c r="J136" s="17"/>
      <c r="K136" s="3"/>
      <c r="L136" s="28">
        <f>IF(H136="",0,1)</f>
      </c>
      <c r="R136" s="28" t="s">
        <v>4356</v>
      </c>
      <c r="S136" s="28" t="s">
        <v>4356</v>
      </c>
      <c r="AC136" s="28"/>
      <c r="AD136" s="28"/>
    </row>
    <row r="137" spans="2:30" hidden="1" x14ac:dyDescent="0.2">
      <c r="B137" s="3"/>
      <c r="C137" s="3" t="s">
        <v>2268</v>
      </c>
      <c r="D137" s="3"/>
      <c r="E137" s="3"/>
      <c r="F137" s="3"/>
      <c r="G137" s="4317"/>
      <c r="H137" s="4318"/>
      <c r="I137" s="4319"/>
      <c r="J137" s="222" t="str">
        <f>IF(Q124=0,"",IF(ISBLANK(G137),re,""))</f>
        <v/>
      </c>
      <c r="K137" s="3"/>
      <c r="L137" s="28">
        <f>IF(J137="",0,1)</f>
      </c>
      <c r="S137" s="182" t="s">
        <v>2269</v>
      </c>
      <c r="AC137" s="28"/>
      <c r="AD137" s="28"/>
    </row>
    <row r="138" spans="2:30" hidden="1" x14ac:dyDescent="0.2">
      <c r="B138" s="3"/>
      <c r="C138" s="3" t="s">
        <v>2270</v>
      </c>
      <c r="D138" s="3"/>
      <c r="E138" s="3"/>
      <c r="F138" s="3"/>
      <c r="G138" s="428"/>
      <c r="H138" s="222" t="str">
        <f>IF(Q124=0,"",IF(ISBLANK(G138),re,""))</f>
        <v/>
      </c>
      <c r="I138" s="17"/>
      <c r="J138" s="17"/>
      <c r="K138" s="3"/>
      <c r="L138" s="28">
        <f>IF(H138="",0,1)</f>
      </c>
      <c r="S138" s="182"/>
      <c r="AC138" s="28"/>
      <c r="AD138" s="28"/>
    </row>
    <row r="139" spans="2:30" hidden="1" x14ac:dyDescent="0.2">
      <c r="B139" s="3"/>
      <c r="C139" s="3" t="s">
        <v>2271</v>
      </c>
      <c r="D139" s="3"/>
      <c r="E139" s="3"/>
      <c r="F139" s="3"/>
      <c r="G139" s="4852"/>
      <c r="H139" s="4853"/>
      <c r="I139" s="222" t="str">
        <f>IF(Q124=0,"",IF(ISBLANK(G139),re,""))</f>
        <v/>
      </c>
      <c r="J139" s="17"/>
      <c r="K139" s="3"/>
      <c r="L139" s="28">
        <f>IF(I139="",0,1)</f>
      </c>
      <c r="P139" s="28" t="str">
        <f>IF(C121=A208,P132,P134)</f>
      </c>
      <c r="R139" s="28" t="s">
        <v>2272</v>
      </c>
      <c r="S139" s="182" t="str">
        <f>"Threshold (worked according to Table "&amp;P139&amp;")"</f>
      </c>
      <c r="AC139" s="28"/>
      <c r="AD139" s="28"/>
    </row>
    <row r="140" spans="2:30" ht="3" hidden="1" customHeight="1" x14ac:dyDescent="0.2">
      <c r="B140" s="3"/>
      <c r="C140" s="3"/>
      <c r="D140" s="3"/>
      <c r="E140" s="3"/>
      <c r="F140" s="3"/>
      <c r="G140" s="3"/>
      <c r="H140" s="3"/>
      <c r="I140" s="3"/>
      <c r="J140" s="3"/>
      <c r="K140" s="3"/>
      <c r="S140" s="182"/>
      <c r="AC140" s="28"/>
      <c r="AD140" s="28"/>
    </row>
    <row r="141" spans="2:30" ht="15" hidden="1" x14ac:dyDescent="0.2">
      <c r="B141" s="3"/>
      <c r="C141" s="611" t="s">
        <v>6378</v>
      </c>
      <c r="D141" s="186"/>
      <c r="E141" s="186"/>
      <c r="F141" s="186"/>
      <c r="G141" s="186"/>
      <c r="H141" s="186"/>
      <c r="I141" s="187"/>
      <c r="J141" s="61"/>
      <c r="K141" s="3"/>
      <c r="S141" s="182"/>
      <c r="AC141" s="28"/>
      <c r="AD141" s="28"/>
    </row>
    <row r="142" spans="2:30" hidden="1" x14ac:dyDescent="0.2">
      <c r="B142" s="3"/>
      <c r="C142" s="4844" t="s">
        <v>6379</v>
      </c>
      <c r="D142" s="4845"/>
      <c r="E142" s="194"/>
      <c r="F142" s="4835" t="s">
        <v>6925</v>
      </c>
      <c r="G142" s="4856"/>
      <c r="H142" s="4856"/>
      <c r="I142" s="4856"/>
      <c r="J142" s="795" t="str">
        <f>IF(I134=nob,nob,"")</f>
        <v/>
      </c>
      <c r="K142" s="3"/>
      <c r="AC142" s="28"/>
      <c r="AD142" s="28"/>
    </row>
    <row r="143" spans="2:30" ht="56.25" hidden="1" x14ac:dyDescent="0.2">
      <c r="B143" s="3"/>
      <c r="C143" s="4846"/>
      <c r="D143" s="4847"/>
      <c r="E143" s="3"/>
      <c r="F143" s="783" t="s">
        <v>6380</v>
      </c>
      <c r="G143" s="783" t="s">
        <v>6927</v>
      </c>
      <c r="H143" s="783" t="s">
        <v>6928</v>
      </c>
      <c r="I143" s="783" t="s">
        <v>4127</v>
      </c>
      <c r="J143" s="4857" t="str">
        <f>IF(Q167=0,"",IF(ISBLANK(C121),"&lt; Choose LN! [Cell C121]",""))</f>
        <v/>
      </c>
      <c r="K143" s="4858"/>
      <c r="L143" s="28">
        <f>IF(J143="",0,1)</f>
      </c>
      <c r="M143" s="28" t="s">
        <v>2958</v>
      </c>
      <c r="N143" s="28" t="s">
        <v>4128</v>
      </c>
      <c r="O143" s="28" t="s">
        <v>4129</v>
      </c>
      <c r="Q143" s="28" t="s">
        <v>4130</v>
      </c>
      <c r="AC143" s="28"/>
      <c r="AD143" s="28"/>
    </row>
    <row r="144" spans="2:30" ht="3" hidden="1" customHeight="1" x14ac:dyDescent="0.2">
      <c r="B144" s="3"/>
      <c r="C144" s="3"/>
      <c r="D144" s="3"/>
      <c r="E144" s="3"/>
      <c r="F144" s="784"/>
      <c r="G144" s="3"/>
      <c r="H144" s="3"/>
      <c r="I144" s="3"/>
      <c r="J144" s="3"/>
      <c r="K144" s="3"/>
      <c r="AC144" s="28"/>
      <c r="AD144" s="28"/>
    </row>
    <row r="145" spans="2:54" hidden="1" x14ac:dyDescent="0.2">
      <c r="B145" s="3"/>
      <c r="C145" s="3" t="s">
        <v>2245</v>
      </c>
      <c r="D145" s="3"/>
      <c r="E145" s="3"/>
      <c r="F145" s="525"/>
      <c r="G145" s="223"/>
      <c r="H145" s="223"/>
      <c r="I145" s="405">
        <f>IF(C121="",0,Z145)</f>
      </c>
      <c r="J145" s="61" t="str">
        <f>IF(Q167=0,"",IF(COUNT(F145:H145)&gt;U145,"&lt; No previous!",IF(COUNT(F145:H145)&lt;U145,"&lt; All data required or 0!",IF(Q145&gt;F145,res,IF(V145=1,"No Current!","")))))</f>
        <v/>
      </c>
      <c r="K145" s="3"/>
      <c r="L145" s="28">
        <f>IF(J145="",0,IF(J145=res,0,1))</f>
      </c>
      <c r="M145" s="28">
        <f>IF(ISBLANK(G130),0,IF(G130=ya,0,F145))</f>
      </c>
      <c r="N145" s="32">
        <f>IF(M145=0,F145,IF(G145&gt;F145,0,F145-G145))</f>
      </c>
      <c r="O145" s="28">
        <f>IF(M145=0,0,IF(G145&gt;F145,F145,G145))</f>
      </c>
      <c r="P145" s="32">
        <f>IF(F145-O145&gt;H145,H145,F145-O145)</f>
      </c>
      <c r="Q145" s="32">
        <f>G145+H145</f>
      </c>
      <c r="R145" s="28">
        <f>IF(G145&gt;F145,F145,G145)</f>
      </c>
      <c r="S145" s="28">
        <f>IF(H145&gt;F145-R145,F145-G145,H145)</f>
      </c>
      <c r="U145" s="28">
        <f>IF(G130=ya,2,3)</f>
      </c>
      <c r="V145" s="28">
        <f>IF(I160="",0,IF(I160=ya,0,IF(H145&gt;0,1,0)))</f>
      </c>
      <c r="X145" s="32">
        <f t="shared" ref="X145:Y147" si="2">IF(O145&lt;G145,O145,G145)</f>
      </c>
      <c r="Y145" s="32">
        <f t="shared" si="2"/>
        <v>0</v>
      </c>
      <c r="Z145" s="32">
        <f>IF(V145=1,X145,X145+Y145)</f>
      </c>
      <c r="AC145" s="28"/>
      <c r="AD145" s="28"/>
    </row>
    <row r="146" spans="2:54" hidden="1" x14ac:dyDescent="0.2">
      <c r="B146" s="3"/>
      <c r="C146" s="3" t="s">
        <v>2246</v>
      </c>
      <c r="D146" s="3"/>
      <c r="E146" s="61"/>
      <c r="F146" s="525"/>
      <c r="G146" s="223"/>
      <c r="H146" s="223"/>
      <c r="I146" s="405">
        <f>IF(C121="",0,Z146)</f>
      </c>
      <c r="J146" s="61" t="str">
        <f>IF(Q167=0,"",IF(COUNT(F146:H146)&gt;U146,"&lt; No previous!",IF(COUNT(F146:H146)&lt;U146,"&lt; All data required or 0!",IF(Q146&gt;F146,res,IF(V146=1,"No Current!","")))))</f>
        <v/>
      </c>
      <c r="K146" s="3"/>
      <c r="L146" s="28">
        <f>IF(J146="",0,IF(J146=res,0,1))</f>
      </c>
      <c r="M146" s="28">
        <f>IF(ISBLANK(G130),0,IF(G130=ya,0,F146))</f>
      </c>
      <c r="N146" s="32">
        <f>IF(G146&gt;F146,0,F146-G146)</f>
      </c>
      <c r="O146" s="28">
        <f>IF(M146=0,0,IF(G146&gt;F146,F146,G146))</f>
      </c>
      <c r="P146" s="32">
        <f>IF(F146-O146&gt;H146,H146,F146-O146)</f>
      </c>
      <c r="Q146" s="32">
        <f>G146+H146</f>
      </c>
      <c r="R146" s="28">
        <f>IF(G146&gt;F146,F146,G146)</f>
      </c>
      <c r="S146" s="28">
        <f>IF(H146&gt;F146-R146,F146-G146,H146)</f>
      </c>
      <c r="U146" s="28">
        <f>IF(G130=ya,2,3)</f>
      </c>
      <c r="V146" s="28">
        <f>IF(I160="",0,IF(I160=ya,0,IF(H146&gt;0,1,0)))</f>
      </c>
      <c r="X146" s="32">
        <f t="shared" si="2"/>
        <v>0</v>
      </c>
      <c r="Y146" s="32">
        <f t="shared" si="2"/>
        <v>0</v>
      </c>
      <c r="Z146" s="32">
        <f>IF(V146=1,X146,X146+Y146)</f>
      </c>
      <c r="AC146" s="28"/>
      <c r="AD146" s="28"/>
    </row>
    <row r="147" spans="2:54" hidden="1" x14ac:dyDescent="0.2">
      <c r="B147" s="3"/>
      <c r="C147" s="3" t="s">
        <v>2247</v>
      </c>
      <c r="D147" s="3"/>
      <c r="E147" s="3"/>
      <c r="F147" s="223"/>
      <c r="G147" s="223"/>
      <c r="H147" s="223"/>
      <c r="I147" s="405">
        <f>IF(C121="",0,Z147)</f>
      </c>
      <c r="J147" s="61" t="str">
        <f>IF(Q167=0,"",IF(COUNT(F147:H147)&gt;U147,"&lt; No previous!",IF(COUNT(F147:H147)&lt;U147,"&lt; All data required or 0!",IF(Q147&gt;F147,res,IF(V147=1,"No Current!","")))))</f>
        <v/>
      </c>
      <c r="K147" s="3"/>
      <c r="L147" s="28">
        <f>IF(J147="",0,IF(J147=res,0,1))</f>
      </c>
      <c r="M147" s="28">
        <f>IF(ISBLANK(G130),0,IF(G130=ya,0,F147))</f>
      </c>
      <c r="N147" s="32">
        <f>IF(G147&gt;F147,0,F147-G147)</f>
      </c>
      <c r="O147" s="28">
        <f>IF(M147=0,0,IF(G147&gt;F147,F147,G147))</f>
      </c>
      <c r="P147" s="32">
        <f>IF(F147-O147&gt;H147,H147,F147-O147)</f>
      </c>
      <c r="Q147" s="32">
        <f>G147+H147</f>
      </c>
      <c r="R147" s="28">
        <f>IF(G147&gt;F147,F147,G147)</f>
      </c>
      <c r="S147" s="28">
        <f>IF(H147&gt;F147-R147,F147-G147,H147)</f>
      </c>
      <c r="U147" s="28">
        <f>IF(G130=ya,2,3)</f>
      </c>
      <c r="V147" s="28">
        <f>IF(I160="",0,IF(I160=ya,0,IF(H147&gt;0,1,0)))</f>
      </c>
      <c r="X147" s="32">
        <f t="shared" si="2"/>
        <v>0</v>
      </c>
      <c r="Y147" s="32">
        <f t="shared" si="2"/>
        <v>0</v>
      </c>
      <c r="Z147" s="32">
        <f>IF(V147=1,X147,X147+Y147)</f>
      </c>
      <c r="AC147" s="28"/>
      <c r="AD147" s="28"/>
    </row>
    <row r="148" spans="2:54" ht="15" hidden="1" thickBot="1" x14ac:dyDescent="0.25">
      <c r="B148" s="3"/>
      <c r="C148" s="731" t="s">
        <v>5590</v>
      </c>
      <c r="D148" s="3"/>
      <c r="E148" s="3"/>
      <c r="F148" s="797">
        <f>SUM(F145:F147)</f>
      </c>
      <c r="G148" s="797">
        <f>O148</f>
      </c>
      <c r="H148" s="625">
        <f>IF(J142=nob,0,IF(I160="",P148,IF(I160&lt;ya,0,P148)))</f>
      </c>
      <c r="I148" s="797">
        <f>SUM(I145:I147)</f>
      </c>
      <c r="J148" s="61" t="str">
        <f>IF(S149&lt;&gt;V149,res,"")</f>
        <v/>
      </c>
      <c r="K148" s="3"/>
      <c r="O148" s="28">
        <f>SUM(O145:O147)</f>
      </c>
      <c r="P148" s="28">
        <f>SUM(P145:P147)</f>
      </c>
      <c r="V148" s="28">
        <f>SUM(V145:V147)</f>
      </c>
      <c r="AC148" s="28"/>
      <c r="AD148" s="28"/>
    </row>
    <row r="149" spans="2:54" ht="13.5" hidden="1" thickTop="1" x14ac:dyDescent="0.2">
      <c r="B149" s="3"/>
      <c r="C149" s="4275" t="s">
        <v>2516</v>
      </c>
      <c r="D149" s="4275"/>
      <c r="E149" s="4275"/>
      <c r="F149" s="4275"/>
      <c r="G149" s="4275"/>
      <c r="H149" s="798"/>
      <c r="I149" s="61" t="str">
        <f>IF(Q150=0,"",IF(G130=ya,"",IF(ISBLANK(H149),reo,IF(BB149=1,"&lt; Non-Numeric value!",IF(H149&gt;G148,"&lt; Excessive claim!","")))))</f>
        <v/>
      </c>
      <c r="J149" s="648"/>
      <c r="K149" s="3"/>
      <c r="L149" s="28">
        <f>IF(I149="",0,1)</f>
      </c>
      <c r="M149" s="28">
        <f>SUM(M145:M147)</f>
      </c>
      <c r="N149" s="32">
        <f>IF(G130=ya,1,0)</f>
      </c>
      <c r="O149" s="28">
        <f>IF($C$5=$A$209,0,O148)</f>
      </c>
      <c r="P149" s="28">
        <f>IF(G148&gt;F148,F148,G148)</f>
      </c>
      <c r="R149" s="28">
        <f>SUM(R145:R148)</f>
      </c>
      <c r="S149" s="28">
        <f>SUM(S145:S148)</f>
      </c>
      <c r="T149" s="32">
        <f>SUM(F145:F147)</f>
      </c>
      <c r="U149" s="32">
        <f>SUM(G145:G147)</f>
      </c>
      <c r="V149" s="32">
        <f>IF(V148&lt;&gt;0,0,SUM(H145:H147))</f>
      </c>
      <c r="AC149" s="28"/>
      <c r="AD149" s="28"/>
      <c r="BA149" s="28">
        <f>H149*1</f>
      </c>
      <c r="BB149" s="28">
        <f>IF(ISERROR(BA149),1,0)</f>
      </c>
    </row>
    <row r="150" spans="2:54" hidden="1" x14ac:dyDescent="0.2">
      <c r="B150" s="3"/>
      <c r="C150" s="4275" t="s">
        <v>3982</v>
      </c>
      <c r="D150" s="4275"/>
      <c r="E150" s="4275"/>
      <c r="F150" s="4275"/>
      <c r="G150" s="4275" t="s">
        <v>1020</v>
      </c>
      <c r="H150" s="799">
        <f>IF(G148=0,H148,SUM(H148:H149))</f>
      </c>
      <c r="I150" s="648" t="s">
        <v>1020</v>
      </c>
      <c r="J150" s="648" t="s">
        <v>1020</v>
      </c>
      <c r="K150" s="3"/>
      <c r="Q150" s="30">
        <f>COUNT(F145:H147)</f>
      </c>
      <c r="AC150" s="28" t="s">
        <v>5253</v>
      </c>
      <c r="AD150" s="28" t="s">
        <v>405</v>
      </c>
    </row>
    <row r="151" spans="2:54" hidden="1" x14ac:dyDescent="0.2">
      <c r="B151" s="3"/>
      <c r="C151" s="8" t="s">
        <v>4909</v>
      </c>
      <c r="D151" s="8"/>
      <c r="E151" s="8" t="s">
        <v>1020</v>
      </c>
      <c r="F151" s="8" t="s">
        <v>1020</v>
      </c>
      <c r="G151" s="1343"/>
      <c r="H151" s="432"/>
      <c r="I151" s="61" t="str">
        <f>IF(H151&gt;H150,"&lt; Excessive claim!",IF(H150=0,"",IF(ISBLANK(H151),reo,"")))</f>
        <v/>
      </c>
      <c r="J151" s="61"/>
      <c r="K151" s="3"/>
      <c r="L151" s="28">
        <f>IF(I151="",0,1)</f>
      </c>
      <c r="AC151" s="194">
        <f>IF($C121=A$208,H151,0)</f>
      </c>
      <c r="AD151" s="194">
        <f>IF($C121=A$209,H151,0)</f>
      </c>
    </row>
    <row r="152" spans="2:54" hidden="1" x14ac:dyDescent="0.2">
      <c r="B152" s="3"/>
      <c r="C152" s="4275" t="str">
        <f>C36</f>
      </c>
      <c r="D152" s="4275"/>
      <c r="E152" s="4275"/>
      <c r="F152" s="4275"/>
      <c r="G152" s="4275"/>
      <c r="H152" s="799">
        <f>IF(H151&gt;H150,0,H150-H151)</f>
      </c>
      <c r="I152" s="648" t="s">
        <v>1020</v>
      </c>
      <c r="J152" s="648" t="s">
        <v>1020</v>
      </c>
      <c r="K152" s="3"/>
      <c r="AC152" s="28"/>
      <c r="AD152" s="28"/>
    </row>
    <row r="153" spans="2:54" ht="3" hidden="1" customHeight="1" x14ac:dyDescent="0.2">
      <c r="B153" s="3"/>
      <c r="C153" s="358"/>
      <c r="D153" s="649"/>
      <c r="E153" s="648" t="s">
        <v>1020</v>
      </c>
      <c r="F153" s="648" t="s">
        <v>1020</v>
      </c>
      <c r="G153" s="648" t="s">
        <v>1020</v>
      </c>
      <c r="H153" s="648" t="s">
        <v>1020</v>
      </c>
      <c r="I153" s="648" t="s">
        <v>1020</v>
      </c>
      <c r="J153" s="648" t="s">
        <v>1020</v>
      </c>
      <c r="K153" s="3"/>
      <c r="AC153" s="28"/>
      <c r="AD153" s="28"/>
    </row>
    <row r="154" spans="2:54" ht="15" hidden="1" x14ac:dyDescent="0.2">
      <c r="B154" s="3"/>
      <c r="C154" s="611" t="s">
        <v>340</v>
      </c>
      <c r="D154" s="186"/>
      <c r="E154" s="186"/>
      <c r="F154" s="186"/>
      <c r="G154" s="186"/>
      <c r="H154" s="186"/>
      <c r="I154" s="187"/>
      <c r="J154" s="800" t="str">
        <f>IF(I134=nob,R136,IF(I156=A$205,R136,IF(Q156&lt;&gt;5,"",IF(N162=0,"",IF(N162&lt;&gt;5,R136,"")))))</f>
        <v/>
      </c>
      <c r="K154" s="3"/>
      <c r="AB154" s="28" t="s">
        <v>3635</v>
      </c>
      <c r="AC154" s="198">
        <f>AC151+AC93+AC35</f>
      </c>
      <c r="AD154" s="198">
        <f>AD151+AD93+AD35</f>
      </c>
    </row>
    <row r="155" spans="2:54" ht="3" hidden="1" customHeight="1" x14ac:dyDescent="0.2">
      <c r="B155" s="3"/>
      <c r="C155" s="41"/>
      <c r="D155" s="41"/>
      <c r="E155" s="41"/>
      <c r="F155" s="41"/>
      <c r="G155" s="41"/>
      <c r="H155" s="41"/>
      <c r="I155" s="41"/>
      <c r="J155" s="801"/>
      <c r="K155" s="3"/>
      <c r="AC155" s="28"/>
      <c r="AD155" s="28"/>
    </row>
    <row r="156" spans="2:54" hidden="1" x14ac:dyDescent="0.2">
      <c r="B156" s="3"/>
      <c r="C156" s="3" t="s">
        <v>5357</v>
      </c>
      <c r="D156" s="3"/>
      <c r="E156" s="3"/>
      <c r="F156" s="3"/>
      <c r="G156" s="3"/>
      <c r="H156" s="3"/>
      <c r="I156" s="366"/>
      <c r="J156" s="61" t="str">
        <f>IF(Q156=0,"",IF(Q150=0,"",IF(ISBLANK(I156),re,"")))</f>
        <v/>
      </c>
      <c r="K156" s="3"/>
      <c r="L156" s="28">
        <f>IF(J156="",0,IF(J156=res,0,1))</f>
      </c>
      <c r="N156" s="28">
        <f>IF(I156=$A$206,1,0)</f>
      </c>
      <c r="Q156" s="30">
        <f>COUNTA(I156:I160)</f>
      </c>
      <c r="AC156" s="28"/>
      <c r="AD156" s="28"/>
    </row>
    <row r="157" spans="2:54" hidden="1" x14ac:dyDescent="0.2">
      <c r="B157" s="3"/>
      <c r="C157" s="3" t="s">
        <v>6836</v>
      </c>
      <c r="D157" s="3"/>
      <c r="E157" s="3"/>
      <c r="F157" s="3"/>
      <c r="G157" s="3"/>
      <c r="H157" s="3"/>
      <c r="I157" s="366"/>
      <c r="J157" s="61" t="str">
        <f>IF(Q156=0,"",IF(I156=A205,"",IF(ISBLANK(I157),re,"")))</f>
        <v/>
      </c>
      <c r="K157" s="3"/>
      <c r="L157" s="28">
        <f>IF(J157="",0,IF(J157=res,0,1))</f>
      </c>
      <c r="N157" s="28">
        <f>IF(I157=$A$206,1,0)</f>
      </c>
      <c r="AC157" s="28"/>
      <c r="AD157" s="28"/>
    </row>
    <row r="158" spans="2:54" hidden="1" x14ac:dyDescent="0.2">
      <c r="B158" s="3"/>
      <c r="C158" s="3" t="str">
        <f>IF(C121="","Has the company submitted the relevant certificate?",VLOOKUP(C121,$A$208:$E$209,4,FALSE))</f>
      </c>
      <c r="D158" s="3"/>
      <c r="E158" s="3"/>
      <c r="F158" s="3"/>
      <c r="G158" s="3"/>
      <c r="H158" s="3"/>
      <c r="I158" s="366"/>
      <c r="J158" s="61" t="str">
        <f>IF(Q156=0,"",IF(I156=A205,"",IF(ISBLANK(I158),re,"")))</f>
        <v/>
      </c>
      <c r="K158" s="3"/>
      <c r="L158" s="28">
        <f>IF(J158="",0,IF(J158=res,0,1))</f>
      </c>
      <c r="N158" s="28">
        <f>IF(I158=$A$206,1,0)</f>
      </c>
      <c r="AC158" s="28"/>
      <c r="AD158" s="28"/>
    </row>
    <row r="159" spans="2:54" hidden="1" x14ac:dyDescent="0.2">
      <c r="B159" s="3"/>
      <c r="C159" s="3" t="s">
        <v>6837</v>
      </c>
      <c r="D159" s="3"/>
      <c r="E159" s="3"/>
      <c r="F159" s="3"/>
      <c r="G159" s="3"/>
      <c r="H159" s="3"/>
      <c r="I159" s="364"/>
      <c r="J159" s="61" t="str">
        <f>IF(Q156=0,"",IF(I156=A205,"",IF(ISBLANK(I159),re,IF(O159&gt;ya-1,"&lt; Future date?",IF(I159&lt;=G128,S135,IF(I159&gt;G129,S135,""))))))</f>
        <v/>
      </c>
      <c r="K159" s="3"/>
      <c r="L159" s="28">
        <f>IF(J159="",0,IF(J159=res,0,1))</f>
      </c>
      <c r="N159" s="28">
        <f>IF(ISBLANK(I159),0,IF(J159&lt;&gt;"",0,1))</f>
      </c>
      <c r="O159" s="28">
        <f>YEAR(I159)</f>
      </c>
    </row>
    <row r="160" spans="2:54" hidden="1" x14ac:dyDescent="0.2">
      <c r="B160" s="3"/>
      <c r="C160" s="3" t="s">
        <v>51</v>
      </c>
      <c r="D160" s="3"/>
      <c r="E160" s="3"/>
      <c r="F160" s="3"/>
      <c r="G160" s="3"/>
      <c r="H160" s="3"/>
      <c r="I160" s="428"/>
      <c r="J160" s="61" t="str">
        <f>IF(ISBLANK(I159),"",IF(ISBLANK(I160),re,IF(I160&gt;Q160,"&lt; Correct Y/A!",IF(I160&lt;P160,"&lt; Correct Y/A!",""))))</f>
        <v/>
      </c>
      <c r="K160" s="3"/>
      <c r="L160" s="28">
        <f>IF(J160="",0,IF(J160=res,0,1))</f>
      </c>
      <c r="N160" s="28">
        <f>IF(ISBLANK(I160),0,IF(J160&lt;&gt;"",0,1))</f>
      </c>
      <c r="P160" s="28">
        <f>O159+1</f>
      </c>
      <c r="Q160" s="28">
        <f>IF(O159+2&gt;ya,ya,O159+2)</f>
      </c>
    </row>
    <row r="161" spans="2:17" ht="3" hidden="1" customHeight="1" x14ac:dyDescent="0.2">
      <c r="B161" s="3"/>
      <c r="C161" s="3"/>
      <c r="D161" s="3"/>
      <c r="E161" s="3"/>
      <c r="F161" s="3"/>
      <c r="G161" s="3"/>
      <c r="H161" s="3"/>
      <c r="I161" s="3"/>
      <c r="J161" s="3"/>
      <c r="K161" s="3"/>
    </row>
    <row r="162" spans="2:17" hidden="1" x14ac:dyDescent="0.2">
      <c r="B162" s="3"/>
      <c r="C162" s="4840" t="s">
        <v>52</v>
      </c>
      <c r="D162" s="4840"/>
      <c r="E162" s="3"/>
      <c r="F162" s="4841" t="s">
        <v>2444</v>
      </c>
      <c r="G162" s="4842"/>
      <c r="H162" s="4843"/>
      <c r="I162" s="781" t="s">
        <v>784</v>
      </c>
      <c r="J162" s="4854" t="str">
        <f>J143</f>
        <v/>
      </c>
      <c r="K162" s="4855"/>
      <c r="L162" s="28">
        <f>IF(J162="",0,1)</f>
      </c>
      <c r="N162" s="28">
        <f>SUM(N156:N160)</f>
      </c>
    </row>
    <row r="163" spans="2:17" ht="48" hidden="1" x14ac:dyDescent="0.2">
      <c r="B163" s="3"/>
      <c r="C163" s="4840"/>
      <c r="D163" s="4840"/>
      <c r="E163" s="3"/>
      <c r="F163" s="782" t="str">
        <f>S139</f>
      </c>
      <c r="G163" s="782" t="str">
        <f>IF(C121="","Value of other benefits",VLOOKUP(C121,$A$208:$E$209,5,FALSE))</f>
      </c>
      <c r="H163" s="782" t="s">
        <v>785</v>
      </c>
      <c r="I163" s="782" t="s">
        <v>403</v>
      </c>
      <c r="J163" s="3"/>
      <c r="K163" s="3"/>
    </row>
    <row r="164" spans="2:17" hidden="1" x14ac:dyDescent="0.2">
      <c r="B164" s="3"/>
      <c r="C164" s="4840"/>
      <c r="D164" s="4840"/>
      <c r="E164" s="3"/>
      <c r="F164" s="405">
        <f>ROUND(N164,0)</f>
      </c>
      <c r="G164" s="223"/>
      <c r="H164" s="405">
        <f>IF(G164="",0,IF(G164&gt;F164,0,F164-G164))</f>
      </c>
      <c r="I164" s="410">
        <f>IF(C121="",0,IF(J154=R136,0,IF(O164&lt;=H164,O164,H164)))</f>
      </c>
      <c r="J164" s="795" t="str">
        <f>IF(C121="","",IF(N162&lt;&gt;5,"",IF(ISBLANK(G164),reo,IF(O164&gt;I164,res,""))))</f>
        <v/>
      </c>
      <c r="K164" s="3"/>
      <c r="L164" s="28">
        <f>IF(J164="",0,IF(J164=res,0,1))</f>
      </c>
      <c r="N164" s="28">
        <f>IF(N162&lt;&gt;5,0,IF(I134=nob,0,IF(OR(P139="B",P139="G"),I148*VLOOKUP(G139,tableb1,3,FALSE),IF(OR(P139="C",P139="H"),I148*VLOOKUP(G139,TABLEC1,3,FALSE)))))</f>
      </c>
      <c r="O164" s="28">
        <f>ROUND(I148*0.175,0)</f>
      </c>
      <c r="Q164" s="30">
        <f>COUNT(G164,I169,I167)</f>
      </c>
    </row>
    <row r="165" spans="2:17" ht="14.25" hidden="1" x14ac:dyDescent="0.2">
      <c r="B165" s="3"/>
      <c r="C165" s="802" t="str">
        <f>IF(C121=0,"",IF(C162=R136,"",IF(N162&lt;&gt;5,"",IF(J164&lt;&gt;"","","[Total Tax Credit before considering threshold and reduction = "&amp;I148&amp;" x 17.5% = "&amp;O164&amp;"]"))))</f>
        <v/>
      </c>
      <c r="D165" s="789"/>
      <c r="E165" s="789"/>
      <c r="F165" s="789"/>
      <c r="G165" s="803"/>
      <c r="H165" s="789"/>
      <c r="I165" s="789"/>
      <c r="J165" s="534" t="s">
        <v>1020</v>
      </c>
      <c r="K165" s="3"/>
    </row>
    <row r="166" spans="2:17" ht="3" hidden="1" customHeight="1" x14ac:dyDescent="0.2">
      <c r="B166" s="3"/>
      <c r="C166" s="802"/>
      <c r="D166" s="789"/>
      <c r="E166" s="789"/>
      <c r="F166" s="789"/>
      <c r="G166" s="803"/>
      <c r="H166" s="789"/>
      <c r="I166" s="789"/>
      <c r="J166" s="534"/>
      <c r="K166" s="3"/>
    </row>
    <row r="167" spans="2:17" hidden="1" x14ac:dyDescent="0.2">
      <c r="B167" s="3"/>
      <c r="C167" s="789"/>
      <c r="D167" s="789"/>
      <c r="E167" s="789"/>
      <c r="F167" s="105" t="s">
        <v>2960</v>
      </c>
      <c r="G167" s="789"/>
      <c r="H167" s="806"/>
      <c r="I167" s="724"/>
      <c r="J167" s="61" t="str">
        <f>IF(I164=0,"",IF(AND(N167=0,I167&gt;0),"&lt; Delete!",IF(N167=0,"",IF(ISBLANK(I167),reo,IF(I167&gt;I164,"&lt; Excessive!","")))))</f>
        <v/>
      </c>
      <c r="K167" s="3"/>
      <c r="L167" s="28">
        <f>IF(J167="",0,IF(J167=res,0,1))</f>
      </c>
      <c r="N167" s="28">
        <f>IF(I160=ya,0,I164)</f>
      </c>
      <c r="Q167" s="28">
        <f>Q164+Q156+Q150+Q124</f>
      </c>
    </row>
    <row r="168" spans="2:17" hidden="1" x14ac:dyDescent="0.2">
      <c r="B168" s="3"/>
      <c r="C168" s="789"/>
      <c r="D168" s="789"/>
      <c r="E168" s="789"/>
      <c r="F168" s="105" t="s">
        <v>2961</v>
      </c>
      <c r="G168" s="789"/>
      <c r="H168" s="106"/>
      <c r="I168" s="405">
        <f>IF(N167=0,I164,I167)</f>
      </c>
      <c r="J168" s="534" t="s">
        <v>1020</v>
      </c>
      <c r="K168" s="3"/>
      <c r="L168" s="28">
        <f>IF(I172="",0,1)</f>
      </c>
    </row>
    <row r="169" spans="2:17" hidden="1" x14ac:dyDescent="0.2">
      <c r="B169" s="3"/>
      <c r="C169" s="789"/>
      <c r="D169" s="789"/>
      <c r="E169" s="789"/>
      <c r="F169" s="4838" t="s">
        <v>2962</v>
      </c>
      <c r="G169" s="4838"/>
      <c r="H169" s="4839"/>
      <c r="I169" s="223"/>
      <c r="J169" s="61" t="str">
        <f>IF(N162=0,"",IF(I164=0,"",IF(ISBLANK(I169),re,IF(I169&gt;I168,"&lt; Excessive!!",IF(I169&gt;I164,"&lt; Excessive!","")))))</f>
        <v/>
      </c>
      <c r="K169" s="328"/>
      <c r="L169" s="28">
        <f>IF(J169="",0,IF(J169=res,0,1))</f>
      </c>
      <c r="N169" s="28">
        <f>ya</f>
      </c>
    </row>
    <row r="170" spans="2:17" ht="13.5" hidden="1" thickBot="1" x14ac:dyDescent="0.25">
      <c r="B170" s="3"/>
      <c r="C170" s="789"/>
      <c r="D170" s="789"/>
      <c r="E170" s="789"/>
      <c r="F170" s="105" t="s">
        <v>435</v>
      </c>
      <c r="G170" s="789"/>
      <c r="H170" s="34"/>
      <c r="I170" s="625">
        <f>IF(I169&gt;I168,0,I168-I169)</f>
      </c>
      <c r="J170" s="805" t="s">
        <v>1020</v>
      </c>
      <c r="K170" s="3"/>
      <c r="L170" s="43">
        <f>SUM(L120:L169)</f>
      </c>
    </row>
    <row r="171" spans="2:17" ht="3" hidden="1" customHeight="1" thickTop="1" x14ac:dyDescent="0.2">
      <c r="B171" s="3"/>
      <c r="C171" s="805"/>
      <c r="D171" s="805" t="s">
        <v>1020</v>
      </c>
      <c r="E171" s="805" t="s">
        <v>1020</v>
      </c>
      <c r="F171" s="805" t="s">
        <v>1020</v>
      </c>
      <c r="G171" s="805" t="s">
        <v>1020</v>
      </c>
      <c r="H171" s="805" t="s">
        <v>1020</v>
      </c>
      <c r="I171" s="805" t="s">
        <v>1020</v>
      </c>
      <c r="J171" s="805" t="s">
        <v>1020</v>
      </c>
      <c r="K171" s="3"/>
      <c r="L171" s="28">
        <f>SUM(L121:L169)</f>
      </c>
    </row>
    <row r="172" spans="2:17" hidden="1" x14ac:dyDescent="0.2">
      <c r="B172" s="3"/>
      <c r="C172" s="457" t="str">
        <f>"Income deemed relieved by the tax credit [Current] Y/A "&amp;ya</f>
      </c>
      <c r="D172" s="199"/>
      <c r="E172" s="200"/>
      <c r="F172" s="199"/>
      <c r="G172" s="200"/>
      <c r="H172" s="223"/>
      <c r="I172" s="222" t="str">
        <f>IF(Q124=0,"",IF(ISBLANK(H172),re,""))</f>
        <v/>
      </c>
      <c r="J172" s="3"/>
      <c r="K172" s="539"/>
      <c r="M172" s="28">
        <f>ROUND(I169/0.35,0)</f>
      </c>
    </row>
    <row r="173" spans="2:17" ht="3" hidden="1" customHeight="1" x14ac:dyDescent="0.2">
      <c r="B173" s="3"/>
      <c r="C173" s="3"/>
      <c r="D173" s="3"/>
      <c r="E173" s="3"/>
      <c r="F173" s="3"/>
      <c r="G173" s="3"/>
      <c r="H173" s="3"/>
      <c r="I173" s="3"/>
      <c r="J173" s="3"/>
      <c r="K173" s="3"/>
    </row>
    <row r="174" spans="2:17" hidden="1" x14ac:dyDescent="0.2">
      <c r="B174" s="3"/>
      <c r="C174" s="65" t="s">
        <v>10574</v>
      </c>
      <c r="D174" s="3"/>
      <c r="E174" s="65" t="str">
        <f>ver</f>
        <v>TA2_e-CO_2025_Ver 1.1</v>
      </c>
      <c r="F174" s="3"/>
      <c r="G174" s="3"/>
      <c r="H174" s="3"/>
      <c r="I174" s="3"/>
      <c r="J174" s="539" t="str">
        <f>O174&amp;P174</f>
      </c>
      <c r="K174" s="3"/>
      <c r="O174" s="28" t="s">
        <v>1962</v>
      </c>
      <c r="P174" s="28" t="str">
        <f>IF(C121=A$209,"43_3","49_3")</f>
      </c>
    </row>
    <row r="175" spans="2:17" ht="3" hidden="1" customHeight="1" x14ac:dyDescent="0.2">
      <c r="B175" s="3"/>
      <c r="C175" s="211"/>
      <c r="D175" s="211"/>
      <c r="E175" s="211"/>
      <c r="F175" s="211"/>
      <c r="G175" s="211"/>
      <c r="H175" s="211"/>
      <c r="I175" s="3"/>
      <c r="J175" s="3"/>
      <c r="K175" s="3"/>
    </row>
    <row r="176" spans="2:17" hidden="1" x14ac:dyDescent="0.2">
      <c r="B176" s="3"/>
      <c r="C176" s="237" t="str">
        <f>COM</f>
      </c>
      <c r="D176" s="3"/>
      <c r="E176" s="3"/>
      <c r="F176" s="331"/>
      <c r="G176" s="3"/>
      <c r="H176" s="3"/>
      <c r="I176" s="3"/>
      <c r="J176" s="3"/>
      <c r="K176" s="3"/>
      <c r="L176" s="28">
        <f>IF(N176=0,0,IF(M176&gt;0,100,IF(F176=A206,1,100)))</f>
      </c>
      <c r="M176" s="28">
        <f>L170+L112+L54</f>
      </c>
      <c r="N176" s="28">
        <f>Q167+Q109+Q51</f>
      </c>
    </row>
    <row r="177" spans="2:15" ht="3" hidden="1" customHeight="1" x14ac:dyDescent="0.2">
      <c r="B177" s="3"/>
      <c r="C177" s="3"/>
      <c r="D177" s="3"/>
      <c r="E177" s="3"/>
      <c r="F177" s="3"/>
      <c r="G177" s="3"/>
      <c r="H177" s="3"/>
      <c r="I177" s="3"/>
      <c r="J177" s="3"/>
      <c r="K177" s="3"/>
    </row>
    <row r="178" spans="2:15" hidden="1" x14ac:dyDescent="0.2">
      <c r="B178" s="3"/>
      <c r="C178" s="4636"/>
      <c r="D178" s="4636"/>
      <c r="E178" s="3"/>
      <c r="F178" s="3"/>
      <c r="G178" s="3"/>
      <c r="H178" s="3"/>
      <c r="I178" s="3"/>
      <c r="J178" s="3"/>
      <c r="K178" s="3"/>
      <c r="N178" s="28" t="s">
        <v>404</v>
      </c>
      <c r="O178" s="28" t="s">
        <v>6821</v>
      </c>
    </row>
    <row r="179" spans="2:15" hidden="1" x14ac:dyDescent="0.2">
      <c r="B179" s="3"/>
      <c r="C179" s="3"/>
      <c r="D179" s="3"/>
      <c r="E179" s="3"/>
      <c r="F179" s="3"/>
      <c r="G179" s="3"/>
      <c r="H179" s="3"/>
      <c r="I179" s="3"/>
      <c r="J179" s="3"/>
      <c r="K179" s="3"/>
      <c r="M179" s="32"/>
      <c r="N179" s="28" t="s">
        <v>405</v>
      </c>
      <c r="O179" s="28" t="s">
        <v>5253</v>
      </c>
    </row>
    <row r="180" spans="2:15" hidden="1" x14ac:dyDescent="0.2">
      <c r="M180" s="32">
        <f>I53</f>
      </c>
      <c r="N180" s="28">
        <f>IF($C$5&lt;&gt;$A$209,0,M180)</f>
      </c>
      <c r="O180" s="28">
        <f>IF($C$5&lt;&gt;$A$208,0,M180)</f>
      </c>
    </row>
    <row r="181" spans="2:15" hidden="1" x14ac:dyDescent="0.2">
      <c r="M181" s="32">
        <f>I111</f>
      </c>
      <c r="N181" s="28">
        <f>IF(C63&lt;&gt;$A$209,0,M181)</f>
      </c>
      <c r="O181" s="28">
        <f>IF($C63&lt;&gt;$A$208,0,M181)</f>
      </c>
    </row>
    <row r="182" spans="2:15" hidden="1" x14ac:dyDescent="0.2">
      <c r="M182" s="32">
        <f>I169</f>
      </c>
      <c r="N182" s="28">
        <f>IF($C121&lt;&gt;$A$209,0,M182)</f>
      </c>
      <c r="O182" s="28">
        <f>IF($C121&lt;&gt;$A$208,0,M182)</f>
      </c>
    </row>
    <row r="184" spans="2:15" hidden="1" x14ac:dyDescent="0.2">
      <c r="M184" s="28" t="s">
        <v>5254</v>
      </c>
      <c r="N184" s="28">
        <f>SUM(N180:N182)</f>
      </c>
      <c r="O184" s="28">
        <f>SUM(O180:O182)</f>
      </c>
    </row>
    <row r="186" spans="2:15" hidden="1" x14ac:dyDescent="0.2">
      <c r="N186" s="28">
        <f>IF(C5=A209,L176,0)</f>
      </c>
      <c r="O186" s="28">
        <f>IF(C5=A208,L176,0)</f>
      </c>
    </row>
    <row r="188" spans="2:15" hidden="1" x14ac:dyDescent="0.2">
      <c r="M188" s="139" t="s">
        <v>475</v>
      </c>
      <c r="N188" s="192">
        <f>ROUND(N184/0.35,0)</f>
      </c>
      <c r="O188" s="192">
        <f>ROUND(O184/0.35,0)</f>
      </c>
    </row>
    <row r="190" spans="2:15" hidden="1" x14ac:dyDescent="0.2">
      <c r="M190" s="44">
        <f>H172+H114+H56</f>
      </c>
      <c r="N190" s="28">
        <f>IF($C$5&lt;&gt;$A$209,0,M190)</f>
      </c>
      <c r="O190" s="28">
        <f>IF($C$5&lt;&gt;$A$208,0,M190)</f>
      </c>
    </row>
    <row r="205" spans="1:5" hidden="1" x14ac:dyDescent="0.2">
      <c r="A205" s="28" t="s">
        <v>1736</v>
      </c>
    </row>
    <row r="206" spans="1:5" hidden="1" x14ac:dyDescent="0.2">
      <c r="A206" s="28" t="s">
        <v>4457</v>
      </c>
    </row>
    <row r="208" spans="1:5" hidden="1" x14ac:dyDescent="0.2">
      <c r="A208" s="142" t="s">
        <v>2737</v>
      </c>
      <c r="B208" s="142" t="s">
        <v>5255</v>
      </c>
      <c r="C208" s="142" t="s">
        <v>5256</v>
      </c>
      <c r="D208" s="142" t="s">
        <v>3137</v>
      </c>
      <c r="E208" s="142" t="s">
        <v>3138</v>
      </c>
    </row>
    <row r="209" spans="1:5" hidden="1" x14ac:dyDescent="0.2">
      <c r="A209" s="142" t="s">
        <v>3172</v>
      </c>
      <c r="B209" s="142" t="s">
        <v>3081</v>
      </c>
      <c r="C209" s="142" t="s">
        <v>3139</v>
      </c>
      <c r="D209" s="142" t="s">
        <v>3140</v>
      </c>
      <c r="E209" s="142" t="s">
        <v>1377</v>
      </c>
    </row>
    <row r="214" spans="1:5" hidden="1" x14ac:dyDescent="0.2">
      <c r="A214" s="28" t="s">
        <v>2739</v>
      </c>
    </row>
    <row r="215" spans="1:5" hidden="1" x14ac:dyDescent="0.2">
      <c r="A215" s="28" t="s">
        <v>2741</v>
      </c>
    </row>
  </sheetData>
  <sheetProtection algorithmName="SHA-512" hashValue="+QsesfbTC3si8rgOpz4LgVUjWNX0X+Ouj89g4njapK9EaMJ+gnorhrUBxzacEnmfbgbpIDv/jkS1/qEuOeXboQ==" saltValue="LikfBASI1wlt/yK4KqkfFQ==" spinCount="100000" sheet="1" objects="1" scenarios="1"/>
  <customSheetViews>
    <customSheetView guid="{99B5278F-6EA9-4B1A-8623-27A4DF4AD5E4}" hiddenRows="1" hiddenColumns="1" topLeftCell="B2">
      <selection activeCell="G8" sqref="G8"/>
      <rowBreaks count="2" manualBreakCount="2">
        <brk id="59" max="16383" man="1"/>
        <brk id="116" max="16383" man="1"/>
      </rowBreaks>
      <pageMargins left="0.39370078740157483" right="0.39370078740157483" top="0.98425196850393704" bottom="0.98425196850393704" header="0.51181102362204722" footer="0.51181102362204722"/>
      <pageSetup paperSize="9" scale="78" fitToHeight="3" orientation="portrait" horizontalDpi="4294967294" verticalDpi="300" r:id="rId1"/>
      <headerFooter alignWithMargins="0">
        <oddFooter>&amp;LName&amp;CSignature&amp;RDate</oddFooter>
      </headerFooter>
    </customSheetView>
  </customSheetViews>
  <mergeCells count="64">
    <mergeCell ref="J27:K27"/>
    <mergeCell ref="D11:F11"/>
    <mergeCell ref="G21:I21"/>
    <mergeCell ref="C16:F16"/>
    <mergeCell ref="G23:H23"/>
    <mergeCell ref="C26:D27"/>
    <mergeCell ref="F26:I26"/>
    <mergeCell ref="C2:J2"/>
    <mergeCell ref="C33:G33"/>
    <mergeCell ref="C36:G36"/>
    <mergeCell ref="AC60:AE60"/>
    <mergeCell ref="C60:J60"/>
    <mergeCell ref="AC2:AE2"/>
    <mergeCell ref="AC5:AE5"/>
    <mergeCell ref="C5:J5"/>
    <mergeCell ref="J46:K46"/>
    <mergeCell ref="D10:F10"/>
    <mergeCell ref="F53:H53"/>
    <mergeCell ref="C46:D48"/>
    <mergeCell ref="F46:H46"/>
    <mergeCell ref="C34:G34"/>
    <mergeCell ref="I8:J8"/>
    <mergeCell ref="AC9:AE9"/>
    <mergeCell ref="AC63:AE63"/>
    <mergeCell ref="C63:J63"/>
    <mergeCell ref="D68:F68"/>
    <mergeCell ref="G79:I79"/>
    <mergeCell ref="AC125:AE125"/>
    <mergeCell ref="F84:I84"/>
    <mergeCell ref="J85:K85"/>
    <mergeCell ref="C94:G94"/>
    <mergeCell ref="AC118:AE118"/>
    <mergeCell ref="J104:K104"/>
    <mergeCell ref="F111:H111"/>
    <mergeCell ref="AC121:AE121"/>
    <mergeCell ref="C118:J118"/>
    <mergeCell ref="I124:J124"/>
    <mergeCell ref="C84:D85"/>
    <mergeCell ref="AC67:AE67"/>
    <mergeCell ref="J162:K162"/>
    <mergeCell ref="C150:G150"/>
    <mergeCell ref="G139:H139"/>
    <mergeCell ref="F142:I142"/>
    <mergeCell ref="J143:K143"/>
    <mergeCell ref="I66:J66"/>
    <mergeCell ref="C92:G92"/>
    <mergeCell ref="C74:F74"/>
    <mergeCell ref="D127:F127"/>
    <mergeCell ref="D126:F126"/>
    <mergeCell ref="C121:J121"/>
    <mergeCell ref="C104:D106"/>
    <mergeCell ref="D69:F69"/>
    <mergeCell ref="F104:H104"/>
    <mergeCell ref="C91:G91"/>
    <mergeCell ref="G81:H81"/>
    <mergeCell ref="C132:F132"/>
    <mergeCell ref="C178:D178"/>
    <mergeCell ref="F169:H169"/>
    <mergeCell ref="C152:G152"/>
    <mergeCell ref="C162:D164"/>
    <mergeCell ref="F162:H162"/>
    <mergeCell ref="G137:I137"/>
    <mergeCell ref="C149:G149"/>
    <mergeCell ref="C142:D143"/>
  </mergeCells>
  <phoneticPr fontId="0" type="noConversion"/>
  <conditionalFormatting sqref="C20 C78 C136">
    <cfRule type="expression" dxfId="678" priority="1" stopIfTrue="1">
      <formula>$F$30=pe</formula>
    </cfRule>
  </conditionalFormatting>
  <conditionalFormatting sqref="C33:G33 C91:G91 C149:G149">
    <cfRule type="expression" dxfId="677" priority="31" stopIfTrue="1">
      <formula>$G14=ya</formula>
    </cfRule>
  </conditionalFormatting>
  <conditionalFormatting sqref="D151:F151">
    <cfRule type="expression" dxfId="676" priority="8" stopIfTrue="1">
      <formula>D121=$A$209</formula>
    </cfRule>
  </conditionalFormatting>
  <conditionalFormatting sqref="F32 I32 F90:G90 I90 F148:G148 I148">
    <cfRule type="expression" dxfId="675" priority="6" stopIfTrue="1">
      <formula>$C$5=$A$209</formula>
    </cfRule>
  </conditionalFormatting>
  <conditionalFormatting sqref="F51 F109 F167">
    <cfRule type="expression" dxfId="674" priority="20" stopIfTrue="1">
      <formula>I44=ya</formula>
    </cfRule>
  </conditionalFormatting>
  <conditionalFormatting sqref="G29">
    <cfRule type="expression" dxfId="673" priority="23" stopIfTrue="1">
      <formula>$M29&lt;$G29</formula>
    </cfRule>
    <cfRule type="expression" dxfId="672" priority="22" stopIfTrue="1">
      <formula>$M33=0</formula>
    </cfRule>
    <cfRule type="expression" dxfId="671" priority="21" stopIfTrue="1">
      <formula>$G14=ya</formula>
    </cfRule>
  </conditionalFormatting>
  <conditionalFormatting sqref="G30">
    <cfRule type="expression" dxfId="670" priority="24" stopIfTrue="1">
      <formula>$G14=ya</formula>
    </cfRule>
    <cfRule type="expression" dxfId="669" priority="25" stopIfTrue="1">
      <formula>$M33=0</formula>
    </cfRule>
    <cfRule type="expression" dxfId="668" priority="26" stopIfTrue="1">
      <formula>$M30&lt;$G30</formula>
    </cfRule>
  </conditionalFormatting>
  <conditionalFormatting sqref="G31">
    <cfRule type="expression" dxfId="667" priority="27" stopIfTrue="1">
      <formula>$G14=ya</formula>
    </cfRule>
    <cfRule type="expression" dxfId="666" priority="28" stopIfTrue="1">
      <formula>$M33=0</formula>
    </cfRule>
    <cfRule type="expression" dxfId="665" priority="29" stopIfTrue="1">
      <formula>$M31&lt;$G31</formula>
    </cfRule>
  </conditionalFormatting>
  <conditionalFormatting sqref="G48 G106 G164">
    <cfRule type="expression" dxfId="664" priority="2" stopIfTrue="1">
      <formula>$C$44=$R$20</formula>
    </cfRule>
  </conditionalFormatting>
  <conditionalFormatting sqref="G87 G145">
    <cfRule type="expression" dxfId="663" priority="10" stopIfTrue="1">
      <formula>$G72=$A$1</formula>
    </cfRule>
    <cfRule type="expression" dxfId="662" priority="11" stopIfTrue="1">
      <formula>$M91=0</formula>
    </cfRule>
    <cfRule type="expression" dxfId="661" priority="12" stopIfTrue="1">
      <formula>$M87&lt;$G87</formula>
    </cfRule>
  </conditionalFormatting>
  <conditionalFormatting sqref="G88 G146">
    <cfRule type="expression" dxfId="660" priority="13" stopIfTrue="1">
      <formula>$G72=$A$1</formula>
    </cfRule>
    <cfRule type="expression" dxfId="659" priority="14" stopIfTrue="1">
      <formula>$M91=0</formula>
    </cfRule>
    <cfRule type="expression" dxfId="658" priority="15" stopIfTrue="1">
      <formula>$M88&lt;$G88</formula>
    </cfRule>
  </conditionalFormatting>
  <conditionalFormatting sqref="G89 G147">
    <cfRule type="expression" dxfId="657" priority="16" stopIfTrue="1">
      <formula>$G72=$A$1</formula>
    </cfRule>
    <cfRule type="expression" dxfId="656" priority="17" stopIfTrue="1">
      <formula>$M91=0</formula>
    </cfRule>
    <cfRule type="expression" dxfId="655" priority="18" stopIfTrue="1">
      <formula>$M89&lt;$G89</formula>
    </cfRule>
  </conditionalFormatting>
  <conditionalFormatting sqref="G51:H51 G109:H109 G167:H167">
    <cfRule type="expression" dxfId="654" priority="4" stopIfTrue="1">
      <formula>$I$44=ya</formula>
    </cfRule>
  </conditionalFormatting>
  <conditionalFormatting sqref="H29 H87 H145">
    <cfRule type="expression" dxfId="653" priority="38" stopIfTrue="1">
      <formula>$J26=nob</formula>
    </cfRule>
  </conditionalFormatting>
  <conditionalFormatting sqref="H29:H31 H87:H89 H145:H147">
    <cfRule type="expression" dxfId="652" priority="36" stopIfTrue="1">
      <formula>$P29&lt;$H29</formula>
    </cfRule>
    <cfRule type="expression" dxfId="651" priority="37" stopIfTrue="1">
      <formula>$V29=1</formula>
    </cfRule>
  </conditionalFormatting>
  <conditionalFormatting sqref="H30 H88 H146">
    <cfRule type="expression" dxfId="650" priority="41" stopIfTrue="1">
      <formula>$J26=nob</formula>
    </cfRule>
  </conditionalFormatting>
  <conditionalFormatting sqref="H31 H89 H147">
    <cfRule type="expression" dxfId="649" priority="44" stopIfTrue="1">
      <formula>$J26=nob</formula>
    </cfRule>
  </conditionalFormatting>
  <conditionalFormatting sqref="H32 H90 H148">
    <cfRule type="expression" dxfId="648" priority="5" stopIfTrue="1">
      <formula>$C$5=$A$209</formula>
    </cfRule>
  </conditionalFormatting>
  <conditionalFormatting sqref="H33 H91 H149">
    <cfRule type="expression" dxfId="647" priority="30" stopIfTrue="1">
      <formula>G14=ya</formula>
    </cfRule>
  </conditionalFormatting>
  <conditionalFormatting sqref="I51 I109 I167">
    <cfRule type="expression" dxfId="646" priority="7" stopIfTrue="1">
      <formula>I44=ya</formula>
    </cfRule>
  </conditionalFormatting>
  <conditionalFormatting sqref="J29:J32 J87:J90 J145:J148">
    <cfRule type="expression" dxfId="645" priority="3" stopIfTrue="1">
      <formula>$J29=res</formula>
    </cfRule>
  </conditionalFormatting>
  <conditionalFormatting sqref="J48 J106 J164">
    <cfRule type="cellIs" dxfId="644" priority="19" stopIfTrue="1" operator="equal">
      <formula>reo</formula>
    </cfRule>
  </conditionalFormatting>
  <conditionalFormatting sqref="K5:K6">
    <cfRule type="expression" dxfId="643" priority="9" stopIfTrue="1">
      <formula>$C5=$P$1</formula>
    </cfRule>
  </conditionalFormatting>
  <dataValidations xWindow="685" yWindow="542" count="23">
    <dataValidation type="whole" allowBlank="1" showInputMessage="1" showErrorMessage="1" errorTitle="Availed Tax Credit" error="Please enter a positive value that does not exceed the available tax credits!_x000a_" sqref="I53 I111 I169" xr:uid="{00000000-0002-0000-2600-000000000000}">
      <formula1>0</formula1>
      <formula2>I52</formula2>
    </dataValidation>
    <dataValidation type="whole" allowBlank="1" showInputMessage="1" showErrorMessage="1" errorTitle="PE number" error="Correct PE number required!" sqref="G20 G78 G136" xr:uid="{00000000-0002-0000-2600-000001000000}">
      <formula1>N16</formula1>
      <formula2>O16</formula2>
    </dataValidation>
    <dataValidation type="whole" allowBlank="1" showInputMessage="1" showErrorMessage="1" errorTitle="Expenditure incurred [current]" error="Please enter a positive value that together with amounts previously claimed does not exceed the approved Maximum Amount!" sqref="H87:H89 H145:H147 H29:H31" xr:uid="{00000000-0002-0000-2600-000002000000}">
      <formula1>0</formula1>
      <formula2>N29</formula2>
    </dataValidation>
    <dataValidation type="whole" allowBlank="1" showInputMessage="1" showErrorMessage="1" errorTitle="Value of other Benefits" error="Please enter a positive value that does not exceed threshold!_x000a_OR_x000a_No tax credit is claimed!" sqref="G106 G164 G48" xr:uid="{00000000-0002-0000-2600-000003000000}">
      <formula1>0</formula1>
      <formula2>F48</formula2>
    </dataValidation>
    <dataValidation type="whole" errorStyle="warning" allowBlank="1" showInputMessage="1" showErrorMessage="1" errorTitle="Expenditure incurred [previous]" error="Please enter a positive value that does not exceed the approved Maximum Amount!_x000a_OR_x000a_This is the first claim about this person!_x000a_" sqref="G29:G31 G87:G89 G145:G147" xr:uid="{00000000-0002-0000-2600-000004000000}">
      <formula1>0</formula1>
      <formula2>M29</formula2>
    </dataValidation>
    <dataValidation type="date" errorStyle="warning" allowBlank="1" showInputMessage="1" showErrorMessage="1" errorTitle="Date  of course completion" error="Date entered does not fall between the approved dates indicated above!" promptTitle="Date format" prompt="dd/mm/yyyy" sqref="I43 I101 I159" xr:uid="{00000000-0002-0000-2600-000005000000}">
      <formula1>G12</formula1>
      <formula2>G13</formula2>
    </dataValidation>
    <dataValidation type="date" errorStyle="warning" allowBlank="1" showInputMessage="1" showErrorMessage="1" errorTitle="Latest date for completion" error="Please enter the correct date that must be within 36 months from commencement!" promptTitle="Date Format" prompt="dd/mm/yyyy" sqref="G71 G129 G13" xr:uid="{00000000-0002-0000-2600-000006000000}">
      <formula1>G12</formula1>
      <formula2>CB8</formula2>
    </dataValidation>
    <dataValidation type="date" errorStyle="warning" allowBlank="1" showInputMessage="1" showErrorMessage="1" errorTitle="Date of Application" error="Please enter correct date that falls within the prescribed deadline!" promptTitle="Date Format" prompt="dd/mm/yyyy" sqref="G8 G66 G124" xr:uid="{00000000-0002-0000-2600-000007000000}">
      <formula1>CC3</formula1>
      <formula2>CB5</formula2>
    </dataValidation>
    <dataValidation type="date" errorStyle="warning" allowBlank="1" showInputMessage="1" showErrorMessage="1" errorTitle="Date of Approval" error="Please enter correct date that falls within the prescribed deadline!" promptTitle="Date Format" prompt="dd/mm/yyyy" sqref="G10 G68 G126" xr:uid="{00000000-0002-0000-2600-000008000000}">
      <formula1>CC3</formula1>
      <formula2>CB4</formula2>
    </dataValidation>
    <dataValidation type="date" errorStyle="warning" allowBlank="1" showInputMessage="1" showErrorMessage="1" errorTitle="Date of Commencement" error="Please enter the correct date as approved by ME!" promptTitle="Date Format" prompt="dd/mm/yyyy" sqref="G12 G70 G128" xr:uid="{00000000-0002-0000-2600-000009000000}">
      <formula1>CC3</formula1>
      <formula2>CB6</formula2>
    </dataValidation>
    <dataValidation type="whole" allowBlank="1" showInputMessage="1" showErrorMessage="1" errorTitle="Year of Assessment" error="Please indicate the correct year of assessment when the employee started the course!" promptTitle="Year of assessment format" prompt="yyyy" sqref="G14 G72 G130" xr:uid="{00000000-0002-0000-2600-00000A000000}">
      <formula1>P14</formula1>
      <formula2>Q14</formula2>
    </dataValidation>
    <dataValidation type="whole" allowBlank="1" showInputMessage="1" showErrorMessage="1" errorTitle="Year of assessment" error="Please enter the correct year of assessment when course was successfully completed by employee!" sqref="I160 I102" xr:uid="{00000000-0002-0000-2600-00000B000000}">
      <formula1>P102</formula1>
      <formula2>Q102</formula2>
    </dataValidation>
    <dataValidation type="whole" allowBlank="1" showInputMessage="1" showErrorMessage="1" errorTitle="Unavailed Tax credit b/fwd" error="This is the first claim in respect of this employee!_x000a_OR_x000a_Exceeds the maximum tax credits that could be claimed!_x000a_" sqref="I51 I109 I167" xr:uid="{00000000-0002-0000-2600-00000C000000}">
      <formula1>0</formula1>
      <formula2>N51</formula2>
    </dataValidation>
    <dataValidation type="whole" allowBlank="1" showInputMessage="1" showErrorMessage="1" errorTitle="Year of assessment" error="Please enter the correct year of assessment when course was successfully completed by employee!" promptTitle="Year format" prompt="yyyy" sqref="I44" xr:uid="{00000000-0002-0000-2600-00000D000000}">
      <formula1>P44</formula1>
      <formula2>Q44</formula2>
    </dataValidation>
    <dataValidation type="whole" allowBlank="1" showInputMessage="1" showErrorMessage="1" errorTitle="Deductions claimed this year" error="Please enter a positive value that does not exceed the total deductions available!" sqref="H35 H93 H151" xr:uid="{00000000-0002-0000-2600-00000E000000}">
      <formula1>0</formula1>
      <formula2>H34</formula2>
    </dataValidation>
    <dataValidation type="whole" errorStyle="warning" allowBlank="1" showInputMessage="1" showErrorMessage="1" errorTitle="Unavailed deductions b/fwd" error="Please enter a positive value that does not exceed the allowable expenditure incurred in previous years as indicated above! _x000a_OR_x000a_This is the first claim and no b/fwds!_x000a_OR_x000a_No b/fwd contemplated for R&amp;D!" sqref="H33 H91 H149" xr:uid="{00000000-0002-0000-2600-00000F000000}">
      <formula1>0</formula1>
      <formula2>O33</formula2>
    </dataValidation>
    <dataValidation type="whole" allowBlank="1" showInputMessage="1" showErrorMessage="1" errorTitle="Income relieved by a tax credit" error="Please enter a positive value that does not exceed the available tax credits!_x000a_" sqref="H172 H114 H56" xr:uid="{00000000-0002-0000-2600-000010000000}">
      <formula1>0</formula1>
      <formula2>M56</formula2>
    </dataValidation>
    <dataValidation type="list" allowBlank="1" showInputMessage="1" showErrorMessage="1" sqref="F176 I156:I158 H132 H134 I98:I100 H74 H76 I40:I42 H16 H18" xr:uid="{00000000-0002-0000-2600-000011000000}">
      <formula1>$A$204:$A$206</formula1>
    </dataValidation>
    <dataValidation type="whole" operator="greaterThanOrEqual" allowBlank="1" showInputMessage="1" showErrorMessage="1" errorTitle="Maximum Approved" error="Please enter a positive numeric value!" sqref="F29:F31 F145:F147 F87:F89" xr:uid="{00000000-0002-0000-2600-000012000000}">
      <formula1>0</formula1>
    </dataValidation>
    <dataValidation type="list" allowBlank="1" showInputMessage="1" showErrorMessage="1" sqref="G23:H23 G139:H139 G81:H81" xr:uid="{00000000-0002-0000-2600-000013000000}">
      <formula1>$A$213:$A$215</formula1>
    </dataValidation>
    <dataValidation type="textLength" operator="greaterThan" allowBlank="1" showInputMessage="1" showErrorMessage="1" errorTitle="Name of employee" error="Name and surname of employee required!" sqref="G21:I21 G137:I137 G79:I79" xr:uid="{00000000-0002-0000-2600-000014000000}">
      <formula1>6</formula1>
    </dataValidation>
    <dataValidation type="textLength" operator="greaterThanOrEqual" allowBlank="1" showInputMessage="1" showErrorMessage="1" errorTitle="ID Number" error="Correct ID number required!" sqref="G22 G138 G80" xr:uid="{00000000-0002-0000-2600-000015000000}">
      <formula1>4</formula1>
    </dataValidation>
    <dataValidation type="textLength" errorStyle="warning" operator="greaterThanOrEqual" allowBlank="1" showInputMessage="1" showErrorMessage="1" errorTitle="Project number" error="Please enter the correct project number!" sqref="G11 G127 G69" xr:uid="{00000000-0002-0000-2600-000016000000}">
      <formula1>4</formula1>
    </dataValidation>
  </dataValidations>
  <pageMargins left="0.39370078740157483" right="0.39370078740157483" top="0.98425196850393704" bottom="0.98425196850393704" header="0.51181102362204722" footer="0.51181102362204722"/>
  <pageSetup paperSize="9" scale="78" fitToHeight="3" orientation="portrait" horizontalDpi="4294967294" verticalDpi="300" r:id="rId2"/>
  <headerFooter alignWithMargins="0">
    <oddFooter>&amp;LName&amp;CSignature&amp;RDate</oddFooter>
  </headerFooter>
  <rowBreaks count="2" manualBreakCount="2">
    <brk id="59" max="16383" man="1"/>
    <brk id="116"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4">
    <pageSetUpPr fitToPage="1"/>
  </sheetPr>
  <dimension ref="A2:CC232"/>
  <sheetViews>
    <sheetView topLeftCell="B2" zoomScaleNormal="100" workbookViewId="0">
      <selection activeCell="B27" sqref="A27:XFD27"/>
    </sheetView>
  </sheetViews>
  <sheetFormatPr defaultColWidth="0" defaultRowHeight="12.75" customHeight="1" zeroHeight="1" x14ac:dyDescent="0.2"/>
  <cols>
    <col min="1" max="1" width="0" style="28" hidden="1" customWidth="1"/>
    <col min="2" max="2" width="0.5703125" style="28" customWidth="1"/>
    <col min="3" max="3" width="15.42578125" style="28" customWidth="1"/>
    <col min="4" max="4" width="18" style="28" customWidth="1"/>
    <col min="5" max="5" width="12.28515625" style="28" customWidth="1"/>
    <col min="6" max="6" width="10.7109375" style="28" customWidth="1"/>
    <col min="7" max="7" width="11.7109375" style="28" customWidth="1"/>
    <col min="8" max="8" width="12.7109375" style="28" customWidth="1"/>
    <col min="9" max="9" width="13.5703125" style="28" customWidth="1"/>
    <col min="10" max="10" width="0.42578125" style="28" customWidth="1"/>
    <col min="11" max="17" width="10.7109375" style="28" hidden="1" customWidth="1"/>
    <col min="18" max="19" width="13.28515625" style="28" hidden="1" customWidth="1"/>
    <col min="20" max="27" width="9.28515625" style="28" hidden="1" customWidth="1"/>
    <col min="28" max="28" width="24.42578125" style="28" hidden="1" customWidth="1"/>
    <col min="29" max="79" width="9.28515625" style="28" hidden="1" customWidth="1"/>
    <col min="80" max="80" width="14.42578125" style="28" hidden="1" customWidth="1"/>
    <col min="81" max="81" width="10.28515625" style="28" hidden="1" customWidth="1"/>
    <col min="82" max="16384" width="9.28515625" style="28" hidden="1"/>
  </cols>
  <sheetData>
    <row r="2" spans="2:13" x14ac:dyDescent="0.2">
      <c r="B2" s="3"/>
      <c r="C2" s="4408" t="str">
        <f>_ref1</f>
      </c>
      <c r="D2" s="4408"/>
      <c r="E2" s="4408"/>
      <c r="F2" s="4408"/>
      <c r="G2" s="4408"/>
      <c r="H2" s="4408"/>
      <c r="I2" s="539" t="str">
        <f>_YA1</f>
      </c>
      <c r="J2" s="1"/>
    </row>
    <row r="3" spans="2:13" x14ac:dyDescent="0.2">
      <c r="B3" s="3"/>
      <c r="C3" s="3"/>
      <c r="D3" s="3"/>
      <c r="E3" s="3"/>
      <c r="F3" s="3"/>
      <c r="G3" s="3"/>
      <c r="H3" s="3"/>
      <c r="I3" s="3"/>
      <c r="J3" s="1"/>
    </row>
    <row r="4" spans="2:13" ht="18" x14ac:dyDescent="0.25">
      <c r="B4" s="3"/>
      <c r="C4" s="772" t="s">
        <v>6932</v>
      </c>
      <c r="D4" s="189"/>
      <c r="E4" s="189"/>
      <c r="F4" s="189"/>
      <c r="G4" s="189"/>
      <c r="H4" s="189"/>
      <c r="I4" s="190"/>
      <c r="J4" s="1"/>
    </row>
    <row r="5" spans="2:13" ht="18" x14ac:dyDescent="0.25">
      <c r="B5" s="3"/>
      <c r="C5" s="807" t="s">
        <v>6931</v>
      </c>
      <c r="D5" s="180"/>
      <c r="E5" s="180"/>
      <c r="F5" s="180"/>
      <c r="G5" s="180"/>
      <c r="H5" s="180"/>
      <c r="I5" s="181"/>
      <c r="J5" s="1"/>
    </row>
    <row r="6" spans="2:13" ht="3" customHeight="1" x14ac:dyDescent="0.2">
      <c r="B6" s="3"/>
      <c r="C6" s="3"/>
      <c r="D6" s="3"/>
      <c r="E6" s="3"/>
      <c r="F6" s="3"/>
      <c r="G6" s="3"/>
      <c r="H6" s="3"/>
      <c r="I6" s="3"/>
      <c r="J6" s="1"/>
    </row>
    <row r="7" spans="2:13" ht="14.25" x14ac:dyDescent="0.2">
      <c r="B7" s="3"/>
      <c r="C7" s="813" t="s">
        <v>18</v>
      </c>
      <c r="D7" s="199"/>
      <c r="E7" s="199"/>
      <c r="F7" s="199"/>
      <c r="G7" s="199"/>
      <c r="H7" s="200"/>
      <c r="I7" s="61"/>
      <c r="J7" s="1">
        <f>IF(I7="",0,1)</f>
      </c>
    </row>
    <row r="8" spans="2:13" ht="3" customHeight="1" x14ac:dyDescent="0.2">
      <c r="B8" s="3"/>
      <c r="C8" s="3"/>
      <c r="D8" s="3"/>
      <c r="E8" s="3"/>
      <c r="F8" s="3"/>
      <c r="G8" s="3"/>
      <c r="H8" s="3"/>
      <c r="I8" s="3"/>
      <c r="J8" s="1"/>
    </row>
    <row r="9" spans="2:13" x14ac:dyDescent="0.2">
      <c r="B9" s="3"/>
      <c r="C9" s="4870" t="s">
        <v>5523</v>
      </c>
      <c r="D9" s="4870"/>
      <c r="E9" s="4870"/>
      <c r="F9" s="4870"/>
      <c r="G9" s="4870"/>
      <c r="H9" s="288"/>
      <c r="I9" s="61" t="str">
        <f>IF(M13=0,"",IF(ISBLANK(H9),re,IF(N26=0,"",IF(N26&lt;&gt;H9,"Check!",""))))</f>
        <v/>
      </c>
      <c r="J9" s="1">
        <f>IF(I9="",0,1)</f>
      </c>
      <c r="L9" s="28">
        <f>COUNTA(H9,H11)</f>
      </c>
    </row>
    <row r="10" spans="2:13" ht="3" customHeight="1" x14ac:dyDescent="0.2">
      <c r="B10" s="3"/>
      <c r="C10" s="814"/>
      <c r="D10" s="814"/>
      <c r="E10" s="814"/>
      <c r="F10" s="814"/>
      <c r="G10" s="814"/>
      <c r="H10" s="814"/>
      <c r="I10" s="61"/>
      <c r="J10" s="1"/>
    </row>
    <row r="11" spans="2:13" x14ac:dyDescent="0.2">
      <c r="B11" s="3"/>
      <c r="C11" s="8" t="s">
        <v>2206</v>
      </c>
      <c r="D11" s="8"/>
      <c r="E11" s="8"/>
      <c r="F11" s="8"/>
      <c r="G11" s="8"/>
      <c r="H11" s="331"/>
      <c r="I11" s="795" t="str">
        <f>IF(H9="","",IF(ISBLANK(H11),re,IF(H11=A$225,"No deduction!","")))</f>
        <v/>
      </c>
      <c r="J11" s="1">
        <f>IF(I11=re,1,0)</f>
      </c>
    </row>
    <row r="12" spans="2:13" ht="3" customHeight="1" x14ac:dyDescent="0.2">
      <c r="B12" s="3"/>
      <c r="C12" s="3"/>
      <c r="D12" s="3"/>
      <c r="E12" s="3"/>
      <c r="F12" s="3"/>
      <c r="G12" s="3"/>
      <c r="H12" s="3"/>
      <c r="I12" s="3"/>
      <c r="J12" s="1"/>
    </row>
    <row r="13" spans="2:13" ht="12.75" customHeight="1" x14ac:dyDescent="0.2">
      <c r="B13" s="3"/>
      <c r="C13" s="4871" t="s">
        <v>35</v>
      </c>
      <c r="D13" s="4872"/>
      <c r="E13" s="4801"/>
      <c r="F13" s="4802"/>
      <c r="G13" s="4802"/>
      <c r="H13" s="4803"/>
      <c r="I13" s="61" t="str">
        <f>IF(L9=0,"",IF(ISBLANK(E13),re,""))</f>
        <v/>
      </c>
      <c r="J13" s="1">
        <f>IF(I13="",0,1)</f>
      </c>
      <c r="L13" s="28">
        <f>IF($E$13&lt;&gt;$A$222,0,1)</f>
      </c>
      <c r="M13" s="28">
        <f>COUNTA(E13:H16,E19:H26)</f>
      </c>
    </row>
    <row r="14" spans="2:13" x14ac:dyDescent="0.2">
      <c r="B14" s="3"/>
      <c r="C14" s="4873"/>
      <c r="D14" s="4874"/>
      <c r="E14" s="4801"/>
      <c r="F14" s="4802"/>
      <c r="G14" s="4802"/>
      <c r="H14" s="4803"/>
      <c r="I14" s="61" t="str">
        <f>IF(L9=0,"",IF(H9&lt;2,"",IF(ISBLANK(E14),re,"")))</f>
        <v/>
      </c>
      <c r="J14" s="1">
        <f>IF(I14="",0,1)</f>
      </c>
      <c r="L14" s="28">
        <f>IF($E$13&lt;&gt;$A$222,0,1)</f>
      </c>
    </row>
    <row r="15" spans="2:13" x14ac:dyDescent="0.2">
      <c r="B15" s="3"/>
      <c r="C15" s="4873"/>
      <c r="D15" s="4874"/>
      <c r="E15" s="4801"/>
      <c r="F15" s="4802"/>
      <c r="G15" s="4802"/>
      <c r="H15" s="4803"/>
      <c r="I15" s="61" t="str">
        <f>IF(L9=0,"",IF(H9&lt;3,"",IF(ISBLANK(E15),re,"")))</f>
        <v/>
      </c>
      <c r="J15" s="1">
        <f>IF(I15="",0,1)</f>
      </c>
      <c r="L15" s="28">
        <f>IF($E$13&lt;&gt;$A$222,0,1)</f>
      </c>
    </row>
    <row r="16" spans="2:13" x14ac:dyDescent="0.2">
      <c r="B16" s="3"/>
      <c r="C16" s="4875"/>
      <c r="D16" s="4876"/>
      <c r="E16" s="4801"/>
      <c r="F16" s="4802"/>
      <c r="G16" s="4802"/>
      <c r="H16" s="4803"/>
      <c r="I16" s="61" t="str">
        <f>IF(L9=0,"",IF(H9&lt;4,"",IF(ISBLANK(E16),re,"")))</f>
        <v/>
      </c>
      <c r="J16" s="1">
        <f>IF(I16="",0,1)</f>
      </c>
      <c r="L16" s="28">
        <f>IF($E$13&lt;&gt;$A$222,0,1)</f>
      </c>
    </row>
    <row r="17" spans="2:15" ht="3" customHeight="1" x14ac:dyDescent="0.2">
      <c r="B17" s="3"/>
      <c r="C17" s="3"/>
      <c r="D17" s="3"/>
      <c r="E17" s="3"/>
      <c r="F17" s="3"/>
      <c r="G17" s="3"/>
      <c r="H17" s="3"/>
      <c r="I17" s="3"/>
      <c r="J17" s="1"/>
    </row>
    <row r="18" spans="2:15" ht="36" x14ac:dyDescent="0.2">
      <c r="B18" s="3"/>
      <c r="C18" s="4862" t="s">
        <v>4975</v>
      </c>
      <c r="D18" s="4863"/>
      <c r="E18" s="400" t="s">
        <v>4736</v>
      </c>
      <c r="F18" s="400" t="s">
        <v>6933</v>
      </c>
      <c r="G18" s="400" t="s">
        <v>4737</v>
      </c>
      <c r="H18" s="400" t="s">
        <v>4738</v>
      </c>
      <c r="I18" s="3"/>
      <c r="J18" s="1"/>
      <c r="O18" s="74">
        <f>DATE(ya-2,1,2)</f>
      </c>
    </row>
    <row r="19" spans="2:15" x14ac:dyDescent="0.2">
      <c r="B19" s="3"/>
      <c r="C19" s="4864"/>
      <c r="D19" s="4865"/>
      <c r="E19" s="201"/>
      <c r="F19" s="202"/>
      <c r="G19" s="275"/>
      <c r="H19" s="724"/>
      <c r="I19" s="61" t="str">
        <f>IF(M$13=0,"",IF(L19=0,re,IF(L19=4,"","&lt; All data!")))</f>
        <v/>
      </c>
      <c r="J19" s="1">
        <f t="shared" ref="J19:J26" si="0">IF(I19="",0,1)</f>
      </c>
      <c r="L19" s="28">
        <f t="shared" ref="L19:L26" si="1">COUNTA(E19:H19)</f>
      </c>
      <c r="M19" s="28">
        <f>IF(L19=0,0,1)</f>
      </c>
      <c r="O19" s="74">
        <f>DATE(ya-1,12,31)</f>
      </c>
    </row>
    <row r="20" spans="2:15" x14ac:dyDescent="0.2">
      <c r="B20" s="3"/>
      <c r="C20" s="4864"/>
      <c r="D20" s="4865"/>
      <c r="E20" s="201"/>
      <c r="F20" s="202"/>
      <c r="G20" s="275"/>
      <c r="H20" s="724"/>
      <c r="I20" s="61" t="str">
        <f>IF(M$13=0,"",IF(L20=0,"",IF(L20=4,"","&lt; All data!")))</f>
        <v/>
      </c>
      <c r="J20" s="1">
        <f t="shared" si="0"/>
        <v>0</v>
      </c>
      <c r="L20" s="28">
        <f t="shared" si="1"/>
        <v>0</v>
      </c>
      <c r="M20" s="28">
        <f t="shared" ref="M20:M26" si="2">IF(L20=0,0,1)</f>
      </c>
    </row>
    <row r="21" spans="2:15" x14ac:dyDescent="0.2">
      <c r="B21" s="3"/>
      <c r="C21" s="4864"/>
      <c r="D21" s="4865"/>
      <c r="E21" s="201"/>
      <c r="F21" s="202"/>
      <c r="G21" s="275"/>
      <c r="H21" s="724"/>
      <c r="I21" s="61" t="str">
        <f>IF(M$13=0,"",IF(L21=0,"",IF(L21=4,"","&lt; All data!")))</f>
        <v/>
      </c>
      <c r="J21" s="1">
        <f t="shared" si="0"/>
        <v>0</v>
      </c>
      <c r="L21" s="28">
        <f t="shared" si="1"/>
        <v>0</v>
      </c>
      <c r="M21" s="28">
        <f t="shared" si="2"/>
        <v>0</v>
      </c>
    </row>
    <row r="22" spans="2:15" x14ac:dyDescent="0.2">
      <c r="B22" s="3"/>
      <c r="C22" s="4864"/>
      <c r="D22" s="4865"/>
      <c r="E22" s="201"/>
      <c r="F22" s="202"/>
      <c r="G22" s="275"/>
      <c r="H22" s="724"/>
      <c r="I22" s="61" t="str">
        <f>IF(M$13=0,"",IF(L22=0,"",IF(L22=4,"","&lt; All data!")))</f>
        <v/>
      </c>
      <c r="J22" s="1">
        <f t="shared" si="0"/>
        <v>0</v>
      </c>
      <c r="L22" s="28">
        <f t="shared" si="1"/>
        <v>0</v>
      </c>
      <c r="M22" s="28">
        <f t="shared" si="2"/>
        <v>0</v>
      </c>
    </row>
    <row r="23" spans="2:15" x14ac:dyDescent="0.2">
      <c r="B23" s="3"/>
      <c r="C23" s="4864"/>
      <c r="D23" s="4865"/>
      <c r="E23" s="201"/>
      <c r="F23" s="202"/>
      <c r="G23" s="275"/>
      <c r="H23" s="724"/>
      <c r="I23" s="61" t="str">
        <f>IF(M$13=0,"",IF(L23=0,"",IF(L23=4,"","&lt; All data!")))</f>
        <v/>
      </c>
      <c r="J23" s="1">
        <f t="shared" si="0"/>
        <v>0</v>
      </c>
      <c r="L23" s="28">
        <f t="shared" si="1"/>
        <v>0</v>
      </c>
      <c r="M23" s="28">
        <f t="shared" si="2"/>
        <v>0</v>
      </c>
    </row>
    <row r="24" spans="2:15" x14ac:dyDescent="0.2">
      <c r="B24" s="3"/>
      <c r="C24" s="4864"/>
      <c r="D24" s="4865"/>
      <c r="E24" s="201"/>
      <c r="F24" s="202"/>
      <c r="G24" s="275"/>
      <c r="H24" s="724"/>
      <c r="I24" s="61"/>
      <c r="J24" s="1">
        <f t="shared" si="0"/>
        <v>0</v>
      </c>
      <c r="L24" s="28">
        <f t="shared" si="1"/>
        <v>0</v>
      </c>
      <c r="M24" s="28">
        <f t="shared" si="2"/>
        <v>0</v>
      </c>
    </row>
    <row r="25" spans="2:15" x14ac:dyDescent="0.2">
      <c r="B25" s="3"/>
      <c r="C25" s="4864"/>
      <c r="D25" s="4865"/>
      <c r="E25" s="201"/>
      <c r="F25" s="202"/>
      <c r="G25" s="275"/>
      <c r="H25" s="724"/>
      <c r="I25" s="61" t="str">
        <f>IF(M$13=0,"",IF(L25=0,"",IF(L25=4,"","&lt; All data!")))</f>
        <v/>
      </c>
      <c r="J25" s="1">
        <f t="shared" si="0"/>
        <v>0</v>
      </c>
      <c r="L25" s="28">
        <f t="shared" si="1"/>
        <v>0</v>
      </c>
      <c r="M25" s="28">
        <f t="shared" si="2"/>
        <v>0</v>
      </c>
    </row>
    <row r="26" spans="2:15" x14ac:dyDescent="0.2">
      <c r="B26" s="3"/>
      <c r="C26" s="4866"/>
      <c r="D26" s="4867"/>
      <c r="E26" s="201"/>
      <c r="F26" s="202"/>
      <c r="G26" s="275"/>
      <c r="H26" s="724"/>
      <c r="I26" s="61" t="str">
        <f>IF(M$13=0,"",IF(L26=0,"",IF(L26=4,"","&lt; All data!")))</f>
        <v/>
      </c>
      <c r="J26" s="1">
        <f t="shared" si="0"/>
        <v>0</v>
      </c>
      <c r="K26" s="28">
        <f>SUM(J19:J26)</f>
      </c>
      <c r="L26" s="28">
        <f t="shared" si="1"/>
        <v>0</v>
      </c>
      <c r="M26" s="28">
        <f t="shared" si="2"/>
        <v>0</v>
      </c>
      <c r="N26" s="28">
        <f>SUM(M19:M26)</f>
      </c>
    </row>
    <row r="27" spans="2:15" x14ac:dyDescent="0.2">
      <c r="B27" s="3"/>
      <c r="C27" s="3"/>
      <c r="D27" s="3"/>
      <c r="E27" s="534" t="str">
        <f>IF(N26&lt;&gt;H9,"Check number of entities!","")</f>
        <v/>
      </c>
      <c r="F27" s="3"/>
      <c r="G27" s="4868" t="str">
        <f>IF(H11=A$225,"No deduction!","")</f>
        <v/>
      </c>
      <c r="H27" s="4869"/>
      <c r="I27" s="786">
        <f>IF(L27=1,0,IF(K26&lt;&gt;0,0,SUM(H19:H26)))</f>
      </c>
      <c r="J27" s="1">
        <f>IF(E27="",0,1)</f>
      </c>
      <c r="L27" s="28">
        <f>IF(H11=A225,1,0)</f>
      </c>
    </row>
    <row r="28" spans="2:15" x14ac:dyDescent="0.2">
      <c r="B28" s="3"/>
      <c r="C28" s="3"/>
      <c r="D28" s="3"/>
      <c r="E28" s="3"/>
      <c r="F28" s="3"/>
      <c r="G28" s="3"/>
      <c r="H28" s="3"/>
      <c r="I28" s="3"/>
      <c r="J28" s="1"/>
    </row>
    <row r="29" spans="2:15" ht="14.25" x14ac:dyDescent="0.2">
      <c r="B29" s="3"/>
      <c r="C29" s="813" t="s">
        <v>5776</v>
      </c>
      <c r="D29" s="199"/>
      <c r="E29" s="199"/>
      <c r="F29" s="199"/>
      <c r="G29" s="199"/>
      <c r="H29" s="200"/>
      <c r="I29" s="61"/>
      <c r="J29" s="1">
        <f>IF(I29="",0,1)</f>
      </c>
    </row>
    <row r="30" spans="2:15" ht="3" customHeight="1" x14ac:dyDescent="0.2">
      <c r="B30" s="3"/>
      <c r="C30" s="731"/>
      <c r="D30" s="3"/>
      <c r="E30" s="3"/>
      <c r="F30" s="3"/>
      <c r="G30" s="3"/>
      <c r="H30" s="3"/>
      <c r="I30" s="61"/>
      <c r="J30" s="1"/>
    </row>
    <row r="31" spans="2:15" x14ac:dyDescent="0.2">
      <c r="B31" s="3"/>
      <c r="C31" s="4870" t="s">
        <v>5523</v>
      </c>
      <c r="D31" s="4870"/>
      <c r="E31" s="4870"/>
      <c r="F31" s="4870"/>
      <c r="G31" s="4870"/>
      <c r="H31" s="288"/>
      <c r="I31" s="61" t="str">
        <f>IF(M35=0,"",IF(ISBLANK(H31),re,IF(N48=0,"",IF(N48&lt;&gt;H31,"Check!",""))))</f>
        <v/>
      </c>
      <c r="J31" s="1">
        <f>IF(I31="",0,1)</f>
      </c>
      <c r="L31" s="28">
        <f>COUNTA(H31,H33)</f>
      </c>
    </row>
    <row r="32" spans="2:15" ht="3" customHeight="1" x14ac:dyDescent="0.2">
      <c r="B32" s="3"/>
      <c r="C32" s="814"/>
      <c r="D32" s="814"/>
      <c r="E32" s="814"/>
      <c r="F32" s="814"/>
      <c r="G32" s="814"/>
      <c r="H32" s="814"/>
      <c r="I32" s="61"/>
      <c r="J32" s="1"/>
    </row>
    <row r="33" spans="2:15" x14ac:dyDescent="0.2">
      <c r="B33" s="3"/>
      <c r="C33" s="8" t="s">
        <v>2206</v>
      </c>
      <c r="D33" s="8"/>
      <c r="E33" s="8"/>
      <c r="F33" s="8"/>
      <c r="G33" s="8"/>
      <c r="H33" s="331"/>
      <c r="I33" s="795" t="str">
        <f>IF(H31="","",IF(ISBLANK(H33),re,IF(H33=A$225,"No deduction!","")))</f>
        <v/>
      </c>
      <c r="J33" s="1">
        <f>IF(I33=re,1,0)</f>
      </c>
    </row>
    <row r="34" spans="2:15" ht="3" customHeight="1" x14ac:dyDescent="0.2">
      <c r="B34" s="3"/>
      <c r="C34" s="3"/>
      <c r="D34" s="3"/>
      <c r="E34" s="3"/>
      <c r="F34" s="3"/>
      <c r="G34" s="3"/>
      <c r="H34" s="3"/>
      <c r="I34" s="3"/>
      <c r="J34" s="1"/>
    </row>
    <row r="35" spans="2:15" ht="12.75" customHeight="1" x14ac:dyDescent="0.2">
      <c r="B35" s="3"/>
      <c r="C35" s="4871" t="s">
        <v>35</v>
      </c>
      <c r="D35" s="4872"/>
      <c r="E35" s="4801"/>
      <c r="F35" s="4802"/>
      <c r="G35" s="4802"/>
      <c r="H35" s="4803"/>
      <c r="I35" s="61" t="str">
        <f>IF(L31=0,"",IF(ISBLANK(E35),re,""))</f>
        <v/>
      </c>
      <c r="J35" s="1">
        <f>IF(I35="",0,1)</f>
      </c>
      <c r="M35" s="28">
        <f>COUNTA(E35:H38,E41:F48,H41:H48)</f>
      </c>
    </row>
    <row r="36" spans="2:15" x14ac:dyDescent="0.2">
      <c r="B36" s="3"/>
      <c r="C36" s="4873"/>
      <c r="D36" s="4874"/>
      <c r="E36" s="4801"/>
      <c r="F36" s="4802"/>
      <c r="G36" s="4802"/>
      <c r="H36" s="4803"/>
      <c r="I36" s="61" t="str">
        <f>IF(L31=0,"",IF(H31&lt;2,"",IF(ISBLANK(E36),re,"")))</f>
        <v/>
      </c>
      <c r="J36" s="1">
        <f>IF(I36="",0,1)</f>
      </c>
    </row>
    <row r="37" spans="2:15" x14ac:dyDescent="0.2">
      <c r="B37" s="3"/>
      <c r="C37" s="4873"/>
      <c r="D37" s="4874"/>
      <c r="E37" s="4801"/>
      <c r="F37" s="4802"/>
      <c r="G37" s="4802"/>
      <c r="H37" s="4803"/>
      <c r="I37" s="61" t="str">
        <f>IF(L$31=0,"",IF(H$31&lt;3,"",IF(ISBLANK(E37),re,"")))</f>
        <v/>
      </c>
      <c r="J37" s="1">
        <f>IF(I37="",0,1)</f>
      </c>
    </row>
    <row r="38" spans="2:15" x14ac:dyDescent="0.2">
      <c r="B38" s="3"/>
      <c r="C38" s="4875"/>
      <c r="D38" s="4876"/>
      <c r="E38" s="4801"/>
      <c r="F38" s="4802"/>
      <c r="G38" s="4802"/>
      <c r="H38" s="4803"/>
      <c r="I38" s="61" t="str">
        <f>IF(L$31=0,"",IF(H$31&lt;4,"",IF(ISBLANK(E38),re,"")))</f>
        <v/>
      </c>
      <c r="J38" s="1">
        <f>IF(I38="",0,1)</f>
      </c>
    </row>
    <row r="39" spans="2:15" ht="3" customHeight="1" x14ac:dyDescent="0.2">
      <c r="B39" s="3"/>
      <c r="C39" s="3"/>
      <c r="D39" s="3"/>
      <c r="E39" s="3"/>
      <c r="F39" s="3"/>
      <c r="G39" s="3"/>
      <c r="H39" s="3"/>
      <c r="I39" s="3"/>
      <c r="J39" s="1"/>
    </row>
    <row r="40" spans="2:15" ht="36" x14ac:dyDescent="0.2">
      <c r="B40" s="3"/>
      <c r="C40" s="4862" t="s">
        <v>3780</v>
      </c>
      <c r="D40" s="4863"/>
      <c r="E40" s="400" t="s">
        <v>3781</v>
      </c>
      <c r="F40" s="400" t="s">
        <v>6933</v>
      </c>
      <c r="G40" s="400" t="s">
        <v>282</v>
      </c>
      <c r="H40" s="400" t="s">
        <v>4738</v>
      </c>
      <c r="I40" s="3"/>
      <c r="J40" s="1"/>
    </row>
    <row r="41" spans="2:15" x14ac:dyDescent="0.2">
      <c r="B41" s="3"/>
      <c r="C41" s="4864"/>
      <c r="D41" s="4865"/>
      <c r="E41" s="201"/>
      <c r="F41" s="202"/>
      <c r="G41" s="122" t="s">
        <v>283</v>
      </c>
      <c r="H41" s="724"/>
      <c r="I41" s="61" t="str">
        <f>IF(M$35=0,"",IF(L41=0,re,IF(L41=3,"","&lt; All data!")))</f>
        <v/>
      </c>
      <c r="J41" s="1">
        <f t="shared" ref="J41:J48" si="3">IF(I41="",0,1)</f>
      </c>
      <c r="L41" s="28">
        <f t="shared" ref="L41:L47" si="4">COUNTA(E41:F41,H41)</f>
      </c>
      <c r="M41" s="28">
        <f>IF(L41=0,0,1)</f>
      </c>
      <c r="O41" s="28">
        <f>COUNTA(H41,E41,F41)</f>
      </c>
    </row>
    <row r="42" spans="2:15" x14ac:dyDescent="0.2">
      <c r="B42" s="3"/>
      <c r="C42" s="4864"/>
      <c r="D42" s="4865"/>
      <c r="E42" s="201"/>
      <c r="F42" s="202"/>
      <c r="G42" s="122" t="s">
        <v>283</v>
      </c>
      <c r="H42" s="724"/>
      <c r="I42" s="61" t="str">
        <f t="shared" ref="I42:I48" si="5">IF(M$35=0,"",IF(L42=0,"",IF(L42=3,"","&lt; All data!")))</f>
        <v/>
      </c>
      <c r="J42" s="1">
        <f t="shared" si="3"/>
        <v>0</v>
      </c>
      <c r="L42" s="28">
        <f t="shared" si="4"/>
        <v>0</v>
      </c>
      <c r="M42" s="28">
        <f t="shared" ref="M42:M48" si="6">IF(L42=0,0,1)</f>
      </c>
      <c r="O42" s="28">
        <f t="shared" ref="O42:O48" si="7">COUNTA(H42,E42,F42)</f>
      </c>
    </row>
    <row r="43" spans="2:15" x14ac:dyDescent="0.2">
      <c r="B43" s="3"/>
      <c r="C43" s="4864"/>
      <c r="D43" s="4865"/>
      <c r="E43" s="201"/>
      <c r="F43" s="202"/>
      <c r="G43" s="122" t="s">
        <v>283</v>
      </c>
      <c r="H43" s="724"/>
      <c r="I43" s="61" t="str">
        <f t="shared" si="5"/>
        <v/>
      </c>
      <c r="J43" s="1">
        <f t="shared" si="3"/>
        <v>0</v>
      </c>
      <c r="L43" s="28">
        <f t="shared" si="4"/>
        <v>0</v>
      </c>
      <c r="M43" s="28">
        <f t="shared" si="6"/>
        <v>0</v>
      </c>
      <c r="O43" s="28">
        <f t="shared" si="7"/>
        <v>0</v>
      </c>
    </row>
    <row r="44" spans="2:15" x14ac:dyDescent="0.2">
      <c r="B44" s="3"/>
      <c r="C44" s="4864"/>
      <c r="D44" s="4865"/>
      <c r="E44" s="201"/>
      <c r="F44" s="202"/>
      <c r="G44" s="122" t="s">
        <v>283</v>
      </c>
      <c r="H44" s="724"/>
      <c r="I44" s="61" t="str">
        <f t="shared" si="5"/>
        <v/>
      </c>
      <c r="J44" s="1">
        <f t="shared" si="3"/>
        <v>0</v>
      </c>
      <c r="L44" s="28">
        <f t="shared" si="4"/>
        <v>0</v>
      </c>
      <c r="M44" s="28">
        <f t="shared" si="6"/>
        <v>0</v>
      </c>
      <c r="O44" s="28">
        <f t="shared" si="7"/>
        <v>0</v>
      </c>
    </row>
    <row r="45" spans="2:15" x14ac:dyDescent="0.2">
      <c r="B45" s="3"/>
      <c r="C45" s="4864"/>
      <c r="D45" s="4865"/>
      <c r="E45" s="201"/>
      <c r="F45" s="202"/>
      <c r="G45" s="122" t="s">
        <v>283</v>
      </c>
      <c r="H45" s="724"/>
      <c r="I45" s="61" t="str">
        <f t="shared" si="5"/>
        <v/>
      </c>
      <c r="J45" s="1">
        <f t="shared" si="3"/>
        <v>0</v>
      </c>
      <c r="L45" s="28">
        <f t="shared" si="4"/>
        <v>0</v>
      </c>
      <c r="M45" s="28">
        <f t="shared" si="6"/>
        <v>0</v>
      </c>
      <c r="O45" s="28">
        <f t="shared" si="7"/>
        <v>0</v>
      </c>
    </row>
    <row r="46" spans="2:15" x14ac:dyDescent="0.2">
      <c r="B46" s="3"/>
      <c r="C46" s="4864"/>
      <c r="D46" s="4865"/>
      <c r="E46" s="201"/>
      <c r="F46" s="202"/>
      <c r="G46" s="122" t="s">
        <v>283</v>
      </c>
      <c r="H46" s="724"/>
      <c r="I46" s="61" t="str">
        <f t="shared" si="5"/>
        <v/>
      </c>
      <c r="J46" s="1">
        <f t="shared" si="3"/>
        <v>0</v>
      </c>
      <c r="L46" s="28">
        <f t="shared" si="4"/>
        <v>0</v>
      </c>
      <c r="M46" s="28">
        <f t="shared" si="6"/>
        <v>0</v>
      </c>
      <c r="O46" s="28">
        <f t="shared" si="7"/>
        <v>0</v>
      </c>
    </row>
    <row r="47" spans="2:15" x14ac:dyDescent="0.2">
      <c r="B47" s="3"/>
      <c r="C47" s="4864"/>
      <c r="D47" s="4865"/>
      <c r="E47" s="201"/>
      <c r="F47" s="202"/>
      <c r="G47" s="122" t="s">
        <v>283</v>
      </c>
      <c r="H47" s="724"/>
      <c r="I47" s="61" t="str">
        <f t="shared" si="5"/>
        <v/>
      </c>
      <c r="J47" s="1">
        <f t="shared" si="3"/>
        <v>0</v>
      </c>
      <c r="L47" s="28">
        <f t="shared" si="4"/>
        <v>0</v>
      </c>
      <c r="M47" s="28">
        <f t="shared" si="6"/>
        <v>0</v>
      </c>
      <c r="O47" s="28">
        <f t="shared" si="7"/>
        <v>0</v>
      </c>
    </row>
    <row r="48" spans="2:15" x14ac:dyDescent="0.2">
      <c r="B48" s="3"/>
      <c r="C48" s="4866"/>
      <c r="D48" s="4867"/>
      <c r="E48" s="201"/>
      <c r="F48" s="202"/>
      <c r="G48" s="122" t="s">
        <v>283</v>
      </c>
      <c r="H48" s="724"/>
      <c r="I48" s="61" t="str">
        <f t="shared" si="5"/>
        <v/>
      </c>
      <c r="J48" s="1">
        <f t="shared" si="3"/>
        <v>0</v>
      </c>
      <c r="K48" s="28">
        <f>SUM(J41:J48)</f>
      </c>
      <c r="L48" s="28">
        <f>COUNTA(E48:F48,H48)</f>
      </c>
      <c r="M48" s="28">
        <f t="shared" si="6"/>
        <v>0</v>
      </c>
      <c r="N48" s="28">
        <f>SUM(M41:M48)</f>
      </c>
      <c r="O48" s="28">
        <f t="shared" si="7"/>
        <v>0</v>
      </c>
    </row>
    <row r="49" spans="2:13" x14ac:dyDescent="0.2">
      <c r="B49" s="3"/>
      <c r="C49" s="3"/>
      <c r="D49" s="3"/>
      <c r="E49" s="534" t="str">
        <f>IF(N48&lt;&gt;H31,"Check number of entities!","")</f>
        <v/>
      </c>
      <c r="F49" s="3"/>
      <c r="G49" s="4868" t="str">
        <f>IF(H33=A$225,"No deduction!","")</f>
        <v/>
      </c>
      <c r="H49" s="4869"/>
      <c r="I49" s="786">
        <f>IF(L53=1,0,IF(K48&lt;&gt;0,0,SUM(H41:H48)))</f>
      </c>
      <c r="J49" s="1">
        <f>IF(E49="",0,1)</f>
      </c>
    </row>
    <row r="50" spans="2:13" x14ac:dyDescent="0.2">
      <c r="B50" s="3"/>
      <c r="C50" s="3"/>
      <c r="D50" s="3"/>
      <c r="E50" s="3"/>
      <c r="F50" s="3"/>
      <c r="G50" s="3"/>
      <c r="H50" s="3"/>
      <c r="I50" s="3"/>
      <c r="J50" s="1"/>
    </row>
    <row r="51" spans="2:13" x14ac:dyDescent="0.2">
      <c r="B51" s="3"/>
      <c r="C51" s="457" t="s">
        <v>1013</v>
      </c>
      <c r="D51" s="199"/>
      <c r="E51" s="199"/>
      <c r="F51" s="199"/>
      <c r="G51" s="199"/>
      <c r="H51" s="1344" t="s">
        <v>3130</v>
      </c>
      <c r="I51" s="808">
        <f>I27+I49</f>
      </c>
      <c r="J51" s="1">
        <f>SUM(J7:J49)</f>
      </c>
    </row>
    <row r="52" spans="2:13" ht="6" customHeight="1" x14ac:dyDescent="0.2">
      <c r="B52" s="3"/>
      <c r="C52" s="3"/>
      <c r="D52" s="3"/>
      <c r="E52" s="3"/>
      <c r="F52" s="3"/>
      <c r="G52" s="3"/>
      <c r="H52" s="3"/>
      <c r="I52" s="3"/>
      <c r="J52" s="1"/>
    </row>
    <row r="53" spans="2:13" x14ac:dyDescent="0.2">
      <c r="B53" s="3"/>
      <c r="C53" s="65" t="str">
        <f>_xlfn.SINGLE(MTCA)</f>
      </c>
      <c r="D53" s="3"/>
      <c r="E53" s="65" t="str">
        <f>ver</f>
        <v>TA2_e-CO_2025_Ver 1.1</v>
      </c>
      <c r="F53" s="3"/>
      <c r="G53" s="3"/>
      <c r="H53" s="3"/>
      <c r="I53" s="539" t="s">
        <v>2497</v>
      </c>
      <c r="J53" s="1"/>
      <c r="L53" s="28">
        <f>IF(H33=A225,1,0)</f>
      </c>
      <c r="M53" s="28">
        <f>M35+M13</f>
      </c>
    </row>
    <row r="54" spans="2:13" ht="7.5" customHeight="1" x14ac:dyDescent="0.2">
      <c r="B54" s="3"/>
      <c r="C54" s="3"/>
      <c r="D54" s="3"/>
      <c r="E54" s="3"/>
      <c r="F54" s="3"/>
      <c r="G54" s="3"/>
      <c r="H54" s="3"/>
      <c r="I54" s="3"/>
      <c r="J54" s="1"/>
    </row>
    <row r="55" spans="2:13" x14ac:dyDescent="0.2">
      <c r="B55" s="3"/>
      <c r="C55" s="3"/>
      <c r="D55" s="3"/>
      <c r="E55" s="610" t="str">
        <f>COM</f>
      </c>
      <c r="F55" s="331"/>
      <c r="G55" s="3"/>
      <c r="H55" s="3"/>
      <c r="I55" s="3"/>
      <c r="J55" s="1">
        <f>IF(M53=0,0,IF(J51&gt;0,100,IF(F55=A226,1,100)))</f>
      </c>
    </row>
    <row r="56" spans="2:13" ht="4.5" customHeight="1" x14ac:dyDescent="0.2">
      <c r="B56" s="3"/>
      <c r="C56" s="3"/>
      <c r="D56" s="3"/>
      <c r="E56" s="3"/>
      <c r="F56" s="3"/>
      <c r="G56" s="3"/>
      <c r="H56" s="3"/>
      <c r="I56" s="3"/>
      <c r="J56" s="1"/>
    </row>
    <row r="57" spans="2:13" x14ac:dyDescent="0.2">
      <c r="B57" s="3"/>
      <c r="C57" s="4636" t="s">
        <v>1700</v>
      </c>
      <c r="D57" s="4636"/>
      <c r="E57" s="3"/>
      <c r="F57" s="3"/>
      <c r="G57" s="3"/>
      <c r="H57" s="3"/>
      <c r="I57" s="3"/>
      <c r="J57" s="1"/>
    </row>
    <row r="58" spans="2:13" x14ac:dyDescent="0.2">
      <c r="B58" s="3"/>
      <c r="C58" s="3"/>
      <c r="D58" s="3"/>
      <c r="E58" s="3"/>
      <c r="F58" s="3"/>
      <c r="G58" s="3"/>
      <c r="H58" s="3"/>
      <c r="I58" s="3"/>
      <c r="J58" s="1"/>
    </row>
    <row r="60" spans="2:13" ht="3.75" hidden="1" customHeight="1" x14ac:dyDescent="0.2"/>
    <row r="66" ht="3" hidden="1" customHeight="1" x14ac:dyDescent="0.2"/>
    <row r="68" ht="57" hidden="1" customHeight="1" x14ac:dyDescent="0.2"/>
    <row r="70" ht="14.25" hidden="1" customHeight="1" x14ac:dyDescent="0.2"/>
    <row r="219" spans="1:1" hidden="1" x14ac:dyDescent="0.2">
      <c r="A219" s="28" t="s">
        <v>1014</v>
      </c>
    </row>
    <row r="220" spans="1:1" hidden="1" x14ac:dyDescent="0.2">
      <c r="A220" s="28" t="s">
        <v>1015</v>
      </c>
    </row>
    <row r="221" spans="1:1" hidden="1" x14ac:dyDescent="0.2">
      <c r="A221" s="28" t="s">
        <v>1016</v>
      </c>
    </row>
    <row r="222" spans="1:1" hidden="1" x14ac:dyDescent="0.2">
      <c r="A222" s="28" t="s">
        <v>6877</v>
      </c>
    </row>
    <row r="223" spans="1:1" hidden="1" x14ac:dyDescent="0.2">
      <c r="A223" s="28" t="s">
        <v>4793</v>
      </c>
    </row>
    <row r="225" spans="1:1" hidden="1" x14ac:dyDescent="0.2">
      <c r="A225" s="28" t="s">
        <v>1736</v>
      </c>
    </row>
    <row r="226" spans="1:1" hidden="1" x14ac:dyDescent="0.2">
      <c r="A226" s="28" t="s">
        <v>4457</v>
      </c>
    </row>
    <row r="228" spans="1:1" hidden="1" x14ac:dyDescent="0.2">
      <c r="A228" s="28" t="s">
        <v>4794</v>
      </c>
    </row>
    <row r="229" spans="1:1" hidden="1" x14ac:dyDescent="0.2">
      <c r="A229" s="28" t="s">
        <v>4795</v>
      </c>
    </row>
    <row r="230" spans="1:1" hidden="1" x14ac:dyDescent="0.2">
      <c r="A230" s="28" t="s">
        <v>283</v>
      </c>
    </row>
    <row r="231" spans="1:1" hidden="1" x14ac:dyDescent="0.2">
      <c r="A231" s="28" t="s">
        <v>4910</v>
      </c>
    </row>
    <row r="232" spans="1:1" hidden="1" x14ac:dyDescent="0.2">
      <c r="A232" s="28" t="s">
        <v>4911</v>
      </c>
    </row>
  </sheetData>
  <sheetProtection algorithmName="SHA-512" hashValue="z3R5eGxDq8yO9BoJHF7Da/WL4MnRqmtxpxnsB8g0U/HsvyV4n/kED7+Y9uYabIhX1ucYh6mfaYegu6rvUcjopQ==" saltValue="wW5aq455kd0dbZ0tMEzeRA==" spinCount="100000" sheet="1" objects="1" scenarios="1"/>
  <customSheetViews>
    <customSheetView guid="{99B5278F-6EA9-4B1A-8623-27A4DF4AD5E4}" fitToPage="1" hiddenRows="1" hiddenColumns="1" topLeftCell="B2">
      <selection activeCell="H9" sqref="H9"/>
      <pageMargins left="0.75" right="0.75" top="1" bottom="1" header="0.5" footer="0.5"/>
      <pageSetup paperSize="9" scale="92" orientation="portrait" r:id="rId1"/>
      <headerFooter alignWithMargins="0">
        <oddFooter>&amp;LName&amp;CSignature&amp;RDate</oddFooter>
      </headerFooter>
    </customSheetView>
  </customSheetViews>
  <mergeCells count="18">
    <mergeCell ref="C57:D57"/>
    <mergeCell ref="C40:D48"/>
    <mergeCell ref="G49:H49"/>
    <mergeCell ref="C2:H2"/>
    <mergeCell ref="C9:G9"/>
    <mergeCell ref="C13:D16"/>
    <mergeCell ref="E13:H13"/>
    <mergeCell ref="E14:H14"/>
    <mergeCell ref="E15:H15"/>
    <mergeCell ref="E16:H16"/>
    <mergeCell ref="C18:D26"/>
    <mergeCell ref="G27:H27"/>
    <mergeCell ref="C31:G31"/>
    <mergeCell ref="C35:D38"/>
    <mergeCell ref="E35:H35"/>
    <mergeCell ref="E36:H36"/>
    <mergeCell ref="E37:H37"/>
    <mergeCell ref="E38:H38"/>
  </mergeCells>
  <phoneticPr fontId="0" type="noConversion"/>
  <conditionalFormatting sqref="G41:G48">
    <cfRule type="expression" dxfId="642" priority="1" stopIfTrue="1">
      <formula>$O41=0</formula>
    </cfRule>
  </conditionalFormatting>
  <conditionalFormatting sqref="I11 I33">
    <cfRule type="cellIs" dxfId="641" priority="2" stopIfTrue="1" operator="equal">
      <formula>re</formula>
    </cfRule>
  </conditionalFormatting>
  <dataValidations count="11">
    <dataValidation type="list" allowBlank="1" showInputMessage="1" showErrorMessage="1" sqref="H33 F55 H11" xr:uid="{00000000-0002-0000-2700-000000000000}">
      <formula1>$A$224:$A$226</formula1>
    </dataValidation>
    <dataValidation type="textLength" errorStyle="warning" operator="greaterThanOrEqual" allowBlank="1" showInputMessage="1" showErrorMessage="1" errorTitle="Certificate number" error="Please enter the correct certificate number!" sqref="E41:E48" xr:uid="{00000000-0002-0000-2700-000001000000}">
      <formula1>4</formula1>
    </dataValidation>
    <dataValidation type="list" allowBlank="1" showInputMessage="1" showErrorMessage="1" sqref="E13:H15 E35:H37" xr:uid="{00000000-0002-0000-2700-000002000000}">
      <formula1>$A$218:$A$222</formula1>
    </dataValidation>
    <dataValidation type="list" allowBlank="1" showInputMessage="1" showErrorMessage="1" sqref="G19:G26" xr:uid="{00000000-0002-0000-2700-000003000000}">
      <formula1>$A$227:$A$232</formula1>
    </dataValidation>
    <dataValidation type="whole" operator="greaterThanOrEqual" allowBlank="1" showInputMessage="1" showErrorMessage="1" errorTitle="Amount of donation under Rule 3" error="Please enter a positive whole number! _x000a_OR_x000a_Cannot be less than Lm1,000!" sqref="H19:H26" xr:uid="{00000000-0002-0000-2700-000004000000}">
      <formula1>1000</formula1>
    </dataValidation>
    <dataValidation type="whole" operator="greaterThanOrEqual" allowBlank="1" showInputMessage="1" showErrorMessage="1" errorTitle="Amount of donation under Rule 4" error="Please enter a positive whole number!_x000a_OR _x000a_Cannot be less than Lm5,000!" sqref="H41:H48" xr:uid="{00000000-0002-0000-2700-000005000000}">
      <formula1>5000</formula1>
    </dataValidation>
    <dataValidation type="textLength" errorStyle="warning" operator="greaterThanOrEqual" allowBlank="1" showInputMessage="1" showErrorMessage="1" errorTitle="Certificate Reference" error="Please enter the correct reference!" sqref="E19:E26" xr:uid="{00000000-0002-0000-2700-000006000000}">
      <formula1>4</formula1>
    </dataValidation>
    <dataValidation type="date" allowBlank="1" showInputMessage="1" showErrorMessage="1" errorTitle="Date" error="Date must be within the current year of assessment!" promptTitle="Date format" prompt="dd/mm/yyyy" sqref="F41:F48" xr:uid="{00000000-0002-0000-2700-000007000000}">
      <formula1>$O$18</formula1>
      <formula2>$O$19</formula2>
    </dataValidation>
    <dataValidation type="whole" operator="greaterThan" allowBlank="1" showInputMessage="1" showErrorMessage="1" errorTitle="Number of entities" error="Please enter a positive whole number!" sqref="H31 H9" xr:uid="{00000000-0002-0000-2700-000008000000}">
      <formula1>0</formula1>
    </dataValidation>
    <dataValidation type="list" allowBlank="1" showInputMessage="1" showErrorMessage="1" sqref="E16:H16 E38:H38" xr:uid="{00000000-0002-0000-2700-000009000000}">
      <formula1>$A$218:$A$223</formula1>
    </dataValidation>
    <dataValidation type="date" allowBlank="1" showInputMessage="1" showErrorMessage="1" errorTitle="Date" error="Date that must be within the current year of assessment!" promptTitle="Date format" prompt="dd/mm/yyyy" sqref="F19:F26" xr:uid="{00000000-0002-0000-2700-00000A000000}">
      <formula1>$O$18</formula1>
      <formula2>$O$19</formula2>
    </dataValidation>
  </dataValidations>
  <hyperlinks>
    <hyperlink ref="C57" location="Index!A1" display="BACK TO INDEX" xr:uid="{00000000-0004-0000-2700-000000000000}"/>
    <hyperlink ref="H51" location="TRA60!B2" display="TRA 60" xr:uid="{00000000-0004-0000-2700-000001000000}"/>
  </hyperlinks>
  <pageMargins left="0.75" right="0.75" top="1" bottom="1" header="0.5" footer="0.5"/>
  <pageSetup paperSize="9" scale="92" orientation="portrait" r:id="rId2"/>
  <headerFooter alignWithMargins="0">
    <oddFooter>&amp;LName&amp;CSignature&amp;RDate</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55">
    <pageSetUpPr fitToPage="1"/>
  </sheetPr>
  <dimension ref="A1:CF117"/>
  <sheetViews>
    <sheetView showGridLines="0" zoomScale="85" zoomScaleNormal="85" workbookViewId="0">
      <selection activeCell="B1" sqref="B1:O1"/>
    </sheetView>
  </sheetViews>
  <sheetFormatPr defaultColWidth="0" defaultRowHeight="16.149999999999999" customHeight="1" zeroHeight="1" x14ac:dyDescent="0.2"/>
  <cols>
    <col min="1" max="1" width="0.7109375" style="46" customWidth="1"/>
    <col min="2" max="2" width="15.5703125" style="46" customWidth="1"/>
    <col min="3" max="3" width="36.7109375" style="46" customWidth="1"/>
    <col min="4" max="4" width="0.7109375" style="46" customWidth="1"/>
    <col min="5" max="5" width="10.7109375" style="46" customWidth="1"/>
    <col min="6" max="6" width="0.5703125" style="46" customWidth="1"/>
    <col min="7" max="7" width="8.7109375" style="46" customWidth="1"/>
    <col min="8" max="8" width="10.7109375" style="46" customWidth="1"/>
    <col min="9" max="9" width="8.7109375" style="46" customWidth="1"/>
    <col min="10" max="10" width="19.5703125" style="46" customWidth="1"/>
    <col min="11" max="11" width="10.28515625" style="46" customWidth="1"/>
    <col min="12" max="12" width="10.7109375" style="46" customWidth="1"/>
    <col min="13" max="13" width="11.7109375" style="46" customWidth="1"/>
    <col min="14" max="14" width="10.7109375" style="46" customWidth="1"/>
    <col min="15" max="15" width="21.5703125" style="46" customWidth="1"/>
    <col min="16" max="16" width="13.28515625" style="46" customWidth="1"/>
    <col min="17" max="17" width="7" style="46" customWidth="1"/>
    <col min="18" max="18" width="10.7109375" style="46" customWidth="1"/>
    <col min="19" max="19" width="26.7109375" style="46" customWidth="1"/>
    <col min="20" max="22" width="9.28515625" style="46" hidden="1" customWidth="1"/>
    <col min="23" max="25" width="10.28515625" style="46" hidden="1" customWidth="1"/>
    <col min="26" max="26" width="9.28515625" style="46" hidden="1" customWidth="1"/>
    <col min="27" max="29" width="10.28515625" style="46" hidden="1" customWidth="1"/>
    <col min="30" max="83" width="9.28515625" style="46" hidden="1" customWidth="1"/>
    <col min="84" max="84" width="9.28515625" style="28" hidden="1" customWidth="1"/>
    <col min="85" max="16384" width="9.28515625" style="46" hidden="1"/>
  </cols>
  <sheetData>
    <row r="1" spans="1:56" s="28" customFormat="1" ht="16.149999999999999" customHeight="1" x14ac:dyDescent="0.2">
      <c r="A1" s="17"/>
      <c r="B1" s="4408" t="str">
        <f>_ref1</f>
      </c>
      <c r="C1" s="4408"/>
      <c r="D1" s="4408"/>
      <c r="E1" s="4408"/>
      <c r="F1" s="4408"/>
      <c r="G1" s="4408"/>
      <c r="H1" s="4408"/>
      <c r="I1" s="4408"/>
      <c r="J1" s="4408"/>
      <c r="K1" s="4408"/>
      <c r="L1" s="4408"/>
      <c r="M1" s="4408"/>
      <c r="N1" s="4408"/>
      <c r="O1" s="4408"/>
      <c r="P1" s="327"/>
      <c r="Q1" s="327"/>
      <c r="R1" s="64" t="str">
        <f>_YA1</f>
      </c>
      <c r="S1" s="17"/>
      <c r="U1" s="1736" t="s">
        <v>9962</v>
      </c>
      <c r="V1" s="28" t="str">
        <f>'p2'!G36</f>
      </c>
      <c r="X1" s="28" t="s">
        <v>4195</v>
      </c>
      <c r="BC1"/>
      <c r="BD1"/>
    </row>
    <row r="2" spans="1:56" s="28" customFormat="1" ht="3.75" customHeight="1" x14ac:dyDescent="0.2">
      <c r="A2" s="17"/>
      <c r="B2" s="17"/>
      <c r="C2" s="17"/>
      <c r="D2" s="17"/>
      <c r="E2" s="17"/>
      <c r="F2" s="17"/>
      <c r="G2" s="17"/>
      <c r="H2" s="17"/>
      <c r="I2" s="17"/>
      <c r="J2" s="17"/>
      <c r="K2" s="17"/>
      <c r="L2" s="17"/>
      <c r="M2" s="17"/>
      <c r="N2" s="17"/>
      <c r="O2" s="17"/>
      <c r="P2" s="17"/>
      <c r="Q2" s="17"/>
      <c r="R2" s="17"/>
      <c r="S2" s="17"/>
      <c r="BC2" t="s">
        <v>7731</v>
      </c>
      <c r="BD2" s="2174">
        <v>0.12</v>
      </c>
    </row>
    <row r="3" spans="1:56" s="28" customFormat="1" ht="15" x14ac:dyDescent="0.2">
      <c r="A3" s="17"/>
      <c r="B3" s="4879" t="s">
        <v>7990</v>
      </c>
      <c r="C3" s="4880"/>
      <c r="D3" s="4880"/>
      <c r="E3" s="4880"/>
      <c r="F3" s="4880"/>
      <c r="G3" s="4880"/>
      <c r="H3" s="4880"/>
      <c r="I3" s="4880"/>
      <c r="J3" s="4880"/>
      <c r="K3" s="4880"/>
      <c r="L3" s="4880"/>
      <c r="M3" s="4880"/>
      <c r="N3" s="4880"/>
      <c r="O3" s="4880"/>
      <c r="P3" s="4880"/>
      <c r="Q3" s="4880"/>
      <c r="R3" s="4881"/>
      <c r="S3" s="248"/>
      <c r="X3" s="28" t="s">
        <v>5552</v>
      </c>
      <c r="Z3" s="1736" t="s">
        <v>7404</v>
      </c>
      <c r="AE3" s="1974">
        <v>0.05</v>
      </c>
      <c r="BC3" t="s">
        <v>7732</v>
      </c>
      <c r="BD3" s="2174">
        <v>0.08</v>
      </c>
    </row>
    <row r="4" spans="1:56" s="28" customFormat="1" ht="15.75" x14ac:dyDescent="0.25">
      <c r="A4" s="242"/>
      <c r="B4" s="773" t="s">
        <v>4604</v>
      </c>
      <c r="C4" s="3559"/>
      <c r="D4" s="815"/>
      <c r="E4" s="815"/>
      <c r="F4" s="815"/>
      <c r="G4" s="815"/>
      <c r="H4" s="815"/>
      <c r="I4" s="815"/>
      <c r="J4" s="815"/>
      <c r="K4" s="815"/>
      <c r="L4" s="815"/>
      <c r="M4" s="815"/>
      <c r="N4" s="815"/>
      <c r="O4" s="815"/>
      <c r="P4" s="815"/>
      <c r="Q4" s="815"/>
      <c r="R4" s="816"/>
      <c r="S4" s="248"/>
      <c r="X4" s="28" t="s">
        <v>4605</v>
      </c>
      <c r="AC4" s="74"/>
      <c r="AE4" s="1974">
        <v>7.0000000000000007E-2</v>
      </c>
      <c r="BC4" s="2175" t="s">
        <v>7733</v>
      </c>
      <c r="BD4" s="2174">
        <v>0.1</v>
      </c>
    </row>
    <row r="5" spans="1:56" s="28" customFormat="1" ht="18" customHeight="1" x14ac:dyDescent="0.25">
      <c r="A5" s="17"/>
      <c r="B5" s="817" t="s">
        <v>10618</v>
      </c>
      <c r="C5" s="17"/>
      <c r="D5" s="564"/>
      <c r="E5" s="564"/>
      <c r="F5" s="818"/>
      <c r="G5" s="564"/>
      <c r="H5" s="564"/>
      <c r="I5" s="564"/>
      <c r="J5" s="564"/>
      <c r="K5" s="564"/>
      <c r="L5" s="20"/>
      <c r="M5" s="20"/>
      <c r="N5" s="20"/>
      <c r="O5" s="20"/>
      <c r="P5" s="20"/>
      <c r="Q5" s="20"/>
      <c r="R5" s="20"/>
      <c r="S5" s="248"/>
      <c r="X5" s="28" t="s">
        <v>5551</v>
      </c>
      <c r="AC5" s="74"/>
      <c r="AE5" s="1974">
        <v>0.08</v>
      </c>
      <c r="AI5" s="1736" t="s">
        <v>10510</v>
      </c>
      <c r="BC5" s="2175" t="s">
        <v>7734</v>
      </c>
      <c r="BD5" s="2174">
        <v>7.0000000000000007E-2</v>
      </c>
    </row>
    <row r="6" spans="1:56" s="28" customFormat="1" ht="15.6" customHeight="1" x14ac:dyDescent="0.2">
      <c r="A6" s="17"/>
      <c r="B6" s="4495" t="s">
        <v>9963</v>
      </c>
      <c r="C6" s="4495" t="s">
        <v>4606</v>
      </c>
      <c r="D6" s="564"/>
      <c r="E6" s="4877" t="s">
        <v>3261</v>
      </c>
      <c r="F6" s="818"/>
      <c r="G6" s="4443" t="s">
        <v>4607</v>
      </c>
      <c r="H6" s="4877" t="s">
        <v>5602</v>
      </c>
      <c r="I6" s="4877" t="s">
        <v>5698</v>
      </c>
      <c r="J6" s="4384" t="s">
        <v>6087</v>
      </c>
      <c r="K6" s="4384"/>
      <c r="L6" s="4384"/>
      <c r="M6" s="4877" t="s">
        <v>7988</v>
      </c>
      <c r="N6" s="4877" t="s">
        <v>7989</v>
      </c>
      <c r="O6" s="4877" t="s">
        <v>7739</v>
      </c>
      <c r="P6" s="4877" t="s">
        <v>10507</v>
      </c>
      <c r="Q6" s="4877" t="s">
        <v>7740</v>
      </c>
      <c r="R6" s="4877" t="s">
        <v>7638</v>
      </c>
      <c r="S6" s="17"/>
      <c r="W6" s="74">
        <f>IF('p1'!G66="",DATE(ya-1,1,1),'p1'!G66)</f>
      </c>
      <c r="X6" s="74">
        <f>IF('p1'!M66="",DATE(ya-1,12,31),'p1'!M66)</f>
      </c>
      <c r="AB6" s="74"/>
      <c r="AC6" s="3767"/>
      <c r="AE6" s="1974">
        <v>0.1</v>
      </c>
      <c r="AI6" s="1736" t="s">
        <v>10508</v>
      </c>
      <c r="BC6" t="s">
        <v>7735</v>
      </c>
      <c r="BD6" s="2174">
        <v>0.05</v>
      </c>
    </row>
    <row r="7" spans="1:56" s="28" customFormat="1" ht="47.25" customHeight="1" x14ac:dyDescent="0.25">
      <c r="A7" s="17"/>
      <c r="B7" s="4495"/>
      <c r="C7" s="4495"/>
      <c r="D7" s="564"/>
      <c r="E7" s="4878"/>
      <c r="F7" s="818"/>
      <c r="G7" s="4444"/>
      <c r="H7" s="4878"/>
      <c r="I7" s="4878"/>
      <c r="J7" s="269" t="s">
        <v>1805</v>
      </c>
      <c r="K7" s="819" t="s">
        <v>6085</v>
      </c>
      <c r="L7" s="819" t="s">
        <v>6086</v>
      </c>
      <c r="M7" s="4878"/>
      <c r="N7" s="4878"/>
      <c r="O7" s="4878"/>
      <c r="P7" s="4878"/>
      <c r="Q7" s="4878"/>
      <c r="R7" s="4878"/>
      <c r="S7" s="648"/>
      <c r="W7" s="74"/>
      <c r="AE7" s="2107">
        <v>0.12</v>
      </c>
      <c r="AI7" s="1736" t="s">
        <v>10509</v>
      </c>
      <c r="BC7" s="2175" t="s">
        <v>7736</v>
      </c>
      <c r="BD7" s="2174">
        <v>0.1</v>
      </c>
    </row>
    <row r="8" spans="1:56" s="28" customFormat="1" ht="16.149999999999999" customHeight="1" x14ac:dyDescent="0.25">
      <c r="A8" s="17"/>
      <c r="B8" s="3558"/>
      <c r="C8" s="820"/>
      <c r="D8" s="41"/>
      <c r="E8" s="821">
        <f t="shared" ref="E8:E25" si="0">AA8</f>
      </c>
      <c r="F8" s="17"/>
      <c r="G8" s="364"/>
      <c r="H8" s="561"/>
      <c r="I8" s="561"/>
      <c r="J8" s="822"/>
      <c r="K8" s="823"/>
      <c r="L8" s="561"/>
      <c r="M8" s="561"/>
      <c r="N8" s="561"/>
      <c r="O8" s="2176"/>
      <c r="P8" s="2176"/>
      <c r="Q8" s="4025" t="str">
        <f t="shared" ref="Q8:Q39" si="1">IF(O8="","",IF(OR(O8=$BC$10,P8=""),VLOOKUP(O8,FWT5A,2,FALSE),IF(AND(O8&lt;&gt;$BC$10,P8=$AI$5),0%,IF(AND(O8&lt;&gt;$BC$10,OR(P8=$AI$6,P8=$AI$7)),VLOOKUP(O8,FWT5A,2,FALSE)*50%))))</f>
        <v/>
      </c>
      <c r="R8" s="561"/>
      <c r="S8" s="222" t="str">
        <f>IF(X8=0,"",IF(AND($V$1="y",X8&lt;&gt;10),$X$5,IF(AND($V$1="n",X8&lt;&gt;9),$X$5,IF(AND(L8&gt;0,Z8=0),$X$3,IF(AND($V$1="n",B8&lt;&gt;"")," Details of IT ref - Check Pg 2 Q 30",IF(AND(O8=$BC$10,(H8-L8)&gt;400000),"Transfer value excessive!",IF(AND(OR(O8=$BC$11,O8=$BC$10),P8&lt;&gt;""),"Article 5A(5)(i) does not apply",IF(AND(O8=$BC$11,H8&gt;750000),"Transfer value excessive!",IF(AND(P8&lt;&gt;"",H8&gt;200000),"Transfer value excessive!","")))))))))</f>
        <v/>
      </c>
      <c r="T8" s="28">
        <f t="shared" ref="T8:T25" si="2">IF(OR(S8="",S8=$X$4),0,1)</f>
      </c>
      <c r="U8" s="1736">
        <f t="shared" ref="U8:U39" si="3">IF(H8="",0,ROUND((W8*Q8)-1,0))</f>
      </c>
      <c r="V8" s="1736">
        <f t="shared" ref="V8:V39" si="4">IF(H8="",0,ROUND((W8*Q8)+1,0))</f>
      </c>
      <c r="W8" s="31">
        <f t="shared" ref="W8:W39" si="5">H8-L8</f>
      </c>
      <c r="X8" s="2178">
        <f t="shared" ref="X8:X39" si="6">IF($V$1="y",COUNTA(B8,C8,G8,H8,I8,L8,M8,N8,O8,R8),COUNTA(C8,G8,H8,I8,L8,M8,N8,O8,R8))</f>
      </c>
      <c r="Y8" s="28">
        <f t="shared" ref="Y8:Y25" si="7">IF(R8&lt;U8,1,IF(R8&gt;V8,1,0))</f>
      </c>
      <c r="Z8" s="28">
        <f t="shared" ref="Z8:Z39" si="8">COUNTA(J8:K8)</f>
      </c>
      <c r="AA8" s="84">
        <f t="shared" ref="AA8:AA39" si="9">H8-(I8+L8+M8+N8)</f>
      </c>
      <c r="AB8" s="28">
        <f t="shared" ref="AB8:AB25" si="10">IF(AA8-R8&lt;0,0,AA8-R8)</f>
      </c>
      <c r="AG8" s="28">
        <f t="shared" ref="AG8:AG25" si="11">IF(S8=$X$4,1,0)</f>
      </c>
      <c r="BC8" s="2175" t="s">
        <v>7737</v>
      </c>
      <c r="BD8" s="2174">
        <v>0.12</v>
      </c>
    </row>
    <row r="9" spans="1:56" s="28" customFormat="1" ht="16.149999999999999" customHeight="1" x14ac:dyDescent="0.2">
      <c r="A9" s="17"/>
      <c r="B9" s="3558"/>
      <c r="C9" s="820"/>
      <c r="D9" s="41"/>
      <c r="E9" s="821">
        <f t="shared" si="0"/>
        <v>0</v>
      </c>
      <c r="F9" s="17"/>
      <c r="G9" s="364"/>
      <c r="H9" s="561"/>
      <c r="I9" s="561"/>
      <c r="J9" s="822"/>
      <c r="K9" s="823"/>
      <c r="L9" s="561"/>
      <c r="M9" s="561"/>
      <c r="N9" s="561"/>
      <c r="O9" s="2176"/>
      <c r="P9" s="2176"/>
      <c r="Q9" s="4025" t="str">
        <f t="shared" si="1"/>
        <v/>
      </c>
      <c r="R9" s="561"/>
      <c r="S9" s="222" t="str">
        <f t="shared" ref="S9:S82" si="12">IF(X9=0,"",IF(AND($V$1="y",X9&lt;&gt;10),$X$5,IF(AND($V$1="n",X9&lt;&gt;9),$X$5,IF(AND(L9&gt;0,Z9=0),$X$3,IF(AND($V$1="n",B9&lt;&gt;"")," Details of IT ref - Check Pg 2 Q 30",IF(AND(O9=$BC$10,(H9-L9)&gt;400000),"Transfer value excessive!",IF(AND(OR(O9=$BC$11,O9=$BC$10),P9&lt;&gt;""),"Article 5A(5)(i) does not apply",IF(AND(O9=$BC$11,H9&gt;750000),"Transfer value excessive!",IF(AND(P9&lt;&gt;"",H9&gt;200000),"Transfer value excessive!","")))))))))</f>
        <v/>
      </c>
      <c r="T9" s="28">
        <f t="shared" si="2"/>
        <v>0</v>
      </c>
      <c r="U9" s="1736">
        <f t="shared" si="3"/>
        <v>0</v>
      </c>
      <c r="V9" s="1736">
        <f t="shared" si="4"/>
        <v>0</v>
      </c>
      <c r="W9" s="31">
        <f t="shared" si="5"/>
        <v>0</v>
      </c>
      <c r="X9" s="2178">
        <f t="shared" si="6"/>
        <v>0</v>
      </c>
      <c r="Y9" s="28">
        <f t="shared" si="7"/>
        <v>0</v>
      </c>
      <c r="Z9" s="28">
        <f t="shared" si="8"/>
        <v>0</v>
      </c>
      <c r="AA9" s="84">
        <f t="shared" si="9"/>
        <v>0</v>
      </c>
      <c r="AB9" s="28">
        <f t="shared" si="10"/>
        <v>0</v>
      </c>
      <c r="AG9" s="28">
        <f t="shared" si="11"/>
        <v>0</v>
      </c>
      <c r="BC9" t="s">
        <v>7738</v>
      </c>
      <c r="BD9" s="2174">
        <v>0.05</v>
      </c>
    </row>
    <row r="10" spans="1:56" s="28" customFormat="1" ht="16.149999999999999" customHeight="1" x14ac:dyDescent="0.2">
      <c r="A10" s="17"/>
      <c r="B10" s="3558"/>
      <c r="C10" s="820"/>
      <c r="D10" s="41"/>
      <c r="E10" s="821">
        <f t="shared" si="0"/>
        <v>0</v>
      </c>
      <c r="F10" s="17"/>
      <c r="G10" s="364"/>
      <c r="H10" s="561"/>
      <c r="I10" s="561"/>
      <c r="J10" s="822"/>
      <c r="K10" s="823"/>
      <c r="L10" s="561"/>
      <c r="M10" s="561"/>
      <c r="N10" s="561"/>
      <c r="O10" s="2176"/>
      <c r="P10" s="2176"/>
      <c r="Q10" s="4025" t="str">
        <f t="shared" si="1"/>
        <v/>
      </c>
      <c r="R10" s="561"/>
      <c r="S10" s="222" t="str">
        <f t="shared" si="12"/>
        <v/>
      </c>
      <c r="T10" s="28">
        <f t="shared" si="2"/>
        <v>0</v>
      </c>
      <c r="U10" s="1736">
        <f t="shared" si="3"/>
        <v>0</v>
      </c>
      <c r="V10" s="1736">
        <f t="shared" si="4"/>
        <v>0</v>
      </c>
      <c r="W10" s="31">
        <f t="shared" si="5"/>
        <v>0</v>
      </c>
      <c r="X10" s="2178">
        <f t="shared" si="6"/>
        <v>0</v>
      </c>
      <c r="Y10" s="28">
        <f t="shared" si="7"/>
        <v>0</v>
      </c>
      <c r="Z10" s="28">
        <f t="shared" si="8"/>
        <v>0</v>
      </c>
      <c r="AA10" s="84">
        <f t="shared" si="9"/>
        <v>0</v>
      </c>
      <c r="AB10" s="28">
        <f t="shared" si="10"/>
        <v>0</v>
      </c>
      <c r="AG10" s="28">
        <f t="shared" si="11"/>
        <v>0</v>
      </c>
      <c r="BC10" s="1736" t="s">
        <v>10174</v>
      </c>
      <c r="BD10" s="150">
        <v>0.05</v>
      </c>
    </row>
    <row r="11" spans="1:56" s="28" customFormat="1" ht="16.149999999999999" customHeight="1" x14ac:dyDescent="0.2">
      <c r="A11" s="17"/>
      <c r="B11" s="3558"/>
      <c r="C11" s="820"/>
      <c r="D11" s="41"/>
      <c r="E11" s="821">
        <f t="shared" si="0"/>
        <v>0</v>
      </c>
      <c r="F11" s="17"/>
      <c r="G11" s="364"/>
      <c r="H11" s="561"/>
      <c r="I11" s="561"/>
      <c r="J11" s="822"/>
      <c r="K11" s="823"/>
      <c r="L11" s="561"/>
      <c r="M11" s="561"/>
      <c r="N11" s="561"/>
      <c r="O11" s="2176"/>
      <c r="P11" s="2176"/>
      <c r="Q11" s="4025" t="str">
        <f t="shared" si="1"/>
        <v/>
      </c>
      <c r="R11" s="561"/>
      <c r="S11" s="222" t="str">
        <f t="shared" si="12"/>
        <v/>
      </c>
      <c r="T11" s="28">
        <f t="shared" si="2"/>
        <v>0</v>
      </c>
      <c r="U11" s="1736">
        <f t="shared" si="3"/>
        <v>0</v>
      </c>
      <c r="V11" s="1736">
        <f t="shared" si="4"/>
        <v>0</v>
      </c>
      <c r="W11" s="31">
        <f t="shared" si="5"/>
        <v>0</v>
      </c>
      <c r="X11" s="2178">
        <f t="shared" si="6"/>
        <v>0</v>
      </c>
      <c r="Y11" s="28">
        <f t="shared" si="7"/>
        <v>0</v>
      </c>
      <c r="Z11" s="28">
        <f t="shared" si="8"/>
        <v>0</v>
      </c>
      <c r="AA11" s="84">
        <f t="shared" si="9"/>
        <v>0</v>
      </c>
      <c r="AB11" s="28">
        <f t="shared" si="10"/>
        <v>0</v>
      </c>
      <c r="AG11" s="28">
        <f t="shared" si="11"/>
        <v>0</v>
      </c>
      <c r="BC11" s="1736" t="s">
        <v>10229</v>
      </c>
      <c r="BD11" s="150">
        <v>0</v>
      </c>
    </row>
    <row r="12" spans="1:56" s="28" customFormat="1" ht="16.149999999999999" customHeight="1" x14ac:dyDescent="0.2">
      <c r="A12" s="17"/>
      <c r="B12" s="3558"/>
      <c r="C12" s="820"/>
      <c r="D12" s="41"/>
      <c r="E12" s="821">
        <f t="shared" si="0"/>
        <v>0</v>
      </c>
      <c r="F12" s="17"/>
      <c r="G12" s="364"/>
      <c r="H12" s="561"/>
      <c r="I12" s="561"/>
      <c r="J12" s="822"/>
      <c r="K12" s="823"/>
      <c r="L12" s="561"/>
      <c r="M12" s="561"/>
      <c r="N12" s="561"/>
      <c r="O12" s="2176"/>
      <c r="P12" s="2176"/>
      <c r="Q12" s="4025" t="str">
        <f t="shared" si="1"/>
        <v/>
      </c>
      <c r="R12" s="561"/>
      <c r="S12" s="222" t="str">
        <f t="shared" si="12"/>
        <v/>
      </c>
      <c r="T12" s="28">
        <f t="shared" si="2"/>
        <v>0</v>
      </c>
      <c r="U12" s="1736">
        <f t="shared" si="3"/>
        <v>0</v>
      </c>
      <c r="V12" s="1736">
        <f t="shared" si="4"/>
        <v>0</v>
      </c>
      <c r="W12" s="31">
        <f t="shared" si="5"/>
        <v>0</v>
      </c>
      <c r="X12" s="2178">
        <f t="shared" si="6"/>
        <v>0</v>
      </c>
      <c r="Y12" s="28">
        <f t="shared" si="7"/>
        <v>0</v>
      </c>
      <c r="Z12" s="28">
        <f t="shared" si="8"/>
        <v>0</v>
      </c>
      <c r="AA12" s="84">
        <f t="shared" si="9"/>
        <v>0</v>
      </c>
      <c r="AB12" s="28">
        <f t="shared" si="10"/>
        <v>0</v>
      </c>
      <c r="AG12" s="28">
        <f t="shared" si="11"/>
        <v>0</v>
      </c>
    </row>
    <row r="13" spans="1:56" s="28" customFormat="1" ht="16.149999999999999" customHeight="1" x14ac:dyDescent="0.2">
      <c r="A13" s="17"/>
      <c r="B13" s="3558"/>
      <c r="C13" s="820"/>
      <c r="D13" s="41"/>
      <c r="E13" s="821">
        <f t="shared" si="0"/>
        <v>0</v>
      </c>
      <c r="F13" s="17"/>
      <c r="G13" s="364"/>
      <c r="H13" s="561"/>
      <c r="I13" s="561"/>
      <c r="J13" s="822"/>
      <c r="K13" s="823"/>
      <c r="L13" s="561"/>
      <c r="M13" s="561"/>
      <c r="N13" s="561"/>
      <c r="O13" s="2176"/>
      <c r="P13" s="2176"/>
      <c r="Q13" s="4025" t="str">
        <f t="shared" si="1"/>
        <v/>
      </c>
      <c r="R13" s="561"/>
      <c r="S13" s="222" t="str">
        <f t="shared" si="12"/>
        <v/>
      </c>
      <c r="T13" s="28">
        <f t="shared" si="2"/>
        <v>0</v>
      </c>
      <c r="U13" s="1736">
        <f t="shared" si="3"/>
        <v>0</v>
      </c>
      <c r="V13" s="1736">
        <f t="shared" si="4"/>
        <v>0</v>
      </c>
      <c r="W13" s="31">
        <f t="shared" si="5"/>
        <v>0</v>
      </c>
      <c r="X13" s="2178">
        <f t="shared" si="6"/>
        <v>0</v>
      </c>
      <c r="Y13" s="28">
        <f t="shared" si="7"/>
        <v>0</v>
      </c>
      <c r="Z13" s="28">
        <f t="shared" si="8"/>
        <v>0</v>
      </c>
      <c r="AA13" s="84">
        <f t="shared" si="9"/>
        <v>0</v>
      </c>
      <c r="AB13" s="28">
        <f t="shared" si="10"/>
        <v>0</v>
      </c>
      <c r="AG13" s="28">
        <f t="shared" si="11"/>
        <v>0</v>
      </c>
    </row>
    <row r="14" spans="1:56" s="28" customFormat="1" ht="16.149999999999999" customHeight="1" x14ac:dyDescent="0.2">
      <c r="A14" s="17"/>
      <c r="B14" s="3558"/>
      <c r="C14" s="820"/>
      <c r="D14" s="41"/>
      <c r="E14" s="821">
        <f t="shared" si="0"/>
        <v>0</v>
      </c>
      <c r="F14" s="17"/>
      <c r="G14" s="364"/>
      <c r="H14" s="561"/>
      <c r="I14" s="561"/>
      <c r="J14" s="822"/>
      <c r="K14" s="823"/>
      <c r="L14" s="561"/>
      <c r="M14" s="561"/>
      <c r="N14" s="561"/>
      <c r="O14" s="2176"/>
      <c r="P14" s="2176"/>
      <c r="Q14" s="4025" t="str">
        <f t="shared" si="1"/>
        <v/>
      </c>
      <c r="R14" s="561"/>
      <c r="S14" s="222" t="str">
        <f t="shared" si="12"/>
        <v/>
      </c>
      <c r="T14" s="28">
        <f t="shared" si="2"/>
        <v>0</v>
      </c>
      <c r="U14" s="1736">
        <f t="shared" si="3"/>
        <v>0</v>
      </c>
      <c r="V14" s="1736">
        <f t="shared" si="4"/>
        <v>0</v>
      </c>
      <c r="W14" s="31">
        <f t="shared" si="5"/>
        <v>0</v>
      </c>
      <c r="X14" s="2178">
        <f t="shared" si="6"/>
        <v>0</v>
      </c>
      <c r="Y14" s="28">
        <f t="shared" si="7"/>
        <v>0</v>
      </c>
      <c r="Z14" s="28">
        <f t="shared" si="8"/>
        <v>0</v>
      </c>
      <c r="AA14" s="84">
        <f t="shared" si="9"/>
        <v>0</v>
      </c>
      <c r="AB14" s="28">
        <f t="shared" si="10"/>
        <v>0</v>
      </c>
      <c r="AG14" s="28">
        <f t="shared" si="11"/>
        <v>0</v>
      </c>
    </row>
    <row r="15" spans="1:56" s="28" customFormat="1" ht="16.149999999999999" customHeight="1" x14ac:dyDescent="0.2">
      <c r="A15" s="17"/>
      <c r="B15" s="3558"/>
      <c r="C15" s="820"/>
      <c r="D15" s="41"/>
      <c r="E15" s="821">
        <f t="shared" si="0"/>
        <v>0</v>
      </c>
      <c r="F15" s="17"/>
      <c r="G15" s="364"/>
      <c r="H15" s="561"/>
      <c r="I15" s="561"/>
      <c r="J15" s="822"/>
      <c r="K15" s="823"/>
      <c r="L15" s="561"/>
      <c r="M15" s="561"/>
      <c r="N15" s="561"/>
      <c r="O15" s="2176"/>
      <c r="P15" s="2176"/>
      <c r="Q15" s="4025" t="str">
        <f t="shared" si="1"/>
        <v/>
      </c>
      <c r="R15" s="561"/>
      <c r="S15" s="222" t="str">
        <f t="shared" si="12"/>
        <v/>
      </c>
      <c r="T15" s="28">
        <f t="shared" si="2"/>
        <v>0</v>
      </c>
      <c r="U15" s="1736">
        <f t="shared" si="3"/>
        <v>0</v>
      </c>
      <c r="V15" s="1736">
        <f t="shared" si="4"/>
        <v>0</v>
      </c>
      <c r="W15" s="31">
        <f t="shared" si="5"/>
        <v>0</v>
      </c>
      <c r="X15" s="2178">
        <f t="shared" si="6"/>
        <v>0</v>
      </c>
      <c r="Y15" s="28">
        <f t="shared" si="7"/>
        <v>0</v>
      </c>
      <c r="Z15" s="28">
        <f t="shared" si="8"/>
        <v>0</v>
      </c>
      <c r="AA15" s="84">
        <f t="shared" si="9"/>
        <v>0</v>
      </c>
      <c r="AB15" s="28">
        <f t="shared" si="10"/>
        <v>0</v>
      </c>
      <c r="AG15" s="28">
        <f t="shared" si="11"/>
        <v>0</v>
      </c>
    </row>
    <row r="16" spans="1:56" s="28" customFormat="1" ht="16.149999999999999" customHeight="1" x14ac:dyDescent="0.2">
      <c r="A16" s="17"/>
      <c r="B16" s="3558"/>
      <c r="C16" s="820"/>
      <c r="D16" s="41"/>
      <c r="E16" s="821">
        <f t="shared" si="0"/>
        <v>0</v>
      </c>
      <c r="F16" s="17"/>
      <c r="G16" s="364"/>
      <c r="H16" s="561"/>
      <c r="I16" s="561"/>
      <c r="J16" s="822"/>
      <c r="K16" s="823"/>
      <c r="L16" s="561"/>
      <c r="M16" s="561"/>
      <c r="N16" s="561"/>
      <c r="O16" s="2176"/>
      <c r="P16" s="2176"/>
      <c r="Q16" s="4025" t="str">
        <f t="shared" si="1"/>
        <v/>
      </c>
      <c r="R16" s="561"/>
      <c r="S16" s="222" t="str">
        <f t="shared" si="12"/>
        <v/>
      </c>
      <c r="T16" s="28">
        <f t="shared" si="2"/>
        <v>0</v>
      </c>
      <c r="U16" s="1736">
        <f t="shared" si="3"/>
        <v>0</v>
      </c>
      <c r="V16" s="1736">
        <f t="shared" si="4"/>
        <v>0</v>
      </c>
      <c r="W16" s="31">
        <f t="shared" si="5"/>
        <v>0</v>
      </c>
      <c r="X16" s="2178">
        <f t="shared" si="6"/>
        <v>0</v>
      </c>
      <c r="Y16" s="28">
        <f t="shared" si="7"/>
        <v>0</v>
      </c>
      <c r="Z16" s="28">
        <f t="shared" si="8"/>
        <v>0</v>
      </c>
      <c r="AA16" s="84">
        <f t="shared" si="9"/>
        <v>0</v>
      </c>
      <c r="AB16" s="28">
        <f t="shared" si="10"/>
        <v>0</v>
      </c>
      <c r="AG16" s="28">
        <f t="shared" si="11"/>
        <v>0</v>
      </c>
    </row>
    <row r="17" spans="1:33" s="28" customFormat="1" ht="16.149999999999999" customHeight="1" x14ac:dyDescent="0.2">
      <c r="A17" s="17"/>
      <c r="B17" s="3558"/>
      <c r="C17" s="820"/>
      <c r="D17" s="41"/>
      <c r="E17" s="821">
        <f t="shared" si="0"/>
        <v>0</v>
      </c>
      <c r="F17" s="17"/>
      <c r="G17" s="364"/>
      <c r="H17" s="561"/>
      <c r="I17" s="561"/>
      <c r="J17" s="822"/>
      <c r="K17" s="823"/>
      <c r="L17" s="561"/>
      <c r="M17" s="561"/>
      <c r="N17" s="561"/>
      <c r="O17" s="2176"/>
      <c r="P17" s="2176"/>
      <c r="Q17" s="4025" t="str">
        <f t="shared" si="1"/>
        <v/>
      </c>
      <c r="R17" s="561"/>
      <c r="S17" s="222" t="str">
        <f t="shared" si="12"/>
        <v/>
      </c>
      <c r="T17" s="28">
        <f t="shared" si="2"/>
        <v>0</v>
      </c>
      <c r="U17" s="1736">
        <f t="shared" si="3"/>
        <v>0</v>
      </c>
      <c r="V17" s="1736">
        <f t="shared" si="4"/>
        <v>0</v>
      </c>
      <c r="W17" s="31">
        <f t="shared" si="5"/>
        <v>0</v>
      </c>
      <c r="X17" s="2178">
        <f t="shared" si="6"/>
        <v>0</v>
      </c>
      <c r="Y17" s="28">
        <f t="shared" si="7"/>
        <v>0</v>
      </c>
      <c r="Z17" s="28">
        <f t="shared" si="8"/>
        <v>0</v>
      </c>
      <c r="AA17" s="84">
        <f t="shared" si="9"/>
        <v>0</v>
      </c>
      <c r="AB17" s="28">
        <f t="shared" si="10"/>
        <v>0</v>
      </c>
      <c r="AG17" s="28">
        <f t="shared" si="11"/>
        <v>0</v>
      </c>
    </row>
    <row r="18" spans="1:33" s="28" customFormat="1" ht="16.149999999999999" customHeight="1" x14ac:dyDescent="0.2">
      <c r="A18" s="17"/>
      <c r="B18" s="3558"/>
      <c r="C18" s="820"/>
      <c r="D18" s="41"/>
      <c r="E18" s="821">
        <f t="shared" si="0"/>
        <v>0</v>
      </c>
      <c r="F18" s="17"/>
      <c r="G18" s="364"/>
      <c r="H18" s="561"/>
      <c r="I18" s="561"/>
      <c r="J18" s="822"/>
      <c r="K18" s="823"/>
      <c r="L18" s="561"/>
      <c r="M18" s="561"/>
      <c r="N18" s="561"/>
      <c r="O18" s="2176"/>
      <c r="P18" s="2176"/>
      <c r="Q18" s="4025" t="str">
        <f t="shared" si="1"/>
        <v/>
      </c>
      <c r="R18" s="561"/>
      <c r="S18" s="222" t="str">
        <f t="shared" si="12"/>
        <v/>
      </c>
      <c r="T18" s="28">
        <f t="shared" si="2"/>
        <v>0</v>
      </c>
      <c r="U18" s="1736">
        <f t="shared" si="3"/>
        <v>0</v>
      </c>
      <c r="V18" s="1736">
        <f t="shared" si="4"/>
        <v>0</v>
      </c>
      <c r="W18" s="31">
        <f t="shared" si="5"/>
        <v>0</v>
      </c>
      <c r="X18" s="2178">
        <f t="shared" si="6"/>
        <v>0</v>
      </c>
      <c r="Y18" s="28">
        <f t="shared" si="7"/>
        <v>0</v>
      </c>
      <c r="Z18" s="28">
        <f t="shared" si="8"/>
        <v>0</v>
      </c>
      <c r="AA18" s="84">
        <f t="shared" si="9"/>
        <v>0</v>
      </c>
      <c r="AB18" s="28">
        <f t="shared" si="10"/>
        <v>0</v>
      </c>
      <c r="AG18" s="28">
        <f t="shared" si="11"/>
        <v>0</v>
      </c>
    </row>
    <row r="19" spans="1:33" s="28" customFormat="1" ht="16.149999999999999" customHeight="1" x14ac:dyDescent="0.2">
      <c r="A19" s="17"/>
      <c r="B19" s="3558"/>
      <c r="C19" s="820"/>
      <c r="D19" s="41"/>
      <c r="E19" s="821">
        <f t="shared" si="0"/>
        <v>0</v>
      </c>
      <c r="F19" s="17"/>
      <c r="G19" s="364"/>
      <c r="H19" s="561"/>
      <c r="I19" s="561"/>
      <c r="J19" s="822"/>
      <c r="K19" s="823"/>
      <c r="L19" s="561"/>
      <c r="M19" s="561"/>
      <c r="N19" s="561"/>
      <c r="O19" s="2176"/>
      <c r="P19" s="2176"/>
      <c r="Q19" s="4025" t="str">
        <f t="shared" si="1"/>
        <v/>
      </c>
      <c r="R19" s="561"/>
      <c r="S19" s="222" t="str">
        <f t="shared" si="12"/>
        <v/>
      </c>
      <c r="T19" s="28">
        <f t="shared" si="2"/>
        <v>0</v>
      </c>
      <c r="U19" s="1736">
        <f t="shared" si="3"/>
        <v>0</v>
      </c>
      <c r="V19" s="1736">
        <f t="shared" si="4"/>
        <v>0</v>
      </c>
      <c r="W19" s="31">
        <f t="shared" si="5"/>
        <v>0</v>
      </c>
      <c r="X19" s="2178">
        <f t="shared" si="6"/>
        <v>0</v>
      </c>
      <c r="Y19" s="28">
        <f t="shared" si="7"/>
        <v>0</v>
      </c>
      <c r="Z19" s="28">
        <f t="shared" si="8"/>
        <v>0</v>
      </c>
      <c r="AA19" s="84">
        <f t="shared" si="9"/>
        <v>0</v>
      </c>
      <c r="AB19" s="28">
        <f t="shared" si="10"/>
        <v>0</v>
      </c>
      <c r="AG19" s="28">
        <f t="shared" si="11"/>
        <v>0</v>
      </c>
    </row>
    <row r="20" spans="1:33" s="28" customFormat="1" ht="16.149999999999999" customHeight="1" x14ac:dyDescent="0.2">
      <c r="A20" s="17"/>
      <c r="B20" s="3558"/>
      <c r="C20" s="820"/>
      <c r="D20" s="41"/>
      <c r="E20" s="821">
        <f t="shared" si="0"/>
        <v>0</v>
      </c>
      <c r="F20" s="17"/>
      <c r="G20" s="364"/>
      <c r="H20" s="561"/>
      <c r="I20" s="561"/>
      <c r="J20" s="822"/>
      <c r="K20" s="823"/>
      <c r="L20" s="561"/>
      <c r="M20" s="561"/>
      <c r="N20" s="561"/>
      <c r="O20" s="2176"/>
      <c r="P20" s="2176"/>
      <c r="Q20" s="4025" t="str">
        <f t="shared" si="1"/>
        <v/>
      </c>
      <c r="R20" s="561"/>
      <c r="S20" s="222" t="str">
        <f t="shared" si="12"/>
        <v/>
      </c>
      <c r="T20" s="28">
        <f t="shared" si="2"/>
        <v>0</v>
      </c>
      <c r="U20" s="1736">
        <f t="shared" si="3"/>
        <v>0</v>
      </c>
      <c r="V20" s="1736">
        <f t="shared" si="4"/>
        <v>0</v>
      </c>
      <c r="W20" s="31">
        <f t="shared" si="5"/>
        <v>0</v>
      </c>
      <c r="X20" s="2178">
        <f t="shared" si="6"/>
        <v>0</v>
      </c>
      <c r="Y20" s="28">
        <f t="shared" si="7"/>
        <v>0</v>
      </c>
      <c r="Z20" s="28">
        <f t="shared" si="8"/>
        <v>0</v>
      </c>
      <c r="AA20" s="84">
        <f t="shared" si="9"/>
        <v>0</v>
      </c>
      <c r="AB20" s="28">
        <f t="shared" si="10"/>
        <v>0</v>
      </c>
      <c r="AG20" s="28">
        <f t="shared" si="11"/>
        <v>0</v>
      </c>
    </row>
    <row r="21" spans="1:33" s="28" customFormat="1" ht="16.149999999999999" customHeight="1" x14ac:dyDescent="0.2">
      <c r="A21" s="17"/>
      <c r="B21" s="3558"/>
      <c r="C21" s="820"/>
      <c r="D21" s="41"/>
      <c r="E21" s="821">
        <f t="shared" si="0"/>
        <v>0</v>
      </c>
      <c r="F21" s="17"/>
      <c r="G21" s="364"/>
      <c r="H21" s="561"/>
      <c r="I21" s="561"/>
      <c r="J21" s="822"/>
      <c r="K21" s="823"/>
      <c r="L21" s="561"/>
      <c r="M21" s="561"/>
      <c r="N21" s="561"/>
      <c r="O21" s="2176"/>
      <c r="P21" s="2176"/>
      <c r="Q21" s="4025" t="str">
        <f t="shared" si="1"/>
        <v/>
      </c>
      <c r="R21" s="561"/>
      <c r="S21" s="222" t="str">
        <f t="shared" si="12"/>
        <v/>
      </c>
      <c r="T21" s="28">
        <f t="shared" si="2"/>
        <v>0</v>
      </c>
      <c r="U21" s="1736">
        <f t="shared" si="3"/>
        <v>0</v>
      </c>
      <c r="V21" s="1736">
        <f t="shared" si="4"/>
        <v>0</v>
      </c>
      <c r="W21" s="31">
        <f t="shared" si="5"/>
        <v>0</v>
      </c>
      <c r="X21" s="2178">
        <f t="shared" si="6"/>
        <v>0</v>
      </c>
      <c r="Y21" s="28">
        <f t="shared" si="7"/>
        <v>0</v>
      </c>
      <c r="Z21" s="28">
        <f t="shared" si="8"/>
        <v>0</v>
      </c>
      <c r="AA21" s="84">
        <f t="shared" si="9"/>
        <v>0</v>
      </c>
      <c r="AB21" s="28">
        <f t="shared" si="10"/>
        <v>0</v>
      </c>
      <c r="AG21" s="28">
        <f t="shared" si="11"/>
        <v>0</v>
      </c>
    </row>
    <row r="22" spans="1:33" s="28" customFormat="1" ht="16.149999999999999" customHeight="1" x14ac:dyDescent="0.2">
      <c r="A22" s="17"/>
      <c r="B22" s="3558"/>
      <c r="C22" s="820"/>
      <c r="D22" s="41"/>
      <c r="E22" s="821">
        <f t="shared" si="0"/>
        <v>0</v>
      </c>
      <c r="F22" s="17"/>
      <c r="G22" s="364"/>
      <c r="H22" s="561"/>
      <c r="I22" s="561"/>
      <c r="J22" s="822"/>
      <c r="K22" s="823"/>
      <c r="L22" s="561"/>
      <c r="M22" s="561"/>
      <c r="N22" s="561"/>
      <c r="O22" s="2176"/>
      <c r="P22" s="2176"/>
      <c r="Q22" s="4025" t="str">
        <f t="shared" si="1"/>
        <v/>
      </c>
      <c r="R22" s="561"/>
      <c r="S22" s="222" t="str">
        <f t="shared" si="12"/>
        <v/>
      </c>
      <c r="T22" s="28">
        <f t="shared" si="2"/>
        <v>0</v>
      </c>
      <c r="U22" s="1736">
        <f t="shared" si="3"/>
        <v>0</v>
      </c>
      <c r="V22" s="1736">
        <f t="shared" si="4"/>
        <v>0</v>
      </c>
      <c r="W22" s="31">
        <f t="shared" si="5"/>
        <v>0</v>
      </c>
      <c r="X22" s="2178">
        <f t="shared" si="6"/>
        <v>0</v>
      </c>
      <c r="Y22" s="28">
        <f t="shared" si="7"/>
        <v>0</v>
      </c>
      <c r="Z22" s="28">
        <f t="shared" si="8"/>
        <v>0</v>
      </c>
      <c r="AA22" s="84">
        <f t="shared" si="9"/>
        <v>0</v>
      </c>
      <c r="AB22" s="28">
        <f t="shared" si="10"/>
        <v>0</v>
      </c>
      <c r="AG22" s="28">
        <f t="shared" si="11"/>
        <v>0</v>
      </c>
    </row>
    <row r="23" spans="1:33" s="28" customFormat="1" ht="16.149999999999999" customHeight="1" x14ac:dyDescent="0.2">
      <c r="A23" s="17"/>
      <c r="B23" s="3558"/>
      <c r="C23" s="820"/>
      <c r="D23" s="41"/>
      <c r="E23" s="821">
        <f t="shared" si="0"/>
        <v>0</v>
      </c>
      <c r="F23" s="17"/>
      <c r="G23" s="364"/>
      <c r="H23" s="561"/>
      <c r="I23" s="561"/>
      <c r="J23" s="822"/>
      <c r="K23" s="823"/>
      <c r="L23" s="561"/>
      <c r="M23" s="561"/>
      <c r="N23" s="561"/>
      <c r="O23" s="2176"/>
      <c r="P23" s="2176"/>
      <c r="Q23" s="4025" t="str">
        <f t="shared" si="1"/>
        <v/>
      </c>
      <c r="R23" s="561"/>
      <c r="S23" s="222" t="str">
        <f t="shared" si="12"/>
        <v/>
      </c>
      <c r="T23" s="28">
        <f t="shared" si="2"/>
        <v>0</v>
      </c>
      <c r="U23" s="1736">
        <f t="shared" si="3"/>
        <v>0</v>
      </c>
      <c r="V23" s="1736">
        <f t="shared" si="4"/>
        <v>0</v>
      </c>
      <c r="W23" s="31">
        <f t="shared" si="5"/>
        <v>0</v>
      </c>
      <c r="X23" s="2178">
        <f t="shared" si="6"/>
        <v>0</v>
      </c>
      <c r="Y23" s="28">
        <f t="shared" si="7"/>
        <v>0</v>
      </c>
      <c r="Z23" s="28">
        <f t="shared" si="8"/>
        <v>0</v>
      </c>
      <c r="AA23" s="84">
        <f t="shared" si="9"/>
        <v>0</v>
      </c>
      <c r="AB23" s="28">
        <f t="shared" si="10"/>
        <v>0</v>
      </c>
      <c r="AG23" s="28">
        <f t="shared" si="11"/>
        <v>0</v>
      </c>
    </row>
    <row r="24" spans="1:33" s="28" customFormat="1" ht="16.149999999999999" customHeight="1" x14ac:dyDescent="0.2">
      <c r="A24" s="17"/>
      <c r="B24" s="3558"/>
      <c r="C24" s="820"/>
      <c r="D24" s="41"/>
      <c r="E24" s="821">
        <f t="shared" si="0"/>
        <v>0</v>
      </c>
      <c r="F24" s="17"/>
      <c r="G24" s="364"/>
      <c r="H24" s="561"/>
      <c r="I24" s="561"/>
      <c r="J24" s="822"/>
      <c r="K24" s="823"/>
      <c r="L24" s="561"/>
      <c r="M24" s="561"/>
      <c r="N24" s="561"/>
      <c r="O24" s="2176"/>
      <c r="P24" s="2176"/>
      <c r="Q24" s="4025" t="str">
        <f t="shared" si="1"/>
        <v/>
      </c>
      <c r="R24" s="561"/>
      <c r="S24" s="222" t="str">
        <f t="shared" si="12"/>
        <v/>
      </c>
      <c r="T24" s="28">
        <f t="shared" si="2"/>
        <v>0</v>
      </c>
      <c r="U24" s="1736">
        <f t="shared" si="3"/>
        <v>0</v>
      </c>
      <c r="V24" s="1736">
        <f t="shared" si="4"/>
        <v>0</v>
      </c>
      <c r="W24" s="31">
        <f t="shared" si="5"/>
        <v>0</v>
      </c>
      <c r="X24" s="2178">
        <f t="shared" si="6"/>
        <v>0</v>
      </c>
      <c r="Y24" s="28">
        <f t="shared" si="7"/>
        <v>0</v>
      </c>
      <c r="Z24" s="28">
        <f t="shared" si="8"/>
        <v>0</v>
      </c>
      <c r="AA24" s="84">
        <f t="shared" si="9"/>
        <v>0</v>
      </c>
      <c r="AB24" s="28">
        <f t="shared" si="10"/>
        <v>0</v>
      </c>
      <c r="AG24" s="28">
        <f t="shared" si="11"/>
        <v>0</v>
      </c>
    </row>
    <row r="25" spans="1:33" s="28" customFormat="1" ht="16.149999999999999" customHeight="1" x14ac:dyDescent="0.2">
      <c r="A25" s="17"/>
      <c r="B25" s="3558"/>
      <c r="C25" s="820"/>
      <c r="D25" s="41"/>
      <c r="E25" s="821">
        <f t="shared" si="0"/>
        <v>0</v>
      </c>
      <c r="F25" s="17"/>
      <c r="G25" s="364"/>
      <c r="H25" s="561"/>
      <c r="I25" s="561"/>
      <c r="J25" s="822"/>
      <c r="K25" s="823"/>
      <c r="L25" s="561"/>
      <c r="M25" s="561"/>
      <c r="N25" s="561"/>
      <c r="O25" s="2176"/>
      <c r="P25" s="2176"/>
      <c r="Q25" s="4025" t="str">
        <f t="shared" si="1"/>
        <v/>
      </c>
      <c r="R25" s="561"/>
      <c r="S25" s="222" t="str">
        <f t="shared" si="12"/>
        <v/>
      </c>
      <c r="T25" s="28">
        <f t="shared" si="2"/>
        <v>0</v>
      </c>
      <c r="U25" s="1736">
        <f t="shared" si="3"/>
        <v>0</v>
      </c>
      <c r="V25" s="1736">
        <f t="shared" si="4"/>
        <v>0</v>
      </c>
      <c r="W25" s="31">
        <f t="shared" si="5"/>
        <v>0</v>
      </c>
      <c r="X25" s="2178">
        <f t="shared" si="6"/>
        <v>0</v>
      </c>
      <c r="Y25" s="28">
        <f t="shared" si="7"/>
        <v>0</v>
      </c>
      <c r="Z25" s="28">
        <f t="shared" si="8"/>
        <v>0</v>
      </c>
      <c r="AA25" s="84">
        <f t="shared" si="9"/>
        <v>0</v>
      </c>
      <c r="AB25" s="28">
        <f t="shared" si="10"/>
        <v>0</v>
      </c>
      <c r="AG25" s="28">
        <f t="shared" si="11"/>
        <v>0</v>
      </c>
    </row>
    <row r="26" spans="1:33" s="28" customFormat="1" ht="16.149999999999999" customHeight="1" x14ac:dyDescent="0.2">
      <c r="A26" s="17"/>
      <c r="B26" s="3558"/>
      <c r="C26" s="820"/>
      <c r="D26" s="41"/>
      <c r="E26" s="821">
        <f t="shared" ref="E26:E75" si="13">AA26</f>
      </c>
      <c r="F26" s="17"/>
      <c r="G26" s="364"/>
      <c r="H26" s="561"/>
      <c r="I26" s="561"/>
      <c r="J26" s="822"/>
      <c r="K26" s="823"/>
      <c r="L26" s="561"/>
      <c r="M26" s="561"/>
      <c r="N26" s="561"/>
      <c r="O26" s="2176"/>
      <c r="P26" s="2176"/>
      <c r="Q26" s="4025" t="str">
        <f t="shared" si="1"/>
        <v/>
      </c>
      <c r="R26" s="561"/>
      <c r="S26" s="222" t="str">
        <f t="shared" si="12"/>
        <v/>
      </c>
      <c r="T26" s="28">
        <f t="shared" ref="T26:T75" si="14">IF(OR(S26="",S26=$X$4),0,1)</f>
      </c>
      <c r="U26" s="1736">
        <f t="shared" si="3"/>
        <v>0</v>
      </c>
      <c r="V26" s="1736">
        <f t="shared" si="4"/>
        <v>0</v>
      </c>
      <c r="W26" s="31">
        <f t="shared" si="5"/>
        <v>0</v>
      </c>
      <c r="X26" s="2178">
        <f t="shared" si="6"/>
        <v>0</v>
      </c>
      <c r="Y26" s="28">
        <f t="shared" ref="Y26:Y75" si="15">IF(R26&lt;U26,1,IF(R26&gt;V26,1,0))</f>
      </c>
      <c r="Z26" s="28">
        <f t="shared" si="8"/>
        <v>0</v>
      </c>
      <c r="AA26" s="84">
        <f t="shared" si="9"/>
        <v>0</v>
      </c>
      <c r="AB26" s="28">
        <f t="shared" ref="AB26:AB75" si="16">IF(AA26-R26&lt;0,0,AA26-R26)</f>
      </c>
      <c r="AG26" s="28">
        <f t="shared" ref="AG26:AG75" si="17">IF(S26=$X$4,1,0)</f>
      </c>
    </row>
    <row r="27" spans="1:33" s="28" customFormat="1" ht="16.149999999999999" customHeight="1" x14ac:dyDescent="0.2">
      <c r="A27" s="17"/>
      <c r="B27" s="3558"/>
      <c r="C27" s="820"/>
      <c r="D27" s="41"/>
      <c r="E27" s="821">
        <f t="shared" si="13"/>
        <v>0</v>
      </c>
      <c r="F27" s="17"/>
      <c r="G27" s="364"/>
      <c r="H27" s="561"/>
      <c r="I27" s="561"/>
      <c r="J27" s="822"/>
      <c r="K27" s="823"/>
      <c r="L27" s="561"/>
      <c r="M27" s="561"/>
      <c r="N27" s="561"/>
      <c r="O27" s="2176"/>
      <c r="P27" s="2176"/>
      <c r="Q27" s="4025" t="str">
        <f t="shared" si="1"/>
        <v/>
      </c>
      <c r="R27" s="561"/>
      <c r="S27" s="222" t="str">
        <f t="shared" si="12"/>
        <v/>
      </c>
      <c r="T27" s="28">
        <f t="shared" si="14"/>
        <v>0</v>
      </c>
      <c r="U27" s="1736">
        <f t="shared" si="3"/>
        <v>0</v>
      </c>
      <c r="V27" s="1736">
        <f t="shared" si="4"/>
        <v>0</v>
      </c>
      <c r="W27" s="31">
        <f t="shared" si="5"/>
        <v>0</v>
      </c>
      <c r="X27" s="2178">
        <f t="shared" si="6"/>
        <v>0</v>
      </c>
      <c r="Y27" s="28">
        <f t="shared" si="15"/>
        <v>0</v>
      </c>
      <c r="Z27" s="28">
        <f t="shared" si="8"/>
        <v>0</v>
      </c>
      <c r="AA27" s="84">
        <f t="shared" si="9"/>
        <v>0</v>
      </c>
      <c r="AB27" s="28">
        <f t="shared" si="16"/>
        <v>0</v>
      </c>
      <c r="AG27" s="28">
        <f t="shared" si="17"/>
        <v>0</v>
      </c>
    </row>
    <row r="28" spans="1:33" s="28" customFormat="1" ht="16.149999999999999" customHeight="1" x14ac:dyDescent="0.2">
      <c r="A28" s="17"/>
      <c r="B28" s="3558"/>
      <c r="C28" s="820"/>
      <c r="D28" s="41"/>
      <c r="E28" s="821">
        <f t="shared" si="13"/>
        <v>0</v>
      </c>
      <c r="F28" s="17"/>
      <c r="G28" s="364"/>
      <c r="H28" s="561"/>
      <c r="I28" s="561"/>
      <c r="J28" s="822"/>
      <c r="K28" s="823"/>
      <c r="L28" s="561"/>
      <c r="M28" s="561"/>
      <c r="N28" s="561"/>
      <c r="O28" s="2176"/>
      <c r="P28" s="2176"/>
      <c r="Q28" s="4025" t="str">
        <f t="shared" si="1"/>
        <v/>
      </c>
      <c r="R28" s="561"/>
      <c r="S28" s="222" t="str">
        <f t="shared" si="12"/>
        <v/>
      </c>
      <c r="T28" s="28">
        <f t="shared" si="14"/>
        <v>0</v>
      </c>
      <c r="U28" s="1736">
        <f t="shared" si="3"/>
        <v>0</v>
      </c>
      <c r="V28" s="1736">
        <f t="shared" si="4"/>
        <v>0</v>
      </c>
      <c r="W28" s="31">
        <f t="shared" si="5"/>
        <v>0</v>
      </c>
      <c r="X28" s="2178">
        <f t="shared" si="6"/>
        <v>0</v>
      </c>
      <c r="Y28" s="28">
        <f t="shared" si="15"/>
        <v>0</v>
      </c>
      <c r="Z28" s="28">
        <f t="shared" si="8"/>
        <v>0</v>
      </c>
      <c r="AA28" s="84">
        <f t="shared" si="9"/>
        <v>0</v>
      </c>
      <c r="AB28" s="28">
        <f t="shared" si="16"/>
        <v>0</v>
      </c>
      <c r="AG28" s="28">
        <f t="shared" si="17"/>
        <v>0</v>
      </c>
    </row>
    <row r="29" spans="1:33" s="28" customFormat="1" ht="16.149999999999999" customHeight="1" x14ac:dyDescent="0.2">
      <c r="A29" s="17"/>
      <c r="B29" s="3558"/>
      <c r="C29" s="820"/>
      <c r="D29" s="41"/>
      <c r="E29" s="821">
        <f t="shared" si="13"/>
        <v>0</v>
      </c>
      <c r="F29" s="17"/>
      <c r="G29" s="364"/>
      <c r="H29" s="561"/>
      <c r="I29" s="561"/>
      <c r="J29" s="822"/>
      <c r="K29" s="823"/>
      <c r="L29" s="561"/>
      <c r="M29" s="561"/>
      <c r="N29" s="561"/>
      <c r="O29" s="2176"/>
      <c r="P29" s="2176"/>
      <c r="Q29" s="4025" t="str">
        <f t="shared" si="1"/>
        <v/>
      </c>
      <c r="R29" s="561"/>
      <c r="S29" s="222" t="str">
        <f t="shared" si="12"/>
        <v/>
      </c>
      <c r="T29" s="28">
        <f t="shared" si="14"/>
        <v>0</v>
      </c>
      <c r="U29" s="1736">
        <f t="shared" si="3"/>
        <v>0</v>
      </c>
      <c r="V29" s="1736">
        <f t="shared" si="4"/>
        <v>0</v>
      </c>
      <c r="W29" s="31">
        <f t="shared" si="5"/>
        <v>0</v>
      </c>
      <c r="X29" s="2178">
        <f t="shared" si="6"/>
        <v>0</v>
      </c>
      <c r="Y29" s="28">
        <f t="shared" si="15"/>
        <v>0</v>
      </c>
      <c r="Z29" s="28">
        <f t="shared" si="8"/>
        <v>0</v>
      </c>
      <c r="AA29" s="84">
        <f t="shared" si="9"/>
        <v>0</v>
      </c>
      <c r="AB29" s="28">
        <f t="shared" si="16"/>
        <v>0</v>
      </c>
      <c r="AG29" s="28">
        <f t="shared" si="17"/>
        <v>0</v>
      </c>
    </row>
    <row r="30" spans="1:33" s="28" customFormat="1" ht="16.149999999999999" customHeight="1" x14ac:dyDescent="0.2">
      <c r="A30" s="17"/>
      <c r="B30" s="3558"/>
      <c r="C30" s="820"/>
      <c r="D30" s="41"/>
      <c r="E30" s="821">
        <f t="shared" si="13"/>
        <v>0</v>
      </c>
      <c r="F30" s="17"/>
      <c r="G30" s="364"/>
      <c r="H30" s="561"/>
      <c r="I30" s="561"/>
      <c r="J30" s="822"/>
      <c r="K30" s="823"/>
      <c r="L30" s="561"/>
      <c r="M30" s="561"/>
      <c r="N30" s="561"/>
      <c r="O30" s="2176"/>
      <c r="P30" s="2176"/>
      <c r="Q30" s="4025" t="str">
        <f t="shared" si="1"/>
        <v/>
      </c>
      <c r="R30" s="561"/>
      <c r="S30" s="222" t="str">
        <f t="shared" si="12"/>
        <v/>
      </c>
      <c r="T30" s="28">
        <f t="shared" si="14"/>
        <v>0</v>
      </c>
      <c r="U30" s="1736">
        <f t="shared" si="3"/>
        <v>0</v>
      </c>
      <c r="V30" s="1736">
        <f t="shared" si="4"/>
        <v>0</v>
      </c>
      <c r="W30" s="31">
        <f t="shared" si="5"/>
        <v>0</v>
      </c>
      <c r="X30" s="2178">
        <f t="shared" si="6"/>
        <v>0</v>
      </c>
      <c r="Y30" s="28">
        <f t="shared" si="15"/>
        <v>0</v>
      </c>
      <c r="Z30" s="28">
        <f t="shared" si="8"/>
        <v>0</v>
      </c>
      <c r="AA30" s="84">
        <f t="shared" si="9"/>
        <v>0</v>
      </c>
      <c r="AB30" s="28">
        <f t="shared" si="16"/>
        <v>0</v>
      </c>
      <c r="AG30" s="28">
        <f t="shared" si="17"/>
        <v>0</v>
      </c>
    </row>
    <row r="31" spans="1:33" s="28" customFormat="1" ht="16.149999999999999" customHeight="1" x14ac:dyDescent="0.2">
      <c r="A31" s="17"/>
      <c r="B31" s="3558"/>
      <c r="C31" s="820"/>
      <c r="D31" s="41"/>
      <c r="E31" s="821">
        <f t="shared" si="13"/>
        <v>0</v>
      </c>
      <c r="F31" s="17"/>
      <c r="G31" s="364"/>
      <c r="H31" s="561"/>
      <c r="I31" s="561"/>
      <c r="J31" s="822"/>
      <c r="K31" s="823"/>
      <c r="L31" s="561"/>
      <c r="M31" s="561"/>
      <c r="N31" s="561"/>
      <c r="O31" s="2176"/>
      <c r="P31" s="2176"/>
      <c r="Q31" s="4025" t="str">
        <f t="shared" si="1"/>
        <v/>
      </c>
      <c r="R31" s="561"/>
      <c r="S31" s="222" t="str">
        <f t="shared" si="12"/>
        <v/>
      </c>
      <c r="T31" s="28">
        <f t="shared" si="14"/>
        <v>0</v>
      </c>
      <c r="U31" s="1736">
        <f t="shared" si="3"/>
        <v>0</v>
      </c>
      <c r="V31" s="1736">
        <f t="shared" si="4"/>
        <v>0</v>
      </c>
      <c r="W31" s="31">
        <f t="shared" si="5"/>
        <v>0</v>
      </c>
      <c r="X31" s="2178">
        <f t="shared" si="6"/>
        <v>0</v>
      </c>
      <c r="Y31" s="28">
        <f t="shared" si="15"/>
        <v>0</v>
      </c>
      <c r="Z31" s="28">
        <f t="shared" si="8"/>
        <v>0</v>
      </c>
      <c r="AA31" s="84">
        <f t="shared" si="9"/>
        <v>0</v>
      </c>
      <c r="AB31" s="28">
        <f t="shared" si="16"/>
        <v>0</v>
      </c>
      <c r="AG31" s="28">
        <f t="shared" si="17"/>
        <v>0</v>
      </c>
    </row>
    <row r="32" spans="1:33" s="28" customFormat="1" ht="16.149999999999999" customHeight="1" x14ac:dyDescent="0.2">
      <c r="A32" s="17"/>
      <c r="B32" s="3558"/>
      <c r="C32" s="820"/>
      <c r="D32" s="41"/>
      <c r="E32" s="821">
        <f t="shared" si="13"/>
        <v>0</v>
      </c>
      <c r="F32" s="17"/>
      <c r="G32" s="364"/>
      <c r="H32" s="561"/>
      <c r="I32" s="561"/>
      <c r="J32" s="822"/>
      <c r="K32" s="823"/>
      <c r="L32" s="561"/>
      <c r="M32" s="561"/>
      <c r="N32" s="561"/>
      <c r="O32" s="2176"/>
      <c r="P32" s="2176"/>
      <c r="Q32" s="4025" t="str">
        <f t="shared" si="1"/>
        <v/>
      </c>
      <c r="R32" s="561"/>
      <c r="S32" s="222" t="str">
        <f t="shared" si="12"/>
        <v/>
      </c>
      <c r="T32" s="28">
        <f t="shared" si="14"/>
        <v>0</v>
      </c>
      <c r="U32" s="1736">
        <f t="shared" si="3"/>
        <v>0</v>
      </c>
      <c r="V32" s="1736">
        <f t="shared" si="4"/>
        <v>0</v>
      </c>
      <c r="W32" s="31">
        <f t="shared" si="5"/>
        <v>0</v>
      </c>
      <c r="X32" s="2178">
        <f t="shared" si="6"/>
        <v>0</v>
      </c>
      <c r="Y32" s="28">
        <f t="shared" si="15"/>
        <v>0</v>
      </c>
      <c r="Z32" s="28">
        <f t="shared" si="8"/>
        <v>0</v>
      </c>
      <c r="AA32" s="84">
        <f t="shared" si="9"/>
        <v>0</v>
      </c>
      <c r="AB32" s="28">
        <f t="shared" si="16"/>
        <v>0</v>
      </c>
      <c r="AG32" s="28">
        <f t="shared" si="17"/>
        <v>0</v>
      </c>
    </row>
    <row r="33" spans="1:33" s="28" customFormat="1" ht="16.149999999999999" customHeight="1" x14ac:dyDescent="0.2">
      <c r="A33" s="17"/>
      <c r="B33" s="3558"/>
      <c r="C33" s="820"/>
      <c r="D33" s="41"/>
      <c r="E33" s="821">
        <f t="shared" si="13"/>
        <v>0</v>
      </c>
      <c r="F33" s="17"/>
      <c r="G33" s="364"/>
      <c r="H33" s="561"/>
      <c r="I33" s="561"/>
      <c r="J33" s="822"/>
      <c r="K33" s="823"/>
      <c r="L33" s="561"/>
      <c r="M33" s="561"/>
      <c r="N33" s="561"/>
      <c r="O33" s="2176"/>
      <c r="P33" s="2176"/>
      <c r="Q33" s="4025" t="str">
        <f t="shared" si="1"/>
        <v/>
      </c>
      <c r="R33" s="561"/>
      <c r="S33" s="222" t="str">
        <f t="shared" si="12"/>
        <v/>
      </c>
      <c r="T33" s="28">
        <f t="shared" si="14"/>
        <v>0</v>
      </c>
      <c r="U33" s="1736">
        <f t="shared" si="3"/>
        <v>0</v>
      </c>
      <c r="V33" s="1736">
        <f t="shared" si="4"/>
        <v>0</v>
      </c>
      <c r="W33" s="31">
        <f t="shared" si="5"/>
        <v>0</v>
      </c>
      <c r="X33" s="2178">
        <f t="shared" si="6"/>
        <v>0</v>
      </c>
      <c r="Y33" s="28">
        <f t="shared" si="15"/>
        <v>0</v>
      </c>
      <c r="Z33" s="28">
        <f t="shared" si="8"/>
        <v>0</v>
      </c>
      <c r="AA33" s="84">
        <f t="shared" si="9"/>
        <v>0</v>
      </c>
      <c r="AB33" s="28">
        <f t="shared" si="16"/>
        <v>0</v>
      </c>
      <c r="AG33" s="28">
        <f t="shared" si="17"/>
        <v>0</v>
      </c>
    </row>
    <row r="34" spans="1:33" s="28" customFormat="1" ht="16.149999999999999" customHeight="1" x14ac:dyDescent="0.2">
      <c r="A34" s="17"/>
      <c r="B34" s="3558"/>
      <c r="C34" s="820"/>
      <c r="D34" s="41"/>
      <c r="E34" s="821">
        <f t="shared" si="13"/>
        <v>0</v>
      </c>
      <c r="F34" s="17"/>
      <c r="G34" s="364"/>
      <c r="H34" s="561"/>
      <c r="I34" s="561"/>
      <c r="J34" s="822"/>
      <c r="K34" s="823"/>
      <c r="L34" s="561"/>
      <c r="M34" s="561"/>
      <c r="N34" s="561"/>
      <c r="O34" s="2176"/>
      <c r="P34" s="2176"/>
      <c r="Q34" s="4025" t="str">
        <f t="shared" si="1"/>
        <v/>
      </c>
      <c r="R34" s="561"/>
      <c r="S34" s="222" t="str">
        <f t="shared" si="12"/>
        <v/>
      </c>
      <c r="T34" s="28">
        <f t="shared" si="14"/>
        <v>0</v>
      </c>
      <c r="U34" s="1736">
        <f t="shared" si="3"/>
        <v>0</v>
      </c>
      <c r="V34" s="1736">
        <f t="shared" si="4"/>
        <v>0</v>
      </c>
      <c r="W34" s="31">
        <f t="shared" si="5"/>
        <v>0</v>
      </c>
      <c r="X34" s="2178">
        <f t="shared" si="6"/>
        <v>0</v>
      </c>
      <c r="Y34" s="28">
        <f t="shared" si="15"/>
        <v>0</v>
      </c>
      <c r="Z34" s="28">
        <f t="shared" si="8"/>
        <v>0</v>
      </c>
      <c r="AA34" s="84">
        <f t="shared" si="9"/>
        <v>0</v>
      </c>
      <c r="AB34" s="28">
        <f t="shared" si="16"/>
        <v>0</v>
      </c>
      <c r="AG34" s="28">
        <f t="shared" si="17"/>
        <v>0</v>
      </c>
    </row>
    <row r="35" spans="1:33" s="28" customFormat="1" ht="16.149999999999999" customHeight="1" x14ac:dyDescent="0.2">
      <c r="A35" s="17"/>
      <c r="B35" s="3558"/>
      <c r="C35" s="820"/>
      <c r="D35" s="41"/>
      <c r="E35" s="821">
        <f t="shared" si="13"/>
        <v>0</v>
      </c>
      <c r="F35" s="17"/>
      <c r="G35" s="364"/>
      <c r="H35" s="561"/>
      <c r="I35" s="561"/>
      <c r="J35" s="822"/>
      <c r="K35" s="823"/>
      <c r="L35" s="561"/>
      <c r="M35" s="561"/>
      <c r="N35" s="561"/>
      <c r="O35" s="2176"/>
      <c r="P35" s="2176"/>
      <c r="Q35" s="4025" t="str">
        <f t="shared" si="1"/>
        <v/>
      </c>
      <c r="R35" s="561"/>
      <c r="S35" s="222" t="str">
        <f t="shared" si="12"/>
        <v/>
      </c>
      <c r="T35" s="28">
        <f t="shared" si="14"/>
        <v>0</v>
      </c>
      <c r="U35" s="1736">
        <f t="shared" si="3"/>
        <v>0</v>
      </c>
      <c r="V35" s="1736">
        <f t="shared" si="4"/>
        <v>0</v>
      </c>
      <c r="W35" s="31">
        <f t="shared" si="5"/>
        <v>0</v>
      </c>
      <c r="X35" s="2178">
        <f t="shared" si="6"/>
        <v>0</v>
      </c>
      <c r="Y35" s="28">
        <f t="shared" si="15"/>
        <v>0</v>
      </c>
      <c r="Z35" s="28">
        <f t="shared" si="8"/>
        <v>0</v>
      </c>
      <c r="AA35" s="84">
        <f t="shared" si="9"/>
        <v>0</v>
      </c>
      <c r="AB35" s="28">
        <f t="shared" si="16"/>
        <v>0</v>
      </c>
      <c r="AG35" s="28">
        <f t="shared" si="17"/>
        <v>0</v>
      </c>
    </row>
    <row r="36" spans="1:33" s="28" customFormat="1" ht="16.149999999999999" customHeight="1" x14ac:dyDescent="0.2">
      <c r="A36" s="17"/>
      <c r="B36" s="3558"/>
      <c r="C36" s="820"/>
      <c r="D36" s="41"/>
      <c r="E36" s="821">
        <f t="shared" si="13"/>
        <v>0</v>
      </c>
      <c r="F36" s="17"/>
      <c r="G36" s="364"/>
      <c r="H36" s="561"/>
      <c r="I36" s="561"/>
      <c r="J36" s="822"/>
      <c r="K36" s="823"/>
      <c r="L36" s="561"/>
      <c r="M36" s="561"/>
      <c r="N36" s="561"/>
      <c r="O36" s="2176"/>
      <c r="P36" s="2176"/>
      <c r="Q36" s="4025" t="str">
        <f t="shared" si="1"/>
        <v/>
      </c>
      <c r="R36" s="561"/>
      <c r="S36" s="222" t="str">
        <f t="shared" si="12"/>
        <v/>
      </c>
      <c r="T36" s="28">
        <f t="shared" si="14"/>
        <v>0</v>
      </c>
      <c r="U36" s="1736">
        <f t="shared" si="3"/>
        <v>0</v>
      </c>
      <c r="V36" s="1736">
        <f t="shared" si="4"/>
        <v>0</v>
      </c>
      <c r="W36" s="31">
        <f t="shared" si="5"/>
        <v>0</v>
      </c>
      <c r="X36" s="2178">
        <f t="shared" si="6"/>
        <v>0</v>
      </c>
      <c r="Y36" s="28">
        <f t="shared" si="15"/>
        <v>0</v>
      </c>
      <c r="Z36" s="28">
        <f t="shared" si="8"/>
        <v>0</v>
      </c>
      <c r="AA36" s="84">
        <f t="shared" si="9"/>
        <v>0</v>
      </c>
      <c r="AB36" s="28">
        <f t="shared" si="16"/>
        <v>0</v>
      </c>
      <c r="AG36" s="28">
        <f t="shared" si="17"/>
        <v>0</v>
      </c>
    </row>
    <row r="37" spans="1:33" s="28" customFormat="1" ht="16.149999999999999" customHeight="1" x14ac:dyDescent="0.2">
      <c r="A37" s="17"/>
      <c r="B37" s="3558"/>
      <c r="C37" s="820"/>
      <c r="D37" s="41"/>
      <c r="E37" s="821">
        <f t="shared" si="13"/>
        <v>0</v>
      </c>
      <c r="F37" s="17"/>
      <c r="G37" s="364"/>
      <c r="H37" s="561"/>
      <c r="I37" s="561"/>
      <c r="J37" s="822"/>
      <c r="K37" s="823"/>
      <c r="L37" s="561"/>
      <c r="M37" s="561"/>
      <c r="N37" s="561"/>
      <c r="O37" s="2176"/>
      <c r="P37" s="2176"/>
      <c r="Q37" s="4025" t="str">
        <f t="shared" si="1"/>
        <v/>
      </c>
      <c r="R37" s="561"/>
      <c r="S37" s="222" t="str">
        <f t="shared" si="12"/>
        <v/>
      </c>
      <c r="T37" s="28">
        <f t="shared" si="14"/>
        <v>0</v>
      </c>
      <c r="U37" s="1736">
        <f t="shared" si="3"/>
        <v>0</v>
      </c>
      <c r="V37" s="1736">
        <f t="shared" si="4"/>
        <v>0</v>
      </c>
      <c r="W37" s="31">
        <f t="shared" si="5"/>
        <v>0</v>
      </c>
      <c r="X37" s="2178">
        <f t="shared" si="6"/>
        <v>0</v>
      </c>
      <c r="Y37" s="28">
        <f t="shared" si="15"/>
        <v>0</v>
      </c>
      <c r="Z37" s="28">
        <f t="shared" si="8"/>
        <v>0</v>
      </c>
      <c r="AA37" s="84">
        <f t="shared" si="9"/>
        <v>0</v>
      </c>
      <c r="AB37" s="28">
        <f t="shared" si="16"/>
        <v>0</v>
      </c>
      <c r="AG37" s="28">
        <f t="shared" si="17"/>
        <v>0</v>
      </c>
    </row>
    <row r="38" spans="1:33" s="28" customFormat="1" ht="16.149999999999999" customHeight="1" x14ac:dyDescent="0.2">
      <c r="A38" s="17"/>
      <c r="B38" s="3558"/>
      <c r="C38" s="820"/>
      <c r="D38" s="41"/>
      <c r="E38" s="821">
        <f t="shared" si="13"/>
        <v>0</v>
      </c>
      <c r="F38" s="17"/>
      <c r="G38" s="364"/>
      <c r="H38" s="561"/>
      <c r="I38" s="561"/>
      <c r="J38" s="822"/>
      <c r="K38" s="823"/>
      <c r="L38" s="561"/>
      <c r="M38" s="561"/>
      <c r="N38" s="561"/>
      <c r="O38" s="2176"/>
      <c r="P38" s="2176"/>
      <c r="Q38" s="4025" t="str">
        <f t="shared" si="1"/>
        <v/>
      </c>
      <c r="R38" s="561"/>
      <c r="S38" s="222" t="str">
        <f t="shared" si="12"/>
        <v/>
      </c>
      <c r="T38" s="28">
        <f t="shared" si="14"/>
        <v>0</v>
      </c>
      <c r="U38" s="1736">
        <f t="shared" si="3"/>
        <v>0</v>
      </c>
      <c r="V38" s="1736">
        <f t="shared" si="4"/>
        <v>0</v>
      </c>
      <c r="W38" s="31">
        <f t="shared" si="5"/>
        <v>0</v>
      </c>
      <c r="X38" s="2178">
        <f t="shared" si="6"/>
        <v>0</v>
      </c>
      <c r="Y38" s="28">
        <f t="shared" si="15"/>
        <v>0</v>
      </c>
      <c r="Z38" s="28">
        <f t="shared" si="8"/>
        <v>0</v>
      </c>
      <c r="AA38" s="84">
        <f t="shared" si="9"/>
        <v>0</v>
      </c>
      <c r="AB38" s="28">
        <f t="shared" si="16"/>
        <v>0</v>
      </c>
      <c r="AG38" s="28">
        <f t="shared" si="17"/>
        <v>0</v>
      </c>
    </row>
    <row r="39" spans="1:33" s="28" customFormat="1" ht="16.149999999999999" customHeight="1" x14ac:dyDescent="0.2">
      <c r="A39" s="17"/>
      <c r="B39" s="3558"/>
      <c r="C39" s="820"/>
      <c r="D39" s="41"/>
      <c r="E39" s="821">
        <f t="shared" si="13"/>
        <v>0</v>
      </c>
      <c r="F39" s="17"/>
      <c r="G39" s="364"/>
      <c r="H39" s="561"/>
      <c r="I39" s="561"/>
      <c r="J39" s="822"/>
      <c r="K39" s="823"/>
      <c r="L39" s="561"/>
      <c r="M39" s="561"/>
      <c r="N39" s="561"/>
      <c r="O39" s="2176"/>
      <c r="P39" s="2176"/>
      <c r="Q39" s="4025" t="str">
        <f t="shared" si="1"/>
        <v/>
      </c>
      <c r="R39" s="561"/>
      <c r="S39" s="222" t="str">
        <f t="shared" si="12"/>
        <v/>
      </c>
      <c r="T39" s="28">
        <f t="shared" si="14"/>
        <v>0</v>
      </c>
      <c r="U39" s="1736">
        <f t="shared" si="3"/>
        <v>0</v>
      </c>
      <c r="V39" s="1736">
        <f t="shared" si="4"/>
        <v>0</v>
      </c>
      <c r="W39" s="31">
        <f t="shared" si="5"/>
        <v>0</v>
      </c>
      <c r="X39" s="2178">
        <f t="shared" si="6"/>
        <v>0</v>
      </c>
      <c r="Y39" s="28">
        <f t="shared" si="15"/>
        <v>0</v>
      </c>
      <c r="Z39" s="28">
        <f t="shared" si="8"/>
        <v>0</v>
      </c>
      <c r="AA39" s="84">
        <f t="shared" si="9"/>
        <v>0</v>
      </c>
      <c r="AB39" s="28">
        <f t="shared" si="16"/>
        <v>0</v>
      </c>
      <c r="AG39" s="28">
        <f t="shared" si="17"/>
        <v>0</v>
      </c>
    </row>
    <row r="40" spans="1:33" s="28" customFormat="1" ht="16.149999999999999" customHeight="1" x14ac:dyDescent="0.2">
      <c r="A40" s="17"/>
      <c r="B40" s="3558"/>
      <c r="C40" s="820"/>
      <c r="D40" s="41"/>
      <c r="E40" s="821">
        <f t="shared" si="13"/>
        <v>0</v>
      </c>
      <c r="F40" s="17"/>
      <c r="G40" s="364"/>
      <c r="H40" s="561"/>
      <c r="I40" s="561"/>
      <c r="J40" s="822"/>
      <c r="K40" s="823"/>
      <c r="L40" s="561"/>
      <c r="M40" s="561"/>
      <c r="N40" s="561"/>
      <c r="O40" s="2176"/>
      <c r="P40" s="2176"/>
      <c r="Q40" s="4025" t="str">
        <f t="shared" ref="Q40:Q80" si="18">IF(O40="","",IF(OR(O40=$BC$10,P40=""),VLOOKUP(O40,FWT5A,2,FALSE),IF(AND(O40&lt;&gt;$BC$10,P40=$AI$5),0%,IF(AND(O40&lt;&gt;$BC$10,OR(P40=$AI$6,P40=$AI$7)),VLOOKUP(O40,FWT5A,2,FALSE)*50%))))</f>
        <v/>
      </c>
      <c r="R40" s="561"/>
      <c r="S40" s="222" t="str">
        <f t="shared" si="12"/>
        <v/>
      </c>
      <c r="T40" s="28">
        <f t="shared" si="14"/>
        <v>0</v>
      </c>
      <c r="U40" s="1736">
        <f t="shared" ref="U40:U83" si="19">IF(H40="",0,ROUND((W40*Q40)-1,0))</f>
      </c>
      <c r="V40" s="1736">
        <f t="shared" ref="V40:V83" si="20">IF(H40="",0,ROUND((W40*Q40)+1,0))</f>
      </c>
      <c r="W40" s="31">
        <f t="shared" ref="W40:W82" si="21">H40-L40</f>
      </c>
      <c r="X40" s="2178">
        <f t="shared" ref="X40:X80" si="22">IF($V$1="y",COUNTA(B40,C40,G40,H40,I40,L40,M40,N40,O40,R40),COUNTA(C40,G40,H40,I40,L40,M40,N40,O40,R40))</f>
      </c>
      <c r="Y40" s="28">
        <f t="shared" si="15"/>
        <v>0</v>
      </c>
      <c r="Z40" s="28">
        <f t="shared" ref="Z40:Z82" si="23">COUNTA(J40:K40)</f>
      </c>
      <c r="AA40" s="84">
        <f t="shared" ref="AA40:AA82" si="24">H40-(I40+L40+M40+N40)</f>
      </c>
      <c r="AB40" s="28">
        <f t="shared" si="16"/>
        <v>0</v>
      </c>
      <c r="AG40" s="28">
        <f t="shared" si="17"/>
        <v>0</v>
      </c>
    </row>
    <row r="41" spans="1:33" s="28" customFormat="1" ht="16.149999999999999" customHeight="1" x14ac:dyDescent="0.2">
      <c r="A41" s="17"/>
      <c r="B41" s="3558"/>
      <c r="C41" s="820"/>
      <c r="D41" s="41"/>
      <c r="E41" s="821">
        <f t="shared" si="13"/>
        <v>0</v>
      </c>
      <c r="F41" s="17"/>
      <c r="G41" s="364"/>
      <c r="H41" s="561"/>
      <c r="I41" s="561"/>
      <c r="J41" s="822"/>
      <c r="K41" s="823"/>
      <c r="L41" s="561"/>
      <c r="M41" s="561"/>
      <c r="N41" s="561"/>
      <c r="O41" s="2176"/>
      <c r="P41" s="2176"/>
      <c r="Q41" s="4025" t="str">
        <f t="shared" si="18"/>
        <v/>
      </c>
      <c r="R41" s="561"/>
      <c r="S41" s="222" t="str">
        <f t="shared" si="12"/>
        <v/>
      </c>
      <c r="T41" s="28">
        <f t="shared" si="14"/>
        <v>0</v>
      </c>
      <c r="U41" s="1736">
        <f t="shared" si="19"/>
        <v>0</v>
      </c>
      <c r="V41" s="1736">
        <f t="shared" si="20"/>
        <v>0</v>
      </c>
      <c r="W41" s="31">
        <f t="shared" si="21"/>
        <v>0</v>
      </c>
      <c r="X41" s="2178">
        <f t="shared" si="22"/>
        <v>0</v>
      </c>
      <c r="Y41" s="28">
        <f t="shared" si="15"/>
        <v>0</v>
      </c>
      <c r="Z41" s="28">
        <f t="shared" si="23"/>
        <v>0</v>
      </c>
      <c r="AA41" s="84">
        <f t="shared" si="24"/>
        <v>0</v>
      </c>
      <c r="AB41" s="28">
        <f t="shared" si="16"/>
        <v>0</v>
      </c>
      <c r="AG41" s="28">
        <f t="shared" si="17"/>
        <v>0</v>
      </c>
    </row>
    <row r="42" spans="1:33" s="28" customFormat="1" ht="16.149999999999999" customHeight="1" x14ac:dyDescent="0.2">
      <c r="A42" s="17"/>
      <c r="B42" s="3558"/>
      <c r="C42" s="820"/>
      <c r="D42" s="41"/>
      <c r="E42" s="821">
        <f t="shared" si="13"/>
        <v>0</v>
      </c>
      <c r="F42" s="17"/>
      <c r="G42" s="364"/>
      <c r="H42" s="561"/>
      <c r="I42" s="561"/>
      <c r="J42" s="822"/>
      <c r="K42" s="823"/>
      <c r="L42" s="561"/>
      <c r="M42" s="561"/>
      <c r="N42" s="561"/>
      <c r="O42" s="2176"/>
      <c r="P42" s="2176"/>
      <c r="Q42" s="4025" t="str">
        <f t="shared" si="18"/>
        <v/>
      </c>
      <c r="R42" s="561"/>
      <c r="S42" s="222" t="str">
        <f t="shared" si="12"/>
        <v/>
      </c>
      <c r="T42" s="28">
        <f t="shared" si="14"/>
        <v>0</v>
      </c>
      <c r="U42" s="1736">
        <f t="shared" si="19"/>
        <v>0</v>
      </c>
      <c r="V42" s="1736">
        <f t="shared" si="20"/>
        <v>0</v>
      </c>
      <c r="W42" s="31">
        <f t="shared" si="21"/>
        <v>0</v>
      </c>
      <c r="X42" s="2178">
        <f t="shared" si="22"/>
        <v>0</v>
      </c>
      <c r="Y42" s="28">
        <f t="shared" si="15"/>
        <v>0</v>
      </c>
      <c r="Z42" s="28">
        <f t="shared" si="23"/>
        <v>0</v>
      </c>
      <c r="AA42" s="84">
        <f t="shared" si="24"/>
        <v>0</v>
      </c>
      <c r="AB42" s="28">
        <f t="shared" si="16"/>
        <v>0</v>
      </c>
      <c r="AG42" s="28">
        <f t="shared" si="17"/>
        <v>0</v>
      </c>
    </row>
    <row r="43" spans="1:33" s="28" customFormat="1" ht="16.149999999999999" customHeight="1" x14ac:dyDescent="0.2">
      <c r="A43" s="17"/>
      <c r="B43" s="3558"/>
      <c r="C43" s="820"/>
      <c r="D43" s="41"/>
      <c r="E43" s="821">
        <f t="shared" si="13"/>
        <v>0</v>
      </c>
      <c r="F43" s="17"/>
      <c r="G43" s="364"/>
      <c r="H43" s="561"/>
      <c r="I43" s="561"/>
      <c r="J43" s="822"/>
      <c r="K43" s="823"/>
      <c r="L43" s="561"/>
      <c r="M43" s="561"/>
      <c r="N43" s="561"/>
      <c r="O43" s="2176"/>
      <c r="P43" s="2176"/>
      <c r="Q43" s="4025" t="str">
        <f t="shared" si="18"/>
        <v/>
      </c>
      <c r="R43" s="561"/>
      <c r="S43" s="222" t="str">
        <f t="shared" si="12"/>
        <v/>
      </c>
      <c r="T43" s="28">
        <f t="shared" si="14"/>
        <v>0</v>
      </c>
      <c r="U43" s="1736">
        <f t="shared" si="19"/>
        <v>0</v>
      </c>
      <c r="V43" s="1736">
        <f t="shared" si="20"/>
        <v>0</v>
      </c>
      <c r="W43" s="31">
        <f t="shared" si="21"/>
        <v>0</v>
      </c>
      <c r="X43" s="2178">
        <f t="shared" si="22"/>
        <v>0</v>
      </c>
      <c r="Y43" s="28">
        <f t="shared" si="15"/>
        <v>0</v>
      </c>
      <c r="Z43" s="28">
        <f t="shared" si="23"/>
        <v>0</v>
      </c>
      <c r="AA43" s="84">
        <f t="shared" si="24"/>
        <v>0</v>
      </c>
      <c r="AB43" s="28">
        <f t="shared" si="16"/>
        <v>0</v>
      </c>
      <c r="AG43" s="28">
        <f t="shared" si="17"/>
        <v>0</v>
      </c>
    </row>
    <row r="44" spans="1:33" s="28" customFormat="1" ht="16.149999999999999" customHeight="1" x14ac:dyDescent="0.2">
      <c r="A44" s="17"/>
      <c r="B44" s="3558"/>
      <c r="C44" s="820"/>
      <c r="D44" s="41"/>
      <c r="E44" s="821">
        <f t="shared" si="13"/>
        <v>0</v>
      </c>
      <c r="F44" s="17"/>
      <c r="G44" s="364"/>
      <c r="H44" s="561"/>
      <c r="I44" s="561"/>
      <c r="J44" s="822"/>
      <c r="K44" s="823"/>
      <c r="L44" s="561"/>
      <c r="M44" s="561"/>
      <c r="N44" s="561"/>
      <c r="O44" s="2176"/>
      <c r="P44" s="2176"/>
      <c r="Q44" s="4025" t="str">
        <f t="shared" si="18"/>
        <v/>
      </c>
      <c r="R44" s="561"/>
      <c r="S44" s="222" t="str">
        <f t="shared" si="12"/>
        <v/>
      </c>
      <c r="T44" s="28">
        <f t="shared" si="14"/>
        <v>0</v>
      </c>
      <c r="U44" s="1736">
        <f t="shared" si="19"/>
        <v>0</v>
      </c>
      <c r="V44" s="1736">
        <f t="shared" si="20"/>
        <v>0</v>
      </c>
      <c r="W44" s="31">
        <f t="shared" si="21"/>
        <v>0</v>
      </c>
      <c r="X44" s="2178">
        <f t="shared" si="22"/>
        <v>0</v>
      </c>
      <c r="Y44" s="28">
        <f t="shared" si="15"/>
        <v>0</v>
      </c>
      <c r="Z44" s="28">
        <f t="shared" si="23"/>
        <v>0</v>
      </c>
      <c r="AA44" s="84">
        <f t="shared" si="24"/>
        <v>0</v>
      </c>
      <c r="AB44" s="28">
        <f t="shared" si="16"/>
        <v>0</v>
      </c>
      <c r="AG44" s="28">
        <f t="shared" si="17"/>
        <v>0</v>
      </c>
    </row>
    <row r="45" spans="1:33" s="28" customFormat="1" ht="16.149999999999999" customHeight="1" x14ac:dyDescent="0.2">
      <c r="A45" s="17"/>
      <c r="B45" s="3558"/>
      <c r="C45" s="820"/>
      <c r="D45" s="41"/>
      <c r="E45" s="821">
        <f t="shared" si="13"/>
        <v>0</v>
      </c>
      <c r="F45" s="17"/>
      <c r="G45" s="364"/>
      <c r="H45" s="561"/>
      <c r="I45" s="561"/>
      <c r="J45" s="822"/>
      <c r="K45" s="823"/>
      <c r="L45" s="561"/>
      <c r="M45" s="561"/>
      <c r="N45" s="561"/>
      <c r="O45" s="2176"/>
      <c r="P45" s="2176"/>
      <c r="Q45" s="4025" t="str">
        <f t="shared" si="18"/>
        <v/>
      </c>
      <c r="R45" s="561"/>
      <c r="S45" s="222" t="str">
        <f t="shared" si="12"/>
        <v/>
      </c>
      <c r="T45" s="28">
        <f t="shared" si="14"/>
        <v>0</v>
      </c>
      <c r="U45" s="1736">
        <f t="shared" si="19"/>
        <v>0</v>
      </c>
      <c r="V45" s="1736">
        <f t="shared" si="20"/>
        <v>0</v>
      </c>
      <c r="W45" s="31">
        <f t="shared" si="21"/>
        <v>0</v>
      </c>
      <c r="X45" s="2178">
        <f t="shared" si="22"/>
        <v>0</v>
      </c>
      <c r="Y45" s="28">
        <f t="shared" si="15"/>
        <v>0</v>
      </c>
      <c r="Z45" s="28">
        <f t="shared" si="23"/>
        <v>0</v>
      </c>
      <c r="AA45" s="84">
        <f t="shared" si="24"/>
        <v>0</v>
      </c>
      <c r="AB45" s="28">
        <f t="shared" si="16"/>
        <v>0</v>
      </c>
      <c r="AG45" s="28">
        <f t="shared" si="17"/>
        <v>0</v>
      </c>
    </row>
    <row r="46" spans="1:33" s="28" customFormat="1" ht="16.149999999999999" hidden="1" customHeight="1" x14ac:dyDescent="0.2">
      <c r="A46" s="17"/>
      <c r="B46" s="3558"/>
      <c r="C46" s="820"/>
      <c r="D46" s="41"/>
      <c r="E46" s="821">
        <f t="shared" si="13"/>
        <v>0</v>
      </c>
      <c r="F46" s="17"/>
      <c r="G46" s="364"/>
      <c r="H46" s="561"/>
      <c r="I46" s="561"/>
      <c r="J46" s="822"/>
      <c r="K46" s="823"/>
      <c r="L46" s="561"/>
      <c r="M46" s="561"/>
      <c r="N46" s="561"/>
      <c r="O46" s="2176"/>
      <c r="P46" s="2176"/>
      <c r="Q46" s="4025" t="str">
        <f t="shared" si="18"/>
        <v/>
      </c>
      <c r="R46" s="561"/>
      <c r="S46" s="222" t="str">
        <f t="shared" si="12"/>
        <v/>
      </c>
      <c r="T46" s="28">
        <f t="shared" si="14"/>
        <v>0</v>
      </c>
      <c r="U46" s="1736">
        <f t="shared" si="19"/>
        <v>0</v>
      </c>
      <c r="V46" s="1736">
        <f t="shared" si="20"/>
        <v>0</v>
      </c>
      <c r="W46" s="31">
        <f t="shared" si="21"/>
        <v>0</v>
      </c>
      <c r="X46" s="2178">
        <f t="shared" si="22"/>
        <v>0</v>
      </c>
      <c r="Y46" s="28">
        <f t="shared" si="15"/>
        <v>0</v>
      </c>
      <c r="Z46" s="28">
        <f t="shared" si="23"/>
        <v>0</v>
      </c>
      <c r="AA46" s="84">
        <f t="shared" si="24"/>
        <v>0</v>
      </c>
      <c r="AB46" s="28">
        <f t="shared" si="16"/>
        <v>0</v>
      </c>
      <c r="AG46" s="28">
        <f t="shared" si="17"/>
        <v>0</v>
      </c>
    </row>
    <row r="47" spans="1:33" s="28" customFormat="1" ht="16.149999999999999" hidden="1" customHeight="1" x14ac:dyDescent="0.2">
      <c r="A47" s="17"/>
      <c r="B47" s="3558"/>
      <c r="C47" s="820"/>
      <c r="D47" s="41"/>
      <c r="E47" s="821">
        <f t="shared" si="13"/>
        <v>0</v>
      </c>
      <c r="F47" s="17"/>
      <c r="G47" s="364"/>
      <c r="H47" s="561"/>
      <c r="I47" s="561"/>
      <c r="J47" s="822"/>
      <c r="K47" s="823"/>
      <c r="L47" s="561"/>
      <c r="M47" s="561"/>
      <c r="N47" s="561"/>
      <c r="O47" s="2176"/>
      <c r="P47" s="2176"/>
      <c r="Q47" s="4025" t="str">
        <f t="shared" si="18"/>
        <v/>
      </c>
      <c r="R47" s="561"/>
      <c r="S47" s="222" t="str">
        <f t="shared" si="12"/>
        <v/>
      </c>
      <c r="T47" s="28">
        <f t="shared" si="14"/>
        <v>0</v>
      </c>
      <c r="U47" s="1736">
        <f t="shared" si="19"/>
        <v>0</v>
      </c>
      <c r="V47" s="1736">
        <f t="shared" si="20"/>
        <v>0</v>
      </c>
      <c r="W47" s="31">
        <f t="shared" si="21"/>
        <v>0</v>
      </c>
      <c r="X47" s="2178">
        <f t="shared" si="22"/>
        <v>0</v>
      </c>
      <c r="Y47" s="28">
        <f t="shared" si="15"/>
        <v>0</v>
      </c>
      <c r="Z47" s="28">
        <f t="shared" si="23"/>
        <v>0</v>
      </c>
      <c r="AA47" s="84">
        <f t="shared" si="24"/>
        <v>0</v>
      </c>
      <c r="AB47" s="28">
        <f t="shared" si="16"/>
        <v>0</v>
      </c>
      <c r="AG47" s="28">
        <f t="shared" si="17"/>
        <v>0</v>
      </c>
    </row>
    <row r="48" spans="1:33" s="28" customFormat="1" ht="16.149999999999999" hidden="1" customHeight="1" x14ac:dyDescent="0.2">
      <c r="A48" s="17"/>
      <c r="B48" s="3558"/>
      <c r="C48" s="820"/>
      <c r="D48" s="41"/>
      <c r="E48" s="821">
        <f t="shared" si="13"/>
        <v>0</v>
      </c>
      <c r="F48" s="17"/>
      <c r="G48" s="364"/>
      <c r="H48" s="561"/>
      <c r="I48" s="561"/>
      <c r="J48" s="822"/>
      <c r="K48" s="823"/>
      <c r="L48" s="561"/>
      <c r="M48" s="561"/>
      <c r="N48" s="561"/>
      <c r="O48" s="2176"/>
      <c r="P48" s="2176"/>
      <c r="Q48" s="4025" t="str">
        <f t="shared" si="18"/>
        <v/>
      </c>
      <c r="R48" s="561"/>
      <c r="S48" s="222" t="str">
        <f t="shared" si="12"/>
        <v/>
      </c>
      <c r="T48" s="28">
        <f t="shared" si="14"/>
        <v>0</v>
      </c>
      <c r="U48" s="1736">
        <f t="shared" si="19"/>
        <v>0</v>
      </c>
      <c r="V48" s="1736">
        <f t="shared" si="20"/>
        <v>0</v>
      </c>
      <c r="W48" s="31">
        <f t="shared" si="21"/>
        <v>0</v>
      </c>
      <c r="X48" s="2178">
        <f t="shared" si="22"/>
        <v>0</v>
      </c>
      <c r="Y48" s="28">
        <f t="shared" si="15"/>
        <v>0</v>
      </c>
      <c r="Z48" s="28">
        <f t="shared" si="23"/>
        <v>0</v>
      </c>
      <c r="AA48" s="84">
        <f t="shared" si="24"/>
        <v>0</v>
      </c>
      <c r="AB48" s="28">
        <f t="shared" si="16"/>
        <v>0</v>
      </c>
      <c r="AG48" s="28">
        <f t="shared" si="17"/>
        <v>0</v>
      </c>
    </row>
    <row r="49" spans="1:33" s="28" customFormat="1" ht="16.149999999999999" hidden="1" customHeight="1" x14ac:dyDescent="0.2">
      <c r="A49" s="17"/>
      <c r="B49" s="3558"/>
      <c r="C49" s="820"/>
      <c r="D49" s="41"/>
      <c r="E49" s="821">
        <f t="shared" si="13"/>
        <v>0</v>
      </c>
      <c r="F49" s="17"/>
      <c r="G49" s="364"/>
      <c r="H49" s="561"/>
      <c r="I49" s="561"/>
      <c r="J49" s="822"/>
      <c r="K49" s="823"/>
      <c r="L49" s="561"/>
      <c r="M49" s="561"/>
      <c r="N49" s="561"/>
      <c r="O49" s="2176"/>
      <c r="P49" s="2176"/>
      <c r="Q49" s="4025" t="str">
        <f t="shared" si="18"/>
        <v/>
      </c>
      <c r="R49" s="561"/>
      <c r="S49" s="222" t="str">
        <f t="shared" si="12"/>
        <v/>
      </c>
      <c r="T49" s="28">
        <f t="shared" si="14"/>
        <v>0</v>
      </c>
      <c r="U49" s="1736">
        <f t="shared" si="19"/>
        <v>0</v>
      </c>
      <c r="V49" s="1736">
        <f t="shared" si="20"/>
        <v>0</v>
      </c>
      <c r="W49" s="31">
        <f t="shared" si="21"/>
        <v>0</v>
      </c>
      <c r="X49" s="2178">
        <f t="shared" si="22"/>
        <v>0</v>
      </c>
      <c r="Y49" s="28">
        <f t="shared" si="15"/>
        <v>0</v>
      </c>
      <c r="Z49" s="28">
        <f t="shared" si="23"/>
        <v>0</v>
      </c>
      <c r="AA49" s="84">
        <f t="shared" si="24"/>
        <v>0</v>
      </c>
      <c r="AB49" s="28">
        <f t="shared" si="16"/>
        <v>0</v>
      </c>
      <c r="AG49" s="28">
        <f t="shared" si="17"/>
        <v>0</v>
      </c>
    </row>
    <row r="50" spans="1:33" s="28" customFormat="1" ht="16.149999999999999" hidden="1" customHeight="1" x14ac:dyDescent="0.2">
      <c r="A50" s="17"/>
      <c r="B50" s="3558"/>
      <c r="C50" s="820"/>
      <c r="D50" s="41"/>
      <c r="E50" s="821">
        <f t="shared" si="13"/>
        <v>0</v>
      </c>
      <c r="F50" s="17"/>
      <c r="G50" s="364"/>
      <c r="H50" s="561"/>
      <c r="I50" s="561"/>
      <c r="J50" s="822"/>
      <c r="K50" s="823"/>
      <c r="L50" s="561"/>
      <c r="M50" s="561"/>
      <c r="N50" s="561"/>
      <c r="O50" s="2176"/>
      <c r="P50" s="2176"/>
      <c r="Q50" s="4025" t="str">
        <f t="shared" si="18"/>
        <v/>
      </c>
      <c r="R50" s="561"/>
      <c r="S50" s="222" t="str">
        <f t="shared" si="12"/>
        <v/>
      </c>
      <c r="T50" s="28">
        <f t="shared" si="14"/>
        <v>0</v>
      </c>
      <c r="U50" s="1736">
        <f t="shared" si="19"/>
        <v>0</v>
      </c>
      <c r="V50" s="1736">
        <f t="shared" si="20"/>
        <v>0</v>
      </c>
      <c r="W50" s="31">
        <f t="shared" si="21"/>
        <v>0</v>
      </c>
      <c r="X50" s="2178">
        <f t="shared" si="22"/>
        <v>0</v>
      </c>
      <c r="Y50" s="28">
        <f t="shared" si="15"/>
        <v>0</v>
      </c>
      <c r="Z50" s="28">
        <f t="shared" si="23"/>
        <v>0</v>
      </c>
      <c r="AA50" s="84">
        <f t="shared" si="24"/>
        <v>0</v>
      </c>
      <c r="AB50" s="28">
        <f t="shared" si="16"/>
        <v>0</v>
      </c>
      <c r="AG50" s="28">
        <f t="shared" si="17"/>
        <v>0</v>
      </c>
    </row>
    <row r="51" spans="1:33" s="28" customFormat="1" ht="16.149999999999999" hidden="1" customHeight="1" x14ac:dyDescent="0.2">
      <c r="A51" s="17"/>
      <c r="B51" s="3558"/>
      <c r="C51" s="820"/>
      <c r="D51" s="41"/>
      <c r="E51" s="821">
        <f t="shared" ref="E51:E70" si="25">AA51</f>
      </c>
      <c r="F51" s="17"/>
      <c r="G51" s="364"/>
      <c r="H51" s="561"/>
      <c r="I51" s="561"/>
      <c r="J51" s="822"/>
      <c r="K51" s="823"/>
      <c r="L51" s="561"/>
      <c r="M51" s="561"/>
      <c r="N51" s="561"/>
      <c r="O51" s="2176"/>
      <c r="P51" s="2176"/>
      <c r="Q51" s="4025" t="str">
        <f t="shared" ref="Q51:Q70" si="26">IF(O51="","",IF(OR(O51=$BC$10,P51=""),VLOOKUP(O51,FWT5A,2,FALSE),IF(AND(O51&lt;&gt;$BC$10,P51=$AI$5),0%,IF(AND(O51&lt;&gt;$BC$10,OR(P51=$AI$6,P51=$AI$7)),VLOOKUP(O51,FWT5A,2,FALSE)*50%))))</f>
        <v/>
      </c>
      <c r="R51" s="561"/>
      <c r="S51" s="222" t="str">
        <f t="shared" ref="S51:S70" si="27">IF(X51=0,"",IF(AND($V$1="y",X51&lt;&gt;10),$X$5,IF(AND($V$1="n",X51&lt;&gt;9),$X$5,IF(AND(L51&gt;0,Z51=0),$X$3,IF(AND($V$1="n",B51&lt;&gt;"")," Details of IT ref - Check Pg 2 Q 30",IF(AND(O51=$BC$10,(H51-L51)&gt;400000),"Transfer value excessive!",IF(AND(OR(O51=$BC$11,O51=$BC$10),P51&lt;&gt;""),"Article 5A(5)(i) does not apply",IF(AND(O51=$BC$11,H51&gt;750000),"Transfer value excessive!",IF(AND(P51&lt;&gt;"",H51&gt;200000),"Transfer value excessive!","")))))))))</f>
        <v/>
      </c>
      <c r="T51" s="28">
        <f t="shared" ref="T51:T70" si="28">IF(OR(S51="",S51=$X$4),0,1)</f>
      </c>
      <c r="U51" s="1736">
        <f t="shared" ref="U51:U70" si="29">IF(H51="",0,ROUND((W51*Q51)-1,0))</f>
      </c>
      <c r="V51" s="1736">
        <f t="shared" ref="V51:V70" si="30">IF(H51="",0,ROUND((W51*Q51)+1,0))</f>
      </c>
      <c r="W51" s="31">
        <f t="shared" ref="W51:W70" si="31">H51-L51</f>
      </c>
      <c r="X51" s="2178">
        <f t="shared" ref="X51:X70" si="32">IF($V$1="y",COUNTA(B51,C51,G51,H51,I51,L51,M51,N51,O51,R51),COUNTA(C51,G51,H51,I51,L51,M51,N51,O51,R51))</f>
      </c>
      <c r="Y51" s="28">
        <f t="shared" ref="Y51:Y70" si="33">IF(R51&lt;U51,1,IF(R51&gt;V51,1,0))</f>
      </c>
      <c r="Z51" s="28">
        <f t="shared" ref="Z51:Z70" si="34">COUNTA(J51:K51)</f>
      </c>
      <c r="AA51" s="84">
        <f t="shared" ref="AA51:AA70" si="35">H51-(I51+L51+M51+N51)</f>
      </c>
      <c r="AB51" s="28">
        <f t="shared" ref="AB51:AB70" si="36">IF(AA51-R51&lt;0,0,AA51-R51)</f>
      </c>
      <c r="AG51" s="28">
        <f t="shared" ref="AG51:AG70" si="37">IF(S51=$X$4,1,0)</f>
      </c>
    </row>
    <row r="52" spans="1:33" s="28" customFormat="1" ht="16.149999999999999" hidden="1" customHeight="1" x14ac:dyDescent="0.2">
      <c r="A52" s="17"/>
      <c r="B52" s="3558"/>
      <c r="C52" s="820"/>
      <c r="D52" s="41"/>
      <c r="E52" s="821">
        <f t="shared" si="25"/>
        <v>0</v>
      </c>
      <c r="F52" s="17"/>
      <c r="G52" s="364"/>
      <c r="H52" s="561"/>
      <c r="I52" s="561"/>
      <c r="J52" s="822"/>
      <c r="K52" s="823"/>
      <c r="L52" s="561"/>
      <c r="M52" s="561"/>
      <c r="N52" s="561"/>
      <c r="O52" s="2176"/>
      <c r="P52" s="2176"/>
      <c r="Q52" s="4025" t="str">
        <f t="shared" si="26"/>
        <v/>
      </c>
      <c r="R52" s="561"/>
      <c r="S52" s="222" t="str">
        <f t="shared" si="27"/>
        <v/>
      </c>
      <c r="T52" s="28">
        <f t="shared" si="28"/>
        <v>0</v>
      </c>
      <c r="U52" s="1736">
        <f t="shared" si="29"/>
        <v>0</v>
      </c>
      <c r="V52" s="1736">
        <f t="shared" si="30"/>
        <v>0</v>
      </c>
      <c r="W52" s="31">
        <f t="shared" si="31"/>
        <v>0</v>
      </c>
      <c r="X52" s="2178">
        <f t="shared" si="32"/>
        <v>0</v>
      </c>
      <c r="Y52" s="28">
        <f t="shared" si="33"/>
        <v>0</v>
      </c>
      <c r="Z52" s="28">
        <f t="shared" si="34"/>
        <v>0</v>
      </c>
      <c r="AA52" s="84">
        <f t="shared" si="35"/>
        <v>0</v>
      </c>
      <c r="AB52" s="28">
        <f t="shared" si="36"/>
        <v>0</v>
      </c>
      <c r="AG52" s="28">
        <f t="shared" si="37"/>
        <v>0</v>
      </c>
    </row>
    <row r="53" spans="1:33" s="28" customFormat="1" ht="16.149999999999999" hidden="1" customHeight="1" x14ac:dyDescent="0.2">
      <c r="A53" s="17"/>
      <c r="B53" s="3558"/>
      <c r="C53" s="820"/>
      <c r="D53" s="41"/>
      <c r="E53" s="821">
        <f t="shared" si="25"/>
        <v>0</v>
      </c>
      <c r="F53" s="17"/>
      <c r="G53" s="364"/>
      <c r="H53" s="561"/>
      <c r="I53" s="561"/>
      <c r="J53" s="822"/>
      <c r="K53" s="823"/>
      <c r="L53" s="561"/>
      <c r="M53" s="561"/>
      <c r="N53" s="561"/>
      <c r="O53" s="2176"/>
      <c r="P53" s="2176"/>
      <c r="Q53" s="4025" t="str">
        <f t="shared" si="26"/>
        <v/>
      </c>
      <c r="R53" s="561"/>
      <c r="S53" s="222" t="str">
        <f t="shared" si="27"/>
        <v/>
      </c>
      <c r="T53" s="28">
        <f t="shared" si="28"/>
        <v>0</v>
      </c>
      <c r="U53" s="1736">
        <f t="shared" si="29"/>
        <v>0</v>
      </c>
      <c r="V53" s="1736">
        <f t="shared" si="30"/>
        <v>0</v>
      </c>
      <c r="W53" s="31">
        <f t="shared" si="31"/>
        <v>0</v>
      </c>
      <c r="X53" s="2178">
        <f t="shared" si="32"/>
        <v>0</v>
      </c>
      <c r="Y53" s="28">
        <f t="shared" si="33"/>
        <v>0</v>
      </c>
      <c r="Z53" s="28">
        <f t="shared" si="34"/>
        <v>0</v>
      </c>
      <c r="AA53" s="84">
        <f t="shared" si="35"/>
        <v>0</v>
      </c>
      <c r="AB53" s="28">
        <f t="shared" si="36"/>
        <v>0</v>
      </c>
      <c r="AG53" s="28">
        <f t="shared" si="37"/>
        <v>0</v>
      </c>
    </row>
    <row r="54" spans="1:33" s="28" customFormat="1" ht="16.149999999999999" hidden="1" customHeight="1" x14ac:dyDescent="0.2">
      <c r="A54" s="17"/>
      <c r="B54" s="3558"/>
      <c r="C54" s="820"/>
      <c r="D54" s="41"/>
      <c r="E54" s="821">
        <f t="shared" si="25"/>
        <v>0</v>
      </c>
      <c r="F54" s="17"/>
      <c r="G54" s="364"/>
      <c r="H54" s="561"/>
      <c r="I54" s="561"/>
      <c r="J54" s="822"/>
      <c r="K54" s="823"/>
      <c r="L54" s="561"/>
      <c r="M54" s="561"/>
      <c r="N54" s="561"/>
      <c r="O54" s="2176"/>
      <c r="P54" s="2176"/>
      <c r="Q54" s="4025" t="str">
        <f t="shared" si="26"/>
        <v/>
      </c>
      <c r="R54" s="561"/>
      <c r="S54" s="222" t="str">
        <f t="shared" si="27"/>
        <v/>
      </c>
      <c r="T54" s="28">
        <f t="shared" si="28"/>
        <v>0</v>
      </c>
      <c r="U54" s="1736">
        <f t="shared" si="29"/>
        <v>0</v>
      </c>
      <c r="V54" s="1736">
        <f t="shared" si="30"/>
        <v>0</v>
      </c>
      <c r="W54" s="31">
        <f t="shared" si="31"/>
        <v>0</v>
      </c>
      <c r="X54" s="2178">
        <f t="shared" si="32"/>
        <v>0</v>
      </c>
      <c r="Y54" s="28">
        <f t="shared" si="33"/>
        <v>0</v>
      </c>
      <c r="Z54" s="28">
        <f t="shared" si="34"/>
        <v>0</v>
      </c>
      <c r="AA54" s="84">
        <f t="shared" si="35"/>
        <v>0</v>
      </c>
      <c r="AB54" s="28">
        <f t="shared" si="36"/>
        <v>0</v>
      </c>
      <c r="AG54" s="28">
        <f t="shared" si="37"/>
        <v>0</v>
      </c>
    </row>
    <row r="55" spans="1:33" s="28" customFormat="1" ht="16.149999999999999" hidden="1" customHeight="1" x14ac:dyDescent="0.2">
      <c r="A55" s="17"/>
      <c r="B55" s="3558"/>
      <c r="C55" s="820"/>
      <c r="D55" s="41"/>
      <c r="E55" s="821">
        <f t="shared" si="25"/>
        <v>0</v>
      </c>
      <c r="F55" s="17"/>
      <c r="G55" s="364"/>
      <c r="H55" s="561"/>
      <c r="I55" s="561"/>
      <c r="J55" s="822"/>
      <c r="K55" s="823"/>
      <c r="L55" s="561"/>
      <c r="M55" s="561"/>
      <c r="N55" s="561"/>
      <c r="O55" s="2176"/>
      <c r="P55" s="2176"/>
      <c r="Q55" s="4025" t="str">
        <f t="shared" si="26"/>
        <v/>
      </c>
      <c r="R55" s="561"/>
      <c r="S55" s="222" t="str">
        <f t="shared" si="27"/>
        <v/>
      </c>
      <c r="T55" s="28">
        <f t="shared" si="28"/>
        <v>0</v>
      </c>
      <c r="U55" s="1736">
        <f t="shared" si="29"/>
        <v>0</v>
      </c>
      <c r="V55" s="1736">
        <f t="shared" si="30"/>
        <v>0</v>
      </c>
      <c r="W55" s="31">
        <f t="shared" si="31"/>
        <v>0</v>
      </c>
      <c r="X55" s="2178">
        <f t="shared" si="32"/>
        <v>0</v>
      </c>
      <c r="Y55" s="28">
        <f t="shared" si="33"/>
        <v>0</v>
      </c>
      <c r="Z55" s="28">
        <f t="shared" si="34"/>
        <v>0</v>
      </c>
      <c r="AA55" s="84">
        <f t="shared" si="35"/>
        <v>0</v>
      </c>
      <c r="AB55" s="28">
        <f t="shared" si="36"/>
        <v>0</v>
      </c>
      <c r="AG55" s="28">
        <f t="shared" si="37"/>
        <v>0</v>
      </c>
    </row>
    <row r="56" spans="1:33" s="28" customFormat="1" ht="16.149999999999999" hidden="1" customHeight="1" x14ac:dyDescent="0.2">
      <c r="A56" s="17"/>
      <c r="B56" s="3558"/>
      <c r="C56" s="820"/>
      <c r="D56" s="41"/>
      <c r="E56" s="821">
        <f t="shared" si="25"/>
        <v>0</v>
      </c>
      <c r="F56" s="17"/>
      <c r="G56" s="364"/>
      <c r="H56" s="561"/>
      <c r="I56" s="561"/>
      <c r="J56" s="822"/>
      <c r="K56" s="823"/>
      <c r="L56" s="561"/>
      <c r="M56" s="561"/>
      <c r="N56" s="561"/>
      <c r="O56" s="2176"/>
      <c r="P56" s="2176"/>
      <c r="Q56" s="4025" t="str">
        <f t="shared" si="26"/>
        <v/>
      </c>
      <c r="R56" s="561"/>
      <c r="S56" s="222" t="str">
        <f t="shared" si="27"/>
        <v/>
      </c>
      <c r="T56" s="28">
        <f t="shared" si="28"/>
        <v>0</v>
      </c>
      <c r="U56" s="1736">
        <f t="shared" si="29"/>
        <v>0</v>
      </c>
      <c r="V56" s="1736">
        <f t="shared" si="30"/>
        <v>0</v>
      </c>
      <c r="W56" s="31">
        <f t="shared" si="31"/>
        <v>0</v>
      </c>
      <c r="X56" s="2178">
        <f t="shared" si="32"/>
        <v>0</v>
      </c>
      <c r="Y56" s="28">
        <f t="shared" si="33"/>
        <v>0</v>
      </c>
      <c r="Z56" s="28">
        <f t="shared" si="34"/>
        <v>0</v>
      </c>
      <c r="AA56" s="84">
        <f t="shared" si="35"/>
        <v>0</v>
      </c>
      <c r="AB56" s="28">
        <f t="shared" si="36"/>
        <v>0</v>
      </c>
      <c r="AG56" s="28">
        <f t="shared" si="37"/>
        <v>0</v>
      </c>
    </row>
    <row r="57" spans="1:33" s="28" customFormat="1" ht="16.149999999999999" hidden="1" customHeight="1" x14ac:dyDescent="0.2">
      <c r="A57" s="17"/>
      <c r="B57" s="3558"/>
      <c r="C57" s="820"/>
      <c r="D57" s="41"/>
      <c r="E57" s="821">
        <f t="shared" si="25"/>
        <v>0</v>
      </c>
      <c r="F57" s="17"/>
      <c r="G57" s="364"/>
      <c r="H57" s="561"/>
      <c r="I57" s="561"/>
      <c r="J57" s="822"/>
      <c r="K57" s="823"/>
      <c r="L57" s="561"/>
      <c r="M57" s="561"/>
      <c r="N57" s="561"/>
      <c r="O57" s="2176"/>
      <c r="P57" s="2176"/>
      <c r="Q57" s="4025" t="str">
        <f t="shared" si="26"/>
        <v/>
      </c>
      <c r="R57" s="561"/>
      <c r="S57" s="222" t="str">
        <f t="shared" si="27"/>
        <v/>
      </c>
      <c r="T57" s="28">
        <f t="shared" si="28"/>
        <v>0</v>
      </c>
      <c r="U57" s="1736">
        <f t="shared" si="29"/>
        <v>0</v>
      </c>
      <c r="V57" s="1736">
        <f t="shared" si="30"/>
        <v>0</v>
      </c>
      <c r="W57" s="31">
        <f t="shared" si="31"/>
        <v>0</v>
      </c>
      <c r="X57" s="2178">
        <f t="shared" si="32"/>
        <v>0</v>
      </c>
      <c r="Y57" s="28">
        <f t="shared" si="33"/>
        <v>0</v>
      </c>
      <c r="Z57" s="28">
        <f t="shared" si="34"/>
        <v>0</v>
      </c>
      <c r="AA57" s="84">
        <f t="shared" si="35"/>
        <v>0</v>
      </c>
      <c r="AB57" s="28">
        <f t="shared" si="36"/>
        <v>0</v>
      </c>
      <c r="AG57" s="28">
        <f t="shared" si="37"/>
        <v>0</v>
      </c>
    </row>
    <row r="58" spans="1:33" s="28" customFormat="1" ht="16.149999999999999" hidden="1" customHeight="1" x14ac:dyDescent="0.2">
      <c r="A58" s="17"/>
      <c r="B58" s="3558"/>
      <c r="C58" s="820"/>
      <c r="D58" s="41"/>
      <c r="E58" s="821">
        <f t="shared" si="25"/>
        <v>0</v>
      </c>
      <c r="F58" s="17"/>
      <c r="G58" s="364"/>
      <c r="H58" s="561"/>
      <c r="I58" s="561"/>
      <c r="J58" s="822"/>
      <c r="K58" s="823"/>
      <c r="L58" s="561"/>
      <c r="M58" s="561"/>
      <c r="N58" s="561"/>
      <c r="O58" s="2176"/>
      <c r="P58" s="2176"/>
      <c r="Q58" s="4025" t="str">
        <f t="shared" si="26"/>
        <v/>
      </c>
      <c r="R58" s="561"/>
      <c r="S58" s="222" t="str">
        <f t="shared" si="27"/>
        <v/>
      </c>
      <c r="T58" s="28">
        <f t="shared" si="28"/>
        <v>0</v>
      </c>
      <c r="U58" s="1736">
        <f t="shared" si="29"/>
        <v>0</v>
      </c>
      <c r="V58" s="1736">
        <f t="shared" si="30"/>
        <v>0</v>
      </c>
      <c r="W58" s="31">
        <f t="shared" si="31"/>
        <v>0</v>
      </c>
      <c r="X58" s="2178">
        <f t="shared" si="32"/>
        <v>0</v>
      </c>
      <c r="Y58" s="28">
        <f t="shared" si="33"/>
        <v>0</v>
      </c>
      <c r="Z58" s="28">
        <f t="shared" si="34"/>
        <v>0</v>
      </c>
      <c r="AA58" s="84">
        <f t="shared" si="35"/>
        <v>0</v>
      </c>
      <c r="AB58" s="28">
        <f t="shared" si="36"/>
        <v>0</v>
      </c>
      <c r="AG58" s="28">
        <f t="shared" si="37"/>
        <v>0</v>
      </c>
    </row>
    <row r="59" spans="1:33" s="28" customFormat="1" ht="16.149999999999999" hidden="1" customHeight="1" x14ac:dyDescent="0.2">
      <c r="A59" s="17"/>
      <c r="B59" s="3558"/>
      <c r="C59" s="820"/>
      <c r="D59" s="41"/>
      <c r="E59" s="821">
        <f t="shared" si="25"/>
        <v>0</v>
      </c>
      <c r="F59" s="17"/>
      <c r="G59" s="364"/>
      <c r="H59" s="561"/>
      <c r="I59" s="561"/>
      <c r="J59" s="822"/>
      <c r="K59" s="823"/>
      <c r="L59" s="561"/>
      <c r="M59" s="561"/>
      <c r="N59" s="561"/>
      <c r="O59" s="2176"/>
      <c r="P59" s="2176"/>
      <c r="Q59" s="4025" t="str">
        <f t="shared" si="26"/>
        <v/>
      </c>
      <c r="R59" s="561"/>
      <c r="S59" s="222" t="str">
        <f t="shared" si="27"/>
        <v/>
      </c>
      <c r="T59" s="28">
        <f t="shared" si="28"/>
        <v>0</v>
      </c>
      <c r="U59" s="1736">
        <f t="shared" si="29"/>
        <v>0</v>
      </c>
      <c r="V59" s="1736">
        <f t="shared" si="30"/>
        <v>0</v>
      </c>
      <c r="W59" s="31">
        <f t="shared" si="31"/>
        <v>0</v>
      </c>
      <c r="X59" s="2178">
        <f t="shared" si="32"/>
        <v>0</v>
      </c>
      <c r="Y59" s="28">
        <f t="shared" si="33"/>
        <v>0</v>
      </c>
      <c r="Z59" s="28">
        <f t="shared" si="34"/>
        <v>0</v>
      </c>
      <c r="AA59" s="84">
        <f t="shared" si="35"/>
        <v>0</v>
      </c>
      <c r="AB59" s="28">
        <f t="shared" si="36"/>
        <v>0</v>
      </c>
      <c r="AG59" s="28">
        <f t="shared" si="37"/>
        <v>0</v>
      </c>
    </row>
    <row r="60" spans="1:33" s="28" customFormat="1" ht="16.149999999999999" hidden="1" customHeight="1" x14ac:dyDescent="0.2">
      <c r="A60" s="17"/>
      <c r="B60" s="3558"/>
      <c r="C60" s="820"/>
      <c r="D60" s="41"/>
      <c r="E60" s="821">
        <f t="shared" si="25"/>
        <v>0</v>
      </c>
      <c r="F60" s="17"/>
      <c r="G60" s="364"/>
      <c r="H60" s="561"/>
      <c r="I60" s="561"/>
      <c r="J60" s="822"/>
      <c r="K60" s="823"/>
      <c r="L60" s="561"/>
      <c r="M60" s="561"/>
      <c r="N60" s="561"/>
      <c r="O60" s="2176"/>
      <c r="P60" s="2176"/>
      <c r="Q60" s="4025" t="str">
        <f t="shared" si="26"/>
        <v/>
      </c>
      <c r="R60" s="561"/>
      <c r="S60" s="222" t="str">
        <f t="shared" si="27"/>
        <v/>
      </c>
      <c r="T60" s="28">
        <f t="shared" si="28"/>
        <v>0</v>
      </c>
      <c r="U60" s="1736">
        <f t="shared" si="29"/>
        <v>0</v>
      </c>
      <c r="V60" s="1736">
        <f t="shared" si="30"/>
        <v>0</v>
      </c>
      <c r="W60" s="31">
        <f t="shared" si="31"/>
        <v>0</v>
      </c>
      <c r="X60" s="2178">
        <f t="shared" si="32"/>
        <v>0</v>
      </c>
      <c r="Y60" s="28">
        <f t="shared" si="33"/>
        <v>0</v>
      </c>
      <c r="Z60" s="28">
        <f t="shared" si="34"/>
        <v>0</v>
      </c>
      <c r="AA60" s="84">
        <f t="shared" si="35"/>
        <v>0</v>
      </c>
      <c r="AB60" s="28">
        <f t="shared" si="36"/>
        <v>0</v>
      </c>
      <c r="AG60" s="28">
        <f t="shared" si="37"/>
        <v>0</v>
      </c>
    </row>
    <row r="61" spans="1:33" s="28" customFormat="1" ht="16.149999999999999" hidden="1" customHeight="1" x14ac:dyDescent="0.2">
      <c r="A61" s="17"/>
      <c r="B61" s="3558"/>
      <c r="C61" s="820"/>
      <c r="D61" s="41"/>
      <c r="E61" s="821">
        <f t="shared" si="25"/>
        <v>0</v>
      </c>
      <c r="F61" s="17"/>
      <c r="G61" s="364"/>
      <c r="H61" s="561"/>
      <c r="I61" s="561"/>
      <c r="J61" s="822"/>
      <c r="K61" s="823"/>
      <c r="L61" s="561"/>
      <c r="M61" s="561"/>
      <c r="N61" s="561"/>
      <c r="O61" s="2176"/>
      <c r="P61" s="2176"/>
      <c r="Q61" s="4025" t="str">
        <f t="shared" si="26"/>
        <v/>
      </c>
      <c r="R61" s="561"/>
      <c r="S61" s="222" t="str">
        <f t="shared" si="27"/>
        <v/>
      </c>
      <c r="T61" s="28">
        <f t="shared" si="28"/>
        <v>0</v>
      </c>
      <c r="U61" s="1736">
        <f t="shared" si="29"/>
        <v>0</v>
      </c>
      <c r="V61" s="1736">
        <f t="shared" si="30"/>
        <v>0</v>
      </c>
      <c r="W61" s="31">
        <f t="shared" si="31"/>
        <v>0</v>
      </c>
      <c r="X61" s="2178">
        <f t="shared" si="32"/>
        <v>0</v>
      </c>
      <c r="Y61" s="28">
        <f t="shared" si="33"/>
        <v>0</v>
      </c>
      <c r="Z61" s="28">
        <f t="shared" si="34"/>
        <v>0</v>
      </c>
      <c r="AA61" s="84">
        <f t="shared" si="35"/>
        <v>0</v>
      </c>
      <c r="AB61" s="28">
        <f t="shared" si="36"/>
        <v>0</v>
      </c>
      <c r="AG61" s="28">
        <f t="shared" si="37"/>
        <v>0</v>
      </c>
    </row>
    <row r="62" spans="1:33" s="28" customFormat="1" ht="16.149999999999999" hidden="1" customHeight="1" x14ac:dyDescent="0.2">
      <c r="A62" s="17"/>
      <c r="B62" s="3558"/>
      <c r="C62" s="820"/>
      <c r="D62" s="41"/>
      <c r="E62" s="821">
        <f t="shared" si="25"/>
        <v>0</v>
      </c>
      <c r="F62" s="17"/>
      <c r="G62" s="364"/>
      <c r="H62" s="561"/>
      <c r="I62" s="561"/>
      <c r="J62" s="822"/>
      <c r="K62" s="823"/>
      <c r="L62" s="561"/>
      <c r="M62" s="561"/>
      <c r="N62" s="561"/>
      <c r="O62" s="2176"/>
      <c r="P62" s="2176"/>
      <c r="Q62" s="4025" t="str">
        <f t="shared" si="26"/>
        <v/>
      </c>
      <c r="R62" s="561"/>
      <c r="S62" s="222" t="str">
        <f t="shared" si="27"/>
        <v/>
      </c>
      <c r="T62" s="28">
        <f t="shared" si="28"/>
        <v>0</v>
      </c>
      <c r="U62" s="1736">
        <f t="shared" si="29"/>
        <v>0</v>
      </c>
      <c r="V62" s="1736">
        <f t="shared" si="30"/>
        <v>0</v>
      </c>
      <c r="W62" s="31">
        <f t="shared" si="31"/>
        <v>0</v>
      </c>
      <c r="X62" s="2178">
        <f t="shared" si="32"/>
        <v>0</v>
      </c>
      <c r="Y62" s="28">
        <f t="shared" si="33"/>
        <v>0</v>
      </c>
      <c r="Z62" s="28">
        <f t="shared" si="34"/>
        <v>0</v>
      </c>
      <c r="AA62" s="84">
        <f t="shared" si="35"/>
        <v>0</v>
      </c>
      <c r="AB62" s="28">
        <f t="shared" si="36"/>
        <v>0</v>
      </c>
      <c r="AG62" s="28">
        <f t="shared" si="37"/>
        <v>0</v>
      </c>
    </row>
    <row r="63" spans="1:33" s="28" customFormat="1" ht="16.149999999999999" hidden="1" customHeight="1" x14ac:dyDescent="0.2">
      <c r="A63" s="17"/>
      <c r="B63" s="3558"/>
      <c r="C63" s="820"/>
      <c r="D63" s="41"/>
      <c r="E63" s="821">
        <f t="shared" si="25"/>
        <v>0</v>
      </c>
      <c r="F63" s="17"/>
      <c r="G63" s="364"/>
      <c r="H63" s="561"/>
      <c r="I63" s="561"/>
      <c r="J63" s="822"/>
      <c r="K63" s="823"/>
      <c r="L63" s="561"/>
      <c r="M63" s="561"/>
      <c r="N63" s="561"/>
      <c r="O63" s="2176"/>
      <c r="P63" s="2176"/>
      <c r="Q63" s="4025" t="str">
        <f t="shared" si="26"/>
        <v/>
      </c>
      <c r="R63" s="561"/>
      <c r="S63" s="222" t="str">
        <f t="shared" si="27"/>
        <v/>
      </c>
      <c r="T63" s="28">
        <f t="shared" si="28"/>
        <v>0</v>
      </c>
      <c r="U63" s="1736">
        <f t="shared" si="29"/>
        <v>0</v>
      </c>
      <c r="V63" s="1736">
        <f t="shared" si="30"/>
        <v>0</v>
      </c>
      <c r="W63" s="31">
        <f t="shared" si="31"/>
        <v>0</v>
      </c>
      <c r="X63" s="2178">
        <f t="shared" si="32"/>
        <v>0</v>
      </c>
      <c r="Y63" s="28">
        <f t="shared" si="33"/>
        <v>0</v>
      </c>
      <c r="Z63" s="28">
        <f t="shared" si="34"/>
        <v>0</v>
      </c>
      <c r="AA63" s="84">
        <f t="shared" si="35"/>
        <v>0</v>
      </c>
      <c r="AB63" s="28">
        <f t="shared" si="36"/>
        <v>0</v>
      </c>
      <c r="AG63" s="28">
        <f t="shared" si="37"/>
        <v>0</v>
      </c>
    </row>
    <row r="64" spans="1:33" s="28" customFormat="1" ht="16.149999999999999" hidden="1" customHeight="1" x14ac:dyDescent="0.2">
      <c r="A64" s="17"/>
      <c r="B64" s="3558"/>
      <c r="C64" s="820"/>
      <c r="D64" s="41"/>
      <c r="E64" s="821">
        <f t="shared" si="25"/>
        <v>0</v>
      </c>
      <c r="F64" s="17"/>
      <c r="G64" s="364"/>
      <c r="H64" s="561"/>
      <c r="I64" s="561"/>
      <c r="J64" s="822"/>
      <c r="K64" s="823"/>
      <c r="L64" s="561"/>
      <c r="M64" s="561"/>
      <c r="N64" s="561"/>
      <c r="O64" s="2176"/>
      <c r="P64" s="2176"/>
      <c r="Q64" s="4025" t="str">
        <f t="shared" si="26"/>
        <v/>
      </c>
      <c r="R64" s="561"/>
      <c r="S64" s="222" t="str">
        <f t="shared" si="27"/>
        <v/>
      </c>
      <c r="T64" s="28">
        <f t="shared" si="28"/>
        <v>0</v>
      </c>
      <c r="U64" s="1736">
        <f t="shared" si="29"/>
        <v>0</v>
      </c>
      <c r="V64" s="1736">
        <f t="shared" si="30"/>
        <v>0</v>
      </c>
      <c r="W64" s="31">
        <f t="shared" si="31"/>
        <v>0</v>
      </c>
      <c r="X64" s="2178">
        <f t="shared" si="32"/>
        <v>0</v>
      </c>
      <c r="Y64" s="28">
        <f t="shared" si="33"/>
        <v>0</v>
      </c>
      <c r="Z64" s="28">
        <f t="shared" si="34"/>
        <v>0</v>
      </c>
      <c r="AA64" s="84">
        <f t="shared" si="35"/>
        <v>0</v>
      </c>
      <c r="AB64" s="28">
        <f t="shared" si="36"/>
        <v>0</v>
      </c>
      <c r="AG64" s="28">
        <f t="shared" si="37"/>
        <v>0</v>
      </c>
    </row>
    <row r="65" spans="1:33" s="28" customFormat="1" ht="16.149999999999999" hidden="1" customHeight="1" x14ac:dyDescent="0.2">
      <c r="A65" s="17"/>
      <c r="B65" s="3558"/>
      <c r="C65" s="820"/>
      <c r="D65" s="41"/>
      <c r="E65" s="821">
        <f t="shared" si="25"/>
        <v>0</v>
      </c>
      <c r="F65" s="17"/>
      <c r="G65" s="364"/>
      <c r="H65" s="561"/>
      <c r="I65" s="561"/>
      <c r="J65" s="822"/>
      <c r="K65" s="823"/>
      <c r="L65" s="561"/>
      <c r="M65" s="561"/>
      <c r="N65" s="561"/>
      <c r="O65" s="2176"/>
      <c r="P65" s="2176"/>
      <c r="Q65" s="4025" t="str">
        <f t="shared" si="26"/>
        <v/>
      </c>
      <c r="R65" s="561"/>
      <c r="S65" s="222" t="str">
        <f t="shared" si="27"/>
        <v/>
      </c>
      <c r="T65" s="28">
        <f t="shared" si="28"/>
        <v>0</v>
      </c>
      <c r="U65" s="1736">
        <f t="shared" si="29"/>
        <v>0</v>
      </c>
      <c r="V65" s="1736">
        <f t="shared" si="30"/>
        <v>0</v>
      </c>
      <c r="W65" s="31">
        <f t="shared" si="31"/>
        <v>0</v>
      </c>
      <c r="X65" s="2178">
        <f t="shared" si="32"/>
        <v>0</v>
      </c>
      <c r="Y65" s="28">
        <f t="shared" si="33"/>
        <v>0</v>
      </c>
      <c r="Z65" s="28">
        <f t="shared" si="34"/>
        <v>0</v>
      </c>
      <c r="AA65" s="84">
        <f t="shared" si="35"/>
        <v>0</v>
      </c>
      <c r="AB65" s="28">
        <f t="shared" si="36"/>
        <v>0</v>
      </c>
      <c r="AG65" s="28">
        <f t="shared" si="37"/>
        <v>0</v>
      </c>
    </row>
    <row r="66" spans="1:33" s="28" customFormat="1" ht="16.149999999999999" hidden="1" customHeight="1" x14ac:dyDescent="0.2">
      <c r="A66" s="17"/>
      <c r="B66" s="3558"/>
      <c r="C66" s="820"/>
      <c r="D66" s="41"/>
      <c r="E66" s="821">
        <f t="shared" si="25"/>
        <v>0</v>
      </c>
      <c r="F66" s="17"/>
      <c r="G66" s="364"/>
      <c r="H66" s="561"/>
      <c r="I66" s="561"/>
      <c r="J66" s="822"/>
      <c r="K66" s="823"/>
      <c r="L66" s="561"/>
      <c r="M66" s="561"/>
      <c r="N66" s="561"/>
      <c r="O66" s="2176"/>
      <c r="P66" s="2176"/>
      <c r="Q66" s="4025" t="str">
        <f t="shared" si="26"/>
        <v/>
      </c>
      <c r="R66" s="561"/>
      <c r="S66" s="222" t="str">
        <f t="shared" si="27"/>
        <v/>
      </c>
      <c r="T66" s="28">
        <f t="shared" si="28"/>
        <v>0</v>
      </c>
      <c r="U66" s="1736">
        <f t="shared" si="29"/>
        <v>0</v>
      </c>
      <c r="V66" s="1736">
        <f t="shared" si="30"/>
        <v>0</v>
      </c>
      <c r="W66" s="31">
        <f t="shared" si="31"/>
        <v>0</v>
      </c>
      <c r="X66" s="2178">
        <f t="shared" si="32"/>
        <v>0</v>
      </c>
      <c r="Y66" s="28">
        <f t="shared" si="33"/>
        <v>0</v>
      </c>
      <c r="Z66" s="28">
        <f t="shared" si="34"/>
        <v>0</v>
      </c>
      <c r="AA66" s="84">
        <f t="shared" si="35"/>
        <v>0</v>
      </c>
      <c r="AB66" s="28">
        <f t="shared" si="36"/>
        <v>0</v>
      </c>
      <c r="AG66" s="28">
        <f t="shared" si="37"/>
        <v>0</v>
      </c>
    </row>
    <row r="67" spans="1:33" s="28" customFormat="1" ht="16.149999999999999" hidden="1" customHeight="1" x14ac:dyDescent="0.2">
      <c r="A67" s="17"/>
      <c r="B67" s="3558"/>
      <c r="C67" s="820"/>
      <c r="D67" s="41"/>
      <c r="E67" s="821">
        <f t="shared" si="25"/>
        <v>0</v>
      </c>
      <c r="F67" s="17"/>
      <c r="G67" s="364"/>
      <c r="H67" s="561"/>
      <c r="I67" s="561"/>
      <c r="J67" s="822"/>
      <c r="K67" s="823"/>
      <c r="L67" s="561"/>
      <c r="M67" s="561"/>
      <c r="N67" s="561"/>
      <c r="O67" s="2176"/>
      <c r="P67" s="2176"/>
      <c r="Q67" s="4025" t="str">
        <f t="shared" si="26"/>
        <v/>
      </c>
      <c r="R67" s="561"/>
      <c r="S67" s="222" t="str">
        <f t="shared" si="27"/>
        <v/>
      </c>
      <c r="T67" s="28">
        <f t="shared" si="28"/>
        <v>0</v>
      </c>
      <c r="U67" s="1736">
        <f t="shared" si="29"/>
        <v>0</v>
      </c>
      <c r="V67" s="1736">
        <f t="shared" si="30"/>
        <v>0</v>
      </c>
      <c r="W67" s="31">
        <f t="shared" si="31"/>
        <v>0</v>
      </c>
      <c r="X67" s="2178">
        <f t="shared" si="32"/>
        <v>0</v>
      </c>
      <c r="Y67" s="28">
        <f t="shared" si="33"/>
        <v>0</v>
      </c>
      <c r="Z67" s="28">
        <f t="shared" si="34"/>
        <v>0</v>
      </c>
      <c r="AA67" s="84">
        <f t="shared" si="35"/>
        <v>0</v>
      </c>
      <c r="AB67" s="28">
        <f t="shared" si="36"/>
        <v>0</v>
      </c>
      <c r="AG67" s="28">
        <f t="shared" si="37"/>
        <v>0</v>
      </c>
    </row>
    <row r="68" spans="1:33" s="28" customFormat="1" ht="16.149999999999999" hidden="1" customHeight="1" x14ac:dyDescent="0.2">
      <c r="A68" s="17"/>
      <c r="B68" s="3558"/>
      <c r="C68" s="820"/>
      <c r="D68" s="41"/>
      <c r="E68" s="821">
        <f t="shared" si="25"/>
        <v>0</v>
      </c>
      <c r="F68" s="17"/>
      <c r="G68" s="364"/>
      <c r="H68" s="561"/>
      <c r="I68" s="561"/>
      <c r="J68" s="822"/>
      <c r="K68" s="823"/>
      <c r="L68" s="561"/>
      <c r="M68" s="561"/>
      <c r="N68" s="561"/>
      <c r="O68" s="2176"/>
      <c r="P68" s="2176"/>
      <c r="Q68" s="4025" t="str">
        <f t="shared" si="26"/>
        <v/>
      </c>
      <c r="R68" s="561"/>
      <c r="S68" s="222" t="str">
        <f t="shared" si="27"/>
        <v/>
      </c>
      <c r="T68" s="28">
        <f t="shared" si="28"/>
        <v>0</v>
      </c>
      <c r="U68" s="1736">
        <f t="shared" si="29"/>
        <v>0</v>
      </c>
      <c r="V68" s="1736">
        <f t="shared" si="30"/>
        <v>0</v>
      </c>
      <c r="W68" s="31">
        <f t="shared" si="31"/>
        <v>0</v>
      </c>
      <c r="X68" s="2178">
        <f t="shared" si="32"/>
        <v>0</v>
      </c>
      <c r="Y68" s="28">
        <f t="shared" si="33"/>
        <v>0</v>
      </c>
      <c r="Z68" s="28">
        <f t="shared" si="34"/>
        <v>0</v>
      </c>
      <c r="AA68" s="84">
        <f t="shared" si="35"/>
        <v>0</v>
      </c>
      <c r="AB68" s="28">
        <f t="shared" si="36"/>
        <v>0</v>
      </c>
      <c r="AG68" s="28">
        <f t="shared" si="37"/>
        <v>0</v>
      </c>
    </row>
    <row r="69" spans="1:33" s="28" customFormat="1" ht="16.149999999999999" hidden="1" customHeight="1" x14ac:dyDescent="0.2">
      <c r="A69" s="17"/>
      <c r="B69" s="3558"/>
      <c r="C69" s="820"/>
      <c r="D69" s="41"/>
      <c r="E69" s="821">
        <f t="shared" si="25"/>
        <v>0</v>
      </c>
      <c r="F69" s="17"/>
      <c r="G69" s="364"/>
      <c r="H69" s="561"/>
      <c r="I69" s="561"/>
      <c r="J69" s="822"/>
      <c r="K69" s="823"/>
      <c r="L69" s="561"/>
      <c r="M69" s="561"/>
      <c r="N69" s="561"/>
      <c r="O69" s="2176"/>
      <c r="P69" s="2176"/>
      <c r="Q69" s="4025" t="str">
        <f t="shared" si="26"/>
        <v/>
      </c>
      <c r="R69" s="561"/>
      <c r="S69" s="222" t="str">
        <f t="shared" si="27"/>
        <v/>
      </c>
      <c r="T69" s="28">
        <f t="shared" si="28"/>
        <v>0</v>
      </c>
      <c r="U69" s="1736">
        <f t="shared" si="29"/>
        <v>0</v>
      </c>
      <c r="V69" s="1736">
        <f t="shared" si="30"/>
        <v>0</v>
      </c>
      <c r="W69" s="31">
        <f t="shared" si="31"/>
        <v>0</v>
      </c>
      <c r="X69" s="2178">
        <f t="shared" si="32"/>
        <v>0</v>
      </c>
      <c r="Y69" s="28">
        <f t="shared" si="33"/>
        <v>0</v>
      </c>
      <c r="Z69" s="28">
        <f t="shared" si="34"/>
        <v>0</v>
      </c>
      <c r="AA69" s="84">
        <f t="shared" si="35"/>
        <v>0</v>
      </c>
      <c r="AB69" s="28">
        <f t="shared" si="36"/>
        <v>0</v>
      </c>
      <c r="AG69" s="28">
        <f t="shared" si="37"/>
        <v>0</v>
      </c>
    </row>
    <row r="70" spans="1:33" s="28" customFormat="1" ht="16.149999999999999" hidden="1" customHeight="1" x14ac:dyDescent="0.2">
      <c r="A70" s="17"/>
      <c r="B70" s="3558"/>
      <c r="C70" s="820"/>
      <c r="D70" s="41"/>
      <c r="E70" s="821">
        <f t="shared" si="25"/>
        <v>0</v>
      </c>
      <c r="F70" s="17"/>
      <c r="G70" s="364"/>
      <c r="H70" s="561"/>
      <c r="I70" s="561"/>
      <c r="J70" s="822"/>
      <c r="K70" s="823"/>
      <c r="L70" s="561"/>
      <c r="M70" s="561"/>
      <c r="N70" s="561"/>
      <c r="O70" s="2176"/>
      <c r="P70" s="2176"/>
      <c r="Q70" s="4025" t="str">
        <f t="shared" si="26"/>
        <v/>
      </c>
      <c r="R70" s="561"/>
      <c r="S70" s="222" t="str">
        <f t="shared" si="27"/>
        <v/>
      </c>
      <c r="T70" s="28">
        <f t="shared" si="28"/>
        <v>0</v>
      </c>
      <c r="U70" s="1736">
        <f t="shared" si="29"/>
        <v>0</v>
      </c>
      <c r="V70" s="1736">
        <f t="shared" si="30"/>
        <v>0</v>
      </c>
      <c r="W70" s="31">
        <f t="shared" si="31"/>
        <v>0</v>
      </c>
      <c r="X70" s="2178">
        <f t="shared" si="32"/>
        <v>0</v>
      </c>
      <c r="Y70" s="28">
        <f t="shared" si="33"/>
        <v>0</v>
      </c>
      <c r="Z70" s="28">
        <f t="shared" si="34"/>
        <v>0</v>
      </c>
      <c r="AA70" s="84">
        <f t="shared" si="35"/>
        <v>0</v>
      </c>
      <c r="AB70" s="28">
        <f t="shared" si="36"/>
        <v>0</v>
      </c>
      <c r="AG70" s="28">
        <f t="shared" si="37"/>
        <v>0</v>
      </c>
    </row>
    <row r="71" spans="1:33" s="28" customFormat="1" ht="16.149999999999999" hidden="1" customHeight="1" x14ac:dyDescent="0.2">
      <c r="A71" s="17"/>
      <c r="B71" s="3558"/>
      <c r="C71" s="820"/>
      <c r="D71" s="41"/>
      <c r="E71" s="821">
        <f t="shared" si="13"/>
        <v>0</v>
      </c>
      <c r="F71" s="17"/>
      <c r="G71" s="364"/>
      <c r="H71" s="561"/>
      <c r="I71" s="561"/>
      <c r="J71" s="822"/>
      <c r="K71" s="823"/>
      <c r="L71" s="561"/>
      <c r="M71" s="561"/>
      <c r="N71" s="561"/>
      <c r="O71" s="2176"/>
      <c r="P71" s="2176"/>
      <c r="Q71" s="4025" t="str">
        <f t="shared" si="18"/>
        <v/>
      </c>
      <c r="R71" s="561"/>
      <c r="S71" s="222" t="str">
        <f t="shared" si="12"/>
        <v/>
      </c>
      <c r="T71" s="28">
        <f t="shared" si="14"/>
        <v>0</v>
      </c>
      <c r="U71" s="1736">
        <f t="shared" si="19"/>
        <v>0</v>
      </c>
      <c r="V71" s="1736">
        <f t="shared" si="20"/>
        <v>0</v>
      </c>
      <c r="W71" s="31">
        <f t="shared" si="21"/>
        <v>0</v>
      </c>
      <c r="X71" s="2178">
        <f t="shared" si="22"/>
        <v>0</v>
      </c>
      <c r="Y71" s="28">
        <f t="shared" si="15"/>
        <v>0</v>
      </c>
      <c r="Z71" s="28">
        <f t="shared" si="23"/>
        <v>0</v>
      </c>
      <c r="AA71" s="84">
        <f t="shared" si="24"/>
        <v>0</v>
      </c>
      <c r="AB71" s="28">
        <f t="shared" si="16"/>
        <v>0</v>
      </c>
      <c r="AG71" s="28">
        <f t="shared" si="17"/>
        <v>0</v>
      </c>
    </row>
    <row r="72" spans="1:33" s="28" customFormat="1" ht="16.149999999999999" hidden="1" customHeight="1" x14ac:dyDescent="0.2">
      <c r="A72" s="17"/>
      <c r="B72" s="3558"/>
      <c r="C72" s="820"/>
      <c r="D72" s="41"/>
      <c r="E72" s="821">
        <f t="shared" si="13"/>
        <v>0</v>
      </c>
      <c r="F72" s="17"/>
      <c r="G72" s="364"/>
      <c r="H72" s="561"/>
      <c r="I72" s="561"/>
      <c r="J72" s="822"/>
      <c r="K72" s="823"/>
      <c r="L72" s="561"/>
      <c r="M72" s="561"/>
      <c r="N72" s="561"/>
      <c r="O72" s="2176"/>
      <c r="P72" s="2176"/>
      <c r="Q72" s="4025" t="str">
        <f t="shared" si="18"/>
        <v/>
      </c>
      <c r="R72" s="561"/>
      <c r="S72" s="222" t="str">
        <f t="shared" si="12"/>
        <v/>
      </c>
      <c r="T72" s="28">
        <f t="shared" si="14"/>
        <v>0</v>
      </c>
      <c r="U72" s="1736">
        <f t="shared" si="19"/>
        <v>0</v>
      </c>
      <c r="V72" s="1736">
        <f t="shared" si="20"/>
        <v>0</v>
      </c>
      <c r="W72" s="31">
        <f t="shared" si="21"/>
        <v>0</v>
      </c>
      <c r="X72" s="2178">
        <f t="shared" si="22"/>
        <v>0</v>
      </c>
      <c r="Y72" s="28">
        <f t="shared" si="15"/>
        <v>0</v>
      </c>
      <c r="Z72" s="28">
        <f t="shared" si="23"/>
        <v>0</v>
      </c>
      <c r="AA72" s="84">
        <f t="shared" si="24"/>
        <v>0</v>
      </c>
      <c r="AB72" s="28">
        <f t="shared" si="16"/>
        <v>0</v>
      </c>
      <c r="AG72" s="28">
        <f t="shared" si="17"/>
        <v>0</v>
      </c>
    </row>
    <row r="73" spans="1:33" s="28" customFormat="1" ht="16.149999999999999" hidden="1" customHeight="1" x14ac:dyDescent="0.2">
      <c r="A73" s="17"/>
      <c r="B73" s="3558"/>
      <c r="C73" s="820"/>
      <c r="D73" s="41"/>
      <c r="E73" s="821">
        <f t="shared" si="13"/>
        <v>0</v>
      </c>
      <c r="F73" s="17"/>
      <c r="G73" s="364"/>
      <c r="H73" s="561"/>
      <c r="I73" s="561"/>
      <c r="J73" s="822"/>
      <c r="K73" s="823"/>
      <c r="L73" s="561"/>
      <c r="M73" s="561"/>
      <c r="N73" s="561"/>
      <c r="O73" s="2176"/>
      <c r="P73" s="2176"/>
      <c r="Q73" s="4025" t="str">
        <f t="shared" si="18"/>
        <v/>
      </c>
      <c r="R73" s="561"/>
      <c r="S73" s="222" t="str">
        <f t="shared" si="12"/>
        <v/>
      </c>
      <c r="T73" s="28">
        <f t="shared" si="14"/>
        <v>0</v>
      </c>
      <c r="U73" s="1736">
        <f t="shared" si="19"/>
        <v>0</v>
      </c>
      <c r="V73" s="1736">
        <f t="shared" si="20"/>
        <v>0</v>
      </c>
      <c r="W73" s="31">
        <f t="shared" si="21"/>
        <v>0</v>
      </c>
      <c r="X73" s="2178">
        <f t="shared" si="22"/>
        <v>0</v>
      </c>
      <c r="Y73" s="28">
        <f t="shared" si="15"/>
        <v>0</v>
      </c>
      <c r="Z73" s="28">
        <f t="shared" si="23"/>
        <v>0</v>
      </c>
      <c r="AA73" s="84">
        <f t="shared" si="24"/>
        <v>0</v>
      </c>
      <c r="AB73" s="28">
        <f t="shared" si="16"/>
        <v>0</v>
      </c>
      <c r="AG73" s="28">
        <f t="shared" si="17"/>
        <v>0</v>
      </c>
    </row>
    <row r="74" spans="1:33" s="28" customFormat="1" ht="16.149999999999999" hidden="1" customHeight="1" x14ac:dyDescent="0.2">
      <c r="A74" s="17"/>
      <c r="B74" s="3558"/>
      <c r="C74" s="820"/>
      <c r="D74" s="41"/>
      <c r="E74" s="821">
        <f t="shared" si="13"/>
        <v>0</v>
      </c>
      <c r="F74" s="17"/>
      <c r="G74" s="364"/>
      <c r="H74" s="561"/>
      <c r="I74" s="561"/>
      <c r="J74" s="822"/>
      <c r="K74" s="823"/>
      <c r="L74" s="561"/>
      <c r="M74" s="561"/>
      <c r="N74" s="561"/>
      <c r="O74" s="2176"/>
      <c r="P74" s="2176"/>
      <c r="Q74" s="4025" t="str">
        <f t="shared" si="18"/>
        <v/>
      </c>
      <c r="R74" s="561"/>
      <c r="S74" s="222" t="str">
        <f t="shared" si="12"/>
        <v/>
      </c>
      <c r="T74" s="28">
        <f t="shared" si="14"/>
        <v>0</v>
      </c>
      <c r="U74" s="1736">
        <f t="shared" si="19"/>
        <v>0</v>
      </c>
      <c r="V74" s="1736">
        <f t="shared" si="20"/>
        <v>0</v>
      </c>
      <c r="W74" s="31">
        <f t="shared" si="21"/>
        <v>0</v>
      </c>
      <c r="X74" s="2178">
        <f t="shared" si="22"/>
        <v>0</v>
      </c>
      <c r="Y74" s="28">
        <f t="shared" si="15"/>
        <v>0</v>
      </c>
      <c r="Z74" s="28">
        <f t="shared" si="23"/>
        <v>0</v>
      </c>
      <c r="AA74" s="84">
        <f t="shared" si="24"/>
        <v>0</v>
      </c>
      <c r="AB74" s="28">
        <f t="shared" si="16"/>
        <v>0</v>
      </c>
      <c r="AG74" s="28">
        <f t="shared" si="17"/>
        <v>0</v>
      </c>
    </row>
    <row r="75" spans="1:33" s="28" customFormat="1" ht="16.149999999999999" hidden="1" customHeight="1" x14ac:dyDescent="0.2">
      <c r="A75" s="17"/>
      <c r="B75" s="3558"/>
      <c r="C75" s="820"/>
      <c r="D75" s="41"/>
      <c r="E75" s="821">
        <f t="shared" si="13"/>
        <v>0</v>
      </c>
      <c r="F75" s="17"/>
      <c r="G75" s="364"/>
      <c r="H75" s="561"/>
      <c r="I75" s="561"/>
      <c r="J75" s="822"/>
      <c r="K75" s="823"/>
      <c r="L75" s="561"/>
      <c r="M75" s="561"/>
      <c r="N75" s="561"/>
      <c r="O75" s="2176"/>
      <c r="P75" s="2176"/>
      <c r="Q75" s="4025" t="str">
        <f t="shared" si="18"/>
        <v/>
      </c>
      <c r="R75" s="561"/>
      <c r="S75" s="222" t="str">
        <f t="shared" si="12"/>
        <v/>
      </c>
      <c r="T75" s="28">
        <f t="shared" si="14"/>
        <v>0</v>
      </c>
      <c r="U75" s="1736">
        <f t="shared" si="19"/>
        <v>0</v>
      </c>
      <c r="V75" s="1736">
        <f t="shared" si="20"/>
        <v>0</v>
      </c>
      <c r="W75" s="31">
        <f t="shared" si="21"/>
        <v>0</v>
      </c>
      <c r="X75" s="2178">
        <f t="shared" si="22"/>
        <v>0</v>
      </c>
      <c r="Y75" s="28">
        <f t="shared" si="15"/>
        <v>0</v>
      </c>
      <c r="Z75" s="28">
        <f t="shared" si="23"/>
        <v>0</v>
      </c>
      <c r="AA75" s="84">
        <f t="shared" si="24"/>
        <v>0</v>
      </c>
      <c r="AB75" s="28">
        <f t="shared" si="16"/>
        <v>0</v>
      </c>
      <c r="AG75" s="28">
        <f t="shared" si="17"/>
        <v>0</v>
      </c>
    </row>
    <row r="76" spans="1:33" s="28" customFormat="1" ht="16.149999999999999" hidden="1" customHeight="1" x14ac:dyDescent="0.2">
      <c r="A76" s="17"/>
      <c r="B76" s="3558"/>
      <c r="C76" s="820"/>
      <c r="D76" s="41"/>
      <c r="E76" s="821">
        <f t="shared" ref="E76:E82" si="38">AA76</f>
      </c>
      <c r="F76" s="17"/>
      <c r="G76" s="364"/>
      <c r="H76" s="561"/>
      <c r="I76" s="561"/>
      <c r="J76" s="822"/>
      <c r="K76" s="823"/>
      <c r="L76" s="561"/>
      <c r="M76" s="561"/>
      <c r="N76" s="561"/>
      <c r="O76" s="2176"/>
      <c r="P76" s="2176"/>
      <c r="Q76" s="4025" t="str">
        <f t="shared" si="18"/>
        <v/>
      </c>
      <c r="R76" s="561"/>
      <c r="S76" s="222" t="str">
        <f t="shared" si="12"/>
        <v/>
      </c>
      <c r="T76" s="28">
        <f t="shared" ref="T76:T82" si="39">IF(OR(S76="",S76=$X$4),0,1)</f>
      </c>
      <c r="U76" s="1736">
        <f t="shared" si="19"/>
        <v>0</v>
      </c>
      <c r="V76" s="1736">
        <f t="shared" si="20"/>
        <v>0</v>
      </c>
      <c r="W76" s="31">
        <f t="shared" si="21"/>
        <v>0</v>
      </c>
      <c r="X76" s="2178">
        <f t="shared" si="22"/>
        <v>0</v>
      </c>
      <c r="Y76" s="28">
        <f t="shared" ref="Y76:Y83" si="40">IF(R76&lt;U76,1,IF(R76&gt;V76,1,0))</f>
      </c>
      <c r="Z76" s="28">
        <f t="shared" si="23"/>
        <v>0</v>
      </c>
      <c r="AA76" s="84">
        <f t="shared" si="24"/>
        <v>0</v>
      </c>
      <c r="AB76" s="28">
        <f t="shared" ref="AB76:AB82" si="41">IF(AA76-R76&lt;0,0,AA76-R76)</f>
      </c>
      <c r="AG76" s="28">
        <f t="shared" ref="AG76:AG84" si="42">IF(S76=$X$4,1,0)</f>
      </c>
    </row>
    <row r="77" spans="1:33" s="28" customFormat="1" ht="16.149999999999999" hidden="1" customHeight="1" x14ac:dyDescent="0.2">
      <c r="A77" s="17"/>
      <c r="B77" s="3558"/>
      <c r="C77" s="820"/>
      <c r="D77" s="41"/>
      <c r="E77" s="821">
        <f t="shared" si="38"/>
        <v>0</v>
      </c>
      <c r="F77" s="17"/>
      <c r="G77" s="364"/>
      <c r="H77" s="561"/>
      <c r="I77" s="561"/>
      <c r="J77" s="822"/>
      <c r="K77" s="823"/>
      <c r="L77" s="561"/>
      <c r="M77" s="561"/>
      <c r="N77" s="561"/>
      <c r="O77" s="2176"/>
      <c r="P77" s="2176"/>
      <c r="Q77" s="4025" t="str">
        <f t="shared" si="18"/>
        <v/>
      </c>
      <c r="R77" s="561"/>
      <c r="S77" s="222" t="str">
        <f t="shared" si="12"/>
        <v/>
      </c>
      <c r="T77" s="28">
        <f t="shared" si="39"/>
        <v>0</v>
      </c>
      <c r="U77" s="1736">
        <f t="shared" si="19"/>
        <v>0</v>
      </c>
      <c r="V77" s="1736">
        <f t="shared" si="20"/>
        <v>0</v>
      </c>
      <c r="W77" s="31">
        <f t="shared" si="21"/>
        <v>0</v>
      </c>
      <c r="X77" s="2178">
        <f t="shared" si="22"/>
        <v>0</v>
      </c>
      <c r="Y77" s="28">
        <f t="shared" si="40"/>
        <v>0</v>
      </c>
      <c r="Z77" s="28">
        <f t="shared" si="23"/>
        <v>0</v>
      </c>
      <c r="AA77" s="84">
        <f t="shared" si="24"/>
        <v>0</v>
      </c>
      <c r="AB77" s="28">
        <f t="shared" si="41"/>
        <v>0</v>
      </c>
      <c r="AG77" s="28">
        <f t="shared" si="42"/>
        <v>0</v>
      </c>
    </row>
    <row r="78" spans="1:33" s="28" customFormat="1" ht="16.149999999999999" hidden="1" customHeight="1" x14ac:dyDescent="0.2">
      <c r="A78" s="17"/>
      <c r="B78" s="3558"/>
      <c r="C78" s="820"/>
      <c r="D78" s="41"/>
      <c r="E78" s="821">
        <f t="shared" si="38"/>
        <v>0</v>
      </c>
      <c r="F78" s="17"/>
      <c r="G78" s="364"/>
      <c r="H78" s="561"/>
      <c r="I78" s="561"/>
      <c r="J78" s="822"/>
      <c r="K78" s="823"/>
      <c r="L78" s="561"/>
      <c r="M78" s="561"/>
      <c r="N78" s="561"/>
      <c r="O78" s="2176"/>
      <c r="P78" s="2176"/>
      <c r="Q78" s="4025" t="str">
        <f t="shared" si="18"/>
        <v/>
      </c>
      <c r="R78" s="561"/>
      <c r="S78" s="222" t="str">
        <f t="shared" si="12"/>
        <v/>
      </c>
      <c r="T78" s="28">
        <f t="shared" si="39"/>
        <v>0</v>
      </c>
      <c r="U78" s="1736">
        <f t="shared" si="19"/>
        <v>0</v>
      </c>
      <c r="V78" s="1736">
        <f t="shared" si="20"/>
        <v>0</v>
      </c>
      <c r="W78" s="31">
        <f t="shared" si="21"/>
        <v>0</v>
      </c>
      <c r="X78" s="2178">
        <f t="shared" si="22"/>
        <v>0</v>
      </c>
      <c r="Y78" s="28">
        <f t="shared" si="40"/>
        <v>0</v>
      </c>
      <c r="Z78" s="28">
        <f t="shared" si="23"/>
        <v>0</v>
      </c>
      <c r="AA78" s="84">
        <f t="shared" si="24"/>
        <v>0</v>
      </c>
      <c r="AB78" s="28">
        <f t="shared" si="41"/>
        <v>0</v>
      </c>
      <c r="AG78" s="28">
        <f t="shared" si="42"/>
        <v>0</v>
      </c>
    </row>
    <row r="79" spans="1:33" s="28" customFormat="1" ht="16.149999999999999" hidden="1" customHeight="1" x14ac:dyDescent="0.2">
      <c r="A79" s="17"/>
      <c r="B79" s="3558"/>
      <c r="C79" s="820"/>
      <c r="D79" s="41"/>
      <c r="E79" s="821">
        <f t="shared" si="38"/>
        <v>0</v>
      </c>
      <c r="F79" s="17"/>
      <c r="G79" s="364"/>
      <c r="H79" s="561"/>
      <c r="I79" s="561"/>
      <c r="J79" s="822"/>
      <c r="K79" s="823"/>
      <c r="L79" s="561"/>
      <c r="M79" s="561"/>
      <c r="N79" s="561"/>
      <c r="O79" s="2176"/>
      <c r="P79" s="2176"/>
      <c r="Q79" s="4025" t="str">
        <f t="shared" si="18"/>
        <v/>
      </c>
      <c r="R79" s="561"/>
      <c r="S79" s="222" t="str">
        <f t="shared" si="12"/>
        <v/>
      </c>
      <c r="T79" s="28">
        <f t="shared" si="39"/>
        <v>0</v>
      </c>
      <c r="U79" s="1736">
        <f t="shared" si="19"/>
        <v>0</v>
      </c>
      <c r="V79" s="1736">
        <f t="shared" si="20"/>
        <v>0</v>
      </c>
      <c r="W79" s="31">
        <f t="shared" si="21"/>
        <v>0</v>
      </c>
      <c r="X79" s="2178">
        <f t="shared" si="22"/>
        <v>0</v>
      </c>
      <c r="Y79" s="28">
        <f t="shared" si="40"/>
        <v>0</v>
      </c>
      <c r="Z79" s="28">
        <f t="shared" si="23"/>
        <v>0</v>
      </c>
      <c r="AA79" s="84">
        <f t="shared" si="24"/>
        <v>0</v>
      </c>
      <c r="AB79" s="28">
        <f t="shared" si="41"/>
        <v>0</v>
      </c>
      <c r="AG79" s="28">
        <f t="shared" si="42"/>
        <v>0</v>
      </c>
    </row>
    <row r="80" spans="1:33" s="28" customFormat="1" ht="16.149999999999999" hidden="1" customHeight="1" x14ac:dyDescent="0.2">
      <c r="A80" s="17"/>
      <c r="B80" s="3558"/>
      <c r="C80" s="820"/>
      <c r="D80" s="41"/>
      <c r="E80" s="821">
        <f t="shared" si="38"/>
        <v>0</v>
      </c>
      <c r="F80" s="17"/>
      <c r="G80" s="364"/>
      <c r="H80" s="561"/>
      <c r="I80" s="561"/>
      <c r="J80" s="822"/>
      <c r="K80" s="823"/>
      <c r="L80" s="561"/>
      <c r="M80" s="561"/>
      <c r="N80" s="561"/>
      <c r="O80" s="2176"/>
      <c r="P80" s="2176"/>
      <c r="Q80" s="4025" t="str">
        <f t="shared" si="18"/>
        <v/>
      </c>
      <c r="R80" s="561"/>
      <c r="S80" s="222" t="str">
        <f t="shared" si="12"/>
        <v/>
      </c>
      <c r="T80" s="28">
        <f t="shared" si="39"/>
        <v>0</v>
      </c>
      <c r="U80" s="1736">
        <f t="shared" si="19"/>
        <v>0</v>
      </c>
      <c r="V80" s="1736">
        <f t="shared" si="20"/>
        <v>0</v>
      </c>
      <c r="W80" s="31">
        <f t="shared" si="21"/>
        <v>0</v>
      </c>
      <c r="X80" s="2178">
        <f t="shared" si="22"/>
        <v>0</v>
      </c>
      <c r="Y80" s="28">
        <f t="shared" si="40"/>
        <v>0</v>
      </c>
      <c r="Z80" s="28">
        <f t="shared" si="23"/>
        <v>0</v>
      </c>
      <c r="AA80" s="84">
        <f t="shared" si="24"/>
        <v>0</v>
      </c>
      <c r="AB80" s="28">
        <f t="shared" si="41"/>
        <v>0</v>
      </c>
      <c r="AG80" s="28">
        <f t="shared" si="42"/>
        <v>0</v>
      </c>
    </row>
    <row r="81" spans="1:56" s="28" customFormat="1" ht="16.149999999999999" customHeight="1" x14ac:dyDescent="0.2">
      <c r="A81" s="17"/>
      <c r="B81" s="3558"/>
      <c r="C81" s="820"/>
      <c r="D81" s="41"/>
      <c r="E81" s="1185">
        <f t="shared" si="38"/>
        <v>0</v>
      </c>
      <c r="F81" s="17"/>
      <c r="G81" s="2044"/>
      <c r="H81" s="1171"/>
      <c r="I81" s="1171"/>
      <c r="J81" s="1186"/>
      <c r="K81" s="823"/>
      <c r="L81" s="561"/>
      <c r="M81" s="561"/>
      <c r="N81" s="561"/>
      <c r="O81" s="597"/>
      <c r="P81" s="597"/>
      <c r="Q81" s="2180"/>
      <c r="R81" s="561"/>
      <c r="S81" s="222" t="str">
        <f t="shared" si="12"/>
        <v/>
      </c>
      <c r="T81" s="28">
        <f t="shared" si="39"/>
        <v>0</v>
      </c>
      <c r="U81" s="1736">
        <f t="shared" si="19"/>
        <v>0</v>
      </c>
      <c r="V81" s="1736">
        <f t="shared" si="20"/>
        <v>0</v>
      </c>
      <c r="W81" s="31">
        <f t="shared" si="21"/>
        <v>0</v>
      </c>
      <c r="X81" s="2178">
        <f>IF(V1="y",COUNTA(B81,C81,G81,H81,I81,L81,M81,N81,O81,Q81,R81),COUNTA(C81,G81,H81,I81,L81,M81,N81,O81,Q81,R81))</f>
      </c>
      <c r="Y81" s="28">
        <f t="shared" si="40"/>
        <v>0</v>
      </c>
      <c r="Z81" s="28">
        <f t="shared" si="23"/>
        <v>0</v>
      </c>
      <c r="AA81" s="84">
        <f t="shared" si="24"/>
        <v>0</v>
      </c>
      <c r="AB81" s="28">
        <f t="shared" si="41"/>
        <v>0</v>
      </c>
      <c r="AG81" s="28">
        <f t="shared" si="42"/>
        <v>0</v>
      </c>
    </row>
    <row r="82" spans="1:56" s="28" customFormat="1" ht="16.149999999999999" customHeight="1" x14ac:dyDescent="0.2">
      <c r="A82" s="17"/>
      <c r="B82" s="3558"/>
      <c r="C82" s="820"/>
      <c r="D82" s="41"/>
      <c r="E82" s="821">
        <f t="shared" si="38"/>
        <v>0</v>
      </c>
      <c r="F82" s="17"/>
      <c r="G82" s="364"/>
      <c r="H82" s="561"/>
      <c r="I82" s="561"/>
      <c r="J82" s="820"/>
      <c r="K82" s="823"/>
      <c r="L82" s="561"/>
      <c r="M82" s="561"/>
      <c r="N82" s="561"/>
      <c r="O82" s="597"/>
      <c r="P82" s="597"/>
      <c r="Q82" s="2180"/>
      <c r="R82" s="561"/>
      <c r="S82" s="222" t="str">
        <f t="shared" si="12"/>
        <v/>
      </c>
      <c r="T82" s="28">
        <f t="shared" si="39"/>
        <v>0</v>
      </c>
      <c r="U82" s="1736">
        <f t="shared" si="19"/>
        <v>0</v>
      </c>
      <c r="V82" s="1736">
        <f t="shared" si="20"/>
        <v>0</v>
      </c>
      <c r="W82" s="31">
        <f t="shared" si="21"/>
        <v>0</v>
      </c>
      <c r="X82" s="2178">
        <f>IF(V2="y",COUNTA(B82,C82,G82,H82,I82,L82,M82,N82,O82,Q82,R82),COUNTA(C82,G82,H82,I82,L82,M82,N82,O82,Q82,R82))</f>
      </c>
      <c r="Y82" s="28">
        <f t="shared" si="40"/>
        <v>0</v>
      </c>
      <c r="Z82" s="28">
        <f t="shared" si="23"/>
        <v>0</v>
      </c>
      <c r="AA82" s="84">
        <f t="shared" si="24"/>
        <v>0</v>
      </c>
      <c r="AB82" s="28">
        <f t="shared" si="41"/>
        <v>0</v>
      </c>
      <c r="AG82" s="28">
        <f t="shared" si="42"/>
        <v>0</v>
      </c>
    </row>
    <row r="83" spans="1:56" s="28" customFormat="1" ht="16.149999999999999" customHeight="1" x14ac:dyDescent="0.2">
      <c r="A83" s="648"/>
      <c r="B83" s="648"/>
      <c r="C83" s="648"/>
      <c r="D83" s="648"/>
      <c r="E83" s="648"/>
      <c r="F83" s="648"/>
      <c r="G83" s="648"/>
      <c r="H83" s="648"/>
      <c r="I83" s="648"/>
      <c r="J83" s="648"/>
      <c r="K83" s="648"/>
      <c r="L83" s="648"/>
      <c r="M83" s="648"/>
      <c r="N83" s="648"/>
      <c r="O83" s="648"/>
      <c r="P83" s="648"/>
      <c r="Q83" s="648"/>
      <c r="R83" s="648"/>
      <c r="S83" s="648"/>
      <c r="T83" s="28">
        <f>IF(S83=X$5,1,0)</f>
      </c>
      <c r="U83" s="1736">
        <f t="shared" si="19"/>
        <v>0</v>
      </c>
      <c r="V83" s="1736">
        <f t="shared" si="20"/>
        <v>0</v>
      </c>
      <c r="W83" s="31"/>
      <c r="X83" s="2178">
        <f>IF(V3="y",COUNTA(B83,C83,G83,H83,I83,L83,M83,N83,O83,Q83,R83),COUNTA(C83,G83,H83,I83,L83,M83,N83,O83,Q83,R83))</f>
      </c>
      <c r="Y83" s="28">
        <f t="shared" si="40"/>
        <v>0</v>
      </c>
      <c r="AG83" s="28">
        <f t="shared" si="42"/>
        <v>0</v>
      </c>
    </row>
    <row r="84" spans="1:56" s="28" customFormat="1" ht="16.149999999999999" customHeight="1" x14ac:dyDescent="0.2">
      <c r="A84" s="17"/>
      <c r="B84" s="17"/>
      <c r="C84" s="252" t="s">
        <v>7743</v>
      </c>
      <c r="D84" s="253"/>
      <c r="E84" s="253"/>
      <c r="F84" s="253"/>
      <c r="G84" s="253"/>
      <c r="H84" s="253"/>
      <c r="I84" s="253"/>
      <c r="J84" s="253"/>
      <c r="K84" s="253"/>
      <c r="L84" s="253"/>
      <c r="M84" s="253"/>
      <c r="N84" s="253"/>
      <c r="O84" s="253"/>
      <c r="P84" s="253"/>
      <c r="Q84" s="253"/>
      <c r="R84" s="254"/>
      <c r="S84" s="648"/>
      <c r="W84" s="31"/>
      <c r="X84" s="46"/>
      <c r="AG84" s="28">
        <f t="shared" si="42"/>
        <v>0</v>
      </c>
    </row>
    <row r="85" spans="1:56" s="28" customFormat="1" ht="16.149999999999999" customHeight="1" x14ac:dyDescent="0.2">
      <c r="A85" s="17"/>
      <c r="B85" s="3558"/>
      <c r="C85" s="820"/>
      <c r="D85" s="41"/>
      <c r="E85" s="821">
        <f>H85</f>
      </c>
      <c r="F85" s="17"/>
      <c r="G85" s="648"/>
      <c r="H85" s="561"/>
      <c r="I85" s="648"/>
      <c r="J85" s="648"/>
      <c r="K85" s="648"/>
      <c r="L85" s="648"/>
      <c r="M85" s="648"/>
      <c r="N85" s="648"/>
      <c r="O85" s="2176"/>
      <c r="P85" s="824"/>
      <c r="Q85" s="2177" t="str">
        <f>IF(O85="","",VLOOKUP(O85,fwt12a,2,FALSE))</f>
        <v/>
      </c>
      <c r="R85" s="561"/>
      <c r="S85" s="222" t="str">
        <f>IF(X85=0,"",IF(AND($V$1="y",X85&lt;&gt;5),$X$5,IF(AND($V$1="n",X85&lt;&gt;4),$X$5,IF(OR(Q85&lt;5%,Q85&gt;10%),$Z$3,IF(Y85=1,$X$4,IF(AND($V$1="n",B85&lt;&gt;"")," Details of IT ref - Check Pg 2 Q 30",""))))))</f>
        <v/>
      </c>
      <c r="T85" s="28">
        <f>IF(S85=X$1,1,0)</f>
      </c>
      <c r="U85" s="1742">
        <f>IF(H85="",0,ROUND(H85*Q85,0)-1)</f>
      </c>
      <c r="V85" s="1742">
        <f>IF(H85="",0,ROUND(H85*Q85,0)+1)</f>
      </c>
      <c r="W85" s="31"/>
      <c r="X85" s="2178">
        <f>IF($V$1="y",COUNTA(B85,C85,H85,O85,R85),COUNTA(C85,H85,O85,R85))</f>
      </c>
      <c r="Y85" s="28">
        <f>IF(R85&lt;U85,1,IF(R85&gt;V85,1,0))</f>
      </c>
      <c r="AA85" s="84">
        <f>H85</f>
      </c>
      <c r="AB85" s="28">
        <f>IF(AA85-R85&lt;0,0,AA85-R85)</f>
      </c>
      <c r="AG85" s="28">
        <f>IF(S85=$X$1,1,0)</f>
      </c>
      <c r="BC85" t="s">
        <v>7741</v>
      </c>
      <c r="BD85" s="150">
        <v>0.08</v>
      </c>
    </row>
    <row r="86" spans="1:56" s="28" customFormat="1" ht="16.149999999999999" customHeight="1" x14ac:dyDescent="0.2">
      <c r="A86" s="17"/>
      <c r="B86" s="3558"/>
      <c r="C86" s="820"/>
      <c r="D86" s="41"/>
      <c r="E86" s="821">
        <f>H86</f>
      </c>
      <c r="F86" s="17"/>
      <c r="G86" s="648"/>
      <c r="H86" s="561"/>
      <c r="I86" s="648"/>
      <c r="J86" s="648"/>
      <c r="K86" s="648"/>
      <c r="L86" s="648"/>
      <c r="M86" s="648"/>
      <c r="N86" s="648"/>
      <c r="O86" s="2176"/>
      <c r="P86" s="824"/>
      <c r="Q86" s="2177" t="str">
        <f>IF(O86="","",VLOOKUP(O86,fwt12a,2,FALSE))</f>
        <v/>
      </c>
      <c r="R86" s="561"/>
      <c r="S86" s="222" t="str">
        <f>IF(X86=0,"",IF(AND($V$1="y",X86&lt;&gt;5),$X$5,IF(AND($V$1="n",X86&lt;&gt;4),$X$5,IF(OR(Q86&lt;5%,Q86&gt;10%),$Z$3,IF(Y86=1,$X$4,IF(AND($V$1="n",B86&lt;&gt;"")," Details of IT ref - Check Pg 2 Q 30",""))))))</f>
        <v/>
      </c>
      <c r="T86" s="28">
        <f>IF(S86=X$1,1,0)</f>
      </c>
      <c r="U86" s="1742">
        <f>IF(H86="",0,ROUND(H86*Q86,0)-1)</f>
      </c>
      <c r="V86" s="1742">
        <f>IF(H86="",0,ROUND(H86*Q86,0)+1)</f>
      </c>
      <c r="W86" s="31"/>
      <c r="X86" s="2178">
        <f>IF($V$1="y",COUNTA(B86,C86,H86,O86,R86),COUNTA(C86,H86,O86,R86))</f>
      </c>
      <c r="Y86" s="28">
        <f>IF(R86&lt;U86,1,IF(R86&gt;V86,1,0))</f>
      </c>
      <c r="AA86" s="84">
        <f>H86</f>
      </c>
      <c r="AB86" s="28">
        <f>IF(AA86-R86&lt;0,0,AA86-R86)</f>
      </c>
      <c r="AG86" s="28">
        <f>IF(S86=$X$1,1,0)</f>
      </c>
      <c r="BC86" t="s">
        <v>7742</v>
      </c>
      <c r="BD86" s="150">
        <v>0.1</v>
      </c>
    </row>
    <row r="87" spans="1:56" s="28" customFormat="1" ht="16.149999999999999" customHeight="1" x14ac:dyDescent="0.2">
      <c r="A87" s="17"/>
      <c r="B87" s="3558"/>
      <c r="C87" s="820"/>
      <c r="D87" s="41"/>
      <c r="E87" s="821">
        <f>H87</f>
      </c>
      <c r="F87" s="17"/>
      <c r="G87" s="648"/>
      <c r="H87" s="561"/>
      <c r="I87" s="648"/>
      <c r="J87" s="648"/>
      <c r="K87" s="648"/>
      <c r="L87" s="648"/>
      <c r="M87" s="648"/>
      <c r="N87" s="648"/>
      <c r="O87" s="2176"/>
      <c r="P87" s="824"/>
      <c r="Q87" s="2177" t="str">
        <f>IF(O87="","",VLOOKUP(O87,fwt12a,2,FALSE))</f>
        <v/>
      </c>
      <c r="R87" s="561"/>
      <c r="S87" s="222" t="str">
        <f>IF(X87=0,"",IF(AND($V$1="y",X87&lt;&gt;5),$X$5,IF(AND($V$1="n",X87&lt;&gt;4),$X$5,IF(OR(Q87&lt;5%,Q87&gt;10%),$Z$3,IF(Y87=1,$X$4,IF(AND($V$1="n",B87&lt;&gt;"")," Details of IT ref - Check Pg 2 Q 30",""))))))</f>
        <v/>
      </c>
      <c r="T87" s="28">
        <f>IF(S87=X$1,1,0)</f>
      </c>
      <c r="U87" s="1742">
        <f>IF(H87="",0,ROUND(H87*Q87,0)-1)</f>
      </c>
      <c r="V87" s="1742">
        <f>IF(H87="",0,ROUND(H87*Q87,0)+1)</f>
      </c>
      <c r="W87" s="31"/>
      <c r="X87" s="2178">
        <f>IF($V$1="y",COUNTA(B87,C87,H87,O87,R87),COUNTA(C87,H87,O87,R87))</f>
      </c>
      <c r="Y87" s="28">
        <f>IF(R87&lt;U87,1,IF(R87&gt;V87,1,0))</f>
      </c>
      <c r="AA87" s="84">
        <f>H87</f>
      </c>
      <c r="AB87" s="28">
        <f>IF(AA87-R87&lt;0,0,AA87-R87)</f>
      </c>
      <c r="AG87" s="28">
        <f>IF(S87=$X$1,1,0)</f>
      </c>
    </row>
    <row r="88" spans="1:56" s="28" customFormat="1" ht="16.149999999999999" customHeight="1" x14ac:dyDescent="0.2">
      <c r="A88" s="17"/>
      <c r="B88" s="3558"/>
      <c r="C88" s="820"/>
      <c r="D88" s="41"/>
      <c r="E88" s="821">
        <f>H88</f>
      </c>
      <c r="F88" s="17"/>
      <c r="G88" s="648"/>
      <c r="H88" s="561"/>
      <c r="I88" s="648"/>
      <c r="J88" s="648"/>
      <c r="K88" s="648"/>
      <c r="L88" s="648"/>
      <c r="M88" s="648"/>
      <c r="N88" s="2179" t="str">
        <f>IF(AJ88=0,"","Must start 5A(12A)  ")</f>
        <v xml:space="preserve">Must start 5A(12A)  </v>
      </c>
      <c r="O88" s="597"/>
      <c r="P88" s="824"/>
      <c r="Q88" s="2180"/>
      <c r="R88" s="561"/>
      <c r="S88" s="222" t="str">
        <f>IF(X88=0,"",IF(AND($V$1="y",X88&lt;&gt;6),$X$5,IF(AND($V$1="n",X88&lt;&gt;5),$X$5,IF(OR(Q88&lt;5%,Q88&gt;10%),$Z$3,IF(Y88=1,$X$4,IF(AND($V$1="n",B87&lt;&gt;"")," Details of IT ref - Check Pg 2 Q 30",""))))))</f>
        <v/>
      </c>
      <c r="T88" s="28">
        <f>IF(S88=X$1,1,0)</f>
      </c>
      <c r="U88" s="1742">
        <f>IF(H88="",0,ROUND(H88*Q88,0)-1)</f>
      </c>
      <c r="V88" s="1742">
        <f>IF(H88="",0,ROUND(H88*Q88,0)+1)</f>
      </c>
      <c r="W88" s="31"/>
      <c r="X88" s="2178">
        <f>IF(V1="y",COUNTA(B88,C88,H88,O88,Q88,R88),COUNTA(C88,H88,O88,Q88,R88))</f>
      </c>
      <c r="Y88" s="28">
        <f>IF(R88&lt;U88,1,IF(R88&gt;V88,1,0))</f>
      </c>
      <c r="AA88" s="84">
        <f>H88</f>
      </c>
      <c r="AB88" s="28">
        <f>IF(AA88-R88&lt;0,0,AA88-R88)</f>
      </c>
      <c r="AG88" s="28">
        <f>IF(S88=$X$1,1,0)</f>
      </c>
      <c r="AJ88" s="28">
        <f>IF(AK88=AL88,0,1)</f>
      </c>
      <c r="AK88" s="1736">
        <f>IF(AM88=0,0,AO88)</f>
      </c>
      <c r="AL88" s="28" t="str">
        <f>LEFT(AM88,7)</f>
      </c>
      <c r="AM88" s="84">
        <f>IF(O88="",0,O88)</f>
      </c>
      <c r="AO88" s="1736" t="s">
        <v>7744</v>
      </c>
    </row>
    <row r="89" spans="1:56" s="28" customFormat="1" ht="16.149999999999999" customHeight="1" x14ac:dyDescent="0.2">
      <c r="A89" s="17"/>
      <c r="B89" s="3558"/>
      <c r="C89" s="820"/>
      <c r="D89" s="41"/>
      <c r="E89" s="821">
        <f>H89</f>
      </c>
      <c r="F89" s="17"/>
      <c r="G89" s="648"/>
      <c r="H89" s="561"/>
      <c r="I89" s="648"/>
      <c r="J89" s="648"/>
      <c r="K89" s="648"/>
      <c r="L89" s="648"/>
      <c r="M89" s="648"/>
      <c r="N89" s="2179" t="str">
        <f>IF(AJ89=0,"","Must start 5A(12A)  ")</f>
        <v/>
      </c>
      <c r="O89" s="597"/>
      <c r="P89" s="824"/>
      <c r="Q89" s="2180"/>
      <c r="R89" s="561"/>
      <c r="S89" s="222" t="str">
        <f>IF(X89=0,"",IF(AND($V$1="y",X89&lt;&gt;6),$X$5,IF(AND($V$1="n",X89&lt;&gt;5),$X$5,IF(OR(Q89&lt;5%,Q89&gt;10%),$Z$3,IF(Y89=1,$X$4,IF(AND($V$1="n",B88&lt;&gt;"")," Details of IT ref - Check Pg 2 Q 30",""))))))</f>
        <v/>
      </c>
      <c r="T89" s="28">
        <f>IF(S89=X$1,1,0)</f>
      </c>
      <c r="U89" s="1742">
        <f>IF(H89="",0,ROUND(H89*Q89,0)-1)</f>
      </c>
      <c r="V89" s="1742">
        <f>IF(H89="",0,ROUND(H89*Q89,0)+1)</f>
      </c>
      <c r="W89" s="31"/>
      <c r="X89" s="2178">
        <f>IF(V2="y",COUNTA(B89,C89,H89,O89,Q89,R89),COUNTA(C89,H89,O89,Q89,R89))</f>
      </c>
      <c r="Y89" s="28">
        <f>IF(R89&lt;U89,1,IF(R89&gt;V89,1,0))</f>
      </c>
      <c r="AA89" s="84">
        <f>H89</f>
      </c>
      <c r="AB89" s="28">
        <f>IF(AA89-R89&lt;0,0,AA89-R89)</f>
      </c>
      <c r="AG89" s="28">
        <f>IF(S89=$X$1,1,0)</f>
      </c>
      <c r="AJ89" s="28">
        <f>IF(AK89=AL89,0,1)</f>
      </c>
      <c r="AK89" s="1736">
        <f>IF(AM89=0,0,AO89)</f>
      </c>
      <c r="AL89" s="28">
        <f>IF(AM89=0,0,LEFT(AM89,7))</f>
      </c>
      <c r="AM89" s="84">
        <f>IF(O89="",0,O89)</f>
      </c>
      <c r="AO89" s="1736" t="s">
        <v>7744</v>
      </c>
    </row>
    <row r="90" spans="1:56" s="28" customFormat="1" ht="16.149999999999999" hidden="1" customHeight="1" x14ac:dyDescent="0.2">
      <c r="A90" s="17"/>
      <c r="B90" s="17"/>
      <c r="C90" s="142"/>
      <c r="D90" s="142"/>
      <c r="E90" s="142"/>
      <c r="F90" s="142"/>
      <c r="G90" s="142"/>
      <c r="H90" s="142"/>
      <c r="I90" s="142"/>
      <c r="J90" s="142"/>
      <c r="K90" s="142"/>
      <c r="L90" s="142"/>
      <c r="M90" s="142"/>
      <c r="N90" s="142"/>
      <c r="O90" s="142"/>
      <c r="P90" s="142"/>
      <c r="Q90" s="142"/>
      <c r="R90" s="142"/>
      <c r="S90" s="142"/>
      <c r="T90" s="142"/>
      <c r="U90" s="142"/>
      <c r="V90" s="142"/>
      <c r="W90" s="142"/>
      <c r="X90" s="142"/>
      <c r="Y90" s="142"/>
    </row>
    <row r="91" spans="1:56" s="28" customFormat="1" ht="16.149999999999999" hidden="1" customHeight="1" x14ac:dyDescent="0.2">
      <c r="A91" s="17"/>
      <c r="B91" s="17"/>
      <c r="C91" s="142"/>
      <c r="D91" s="142"/>
      <c r="E91" s="142"/>
      <c r="F91" s="142"/>
      <c r="G91" s="142"/>
      <c r="H91" s="142"/>
      <c r="I91" s="142"/>
      <c r="J91" s="142"/>
      <c r="K91" s="142"/>
      <c r="L91" s="142"/>
      <c r="M91" s="142"/>
      <c r="N91" s="142"/>
      <c r="O91" s="142"/>
      <c r="P91" s="142"/>
      <c r="Q91" s="142"/>
      <c r="R91" s="142"/>
      <c r="S91" s="142"/>
      <c r="T91" s="142"/>
      <c r="U91" s="142"/>
      <c r="V91" s="142"/>
      <c r="W91" s="142"/>
      <c r="X91" s="142"/>
      <c r="Y91" s="142"/>
    </row>
    <row r="92" spans="1:56" s="28" customFormat="1" ht="16.149999999999999" hidden="1" customHeight="1" x14ac:dyDescent="0.2">
      <c r="A92" s="17"/>
      <c r="B92" s="17"/>
      <c r="C92" s="142"/>
      <c r="D92" s="142"/>
      <c r="E92" s="142"/>
      <c r="F92" s="142"/>
      <c r="G92" s="142"/>
      <c r="H92" s="142"/>
      <c r="I92" s="142"/>
      <c r="J92" s="142"/>
      <c r="K92" s="142"/>
      <c r="L92" s="142"/>
      <c r="M92" s="142"/>
      <c r="N92" s="142"/>
      <c r="O92" s="142"/>
      <c r="P92" s="142"/>
      <c r="Q92" s="142"/>
      <c r="R92" s="142"/>
      <c r="S92" s="142"/>
      <c r="T92" s="142"/>
      <c r="U92" s="142"/>
      <c r="V92" s="142"/>
      <c r="W92" s="142"/>
      <c r="X92" s="142"/>
      <c r="Y92" s="142"/>
    </row>
    <row r="93" spans="1:56" s="28" customFormat="1" ht="16.149999999999999" hidden="1" customHeight="1" x14ac:dyDescent="0.2">
      <c r="A93" s="17"/>
      <c r="B93" s="17"/>
      <c r="C93" s="142"/>
      <c r="D93" s="142"/>
      <c r="E93" s="142"/>
      <c r="F93" s="142"/>
      <c r="G93" s="142"/>
      <c r="H93" s="142"/>
      <c r="I93" s="142"/>
      <c r="J93" s="142"/>
      <c r="K93" s="142"/>
      <c r="L93" s="142"/>
      <c r="M93" s="142"/>
      <c r="N93" s="142"/>
      <c r="O93" s="142"/>
      <c r="P93" s="142"/>
      <c r="Q93" s="142"/>
      <c r="R93" s="142"/>
      <c r="S93" s="142"/>
      <c r="T93" s="142"/>
      <c r="U93" s="142"/>
      <c r="V93" s="142"/>
      <c r="W93" s="142"/>
      <c r="X93" s="142"/>
      <c r="Y93" s="142"/>
    </row>
    <row r="94" spans="1:56" s="28" customFormat="1" ht="16.149999999999999" hidden="1" customHeight="1" x14ac:dyDescent="0.2">
      <c r="A94" s="17"/>
      <c r="B94" s="17"/>
      <c r="C94" s="142"/>
      <c r="D94" s="142"/>
      <c r="E94" s="142"/>
      <c r="F94" s="142"/>
      <c r="G94" s="142"/>
      <c r="H94" s="142"/>
      <c r="I94" s="142"/>
      <c r="J94" s="142"/>
      <c r="K94" s="142"/>
      <c r="L94" s="142"/>
      <c r="M94" s="142"/>
      <c r="N94" s="142"/>
      <c r="O94" s="142"/>
      <c r="P94" s="142"/>
      <c r="Q94" s="142"/>
      <c r="R94" s="142"/>
      <c r="S94" s="142"/>
      <c r="T94" s="142"/>
      <c r="U94" s="142"/>
      <c r="V94" s="142"/>
      <c r="W94" s="142"/>
      <c r="X94" s="142"/>
      <c r="Y94" s="142"/>
    </row>
    <row r="95" spans="1:56" s="28" customFormat="1" ht="16.149999999999999" hidden="1" customHeight="1" x14ac:dyDescent="0.2">
      <c r="A95" s="17"/>
      <c r="B95" s="17"/>
      <c r="C95" s="142"/>
      <c r="D95" s="142"/>
      <c r="E95" s="142"/>
      <c r="F95" s="142"/>
      <c r="G95" s="142"/>
      <c r="H95" s="142"/>
      <c r="I95" s="142"/>
      <c r="J95" s="142"/>
      <c r="K95" s="142"/>
      <c r="L95" s="142"/>
      <c r="M95" s="142"/>
      <c r="N95" s="142"/>
      <c r="O95" s="142"/>
      <c r="P95" s="142"/>
      <c r="Q95" s="142"/>
      <c r="R95" s="142"/>
      <c r="S95" s="142"/>
      <c r="T95" s="142"/>
      <c r="U95" s="142"/>
      <c r="V95" s="142"/>
      <c r="W95" s="142"/>
      <c r="X95" s="142"/>
      <c r="Y95" s="142"/>
    </row>
    <row r="96" spans="1:56" s="28" customFormat="1" ht="16.149999999999999" hidden="1" customHeight="1" x14ac:dyDescent="0.2">
      <c r="A96" s="17"/>
      <c r="B96" s="17"/>
      <c r="C96" s="142"/>
      <c r="D96" s="142"/>
      <c r="E96" s="142"/>
      <c r="F96" s="142"/>
      <c r="G96" s="142"/>
      <c r="H96" s="142"/>
      <c r="I96" s="142"/>
      <c r="J96" s="142"/>
      <c r="K96" s="142"/>
      <c r="L96" s="142"/>
      <c r="M96" s="142"/>
      <c r="N96" s="142"/>
      <c r="O96" s="142"/>
      <c r="P96" s="142"/>
      <c r="Q96" s="142"/>
      <c r="R96" s="142"/>
      <c r="S96" s="142"/>
      <c r="T96" s="142"/>
      <c r="U96" s="142"/>
      <c r="V96" s="142"/>
      <c r="W96" s="142"/>
      <c r="X96" s="142"/>
      <c r="Y96" s="142"/>
    </row>
    <row r="97" spans="1:33" s="28" customFormat="1" ht="16.149999999999999" hidden="1" customHeight="1" x14ac:dyDescent="0.2">
      <c r="A97" s="17"/>
      <c r="B97" s="17"/>
      <c r="C97" s="142"/>
      <c r="D97" s="142"/>
      <c r="E97" s="142"/>
      <c r="F97" s="142"/>
      <c r="G97" s="142"/>
      <c r="H97" s="142"/>
      <c r="I97" s="142"/>
      <c r="J97" s="142"/>
      <c r="K97" s="142"/>
      <c r="L97" s="142"/>
      <c r="M97" s="142"/>
      <c r="N97" s="142"/>
      <c r="O97" s="142"/>
      <c r="P97" s="142"/>
      <c r="Q97" s="142"/>
      <c r="R97" s="142"/>
      <c r="S97" s="142"/>
      <c r="T97" s="142"/>
      <c r="U97" s="142"/>
      <c r="V97" s="142"/>
      <c r="W97" s="142"/>
      <c r="X97" s="142"/>
      <c r="Y97" s="142"/>
    </row>
    <row r="98" spans="1:33" s="28" customFormat="1" ht="16.149999999999999" hidden="1" customHeight="1" x14ac:dyDescent="0.2">
      <c r="A98" s="17"/>
      <c r="B98" s="17"/>
      <c r="C98" s="142"/>
      <c r="D98" s="142"/>
      <c r="E98" s="142"/>
      <c r="F98" s="142"/>
      <c r="G98" s="142"/>
      <c r="H98" s="142"/>
      <c r="I98" s="142"/>
      <c r="J98" s="142"/>
      <c r="K98" s="142"/>
      <c r="L98" s="142"/>
      <c r="M98" s="142"/>
      <c r="N98" s="142"/>
      <c r="O98" s="142"/>
      <c r="P98" s="142"/>
      <c r="Q98" s="142"/>
      <c r="R98" s="142"/>
      <c r="S98" s="142"/>
      <c r="T98" s="142"/>
      <c r="U98" s="142"/>
      <c r="V98" s="142"/>
      <c r="W98" s="142"/>
      <c r="X98" s="142"/>
      <c r="Y98" s="142"/>
    </row>
    <row r="99" spans="1:33" s="28" customFormat="1" ht="16.149999999999999" hidden="1" customHeight="1" x14ac:dyDescent="0.2">
      <c r="A99" s="17"/>
      <c r="B99" s="17"/>
      <c r="C99" s="142"/>
      <c r="D99" s="142"/>
      <c r="E99" s="142"/>
      <c r="F99" s="142"/>
      <c r="G99" s="142"/>
      <c r="H99" s="142"/>
      <c r="I99" s="142"/>
      <c r="J99" s="142"/>
      <c r="K99" s="142"/>
      <c r="L99" s="142"/>
      <c r="M99" s="142"/>
      <c r="N99" s="142"/>
      <c r="O99" s="142"/>
      <c r="P99" s="142"/>
      <c r="Q99" s="142"/>
      <c r="R99" s="142"/>
      <c r="S99" s="142"/>
      <c r="T99" s="142"/>
      <c r="U99" s="142"/>
      <c r="V99" s="142"/>
      <c r="W99" s="142"/>
      <c r="X99" s="142"/>
      <c r="Y99" s="142"/>
    </row>
    <row r="100" spans="1:33" s="28" customFormat="1" ht="5.25" customHeight="1" x14ac:dyDescent="0.2">
      <c r="A100" s="17"/>
      <c r="B100" s="17"/>
      <c r="C100" s="17"/>
      <c r="D100" s="17"/>
      <c r="E100" s="17"/>
      <c r="F100" s="17"/>
      <c r="G100" s="17"/>
      <c r="H100" s="17"/>
      <c r="I100" s="17"/>
      <c r="J100" s="17"/>
      <c r="K100" s="17"/>
      <c r="L100" s="17"/>
      <c r="M100" s="17"/>
      <c r="N100" s="17"/>
      <c r="O100" s="17"/>
      <c r="P100" s="17"/>
      <c r="Q100" s="17"/>
      <c r="R100" s="17"/>
      <c r="S100" s="17"/>
      <c r="W100" s="31"/>
      <c r="X100" s="46"/>
    </row>
    <row r="101" spans="1:33" s="206" customFormat="1" ht="16.149999999999999" customHeight="1" x14ac:dyDescent="0.2">
      <c r="A101" s="824"/>
      <c r="B101" s="824"/>
      <c r="C101" s="825" t="s">
        <v>5590</v>
      </c>
      <c r="D101" s="824"/>
      <c r="E101" s="826">
        <f>SUM(E8:E99)</f>
      </c>
      <c r="F101" s="824"/>
      <c r="G101" s="1346" t="s">
        <v>2695</v>
      </c>
      <c r="H101" s="827">
        <f>SUM(H8:H99)</f>
      </c>
      <c r="I101" s="827">
        <f>SUM(I8:I99)</f>
      </c>
      <c r="J101" s="824"/>
      <c r="K101" s="17"/>
      <c r="L101" s="827">
        <f>SUM(L8:L99)</f>
      </c>
      <c r="M101" s="827">
        <f>SUM(M8:M99)</f>
      </c>
      <c r="N101" s="827">
        <f>SUM(N8:N99)</f>
      </c>
      <c r="O101" s="824"/>
      <c r="P101" s="824"/>
      <c r="Q101" s="824"/>
      <c r="R101" s="827">
        <f>SUM(R8:R99)</f>
      </c>
      <c r="S101" s="828"/>
      <c r="W101" s="206">
        <f>SUM(H101:R101,E101)</f>
      </c>
      <c r="AG101" s="206">
        <f>SUM(AG8:AG100)</f>
      </c>
    </row>
    <row r="102" spans="1:33" s="28" customFormat="1" ht="6.75" customHeight="1" x14ac:dyDescent="0.2">
      <c r="A102" s="17"/>
      <c r="B102" s="17"/>
      <c r="C102" s="17"/>
      <c r="D102" s="17"/>
      <c r="E102" s="17"/>
      <c r="F102" s="17"/>
      <c r="G102" s="17"/>
      <c r="H102" s="17"/>
      <c r="I102" s="17"/>
      <c r="J102" s="17"/>
      <c r="K102" s="17"/>
      <c r="L102" s="17"/>
      <c r="M102" s="17"/>
      <c r="N102" s="17"/>
      <c r="O102" s="17"/>
      <c r="P102" s="17"/>
      <c r="Q102" s="17"/>
      <c r="R102" s="17"/>
      <c r="S102" s="17"/>
      <c r="W102" s="31"/>
      <c r="X102" s="46"/>
    </row>
    <row r="103" spans="1:33" s="28" customFormat="1" ht="16.149999999999999" customHeight="1" x14ac:dyDescent="0.2">
      <c r="A103" s="17"/>
      <c r="B103" s="17"/>
      <c r="C103" s="2377" t="s">
        <v>7476</v>
      </c>
      <c r="D103" s="199"/>
      <c r="E103" s="199"/>
      <c r="F103" s="199"/>
      <c r="G103" s="199"/>
      <c r="H103" s="199"/>
      <c r="I103" s="199"/>
      <c r="J103" s="829"/>
      <c r="K103" s="1347" t="s">
        <v>4798</v>
      </c>
      <c r="L103" s="2374"/>
      <c r="M103" s="2380" t="str">
        <f>IF(AND(W101=0,L103=""),"",IF(ISBLANK(L103),re,IF(L103&lt;0," The amount to be allocated to the final tax account cannot be less than 0  [Rule 21(4)]!",IF(L103&lt;&gt;L104,"&lt; check!",""))))</f>
        <v/>
      </c>
      <c r="N103" s="17"/>
      <c r="O103" s="17"/>
      <c r="P103" s="17"/>
      <c r="Q103" s="17"/>
      <c r="R103" s="17"/>
      <c r="S103" s="17"/>
      <c r="T103" s="28">
        <f>IF(M103&lt;&gt;"",1,0)</f>
      </c>
      <c r="W103" s="31"/>
      <c r="X103" s="46"/>
    </row>
    <row r="104" spans="1:33" s="28" customFormat="1" ht="12.75" hidden="1" x14ac:dyDescent="0.2">
      <c r="A104" s="17"/>
      <c r="B104" s="17"/>
      <c r="C104" s="17"/>
      <c r="D104" s="17"/>
      <c r="E104" s="17"/>
      <c r="F104" s="17"/>
      <c r="G104" s="17"/>
      <c r="H104" s="17"/>
      <c r="I104" s="17"/>
      <c r="J104" s="17"/>
      <c r="K104" s="17"/>
      <c r="L104" s="831">
        <f>AB104</f>
      </c>
      <c r="M104" s="17"/>
      <c r="N104" s="17"/>
      <c r="O104" s="17"/>
      <c r="P104" s="17"/>
      <c r="Q104" s="17"/>
      <c r="R104" s="17"/>
      <c r="S104" s="17"/>
      <c r="T104" s="28">
        <f>IF(H107&lt;&gt;"",1,0)</f>
      </c>
      <c r="W104" s="31"/>
      <c r="X104" s="46">
        <f>COUNT(L103)</f>
      </c>
      <c r="AB104" s="28">
        <f>ROUND(SUM(AB8:AB103),0)</f>
      </c>
      <c r="AG104" s="1345">
        <f>AG101+AG103</f>
      </c>
    </row>
    <row r="105" spans="1:33" s="28" customFormat="1" ht="6" customHeight="1" x14ac:dyDescent="0.2">
      <c r="A105" s="17"/>
      <c r="B105" s="17"/>
      <c r="C105" s="17"/>
      <c r="D105" s="17"/>
      <c r="E105" s="17"/>
      <c r="F105" s="17"/>
      <c r="G105" s="17"/>
      <c r="H105" s="17"/>
      <c r="I105" s="17"/>
      <c r="J105" s="17"/>
      <c r="K105" s="17"/>
      <c r="L105" s="17"/>
      <c r="M105" s="1347"/>
      <c r="N105" s="17"/>
      <c r="O105" s="17"/>
      <c r="P105" s="17"/>
      <c r="Q105" s="17"/>
      <c r="R105" s="17"/>
      <c r="S105" s="17"/>
      <c r="T105" s="191">
        <f>SUM(T7:T103)</f>
      </c>
      <c r="W105" s="31"/>
      <c r="X105" s="193">
        <f>SUM(X7:X104)</f>
      </c>
    </row>
    <row r="106" spans="1:33" s="28" customFormat="1" ht="16.149999999999999" customHeight="1" x14ac:dyDescent="0.2">
      <c r="A106" s="17"/>
      <c r="B106" s="17"/>
      <c r="C106" s="832" t="str">
        <f>_xlfn.SINGLE(MTCA)</f>
      </c>
      <c r="D106" s="818"/>
      <c r="E106" s="818"/>
      <c r="F106" s="818"/>
      <c r="G106" s="832" t="str">
        <f>ver</f>
        <v>TA2_e-CO_2025_Ver 1.1</v>
      </c>
      <c r="H106" s="832"/>
      <c r="I106" s="832"/>
      <c r="J106" s="832"/>
      <c r="K106" s="832"/>
      <c r="L106" s="818"/>
      <c r="M106" s="818"/>
      <c r="N106" s="818"/>
      <c r="O106" s="818"/>
      <c r="P106" s="818"/>
      <c r="Q106" s="818"/>
      <c r="R106" s="833" t="s">
        <v>2498</v>
      </c>
      <c r="S106" s="17"/>
    </row>
    <row r="107" spans="1:33" s="28" customFormat="1" ht="12.75" x14ac:dyDescent="0.2">
      <c r="A107" s="17"/>
      <c r="B107" s="17"/>
      <c r="C107" s="834"/>
      <c r="D107" s="834"/>
      <c r="E107" s="835" t="str">
        <f>COM</f>
      </c>
      <c r="F107" s="836"/>
      <c r="G107" s="275"/>
      <c r="H107" s="1836" t="str">
        <f>IF(L104=0,"",IF(G107="",re,""))</f>
        <v/>
      </c>
      <c r="I107" s="3"/>
      <c r="J107" s="3"/>
      <c r="K107" s="3"/>
      <c r="L107" s="17"/>
      <c r="M107" s="17"/>
      <c r="N107" s="17"/>
      <c r="O107" s="17"/>
      <c r="P107" s="17"/>
      <c r="Q107" s="17"/>
      <c r="R107" s="17"/>
      <c r="S107" s="17"/>
      <c r="T107" s="28">
        <f>IF(X105=0,0,IF(T105&lt;&gt;0,100,IF(G107=A116,1,100)))</f>
      </c>
    </row>
    <row r="108" spans="1:33" s="28" customFormat="1" ht="16.149999999999999" customHeight="1" x14ac:dyDescent="0.2">
      <c r="A108" s="17"/>
      <c r="B108" s="17"/>
      <c r="C108" s="3"/>
      <c r="D108" s="3"/>
      <c r="E108" s="3"/>
      <c r="F108" s="3"/>
      <c r="G108" s="3"/>
      <c r="H108" s="3"/>
      <c r="I108" s="3"/>
      <c r="J108" s="3"/>
      <c r="K108" s="3"/>
      <c r="L108" s="17"/>
      <c r="M108" s="17"/>
      <c r="N108" s="17"/>
      <c r="O108" s="17"/>
      <c r="P108" s="17"/>
      <c r="Q108" s="17"/>
      <c r="R108" s="17"/>
      <c r="S108" s="17"/>
    </row>
    <row r="109" spans="1:33" s="28" customFormat="1" ht="16.149999999999999" customHeight="1" x14ac:dyDescent="0.2">
      <c r="A109" s="17"/>
      <c r="B109" s="17"/>
      <c r="C109" s="4636" t="s">
        <v>6290</v>
      </c>
      <c r="D109" s="4636"/>
      <c r="E109" s="4636"/>
      <c r="F109" s="4636"/>
      <c r="G109" s="4636"/>
      <c r="H109" s="1175"/>
      <c r="I109" s="1175"/>
      <c r="J109" s="1175"/>
      <c r="K109" s="1175"/>
      <c r="L109" s="17"/>
      <c r="M109" s="17"/>
      <c r="N109" s="17"/>
      <c r="O109" s="17"/>
      <c r="P109" s="17"/>
      <c r="Q109" s="17"/>
      <c r="R109" s="17"/>
      <c r="S109" s="17"/>
    </row>
    <row r="110" spans="1:33" ht="16.149999999999999" customHeight="1" x14ac:dyDescent="0.2">
      <c r="A110" s="17"/>
      <c r="B110" s="17"/>
      <c r="C110" s="17"/>
      <c r="D110" s="17"/>
      <c r="E110" s="17"/>
      <c r="F110" s="17"/>
      <c r="G110" s="17"/>
      <c r="H110" s="17"/>
      <c r="I110" s="17"/>
      <c r="J110" s="17"/>
      <c r="K110" s="17"/>
      <c r="L110" s="17"/>
      <c r="M110" s="17"/>
      <c r="N110" s="17"/>
      <c r="O110" s="17"/>
      <c r="P110" s="17"/>
      <c r="Q110" s="17"/>
      <c r="R110" s="17"/>
      <c r="S110" s="17"/>
    </row>
    <row r="113" spans="1:1" ht="16.149999999999999" customHeight="1" x14ac:dyDescent="0.2"/>
    <row r="116" spans="1:1" ht="16.149999999999999" hidden="1" customHeight="1" x14ac:dyDescent="0.2">
      <c r="A116" s="46" t="s">
        <v>4457</v>
      </c>
    </row>
    <row r="117" spans="1:1" ht="16.149999999999999" hidden="1" customHeight="1" x14ac:dyDescent="0.2">
      <c r="A117" s="46" t="s">
        <v>1736</v>
      </c>
    </row>
  </sheetData>
  <sheetProtection algorithmName="SHA-512" hashValue="cI20YYYaAb3xVLa/QvylZlEegBOancOT683LOYF4YwBdVbC0Aq/kyl5H9QDtS38La5sIxdRqgWEQ6lM3tELugg==" saltValue="DB0g6hA6aK1Q9FzlqBf1jA==" spinCount="100000" sheet="1" objects="1" scenarios="1"/>
  <customSheetViews>
    <customSheetView guid="{99B5278F-6EA9-4B1A-8623-27A4DF4AD5E4}" showGridLines="0" fitToPage="1" hiddenRows="1" hiddenColumns="1">
      <selection activeCell="B8" sqref="B8"/>
      <pageMargins left="0.18" right="0.1" top="0.3" bottom="0.54" header="0.21" footer="0.15"/>
      <pageSetup paperSize="9" scale="88" orientation="landscape" horizontalDpi="4294967294" r:id="rId1"/>
      <headerFooter alignWithMargins="0">
        <oddFooter>&amp;LName&amp;CSignature&amp;RDate</oddFooter>
      </headerFooter>
    </customSheetView>
  </customSheetViews>
  <mergeCells count="16">
    <mergeCell ref="P6:P7"/>
    <mergeCell ref="B1:O1"/>
    <mergeCell ref="B3:R3"/>
    <mergeCell ref="B6:B7"/>
    <mergeCell ref="J6:L6"/>
    <mergeCell ref="M6:M7"/>
    <mergeCell ref="N6:N7"/>
    <mergeCell ref="R6:R7"/>
    <mergeCell ref="Q6:Q7"/>
    <mergeCell ref="O6:O7"/>
    <mergeCell ref="C109:G109"/>
    <mergeCell ref="C6:C7"/>
    <mergeCell ref="G6:G7"/>
    <mergeCell ref="H6:H7"/>
    <mergeCell ref="I6:I7"/>
    <mergeCell ref="E6:E7"/>
  </mergeCells>
  <phoneticPr fontId="0" type="noConversion"/>
  <conditionalFormatting sqref="B8:B82">
    <cfRule type="expression" dxfId="640" priority="4">
      <formula>$V$1="n"</formula>
    </cfRule>
  </conditionalFormatting>
  <conditionalFormatting sqref="B85:B89">
    <cfRule type="expression" dxfId="639" priority="14">
      <formula>$V$1="n"</formula>
    </cfRule>
  </conditionalFormatting>
  <conditionalFormatting sqref="S8:S82">
    <cfRule type="expression" dxfId="638" priority="31" stopIfTrue="1">
      <formula>$S8=$X$4</formula>
    </cfRule>
    <cfRule type="expression" dxfId="637" priority="34" stopIfTrue="1">
      <formula>$S8=$X$4</formula>
    </cfRule>
  </conditionalFormatting>
  <conditionalFormatting sqref="S85:S89 S8:S82">
    <cfRule type="expression" dxfId="636" priority="30">
      <formula>$S$8=$Z$3</formula>
    </cfRule>
  </conditionalFormatting>
  <conditionalFormatting sqref="S85:S89">
    <cfRule type="expression" dxfId="635" priority="28" stopIfTrue="1">
      <formula>$S85=$X$4</formula>
    </cfRule>
    <cfRule type="expression" dxfId="634" priority="29" stopIfTrue="1">
      <formula>$S85=$X$4</formula>
    </cfRule>
    <cfRule type="expression" dxfId="633" priority="41" stopIfTrue="1">
      <formula>$S85=$X$1</formula>
    </cfRule>
  </conditionalFormatting>
  <dataValidations xWindow="566" yWindow="370" count="24">
    <dataValidation type="whole" errorStyle="warning" allowBlank="1" showInputMessage="1" showErrorMessage="1" errorTitle="FINAL WITHHOLDING TAX" error="Amount entered should equal 5%, 7%, 8% or 10% of transfer value less brokerage fees!" sqref="R9:R80" xr:uid="{00000000-0002-0000-2800-000000000000}">
      <formula1>U9</formula1>
      <formula2>V9</formula2>
    </dataValidation>
    <dataValidation type="whole" errorStyle="warning" allowBlank="1" showInputMessage="1" showErrorMessage="1" errorTitle="FINAL WITHHOLDING TAX" error="Please enter the correct amount!" sqref="R85:R89 R81:R82" xr:uid="{00000000-0002-0000-2800-000001000000}">
      <formula1>U81</formula1>
      <formula2>V81</formula2>
    </dataValidation>
    <dataValidation type="list" allowBlank="1" showInputMessage="1" showErrorMessage="1" errorTitle="Choose item from Dropdown list! " sqref="G107" xr:uid="{00000000-0002-0000-2800-000002000000}">
      <formula1>$A$115:$A$117</formula1>
    </dataValidation>
    <dataValidation type="date" allowBlank="1" showInputMessage="1" showErrorMessage="1" errorTitle="DATE OF DEED" error="Please enter the correct date that falls within the current year of assessment!  If the period covered by this return is more than 12 months please insert the dates approved on page 1._x000a_" promptTitle="Date format" prompt="dd/mm/yyyy" sqref="G8:G82" xr:uid="{00000000-0002-0000-2800-000004000000}">
      <formula1>$W$6</formula1>
      <formula2>$X$6</formula2>
    </dataValidation>
    <dataValidation type="whole" operator="greaterThanOrEqual" allowBlank="1" showInputMessage="1" showErrorMessage="1" errorTitle="Other portion of general costs" error="Please enter a positive value!" prompt="Required or 0" sqref="N8:N82" xr:uid="{00000000-0002-0000-2800-000005000000}">
      <formula1>0</formula1>
    </dataValidation>
    <dataValidation type="whole" operator="greaterThanOrEqual" allowBlank="1" showInputMessage="1" showErrorMessage="1" errorTitle="Transfer value" error="Please enter a positive value!" prompt="Required or 0" sqref="H8:H82" xr:uid="{00000000-0002-0000-2800-000006000000}">
      <formula1>0</formula1>
    </dataValidation>
    <dataValidation type="whole" operator="greaterThanOrEqual" allowBlank="1" showInputMessage="1" showErrorMessage="1" errorTitle="Acquisition value" error="Please enter a positive value!" prompt="Required or 0" sqref="I8:I82" xr:uid="{00000000-0002-0000-2800-000007000000}">
      <formula1>0</formula1>
    </dataValidation>
    <dataValidation type="whole" operator="greaterThanOrEqual" allowBlank="1" showInputMessage="1" showErrorMessage="1" errorTitle="Direct development costs" error="Please enter a positive value!" prompt="Required or 0" sqref="M8:M82" xr:uid="{00000000-0002-0000-2800-000008000000}">
      <formula1>0</formula1>
    </dataValidation>
    <dataValidation type="textLength" operator="greaterThanOrEqual" allowBlank="1" showInputMessage="1" showErrorMessage="1" errorTitle="Name of broker" error="Please enter the correct details!" sqref="J8:J82" xr:uid="{00000000-0002-0000-2800-000009000000}">
      <formula1>6</formula1>
    </dataValidation>
    <dataValidation type="textLength" operator="greaterThanOrEqual" allowBlank="1" showInputMessage="1" showErrorMessage="1" errorTitle="Income Tax reference number" error="Please enter the correct reference number!" sqref="K8:K82" xr:uid="{00000000-0002-0000-2800-00000A000000}">
      <formula1>4</formula1>
    </dataValidation>
    <dataValidation allowBlank="1" showErrorMessage="1" errorTitle="Accounting Profit" error="Please enter the accounting profit/(loss) OR gain/(loss) on disposal of assets!" promptTitle="Accounting profit" prompt="Accounting profit/(loss) on property transfer or gain/(loss) on disposal of immovable property as reported in the Income Statement (TIFD).   (Whole number - No cents)" sqref="E85:E89 E8:E82" xr:uid="{00000000-0002-0000-2800-00000B000000}"/>
    <dataValidation type="whole" operator="greaterThanOrEqual" allowBlank="1" showInputMessage="1" showErrorMessage="1" errorTitle="Brokerage fees paid" error="Please enter a positive value!" promptTitle="Amount paid for brokerage" prompt="Always Required or 0!" sqref="L8:L82" xr:uid="{00000000-0002-0000-2800-00000C000000}">
      <formula1>0</formula1>
    </dataValidation>
    <dataValidation type="decimal" errorStyle="warning" allowBlank="1" showInputMessage="1" showErrorMessage="1" errorTitle="FINAL WITHHOLDING TAX" error="Please insert the proper % age rate! _x000a_" prompt="Data input as a percentage" sqref="Q88:Q89" xr:uid="{00000000-0002-0000-2800-00000D000000}">
      <formula1>0.05</formula1>
      <formula2>0.1</formula2>
    </dataValidation>
    <dataValidation type="list" allowBlank="1" showInputMessage="1" showErrorMessage="1" sqref="O8:O80" xr:uid="{00000000-0002-0000-2800-00000E000000}">
      <formula1>$BC$1:$BC$12</formula1>
    </dataValidation>
    <dataValidation errorStyle="warning" allowBlank="1" showInputMessage="1" showErrorMessage="1" errorTitle="FINAL WITHHOLDING TAX" error="Select proper %age:_x000a_5%, or 7%, or 8%, or 10% _x000a_" sqref="Q85:Q87 Q8:Q80" xr:uid="{00000000-0002-0000-2800-00000F000000}"/>
    <dataValidation type="whole" operator="greaterThanOrEqual" allowBlank="1" showInputMessage="1" showErrorMessage="1" errorTitle="Transfer value" error="Please enter a positive value!" promptTitle="Transfer Value" prompt="Required or 0" sqref="H85:H89" xr:uid="{00000000-0002-0000-2800-000011000000}">
      <formula1>0</formula1>
    </dataValidation>
    <dataValidation type="list" allowBlank="1" showInputMessage="1" showErrorMessage="1" sqref="O85:O87" xr:uid="{00000000-0002-0000-2800-000012000000}">
      <formula1>$BC$84:$BC$86</formula1>
    </dataValidation>
    <dataValidation type="textLength" operator="greaterThanOrEqual" allowBlank="1" showInputMessage="1" showErrorMessage="1" errorTitle="Article of the law" error="Please insert the proper subarticle!_x000a_" prompt="Insert subarticle under Article 5A of the Income Tax Act - must start 5A(12A)" sqref="O88:O89" xr:uid="{00000000-0002-0000-2800-000013000000}">
      <formula1>8</formula1>
    </dataValidation>
    <dataValidation type="textLength" operator="greaterThanOrEqual" allowBlank="1" showInputMessage="1" showErrorMessage="1" errorTitle="Article of the law" error="Please insert the proper subarticle!_x000a_" prompt="Insert subarticle under Article 5A of the Income Tax Act - must start 5A(5)" sqref="O81:P82" xr:uid="{00000000-0002-0000-2800-000014000000}">
      <formula1>6</formula1>
    </dataValidation>
    <dataValidation type="decimal" errorStyle="warning" allowBlank="1" showInputMessage="1" showErrorMessage="1" errorTitle="FINAL WITHHOLDING TAX" error="Please insert the proper % age rate! _x000a_" prompt="Data input as a percentage" sqref="Q81:Q82" xr:uid="{00000000-0002-0000-2800-000015000000}">
      <formula1>0.05</formula1>
      <formula2>0.12</formula2>
    </dataValidation>
    <dataValidation type="list" allowBlank="1" showInputMessage="1" showErrorMessage="1" sqref="B85:B89 B8:B82" xr:uid="{00000000-0002-0000-2800-000016000000}">
      <formula1>FU</formula1>
    </dataValidation>
    <dataValidation type="whole" errorStyle="warning" allowBlank="1" showInputMessage="1" showErrorMessage="1" errorTitle="FINAL WITHHOLDING TAX" error="Amount entered should equal 0%, 5%, 7%, 8% or 10% of transfer value less brokerage fees!" sqref="R8" xr:uid="{00000000-0002-0000-2800-000017000000}">
      <formula1>U8</formula1>
      <formula2>V8</formula2>
    </dataValidation>
    <dataValidation type="list" allowBlank="1" showInputMessage="1" showErrorMessage="1" sqref="P8:P80" xr:uid="{00E450A1-8738-4BC8-936D-E46101B389F6}">
      <formula1>$AI$5:$AI$7</formula1>
    </dataValidation>
    <dataValidation type="textLength" operator="greaterThanOrEqual" allowBlank="1" showInputMessage="1" showErrorMessage="1" errorTitle="Property Description" error="Please enter the correct address!" sqref="C8:C82 C85:C89" xr:uid="{6C3AEAB7-6545-4D0C-808D-F61C0BFBC2FB}">
      <formula1>12</formula1>
    </dataValidation>
  </dataValidations>
  <hyperlinks>
    <hyperlink ref="C109" location="Index!A1" display="Index!A1" xr:uid="{00000000-0004-0000-2800-000000000000}"/>
    <hyperlink ref="C109:G109" location="Index!A1" display="B A C K   T O   I N D E X" xr:uid="{00000000-0004-0000-2800-000001000000}"/>
    <hyperlink ref="G101" location="TRA60!A1" display=" TRA 60" xr:uid="{00000000-0004-0000-2800-000002000000}"/>
    <hyperlink ref="K103" location="TRA61_FTA!A1" display=" TRA 61" xr:uid="{00000000-0004-0000-2800-000003000000}"/>
  </hyperlinks>
  <pageMargins left="0.19685039370078741" right="0.11811023622047245" top="0.31496062992125984" bottom="0.55118110236220474" header="0.19685039370078741" footer="0.15748031496062992"/>
  <pageSetup paperSize="9" scale="71" fitToHeight="0" orientation="landscape" r:id="rId2"/>
  <headerFooter alignWithMargins="0">
    <oddFooter>&amp;LName&amp;CSignature&amp;RDate</oddFooter>
  </headerFooter>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2">
    <pageSetUpPr fitToPage="1"/>
  </sheetPr>
  <dimension ref="A1:XFC293"/>
  <sheetViews>
    <sheetView showGridLines="0" zoomScaleNormal="100" workbookViewId="0">
      <selection sqref="A1:G1"/>
    </sheetView>
  </sheetViews>
  <sheetFormatPr defaultColWidth="0" defaultRowHeight="12.75" customHeight="1" zeroHeight="1" x14ac:dyDescent="0.2"/>
  <cols>
    <col min="1" max="1" width="4.7109375" style="28" customWidth="1"/>
    <col min="2" max="2" width="50.5703125" style="28" customWidth="1"/>
    <col min="3" max="3" width="14.42578125" style="28" customWidth="1"/>
    <col min="4" max="4" width="11.7109375" style="28" customWidth="1"/>
    <col min="5" max="5" width="9.7109375" style="28" customWidth="1"/>
    <col min="6" max="6" width="9.28515625" style="28" customWidth="1"/>
    <col min="7" max="8" width="10.28515625" style="28" customWidth="1"/>
    <col min="9" max="9" width="12.28515625" style="28" customWidth="1"/>
    <col min="10" max="10" width="4.7109375" style="71" hidden="1"/>
    <col min="11" max="11" width="6.42578125" style="28" hidden="1"/>
    <col min="12" max="12" width="8" style="28" hidden="1"/>
    <col min="13" max="13" width="4.7109375" style="28" hidden="1"/>
    <col min="14" max="14" width="10.28515625" style="28" hidden="1"/>
    <col min="15" max="15" width="10.7109375" style="28" hidden="1"/>
    <col min="16" max="16" width="18.42578125" style="28" hidden="1"/>
    <col min="17" max="17" width="4.28515625" style="28" hidden="1"/>
    <col min="18" max="18" width="6.7109375" style="28" hidden="1"/>
    <col min="19" max="23" width="10.7109375" style="28" hidden="1"/>
    <col min="24" max="24" width="18" style="28" hidden="1"/>
    <col min="25" max="25" width="4" style="28" hidden="1"/>
    <col min="26" max="26" width="10.7109375" style="28" hidden="1"/>
    <col min="27" max="27" width="43.7109375" style="28" hidden="1"/>
    <col min="28" max="28" width="10.7109375" style="28" hidden="1"/>
    <col min="29" max="29" width="2" style="28" hidden="1"/>
    <col min="30" max="16383" width="10.7109375" style="28" hidden="1"/>
    <col min="16384" max="16384" width="4.7109375" style="28" hidden="1"/>
  </cols>
  <sheetData>
    <row r="1" spans="1:50" ht="12.75" customHeight="1" x14ac:dyDescent="0.2">
      <c r="A1" s="4408" t="str">
        <f>_ref1</f>
      </c>
      <c r="B1" s="4408"/>
      <c r="C1" s="4408"/>
      <c r="D1" s="4408"/>
      <c r="E1" s="4408"/>
      <c r="F1" s="4408"/>
      <c r="G1" s="4408"/>
      <c r="H1" s="539" t="str">
        <f>_YA1</f>
      </c>
      <c r="I1" s="3"/>
      <c r="O1" s="1736" t="s">
        <v>9964</v>
      </c>
      <c r="P1" s="28" t="str">
        <f>'p2'!G36</f>
      </c>
      <c r="AX1" s="1060"/>
    </row>
    <row r="2" spans="1:50" ht="18" x14ac:dyDescent="0.25">
      <c r="A2" s="4891" t="s">
        <v>3218</v>
      </c>
      <c r="B2" s="4892"/>
      <c r="C2" s="4892"/>
      <c r="D2" s="4892"/>
      <c r="E2" s="4892"/>
      <c r="F2" s="4892"/>
      <c r="G2" s="4892"/>
      <c r="H2" s="4893"/>
      <c r="I2" s="3"/>
    </row>
    <row r="3" spans="1:50" ht="18" x14ac:dyDescent="0.25">
      <c r="A3" s="4894" t="s">
        <v>3219</v>
      </c>
      <c r="B3" s="4895"/>
      <c r="C3" s="4895"/>
      <c r="D3" s="4895"/>
      <c r="E3" s="4895"/>
      <c r="F3" s="4895"/>
      <c r="G3" s="4895"/>
      <c r="H3" s="4896"/>
      <c r="I3" s="3"/>
    </row>
    <row r="4" spans="1:50" x14ac:dyDescent="0.2">
      <c r="A4" s="3"/>
      <c r="B4" s="3"/>
      <c r="C4" s="3"/>
      <c r="D4" s="3"/>
      <c r="E4" s="3"/>
      <c r="F4" s="3"/>
      <c r="G4" s="3"/>
      <c r="H4" s="3"/>
      <c r="I4" s="3"/>
      <c r="J4" s="28"/>
    </row>
    <row r="5" spans="1:50" ht="15" x14ac:dyDescent="0.2">
      <c r="A5" s="3578">
        <v>1</v>
      </c>
      <c r="B5" s="4339" t="s">
        <v>9996</v>
      </c>
      <c r="C5" s="4340"/>
      <c r="D5" s="4340"/>
      <c r="E5" s="4340"/>
      <c r="F5" s="4340"/>
      <c r="G5" s="4340"/>
      <c r="H5" s="4341"/>
      <c r="I5" s="3"/>
      <c r="J5" s="28"/>
    </row>
    <row r="6" spans="1:50" x14ac:dyDescent="0.2">
      <c r="A6" s="3"/>
      <c r="B6" s="3"/>
      <c r="C6" s="3"/>
      <c r="D6" s="3"/>
      <c r="E6" s="3"/>
      <c r="F6" s="3"/>
      <c r="G6" s="3"/>
      <c r="H6" s="3"/>
      <c r="I6" s="3"/>
      <c r="J6" s="28"/>
    </row>
    <row r="7" spans="1:50" x14ac:dyDescent="0.2">
      <c r="A7" s="3"/>
      <c r="B7" s="2145" t="s">
        <v>9984</v>
      </c>
      <c r="C7" s="275"/>
      <c r="D7" s="1300" t="str">
        <f>IF(AND($P$1="y",C7="",M7&gt;0),re,IF(AND($P$1="n",C7&lt;&gt;""),"Delete!",""))</f>
        <v/>
      </c>
      <c r="E7" s="3"/>
      <c r="F7" s="3"/>
      <c r="G7" s="3"/>
      <c r="H7" s="3"/>
      <c r="I7" s="3"/>
      <c r="J7" s="71">
        <f>IF(D7="",0,1)</f>
      </c>
      <c r="L7" s="3123">
        <f>IF(AND($P$1="n",C7&lt;&gt;""),1,0)</f>
      </c>
      <c r="M7" s="1742">
        <f>COUNTA(C7,C9,C11,B13,C13,H13,D18,D22,D26,D30,D32,D36,D40,D44,D46,C252)</f>
      </c>
    </row>
    <row r="8" spans="1:50" x14ac:dyDescent="0.2">
      <c r="A8" s="3"/>
      <c r="B8" s="3"/>
      <c r="C8" s="3"/>
      <c r="D8" s="3"/>
      <c r="E8" s="3"/>
      <c r="F8" s="3"/>
      <c r="G8" s="3"/>
      <c r="H8" s="3"/>
      <c r="I8" s="3"/>
    </row>
    <row r="9" spans="1:50" x14ac:dyDescent="0.2">
      <c r="A9" s="3"/>
      <c r="B9" s="653" t="s">
        <v>7183</v>
      </c>
      <c r="C9" s="4749"/>
      <c r="D9" s="4750"/>
      <c r="E9" s="534" t="str">
        <f>IF(M7=0,"",IF(ISBLANK(C9),"Certificate number !",""))</f>
        <v/>
      </c>
      <c r="F9" s="3"/>
      <c r="G9" s="3"/>
      <c r="H9" s="3"/>
      <c r="I9" s="3"/>
      <c r="J9" s="71">
        <f>IF(E9="",0,1)</f>
      </c>
    </row>
    <row r="10" spans="1:50" x14ac:dyDescent="0.2">
      <c r="A10" s="3"/>
      <c r="B10" s="3"/>
      <c r="C10" s="3"/>
      <c r="D10" s="3"/>
      <c r="E10" s="3"/>
      <c r="F10" s="3"/>
      <c r="G10" s="3"/>
      <c r="H10" s="3"/>
      <c r="I10" s="3"/>
    </row>
    <row r="11" spans="1:50" ht="15" customHeight="1" x14ac:dyDescent="0.2">
      <c r="A11" s="3"/>
      <c r="B11" s="539" t="s">
        <v>5743</v>
      </c>
      <c r="C11" s="4885"/>
      <c r="D11" s="4886"/>
      <c r="E11" s="4887"/>
      <c r="F11" s="624" t="str">
        <f>IF(M7=0,"",IF(ISBLANK(C11),"Required!",""))</f>
        <v/>
      </c>
      <c r="G11" s="3"/>
      <c r="H11" s="3"/>
      <c r="I11" s="3"/>
      <c r="J11" s="71">
        <f>IF(F11="",0,1)</f>
      </c>
      <c r="K11" s="654"/>
      <c r="L11" s="654"/>
      <c r="Q11" s="28" t="s">
        <v>4457</v>
      </c>
      <c r="R11" s="28" t="s">
        <v>2535</v>
      </c>
      <c r="X11" s="28" t="s">
        <v>5744</v>
      </c>
      <c r="Y11" s="28">
        <v>0.5</v>
      </c>
    </row>
    <row r="12" spans="1:50" ht="12" customHeight="1" x14ac:dyDescent="0.2">
      <c r="A12" s="3"/>
      <c r="B12" s="3"/>
      <c r="C12" s="3"/>
      <c r="D12" s="3"/>
      <c r="E12" s="3"/>
      <c r="F12" s="3"/>
      <c r="G12" s="3"/>
      <c r="H12" s="3"/>
      <c r="I12" s="3"/>
      <c r="J12" s="71">
        <f>IF(I13=re,1,0)</f>
      </c>
      <c r="Q12" s="28" t="s">
        <v>1736</v>
      </c>
      <c r="X12" s="28" t="s">
        <v>5745</v>
      </c>
      <c r="Y12" s="28">
        <v>0.4</v>
      </c>
    </row>
    <row r="13" spans="1:50" ht="16.5" customHeight="1" x14ac:dyDescent="0.2">
      <c r="A13" s="3"/>
      <c r="B13" s="1038"/>
      <c r="C13" s="1348"/>
      <c r="D13" s="572" t="str">
        <f>IF($M$7=0,"",IF(ISBLANK(C13),"Amount!",""))</f>
        <v/>
      </c>
      <c r="E13" s="4888" t="s">
        <v>5747</v>
      </c>
      <c r="F13" s="4888"/>
      <c r="G13" s="4889"/>
      <c r="H13" s="1349"/>
      <c r="I13" s="1350" t="str">
        <f>IF($M$7=0,"",IF(C13=0,"",IF(ISBLANK(H13),re,IF(H13&gt;L13,"Check!",""))))</f>
        <v/>
      </c>
      <c r="J13" s="71">
        <f>IF(D13="",0,1)</f>
      </c>
      <c r="L13" s="28">
        <f>IF(C11="",0,VLOOKUP(C11,X11:Y13,2,FALSE))</f>
      </c>
      <c r="M13" s="28" t="str">
        <f>re</f>
      </c>
      <c r="X13" s="28" t="s">
        <v>5748</v>
      </c>
      <c r="Y13" s="28">
        <v>0.3</v>
      </c>
      <c r="AA13" s="66" t="s">
        <v>5746</v>
      </c>
      <c r="AC13" s="177">
        <f>IF(AND(J12=0,I13&lt;&gt;""),1,0)</f>
      </c>
    </row>
    <row r="14" spans="1:50" ht="12" customHeight="1" x14ac:dyDescent="0.2">
      <c r="A14" s="656"/>
      <c r="B14" s="624" t="str">
        <f>IF(M7=0,"",IF(B13="","Choose Description, above!",""))</f>
        <v/>
      </c>
      <c r="C14" s="65"/>
      <c r="D14" s="65"/>
      <c r="E14" s="65"/>
      <c r="F14" s="65"/>
      <c r="G14" s="3"/>
      <c r="H14" s="3"/>
      <c r="I14" s="3"/>
      <c r="J14" s="71">
        <f>IF(B14="",0,1)</f>
      </c>
      <c r="L14" s="28">
        <f>IF(C13=0,1000000,0)</f>
      </c>
      <c r="AA14" s="66" t="s">
        <v>5749</v>
      </c>
    </row>
    <row r="15" spans="1:50" ht="3.75" customHeight="1" x14ac:dyDescent="0.2">
      <c r="A15" s="3"/>
      <c r="B15" s="657"/>
      <c r="C15" s="65"/>
      <c r="D15" s="657"/>
      <c r="E15" s="358"/>
      <c r="F15" s="358"/>
      <c r="G15" s="358"/>
      <c r="H15" s="358"/>
      <c r="I15" s="3"/>
    </row>
    <row r="16" spans="1:50" x14ac:dyDescent="0.2">
      <c r="A16" s="3"/>
      <c r="B16" s="618" t="s">
        <v>5750</v>
      </c>
      <c r="C16" s="65"/>
      <c r="D16" s="689">
        <f>ROUND(C13*H13,0)</f>
      </c>
      <c r="E16" s="358"/>
      <c r="F16" s="358"/>
      <c r="G16" s="358"/>
      <c r="H16" s="358"/>
      <c r="I16" s="3"/>
    </row>
    <row r="17" spans="1:16" ht="3.75" customHeight="1" x14ac:dyDescent="0.2">
      <c r="A17" s="72"/>
      <c r="B17" s="358"/>
      <c r="C17" s="65"/>
      <c r="D17" s="653"/>
      <c r="E17" s="358"/>
      <c r="F17" s="358"/>
      <c r="G17" s="358"/>
      <c r="H17" s="358"/>
      <c r="I17" s="3"/>
    </row>
    <row r="18" spans="1:16" x14ac:dyDescent="0.2">
      <c r="A18" s="34"/>
      <c r="B18" s="618" t="s">
        <v>6572</v>
      </c>
      <c r="C18" s="65"/>
      <c r="D18" s="497"/>
      <c r="E18" s="503" t="str">
        <f>IF(M7=0,"",IF(D18="",reo,""))</f>
        <v/>
      </c>
      <c r="F18" s="358"/>
      <c r="G18" s="358"/>
      <c r="H18" s="358"/>
      <c r="I18" s="3"/>
      <c r="J18" s="71">
        <f>IF(E18="",0,1)</f>
      </c>
    </row>
    <row r="19" spans="1:16" ht="4.5" customHeight="1" x14ac:dyDescent="0.2">
      <c r="A19" s="34"/>
      <c r="B19" s="358"/>
      <c r="C19" s="65"/>
      <c r="D19" s="653"/>
      <c r="E19" s="358"/>
      <c r="F19" s="358"/>
      <c r="G19" s="358"/>
      <c r="H19" s="358"/>
      <c r="I19" s="3"/>
    </row>
    <row r="20" spans="1:16" x14ac:dyDescent="0.2">
      <c r="A20" s="34"/>
      <c r="B20" s="618" t="s">
        <v>3581</v>
      </c>
      <c r="C20" s="65"/>
      <c r="D20" s="689">
        <f>K20</f>
      </c>
      <c r="E20" s="503" t="str">
        <f>IF(M7=0,"",IF(D20="",reo,""))</f>
        <v/>
      </c>
      <c r="F20" s="358"/>
      <c r="G20" s="358"/>
      <c r="H20" s="358"/>
      <c r="I20" s="3"/>
      <c r="J20" s="71">
        <f>IF(E20="",0,1)</f>
      </c>
      <c r="K20" s="28">
        <f>IF(D18=0,D16,IF(D18&lt;D16,D18,D16))</f>
      </c>
      <c r="P20" s="28" t="s">
        <v>3582</v>
      </c>
    </row>
    <row r="21" spans="1:16" ht="3" customHeight="1" x14ac:dyDescent="0.2">
      <c r="A21" s="34"/>
      <c r="B21" s="618"/>
      <c r="C21" s="65"/>
      <c r="D21" s="120"/>
      <c r="E21" s="503"/>
      <c r="F21" s="358"/>
      <c r="G21" s="358"/>
      <c r="H21" s="358"/>
      <c r="I21" s="3"/>
    </row>
    <row r="22" spans="1:16" x14ac:dyDescent="0.2">
      <c r="A22" s="34"/>
      <c r="B22" s="4667" t="s">
        <v>5818</v>
      </c>
      <c r="C22" s="4890"/>
      <c r="D22" s="497"/>
      <c r="E22" s="503" t="str">
        <f>IF(M7=0,"",IF(D22="",reo,""))</f>
        <v/>
      </c>
      <c r="F22" s="358"/>
      <c r="G22" s="358"/>
      <c r="H22" s="358"/>
      <c r="I22" s="3"/>
      <c r="J22" s="71">
        <f>IF(E22="",0,1)</f>
      </c>
    </row>
    <row r="23" spans="1:16" ht="3.75" customHeight="1" x14ac:dyDescent="0.2">
      <c r="A23" s="34"/>
      <c r="B23" s="618"/>
      <c r="C23" s="65"/>
      <c r="D23" s="1351"/>
      <c r="E23" s="358"/>
      <c r="F23" s="358"/>
      <c r="G23" s="358"/>
      <c r="H23" s="358"/>
      <c r="I23" s="3"/>
    </row>
    <row r="24" spans="1:16" x14ac:dyDescent="0.2">
      <c r="A24" s="34"/>
      <c r="B24" s="618" t="s">
        <v>5819</v>
      </c>
      <c r="C24" s="618"/>
      <c r="D24" s="689">
        <f>D20-D22</f>
      </c>
      <c r="E24" s="358"/>
      <c r="F24" s="358"/>
      <c r="G24" s="358"/>
      <c r="H24" s="358"/>
      <c r="I24" s="3"/>
    </row>
    <row r="25" spans="1:16" ht="3" customHeight="1" x14ac:dyDescent="0.2">
      <c r="A25" s="34"/>
      <c r="B25" s="618"/>
      <c r="C25" s="618"/>
      <c r="D25" s="503"/>
      <c r="E25" s="358"/>
      <c r="F25" s="358"/>
      <c r="G25" s="358"/>
      <c r="H25" s="358"/>
      <c r="I25" s="3"/>
    </row>
    <row r="26" spans="1:16" x14ac:dyDescent="0.2">
      <c r="A26" s="1352" t="s">
        <v>5445</v>
      </c>
      <c r="B26" s="618" t="s">
        <v>5820</v>
      </c>
      <c r="C26" s="618"/>
      <c r="D26" s="497"/>
      <c r="E26" s="503" t="str">
        <f>IF(M$7=0,"",IF(D26="",reo,IF(D26&gt;D24," Excessive!","")))</f>
        <v/>
      </c>
      <c r="F26" s="358"/>
      <c r="G26" s="358"/>
      <c r="H26" s="358"/>
      <c r="I26" s="3"/>
      <c r="J26" s="71">
        <f>IF(E26="",0,1)</f>
      </c>
    </row>
    <row r="27" spans="1:16" ht="4.5" customHeight="1" x14ac:dyDescent="0.2">
      <c r="A27" s="34"/>
      <c r="B27" s="618"/>
      <c r="C27" s="618"/>
      <c r="D27" s="503"/>
      <c r="E27" s="358"/>
      <c r="F27" s="358"/>
      <c r="G27" s="358"/>
      <c r="H27" s="358"/>
      <c r="I27" s="3"/>
    </row>
    <row r="28" spans="1:16" x14ac:dyDescent="0.2">
      <c r="A28" s="34"/>
      <c r="B28" s="618" t="s">
        <v>5821</v>
      </c>
      <c r="C28" s="618"/>
      <c r="D28" s="689">
        <f>IF(D26&gt;D24,0,D24-D26)</f>
      </c>
      <c r="E28" s="358"/>
      <c r="F28" s="358"/>
      <c r="G28" s="358"/>
      <c r="H28" s="358"/>
      <c r="I28" s="3"/>
    </row>
    <row r="29" spans="1:16" ht="5.25" customHeight="1" x14ac:dyDescent="0.2">
      <c r="A29" s="34"/>
      <c r="B29" s="618"/>
      <c r="C29" s="618"/>
      <c r="D29" s="503"/>
      <c r="E29" s="358"/>
      <c r="F29" s="358"/>
      <c r="G29" s="358"/>
      <c r="H29" s="358"/>
      <c r="I29" s="3"/>
    </row>
    <row r="30" spans="1:16" x14ac:dyDescent="0.2">
      <c r="A30" s="1352" t="s">
        <v>5822</v>
      </c>
      <c r="B30" s="618" t="s">
        <v>5823</v>
      </c>
      <c r="C30" s="618"/>
      <c r="D30" s="497"/>
      <c r="E30" s="503" t="str">
        <f>IF(M7=0,"",IF(ya&lt;=2009,"",IF(D30="",reo,"")))</f>
        <v/>
      </c>
      <c r="F30" s="358"/>
      <c r="G30" s="358"/>
      <c r="H30" s="358"/>
      <c r="I30" s="3"/>
      <c r="J30" s="71">
        <f>IF(E30="",0,1)</f>
      </c>
      <c r="K30" s="28">
        <f>IF(ya=2009,0,1E+23)</f>
      </c>
      <c r="L30" s="28">
        <f>ya</f>
      </c>
    </row>
    <row r="31" spans="1:16" ht="4.5" customHeight="1" x14ac:dyDescent="0.2">
      <c r="A31" s="34"/>
      <c r="B31" s="618"/>
      <c r="C31" s="618"/>
      <c r="D31" s="503"/>
      <c r="E31" s="358"/>
      <c r="F31" s="358"/>
      <c r="G31" s="358"/>
      <c r="H31" s="358"/>
      <c r="I31" s="3"/>
    </row>
    <row r="32" spans="1:16" x14ac:dyDescent="0.2">
      <c r="A32" s="1352" t="s">
        <v>5822</v>
      </c>
      <c r="B32" s="618" t="s">
        <v>7185</v>
      </c>
      <c r="C32" s="618"/>
      <c r="D32" s="497"/>
      <c r="E32" s="503" t="str">
        <f>IF(M$7=0,"",IF(D32="",reo,""))</f>
        <v/>
      </c>
      <c r="F32" s="4644" t="s">
        <v>7184</v>
      </c>
      <c r="G32" s="4882"/>
      <c r="H32" s="742"/>
      <c r="I32" s="1836" t="str">
        <f>IF(AND(D32&gt;0, LEN(H32)&lt;4),re,"")</f>
        <v/>
      </c>
      <c r="J32" s="71">
        <f>IF(E32="",0,1)</f>
      </c>
    </row>
    <row r="33" spans="1:29" ht="4.5" customHeight="1" x14ac:dyDescent="0.2">
      <c r="A33" s="34"/>
      <c r="B33" s="618"/>
      <c r="C33" s="618"/>
      <c r="D33" s="503"/>
      <c r="E33" s="358"/>
      <c r="F33" s="358"/>
      <c r="G33" s="358"/>
      <c r="H33" s="358"/>
      <c r="I33" s="3"/>
    </row>
    <row r="34" spans="1:29" x14ac:dyDescent="0.2">
      <c r="A34" s="34"/>
      <c r="B34" s="618" t="s">
        <v>321</v>
      </c>
      <c r="C34" s="618"/>
      <c r="D34" s="689">
        <f>IF(ya&lt;=2009,D28,D28+D30+D32)</f>
      </c>
      <c r="E34" s="358"/>
      <c r="F34" s="358"/>
      <c r="G34" s="358"/>
      <c r="H34" s="358"/>
      <c r="I34" s="3"/>
      <c r="J34" s="71">
        <f>IF(I32="",0,1)</f>
      </c>
    </row>
    <row r="35" spans="1:29" ht="4.5" customHeight="1" x14ac:dyDescent="0.2">
      <c r="A35" s="34"/>
      <c r="B35" s="618"/>
      <c r="C35" s="618"/>
      <c r="D35" s="503"/>
      <c r="E35" s="358"/>
      <c r="F35" s="358"/>
      <c r="G35" s="358"/>
      <c r="H35" s="358"/>
      <c r="I35" s="3"/>
    </row>
    <row r="36" spans="1:29" x14ac:dyDescent="0.2">
      <c r="A36" s="34"/>
      <c r="B36" s="618" t="s">
        <v>322</v>
      </c>
      <c r="C36" s="1919"/>
      <c r="D36" s="497"/>
      <c r="E36" s="503" t="str">
        <f>IF(M$7=0,"",IF(D36="",reo,IF(D36&gt;D34,"Excessive!","")))</f>
        <v/>
      </c>
      <c r="F36" s="358"/>
      <c r="G36" s="358"/>
      <c r="H36" s="358"/>
      <c r="I36" s="3"/>
      <c r="J36" s="71">
        <f>IF(E36="",0,1)</f>
      </c>
    </row>
    <row r="37" spans="1:29" ht="4.5" customHeight="1" x14ac:dyDescent="0.2">
      <c r="A37" s="34"/>
      <c r="B37" s="358"/>
      <c r="C37" s="358"/>
      <c r="D37" s="358"/>
      <c r="E37" s="358"/>
      <c r="F37" s="358"/>
      <c r="G37" s="358"/>
      <c r="H37" s="358"/>
      <c r="I37" s="3"/>
      <c r="L37" s="73"/>
      <c r="M37" s="74"/>
    </row>
    <row r="38" spans="1:29" x14ac:dyDescent="0.2">
      <c r="A38" s="3"/>
      <c r="B38" s="618" t="s">
        <v>323</v>
      </c>
      <c r="C38" s="34"/>
      <c r="D38" s="689">
        <f>IF(D36&gt;D34,0,D34-D36)</f>
      </c>
      <c r="E38" s="3"/>
      <c r="F38" s="3"/>
      <c r="G38" s="3"/>
      <c r="H38" s="3"/>
      <c r="I38" s="3"/>
    </row>
    <row r="39" spans="1:29" ht="5.25" customHeight="1" x14ac:dyDescent="0.2">
      <c r="A39" s="3"/>
      <c r="B39" s="618"/>
      <c r="C39" s="34"/>
      <c r="D39" s="34"/>
      <c r="E39" s="3"/>
      <c r="F39" s="3"/>
      <c r="G39" s="3"/>
      <c r="H39" s="3"/>
      <c r="I39" s="3"/>
    </row>
    <row r="40" spans="1:29" hidden="1" x14ac:dyDescent="0.2">
      <c r="B40" s="182" t="s">
        <v>1008</v>
      </c>
      <c r="C40" s="32"/>
      <c r="D40" s="32"/>
      <c r="E40" s="32"/>
    </row>
    <row r="41" spans="1:29" ht="4.5" customHeight="1" x14ac:dyDescent="0.2">
      <c r="A41" s="3"/>
      <c r="B41" s="618"/>
      <c r="C41" s="34"/>
      <c r="D41" s="34"/>
      <c r="E41" s="3"/>
      <c r="F41" s="3"/>
      <c r="G41" s="3"/>
      <c r="H41" s="3"/>
      <c r="I41" s="3"/>
    </row>
    <row r="42" spans="1:29" x14ac:dyDescent="0.2">
      <c r="A42" s="3"/>
      <c r="B42" s="618" t="s">
        <v>7986</v>
      </c>
      <c r="C42" s="3"/>
      <c r="D42" s="497"/>
      <c r="E42" s="1130" t="str">
        <f>IF(D38=0,"",IF(ISBLANK(D42),reo,""))</f>
        <v/>
      </c>
      <c r="F42" s="3"/>
      <c r="G42" s="3"/>
      <c r="H42" s="3"/>
      <c r="I42" s="3"/>
      <c r="J42" s="71">
        <f>IF(E42="",0,1)</f>
      </c>
      <c r="L42" s="28">
        <f>IF(B15&lt;&gt;"",0,IF(C14=0,C13*H13,IF(C13=0,C14*H14,0)))</f>
      </c>
    </row>
    <row r="43" spans="1:29" ht="5.25" customHeight="1" x14ac:dyDescent="0.2">
      <c r="A43" s="3"/>
      <c r="B43" s="618"/>
      <c r="C43" s="618"/>
      <c r="D43" s="618"/>
      <c r="E43" s="50"/>
      <c r="F43" s="17"/>
      <c r="G43" s="3"/>
      <c r="H43" s="3"/>
      <c r="I43" s="3"/>
    </row>
    <row r="44" spans="1:29" ht="12.75" customHeight="1" x14ac:dyDescent="0.2">
      <c r="A44" s="3"/>
      <c r="B44" s="4883" t="str">
        <f>"Income the tax on which is deemed relieved by the tax credit [Current] Y/A "&amp;ya</f>
      </c>
      <c r="C44" s="4884"/>
      <c r="D44" s="497"/>
      <c r="E44" s="1092" t="str">
        <f>IF(M$7=0,"",IF(D36=0,"",IF(D44="",reo,IF(OR(D44&lt;K44,D44&gt;L44),"Check!",""))))</f>
        <v/>
      </c>
      <c r="F44" s="17"/>
      <c r="G44" s="3"/>
      <c r="H44" s="3"/>
      <c r="I44" s="3"/>
      <c r="J44" s="71">
        <f>IF(E44=reo,1,0)</f>
      </c>
      <c r="K44" s="1918">
        <f>ROUND(D36/0.35,0)-1</f>
      </c>
      <c r="L44" s="28">
        <f>ROUND(D36/0.05,0)+1</f>
      </c>
      <c r="M44" s="28">
        <f>L44*0.35</f>
      </c>
      <c r="AC44" s="177">
        <f>IF(AND(J44=0,E44&lt;&gt;""),1,0)</f>
      </c>
    </row>
    <row r="45" spans="1:29" ht="12.75" customHeight="1" x14ac:dyDescent="0.2">
      <c r="A45" s="3"/>
      <c r="B45" s="618"/>
      <c r="C45" s="618"/>
      <c r="D45" s="618"/>
      <c r="E45" s="50"/>
      <c r="F45" s="17"/>
      <c r="G45" s="3"/>
      <c r="H45" s="3"/>
      <c r="I45" s="3"/>
      <c r="J45" s="28"/>
      <c r="AC45" s="177">
        <f>AC13+AC44</f>
      </c>
    </row>
    <row r="46" spans="1:29" ht="12.75" customHeight="1" x14ac:dyDescent="0.2">
      <c r="A46" s="17"/>
      <c r="B46" s="1354" t="s">
        <v>1009</v>
      </c>
      <c r="C46" s="17"/>
      <c r="D46" s="275"/>
      <c r="E46" s="222" t="str">
        <f>IF(M7=0,"",IF(D46="",re,IF(D46=Q12,nob,"")))</f>
        <v/>
      </c>
      <c r="F46" s="17"/>
      <c r="G46" s="536"/>
      <c r="H46" s="536"/>
      <c r="I46" s="3"/>
      <c r="J46" s="71">
        <f>IF(E46="",0,1)</f>
      </c>
      <c r="M46" s="413"/>
    </row>
    <row r="47" spans="1:29" ht="12.75" customHeight="1" x14ac:dyDescent="0.2">
      <c r="A47" s="17"/>
      <c r="B47" s="1354"/>
      <c r="C47" s="17"/>
      <c r="D47" s="17"/>
      <c r="E47" s="222"/>
      <c r="F47" s="17"/>
      <c r="G47" s="536"/>
      <c r="H47" s="536"/>
      <c r="I47" s="3"/>
      <c r="M47" s="413"/>
    </row>
    <row r="48" spans="1:29" ht="12.75" customHeight="1" x14ac:dyDescent="0.2">
      <c r="A48" s="818" t="str">
        <f>_xlfn.SINGLE(MTCA)</f>
      </c>
      <c r="B48" s="818"/>
      <c r="C48" s="818" t="str">
        <f>ver</f>
        <v>TA2_e-CO_2025_Ver 1.1</v>
      </c>
      <c r="D48" s="818"/>
      <c r="E48" s="1144"/>
      <c r="F48" s="818"/>
      <c r="G48" s="818"/>
      <c r="H48" s="859" t="s">
        <v>9992</v>
      </c>
      <c r="I48" s="3"/>
      <c r="J48" s="2181">
        <f>SUM(J7:J46)</f>
      </c>
      <c r="M48" s="413"/>
    </row>
    <row r="49" spans="1:29" ht="12.75" customHeight="1" x14ac:dyDescent="0.2">
      <c r="A49" s="17"/>
      <c r="B49" s="659"/>
      <c r="C49" s="17"/>
      <c r="D49" s="17"/>
      <c r="E49" s="222"/>
      <c r="F49" s="17"/>
      <c r="G49" s="536"/>
      <c r="H49" s="536"/>
      <c r="I49" s="3"/>
      <c r="J49" s="2181"/>
      <c r="M49" s="413"/>
    </row>
    <row r="50" spans="1:29" ht="15" x14ac:dyDescent="0.2">
      <c r="A50" s="3578">
        <v>2</v>
      </c>
      <c r="B50" s="4339" t="s">
        <v>9996</v>
      </c>
      <c r="C50" s="4340"/>
      <c r="D50" s="4340"/>
      <c r="E50" s="4340"/>
      <c r="F50" s="4340"/>
      <c r="G50" s="4340"/>
      <c r="H50" s="4341"/>
      <c r="I50" s="3"/>
      <c r="J50" s="28"/>
    </row>
    <row r="51" spans="1:29" x14ac:dyDescent="0.2">
      <c r="A51" s="3"/>
      <c r="B51" s="3"/>
      <c r="C51" s="3"/>
      <c r="D51" s="3"/>
      <c r="E51" s="3"/>
      <c r="F51" s="3"/>
      <c r="G51" s="3"/>
      <c r="H51" s="3"/>
      <c r="I51" s="3"/>
      <c r="J51" s="28"/>
    </row>
    <row r="52" spans="1:29" x14ac:dyDescent="0.2">
      <c r="A52" s="3"/>
      <c r="B52" s="2145" t="s">
        <v>9984</v>
      </c>
      <c r="C52" s="275"/>
      <c r="D52" s="1300" t="str">
        <f>IF(AND($P$1="y",C52="",M52&gt;0),re,IF(AND($P$1="n",C52&lt;&gt;""),"Delete!",""))</f>
        <v/>
      </c>
      <c r="E52" s="3"/>
      <c r="F52" s="3"/>
      <c r="G52" s="3"/>
      <c r="H52" s="3"/>
      <c r="I52" s="3"/>
      <c r="J52" s="71">
        <f>IF(D52="",0,1)</f>
      </c>
      <c r="L52" s="3123">
        <f>IF(AND($P$1="n",C52&lt;&gt;""),1,0)</f>
      </c>
      <c r="M52" s="1742">
        <f>COUNTA(C52,C54,C56,B58,C58,H58,D63,D67,D71,D75,D77,D81,D85,D89,D91,C296)</f>
      </c>
    </row>
    <row r="53" spans="1:29" x14ac:dyDescent="0.2">
      <c r="A53" s="3"/>
      <c r="B53" s="3"/>
      <c r="C53" s="3"/>
      <c r="D53" s="3"/>
      <c r="E53" s="3"/>
      <c r="F53" s="3"/>
      <c r="G53" s="3"/>
      <c r="H53" s="3"/>
      <c r="I53" s="3"/>
    </row>
    <row r="54" spans="1:29" x14ac:dyDescent="0.2">
      <c r="A54" s="3"/>
      <c r="B54" s="653" t="s">
        <v>7183</v>
      </c>
      <c r="C54" s="4749"/>
      <c r="D54" s="4750"/>
      <c r="E54" s="534" t="str">
        <f>IF(M52=0,"",IF(ISBLANK(C54),"Certificate number !",""))</f>
        <v/>
      </c>
      <c r="F54" s="3"/>
      <c r="G54" s="3"/>
      <c r="H54" s="3"/>
      <c r="I54" s="3"/>
      <c r="J54" s="71">
        <f>IF(E54="",0,1)</f>
      </c>
    </row>
    <row r="55" spans="1:29" x14ac:dyDescent="0.2">
      <c r="A55" s="3"/>
      <c r="B55" s="3"/>
      <c r="C55" s="3"/>
      <c r="D55" s="3"/>
      <c r="E55" s="3"/>
      <c r="F55" s="3"/>
      <c r="G55" s="3"/>
      <c r="H55" s="3"/>
      <c r="I55" s="3"/>
    </row>
    <row r="56" spans="1:29" ht="15" customHeight="1" x14ac:dyDescent="0.2">
      <c r="A56" s="3"/>
      <c r="B56" s="539" t="s">
        <v>5743</v>
      </c>
      <c r="C56" s="4885"/>
      <c r="D56" s="4886"/>
      <c r="E56" s="4887"/>
      <c r="F56" s="624" t="str">
        <f>IF(M52=0,"",IF(ISBLANK(C56),"Required!",""))</f>
        <v/>
      </c>
      <c r="G56" s="3"/>
      <c r="H56" s="3"/>
      <c r="I56" s="3"/>
      <c r="J56" s="71">
        <f>IF(F56="",0,1)</f>
      </c>
      <c r="K56" s="654"/>
      <c r="L56" s="654"/>
      <c r="Q56" s="28" t="s">
        <v>4457</v>
      </c>
      <c r="R56" s="28" t="s">
        <v>2535</v>
      </c>
      <c r="X56" s="28" t="s">
        <v>5744</v>
      </c>
      <c r="Y56" s="28">
        <v>0.5</v>
      </c>
    </row>
    <row r="57" spans="1:29" ht="12" customHeight="1" x14ac:dyDescent="0.2">
      <c r="A57" s="3"/>
      <c r="B57" s="3"/>
      <c r="C57" s="3"/>
      <c r="D57" s="3"/>
      <c r="E57" s="3"/>
      <c r="F57" s="3"/>
      <c r="G57" s="3"/>
      <c r="H57" s="3"/>
      <c r="I57" s="3"/>
      <c r="J57" s="71">
        <f>IF(I58=re,1,0)</f>
      </c>
      <c r="Q57" s="28" t="s">
        <v>1736</v>
      </c>
      <c r="X57" s="28" t="s">
        <v>5745</v>
      </c>
      <c r="Y57" s="28">
        <v>0.4</v>
      </c>
    </row>
    <row r="58" spans="1:29" ht="16.5" customHeight="1" x14ac:dyDescent="0.2">
      <c r="A58" s="3"/>
      <c r="B58" s="1038"/>
      <c r="C58" s="1348"/>
      <c r="D58" s="572" t="str">
        <f>IF($M$52=0,"",IF(ISBLANK(C58),"Amount!",""))</f>
        <v/>
      </c>
      <c r="E58" s="4888" t="s">
        <v>5747</v>
      </c>
      <c r="F58" s="4888"/>
      <c r="G58" s="4889"/>
      <c r="H58" s="1349"/>
      <c r="I58" s="1350" t="str">
        <f>IF($M$7=0,"",IF(C58=0,"",IF(ISBLANK(H58),re,IF(H58&gt;L58,"Check!",""))))</f>
        <v/>
      </c>
      <c r="J58" s="71">
        <f>IF(D58="",0,1)</f>
      </c>
      <c r="L58" s="28">
        <f>IF(C56="",0,VLOOKUP(C56,X56:Y58,2,FALSE))</f>
      </c>
      <c r="M58" s="28" t="str">
        <f>re</f>
      </c>
      <c r="X58" s="28" t="s">
        <v>5748</v>
      </c>
      <c r="Y58" s="28">
        <v>0.3</v>
      </c>
      <c r="AA58" s="66" t="s">
        <v>5746</v>
      </c>
      <c r="AC58" s="177">
        <f>IF(AND(J57=0,I58&lt;&gt;""),1,0)</f>
      </c>
    </row>
    <row r="59" spans="1:29" ht="12" customHeight="1" x14ac:dyDescent="0.2">
      <c r="A59" s="656"/>
      <c r="B59" s="624" t="str">
        <f>IF(M52=0,"",IF(B58="","Choose Description, above!",""))</f>
        <v/>
      </c>
      <c r="C59" s="65"/>
      <c r="D59" s="65"/>
      <c r="E59" s="65"/>
      <c r="F59" s="65"/>
      <c r="G59" s="3"/>
      <c r="H59" s="3"/>
      <c r="I59" s="3"/>
      <c r="J59" s="71">
        <f>IF(B59="",0,1)</f>
      </c>
      <c r="L59" s="28">
        <f>IF(C58=0,1000000,0)</f>
      </c>
      <c r="AA59" s="66" t="s">
        <v>5749</v>
      </c>
    </row>
    <row r="60" spans="1:29" ht="3.75" customHeight="1" x14ac:dyDescent="0.2">
      <c r="A60" s="3"/>
      <c r="B60" s="657"/>
      <c r="C60" s="65"/>
      <c r="D60" s="657"/>
      <c r="E60" s="358"/>
      <c r="F60" s="358"/>
      <c r="G60" s="358"/>
      <c r="H60" s="358"/>
      <c r="I60" s="3"/>
    </row>
    <row r="61" spans="1:29" x14ac:dyDescent="0.2">
      <c r="A61" s="3"/>
      <c r="B61" s="618" t="s">
        <v>5750</v>
      </c>
      <c r="C61" s="65"/>
      <c r="D61" s="689">
        <f>ROUND(C58*H58,0)</f>
      </c>
      <c r="E61" s="358"/>
      <c r="F61" s="358"/>
      <c r="G61" s="358"/>
      <c r="H61" s="358"/>
      <c r="I61" s="3"/>
    </row>
    <row r="62" spans="1:29" ht="3.75" customHeight="1" x14ac:dyDescent="0.2">
      <c r="A62" s="72"/>
      <c r="B62" s="358"/>
      <c r="C62" s="65"/>
      <c r="D62" s="653"/>
      <c r="E62" s="358"/>
      <c r="F62" s="358"/>
      <c r="G62" s="358"/>
      <c r="H62" s="358"/>
      <c r="I62" s="3"/>
    </row>
    <row r="63" spans="1:29" x14ac:dyDescent="0.2">
      <c r="A63" s="34"/>
      <c r="B63" s="618" t="s">
        <v>6572</v>
      </c>
      <c r="C63" s="65"/>
      <c r="D63" s="497"/>
      <c r="E63" s="503" t="str">
        <f>IF(M52=0,"",IF(D63="",reo,""))</f>
        <v/>
      </c>
      <c r="F63" s="358"/>
      <c r="G63" s="358"/>
      <c r="H63" s="358"/>
      <c r="I63" s="3"/>
      <c r="J63" s="71">
        <f>IF(E63="",0,1)</f>
      </c>
    </row>
    <row r="64" spans="1:29" ht="4.5" customHeight="1" x14ac:dyDescent="0.2">
      <c r="A64" s="34"/>
      <c r="B64" s="358"/>
      <c r="C64" s="65"/>
      <c r="D64" s="653"/>
      <c r="E64" s="358"/>
      <c r="F64" s="358"/>
      <c r="G64" s="358"/>
      <c r="H64" s="358"/>
      <c r="I64" s="3"/>
    </row>
    <row r="65" spans="1:16" x14ac:dyDescent="0.2">
      <c r="A65" s="34"/>
      <c r="B65" s="618" t="s">
        <v>3581</v>
      </c>
      <c r="C65" s="65"/>
      <c r="D65" s="689">
        <f>K65</f>
      </c>
      <c r="E65" s="503" t="str">
        <f>IF(M52=0,"",IF(D65="",reo,""))</f>
        <v/>
      </c>
      <c r="F65" s="358"/>
      <c r="G65" s="358"/>
      <c r="H65" s="358"/>
      <c r="I65" s="3"/>
      <c r="J65" s="71">
        <f>IF(E65="",0,1)</f>
      </c>
      <c r="K65" s="28">
        <f>IF(D63=0,D61,IF(D63&lt;D61,D63,D61))</f>
      </c>
      <c r="P65" s="28" t="s">
        <v>3582</v>
      </c>
    </row>
    <row r="66" spans="1:16" ht="3" customHeight="1" x14ac:dyDescent="0.2">
      <c r="A66" s="34"/>
      <c r="B66" s="618"/>
      <c r="C66" s="65"/>
      <c r="D66" s="120"/>
      <c r="E66" s="503"/>
      <c r="F66" s="358"/>
      <c r="G66" s="358"/>
      <c r="H66" s="358"/>
      <c r="I66" s="3"/>
    </row>
    <row r="67" spans="1:16" x14ac:dyDescent="0.2">
      <c r="A67" s="34"/>
      <c r="B67" s="4667" t="s">
        <v>5818</v>
      </c>
      <c r="C67" s="4890"/>
      <c r="D67" s="497"/>
      <c r="E67" s="503" t="str">
        <f>IF(M52=0,"",IF(D67="",reo,""))</f>
        <v/>
      </c>
      <c r="F67" s="358"/>
      <c r="G67" s="358"/>
      <c r="H67" s="358"/>
      <c r="I67" s="3"/>
      <c r="J67" s="71">
        <f>IF(E67="",0,1)</f>
      </c>
    </row>
    <row r="68" spans="1:16" ht="3.75" customHeight="1" x14ac:dyDescent="0.2">
      <c r="A68" s="34"/>
      <c r="B68" s="618"/>
      <c r="C68" s="65"/>
      <c r="D68" s="1351"/>
      <c r="E68" s="358"/>
      <c r="F68" s="358"/>
      <c r="G68" s="358"/>
      <c r="H68" s="358"/>
      <c r="I68" s="3"/>
    </row>
    <row r="69" spans="1:16" x14ac:dyDescent="0.2">
      <c r="A69" s="34"/>
      <c r="B69" s="618" t="s">
        <v>5819</v>
      </c>
      <c r="C69" s="618"/>
      <c r="D69" s="689">
        <f>D65-D67</f>
      </c>
      <c r="E69" s="358"/>
      <c r="F69" s="358"/>
      <c r="G69" s="358"/>
      <c r="H69" s="358"/>
      <c r="I69" s="3"/>
    </row>
    <row r="70" spans="1:16" ht="3" customHeight="1" x14ac:dyDescent="0.2">
      <c r="A70" s="34"/>
      <c r="B70" s="618"/>
      <c r="C70" s="618"/>
      <c r="D70" s="503"/>
      <c r="E70" s="358"/>
      <c r="F70" s="358"/>
      <c r="G70" s="358"/>
      <c r="H70" s="358"/>
      <c r="I70" s="3"/>
    </row>
    <row r="71" spans="1:16" x14ac:dyDescent="0.2">
      <c r="A71" s="1352" t="s">
        <v>5445</v>
      </c>
      <c r="B71" s="618" t="s">
        <v>5820</v>
      </c>
      <c r="C71" s="618"/>
      <c r="D71" s="497"/>
      <c r="E71" s="503" t="str">
        <f>IF(M$52=0,"",IF(D71="",reo,IF(D71&gt;D69," Excessive!","")))</f>
        <v/>
      </c>
      <c r="F71" s="358"/>
      <c r="G71" s="358"/>
      <c r="H71" s="358"/>
      <c r="I71" s="3"/>
      <c r="J71" s="71">
        <f>IF(E71="",0,1)</f>
      </c>
    </row>
    <row r="72" spans="1:16" ht="4.5" customHeight="1" x14ac:dyDescent="0.2">
      <c r="A72" s="34"/>
      <c r="B72" s="618"/>
      <c r="C72" s="618"/>
      <c r="D72" s="503"/>
      <c r="E72" s="358"/>
      <c r="F72" s="358"/>
      <c r="G72" s="358"/>
      <c r="H72" s="358"/>
      <c r="I72" s="3"/>
    </row>
    <row r="73" spans="1:16" x14ac:dyDescent="0.2">
      <c r="A73" s="34"/>
      <c r="B73" s="618" t="s">
        <v>5821</v>
      </c>
      <c r="C73" s="618"/>
      <c r="D73" s="689">
        <f>IF(D71&gt;D69,0,D69-D71)</f>
      </c>
      <c r="E73" s="358"/>
      <c r="F73" s="358"/>
      <c r="G73" s="358"/>
      <c r="H73" s="358"/>
      <c r="I73" s="3"/>
    </row>
    <row r="74" spans="1:16" ht="5.25" customHeight="1" x14ac:dyDescent="0.2">
      <c r="A74" s="34"/>
      <c r="B74" s="618"/>
      <c r="C74" s="618"/>
      <c r="D74" s="503"/>
      <c r="E74" s="358"/>
      <c r="F74" s="358"/>
      <c r="G74" s="358"/>
      <c r="H74" s="358"/>
      <c r="I74" s="3"/>
    </row>
    <row r="75" spans="1:16" x14ac:dyDescent="0.2">
      <c r="A75" s="1352" t="s">
        <v>5822</v>
      </c>
      <c r="B75" s="618" t="s">
        <v>5823</v>
      </c>
      <c r="C75" s="618"/>
      <c r="D75" s="497"/>
      <c r="E75" s="503" t="str">
        <f>IF(M52=0,"",IF(ya&lt;=2009,"",IF(D75="",reo,"")))</f>
        <v/>
      </c>
      <c r="F75" s="358"/>
      <c r="G75" s="358"/>
      <c r="H75" s="358"/>
      <c r="I75" s="3"/>
      <c r="J75" s="71">
        <f>IF(E75="",0,1)</f>
      </c>
      <c r="K75" s="28">
        <f>IF(ya=2009,0,1E+23)</f>
      </c>
      <c r="L75" s="28">
        <f>ya</f>
      </c>
    </row>
    <row r="76" spans="1:16" ht="4.5" customHeight="1" x14ac:dyDescent="0.2">
      <c r="A76" s="34"/>
      <c r="B76" s="618"/>
      <c r="C76" s="618"/>
      <c r="D76" s="503"/>
      <c r="E76" s="358"/>
      <c r="F76" s="358"/>
      <c r="G76" s="358"/>
      <c r="H76" s="358"/>
      <c r="I76" s="3"/>
    </row>
    <row r="77" spans="1:16" x14ac:dyDescent="0.2">
      <c r="A77" s="1352" t="s">
        <v>5822</v>
      </c>
      <c r="B77" s="618" t="s">
        <v>7185</v>
      </c>
      <c r="C77" s="618"/>
      <c r="D77" s="497"/>
      <c r="E77" s="503" t="str">
        <f>IF(M$52=0,"",IF(D77="",reo,""))</f>
        <v/>
      </c>
      <c r="F77" s="4644" t="s">
        <v>7184</v>
      </c>
      <c r="G77" s="4882"/>
      <c r="H77" s="742"/>
      <c r="I77" s="1836" t="str">
        <f>IF(AND(D77&gt;0, LEN(H77)&lt;4),re,"")</f>
        <v/>
      </c>
      <c r="J77" s="71">
        <f>IF(E77="",0,1)</f>
      </c>
    </row>
    <row r="78" spans="1:16" ht="4.5" customHeight="1" x14ac:dyDescent="0.2">
      <c r="A78" s="34"/>
      <c r="B78" s="618"/>
      <c r="C78" s="618"/>
      <c r="D78" s="503"/>
      <c r="E78" s="358"/>
      <c r="F78" s="358"/>
      <c r="G78" s="358"/>
      <c r="H78" s="358"/>
      <c r="I78" s="3"/>
    </row>
    <row r="79" spans="1:16" x14ac:dyDescent="0.2">
      <c r="A79" s="34"/>
      <c r="B79" s="618" t="s">
        <v>321</v>
      </c>
      <c r="C79" s="618"/>
      <c r="D79" s="689">
        <f>IF(ya&lt;=2009,D73,D73+D75+D77)</f>
      </c>
      <c r="E79" s="358"/>
      <c r="F79" s="358"/>
      <c r="G79" s="358"/>
      <c r="H79" s="358"/>
      <c r="I79" s="3"/>
      <c r="J79" s="71">
        <f>IF(I77="",0,1)</f>
      </c>
    </row>
    <row r="80" spans="1:16" ht="4.5" customHeight="1" x14ac:dyDescent="0.2">
      <c r="A80" s="34"/>
      <c r="B80" s="618"/>
      <c r="C80" s="618"/>
      <c r="D80" s="503"/>
      <c r="E80" s="358"/>
      <c r="F80" s="358"/>
      <c r="G80" s="358"/>
      <c r="H80" s="358"/>
      <c r="I80" s="3"/>
    </row>
    <row r="81" spans="1:29" x14ac:dyDescent="0.2">
      <c r="A81" s="34"/>
      <c r="B81" s="618" t="s">
        <v>322</v>
      </c>
      <c r="C81" s="1919"/>
      <c r="D81" s="497"/>
      <c r="E81" s="503" t="str">
        <f>IF(AND($P$1="n",COUNTA(D81)&gt;0),"Check pg2 q30!",IF(M$52=0,"",IF(D81="",reo,IF(D81&gt;D79,"Excessive!",""))))</f>
        <v/>
      </c>
      <c r="F81" s="358"/>
      <c r="G81" s="358"/>
      <c r="H81" s="358"/>
      <c r="I81" s="3"/>
      <c r="J81" s="71">
        <f>IF(E81="",0,1)</f>
      </c>
    </row>
    <row r="82" spans="1:29" ht="4.5" customHeight="1" x14ac:dyDescent="0.2">
      <c r="A82" s="34"/>
      <c r="B82" s="358"/>
      <c r="C82" s="358"/>
      <c r="D82" s="358"/>
      <c r="E82" s="358"/>
      <c r="F82" s="358"/>
      <c r="G82" s="358"/>
      <c r="H82" s="358"/>
      <c r="I82" s="3"/>
      <c r="L82" s="73"/>
      <c r="M82" s="74"/>
    </row>
    <row r="83" spans="1:29" x14ac:dyDescent="0.2">
      <c r="A83" s="3"/>
      <c r="B83" s="618" t="s">
        <v>323</v>
      </c>
      <c r="C83" s="34"/>
      <c r="D83" s="689">
        <f>IF(D81&gt;D79,0,D79-D81)</f>
      </c>
      <c r="E83" s="3"/>
      <c r="F83" s="3"/>
      <c r="G83" s="3"/>
      <c r="H83" s="3"/>
      <c r="I83" s="3"/>
    </row>
    <row r="84" spans="1:29" ht="5.25" customHeight="1" x14ac:dyDescent="0.2">
      <c r="A84" s="3"/>
      <c r="B84" s="618"/>
      <c r="C84" s="34"/>
      <c r="D84" s="34"/>
      <c r="E84" s="3"/>
      <c r="F84" s="3"/>
      <c r="G84" s="3"/>
      <c r="H84" s="3"/>
      <c r="I84" s="3"/>
    </row>
    <row r="85" spans="1:29" hidden="1" x14ac:dyDescent="0.2">
      <c r="B85" s="182" t="s">
        <v>1008</v>
      </c>
      <c r="C85" s="32"/>
      <c r="D85" s="32"/>
      <c r="E85" s="32"/>
    </row>
    <row r="86" spans="1:29" ht="4.5" customHeight="1" x14ac:dyDescent="0.2">
      <c r="A86" s="3"/>
      <c r="B86" s="618"/>
      <c r="C86" s="34"/>
      <c r="D86" s="34"/>
      <c r="E86" s="3"/>
      <c r="F86" s="3"/>
      <c r="G86" s="3"/>
      <c r="H86" s="3"/>
      <c r="I86" s="3"/>
    </row>
    <row r="87" spans="1:29" x14ac:dyDescent="0.2">
      <c r="A87" s="3"/>
      <c r="B87" s="618" t="s">
        <v>7986</v>
      </c>
      <c r="C87" s="3"/>
      <c r="D87" s="497"/>
      <c r="E87" s="1130" t="str">
        <f>IF(D83=0,"",IF(ISBLANK(D87),reo,""))</f>
        <v/>
      </c>
      <c r="F87" s="3"/>
      <c r="G87" s="3"/>
      <c r="H87" s="3"/>
      <c r="I87" s="3"/>
      <c r="J87" s="71">
        <f>IF(E87="",0,1)</f>
      </c>
      <c r="L87" s="28">
        <f>IF(B60&lt;&gt;"",0,IF(C59=0,C58*H58,IF(C58=0,C59*H59,0)))</f>
      </c>
    </row>
    <row r="88" spans="1:29" ht="5.25" customHeight="1" x14ac:dyDescent="0.2">
      <c r="A88" s="3"/>
      <c r="B88" s="618"/>
      <c r="C88" s="618"/>
      <c r="D88" s="618"/>
      <c r="E88" s="50"/>
      <c r="F88" s="17"/>
      <c r="G88" s="3"/>
      <c r="H88" s="3"/>
      <c r="I88" s="3"/>
    </row>
    <row r="89" spans="1:29" ht="12.75" customHeight="1" x14ac:dyDescent="0.2">
      <c r="A89" s="3"/>
      <c r="B89" s="4883" t="str">
        <f>"Income the tax on which is deemed relieved by the tax credit [Current] Y/A "&amp;ya</f>
      </c>
      <c r="C89" s="4884"/>
      <c r="D89" s="497"/>
      <c r="E89" s="1092" t="str">
        <f>IF(AND($P$1="n",COUNTA(D89)&gt;0),"Check pg2 q30!",IF(M$52=0,"",IF(D81=0,"",IF(D89="",reo,IF(OR(D89&lt;K89,D89&gt;L89),"Check!","")))))</f>
        <v/>
      </c>
      <c r="F89" s="17"/>
      <c r="G89" s="3"/>
      <c r="H89" s="3"/>
      <c r="I89" s="3"/>
      <c r="J89" s="71">
        <f>IF(OR(E134="check pg2 q30!",E89=reo),1,0)</f>
      </c>
      <c r="K89" s="1918">
        <f>ROUND(D81/0.35,0)-1</f>
      </c>
      <c r="L89" s="28">
        <f>ROUND(D81/0.05,0)+1</f>
      </c>
      <c r="M89" s="28">
        <f>L89*0.35</f>
      </c>
      <c r="AC89" s="177">
        <f>IF(AND(J89=0,E89&lt;&gt;""),1,0)</f>
      </c>
    </row>
    <row r="90" spans="1:29" ht="12.75" customHeight="1" x14ac:dyDescent="0.2">
      <c r="A90" s="3"/>
      <c r="B90" s="618"/>
      <c r="C90" s="618"/>
      <c r="D90" s="618"/>
      <c r="E90" s="50"/>
      <c r="F90" s="17"/>
      <c r="G90" s="3"/>
      <c r="H90" s="3"/>
      <c r="I90" s="3"/>
      <c r="J90" s="28"/>
      <c r="AC90" s="177">
        <f>AC58+AC89</f>
      </c>
    </row>
    <row r="91" spans="1:29" ht="12.75" customHeight="1" x14ac:dyDescent="0.2">
      <c r="A91" s="17"/>
      <c r="B91" s="1354" t="s">
        <v>1009</v>
      </c>
      <c r="C91" s="17"/>
      <c r="D91" s="275"/>
      <c r="E91" s="222" t="str">
        <f>IF(M52=0,"",IF(D91="",re,IF(D91=Q57,nob,"")))</f>
        <v/>
      </c>
      <c r="F91" s="17"/>
      <c r="G91" s="536"/>
      <c r="H91" s="536"/>
      <c r="I91" s="3"/>
      <c r="J91" s="71">
        <f>IF(E91="",0,1)</f>
      </c>
      <c r="M91" s="413"/>
    </row>
    <row r="92" spans="1:29" ht="12.75" customHeight="1" x14ac:dyDescent="0.2">
      <c r="A92" s="17"/>
      <c r="B92" s="1354"/>
      <c r="C92" s="17"/>
      <c r="D92" s="17"/>
      <c r="E92" s="222"/>
      <c r="F92" s="17"/>
      <c r="G92" s="536"/>
      <c r="H92" s="536"/>
      <c r="I92" s="3"/>
      <c r="M92" s="413"/>
    </row>
    <row r="93" spans="1:29" ht="12.75" customHeight="1" x14ac:dyDescent="0.2">
      <c r="A93" s="818" t="str">
        <f>_xlfn.SINGLE(MTCA)</f>
      </c>
      <c r="B93" s="818"/>
      <c r="C93" s="818" t="str">
        <f>ver</f>
        <v>TA2_e-CO_2025_Ver 1.1</v>
      </c>
      <c r="D93" s="818"/>
      <c r="E93" s="1144"/>
      <c r="F93" s="818"/>
      <c r="G93" s="818"/>
      <c r="H93" s="859" t="s">
        <v>9993</v>
      </c>
      <c r="I93" s="3"/>
      <c r="J93" s="2181">
        <f>SUM(J52:J91)</f>
      </c>
      <c r="M93" s="413"/>
    </row>
    <row r="94" spans="1:29" ht="12.75" customHeight="1" x14ac:dyDescent="0.2">
      <c r="A94" s="17"/>
      <c r="B94" s="659"/>
      <c r="C94" s="17"/>
      <c r="D94" s="17"/>
      <c r="E94" s="222"/>
      <c r="F94" s="17"/>
      <c r="G94" s="536"/>
      <c r="H94" s="536"/>
      <c r="I94" s="3"/>
      <c r="J94" s="2181"/>
      <c r="M94" s="413"/>
    </row>
    <row r="95" spans="1:29" ht="15" x14ac:dyDescent="0.2">
      <c r="A95" s="3578">
        <v>3</v>
      </c>
      <c r="B95" s="4339" t="s">
        <v>9997</v>
      </c>
      <c r="C95" s="4340"/>
      <c r="D95" s="4340"/>
      <c r="E95" s="4340"/>
      <c r="F95" s="4340"/>
      <c r="G95" s="4340"/>
      <c r="H95" s="4341"/>
      <c r="I95" s="3"/>
      <c r="J95" s="28"/>
    </row>
    <row r="96" spans="1:29" x14ac:dyDescent="0.2">
      <c r="A96" s="3"/>
      <c r="B96" s="3"/>
      <c r="C96" s="3"/>
      <c r="D96" s="3"/>
      <c r="E96" s="3"/>
      <c r="F96" s="3"/>
      <c r="G96" s="3"/>
      <c r="H96" s="3"/>
      <c r="I96" s="3"/>
      <c r="J96" s="28"/>
    </row>
    <row r="97" spans="1:29" x14ac:dyDescent="0.2">
      <c r="A97" s="3"/>
      <c r="B97" s="2145" t="s">
        <v>9984</v>
      </c>
      <c r="C97" s="275"/>
      <c r="D97" s="1300" t="str">
        <f>IF(AND($P$1="y",C97="",M97&gt;0),re,IF(AND($P$1="n",C97&lt;&gt;""),"Delete!",""))</f>
        <v/>
      </c>
      <c r="E97" s="3"/>
      <c r="F97" s="3"/>
      <c r="G97" s="3"/>
      <c r="H97" s="3"/>
      <c r="I97" s="3"/>
      <c r="J97" s="71">
        <f>IF(D97="",0,1)</f>
      </c>
      <c r="L97" s="3123">
        <f>IF(AND($P$1="n",C97&lt;&gt;""),1,0)</f>
      </c>
      <c r="M97" s="1742">
        <f>COUNTA(C97,C99,C101,B103,C103,H103,D108,D112,D116,D120,D122,D126,D130,D134,D136,C340)</f>
      </c>
    </row>
    <row r="98" spans="1:29" x14ac:dyDescent="0.2">
      <c r="A98" s="3"/>
      <c r="B98" s="3"/>
      <c r="C98" s="3"/>
      <c r="D98" s="3"/>
      <c r="E98" s="3"/>
      <c r="F98" s="3"/>
      <c r="G98" s="3"/>
      <c r="H98" s="3"/>
      <c r="I98" s="3"/>
    </row>
    <row r="99" spans="1:29" x14ac:dyDescent="0.2">
      <c r="A99" s="3"/>
      <c r="B99" s="653" t="s">
        <v>7183</v>
      </c>
      <c r="C99" s="4749"/>
      <c r="D99" s="4750"/>
      <c r="E99" s="534" t="str">
        <f>IF(M97=0,"",IF(ISBLANK(C99),"Certificate number !",""))</f>
        <v/>
      </c>
      <c r="F99" s="3"/>
      <c r="G99" s="3"/>
      <c r="H99" s="3"/>
      <c r="I99" s="3"/>
      <c r="J99" s="71">
        <f>IF(E99="",0,1)</f>
      </c>
    </row>
    <row r="100" spans="1:29" x14ac:dyDescent="0.2">
      <c r="A100" s="3"/>
      <c r="B100" s="3"/>
      <c r="C100" s="3"/>
      <c r="D100" s="3"/>
      <c r="E100" s="3"/>
      <c r="F100" s="3"/>
      <c r="G100" s="3"/>
      <c r="H100" s="3"/>
      <c r="I100" s="3"/>
    </row>
    <row r="101" spans="1:29" ht="15" customHeight="1" x14ac:dyDescent="0.2">
      <c r="A101" s="3"/>
      <c r="B101" s="539" t="s">
        <v>5743</v>
      </c>
      <c r="C101" s="4885"/>
      <c r="D101" s="4886"/>
      <c r="E101" s="4887"/>
      <c r="F101" s="624" t="str">
        <f>IF(M97=0,"",IF(ISBLANK(C101),"Required!",""))</f>
        <v/>
      </c>
      <c r="G101" s="3"/>
      <c r="H101" s="3"/>
      <c r="I101" s="3"/>
      <c r="J101" s="71">
        <f>IF(F101="",0,1)</f>
      </c>
      <c r="K101" s="654"/>
      <c r="L101" s="654"/>
      <c r="Q101" s="28" t="s">
        <v>4457</v>
      </c>
      <c r="R101" s="28" t="s">
        <v>2535</v>
      </c>
      <c r="X101" s="28" t="s">
        <v>5744</v>
      </c>
      <c r="Y101" s="28">
        <v>0.5</v>
      </c>
    </row>
    <row r="102" spans="1:29" ht="12" customHeight="1" x14ac:dyDescent="0.2">
      <c r="A102" s="3"/>
      <c r="B102" s="3"/>
      <c r="C102" s="3"/>
      <c r="D102" s="3"/>
      <c r="E102" s="3"/>
      <c r="F102" s="3"/>
      <c r="G102" s="3"/>
      <c r="H102" s="3"/>
      <c r="I102" s="3"/>
      <c r="J102" s="71">
        <f>IF(I103=re,1,0)</f>
      </c>
      <c r="Q102" s="28" t="s">
        <v>1736</v>
      </c>
      <c r="X102" s="28" t="s">
        <v>5745</v>
      </c>
      <c r="Y102" s="28">
        <v>0.4</v>
      </c>
    </row>
    <row r="103" spans="1:29" ht="16.5" customHeight="1" x14ac:dyDescent="0.2">
      <c r="A103" s="3"/>
      <c r="B103" s="1038"/>
      <c r="C103" s="1348"/>
      <c r="D103" s="572" t="str">
        <f>IF($M$97=0,"",IF(ISBLANK(C103),"Amount!",""))</f>
        <v/>
      </c>
      <c r="E103" s="4888" t="s">
        <v>5747</v>
      </c>
      <c r="F103" s="4888"/>
      <c r="G103" s="4889"/>
      <c r="H103" s="1349"/>
      <c r="I103" s="1350" t="str">
        <f>IF($M$7=0,"",IF(C103=0,"",IF(ISBLANK(H103),re,IF(H103&gt;L103,"Check!",""))))</f>
        <v/>
      </c>
      <c r="J103" s="71">
        <f>IF(D103="",0,1)</f>
      </c>
      <c r="L103" s="28">
        <f>IF(C101="",0,VLOOKUP(C101,X101:Y103,2,FALSE))</f>
      </c>
      <c r="M103" s="28" t="str">
        <f>re</f>
      </c>
      <c r="X103" s="28" t="s">
        <v>5748</v>
      </c>
      <c r="Y103" s="28">
        <v>0.3</v>
      </c>
      <c r="AA103" s="66" t="s">
        <v>5746</v>
      </c>
      <c r="AC103" s="177">
        <f>IF(AND(J102=0,I103&lt;&gt;""),1,0)</f>
      </c>
    </row>
    <row r="104" spans="1:29" ht="12" customHeight="1" x14ac:dyDescent="0.2">
      <c r="A104" s="656"/>
      <c r="B104" s="624" t="str">
        <f>IF(M97=0,"",IF(B103="","Choose Description, above!",""))</f>
        <v/>
      </c>
      <c r="C104" s="65"/>
      <c r="D104" s="65"/>
      <c r="E104" s="65"/>
      <c r="F104" s="65"/>
      <c r="G104" s="3"/>
      <c r="H104" s="3"/>
      <c r="I104" s="3"/>
      <c r="J104" s="71">
        <f>IF(B104="",0,1)</f>
      </c>
      <c r="L104" s="28">
        <f>IF(C103=0,1000000,0)</f>
      </c>
      <c r="AA104" s="66" t="s">
        <v>5749</v>
      </c>
    </row>
    <row r="105" spans="1:29" ht="3.75" customHeight="1" x14ac:dyDescent="0.2">
      <c r="A105" s="3"/>
      <c r="B105" s="657"/>
      <c r="C105" s="65"/>
      <c r="D105" s="657"/>
      <c r="E105" s="358"/>
      <c r="F105" s="358"/>
      <c r="G105" s="358"/>
      <c r="H105" s="358"/>
      <c r="I105" s="3"/>
    </row>
    <row r="106" spans="1:29" x14ac:dyDescent="0.2">
      <c r="A106" s="3"/>
      <c r="B106" s="618" t="s">
        <v>5750</v>
      </c>
      <c r="C106" s="65"/>
      <c r="D106" s="689">
        <f>ROUND(C103*H103,0)</f>
      </c>
      <c r="E106" s="358"/>
      <c r="F106" s="358"/>
      <c r="G106" s="358"/>
      <c r="H106" s="358"/>
      <c r="I106" s="3"/>
    </row>
    <row r="107" spans="1:29" ht="3.75" customHeight="1" x14ac:dyDescent="0.2">
      <c r="A107" s="72"/>
      <c r="B107" s="358"/>
      <c r="C107" s="65"/>
      <c r="D107" s="653"/>
      <c r="E107" s="358"/>
      <c r="F107" s="358"/>
      <c r="G107" s="358"/>
      <c r="H107" s="358"/>
      <c r="I107" s="3"/>
    </row>
    <row r="108" spans="1:29" x14ac:dyDescent="0.2">
      <c r="A108" s="34"/>
      <c r="B108" s="618" t="s">
        <v>6572</v>
      </c>
      <c r="C108" s="65"/>
      <c r="D108" s="497"/>
      <c r="E108" s="503" t="str">
        <f>IF(M97=0,"",IF(D108="",reo,""))</f>
        <v/>
      </c>
      <c r="F108" s="358"/>
      <c r="G108" s="358"/>
      <c r="H108" s="358"/>
      <c r="I108" s="3"/>
      <c r="J108" s="71">
        <f>IF(E108="",0,1)</f>
      </c>
    </row>
    <row r="109" spans="1:29" ht="4.5" customHeight="1" x14ac:dyDescent="0.2">
      <c r="A109" s="34"/>
      <c r="B109" s="358"/>
      <c r="C109" s="65"/>
      <c r="D109" s="653"/>
      <c r="E109" s="358"/>
      <c r="F109" s="358"/>
      <c r="G109" s="358"/>
      <c r="H109" s="358"/>
      <c r="I109" s="3"/>
    </row>
    <row r="110" spans="1:29" x14ac:dyDescent="0.2">
      <c r="A110" s="34"/>
      <c r="B110" s="618" t="s">
        <v>3581</v>
      </c>
      <c r="C110" s="65"/>
      <c r="D110" s="689">
        <f>K110</f>
      </c>
      <c r="E110" s="503" t="str">
        <f>IF(M97=0,"",IF(D110="",reo,""))</f>
        <v/>
      </c>
      <c r="F110" s="358"/>
      <c r="G110" s="358"/>
      <c r="H110" s="358"/>
      <c r="I110" s="3"/>
      <c r="J110" s="71">
        <f>IF(E110="",0,1)</f>
      </c>
      <c r="K110" s="28">
        <f>IF(D108=0,D106,IF(D108&lt;D106,D108,D106))</f>
      </c>
      <c r="P110" s="28" t="s">
        <v>3582</v>
      </c>
    </row>
    <row r="111" spans="1:29" ht="3" customHeight="1" x14ac:dyDescent="0.2">
      <c r="A111" s="34"/>
      <c r="B111" s="618"/>
      <c r="C111" s="65"/>
      <c r="D111" s="120"/>
      <c r="E111" s="503"/>
      <c r="F111" s="358"/>
      <c r="G111" s="358"/>
      <c r="H111" s="358"/>
      <c r="I111" s="3"/>
    </row>
    <row r="112" spans="1:29" x14ac:dyDescent="0.2">
      <c r="A112" s="34"/>
      <c r="B112" s="4667" t="s">
        <v>5818</v>
      </c>
      <c r="C112" s="4890"/>
      <c r="D112" s="497"/>
      <c r="E112" s="503" t="str">
        <f>IF(M97=0,"",IF(D112="",reo,""))</f>
        <v/>
      </c>
      <c r="F112" s="358"/>
      <c r="G112" s="358"/>
      <c r="H112" s="358"/>
      <c r="I112" s="3"/>
      <c r="J112" s="71">
        <f>IF(E112="",0,1)</f>
      </c>
    </row>
    <row r="113" spans="1:13" ht="3.75" customHeight="1" x14ac:dyDescent="0.2">
      <c r="A113" s="34"/>
      <c r="B113" s="618"/>
      <c r="C113" s="65"/>
      <c r="D113" s="1351"/>
      <c r="E113" s="358"/>
      <c r="F113" s="358"/>
      <c r="G113" s="358"/>
      <c r="H113" s="358"/>
      <c r="I113" s="3"/>
    </row>
    <row r="114" spans="1:13" x14ac:dyDescent="0.2">
      <c r="A114" s="34"/>
      <c r="B114" s="618" t="s">
        <v>5819</v>
      </c>
      <c r="C114" s="618"/>
      <c r="D114" s="689">
        <f>D110-D112</f>
      </c>
      <c r="E114" s="358"/>
      <c r="F114" s="358"/>
      <c r="G114" s="358"/>
      <c r="H114" s="358"/>
      <c r="I114" s="3"/>
    </row>
    <row r="115" spans="1:13" ht="3" customHeight="1" x14ac:dyDescent="0.2">
      <c r="A115" s="34"/>
      <c r="B115" s="618"/>
      <c r="C115" s="618"/>
      <c r="D115" s="503"/>
      <c r="E115" s="358"/>
      <c r="F115" s="358"/>
      <c r="G115" s="358"/>
      <c r="H115" s="358"/>
      <c r="I115" s="3"/>
    </row>
    <row r="116" spans="1:13" x14ac:dyDescent="0.2">
      <c r="A116" s="1352" t="s">
        <v>5445</v>
      </c>
      <c r="B116" s="618" t="s">
        <v>5820</v>
      </c>
      <c r="C116" s="618"/>
      <c r="D116" s="497"/>
      <c r="E116" s="503" t="str">
        <f>IF(M$97=0,"",IF(D116="",reo,IF(D116&gt;D114," Excessive!","")))</f>
        <v/>
      </c>
      <c r="F116" s="358"/>
      <c r="G116" s="358"/>
      <c r="H116" s="358"/>
      <c r="I116" s="3"/>
      <c r="J116" s="71">
        <f>IF(E116="",0,1)</f>
      </c>
    </row>
    <row r="117" spans="1:13" ht="4.5" customHeight="1" x14ac:dyDescent="0.2">
      <c r="A117" s="34"/>
      <c r="B117" s="618"/>
      <c r="C117" s="618"/>
      <c r="D117" s="503"/>
      <c r="E117" s="358"/>
      <c r="F117" s="358"/>
      <c r="G117" s="358"/>
      <c r="H117" s="358"/>
      <c r="I117" s="3"/>
    </row>
    <row r="118" spans="1:13" x14ac:dyDescent="0.2">
      <c r="A118" s="34"/>
      <c r="B118" s="618" t="s">
        <v>5821</v>
      </c>
      <c r="C118" s="618"/>
      <c r="D118" s="689">
        <f>IF(D116&gt;D114,0,D114-D116)</f>
      </c>
      <c r="E118" s="358"/>
      <c r="F118" s="358"/>
      <c r="G118" s="358"/>
      <c r="H118" s="358"/>
      <c r="I118" s="3"/>
    </row>
    <row r="119" spans="1:13" ht="5.25" customHeight="1" x14ac:dyDescent="0.2">
      <c r="A119" s="34"/>
      <c r="B119" s="618"/>
      <c r="C119" s="618"/>
      <c r="D119" s="503"/>
      <c r="E119" s="358"/>
      <c r="F119" s="358"/>
      <c r="G119" s="358"/>
      <c r="H119" s="358"/>
      <c r="I119" s="3"/>
    </row>
    <row r="120" spans="1:13" x14ac:dyDescent="0.2">
      <c r="A120" s="1352" t="s">
        <v>5822</v>
      </c>
      <c r="B120" s="618" t="s">
        <v>5823</v>
      </c>
      <c r="C120" s="618"/>
      <c r="D120" s="497"/>
      <c r="E120" s="503" t="str">
        <f>IF(M97=0,"",IF(ya&lt;=2009,"",IF(D120="",reo,"")))</f>
        <v/>
      </c>
      <c r="F120" s="358"/>
      <c r="G120" s="358"/>
      <c r="H120" s="358"/>
      <c r="I120" s="3"/>
      <c r="J120" s="71">
        <f>IF(E120="",0,1)</f>
      </c>
      <c r="K120" s="28">
        <f>IF(ya=2009,0,1E+23)</f>
      </c>
      <c r="L120" s="28">
        <f>ya</f>
      </c>
    </row>
    <row r="121" spans="1:13" ht="4.5" customHeight="1" x14ac:dyDescent="0.2">
      <c r="A121" s="34"/>
      <c r="B121" s="618"/>
      <c r="C121" s="618"/>
      <c r="D121" s="503"/>
      <c r="E121" s="358"/>
      <c r="F121" s="358"/>
      <c r="G121" s="358"/>
      <c r="H121" s="358"/>
      <c r="I121" s="3"/>
    </row>
    <row r="122" spans="1:13" x14ac:dyDescent="0.2">
      <c r="A122" s="1352" t="s">
        <v>5822</v>
      </c>
      <c r="B122" s="618" t="s">
        <v>7185</v>
      </c>
      <c r="C122" s="618"/>
      <c r="D122" s="497"/>
      <c r="E122" s="503" t="str">
        <f>IF(M$97=0,"",IF(D122="",reo,""))</f>
        <v/>
      </c>
      <c r="F122" s="4644" t="s">
        <v>7184</v>
      </c>
      <c r="G122" s="4882"/>
      <c r="H122" s="742"/>
      <c r="I122" s="1836" t="str">
        <f>IF(AND(D122&gt;0, LEN(H122)&lt;4),re,"")</f>
        <v/>
      </c>
      <c r="J122" s="71">
        <f>IF(E122="",0,1)</f>
      </c>
    </row>
    <row r="123" spans="1:13" ht="4.5" customHeight="1" x14ac:dyDescent="0.2">
      <c r="A123" s="34"/>
      <c r="B123" s="618"/>
      <c r="C123" s="618"/>
      <c r="D123" s="503"/>
      <c r="E123" s="358"/>
      <c r="F123" s="358"/>
      <c r="G123" s="358"/>
      <c r="H123" s="358"/>
      <c r="I123" s="3"/>
    </row>
    <row r="124" spans="1:13" x14ac:dyDescent="0.2">
      <c r="A124" s="34"/>
      <c r="B124" s="618" t="s">
        <v>321</v>
      </c>
      <c r="C124" s="618"/>
      <c r="D124" s="689">
        <f>IF(ya&lt;=2009,D118,D118+D120+D122)</f>
      </c>
      <c r="E124" s="358"/>
      <c r="F124" s="358"/>
      <c r="G124" s="358"/>
      <c r="H124" s="358"/>
      <c r="I124" s="3"/>
      <c r="J124" s="71">
        <f>IF(I122="",0,1)</f>
      </c>
    </row>
    <row r="125" spans="1:13" ht="4.5" customHeight="1" x14ac:dyDescent="0.2">
      <c r="A125" s="34"/>
      <c r="B125" s="618"/>
      <c r="C125" s="618"/>
      <c r="D125" s="503"/>
      <c r="E125" s="358"/>
      <c r="F125" s="358"/>
      <c r="G125" s="358"/>
      <c r="H125" s="358"/>
      <c r="I125" s="3"/>
    </row>
    <row r="126" spans="1:13" x14ac:dyDescent="0.2">
      <c r="A126" s="34"/>
      <c r="B126" s="618" t="s">
        <v>322</v>
      </c>
      <c r="C126" s="1919"/>
      <c r="D126" s="497"/>
      <c r="E126" s="503" t="str">
        <f>IF(AND($P$1="n",COUNTA(D126)&gt;0),"Check pg2 q30!",IF(M$97=0,"",IF(D126="",reo,IF(D126&gt;D124,"Excessive!",""))))</f>
        <v/>
      </c>
      <c r="F126" s="358"/>
      <c r="G126" s="358"/>
      <c r="H126" s="358"/>
      <c r="I126" s="3"/>
      <c r="J126" s="71">
        <f>IF(E126="",0,1)</f>
      </c>
    </row>
    <row r="127" spans="1:13" ht="4.5" customHeight="1" x14ac:dyDescent="0.2">
      <c r="A127" s="34"/>
      <c r="B127" s="358"/>
      <c r="C127" s="358"/>
      <c r="D127" s="358"/>
      <c r="E127" s="358"/>
      <c r="F127" s="358"/>
      <c r="G127" s="358"/>
      <c r="H127" s="358"/>
      <c r="I127" s="3"/>
      <c r="L127" s="73"/>
      <c r="M127" s="74"/>
    </row>
    <row r="128" spans="1:13" x14ac:dyDescent="0.2">
      <c r="A128" s="3"/>
      <c r="B128" s="618" t="s">
        <v>323</v>
      </c>
      <c r="C128" s="34"/>
      <c r="D128" s="689">
        <f>IF(D126&gt;D124,0,D124-D126)</f>
      </c>
      <c r="E128" s="3"/>
      <c r="F128" s="3"/>
      <c r="G128" s="3"/>
      <c r="H128" s="3"/>
      <c r="I128" s="3"/>
    </row>
    <row r="129" spans="1:29" ht="5.25" customHeight="1" x14ac:dyDescent="0.2">
      <c r="A129" s="3"/>
      <c r="B129" s="618"/>
      <c r="C129" s="34"/>
      <c r="D129" s="34"/>
      <c r="E129" s="3"/>
      <c r="F129" s="3"/>
      <c r="G129" s="3"/>
      <c r="H129" s="3"/>
      <c r="I129" s="3"/>
    </row>
    <row r="130" spans="1:29" hidden="1" x14ac:dyDescent="0.2">
      <c r="B130" s="182" t="s">
        <v>1008</v>
      </c>
      <c r="C130" s="32"/>
      <c r="D130" s="32"/>
      <c r="E130" s="32"/>
    </row>
    <row r="131" spans="1:29" ht="4.5" customHeight="1" x14ac:dyDescent="0.2">
      <c r="A131" s="3"/>
      <c r="B131" s="618"/>
      <c r="C131" s="34"/>
      <c r="D131" s="34"/>
      <c r="E131" s="3"/>
      <c r="F131" s="3"/>
      <c r="G131" s="3"/>
      <c r="H131" s="3"/>
      <c r="I131" s="3"/>
    </row>
    <row r="132" spans="1:29" x14ac:dyDescent="0.2">
      <c r="A132" s="3"/>
      <c r="B132" s="618" t="s">
        <v>7986</v>
      </c>
      <c r="C132" s="3"/>
      <c r="D132" s="497"/>
      <c r="E132" s="1130" t="str">
        <f>IF(D128=0,"",IF(ISBLANK(D132),reo,""))</f>
        <v/>
      </c>
      <c r="F132" s="3"/>
      <c r="G132" s="3"/>
      <c r="H132" s="3"/>
      <c r="I132" s="3"/>
      <c r="J132" s="71">
        <f>IF(E132="",0,1)</f>
      </c>
      <c r="L132" s="28">
        <f>IF(B105&lt;&gt;"",0,IF(C104=0,C103*H103,IF(C103=0,C104*H104,0)))</f>
      </c>
    </row>
    <row r="133" spans="1:29" ht="5.25" customHeight="1" x14ac:dyDescent="0.2">
      <c r="A133" s="3"/>
      <c r="B133" s="618"/>
      <c r="C133" s="618"/>
      <c r="D133" s="618"/>
      <c r="E133" s="50"/>
      <c r="F133" s="17"/>
      <c r="G133" s="3"/>
      <c r="H133" s="3"/>
      <c r="I133" s="3"/>
    </row>
    <row r="134" spans="1:29" ht="12.75" customHeight="1" x14ac:dyDescent="0.2">
      <c r="A134" s="3"/>
      <c r="B134" s="4883" t="str">
        <f>"Income the tax on which is deemed relieved by the tax credit [Current] Y/A "&amp;ya</f>
      </c>
      <c r="C134" s="4884"/>
      <c r="D134" s="497"/>
      <c r="E134" s="1092" t="str">
        <f>IF(AND($P$1="n",COUNTA(D134)&gt;0),"Check pg2 q30!",IF(M$97=0,"",IF(D126=0,"",IF(D134="",reo,IF(OR(D134&lt;K134,D134&gt;L134),"Check!","")))))</f>
        <v/>
      </c>
      <c r="F134" s="17"/>
      <c r="G134" s="3"/>
      <c r="H134" s="3"/>
      <c r="I134" s="3"/>
      <c r="J134" s="71">
        <f>IF(OR(E134="check pg2 q30!",E134=reo),1,0)</f>
      </c>
      <c r="K134" s="1918">
        <f>ROUND(D126/0.35,0)-1</f>
      </c>
      <c r="L134" s="28">
        <f>ROUND(D126/0.05,0)+1</f>
      </c>
      <c r="M134" s="28">
        <f>L134*0.35</f>
      </c>
      <c r="AC134" s="177">
        <f>IF(AND(J134=0,E134&lt;&gt;""),1,0)</f>
      </c>
    </row>
    <row r="135" spans="1:29" ht="12.75" customHeight="1" x14ac:dyDescent="0.2">
      <c r="A135" s="3"/>
      <c r="B135" s="618"/>
      <c r="C135" s="618"/>
      <c r="D135" s="618"/>
      <c r="E135" s="50"/>
      <c r="F135" s="17"/>
      <c r="G135" s="3"/>
      <c r="H135" s="3"/>
      <c r="I135" s="3"/>
      <c r="J135" s="28"/>
      <c r="AC135" s="177">
        <f>AC103+AC134</f>
      </c>
    </row>
    <row r="136" spans="1:29" ht="12.75" customHeight="1" x14ac:dyDescent="0.2">
      <c r="A136" s="17"/>
      <c r="B136" s="1354" t="s">
        <v>1009</v>
      </c>
      <c r="C136" s="17"/>
      <c r="D136" s="275"/>
      <c r="E136" s="222" t="str">
        <f>IF(M97=0,"",IF(D136="",re,IF(D136=Q102,nob,"")))</f>
        <v/>
      </c>
      <c r="F136" s="17"/>
      <c r="G136" s="536"/>
      <c r="H136" s="536"/>
      <c r="I136" s="3"/>
      <c r="J136" s="71">
        <f>IF(E136="",0,1)</f>
      </c>
      <c r="M136" s="413"/>
    </row>
    <row r="137" spans="1:29" ht="12.75" customHeight="1" x14ac:dyDescent="0.2">
      <c r="A137" s="17"/>
      <c r="B137" s="1354"/>
      <c r="C137" s="17"/>
      <c r="D137" s="17"/>
      <c r="E137" s="222"/>
      <c r="F137" s="17"/>
      <c r="G137" s="536"/>
      <c r="H137" s="536"/>
      <c r="I137" s="3"/>
      <c r="M137" s="413"/>
    </row>
    <row r="138" spans="1:29" ht="12.75" customHeight="1" x14ac:dyDescent="0.2">
      <c r="A138" s="818" t="str">
        <f>_xlfn.SINGLE(MTCA)</f>
      </c>
      <c r="B138" s="818"/>
      <c r="C138" s="818" t="str">
        <f>ver</f>
        <v>TA2_e-CO_2025_Ver 1.1</v>
      </c>
      <c r="D138" s="818"/>
      <c r="E138" s="1144"/>
      <c r="F138" s="818"/>
      <c r="G138" s="818"/>
      <c r="H138" s="859" t="s">
        <v>9994</v>
      </c>
      <c r="I138" s="3"/>
      <c r="J138" s="2181">
        <f>SUM(J97:J136)</f>
      </c>
      <c r="M138" s="413"/>
    </row>
    <row r="139" spans="1:29" ht="12.75" customHeight="1" x14ac:dyDescent="0.2">
      <c r="A139" s="17"/>
      <c r="B139" s="659"/>
      <c r="C139" s="17"/>
      <c r="D139" s="17"/>
      <c r="E139" s="222"/>
      <c r="F139" s="17"/>
      <c r="G139" s="536"/>
      <c r="H139" s="536"/>
      <c r="I139" s="3"/>
      <c r="J139" s="2181"/>
      <c r="M139" s="413"/>
    </row>
    <row r="140" spans="1:29" ht="18" x14ac:dyDescent="0.25">
      <c r="A140" s="4517" t="s">
        <v>9991</v>
      </c>
      <c r="B140" s="4518"/>
      <c r="C140" s="4518"/>
      <c r="D140" s="4518"/>
      <c r="E140" s="4518"/>
      <c r="F140" s="4518"/>
      <c r="G140" s="4518"/>
      <c r="H140" s="4519"/>
      <c r="I140" s="3"/>
      <c r="J140" s="2181"/>
      <c r="M140" s="413"/>
    </row>
    <row r="141" spans="1:29" ht="12.75" customHeight="1" x14ac:dyDescent="0.2">
      <c r="A141" s="17"/>
      <c r="B141" s="659"/>
      <c r="C141" s="17"/>
      <c r="D141" s="17"/>
      <c r="E141" s="222"/>
      <c r="F141" s="17"/>
      <c r="G141" s="536"/>
      <c r="H141" s="536"/>
      <c r="I141" s="3"/>
      <c r="J141" s="2181"/>
      <c r="M141" s="413"/>
    </row>
    <row r="142" spans="1:29" ht="12.75" customHeight="1" x14ac:dyDescent="0.2">
      <c r="A142" s="17"/>
      <c r="B142" s="618" t="s">
        <v>322</v>
      </c>
      <c r="C142" s="17"/>
      <c r="D142" s="689">
        <f>IF($P$1="n",D36,SUM(D36+D81+D126))</f>
      </c>
      <c r="E142" s="1919" t="s">
        <v>7329</v>
      </c>
      <c r="F142" s="17"/>
      <c r="G142" s="536"/>
      <c r="H142" s="536"/>
      <c r="I142" s="3"/>
      <c r="J142" s="2181"/>
      <c r="M142" s="413"/>
    </row>
    <row r="143" spans="1:29" ht="12.75" customHeight="1" x14ac:dyDescent="0.2">
      <c r="A143" s="17"/>
      <c r="B143" s="659"/>
      <c r="C143" s="17"/>
      <c r="D143" s="222"/>
      <c r="E143" s="222"/>
      <c r="F143" s="17"/>
      <c r="G143" s="536"/>
      <c r="H143" s="536"/>
      <c r="I143" s="3"/>
      <c r="J143" s="2181"/>
      <c r="M143" s="413"/>
    </row>
    <row r="144" spans="1:29" ht="12.75" customHeight="1" x14ac:dyDescent="0.2">
      <c r="A144" s="17"/>
      <c r="B144" s="618" t="str">
        <f>"Income the tax on which is deemed relieved by the tax credit [Current] Y/A "&amp;ya</f>
      </c>
      <c r="C144" s="618"/>
      <c r="D144" s="689">
        <f>IF($P$1="n",D44,SUM(D44+D89+D134))</f>
      </c>
      <c r="E144" s="1919" t="s">
        <v>7329</v>
      </c>
      <c r="F144" s="17"/>
      <c r="G144" s="536"/>
      <c r="H144" s="536"/>
      <c r="I144" s="3"/>
      <c r="J144" s="2181"/>
      <c r="M144" s="413"/>
    </row>
    <row r="145" spans="1:13" ht="12.75" hidden="1" customHeight="1" x14ac:dyDescent="0.2">
      <c r="A145" s="17"/>
      <c r="B145" s="618"/>
      <c r="C145" s="618"/>
      <c r="D145" s="618"/>
      <c r="E145" s="222"/>
      <c r="F145" s="17"/>
      <c r="G145" s="536"/>
      <c r="H145" s="536"/>
      <c r="I145" s="3"/>
      <c r="J145" s="2181"/>
      <c r="M145" s="413"/>
    </row>
    <row r="146" spans="1:13" ht="12.75" hidden="1" customHeight="1" x14ac:dyDescent="0.2">
      <c r="A146" s="17"/>
      <c r="B146" s="618"/>
      <c r="C146" s="618"/>
      <c r="D146" s="3584"/>
      <c r="E146" s="222"/>
      <c r="F146" s="17"/>
      <c r="G146" s="536"/>
      <c r="H146" s="536"/>
      <c r="I146" s="3"/>
      <c r="J146" s="2181"/>
      <c r="M146" s="413"/>
    </row>
    <row r="147" spans="1:13" ht="12.75" hidden="1" customHeight="1" x14ac:dyDescent="0.2">
      <c r="A147" s="17"/>
      <c r="B147" s="618"/>
      <c r="C147" s="618"/>
      <c r="D147" s="3584"/>
      <c r="E147" s="222"/>
      <c r="F147" s="17"/>
      <c r="G147" s="536"/>
      <c r="H147" s="536"/>
      <c r="I147" s="3"/>
      <c r="J147" s="2181"/>
      <c r="M147" s="413"/>
    </row>
    <row r="148" spans="1:13" ht="12.75" hidden="1" customHeight="1" x14ac:dyDescent="0.2">
      <c r="A148" s="17"/>
      <c r="B148" s="618"/>
      <c r="C148" s="618"/>
      <c r="D148" s="3584"/>
      <c r="E148" s="222"/>
      <c r="F148" s="17"/>
      <c r="G148" s="536"/>
      <c r="H148" s="536"/>
      <c r="I148" s="3"/>
      <c r="J148" s="2181"/>
      <c r="M148" s="413"/>
    </row>
    <row r="149" spans="1:13" ht="12.75" hidden="1" customHeight="1" x14ac:dyDescent="0.2">
      <c r="A149" s="17"/>
      <c r="B149" s="618"/>
      <c r="C149" s="618"/>
      <c r="D149" s="3584"/>
      <c r="E149" s="222"/>
      <c r="F149" s="17"/>
      <c r="G149" s="536"/>
      <c r="H149" s="536"/>
      <c r="I149" s="3"/>
      <c r="J149" s="2181"/>
      <c r="M149" s="413"/>
    </row>
    <row r="150" spans="1:13" ht="12.75" hidden="1" customHeight="1" x14ac:dyDescent="0.2">
      <c r="A150" s="17"/>
      <c r="B150" s="618"/>
      <c r="C150" s="618"/>
      <c r="D150" s="3584"/>
      <c r="E150" s="222"/>
      <c r="F150" s="17"/>
      <c r="G150" s="536"/>
      <c r="H150" s="536"/>
      <c r="I150" s="3"/>
      <c r="J150" s="2181"/>
      <c r="M150" s="413"/>
    </row>
    <row r="151" spans="1:13" ht="12.75" hidden="1" customHeight="1" x14ac:dyDescent="0.2">
      <c r="A151" s="17"/>
      <c r="B151" s="618"/>
      <c r="C151" s="618"/>
      <c r="D151" s="3584"/>
      <c r="E151" s="222"/>
      <c r="F151" s="17"/>
      <c r="G151" s="536"/>
      <c r="H151" s="536"/>
      <c r="I151" s="3"/>
      <c r="J151" s="2181"/>
      <c r="M151" s="413"/>
    </row>
    <row r="152" spans="1:13" ht="12.75" hidden="1" customHeight="1" x14ac:dyDescent="0.2">
      <c r="A152" s="17"/>
      <c r="B152" s="618"/>
      <c r="C152" s="618"/>
      <c r="D152" s="3584"/>
      <c r="E152" s="222"/>
      <c r="F152" s="17"/>
      <c r="G152" s="536"/>
      <c r="H152" s="536"/>
      <c r="I152" s="3"/>
      <c r="J152" s="2181"/>
      <c r="M152" s="413"/>
    </row>
    <row r="153" spans="1:13" ht="12.75" hidden="1" customHeight="1" x14ac:dyDescent="0.2">
      <c r="A153" s="17"/>
      <c r="B153" s="618"/>
      <c r="C153" s="618"/>
      <c r="D153" s="3584"/>
      <c r="E153" s="222"/>
      <c r="F153" s="17"/>
      <c r="G153" s="536"/>
      <c r="H153" s="536"/>
      <c r="I153" s="3"/>
      <c r="J153" s="2181"/>
      <c r="M153" s="413"/>
    </row>
    <row r="154" spans="1:13" ht="12.75" hidden="1" customHeight="1" x14ac:dyDescent="0.2">
      <c r="A154" s="17"/>
      <c r="B154" s="618"/>
      <c r="C154" s="618"/>
      <c r="D154" s="3584"/>
      <c r="E154" s="222"/>
      <c r="F154" s="17"/>
      <c r="G154" s="536"/>
      <c r="H154" s="536"/>
      <c r="I154" s="3"/>
      <c r="J154" s="2181"/>
      <c r="M154" s="413"/>
    </row>
    <row r="155" spans="1:13" ht="12.75" hidden="1" customHeight="1" x14ac:dyDescent="0.2">
      <c r="A155" s="17"/>
      <c r="B155" s="618"/>
      <c r="C155" s="618"/>
      <c r="D155" s="3584"/>
      <c r="E155" s="222"/>
      <c r="F155" s="17"/>
      <c r="G155" s="536"/>
      <c r="H155" s="536"/>
      <c r="I155" s="3"/>
      <c r="J155" s="2181"/>
      <c r="M155" s="413"/>
    </row>
    <row r="156" spans="1:13" ht="12.75" hidden="1" customHeight="1" x14ac:dyDescent="0.2">
      <c r="A156" s="17"/>
      <c r="B156" s="618"/>
      <c r="C156" s="618"/>
      <c r="D156" s="3584"/>
      <c r="E156" s="222"/>
      <c r="F156" s="17"/>
      <c r="G156" s="536"/>
      <c r="H156" s="536"/>
      <c r="I156" s="3"/>
      <c r="J156" s="2181"/>
      <c r="M156" s="413"/>
    </row>
    <row r="157" spans="1:13" ht="12.75" hidden="1" customHeight="1" x14ac:dyDescent="0.2">
      <c r="A157" s="17"/>
      <c r="B157" s="618"/>
      <c r="C157" s="618"/>
      <c r="D157" s="3584"/>
      <c r="E157" s="222"/>
      <c r="F157" s="17"/>
      <c r="G157" s="536"/>
      <c r="H157" s="536"/>
      <c r="I157" s="3"/>
      <c r="J157" s="2181"/>
      <c r="M157" s="413"/>
    </row>
    <row r="158" spans="1:13" ht="12.75" hidden="1" customHeight="1" x14ac:dyDescent="0.2">
      <c r="A158" s="17"/>
      <c r="B158" s="618"/>
      <c r="C158" s="618"/>
      <c r="D158" s="3584"/>
      <c r="E158" s="222"/>
      <c r="F158" s="17"/>
      <c r="G158" s="536"/>
      <c r="H158" s="536"/>
      <c r="I158" s="3"/>
      <c r="J158" s="2181"/>
      <c r="M158" s="413"/>
    </row>
    <row r="159" spans="1:13" ht="12.75" hidden="1" customHeight="1" x14ac:dyDescent="0.2">
      <c r="A159" s="17"/>
      <c r="B159" s="618"/>
      <c r="C159" s="618"/>
      <c r="D159" s="3584"/>
      <c r="E159" s="222"/>
      <c r="F159" s="17"/>
      <c r="G159" s="536"/>
      <c r="H159" s="536"/>
      <c r="I159" s="3"/>
      <c r="J159" s="2181"/>
      <c r="M159" s="413"/>
    </row>
    <row r="160" spans="1:13" ht="12.75" hidden="1" customHeight="1" x14ac:dyDescent="0.2">
      <c r="A160" s="17"/>
      <c r="B160" s="618"/>
      <c r="C160" s="618"/>
      <c r="D160" s="3584"/>
      <c r="E160" s="222"/>
      <c r="F160" s="17"/>
      <c r="G160" s="536"/>
      <c r="H160" s="536"/>
      <c r="I160" s="3"/>
      <c r="J160" s="2181"/>
      <c r="M160" s="413"/>
    </row>
    <row r="161" spans="1:13" ht="12.75" hidden="1" customHeight="1" x14ac:dyDescent="0.2">
      <c r="A161" s="17"/>
      <c r="B161" s="618"/>
      <c r="C161" s="618"/>
      <c r="D161" s="3584"/>
      <c r="E161" s="222"/>
      <c r="F161" s="17"/>
      <c r="G161" s="536"/>
      <c r="H161" s="536"/>
      <c r="I161" s="3"/>
      <c r="J161" s="2181"/>
      <c r="M161" s="413"/>
    </row>
    <row r="162" spans="1:13" ht="12.75" hidden="1" customHeight="1" x14ac:dyDescent="0.2">
      <c r="A162" s="17"/>
      <c r="B162" s="618"/>
      <c r="C162" s="618"/>
      <c r="D162" s="3584"/>
      <c r="E162" s="222"/>
      <c r="F162" s="17"/>
      <c r="G162" s="536"/>
      <c r="H162" s="536"/>
      <c r="I162" s="3"/>
      <c r="J162" s="2181"/>
      <c r="M162" s="413"/>
    </row>
    <row r="163" spans="1:13" ht="12.75" hidden="1" customHeight="1" x14ac:dyDescent="0.2">
      <c r="A163" s="17"/>
      <c r="B163" s="618"/>
      <c r="C163" s="618"/>
      <c r="D163" s="3584"/>
      <c r="E163" s="222"/>
      <c r="F163" s="17"/>
      <c r="G163" s="536"/>
      <c r="H163" s="536"/>
      <c r="I163" s="3"/>
      <c r="J163" s="2181"/>
      <c r="M163" s="413"/>
    </row>
    <row r="164" spans="1:13" ht="12.75" hidden="1" customHeight="1" x14ac:dyDescent="0.2">
      <c r="A164" s="17"/>
      <c r="B164" s="618"/>
      <c r="C164" s="618"/>
      <c r="D164" s="3584"/>
      <c r="E164" s="222"/>
      <c r="F164" s="17"/>
      <c r="G164" s="536"/>
      <c r="H164" s="536"/>
      <c r="I164" s="3"/>
      <c r="J164" s="2181"/>
      <c r="M164" s="413"/>
    </row>
    <row r="165" spans="1:13" ht="12.75" hidden="1" customHeight="1" x14ac:dyDescent="0.2">
      <c r="A165" s="17"/>
      <c r="B165" s="618"/>
      <c r="C165" s="618"/>
      <c r="D165" s="3584"/>
      <c r="E165" s="222"/>
      <c r="F165" s="17"/>
      <c r="G165" s="536"/>
      <c r="H165" s="536"/>
      <c r="I165" s="3"/>
      <c r="J165" s="2181"/>
      <c r="M165" s="413"/>
    </row>
    <row r="166" spans="1:13" ht="12.75" hidden="1" customHeight="1" x14ac:dyDescent="0.2">
      <c r="A166" s="17"/>
      <c r="B166" s="618"/>
      <c r="C166" s="618"/>
      <c r="D166" s="3584"/>
      <c r="E166" s="222"/>
      <c r="F166" s="17"/>
      <c r="G166" s="536"/>
      <c r="H166" s="536"/>
      <c r="I166" s="3"/>
      <c r="J166" s="2181"/>
      <c r="M166" s="413"/>
    </row>
    <row r="167" spans="1:13" ht="12.75" hidden="1" customHeight="1" x14ac:dyDescent="0.2">
      <c r="A167" s="17"/>
      <c r="B167" s="618"/>
      <c r="C167" s="618"/>
      <c r="D167" s="3584"/>
      <c r="E167" s="222"/>
      <c r="F167" s="17"/>
      <c r="G167" s="536"/>
      <c r="H167" s="536"/>
      <c r="I167" s="3"/>
      <c r="J167" s="2181"/>
      <c r="M167" s="413"/>
    </row>
    <row r="168" spans="1:13" ht="12.75" hidden="1" customHeight="1" x14ac:dyDescent="0.2">
      <c r="A168" s="17"/>
      <c r="B168" s="618"/>
      <c r="C168" s="618"/>
      <c r="D168" s="3584"/>
      <c r="E168" s="222"/>
      <c r="F168" s="17"/>
      <c r="G168" s="536"/>
      <c r="H168" s="536"/>
      <c r="I168" s="3"/>
      <c r="J168" s="2181"/>
      <c r="M168" s="413"/>
    </row>
    <row r="169" spans="1:13" ht="12.75" hidden="1" customHeight="1" x14ac:dyDescent="0.2">
      <c r="A169" s="17"/>
      <c r="B169" s="618"/>
      <c r="C169" s="618"/>
      <c r="D169" s="3584"/>
      <c r="E169" s="222"/>
      <c r="F169" s="17"/>
      <c r="G169" s="536"/>
      <c r="H169" s="536"/>
      <c r="I169" s="3"/>
      <c r="J169" s="2181"/>
      <c r="M169" s="413"/>
    </row>
    <row r="170" spans="1:13" ht="12.75" hidden="1" customHeight="1" x14ac:dyDescent="0.2">
      <c r="A170" s="17"/>
      <c r="B170" s="618"/>
      <c r="C170" s="618"/>
      <c r="D170" s="3584"/>
      <c r="E170" s="222"/>
      <c r="F170" s="17"/>
      <c r="G170" s="536"/>
      <c r="H170" s="536"/>
      <c r="I170" s="3"/>
      <c r="J170" s="2181"/>
      <c r="M170" s="413"/>
    </row>
    <row r="171" spans="1:13" ht="12.75" hidden="1" customHeight="1" x14ac:dyDescent="0.2">
      <c r="A171" s="17"/>
      <c r="B171" s="618"/>
      <c r="C171" s="618"/>
      <c r="D171" s="3584"/>
      <c r="E171" s="222"/>
      <c r="F171" s="17"/>
      <c r="G171" s="536"/>
      <c r="H171" s="536"/>
      <c r="I171" s="3"/>
      <c r="J171" s="2181"/>
      <c r="M171" s="413"/>
    </row>
    <row r="172" spans="1:13" ht="12.75" hidden="1" customHeight="1" x14ac:dyDescent="0.2">
      <c r="A172" s="17"/>
      <c r="B172" s="618"/>
      <c r="C172" s="618"/>
      <c r="D172" s="3584"/>
      <c r="E172" s="222"/>
      <c r="F172" s="17"/>
      <c r="G172" s="536"/>
      <c r="H172" s="536"/>
      <c r="I172" s="3"/>
      <c r="J172" s="2181"/>
      <c r="M172" s="413"/>
    </row>
    <row r="173" spans="1:13" ht="12.75" hidden="1" customHeight="1" x14ac:dyDescent="0.2">
      <c r="A173" s="17"/>
      <c r="B173" s="618"/>
      <c r="C173" s="618"/>
      <c r="D173" s="3584"/>
      <c r="E173" s="222"/>
      <c r="F173" s="17"/>
      <c r="G173" s="536"/>
      <c r="H173" s="536"/>
      <c r="I173" s="3"/>
      <c r="J173" s="2181"/>
      <c r="M173" s="413"/>
    </row>
    <row r="174" spans="1:13" ht="12.75" hidden="1" customHeight="1" x14ac:dyDescent="0.2">
      <c r="A174" s="17"/>
      <c r="B174" s="618"/>
      <c r="C174" s="618"/>
      <c r="D174" s="3584"/>
      <c r="E174" s="222"/>
      <c r="F174" s="17"/>
      <c r="G174" s="536"/>
      <c r="H174" s="536"/>
      <c r="I174" s="3"/>
      <c r="J174" s="2181"/>
      <c r="M174" s="413"/>
    </row>
    <row r="175" spans="1:13" ht="12.75" hidden="1" customHeight="1" x14ac:dyDescent="0.2">
      <c r="A175" s="17"/>
      <c r="B175" s="618"/>
      <c r="C175" s="618"/>
      <c r="D175" s="3584"/>
      <c r="E175" s="222"/>
      <c r="F175" s="17"/>
      <c r="G175" s="536"/>
      <c r="H175" s="536"/>
      <c r="I175" s="3"/>
      <c r="J175" s="2181"/>
      <c r="M175" s="413"/>
    </row>
    <row r="176" spans="1:13" ht="12.75" hidden="1" customHeight="1" x14ac:dyDescent="0.2">
      <c r="A176" s="17"/>
      <c r="B176" s="618"/>
      <c r="C176" s="618"/>
      <c r="D176" s="3584"/>
      <c r="E176" s="222"/>
      <c r="F176" s="17"/>
      <c r="G176" s="536"/>
      <c r="H176" s="536"/>
      <c r="I176" s="3"/>
      <c r="J176" s="2181"/>
      <c r="M176" s="413"/>
    </row>
    <row r="177" spans="1:13" ht="12.75" hidden="1" customHeight="1" x14ac:dyDescent="0.2">
      <c r="A177" s="17"/>
      <c r="B177" s="618"/>
      <c r="C177" s="618"/>
      <c r="D177" s="3584"/>
      <c r="E177" s="222"/>
      <c r="F177" s="17"/>
      <c r="G177" s="536"/>
      <c r="H177" s="536"/>
      <c r="I177" s="3"/>
      <c r="J177" s="2181"/>
      <c r="M177" s="413"/>
    </row>
    <row r="178" spans="1:13" ht="12.75" hidden="1" customHeight="1" x14ac:dyDescent="0.2">
      <c r="A178" s="17"/>
      <c r="B178" s="618"/>
      <c r="C178" s="618"/>
      <c r="D178" s="3584"/>
      <c r="E178" s="222"/>
      <c r="F178" s="17"/>
      <c r="G178" s="536"/>
      <c r="H178" s="536"/>
      <c r="I178" s="3"/>
      <c r="J178" s="2181"/>
      <c r="M178" s="413"/>
    </row>
    <row r="179" spans="1:13" ht="12.75" hidden="1" customHeight="1" x14ac:dyDescent="0.2">
      <c r="A179" s="17"/>
      <c r="B179" s="618"/>
      <c r="C179" s="618"/>
      <c r="D179" s="3584"/>
      <c r="E179" s="222"/>
      <c r="F179" s="17"/>
      <c r="G179" s="536"/>
      <c r="H179" s="536"/>
      <c r="I179" s="3"/>
      <c r="J179" s="2181"/>
      <c r="M179" s="413"/>
    </row>
    <row r="180" spans="1:13" ht="12.75" hidden="1" customHeight="1" x14ac:dyDescent="0.2">
      <c r="A180" s="17"/>
      <c r="B180" s="618"/>
      <c r="C180" s="618"/>
      <c r="D180" s="3584"/>
      <c r="E180" s="222"/>
      <c r="F180" s="17"/>
      <c r="G180" s="536"/>
      <c r="H180" s="536"/>
      <c r="I180" s="3"/>
      <c r="J180" s="2181"/>
      <c r="M180" s="413"/>
    </row>
    <row r="181" spans="1:13" ht="12.75" hidden="1" customHeight="1" x14ac:dyDescent="0.2">
      <c r="A181" s="17"/>
      <c r="B181" s="618"/>
      <c r="C181" s="618"/>
      <c r="D181" s="3584"/>
      <c r="E181" s="222"/>
      <c r="F181" s="17"/>
      <c r="G181" s="536"/>
      <c r="H181" s="536"/>
      <c r="I181" s="3"/>
      <c r="J181" s="2181"/>
      <c r="M181" s="413"/>
    </row>
    <row r="182" spans="1:13" ht="12.75" hidden="1" customHeight="1" x14ac:dyDescent="0.2">
      <c r="A182" s="17"/>
      <c r="B182" s="618"/>
      <c r="C182" s="618"/>
      <c r="D182" s="3584"/>
      <c r="E182" s="222"/>
      <c r="F182" s="17"/>
      <c r="G182" s="536"/>
      <c r="H182" s="536"/>
      <c r="I182" s="3"/>
      <c r="J182" s="2181"/>
      <c r="M182" s="413"/>
    </row>
    <row r="183" spans="1:13" ht="12.75" hidden="1" customHeight="1" x14ac:dyDescent="0.2">
      <c r="A183" s="17"/>
      <c r="B183" s="618"/>
      <c r="C183" s="618"/>
      <c r="D183" s="3584"/>
      <c r="E183" s="222"/>
      <c r="F183" s="17"/>
      <c r="G183" s="536"/>
      <c r="H183" s="536"/>
      <c r="I183" s="3"/>
      <c r="J183" s="2181"/>
      <c r="M183" s="413"/>
    </row>
    <row r="184" spans="1:13" ht="12.75" hidden="1" customHeight="1" x14ac:dyDescent="0.2">
      <c r="A184" s="17"/>
      <c r="B184" s="618"/>
      <c r="C184" s="618"/>
      <c r="D184" s="3584"/>
      <c r="E184" s="222"/>
      <c r="F184" s="17"/>
      <c r="G184" s="536"/>
      <c r="H184" s="536"/>
      <c r="I184" s="3"/>
      <c r="J184" s="2181"/>
      <c r="M184" s="413"/>
    </row>
    <row r="185" spans="1:13" ht="12.75" hidden="1" customHeight="1" x14ac:dyDescent="0.2">
      <c r="A185" s="17"/>
      <c r="B185" s="618"/>
      <c r="C185" s="618"/>
      <c r="D185" s="3584"/>
      <c r="E185" s="222"/>
      <c r="F185" s="17"/>
      <c r="G185" s="536"/>
      <c r="H185" s="536"/>
      <c r="I185" s="3"/>
      <c r="J185" s="2181"/>
      <c r="M185" s="413"/>
    </row>
    <row r="186" spans="1:13" ht="12.75" hidden="1" customHeight="1" x14ac:dyDescent="0.2">
      <c r="A186" s="17"/>
      <c r="B186" s="618"/>
      <c r="C186" s="618"/>
      <c r="D186" s="3584"/>
      <c r="E186" s="222"/>
      <c r="F186" s="17"/>
      <c r="G186" s="536"/>
      <c r="H186" s="536"/>
      <c r="I186" s="3"/>
      <c r="J186" s="2181"/>
      <c r="M186" s="413"/>
    </row>
    <row r="187" spans="1:13" ht="12.75" hidden="1" customHeight="1" x14ac:dyDescent="0.2">
      <c r="A187" s="17"/>
      <c r="B187" s="618"/>
      <c r="C187" s="618"/>
      <c r="D187" s="3584"/>
      <c r="E187" s="222"/>
      <c r="F187" s="17"/>
      <c r="G187" s="536"/>
      <c r="H187" s="536"/>
      <c r="I187" s="3"/>
      <c r="J187" s="2181"/>
      <c r="M187" s="413"/>
    </row>
    <row r="188" spans="1:13" ht="12.75" hidden="1" customHeight="1" x14ac:dyDescent="0.2">
      <c r="A188" s="17"/>
      <c r="B188" s="618"/>
      <c r="C188" s="618"/>
      <c r="D188" s="3584"/>
      <c r="E188" s="222"/>
      <c r="F188" s="17"/>
      <c r="G188" s="536"/>
      <c r="H188" s="536"/>
      <c r="I188" s="3"/>
      <c r="J188" s="2181"/>
      <c r="M188" s="413"/>
    </row>
    <row r="189" spans="1:13" ht="12.75" hidden="1" customHeight="1" x14ac:dyDescent="0.2">
      <c r="A189" s="17"/>
      <c r="B189" s="618"/>
      <c r="C189" s="618"/>
      <c r="D189" s="3584"/>
      <c r="E189" s="222"/>
      <c r="F189" s="17"/>
      <c r="G189" s="536"/>
      <c r="H189" s="536"/>
      <c r="I189" s="3"/>
      <c r="J189" s="2181"/>
      <c r="M189" s="413"/>
    </row>
    <row r="190" spans="1:13" ht="12.75" hidden="1" customHeight="1" x14ac:dyDescent="0.2">
      <c r="A190" s="17"/>
      <c r="B190" s="618"/>
      <c r="C190" s="618"/>
      <c r="D190" s="3584"/>
      <c r="E190" s="222"/>
      <c r="F190" s="17"/>
      <c r="G190" s="536"/>
      <c r="H190" s="536"/>
      <c r="I190" s="3"/>
      <c r="J190" s="2181"/>
      <c r="M190" s="413"/>
    </row>
    <row r="191" spans="1:13" ht="12.75" hidden="1" customHeight="1" x14ac:dyDescent="0.2">
      <c r="A191" s="17"/>
      <c r="B191" s="618"/>
      <c r="C191" s="618"/>
      <c r="D191" s="3584"/>
      <c r="E191" s="222"/>
      <c r="F191" s="17"/>
      <c r="G191" s="536"/>
      <c r="H191" s="536"/>
      <c r="I191" s="3"/>
      <c r="J191" s="2181"/>
      <c r="M191" s="413"/>
    </row>
    <row r="192" spans="1:13" ht="12.75" hidden="1" customHeight="1" x14ac:dyDescent="0.2">
      <c r="A192" s="17"/>
      <c r="B192" s="618"/>
      <c r="C192" s="618"/>
      <c r="D192" s="3584"/>
      <c r="E192" s="222"/>
      <c r="F192" s="17"/>
      <c r="G192" s="536"/>
      <c r="H192" s="536"/>
      <c r="I192" s="3"/>
      <c r="J192" s="2181"/>
      <c r="M192" s="413"/>
    </row>
    <row r="193" spans="1:13" ht="12.75" hidden="1" customHeight="1" x14ac:dyDescent="0.2">
      <c r="A193" s="17"/>
      <c r="B193" s="618"/>
      <c r="C193" s="618"/>
      <c r="D193" s="3584"/>
      <c r="E193" s="222"/>
      <c r="F193" s="17"/>
      <c r="G193" s="536"/>
      <c r="H193" s="536"/>
      <c r="I193" s="3"/>
      <c r="J193" s="2181"/>
      <c r="M193" s="413"/>
    </row>
    <row r="194" spans="1:13" ht="12.75" hidden="1" customHeight="1" x14ac:dyDescent="0.2">
      <c r="A194" s="17"/>
      <c r="B194" s="618"/>
      <c r="C194" s="618"/>
      <c r="D194" s="3584"/>
      <c r="E194" s="222"/>
      <c r="F194" s="17"/>
      <c r="G194" s="536"/>
      <c r="H194" s="536"/>
      <c r="I194" s="3"/>
      <c r="J194" s="2181"/>
      <c r="M194" s="413"/>
    </row>
    <row r="195" spans="1:13" ht="12.75" hidden="1" customHeight="1" x14ac:dyDescent="0.2">
      <c r="A195" s="17"/>
      <c r="B195" s="618"/>
      <c r="C195" s="618"/>
      <c r="D195" s="3584"/>
      <c r="E195" s="222"/>
      <c r="F195" s="17"/>
      <c r="G195" s="536"/>
      <c r="H195" s="536"/>
      <c r="I195" s="3"/>
      <c r="J195" s="2181"/>
      <c r="M195" s="413"/>
    </row>
    <row r="196" spans="1:13" ht="12.75" hidden="1" customHeight="1" x14ac:dyDescent="0.2">
      <c r="A196" s="17"/>
      <c r="B196" s="618"/>
      <c r="C196" s="618"/>
      <c r="D196" s="3584"/>
      <c r="E196" s="222"/>
      <c r="F196" s="17"/>
      <c r="G196" s="536"/>
      <c r="H196" s="536"/>
      <c r="I196" s="3"/>
      <c r="J196" s="2181"/>
      <c r="M196" s="413"/>
    </row>
    <row r="197" spans="1:13" ht="12.75" hidden="1" customHeight="1" x14ac:dyDescent="0.2">
      <c r="A197" s="17"/>
      <c r="B197" s="618"/>
      <c r="C197" s="618"/>
      <c r="D197" s="3584"/>
      <c r="E197" s="222"/>
      <c r="F197" s="17"/>
      <c r="G197" s="536"/>
      <c r="H197" s="536"/>
      <c r="I197" s="3"/>
      <c r="J197" s="2181"/>
      <c r="M197" s="413"/>
    </row>
    <row r="198" spans="1:13" ht="12.75" hidden="1" customHeight="1" x14ac:dyDescent="0.2">
      <c r="A198" s="17"/>
      <c r="B198" s="618"/>
      <c r="C198" s="618"/>
      <c r="D198" s="3584"/>
      <c r="E198" s="222"/>
      <c r="F198" s="17"/>
      <c r="G198" s="536"/>
      <c r="H198" s="536"/>
      <c r="I198" s="3"/>
      <c r="J198" s="2181"/>
      <c r="M198" s="413"/>
    </row>
    <row r="199" spans="1:13" ht="12.75" hidden="1" customHeight="1" x14ac:dyDescent="0.2">
      <c r="A199" s="17"/>
      <c r="B199" s="618"/>
      <c r="C199" s="618"/>
      <c r="D199" s="3584"/>
      <c r="E199" s="222"/>
      <c r="F199" s="17"/>
      <c r="G199" s="536"/>
      <c r="H199" s="536"/>
      <c r="I199" s="3"/>
      <c r="J199" s="2181"/>
      <c r="M199" s="413"/>
    </row>
    <row r="200" spans="1:13" ht="12.75" hidden="1" customHeight="1" x14ac:dyDescent="0.2">
      <c r="A200" s="17"/>
      <c r="B200" s="618"/>
      <c r="C200" s="618"/>
      <c r="D200" s="3584"/>
      <c r="E200" s="222"/>
      <c r="F200" s="17"/>
      <c r="G200" s="536"/>
      <c r="H200" s="536"/>
      <c r="I200" s="3"/>
      <c r="J200" s="2181"/>
      <c r="M200" s="413"/>
    </row>
    <row r="201" spans="1:13" ht="12.75" hidden="1" customHeight="1" x14ac:dyDescent="0.2">
      <c r="A201" s="17"/>
      <c r="B201" s="618"/>
      <c r="C201" s="618"/>
      <c r="D201" s="3584"/>
      <c r="E201" s="222"/>
      <c r="F201" s="17"/>
      <c r="G201" s="536"/>
      <c r="H201" s="536"/>
      <c r="I201" s="3"/>
      <c r="J201" s="2181"/>
      <c r="M201" s="413"/>
    </row>
    <row r="202" spans="1:13" ht="12.75" hidden="1" customHeight="1" x14ac:dyDescent="0.2">
      <c r="A202" s="17"/>
      <c r="B202" s="618"/>
      <c r="C202" s="618"/>
      <c r="D202" s="3584"/>
      <c r="E202" s="222"/>
      <c r="F202" s="17"/>
      <c r="G202" s="536"/>
      <c r="H202" s="536"/>
      <c r="I202" s="3"/>
      <c r="J202" s="2181"/>
      <c r="M202" s="413"/>
    </row>
    <row r="203" spans="1:13" ht="12.75" hidden="1" customHeight="1" x14ac:dyDescent="0.2">
      <c r="A203" s="17"/>
      <c r="B203" s="618"/>
      <c r="C203" s="618"/>
      <c r="D203" s="3584"/>
      <c r="E203" s="222"/>
      <c r="F203" s="17"/>
      <c r="G203" s="536"/>
      <c r="H203" s="536"/>
      <c r="I203" s="3"/>
      <c r="J203" s="2181"/>
      <c r="M203" s="413"/>
    </row>
    <row r="204" spans="1:13" ht="12.75" hidden="1" customHeight="1" x14ac:dyDescent="0.2">
      <c r="A204" s="17"/>
      <c r="B204" s="618"/>
      <c r="C204" s="618"/>
      <c r="D204" s="3584"/>
      <c r="E204" s="222"/>
      <c r="F204" s="17"/>
      <c r="G204" s="536"/>
      <c r="H204" s="536"/>
      <c r="I204" s="3"/>
      <c r="J204" s="2181"/>
      <c r="M204" s="413"/>
    </row>
    <row r="205" spans="1:13" ht="12.75" hidden="1" customHeight="1" x14ac:dyDescent="0.2">
      <c r="A205" s="17"/>
      <c r="B205" s="618"/>
      <c r="C205" s="618"/>
      <c r="D205" s="3584"/>
      <c r="E205" s="222"/>
      <c r="F205" s="17"/>
      <c r="G205" s="536"/>
      <c r="H205" s="536"/>
      <c r="I205" s="3"/>
      <c r="J205" s="2181"/>
      <c r="M205" s="413"/>
    </row>
    <row r="206" spans="1:13" ht="12.75" hidden="1" customHeight="1" x14ac:dyDescent="0.2">
      <c r="A206" s="17"/>
      <c r="B206" s="618"/>
      <c r="C206" s="618"/>
      <c r="D206" s="3584"/>
      <c r="E206" s="222"/>
      <c r="F206" s="17"/>
      <c r="G206" s="536"/>
      <c r="H206" s="536"/>
      <c r="I206" s="3"/>
      <c r="J206" s="2181"/>
      <c r="M206" s="413"/>
    </row>
    <row r="207" spans="1:13" ht="12.75" hidden="1" customHeight="1" x14ac:dyDescent="0.2">
      <c r="A207" s="17"/>
      <c r="B207" s="618"/>
      <c r="C207" s="618"/>
      <c r="D207" s="3584"/>
      <c r="E207" s="222"/>
      <c r="F207" s="17"/>
      <c r="G207" s="536"/>
      <c r="H207" s="536"/>
      <c r="I207" s="3"/>
      <c r="J207" s="2181"/>
      <c r="M207" s="413"/>
    </row>
    <row r="208" spans="1:13" ht="12.75" hidden="1" customHeight="1" x14ac:dyDescent="0.2">
      <c r="A208" s="17"/>
      <c r="B208" s="618"/>
      <c r="C208" s="618"/>
      <c r="D208" s="3584"/>
      <c r="E208" s="222"/>
      <c r="F208" s="17"/>
      <c r="G208" s="536"/>
      <c r="H208" s="536"/>
      <c r="I208" s="3"/>
      <c r="J208" s="2181"/>
      <c r="M208" s="413"/>
    </row>
    <row r="209" spans="1:13" ht="12.75" hidden="1" customHeight="1" x14ac:dyDescent="0.2">
      <c r="A209" s="17"/>
      <c r="B209" s="618"/>
      <c r="C209" s="618"/>
      <c r="D209" s="3584"/>
      <c r="E209" s="222"/>
      <c r="F209" s="17"/>
      <c r="G209" s="536"/>
      <c r="H209" s="536"/>
      <c r="I209" s="3"/>
      <c r="J209" s="2181"/>
      <c r="M209" s="413"/>
    </row>
    <row r="210" spans="1:13" ht="12.75" hidden="1" customHeight="1" x14ac:dyDescent="0.2">
      <c r="A210" s="17"/>
      <c r="B210" s="618"/>
      <c r="C210" s="618"/>
      <c r="D210" s="3584"/>
      <c r="E210" s="222"/>
      <c r="F210" s="17"/>
      <c r="G210" s="536"/>
      <c r="H210" s="536"/>
      <c r="I210" s="3"/>
      <c r="J210" s="2181"/>
      <c r="M210" s="413"/>
    </row>
    <row r="211" spans="1:13" ht="12.75" hidden="1" customHeight="1" x14ac:dyDescent="0.2">
      <c r="A211" s="17"/>
      <c r="B211" s="618"/>
      <c r="C211" s="618"/>
      <c r="D211" s="3584"/>
      <c r="E211" s="222"/>
      <c r="F211" s="17"/>
      <c r="G211" s="536"/>
      <c r="H211" s="536"/>
      <c r="I211" s="3"/>
      <c r="J211" s="2181"/>
      <c r="M211" s="413"/>
    </row>
    <row r="212" spans="1:13" ht="12.75" hidden="1" customHeight="1" x14ac:dyDescent="0.2">
      <c r="A212" s="17"/>
      <c r="B212" s="618"/>
      <c r="C212" s="618"/>
      <c r="D212" s="3584"/>
      <c r="E212" s="222"/>
      <c r="F212" s="17"/>
      <c r="G212" s="536"/>
      <c r="H212" s="536"/>
      <c r="I212" s="3"/>
      <c r="J212" s="2181"/>
      <c r="M212" s="413"/>
    </row>
    <row r="213" spans="1:13" ht="12.75" hidden="1" customHeight="1" x14ac:dyDescent="0.2">
      <c r="A213" s="17"/>
      <c r="B213" s="618"/>
      <c r="C213" s="618"/>
      <c r="D213" s="3584"/>
      <c r="E213" s="222"/>
      <c r="F213" s="17"/>
      <c r="G213" s="536"/>
      <c r="H213" s="536"/>
      <c r="I213" s="3"/>
      <c r="J213" s="2181"/>
      <c r="M213" s="413"/>
    </row>
    <row r="214" spans="1:13" ht="12.75" customHeight="1" x14ac:dyDescent="0.2">
      <c r="A214" s="17"/>
      <c r="B214" s="659"/>
      <c r="C214" s="17"/>
      <c r="D214" s="17"/>
      <c r="E214" s="222"/>
      <c r="F214" s="17"/>
      <c r="G214" s="536"/>
      <c r="H214" s="536"/>
      <c r="I214" s="3"/>
      <c r="J214" s="2181"/>
      <c r="M214" s="413"/>
    </row>
    <row r="215" spans="1:13" ht="12.75" hidden="1" customHeight="1" x14ac:dyDescent="0.2">
      <c r="A215" s="17"/>
      <c r="B215" s="659"/>
      <c r="C215" s="17"/>
      <c r="D215" s="17"/>
      <c r="E215" s="222"/>
      <c r="F215" s="17"/>
      <c r="G215" s="536"/>
      <c r="H215" s="536"/>
      <c r="I215" s="3"/>
      <c r="J215" s="2181"/>
      <c r="M215" s="413"/>
    </row>
    <row r="216" spans="1:13" ht="12.75" hidden="1" customHeight="1" x14ac:dyDescent="0.2">
      <c r="A216" s="17"/>
      <c r="B216" s="659"/>
      <c r="C216" s="17"/>
      <c r="D216" s="17"/>
      <c r="E216" s="222"/>
      <c r="F216" s="17"/>
      <c r="G216" s="536"/>
      <c r="H216" s="536"/>
      <c r="I216" s="3"/>
      <c r="J216" s="2181"/>
      <c r="M216" s="413"/>
    </row>
    <row r="217" spans="1:13" ht="12.75" hidden="1" customHeight="1" x14ac:dyDescent="0.2">
      <c r="A217" s="17"/>
      <c r="B217" s="659"/>
      <c r="C217" s="17"/>
      <c r="D217" s="17"/>
      <c r="E217" s="222"/>
      <c r="F217" s="17"/>
      <c r="G217" s="536"/>
      <c r="H217" s="536"/>
      <c r="I217" s="3"/>
      <c r="J217" s="2181"/>
      <c r="M217" s="413"/>
    </row>
    <row r="218" spans="1:13" ht="12.75" hidden="1" customHeight="1" x14ac:dyDescent="0.2">
      <c r="A218" s="17"/>
      <c r="B218" s="659"/>
      <c r="C218" s="17"/>
      <c r="D218" s="17"/>
      <c r="E218" s="222"/>
      <c r="F218" s="17"/>
      <c r="G218" s="536"/>
      <c r="H218" s="536"/>
      <c r="I218" s="3"/>
      <c r="J218" s="2181"/>
      <c r="M218" s="413"/>
    </row>
    <row r="219" spans="1:13" ht="12.75" hidden="1" customHeight="1" x14ac:dyDescent="0.2">
      <c r="A219" s="17"/>
      <c r="B219" s="659"/>
      <c r="C219" s="17"/>
      <c r="D219" s="17"/>
      <c r="E219" s="222"/>
      <c r="F219" s="17"/>
      <c r="G219" s="536"/>
      <c r="H219" s="536"/>
      <c r="I219" s="3"/>
      <c r="J219" s="2181"/>
      <c r="M219" s="413"/>
    </row>
    <row r="220" spans="1:13" ht="12.75" hidden="1" customHeight="1" x14ac:dyDescent="0.2">
      <c r="A220" s="17"/>
      <c r="B220" s="659"/>
      <c r="C220" s="17"/>
      <c r="D220" s="17"/>
      <c r="E220" s="222"/>
      <c r="F220" s="17"/>
      <c r="G220" s="536"/>
      <c r="H220" s="536"/>
      <c r="I220" s="3"/>
      <c r="J220" s="2181"/>
      <c r="M220" s="413"/>
    </row>
    <row r="221" spans="1:13" ht="12.75" hidden="1" customHeight="1" x14ac:dyDescent="0.2">
      <c r="A221" s="17"/>
      <c r="B221" s="659"/>
      <c r="C221" s="17"/>
      <c r="D221" s="17"/>
      <c r="E221" s="222"/>
      <c r="F221" s="17"/>
      <c r="G221" s="536"/>
      <c r="H221" s="536"/>
      <c r="I221" s="3"/>
      <c r="J221" s="2181"/>
      <c r="M221" s="413"/>
    </row>
    <row r="222" spans="1:13" ht="12.75" hidden="1" customHeight="1" x14ac:dyDescent="0.2">
      <c r="A222" s="17"/>
      <c r="B222" s="659"/>
      <c r="C222" s="17"/>
      <c r="D222" s="17"/>
      <c r="E222" s="222"/>
      <c r="F222" s="17"/>
      <c r="G222" s="536"/>
      <c r="H222" s="536"/>
      <c r="I222" s="3"/>
      <c r="J222" s="2181"/>
      <c r="M222" s="413"/>
    </row>
    <row r="223" spans="1:13" ht="12.75" hidden="1" customHeight="1" x14ac:dyDescent="0.2">
      <c r="A223" s="17"/>
      <c r="B223" s="659"/>
      <c r="C223" s="17"/>
      <c r="D223" s="17"/>
      <c r="E223" s="222"/>
      <c r="F223" s="17"/>
      <c r="G223" s="536"/>
      <c r="H223" s="536"/>
      <c r="I223" s="3"/>
      <c r="J223" s="2181"/>
      <c r="M223" s="413"/>
    </row>
    <row r="224" spans="1:13" ht="12.75" hidden="1" customHeight="1" x14ac:dyDescent="0.2">
      <c r="A224" s="17"/>
      <c r="B224" s="659"/>
      <c r="C224" s="17"/>
      <c r="D224" s="17"/>
      <c r="E224" s="222"/>
      <c r="F224" s="17"/>
      <c r="G224" s="536"/>
      <c r="H224" s="536"/>
      <c r="I224" s="3"/>
      <c r="J224" s="2181"/>
      <c r="M224" s="413"/>
    </row>
    <row r="225" spans="1:13" ht="12.75" hidden="1" customHeight="1" x14ac:dyDescent="0.2">
      <c r="A225" s="17"/>
      <c r="B225" s="659"/>
      <c r="C225" s="17"/>
      <c r="D225" s="17"/>
      <c r="E225" s="222"/>
      <c r="F225" s="17"/>
      <c r="G225" s="536"/>
      <c r="H225" s="536"/>
      <c r="I225" s="3"/>
      <c r="J225" s="2181"/>
      <c r="M225" s="413"/>
    </row>
    <row r="226" spans="1:13" ht="12.75" hidden="1" customHeight="1" x14ac:dyDescent="0.2">
      <c r="A226" s="17"/>
      <c r="B226" s="659"/>
      <c r="C226" s="17"/>
      <c r="D226" s="17"/>
      <c r="E226" s="222"/>
      <c r="F226" s="17"/>
      <c r="G226" s="536"/>
      <c r="H226" s="536"/>
      <c r="I226" s="3"/>
      <c r="J226" s="2181"/>
      <c r="M226" s="413"/>
    </row>
    <row r="227" spans="1:13" ht="12.75" hidden="1" customHeight="1" x14ac:dyDescent="0.2">
      <c r="A227" s="17"/>
      <c r="B227" s="659"/>
      <c r="C227" s="17"/>
      <c r="D227" s="17"/>
      <c r="E227" s="222"/>
      <c r="F227" s="17"/>
      <c r="G227" s="536"/>
      <c r="H227" s="536"/>
      <c r="I227" s="3"/>
      <c r="J227" s="2181"/>
      <c r="M227" s="413"/>
    </row>
    <row r="228" spans="1:13" ht="12.75" hidden="1" customHeight="1" x14ac:dyDescent="0.2">
      <c r="A228" s="17"/>
      <c r="B228" s="659"/>
      <c r="C228" s="17"/>
      <c r="D228" s="17"/>
      <c r="E228" s="222"/>
      <c r="F228" s="17"/>
      <c r="G228" s="536"/>
      <c r="H228" s="536"/>
      <c r="I228" s="3"/>
      <c r="J228" s="2181"/>
      <c r="M228" s="413"/>
    </row>
    <row r="229" spans="1:13" ht="12.75" hidden="1" customHeight="1" x14ac:dyDescent="0.2">
      <c r="A229" s="17"/>
      <c r="B229" s="659"/>
      <c r="C229" s="17"/>
      <c r="D229" s="17"/>
      <c r="E229" s="222"/>
      <c r="F229" s="17"/>
      <c r="G229" s="536"/>
      <c r="H229" s="536"/>
      <c r="I229" s="3"/>
      <c r="J229" s="2181"/>
      <c r="M229" s="413"/>
    </row>
    <row r="230" spans="1:13" ht="12.75" hidden="1" customHeight="1" x14ac:dyDescent="0.2">
      <c r="A230" s="17"/>
      <c r="B230" s="659"/>
      <c r="C230" s="17"/>
      <c r="D230" s="17"/>
      <c r="E230" s="222"/>
      <c r="F230" s="17"/>
      <c r="G230" s="536"/>
      <c r="H230" s="536"/>
      <c r="I230" s="3"/>
      <c r="J230" s="2181"/>
      <c r="M230" s="413"/>
    </row>
    <row r="231" spans="1:13" ht="12.75" hidden="1" customHeight="1" x14ac:dyDescent="0.2">
      <c r="A231" s="17"/>
      <c r="B231" s="659"/>
      <c r="C231" s="17"/>
      <c r="D231" s="17"/>
      <c r="E231" s="222"/>
      <c r="F231" s="17"/>
      <c r="G231" s="536"/>
      <c r="H231" s="536"/>
      <c r="I231" s="3"/>
      <c r="J231" s="2181"/>
      <c r="M231" s="413"/>
    </row>
    <row r="232" spans="1:13" ht="12.75" hidden="1" customHeight="1" x14ac:dyDescent="0.2">
      <c r="A232" s="17"/>
      <c r="B232" s="659"/>
      <c r="C232" s="17"/>
      <c r="D232" s="17"/>
      <c r="E232" s="222"/>
      <c r="F232" s="17"/>
      <c r="G232" s="536"/>
      <c r="H232" s="536"/>
      <c r="I232" s="3"/>
      <c r="J232" s="2181"/>
      <c r="M232" s="413"/>
    </row>
    <row r="233" spans="1:13" ht="12.75" hidden="1" customHeight="1" x14ac:dyDescent="0.2">
      <c r="A233" s="17"/>
      <c r="B233" s="659"/>
      <c r="C233" s="17"/>
      <c r="D233" s="17"/>
      <c r="E233" s="222"/>
      <c r="F233" s="17"/>
      <c r="G233" s="536"/>
      <c r="H233" s="536"/>
      <c r="I233" s="3"/>
      <c r="J233" s="2181"/>
      <c r="M233" s="413"/>
    </row>
    <row r="234" spans="1:13" ht="12.75" hidden="1" customHeight="1" x14ac:dyDescent="0.2">
      <c r="A234" s="17"/>
      <c r="B234" s="659"/>
      <c r="C234" s="17"/>
      <c r="D234" s="17"/>
      <c r="E234" s="222"/>
      <c r="F234" s="17"/>
      <c r="G234" s="536"/>
      <c r="H234" s="536"/>
      <c r="I234" s="3"/>
      <c r="J234" s="2181"/>
      <c r="M234" s="413"/>
    </row>
    <row r="235" spans="1:13" ht="12.75" hidden="1" customHeight="1" x14ac:dyDescent="0.2">
      <c r="A235" s="17"/>
      <c r="B235" s="659"/>
      <c r="C235" s="17"/>
      <c r="D235" s="17"/>
      <c r="E235" s="222"/>
      <c r="F235" s="17"/>
      <c r="G235" s="536"/>
      <c r="H235" s="536"/>
      <c r="I235" s="3"/>
      <c r="J235" s="2181"/>
      <c r="M235" s="413"/>
    </row>
    <row r="236" spans="1:13" ht="12.75" hidden="1" customHeight="1" x14ac:dyDescent="0.2">
      <c r="A236" s="17"/>
      <c r="B236" s="659"/>
      <c r="C236" s="17"/>
      <c r="D236" s="17"/>
      <c r="E236" s="222"/>
      <c r="F236" s="17"/>
      <c r="G236" s="536"/>
      <c r="H236" s="536"/>
      <c r="I236" s="3"/>
      <c r="J236" s="2181"/>
      <c r="M236" s="413"/>
    </row>
    <row r="237" spans="1:13" ht="12.75" hidden="1" customHeight="1" x14ac:dyDescent="0.2">
      <c r="A237" s="17"/>
      <c r="B237" s="659"/>
      <c r="C237" s="17"/>
      <c r="D237" s="17"/>
      <c r="E237" s="222"/>
      <c r="F237" s="17"/>
      <c r="G237" s="536"/>
      <c r="H237" s="536"/>
      <c r="I237" s="3"/>
      <c r="J237" s="2181"/>
      <c r="M237" s="413"/>
    </row>
    <row r="238" spans="1:13" ht="12.75" hidden="1" customHeight="1" x14ac:dyDescent="0.2">
      <c r="A238" s="17"/>
      <c r="B238" s="659"/>
      <c r="C238" s="17"/>
      <c r="D238" s="17"/>
      <c r="E238" s="222"/>
      <c r="F238" s="17"/>
      <c r="G238" s="536"/>
      <c r="H238" s="536"/>
      <c r="I238" s="3"/>
      <c r="J238" s="2181"/>
      <c r="M238" s="413"/>
    </row>
    <row r="239" spans="1:13" ht="12.75" hidden="1" customHeight="1" x14ac:dyDescent="0.2">
      <c r="A239" s="17"/>
      <c r="B239" s="659"/>
      <c r="C239" s="17"/>
      <c r="D239" s="17"/>
      <c r="E239" s="222"/>
      <c r="F239" s="17"/>
      <c r="G239" s="536"/>
      <c r="H239" s="536"/>
      <c r="I239" s="3"/>
      <c r="J239" s="2181"/>
      <c r="M239" s="413"/>
    </row>
    <row r="240" spans="1:13" ht="12.75" hidden="1" customHeight="1" x14ac:dyDescent="0.2">
      <c r="A240" s="17"/>
      <c r="B240" s="659"/>
      <c r="C240" s="17"/>
      <c r="D240" s="17"/>
      <c r="E240" s="222"/>
      <c r="F240" s="17"/>
      <c r="G240" s="536"/>
      <c r="H240" s="536"/>
      <c r="I240" s="3"/>
      <c r="J240" s="2181"/>
      <c r="M240" s="413"/>
    </row>
    <row r="241" spans="1:15" ht="12.75" hidden="1" customHeight="1" x14ac:dyDescent="0.2">
      <c r="A241" s="17"/>
      <c r="B241" s="659"/>
      <c r="C241" s="17"/>
      <c r="D241" s="17"/>
      <c r="E241" s="222"/>
      <c r="F241" s="17"/>
      <c r="G241" s="536"/>
      <c r="H241" s="536"/>
      <c r="I241" s="3"/>
      <c r="J241" s="2181"/>
      <c r="M241" s="413"/>
    </row>
    <row r="242" spans="1:15" ht="12.75" hidden="1" customHeight="1" x14ac:dyDescent="0.2">
      <c r="A242" s="17"/>
      <c r="B242" s="659"/>
      <c r="C242" s="17"/>
      <c r="D242" s="17"/>
      <c r="E242" s="222"/>
      <c r="F242" s="17"/>
      <c r="G242" s="536"/>
      <c r="H242" s="536"/>
      <c r="I242" s="3"/>
      <c r="J242" s="2181"/>
      <c r="M242" s="413"/>
    </row>
    <row r="243" spans="1:15" ht="12.75" hidden="1" customHeight="1" x14ac:dyDescent="0.2">
      <c r="A243" s="17"/>
      <c r="B243" s="659"/>
      <c r="C243" s="17"/>
      <c r="D243" s="17"/>
      <c r="E243" s="222"/>
      <c r="F243" s="17"/>
      <c r="G243" s="536"/>
      <c r="H243" s="536"/>
      <c r="I243" s="3"/>
      <c r="J243" s="2181"/>
      <c r="M243" s="413"/>
    </row>
    <row r="244" spans="1:15" ht="12.75" hidden="1" customHeight="1" x14ac:dyDescent="0.2">
      <c r="A244" s="17"/>
      <c r="B244" s="659"/>
      <c r="C244" s="17"/>
      <c r="D244" s="17"/>
      <c r="E244" s="222"/>
      <c r="F244" s="17"/>
      <c r="G244" s="536"/>
      <c r="H244" s="536"/>
      <c r="I244" s="3"/>
      <c r="J244" s="2181"/>
      <c r="M244" s="413"/>
    </row>
    <row r="245" spans="1:15" ht="12.75" hidden="1" customHeight="1" x14ac:dyDescent="0.2">
      <c r="A245" s="17"/>
      <c r="B245" s="659"/>
      <c r="C245" s="17"/>
      <c r="D245" s="17"/>
      <c r="E245" s="222"/>
      <c r="F245" s="17"/>
      <c r="G245" s="536"/>
      <c r="H245" s="536"/>
      <c r="I245" s="3"/>
      <c r="J245" s="2181"/>
      <c r="M245" s="413"/>
    </row>
    <row r="246" spans="1:15" ht="12.75" hidden="1" customHeight="1" x14ac:dyDescent="0.2">
      <c r="A246" s="17"/>
      <c r="B246" s="659"/>
      <c r="C246" s="17"/>
      <c r="D246" s="17"/>
      <c r="E246" s="222"/>
      <c r="F246" s="17"/>
      <c r="G246" s="536"/>
      <c r="H246" s="536"/>
      <c r="I246" s="3"/>
      <c r="J246" s="2181"/>
      <c r="M246" s="413"/>
    </row>
    <row r="247" spans="1:15" ht="12.75" hidden="1" customHeight="1" x14ac:dyDescent="0.2">
      <c r="A247" s="17"/>
      <c r="B247" s="659"/>
      <c r="C247" s="17"/>
      <c r="D247" s="17"/>
      <c r="E247" s="222"/>
      <c r="F247" s="17"/>
      <c r="G247" s="536"/>
      <c r="H247" s="536"/>
      <c r="I247" s="3"/>
      <c r="J247" s="2181"/>
      <c r="M247" s="413"/>
    </row>
    <row r="248" spans="1:15" ht="12.75" hidden="1" customHeight="1" x14ac:dyDescent="0.2">
      <c r="A248" s="17"/>
      <c r="B248" s="659"/>
      <c r="C248" s="17"/>
      <c r="D248" s="17"/>
      <c r="E248" s="222"/>
      <c r="F248" s="17"/>
      <c r="G248" s="536"/>
      <c r="H248" s="536"/>
      <c r="I248" s="3"/>
      <c r="J248" s="2181"/>
      <c r="M248" s="413"/>
    </row>
    <row r="249" spans="1:15" ht="12.75" hidden="1" customHeight="1" x14ac:dyDescent="0.2">
      <c r="A249" s="17"/>
      <c r="B249" s="659"/>
      <c r="C249" s="17"/>
      <c r="D249" s="17"/>
      <c r="E249" s="222"/>
      <c r="F249" s="17"/>
      <c r="G249" s="536"/>
      <c r="H249" s="536"/>
      <c r="I249" s="3"/>
      <c r="J249" s="2181"/>
      <c r="M249" s="413"/>
    </row>
    <row r="250" spans="1:15" ht="12.75" hidden="1" customHeight="1" x14ac:dyDescent="0.2">
      <c r="A250" s="17"/>
      <c r="B250" s="659"/>
      <c r="C250" s="17"/>
      <c r="D250" s="17"/>
      <c r="E250" s="222"/>
      <c r="F250" s="17"/>
      <c r="G250" s="536"/>
      <c r="H250" s="536"/>
      <c r="I250" s="3"/>
      <c r="J250" s="2181"/>
      <c r="M250" s="413"/>
    </row>
    <row r="251" spans="1:15" ht="17.25" customHeight="1" x14ac:dyDescent="0.2">
      <c r="A251" s="818" t="str">
        <f>_xlfn.SINGLE(MTCA)</f>
      </c>
      <c r="B251" s="818"/>
      <c r="C251" s="818" t="str">
        <f>ver</f>
        <v>TA2_e-CO_2025_Ver 1.1</v>
      </c>
      <c r="D251" s="818"/>
      <c r="E251" s="1144"/>
      <c r="F251" s="818"/>
      <c r="G251" s="818"/>
      <c r="H251" s="859" t="s">
        <v>9995</v>
      </c>
      <c r="I251" s="857"/>
      <c r="N251" s="3579" t="s">
        <v>9985</v>
      </c>
      <c r="O251" s="1156">
        <f>M7+M52+M97</f>
      </c>
    </row>
    <row r="252" spans="1:15" ht="12.75" customHeight="1" x14ac:dyDescent="0.2">
      <c r="A252" s="237"/>
      <c r="B252" s="563" t="str">
        <f>COM</f>
      </c>
      <c r="C252" s="275"/>
      <c r="D252" s="222" t="str">
        <f>IF(O251=0,"",IF(C252="",re,""))</f>
        <v/>
      </c>
      <c r="E252" s="3"/>
      <c r="F252" s="3"/>
      <c r="G252" s="3"/>
      <c r="H252" s="3"/>
      <c r="I252" s="3"/>
      <c r="J252" s="94">
        <f>IF(M7=0,0,IF(O252&gt;0,100,IF(C252="Yes",1,100)))</f>
      </c>
      <c r="N252" s="3579" t="s">
        <v>9986</v>
      </c>
      <c r="O252" s="3580">
        <f>J138+J93+J48</f>
      </c>
    </row>
    <row r="253" spans="1:15" ht="12.75" customHeight="1" x14ac:dyDescent="0.2">
      <c r="A253" s="3"/>
      <c r="B253" s="3"/>
      <c r="C253" s="3"/>
      <c r="D253" s="3"/>
      <c r="E253" s="3"/>
      <c r="F253" s="3"/>
      <c r="G253" s="3"/>
      <c r="H253" s="3"/>
      <c r="I253" s="3"/>
    </row>
    <row r="254" spans="1:15" x14ac:dyDescent="0.2">
      <c r="A254" s="4636" t="s">
        <v>6290</v>
      </c>
      <c r="B254" s="4636"/>
      <c r="C254" s="4636"/>
      <c r="D254" s="4636"/>
      <c r="E254" s="4636"/>
      <c r="F254" s="3"/>
      <c r="G254" s="3"/>
      <c r="H254" s="3"/>
      <c r="I254" s="3"/>
    </row>
    <row r="255" spans="1:15" ht="4.5" customHeight="1" x14ac:dyDescent="0.2">
      <c r="A255" s="3"/>
      <c r="B255" s="3"/>
      <c r="C255" s="3"/>
      <c r="D255" s="3"/>
      <c r="E255" s="3"/>
      <c r="F255" s="3"/>
      <c r="G255" s="3"/>
      <c r="H255" s="3"/>
      <c r="I255" s="3"/>
    </row>
    <row r="256" spans="1:15" ht="35.25" hidden="1" customHeight="1" x14ac:dyDescent="0.2">
      <c r="J256" s="28"/>
    </row>
    <row r="257" spans="10:10" hidden="1" x14ac:dyDescent="0.2">
      <c r="J257" s="28"/>
    </row>
    <row r="258" spans="10:10" ht="12.75" hidden="1" customHeight="1" x14ac:dyDescent="0.2">
      <c r="J258" s="28"/>
    </row>
    <row r="259" spans="10:10" ht="12.75" hidden="1" customHeight="1" x14ac:dyDescent="0.2">
      <c r="J259" s="28"/>
    </row>
    <row r="260" spans="10:10" ht="12.75" hidden="1" customHeight="1" x14ac:dyDescent="0.2">
      <c r="J260" s="28"/>
    </row>
    <row r="261" spans="10:10" ht="12.75" hidden="1" customHeight="1" x14ac:dyDescent="0.2">
      <c r="J261" s="28"/>
    </row>
    <row r="262" spans="10:10" ht="12.75" hidden="1" customHeight="1" x14ac:dyDescent="0.2">
      <c r="J262" s="28"/>
    </row>
    <row r="263" spans="10:10" ht="13.5" hidden="1" customHeight="1" x14ac:dyDescent="0.2">
      <c r="J263" s="28"/>
    </row>
    <row r="264" spans="10:10" hidden="1" x14ac:dyDescent="0.2">
      <c r="J264" s="28"/>
    </row>
    <row r="265" spans="10:10" ht="12.75" hidden="1" customHeight="1" x14ac:dyDescent="0.2">
      <c r="J265" s="28"/>
    </row>
    <row r="266" spans="10:10" ht="12.75" hidden="1" customHeight="1" x14ac:dyDescent="0.2">
      <c r="J266" s="28"/>
    </row>
    <row r="267" spans="10:10" hidden="1" x14ac:dyDescent="0.2">
      <c r="J267" s="28"/>
    </row>
    <row r="268" spans="10:10" hidden="1" x14ac:dyDescent="0.2">
      <c r="J268" s="28"/>
    </row>
    <row r="269" spans="10:10" hidden="1" x14ac:dyDescent="0.2">
      <c r="J269" s="28"/>
    </row>
    <row r="270" spans="10:10" hidden="1" x14ac:dyDescent="0.2">
      <c r="J270" s="28"/>
    </row>
    <row r="271" spans="10:10" ht="5.25" hidden="1" customHeight="1" x14ac:dyDescent="0.2">
      <c r="J271" s="28"/>
    </row>
    <row r="272" spans="10:10" hidden="1" x14ac:dyDescent="0.2">
      <c r="J272" s="28"/>
    </row>
    <row r="273" spans="10:10" hidden="1" x14ac:dyDescent="0.2">
      <c r="J273" s="28"/>
    </row>
    <row r="274" spans="10:10" hidden="1" x14ac:dyDescent="0.2">
      <c r="J274" s="28"/>
    </row>
    <row r="275" spans="10:10" hidden="1" x14ac:dyDescent="0.2">
      <c r="J275" s="28"/>
    </row>
    <row r="276" spans="10:10" hidden="1" x14ac:dyDescent="0.2">
      <c r="J276" s="28"/>
    </row>
    <row r="277" spans="10:10" ht="15" hidden="1" customHeight="1" x14ac:dyDescent="0.2">
      <c r="J277" s="28"/>
    </row>
    <row r="278" spans="10:10" ht="15" hidden="1" customHeight="1" x14ac:dyDescent="0.2">
      <c r="J278" s="28"/>
    </row>
    <row r="279" spans="10:10" hidden="1" x14ac:dyDescent="0.2">
      <c r="J279" s="28"/>
    </row>
    <row r="280" spans="10:10" hidden="1" x14ac:dyDescent="0.2">
      <c r="J280" s="28"/>
    </row>
    <row r="281" spans="10:10" hidden="1" x14ac:dyDescent="0.2">
      <c r="J281" s="28"/>
    </row>
    <row r="282" spans="10:10" hidden="1" x14ac:dyDescent="0.2">
      <c r="J282" s="28"/>
    </row>
    <row r="283" spans="10:10" hidden="1" x14ac:dyDescent="0.2">
      <c r="J283" s="28"/>
    </row>
    <row r="284" spans="10:10" hidden="1" x14ac:dyDescent="0.2">
      <c r="J284" s="28"/>
    </row>
    <row r="285" spans="10:10" hidden="1" x14ac:dyDescent="0.2">
      <c r="J285" s="28"/>
    </row>
    <row r="286" spans="10:10" hidden="1" x14ac:dyDescent="0.2"/>
    <row r="293" spans="10:10" ht="12.75" hidden="1" customHeight="1" x14ac:dyDescent="0.2">
      <c r="J293" s="28"/>
    </row>
  </sheetData>
  <sheetProtection algorithmName="SHA-512" hashValue="da1v1Lf4lyarB8ycvZe5J9YPrxGllLUXAQugu9xTsB+pq20EuINISzpd6iDIfz8KuDr4FjHhr0vhPQBSPi7aAw==" saltValue="4NMAebVxfaJJMqvsfkJVRQ==" spinCount="100000" sheet="1" objects="1" scenarios="1"/>
  <customSheetViews>
    <customSheetView guid="{99B5278F-6EA9-4B1A-8623-27A4DF4AD5E4}" fitToPage="1" hiddenRows="1" hiddenColumns="1">
      <selection activeCell="C5" sqref="C5:D5"/>
      <pageMargins left="0.74803149606299213" right="0.74803149606299213" top="0.98425196850393704" bottom="0.98425196850393704" header="0.51181102362204722" footer="0.51181102362204722"/>
      <pageSetup paperSize="9" scale="97" orientation="landscape" horizontalDpi="300" verticalDpi="300" r:id="rId1"/>
      <headerFooter alignWithMargins="0">
        <oddFooter>&amp;LName&amp;CSignature&amp;RDate</oddFooter>
      </headerFooter>
    </customSheetView>
  </customSheetViews>
  <mergeCells count="26">
    <mergeCell ref="A1:G1"/>
    <mergeCell ref="A2:H2"/>
    <mergeCell ref="A3:H3"/>
    <mergeCell ref="C9:D9"/>
    <mergeCell ref="A254:E254"/>
    <mergeCell ref="C11:E11"/>
    <mergeCell ref="E13:G13"/>
    <mergeCell ref="B22:C22"/>
    <mergeCell ref="B44:C44"/>
    <mergeCell ref="F32:G32"/>
    <mergeCell ref="B5:H5"/>
    <mergeCell ref="B50:H50"/>
    <mergeCell ref="C54:D54"/>
    <mergeCell ref="C56:E56"/>
    <mergeCell ref="E58:G58"/>
    <mergeCell ref="B67:C67"/>
    <mergeCell ref="F77:G77"/>
    <mergeCell ref="B89:C89"/>
    <mergeCell ref="B95:H95"/>
    <mergeCell ref="C99:D99"/>
    <mergeCell ref="A140:H140"/>
    <mergeCell ref="C101:E101"/>
    <mergeCell ref="E103:G103"/>
    <mergeCell ref="B112:C112"/>
    <mergeCell ref="F122:G122"/>
    <mergeCell ref="B134:C134"/>
  </mergeCells>
  <phoneticPr fontId="110" type="noConversion"/>
  <conditionalFormatting sqref="A30 A32">
    <cfRule type="expression" dxfId="632" priority="20" stopIfTrue="1">
      <formula>$L$30&lt;=2010</formula>
    </cfRule>
  </conditionalFormatting>
  <conditionalFormatting sqref="A75 A77">
    <cfRule type="expression" dxfId="631" priority="12" stopIfTrue="1">
      <formula>$L$30&lt;=2010</formula>
    </cfRule>
  </conditionalFormatting>
  <conditionalFormatting sqref="A120 A122">
    <cfRule type="expression" dxfId="630" priority="5" stopIfTrue="1">
      <formula>$L$30&lt;=2010</formula>
    </cfRule>
  </conditionalFormatting>
  <conditionalFormatting sqref="B30">
    <cfRule type="expression" dxfId="629" priority="19" stopIfTrue="1">
      <formula>$L$30&lt;2010</formula>
    </cfRule>
  </conditionalFormatting>
  <conditionalFormatting sqref="B32">
    <cfRule type="expression" dxfId="628" priority="16" stopIfTrue="1">
      <formula>$L$30&lt;2010</formula>
    </cfRule>
  </conditionalFormatting>
  <conditionalFormatting sqref="B75">
    <cfRule type="expression" dxfId="627" priority="11" stopIfTrue="1">
      <formula>$L$30&lt;2010</formula>
    </cfRule>
  </conditionalFormatting>
  <conditionalFormatting sqref="B77">
    <cfRule type="expression" dxfId="626" priority="9" stopIfTrue="1">
      <formula>$L$30&lt;2010</formula>
    </cfRule>
  </conditionalFormatting>
  <conditionalFormatting sqref="B120">
    <cfRule type="expression" dxfId="625" priority="4" stopIfTrue="1">
      <formula>$L$30&lt;2010</formula>
    </cfRule>
  </conditionalFormatting>
  <conditionalFormatting sqref="B122">
    <cfRule type="expression" dxfId="624" priority="2" stopIfTrue="1">
      <formula>$L$30&lt;2010</formula>
    </cfRule>
  </conditionalFormatting>
  <conditionalFormatting sqref="C7">
    <cfRule type="expression" dxfId="623" priority="15">
      <formula>$L$7=1</formula>
    </cfRule>
  </conditionalFormatting>
  <conditionalFormatting sqref="C52">
    <cfRule type="expression" dxfId="622" priority="8">
      <formula>$L$52=1</formula>
    </cfRule>
  </conditionalFormatting>
  <conditionalFormatting sqref="C97">
    <cfRule type="expression" dxfId="621" priority="1">
      <formula>$L$97=1</formula>
    </cfRule>
  </conditionalFormatting>
  <conditionalFormatting sqref="D30 D32">
    <cfRule type="expression" dxfId="620" priority="18" stopIfTrue="1">
      <formula>$L$30&lt;2010</formula>
    </cfRule>
  </conditionalFormatting>
  <conditionalFormatting sqref="D75 D77">
    <cfRule type="expression" dxfId="619" priority="10" stopIfTrue="1">
      <formula>$L$30&lt;2010</formula>
    </cfRule>
  </conditionalFormatting>
  <conditionalFormatting sqref="D120 D122">
    <cfRule type="expression" dxfId="618" priority="3" stopIfTrue="1">
      <formula>$L$30&lt;2010</formula>
    </cfRule>
  </conditionalFormatting>
  <conditionalFormatting sqref="E44">
    <cfRule type="expression" dxfId="617" priority="21" stopIfTrue="1">
      <formula>$E$44=reo</formula>
    </cfRule>
  </conditionalFormatting>
  <conditionalFormatting sqref="E89">
    <cfRule type="expression" dxfId="616" priority="13" stopIfTrue="1">
      <formula>$E$44=reo</formula>
    </cfRule>
  </conditionalFormatting>
  <conditionalFormatting sqref="E134">
    <cfRule type="expression" dxfId="615" priority="6" stopIfTrue="1">
      <formula>$E$44=reo</formula>
    </cfRule>
  </conditionalFormatting>
  <conditionalFormatting sqref="I13">
    <cfRule type="expression" dxfId="614" priority="22" stopIfTrue="1">
      <formula>$I$13=$M$13</formula>
    </cfRule>
  </conditionalFormatting>
  <conditionalFormatting sqref="I58">
    <cfRule type="expression" dxfId="613" priority="14" stopIfTrue="1">
      <formula>$I$13=$M$13</formula>
    </cfRule>
  </conditionalFormatting>
  <conditionalFormatting sqref="I103">
    <cfRule type="expression" dxfId="612" priority="7" stopIfTrue="1">
      <formula>$I$13=$M$13</formula>
    </cfRule>
  </conditionalFormatting>
  <dataValidations count="16">
    <dataValidation type="whole" allowBlank="1" showInputMessage="1" showErrorMessage="1" errorTitle="Aid Intensity" error="Please enter a positive amount that does not exceed the tax credit for the year!" promptTitle="Aid Intensity" prompt="Please enter a positive amount." sqref="D26 D71 D116" xr:uid="{00000000-0002-0000-2900-000000000000}">
      <formula1>0</formula1>
      <formula2>D24</formula2>
    </dataValidation>
    <dataValidation type="list" allowBlank="1" showInputMessage="1" showErrorMessage="1" sqref="B13 B58 B103" xr:uid="{00000000-0002-0000-2900-000001000000}">
      <formula1>$AA$12:$AA$14</formula1>
    </dataValidation>
    <dataValidation type="whole" operator="greaterThanOrEqual" allowBlank="1" showInputMessage="1" showErrorMessage="1" errorTitle="REGULATION 5" error="Positive numeric value required!" sqref="C13 C58 C103" xr:uid="{00000000-0002-0000-2900-000002000000}">
      <formula1>0</formula1>
    </dataValidation>
    <dataValidation type="textLength" operator="greaterThanOrEqual" allowBlank="1" showInputMessage="1" showErrorMessage="1" errorTitle="Certificate number" error="Please enter the correct reference!" sqref="C9:D9 C54:D54 C99:D99" xr:uid="{00000000-0002-0000-2900-000003000000}">
      <formula1>4</formula1>
    </dataValidation>
    <dataValidation type="list" allowBlank="1" showInputMessage="1" showErrorMessage="1" sqref="C11:E11 C56:E56 C101:E101" xr:uid="{00000000-0002-0000-2900-000004000000}">
      <formula1>$X$10:$X$13</formula1>
    </dataValidation>
    <dataValidation type="list" allowBlank="1" showInputMessage="1" showErrorMessage="1" errorTitle="Dropdown list" error="Choose an item from the list! " sqref="C252 D91 D46 D136" xr:uid="{00000000-0002-0000-2900-000005000000}">
      <formula1>$Q$10:$Q$12</formula1>
    </dataValidation>
    <dataValidation type="whole" errorStyle="warning" allowBlank="1" showInputMessage="1" showErrorMessage="1" errorTitle="Income (Tax relieved) " error="Please enter a positive amount for income that is being relieved by the tax credit ensuring that such amount is not excessive!" promptTitle="Tax relieved Income" prompt="Please enter a positive amount." sqref="D44 D89 D134" xr:uid="{00000000-0002-0000-2900-000006000000}">
      <formula1>K44</formula1>
      <formula2>L44</formula2>
    </dataValidation>
    <dataValidation type="whole" allowBlank="1" showInputMessage="1" showErrorMessage="1" errorTitle="Tax Credit utilised for the year" error="Please enter a positive amount that cannot exceed the total tax credit available!" promptTitle="Tax Credit utilised" prompt="Please enter a positive amount." sqref="D36 D81 D126" xr:uid="{00000000-0002-0000-2900-000007000000}">
      <formula1>0</formula1>
      <formula2>D34</formula2>
    </dataValidation>
    <dataValidation type="whole" allowBlank="1" showInputMessage="1" showErrorMessage="1" errorTitle="Unutilised tax credit b/f" error="Please enter a positive amount _x000a_OR_x000a_No b/fwd for the Y/A 2009!" promptTitle="Brought forward" prompt="Please enter a positive amount." sqref="D30 D32 D75 D77 D120 D122" xr:uid="{00000000-0002-0000-2900-000008000000}">
      <formula1>0</formula1>
      <formula2>K30</formula2>
    </dataValidation>
    <dataValidation type="whole" allowBlank="1" showInputMessage="1" showErrorMessage="1" errorTitle="Other form of Assistance" error="Please enter a positive amount that cannot exceed the  maximum credit that may be claimed!" promptTitle="Tax Credit Converted" prompt="Please enter a positive amount." sqref="D22 D67 D112" xr:uid="{00000000-0002-0000-2900-000009000000}">
      <formula1>0</formula1>
      <formula2>D20</formula2>
    </dataValidation>
    <dataValidation type="whole" allowBlank="1" showInputMessage="1" showErrorMessage="1" errorTitle="2nd Proviso Reg 4(1)" error="Positive numeric value required that is less than the maximum tax credit for the year, above !" sqref="D18 D63 D108" xr:uid="{00000000-0002-0000-2900-00000A000000}">
      <formula1>0</formula1>
      <formula2>D16</formula2>
    </dataValidation>
    <dataValidation type="decimal" errorStyle="warning" operator="lessThanOrEqual" allowBlank="1" showInputMessage="1" showErrorMessage="1" errorTitle="Percentage " error="Percentage is excessive!_x000a_OR_x000a_Company description not indicated!" sqref="H13 H58 H103" xr:uid="{00000000-0002-0000-2900-00000B000000}">
      <formula1>L13</formula1>
    </dataValidation>
    <dataValidation type="whole" errorStyle="warning" allowBlank="1" showInputMessage="1" showErrorMessage="1" errorTitle="Incentive" error="Please enter a positive value that does not exceed the maximum aid entitlement for the year!" promptTitle="Investment Aid" prompt="Make sure that the Maximum Aid is not exceeded." sqref="D20 D65 D110" xr:uid="{00000000-0002-0000-2900-00000C000000}">
      <formula1>0</formula1>
      <formula2>K20</formula2>
    </dataValidation>
    <dataValidation type="textLength" errorStyle="warning" operator="greaterThanOrEqual" allowBlank="1" showInputMessage="1" showErrorMessage="1" errorTitle="Certificate Reference" error="Enter correct certificate reference!" sqref="H32 H77 H122" xr:uid="{00000000-0002-0000-2900-00000D000000}">
      <formula1>4</formula1>
    </dataValidation>
    <dataValidation type="whole" errorStyle="warning" operator="greaterThanOrEqual" allowBlank="1" showInputMessage="1" showErrorMessage="1" errorTitle="Unutilised tax credit c/fwd" error="Pl enter a positive value!" sqref="D42 D87 D132" xr:uid="{00000000-0002-0000-2900-00000E000000}">
      <formula1>0</formula1>
    </dataValidation>
    <dataValidation type="list" allowBlank="1" showInputMessage="1" showErrorMessage="1" errorTitle="Dropdown list" error="Choose an item from the list! " sqref="C7 C52 C97" xr:uid="{00000000-0002-0000-2900-00000F000000}">
      <formula1>FU</formula1>
    </dataValidation>
  </dataValidations>
  <hyperlinks>
    <hyperlink ref="A254" location="Index!A1" display="Index!A1" xr:uid="{00000000-0004-0000-2900-000000000000}"/>
    <hyperlink ref="E142" location="'TRA35'!A1" display="TRA 35   " xr:uid="{00000000-0004-0000-2900-000001000000}"/>
    <hyperlink ref="E144" location="'TRA35'!A1" display="TRA 35   " xr:uid="{00000000-0004-0000-2900-000002000000}"/>
  </hyperlinks>
  <pageMargins left="0.74803149606299213" right="0.74803149606299213" top="0.98425196850393704" bottom="0.98425196850393704" header="0.51181102362204722" footer="0.51181102362204722"/>
  <pageSetup paperSize="9" scale="31" orientation="landscape" r:id="rId2"/>
  <headerFooter alignWithMargins="0">
    <oddFooter>&amp;LName&amp;CSignature&amp;RDate</oddFooter>
  </headerFooter>
  <legacy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dimension ref="A1:AL93"/>
  <sheetViews>
    <sheetView workbookViewId="0"/>
  </sheetViews>
  <sheetFormatPr defaultColWidth="0" defaultRowHeight="12.75" zeroHeight="1" x14ac:dyDescent="0.2"/>
  <cols>
    <col min="1" max="1" width="3.28515625" style="28" customWidth="1"/>
    <col min="2" max="2" width="48.5703125" style="28" bestFit="1" customWidth="1"/>
    <col min="3" max="3" width="48.28515625" style="28" customWidth="1"/>
    <col min="4" max="4" width="12.42578125" style="28" customWidth="1"/>
    <col min="5" max="5" width="12.7109375" style="28" bestFit="1" customWidth="1"/>
    <col min="6" max="6" width="22.5703125" style="28" bestFit="1" customWidth="1"/>
    <col min="7" max="7" width="21" style="28" hidden="1" customWidth="1"/>
    <col min="8" max="8" width="0" style="28" hidden="1" customWidth="1"/>
    <col min="9" max="14" width="3.7109375" style="28" hidden="1" customWidth="1"/>
    <col min="15" max="15" width="6.28515625" style="28" hidden="1" customWidth="1"/>
    <col min="16" max="16" width="6.5703125" style="28" hidden="1" customWidth="1"/>
    <col min="17" max="17" width="9.7109375" style="28" hidden="1" customWidth="1"/>
    <col min="18" max="18" width="6.5703125" style="28" hidden="1" customWidth="1"/>
    <col min="19" max="20" width="0" style="28" hidden="1" customWidth="1"/>
    <col min="21" max="21" width="6.42578125" style="28" hidden="1" customWidth="1"/>
    <col min="22" max="23" width="6.28515625" style="28" hidden="1" customWidth="1"/>
    <col min="24" max="27" width="0" style="28" hidden="1" customWidth="1"/>
    <col min="28" max="29" width="9.42578125" style="28" hidden="1" customWidth="1"/>
    <col min="30" max="16384" width="0" style="28" hidden="1"/>
  </cols>
  <sheetData>
    <row r="1" spans="1:38" x14ac:dyDescent="0.2">
      <c r="A1" s="3"/>
      <c r="B1" s="65" t="str">
        <f>_ref1</f>
      </c>
      <c r="C1" s="65"/>
      <c r="D1" s="65"/>
      <c r="E1" s="539" t="str">
        <f>_YA1</f>
      </c>
      <c r="F1" s="3"/>
    </row>
    <row r="2" spans="1:38" ht="32.25" customHeight="1" x14ac:dyDescent="0.2">
      <c r="A2" s="3"/>
      <c r="B2" s="4897" t="s">
        <v>3986</v>
      </c>
      <c r="C2" s="4898"/>
      <c r="D2" s="4898"/>
      <c r="E2" s="4899"/>
      <c r="F2" s="572" t="str">
        <f>IF(AND(AK2=1,I16=0),re&amp;" (see TRA 62)","")</f>
        <v/>
      </c>
      <c r="G2" s="28">
        <f>IF(F2="",0,1)</f>
      </c>
      <c r="AK2" s="28">
        <f>IF(AL2=D92,1,0)</f>
      </c>
      <c r="AL2" s="32" t="str">
        <f>TRA62_IPA!G5</f>
      </c>
    </row>
    <row r="3" spans="1:38" ht="81.75" customHeight="1" x14ac:dyDescent="0.2">
      <c r="A3" s="3"/>
      <c r="B3" s="4900" t="s">
        <v>5403</v>
      </c>
      <c r="C3" s="4901"/>
      <c r="D3" s="4901"/>
      <c r="E3" s="4902"/>
      <c r="F3" s="3"/>
    </row>
    <row r="4" spans="1:38" ht="6" customHeight="1" x14ac:dyDescent="0.2">
      <c r="A4" s="3"/>
      <c r="B4" s="3"/>
      <c r="C4" s="3"/>
      <c r="D4" s="3"/>
      <c r="E4" s="3"/>
      <c r="F4" s="3"/>
    </row>
    <row r="5" spans="1:38" ht="16.5" customHeight="1" x14ac:dyDescent="0.2">
      <c r="A5" s="3"/>
      <c r="B5" s="837" t="s">
        <v>17</v>
      </c>
      <c r="C5" s="128"/>
      <c r="D5" s="1160"/>
      <c r="E5" s="174"/>
      <c r="F5" s="3"/>
    </row>
    <row r="6" spans="1:38" x14ac:dyDescent="0.2">
      <c r="A6" s="3"/>
      <c r="B6" s="838" t="s">
        <v>48</v>
      </c>
      <c r="C6" s="523"/>
      <c r="D6" s="863"/>
      <c r="E6" s="61" t="str">
        <f>IF(AND(D6="",I8&gt;0),re,"")</f>
        <v/>
      </c>
      <c r="F6" s="3"/>
      <c r="G6" s="28">
        <f>IF(E6=re,1,0)</f>
      </c>
    </row>
    <row r="7" spans="1:38" x14ac:dyDescent="0.2">
      <c r="A7" s="3"/>
      <c r="B7" s="838" t="s">
        <v>49</v>
      </c>
      <c r="C7" s="523"/>
      <c r="D7" s="863"/>
      <c r="E7" s="61" t="str">
        <f>IF(AND(D7="",I8&gt;0),re,"")</f>
        <v/>
      </c>
      <c r="F7" s="3"/>
      <c r="G7" s="28">
        <f>IF(E7=re,1,0)</f>
      </c>
    </row>
    <row r="8" spans="1:38" x14ac:dyDescent="0.2">
      <c r="A8" s="3"/>
      <c r="B8" s="1355" t="s">
        <v>2713</v>
      </c>
      <c r="C8" s="549"/>
      <c r="D8" s="863"/>
      <c r="E8" s="61" t="str">
        <f>IF(AND(D8="",I8&gt;0),re,"")</f>
        <v/>
      </c>
      <c r="F8" s="3"/>
      <c r="G8" s="28">
        <f>IF(E8=re,1,0)</f>
      </c>
      <c r="I8" s="28">
        <f>COUNT(D6:D8)</f>
      </c>
    </row>
    <row r="9" spans="1:38" x14ac:dyDescent="0.2">
      <c r="A9" s="3"/>
      <c r="B9" s="838" t="s">
        <v>3265</v>
      </c>
      <c r="C9" s="523"/>
      <c r="D9" s="337"/>
      <c r="E9" s="432"/>
      <c r="F9" s="812" t="str">
        <f>IF(AND(I8&gt;0,E9=""),re,IF(E9&lt;&gt;AD9,"Check!",""))</f>
        <v/>
      </c>
      <c r="G9" s="28">
        <f>IF(F9=re,1,0)</f>
      </c>
      <c r="P9" s="28">
        <f>(J9+K9)*-1</f>
      </c>
      <c r="Q9" s="28">
        <f>COUNT(I9,J9,L9)</f>
      </c>
      <c r="R9" s="28">
        <f>COUNT(E9)</f>
      </c>
      <c r="U9" s="28">
        <f>COUNT(L9)</f>
      </c>
      <c r="V9" s="28">
        <f>COUNT(J9)</f>
      </c>
      <c r="W9" s="28">
        <f>COUNT(I9)</f>
      </c>
      <c r="AB9" s="28">
        <f>IF(AD9&gt;0,0,AD9)</f>
      </c>
      <c r="AC9" s="28">
        <f>IF(AD9&lt;0,0,AD9)</f>
      </c>
      <c r="AD9" s="28">
        <f>IF(OR(D7="",D7=0),D6,ROUND((D6/D7)*D8,0))</f>
      </c>
      <c r="AJ9" s="28">
        <f>IF(AND(G9=0,F9&lt;&gt;""),1,0)</f>
      </c>
    </row>
    <row r="10" spans="1:38" x14ac:dyDescent="0.2">
      <c r="A10" s="3"/>
      <c r="B10" s="3"/>
      <c r="C10" s="3"/>
      <c r="D10" s="3"/>
      <c r="E10" s="416">
        <f>AD9</f>
      </c>
      <c r="F10" s="3"/>
    </row>
    <row r="11" spans="1:38" ht="16.5" customHeight="1" x14ac:dyDescent="0.2">
      <c r="A11" s="3"/>
      <c r="B11" s="837" t="s">
        <v>1870</v>
      </c>
      <c r="C11" s="128"/>
      <c r="D11" s="128"/>
      <c r="E11" s="174"/>
      <c r="F11" s="3"/>
    </row>
    <row r="12" spans="1:38" x14ac:dyDescent="0.2">
      <c r="A12" s="3"/>
      <c r="B12" s="838" t="s">
        <v>3987</v>
      </c>
      <c r="C12" s="523"/>
      <c r="D12" s="339"/>
      <c r="E12" s="61" t="str">
        <f>IF(AND(D12="",I14&gt;0),re,"")</f>
        <v/>
      </c>
      <c r="F12" s="3"/>
      <c r="G12" s="28">
        <f>IF(E12=re,1,0)</f>
      </c>
    </row>
    <row r="13" spans="1:38" x14ac:dyDescent="0.2">
      <c r="A13" s="3"/>
      <c r="B13" s="838" t="s">
        <v>49</v>
      </c>
      <c r="C13" s="523"/>
      <c r="D13" s="339"/>
      <c r="E13" s="61" t="str">
        <f>IF(AND(D13="",I14&gt;0),re,"")</f>
        <v/>
      </c>
      <c r="F13" s="3"/>
      <c r="G13" s="28">
        <f>IF(E13=re,1,0)</f>
      </c>
    </row>
    <row r="14" spans="1:38" x14ac:dyDescent="0.2">
      <c r="A14" s="3"/>
      <c r="B14" s="1355" t="s">
        <v>2713</v>
      </c>
      <c r="C14" s="549"/>
      <c r="D14" s="339"/>
      <c r="E14" s="61" t="str">
        <f>IF(AND(D14="",I14&gt;0),re,"")</f>
        <v/>
      </c>
      <c r="F14" s="3"/>
      <c r="G14" s="28">
        <f>IF(E14=re,1,0)</f>
      </c>
      <c r="I14" s="28">
        <f>COUNT(D12:D14)</f>
      </c>
    </row>
    <row r="15" spans="1:38" x14ac:dyDescent="0.2">
      <c r="A15" s="3"/>
      <c r="B15" s="838" t="s">
        <v>121</v>
      </c>
      <c r="C15" s="523"/>
      <c r="D15" s="337"/>
      <c r="E15" s="223"/>
      <c r="F15" s="812" t="str">
        <f>IF(AND(I14&gt;0,E15=""),re,IF(E15&lt;&gt;AD15,"Check!",""))</f>
        <v/>
      </c>
      <c r="G15" s="28">
        <f>IF(F15=re,1,0)</f>
      </c>
      <c r="P15" s="28">
        <f>(J15+K15)*-1</f>
      </c>
      <c r="Q15" s="28">
        <f>COUNT(I15,J15,L15)</f>
      </c>
      <c r="R15" s="28">
        <f>COUNT(E15)</f>
      </c>
      <c r="U15" s="28">
        <f>COUNT(L15)</f>
      </c>
      <c r="V15" s="28">
        <f>COUNT(J15)</f>
      </c>
      <c r="W15" s="28">
        <f>COUNT(I15)</f>
      </c>
      <c r="AB15" s="28">
        <f>IF(AD15&gt;0,0,AD15)</f>
      </c>
      <c r="AC15" s="28">
        <f>IF(AD15&lt;0,0,AD15)</f>
      </c>
      <c r="AD15" s="28">
        <f>IF(OR(D13="",D13=0),D12,ROUND((D12/D13)*D14,0))</f>
      </c>
      <c r="AJ15" s="28">
        <f>IF(AND(G15=0,F15&lt;&gt;""),1,0)</f>
      </c>
    </row>
    <row r="16" spans="1:38" ht="18.75" customHeight="1" x14ac:dyDescent="0.2">
      <c r="A16" s="3"/>
      <c r="B16" s="3"/>
      <c r="C16" s="3"/>
      <c r="D16" s="3"/>
      <c r="E16" s="416">
        <f>AD15</f>
      </c>
      <c r="F16" s="3"/>
      <c r="G16" s="28">
        <f>SUM(G2:G15)</f>
      </c>
      <c r="I16" s="28">
        <f>SUM(I8,I14)</f>
      </c>
      <c r="AJ16" s="177">
        <f>AJ9+AJ15</f>
      </c>
    </row>
    <row r="17" spans="1:7" x14ac:dyDescent="0.2">
      <c r="A17" s="3"/>
      <c r="B17" s="138" t="s">
        <v>3908</v>
      </c>
      <c r="C17" s="128"/>
      <c r="D17" s="174"/>
      <c r="E17" s="405">
        <f>E9+E15</f>
      </c>
      <c r="F17" s="3"/>
    </row>
    <row r="18" spans="1:7" x14ac:dyDescent="0.2">
      <c r="A18" s="3"/>
      <c r="B18" s="3"/>
      <c r="C18" s="3"/>
      <c r="D18" s="3"/>
      <c r="E18" s="3"/>
      <c r="F18" s="3"/>
      <c r="G18" s="28">
        <f>IF(AND(I16=0,AK2=0),0,IF(G16&lt;&gt;0,100,IF(E19=D92,1,100)))</f>
      </c>
    </row>
    <row r="19" spans="1:7" x14ac:dyDescent="0.2">
      <c r="A19" s="3"/>
      <c r="B19" s="3"/>
      <c r="C19" s="3"/>
      <c r="D19" s="851" t="str">
        <f>COM</f>
      </c>
      <c r="E19" s="331"/>
      <c r="F19" s="3"/>
    </row>
    <row r="20" spans="1:7" x14ac:dyDescent="0.2">
      <c r="A20" s="3"/>
      <c r="B20" s="3"/>
      <c r="C20" s="3"/>
      <c r="D20" s="3"/>
      <c r="E20" s="3"/>
      <c r="F20" s="3"/>
    </row>
    <row r="21" spans="1:7" x14ac:dyDescent="0.2">
      <c r="A21" s="3"/>
      <c r="B21" s="3" t="str">
        <f>_xlfn.SINGLE(MTCA)</f>
      </c>
      <c r="C21" s="3"/>
      <c r="D21" s="3"/>
      <c r="E21" s="539" t="s">
        <v>3344</v>
      </c>
      <c r="F21" s="3"/>
    </row>
    <row r="22" spans="1:7" ht="24.75" customHeight="1" x14ac:dyDescent="0.2">
      <c r="A22" s="3"/>
      <c r="B22" s="1175" t="s">
        <v>436</v>
      </c>
      <c r="C22" s="3"/>
      <c r="D22" s="3"/>
      <c r="E22" s="3"/>
      <c r="F22" s="3"/>
    </row>
    <row r="92" spans="4:4" hidden="1" x14ac:dyDescent="0.2">
      <c r="D92" s="28" t="s">
        <v>4457</v>
      </c>
    </row>
    <row r="93" spans="4:4" hidden="1" x14ac:dyDescent="0.2">
      <c r="D93" s="28" t="s">
        <v>1736</v>
      </c>
    </row>
  </sheetData>
  <sheetProtection algorithmName="SHA-512" hashValue="4VE/tbF0t1k1UtL3d9yAcp0An0/GOiypX/5CP8Xru/oelWp2pEbEos6x28j3jaTH257IyBEG3ML84Co8CzUx9g==" saltValue="Ic5XpmLkRKDTl/aBHUNR5g==" spinCount="100000" sheet="1" objects="1" scenarios="1"/>
  <customSheetViews>
    <customSheetView guid="{99B5278F-6EA9-4B1A-8623-27A4DF4AD5E4}" hiddenRows="1" hiddenColumns="1">
      <pageMargins left="0.16" right="0.16" top="1" bottom="1" header="0.5" footer="0.5"/>
      <pageSetup paperSize="9" orientation="landscape" horizontalDpi="300" verticalDpi="300" r:id="rId1"/>
      <headerFooter alignWithMargins="0">
        <oddFooter>&amp;LName&amp;CSignature&amp;RDate</oddFooter>
      </headerFooter>
    </customSheetView>
  </customSheetViews>
  <mergeCells count="2">
    <mergeCell ref="B2:E2"/>
    <mergeCell ref="B3:E3"/>
  </mergeCells>
  <phoneticPr fontId="110" type="noConversion"/>
  <conditionalFormatting sqref="F9">
    <cfRule type="expression" dxfId="611" priority="2" stopIfTrue="1">
      <formula>$F$9=re</formula>
    </cfRule>
  </conditionalFormatting>
  <conditionalFormatting sqref="F15">
    <cfRule type="expression" dxfId="610" priority="1" stopIfTrue="1">
      <formula>$F$15=re</formula>
    </cfRule>
  </conditionalFormatting>
  <dataValidations count="9">
    <dataValidation type="whole" errorStyle="warning" allowBlank="1" showInputMessage="1" showErrorMessage="1" errorTitle="Mgt. Services Income allocated" error="Check value entered for chargeable income BEFORE tax!" sqref="E15" xr:uid="{00000000-0002-0000-2A00-000000000000}">
      <formula1>AB15</formula1>
      <formula2>AC15</formula2>
    </dataValidation>
    <dataValidation type="whole" errorStyle="warning" allowBlank="1" showInputMessage="1" showErrorMessage="1" errorTitle="Accomodation Income Apportioned" error="Check value entered for chargeable income BEFORE tax!" sqref="E9" xr:uid="{00000000-0002-0000-2A00-000001000000}">
      <formula1>AB9</formula1>
      <formula2>AC9</formula2>
    </dataValidation>
    <dataValidation type="whole" operator="greaterThanOrEqual" allowBlank="1" showInputMessage="1" showErrorMessage="1" errorTitle="Mangt. Serv. - 5% Vatable Sales" error="Please enter a positive value!" sqref="D14" xr:uid="{00000000-0002-0000-2A00-000002000000}">
      <formula1>0</formula1>
    </dataValidation>
    <dataValidation type="whole" operator="greaterThanOrEqual" allowBlank="1" showInputMessage="1" showErrorMessage="1" errorTitle="Management Service - Total sales" error="Please enter a positive value!" sqref="D13" xr:uid="{00000000-0002-0000-2A00-000003000000}">
      <formula1>0</formula1>
    </dataValidation>
    <dataValidation type="whole" operator="greaterThanOrEqual" allowBlank="1" showInputMessage="1" showErrorMessage="1" errorTitle="Management Services - Income" error="Please enter a positive value!" sqref="D12" xr:uid="{00000000-0002-0000-2A00-000004000000}">
      <formula1>0</formula1>
    </dataValidation>
    <dataValidation type="whole" operator="greaterThanOrEqual" allowBlank="1" showInputMessage="1" showErrorMessage="1" errorTitle="Accomodation - Total sales" error="Please enter a positive value!" sqref="D7" xr:uid="{00000000-0002-0000-2A00-000005000000}">
      <formula1>0</formula1>
    </dataValidation>
    <dataValidation type="whole" operator="greaterThanOrEqual" allowBlank="1" showInputMessage="1" showErrorMessage="1" errorTitle="Accomodation - 5% Vatable Sales" error="Please enter a positive value!" sqref="D8" xr:uid="{00000000-0002-0000-2A00-000006000000}">
      <formula1>0</formula1>
    </dataValidation>
    <dataValidation type="whole" errorStyle="warning" operator="greaterThanOrEqual" allowBlank="1" showInputMessage="1" showErrorMessage="1" errorTitle="Accomodation - Income" error="Please enter a positive value!" sqref="D6" xr:uid="{00000000-0002-0000-2A00-000007000000}">
      <formula1>0</formula1>
    </dataValidation>
    <dataValidation type="list" allowBlank="1" showInputMessage="1" showErrorMessage="1" sqref="E19" xr:uid="{00000000-0002-0000-2A00-000008000000}">
      <formula1>$D$91:$D$93</formula1>
    </dataValidation>
  </dataValidations>
  <hyperlinks>
    <hyperlink ref="B22" location="Index!A1" display="BACK TO INDEX" xr:uid="{00000000-0004-0000-2A00-000000000000}"/>
  </hyperlinks>
  <pageMargins left="0.19685039370078741" right="0.19685039370078741" top="0.62992125984251968" bottom="0.98425196850393704" header="0.51181102362204722" footer="0.51181102362204722"/>
  <pageSetup paperSize="9" scale="95" orientation="landscape" r:id="rId2"/>
  <headerFooter alignWithMargins="0">
    <oddFooter>&amp;LName&amp;CSignature&amp;RDate</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63">
    <pageSetUpPr fitToPage="1"/>
  </sheetPr>
  <dimension ref="A1:CD46"/>
  <sheetViews>
    <sheetView showZeros="0" topLeftCell="B2" workbookViewId="0">
      <selection activeCell="L2" sqref="L1:XFD1048576"/>
    </sheetView>
  </sheetViews>
  <sheetFormatPr defaultColWidth="0" defaultRowHeight="12.75" customHeight="1" zeroHeight="1" x14ac:dyDescent="0.2"/>
  <cols>
    <col min="1" max="1" width="0" style="1634" hidden="1" customWidth="1"/>
    <col min="2" max="2" width="0.5703125" style="1634" customWidth="1"/>
    <col min="3" max="3" width="15.42578125" style="1634" customWidth="1"/>
    <col min="4" max="4" width="16.7109375" style="1634" customWidth="1"/>
    <col min="5" max="5" width="51.28515625" style="1634" customWidth="1"/>
    <col min="6" max="6" width="10.5703125" style="1634" customWidth="1"/>
    <col min="7" max="7" width="16.28515625" style="1634" customWidth="1"/>
    <col min="8" max="8" width="11.28515625" style="1634" customWidth="1"/>
    <col min="9" max="9" width="11.5703125" style="1634" customWidth="1"/>
    <col min="10" max="10" width="20" style="1634" customWidth="1"/>
    <col min="11" max="11" width="1.28515625" style="1634" customWidth="1"/>
    <col min="12" max="12" width="1.42578125" style="1634" hidden="1" customWidth="1"/>
    <col min="13" max="18" width="10.7109375" style="1634" hidden="1" customWidth="1"/>
    <col min="19" max="20" width="13.28515625" style="1634" hidden="1" customWidth="1"/>
    <col min="21" max="23" width="9.28515625" style="1634" hidden="1" customWidth="1"/>
    <col min="24" max="24" width="28.7109375" style="1634" hidden="1" customWidth="1"/>
    <col min="25" max="26" width="9.28515625" style="1634" hidden="1" customWidth="1"/>
    <col min="27" max="27" width="10.28515625" style="1634" hidden="1" customWidth="1"/>
    <col min="28" max="28" width="9.28515625" style="1634" hidden="1" customWidth="1"/>
    <col min="29" max="29" width="24.42578125" style="1634" hidden="1" customWidth="1"/>
    <col min="30" max="80" width="9.28515625" style="1634" hidden="1" customWidth="1"/>
    <col min="81" max="81" width="14.42578125" style="1634" hidden="1" customWidth="1"/>
    <col min="82" max="82" width="10.28515625" style="1634" hidden="1" customWidth="1"/>
    <col min="83" max="16384" width="9.28515625" style="1634" hidden="1"/>
  </cols>
  <sheetData>
    <row r="1" spans="1:39" s="1736" customFormat="1" ht="12.75" hidden="1" customHeight="1" x14ac:dyDescent="0.2"/>
    <row r="2" spans="1:39" s="1736" customFormat="1" x14ac:dyDescent="0.2">
      <c r="B2" s="1780"/>
      <c r="C2" s="4408" t="str">
        <f>_ref1</f>
      </c>
      <c r="D2" s="4408"/>
      <c r="E2" s="4408"/>
      <c r="F2" s="4408"/>
      <c r="G2" s="4408"/>
      <c r="H2" s="4408"/>
      <c r="I2" s="539" t="str">
        <f>_YA1</f>
      </c>
      <c r="J2" s="61"/>
      <c r="K2" s="1"/>
      <c r="T2" s="1736" t="s">
        <v>723</v>
      </c>
    </row>
    <row r="3" spans="1:39" s="1736" customFormat="1" ht="3.75" customHeight="1" x14ac:dyDescent="0.2">
      <c r="B3" s="1780"/>
      <c r="C3" s="1780"/>
      <c r="D3" s="1780"/>
      <c r="E3" s="1780"/>
      <c r="F3" s="1780"/>
      <c r="G3" s="1780"/>
      <c r="H3" s="1780"/>
      <c r="I3" s="1780"/>
      <c r="J3" s="61"/>
      <c r="K3" s="1"/>
      <c r="T3" s="1736" t="s">
        <v>724</v>
      </c>
      <c r="Y3" s="1736" t="s">
        <v>4591</v>
      </c>
    </row>
    <row r="4" spans="1:39" s="1736" customFormat="1" ht="18" x14ac:dyDescent="0.25">
      <c r="B4" s="1780"/>
      <c r="C4" s="772" t="s">
        <v>7712</v>
      </c>
      <c r="D4" s="1772"/>
      <c r="E4" s="1772"/>
      <c r="F4" s="1772"/>
      <c r="G4" s="1772"/>
      <c r="H4" s="1772"/>
      <c r="I4" s="2151"/>
      <c r="J4" s="61"/>
      <c r="K4" s="1"/>
      <c r="T4" s="1736" t="s">
        <v>5580</v>
      </c>
      <c r="W4" s="1736" t="s">
        <v>4457</v>
      </c>
    </row>
    <row r="5" spans="1:39" s="1736" customFormat="1" ht="18" x14ac:dyDescent="0.25">
      <c r="B5" s="1780"/>
      <c r="C5" s="807" t="s">
        <v>725</v>
      </c>
      <c r="D5" s="1774"/>
      <c r="E5" s="1774"/>
      <c r="F5" s="1774"/>
      <c r="G5" s="1774"/>
      <c r="H5" s="1774"/>
      <c r="I5" s="2152"/>
      <c r="J5" s="61"/>
      <c r="K5" s="1"/>
      <c r="P5" s="1736">
        <f>COUNTA(F9,F11,I15:I29)</f>
      </c>
      <c r="W5" s="1736" t="s">
        <v>1736</v>
      </c>
      <c r="AM5" s="1736" t="s">
        <v>130</v>
      </c>
    </row>
    <row r="6" spans="1:39" s="1736" customFormat="1" ht="3" customHeight="1" x14ac:dyDescent="0.2">
      <c r="B6" s="1780"/>
      <c r="C6" s="1780"/>
      <c r="D6" s="1780"/>
      <c r="E6" s="1780"/>
      <c r="F6" s="1780"/>
      <c r="G6" s="1780"/>
      <c r="H6" s="1780"/>
      <c r="I6" s="1780"/>
      <c r="J6" s="61"/>
      <c r="K6" s="1"/>
    </row>
    <row r="7" spans="1:39" s="1736" customFormat="1" ht="20.25" customHeight="1" x14ac:dyDescent="0.2">
      <c r="B7" s="1780"/>
      <c r="C7" s="626" t="s">
        <v>124</v>
      </c>
      <c r="D7" s="2153"/>
      <c r="E7" s="1744"/>
      <c r="F7" s="2153"/>
      <c r="G7" s="1780"/>
      <c r="H7" s="1780"/>
      <c r="I7" s="1780"/>
      <c r="J7" s="61"/>
      <c r="K7" s="1"/>
    </row>
    <row r="8" spans="1:39" s="1736" customFormat="1" ht="3" customHeight="1" x14ac:dyDescent="0.2">
      <c r="B8" s="1780"/>
      <c r="C8" s="1780"/>
      <c r="D8" s="1780"/>
      <c r="E8" s="1780"/>
      <c r="F8" s="1780"/>
      <c r="G8" s="1780"/>
      <c r="H8" s="1780"/>
      <c r="I8" s="1780"/>
      <c r="J8" s="1780"/>
      <c r="K8" s="1"/>
    </row>
    <row r="9" spans="1:39" s="1736" customFormat="1" ht="12.75" customHeight="1" x14ac:dyDescent="0.2">
      <c r="B9" s="1780"/>
      <c r="C9" s="618" t="s">
        <v>965</v>
      </c>
      <c r="D9" s="185"/>
      <c r="E9" s="185"/>
      <c r="F9" s="2154"/>
      <c r="G9" s="1130" t="str">
        <f>IF($P$5=0,"",IF(F9="",re,IF(COUNT(I15:I28)&gt;F9,"Check number of athletes/sports organisations!","")))</f>
        <v/>
      </c>
      <c r="H9" s="61"/>
      <c r="I9" s="61"/>
      <c r="J9" s="61" t="s">
        <v>1020</v>
      </c>
      <c r="K9" s="1"/>
      <c r="M9" s="1736">
        <f>IF(G9="",0,1)</f>
      </c>
      <c r="T9" s="1736" t="s">
        <v>125</v>
      </c>
    </row>
    <row r="10" spans="1:39" s="1736" customFormat="1" ht="3" customHeight="1" x14ac:dyDescent="0.2">
      <c r="B10" s="1780"/>
      <c r="C10" s="814"/>
      <c r="D10" s="814"/>
      <c r="E10" s="814"/>
      <c r="F10" s="814"/>
      <c r="G10" s="814"/>
      <c r="H10" s="61"/>
      <c r="I10" s="61"/>
      <c r="J10" s="61"/>
      <c r="K10" s="1"/>
    </row>
    <row r="11" spans="1:39" s="1736" customFormat="1" ht="12.75" customHeight="1" x14ac:dyDescent="0.2">
      <c r="B11" s="1780"/>
      <c r="C11" s="618" t="s">
        <v>133</v>
      </c>
      <c r="D11" s="272"/>
      <c r="E11" s="272"/>
      <c r="F11" s="1137"/>
      <c r="G11" s="1130" t="str">
        <f>IF($P$5=0,"",IF(F11="",re,IF(F11=W5,nd,"")))</f>
        <v/>
      </c>
      <c r="H11" s="795"/>
      <c r="I11" s="795"/>
      <c r="J11" s="795" t="s">
        <v>1020</v>
      </c>
      <c r="K11" s="1"/>
      <c r="M11" s="1736">
        <f>IF(G11="",0,1)</f>
      </c>
      <c r="T11" s="1736">
        <f>IF(G11=nd,1,0)</f>
      </c>
    </row>
    <row r="12" spans="1:39" s="1736" customFormat="1" ht="20.25" customHeight="1" x14ac:dyDescent="0.2">
      <c r="B12" s="1780"/>
      <c r="C12" s="1356" t="s">
        <v>131</v>
      </c>
      <c r="D12" s="1780"/>
      <c r="E12" s="1780"/>
      <c r="F12" s="1780"/>
      <c r="G12" s="1780"/>
      <c r="H12" s="1780"/>
      <c r="I12" s="1780"/>
      <c r="J12" s="1780"/>
      <c r="K12" s="1"/>
    </row>
    <row r="13" spans="1:39" s="1736" customFormat="1" ht="3" customHeight="1" x14ac:dyDescent="0.2">
      <c r="B13" s="1780"/>
      <c r="C13" s="1780"/>
      <c r="D13" s="1780"/>
      <c r="E13" s="1780"/>
      <c r="F13" s="1780"/>
      <c r="G13" s="1780"/>
      <c r="H13" s="1780"/>
      <c r="I13" s="1780"/>
      <c r="J13" s="1780"/>
      <c r="K13" s="1"/>
    </row>
    <row r="14" spans="1:39" s="1736" customFormat="1" ht="72" customHeight="1" x14ac:dyDescent="0.2">
      <c r="B14" s="1780"/>
      <c r="C14" s="4905" t="s">
        <v>134</v>
      </c>
      <c r="D14" s="4906"/>
      <c r="E14" s="400" t="s">
        <v>126</v>
      </c>
      <c r="F14" s="400" t="s">
        <v>1581</v>
      </c>
      <c r="G14" s="400" t="s">
        <v>132</v>
      </c>
      <c r="H14" s="400" t="s">
        <v>6933</v>
      </c>
      <c r="I14" s="400" t="s">
        <v>4738</v>
      </c>
      <c r="J14" s="1780"/>
      <c r="K14" s="1"/>
      <c r="O14" s="1736">
        <f>IF(F11&lt;&gt;W4,0,F9)</f>
      </c>
    </row>
    <row r="15" spans="1:39" ht="12.75" customHeight="1" x14ac:dyDescent="0.2">
      <c r="A15" s="1736"/>
      <c r="B15" s="1780"/>
      <c r="C15" s="4904"/>
      <c r="D15" s="4904"/>
      <c r="E15" s="1138"/>
      <c r="F15" s="1139"/>
      <c r="G15" s="1139"/>
      <c r="H15" s="1140"/>
      <c r="I15" s="1141"/>
      <c r="J15" s="222" t="str">
        <f t="shared" ref="J15:J28" si="0">IF(O15=0,"",IF(P15&lt;&gt;Q15,adet,IF(OR(H15&lt;$AC$15,H15&gt;$AD$15),"Check date of donation!","")))</f>
        <v/>
      </c>
      <c r="K15" s="1132"/>
      <c r="M15" s="1634">
        <f t="shared" ref="M15:M28" si="1">IF(J15=adet,1,0)</f>
      </c>
      <c r="O15" s="1634">
        <f>IF(O14=0,0,IF(I14&gt;0,O14,0))</f>
      </c>
      <c r="P15" s="1634">
        <f>COUNTA(C15:I15)</f>
      </c>
      <c r="Q15" s="1634">
        <v>6</v>
      </c>
      <c r="T15" s="1634">
        <f t="shared" ref="T15:T29" si="2">IF(OR(J15=adet,J15=""),0,1)</f>
      </c>
      <c r="AA15" s="2155">
        <f>IF('p1'!G66="",DATE(ya-1,1,1),'p1'!G66)</f>
      </c>
      <c r="AB15" s="2156">
        <f>IF('p1'!M66="",DATE(ya-1,12,31),'p1'!M66)</f>
      </c>
      <c r="AC15" s="2156">
        <f>IF(YEAR(AA15)&lt;ya-2,DATE(ya-1,1,1),AA15)</f>
      </c>
      <c r="AD15" s="2156">
        <f>IF(ISERROR(AB15),DATE(ya-1,12,31),AB15)</f>
      </c>
    </row>
    <row r="16" spans="1:39" ht="12.75" customHeight="1" x14ac:dyDescent="0.2">
      <c r="B16" s="1782"/>
      <c r="C16" s="4904"/>
      <c r="D16" s="4904"/>
      <c r="E16" s="1138"/>
      <c r="F16" s="1139"/>
      <c r="G16" s="1139"/>
      <c r="H16" s="1140"/>
      <c r="I16" s="1141"/>
      <c r="J16" s="222" t="str">
        <f t="shared" si="0"/>
        <v/>
      </c>
      <c r="K16" s="1132"/>
      <c r="M16" s="1634">
        <f t="shared" si="1"/>
        <v>0</v>
      </c>
      <c r="O16" s="1634">
        <f t="shared" ref="O16:O23" si="3">IF(O15=0,0,IF(I15&gt;0,O15-1,0))</f>
      </c>
      <c r="P16" s="1634">
        <f t="shared" ref="P16:P28" si="4">COUNTA(C16:I16)</f>
      </c>
      <c r="Q16" s="1634">
        <v>6</v>
      </c>
      <c r="T16" s="1634">
        <f t="shared" si="2"/>
        <v>0</v>
      </c>
    </row>
    <row r="17" spans="2:26" ht="12.75" customHeight="1" x14ac:dyDescent="0.2">
      <c r="B17" s="1782"/>
      <c r="C17" s="4904"/>
      <c r="D17" s="4904"/>
      <c r="E17" s="1138"/>
      <c r="F17" s="1139"/>
      <c r="G17" s="1139"/>
      <c r="H17" s="1140"/>
      <c r="I17" s="1141"/>
      <c r="J17" s="222" t="str">
        <f t="shared" si="0"/>
        <v/>
      </c>
      <c r="K17" s="1132"/>
      <c r="M17" s="1634">
        <f t="shared" si="1"/>
        <v>0</v>
      </c>
      <c r="O17" s="1634">
        <f t="shared" si="3"/>
        <v>0</v>
      </c>
      <c r="P17" s="1634">
        <f t="shared" si="4"/>
        <v>0</v>
      </c>
      <c r="Q17" s="1634">
        <v>6</v>
      </c>
      <c r="T17" s="1634">
        <f t="shared" si="2"/>
        <v>0</v>
      </c>
    </row>
    <row r="18" spans="2:26" ht="12.75" customHeight="1" x14ac:dyDescent="0.2">
      <c r="B18" s="1782"/>
      <c r="C18" s="4904"/>
      <c r="D18" s="4904"/>
      <c r="E18" s="1138"/>
      <c r="F18" s="1139"/>
      <c r="G18" s="1139"/>
      <c r="H18" s="1140"/>
      <c r="I18" s="1141"/>
      <c r="J18" s="222" t="str">
        <f t="shared" si="0"/>
        <v/>
      </c>
      <c r="K18" s="1132"/>
      <c r="M18" s="1634">
        <f t="shared" si="1"/>
        <v>0</v>
      </c>
      <c r="O18" s="1634">
        <f t="shared" si="3"/>
        <v>0</v>
      </c>
      <c r="P18" s="1634">
        <f t="shared" si="4"/>
        <v>0</v>
      </c>
      <c r="Q18" s="1634">
        <v>6</v>
      </c>
      <c r="T18" s="1634">
        <f t="shared" si="2"/>
        <v>0</v>
      </c>
    </row>
    <row r="19" spans="2:26" ht="12.75" customHeight="1" x14ac:dyDescent="0.2">
      <c r="B19" s="1782"/>
      <c r="C19" s="4904"/>
      <c r="D19" s="4904"/>
      <c r="E19" s="1138"/>
      <c r="F19" s="1139"/>
      <c r="G19" s="1139"/>
      <c r="H19" s="1140"/>
      <c r="I19" s="1141"/>
      <c r="J19" s="222" t="str">
        <f t="shared" si="0"/>
        <v/>
      </c>
      <c r="K19" s="1132"/>
      <c r="M19" s="1634">
        <f t="shared" si="1"/>
        <v>0</v>
      </c>
      <c r="O19" s="1634">
        <f t="shared" si="3"/>
        <v>0</v>
      </c>
      <c r="P19" s="1634">
        <f t="shared" si="4"/>
        <v>0</v>
      </c>
      <c r="Q19" s="1634">
        <v>6</v>
      </c>
      <c r="T19" s="1634">
        <f t="shared" si="2"/>
        <v>0</v>
      </c>
    </row>
    <row r="20" spans="2:26" ht="12.75" customHeight="1" x14ac:dyDescent="0.2">
      <c r="B20" s="1782"/>
      <c r="C20" s="4904"/>
      <c r="D20" s="4904"/>
      <c r="E20" s="1138"/>
      <c r="F20" s="1139"/>
      <c r="G20" s="1139"/>
      <c r="H20" s="1140"/>
      <c r="I20" s="1141"/>
      <c r="J20" s="222" t="str">
        <f t="shared" si="0"/>
        <v/>
      </c>
      <c r="K20" s="1132"/>
      <c r="M20" s="1634">
        <f t="shared" si="1"/>
        <v>0</v>
      </c>
      <c r="O20" s="1634">
        <f t="shared" si="3"/>
        <v>0</v>
      </c>
      <c r="P20" s="1634">
        <f t="shared" si="4"/>
        <v>0</v>
      </c>
      <c r="Q20" s="1634">
        <v>6</v>
      </c>
      <c r="T20" s="1634">
        <f t="shared" si="2"/>
        <v>0</v>
      </c>
    </row>
    <row r="21" spans="2:26" ht="12.75" customHeight="1" x14ac:dyDescent="0.2">
      <c r="B21" s="1782"/>
      <c r="C21" s="4904"/>
      <c r="D21" s="4904"/>
      <c r="E21" s="1138"/>
      <c r="F21" s="1139"/>
      <c r="G21" s="1139"/>
      <c r="H21" s="1140"/>
      <c r="I21" s="1141"/>
      <c r="J21" s="222" t="str">
        <f t="shared" si="0"/>
        <v/>
      </c>
      <c r="K21" s="1132"/>
      <c r="M21" s="1634">
        <f t="shared" si="1"/>
        <v>0</v>
      </c>
      <c r="O21" s="1634">
        <f t="shared" si="3"/>
        <v>0</v>
      </c>
      <c r="P21" s="1634">
        <f t="shared" si="4"/>
        <v>0</v>
      </c>
      <c r="Q21" s="1634">
        <v>6</v>
      </c>
      <c r="T21" s="1634">
        <f t="shared" si="2"/>
        <v>0</v>
      </c>
    </row>
    <row r="22" spans="2:26" ht="12.75" customHeight="1" x14ac:dyDescent="0.2">
      <c r="B22" s="1782"/>
      <c r="C22" s="4904"/>
      <c r="D22" s="4904"/>
      <c r="E22" s="1138"/>
      <c r="F22" s="1139"/>
      <c r="G22" s="1139"/>
      <c r="H22" s="1140"/>
      <c r="I22" s="1141"/>
      <c r="J22" s="222" t="str">
        <f t="shared" si="0"/>
        <v/>
      </c>
      <c r="K22" s="1132"/>
      <c r="M22" s="1634">
        <f t="shared" si="1"/>
        <v>0</v>
      </c>
      <c r="O22" s="1634">
        <f t="shared" si="3"/>
        <v>0</v>
      </c>
      <c r="P22" s="1634">
        <f t="shared" si="4"/>
        <v>0</v>
      </c>
      <c r="Q22" s="1634">
        <v>6</v>
      </c>
      <c r="T22" s="1634">
        <f t="shared" si="2"/>
        <v>0</v>
      </c>
    </row>
    <row r="23" spans="2:26" ht="12.75" customHeight="1" x14ac:dyDescent="0.2">
      <c r="B23" s="1782"/>
      <c r="C23" s="4904"/>
      <c r="D23" s="4904"/>
      <c r="E23" s="1138"/>
      <c r="F23" s="1139"/>
      <c r="G23" s="1139"/>
      <c r="H23" s="1140"/>
      <c r="I23" s="1141"/>
      <c r="J23" s="222" t="str">
        <f t="shared" si="0"/>
        <v/>
      </c>
      <c r="K23" s="1132"/>
      <c r="M23" s="1634">
        <f t="shared" si="1"/>
        <v>0</v>
      </c>
      <c r="O23" s="1634">
        <f t="shared" si="3"/>
        <v>0</v>
      </c>
      <c r="P23" s="1634">
        <f t="shared" si="4"/>
        <v>0</v>
      </c>
      <c r="Q23" s="1634">
        <v>6</v>
      </c>
      <c r="T23" s="1634">
        <f t="shared" si="2"/>
        <v>0</v>
      </c>
    </row>
    <row r="24" spans="2:26" ht="12.75" customHeight="1" x14ac:dyDescent="0.2">
      <c r="B24" s="1782"/>
      <c r="C24" s="4904"/>
      <c r="D24" s="4904"/>
      <c r="E24" s="1138"/>
      <c r="F24" s="1139"/>
      <c r="G24" s="1139"/>
      <c r="H24" s="1140"/>
      <c r="I24" s="1141"/>
      <c r="J24" s="222" t="str">
        <f t="shared" si="0"/>
        <v/>
      </c>
      <c r="K24" s="1132"/>
      <c r="M24" s="1634">
        <f t="shared" si="1"/>
        <v>0</v>
      </c>
      <c r="O24" s="1634">
        <f>IF(O23=0,0,IF(I23&gt;0,O23-1,0))</f>
      </c>
      <c r="P24" s="1634">
        <f t="shared" si="4"/>
        <v>0</v>
      </c>
      <c r="Q24" s="1634">
        <v>6</v>
      </c>
      <c r="T24" s="1634">
        <f t="shared" si="2"/>
        <v>0</v>
      </c>
    </row>
    <row r="25" spans="2:26" ht="12.75" customHeight="1" x14ac:dyDescent="0.2">
      <c r="B25" s="1782"/>
      <c r="C25" s="4904"/>
      <c r="D25" s="4904"/>
      <c r="E25" s="1138"/>
      <c r="F25" s="1139"/>
      <c r="G25" s="1139"/>
      <c r="H25" s="1140"/>
      <c r="I25" s="1141"/>
      <c r="J25" s="222" t="str">
        <f t="shared" si="0"/>
        <v/>
      </c>
      <c r="K25" s="1132"/>
      <c r="M25" s="1634">
        <f t="shared" si="1"/>
        <v>0</v>
      </c>
      <c r="O25" s="1634">
        <f>IF(O24=0,0,IF(I24&gt;0,O24-1,0))</f>
      </c>
      <c r="P25" s="1634">
        <f t="shared" si="4"/>
        <v>0</v>
      </c>
      <c r="Q25" s="1634">
        <v>6</v>
      </c>
      <c r="T25" s="1634">
        <f t="shared" si="2"/>
        <v>0</v>
      </c>
    </row>
    <row r="26" spans="2:26" ht="12.75" customHeight="1" x14ac:dyDescent="0.2">
      <c r="B26" s="1782"/>
      <c r="C26" s="4904"/>
      <c r="D26" s="4904"/>
      <c r="E26" s="1138"/>
      <c r="F26" s="1139"/>
      <c r="G26" s="1139"/>
      <c r="H26" s="1140"/>
      <c r="I26" s="1141"/>
      <c r="J26" s="222" t="str">
        <f t="shared" si="0"/>
        <v/>
      </c>
      <c r="K26" s="1132"/>
      <c r="M26" s="1634">
        <f t="shared" si="1"/>
        <v>0</v>
      </c>
      <c r="O26" s="1634">
        <f>IF(O25=0,0,IF(I25&gt;0,O25-1,0))</f>
      </c>
      <c r="P26" s="1634">
        <f t="shared" si="4"/>
        <v>0</v>
      </c>
      <c r="Q26" s="1634">
        <v>6</v>
      </c>
      <c r="T26" s="1634">
        <f t="shared" si="2"/>
        <v>0</v>
      </c>
    </row>
    <row r="27" spans="2:26" ht="12.75" customHeight="1" x14ac:dyDescent="0.2">
      <c r="B27" s="1782"/>
      <c r="C27" s="4904"/>
      <c r="D27" s="4904"/>
      <c r="E27" s="1138"/>
      <c r="F27" s="1139"/>
      <c r="G27" s="1139"/>
      <c r="H27" s="1140"/>
      <c r="I27" s="1141"/>
      <c r="J27" s="222" t="str">
        <f t="shared" si="0"/>
        <v/>
      </c>
      <c r="K27" s="1132"/>
      <c r="M27" s="1634">
        <f t="shared" si="1"/>
        <v>0</v>
      </c>
      <c r="O27" s="1634">
        <f>IF(O26=0,0,IF(I26&gt;0,O26-1,0))</f>
      </c>
      <c r="P27" s="1634">
        <f t="shared" si="4"/>
        <v>0</v>
      </c>
      <c r="Q27" s="1634">
        <v>6</v>
      </c>
      <c r="T27" s="1634">
        <f t="shared" si="2"/>
        <v>0</v>
      </c>
    </row>
    <row r="28" spans="2:26" ht="12.75" customHeight="1" x14ac:dyDescent="0.2">
      <c r="B28" s="1782"/>
      <c r="C28" s="4904"/>
      <c r="D28" s="4904"/>
      <c r="E28" s="1138"/>
      <c r="F28" s="1139"/>
      <c r="G28" s="1139"/>
      <c r="H28" s="1140"/>
      <c r="I28" s="1141"/>
      <c r="J28" s="222" t="str">
        <f t="shared" si="0"/>
        <v/>
      </c>
      <c r="K28" s="1132"/>
      <c r="M28" s="1634">
        <f t="shared" si="1"/>
        <v>0</v>
      </c>
      <c r="O28" s="1634">
        <f>IF(O27=0,0,IF(I27&gt;0,O27-1,0))</f>
      </c>
      <c r="P28" s="1634">
        <f t="shared" si="4"/>
        <v>0</v>
      </c>
      <c r="Q28" s="1634">
        <v>6</v>
      </c>
      <c r="T28" s="1634">
        <f t="shared" si="2"/>
        <v>0</v>
      </c>
    </row>
    <row r="29" spans="2:26" ht="14.25" x14ac:dyDescent="0.2">
      <c r="B29" s="1782"/>
      <c r="C29" s="740" t="s">
        <v>127</v>
      </c>
      <c r="D29" s="1744"/>
      <c r="E29" s="1142"/>
      <c r="F29" s="1744"/>
      <c r="G29" s="1143"/>
      <c r="H29" s="1357" t="s">
        <v>3130</v>
      </c>
      <c r="I29" s="1141"/>
      <c r="J29" s="222" t="str">
        <f>IF(N29=0,"",IF(I29="",re,IF(AND(cur=Y3,I29&gt;60000),"More than € 60,000!",IF(I29&lt;&gt;N30,"Check Total!",""))))</f>
        <v/>
      </c>
      <c r="K29" s="1132"/>
      <c r="M29" s="1634">
        <f>IF(J29="",0,1)</f>
      </c>
      <c r="N29" s="2157">
        <f>SUM(I15:I28)</f>
      </c>
      <c r="T29" s="1634">
        <f t="shared" si="2"/>
        <v>0</v>
      </c>
    </row>
    <row r="30" spans="2:26" ht="12.75" customHeight="1" x14ac:dyDescent="0.2">
      <c r="B30" s="1782"/>
      <c r="C30" s="1340" t="str">
        <f>IF(cur="","Indicate currency on page 1!",X30)</f>
      </c>
      <c r="D30" s="1780"/>
      <c r="E30" s="1780"/>
      <c r="F30" s="1780"/>
      <c r="G30" s="1780"/>
      <c r="H30" s="1780"/>
      <c r="I30" s="466">
        <f>IF(G11=nd,0,IF(AND(cur=Y3,N29&gt;60000),60000,N29))</f>
      </c>
      <c r="J30" s="1780"/>
      <c r="K30" s="1132"/>
      <c r="N30" s="2157">
        <f>IF(G11=nd,0,N29)</f>
      </c>
      <c r="X30" s="1634" t="str">
        <f>IF(cur=Y3,Y30,Z30)</f>
      </c>
      <c r="Y30" s="1634" t="s">
        <v>128</v>
      </c>
      <c r="Z30" s="1634" t="s">
        <v>129</v>
      </c>
    </row>
    <row r="31" spans="2:26" x14ac:dyDescent="0.2">
      <c r="B31" s="1782"/>
      <c r="C31" s="1780"/>
      <c r="D31" s="1780"/>
      <c r="E31" s="610" t="s">
        <v>4456</v>
      </c>
      <c r="F31" s="1137"/>
      <c r="G31" s="2150" t="str">
        <f>IF(AND(P5&gt;0,F31=""),re,"")</f>
        <v/>
      </c>
      <c r="H31" s="1780"/>
      <c r="I31" s="1780"/>
      <c r="J31" s="1780"/>
      <c r="K31" s="1132"/>
      <c r="M31" s="1634">
        <f>SUM(M9:M29)</f>
      </c>
      <c r="T31" s="1634">
        <f>SUM(T11:T29)</f>
      </c>
    </row>
    <row r="32" spans="2:26" s="1133" customFormat="1" ht="18" customHeight="1" x14ac:dyDescent="0.2">
      <c r="B32" s="1134"/>
      <c r="C32" s="1134" t="str">
        <f>_xlfn.SINGLE(MTCA)</f>
      </c>
      <c r="D32" s="1134"/>
      <c r="E32" s="1131" t="str">
        <f>ver</f>
        <v>TA2_e-CO_2025_Ver 1.1</v>
      </c>
      <c r="F32" s="1134"/>
      <c r="G32" s="1134"/>
      <c r="H32" s="1134"/>
      <c r="I32" s="1131" t="s">
        <v>210</v>
      </c>
      <c r="J32" s="1134"/>
      <c r="K32" s="1135"/>
    </row>
    <row r="33" spans="2:13" x14ac:dyDescent="0.2">
      <c r="B33" s="1782"/>
      <c r="C33" s="4903" t="s">
        <v>1700</v>
      </c>
      <c r="D33" s="4903"/>
      <c r="E33" s="1782"/>
      <c r="F33" s="1782"/>
      <c r="G33" s="1782"/>
      <c r="H33" s="1782"/>
      <c r="I33" s="1782"/>
      <c r="J33" s="1782"/>
      <c r="K33" s="1132"/>
      <c r="M33" s="1192">
        <f>IF(P5=0,0,IF(M31&gt;0,100,IF(F31&lt;&gt;y,100,1)))</f>
      </c>
    </row>
    <row r="34" spans="2:13" x14ac:dyDescent="0.2">
      <c r="B34" s="1782"/>
      <c r="C34" s="1782"/>
      <c r="D34" s="1782"/>
      <c r="E34" s="1782"/>
      <c r="F34" s="1782"/>
      <c r="G34" s="1782"/>
      <c r="H34" s="1782"/>
      <c r="I34" s="1782"/>
      <c r="J34" s="1782"/>
      <c r="K34" s="1132"/>
    </row>
    <row r="36" spans="2:13" ht="3.75" hidden="1" customHeight="1" x14ac:dyDescent="0.2"/>
    <row r="42" spans="2:13" ht="3" hidden="1" customHeight="1" x14ac:dyDescent="0.2"/>
    <row r="44" spans="2:13" ht="57" hidden="1" customHeight="1" x14ac:dyDescent="0.2"/>
    <row r="46" spans="2:13" ht="14.25" hidden="1" customHeight="1" x14ac:dyDescent="0.2"/>
  </sheetData>
  <sheetProtection algorithmName="SHA-512" hashValue="tetmeMaZLuMgoTf/l/zh7jIPz8B+G25dmWOicBeC52cx/kMnDUj5zNg4nbeir7tA07v8NuQJQJIlNV9yN+IxYQ==" saltValue="n6oCjC0C2p6Zbue2qcU3Lg==" spinCount="100000" sheet="1" objects="1" scenarios="1"/>
  <customSheetViews>
    <customSheetView guid="{99B5278F-6EA9-4B1A-8623-27A4DF4AD5E4}" fitToPage="1" hiddenRows="1" hiddenColumns="1" topLeftCell="B2">
      <selection activeCell="F9" sqref="F9"/>
      <pageMargins left="0.16" right="0.15748031496062992" top="0.56000000000000005" bottom="0.98425196850393704" header="0.51181102362204722" footer="0.36"/>
      <printOptions horizontalCentered="1" verticalCentered="1"/>
      <pageSetup paperSize="9" scale="97" orientation="landscape" r:id="rId1"/>
      <headerFooter alignWithMargins="0">
        <oddFooter>&amp;LName&amp;CSignature&amp;RDate</oddFooter>
      </headerFooter>
    </customSheetView>
  </customSheetViews>
  <mergeCells count="17">
    <mergeCell ref="C2:H2"/>
    <mergeCell ref="C14:D14"/>
    <mergeCell ref="C15:D15"/>
    <mergeCell ref="C22:D22"/>
    <mergeCell ref="C16:D16"/>
    <mergeCell ref="C17:D17"/>
    <mergeCell ref="C18:D18"/>
    <mergeCell ref="C19:D19"/>
    <mergeCell ref="C20:D20"/>
    <mergeCell ref="C33:D33"/>
    <mergeCell ref="C21:D21"/>
    <mergeCell ref="C23:D23"/>
    <mergeCell ref="C24:D24"/>
    <mergeCell ref="C27:D27"/>
    <mergeCell ref="C25:D25"/>
    <mergeCell ref="C26:D26"/>
    <mergeCell ref="C28:D28"/>
  </mergeCells>
  <phoneticPr fontId="119" type="noConversion"/>
  <conditionalFormatting sqref="G11">
    <cfRule type="expression" dxfId="609" priority="2" stopIfTrue="1">
      <formula>$G$11=nd</formula>
    </cfRule>
  </conditionalFormatting>
  <conditionalFormatting sqref="H11:J11">
    <cfRule type="cellIs" dxfId="608" priority="4" stopIfTrue="1" operator="equal">
      <formula>re</formula>
    </cfRule>
  </conditionalFormatting>
  <conditionalFormatting sqref="J15:J28">
    <cfRule type="expression" dxfId="607" priority="1" stopIfTrue="1">
      <formula>$J15&lt;&gt;adet</formula>
    </cfRule>
  </conditionalFormatting>
  <conditionalFormatting sqref="J28:J29">
    <cfRule type="expression" dxfId="606" priority="3" stopIfTrue="1">
      <formula>$J$29=ck</formula>
    </cfRule>
  </conditionalFormatting>
  <dataValidations count="8">
    <dataValidation type="list" allowBlank="1" showInputMessage="1" showErrorMessage="1" sqref="F11 F31" xr:uid="{00000000-0002-0000-2B00-000000000000}">
      <formula1>$W$3:$W$5</formula1>
    </dataValidation>
    <dataValidation type="textLength" operator="greaterThanOrEqual" allowBlank="1" showInputMessage="1" showErrorMessage="1" errorTitle="Name of Recipient" error="Please enter the full name and surname of recipient!" sqref="C15:D28" xr:uid="{00000000-0002-0000-2B00-000001000000}">
      <formula1>7</formula1>
    </dataValidation>
    <dataValidation type="textLength" operator="greaterThanOrEqual" allowBlank="1" showInputMessage="1" showErrorMessage="1" errorTitle="Purpose of donation" error="Please give a proper description!" sqref="E15:E28" xr:uid="{00000000-0002-0000-2B00-000002000000}">
      <formula1>10</formula1>
    </dataValidation>
    <dataValidation type="textLength" allowBlank="1" showInputMessage="1" showErrorMessage="1" errorTitle="IT registration number" error="Please indicate the correct tax number!" sqref="F15:F28" xr:uid="{00000000-0002-0000-2B00-000003000000}">
      <formula1>4</formula1>
      <formula2>9</formula2>
    </dataValidation>
    <dataValidation type="textLength" operator="greaterThanOrEqual" allowBlank="1" showInputMessage="1" showErrorMessage="1" errorTitle="Certificate number" error="Please indicate the correct certificate number!" sqref="G15:G28" xr:uid="{00000000-0002-0000-2B00-000004000000}">
      <formula1>4</formula1>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8" xr:uid="{00000000-0002-0000-2B00-000005000000}">
      <formula1>$AC$15</formula1>
      <formula2>$AD$15</formula2>
    </dataValidation>
    <dataValidation type="whole" operator="greaterThanOrEqual" allowBlank="1" showInputMessage="1" showErrorMessage="1" errorTitle="Value of donation" error="Please enter a positive value!" sqref="I15:I28" xr:uid="{00000000-0002-0000-2B00-000006000000}">
      <formula1>0</formula1>
    </dataValidation>
    <dataValidation type="whole" operator="greaterThan" allowBlank="1" showInputMessage="1" showErrorMessage="1" errorTitle="Number of athletes" error="Please enter a numeric value!" sqref="F9" xr:uid="{00000000-0002-0000-2B00-000007000000}">
      <formula1>0</formula1>
    </dataValidation>
  </dataValidations>
  <hyperlinks>
    <hyperlink ref="C33" location="Index!A1" display="BACK TO INDEX" xr:uid="{00000000-0004-0000-2B00-000000000000}"/>
    <hyperlink ref="H29" location="TRA60!A1" display="TRA 60" xr:uid="{00000000-0004-0000-2B00-000001000000}"/>
    <hyperlink ref="C33:D33" location="Index!A1" display="B A C K   T O  I N D E X" xr:uid="{00000000-0004-0000-2B00-000002000000}"/>
  </hyperlinks>
  <printOptions horizontalCentered="1" verticalCentered="1"/>
  <pageMargins left="0.16" right="0.15748031496062992" top="0.56000000000000005" bottom="0.98425196850393704" header="0.51181102362204722" footer="0.36"/>
  <pageSetup paperSize="9" scale="96" orientation="landscape" r:id="rId2"/>
  <headerFooter alignWithMargins="0">
    <oddFooter>&amp;LName&amp;CSignature&amp;RDate</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64">
    <pageSetUpPr fitToPage="1"/>
  </sheetPr>
  <dimension ref="A1:CD46"/>
  <sheetViews>
    <sheetView topLeftCell="B2" workbookViewId="0">
      <selection activeCell="C2" sqref="C2:H2"/>
    </sheetView>
  </sheetViews>
  <sheetFormatPr defaultColWidth="0" defaultRowHeight="12.75" customHeight="1" zeroHeight="1" x14ac:dyDescent="0.2"/>
  <cols>
    <col min="1" max="1" width="0" style="142" hidden="1" customWidth="1"/>
    <col min="2" max="2" width="0.5703125" style="142" customWidth="1"/>
    <col min="3" max="3" width="15.42578125" style="142" customWidth="1"/>
    <col min="4" max="4" width="16.7109375" style="142" customWidth="1"/>
    <col min="5" max="5" width="50.28515625" style="142" customWidth="1"/>
    <col min="6" max="6" width="10.5703125" style="142" customWidth="1"/>
    <col min="7" max="7" width="13.28515625" style="142" customWidth="1"/>
    <col min="8" max="8" width="11.28515625" style="142" customWidth="1"/>
    <col min="9" max="9" width="12.28515625" style="142" customWidth="1"/>
    <col min="10" max="10" width="19" style="142" customWidth="1"/>
    <col min="11" max="11" width="1.28515625" style="142" customWidth="1"/>
    <col min="12" max="12" width="1.42578125" style="142" hidden="1" customWidth="1"/>
    <col min="13" max="18" width="10.7109375" style="142" hidden="1" customWidth="1"/>
    <col min="19" max="20" width="13.28515625" style="142" hidden="1" customWidth="1"/>
    <col min="21" max="23" width="9.28515625" style="142" hidden="1" customWidth="1"/>
    <col min="24" max="24" width="28.7109375" style="142" hidden="1" customWidth="1"/>
    <col min="25" max="26" width="9.28515625" style="142" hidden="1" customWidth="1"/>
    <col min="27" max="27" width="10.28515625" style="142" hidden="1" customWidth="1"/>
    <col min="28" max="28" width="9.28515625" style="142" hidden="1" customWidth="1"/>
    <col min="29" max="29" width="24.42578125" style="142" hidden="1" customWidth="1"/>
    <col min="30" max="80" width="9.28515625" style="142" hidden="1" customWidth="1"/>
    <col min="81" max="81" width="14.42578125" style="142" hidden="1" customWidth="1"/>
    <col min="82" max="82" width="10.28515625" style="142" hidden="1" customWidth="1"/>
    <col min="83" max="16384" width="9.28515625" style="142" hidden="1"/>
  </cols>
  <sheetData>
    <row r="1" spans="1:39" s="28" customFormat="1" hidden="1" x14ac:dyDescent="0.2"/>
    <row r="2" spans="1:39" s="28" customFormat="1" x14ac:dyDescent="0.2">
      <c r="B2" s="3"/>
      <c r="C2" s="4408" t="str">
        <f>_ref1</f>
      </c>
      <c r="D2" s="4408"/>
      <c r="E2" s="4408"/>
      <c r="F2" s="4408"/>
      <c r="G2" s="4408"/>
      <c r="H2" s="4408"/>
      <c r="I2" s="539" t="str">
        <f>_YA1</f>
      </c>
      <c r="J2" s="61"/>
      <c r="K2" s="1"/>
      <c r="T2" s="28" t="s">
        <v>723</v>
      </c>
    </row>
    <row r="3" spans="1:39" s="28" customFormat="1" ht="3.75" customHeight="1" x14ac:dyDescent="0.2">
      <c r="B3" s="3"/>
      <c r="C3" s="3"/>
      <c r="D3" s="3"/>
      <c r="E3" s="3"/>
      <c r="F3" s="3"/>
      <c r="G3" s="3"/>
      <c r="H3" s="3"/>
      <c r="I3" s="3"/>
      <c r="J3" s="61"/>
      <c r="K3" s="1"/>
      <c r="T3" s="28" t="s">
        <v>724</v>
      </c>
      <c r="Y3" s="28" t="s">
        <v>4591</v>
      </c>
    </row>
    <row r="4" spans="1:39" s="28" customFormat="1" ht="18" x14ac:dyDescent="0.25">
      <c r="B4" s="3"/>
      <c r="C4" s="4891" t="s">
        <v>7711</v>
      </c>
      <c r="D4" s="4892"/>
      <c r="E4" s="4892"/>
      <c r="F4" s="4892"/>
      <c r="G4" s="4892"/>
      <c r="H4" s="4892"/>
      <c r="I4" s="4893"/>
      <c r="J4" s="61"/>
      <c r="K4" s="1"/>
      <c r="W4" s="28" t="s">
        <v>4457</v>
      </c>
    </row>
    <row r="5" spans="1:39" s="28" customFormat="1" ht="18" x14ac:dyDescent="0.25">
      <c r="B5" s="3"/>
      <c r="C5" s="807" t="s">
        <v>725</v>
      </c>
      <c r="D5" s="180"/>
      <c r="E5" s="180"/>
      <c r="F5" s="180"/>
      <c r="G5" s="180"/>
      <c r="H5" s="180"/>
      <c r="I5" s="181"/>
      <c r="J5" s="61"/>
      <c r="K5" s="1"/>
      <c r="P5" s="1742">
        <f>COUNTA(F9,F11,I15:I27,I29)</f>
      </c>
      <c r="W5" s="28" t="s">
        <v>1736</v>
      </c>
      <c r="AM5" s="28" t="s">
        <v>130</v>
      </c>
    </row>
    <row r="6" spans="1:39" s="28" customFormat="1" ht="3" customHeight="1" x14ac:dyDescent="0.2">
      <c r="B6" s="3"/>
      <c r="C6" s="3"/>
      <c r="D6" s="3"/>
      <c r="E6" s="3"/>
      <c r="F6" s="3"/>
      <c r="G6" s="3"/>
      <c r="H6" s="3"/>
      <c r="I6" s="3"/>
      <c r="J6" s="61"/>
      <c r="K6" s="1"/>
    </row>
    <row r="7" spans="1:39" s="28" customFormat="1" ht="20.25" customHeight="1" x14ac:dyDescent="0.2">
      <c r="B7" s="3"/>
      <c r="C7" s="2077" t="s">
        <v>7466</v>
      </c>
      <c r="D7" s="174"/>
      <c r="E7" s="128"/>
      <c r="F7" s="174"/>
      <c r="G7" s="128"/>
      <c r="H7" s="128"/>
      <c r="I7" s="174"/>
      <c r="J7" s="61"/>
      <c r="K7" s="1"/>
    </row>
    <row r="8" spans="1:39" s="28" customFormat="1" ht="3" customHeight="1" x14ac:dyDescent="0.2">
      <c r="B8" s="3"/>
      <c r="C8" s="3"/>
      <c r="D8" s="3"/>
      <c r="E8" s="3"/>
      <c r="F8" s="3"/>
      <c r="G8" s="3"/>
      <c r="H8" s="3"/>
      <c r="I8" s="3"/>
      <c r="J8" s="3"/>
      <c r="K8" s="1"/>
    </row>
    <row r="9" spans="1:39" s="28" customFormat="1" ht="12.75" customHeight="1" x14ac:dyDescent="0.2">
      <c r="B9" s="3"/>
      <c r="C9" s="618" t="s">
        <v>368</v>
      </c>
      <c r="D9" s="185"/>
      <c r="E9" s="185"/>
      <c r="F9" s="1136"/>
      <c r="G9" s="1130" t="str">
        <f>IF($P$5=0,"",IF(F9="",re,IF(COUNT(I15:I27)&gt;F9,"Check number of donations!","")))</f>
        <v/>
      </c>
      <c r="H9" s="61"/>
      <c r="I9" s="61"/>
      <c r="J9" s="61" t="s">
        <v>1020</v>
      </c>
      <c r="K9" s="1"/>
      <c r="M9" s="28">
        <f>IF(G9="",0,1)</f>
      </c>
      <c r="T9" s="28" t="s">
        <v>125</v>
      </c>
    </row>
    <row r="10" spans="1:39" s="28" customFormat="1" ht="3" customHeight="1" x14ac:dyDescent="0.2">
      <c r="B10" s="3"/>
      <c r="C10" s="814"/>
      <c r="D10" s="814"/>
      <c r="E10" s="814"/>
      <c r="F10" s="814"/>
      <c r="G10" s="814"/>
      <c r="H10" s="61"/>
      <c r="I10" s="61"/>
      <c r="J10" s="61"/>
      <c r="K10" s="1"/>
    </row>
    <row r="11" spans="1:39" s="28" customFormat="1" ht="12.75" customHeight="1" x14ac:dyDescent="0.2">
      <c r="B11" s="3"/>
      <c r="C11" s="618" t="s">
        <v>133</v>
      </c>
      <c r="D11" s="272"/>
      <c r="E11" s="272"/>
      <c r="F11" s="1137"/>
      <c r="G11" s="1130" t="str">
        <f>IF($P$5=0,"",IF(F11="",re,IF(F11=W5,nd,"")))</f>
        <v/>
      </c>
      <c r="H11" s="795"/>
      <c r="I11" s="795"/>
      <c r="J11" s="795" t="s">
        <v>1020</v>
      </c>
      <c r="K11" s="1"/>
      <c r="M11" s="28">
        <f>IF(G11="",0,1)</f>
      </c>
      <c r="T11" s="28">
        <f>IF(G11=nd,1,0)</f>
      </c>
    </row>
    <row r="12" spans="1:39" s="28" customFormat="1" ht="20.25" customHeight="1" x14ac:dyDescent="0.2">
      <c r="B12" s="3"/>
      <c r="C12" s="1356" t="s">
        <v>7465</v>
      </c>
      <c r="D12" s="3"/>
      <c r="E12" s="3"/>
      <c r="F12" s="3"/>
      <c r="G12" s="3"/>
      <c r="H12" s="3"/>
      <c r="I12" s="3"/>
      <c r="J12" s="3"/>
      <c r="K12" s="1"/>
    </row>
    <row r="13" spans="1:39" s="28" customFormat="1" ht="3" customHeight="1" x14ac:dyDescent="0.2">
      <c r="B13" s="3"/>
      <c r="C13" s="3"/>
      <c r="D13" s="3"/>
      <c r="E13" s="3"/>
      <c r="F13" s="3"/>
      <c r="G13" s="3"/>
      <c r="H13" s="3"/>
      <c r="I13" s="3"/>
      <c r="J13" s="3"/>
      <c r="K13" s="1"/>
    </row>
    <row r="14" spans="1:39" s="28" customFormat="1" ht="72" customHeight="1" x14ac:dyDescent="0.2">
      <c r="B14" s="3"/>
      <c r="C14" s="4905" t="s">
        <v>1027</v>
      </c>
      <c r="D14" s="4906"/>
      <c r="E14" s="400" t="s">
        <v>126</v>
      </c>
      <c r="F14" s="400" t="s">
        <v>1581</v>
      </c>
      <c r="G14" s="400" t="s">
        <v>7467</v>
      </c>
      <c r="H14" s="400" t="s">
        <v>6933</v>
      </c>
      <c r="I14" s="400" t="s">
        <v>4738</v>
      </c>
      <c r="J14" s="3"/>
      <c r="K14" s="1"/>
      <c r="O14" s="28">
        <f>IF(F11&lt;&gt;W4,0,F9)</f>
      </c>
    </row>
    <row r="15" spans="1:39" ht="12.75" customHeight="1" x14ac:dyDescent="0.2">
      <c r="A15" s="28"/>
      <c r="B15" s="3"/>
      <c r="C15" s="4904"/>
      <c r="D15" s="4904"/>
      <c r="E15" s="1138"/>
      <c r="F15" s="1139"/>
      <c r="G15" s="1139"/>
      <c r="H15" s="1140"/>
      <c r="I15" s="1141"/>
      <c r="J15" s="222" t="str">
        <f t="shared" ref="J15:J27" si="0">IF(O15=0,"",IF(P15&lt;&gt;Q15,adet,IF(OR(H15&lt;$AC$15,H15&gt;$AD$15),"Check date of donation!","")))</f>
        <v/>
      </c>
      <c r="K15" s="1132"/>
      <c r="M15" s="142">
        <f t="shared" ref="M15:M28" si="1">IF(J15=adet,1,0)</f>
      </c>
      <c r="O15" s="142">
        <f>IF(O14=0,0,IF(I14&gt;0,O14,0))</f>
      </c>
      <c r="P15" s="142">
        <f>COUNTA(C15:I15)</f>
      </c>
      <c r="Q15" s="142">
        <v>6</v>
      </c>
      <c r="T15" s="142">
        <f t="shared" ref="T15:T28" si="2">IF(OR(J15=adet,J15=""),0,1)</f>
      </c>
      <c r="AA15" s="1190">
        <f>IF('p1'!G66="",DATE(ya-1,1,1),'p1'!G66)</f>
      </c>
      <c r="AB15" s="1191">
        <f>IF('p1'!M66="",DATE(ya-1,12,31),'p1'!M66)</f>
      </c>
      <c r="AC15" s="1191">
        <f>IF(YEAR(AA15)&lt;ya-2,DATE(ya-1,1,1),AA15)</f>
      </c>
      <c r="AD15" s="1191">
        <f>IF(ISERROR(AB15),DATE(ya-1,12,31),AB15)</f>
      </c>
    </row>
    <row r="16" spans="1:39" ht="12.75" customHeight="1" x14ac:dyDescent="0.2">
      <c r="B16" s="211"/>
      <c r="C16" s="4904"/>
      <c r="D16" s="4904"/>
      <c r="E16" s="1138"/>
      <c r="F16" s="1139"/>
      <c r="G16" s="1139"/>
      <c r="H16" s="1140"/>
      <c r="I16" s="1141"/>
      <c r="J16" s="222" t="str">
        <f t="shared" si="0"/>
        <v/>
      </c>
      <c r="K16" s="1132"/>
      <c r="M16" s="142">
        <f t="shared" si="1"/>
        <v>0</v>
      </c>
      <c r="O16" s="142">
        <f t="shared" ref="O16:O23" si="3">IF(O15=0,0,IF(I15&gt;0,O15-1,0))</f>
      </c>
      <c r="P16" s="142">
        <f t="shared" ref="P16:P28" si="4">COUNTA(C16:I16)</f>
      </c>
      <c r="Q16" s="142">
        <v>6</v>
      </c>
      <c r="T16" s="142">
        <f t="shared" si="2"/>
        <v>0</v>
      </c>
    </row>
    <row r="17" spans="2:26" ht="12.75" customHeight="1" x14ac:dyDescent="0.2">
      <c r="B17" s="211"/>
      <c r="C17" s="4904"/>
      <c r="D17" s="4904"/>
      <c r="E17" s="1138"/>
      <c r="F17" s="1139"/>
      <c r="G17" s="1139"/>
      <c r="H17" s="1140"/>
      <c r="I17" s="1141"/>
      <c r="J17" s="222" t="str">
        <f t="shared" si="0"/>
        <v/>
      </c>
      <c r="K17" s="1132"/>
      <c r="M17" s="142">
        <f t="shared" si="1"/>
        <v>0</v>
      </c>
      <c r="O17" s="142">
        <f t="shared" si="3"/>
        <v>0</v>
      </c>
      <c r="P17" s="142">
        <f t="shared" si="4"/>
        <v>0</v>
      </c>
      <c r="Q17" s="142">
        <v>6</v>
      </c>
      <c r="T17" s="142">
        <f t="shared" si="2"/>
        <v>0</v>
      </c>
    </row>
    <row r="18" spans="2:26" ht="12.75" customHeight="1" x14ac:dyDescent="0.2">
      <c r="B18" s="211"/>
      <c r="C18" s="4904"/>
      <c r="D18" s="4904"/>
      <c r="E18" s="1138"/>
      <c r="F18" s="1139"/>
      <c r="G18" s="1139"/>
      <c r="H18" s="1140"/>
      <c r="I18" s="1141"/>
      <c r="J18" s="222" t="str">
        <f t="shared" si="0"/>
        <v/>
      </c>
      <c r="K18" s="1132"/>
      <c r="M18" s="142">
        <f t="shared" si="1"/>
        <v>0</v>
      </c>
      <c r="O18" s="142">
        <f t="shared" si="3"/>
        <v>0</v>
      </c>
      <c r="P18" s="142">
        <f t="shared" si="4"/>
        <v>0</v>
      </c>
      <c r="Q18" s="142">
        <v>6</v>
      </c>
      <c r="T18" s="142">
        <f t="shared" si="2"/>
        <v>0</v>
      </c>
    </row>
    <row r="19" spans="2:26" ht="12.75" customHeight="1" x14ac:dyDescent="0.2">
      <c r="B19" s="211"/>
      <c r="C19" s="4904"/>
      <c r="D19" s="4904"/>
      <c r="E19" s="1138"/>
      <c r="F19" s="1139"/>
      <c r="G19" s="1139"/>
      <c r="H19" s="1140"/>
      <c r="I19" s="1141"/>
      <c r="J19" s="222" t="str">
        <f t="shared" si="0"/>
        <v/>
      </c>
      <c r="K19" s="1132"/>
      <c r="M19" s="142">
        <f t="shared" si="1"/>
        <v>0</v>
      </c>
      <c r="O19" s="142">
        <f t="shared" si="3"/>
        <v>0</v>
      </c>
      <c r="P19" s="142">
        <f t="shared" si="4"/>
        <v>0</v>
      </c>
      <c r="Q19" s="142">
        <v>6</v>
      </c>
      <c r="T19" s="142">
        <f t="shared" si="2"/>
        <v>0</v>
      </c>
    </row>
    <row r="20" spans="2:26" ht="12.75" customHeight="1" x14ac:dyDescent="0.2">
      <c r="B20" s="211"/>
      <c r="C20" s="4904"/>
      <c r="D20" s="4904"/>
      <c r="E20" s="1138"/>
      <c r="F20" s="1139"/>
      <c r="G20" s="1139"/>
      <c r="H20" s="1140"/>
      <c r="I20" s="1141"/>
      <c r="J20" s="222" t="str">
        <f t="shared" si="0"/>
        <v/>
      </c>
      <c r="K20" s="1132"/>
      <c r="M20" s="142">
        <f t="shared" si="1"/>
        <v>0</v>
      </c>
      <c r="O20" s="142">
        <f t="shared" si="3"/>
        <v>0</v>
      </c>
      <c r="P20" s="142">
        <f t="shared" si="4"/>
        <v>0</v>
      </c>
      <c r="Q20" s="142">
        <v>6</v>
      </c>
      <c r="T20" s="142">
        <f t="shared" si="2"/>
        <v>0</v>
      </c>
    </row>
    <row r="21" spans="2:26" ht="12.75" customHeight="1" x14ac:dyDescent="0.2">
      <c r="B21" s="211"/>
      <c r="C21" s="4904"/>
      <c r="D21" s="4904"/>
      <c r="E21" s="1138"/>
      <c r="F21" s="1139"/>
      <c r="G21" s="1139"/>
      <c r="H21" s="1140"/>
      <c r="I21" s="1141"/>
      <c r="J21" s="222" t="str">
        <f t="shared" si="0"/>
        <v/>
      </c>
      <c r="K21" s="1132"/>
      <c r="M21" s="142">
        <f t="shared" si="1"/>
        <v>0</v>
      </c>
      <c r="O21" s="142">
        <f t="shared" si="3"/>
        <v>0</v>
      </c>
      <c r="P21" s="142">
        <f t="shared" si="4"/>
        <v>0</v>
      </c>
      <c r="Q21" s="142">
        <v>6</v>
      </c>
      <c r="T21" s="142">
        <f t="shared" si="2"/>
        <v>0</v>
      </c>
    </row>
    <row r="22" spans="2:26" ht="12.75" customHeight="1" x14ac:dyDescent="0.2">
      <c r="B22" s="211"/>
      <c r="C22" s="4904"/>
      <c r="D22" s="4904"/>
      <c r="E22" s="1138"/>
      <c r="F22" s="1139"/>
      <c r="G22" s="1139"/>
      <c r="H22" s="1140"/>
      <c r="I22" s="1141"/>
      <c r="J22" s="222" t="str">
        <f t="shared" si="0"/>
        <v/>
      </c>
      <c r="K22" s="1132"/>
      <c r="M22" s="142">
        <f t="shared" si="1"/>
        <v>0</v>
      </c>
      <c r="O22" s="142">
        <f t="shared" si="3"/>
        <v>0</v>
      </c>
      <c r="P22" s="142">
        <f t="shared" si="4"/>
        <v>0</v>
      </c>
      <c r="Q22" s="142">
        <v>6</v>
      </c>
      <c r="T22" s="142">
        <f t="shared" si="2"/>
        <v>0</v>
      </c>
    </row>
    <row r="23" spans="2:26" ht="12.75" customHeight="1" x14ac:dyDescent="0.2">
      <c r="B23" s="211"/>
      <c r="C23" s="4904"/>
      <c r="D23" s="4904"/>
      <c r="E23" s="1138"/>
      <c r="F23" s="1139"/>
      <c r="G23" s="1139"/>
      <c r="H23" s="1140"/>
      <c r="I23" s="1141"/>
      <c r="J23" s="222" t="str">
        <f t="shared" si="0"/>
        <v/>
      </c>
      <c r="K23" s="1132"/>
      <c r="M23" s="142">
        <f t="shared" si="1"/>
        <v>0</v>
      </c>
      <c r="O23" s="142">
        <f t="shared" si="3"/>
        <v>0</v>
      </c>
      <c r="P23" s="142">
        <f t="shared" si="4"/>
        <v>0</v>
      </c>
      <c r="Q23" s="142">
        <v>6</v>
      </c>
      <c r="T23" s="142">
        <f t="shared" si="2"/>
        <v>0</v>
      </c>
    </row>
    <row r="24" spans="2:26" ht="12.75" customHeight="1" x14ac:dyDescent="0.2">
      <c r="B24" s="211"/>
      <c r="C24" s="4904"/>
      <c r="D24" s="4904"/>
      <c r="E24" s="1138"/>
      <c r="F24" s="1139"/>
      <c r="G24" s="1139"/>
      <c r="H24" s="1140"/>
      <c r="I24" s="1141"/>
      <c r="J24" s="222" t="str">
        <f t="shared" si="0"/>
        <v/>
      </c>
      <c r="K24" s="1132"/>
      <c r="M24" s="142">
        <f t="shared" si="1"/>
        <v>0</v>
      </c>
      <c r="O24" s="142">
        <f>IF(O23=0,0,IF(I23&gt;0,O23-1,0))</f>
      </c>
      <c r="P24" s="142">
        <f t="shared" si="4"/>
        <v>0</v>
      </c>
      <c r="Q24" s="142">
        <v>6</v>
      </c>
      <c r="T24" s="142">
        <f t="shared" si="2"/>
        <v>0</v>
      </c>
    </row>
    <row r="25" spans="2:26" ht="12.75" customHeight="1" x14ac:dyDescent="0.2">
      <c r="B25" s="211"/>
      <c r="C25" s="4904"/>
      <c r="D25" s="4904"/>
      <c r="E25" s="1138"/>
      <c r="F25" s="1139"/>
      <c r="G25" s="1139"/>
      <c r="H25" s="1140"/>
      <c r="I25" s="1141"/>
      <c r="J25" s="222" t="str">
        <f t="shared" si="0"/>
        <v/>
      </c>
      <c r="K25" s="1132"/>
      <c r="M25" s="142">
        <f t="shared" si="1"/>
        <v>0</v>
      </c>
      <c r="O25" s="142">
        <f>IF(O24=0,0,IF(I24&gt;0,O24-1,0))</f>
      </c>
      <c r="P25" s="142">
        <f t="shared" si="4"/>
        <v>0</v>
      </c>
      <c r="Q25" s="142">
        <v>6</v>
      </c>
      <c r="T25" s="142">
        <f t="shared" si="2"/>
        <v>0</v>
      </c>
    </row>
    <row r="26" spans="2:26" ht="12.75" customHeight="1" x14ac:dyDescent="0.2">
      <c r="B26" s="211"/>
      <c r="C26" s="4904"/>
      <c r="D26" s="4904"/>
      <c r="E26" s="1138"/>
      <c r="F26" s="1139"/>
      <c r="G26" s="1139"/>
      <c r="H26" s="1140"/>
      <c r="I26" s="1141"/>
      <c r="J26" s="222" t="str">
        <f t="shared" si="0"/>
        <v/>
      </c>
      <c r="K26" s="1132"/>
      <c r="M26" s="142">
        <f t="shared" si="1"/>
        <v>0</v>
      </c>
      <c r="O26" s="142">
        <f>IF(O25=0,0,IF(I25&gt;0,O25-1,0))</f>
      </c>
      <c r="P26" s="142">
        <f t="shared" si="4"/>
        <v>0</v>
      </c>
      <c r="Q26" s="142">
        <v>6</v>
      </c>
      <c r="T26" s="142">
        <f t="shared" si="2"/>
        <v>0</v>
      </c>
    </row>
    <row r="27" spans="2:26" ht="12.75" customHeight="1" x14ac:dyDescent="0.2">
      <c r="B27" s="211"/>
      <c r="C27" s="4904"/>
      <c r="D27" s="4904"/>
      <c r="E27" s="1138"/>
      <c r="F27" s="1139"/>
      <c r="G27" s="1139"/>
      <c r="H27" s="1140"/>
      <c r="I27" s="1141"/>
      <c r="J27" s="222" t="str">
        <f t="shared" si="0"/>
        <v/>
      </c>
      <c r="K27" s="1132"/>
      <c r="M27" s="142">
        <f t="shared" si="1"/>
        <v>0</v>
      </c>
      <c r="O27" s="142">
        <f>IF(O26=0,0,IF(I26&gt;0,O26-1,0))</f>
      </c>
      <c r="P27" s="142">
        <f t="shared" si="4"/>
        <v>0</v>
      </c>
      <c r="Q27" s="142">
        <v>6</v>
      </c>
      <c r="T27" s="142">
        <f t="shared" si="2"/>
        <v>0</v>
      </c>
    </row>
    <row r="28" spans="2:26" ht="12.75" customHeight="1" x14ac:dyDescent="0.2">
      <c r="B28" s="211"/>
      <c r="C28" s="740" t="s">
        <v>7683</v>
      </c>
      <c r="D28" s="128"/>
      <c r="E28" s="1142"/>
      <c r="F28" s="128"/>
      <c r="G28" s="1143"/>
      <c r="H28" s="2149"/>
      <c r="I28" s="2025">
        <f>SUM(I15:I27)</f>
      </c>
      <c r="J28" s="222"/>
      <c r="K28" s="1132"/>
      <c r="M28" s="142">
        <f t="shared" si="1"/>
        <v>0</v>
      </c>
      <c r="O28" s="142">
        <f>IF(O27=0,0,IF(I27&gt;0,O27-1,0))</f>
      </c>
      <c r="P28" s="142">
        <f t="shared" si="4"/>
        <v>2</v>
      </c>
      <c r="Q28" s="142">
        <v>6</v>
      </c>
      <c r="T28" s="142">
        <f t="shared" si="2"/>
        <v>0</v>
      </c>
    </row>
    <row r="29" spans="2:26" ht="14.25" x14ac:dyDescent="0.2">
      <c r="B29" s="211"/>
      <c r="C29" s="740" t="s">
        <v>7684</v>
      </c>
      <c r="D29" s="128"/>
      <c r="E29" s="1142"/>
      <c r="F29" s="128"/>
      <c r="G29" s="1143"/>
      <c r="H29" s="1357" t="s">
        <v>3130</v>
      </c>
      <c r="I29" s="1141"/>
      <c r="J29" s="572" t="str">
        <f>IF(N32=0,"",IF(I29="",re,IF(AND(cur=Y3,I29&gt;50000),"More than € 50,000!",IF(I29&lt;&gt;N32,"Check Total!",""))))</f>
        <v/>
      </c>
      <c r="K29" s="1132"/>
      <c r="M29" s="142">
        <f>IF(J29="",0,1)</f>
      </c>
      <c r="N29" s="2127">
        <f>SUM(I15:I27)</f>
      </c>
      <c r="T29" s="142">
        <f>IF(J29=ck,1,0)</f>
      </c>
    </row>
    <row r="30" spans="2:26" ht="12.75" customHeight="1" x14ac:dyDescent="0.2">
      <c r="B30" s="211"/>
      <c r="C30" s="1340" t="str">
        <f>IF(cur="","Indicate currency on page 1!",X30)</f>
      </c>
      <c r="D30" s="3"/>
      <c r="E30" s="3"/>
      <c r="F30" s="3"/>
      <c r="G30" s="3"/>
      <c r="H30" s="3"/>
      <c r="I30" s="466">
        <f>IF(G11=nd,0,IF(AND(cur=Y3,N32&gt;50000),50000,N32))</f>
      </c>
      <c r="J30" s="3"/>
      <c r="K30" s="1132"/>
      <c r="N30" s="2127">
        <f>IF(G11=nd,0,N29)</f>
      </c>
      <c r="X30" s="142" t="str">
        <f>IF(cur=Y3,Y30,Z30)</f>
      </c>
      <c r="Y30" s="142" t="s">
        <v>369</v>
      </c>
      <c r="Z30" s="142" t="s">
        <v>370</v>
      </c>
    </row>
    <row r="31" spans="2:26" x14ac:dyDescent="0.2">
      <c r="B31" s="211"/>
      <c r="C31" s="3"/>
      <c r="D31" s="3"/>
      <c r="E31" s="610" t="s">
        <v>4456</v>
      </c>
      <c r="F31" s="1137"/>
      <c r="G31" s="2150" t="str">
        <f>IF(AND(P5&gt;0,F31=""),re,"")</f>
        <v/>
      </c>
      <c r="H31" s="3"/>
      <c r="I31" s="3"/>
      <c r="J31" s="3"/>
      <c r="K31" s="1132"/>
      <c r="M31" s="142">
        <f>SUM(M9:M29)</f>
      </c>
      <c r="T31" s="142">
        <f>SUM(T11:T29)</f>
      </c>
    </row>
    <row r="32" spans="2:26" s="1133" customFormat="1" ht="18" customHeight="1" x14ac:dyDescent="0.2">
      <c r="B32" s="1134"/>
      <c r="C32" s="1134" t="str">
        <f>_xlfn.SINGLE(MTCA)</f>
      </c>
      <c r="D32" s="1134"/>
      <c r="E32" s="1131" t="str">
        <f>ver</f>
        <v>TA2_e-CO_2025_Ver 1.1</v>
      </c>
      <c r="F32" s="1134"/>
      <c r="G32" s="1134"/>
      <c r="H32" s="1134"/>
      <c r="I32" s="1131" t="s">
        <v>6171</v>
      </c>
      <c r="J32" s="1134"/>
      <c r="K32" s="1135"/>
      <c r="N32" s="2126">
        <f>IF(AND(cur=Y3,ROUND(I28*150%,0)&gt;50000),50000,ROUND(I28*150%,0))</f>
      </c>
    </row>
    <row r="33" spans="2:13" x14ac:dyDescent="0.2">
      <c r="B33" s="211"/>
      <c r="C33" s="4903" t="s">
        <v>1700</v>
      </c>
      <c r="D33" s="4903"/>
      <c r="E33" s="211"/>
      <c r="F33" s="211"/>
      <c r="G33" s="211"/>
      <c r="H33" s="211"/>
      <c r="I33" s="211"/>
      <c r="J33" s="211"/>
      <c r="K33" s="1132"/>
      <c r="M33" s="1192">
        <f>IF(P5=0,0,IF(M31&gt;0,100,IF(F31&lt;&gt;y,100,1)))</f>
      </c>
    </row>
    <row r="34" spans="2:13" x14ac:dyDescent="0.2">
      <c r="B34" s="211"/>
      <c r="C34" s="211"/>
      <c r="D34" s="211"/>
      <c r="E34" s="211"/>
      <c r="F34" s="211"/>
      <c r="G34" s="211"/>
      <c r="H34" s="211"/>
      <c r="I34" s="211"/>
      <c r="J34" s="211"/>
      <c r="K34" s="1132"/>
    </row>
    <row r="36" spans="2:13" ht="3.75" hidden="1" customHeight="1" x14ac:dyDescent="0.2"/>
    <row r="42" spans="2:13" ht="3" hidden="1" customHeight="1" x14ac:dyDescent="0.2"/>
    <row r="44" spans="2:13" ht="57" hidden="1" customHeight="1" x14ac:dyDescent="0.2"/>
    <row r="46" spans="2:13" ht="14.25" hidden="1" customHeight="1" x14ac:dyDescent="0.2"/>
  </sheetData>
  <sheetProtection algorithmName="SHA-512" hashValue="SMtMEZ2E+74xMwtRcBv3zcGkAU0Z7cT/nBjrE76mrLwhy0OpE2rCD2V2PuNQHU0tO/qJJdWCZT7dWdO9WssvhA==" saltValue="GW7kC0BL5J6+h/tg58dXPw==" spinCount="100000" sheet="1" objects="1" scenarios="1"/>
  <customSheetViews>
    <customSheetView guid="{99B5278F-6EA9-4B1A-8623-27A4DF4AD5E4}" fitToPage="1" hiddenRows="1" hiddenColumns="1" topLeftCell="B2">
      <selection activeCell="F9" sqref="F9"/>
      <pageMargins left="0.16" right="0.16" top="1" bottom="1" header="0.5" footer="0.5"/>
      <pageSetup paperSize="9" scale="99" orientation="landscape" r:id="rId1"/>
      <headerFooter alignWithMargins="0">
        <oddFooter>&amp;LName&amp;CSignature&amp;RDate</oddFooter>
      </headerFooter>
    </customSheetView>
  </customSheetViews>
  <mergeCells count="17">
    <mergeCell ref="C21:D21"/>
    <mergeCell ref="C22:D22"/>
    <mergeCell ref="C33:D33"/>
    <mergeCell ref="C25:D25"/>
    <mergeCell ref="C26:D26"/>
    <mergeCell ref="C27:D27"/>
    <mergeCell ref="C23:D23"/>
    <mergeCell ref="C24:D24"/>
    <mergeCell ref="C19:D19"/>
    <mergeCell ref="C20:D20"/>
    <mergeCell ref="C2:H2"/>
    <mergeCell ref="C14:D14"/>
    <mergeCell ref="C15:D15"/>
    <mergeCell ref="C16:D16"/>
    <mergeCell ref="C17:D17"/>
    <mergeCell ref="C18:D18"/>
    <mergeCell ref="C4:I4"/>
  </mergeCells>
  <phoneticPr fontId="119" type="noConversion"/>
  <conditionalFormatting sqref="G11">
    <cfRule type="expression" dxfId="605" priority="4" stopIfTrue="1">
      <formula>$G$11=nd</formula>
    </cfRule>
  </conditionalFormatting>
  <conditionalFormatting sqref="H11:J11">
    <cfRule type="cellIs" dxfId="604" priority="2" stopIfTrue="1" operator="equal">
      <formula>re</formula>
    </cfRule>
  </conditionalFormatting>
  <conditionalFormatting sqref="J15:J28">
    <cfRule type="expression" dxfId="603" priority="5" stopIfTrue="1">
      <formula>$J15&lt;&gt;adet</formula>
    </cfRule>
  </conditionalFormatting>
  <conditionalFormatting sqref="J29">
    <cfRule type="expression" dxfId="602" priority="1" stopIfTrue="1">
      <formula>$J$29=ck</formula>
    </cfRule>
  </conditionalFormatting>
  <dataValidations count="8">
    <dataValidation type="list" allowBlank="1" showInputMessage="1" showErrorMessage="1" sqref="F11 F31" xr:uid="{00000000-0002-0000-2C00-000000000000}">
      <formula1>$W$3:$W$5</formula1>
    </dataValidation>
    <dataValidation type="whole" operator="greaterThanOrEqual" allowBlank="1" showInputMessage="1" showErrorMessage="1" errorTitle="Value of donation" error="Please enter a positive value!" sqref="I15:I28" xr:uid="{00000000-0002-0000-2C00-000001000000}">
      <formula1>0</formula1>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7" xr:uid="{00000000-0002-0000-2C00-000002000000}">
      <formula1>$AC$15</formula1>
      <formula2>$AD$15</formula2>
    </dataValidation>
    <dataValidation type="textLength" operator="greaterThanOrEqual" allowBlank="1" showInputMessage="1" showErrorMessage="1" errorTitle="Certificate number" error="Please indicate the correct certificate number!" sqref="G15:G28" xr:uid="{00000000-0002-0000-2C00-000003000000}">
      <formula1>4</formula1>
    </dataValidation>
    <dataValidation type="textLength" allowBlank="1" showInputMessage="1" showErrorMessage="1" errorTitle="IT registration number" error="Please indicate the correct tax number!" sqref="F15:F28" xr:uid="{00000000-0002-0000-2C00-000004000000}">
      <formula1>4</formula1>
      <formula2>9</formula2>
    </dataValidation>
    <dataValidation type="textLength" operator="greaterThanOrEqual" allowBlank="1" showInputMessage="1" showErrorMessage="1" errorTitle="Purpose of donation" error="Please give a proper description!" sqref="E15:E28" xr:uid="{00000000-0002-0000-2C00-000005000000}">
      <formula1>10</formula1>
    </dataValidation>
    <dataValidation type="textLength" operator="greaterThanOrEqual" allowBlank="1" showInputMessage="1" showErrorMessage="1" errorTitle="Name of Recipient" error="Please enter the full name and surname of recipient!" sqref="C15:D28" xr:uid="{00000000-0002-0000-2C00-000006000000}">
      <formula1>7</formula1>
    </dataValidation>
    <dataValidation type="whole" operator="greaterThan" allowBlank="1" showInputMessage="1" showErrorMessage="1" errorTitle="Number of donations" error="Please enter a numeric value!" sqref="F9" xr:uid="{00000000-0002-0000-2C00-000007000000}">
      <formula1>0</formula1>
    </dataValidation>
  </dataValidations>
  <hyperlinks>
    <hyperlink ref="C33" location="Index!A1" display="BACK TO INDEX" xr:uid="{00000000-0004-0000-2C00-000000000000}"/>
    <hyperlink ref="H29" location="TRA60!A1" display="TRA 60" xr:uid="{00000000-0004-0000-2C00-000001000000}"/>
    <hyperlink ref="C33:D33" location="Index!A1" display="B A C K   T O  I N D E X" xr:uid="{00000000-0004-0000-2C00-000002000000}"/>
  </hyperlinks>
  <pageMargins left="0.16" right="0.16" top="1" bottom="1" header="0.5" footer="0.5"/>
  <pageSetup paperSize="9" scale="99" orientation="landscape" r:id="rId2"/>
  <headerFooter alignWithMargins="0">
    <oddFooter>&amp;LName&amp;CSignature&amp;RDate</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3">
    <pageSetUpPr fitToPage="1"/>
  </sheetPr>
  <dimension ref="A1:CD46"/>
  <sheetViews>
    <sheetView topLeftCell="B2" workbookViewId="0">
      <selection activeCell="E14" sqref="E14"/>
    </sheetView>
  </sheetViews>
  <sheetFormatPr defaultColWidth="0" defaultRowHeight="12.75" customHeight="1" zeroHeight="1" x14ac:dyDescent="0.2"/>
  <cols>
    <col min="1" max="1" width="0" style="142" hidden="1" customWidth="1"/>
    <col min="2" max="2" width="0.5703125" style="142" customWidth="1"/>
    <col min="3" max="3" width="15.42578125" style="142" customWidth="1"/>
    <col min="4" max="4" width="16.7109375" style="142" customWidth="1"/>
    <col min="5" max="5" width="50.28515625" style="142" customWidth="1"/>
    <col min="6" max="6" width="10.5703125" style="142" customWidth="1"/>
    <col min="7" max="7" width="16.28515625" style="142" customWidth="1"/>
    <col min="8" max="8" width="11.28515625" style="142" customWidth="1"/>
    <col min="9" max="9" width="11.5703125" style="142" customWidth="1"/>
    <col min="10" max="10" width="19.28515625" style="142" customWidth="1"/>
    <col min="11" max="11" width="1.28515625" style="142" customWidth="1"/>
    <col min="12" max="12" width="1.42578125" style="142" hidden="1" customWidth="1"/>
    <col min="13" max="18" width="10.7109375" style="142" hidden="1" customWidth="1"/>
    <col min="19" max="20" width="13.28515625" style="142" hidden="1" customWidth="1"/>
    <col min="21" max="23" width="9.28515625" style="142" hidden="1" customWidth="1"/>
    <col min="24" max="24" width="28.7109375" style="142" hidden="1" customWidth="1"/>
    <col min="25" max="26" width="9.28515625" style="142" hidden="1" customWidth="1"/>
    <col min="27" max="27" width="10.28515625" style="142" hidden="1" customWidth="1"/>
    <col min="28" max="28" width="9.28515625" style="142" hidden="1" customWidth="1"/>
    <col min="29" max="29" width="24.42578125" style="142" hidden="1" customWidth="1"/>
    <col min="30" max="80" width="9.28515625" style="142" hidden="1" customWidth="1"/>
    <col min="81" max="81" width="14.42578125" style="142" hidden="1" customWidth="1"/>
    <col min="82" max="82" width="10.28515625" style="142" hidden="1" customWidth="1"/>
    <col min="83" max="16384" width="9.28515625" style="142" hidden="1"/>
  </cols>
  <sheetData>
    <row r="1" spans="1:39" s="28" customFormat="1" hidden="1" x14ac:dyDescent="0.2"/>
    <row r="2" spans="1:39" s="28" customFormat="1" x14ac:dyDescent="0.2">
      <c r="B2" s="3"/>
      <c r="C2" s="4408" t="str">
        <f>_ref1</f>
      </c>
      <c r="D2" s="4408"/>
      <c r="E2" s="4408"/>
      <c r="F2" s="4408"/>
      <c r="G2" s="4408"/>
      <c r="H2" s="4408"/>
      <c r="I2" s="539" t="str">
        <f>_YA1</f>
      </c>
      <c r="J2" s="61"/>
      <c r="K2" s="1"/>
      <c r="T2" s="28" t="s">
        <v>723</v>
      </c>
    </row>
    <row r="3" spans="1:39" s="28" customFormat="1" ht="3.75" customHeight="1" x14ac:dyDescent="0.2">
      <c r="B3" s="3"/>
      <c r="C3" s="3"/>
      <c r="D3" s="3"/>
      <c r="E3" s="3"/>
      <c r="F3" s="3"/>
      <c r="G3" s="3"/>
      <c r="H3" s="3"/>
      <c r="I3" s="3"/>
      <c r="J3" s="61"/>
      <c r="K3" s="1"/>
      <c r="T3" s="28" t="s">
        <v>724</v>
      </c>
      <c r="Y3" s="28" t="s">
        <v>4591</v>
      </c>
    </row>
    <row r="4" spans="1:39" s="28" customFormat="1" ht="18" x14ac:dyDescent="0.25">
      <c r="B4" s="3"/>
      <c r="C4" s="772" t="s">
        <v>1580</v>
      </c>
      <c r="D4" s="2158"/>
      <c r="E4" s="2158"/>
      <c r="F4" s="2158"/>
      <c r="G4" s="2158"/>
      <c r="H4" s="2158"/>
      <c r="I4" s="2159"/>
      <c r="J4" s="61"/>
      <c r="K4" s="1"/>
      <c r="W4" s="28" t="s">
        <v>4457</v>
      </c>
      <c r="AC4" s="28" t="s">
        <v>2535</v>
      </c>
    </row>
    <row r="5" spans="1:39" s="28" customFormat="1" ht="18" x14ac:dyDescent="0.25">
      <c r="B5" s="3"/>
      <c r="C5" s="807" t="s">
        <v>725</v>
      </c>
      <c r="D5" s="180"/>
      <c r="E5" s="180"/>
      <c r="F5" s="180"/>
      <c r="G5" s="180"/>
      <c r="H5" s="180"/>
      <c r="I5" s="181"/>
      <c r="J5" s="61"/>
      <c r="K5" s="1"/>
      <c r="P5" s="28">
        <f>COUNTA(F9,F11,I15:I29)</f>
      </c>
      <c r="W5" s="28" t="s">
        <v>1736</v>
      </c>
      <c r="AM5" s="28" t="s">
        <v>130</v>
      </c>
    </row>
    <row r="6" spans="1:39" s="28" customFormat="1" ht="3" customHeight="1" x14ac:dyDescent="0.2">
      <c r="B6" s="3"/>
      <c r="C6" s="3"/>
      <c r="D6" s="3"/>
      <c r="E6" s="3"/>
      <c r="F6" s="3"/>
      <c r="G6" s="3"/>
      <c r="H6" s="3"/>
      <c r="I6" s="3"/>
      <c r="J6" s="61"/>
      <c r="K6" s="1"/>
    </row>
    <row r="7" spans="1:39" s="28" customFormat="1" ht="20.25" customHeight="1" x14ac:dyDescent="0.2">
      <c r="B7" s="3"/>
      <c r="C7" s="626" t="s">
        <v>5007</v>
      </c>
      <c r="D7" s="128"/>
      <c r="E7" s="128"/>
      <c r="F7" s="128"/>
      <c r="G7" s="128"/>
      <c r="H7" s="128"/>
      <c r="I7" s="174"/>
      <c r="J7" s="61"/>
      <c r="K7" s="1"/>
    </row>
    <row r="8" spans="1:39" s="28" customFormat="1" ht="3" customHeight="1" x14ac:dyDescent="0.2">
      <c r="B8" s="3"/>
      <c r="C8" s="3"/>
      <c r="D8" s="3"/>
      <c r="E8" s="3"/>
      <c r="F8" s="3"/>
      <c r="G8" s="3"/>
      <c r="H8" s="3"/>
      <c r="I8" s="3"/>
      <c r="J8" s="3"/>
      <c r="K8" s="1"/>
    </row>
    <row r="9" spans="1:39" s="28" customFormat="1" ht="12.75" customHeight="1" x14ac:dyDescent="0.2">
      <c r="B9" s="3"/>
      <c r="C9" s="618" t="s">
        <v>1550</v>
      </c>
      <c r="D9" s="185"/>
      <c r="E9" s="185"/>
      <c r="F9" s="1136"/>
      <c r="G9" s="1130" t="str">
        <f>IF($P$5=0,"",IF(F9="",re,IF(COUNT(I15:I28)&gt;F9,"Check number of donations/scholarships!","")))</f>
        <v/>
      </c>
      <c r="H9" s="61"/>
      <c r="I9" s="61"/>
      <c r="J9" s="61" t="s">
        <v>1020</v>
      </c>
      <c r="K9" s="1"/>
      <c r="M9" s="28">
        <f>IF(G9="",0,1)</f>
      </c>
      <c r="T9" s="28" t="s">
        <v>125</v>
      </c>
    </row>
    <row r="10" spans="1:39" s="28" customFormat="1" ht="3" customHeight="1" x14ac:dyDescent="0.2">
      <c r="B10" s="3"/>
      <c r="C10" s="814"/>
      <c r="D10" s="814"/>
      <c r="E10" s="814"/>
      <c r="F10" s="814"/>
      <c r="G10" s="814"/>
      <c r="H10" s="61"/>
      <c r="I10" s="61"/>
      <c r="J10" s="61"/>
      <c r="K10" s="1"/>
    </row>
    <row r="11" spans="1:39" s="28" customFormat="1" ht="12.75" customHeight="1" x14ac:dyDescent="0.2">
      <c r="B11" s="3"/>
      <c r="C11" s="618" t="s">
        <v>133</v>
      </c>
      <c r="D11" s="272"/>
      <c r="E11" s="272"/>
      <c r="F11" s="1137"/>
      <c r="G11" s="1130" t="str">
        <f>IF($P$5=0,"",IF(F11="",re,IF(F11=W5,nd,"")))</f>
        <v/>
      </c>
      <c r="H11" s="795"/>
      <c r="I11" s="795"/>
      <c r="J11" s="795" t="s">
        <v>1020</v>
      </c>
      <c r="K11" s="1"/>
      <c r="M11" s="28">
        <f>IF(G11="",0,1)</f>
      </c>
      <c r="P11" s="28" t="str">
        <f>md</f>
      </c>
      <c r="T11" s="28">
        <f>IF(G11=nd,1,0)</f>
      </c>
    </row>
    <row r="12" spans="1:39" s="28" customFormat="1" ht="3.75" customHeight="1" x14ac:dyDescent="0.2">
      <c r="B12" s="3"/>
      <c r="C12" s="1356"/>
      <c r="D12" s="3"/>
      <c r="E12" s="3"/>
      <c r="F12" s="3"/>
      <c r="G12" s="3"/>
      <c r="H12" s="3"/>
      <c r="I12" s="3"/>
      <c r="J12" s="3"/>
      <c r="K12" s="1"/>
    </row>
    <row r="13" spans="1:39" s="28" customFormat="1" ht="3" customHeight="1" x14ac:dyDescent="0.2">
      <c r="B13" s="3"/>
      <c r="C13" s="3"/>
      <c r="D13" s="3"/>
      <c r="E13" s="3"/>
      <c r="F13" s="3"/>
      <c r="G13" s="3"/>
      <c r="H13" s="3"/>
      <c r="I13" s="3"/>
      <c r="J13" s="3"/>
      <c r="K13" s="1"/>
    </row>
    <row r="14" spans="1:39" s="28" customFormat="1" ht="72" customHeight="1" x14ac:dyDescent="0.2">
      <c r="B14" s="3"/>
      <c r="C14" s="4905" t="s">
        <v>3084</v>
      </c>
      <c r="D14" s="4906"/>
      <c r="E14" s="400" t="s">
        <v>3083</v>
      </c>
      <c r="F14" s="400" t="s">
        <v>3085</v>
      </c>
      <c r="G14" s="400" t="s">
        <v>515</v>
      </c>
      <c r="H14" s="400" t="s">
        <v>516</v>
      </c>
      <c r="I14" s="400" t="s">
        <v>1547</v>
      </c>
      <c r="J14" s="3"/>
      <c r="K14" s="1"/>
      <c r="O14" s="28">
        <f>IF(F11&lt;&gt;W4,0,F9)</f>
      </c>
    </row>
    <row r="15" spans="1:39" ht="12.75" customHeight="1" x14ac:dyDescent="0.2">
      <c r="A15" s="28"/>
      <c r="B15" s="3"/>
      <c r="C15" s="4904"/>
      <c r="D15" s="4904"/>
      <c r="E15" s="1138"/>
      <c r="F15" s="1139"/>
      <c r="G15" s="1137"/>
      <c r="H15" s="1140"/>
      <c r="I15" s="1141"/>
      <c r="J15" s="222" t="str">
        <f t="shared" ref="J15:J28" si="0">IF(O15=0,"",IF(P15&lt;&gt;Q15,adet,IF(OR(H15&lt;$AC$15,H15&gt;$AD$15),"Check date of donation!",IF(AND(G15=n,I15&gt;0),"Residence!",""))))</f>
        <v/>
      </c>
      <c r="K15" s="1132"/>
      <c r="M15" s="142">
        <f t="shared" ref="M15:M28" si="1">IF(J15=adet,1,0)</f>
      </c>
      <c r="N15" s="142">
        <f t="shared" ref="N15:N28" si="2">IF(G15=y,I15,0)</f>
      </c>
      <c r="O15" s="142">
        <f>IF(O14=0,0,IF(I14&gt;0,O14,0))</f>
      </c>
      <c r="P15" s="142">
        <f>COUNTA(C15:I15)</f>
      </c>
      <c r="Q15" s="142">
        <v>6</v>
      </c>
      <c r="T15" s="142">
        <f t="shared" ref="T15:T28" si="3">IF(OR(J15=adet,J15=""),0,1)</f>
      </c>
      <c r="W15" s="142">
        <f t="shared" ref="W15:W28" si="4">IF(AND(G15=n,I15&gt;0),0,0)</f>
      </c>
      <c r="AA15" s="1190">
        <f>IF('p1'!G66="",DATE(ya-1,1,1),'p1'!G66)</f>
      </c>
      <c r="AB15" s="1191">
        <f>IF('p1'!M66="",DATE(ya-1,12,31),'p1'!M66)</f>
      </c>
      <c r="AC15" s="1191">
        <f>IF(YEAR(AA15)&lt;ya-2,DATE(ya-1,1,1),AA15)</f>
      </c>
      <c r="AD15" s="1191">
        <f>IF(ISERROR(AB15),DATE(ya-1,12,31),AB15)</f>
      </c>
    </row>
    <row r="16" spans="1:39" ht="12.75" customHeight="1" x14ac:dyDescent="0.2">
      <c r="B16" s="211"/>
      <c r="C16" s="4904"/>
      <c r="D16" s="4904"/>
      <c r="E16" s="1138"/>
      <c r="F16" s="1139"/>
      <c r="G16" s="1137"/>
      <c r="H16" s="1140"/>
      <c r="I16" s="1141"/>
      <c r="J16" s="222" t="str">
        <f t="shared" si="0"/>
        <v/>
      </c>
      <c r="K16" s="1132"/>
      <c r="M16" s="142">
        <f t="shared" si="1"/>
        <v>0</v>
      </c>
      <c r="N16" s="142">
        <f t="shared" si="2"/>
        <v>0</v>
      </c>
      <c r="O16" s="142">
        <f t="shared" ref="O16:O23" si="5">IF(O15=0,0,IF(I15&gt;0,O15-1,0))</f>
      </c>
      <c r="P16" s="142">
        <f t="shared" ref="P16:P28" si="6">COUNTA(C16:I16)</f>
      </c>
      <c r="Q16" s="142">
        <v>6</v>
      </c>
      <c r="T16" s="142">
        <f t="shared" si="3"/>
        <v>0</v>
      </c>
      <c r="W16" s="142">
        <f t="shared" si="4"/>
        <v>0</v>
      </c>
    </row>
    <row r="17" spans="2:26" ht="12.75" customHeight="1" x14ac:dyDescent="0.2">
      <c r="B17" s="211"/>
      <c r="C17" s="4904"/>
      <c r="D17" s="4904"/>
      <c r="E17" s="1138"/>
      <c r="F17" s="1139"/>
      <c r="G17" s="1137"/>
      <c r="H17" s="1140"/>
      <c r="I17" s="1141"/>
      <c r="J17" s="222" t="str">
        <f t="shared" si="0"/>
        <v/>
      </c>
      <c r="K17" s="1132"/>
      <c r="M17" s="142">
        <f t="shared" si="1"/>
        <v>0</v>
      </c>
      <c r="N17" s="142">
        <f t="shared" si="2"/>
        <v>0</v>
      </c>
      <c r="O17" s="142">
        <f t="shared" si="5"/>
        <v>0</v>
      </c>
      <c r="P17" s="142">
        <f t="shared" si="6"/>
        <v>0</v>
      </c>
      <c r="Q17" s="142">
        <v>6</v>
      </c>
      <c r="T17" s="142">
        <f t="shared" si="3"/>
        <v>0</v>
      </c>
      <c r="W17" s="142">
        <f t="shared" si="4"/>
        <v>0</v>
      </c>
    </row>
    <row r="18" spans="2:26" ht="12.75" customHeight="1" x14ac:dyDescent="0.2">
      <c r="B18" s="211"/>
      <c r="C18" s="4904"/>
      <c r="D18" s="4904"/>
      <c r="E18" s="1138"/>
      <c r="F18" s="1139"/>
      <c r="G18" s="1137"/>
      <c r="H18" s="1140"/>
      <c r="I18" s="1141"/>
      <c r="J18" s="222" t="str">
        <f t="shared" si="0"/>
        <v/>
      </c>
      <c r="K18" s="1132"/>
      <c r="M18" s="142">
        <f t="shared" si="1"/>
        <v>0</v>
      </c>
      <c r="N18" s="142">
        <f t="shared" si="2"/>
        <v>0</v>
      </c>
      <c r="O18" s="142">
        <f t="shared" si="5"/>
        <v>0</v>
      </c>
      <c r="P18" s="142">
        <f t="shared" si="6"/>
        <v>0</v>
      </c>
      <c r="Q18" s="142">
        <v>6</v>
      </c>
      <c r="T18" s="142">
        <f t="shared" si="3"/>
        <v>0</v>
      </c>
      <c r="W18" s="142">
        <f t="shared" si="4"/>
        <v>0</v>
      </c>
    </row>
    <row r="19" spans="2:26" ht="12.75" customHeight="1" x14ac:dyDescent="0.2">
      <c r="B19" s="211"/>
      <c r="C19" s="4904"/>
      <c r="D19" s="4904"/>
      <c r="E19" s="1138"/>
      <c r="F19" s="1139"/>
      <c r="G19" s="1137"/>
      <c r="H19" s="1140"/>
      <c r="I19" s="1141"/>
      <c r="J19" s="222" t="str">
        <f t="shared" si="0"/>
        <v/>
      </c>
      <c r="K19" s="1132"/>
      <c r="M19" s="142">
        <f t="shared" si="1"/>
        <v>0</v>
      </c>
      <c r="N19" s="142">
        <f t="shared" si="2"/>
        <v>0</v>
      </c>
      <c r="O19" s="142">
        <f t="shared" si="5"/>
        <v>0</v>
      </c>
      <c r="P19" s="142">
        <f t="shared" si="6"/>
        <v>0</v>
      </c>
      <c r="Q19" s="142">
        <v>6</v>
      </c>
      <c r="T19" s="142">
        <f t="shared" si="3"/>
        <v>0</v>
      </c>
      <c r="W19" s="142">
        <f t="shared" si="4"/>
        <v>0</v>
      </c>
    </row>
    <row r="20" spans="2:26" ht="12.75" customHeight="1" x14ac:dyDescent="0.2">
      <c r="B20" s="211"/>
      <c r="C20" s="4904"/>
      <c r="D20" s="4904"/>
      <c r="E20" s="1138"/>
      <c r="F20" s="1139"/>
      <c r="G20" s="1137"/>
      <c r="H20" s="1140"/>
      <c r="I20" s="1141"/>
      <c r="J20" s="222" t="str">
        <f t="shared" si="0"/>
        <v/>
      </c>
      <c r="K20" s="1132"/>
      <c r="M20" s="142">
        <f t="shared" si="1"/>
        <v>0</v>
      </c>
      <c r="N20" s="142">
        <f t="shared" si="2"/>
        <v>0</v>
      </c>
      <c r="O20" s="142">
        <f t="shared" si="5"/>
        <v>0</v>
      </c>
      <c r="P20" s="142">
        <f t="shared" si="6"/>
        <v>0</v>
      </c>
      <c r="Q20" s="142">
        <v>6</v>
      </c>
      <c r="T20" s="142">
        <f t="shared" si="3"/>
        <v>0</v>
      </c>
      <c r="W20" s="142">
        <f t="shared" si="4"/>
        <v>0</v>
      </c>
    </row>
    <row r="21" spans="2:26" ht="12.75" customHeight="1" x14ac:dyDescent="0.2">
      <c r="B21" s="211"/>
      <c r="C21" s="4904"/>
      <c r="D21" s="4904"/>
      <c r="E21" s="1138"/>
      <c r="F21" s="1139"/>
      <c r="G21" s="1137"/>
      <c r="H21" s="1140"/>
      <c r="I21" s="1141"/>
      <c r="J21" s="222" t="str">
        <f t="shared" si="0"/>
        <v/>
      </c>
      <c r="K21" s="1132"/>
      <c r="M21" s="142">
        <f t="shared" si="1"/>
        <v>0</v>
      </c>
      <c r="N21" s="142">
        <f t="shared" si="2"/>
        <v>0</v>
      </c>
      <c r="O21" s="142">
        <f t="shared" si="5"/>
        <v>0</v>
      </c>
      <c r="P21" s="142">
        <f t="shared" si="6"/>
        <v>0</v>
      </c>
      <c r="Q21" s="142">
        <v>6</v>
      </c>
      <c r="T21" s="142">
        <f t="shared" si="3"/>
        <v>0</v>
      </c>
      <c r="W21" s="142">
        <f t="shared" si="4"/>
        <v>0</v>
      </c>
    </row>
    <row r="22" spans="2:26" ht="12.75" customHeight="1" x14ac:dyDescent="0.2">
      <c r="B22" s="211"/>
      <c r="C22" s="4904"/>
      <c r="D22" s="4904"/>
      <c r="E22" s="1138"/>
      <c r="F22" s="1139"/>
      <c r="G22" s="1137"/>
      <c r="H22" s="1140"/>
      <c r="I22" s="1141"/>
      <c r="J22" s="222" t="str">
        <f t="shared" si="0"/>
        <v/>
      </c>
      <c r="K22" s="1132"/>
      <c r="M22" s="142">
        <f t="shared" si="1"/>
        <v>0</v>
      </c>
      <c r="N22" s="142">
        <f t="shared" si="2"/>
        <v>0</v>
      </c>
      <c r="O22" s="142">
        <f t="shared" si="5"/>
        <v>0</v>
      </c>
      <c r="P22" s="142">
        <f t="shared" si="6"/>
        <v>0</v>
      </c>
      <c r="Q22" s="142">
        <v>6</v>
      </c>
      <c r="T22" s="142">
        <f t="shared" si="3"/>
        <v>0</v>
      </c>
      <c r="W22" s="142">
        <f t="shared" si="4"/>
        <v>0</v>
      </c>
    </row>
    <row r="23" spans="2:26" ht="12.75" customHeight="1" x14ac:dyDescent="0.2">
      <c r="B23" s="211"/>
      <c r="C23" s="4904"/>
      <c r="D23" s="4904"/>
      <c r="E23" s="1138"/>
      <c r="F23" s="1139"/>
      <c r="G23" s="1137"/>
      <c r="H23" s="1140"/>
      <c r="I23" s="1141"/>
      <c r="J23" s="222" t="str">
        <f t="shared" si="0"/>
        <v/>
      </c>
      <c r="K23" s="1132"/>
      <c r="M23" s="142">
        <f t="shared" si="1"/>
        <v>0</v>
      </c>
      <c r="N23" s="142">
        <f t="shared" si="2"/>
        <v>0</v>
      </c>
      <c r="O23" s="142">
        <f t="shared" si="5"/>
        <v>0</v>
      </c>
      <c r="P23" s="142">
        <f t="shared" si="6"/>
        <v>0</v>
      </c>
      <c r="Q23" s="142">
        <v>6</v>
      </c>
      <c r="T23" s="142">
        <f t="shared" si="3"/>
        <v>0</v>
      </c>
      <c r="W23" s="142">
        <f t="shared" si="4"/>
        <v>0</v>
      </c>
    </row>
    <row r="24" spans="2:26" ht="12.75" customHeight="1" x14ac:dyDescent="0.2">
      <c r="B24" s="211"/>
      <c r="C24" s="4904"/>
      <c r="D24" s="4904"/>
      <c r="E24" s="1138"/>
      <c r="F24" s="1139"/>
      <c r="G24" s="1137"/>
      <c r="H24" s="1140"/>
      <c r="I24" s="1141"/>
      <c r="J24" s="222" t="str">
        <f t="shared" si="0"/>
        <v/>
      </c>
      <c r="K24" s="1132"/>
      <c r="M24" s="142">
        <f t="shared" si="1"/>
        <v>0</v>
      </c>
      <c r="N24" s="142">
        <f t="shared" si="2"/>
        <v>0</v>
      </c>
      <c r="O24" s="142">
        <f>IF(O23=0,0,IF(I23&gt;0,O23-1,0))</f>
      </c>
      <c r="P24" s="142">
        <f t="shared" si="6"/>
        <v>0</v>
      </c>
      <c r="Q24" s="142">
        <v>6</v>
      </c>
      <c r="T24" s="142">
        <f t="shared" si="3"/>
        <v>0</v>
      </c>
      <c r="W24" s="142">
        <f t="shared" si="4"/>
        <v>0</v>
      </c>
    </row>
    <row r="25" spans="2:26" ht="12.75" customHeight="1" x14ac:dyDescent="0.2">
      <c r="B25" s="211"/>
      <c r="C25" s="4904"/>
      <c r="D25" s="4904"/>
      <c r="E25" s="1138"/>
      <c r="F25" s="1139"/>
      <c r="G25" s="1137"/>
      <c r="H25" s="1140"/>
      <c r="I25" s="1141"/>
      <c r="J25" s="222" t="str">
        <f t="shared" si="0"/>
        <v/>
      </c>
      <c r="K25" s="1132"/>
      <c r="M25" s="142">
        <f t="shared" si="1"/>
        <v>0</v>
      </c>
      <c r="N25" s="142">
        <f t="shared" si="2"/>
        <v>0</v>
      </c>
      <c r="O25" s="142">
        <f>IF(O24=0,0,IF(I24&gt;0,O24-1,0))</f>
      </c>
      <c r="P25" s="142">
        <f t="shared" si="6"/>
        <v>0</v>
      </c>
      <c r="Q25" s="142">
        <v>6</v>
      </c>
      <c r="T25" s="142">
        <f t="shared" si="3"/>
        <v>0</v>
      </c>
      <c r="W25" s="142">
        <f t="shared" si="4"/>
        <v>0</v>
      </c>
    </row>
    <row r="26" spans="2:26" ht="12.75" customHeight="1" x14ac:dyDescent="0.2">
      <c r="B26" s="211"/>
      <c r="C26" s="4904"/>
      <c r="D26" s="4904"/>
      <c r="E26" s="1138"/>
      <c r="F26" s="1139"/>
      <c r="G26" s="1137"/>
      <c r="H26" s="1140"/>
      <c r="I26" s="1141"/>
      <c r="J26" s="222" t="str">
        <f t="shared" si="0"/>
        <v/>
      </c>
      <c r="K26" s="1132"/>
      <c r="M26" s="142">
        <f t="shared" si="1"/>
        <v>0</v>
      </c>
      <c r="N26" s="142">
        <f t="shared" si="2"/>
        <v>0</v>
      </c>
      <c r="O26" s="142">
        <f>IF(O25=0,0,IF(I25&gt;0,O25-1,0))</f>
      </c>
      <c r="P26" s="142">
        <f t="shared" si="6"/>
        <v>0</v>
      </c>
      <c r="Q26" s="142">
        <v>6</v>
      </c>
      <c r="T26" s="142">
        <f t="shared" si="3"/>
        <v>0</v>
      </c>
      <c r="W26" s="142">
        <f t="shared" si="4"/>
        <v>0</v>
      </c>
    </row>
    <row r="27" spans="2:26" ht="12.75" customHeight="1" x14ac:dyDescent="0.2">
      <c r="B27" s="211"/>
      <c r="C27" s="4904"/>
      <c r="D27" s="4904"/>
      <c r="E27" s="1138"/>
      <c r="F27" s="1139"/>
      <c r="G27" s="1137"/>
      <c r="H27" s="1140"/>
      <c r="I27" s="1141"/>
      <c r="J27" s="222" t="str">
        <f t="shared" si="0"/>
        <v/>
      </c>
      <c r="K27" s="1132"/>
      <c r="M27" s="142">
        <f t="shared" si="1"/>
        <v>0</v>
      </c>
      <c r="N27" s="142">
        <f t="shared" si="2"/>
        <v>0</v>
      </c>
      <c r="O27" s="142">
        <f>IF(O26=0,0,IF(I26&gt;0,O26-1,0))</f>
      </c>
      <c r="P27" s="142">
        <f t="shared" si="6"/>
        <v>0</v>
      </c>
      <c r="Q27" s="142">
        <v>6</v>
      </c>
      <c r="T27" s="142">
        <f t="shared" si="3"/>
        <v>0</v>
      </c>
      <c r="W27" s="142">
        <f t="shared" si="4"/>
        <v>0</v>
      </c>
    </row>
    <row r="28" spans="2:26" ht="12.75" customHeight="1" x14ac:dyDescent="0.2">
      <c r="B28" s="211"/>
      <c r="C28" s="4904"/>
      <c r="D28" s="4904"/>
      <c r="E28" s="1138"/>
      <c r="F28" s="1139"/>
      <c r="G28" s="1137"/>
      <c r="H28" s="1140"/>
      <c r="I28" s="1141"/>
      <c r="J28" s="222" t="str">
        <f t="shared" si="0"/>
        <v/>
      </c>
      <c r="K28" s="1132"/>
      <c r="M28" s="142">
        <f t="shared" si="1"/>
        <v>0</v>
      </c>
      <c r="N28" s="142">
        <f t="shared" si="2"/>
        <v>0</v>
      </c>
      <c r="O28" s="142">
        <f>IF(O27=0,0,IF(I27&gt;0,O27-1,0))</f>
      </c>
      <c r="P28" s="142">
        <f t="shared" si="6"/>
        <v>0</v>
      </c>
      <c r="Q28" s="142">
        <v>6</v>
      </c>
      <c r="T28" s="142">
        <f t="shared" si="3"/>
        <v>0</v>
      </c>
      <c r="W28" s="142">
        <f t="shared" si="4"/>
        <v>0</v>
      </c>
    </row>
    <row r="29" spans="2:26" ht="14.25" x14ac:dyDescent="0.2">
      <c r="B29" s="211"/>
      <c r="C29" s="740" t="s">
        <v>2558</v>
      </c>
      <c r="D29" s="128"/>
      <c r="E29" s="1142"/>
      <c r="F29" s="128"/>
      <c r="G29" s="1143"/>
      <c r="H29" s="1357" t="s">
        <v>3130</v>
      </c>
      <c r="I29" s="1141"/>
      <c r="J29" s="222" t="str">
        <f>IF(N29=0,"",IF(I29="",re,IF(AND(cur=Y3,I29&gt;18600),"More than € 18,600!",IF(I29&lt;&gt;N30,"Check Total!",""))))</f>
        <v/>
      </c>
      <c r="K29" s="1132"/>
      <c r="M29" s="142">
        <f>IF(J29="",0,1)</f>
      </c>
      <c r="N29" s="553">
        <f>SUM(N15:N28)</f>
      </c>
      <c r="T29" s="142">
        <f>IF(J29=ck,1,0)</f>
      </c>
      <c r="W29" s="142">
        <f>SUM(W15:W28)</f>
      </c>
    </row>
    <row r="30" spans="2:26" ht="12.75" customHeight="1" x14ac:dyDescent="0.2">
      <c r="B30" s="211"/>
      <c r="C30" s="1340" t="str">
        <f>IF(cur="","Indicate currency on page 1!",X30)</f>
      </c>
      <c r="D30" s="3"/>
      <c r="E30" s="3"/>
      <c r="F30" s="3"/>
      <c r="G30" s="3"/>
      <c r="H30" s="3"/>
      <c r="I30" s="466">
        <f>IF(G11=nd,0,IF(AND(cur=Y3,N29&gt;18600),18600,N29))</f>
      </c>
      <c r="J30" s="3"/>
      <c r="K30" s="1132"/>
      <c r="N30" s="142">
        <f>IF(G11=nd,0,N29)</f>
      </c>
      <c r="X30" s="142" t="str">
        <f>IF(cur=Y3,Y30,Z30)</f>
      </c>
      <c r="Y30" s="142" t="s">
        <v>1548</v>
      </c>
      <c r="Z30" s="142" t="s">
        <v>1549</v>
      </c>
    </row>
    <row r="31" spans="2:26" x14ac:dyDescent="0.2">
      <c r="B31" s="211"/>
      <c r="C31" s="3"/>
      <c r="D31" s="3"/>
      <c r="E31" s="610" t="s">
        <v>4456</v>
      </c>
      <c r="F31" s="1137"/>
      <c r="G31" s="2150" t="str">
        <f>IF(AND(P5&gt;0,F31=""),re,"")</f>
        <v/>
      </c>
      <c r="H31" s="3"/>
      <c r="I31" s="3"/>
      <c r="J31" s="3"/>
      <c r="K31" s="1132"/>
      <c r="M31" s="142">
        <f>SUM(M9:M29)</f>
      </c>
      <c r="T31" s="142">
        <f>SUM(T11:T29)</f>
      </c>
    </row>
    <row r="32" spans="2:26" s="1133" customFormat="1" ht="18" customHeight="1" x14ac:dyDescent="0.2">
      <c r="B32" s="1134"/>
      <c r="C32" s="1134" t="str">
        <f>_xlfn.SINGLE(MTCA)</f>
      </c>
      <c r="D32" s="1134"/>
      <c r="E32" s="1131" t="str">
        <f>ver</f>
        <v>TA2_e-CO_2025_Ver 1.1</v>
      </c>
      <c r="F32" s="1134"/>
      <c r="G32" s="1134"/>
      <c r="H32" s="1134"/>
      <c r="I32" s="1131" t="s">
        <v>6172</v>
      </c>
      <c r="J32" s="1134"/>
      <c r="K32" s="1135"/>
    </row>
    <row r="33" spans="2:13" x14ac:dyDescent="0.2">
      <c r="B33" s="211"/>
      <c r="C33" s="4903" t="s">
        <v>1700</v>
      </c>
      <c r="D33" s="4903"/>
      <c r="E33" s="211"/>
      <c r="F33" s="211"/>
      <c r="G33" s="211"/>
      <c r="H33" s="211"/>
      <c r="I33" s="211"/>
      <c r="J33" s="211"/>
      <c r="K33" s="1132"/>
      <c r="M33" s="1192">
        <f>IF(P5=0,0,IF(M31&gt;0,100,IF(F31&lt;&gt;y,100,1)))</f>
      </c>
    </row>
    <row r="34" spans="2:13" x14ac:dyDescent="0.2">
      <c r="B34" s="211"/>
      <c r="C34" s="211"/>
      <c r="D34" s="211"/>
      <c r="E34" s="211"/>
      <c r="F34" s="211"/>
      <c r="G34" s="211"/>
      <c r="H34" s="211"/>
      <c r="I34" s="211"/>
      <c r="J34" s="211"/>
      <c r="K34" s="1132"/>
    </row>
    <row r="36" spans="2:13" ht="3.75" hidden="1" customHeight="1" x14ac:dyDescent="0.2"/>
    <row r="42" spans="2:13" ht="3" hidden="1" customHeight="1" x14ac:dyDescent="0.2"/>
    <row r="44" spans="2:13" ht="57" hidden="1" customHeight="1" x14ac:dyDescent="0.2"/>
    <row r="46" spans="2:13" ht="14.25" hidden="1" customHeight="1" x14ac:dyDescent="0.2"/>
  </sheetData>
  <sheetProtection algorithmName="SHA-512" hashValue="DdEopn+AW0YW6gcRiSr0lu6y//oUAK8P6cukx2ZVf+hzYLJV29e/dFaYFo8nN4C4v+zwmDrz5U8gBy10ytt7aA==" saltValue="fyaGZqfyDeShBVuHtYfV2w==" spinCount="100000" sheet="1" objects="1" scenarios="1"/>
  <customSheetViews>
    <customSheetView guid="{99B5278F-6EA9-4B1A-8623-27A4DF4AD5E4}" fitToPage="1" hiddenRows="1" hiddenColumns="1" topLeftCell="B2">
      <selection activeCell="F9" sqref="F9"/>
      <pageMargins left="0.16" right="0.16" top="1" bottom="1" header="0.17" footer="0.5"/>
      <pageSetup paperSize="9" scale="97" orientation="landscape" r:id="rId1"/>
      <headerFooter alignWithMargins="0">
        <oddFooter>&amp;LName&amp;CSignature&amp;RDate</oddFooter>
      </headerFooter>
    </customSheetView>
  </customSheetViews>
  <mergeCells count="17">
    <mergeCell ref="C21:D21"/>
    <mergeCell ref="C22:D22"/>
    <mergeCell ref="C33:D33"/>
    <mergeCell ref="C25:D25"/>
    <mergeCell ref="C26:D26"/>
    <mergeCell ref="C27:D27"/>
    <mergeCell ref="C28:D28"/>
    <mergeCell ref="C23:D23"/>
    <mergeCell ref="C24:D24"/>
    <mergeCell ref="C19:D19"/>
    <mergeCell ref="C20:D20"/>
    <mergeCell ref="C2:H2"/>
    <mergeCell ref="C14:D14"/>
    <mergeCell ref="C15:D15"/>
    <mergeCell ref="C16:D16"/>
    <mergeCell ref="C17:D17"/>
    <mergeCell ref="C18:D18"/>
  </mergeCells>
  <phoneticPr fontId="119" type="noConversion"/>
  <conditionalFormatting sqref="G11">
    <cfRule type="expression" dxfId="601" priority="3" stopIfTrue="1">
      <formula>$G$11=nd</formula>
    </cfRule>
  </conditionalFormatting>
  <conditionalFormatting sqref="H11:J11">
    <cfRule type="cellIs" dxfId="600" priority="1" stopIfTrue="1" operator="equal">
      <formula>re</formula>
    </cfRule>
  </conditionalFormatting>
  <conditionalFormatting sqref="I15:I28">
    <cfRule type="expression" dxfId="599" priority="5" stopIfTrue="1">
      <formula>$G15=n</formula>
    </cfRule>
  </conditionalFormatting>
  <conditionalFormatting sqref="J15:J28">
    <cfRule type="expression" dxfId="598" priority="4" stopIfTrue="1">
      <formula>$J15&lt;&gt;adet</formula>
    </cfRule>
  </conditionalFormatting>
  <conditionalFormatting sqref="J29">
    <cfRule type="expression" dxfId="597" priority="2" stopIfTrue="1">
      <formula>$J$29=ck</formula>
    </cfRule>
  </conditionalFormatting>
  <dataValidations count="7">
    <dataValidation type="list" allowBlank="1" showInputMessage="1" showErrorMessage="1" sqref="F11 F31 G15:G28" xr:uid="{00000000-0002-0000-2D00-000000000000}">
      <formula1>$W$3:$W$5</formula1>
    </dataValidation>
    <dataValidation type="textLength" operator="greaterThanOrEqual" allowBlank="1" showInputMessage="1" showErrorMessage="1" errorTitle="Name of Artiste" error="Please enter the full name and surname of recipient!" sqref="C15:D28" xr:uid="{00000000-0002-0000-2D00-000001000000}">
      <formula1>7</formula1>
    </dataValidation>
    <dataValidation type="textLength" operator="greaterThanOrEqual" allowBlank="1" showInputMessage="1" showErrorMessage="1" errorTitle="Nature of artistic activity" error="Please give a proper description!" sqref="E15:E28" xr:uid="{00000000-0002-0000-2D00-000002000000}">
      <formula1>10</formula1>
    </dataValidation>
    <dataValidation type="textLength" allowBlank="1" showInputMessage="1" showErrorMessage="1" errorTitle="IT registration number" error="Please indicate the correct tax number!" sqref="F15:F28" xr:uid="{00000000-0002-0000-2D00-000003000000}">
      <formula1>4</formula1>
      <formula2>9</formula2>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8" xr:uid="{00000000-0002-0000-2D00-000004000000}">
      <formula1>$AC$15</formula1>
      <formula2>$AD$15</formula2>
    </dataValidation>
    <dataValidation type="whole" operator="greaterThanOrEqual" allowBlank="1" showInputMessage="1" showErrorMessage="1" errorTitle="Value of donation" error="Please enter a positive value!" sqref="I15:I28" xr:uid="{00000000-0002-0000-2D00-000005000000}">
      <formula1>0</formula1>
    </dataValidation>
    <dataValidation type="whole" operator="greaterThan" allowBlank="1" showInputMessage="1" showErrorMessage="1" errorTitle="Number of donations" error="Please enter a numeric value!" sqref="F9" xr:uid="{00000000-0002-0000-2D00-000006000000}">
      <formula1>0</formula1>
    </dataValidation>
  </dataValidations>
  <hyperlinks>
    <hyperlink ref="C33" location="Index!A1" display="BACK TO INDEX" xr:uid="{00000000-0004-0000-2D00-000000000000}"/>
    <hyperlink ref="H29" location="TRA60!A1" display="TRA 60" xr:uid="{00000000-0004-0000-2D00-000001000000}"/>
    <hyperlink ref="C33:D33" location="Index!A1" display="B A C K   T O  I N D E X" xr:uid="{00000000-0004-0000-2D00-000002000000}"/>
  </hyperlinks>
  <pageMargins left="0.16" right="0.16" top="1" bottom="1" header="0.17" footer="0.5"/>
  <pageSetup paperSize="9" scale="97" orientation="landscape" r:id="rId2"/>
  <headerFooter alignWithMargins="0">
    <oddFooter>&amp;LName&amp;CSignature&amp;RDate</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6">
    <pageSetUpPr fitToPage="1"/>
  </sheetPr>
  <dimension ref="A1:S78"/>
  <sheetViews>
    <sheetView topLeftCell="A2" zoomScaleNormal="100" workbookViewId="0">
      <pane ySplit="6" topLeftCell="A34" activePane="bottomLeft" state="frozen"/>
      <selection activeCell="A2" sqref="A2"/>
      <selection pane="bottomLeft" activeCell="E43" sqref="E43"/>
    </sheetView>
  </sheetViews>
  <sheetFormatPr defaultColWidth="0" defaultRowHeight="12.75" zeroHeight="1" x14ac:dyDescent="0.2"/>
  <cols>
    <col min="1" max="1" width="2" style="846" customWidth="1"/>
    <col min="2" max="2" width="2" style="28" hidden="1" customWidth="1"/>
    <col min="3" max="3" width="10.7109375" style="28" customWidth="1"/>
    <col min="4" max="4" width="66.42578125" style="28" customWidth="1"/>
    <col min="5" max="5" width="8.5703125" style="28" customWidth="1"/>
    <col min="6" max="6" width="11.7109375" style="28" customWidth="1"/>
    <col min="7" max="7" width="12.5703125" style="28" customWidth="1"/>
    <col min="8" max="8" width="8.7109375" style="28" customWidth="1"/>
    <col min="9" max="9" width="10.7109375" style="28" bestFit="1" customWidth="1"/>
    <col min="10" max="10" width="37.28515625" style="28" customWidth="1"/>
    <col min="11" max="11" width="3.7109375" style="28" customWidth="1"/>
    <col min="12" max="12" width="2" style="28" hidden="1" customWidth="1"/>
    <col min="13" max="13" width="8.7109375" style="28" hidden="1" customWidth="1"/>
    <col min="14" max="14" width="2" style="28" hidden="1" customWidth="1"/>
    <col min="15" max="16" width="8.7109375" style="28" hidden="1" customWidth="1"/>
    <col min="17" max="18" width="2" style="28" hidden="1" customWidth="1"/>
    <col min="19" max="19" width="46.28515625" style="28" hidden="1" customWidth="1"/>
    <col min="20" max="16384" width="8.7109375" style="28" hidden="1"/>
  </cols>
  <sheetData>
    <row r="1" spans="1:14" hidden="1" x14ac:dyDescent="0.2">
      <c r="A1" s="28"/>
    </row>
    <row r="2" spans="1:14" x14ac:dyDescent="0.2">
      <c r="A2" s="3"/>
      <c r="B2" s="3"/>
      <c r="C2" s="327" t="str">
        <f>_ref1</f>
      </c>
      <c r="D2" s="3"/>
      <c r="E2" s="3"/>
      <c r="F2" s="3"/>
      <c r="G2" s="3"/>
      <c r="H2" s="539"/>
      <c r="I2" s="539" t="str">
        <f>_YA1</f>
      </c>
      <c r="J2" s="3"/>
      <c r="K2" s="3"/>
    </row>
    <row r="3" spans="1:14" x14ac:dyDescent="0.2">
      <c r="A3" s="3"/>
      <c r="B3" s="3"/>
      <c r="C3" s="3"/>
      <c r="D3" s="3"/>
      <c r="E3" s="3"/>
      <c r="F3" s="3"/>
      <c r="G3" s="3"/>
      <c r="H3" s="3"/>
      <c r="I3" s="3"/>
      <c r="J3" s="3"/>
      <c r="K3" s="3"/>
    </row>
    <row r="4" spans="1:14" ht="12.75" customHeight="1" x14ac:dyDescent="0.2">
      <c r="A4" s="3"/>
      <c r="B4" s="3"/>
      <c r="C4" s="4907" t="s">
        <v>3983</v>
      </c>
      <c r="D4" s="4908"/>
      <c r="E4" s="4843" t="s">
        <v>3136</v>
      </c>
      <c r="F4" s="4912"/>
      <c r="G4" s="3"/>
      <c r="H4" s="4912" t="s">
        <v>514</v>
      </c>
      <c r="I4" s="4912"/>
      <c r="J4" s="3"/>
      <c r="K4" s="3"/>
    </row>
    <row r="5" spans="1:14" ht="12.75" customHeight="1" x14ac:dyDescent="0.2">
      <c r="A5" s="3"/>
      <c r="B5" s="3"/>
      <c r="C5" s="4909"/>
      <c r="D5" s="4910"/>
      <c r="E5" s="4914" t="s">
        <v>4701</v>
      </c>
      <c r="F5" s="4915"/>
      <c r="G5" s="3"/>
      <c r="H5" s="4913" t="s">
        <v>8738</v>
      </c>
      <c r="I5" s="4913"/>
      <c r="J5" s="3"/>
      <c r="K5" s="3"/>
    </row>
    <row r="6" spans="1:14" ht="25.35" customHeight="1" x14ac:dyDescent="0.2">
      <c r="A6" s="3"/>
      <c r="B6" s="3"/>
      <c r="C6" s="4909"/>
      <c r="D6" s="4910"/>
      <c r="E6" s="4916"/>
      <c r="F6" s="4917"/>
      <c r="G6" s="3"/>
      <c r="H6" s="4913"/>
      <c r="I6" s="4913"/>
      <c r="J6" s="3"/>
      <c r="K6" s="3"/>
    </row>
    <row r="7" spans="1:14" x14ac:dyDescent="0.2">
      <c r="A7" s="3"/>
      <c r="B7" s="3"/>
      <c r="C7" s="3115" t="s">
        <v>4700</v>
      </c>
      <c r="D7" s="839"/>
      <c r="E7" s="840" t="s">
        <v>5412</v>
      </c>
      <c r="F7" s="841" t="s">
        <v>4693</v>
      </c>
      <c r="G7" s="3"/>
      <c r="H7" s="841" t="s">
        <v>4450</v>
      </c>
      <c r="I7" s="841" t="s">
        <v>4693</v>
      </c>
      <c r="J7" s="3"/>
      <c r="K7" s="3"/>
      <c r="N7" s="192">
        <f>IF(OR(J23&lt;&gt;"",J26&lt;&gt;""),1,0)</f>
      </c>
    </row>
    <row r="8" spans="1:14" x14ac:dyDescent="0.2">
      <c r="A8" s="3"/>
      <c r="B8" s="3"/>
      <c r="C8" s="842" t="s">
        <v>5588</v>
      </c>
      <c r="D8" s="843"/>
      <c r="E8" s="3"/>
      <c r="F8" s="3"/>
      <c r="G8" s="3"/>
      <c r="H8" s="3"/>
      <c r="I8" s="3"/>
      <c r="J8" s="3"/>
      <c r="K8" s="3"/>
    </row>
    <row r="9" spans="1:14" x14ac:dyDescent="0.2">
      <c r="A9" s="3"/>
      <c r="B9" s="3"/>
      <c r="C9" s="844" t="s">
        <v>5083</v>
      </c>
      <c r="D9" s="318"/>
      <c r="E9" s="328" t="s">
        <v>1503</v>
      </c>
      <c r="F9" s="845">
        <f>TRA9_14!B20</f>
      </c>
      <c r="G9" s="3"/>
      <c r="H9" s="3"/>
      <c r="I9" s="3"/>
      <c r="J9" s="3"/>
      <c r="K9" s="3"/>
    </row>
    <row r="10" spans="1:14" x14ac:dyDescent="0.2">
      <c r="A10" s="3"/>
      <c r="B10" s="846"/>
      <c r="C10" s="844" t="s">
        <v>246</v>
      </c>
      <c r="D10" s="318"/>
      <c r="E10" s="328" t="s">
        <v>200</v>
      </c>
      <c r="F10" s="845">
        <f>'TRA41'!J39</f>
      </c>
      <c r="G10" s="3"/>
      <c r="H10" s="3"/>
      <c r="I10" s="3"/>
      <c r="J10" s="4920"/>
      <c r="K10" s="4920"/>
    </row>
    <row r="11" spans="1:14" x14ac:dyDescent="0.2">
      <c r="A11" s="3"/>
      <c r="B11" s="3"/>
      <c r="C11" s="844" t="s">
        <v>7833</v>
      </c>
      <c r="D11" s="318"/>
      <c r="E11" s="328" t="s">
        <v>2498</v>
      </c>
      <c r="F11" s="845">
        <f>'TRA53'!E101</f>
      </c>
      <c r="G11" s="211"/>
      <c r="H11" s="211"/>
      <c r="I11" s="211"/>
      <c r="J11" s="211"/>
      <c r="K11" s="211"/>
    </row>
    <row r="12" spans="1:14" x14ac:dyDescent="0.2">
      <c r="A12" s="3"/>
      <c r="B12" s="3"/>
      <c r="C12" s="844" t="s">
        <v>2858</v>
      </c>
      <c r="D12" s="318"/>
      <c r="E12" s="328" t="s">
        <v>2761</v>
      </c>
      <c r="F12" s="845">
        <f>'TRA75'!D39</f>
      </c>
      <c r="G12" s="211"/>
      <c r="H12" s="211"/>
      <c r="I12" s="211"/>
      <c r="J12" s="211"/>
      <c r="K12" s="211"/>
    </row>
    <row r="13" spans="1:14" x14ac:dyDescent="0.2">
      <c r="A13" s="3"/>
      <c r="B13" s="3"/>
      <c r="C13" s="844" t="s">
        <v>5560</v>
      </c>
      <c r="D13" s="318"/>
      <c r="E13" s="328" t="s">
        <v>2762</v>
      </c>
      <c r="F13" s="845">
        <f>'TRA76'!D39</f>
      </c>
      <c r="G13" s="211"/>
      <c r="H13" s="211"/>
      <c r="I13" s="211"/>
      <c r="J13" s="211"/>
      <c r="K13" s="211"/>
    </row>
    <row r="14" spans="1:14" x14ac:dyDescent="0.2">
      <c r="A14" s="3"/>
      <c r="B14" s="3"/>
      <c r="C14" s="844" t="s">
        <v>5561</v>
      </c>
      <c r="D14" s="318"/>
      <c r="E14" s="328" t="s">
        <v>2763</v>
      </c>
      <c r="F14" s="845">
        <f>'TRA77'!J39</f>
      </c>
      <c r="G14" s="211"/>
      <c r="H14" s="211"/>
      <c r="I14" s="211"/>
      <c r="J14" s="211"/>
      <c r="K14" s="211"/>
    </row>
    <row r="15" spans="1:14" s="1736" customFormat="1" x14ac:dyDescent="0.2">
      <c r="A15" s="3"/>
      <c r="B15" s="1780"/>
      <c r="C15" s="844" t="s">
        <v>7478</v>
      </c>
      <c r="D15" s="1781"/>
      <c r="E15" s="328" t="s">
        <v>6988</v>
      </c>
      <c r="F15" s="845">
        <f>'TRA83'!G87</f>
      </c>
      <c r="G15" s="1782"/>
      <c r="H15" s="1782"/>
      <c r="I15" s="1782"/>
      <c r="J15" s="1782"/>
      <c r="K15" s="1782"/>
    </row>
    <row r="16" spans="1:14" x14ac:dyDescent="0.2">
      <c r="A16" s="3"/>
      <c r="B16" s="3"/>
      <c r="C16" s="844" t="s">
        <v>7477</v>
      </c>
      <c r="D16" s="318"/>
      <c r="E16" s="328" t="s">
        <v>7386</v>
      </c>
      <c r="F16" s="845">
        <f>'TRA89'!O58</f>
      </c>
      <c r="G16" s="211"/>
      <c r="H16" s="211"/>
      <c r="I16" s="211"/>
      <c r="J16" s="211"/>
      <c r="K16" s="211"/>
    </row>
    <row r="17" spans="1:17" x14ac:dyDescent="0.2">
      <c r="A17" s="3"/>
      <c r="B17" s="3"/>
      <c r="C17" s="844" t="s">
        <v>10136</v>
      </c>
      <c r="D17" s="318"/>
      <c r="E17" s="328" t="s">
        <v>10116</v>
      </c>
      <c r="F17" s="845">
        <f>'TRA119'!N55</f>
      </c>
      <c r="G17" s="211"/>
      <c r="H17" s="211"/>
      <c r="I17" s="211"/>
      <c r="J17" s="211"/>
      <c r="K17" s="211"/>
    </row>
    <row r="18" spans="1:17" hidden="1" x14ac:dyDescent="0.2">
      <c r="A18" s="3"/>
      <c r="B18" s="3"/>
      <c r="C18" s="844"/>
      <c r="D18" s="318"/>
      <c r="E18" s="328"/>
      <c r="F18" s="1472"/>
      <c r="G18" s="211"/>
      <c r="H18" s="211"/>
      <c r="I18" s="211"/>
      <c r="J18" s="211"/>
      <c r="K18" s="211"/>
    </row>
    <row r="19" spans="1:17" hidden="1" x14ac:dyDescent="0.2">
      <c r="A19" s="3"/>
      <c r="B19" s="3"/>
      <c r="C19" s="844"/>
      <c r="D19" s="318"/>
      <c r="E19" s="328"/>
      <c r="F19" s="1472"/>
      <c r="G19" s="211"/>
      <c r="H19" s="211"/>
      <c r="I19" s="211"/>
      <c r="J19" s="211"/>
      <c r="K19" s="211"/>
    </row>
    <row r="20" spans="1:17" hidden="1" x14ac:dyDescent="0.2">
      <c r="A20" s="3"/>
      <c r="B20" s="3"/>
      <c r="C20" s="844"/>
      <c r="D20" s="318"/>
      <c r="E20" s="328"/>
      <c r="F20" s="1472"/>
      <c r="G20" s="211"/>
      <c r="H20" s="211"/>
      <c r="I20" s="211"/>
      <c r="J20" s="211"/>
      <c r="K20" s="211"/>
    </row>
    <row r="21" spans="1:17" hidden="1" x14ac:dyDescent="0.2">
      <c r="A21" s="28"/>
      <c r="C21" s="4921" t="s">
        <v>5387</v>
      </c>
      <c r="D21" s="4921"/>
      <c r="F21" s="46"/>
    </row>
    <row r="22" spans="1:17" x14ac:dyDescent="0.2">
      <c r="A22" s="3"/>
      <c r="B22" s="3"/>
      <c r="C22" s="4911" t="s">
        <v>19</v>
      </c>
      <c r="D22" s="4911"/>
      <c r="E22" s="328" t="s">
        <v>5615</v>
      </c>
      <c r="F22" s="845">
        <f>'TRA1'!G56</f>
      </c>
      <c r="G22" s="503" t="str">
        <f>IF('p2'!O9=1,"",IF(F22&gt;0,"No CLAIM - P2!",""))</f>
        <v/>
      </c>
      <c r="H22" s="431"/>
      <c r="I22" s="847"/>
      <c r="J22" s="624" t="str">
        <f>IF(AND(F22=0,I22&gt;0),"  Check data!",IF(F22=0,"",IF(Q22&lt;&gt;2,re,"")))</f>
        <v/>
      </c>
      <c r="K22" s="503"/>
      <c r="L22" s="28">
        <f>IF(G22&lt;&gt;"",1,IF(J22&lt;&gt;"",1,0))</f>
      </c>
      <c r="Q22" s="28">
        <f>COUNT(H22:I22)</f>
      </c>
    </row>
    <row r="23" spans="1:17" x14ac:dyDescent="0.2">
      <c r="A23" s="3"/>
      <c r="B23" s="3"/>
      <c r="C23" s="4911" t="s">
        <v>5617</v>
      </c>
      <c r="D23" s="4911"/>
      <c r="E23" s="328" t="s">
        <v>5616</v>
      </c>
      <c r="F23" s="845">
        <f>'TRA2'!N45</f>
      </c>
      <c r="G23" s="3"/>
      <c r="H23" s="3"/>
      <c r="I23" s="108"/>
      <c r="J23" s="1092" t="str">
        <f>IF('p2'!O7=1,"",IF(F23&gt;0,"No CLAIM - P2!",""))</f>
        <v/>
      </c>
      <c r="K23" s="503"/>
    </row>
    <row r="24" spans="1:17" hidden="1" x14ac:dyDescent="0.2">
      <c r="A24" s="3"/>
      <c r="B24" s="3"/>
      <c r="C24" s="844" t="s">
        <v>4445</v>
      </c>
      <c r="D24" s="318"/>
      <c r="E24" s="328"/>
      <c r="F24" s="845">
        <f>'TRA78'!F25</f>
      </c>
      <c r="G24" s="3"/>
      <c r="H24" s="3"/>
      <c r="I24" s="108"/>
      <c r="J24" s="1092"/>
      <c r="K24" s="503"/>
    </row>
    <row r="25" spans="1:17" x14ac:dyDescent="0.2">
      <c r="A25" s="3"/>
      <c r="B25" s="3"/>
      <c r="C25" s="4911" t="s">
        <v>5619</v>
      </c>
      <c r="D25" s="4911"/>
      <c r="E25" s="328"/>
      <c r="F25" s="241"/>
      <c r="G25" s="3"/>
      <c r="H25" s="3"/>
      <c r="I25" s="34"/>
      <c r="J25" s="503"/>
      <c r="K25" s="503"/>
    </row>
    <row r="26" spans="1:17" x14ac:dyDescent="0.2">
      <c r="A26" s="3"/>
      <c r="B26" s="3"/>
      <c r="C26" s="848" t="s">
        <v>4191</v>
      </c>
      <c r="D26" s="844">
        <f>'TRA3'!D3</f>
      </c>
      <c r="E26" s="328" t="s">
        <v>5618</v>
      </c>
      <c r="F26" s="845">
        <f>'TRA3'!G31</f>
      </c>
      <c r="G26" s="3"/>
      <c r="H26" s="3"/>
      <c r="I26" s="108"/>
      <c r="J26" s="1092" t="str">
        <f>IF('p2'!O8=1,"",IF(F26&gt;0,"No CLAIM - P2!",""))</f>
        <v/>
      </c>
      <c r="K26" s="503"/>
    </row>
    <row r="27" spans="1:17" x14ac:dyDescent="0.2">
      <c r="A27" s="3"/>
      <c r="B27" s="3"/>
      <c r="C27" s="4922" t="s">
        <v>5388</v>
      </c>
      <c r="D27" s="4922"/>
      <c r="E27" s="3"/>
      <c r="F27" s="17"/>
      <c r="G27" s="3"/>
      <c r="H27" s="3"/>
      <c r="I27" s="108"/>
      <c r="J27" s="3"/>
      <c r="K27" s="3"/>
    </row>
    <row r="31" spans="1:17" x14ac:dyDescent="0.2">
      <c r="A31" s="3"/>
      <c r="B31" s="3"/>
      <c r="C31" s="4911" t="s">
        <v>4272</v>
      </c>
      <c r="D31" s="4911"/>
      <c r="E31" s="328" t="s">
        <v>2497</v>
      </c>
      <c r="F31" s="845">
        <f>'TRA52'!I51</f>
      </c>
      <c r="G31" s="3"/>
      <c r="H31" s="431"/>
      <c r="I31" s="847"/>
      <c r="J31" s="624" t="str">
        <f>IF(AND(F31=0,I31&gt;0),"  Check data!",IF(F31=0,"",IF(Q31&lt;&gt;2,re,"")))</f>
        <v/>
      </c>
      <c r="K31" s="3"/>
      <c r="L31" s="28">
        <f>IF(G31&lt;&gt;"",1,IF(J31&lt;&gt;"",1,0))</f>
      </c>
      <c r="Q31" s="28">
        <f>COUNT(H31:I31)</f>
      </c>
    </row>
    <row r="32" spans="1:17" s="1736" customFormat="1" x14ac:dyDescent="0.2">
      <c r="A32" s="3"/>
      <c r="B32" s="1780"/>
      <c r="C32" s="4918" t="s">
        <v>7088</v>
      </c>
      <c r="D32" s="4918"/>
      <c r="E32" s="328" t="s">
        <v>7002</v>
      </c>
      <c r="F32" s="845">
        <f>'TRA84'!H59</f>
      </c>
      <c r="G32" s="1780"/>
      <c r="H32" s="1780"/>
      <c r="I32" s="1780"/>
      <c r="J32" s="1780"/>
      <c r="K32" s="1780"/>
    </row>
    <row r="33" spans="1:19" s="1736" customFormat="1" x14ac:dyDescent="0.2">
      <c r="A33" s="3"/>
      <c r="B33" s="1780"/>
      <c r="C33" s="4918" t="s">
        <v>7089</v>
      </c>
      <c r="D33" s="4918"/>
      <c r="E33" s="328" t="s">
        <v>7018</v>
      </c>
      <c r="F33" s="845">
        <f>'TRA85'!L60</f>
      </c>
      <c r="G33" s="1780"/>
      <c r="H33" s="1780"/>
      <c r="I33" s="1780"/>
      <c r="J33" s="1780"/>
      <c r="K33" s="1780"/>
    </row>
    <row r="34" spans="1:19" s="1736" customFormat="1" x14ac:dyDescent="0.2">
      <c r="A34" s="3"/>
      <c r="B34" s="17"/>
      <c r="C34" s="4918" t="s">
        <v>7090</v>
      </c>
      <c r="D34" s="4918"/>
      <c r="E34" s="328" t="s">
        <v>7087</v>
      </c>
      <c r="F34" s="845">
        <f>'TRA87'!G23</f>
      </c>
      <c r="G34" s="1780"/>
      <c r="H34" s="431"/>
      <c r="I34" s="1780"/>
      <c r="J34" s="1780"/>
      <c r="K34" s="1780"/>
      <c r="Q34" s="1736">
        <f>COUNT(H34:I34)</f>
      </c>
    </row>
    <row r="35" spans="1:19" x14ac:dyDescent="0.2">
      <c r="A35" s="3"/>
      <c r="B35" s="3"/>
      <c r="C35" s="4911" t="s">
        <v>6072</v>
      </c>
      <c r="D35" s="4911"/>
      <c r="E35" s="328" t="s">
        <v>210</v>
      </c>
      <c r="F35" s="845">
        <f>IF(G35=nd,0,'TRA56'!I29)</f>
      </c>
      <c r="G35" s="648" t="str">
        <f>IF('TRA56'!G$11=nd,nd,"")</f>
        <v/>
      </c>
      <c r="H35" s="431"/>
      <c r="I35" s="847"/>
      <c r="J35" s="624" t="str">
        <f>IF(AND(F35=0,I35&gt;0),"  Check data!",IF(F35=0,"",IF(Q35&lt;&gt;2,re,"")))</f>
        <v/>
      </c>
      <c r="K35" s="3"/>
      <c r="L35" s="28">
        <f>IF(G35&lt;&gt;"",1,IF(J35&lt;&gt;"",1,0))</f>
      </c>
      <c r="Q35" s="28">
        <f>COUNT(H35:I35)</f>
      </c>
    </row>
    <row r="36" spans="1:19" x14ac:dyDescent="0.2">
      <c r="A36" s="3"/>
      <c r="B36" s="3"/>
      <c r="C36" s="4911" t="s">
        <v>367</v>
      </c>
      <c r="D36" s="4911"/>
      <c r="E36" s="328" t="s">
        <v>6171</v>
      </c>
      <c r="F36" s="845">
        <f>IF(G36=nd,0,'TRA57'!I29)</f>
      </c>
      <c r="G36" s="648" t="str">
        <f>IF('TRA57'!G$11=nd,nd,"")</f>
        <v/>
      </c>
      <c r="H36" s="431"/>
      <c r="I36" s="847"/>
      <c r="J36" s="624" t="str">
        <f>IF(AND(F36=0,I36&gt;0),"  Check data!",IF(F36=0,"",IF(Q36&lt;&gt;2,re,"")))</f>
        <v/>
      </c>
      <c r="K36" s="3"/>
      <c r="L36" s="28">
        <f>IF(G36&lt;&gt;"",1,IF(J36&lt;&gt;"",1,0))</f>
      </c>
      <c r="Q36" s="28">
        <f>COUNT(H36:I36)</f>
      </c>
    </row>
    <row r="37" spans="1:19" x14ac:dyDescent="0.2">
      <c r="A37" s="3"/>
      <c r="B37" s="3"/>
      <c r="C37" s="4918" t="s">
        <v>6072</v>
      </c>
      <c r="D37" s="4918"/>
      <c r="E37" s="328" t="s">
        <v>6172</v>
      </c>
      <c r="F37" s="845">
        <f>IF(G37=nd,0,'TRA58'!I29)</f>
      </c>
      <c r="G37" s="648" t="str">
        <f>IF('TRA58'!G$11=nd,nd,"")</f>
        <v/>
      </c>
      <c r="H37" s="431"/>
      <c r="I37" s="847"/>
      <c r="J37" s="624" t="str">
        <f>IF(AND(F37=0,I37&gt;0),"  Check data!",IF(F37=0,"",IF(Q37&lt;&gt;2,re,"")))</f>
        <v/>
      </c>
      <c r="K37" s="3"/>
      <c r="L37" s="28">
        <f>IF(G37&lt;&gt;"",1,IF(J37&lt;&gt;"",1,0))</f>
      </c>
      <c r="Q37" s="28">
        <f>COUNT(H37:I37)</f>
      </c>
    </row>
    <row r="38" spans="1:19" x14ac:dyDescent="0.2">
      <c r="A38" s="3"/>
      <c r="B38" s="3"/>
      <c r="C38" s="4918" t="s">
        <v>5659</v>
      </c>
      <c r="D38" s="4918"/>
      <c r="E38" s="328" t="s">
        <v>320</v>
      </c>
      <c r="F38" s="845">
        <f>IF(G38=nd,0,'TRA66'!J25)</f>
      </c>
      <c r="G38" s="648" t="str">
        <f>IF('TRA66'!I62=nd,nd,"")</f>
        <v/>
      </c>
      <c r="H38" s="3"/>
      <c r="I38" s="3"/>
      <c r="J38" s="3"/>
      <c r="K38" s="3"/>
      <c r="L38" s="28">
        <f>IF(G38&lt;&gt;"",1,0)</f>
      </c>
    </row>
    <row r="39" spans="1:19" x14ac:dyDescent="0.2">
      <c r="A39" s="3"/>
      <c r="B39" s="3"/>
      <c r="C39" s="4918" t="s">
        <v>5660</v>
      </c>
      <c r="D39" s="4918"/>
      <c r="E39" s="328" t="s">
        <v>5658</v>
      </c>
      <c r="F39" s="845">
        <f>'TRA68'!H28</f>
      </c>
      <c r="G39" s="648" t="str">
        <f>IF('TRA68'!I28=nd,nd,"")</f>
        <v/>
      </c>
      <c r="H39" s="431"/>
      <c r="I39" s="847"/>
      <c r="J39" s="4919" t="str">
        <f>IF(AND(F39=0,I39&gt;0),"  Check data!",IF(F39=0,"",IF(Q39&lt;&gt;2,S39,"")))</f>
        <v/>
      </c>
      <c r="K39" s="4848"/>
      <c r="L39" s="28">
        <f>IF(G39&lt;&gt;"",1,IF(J39&lt;&gt;"",1,0))</f>
      </c>
      <c r="Q39" s="28">
        <f>COUNTA(H39:I39)</f>
      </c>
      <c r="R39" s="28">
        <f>COUNT(I39)</f>
      </c>
      <c r="S39" s="28" t="s">
        <v>5661</v>
      </c>
    </row>
    <row r="40" spans="1:19" x14ac:dyDescent="0.2">
      <c r="A40" s="3"/>
      <c r="B40" s="3"/>
      <c r="C40" s="4918" t="s">
        <v>5087</v>
      </c>
      <c r="D40" s="4918"/>
      <c r="E40" s="328" t="s">
        <v>5488</v>
      </c>
      <c r="F40" s="845">
        <f>'TRA69'!Q35</f>
      </c>
      <c r="G40" s="3"/>
      <c r="H40" s="3"/>
      <c r="I40" s="3"/>
      <c r="J40" s="3"/>
      <c r="K40" s="3"/>
    </row>
    <row r="41" spans="1:19" x14ac:dyDescent="0.2">
      <c r="A41" s="3"/>
      <c r="B41" s="3"/>
      <c r="C41" s="4918" t="s">
        <v>5270</v>
      </c>
      <c r="D41" s="4918"/>
      <c r="E41" s="328" t="s">
        <v>2621</v>
      </c>
      <c r="F41" s="845">
        <f>'TRA70'!E39</f>
      </c>
      <c r="G41" s="3"/>
      <c r="H41" s="3"/>
      <c r="I41" s="3"/>
      <c r="J41" s="3"/>
      <c r="K41" s="3"/>
    </row>
    <row r="42" spans="1:19" x14ac:dyDescent="0.2">
      <c r="A42" s="3"/>
      <c r="B42" s="3"/>
      <c r="C42" s="4918" t="s">
        <v>745</v>
      </c>
      <c r="D42" s="4918"/>
      <c r="E42" s="328" t="s">
        <v>6228</v>
      </c>
      <c r="F42" s="845">
        <f>'TRA73'!I118</f>
      </c>
      <c r="G42" s="3"/>
      <c r="H42" s="3"/>
      <c r="I42" s="3"/>
      <c r="J42" s="3"/>
      <c r="K42" s="3"/>
    </row>
    <row r="43" spans="1:19" x14ac:dyDescent="0.2">
      <c r="A43" s="3"/>
      <c r="B43" s="3"/>
      <c r="C43" s="4918" t="s">
        <v>6309</v>
      </c>
      <c r="D43" s="4918"/>
      <c r="E43" s="328" t="s">
        <v>6232</v>
      </c>
      <c r="F43" s="845">
        <f>'TRA74'!G30</f>
      </c>
      <c r="G43" s="3"/>
      <c r="H43" s="3"/>
      <c r="I43" s="845">
        <f>'TRA74'!G34</f>
      </c>
      <c r="J43" s="3"/>
      <c r="K43" s="3"/>
    </row>
    <row r="44" spans="1:19" x14ac:dyDescent="0.2">
      <c r="A44" s="3"/>
      <c r="B44" s="3"/>
      <c r="C44" s="4918" t="s">
        <v>6308</v>
      </c>
      <c r="D44" s="4918"/>
      <c r="E44" s="328" t="s">
        <v>6232</v>
      </c>
      <c r="F44" s="845">
        <f>'TRA74'!Q32</f>
      </c>
      <c r="G44" s="242"/>
      <c r="H44" s="3"/>
      <c r="I44" s="3"/>
      <c r="J44" s="3"/>
      <c r="K44" s="3"/>
    </row>
    <row r="45" spans="1:19" x14ac:dyDescent="0.2">
      <c r="A45" s="3"/>
      <c r="B45" s="3"/>
      <c r="C45" s="4918" t="s">
        <v>3208</v>
      </c>
      <c r="D45" s="4918"/>
      <c r="E45" s="328" t="s">
        <v>3207</v>
      </c>
      <c r="F45" s="845">
        <f>'TRA79'!I22</f>
      </c>
      <c r="G45" s="3"/>
      <c r="H45" s="3"/>
      <c r="I45" s="845">
        <f>'TRA79'!H22</f>
      </c>
      <c r="J45" s="3"/>
      <c r="K45" s="3"/>
    </row>
    <row r="46" spans="1:19" x14ac:dyDescent="0.2">
      <c r="A46" s="3"/>
      <c r="B46" s="3"/>
      <c r="C46" s="4911" t="str">
        <f>"ITA - LN 67 of 2018 - "&amp;'TRA95'!B4</f>
      </c>
      <c r="D46" s="4911"/>
      <c r="E46" s="328" t="s">
        <v>7991</v>
      </c>
      <c r="F46" s="845">
        <f>'TRA95'!I22</f>
      </c>
      <c r="G46" s="503"/>
      <c r="H46" s="3"/>
      <c r="I46" s="845">
        <f>'TRA95'!I6</f>
      </c>
      <c r="J46" s="624"/>
      <c r="K46" s="503"/>
      <c r="L46" s="28">
        <f>IF(G46&lt;&gt;"",1,IF(J46&lt;&gt;"",1,0))</f>
      </c>
      <c r="Q46" s="28">
        <f>COUNT(H46:I46)</f>
      </c>
    </row>
    <row r="47" spans="1:19" x14ac:dyDescent="0.2">
      <c r="A47" s="3"/>
      <c r="B47" s="3"/>
      <c r="C47" s="4911" t="s">
        <v>8089</v>
      </c>
      <c r="D47" s="4911"/>
      <c r="E47" s="328" t="s">
        <v>7992</v>
      </c>
      <c r="F47" s="845">
        <f>'TRA96'!J77</f>
      </c>
      <c r="G47" s="503"/>
      <c r="H47" s="3"/>
      <c r="I47" s="845">
        <f>'TRA96'!I29</f>
      </c>
      <c r="J47" s="624"/>
      <c r="K47" s="503"/>
      <c r="L47" s="28">
        <f>IF(G47&lt;&gt;"",1,IF(J47&lt;&gt;"",1,0))</f>
      </c>
      <c r="Q47" s="28">
        <f>COUNT(H47:I47)</f>
      </c>
    </row>
    <row r="48" spans="1:19" x14ac:dyDescent="0.2">
      <c r="A48" s="3"/>
      <c r="B48" s="3"/>
      <c r="C48" s="4911" t="s">
        <v>8111</v>
      </c>
      <c r="D48" s="4911"/>
      <c r="E48" s="328" t="s">
        <v>7993</v>
      </c>
      <c r="F48" s="845">
        <f>'TRA97'!D39</f>
      </c>
      <c r="G48" s="503"/>
      <c r="H48" s="3"/>
      <c r="I48" s="624"/>
      <c r="J48" s="624"/>
      <c r="K48" s="503"/>
      <c r="L48" s="28">
        <f>IF(G48&lt;&gt;"",1,IF(J48&lt;&gt;"",1,0))</f>
      </c>
      <c r="Q48" s="28">
        <f>COUNT(H48:I48)</f>
      </c>
    </row>
    <row r="49" spans="1:14" x14ac:dyDescent="0.2">
      <c r="A49" s="3"/>
      <c r="B49" s="3"/>
      <c r="C49" s="4911" t="s">
        <v>8197</v>
      </c>
      <c r="D49" s="4911"/>
      <c r="E49" s="328" t="s">
        <v>7994</v>
      </c>
      <c r="F49" s="845">
        <f>'TRA98'!H31</f>
      </c>
      <c r="G49" s="3"/>
      <c r="H49" s="3"/>
      <c r="I49" s="845">
        <f>'TRA98'!H29</f>
      </c>
      <c r="J49" s="3"/>
      <c r="K49" s="3"/>
    </row>
    <row r="50" spans="1:14" x14ac:dyDescent="0.2">
      <c r="A50" s="3"/>
      <c r="B50" s="3"/>
      <c r="C50" s="4911" t="s">
        <v>8213</v>
      </c>
      <c r="D50" s="4911"/>
      <c r="E50" s="328" t="s">
        <v>7995</v>
      </c>
      <c r="F50" s="845">
        <f>'TRA99'!I22</f>
      </c>
      <c r="G50" s="3"/>
      <c r="H50" s="3"/>
      <c r="I50" s="3"/>
      <c r="J50" s="3"/>
      <c r="K50" s="3"/>
    </row>
    <row r="51" spans="1:14" x14ac:dyDescent="0.2">
      <c r="A51" s="3"/>
      <c r="B51" s="3"/>
      <c r="C51" s="2820" t="s">
        <v>9262</v>
      </c>
      <c r="D51" s="2821"/>
      <c r="E51" s="328" t="s">
        <v>9234</v>
      </c>
      <c r="F51" s="845">
        <f>'TRA113'!L102</f>
      </c>
      <c r="G51" s="3"/>
      <c r="H51" s="3"/>
      <c r="I51" s="3"/>
      <c r="J51" s="3"/>
      <c r="K51" s="3"/>
    </row>
    <row r="52" spans="1:14" x14ac:dyDescent="0.2">
      <c r="A52" s="3"/>
      <c r="B52" s="3"/>
      <c r="C52" s="2533" t="s">
        <v>10714</v>
      </c>
      <c r="D52" s="2534"/>
      <c r="E52" s="328" t="s">
        <v>10665</v>
      </c>
      <c r="F52" s="845">
        <v>0</v>
      </c>
      <c r="G52" s="3"/>
      <c r="H52" s="3"/>
      <c r="I52" s="845">
        <f>'TRA134'!G45</f>
      </c>
      <c r="J52" s="3"/>
      <c r="K52" s="3"/>
    </row>
    <row r="53" spans="1:14" hidden="1" x14ac:dyDescent="0.2">
      <c r="A53" s="3"/>
      <c r="B53" s="3"/>
      <c r="C53" s="2533"/>
      <c r="D53" s="2534"/>
      <c r="E53" s="328"/>
      <c r="F53" s="845"/>
      <c r="G53" s="3"/>
      <c r="H53" s="3"/>
      <c r="I53" s="845"/>
      <c r="J53" s="3"/>
      <c r="K53" s="3"/>
    </row>
    <row r="54" spans="1:14" hidden="1" x14ac:dyDescent="0.2">
      <c r="A54" s="3"/>
      <c r="B54" s="3"/>
      <c r="C54" s="2533"/>
      <c r="D54" s="2534"/>
      <c r="E54" s="328"/>
      <c r="F54" s="845"/>
      <c r="G54" s="3"/>
      <c r="H54" s="3"/>
      <c r="I54" s="845"/>
      <c r="J54" s="3"/>
      <c r="K54" s="3"/>
    </row>
    <row r="55" spans="1:14" hidden="1" x14ac:dyDescent="0.2">
      <c r="A55" s="3"/>
      <c r="B55" s="3"/>
      <c r="C55" s="2533"/>
      <c r="D55" s="2534"/>
      <c r="E55" s="328"/>
      <c r="F55" s="845"/>
      <c r="G55" s="3"/>
      <c r="H55" s="3"/>
      <c r="I55" s="845"/>
      <c r="J55" s="3"/>
      <c r="K55" s="3"/>
    </row>
    <row r="56" spans="1:14" hidden="1" x14ac:dyDescent="0.2">
      <c r="A56" s="3"/>
      <c r="B56" s="3"/>
      <c r="C56" s="2533"/>
      <c r="D56" s="2534"/>
      <c r="E56" s="328"/>
      <c r="F56" s="845"/>
      <c r="G56" s="3"/>
      <c r="H56" s="3"/>
      <c r="I56" s="845"/>
      <c r="J56" s="3"/>
      <c r="K56" s="3"/>
    </row>
    <row r="57" spans="1:14" hidden="1" x14ac:dyDescent="0.2">
      <c r="A57" s="3"/>
      <c r="B57" s="3"/>
      <c r="C57" s="2533"/>
      <c r="D57" s="2534"/>
      <c r="E57" s="328"/>
      <c r="F57" s="845"/>
      <c r="G57" s="3"/>
      <c r="H57" s="3"/>
      <c r="I57" s="845"/>
      <c r="J57" s="3"/>
      <c r="K57" s="3"/>
    </row>
    <row r="58" spans="1:14" hidden="1" x14ac:dyDescent="0.2">
      <c r="A58" s="3"/>
      <c r="B58" s="3"/>
      <c r="C58" s="2533"/>
      <c r="D58" s="2534"/>
      <c r="E58" s="328"/>
      <c r="F58" s="845"/>
      <c r="G58" s="3"/>
      <c r="H58" s="3"/>
      <c r="I58" s="845"/>
      <c r="J58" s="3"/>
      <c r="K58" s="3"/>
    </row>
    <row r="59" spans="1:14" hidden="1" x14ac:dyDescent="0.2">
      <c r="A59" s="3"/>
      <c r="B59" s="3"/>
      <c r="C59" s="2533"/>
      <c r="D59" s="2534"/>
      <c r="E59" s="328"/>
      <c r="F59" s="845"/>
      <c r="G59" s="3"/>
      <c r="H59" s="3"/>
      <c r="I59" s="845"/>
      <c r="J59" s="3"/>
      <c r="K59" s="3"/>
    </row>
    <row r="60" spans="1:14" hidden="1" x14ac:dyDescent="0.2">
      <c r="A60" s="3"/>
      <c r="B60" s="3"/>
      <c r="C60" s="2533"/>
      <c r="D60" s="2534"/>
      <c r="E60" s="328"/>
      <c r="F60" s="845"/>
      <c r="G60" s="3"/>
      <c r="H60" s="3"/>
      <c r="I60" s="845"/>
      <c r="J60" s="3"/>
      <c r="K60" s="3"/>
    </row>
    <row r="61" spans="1:14" x14ac:dyDescent="0.2">
      <c r="A61" s="3"/>
      <c r="B61" s="3"/>
      <c r="C61" s="1743" t="s">
        <v>8196</v>
      </c>
      <c r="D61" s="174"/>
      <c r="E61" s="328" t="s">
        <v>444</v>
      </c>
      <c r="F61" s="845">
        <f>SUM(F9:F60)</f>
      </c>
      <c r="G61" s="2760" t="s">
        <v>3514</v>
      </c>
      <c r="H61" s="3"/>
      <c r="I61" s="845">
        <f>SUM(I9:I60)</f>
      </c>
      <c r="J61" s="2760" t="s">
        <v>3513</v>
      </c>
      <c r="K61" s="3"/>
    </row>
    <row r="62" spans="1:14" x14ac:dyDescent="0.2">
      <c r="A62" s="3"/>
      <c r="B62" s="3"/>
      <c r="C62" s="3"/>
      <c r="D62" s="3"/>
      <c r="E62" s="3"/>
      <c r="F62" s="3"/>
      <c r="G62" s="3"/>
      <c r="H62" s="3"/>
      <c r="I62" s="3"/>
      <c r="J62" s="3"/>
      <c r="K62" s="3"/>
    </row>
    <row r="63" spans="1:14" x14ac:dyDescent="0.2">
      <c r="A63" s="3"/>
      <c r="B63" s="3"/>
      <c r="C63" s="832" t="str">
        <f>_xlfn.SINGLE(MTCA)</f>
      </c>
      <c r="D63" s="818"/>
      <c r="E63" s="832" t="str">
        <f>ver</f>
        <v>TA2_e-CO_2025_Ver 1.1</v>
      </c>
      <c r="F63" s="818"/>
      <c r="G63" s="818"/>
      <c r="H63" s="818"/>
      <c r="I63" s="850" t="s">
        <v>3130</v>
      </c>
      <c r="J63" s="818"/>
      <c r="K63" s="3"/>
      <c r="L63" s="28">
        <f>SUM(L22:L62)</f>
      </c>
      <c r="N63" s="28">
        <f>COUNT(H22:I22,H28:I31)</f>
      </c>
    </row>
    <row r="64" spans="1:14" x14ac:dyDescent="0.2">
      <c r="A64" s="3"/>
      <c r="B64" s="3"/>
      <c r="C64" s="832"/>
      <c r="D64" s="818"/>
      <c r="E64" s="832"/>
      <c r="F64" s="818"/>
      <c r="G64" s="818"/>
      <c r="H64" s="818"/>
      <c r="I64" s="818"/>
      <c r="J64" s="818"/>
      <c r="K64" s="833"/>
    </row>
    <row r="65" spans="1:12" x14ac:dyDescent="0.2">
      <c r="A65" s="3"/>
      <c r="B65" s="3"/>
      <c r="C65" s="3"/>
      <c r="D65" s="851" t="str">
        <f>COM</f>
      </c>
      <c r="E65" s="331"/>
      <c r="F65" s="1276" t="str">
        <f>IF(AND(F61&gt;0,E65=""),re,"")</f>
        <v/>
      </c>
      <c r="G65" s="3"/>
      <c r="H65" s="3"/>
      <c r="I65" s="3"/>
      <c r="J65" s="3"/>
      <c r="K65" s="3"/>
      <c r="L65" s="28">
        <f>IF(F61+I61=0,0,IF(L63&lt;&gt;0,100,IF(E65=A77,1,100)))</f>
      </c>
    </row>
    <row r="66" spans="1:12" x14ac:dyDescent="0.2">
      <c r="A66" s="3"/>
      <c r="B66" s="3"/>
      <c r="C66" s="4636" t="s">
        <v>3512</v>
      </c>
      <c r="D66" s="4636"/>
      <c r="E66" s="3"/>
      <c r="F66" s="3"/>
      <c r="G66" s="3"/>
      <c r="H66" s="3"/>
      <c r="I66" s="3"/>
      <c r="J66" s="3"/>
      <c r="K66" s="3"/>
    </row>
    <row r="77" spans="1:12" hidden="1" x14ac:dyDescent="0.2">
      <c r="A77" s="846" t="s">
        <v>4457</v>
      </c>
    </row>
    <row r="78" spans="1:12" hidden="1" x14ac:dyDescent="0.2">
      <c r="A78" s="846" t="s">
        <v>1736</v>
      </c>
    </row>
  </sheetData>
  <sheetProtection algorithmName="SHA-512" hashValue="0Mof3NZVGT/iJHRNXYk9CBdAnkO3+8hqqH2rj5l3Zkx4JcdotmdELackluxhKUV/ijdgxHmC5Fpkd7BHwvDlPA==" saltValue="XLCPb587qYFFjzxW4fDmuQ==" spinCount="100000" sheet="1" objects="1" scenarios="1"/>
  <customSheetViews>
    <customSheetView guid="{99B5278F-6EA9-4B1A-8623-27A4DF4AD5E4}" fitToPage="1" hiddenRows="1" hiddenColumns="1" topLeftCell="A8">
      <selection activeCell="C42" sqref="C42:D42"/>
      <pageMargins left="0.75" right="0.75" top="1" bottom="1" header="0.5" footer="0.5"/>
      <pageSetup paperSize="9" scale="74" orientation="landscape" horizontalDpi="4294967294" r:id="rId1"/>
      <headerFooter alignWithMargins="0">
        <oddFooter>&amp;LName&amp;CSignature&amp;RDate</oddFooter>
      </headerFooter>
    </customSheetView>
  </customSheetViews>
  <mergeCells count="33">
    <mergeCell ref="J39:K39"/>
    <mergeCell ref="C38:D38"/>
    <mergeCell ref="J10:K10"/>
    <mergeCell ref="C48:D48"/>
    <mergeCell ref="C47:D47"/>
    <mergeCell ref="C21:D21"/>
    <mergeCell ref="C46:D46"/>
    <mergeCell ref="C27:D27"/>
    <mergeCell ref="C23:D23"/>
    <mergeCell ref="C66:D66"/>
    <mergeCell ref="C36:D36"/>
    <mergeCell ref="C37:D37"/>
    <mergeCell ref="C31:D31"/>
    <mergeCell ref="C39:D39"/>
    <mergeCell ref="C40:D40"/>
    <mergeCell ref="C41:D41"/>
    <mergeCell ref="C42:D42"/>
    <mergeCell ref="C43:D43"/>
    <mergeCell ref="C44:D44"/>
    <mergeCell ref="C45:D45"/>
    <mergeCell ref="C49:D49"/>
    <mergeCell ref="C50:D50"/>
    <mergeCell ref="C4:D6"/>
    <mergeCell ref="C35:D35"/>
    <mergeCell ref="H4:I4"/>
    <mergeCell ref="H5:I6"/>
    <mergeCell ref="E5:F6"/>
    <mergeCell ref="E4:F4"/>
    <mergeCell ref="C22:D22"/>
    <mergeCell ref="C25:D25"/>
    <mergeCell ref="C32:D32"/>
    <mergeCell ref="C33:D33"/>
    <mergeCell ref="C34:D34"/>
  </mergeCells>
  <phoneticPr fontId="0" type="noConversion"/>
  <conditionalFormatting sqref="D26">
    <cfRule type="cellIs" dxfId="596" priority="33" stopIfTrue="1" operator="equal">
      <formula>0</formula>
    </cfRule>
  </conditionalFormatting>
  <dataValidations count="6">
    <dataValidation type="list" allowBlank="1" showInputMessage="1" showErrorMessage="1" sqref="E65" xr:uid="{00000000-0002-0000-2E00-000000000000}">
      <formula1>$A$76:$A$78</formula1>
    </dataValidation>
    <dataValidation type="whole" operator="greaterThanOrEqual" allowBlank="1" showInputMessage="1" showErrorMessage="1" errorTitle="ADJUSTMENTS" error="PLEASE ENTER A POSITIVE VALUE!" sqref="F26 F22:F23" xr:uid="{00000000-0002-0000-2E00-000001000000}">
      <formula1>0</formula1>
    </dataValidation>
    <dataValidation type="whole" operator="greaterThanOrEqual" allowBlank="1" showInputMessage="1" showErrorMessage="1" errorTitle="TIFD Amount" error="Please enter a positive value!" sqref="I22 I31 I46:I47 I39 I35:I37 I43" xr:uid="{00000000-0002-0000-2E00-000002000000}">
      <formula1>0</formula1>
    </dataValidation>
    <dataValidation type="whole" allowBlank="1" showInputMessage="1" showErrorMessage="1" errorTitle="TIFD code" error="Please enter the correct code!" sqref="H22 H31 H34:H37" xr:uid="{00000000-0002-0000-2E00-000003000000}">
      <formula1>5000</formula1>
      <formula2>6997</formula2>
    </dataValidation>
    <dataValidation operator="greaterThanOrEqual" allowBlank="1" showInputMessage="1" showErrorMessage="1" errorTitle="ADJUSTMENTS" error="PLEASE ENTER A POSITIVE VALUE!" sqref="F10" xr:uid="{00000000-0002-0000-2E00-000004000000}"/>
    <dataValidation type="textLength" allowBlank="1" showInputMessage="1" showErrorMessage="1" errorTitle="TIFD code" error="Please enter the correct code or n/a if not applicable!" sqref="H39" xr:uid="{00000000-0002-0000-2E00-000005000000}">
      <formula1>1</formula1>
      <formula2>4</formula2>
    </dataValidation>
  </dataValidations>
  <hyperlinks>
    <hyperlink ref="E22" location="TRA1!C2" display="TRA 01" xr:uid="{00000000-0004-0000-2E00-000000000000}"/>
    <hyperlink ref="E23" location="TRA2!C2" display="TRA2!C2" xr:uid="{00000000-0004-0000-2E00-000001000000}"/>
    <hyperlink ref="E26" location="TRA3!C2" display="TRA3!C2" xr:uid="{00000000-0004-0000-2E00-000002000000}"/>
    <hyperlink ref="E31" location="TRA52!B2" display="TRA 52" xr:uid="{00000000-0004-0000-2E00-000003000000}"/>
    <hyperlink ref="E61" location="'p3'!A1" display="Page 3" xr:uid="{00000000-0004-0000-2E00-000004000000}"/>
    <hyperlink ref="C66" location="Index!A1" display="B A C K  T O  I N D E X" xr:uid="{00000000-0004-0000-2E00-000005000000}"/>
    <hyperlink ref="E9" location="TRA9_14!A1" display="TRA 09" xr:uid="{00000000-0004-0000-2E00-000006000000}"/>
    <hyperlink ref="E10" location="TRA41!A1" display="TRA41!A1" xr:uid="{00000000-0004-0000-2E00-000007000000}"/>
    <hyperlink ref="E11" location="TRA53!B1" display="TRA 53" xr:uid="{00000000-0004-0000-2E00-000008000000}"/>
    <hyperlink ref="E12" location="TRA75!A1" display="TRA 75" xr:uid="{00000000-0004-0000-2E00-000009000000}"/>
    <hyperlink ref="E35" location="TRA56!A1" display="TRA 56" xr:uid="{00000000-0004-0000-2E00-00000A000000}"/>
    <hyperlink ref="E36" location="TRA57!A1" display="TRA 57" xr:uid="{00000000-0004-0000-2E00-00000B000000}"/>
    <hyperlink ref="E37" location="TRA58!A1" display="TRA 58" xr:uid="{00000000-0004-0000-2E00-00000C000000}"/>
    <hyperlink ref="E38" location="TRA66!J24" display="TRA 66" xr:uid="{00000000-0004-0000-2E00-00000D000000}"/>
    <hyperlink ref="E39" location="TRA68!A1" display="TRA 68" xr:uid="{00000000-0004-0000-2E00-00000E000000}"/>
    <hyperlink ref="E40" location="TRA69!A1" display="TRA 69" xr:uid="{00000000-0004-0000-2E00-00000F000000}"/>
    <hyperlink ref="E41" location="TRA70!A1" display="TRA 70" xr:uid="{00000000-0004-0000-2E00-000010000000}"/>
    <hyperlink ref="E42" location="TRA73!G23" display="TRA 73" xr:uid="{00000000-0004-0000-2E00-000011000000}"/>
    <hyperlink ref="E43" location="TRA74!A1" display="TRA 74" xr:uid="{00000000-0004-0000-2E00-000012000000}"/>
    <hyperlink ref="E44" location="TRA74!A1" display="TRA 74" xr:uid="{00000000-0004-0000-2E00-000013000000}"/>
    <hyperlink ref="E13" location="TRA76!A1" display="TRA 76" xr:uid="{00000000-0004-0000-2E00-000014000000}"/>
    <hyperlink ref="E14" location="TRA77!A1" display="TRA 77" xr:uid="{00000000-0004-0000-2E00-000015000000}"/>
    <hyperlink ref="E45" location="TRA79!A1" display="TRA 79" xr:uid="{00000000-0004-0000-2E00-000016000000}"/>
    <hyperlink ref="E15" location="'TRA83'!A1" display="TRA 83" xr:uid="{00000000-0004-0000-2E00-000017000000}"/>
    <hyperlink ref="E32" location="'TRA84'!A1" display="TRA 84" xr:uid="{00000000-0004-0000-2E00-000018000000}"/>
    <hyperlink ref="E33" location="'TRA85'!A1" display="TRA 85" xr:uid="{00000000-0004-0000-2E00-000019000000}"/>
    <hyperlink ref="E34" location="'TRA87'!A1" display="TRA 87" xr:uid="{00000000-0004-0000-2E00-00001A000000}"/>
    <hyperlink ref="E16" location="'TRA89'!O58" display="TRA 89" xr:uid="{00000000-0004-0000-2E00-00001B000000}"/>
    <hyperlink ref="E46" location="'TRA95'!A1" display="TRA 95" xr:uid="{00000000-0004-0000-2E00-00001C000000}"/>
    <hyperlink ref="E47" location="'TRA96'!A1" display="TRA 96" xr:uid="{00000000-0004-0000-2E00-00001D000000}"/>
    <hyperlink ref="E48" location="'TRA97'!A1" display="TRA 97" xr:uid="{00000000-0004-0000-2E00-00001E000000}"/>
    <hyperlink ref="E49" location="'TRA98'!A1" display="TRA 98" xr:uid="{00000000-0004-0000-2E00-00001F000000}"/>
    <hyperlink ref="E50" location="'TRA99'!A1" display="TRA 99" xr:uid="{00000000-0004-0000-2E00-000020000000}"/>
    <hyperlink ref="G61" location="'p3'!A1" display="  Page 3 {field 29a}" xr:uid="{00000000-0004-0000-2E00-000021000000}"/>
    <hyperlink ref="E51" location="'TRA 113'!A1" display="TRA 113" xr:uid="{00000000-0004-0000-2E00-000022000000}"/>
    <hyperlink ref="E17" location="'TRA119'!A1" display="TRA 119" xr:uid="{00000000-0004-0000-2E00-000023000000}"/>
    <hyperlink ref="E52" location="'TRA134'!A1" display="TRA 134" xr:uid="{9C06795D-1304-44A2-B3CA-CD018E4B93C0}"/>
  </hyperlinks>
  <pageMargins left="0.15748031496062992" right="0.15748031496062992" top="0.59055118110236227" bottom="0.98425196850393704" header="0.51181102362204722" footer="0.51181102362204722"/>
  <pageSetup paperSize="9" scale="83" orientation="landscape" r:id="rId2"/>
  <headerFooter alignWithMargins="0">
    <oddFooter>&amp;LName&amp;CSignature&amp;RDate</oddFooter>
  </headerFooter>
  <legacy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61"/>
  <dimension ref="A1:XFD140"/>
  <sheetViews>
    <sheetView topLeftCell="E1" zoomScale="85" zoomScaleNormal="85" workbookViewId="0"/>
  </sheetViews>
  <sheetFormatPr defaultColWidth="0" defaultRowHeight="12.75" customHeight="1" zeroHeight="1" x14ac:dyDescent="0.2"/>
  <cols>
    <col min="1" max="1" width="1.7109375" style="28" hidden="1" customWidth="1"/>
    <col min="2" max="2" width="0.7109375" style="28" customWidth="1"/>
    <col min="3" max="3" width="15.28515625" style="28" customWidth="1"/>
    <col min="4" max="4" width="62.28515625" style="28" customWidth="1"/>
    <col min="5" max="5" width="8.5703125" style="28" customWidth="1"/>
    <col min="6" max="9" width="12.7109375" style="28" customWidth="1"/>
    <col min="10" max="10" width="7" style="28" bestFit="1" customWidth="1"/>
    <col min="11" max="11" width="9.28515625" style="28" customWidth="1"/>
    <col min="12" max="12" width="4" style="28" hidden="1" customWidth="1"/>
    <col min="13" max="13" width="2" style="28" hidden="1" customWidth="1"/>
    <col min="14" max="15" width="7.5703125" style="28" hidden="1" customWidth="1"/>
    <col min="16" max="18" width="2" style="28" hidden="1" customWidth="1"/>
    <col min="19" max="19" width="9.5703125" style="28" hidden="1" customWidth="1"/>
    <col min="20" max="21" width="9.28515625" style="28" hidden="1" customWidth="1"/>
    <col min="22" max="22" width="2" style="28" hidden="1" customWidth="1"/>
    <col min="23" max="23" width="6.42578125" style="28" hidden="1" customWidth="1"/>
    <col min="24" max="24" width="9.28515625" style="28" hidden="1" customWidth="1"/>
    <col min="25" max="25" width="2" style="28" hidden="1" customWidth="1"/>
    <col min="26" max="27" width="18.7109375" style="28" hidden="1" customWidth="1"/>
    <col min="28" max="28" width="63.7109375" style="28" hidden="1" customWidth="1"/>
    <col min="29" max="29" width="2" style="28" hidden="1" customWidth="1"/>
    <col min="30" max="16384" width="0" style="28" hidden="1"/>
  </cols>
  <sheetData>
    <row r="1" spans="2:256" x14ac:dyDescent="0.2">
      <c r="B1" s="3"/>
      <c r="C1" s="4923" t="str">
        <f>_ref1</f>
      </c>
      <c r="D1" s="4923"/>
      <c r="E1" s="4923"/>
      <c r="F1" s="4923"/>
      <c r="G1" s="4923"/>
      <c r="H1" s="4923"/>
      <c r="I1" s="536" t="str">
        <f>_YA1</f>
      </c>
      <c r="J1" s="3"/>
      <c r="K1" s="3"/>
      <c r="S1" s="28" t="s">
        <v>5813</v>
      </c>
    </row>
    <row r="2" spans="2:256" ht="18" x14ac:dyDescent="0.25">
      <c r="B2" s="3"/>
      <c r="C2" s="1013" t="s">
        <v>1767</v>
      </c>
      <c r="D2" s="186"/>
      <c r="E2" s="199"/>
      <c r="F2" s="199"/>
      <c r="G2" s="199"/>
      <c r="H2" s="199"/>
      <c r="I2" s="200"/>
      <c r="J2" s="78"/>
      <c r="K2" s="3"/>
    </row>
    <row r="3" spans="2:256" ht="6.75" customHeight="1" x14ac:dyDescent="0.2">
      <c r="B3" s="3"/>
      <c r="C3" s="3"/>
      <c r="D3" s="3"/>
      <c r="E3" s="3"/>
      <c r="F3" s="3"/>
      <c r="G3" s="3"/>
      <c r="H3" s="3"/>
      <c r="I3" s="3"/>
      <c r="J3" s="78"/>
      <c r="K3" s="3"/>
    </row>
    <row r="4" spans="2:256" ht="25.5" customHeight="1" x14ac:dyDescent="0.2">
      <c r="B4" s="3"/>
      <c r="C4" s="4924" t="s">
        <v>6910</v>
      </c>
      <c r="D4" s="4925"/>
      <c r="E4" s="4930" t="s">
        <v>4796</v>
      </c>
      <c r="F4" s="4933" t="s">
        <v>104</v>
      </c>
      <c r="G4" s="4933"/>
      <c r="H4" s="4933"/>
      <c r="I4" s="4933"/>
      <c r="J4" s="78"/>
      <c r="K4" s="3"/>
    </row>
    <row r="5" spans="2:256" x14ac:dyDescent="0.2">
      <c r="B5" s="3"/>
      <c r="C5" s="4926"/>
      <c r="D5" s="4927"/>
      <c r="E5" s="4931"/>
      <c r="F5" s="4933"/>
      <c r="G5" s="4933"/>
      <c r="H5" s="4933"/>
      <c r="I5" s="4933"/>
      <c r="J5" s="3"/>
      <c r="K5" s="3"/>
    </row>
    <row r="6" spans="2:256" ht="12.75" customHeight="1" x14ac:dyDescent="0.2">
      <c r="B6" s="3"/>
      <c r="C6" s="4926"/>
      <c r="D6" s="4927"/>
      <c r="E6" s="4931"/>
      <c r="F6" s="4934" t="s">
        <v>4839</v>
      </c>
      <c r="G6" s="4936" t="s">
        <v>3578</v>
      </c>
      <c r="H6" s="4937"/>
      <c r="I6" s="4934" t="s">
        <v>2364</v>
      </c>
      <c r="J6" s="3"/>
      <c r="K6" s="3"/>
    </row>
    <row r="7" spans="2:256" ht="33.75" x14ac:dyDescent="0.2">
      <c r="B7" s="3"/>
      <c r="C7" s="4928"/>
      <c r="D7" s="4929"/>
      <c r="E7" s="4932"/>
      <c r="F7" s="4935"/>
      <c r="G7" s="741" t="s">
        <v>474</v>
      </c>
      <c r="H7" s="741" t="s">
        <v>226</v>
      </c>
      <c r="I7" s="4935"/>
      <c r="J7" s="3"/>
      <c r="K7" s="3"/>
    </row>
    <row r="8" spans="2:256" ht="5.25" customHeight="1" x14ac:dyDescent="0.2">
      <c r="B8" s="3"/>
      <c r="C8" s="3"/>
      <c r="D8" s="3"/>
      <c r="E8" s="3"/>
      <c r="F8" s="3"/>
      <c r="G8" s="3"/>
      <c r="H8" s="3"/>
      <c r="I8" s="3"/>
      <c r="J8" s="3"/>
      <c r="K8" s="3"/>
    </row>
    <row r="9" spans="2:256" x14ac:dyDescent="0.2">
      <c r="B9" s="3"/>
      <c r="C9" s="838" t="s">
        <v>5764</v>
      </c>
      <c r="D9" s="523"/>
      <c r="E9" s="1359" t="s">
        <v>1503</v>
      </c>
      <c r="F9" s="852"/>
      <c r="G9" s="544">
        <f>TRA9_14!B27</f>
      </c>
      <c r="H9" s="561"/>
      <c r="I9" s="544">
        <f t="shared" ref="I9:I19" si="0">SUM(F9:H9)</f>
      </c>
      <c r="J9" s="222" t="str">
        <f t="shared" ref="J9:J14" si="1">IF(O9=0,"",IF(P9&lt;&gt;2,reo,IF(I9&lt;0,neg,"")))</f>
        <v/>
      </c>
      <c r="K9" s="3"/>
      <c r="L9" s="28">
        <f t="shared" ref="L9:L18" si="2">IF(J9=reo,1,0)</f>
      </c>
      <c r="N9" s="28">
        <f t="shared" ref="N9:N15" si="3">IF(O9&lt;=0,0,O9*-1)</f>
      </c>
      <c r="O9" s="32">
        <f t="shared" ref="O9:O15" si="4">F9+G9</f>
      </c>
      <c r="P9" s="28">
        <f t="shared" ref="P9:P28" si="5">COUNT(F9,H9)</f>
      </c>
    </row>
    <row r="10" spans="2:256" x14ac:dyDescent="0.2">
      <c r="B10" s="3"/>
      <c r="C10" s="838" t="s">
        <v>2331</v>
      </c>
      <c r="D10" s="523"/>
      <c r="E10" s="1360" t="s">
        <v>1507</v>
      </c>
      <c r="F10" s="852"/>
      <c r="G10" s="544">
        <f>TRA9_14!B78</f>
      </c>
      <c r="H10" s="561"/>
      <c r="I10" s="544">
        <f t="shared" si="0"/>
        <v>0</v>
      </c>
      <c r="J10" s="222" t="str">
        <f t="shared" si="1"/>
        <v/>
      </c>
      <c r="K10" s="3"/>
      <c r="L10" s="28">
        <f t="shared" si="2"/>
        <v>0</v>
      </c>
      <c r="N10" s="28">
        <f t="shared" si="3"/>
        <v>0</v>
      </c>
      <c r="O10" s="32">
        <f t="shared" si="4"/>
        <v>0</v>
      </c>
      <c r="P10" s="28">
        <f t="shared" si="5"/>
        <v>0</v>
      </c>
    </row>
    <row r="11" spans="2:256" ht="12.75" customHeight="1" x14ac:dyDescent="0.2">
      <c r="B11" s="3"/>
      <c r="C11" s="838" t="s">
        <v>3713</v>
      </c>
      <c r="D11" s="523"/>
      <c r="E11" s="1360" t="s">
        <v>200</v>
      </c>
      <c r="F11" s="852"/>
      <c r="G11" s="544">
        <f>'TRA41'!J43</f>
      </c>
      <c r="H11" s="561"/>
      <c r="I11" s="544">
        <f t="shared" si="0"/>
        <v>0</v>
      </c>
      <c r="J11" s="222" t="str">
        <f t="shared" si="1"/>
        <v/>
      </c>
      <c r="K11" s="3"/>
      <c r="L11" s="28">
        <f t="shared" si="2"/>
        <v>0</v>
      </c>
      <c r="N11" s="28">
        <f t="shared" si="3"/>
        <v>0</v>
      </c>
      <c r="O11" s="32">
        <f t="shared" si="4"/>
        <v>0</v>
      </c>
      <c r="P11" s="28">
        <f t="shared" si="5"/>
        <v>0</v>
      </c>
    </row>
    <row r="12" spans="2:256" ht="12.75" customHeight="1" x14ac:dyDescent="0.2">
      <c r="B12" s="3"/>
      <c r="C12" s="838" t="s">
        <v>7806</v>
      </c>
      <c r="D12" s="523"/>
      <c r="E12" s="1360" t="s">
        <v>2498</v>
      </c>
      <c r="F12" s="852"/>
      <c r="G12" s="544">
        <f>'TRA53'!L103</f>
      </c>
      <c r="H12" s="561"/>
      <c r="I12" s="544">
        <f t="shared" si="0"/>
        <v>0</v>
      </c>
      <c r="J12" s="222" t="str">
        <f t="shared" si="1"/>
        <v/>
      </c>
      <c r="K12" s="3"/>
      <c r="L12" s="28">
        <f t="shared" si="2"/>
        <v>0</v>
      </c>
      <c r="N12" s="28">
        <f t="shared" si="3"/>
        <v>0</v>
      </c>
      <c r="O12" s="32">
        <f t="shared" si="4"/>
        <v>0</v>
      </c>
      <c r="P12" s="28">
        <f t="shared" si="5"/>
        <v>0</v>
      </c>
    </row>
    <row r="13" spans="2:256" x14ac:dyDescent="0.2">
      <c r="B13" s="3"/>
      <c r="C13" s="853" t="s">
        <v>464</v>
      </c>
      <c r="D13" s="854"/>
      <c r="E13" s="1360" t="s">
        <v>5624</v>
      </c>
      <c r="F13" s="852"/>
      <c r="G13" s="544">
        <f>'TRA6'!J40</f>
      </c>
      <c r="H13" s="561"/>
      <c r="I13" s="544">
        <f t="shared" si="0"/>
        <v>0</v>
      </c>
      <c r="J13" s="222" t="str">
        <f t="shared" si="1"/>
        <v/>
      </c>
      <c r="K13" s="3"/>
      <c r="L13" s="28">
        <f t="shared" si="2"/>
        <v>0</v>
      </c>
      <c r="N13" s="28">
        <f t="shared" si="3"/>
        <v>0</v>
      </c>
      <c r="O13" s="32">
        <f t="shared" si="4"/>
        <v>0</v>
      </c>
      <c r="P13" s="28">
        <f t="shared" si="5"/>
        <v>0</v>
      </c>
    </row>
    <row r="14" spans="2:256" x14ac:dyDescent="0.2">
      <c r="B14" s="3"/>
      <c r="C14" s="1168" t="str">
        <f>Z14</f>
      </c>
      <c r="D14" s="854"/>
      <c r="E14" s="1360" t="s">
        <v>1026</v>
      </c>
      <c r="F14" s="852"/>
      <c r="G14" s="544">
        <f>'TRA18'!E67</f>
      </c>
      <c r="H14" s="561"/>
      <c r="I14" s="544">
        <f t="shared" si="0"/>
        <v>0</v>
      </c>
      <c r="J14" s="222" t="str">
        <f t="shared" si="1"/>
        <v/>
      </c>
      <c r="K14" s="3"/>
      <c r="L14" s="28">
        <f t="shared" si="2"/>
        <v>0</v>
      </c>
      <c r="N14" s="28">
        <f t="shared" si="3"/>
        <v>0</v>
      </c>
      <c r="O14" s="32">
        <f t="shared" si="4"/>
        <v>0</v>
      </c>
      <c r="P14" s="28">
        <f t="shared" si="5"/>
        <v>0</v>
      </c>
      <c r="Z14" s="62" t="str">
        <f>IF(AC14=0,AA14,AB14&amp;AC14&amp;")")</f>
      </c>
      <c r="AA14" s="142" t="s">
        <v>3189</v>
      </c>
      <c r="AB14" s="142" t="s">
        <v>2594</v>
      </c>
      <c r="AC14" s="32">
        <f>'TRA18'!E71+'TRA18'!E69</f>
      </c>
    </row>
    <row r="15" spans="2:256" x14ac:dyDescent="0.2">
      <c r="B15" s="3"/>
      <c r="C15" s="853" t="s">
        <v>7487</v>
      </c>
      <c r="D15" s="854"/>
      <c r="E15" s="1360"/>
      <c r="F15" s="852"/>
      <c r="G15" s="3"/>
      <c r="H15" s="561"/>
      <c r="I15" s="544">
        <f t="shared" si="0"/>
        <v>0</v>
      </c>
      <c r="J15" s="222"/>
      <c r="K15" s="3"/>
      <c r="L15" s="28">
        <f t="shared" si="2"/>
        <v>0</v>
      </c>
      <c r="N15" s="28">
        <f t="shared" si="3"/>
        <v>0</v>
      </c>
      <c r="O15" s="32">
        <f t="shared" si="4"/>
        <v>0</v>
      </c>
      <c r="P15" s="28">
        <f t="shared" si="5"/>
        <v>0</v>
      </c>
    </row>
    <row r="16" spans="2:256" s="142" customFormat="1" x14ac:dyDescent="0.2">
      <c r="B16" s="3"/>
      <c r="C16" s="844" t="s">
        <v>2858</v>
      </c>
      <c r="D16" s="854"/>
      <c r="E16" s="1360" t="s">
        <v>2761</v>
      </c>
      <c r="F16" s="852"/>
      <c r="G16" s="544">
        <f>'TRA75'!D41</f>
      </c>
      <c r="H16" s="561"/>
      <c r="I16" s="544">
        <f t="shared" si="0"/>
        <v>0</v>
      </c>
      <c r="J16" s="222" t="str">
        <f t="shared" ref="J16:J21" si="6">IF(O16=0,"",IF(P16&lt;&gt;2,reo,IF(I16&lt;0,neg,"")))</f>
        <v/>
      </c>
      <c r="K16" s="3"/>
      <c r="L16" s="28">
        <f t="shared" si="2"/>
        <v>0</v>
      </c>
      <c r="M16" s="28"/>
      <c r="N16" s="28">
        <f t="shared" ref="N16:N22" si="7">IF(O16&lt;=0,0,O16*-1)</f>
      </c>
      <c r="O16" s="32">
        <f t="shared" ref="O16:O22" si="8">F16+G16</f>
      </c>
      <c r="P16" s="28">
        <f t="shared" si="5"/>
        <v>0</v>
      </c>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row>
    <row r="17" spans="2:16384" s="142" customFormat="1" x14ac:dyDescent="0.2">
      <c r="B17" s="3"/>
      <c r="C17" s="844" t="s">
        <v>5560</v>
      </c>
      <c r="D17" s="854"/>
      <c r="E17" s="1360" t="s">
        <v>2762</v>
      </c>
      <c r="F17" s="852"/>
      <c r="G17" s="544">
        <f>'TRA76'!D41</f>
      </c>
      <c r="H17" s="561"/>
      <c r="I17" s="544">
        <f t="shared" si="0"/>
        <v>0</v>
      </c>
      <c r="J17" s="222" t="str">
        <f t="shared" si="6"/>
        <v/>
      </c>
      <c r="K17" s="3"/>
      <c r="L17" s="28">
        <f t="shared" si="2"/>
        <v>0</v>
      </c>
      <c r="N17" s="28">
        <f t="shared" si="7"/>
        <v>0</v>
      </c>
      <c r="O17" s="32">
        <f t="shared" si="8"/>
        <v>0</v>
      </c>
      <c r="P17" s="28">
        <f t="shared" si="5"/>
        <v>0</v>
      </c>
    </row>
    <row r="18" spans="2:16384" s="142" customFormat="1" x14ac:dyDescent="0.2">
      <c r="B18" s="3"/>
      <c r="C18" s="844" t="s">
        <v>5561</v>
      </c>
      <c r="D18" s="854"/>
      <c r="E18" s="1360" t="s">
        <v>2763</v>
      </c>
      <c r="F18" s="852"/>
      <c r="G18" s="544">
        <f>'TRA77'!J41</f>
      </c>
      <c r="H18" s="561"/>
      <c r="I18" s="544">
        <f t="shared" si="0"/>
        <v>0</v>
      </c>
      <c r="J18" s="222" t="str">
        <f t="shared" si="6"/>
        <v/>
      </c>
      <c r="K18" s="3"/>
      <c r="L18" s="28">
        <f t="shared" si="2"/>
        <v>0</v>
      </c>
      <c r="N18" s="28">
        <f t="shared" si="7"/>
        <v>0</v>
      </c>
      <c r="O18" s="32">
        <f t="shared" si="8"/>
        <v>0</v>
      </c>
      <c r="P18" s="28">
        <f t="shared" si="5"/>
        <v>0</v>
      </c>
    </row>
    <row r="19" spans="2:16384" s="142" customFormat="1" x14ac:dyDescent="0.2">
      <c r="B19" s="3"/>
      <c r="C19" s="844" t="s">
        <v>7834</v>
      </c>
      <c r="D19" s="1783"/>
      <c r="E19" s="1360" t="s">
        <v>6988</v>
      </c>
      <c r="F19" s="852"/>
      <c r="G19" s="544">
        <f>'TRA83'!G93</f>
      </c>
      <c r="H19" s="561"/>
      <c r="I19" s="544">
        <f t="shared" si="0"/>
        <v>0</v>
      </c>
      <c r="J19" s="222" t="str">
        <f t="shared" si="6"/>
        <v/>
      </c>
      <c r="K19" s="1780"/>
      <c r="L19" s="1736">
        <f t="shared" ref="L19:L25" si="9">IF(J19=reo,1,0)</f>
      </c>
      <c r="M19" s="1634"/>
      <c r="N19" s="1736">
        <f t="shared" si="7"/>
        <v>0</v>
      </c>
      <c r="O19" s="32">
        <f t="shared" si="8"/>
        <v>0</v>
      </c>
      <c r="P19" s="1736">
        <f t="shared" si="5"/>
        <v>0</v>
      </c>
      <c r="Q19" s="1634"/>
      <c r="R19" s="1634"/>
      <c r="S19" s="1634"/>
      <c r="T19" s="1634"/>
      <c r="U19" s="1634"/>
      <c r="V19" s="1634"/>
      <c r="W19" s="1634"/>
      <c r="X19" s="1634"/>
      <c r="Y19" s="1634"/>
      <c r="Z19" s="1634"/>
      <c r="AA19" s="1634"/>
      <c r="AB19" s="1634"/>
      <c r="AC19" s="1634"/>
      <c r="AD19" s="1634"/>
      <c r="AE19" s="1634"/>
      <c r="AF19" s="1634"/>
      <c r="AG19" s="1634"/>
      <c r="AH19" s="1634"/>
      <c r="AI19" s="1634"/>
      <c r="AJ19" s="1634"/>
      <c r="AK19" s="1634"/>
      <c r="AL19" s="1634"/>
      <c r="AM19" s="1634"/>
      <c r="AN19" s="1634"/>
      <c r="AO19" s="1634"/>
      <c r="AP19" s="1634"/>
      <c r="AQ19" s="1634"/>
      <c r="AR19" s="1634"/>
      <c r="AS19" s="1634"/>
      <c r="AT19" s="1634"/>
      <c r="AU19" s="1634"/>
      <c r="AV19" s="1634"/>
      <c r="AW19" s="1634"/>
      <c r="AX19" s="1634"/>
      <c r="AY19" s="1634"/>
      <c r="AZ19" s="1634"/>
      <c r="BA19" s="1634"/>
      <c r="BB19" s="1634"/>
      <c r="BC19" s="1634"/>
      <c r="BD19" s="1634"/>
      <c r="BE19" s="1634"/>
      <c r="BF19" s="1634"/>
      <c r="BG19" s="1634"/>
      <c r="BH19" s="1634"/>
      <c r="BI19" s="1634"/>
      <c r="BJ19" s="1634"/>
      <c r="BK19" s="1634"/>
      <c r="BL19" s="1634"/>
      <c r="BM19" s="1634"/>
      <c r="BN19" s="1634"/>
      <c r="BO19" s="1634"/>
      <c r="BP19" s="1634"/>
      <c r="BQ19" s="1634"/>
      <c r="BR19" s="1634"/>
      <c r="BS19" s="1634"/>
      <c r="BT19" s="1634"/>
      <c r="BU19" s="1634"/>
      <c r="BV19" s="1634"/>
      <c r="BW19" s="1634"/>
      <c r="BX19" s="1634"/>
      <c r="BY19" s="1634"/>
      <c r="BZ19" s="1634"/>
      <c r="CA19" s="1634"/>
      <c r="CB19" s="1634"/>
      <c r="CC19" s="1634"/>
      <c r="CD19" s="1634"/>
      <c r="CE19" s="1634"/>
      <c r="CF19" s="1634"/>
      <c r="CG19" s="1634"/>
      <c r="CH19" s="1634"/>
      <c r="CI19" s="1634"/>
      <c r="CJ19" s="1634"/>
      <c r="CK19" s="1634"/>
      <c r="CL19" s="1634"/>
      <c r="CM19" s="1634"/>
      <c r="CN19" s="1634"/>
      <c r="CO19" s="1634"/>
      <c r="CP19" s="1634"/>
      <c r="CQ19" s="1634"/>
      <c r="CR19" s="1634"/>
      <c r="CS19" s="1634"/>
      <c r="CT19" s="1634"/>
      <c r="CU19" s="1634"/>
      <c r="CV19" s="1634"/>
      <c r="CW19" s="1634"/>
      <c r="CX19" s="1634"/>
      <c r="CY19" s="1634"/>
      <c r="CZ19" s="1634"/>
      <c r="DA19" s="1634"/>
      <c r="DB19" s="1634"/>
      <c r="DC19" s="1634"/>
      <c r="DD19" s="1634"/>
      <c r="DE19" s="1634"/>
      <c r="DF19" s="1634"/>
      <c r="DG19" s="1634"/>
      <c r="DH19" s="1634"/>
      <c r="DI19" s="1634"/>
      <c r="DJ19" s="1634"/>
      <c r="DK19" s="1634"/>
      <c r="DL19" s="1634"/>
      <c r="DM19" s="1634"/>
      <c r="DN19" s="1634"/>
      <c r="DO19" s="1634"/>
      <c r="DP19" s="1634"/>
      <c r="DQ19" s="1634"/>
      <c r="DR19" s="1634"/>
      <c r="DS19" s="1634"/>
      <c r="DT19" s="1634"/>
      <c r="DU19" s="1634"/>
      <c r="DV19" s="1634"/>
      <c r="DW19" s="1634"/>
      <c r="DX19" s="1634"/>
      <c r="DY19" s="1634"/>
      <c r="DZ19" s="1634"/>
      <c r="EA19" s="1634"/>
      <c r="EB19" s="1634"/>
      <c r="EC19" s="1634"/>
      <c r="ED19" s="1634"/>
      <c r="EE19" s="1634"/>
      <c r="EF19" s="1634"/>
      <c r="EG19" s="1634"/>
      <c r="EH19" s="1634"/>
      <c r="EI19" s="1634"/>
      <c r="EJ19" s="1634"/>
      <c r="EK19" s="1634"/>
      <c r="EL19" s="1634"/>
      <c r="EM19" s="1634"/>
      <c r="EN19" s="1634"/>
      <c r="EO19" s="1634"/>
      <c r="EP19" s="1634"/>
      <c r="EQ19" s="1634"/>
      <c r="ER19" s="1634"/>
      <c r="ES19" s="1634"/>
      <c r="ET19" s="1634"/>
      <c r="EU19" s="1634"/>
      <c r="EV19" s="1634"/>
      <c r="EW19" s="1634"/>
      <c r="EX19" s="1634"/>
      <c r="EY19" s="1634"/>
      <c r="EZ19" s="1634"/>
      <c r="FA19" s="1634"/>
      <c r="FB19" s="1634"/>
      <c r="FC19" s="1634"/>
      <c r="FD19" s="1634"/>
      <c r="FE19" s="1634"/>
      <c r="FF19" s="1634"/>
      <c r="FG19" s="1634"/>
      <c r="FH19" s="1634"/>
      <c r="FI19" s="1634"/>
      <c r="FJ19" s="1634"/>
      <c r="FK19" s="1634"/>
      <c r="FL19" s="1634"/>
      <c r="FM19" s="1634"/>
      <c r="FN19" s="1634"/>
      <c r="FO19" s="1634"/>
      <c r="FP19" s="1634"/>
      <c r="FQ19" s="1634"/>
      <c r="FR19" s="1634"/>
      <c r="FS19" s="1634"/>
      <c r="FT19" s="1634"/>
      <c r="FU19" s="1634"/>
      <c r="FV19" s="1634"/>
      <c r="FW19" s="1634"/>
      <c r="FX19" s="1634"/>
      <c r="FY19" s="1634"/>
      <c r="FZ19" s="1634"/>
      <c r="GA19" s="1634"/>
      <c r="GB19" s="1634"/>
      <c r="GC19" s="1634"/>
      <c r="GD19" s="1634"/>
      <c r="GE19" s="1634"/>
      <c r="GF19" s="1634"/>
      <c r="GG19" s="1634"/>
      <c r="GH19" s="1634"/>
      <c r="GI19" s="1634"/>
      <c r="GJ19" s="1634"/>
      <c r="GK19" s="1634"/>
      <c r="GL19" s="1634"/>
      <c r="GM19" s="1634"/>
      <c r="GN19" s="1634"/>
      <c r="GO19" s="1634"/>
      <c r="GP19" s="1634"/>
      <c r="GQ19" s="1634"/>
      <c r="GR19" s="1634"/>
      <c r="GS19" s="1634"/>
      <c r="GT19" s="1634"/>
      <c r="GU19" s="1634"/>
      <c r="GV19" s="1634"/>
      <c r="GW19" s="1634"/>
      <c r="GX19" s="1634"/>
      <c r="GY19" s="1634"/>
      <c r="GZ19" s="1634"/>
      <c r="HA19" s="1634"/>
      <c r="HB19" s="1634"/>
      <c r="HC19" s="1634"/>
      <c r="HD19" s="1634"/>
      <c r="HE19" s="1634"/>
      <c r="HF19" s="1634"/>
      <c r="HG19" s="1634"/>
      <c r="HH19" s="1634"/>
      <c r="HI19" s="1634"/>
      <c r="HJ19" s="1634"/>
      <c r="HK19" s="1634"/>
      <c r="HL19" s="1634"/>
      <c r="HM19" s="1634"/>
      <c r="HN19" s="1634"/>
      <c r="HO19" s="1634"/>
      <c r="HP19" s="1634"/>
      <c r="HQ19" s="1634"/>
      <c r="HR19" s="1634"/>
      <c r="HS19" s="1634"/>
      <c r="HT19" s="1634"/>
      <c r="HU19" s="1634"/>
      <c r="HV19" s="1634"/>
      <c r="HW19" s="1634"/>
      <c r="HX19" s="1634"/>
      <c r="HY19" s="1634"/>
      <c r="HZ19" s="1634"/>
      <c r="IA19" s="1634"/>
      <c r="IB19" s="1634"/>
      <c r="IC19" s="1634"/>
      <c r="ID19" s="1634"/>
      <c r="IE19" s="1634"/>
      <c r="IF19" s="1634"/>
      <c r="IG19" s="1634"/>
      <c r="IH19" s="1634"/>
      <c r="II19" s="1634"/>
      <c r="IJ19" s="1634"/>
      <c r="IK19" s="1634"/>
      <c r="IL19" s="1634"/>
      <c r="IM19" s="1634"/>
      <c r="IN19" s="1634"/>
      <c r="IO19" s="1634"/>
      <c r="IP19" s="1634"/>
      <c r="IQ19" s="1634"/>
      <c r="IR19" s="1634"/>
      <c r="IS19" s="1634"/>
      <c r="IT19" s="1634"/>
      <c r="IU19" s="1634"/>
      <c r="IV19" s="1634"/>
      <c r="IW19" s="1634"/>
      <c r="IX19" s="1634"/>
      <c r="IY19" s="1634"/>
      <c r="IZ19" s="1634"/>
      <c r="JA19" s="1634"/>
      <c r="JB19" s="1634"/>
      <c r="JC19" s="1634"/>
      <c r="JD19" s="1634"/>
      <c r="JE19" s="1634"/>
      <c r="JF19" s="1634"/>
      <c r="JG19" s="1634"/>
      <c r="JH19" s="1634"/>
      <c r="JI19" s="1634"/>
      <c r="JJ19" s="1634"/>
      <c r="JK19" s="1634"/>
      <c r="JL19" s="1634"/>
      <c r="JM19" s="1634"/>
      <c r="JN19" s="1634"/>
      <c r="JO19" s="1634"/>
      <c r="JP19" s="1634"/>
      <c r="JQ19" s="1634"/>
      <c r="JR19" s="1634"/>
      <c r="JS19" s="1634"/>
      <c r="JT19" s="1634"/>
      <c r="JU19" s="1634"/>
      <c r="JV19" s="1634"/>
      <c r="JW19" s="1634"/>
      <c r="JX19" s="1634"/>
      <c r="JY19" s="1634"/>
      <c r="JZ19" s="1634"/>
      <c r="KA19" s="1634"/>
      <c r="KB19" s="1634"/>
      <c r="KC19" s="1634"/>
      <c r="KD19" s="1634"/>
      <c r="KE19" s="1634"/>
      <c r="KF19" s="1634"/>
      <c r="KG19" s="1634"/>
      <c r="KH19" s="1634"/>
      <c r="KI19" s="1634"/>
      <c r="KJ19" s="1634"/>
      <c r="KK19" s="1634"/>
      <c r="KL19" s="1634"/>
      <c r="KM19" s="1634"/>
      <c r="KN19" s="1634"/>
      <c r="KO19" s="1634"/>
      <c r="KP19" s="1634"/>
      <c r="KQ19" s="1634"/>
      <c r="KR19" s="1634"/>
      <c r="KS19" s="1634"/>
      <c r="KT19" s="1634"/>
      <c r="KU19" s="1634"/>
      <c r="KV19" s="1634"/>
      <c r="KW19" s="1634"/>
      <c r="KX19" s="1634"/>
      <c r="KY19" s="1634"/>
      <c r="KZ19" s="1634"/>
      <c r="LA19" s="1634"/>
      <c r="LB19" s="1634"/>
      <c r="LC19" s="1634"/>
      <c r="LD19" s="1634"/>
      <c r="LE19" s="1634"/>
      <c r="LF19" s="1634"/>
      <c r="LG19" s="1634"/>
      <c r="LH19" s="1634"/>
      <c r="LI19" s="1634"/>
      <c r="LJ19" s="1634"/>
      <c r="LK19" s="1634"/>
      <c r="LL19" s="1634"/>
      <c r="LM19" s="1634"/>
      <c r="LN19" s="1634"/>
      <c r="LO19" s="1634"/>
      <c r="LP19" s="1634"/>
      <c r="LQ19" s="1634"/>
      <c r="LR19" s="1634"/>
      <c r="LS19" s="1634"/>
      <c r="LT19" s="1634"/>
      <c r="LU19" s="1634"/>
      <c r="LV19" s="1634"/>
      <c r="LW19" s="1634"/>
      <c r="LX19" s="1634"/>
      <c r="LY19" s="1634"/>
      <c r="LZ19" s="1634"/>
      <c r="MA19" s="1634"/>
      <c r="MB19" s="1634"/>
      <c r="MC19" s="1634"/>
      <c r="MD19" s="1634"/>
      <c r="ME19" s="1634"/>
      <c r="MF19" s="1634"/>
      <c r="MG19" s="1634"/>
      <c r="MH19" s="1634"/>
      <c r="MI19" s="1634"/>
      <c r="MJ19" s="1634"/>
      <c r="MK19" s="1634"/>
      <c r="ML19" s="1634"/>
      <c r="MM19" s="1634"/>
      <c r="MN19" s="1634"/>
      <c r="MO19" s="1634"/>
      <c r="MP19" s="1634"/>
      <c r="MQ19" s="1634"/>
      <c r="MR19" s="1634"/>
      <c r="MS19" s="1634"/>
      <c r="MT19" s="1634"/>
      <c r="MU19" s="1634"/>
      <c r="MV19" s="1634"/>
      <c r="MW19" s="1634"/>
      <c r="MX19" s="1634"/>
      <c r="MY19" s="1634"/>
      <c r="MZ19" s="1634"/>
      <c r="NA19" s="1634"/>
      <c r="NB19" s="1634"/>
      <c r="NC19" s="1634"/>
      <c r="ND19" s="1634"/>
      <c r="NE19" s="1634"/>
      <c r="NF19" s="1634"/>
      <c r="NG19" s="1634"/>
      <c r="NH19" s="1634"/>
      <c r="NI19" s="1634"/>
      <c r="NJ19" s="1634"/>
      <c r="NK19" s="1634"/>
      <c r="NL19" s="1634"/>
      <c r="NM19" s="1634"/>
      <c r="NN19" s="1634"/>
      <c r="NO19" s="1634"/>
      <c r="NP19" s="1634"/>
      <c r="NQ19" s="1634"/>
      <c r="NR19" s="1634"/>
      <c r="NS19" s="1634"/>
      <c r="NT19" s="1634"/>
      <c r="NU19" s="1634"/>
      <c r="NV19" s="1634"/>
      <c r="NW19" s="1634"/>
      <c r="NX19" s="1634"/>
      <c r="NY19" s="1634"/>
      <c r="NZ19" s="1634"/>
      <c r="OA19" s="1634"/>
      <c r="OB19" s="1634"/>
      <c r="OC19" s="1634"/>
      <c r="OD19" s="1634"/>
      <c r="OE19" s="1634"/>
      <c r="OF19" s="1634"/>
      <c r="OG19" s="1634"/>
      <c r="OH19" s="1634"/>
      <c r="OI19" s="1634"/>
      <c r="OJ19" s="1634"/>
      <c r="OK19" s="1634"/>
      <c r="OL19" s="1634"/>
      <c r="OM19" s="1634"/>
      <c r="ON19" s="1634"/>
      <c r="OO19" s="1634"/>
      <c r="OP19" s="1634"/>
      <c r="OQ19" s="1634"/>
      <c r="OR19" s="1634"/>
      <c r="OS19" s="1634"/>
      <c r="OT19" s="1634"/>
      <c r="OU19" s="1634"/>
      <c r="OV19" s="1634"/>
      <c r="OW19" s="1634"/>
      <c r="OX19" s="1634"/>
      <c r="OY19" s="1634"/>
      <c r="OZ19" s="1634"/>
      <c r="PA19" s="1634"/>
      <c r="PB19" s="1634"/>
      <c r="PC19" s="1634"/>
      <c r="PD19" s="1634"/>
      <c r="PE19" s="1634"/>
      <c r="PF19" s="1634"/>
      <c r="PG19" s="1634"/>
      <c r="PH19" s="1634"/>
      <c r="PI19" s="1634"/>
      <c r="PJ19" s="1634"/>
      <c r="PK19" s="1634"/>
      <c r="PL19" s="1634"/>
      <c r="PM19" s="1634"/>
      <c r="PN19" s="1634"/>
      <c r="PO19" s="1634"/>
      <c r="PP19" s="1634"/>
      <c r="PQ19" s="1634"/>
      <c r="PR19" s="1634"/>
      <c r="PS19" s="1634"/>
      <c r="PT19" s="1634"/>
      <c r="PU19" s="1634"/>
      <c r="PV19" s="1634"/>
      <c r="PW19" s="1634"/>
      <c r="PX19" s="1634"/>
      <c r="PY19" s="1634"/>
      <c r="PZ19" s="1634"/>
      <c r="QA19" s="1634"/>
      <c r="QB19" s="1634"/>
      <c r="QC19" s="1634"/>
      <c r="QD19" s="1634"/>
      <c r="QE19" s="1634"/>
      <c r="QF19" s="1634"/>
      <c r="QG19" s="1634"/>
      <c r="QH19" s="1634"/>
      <c r="QI19" s="1634"/>
      <c r="QJ19" s="1634"/>
      <c r="QK19" s="1634"/>
      <c r="QL19" s="1634"/>
      <c r="QM19" s="1634"/>
      <c r="QN19" s="1634"/>
      <c r="QO19" s="1634"/>
      <c r="QP19" s="1634"/>
      <c r="QQ19" s="1634"/>
      <c r="QR19" s="1634"/>
      <c r="QS19" s="1634"/>
      <c r="QT19" s="1634"/>
      <c r="QU19" s="1634"/>
      <c r="QV19" s="1634"/>
      <c r="QW19" s="1634"/>
      <c r="QX19" s="1634"/>
      <c r="QY19" s="1634"/>
      <c r="QZ19" s="1634"/>
      <c r="RA19" s="1634"/>
      <c r="RB19" s="1634"/>
      <c r="RC19" s="1634"/>
      <c r="RD19" s="1634"/>
      <c r="RE19" s="1634"/>
      <c r="RF19" s="1634"/>
      <c r="RG19" s="1634"/>
      <c r="RH19" s="1634"/>
      <c r="RI19" s="1634"/>
      <c r="RJ19" s="1634"/>
      <c r="RK19" s="1634"/>
      <c r="RL19" s="1634"/>
      <c r="RM19" s="1634"/>
      <c r="RN19" s="1634"/>
      <c r="RO19" s="1634"/>
      <c r="RP19" s="1634"/>
      <c r="RQ19" s="1634"/>
      <c r="RR19" s="1634"/>
      <c r="RS19" s="1634"/>
      <c r="RT19" s="1634"/>
      <c r="RU19" s="1634"/>
      <c r="RV19" s="1634"/>
      <c r="RW19" s="1634"/>
      <c r="RX19" s="1634"/>
      <c r="RY19" s="1634"/>
      <c r="RZ19" s="1634"/>
      <c r="SA19" s="1634"/>
      <c r="SB19" s="1634"/>
      <c r="SC19" s="1634"/>
      <c r="SD19" s="1634"/>
      <c r="SE19" s="1634"/>
      <c r="SF19" s="1634"/>
      <c r="SG19" s="1634"/>
      <c r="SH19" s="1634"/>
      <c r="SI19" s="1634"/>
      <c r="SJ19" s="1634"/>
      <c r="SK19" s="1634"/>
      <c r="SL19" s="1634"/>
      <c r="SM19" s="1634"/>
      <c r="SN19" s="1634"/>
      <c r="SO19" s="1634"/>
      <c r="SP19" s="1634"/>
      <c r="SQ19" s="1634"/>
      <c r="SR19" s="1634"/>
      <c r="SS19" s="1634"/>
      <c r="ST19" s="1634"/>
      <c r="SU19" s="1634"/>
      <c r="SV19" s="1634"/>
      <c r="SW19" s="1634"/>
      <c r="SX19" s="1634"/>
      <c r="SY19" s="1634"/>
      <c r="SZ19" s="1634"/>
      <c r="TA19" s="1634"/>
      <c r="TB19" s="1634"/>
      <c r="TC19" s="1634"/>
      <c r="TD19" s="1634"/>
      <c r="TE19" s="1634"/>
      <c r="TF19" s="1634"/>
      <c r="TG19" s="1634"/>
      <c r="TH19" s="1634"/>
      <c r="TI19" s="1634"/>
      <c r="TJ19" s="1634"/>
      <c r="TK19" s="1634"/>
      <c r="TL19" s="1634"/>
      <c r="TM19" s="1634"/>
      <c r="TN19" s="1634"/>
      <c r="TO19" s="1634"/>
      <c r="TP19" s="1634"/>
      <c r="TQ19" s="1634"/>
      <c r="TR19" s="1634"/>
      <c r="TS19" s="1634"/>
      <c r="TT19" s="1634"/>
      <c r="TU19" s="1634"/>
      <c r="TV19" s="1634"/>
      <c r="TW19" s="1634"/>
      <c r="TX19" s="1634"/>
      <c r="TY19" s="1634"/>
      <c r="TZ19" s="1634"/>
      <c r="UA19" s="1634"/>
      <c r="UB19" s="1634"/>
      <c r="UC19" s="1634"/>
      <c r="UD19" s="1634"/>
      <c r="UE19" s="1634"/>
      <c r="UF19" s="1634"/>
      <c r="UG19" s="1634"/>
      <c r="UH19" s="1634"/>
      <c r="UI19" s="1634"/>
      <c r="UJ19" s="1634"/>
      <c r="UK19" s="1634"/>
      <c r="UL19" s="1634"/>
      <c r="UM19" s="1634"/>
      <c r="UN19" s="1634"/>
      <c r="UO19" s="1634"/>
      <c r="UP19" s="1634"/>
      <c r="UQ19" s="1634"/>
      <c r="UR19" s="1634"/>
      <c r="US19" s="1634"/>
      <c r="UT19" s="1634"/>
      <c r="UU19" s="1634"/>
      <c r="UV19" s="1634"/>
      <c r="UW19" s="1634"/>
      <c r="UX19" s="1634"/>
      <c r="UY19" s="1634"/>
      <c r="UZ19" s="1634"/>
      <c r="VA19" s="1634"/>
      <c r="VB19" s="1634"/>
      <c r="VC19" s="1634"/>
      <c r="VD19" s="1634"/>
      <c r="VE19" s="1634"/>
      <c r="VF19" s="1634"/>
      <c r="VG19" s="1634"/>
      <c r="VH19" s="1634"/>
      <c r="VI19" s="1634"/>
      <c r="VJ19" s="1634"/>
      <c r="VK19" s="1634"/>
      <c r="VL19" s="1634"/>
      <c r="VM19" s="1634"/>
      <c r="VN19" s="1634"/>
      <c r="VO19" s="1634"/>
      <c r="VP19" s="1634"/>
      <c r="VQ19" s="1634"/>
      <c r="VR19" s="1634"/>
      <c r="VS19" s="1634"/>
      <c r="VT19" s="1634"/>
      <c r="VU19" s="1634"/>
      <c r="VV19" s="1634"/>
      <c r="VW19" s="1634"/>
      <c r="VX19" s="1634"/>
      <c r="VY19" s="1634"/>
      <c r="VZ19" s="1634"/>
      <c r="WA19" s="1634"/>
      <c r="WB19" s="1634"/>
      <c r="WC19" s="1634"/>
      <c r="WD19" s="1634"/>
      <c r="WE19" s="1634"/>
      <c r="WF19" s="1634"/>
      <c r="WG19" s="1634"/>
      <c r="WH19" s="1634"/>
      <c r="WI19" s="1634"/>
      <c r="WJ19" s="1634"/>
      <c r="WK19" s="1634"/>
      <c r="WL19" s="1634"/>
      <c r="WM19" s="1634"/>
      <c r="WN19" s="1634"/>
      <c r="WO19" s="1634"/>
      <c r="WP19" s="1634"/>
      <c r="WQ19" s="1634"/>
      <c r="WR19" s="1634"/>
      <c r="WS19" s="1634"/>
      <c r="WT19" s="1634"/>
      <c r="WU19" s="1634"/>
      <c r="WV19" s="1634"/>
      <c r="WW19" s="1634"/>
      <c r="WX19" s="1634"/>
      <c r="WY19" s="1634"/>
      <c r="WZ19" s="1634"/>
      <c r="XA19" s="1634"/>
      <c r="XB19" s="1634"/>
      <c r="XC19" s="1634"/>
      <c r="XD19" s="1634"/>
      <c r="XE19" s="1634"/>
      <c r="XF19" s="1634"/>
      <c r="XG19" s="1634"/>
      <c r="XH19" s="1634"/>
      <c r="XI19" s="1634"/>
      <c r="XJ19" s="1634"/>
      <c r="XK19" s="1634"/>
      <c r="XL19" s="1634"/>
      <c r="XM19" s="1634"/>
      <c r="XN19" s="1634"/>
      <c r="XO19" s="1634"/>
      <c r="XP19" s="1634"/>
      <c r="XQ19" s="1634"/>
      <c r="XR19" s="1634"/>
      <c r="XS19" s="1634"/>
      <c r="XT19" s="1634"/>
      <c r="XU19" s="1634"/>
      <c r="XV19" s="1634"/>
      <c r="XW19" s="1634"/>
      <c r="XX19" s="1634"/>
      <c r="XY19" s="1634"/>
      <c r="XZ19" s="1634"/>
      <c r="YA19" s="1634"/>
      <c r="YB19" s="1634"/>
      <c r="YC19" s="1634"/>
      <c r="YD19" s="1634"/>
      <c r="YE19" s="1634"/>
      <c r="YF19" s="1634"/>
      <c r="YG19" s="1634"/>
      <c r="YH19" s="1634"/>
      <c r="YI19" s="1634"/>
      <c r="YJ19" s="1634"/>
      <c r="YK19" s="1634"/>
      <c r="YL19" s="1634"/>
      <c r="YM19" s="1634"/>
      <c r="YN19" s="1634"/>
      <c r="YO19" s="1634"/>
      <c r="YP19" s="1634"/>
      <c r="YQ19" s="1634"/>
      <c r="YR19" s="1634"/>
      <c r="YS19" s="1634"/>
      <c r="YT19" s="1634"/>
      <c r="YU19" s="1634"/>
      <c r="YV19" s="1634"/>
      <c r="YW19" s="1634"/>
      <c r="YX19" s="1634"/>
      <c r="YY19" s="1634"/>
      <c r="YZ19" s="1634"/>
      <c r="ZA19" s="1634"/>
      <c r="ZB19" s="1634"/>
      <c r="ZC19" s="1634"/>
      <c r="ZD19" s="1634"/>
      <c r="ZE19" s="1634"/>
      <c r="ZF19" s="1634"/>
      <c r="ZG19" s="1634"/>
      <c r="ZH19" s="1634"/>
      <c r="ZI19" s="1634"/>
      <c r="ZJ19" s="1634"/>
      <c r="ZK19" s="1634"/>
      <c r="ZL19" s="1634"/>
      <c r="ZM19" s="1634"/>
      <c r="ZN19" s="1634"/>
      <c r="ZO19" s="1634"/>
      <c r="ZP19" s="1634"/>
      <c r="ZQ19" s="1634"/>
      <c r="ZR19" s="1634"/>
      <c r="ZS19" s="1634"/>
      <c r="ZT19" s="1634"/>
      <c r="ZU19" s="1634"/>
      <c r="ZV19" s="1634"/>
      <c r="ZW19" s="1634"/>
      <c r="ZX19" s="1634"/>
      <c r="ZY19" s="1634"/>
      <c r="ZZ19" s="1634"/>
      <c r="AAA19" s="1634"/>
      <c r="AAB19" s="1634"/>
      <c r="AAC19" s="1634"/>
      <c r="AAD19" s="1634"/>
      <c r="AAE19" s="1634"/>
      <c r="AAF19" s="1634"/>
      <c r="AAG19" s="1634"/>
      <c r="AAH19" s="1634"/>
      <c r="AAI19" s="1634"/>
      <c r="AAJ19" s="1634"/>
      <c r="AAK19" s="1634"/>
      <c r="AAL19" s="1634"/>
      <c r="AAM19" s="1634"/>
      <c r="AAN19" s="1634"/>
      <c r="AAO19" s="1634"/>
      <c r="AAP19" s="1634"/>
      <c r="AAQ19" s="1634"/>
      <c r="AAR19" s="1634"/>
      <c r="AAS19" s="1634"/>
      <c r="AAT19" s="1634"/>
      <c r="AAU19" s="1634"/>
      <c r="AAV19" s="1634"/>
      <c r="AAW19" s="1634"/>
      <c r="AAX19" s="1634"/>
      <c r="AAY19" s="1634"/>
      <c r="AAZ19" s="1634"/>
      <c r="ABA19" s="1634"/>
      <c r="ABB19" s="1634"/>
      <c r="ABC19" s="1634"/>
      <c r="ABD19" s="1634"/>
      <c r="ABE19" s="1634"/>
      <c r="ABF19" s="1634"/>
      <c r="ABG19" s="1634"/>
      <c r="ABH19" s="1634"/>
      <c r="ABI19" s="1634"/>
      <c r="ABJ19" s="1634"/>
      <c r="ABK19" s="1634"/>
      <c r="ABL19" s="1634"/>
      <c r="ABM19" s="1634"/>
      <c r="ABN19" s="1634"/>
      <c r="ABO19" s="1634"/>
      <c r="ABP19" s="1634"/>
      <c r="ABQ19" s="1634"/>
      <c r="ABR19" s="1634"/>
      <c r="ABS19" s="1634"/>
      <c r="ABT19" s="1634"/>
      <c r="ABU19" s="1634"/>
      <c r="ABV19" s="1634"/>
      <c r="ABW19" s="1634"/>
      <c r="ABX19" s="1634"/>
      <c r="ABY19" s="1634"/>
      <c r="ABZ19" s="1634"/>
      <c r="ACA19" s="1634"/>
      <c r="ACB19" s="1634"/>
      <c r="ACC19" s="1634"/>
      <c r="ACD19" s="1634"/>
      <c r="ACE19" s="1634"/>
      <c r="ACF19" s="1634"/>
      <c r="ACG19" s="1634"/>
      <c r="ACH19" s="1634"/>
      <c r="ACI19" s="1634"/>
      <c r="ACJ19" s="1634"/>
      <c r="ACK19" s="1634"/>
      <c r="ACL19" s="1634"/>
      <c r="ACM19" s="1634"/>
      <c r="ACN19" s="1634"/>
      <c r="ACO19" s="1634"/>
      <c r="ACP19" s="1634"/>
      <c r="ACQ19" s="1634"/>
      <c r="ACR19" s="1634"/>
      <c r="ACS19" s="1634"/>
      <c r="ACT19" s="1634"/>
      <c r="ACU19" s="1634"/>
      <c r="ACV19" s="1634"/>
      <c r="ACW19" s="1634"/>
      <c r="ACX19" s="1634"/>
      <c r="ACY19" s="1634"/>
      <c r="ACZ19" s="1634"/>
      <c r="ADA19" s="1634"/>
      <c r="ADB19" s="1634"/>
      <c r="ADC19" s="1634"/>
      <c r="ADD19" s="1634"/>
      <c r="ADE19" s="1634"/>
      <c r="ADF19" s="1634"/>
      <c r="ADG19" s="1634"/>
      <c r="ADH19" s="1634"/>
      <c r="ADI19" s="1634"/>
      <c r="ADJ19" s="1634"/>
      <c r="ADK19" s="1634"/>
      <c r="ADL19" s="1634"/>
      <c r="ADM19" s="1634"/>
      <c r="ADN19" s="1634"/>
      <c r="ADO19" s="1634"/>
      <c r="ADP19" s="1634"/>
      <c r="ADQ19" s="1634"/>
      <c r="ADR19" s="1634"/>
      <c r="ADS19" s="1634"/>
      <c r="ADT19" s="1634"/>
      <c r="ADU19" s="1634"/>
      <c r="ADV19" s="1634"/>
      <c r="ADW19" s="1634"/>
      <c r="ADX19" s="1634"/>
      <c r="ADY19" s="1634"/>
      <c r="ADZ19" s="1634"/>
      <c r="AEA19" s="1634"/>
      <c r="AEB19" s="1634"/>
      <c r="AEC19" s="1634"/>
      <c r="AED19" s="1634"/>
      <c r="AEE19" s="1634"/>
      <c r="AEF19" s="1634"/>
      <c r="AEG19" s="1634"/>
      <c r="AEH19" s="1634"/>
      <c r="AEI19" s="1634"/>
      <c r="AEJ19" s="1634"/>
      <c r="AEK19" s="1634"/>
      <c r="AEL19" s="1634"/>
      <c r="AEM19" s="1634"/>
      <c r="AEN19" s="1634"/>
      <c r="AEO19" s="1634"/>
      <c r="AEP19" s="1634"/>
      <c r="AEQ19" s="1634"/>
      <c r="AER19" s="1634"/>
      <c r="AES19" s="1634"/>
      <c r="AET19" s="1634"/>
      <c r="AEU19" s="1634"/>
      <c r="AEV19" s="1634"/>
      <c r="AEW19" s="1634"/>
      <c r="AEX19" s="1634"/>
      <c r="AEY19" s="1634"/>
      <c r="AEZ19" s="1634"/>
      <c r="AFA19" s="1634"/>
      <c r="AFB19" s="1634"/>
      <c r="AFC19" s="1634"/>
      <c r="AFD19" s="1634"/>
      <c r="AFE19" s="1634"/>
      <c r="AFF19" s="1634"/>
      <c r="AFG19" s="1634"/>
      <c r="AFH19" s="1634"/>
      <c r="AFI19" s="1634"/>
      <c r="AFJ19" s="1634"/>
      <c r="AFK19" s="1634"/>
      <c r="AFL19" s="1634"/>
      <c r="AFM19" s="1634"/>
      <c r="AFN19" s="1634"/>
      <c r="AFO19" s="1634"/>
      <c r="AFP19" s="1634"/>
      <c r="AFQ19" s="1634"/>
      <c r="AFR19" s="1634"/>
      <c r="AFS19" s="1634"/>
      <c r="AFT19" s="1634"/>
      <c r="AFU19" s="1634"/>
      <c r="AFV19" s="1634"/>
      <c r="AFW19" s="1634"/>
      <c r="AFX19" s="1634"/>
      <c r="AFY19" s="1634"/>
      <c r="AFZ19" s="1634"/>
      <c r="AGA19" s="1634"/>
      <c r="AGB19" s="1634"/>
      <c r="AGC19" s="1634"/>
      <c r="AGD19" s="1634"/>
      <c r="AGE19" s="1634"/>
      <c r="AGF19" s="1634"/>
      <c r="AGG19" s="1634"/>
      <c r="AGH19" s="1634"/>
      <c r="AGI19" s="1634"/>
      <c r="AGJ19" s="1634"/>
      <c r="AGK19" s="1634"/>
      <c r="AGL19" s="1634"/>
      <c r="AGM19" s="1634"/>
      <c r="AGN19" s="1634"/>
      <c r="AGO19" s="1634"/>
      <c r="AGP19" s="1634"/>
      <c r="AGQ19" s="1634"/>
      <c r="AGR19" s="1634"/>
      <c r="AGS19" s="1634"/>
      <c r="AGT19" s="1634"/>
      <c r="AGU19" s="1634"/>
      <c r="AGV19" s="1634"/>
      <c r="AGW19" s="1634"/>
      <c r="AGX19" s="1634"/>
      <c r="AGY19" s="1634"/>
      <c r="AGZ19" s="1634"/>
      <c r="AHA19" s="1634"/>
      <c r="AHB19" s="1634"/>
      <c r="AHC19" s="1634"/>
      <c r="AHD19" s="1634"/>
      <c r="AHE19" s="1634"/>
      <c r="AHF19" s="1634"/>
      <c r="AHG19" s="1634"/>
      <c r="AHH19" s="1634"/>
      <c r="AHI19" s="1634"/>
      <c r="AHJ19" s="1634"/>
      <c r="AHK19" s="1634"/>
      <c r="AHL19" s="1634"/>
      <c r="AHM19" s="1634"/>
      <c r="AHN19" s="1634"/>
      <c r="AHO19" s="1634"/>
      <c r="AHP19" s="1634"/>
      <c r="AHQ19" s="1634"/>
      <c r="AHR19" s="1634"/>
      <c r="AHS19" s="1634"/>
      <c r="AHT19" s="1634"/>
      <c r="AHU19" s="1634"/>
      <c r="AHV19" s="1634"/>
      <c r="AHW19" s="1634"/>
      <c r="AHX19" s="1634"/>
      <c r="AHY19" s="1634"/>
      <c r="AHZ19" s="1634"/>
      <c r="AIA19" s="1634"/>
      <c r="AIB19" s="1634"/>
      <c r="AIC19" s="1634"/>
      <c r="AID19" s="1634"/>
      <c r="AIE19" s="1634"/>
      <c r="AIF19" s="1634"/>
      <c r="AIG19" s="1634"/>
      <c r="AIH19" s="1634"/>
      <c r="AII19" s="1634"/>
      <c r="AIJ19" s="1634"/>
      <c r="AIK19" s="1634"/>
      <c r="AIL19" s="1634"/>
      <c r="AIM19" s="1634"/>
      <c r="AIN19" s="1634"/>
      <c r="AIO19" s="1634"/>
      <c r="AIP19" s="1634"/>
      <c r="AIQ19" s="1634"/>
      <c r="AIR19" s="1634"/>
      <c r="AIS19" s="1634"/>
      <c r="AIT19" s="1634"/>
      <c r="AIU19" s="1634"/>
      <c r="AIV19" s="1634"/>
      <c r="AIW19" s="1634"/>
      <c r="AIX19" s="1634"/>
      <c r="AIY19" s="1634"/>
      <c r="AIZ19" s="1634"/>
      <c r="AJA19" s="1634"/>
      <c r="AJB19" s="1634"/>
      <c r="AJC19" s="1634"/>
      <c r="AJD19" s="1634"/>
      <c r="AJE19" s="1634"/>
      <c r="AJF19" s="1634"/>
      <c r="AJG19" s="1634"/>
      <c r="AJH19" s="1634"/>
      <c r="AJI19" s="1634"/>
      <c r="AJJ19" s="1634"/>
      <c r="AJK19" s="1634"/>
      <c r="AJL19" s="1634"/>
      <c r="AJM19" s="1634"/>
      <c r="AJN19" s="1634"/>
      <c r="AJO19" s="1634"/>
      <c r="AJP19" s="1634"/>
      <c r="AJQ19" s="1634"/>
      <c r="AJR19" s="1634"/>
      <c r="AJS19" s="1634"/>
      <c r="AJT19" s="1634"/>
      <c r="AJU19" s="1634"/>
      <c r="AJV19" s="1634"/>
      <c r="AJW19" s="1634"/>
      <c r="AJX19" s="1634"/>
      <c r="AJY19" s="1634"/>
      <c r="AJZ19" s="1634"/>
      <c r="AKA19" s="1634"/>
      <c r="AKB19" s="1634"/>
      <c r="AKC19" s="1634"/>
      <c r="AKD19" s="1634"/>
      <c r="AKE19" s="1634"/>
      <c r="AKF19" s="1634"/>
      <c r="AKG19" s="1634"/>
      <c r="AKH19" s="1634"/>
      <c r="AKI19" s="1634"/>
      <c r="AKJ19" s="1634"/>
      <c r="AKK19" s="1634"/>
      <c r="AKL19" s="1634"/>
      <c r="AKM19" s="1634"/>
      <c r="AKN19" s="1634"/>
      <c r="AKO19" s="1634"/>
      <c r="AKP19" s="1634"/>
      <c r="AKQ19" s="1634"/>
      <c r="AKR19" s="1634"/>
      <c r="AKS19" s="1634"/>
      <c r="AKT19" s="1634"/>
      <c r="AKU19" s="1634"/>
      <c r="AKV19" s="1634"/>
      <c r="AKW19" s="1634"/>
      <c r="AKX19" s="1634"/>
      <c r="AKY19" s="1634"/>
      <c r="AKZ19" s="1634"/>
      <c r="ALA19" s="1634"/>
      <c r="ALB19" s="1634"/>
      <c r="ALC19" s="1634"/>
      <c r="ALD19" s="1634"/>
      <c r="ALE19" s="1634"/>
      <c r="ALF19" s="1634"/>
      <c r="ALG19" s="1634"/>
      <c r="ALH19" s="1634"/>
      <c r="ALI19" s="1634"/>
      <c r="ALJ19" s="1634"/>
      <c r="ALK19" s="1634"/>
      <c r="ALL19" s="1634"/>
      <c r="ALM19" s="1634"/>
      <c r="ALN19" s="1634"/>
      <c r="ALO19" s="1634"/>
      <c r="ALP19" s="1634"/>
      <c r="ALQ19" s="1634"/>
      <c r="ALR19" s="1634"/>
      <c r="ALS19" s="1634"/>
      <c r="ALT19" s="1634"/>
      <c r="ALU19" s="1634"/>
      <c r="ALV19" s="1634"/>
      <c r="ALW19" s="1634"/>
      <c r="ALX19" s="1634"/>
      <c r="ALY19" s="1634"/>
      <c r="ALZ19" s="1634"/>
      <c r="AMA19" s="1634"/>
      <c r="AMB19" s="1634"/>
      <c r="AMC19" s="1634"/>
      <c r="AMD19" s="1634"/>
      <c r="AME19" s="1634"/>
      <c r="AMF19" s="1634"/>
      <c r="AMG19" s="1634"/>
      <c r="AMH19" s="1634"/>
      <c r="AMI19" s="1634"/>
      <c r="AMJ19" s="1634"/>
      <c r="AMK19" s="1634"/>
      <c r="AML19" s="1634"/>
      <c r="AMM19" s="1634"/>
      <c r="AMN19" s="1634"/>
      <c r="AMO19" s="1634"/>
      <c r="AMP19" s="1634"/>
      <c r="AMQ19" s="1634"/>
      <c r="AMR19" s="1634"/>
      <c r="AMS19" s="1634"/>
      <c r="AMT19" s="1634"/>
      <c r="AMU19" s="1634"/>
      <c r="AMV19" s="1634"/>
      <c r="AMW19" s="1634"/>
      <c r="AMX19" s="1634"/>
      <c r="AMY19" s="1634"/>
      <c r="AMZ19" s="1634"/>
      <c r="ANA19" s="1634"/>
      <c r="ANB19" s="1634"/>
      <c r="ANC19" s="1634"/>
      <c r="AND19" s="1634"/>
      <c r="ANE19" s="1634"/>
      <c r="ANF19" s="1634"/>
      <c r="ANG19" s="1634"/>
      <c r="ANH19" s="1634"/>
      <c r="ANI19" s="1634"/>
      <c r="ANJ19" s="1634"/>
      <c r="ANK19" s="1634"/>
      <c r="ANL19" s="1634"/>
      <c r="ANM19" s="1634"/>
      <c r="ANN19" s="1634"/>
      <c r="ANO19" s="1634"/>
      <c r="ANP19" s="1634"/>
      <c r="ANQ19" s="1634"/>
      <c r="ANR19" s="1634"/>
      <c r="ANS19" s="1634"/>
      <c r="ANT19" s="1634"/>
      <c r="ANU19" s="1634"/>
      <c r="ANV19" s="1634"/>
      <c r="ANW19" s="1634"/>
      <c r="ANX19" s="1634"/>
      <c r="ANY19" s="1634"/>
      <c r="ANZ19" s="1634"/>
      <c r="AOA19" s="1634"/>
      <c r="AOB19" s="1634"/>
      <c r="AOC19" s="1634"/>
      <c r="AOD19" s="1634"/>
      <c r="AOE19" s="1634"/>
      <c r="AOF19" s="1634"/>
      <c r="AOG19" s="1634"/>
      <c r="AOH19" s="1634"/>
      <c r="AOI19" s="1634"/>
      <c r="AOJ19" s="1634"/>
      <c r="AOK19" s="1634"/>
      <c r="AOL19" s="1634"/>
      <c r="AOM19" s="1634"/>
      <c r="AON19" s="1634"/>
      <c r="AOO19" s="1634"/>
      <c r="AOP19" s="1634"/>
      <c r="AOQ19" s="1634"/>
      <c r="AOR19" s="1634"/>
      <c r="AOS19" s="1634"/>
      <c r="AOT19" s="1634"/>
      <c r="AOU19" s="1634"/>
      <c r="AOV19" s="1634"/>
      <c r="AOW19" s="1634"/>
      <c r="AOX19" s="1634"/>
      <c r="AOY19" s="1634"/>
      <c r="AOZ19" s="1634"/>
      <c r="APA19" s="1634"/>
      <c r="APB19" s="1634"/>
      <c r="APC19" s="1634"/>
      <c r="APD19" s="1634"/>
      <c r="APE19" s="1634"/>
      <c r="APF19" s="1634"/>
      <c r="APG19" s="1634"/>
      <c r="APH19" s="1634"/>
      <c r="API19" s="1634"/>
      <c r="APJ19" s="1634"/>
      <c r="APK19" s="1634"/>
      <c r="APL19" s="1634"/>
      <c r="APM19" s="1634"/>
      <c r="APN19" s="1634"/>
      <c r="APO19" s="1634"/>
      <c r="APP19" s="1634"/>
      <c r="APQ19" s="1634"/>
      <c r="APR19" s="1634"/>
      <c r="APS19" s="1634"/>
      <c r="APT19" s="1634"/>
      <c r="APU19" s="1634"/>
      <c r="APV19" s="1634"/>
      <c r="APW19" s="1634"/>
      <c r="APX19" s="1634"/>
      <c r="APY19" s="1634"/>
      <c r="APZ19" s="1634"/>
      <c r="AQA19" s="1634"/>
      <c r="AQB19" s="1634"/>
      <c r="AQC19" s="1634"/>
      <c r="AQD19" s="1634"/>
      <c r="AQE19" s="1634"/>
      <c r="AQF19" s="1634"/>
      <c r="AQG19" s="1634"/>
      <c r="AQH19" s="1634"/>
      <c r="AQI19" s="1634"/>
      <c r="AQJ19" s="1634"/>
      <c r="AQK19" s="1634"/>
      <c r="AQL19" s="1634"/>
      <c r="AQM19" s="1634"/>
      <c r="AQN19" s="1634"/>
      <c r="AQO19" s="1634"/>
      <c r="AQP19" s="1634"/>
      <c r="AQQ19" s="1634"/>
      <c r="AQR19" s="1634"/>
      <c r="AQS19" s="1634"/>
      <c r="AQT19" s="1634"/>
      <c r="AQU19" s="1634"/>
      <c r="AQV19" s="1634"/>
      <c r="AQW19" s="1634"/>
      <c r="AQX19" s="1634"/>
      <c r="AQY19" s="1634"/>
      <c r="AQZ19" s="1634"/>
      <c r="ARA19" s="1634"/>
      <c r="ARB19" s="1634"/>
      <c r="ARC19" s="1634"/>
      <c r="ARD19" s="1634"/>
      <c r="ARE19" s="1634"/>
      <c r="ARF19" s="1634"/>
      <c r="ARG19" s="1634"/>
      <c r="ARH19" s="1634"/>
      <c r="ARI19" s="1634"/>
      <c r="ARJ19" s="1634"/>
      <c r="ARK19" s="1634"/>
      <c r="ARL19" s="1634"/>
      <c r="ARM19" s="1634"/>
      <c r="ARN19" s="1634"/>
      <c r="ARO19" s="1634"/>
      <c r="ARP19" s="1634"/>
      <c r="ARQ19" s="1634"/>
      <c r="ARR19" s="1634"/>
      <c r="ARS19" s="1634"/>
      <c r="ART19" s="1634"/>
      <c r="ARU19" s="1634"/>
      <c r="ARV19" s="1634"/>
      <c r="ARW19" s="1634"/>
      <c r="ARX19" s="1634"/>
      <c r="ARY19" s="1634"/>
      <c r="ARZ19" s="1634"/>
      <c r="ASA19" s="1634"/>
      <c r="ASB19" s="1634"/>
      <c r="ASC19" s="1634"/>
      <c r="ASD19" s="1634"/>
      <c r="ASE19" s="1634"/>
      <c r="ASF19" s="1634"/>
      <c r="ASG19" s="1634"/>
      <c r="ASH19" s="1634"/>
      <c r="ASI19" s="1634"/>
      <c r="ASJ19" s="1634"/>
      <c r="ASK19" s="1634"/>
      <c r="ASL19" s="1634"/>
      <c r="ASM19" s="1634"/>
      <c r="ASN19" s="1634"/>
      <c r="ASO19" s="1634"/>
      <c r="ASP19" s="1634"/>
      <c r="ASQ19" s="1634"/>
      <c r="ASR19" s="1634"/>
      <c r="ASS19" s="1634"/>
      <c r="AST19" s="1634"/>
      <c r="ASU19" s="1634"/>
      <c r="ASV19" s="1634"/>
      <c r="ASW19" s="1634"/>
      <c r="ASX19" s="1634"/>
      <c r="ASY19" s="1634"/>
      <c r="ASZ19" s="1634"/>
      <c r="ATA19" s="1634"/>
      <c r="ATB19" s="1634"/>
      <c r="ATC19" s="1634"/>
      <c r="ATD19" s="1634"/>
      <c r="ATE19" s="1634"/>
      <c r="ATF19" s="1634"/>
      <c r="ATG19" s="1634"/>
      <c r="ATH19" s="1634"/>
      <c r="ATI19" s="1634"/>
      <c r="ATJ19" s="1634"/>
      <c r="ATK19" s="1634"/>
      <c r="ATL19" s="1634"/>
      <c r="ATM19" s="1634"/>
      <c r="ATN19" s="1634"/>
      <c r="ATO19" s="1634"/>
      <c r="ATP19" s="1634"/>
      <c r="ATQ19" s="1634"/>
      <c r="ATR19" s="1634"/>
      <c r="ATS19" s="1634"/>
      <c r="ATT19" s="1634"/>
      <c r="ATU19" s="1634"/>
      <c r="ATV19" s="1634"/>
      <c r="ATW19" s="1634"/>
      <c r="ATX19" s="1634"/>
      <c r="ATY19" s="1634"/>
      <c r="ATZ19" s="1634"/>
      <c r="AUA19" s="1634"/>
      <c r="AUB19" s="1634"/>
      <c r="AUC19" s="1634"/>
      <c r="AUD19" s="1634"/>
      <c r="AUE19" s="1634"/>
      <c r="AUF19" s="1634"/>
      <c r="AUG19" s="1634"/>
      <c r="AUH19" s="1634"/>
      <c r="AUI19" s="1634"/>
      <c r="AUJ19" s="1634"/>
      <c r="AUK19" s="1634"/>
      <c r="AUL19" s="1634"/>
      <c r="AUM19" s="1634"/>
      <c r="AUN19" s="1634"/>
      <c r="AUO19" s="1634"/>
      <c r="AUP19" s="1634"/>
      <c r="AUQ19" s="1634"/>
      <c r="AUR19" s="1634"/>
      <c r="AUS19" s="1634"/>
      <c r="AUT19" s="1634"/>
      <c r="AUU19" s="1634"/>
      <c r="AUV19" s="1634"/>
      <c r="AUW19" s="1634"/>
      <c r="AUX19" s="1634"/>
      <c r="AUY19" s="1634"/>
      <c r="AUZ19" s="1634"/>
      <c r="AVA19" s="1634"/>
      <c r="AVB19" s="1634"/>
      <c r="AVC19" s="1634"/>
      <c r="AVD19" s="1634"/>
      <c r="AVE19" s="1634"/>
      <c r="AVF19" s="1634"/>
      <c r="AVG19" s="1634"/>
      <c r="AVH19" s="1634"/>
      <c r="AVI19" s="1634"/>
      <c r="AVJ19" s="1634"/>
      <c r="AVK19" s="1634"/>
      <c r="AVL19" s="1634"/>
      <c r="AVM19" s="1634"/>
      <c r="AVN19" s="1634"/>
      <c r="AVO19" s="1634"/>
      <c r="AVP19" s="1634"/>
      <c r="AVQ19" s="1634"/>
      <c r="AVR19" s="1634"/>
      <c r="AVS19" s="1634"/>
      <c r="AVT19" s="1634"/>
      <c r="AVU19" s="1634"/>
      <c r="AVV19" s="1634"/>
      <c r="AVW19" s="1634"/>
      <c r="AVX19" s="1634"/>
      <c r="AVY19" s="1634"/>
      <c r="AVZ19" s="1634"/>
      <c r="AWA19" s="1634"/>
      <c r="AWB19" s="1634"/>
      <c r="AWC19" s="1634"/>
      <c r="AWD19" s="1634"/>
      <c r="AWE19" s="1634"/>
      <c r="AWF19" s="1634"/>
      <c r="AWG19" s="1634"/>
      <c r="AWH19" s="1634"/>
      <c r="AWI19" s="1634"/>
      <c r="AWJ19" s="1634"/>
      <c r="AWK19" s="1634"/>
      <c r="AWL19" s="1634"/>
      <c r="AWM19" s="1634"/>
      <c r="AWN19" s="1634"/>
      <c r="AWO19" s="1634"/>
      <c r="AWP19" s="1634"/>
      <c r="AWQ19" s="1634"/>
      <c r="AWR19" s="1634"/>
      <c r="AWS19" s="1634"/>
      <c r="AWT19" s="1634"/>
      <c r="AWU19" s="1634"/>
      <c r="AWV19" s="1634"/>
      <c r="AWW19" s="1634"/>
      <c r="AWX19" s="1634"/>
      <c r="AWY19" s="1634"/>
      <c r="AWZ19" s="1634"/>
      <c r="AXA19" s="1634"/>
      <c r="AXB19" s="1634"/>
      <c r="AXC19" s="1634"/>
      <c r="AXD19" s="1634"/>
      <c r="AXE19" s="1634"/>
      <c r="AXF19" s="1634"/>
      <c r="AXG19" s="1634"/>
      <c r="AXH19" s="1634"/>
      <c r="AXI19" s="1634"/>
      <c r="AXJ19" s="1634"/>
      <c r="AXK19" s="1634"/>
      <c r="AXL19" s="1634"/>
      <c r="AXM19" s="1634"/>
      <c r="AXN19" s="1634"/>
      <c r="AXO19" s="1634"/>
      <c r="AXP19" s="1634"/>
      <c r="AXQ19" s="1634"/>
      <c r="AXR19" s="1634"/>
      <c r="AXS19" s="1634"/>
      <c r="AXT19" s="1634"/>
      <c r="AXU19" s="1634"/>
      <c r="AXV19" s="1634"/>
      <c r="AXW19" s="1634"/>
      <c r="AXX19" s="1634"/>
      <c r="AXY19" s="1634"/>
      <c r="AXZ19" s="1634"/>
      <c r="AYA19" s="1634"/>
      <c r="AYB19" s="1634"/>
      <c r="AYC19" s="1634"/>
      <c r="AYD19" s="1634"/>
      <c r="AYE19" s="1634"/>
      <c r="AYF19" s="1634"/>
      <c r="AYG19" s="1634"/>
      <c r="AYH19" s="1634"/>
      <c r="AYI19" s="1634"/>
      <c r="AYJ19" s="1634"/>
      <c r="AYK19" s="1634"/>
      <c r="AYL19" s="1634"/>
      <c r="AYM19" s="1634"/>
      <c r="AYN19" s="1634"/>
      <c r="AYO19" s="1634"/>
      <c r="AYP19" s="1634"/>
      <c r="AYQ19" s="1634"/>
      <c r="AYR19" s="1634"/>
      <c r="AYS19" s="1634"/>
      <c r="AYT19" s="1634"/>
      <c r="AYU19" s="1634"/>
      <c r="AYV19" s="1634"/>
      <c r="AYW19" s="1634"/>
      <c r="AYX19" s="1634"/>
      <c r="AYY19" s="1634"/>
      <c r="AYZ19" s="1634"/>
      <c r="AZA19" s="1634"/>
      <c r="AZB19" s="1634"/>
      <c r="AZC19" s="1634"/>
      <c r="AZD19" s="1634"/>
      <c r="AZE19" s="1634"/>
      <c r="AZF19" s="1634"/>
      <c r="AZG19" s="1634"/>
      <c r="AZH19" s="1634"/>
      <c r="AZI19" s="1634"/>
      <c r="AZJ19" s="1634"/>
      <c r="AZK19" s="1634"/>
      <c r="AZL19" s="1634"/>
      <c r="AZM19" s="1634"/>
      <c r="AZN19" s="1634"/>
      <c r="AZO19" s="1634"/>
      <c r="AZP19" s="1634"/>
      <c r="AZQ19" s="1634"/>
      <c r="AZR19" s="1634"/>
      <c r="AZS19" s="1634"/>
      <c r="AZT19" s="1634"/>
      <c r="AZU19" s="1634"/>
      <c r="AZV19" s="1634"/>
      <c r="AZW19" s="1634"/>
      <c r="AZX19" s="1634"/>
      <c r="AZY19" s="1634"/>
      <c r="AZZ19" s="1634"/>
      <c r="BAA19" s="1634"/>
      <c r="BAB19" s="1634"/>
      <c r="BAC19" s="1634"/>
      <c r="BAD19" s="1634"/>
      <c r="BAE19" s="1634"/>
      <c r="BAF19" s="1634"/>
      <c r="BAG19" s="1634"/>
      <c r="BAH19" s="1634"/>
      <c r="BAI19" s="1634"/>
      <c r="BAJ19" s="1634"/>
      <c r="BAK19" s="1634"/>
      <c r="BAL19" s="1634"/>
      <c r="BAM19" s="1634"/>
      <c r="BAN19" s="1634"/>
      <c r="BAO19" s="1634"/>
      <c r="BAP19" s="1634"/>
      <c r="BAQ19" s="1634"/>
      <c r="BAR19" s="1634"/>
      <c r="BAS19" s="1634"/>
      <c r="BAT19" s="1634"/>
      <c r="BAU19" s="1634"/>
      <c r="BAV19" s="1634"/>
      <c r="BAW19" s="1634"/>
      <c r="BAX19" s="1634"/>
      <c r="BAY19" s="1634"/>
      <c r="BAZ19" s="1634"/>
      <c r="BBA19" s="1634"/>
      <c r="BBB19" s="1634"/>
      <c r="BBC19" s="1634"/>
      <c r="BBD19" s="1634"/>
      <c r="BBE19" s="1634"/>
      <c r="BBF19" s="1634"/>
      <c r="BBG19" s="1634"/>
      <c r="BBH19" s="1634"/>
      <c r="BBI19" s="1634"/>
      <c r="BBJ19" s="1634"/>
      <c r="BBK19" s="1634"/>
      <c r="BBL19" s="1634"/>
      <c r="BBM19" s="1634"/>
      <c r="BBN19" s="1634"/>
      <c r="BBO19" s="1634"/>
      <c r="BBP19" s="1634"/>
      <c r="BBQ19" s="1634"/>
      <c r="BBR19" s="1634"/>
      <c r="BBS19" s="1634"/>
      <c r="BBT19" s="1634"/>
      <c r="BBU19" s="1634"/>
      <c r="BBV19" s="1634"/>
      <c r="BBW19" s="1634"/>
      <c r="BBX19" s="1634"/>
      <c r="BBY19" s="1634"/>
      <c r="BBZ19" s="1634"/>
      <c r="BCA19" s="1634"/>
      <c r="BCB19" s="1634"/>
      <c r="BCC19" s="1634"/>
      <c r="BCD19" s="1634"/>
      <c r="BCE19" s="1634"/>
      <c r="BCF19" s="1634"/>
      <c r="BCG19" s="1634"/>
      <c r="BCH19" s="1634"/>
      <c r="BCI19" s="1634"/>
      <c r="BCJ19" s="1634"/>
      <c r="BCK19" s="1634"/>
      <c r="BCL19" s="1634"/>
      <c r="BCM19" s="1634"/>
      <c r="BCN19" s="1634"/>
      <c r="BCO19" s="1634"/>
      <c r="BCP19" s="1634"/>
      <c r="BCQ19" s="1634"/>
      <c r="BCR19" s="1634"/>
      <c r="BCS19" s="1634"/>
      <c r="BCT19" s="1634"/>
      <c r="BCU19" s="1634"/>
      <c r="BCV19" s="1634"/>
      <c r="BCW19" s="1634"/>
      <c r="BCX19" s="1634"/>
      <c r="BCY19" s="1634"/>
      <c r="BCZ19" s="1634"/>
      <c r="BDA19" s="1634"/>
      <c r="BDB19" s="1634"/>
      <c r="BDC19" s="1634"/>
      <c r="BDD19" s="1634"/>
      <c r="BDE19" s="1634"/>
      <c r="BDF19" s="1634"/>
      <c r="BDG19" s="1634"/>
      <c r="BDH19" s="1634"/>
      <c r="BDI19" s="1634"/>
      <c r="BDJ19" s="1634"/>
      <c r="BDK19" s="1634"/>
      <c r="BDL19" s="1634"/>
      <c r="BDM19" s="1634"/>
      <c r="BDN19" s="1634"/>
      <c r="BDO19" s="1634"/>
      <c r="BDP19" s="1634"/>
      <c r="BDQ19" s="1634"/>
      <c r="BDR19" s="1634"/>
      <c r="BDS19" s="1634"/>
      <c r="BDT19" s="1634"/>
      <c r="BDU19" s="1634"/>
      <c r="BDV19" s="1634"/>
      <c r="BDW19" s="1634"/>
      <c r="BDX19" s="1634"/>
      <c r="BDY19" s="1634"/>
      <c r="BDZ19" s="1634"/>
      <c r="BEA19" s="1634"/>
      <c r="BEB19" s="1634"/>
      <c r="BEC19" s="1634"/>
      <c r="BED19" s="1634"/>
      <c r="BEE19" s="1634"/>
      <c r="BEF19" s="1634"/>
      <c r="BEG19" s="1634"/>
      <c r="BEH19" s="1634"/>
      <c r="BEI19" s="1634"/>
      <c r="BEJ19" s="1634"/>
      <c r="BEK19" s="1634"/>
      <c r="BEL19" s="1634"/>
      <c r="BEM19" s="1634"/>
      <c r="BEN19" s="1634"/>
      <c r="BEO19" s="1634"/>
      <c r="BEP19" s="1634"/>
      <c r="BEQ19" s="1634"/>
      <c r="BER19" s="1634"/>
      <c r="BES19" s="1634"/>
      <c r="BET19" s="1634"/>
      <c r="BEU19" s="1634"/>
      <c r="BEV19" s="1634"/>
      <c r="BEW19" s="1634"/>
      <c r="BEX19" s="1634"/>
      <c r="BEY19" s="1634"/>
      <c r="BEZ19" s="1634"/>
      <c r="BFA19" s="1634"/>
      <c r="BFB19" s="1634"/>
      <c r="BFC19" s="1634"/>
      <c r="BFD19" s="1634"/>
      <c r="BFE19" s="1634"/>
      <c r="BFF19" s="1634"/>
      <c r="BFG19" s="1634"/>
      <c r="BFH19" s="1634"/>
      <c r="BFI19" s="1634"/>
      <c r="BFJ19" s="1634"/>
      <c r="BFK19" s="1634"/>
      <c r="BFL19" s="1634"/>
      <c r="BFM19" s="1634"/>
      <c r="BFN19" s="1634"/>
      <c r="BFO19" s="1634"/>
      <c r="BFP19" s="1634"/>
      <c r="BFQ19" s="1634"/>
      <c r="BFR19" s="1634"/>
      <c r="BFS19" s="1634"/>
      <c r="BFT19" s="1634"/>
      <c r="BFU19" s="1634"/>
      <c r="BFV19" s="1634"/>
      <c r="BFW19" s="1634"/>
      <c r="BFX19" s="1634"/>
      <c r="BFY19" s="1634"/>
      <c r="BFZ19" s="1634"/>
      <c r="BGA19" s="1634"/>
      <c r="BGB19" s="1634"/>
      <c r="BGC19" s="1634"/>
      <c r="BGD19" s="1634"/>
      <c r="BGE19" s="1634"/>
      <c r="BGF19" s="1634"/>
      <c r="BGG19" s="1634"/>
      <c r="BGH19" s="1634"/>
      <c r="BGI19" s="1634"/>
      <c r="BGJ19" s="1634"/>
      <c r="BGK19" s="1634"/>
      <c r="BGL19" s="1634"/>
      <c r="BGM19" s="1634"/>
      <c r="BGN19" s="1634"/>
      <c r="BGO19" s="1634"/>
      <c r="BGP19" s="1634"/>
      <c r="BGQ19" s="1634"/>
      <c r="BGR19" s="1634"/>
      <c r="BGS19" s="1634"/>
      <c r="BGT19" s="1634"/>
      <c r="BGU19" s="1634"/>
      <c r="BGV19" s="1634"/>
      <c r="BGW19" s="1634"/>
      <c r="BGX19" s="1634"/>
      <c r="BGY19" s="1634"/>
      <c r="BGZ19" s="1634"/>
      <c r="BHA19" s="1634"/>
      <c r="BHB19" s="1634"/>
      <c r="BHC19" s="1634"/>
      <c r="BHD19" s="1634"/>
      <c r="BHE19" s="1634"/>
      <c r="BHF19" s="1634"/>
      <c r="BHG19" s="1634"/>
      <c r="BHH19" s="1634"/>
      <c r="BHI19" s="1634"/>
      <c r="BHJ19" s="1634"/>
      <c r="BHK19" s="1634"/>
      <c r="BHL19" s="1634"/>
      <c r="BHM19" s="1634"/>
      <c r="BHN19" s="1634"/>
      <c r="BHO19" s="1634"/>
      <c r="BHP19" s="1634"/>
      <c r="BHQ19" s="1634"/>
      <c r="BHR19" s="1634"/>
      <c r="BHS19" s="1634"/>
      <c r="BHT19" s="1634"/>
      <c r="BHU19" s="1634"/>
      <c r="BHV19" s="1634"/>
      <c r="BHW19" s="1634"/>
      <c r="BHX19" s="1634"/>
      <c r="BHY19" s="1634"/>
      <c r="BHZ19" s="1634"/>
      <c r="BIA19" s="1634"/>
      <c r="BIB19" s="1634"/>
      <c r="BIC19" s="1634"/>
      <c r="BID19" s="1634"/>
      <c r="BIE19" s="1634"/>
      <c r="BIF19" s="1634"/>
      <c r="BIG19" s="1634"/>
      <c r="BIH19" s="1634"/>
      <c r="BII19" s="1634"/>
      <c r="BIJ19" s="1634"/>
      <c r="BIK19" s="1634"/>
      <c r="BIL19" s="1634"/>
      <c r="BIM19" s="1634"/>
      <c r="BIN19" s="1634"/>
      <c r="BIO19" s="1634"/>
      <c r="BIP19" s="1634"/>
      <c r="BIQ19" s="1634"/>
      <c r="BIR19" s="1634"/>
      <c r="BIS19" s="1634"/>
      <c r="BIT19" s="1634"/>
      <c r="BIU19" s="1634"/>
      <c r="BIV19" s="1634"/>
      <c r="BIW19" s="1634"/>
      <c r="BIX19" s="1634"/>
      <c r="BIY19" s="1634"/>
      <c r="BIZ19" s="1634"/>
      <c r="BJA19" s="1634"/>
      <c r="BJB19" s="1634"/>
      <c r="BJC19" s="1634"/>
      <c r="BJD19" s="1634"/>
      <c r="BJE19" s="1634"/>
      <c r="BJF19" s="1634"/>
      <c r="BJG19" s="1634"/>
      <c r="BJH19" s="1634"/>
      <c r="BJI19" s="1634"/>
      <c r="BJJ19" s="1634"/>
      <c r="BJK19" s="1634"/>
      <c r="BJL19" s="1634"/>
      <c r="BJM19" s="1634"/>
      <c r="BJN19" s="1634"/>
      <c r="BJO19" s="1634"/>
      <c r="BJP19" s="1634"/>
      <c r="BJQ19" s="1634"/>
      <c r="BJR19" s="1634"/>
      <c r="BJS19" s="1634"/>
      <c r="BJT19" s="1634"/>
      <c r="BJU19" s="1634"/>
      <c r="BJV19" s="1634"/>
      <c r="BJW19" s="1634"/>
      <c r="BJX19" s="1634"/>
      <c r="BJY19" s="1634"/>
      <c r="BJZ19" s="1634"/>
      <c r="BKA19" s="1634"/>
      <c r="BKB19" s="1634"/>
      <c r="BKC19" s="1634"/>
      <c r="BKD19" s="1634"/>
      <c r="BKE19" s="1634"/>
      <c r="BKF19" s="1634"/>
      <c r="BKG19" s="1634"/>
      <c r="BKH19" s="1634"/>
      <c r="BKI19" s="1634"/>
      <c r="BKJ19" s="1634"/>
      <c r="BKK19" s="1634"/>
      <c r="BKL19" s="1634"/>
      <c r="BKM19" s="1634"/>
      <c r="BKN19" s="1634"/>
      <c r="BKO19" s="1634"/>
      <c r="BKP19" s="1634"/>
      <c r="BKQ19" s="1634"/>
      <c r="BKR19" s="1634"/>
      <c r="BKS19" s="1634"/>
      <c r="BKT19" s="1634"/>
      <c r="BKU19" s="1634"/>
      <c r="BKV19" s="1634"/>
      <c r="BKW19" s="1634"/>
      <c r="BKX19" s="1634"/>
      <c r="BKY19" s="1634"/>
      <c r="BKZ19" s="1634"/>
      <c r="BLA19" s="1634"/>
      <c r="BLB19" s="1634"/>
      <c r="BLC19" s="1634"/>
      <c r="BLD19" s="1634"/>
      <c r="BLE19" s="1634"/>
      <c r="BLF19" s="1634"/>
      <c r="BLG19" s="1634"/>
      <c r="BLH19" s="1634"/>
      <c r="BLI19" s="1634"/>
      <c r="BLJ19" s="1634"/>
      <c r="BLK19" s="1634"/>
      <c r="BLL19" s="1634"/>
      <c r="BLM19" s="1634"/>
      <c r="BLN19" s="1634"/>
      <c r="BLO19" s="1634"/>
      <c r="BLP19" s="1634"/>
      <c r="BLQ19" s="1634"/>
      <c r="BLR19" s="1634"/>
      <c r="BLS19" s="1634"/>
      <c r="BLT19" s="1634"/>
      <c r="BLU19" s="1634"/>
      <c r="BLV19" s="1634"/>
      <c r="BLW19" s="1634"/>
      <c r="BLX19" s="1634"/>
      <c r="BLY19" s="1634"/>
      <c r="BLZ19" s="1634"/>
      <c r="BMA19" s="1634"/>
      <c r="BMB19" s="1634"/>
      <c r="BMC19" s="1634"/>
      <c r="BMD19" s="1634"/>
      <c r="BME19" s="1634"/>
      <c r="BMF19" s="1634"/>
      <c r="BMG19" s="1634"/>
      <c r="BMH19" s="1634"/>
      <c r="BMI19" s="1634"/>
      <c r="BMJ19" s="1634"/>
      <c r="BMK19" s="1634"/>
      <c r="BML19" s="1634"/>
      <c r="BMM19" s="1634"/>
      <c r="BMN19" s="1634"/>
      <c r="BMO19" s="1634"/>
      <c r="BMP19" s="1634"/>
      <c r="BMQ19" s="1634"/>
      <c r="BMR19" s="1634"/>
      <c r="BMS19" s="1634"/>
      <c r="BMT19" s="1634"/>
      <c r="BMU19" s="1634"/>
      <c r="BMV19" s="1634"/>
      <c r="BMW19" s="1634"/>
      <c r="BMX19" s="1634"/>
      <c r="BMY19" s="1634"/>
      <c r="BMZ19" s="1634"/>
      <c r="BNA19" s="1634"/>
      <c r="BNB19" s="1634"/>
      <c r="BNC19" s="1634"/>
      <c r="BND19" s="1634"/>
      <c r="BNE19" s="1634"/>
      <c r="BNF19" s="1634"/>
      <c r="BNG19" s="1634"/>
      <c r="BNH19" s="1634"/>
      <c r="BNI19" s="1634"/>
      <c r="BNJ19" s="1634"/>
      <c r="BNK19" s="1634"/>
      <c r="BNL19" s="1634"/>
      <c r="BNM19" s="1634"/>
      <c r="BNN19" s="1634"/>
      <c r="BNO19" s="1634"/>
      <c r="BNP19" s="1634"/>
      <c r="BNQ19" s="1634"/>
      <c r="BNR19" s="1634"/>
      <c r="BNS19" s="1634"/>
      <c r="BNT19" s="1634"/>
      <c r="BNU19" s="1634"/>
      <c r="BNV19" s="1634"/>
      <c r="BNW19" s="1634"/>
      <c r="BNX19" s="1634"/>
      <c r="BNY19" s="1634"/>
      <c r="BNZ19" s="1634"/>
      <c r="BOA19" s="1634"/>
      <c r="BOB19" s="1634"/>
      <c r="BOC19" s="1634"/>
      <c r="BOD19" s="1634"/>
      <c r="BOE19" s="1634"/>
      <c r="BOF19" s="1634"/>
      <c r="BOG19" s="1634"/>
      <c r="BOH19" s="1634"/>
      <c r="BOI19" s="1634"/>
      <c r="BOJ19" s="1634"/>
      <c r="BOK19" s="1634"/>
      <c r="BOL19" s="1634"/>
      <c r="BOM19" s="1634"/>
      <c r="BON19" s="1634"/>
      <c r="BOO19" s="1634"/>
      <c r="BOP19" s="1634"/>
      <c r="BOQ19" s="1634"/>
      <c r="BOR19" s="1634"/>
      <c r="BOS19" s="1634"/>
      <c r="BOT19" s="1634"/>
      <c r="BOU19" s="1634"/>
      <c r="BOV19" s="1634"/>
      <c r="BOW19" s="1634"/>
      <c r="BOX19" s="1634"/>
      <c r="BOY19" s="1634"/>
      <c r="BOZ19" s="1634"/>
      <c r="BPA19" s="1634"/>
      <c r="BPB19" s="1634"/>
      <c r="BPC19" s="1634"/>
      <c r="BPD19" s="1634"/>
      <c r="BPE19" s="1634"/>
      <c r="BPF19" s="1634"/>
      <c r="BPG19" s="1634"/>
      <c r="BPH19" s="1634"/>
      <c r="BPI19" s="1634"/>
      <c r="BPJ19" s="1634"/>
      <c r="BPK19" s="1634"/>
      <c r="BPL19" s="1634"/>
      <c r="BPM19" s="1634"/>
      <c r="BPN19" s="1634"/>
      <c r="BPO19" s="1634"/>
      <c r="BPP19" s="1634"/>
      <c r="BPQ19" s="1634"/>
      <c r="BPR19" s="1634"/>
      <c r="BPS19" s="1634"/>
      <c r="BPT19" s="1634"/>
      <c r="BPU19" s="1634"/>
      <c r="BPV19" s="1634"/>
      <c r="BPW19" s="1634"/>
      <c r="BPX19" s="1634"/>
      <c r="BPY19" s="1634"/>
      <c r="BPZ19" s="1634"/>
      <c r="BQA19" s="1634"/>
      <c r="BQB19" s="1634"/>
      <c r="BQC19" s="1634"/>
      <c r="BQD19" s="1634"/>
      <c r="BQE19" s="1634"/>
      <c r="BQF19" s="1634"/>
      <c r="BQG19" s="1634"/>
      <c r="BQH19" s="1634"/>
      <c r="BQI19" s="1634"/>
      <c r="BQJ19" s="1634"/>
      <c r="BQK19" s="1634"/>
      <c r="BQL19" s="1634"/>
      <c r="BQM19" s="1634"/>
      <c r="BQN19" s="1634"/>
      <c r="BQO19" s="1634"/>
      <c r="BQP19" s="1634"/>
      <c r="BQQ19" s="1634"/>
      <c r="BQR19" s="1634"/>
      <c r="BQS19" s="1634"/>
      <c r="BQT19" s="1634"/>
      <c r="BQU19" s="1634"/>
      <c r="BQV19" s="1634"/>
      <c r="BQW19" s="1634"/>
      <c r="BQX19" s="1634"/>
      <c r="BQY19" s="1634"/>
      <c r="BQZ19" s="1634"/>
      <c r="BRA19" s="1634"/>
      <c r="BRB19" s="1634"/>
      <c r="BRC19" s="1634"/>
      <c r="BRD19" s="1634"/>
      <c r="BRE19" s="1634"/>
      <c r="BRF19" s="1634"/>
      <c r="BRG19" s="1634"/>
      <c r="BRH19" s="1634"/>
      <c r="BRI19" s="1634"/>
      <c r="BRJ19" s="1634"/>
      <c r="BRK19" s="1634"/>
      <c r="BRL19" s="1634"/>
      <c r="BRM19" s="1634"/>
      <c r="BRN19" s="1634"/>
      <c r="BRO19" s="1634"/>
      <c r="BRP19" s="1634"/>
      <c r="BRQ19" s="1634"/>
      <c r="BRR19" s="1634"/>
      <c r="BRS19" s="1634"/>
      <c r="BRT19" s="1634"/>
      <c r="BRU19" s="1634"/>
      <c r="BRV19" s="1634"/>
      <c r="BRW19" s="1634"/>
      <c r="BRX19" s="1634"/>
      <c r="BRY19" s="1634"/>
      <c r="BRZ19" s="1634"/>
      <c r="BSA19" s="1634"/>
      <c r="BSB19" s="1634"/>
      <c r="BSC19" s="1634"/>
      <c r="BSD19" s="1634"/>
      <c r="BSE19" s="1634"/>
      <c r="BSF19" s="1634"/>
      <c r="BSG19" s="1634"/>
      <c r="BSH19" s="1634"/>
      <c r="BSI19" s="1634"/>
      <c r="BSJ19" s="1634"/>
      <c r="BSK19" s="1634"/>
      <c r="BSL19" s="1634"/>
      <c r="BSM19" s="1634"/>
      <c r="BSN19" s="1634"/>
      <c r="BSO19" s="1634"/>
      <c r="BSP19" s="1634"/>
      <c r="BSQ19" s="1634"/>
      <c r="BSR19" s="1634"/>
      <c r="BSS19" s="1634"/>
      <c r="BST19" s="1634"/>
      <c r="BSU19" s="1634"/>
      <c r="BSV19" s="1634"/>
      <c r="BSW19" s="1634"/>
      <c r="BSX19" s="1634"/>
      <c r="BSY19" s="1634"/>
      <c r="BSZ19" s="1634"/>
      <c r="BTA19" s="1634"/>
      <c r="BTB19" s="1634"/>
      <c r="BTC19" s="1634"/>
      <c r="BTD19" s="1634"/>
      <c r="BTE19" s="1634"/>
      <c r="BTF19" s="1634"/>
      <c r="BTG19" s="1634"/>
      <c r="BTH19" s="1634"/>
      <c r="BTI19" s="1634"/>
      <c r="BTJ19" s="1634"/>
      <c r="BTK19" s="1634"/>
      <c r="BTL19" s="1634"/>
      <c r="BTM19" s="1634"/>
      <c r="BTN19" s="1634"/>
      <c r="BTO19" s="1634"/>
      <c r="BTP19" s="1634"/>
      <c r="BTQ19" s="1634"/>
      <c r="BTR19" s="1634"/>
      <c r="BTS19" s="1634"/>
      <c r="BTT19" s="1634"/>
      <c r="BTU19" s="1634"/>
      <c r="BTV19" s="1634"/>
      <c r="BTW19" s="1634"/>
      <c r="BTX19" s="1634"/>
      <c r="BTY19" s="1634"/>
      <c r="BTZ19" s="1634"/>
      <c r="BUA19" s="1634"/>
      <c r="BUB19" s="1634"/>
      <c r="BUC19" s="1634"/>
      <c r="BUD19" s="1634"/>
      <c r="BUE19" s="1634"/>
      <c r="BUF19" s="1634"/>
      <c r="BUG19" s="1634"/>
      <c r="BUH19" s="1634"/>
      <c r="BUI19" s="1634"/>
      <c r="BUJ19" s="1634"/>
      <c r="BUK19" s="1634"/>
      <c r="BUL19" s="1634"/>
      <c r="BUM19" s="1634"/>
      <c r="BUN19" s="1634"/>
      <c r="BUO19" s="1634"/>
      <c r="BUP19" s="1634"/>
      <c r="BUQ19" s="1634"/>
      <c r="BUR19" s="1634"/>
      <c r="BUS19" s="1634"/>
      <c r="BUT19" s="1634"/>
      <c r="BUU19" s="1634"/>
      <c r="BUV19" s="1634"/>
      <c r="BUW19" s="1634"/>
      <c r="BUX19" s="1634"/>
      <c r="BUY19" s="1634"/>
      <c r="BUZ19" s="1634"/>
      <c r="BVA19" s="1634"/>
      <c r="BVB19" s="1634"/>
      <c r="BVC19" s="1634"/>
      <c r="BVD19" s="1634"/>
      <c r="BVE19" s="1634"/>
      <c r="BVF19" s="1634"/>
      <c r="BVG19" s="1634"/>
      <c r="BVH19" s="1634"/>
      <c r="BVI19" s="1634"/>
      <c r="BVJ19" s="1634"/>
      <c r="BVK19" s="1634"/>
      <c r="BVL19" s="1634"/>
      <c r="BVM19" s="1634"/>
      <c r="BVN19" s="1634"/>
      <c r="BVO19" s="1634"/>
      <c r="BVP19" s="1634"/>
      <c r="BVQ19" s="1634"/>
      <c r="BVR19" s="1634"/>
      <c r="BVS19" s="1634"/>
      <c r="BVT19" s="1634"/>
      <c r="BVU19" s="1634"/>
      <c r="BVV19" s="1634"/>
      <c r="BVW19" s="1634"/>
      <c r="BVX19" s="1634"/>
      <c r="BVY19" s="1634"/>
      <c r="BVZ19" s="1634"/>
      <c r="BWA19" s="1634"/>
      <c r="BWB19" s="1634"/>
      <c r="BWC19" s="1634"/>
      <c r="BWD19" s="1634"/>
      <c r="BWE19" s="1634"/>
      <c r="BWF19" s="1634"/>
      <c r="BWG19" s="1634"/>
      <c r="BWH19" s="1634"/>
      <c r="BWI19" s="1634"/>
      <c r="BWJ19" s="1634"/>
      <c r="BWK19" s="1634"/>
      <c r="BWL19" s="1634"/>
      <c r="BWM19" s="1634"/>
      <c r="BWN19" s="1634"/>
      <c r="BWO19" s="1634"/>
      <c r="BWP19" s="1634"/>
      <c r="BWQ19" s="1634"/>
      <c r="BWR19" s="1634"/>
      <c r="BWS19" s="1634"/>
      <c r="BWT19" s="1634"/>
      <c r="BWU19" s="1634"/>
      <c r="BWV19" s="1634"/>
      <c r="BWW19" s="1634"/>
      <c r="BWX19" s="1634"/>
      <c r="BWY19" s="1634"/>
      <c r="BWZ19" s="1634"/>
      <c r="BXA19" s="1634"/>
      <c r="BXB19" s="1634"/>
      <c r="BXC19" s="1634"/>
      <c r="BXD19" s="1634"/>
      <c r="BXE19" s="1634"/>
      <c r="BXF19" s="1634"/>
      <c r="BXG19" s="1634"/>
      <c r="BXH19" s="1634"/>
      <c r="BXI19" s="1634"/>
      <c r="BXJ19" s="1634"/>
      <c r="BXK19" s="1634"/>
      <c r="BXL19" s="1634"/>
      <c r="BXM19" s="1634"/>
      <c r="BXN19" s="1634"/>
      <c r="BXO19" s="1634"/>
      <c r="BXP19" s="1634"/>
      <c r="BXQ19" s="1634"/>
      <c r="BXR19" s="1634"/>
      <c r="BXS19" s="1634"/>
      <c r="BXT19" s="1634"/>
      <c r="BXU19" s="1634"/>
      <c r="BXV19" s="1634"/>
      <c r="BXW19" s="1634"/>
      <c r="BXX19" s="1634"/>
      <c r="BXY19" s="1634"/>
      <c r="BXZ19" s="1634"/>
      <c r="BYA19" s="1634"/>
      <c r="BYB19" s="1634"/>
      <c r="BYC19" s="1634"/>
      <c r="BYD19" s="1634"/>
      <c r="BYE19" s="1634"/>
      <c r="BYF19" s="1634"/>
      <c r="BYG19" s="1634"/>
      <c r="BYH19" s="1634"/>
      <c r="BYI19" s="1634"/>
      <c r="BYJ19" s="1634"/>
      <c r="BYK19" s="1634"/>
      <c r="BYL19" s="1634"/>
      <c r="BYM19" s="1634"/>
      <c r="BYN19" s="1634"/>
      <c r="BYO19" s="1634"/>
      <c r="BYP19" s="1634"/>
      <c r="BYQ19" s="1634"/>
      <c r="BYR19" s="1634"/>
      <c r="BYS19" s="1634"/>
      <c r="BYT19" s="1634"/>
      <c r="BYU19" s="1634"/>
      <c r="BYV19" s="1634"/>
      <c r="BYW19" s="1634"/>
      <c r="BYX19" s="1634"/>
      <c r="BYY19" s="1634"/>
      <c r="BYZ19" s="1634"/>
      <c r="BZA19" s="1634"/>
      <c r="BZB19" s="1634"/>
      <c r="BZC19" s="1634"/>
      <c r="BZD19" s="1634"/>
      <c r="BZE19" s="1634"/>
      <c r="BZF19" s="1634"/>
      <c r="BZG19" s="1634"/>
      <c r="BZH19" s="1634"/>
      <c r="BZI19" s="1634"/>
      <c r="BZJ19" s="1634"/>
      <c r="BZK19" s="1634"/>
      <c r="BZL19" s="1634"/>
      <c r="BZM19" s="1634"/>
      <c r="BZN19" s="1634"/>
      <c r="BZO19" s="1634"/>
      <c r="BZP19" s="1634"/>
      <c r="BZQ19" s="1634"/>
      <c r="BZR19" s="1634"/>
      <c r="BZS19" s="1634"/>
      <c r="BZT19" s="1634"/>
      <c r="BZU19" s="1634"/>
      <c r="BZV19" s="1634"/>
      <c r="BZW19" s="1634"/>
      <c r="BZX19" s="1634"/>
      <c r="BZY19" s="1634"/>
      <c r="BZZ19" s="1634"/>
      <c r="CAA19" s="1634"/>
      <c r="CAB19" s="1634"/>
      <c r="CAC19" s="1634"/>
      <c r="CAD19" s="1634"/>
      <c r="CAE19" s="1634"/>
      <c r="CAF19" s="1634"/>
      <c r="CAG19" s="1634"/>
      <c r="CAH19" s="1634"/>
      <c r="CAI19" s="1634"/>
      <c r="CAJ19" s="1634"/>
      <c r="CAK19" s="1634"/>
      <c r="CAL19" s="1634"/>
      <c r="CAM19" s="1634"/>
      <c r="CAN19" s="1634"/>
      <c r="CAO19" s="1634"/>
      <c r="CAP19" s="1634"/>
      <c r="CAQ19" s="1634"/>
      <c r="CAR19" s="1634"/>
      <c r="CAS19" s="1634"/>
      <c r="CAT19" s="1634"/>
      <c r="CAU19" s="1634"/>
      <c r="CAV19" s="1634"/>
      <c r="CAW19" s="1634"/>
      <c r="CAX19" s="1634"/>
      <c r="CAY19" s="1634"/>
      <c r="CAZ19" s="1634"/>
      <c r="CBA19" s="1634"/>
      <c r="CBB19" s="1634"/>
      <c r="CBC19" s="1634"/>
      <c r="CBD19" s="1634"/>
      <c r="CBE19" s="1634"/>
      <c r="CBF19" s="1634"/>
      <c r="CBG19" s="1634"/>
      <c r="CBH19" s="1634"/>
      <c r="CBI19" s="1634"/>
      <c r="CBJ19" s="1634"/>
      <c r="CBK19" s="1634"/>
      <c r="CBL19" s="1634"/>
      <c r="CBM19" s="1634"/>
      <c r="CBN19" s="1634"/>
      <c r="CBO19" s="1634"/>
      <c r="CBP19" s="1634"/>
      <c r="CBQ19" s="1634"/>
      <c r="CBR19" s="1634"/>
      <c r="CBS19" s="1634"/>
      <c r="CBT19" s="1634"/>
      <c r="CBU19" s="1634"/>
      <c r="CBV19" s="1634"/>
      <c r="CBW19" s="1634"/>
      <c r="CBX19" s="1634"/>
      <c r="CBY19" s="1634"/>
      <c r="CBZ19" s="1634"/>
      <c r="CCA19" s="1634"/>
      <c r="CCB19" s="1634"/>
      <c r="CCC19" s="1634"/>
      <c r="CCD19" s="1634"/>
      <c r="CCE19" s="1634"/>
      <c r="CCF19" s="1634"/>
      <c r="CCG19" s="1634"/>
      <c r="CCH19" s="1634"/>
      <c r="CCI19" s="1634"/>
      <c r="CCJ19" s="1634"/>
      <c r="CCK19" s="1634"/>
      <c r="CCL19" s="1634"/>
      <c r="CCM19" s="1634"/>
      <c r="CCN19" s="1634"/>
      <c r="CCO19" s="1634"/>
      <c r="CCP19" s="1634"/>
      <c r="CCQ19" s="1634"/>
      <c r="CCR19" s="1634"/>
      <c r="CCS19" s="1634"/>
      <c r="CCT19" s="1634"/>
      <c r="CCU19" s="1634"/>
      <c r="CCV19" s="1634"/>
      <c r="CCW19" s="1634"/>
      <c r="CCX19" s="1634"/>
      <c r="CCY19" s="1634"/>
      <c r="CCZ19" s="1634"/>
      <c r="CDA19" s="1634"/>
      <c r="CDB19" s="1634"/>
      <c r="CDC19" s="1634"/>
      <c r="CDD19" s="1634"/>
      <c r="CDE19" s="1634"/>
      <c r="CDF19" s="1634"/>
      <c r="CDG19" s="1634"/>
      <c r="CDH19" s="1634"/>
      <c r="CDI19" s="1634"/>
      <c r="CDJ19" s="1634"/>
      <c r="CDK19" s="1634"/>
      <c r="CDL19" s="1634"/>
      <c r="CDM19" s="1634"/>
      <c r="CDN19" s="1634"/>
      <c r="CDO19" s="1634"/>
      <c r="CDP19" s="1634"/>
      <c r="CDQ19" s="1634"/>
      <c r="CDR19" s="1634"/>
      <c r="CDS19" s="1634"/>
      <c r="CDT19" s="1634"/>
      <c r="CDU19" s="1634"/>
      <c r="CDV19" s="1634"/>
      <c r="CDW19" s="1634"/>
      <c r="CDX19" s="1634"/>
      <c r="CDY19" s="1634"/>
      <c r="CDZ19" s="1634"/>
      <c r="CEA19" s="1634"/>
      <c r="CEB19" s="1634"/>
      <c r="CEC19" s="1634"/>
      <c r="CED19" s="1634"/>
      <c r="CEE19" s="1634"/>
      <c r="CEF19" s="1634"/>
      <c r="CEG19" s="1634"/>
      <c r="CEH19" s="1634"/>
      <c r="CEI19" s="1634"/>
      <c r="CEJ19" s="1634"/>
      <c r="CEK19" s="1634"/>
      <c r="CEL19" s="1634"/>
      <c r="CEM19" s="1634"/>
      <c r="CEN19" s="1634"/>
      <c r="CEO19" s="1634"/>
      <c r="CEP19" s="1634"/>
      <c r="CEQ19" s="1634"/>
      <c r="CER19" s="1634"/>
      <c r="CES19" s="1634"/>
      <c r="CET19" s="1634"/>
      <c r="CEU19" s="1634"/>
      <c r="CEV19" s="1634"/>
      <c r="CEW19" s="1634"/>
      <c r="CEX19" s="1634"/>
      <c r="CEY19" s="1634"/>
      <c r="CEZ19" s="1634"/>
      <c r="CFA19" s="1634"/>
      <c r="CFB19" s="1634"/>
      <c r="CFC19" s="1634"/>
      <c r="CFD19" s="1634"/>
      <c r="CFE19" s="1634"/>
      <c r="CFF19" s="1634"/>
      <c r="CFG19" s="1634"/>
      <c r="CFH19" s="1634"/>
      <c r="CFI19" s="1634"/>
      <c r="CFJ19" s="1634"/>
      <c r="CFK19" s="1634"/>
      <c r="CFL19" s="1634"/>
      <c r="CFM19" s="1634"/>
      <c r="CFN19" s="1634"/>
      <c r="CFO19" s="1634"/>
      <c r="CFP19" s="1634"/>
      <c r="CFQ19" s="1634"/>
      <c r="CFR19" s="1634"/>
      <c r="CFS19" s="1634"/>
      <c r="CFT19" s="1634"/>
      <c r="CFU19" s="1634"/>
      <c r="CFV19" s="1634"/>
      <c r="CFW19" s="1634"/>
      <c r="CFX19" s="1634"/>
      <c r="CFY19" s="1634"/>
      <c r="CFZ19" s="1634"/>
      <c r="CGA19" s="1634"/>
      <c r="CGB19" s="1634"/>
      <c r="CGC19" s="1634"/>
      <c r="CGD19" s="1634"/>
      <c r="CGE19" s="1634"/>
      <c r="CGF19" s="1634"/>
      <c r="CGG19" s="1634"/>
      <c r="CGH19" s="1634"/>
      <c r="CGI19" s="1634"/>
      <c r="CGJ19" s="1634"/>
      <c r="CGK19" s="1634"/>
      <c r="CGL19" s="1634"/>
      <c r="CGM19" s="1634"/>
      <c r="CGN19" s="1634"/>
      <c r="CGO19" s="1634"/>
      <c r="CGP19" s="1634"/>
      <c r="CGQ19" s="1634"/>
      <c r="CGR19" s="1634"/>
      <c r="CGS19" s="1634"/>
      <c r="CGT19" s="1634"/>
      <c r="CGU19" s="1634"/>
      <c r="CGV19" s="1634"/>
      <c r="CGW19" s="1634"/>
      <c r="CGX19" s="1634"/>
      <c r="CGY19" s="1634"/>
      <c r="CGZ19" s="1634"/>
      <c r="CHA19" s="1634"/>
      <c r="CHB19" s="1634"/>
      <c r="CHC19" s="1634"/>
      <c r="CHD19" s="1634"/>
      <c r="CHE19" s="1634"/>
      <c r="CHF19" s="1634"/>
      <c r="CHG19" s="1634"/>
      <c r="CHH19" s="1634"/>
      <c r="CHI19" s="1634"/>
      <c r="CHJ19" s="1634"/>
      <c r="CHK19" s="1634"/>
      <c r="CHL19" s="1634"/>
      <c r="CHM19" s="1634"/>
      <c r="CHN19" s="1634"/>
      <c r="CHO19" s="1634"/>
      <c r="CHP19" s="1634"/>
      <c r="CHQ19" s="1634"/>
      <c r="CHR19" s="1634"/>
      <c r="CHS19" s="1634"/>
      <c r="CHT19" s="1634"/>
      <c r="CHU19" s="1634"/>
      <c r="CHV19" s="1634"/>
      <c r="CHW19" s="1634"/>
      <c r="CHX19" s="1634"/>
      <c r="CHY19" s="1634"/>
      <c r="CHZ19" s="1634"/>
      <c r="CIA19" s="1634"/>
      <c r="CIB19" s="1634"/>
      <c r="CIC19" s="1634"/>
      <c r="CID19" s="1634"/>
      <c r="CIE19" s="1634"/>
      <c r="CIF19" s="1634"/>
      <c r="CIG19" s="1634"/>
      <c r="CIH19" s="1634"/>
      <c r="CII19" s="1634"/>
      <c r="CIJ19" s="1634"/>
      <c r="CIK19" s="1634"/>
      <c r="CIL19" s="1634"/>
      <c r="CIM19" s="1634"/>
      <c r="CIN19" s="1634"/>
      <c r="CIO19" s="1634"/>
      <c r="CIP19" s="1634"/>
      <c r="CIQ19" s="1634"/>
      <c r="CIR19" s="1634"/>
      <c r="CIS19" s="1634"/>
      <c r="CIT19" s="1634"/>
      <c r="CIU19" s="1634"/>
      <c r="CIV19" s="1634"/>
      <c r="CIW19" s="1634"/>
      <c r="CIX19" s="1634"/>
      <c r="CIY19" s="1634"/>
      <c r="CIZ19" s="1634"/>
      <c r="CJA19" s="1634"/>
      <c r="CJB19" s="1634"/>
      <c r="CJC19" s="1634"/>
      <c r="CJD19" s="1634"/>
      <c r="CJE19" s="1634"/>
      <c r="CJF19" s="1634"/>
      <c r="CJG19" s="1634"/>
      <c r="CJH19" s="1634"/>
      <c r="CJI19" s="1634"/>
      <c r="CJJ19" s="1634"/>
      <c r="CJK19" s="1634"/>
      <c r="CJL19" s="1634"/>
      <c r="CJM19" s="1634"/>
      <c r="CJN19" s="1634"/>
      <c r="CJO19" s="1634"/>
      <c r="CJP19" s="1634"/>
      <c r="CJQ19" s="1634"/>
      <c r="CJR19" s="1634"/>
      <c r="CJS19" s="1634"/>
      <c r="CJT19" s="1634"/>
      <c r="CJU19" s="1634"/>
      <c r="CJV19" s="1634"/>
      <c r="CJW19" s="1634"/>
      <c r="CJX19" s="1634"/>
      <c r="CJY19" s="1634"/>
      <c r="CJZ19" s="1634"/>
      <c r="CKA19" s="1634"/>
      <c r="CKB19" s="1634"/>
      <c r="CKC19" s="1634"/>
      <c r="CKD19" s="1634"/>
      <c r="CKE19" s="1634"/>
      <c r="CKF19" s="1634"/>
      <c r="CKG19" s="1634"/>
      <c r="CKH19" s="1634"/>
      <c r="CKI19" s="1634"/>
      <c r="CKJ19" s="1634"/>
      <c r="CKK19" s="1634"/>
      <c r="CKL19" s="1634"/>
      <c r="CKM19" s="1634"/>
      <c r="CKN19" s="1634"/>
      <c r="CKO19" s="1634"/>
      <c r="CKP19" s="1634"/>
      <c r="CKQ19" s="1634"/>
      <c r="CKR19" s="1634"/>
      <c r="CKS19" s="1634"/>
      <c r="CKT19" s="1634"/>
      <c r="CKU19" s="1634"/>
      <c r="CKV19" s="1634"/>
      <c r="CKW19" s="1634"/>
      <c r="CKX19" s="1634"/>
      <c r="CKY19" s="1634"/>
      <c r="CKZ19" s="1634"/>
      <c r="CLA19" s="1634"/>
      <c r="CLB19" s="1634"/>
      <c r="CLC19" s="1634"/>
      <c r="CLD19" s="1634"/>
      <c r="CLE19" s="1634"/>
      <c r="CLF19" s="1634"/>
      <c r="CLG19" s="1634"/>
      <c r="CLH19" s="1634"/>
      <c r="CLI19" s="1634"/>
      <c r="CLJ19" s="1634"/>
      <c r="CLK19" s="1634"/>
      <c r="CLL19" s="1634"/>
      <c r="CLM19" s="1634"/>
      <c r="CLN19" s="1634"/>
      <c r="CLO19" s="1634"/>
      <c r="CLP19" s="1634"/>
      <c r="CLQ19" s="1634"/>
      <c r="CLR19" s="1634"/>
      <c r="CLS19" s="1634"/>
      <c r="CLT19" s="1634"/>
      <c r="CLU19" s="1634"/>
      <c r="CLV19" s="1634"/>
      <c r="CLW19" s="1634"/>
      <c r="CLX19" s="1634"/>
      <c r="CLY19" s="1634"/>
      <c r="CLZ19" s="1634"/>
      <c r="CMA19" s="1634"/>
      <c r="CMB19" s="1634"/>
      <c r="CMC19" s="1634"/>
      <c r="CMD19" s="1634"/>
      <c r="CME19" s="1634"/>
      <c r="CMF19" s="1634"/>
      <c r="CMG19" s="1634"/>
      <c r="CMH19" s="1634"/>
      <c r="CMI19" s="1634"/>
      <c r="CMJ19" s="1634"/>
      <c r="CMK19" s="1634"/>
      <c r="CML19" s="1634"/>
      <c r="CMM19" s="1634"/>
      <c r="CMN19" s="1634"/>
      <c r="CMO19" s="1634"/>
      <c r="CMP19" s="1634"/>
      <c r="CMQ19" s="1634"/>
      <c r="CMR19" s="1634"/>
      <c r="CMS19" s="1634"/>
      <c r="CMT19" s="1634"/>
      <c r="CMU19" s="1634"/>
      <c r="CMV19" s="1634"/>
      <c r="CMW19" s="1634"/>
      <c r="CMX19" s="1634"/>
      <c r="CMY19" s="1634"/>
      <c r="CMZ19" s="1634"/>
      <c r="CNA19" s="1634"/>
      <c r="CNB19" s="1634"/>
      <c r="CNC19" s="1634"/>
      <c r="CND19" s="1634"/>
      <c r="CNE19" s="1634"/>
      <c r="CNF19" s="1634"/>
      <c r="CNG19" s="1634"/>
      <c r="CNH19" s="1634"/>
      <c r="CNI19" s="1634"/>
      <c r="CNJ19" s="1634"/>
      <c r="CNK19" s="1634"/>
      <c r="CNL19" s="1634"/>
      <c r="CNM19" s="1634"/>
      <c r="CNN19" s="1634"/>
      <c r="CNO19" s="1634"/>
      <c r="CNP19" s="1634"/>
      <c r="CNQ19" s="1634"/>
      <c r="CNR19" s="1634"/>
      <c r="CNS19" s="1634"/>
      <c r="CNT19" s="1634"/>
      <c r="CNU19" s="1634"/>
      <c r="CNV19" s="1634"/>
      <c r="CNW19" s="1634"/>
      <c r="CNX19" s="1634"/>
      <c r="CNY19" s="1634"/>
      <c r="CNZ19" s="1634"/>
      <c r="COA19" s="1634"/>
      <c r="COB19" s="1634"/>
      <c r="COC19" s="1634"/>
      <c r="COD19" s="1634"/>
      <c r="COE19" s="1634"/>
      <c r="COF19" s="1634"/>
      <c r="COG19" s="1634"/>
      <c r="COH19" s="1634"/>
      <c r="COI19" s="1634"/>
      <c r="COJ19" s="1634"/>
      <c r="COK19" s="1634"/>
      <c r="COL19" s="1634"/>
      <c r="COM19" s="1634"/>
      <c r="CON19" s="1634"/>
      <c r="COO19" s="1634"/>
      <c r="COP19" s="1634"/>
      <c r="COQ19" s="1634"/>
      <c r="COR19" s="1634"/>
      <c r="COS19" s="1634"/>
      <c r="COT19" s="1634"/>
      <c r="COU19" s="1634"/>
      <c r="COV19" s="1634"/>
      <c r="COW19" s="1634"/>
      <c r="COX19" s="1634"/>
      <c r="COY19" s="1634"/>
      <c r="COZ19" s="1634"/>
      <c r="CPA19" s="1634"/>
      <c r="CPB19" s="1634"/>
      <c r="CPC19" s="1634"/>
      <c r="CPD19" s="1634"/>
      <c r="CPE19" s="1634"/>
      <c r="CPF19" s="1634"/>
      <c r="CPG19" s="1634"/>
      <c r="CPH19" s="1634"/>
      <c r="CPI19" s="1634"/>
      <c r="CPJ19" s="1634"/>
      <c r="CPK19" s="1634"/>
      <c r="CPL19" s="1634"/>
      <c r="CPM19" s="1634"/>
      <c r="CPN19" s="1634"/>
      <c r="CPO19" s="1634"/>
      <c r="CPP19" s="1634"/>
      <c r="CPQ19" s="1634"/>
      <c r="CPR19" s="1634"/>
      <c r="CPS19" s="1634"/>
      <c r="CPT19" s="1634"/>
      <c r="CPU19" s="1634"/>
      <c r="CPV19" s="1634"/>
      <c r="CPW19" s="1634"/>
      <c r="CPX19" s="1634"/>
      <c r="CPY19" s="1634"/>
      <c r="CPZ19" s="1634"/>
      <c r="CQA19" s="1634"/>
      <c r="CQB19" s="1634"/>
      <c r="CQC19" s="1634"/>
      <c r="CQD19" s="1634"/>
      <c r="CQE19" s="1634"/>
      <c r="CQF19" s="1634"/>
      <c r="CQG19" s="1634"/>
      <c r="CQH19" s="1634"/>
      <c r="CQI19" s="1634"/>
      <c r="CQJ19" s="1634"/>
      <c r="CQK19" s="1634"/>
      <c r="CQL19" s="1634"/>
      <c r="CQM19" s="1634"/>
      <c r="CQN19" s="1634"/>
      <c r="CQO19" s="1634"/>
      <c r="CQP19" s="1634"/>
      <c r="CQQ19" s="1634"/>
      <c r="CQR19" s="1634"/>
      <c r="CQS19" s="1634"/>
      <c r="CQT19" s="1634"/>
      <c r="CQU19" s="1634"/>
      <c r="CQV19" s="1634"/>
      <c r="CQW19" s="1634"/>
      <c r="CQX19" s="1634"/>
      <c r="CQY19" s="1634"/>
      <c r="CQZ19" s="1634"/>
      <c r="CRA19" s="1634"/>
      <c r="CRB19" s="1634"/>
      <c r="CRC19" s="1634"/>
      <c r="CRD19" s="1634"/>
      <c r="CRE19" s="1634"/>
      <c r="CRF19" s="1634"/>
      <c r="CRG19" s="1634"/>
      <c r="CRH19" s="1634"/>
      <c r="CRI19" s="1634"/>
      <c r="CRJ19" s="1634"/>
      <c r="CRK19" s="1634"/>
      <c r="CRL19" s="1634"/>
      <c r="CRM19" s="1634"/>
      <c r="CRN19" s="1634"/>
      <c r="CRO19" s="1634"/>
      <c r="CRP19" s="1634"/>
      <c r="CRQ19" s="1634"/>
      <c r="CRR19" s="1634"/>
      <c r="CRS19" s="1634"/>
      <c r="CRT19" s="1634"/>
      <c r="CRU19" s="1634"/>
      <c r="CRV19" s="1634"/>
      <c r="CRW19" s="1634"/>
      <c r="CRX19" s="1634"/>
      <c r="CRY19" s="1634"/>
      <c r="CRZ19" s="1634"/>
      <c r="CSA19" s="1634"/>
      <c r="CSB19" s="1634"/>
      <c r="CSC19" s="1634"/>
      <c r="CSD19" s="1634"/>
      <c r="CSE19" s="1634"/>
      <c r="CSF19" s="1634"/>
      <c r="CSG19" s="1634"/>
      <c r="CSH19" s="1634"/>
      <c r="CSI19" s="1634"/>
      <c r="CSJ19" s="1634"/>
      <c r="CSK19" s="1634"/>
      <c r="CSL19" s="1634"/>
      <c r="CSM19" s="1634"/>
      <c r="CSN19" s="1634"/>
      <c r="CSO19" s="1634"/>
      <c r="CSP19" s="1634"/>
      <c r="CSQ19" s="1634"/>
      <c r="CSR19" s="1634"/>
      <c r="CSS19" s="1634"/>
      <c r="CST19" s="1634"/>
      <c r="CSU19" s="1634"/>
      <c r="CSV19" s="1634"/>
      <c r="CSW19" s="1634"/>
      <c r="CSX19" s="1634"/>
      <c r="CSY19" s="1634"/>
      <c r="CSZ19" s="1634"/>
      <c r="CTA19" s="1634"/>
      <c r="CTB19" s="1634"/>
      <c r="CTC19" s="1634"/>
      <c r="CTD19" s="1634"/>
      <c r="CTE19" s="1634"/>
      <c r="CTF19" s="1634"/>
      <c r="CTG19" s="1634"/>
      <c r="CTH19" s="1634"/>
      <c r="CTI19" s="1634"/>
      <c r="CTJ19" s="1634"/>
      <c r="CTK19" s="1634"/>
      <c r="CTL19" s="1634"/>
      <c r="CTM19" s="1634"/>
      <c r="CTN19" s="1634"/>
      <c r="CTO19" s="1634"/>
      <c r="CTP19" s="1634"/>
      <c r="CTQ19" s="1634"/>
      <c r="CTR19" s="1634"/>
      <c r="CTS19" s="1634"/>
      <c r="CTT19" s="1634"/>
      <c r="CTU19" s="1634"/>
      <c r="CTV19" s="1634"/>
      <c r="CTW19" s="1634"/>
      <c r="CTX19" s="1634"/>
      <c r="CTY19" s="1634"/>
      <c r="CTZ19" s="1634"/>
      <c r="CUA19" s="1634"/>
      <c r="CUB19" s="1634"/>
      <c r="CUC19" s="1634"/>
      <c r="CUD19" s="1634"/>
      <c r="CUE19" s="1634"/>
      <c r="CUF19" s="1634"/>
      <c r="CUG19" s="1634"/>
      <c r="CUH19" s="1634"/>
      <c r="CUI19" s="1634"/>
      <c r="CUJ19" s="1634"/>
      <c r="CUK19" s="1634"/>
      <c r="CUL19" s="1634"/>
      <c r="CUM19" s="1634"/>
      <c r="CUN19" s="1634"/>
      <c r="CUO19" s="1634"/>
      <c r="CUP19" s="1634"/>
      <c r="CUQ19" s="1634"/>
      <c r="CUR19" s="1634"/>
      <c r="CUS19" s="1634"/>
      <c r="CUT19" s="1634"/>
      <c r="CUU19" s="1634"/>
      <c r="CUV19" s="1634"/>
      <c r="CUW19" s="1634"/>
      <c r="CUX19" s="1634"/>
      <c r="CUY19" s="1634"/>
      <c r="CUZ19" s="1634"/>
      <c r="CVA19" s="1634"/>
      <c r="CVB19" s="1634"/>
      <c r="CVC19" s="1634"/>
      <c r="CVD19" s="1634"/>
      <c r="CVE19" s="1634"/>
      <c r="CVF19" s="1634"/>
      <c r="CVG19" s="1634"/>
      <c r="CVH19" s="1634"/>
      <c r="CVI19" s="1634"/>
      <c r="CVJ19" s="1634"/>
      <c r="CVK19" s="1634"/>
      <c r="CVL19" s="1634"/>
      <c r="CVM19" s="1634"/>
      <c r="CVN19" s="1634"/>
      <c r="CVO19" s="1634"/>
      <c r="CVP19" s="1634"/>
      <c r="CVQ19" s="1634"/>
      <c r="CVR19" s="1634"/>
      <c r="CVS19" s="1634"/>
      <c r="CVT19" s="1634"/>
      <c r="CVU19" s="1634"/>
      <c r="CVV19" s="1634"/>
      <c r="CVW19" s="1634"/>
      <c r="CVX19" s="1634"/>
      <c r="CVY19" s="1634"/>
      <c r="CVZ19" s="1634"/>
      <c r="CWA19" s="1634"/>
      <c r="CWB19" s="1634"/>
      <c r="CWC19" s="1634"/>
      <c r="CWD19" s="1634"/>
      <c r="CWE19" s="1634"/>
      <c r="CWF19" s="1634"/>
      <c r="CWG19" s="1634"/>
      <c r="CWH19" s="1634"/>
      <c r="CWI19" s="1634"/>
      <c r="CWJ19" s="1634"/>
      <c r="CWK19" s="1634"/>
      <c r="CWL19" s="1634"/>
      <c r="CWM19" s="1634"/>
      <c r="CWN19" s="1634"/>
      <c r="CWO19" s="1634"/>
      <c r="CWP19" s="1634"/>
      <c r="CWQ19" s="1634"/>
      <c r="CWR19" s="1634"/>
      <c r="CWS19" s="1634"/>
      <c r="CWT19" s="1634"/>
      <c r="CWU19" s="1634"/>
      <c r="CWV19" s="1634"/>
      <c r="CWW19" s="1634"/>
      <c r="CWX19" s="1634"/>
      <c r="CWY19" s="1634"/>
      <c r="CWZ19" s="1634"/>
      <c r="CXA19" s="1634"/>
      <c r="CXB19" s="1634"/>
      <c r="CXC19" s="1634"/>
      <c r="CXD19" s="1634"/>
      <c r="CXE19" s="1634"/>
      <c r="CXF19" s="1634"/>
      <c r="CXG19" s="1634"/>
      <c r="CXH19" s="1634"/>
      <c r="CXI19" s="1634"/>
      <c r="CXJ19" s="1634"/>
      <c r="CXK19" s="1634"/>
      <c r="CXL19" s="1634"/>
      <c r="CXM19" s="1634"/>
      <c r="CXN19" s="1634"/>
      <c r="CXO19" s="1634"/>
      <c r="CXP19" s="1634"/>
      <c r="CXQ19" s="1634"/>
      <c r="CXR19" s="1634"/>
      <c r="CXS19" s="1634"/>
      <c r="CXT19" s="1634"/>
      <c r="CXU19" s="1634"/>
      <c r="CXV19" s="1634"/>
      <c r="CXW19" s="1634"/>
      <c r="CXX19" s="1634"/>
      <c r="CXY19" s="1634"/>
      <c r="CXZ19" s="1634"/>
      <c r="CYA19" s="1634"/>
      <c r="CYB19" s="1634"/>
      <c r="CYC19" s="1634"/>
      <c r="CYD19" s="1634"/>
      <c r="CYE19" s="1634"/>
      <c r="CYF19" s="1634"/>
      <c r="CYG19" s="1634"/>
      <c r="CYH19" s="1634"/>
      <c r="CYI19" s="1634"/>
      <c r="CYJ19" s="1634"/>
      <c r="CYK19" s="1634"/>
      <c r="CYL19" s="1634"/>
      <c r="CYM19" s="1634"/>
      <c r="CYN19" s="1634"/>
      <c r="CYO19" s="1634"/>
      <c r="CYP19" s="1634"/>
      <c r="CYQ19" s="1634"/>
      <c r="CYR19" s="1634"/>
      <c r="CYS19" s="1634"/>
      <c r="CYT19" s="1634"/>
      <c r="CYU19" s="1634"/>
      <c r="CYV19" s="1634"/>
      <c r="CYW19" s="1634"/>
      <c r="CYX19" s="1634"/>
      <c r="CYY19" s="1634"/>
      <c r="CYZ19" s="1634"/>
      <c r="CZA19" s="1634"/>
      <c r="CZB19" s="1634"/>
      <c r="CZC19" s="1634"/>
      <c r="CZD19" s="1634"/>
      <c r="CZE19" s="1634"/>
      <c r="CZF19" s="1634"/>
      <c r="CZG19" s="1634"/>
      <c r="CZH19" s="1634"/>
      <c r="CZI19" s="1634"/>
      <c r="CZJ19" s="1634"/>
      <c r="CZK19" s="1634"/>
      <c r="CZL19" s="1634"/>
      <c r="CZM19" s="1634"/>
      <c r="CZN19" s="1634"/>
      <c r="CZO19" s="1634"/>
      <c r="CZP19" s="1634"/>
      <c r="CZQ19" s="1634"/>
      <c r="CZR19" s="1634"/>
      <c r="CZS19" s="1634"/>
      <c r="CZT19" s="1634"/>
      <c r="CZU19" s="1634"/>
      <c r="CZV19" s="1634"/>
      <c r="CZW19" s="1634"/>
      <c r="CZX19" s="1634"/>
      <c r="CZY19" s="1634"/>
      <c r="CZZ19" s="1634"/>
      <c r="DAA19" s="1634"/>
      <c r="DAB19" s="1634"/>
      <c r="DAC19" s="1634"/>
      <c r="DAD19" s="1634"/>
      <c r="DAE19" s="1634"/>
      <c r="DAF19" s="1634"/>
      <c r="DAG19" s="1634"/>
      <c r="DAH19" s="1634"/>
      <c r="DAI19" s="1634"/>
      <c r="DAJ19" s="1634"/>
      <c r="DAK19" s="1634"/>
      <c r="DAL19" s="1634"/>
      <c r="DAM19" s="1634"/>
      <c r="DAN19" s="1634"/>
      <c r="DAO19" s="1634"/>
      <c r="DAP19" s="1634"/>
      <c r="DAQ19" s="1634"/>
      <c r="DAR19" s="1634"/>
      <c r="DAS19" s="1634"/>
      <c r="DAT19" s="1634"/>
      <c r="DAU19" s="1634"/>
      <c r="DAV19" s="1634"/>
      <c r="DAW19" s="1634"/>
      <c r="DAX19" s="1634"/>
      <c r="DAY19" s="1634"/>
      <c r="DAZ19" s="1634"/>
      <c r="DBA19" s="1634"/>
      <c r="DBB19" s="1634"/>
      <c r="DBC19" s="1634"/>
      <c r="DBD19" s="1634"/>
      <c r="DBE19" s="1634"/>
      <c r="DBF19" s="1634"/>
      <c r="DBG19" s="1634"/>
      <c r="DBH19" s="1634"/>
      <c r="DBI19" s="1634"/>
      <c r="DBJ19" s="1634"/>
      <c r="DBK19" s="1634"/>
      <c r="DBL19" s="1634"/>
      <c r="DBM19" s="1634"/>
      <c r="DBN19" s="1634"/>
      <c r="DBO19" s="1634"/>
      <c r="DBP19" s="1634"/>
      <c r="DBQ19" s="1634"/>
      <c r="DBR19" s="1634"/>
      <c r="DBS19" s="1634"/>
      <c r="DBT19" s="1634"/>
      <c r="DBU19" s="1634"/>
      <c r="DBV19" s="1634"/>
      <c r="DBW19" s="1634"/>
      <c r="DBX19" s="1634"/>
      <c r="DBY19" s="1634"/>
      <c r="DBZ19" s="1634"/>
      <c r="DCA19" s="1634"/>
      <c r="DCB19" s="1634"/>
      <c r="DCC19" s="1634"/>
      <c r="DCD19" s="1634"/>
      <c r="DCE19" s="1634"/>
      <c r="DCF19" s="1634"/>
      <c r="DCG19" s="1634"/>
      <c r="DCH19" s="1634"/>
      <c r="DCI19" s="1634"/>
      <c r="DCJ19" s="1634"/>
      <c r="DCK19" s="1634"/>
      <c r="DCL19" s="1634"/>
      <c r="DCM19" s="1634"/>
      <c r="DCN19" s="1634"/>
      <c r="DCO19" s="1634"/>
      <c r="DCP19" s="1634"/>
      <c r="DCQ19" s="1634"/>
      <c r="DCR19" s="1634"/>
      <c r="DCS19" s="1634"/>
      <c r="DCT19" s="1634"/>
      <c r="DCU19" s="1634"/>
      <c r="DCV19" s="1634"/>
      <c r="DCW19" s="1634"/>
      <c r="DCX19" s="1634"/>
      <c r="DCY19" s="1634"/>
      <c r="DCZ19" s="1634"/>
      <c r="DDA19" s="1634"/>
      <c r="DDB19" s="1634"/>
      <c r="DDC19" s="1634"/>
      <c r="DDD19" s="1634"/>
      <c r="DDE19" s="1634"/>
      <c r="DDF19" s="1634"/>
      <c r="DDG19" s="1634"/>
      <c r="DDH19" s="1634"/>
      <c r="DDI19" s="1634"/>
      <c r="DDJ19" s="1634"/>
      <c r="DDK19" s="1634"/>
      <c r="DDL19" s="1634"/>
      <c r="DDM19" s="1634"/>
      <c r="DDN19" s="1634"/>
      <c r="DDO19" s="1634"/>
      <c r="DDP19" s="1634"/>
      <c r="DDQ19" s="1634"/>
      <c r="DDR19" s="1634"/>
      <c r="DDS19" s="1634"/>
      <c r="DDT19" s="1634"/>
      <c r="DDU19" s="1634"/>
      <c r="DDV19" s="1634"/>
      <c r="DDW19" s="1634"/>
      <c r="DDX19" s="1634"/>
      <c r="DDY19" s="1634"/>
      <c r="DDZ19" s="1634"/>
      <c r="DEA19" s="1634"/>
      <c r="DEB19" s="1634"/>
      <c r="DEC19" s="1634"/>
      <c r="DED19" s="1634"/>
      <c r="DEE19" s="1634"/>
      <c r="DEF19" s="1634"/>
      <c r="DEG19" s="1634"/>
      <c r="DEH19" s="1634"/>
      <c r="DEI19" s="1634"/>
      <c r="DEJ19" s="1634"/>
      <c r="DEK19" s="1634"/>
      <c r="DEL19" s="1634"/>
      <c r="DEM19" s="1634"/>
      <c r="DEN19" s="1634"/>
      <c r="DEO19" s="1634"/>
      <c r="DEP19" s="1634"/>
      <c r="DEQ19" s="1634"/>
      <c r="DER19" s="1634"/>
      <c r="DES19" s="1634"/>
      <c r="DET19" s="1634"/>
      <c r="DEU19" s="1634"/>
      <c r="DEV19" s="1634"/>
      <c r="DEW19" s="1634"/>
      <c r="DEX19" s="1634"/>
      <c r="DEY19" s="1634"/>
      <c r="DEZ19" s="1634"/>
      <c r="DFA19" s="1634"/>
      <c r="DFB19" s="1634"/>
      <c r="DFC19" s="1634"/>
      <c r="DFD19" s="1634"/>
      <c r="DFE19" s="1634"/>
      <c r="DFF19" s="1634"/>
      <c r="DFG19" s="1634"/>
      <c r="DFH19" s="1634"/>
      <c r="DFI19" s="1634"/>
      <c r="DFJ19" s="1634"/>
      <c r="DFK19" s="1634"/>
      <c r="DFL19" s="1634"/>
      <c r="DFM19" s="1634"/>
      <c r="DFN19" s="1634"/>
      <c r="DFO19" s="1634"/>
      <c r="DFP19" s="1634"/>
      <c r="DFQ19" s="1634"/>
      <c r="DFR19" s="1634"/>
      <c r="DFS19" s="1634"/>
      <c r="DFT19" s="1634"/>
      <c r="DFU19" s="1634"/>
      <c r="DFV19" s="1634"/>
      <c r="DFW19" s="1634"/>
      <c r="DFX19" s="1634"/>
      <c r="DFY19" s="1634"/>
      <c r="DFZ19" s="1634"/>
      <c r="DGA19" s="1634"/>
      <c r="DGB19" s="1634"/>
      <c r="DGC19" s="1634"/>
      <c r="DGD19" s="1634"/>
      <c r="DGE19" s="1634"/>
      <c r="DGF19" s="1634"/>
      <c r="DGG19" s="1634"/>
      <c r="DGH19" s="1634"/>
      <c r="DGI19" s="1634"/>
      <c r="DGJ19" s="1634"/>
      <c r="DGK19" s="1634"/>
      <c r="DGL19" s="1634"/>
      <c r="DGM19" s="1634"/>
      <c r="DGN19" s="1634"/>
      <c r="DGO19" s="1634"/>
      <c r="DGP19" s="1634"/>
      <c r="DGQ19" s="1634"/>
      <c r="DGR19" s="1634"/>
      <c r="DGS19" s="1634"/>
      <c r="DGT19" s="1634"/>
      <c r="DGU19" s="1634"/>
      <c r="DGV19" s="1634"/>
      <c r="DGW19" s="1634"/>
      <c r="DGX19" s="1634"/>
      <c r="DGY19" s="1634"/>
      <c r="DGZ19" s="1634"/>
      <c r="DHA19" s="1634"/>
      <c r="DHB19" s="1634"/>
      <c r="DHC19" s="1634"/>
      <c r="DHD19" s="1634"/>
      <c r="DHE19" s="1634"/>
      <c r="DHF19" s="1634"/>
      <c r="DHG19" s="1634"/>
      <c r="DHH19" s="1634"/>
      <c r="DHI19" s="1634"/>
      <c r="DHJ19" s="1634"/>
      <c r="DHK19" s="1634"/>
      <c r="DHL19" s="1634"/>
      <c r="DHM19" s="1634"/>
      <c r="DHN19" s="1634"/>
      <c r="DHO19" s="1634"/>
      <c r="DHP19" s="1634"/>
      <c r="DHQ19" s="1634"/>
      <c r="DHR19" s="1634"/>
      <c r="DHS19" s="1634"/>
      <c r="DHT19" s="1634"/>
      <c r="DHU19" s="1634"/>
      <c r="DHV19" s="1634"/>
      <c r="DHW19" s="1634"/>
      <c r="DHX19" s="1634"/>
      <c r="DHY19" s="1634"/>
      <c r="DHZ19" s="1634"/>
      <c r="DIA19" s="1634"/>
      <c r="DIB19" s="1634"/>
      <c r="DIC19" s="1634"/>
      <c r="DID19" s="1634"/>
      <c r="DIE19" s="1634"/>
      <c r="DIF19" s="1634"/>
      <c r="DIG19" s="1634"/>
      <c r="DIH19" s="1634"/>
      <c r="DII19" s="1634"/>
      <c r="DIJ19" s="1634"/>
      <c r="DIK19" s="1634"/>
      <c r="DIL19" s="1634"/>
      <c r="DIM19" s="1634"/>
      <c r="DIN19" s="1634"/>
      <c r="DIO19" s="1634"/>
      <c r="DIP19" s="1634"/>
      <c r="DIQ19" s="1634"/>
      <c r="DIR19" s="1634"/>
      <c r="DIS19" s="1634"/>
      <c r="DIT19" s="1634"/>
      <c r="DIU19" s="1634"/>
      <c r="DIV19" s="1634"/>
      <c r="DIW19" s="1634"/>
      <c r="DIX19" s="1634"/>
      <c r="DIY19" s="1634"/>
      <c r="DIZ19" s="1634"/>
      <c r="DJA19" s="1634"/>
      <c r="DJB19" s="1634"/>
      <c r="DJC19" s="1634"/>
      <c r="DJD19" s="1634"/>
      <c r="DJE19" s="1634"/>
      <c r="DJF19" s="1634"/>
      <c r="DJG19" s="1634"/>
      <c r="DJH19" s="1634"/>
      <c r="DJI19" s="1634"/>
      <c r="DJJ19" s="1634"/>
      <c r="DJK19" s="1634"/>
      <c r="DJL19" s="1634"/>
      <c r="DJM19" s="1634"/>
      <c r="DJN19" s="1634"/>
      <c r="DJO19" s="1634"/>
      <c r="DJP19" s="1634"/>
      <c r="DJQ19" s="1634"/>
      <c r="DJR19" s="1634"/>
      <c r="DJS19" s="1634"/>
      <c r="DJT19" s="1634"/>
      <c r="DJU19" s="1634"/>
      <c r="DJV19" s="1634"/>
      <c r="DJW19" s="1634"/>
      <c r="DJX19" s="1634"/>
      <c r="DJY19" s="1634"/>
      <c r="DJZ19" s="1634"/>
      <c r="DKA19" s="1634"/>
      <c r="DKB19" s="1634"/>
      <c r="DKC19" s="1634"/>
      <c r="DKD19" s="1634"/>
      <c r="DKE19" s="1634"/>
      <c r="DKF19" s="1634"/>
      <c r="DKG19" s="1634"/>
      <c r="DKH19" s="1634"/>
      <c r="DKI19" s="1634"/>
      <c r="DKJ19" s="1634"/>
      <c r="DKK19" s="1634"/>
      <c r="DKL19" s="1634"/>
      <c r="DKM19" s="1634"/>
      <c r="DKN19" s="1634"/>
      <c r="DKO19" s="1634"/>
      <c r="DKP19" s="1634"/>
      <c r="DKQ19" s="1634"/>
      <c r="DKR19" s="1634"/>
      <c r="DKS19" s="1634"/>
      <c r="DKT19" s="1634"/>
      <c r="DKU19" s="1634"/>
      <c r="DKV19" s="1634"/>
      <c r="DKW19" s="1634"/>
      <c r="DKX19" s="1634"/>
      <c r="DKY19" s="1634"/>
      <c r="DKZ19" s="1634"/>
      <c r="DLA19" s="1634"/>
      <c r="DLB19" s="1634"/>
      <c r="DLC19" s="1634"/>
      <c r="DLD19" s="1634"/>
      <c r="DLE19" s="1634"/>
      <c r="DLF19" s="1634"/>
      <c r="DLG19" s="1634"/>
      <c r="DLH19" s="1634"/>
      <c r="DLI19" s="1634"/>
      <c r="DLJ19" s="1634"/>
      <c r="DLK19" s="1634"/>
      <c r="DLL19" s="1634"/>
      <c r="DLM19" s="1634"/>
      <c r="DLN19" s="1634"/>
      <c r="DLO19" s="1634"/>
      <c r="DLP19" s="1634"/>
      <c r="DLQ19" s="1634"/>
      <c r="DLR19" s="1634"/>
      <c r="DLS19" s="1634"/>
      <c r="DLT19" s="1634"/>
      <c r="DLU19" s="1634"/>
      <c r="DLV19" s="1634"/>
      <c r="DLW19" s="1634"/>
      <c r="DLX19" s="1634"/>
      <c r="DLY19" s="1634"/>
      <c r="DLZ19" s="1634"/>
      <c r="DMA19" s="1634"/>
      <c r="DMB19" s="1634"/>
      <c r="DMC19" s="1634"/>
      <c r="DMD19" s="1634"/>
      <c r="DME19" s="1634"/>
      <c r="DMF19" s="1634"/>
      <c r="DMG19" s="1634"/>
      <c r="DMH19" s="1634"/>
      <c r="DMI19" s="1634"/>
      <c r="DMJ19" s="1634"/>
      <c r="DMK19" s="1634"/>
      <c r="DML19" s="1634"/>
      <c r="DMM19" s="1634"/>
      <c r="DMN19" s="1634"/>
      <c r="DMO19" s="1634"/>
      <c r="DMP19" s="1634"/>
      <c r="DMQ19" s="1634"/>
      <c r="DMR19" s="1634"/>
      <c r="DMS19" s="1634"/>
      <c r="DMT19" s="1634"/>
      <c r="DMU19" s="1634"/>
      <c r="DMV19" s="1634"/>
      <c r="DMW19" s="1634"/>
      <c r="DMX19" s="1634"/>
      <c r="DMY19" s="1634"/>
      <c r="DMZ19" s="1634"/>
      <c r="DNA19" s="1634"/>
      <c r="DNB19" s="1634"/>
      <c r="DNC19" s="1634"/>
      <c r="DND19" s="1634"/>
      <c r="DNE19" s="1634"/>
      <c r="DNF19" s="1634"/>
      <c r="DNG19" s="1634"/>
      <c r="DNH19" s="1634"/>
      <c r="DNI19" s="1634"/>
      <c r="DNJ19" s="1634"/>
      <c r="DNK19" s="1634"/>
      <c r="DNL19" s="1634"/>
      <c r="DNM19" s="1634"/>
      <c r="DNN19" s="1634"/>
      <c r="DNO19" s="1634"/>
      <c r="DNP19" s="1634"/>
      <c r="DNQ19" s="1634"/>
      <c r="DNR19" s="1634"/>
      <c r="DNS19" s="1634"/>
      <c r="DNT19" s="1634"/>
      <c r="DNU19" s="1634"/>
      <c r="DNV19" s="1634"/>
      <c r="DNW19" s="1634"/>
      <c r="DNX19" s="1634"/>
      <c r="DNY19" s="1634"/>
      <c r="DNZ19" s="1634"/>
      <c r="DOA19" s="1634"/>
      <c r="DOB19" s="1634"/>
      <c r="DOC19" s="1634"/>
      <c r="DOD19" s="1634"/>
      <c r="DOE19" s="1634"/>
      <c r="DOF19" s="1634"/>
      <c r="DOG19" s="1634"/>
      <c r="DOH19" s="1634"/>
      <c r="DOI19" s="1634"/>
      <c r="DOJ19" s="1634"/>
      <c r="DOK19" s="1634"/>
      <c r="DOL19" s="1634"/>
      <c r="DOM19" s="1634"/>
      <c r="DON19" s="1634"/>
      <c r="DOO19" s="1634"/>
      <c r="DOP19" s="1634"/>
      <c r="DOQ19" s="1634"/>
      <c r="DOR19" s="1634"/>
      <c r="DOS19" s="1634"/>
      <c r="DOT19" s="1634"/>
      <c r="DOU19" s="1634"/>
      <c r="DOV19" s="1634"/>
      <c r="DOW19" s="1634"/>
      <c r="DOX19" s="1634"/>
      <c r="DOY19" s="1634"/>
      <c r="DOZ19" s="1634"/>
      <c r="DPA19" s="1634"/>
      <c r="DPB19" s="1634"/>
      <c r="DPC19" s="1634"/>
      <c r="DPD19" s="1634"/>
      <c r="DPE19" s="1634"/>
      <c r="DPF19" s="1634"/>
      <c r="DPG19" s="1634"/>
      <c r="DPH19" s="1634"/>
      <c r="DPI19" s="1634"/>
      <c r="DPJ19" s="1634"/>
      <c r="DPK19" s="1634"/>
      <c r="DPL19" s="1634"/>
      <c r="DPM19" s="1634"/>
      <c r="DPN19" s="1634"/>
      <c r="DPO19" s="1634"/>
      <c r="DPP19" s="1634"/>
      <c r="DPQ19" s="1634"/>
      <c r="DPR19" s="1634"/>
      <c r="DPS19" s="1634"/>
      <c r="DPT19" s="1634"/>
      <c r="DPU19" s="1634"/>
      <c r="DPV19" s="1634"/>
      <c r="DPW19" s="1634"/>
      <c r="DPX19" s="1634"/>
      <c r="DPY19" s="1634"/>
      <c r="DPZ19" s="1634"/>
      <c r="DQA19" s="1634"/>
      <c r="DQB19" s="1634"/>
      <c r="DQC19" s="1634"/>
      <c r="DQD19" s="1634"/>
      <c r="DQE19" s="1634"/>
      <c r="DQF19" s="1634"/>
      <c r="DQG19" s="1634"/>
      <c r="DQH19" s="1634"/>
      <c r="DQI19" s="1634"/>
      <c r="DQJ19" s="1634"/>
      <c r="DQK19" s="1634"/>
      <c r="DQL19" s="1634"/>
      <c r="DQM19" s="1634"/>
      <c r="DQN19" s="1634"/>
      <c r="DQO19" s="1634"/>
      <c r="DQP19" s="1634"/>
      <c r="DQQ19" s="1634"/>
      <c r="DQR19" s="1634"/>
      <c r="DQS19" s="1634"/>
      <c r="DQT19" s="1634"/>
      <c r="DQU19" s="1634"/>
      <c r="DQV19" s="1634"/>
      <c r="DQW19" s="1634"/>
      <c r="DQX19" s="1634"/>
      <c r="DQY19" s="1634"/>
      <c r="DQZ19" s="1634"/>
      <c r="DRA19" s="1634"/>
      <c r="DRB19" s="1634"/>
      <c r="DRC19" s="1634"/>
      <c r="DRD19" s="1634"/>
      <c r="DRE19" s="1634"/>
      <c r="DRF19" s="1634"/>
      <c r="DRG19" s="1634"/>
      <c r="DRH19" s="1634"/>
      <c r="DRI19" s="1634"/>
      <c r="DRJ19" s="1634"/>
      <c r="DRK19" s="1634"/>
      <c r="DRL19" s="1634"/>
      <c r="DRM19" s="1634"/>
      <c r="DRN19" s="1634"/>
      <c r="DRO19" s="1634"/>
      <c r="DRP19" s="1634"/>
      <c r="DRQ19" s="1634"/>
      <c r="DRR19" s="1634"/>
      <c r="DRS19" s="1634"/>
      <c r="DRT19" s="1634"/>
      <c r="DRU19" s="1634"/>
      <c r="DRV19" s="1634"/>
      <c r="DRW19" s="1634"/>
      <c r="DRX19" s="1634"/>
      <c r="DRY19" s="1634"/>
      <c r="DRZ19" s="1634"/>
      <c r="DSA19" s="1634"/>
      <c r="DSB19" s="1634"/>
      <c r="DSC19" s="1634"/>
      <c r="DSD19" s="1634"/>
      <c r="DSE19" s="1634"/>
      <c r="DSF19" s="1634"/>
      <c r="DSG19" s="1634"/>
      <c r="DSH19" s="1634"/>
      <c r="DSI19" s="1634"/>
      <c r="DSJ19" s="1634"/>
      <c r="DSK19" s="1634"/>
      <c r="DSL19" s="1634"/>
      <c r="DSM19" s="1634"/>
      <c r="DSN19" s="1634"/>
      <c r="DSO19" s="1634"/>
      <c r="DSP19" s="1634"/>
      <c r="DSQ19" s="1634"/>
      <c r="DSR19" s="1634"/>
      <c r="DSS19" s="1634"/>
      <c r="DST19" s="1634"/>
      <c r="DSU19" s="1634"/>
      <c r="DSV19" s="1634"/>
      <c r="DSW19" s="1634"/>
      <c r="DSX19" s="1634"/>
      <c r="DSY19" s="1634"/>
      <c r="DSZ19" s="1634"/>
      <c r="DTA19" s="1634"/>
      <c r="DTB19" s="1634"/>
      <c r="DTC19" s="1634"/>
      <c r="DTD19" s="1634"/>
      <c r="DTE19" s="1634"/>
      <c r="DTF19" s="1634"/>
      <c r="DTG19" s="1634"/>
      <c r="DTH19" s="1634"/>
      <c r="DTI19" s="1634"/>
      <c r="DTJ19" s="1634"/>
      <c r="DTK19" s="1634"/>
      <c r="DTL19" s="1634"/>
      <c r="DTM19" s="1634"/>
      <c r="DTN19" s="1634"/>
      <c r="DTO19" s="1634"/>
      <c r="DTP19" s="1634"/>
      <c r="DTQ19" s="1634"/>
      <c r="DTR19" s="1634"/>
      <c r="DTS19" s="1634"/>
      <c r="DTT19" s="1634"/>
      <c r="DTU19" s="1634"/>
      <c r="DTV19" s="1634"/>
      <c r="DTW19" s="1634"/>
      <c r="DTX19" s="1634"/>
      <c r="DTY19" s="1634"/>
      <c r="DTZ19" s="1634"/>
      <c r="DUA19" s="1634"/>
      <c r="DUB19" s="1634"/>
      <c r="DUC19" s="1634"/>
      <c r="DUD19" s="1634"/>
      <c r="DUE19" s="1634"/>
      <c r="DUF19" s="1634"/>
      <c r="DUG19" s="1634"/>
      <c r="DUH19" s="1634"/>
      <c r="DUI19" s="1634"/>
      <c r="DUJ19" s="1634"/>
      <c r="DUK19" s="1634"/>
      <c r="DUL19" s="1634"/>
      <c r="DUM19" s="1634"/>
      <c r="DUN19" s="1634"/>
      <c r="DUO19" s="1634"/>
      <c r="DUP19" s="1634"/>
      <c r="DUQ19" s="1634"/>
      <c r="DUR19" s="1634"/>
      <c r="DUS19" s="1634"/>
      <c r="DUT19" s="1634"/>
      <c r="DUU19" s="1634"/>
      <c r="DUV19" s="1634"/>
      <c r="DUW19" s="1634"/>
      <c r="DUX19" s="1634"/>
      <c r="DUY19" s="1634"/>
      <c r="DUZ19" s="1634"/>
      <c r="DVA19" s="1634"/>
      <c r="DVB19" s="1634"/>
      <c r="DVC19" s="1634"/>
      <c r="DVD19" s="1634"/>
      <c r="DVE19" s="1634"/>
      <c r="DVF19" s="1634"/>
      <c r="DVG19" s="1634"/>
      <c r="DVH19" s="1634"/>
      <c r="DVI19" s="1634"/>
      <c r="DVJ19" s="1634"/>
      <c r="DVK19" s="1634"/>
      <c r="DVL19" s="1634"/>
      <c r="DVM19" s="1634"/>
      <c r="DVN19" s="1634"/>
      <c r="DVO19" s="1634"/>
      <c r="DVP19" s="1634"/>
      <c r="DVQ19" s="1634"/>
      <c r="DVR19" s="1634"/>
      <c r="DVS19" s="1634"/>
      <c r="DVT19" s="1634"/>
      <c r="DVU19" s="1634"/>
      <c r="DVV19" s="1634"/>
      <c r="DVW19" s="1634"/>
      <c r="DVX19" s="1634"/>
      <c r="DVY19" s="1634"/>
      <c r="DVZ19" s="1634"/>
      <c r="DWA19" s="1634"/>
      <c r="DWB19" s="1634"/>
      <c r="DWC19" s="1634"/>
      <c r="DWD19" s="1634"/>
      <c r="DWE19" s="1634"/>
      <c r="DWF19" s="1634"/>
      <c r="DWG19" s="1634"/>
      <c r="DWH19" s="1634"/>
      <c r="DWI19" s="1634"/>
      <c r="DWJ19" s="1634"/>
      <c r="DWK19" s="1634"/>
      <c r="DWL19" s="1634"/>
      <c r="DWM19" s="1634"/>
      <c r="DWN19" s="1634"/>
      <c r="DWO19" s="1634"/>
      <c r="DWP19" s="1634"/>
      <c r="DWQ19" s="1634"/>
      <c r="DWR19" s="1634"/>
      <c r="DWS19" s="1634"/>
      <c r="DWT19" s="1634"/>
      <c r="DWU19" s="1634"/>
      <c r="DWV19" s="1634"/>
      <c r="DWW19" s="1634"/>
      <c r="DWX19" s="1634"/>
      <c r="DWY19" s="1634"/>
      <c r="DWZ19" s="1634"/>
      <c r="DXA19" s="1634"/>
      <c r="DXB19" s="1634"/>
      <c r="DXC19" s="1634"/>
      <c r="DXD19" s="1634"/>
      <c r="DXE19" s="1634"/>
      <c r="DXF19" s="1634"/>
      <c r="DXG19" s="1634"/>
      <c r="DXH19" s="1634"/>
      <c r="DXI19" s="1634"/>
      <c r="DXJ19" s="1634"/>
      <c r="DXK19" s="1634"/>
      <c r="DXL19" s="1634"/>
      <c r="DXM19" s="1634"/>
      <c r="DXN19" s="1634"/>
      <c r="DXO19" s="1634"/>
      <c r="DXP19" s="1634"/>
      <c r="DXQ19" s="1634"/>
      <c r="DXR19" s="1634"/>
      <c r="DXS19" s="1634"/>
      <c r="DXT19" s="1634"/>
      <c r="DXU19" s="1634"/>
      <c r="DXV19" s="1634"/>
      <c r="DXW19" s="1634"/>
      <c r="DXX19" s="1634"/>
      <c r="DXY19" s="1634"/>
      <c r="DXZ19" s="1634"/>
      <c r="DYA19" s="1634"/>
      <c r="DYB19" s="1634"/>
      <c r="DYC19" s="1634"/>
      <c r="DYD19" s="1634"/>
      <c r="DYE19" s="1634"/>
      <c r="DYF19" s="1634"/>
      <c r="DYG19" s="1634"/>
      <c r="DYH19" s="1634"/>
      <c r="DYI19" s="1634"/>
      <c r="DYJ19" s="1634"/>
      <c r="DYK19" s="1634"/>
      <c r="DYL19" s="1634"/>
      <c r="DYM19" s="1634"/>
      <c r="DYN19" s="1634"/>
      <c r="DYO19" s="1634"/>
      <c r="DYP19" s="1634"/>
      <c r="DYQ19" s="1634"/>
      <c r="DYR19" s="1634"/>
      <c r="DYS19" s="1634"/>
      <c r="DYT19" s="1634"/>
      <c r="DYU19" s="1634"/>
      <c r="DYV19" s="1634"/>
      <c r="DYW19" s="1634"/>
      <c r="DYX19" s="1634"/>
      <c r="DYY19" s="1634"/>
      <c r="DYZ19" s="1634"/>
      <c r="DZA19" s="1634"/>
      <c r="DZB19" s="1634"/>
      <c r="DZC19" s="1634"/>
      <c r="DZD19" s="1634"/>
      <c r="DZE19" s="1634"/>
      <c r="DZF19" s="1634"/>
      <c r="DZG19" s="1634"/>
      <c r="DZH19" s="1634"/>
      <c r="DZI19" s="1634"/>
      <c r="DZJ19" s="1634"/>
      <c r="DZK19" s="1634"/>
      <c r="DZL19" s="1634"/>
      <c r="DZM19" s="1634"/>
      <c r="DZN19" s="1634"/>
      <c r="DZO19" s="1634"/>
      <c r="DZP19" s="1634"/>
      <c r="DZQ19" s="1634"/>
      <c r="DZR19" s="1634"/>
      <c r="DZS19" s="1634"/>
      <c r="DZT19" s="1634"/>
      <c r="DZU19" s="1634"/>
      <c r="DZV19" s="1634"/>
      <c r="DZW19" s="1634"/>
      <c r="DZX19" s="1634"/>
      <c r="DZY19" s="1634"/>
      <c r="DZZ19" s="1634"/>
      <c r="EAA19" s="1634"/>
      <c r="EAB19" s="1634"/>
      <c r="EAC19" s="1634"/>
      <c r="EAD19" s="1634"/>
      <c r="EAE19" s="1634"/>
      <c r="EAF19" s="1634"/>
      <c r="EAG19" s="1634"/>
      <c r="EAH19" s="1634"/>
      <c r="EAI19" s="1634"/>
      <c r="EAJ19" s="1634"/>
      <c r="EAK19" s="1634"/>
      <c r="EAL19" s="1634"/>
      <c r="EAM19" s="1634"/>
      <c r="EAN19" s="1634"/>
      <c r="EAO19" s="1634"/>
      <c r="EAP19" s="1634"/>
      <c r="EAQ19" s="1634"/>
      <c r="EAR19" s="1634"/>
      <c r="EAS19" s="1634"/>
      <c r="EAT19" s="1634"/>
      <c r="EAU19" s="1634"/>
      <c r="EAV19" s="1634"/>
      <c r="EAW19" s="1634"/>
      <c r="EAX19" s="1634"/>
      <c r="EAY19" s="1634"/>
      <c r="EAZ19" s="1634"/>
      <c r="EBA19" s="1634"/>
      <c r="EBB19" s="1634"/>
      <c r="EBC19" s="1634"/>
      <c r="EBD19" s="1634"/>
      <c r="EBE19" s="1634"/>
      <c r="EBF19" s="1634"/>
      <c r="EBG19" s="1634"/>
      <c r="EBH19" s="1634"/>
      <c r="EBI19" s="1634"/>
      <c r="EBJ19" s="1634"/>
      <c r="EBK19" s="1634"/>
      <c r="EBL19" s="1634"/>
      <c r="EBM19" s="1634"/>
      <c r="EBN19" s="1634"/>
      <c r="EBO19" s="1634"/>
      <c r="EBP19" s="1634"/>
      <c r="EBQ19" s="1634"/>
      <c r="EBR19" s="1634"/>
      <c r="EBS19" s="1634"/>
      <c r="EBT19" s="1634"/>
      <c r="EBU19" s="1634"/>
      <c r="EBV19" s="1634"/>
      <c r="EBW19" s="1634"/>
      <c r="EBX19" s="1634"/>
      <c r="EBY19" s="1634"/>
      <c r="EBZ19" s="1634"/>
      <c r="ECA19" s="1634"/>
      <c r="ECB19" s="1634"/>
      <c r="ECC19" s="1634"/>
      <c r="ECD19" s="1634"/>
      <c r="ECE19" s="1634"/>
      <c r="ECF19" s="1634"/>
      <c r="ECG19" s="1634"/>
      <c r="ECH19" s="1634"/>
      <c r="ECI19" s="1634"/>
      <c r="ECJ19" s="1634"/>
      <c r="ECK19" s="1634"/>
      <c r="ECL19" s="1634"/>
      <c r="ECM19" s="1634"/>
      <c r="ECN19" s="1634"/>
      <c r="ECO19" s="1634"/>
      <c r="ECP19" s="1634"/>
      <c r="ECQ19" s="1634"/>
      <c r="ECR19" s="1634"/>
      <c r="ECS19" s="1634"/>
      <c r="ECT19" s="1634"/>
      <c r="ECU19" s="1634"/>
      <c r="ECV19" s="1634"/>
      <c r="ECW19" s="1634"/>
      <c r="ECX19" s="1634"/>
      <c r="ECY19" s="1634"/>
      <c r="ECZ19" s="1634"/>
      <c r="EDA19" s="1634"/>
      <c r="EDB19" s="1634"/>
      <c r="EDC19" s="1634"/>
      <c r="EDD19" s="1634"/>
      <c r="EDE19" s="1634"/>
      <c r="EDF19" s="1634"/>
      <c r="EDG19" s="1634"/>
      <c r="EDH19" s="1634"/>
      <c r="EDI19" s="1634"/>
      <c r="EDJ19" s="1634"/>
      <c r="EDK19" s="1634"/>
      <c r="EDL19" s="1634"/>
      <c r="EDM19" s="1634"/>
      <c r="EDN19" s="1634"/>
      <c r="EDO19" s="1634"/>
      <c r="EDP19" s="1634"/>
      <c r="EDQ19" s="1634"/>
      <c r="EDR19" s="1634"/>
      <c r="EDS19" s="1634"/>
      <c r="EDT19" s="1634"/>
      <c r="EDU19" s="1634"/>
      <c r="EDV19" s="1634"/>
      <c r="EDW19" s="1634"/>
      <c r="EDX19" s="1634"/>
      <c r="EDY19" s="1634"/>
      <c r="EDZ19" s="1634"/>
      <c r="EEA19" s="1634"/>
      <c r="EEB19" s="1634"/>
      <c r="EEC19" s="1634"/>
      <c r="EED19" s="1634"/>
      <c r="EEE19" s="1634"/>
      <c r="EEF19" s="1634"/>
      <c r="EEG19" s="1634"/>
      <c r="EEH19" s="1634"/>
      <c r="EEI19" s="1634"/>
      <c r="EEJ19" s="1634"/>
      <c r="EEK19" s="1634"/>
      <c r="EEL19" s="1634"/>
      <c r="EEM19" s="1634"/>
      <c r="EEN19" s="1634"/>
      <c r="EEO19" s="1634"/>
      <c r="EEP19" s="1634"/>
      <c r="EEQ19" s="1634"/>
      <c r="EER19" s="1634"/>
      <c r="EES19" s="1634"/>
      <c r="EET19" s="1634"/>
      <c r="EEU19" s="1634"/>
      <c r="EEV19" s="1634"/>
      <c r="EEW19" s="1634"/>
      <c r="EEX19" s="1634"/>
      <c r="EEY19" s="1634"/>
      <c r="EEZ19" s="1634"/>
      <c r="EFA19" s="1634"/>
      <c r="EFB19" s="1634"/>
      <c r="EFC19" s="1634"/>
      <c r="EFD19" s="1634"/>
      <c r="EFE19" s="1634"/>
      <c r="EFF19" s="1634"/>
      <c r="EFG19" s="1634"/>
      <c r="EFH19" s="1634"/>
      <c r="EFI19" s="1634"/>
      <c r="EFJ19" s="1634"/>
      <c r="EFK19" s="1634"/>
      <c r="EFL19" s="1634"/>
      <c r="EFM19" s="1634"/>
      <c r="EFN19" s="1634"/>
      <c r="EFO19" s="1634"/>
      <c r="EFP19" s="1634"/>
      <c r="EFQ19" s="1634"/>
      <c r="EFR19" s="1634"/>
      <c r="EFS19" s="1634"/>
      <c r="EFT19" s="1634"/>
      <c r="EFU19" s="1634"/>
      <c r="EFV19" s="1634"/>
      <c r="EFW19" s="1634"/>
      <c r="EFX19" s="1634"/>
      <c r="EFY19" s="1634"/>
      <c r="EFZ19" s="1634"/>
      <c r="EGA19" s="1634"/>
      <c r="EGB19" s="1634"/>
      <c r="EGC19" s="1634"/>
      <c r="EGD19" s="1634"/>
      <c r="EGE19" s="1634"/>
      <c r="EGF19" s="1634"/>
      <c r="EGG19" s="1634"/>
      <c r="EGH19" s="1634"/>
      <c r="EGI19" s="1634"/>
      <c r="EGJ19" s="1634"/>
      <c r="EGK19" s="1634"/>
      <c r="EGL19" s="1634"/>
      <c r="EGM19" s="1634"/>
      <c r="EGN19" s="1634"/>
      <c r="EGO19" s="1634"/>
      <c r="EGP19" s="1634"/>
      <c r="EGQ19" s="1634"/>
      <c r="EGR19" s="1634"/>
      <c r="EGS19" s="1634"/>
      <c r="EGT19" s="1634"/>
      <c r="EGU19" s="1634"/>
      <c r="EGV19" s="1634"/>
      <c r="EGW19" s="1634"/>
      <c r="EGX19" s="1634"/>
      <c r="EGY19" s="1634"/>
      <c r="EGZ19" s="1634"/>
      <c r="EHA19" s="1634"/>
      <c r="EHB19" s="1634"/>
      <c r="EHC19" s="1634"/>
      <c r="EHD19" s="1634"/>
      <c r="EHE19" s="1634"/>
      <c r="EHF19" s="1634"/>
      <c r="EHG19" s="1634"/>
      <c r="EHH19" s="1634"/>
      <c r="EHI19" s="1634"/>
      <c r="EHJ19" s="1634"/>
      <c r="EHK19" s="1634"/>
      <c r="EHL19" s="1634"/>
      <c r="EHM19" s="1634"/>
      <c r="EHN19" s="1634"/>
      <c r="EHO19" s="1634"/>
      <c r="EHP19" s="1634"/>
      <c r="EHQ19" s="1634"/>
      <c r="EHR19" s="1634"/>
      <c r="EHS19" s="1634"/>
      <c r="EHT19" s="1634"/>
      <c r="EHU19" s="1634"/>
      <c r="EHV19" s="1634"/>
      <c r="EHW19" s="1634"/>
      <c r="EHX19" s="1634"/>
      <c r="EHY19" s="1634"/>
      <c r="EHZ19" s="1634"/>
      <c r="EIA19" s="1634"/>
      <c r="EIB19" s="1634"/>
      <c r="EIC19" s="1634"/>
      <c r="EID19" s="1634"/>
      <c r="EIE19" s="1634"/>
      <c r="EIF19" s="1634"/>
      <c r="EIG19" s="1634"/>
      <c r="EIH19" s="1634"/>
      <c r="EII19" s="1634"/>
      <c r="EIJ19" s="1634"/>
      <c r="EIK19" s="1634"/>
      <c r="EIL19" s="1634"/>
      <c r="EIM19" s="1634"/>
      <c r="EIN19" s="1634"/>
      <c r="EIO19" s="1634"/>
      <c r="EIP19" s="1634"/>
      <c r="EIQ19" s="1634"/>
      <c r="EIR19" s="1634"/>
      <c r="EIS19" s="1634"/>
      <c r="EIT19" s="1634"/>
      <c r="EIU19" s="1634"/>
      <c r="EIV19" s="1634"/>
      <c r="EIW19" s="1634"/>
      <c r="EIX19" s="1634"/>
      <c r="EIY19" s="1634"/>
      <c r="EIZ19" s="1634"/>
      <c r="EJA19" s="1634"/>
      <c r="EJB19" s="1634"/>
      <c r="EJC19" s="1634"/>
      <c r="EJD19" s="1634"/>
      <c r="EJE19" s="1634"/>
      <c r="EJF19" s="1634"/>
      <c r="EJG19" s="1634"/>
      <c r="EJH19" s="1634"/>
      <c r="EJI19" s="1634"/>
      <c r="EJJ19" s="1634"/>
      <c r="EJK19" s="1634"/>
      <c r="EJL19" s="1634"/>
      <c r="EJM19" s="1634"/>
      <c r="EJN19" s="1634"/>
      <c r="EJO19" s="1634"/>
      <c r="EJP19" s="1634"/>
      <c r="EJQ19" s="1634"/>
      <c r="EJR19" s="1634"/>
      <c r="EJS19" s="1634"/>
      <c r="EJT19" s="1634"/>
      <c r="EJU19" s="1634"/>
      <c r="EJV19" s="1634"/>
      <c r="EJW19" s="1634"/>
      <c r="EJX19" s="1634"/>
      <c r="EJY19" s="1634"/>
      <c r="EJZ19" s="1634"/>
      <c r="EKA19" s="1634"/>
      <c r="EKB19" s="1634"/>
      <c r="EKC19" s="1634"/>
      <c r="EKD19" s="1634"/>
      <c r="EKE19" s="1634"/>
      <c r="EKF19" s="1634"/>
      <c r="EKG19" s="1634"/>
      <c r="EKH19" s="1634"/>
      <c r="EKI19" s="1634"/>
      <c r="EKJ19" s="1634"/>
      <c r="EKK19" s="1634"/>
      <c r="EKL19" s="1634"/>
      <c r="EKM19" s="1634"/>
      <c r="EKN19" s="1634"/>
      <c r="EKO19" s="1634"/>
      <c r="EKP19" s="1634"/>
      <c r="EKQ19" s="1634"/>
      <c r="EKR19" s="1634"/>
      <c r="EKS19" s="1634"/>
      <c r="EKT19" s="1634"/>
      <c r="EKU19" s="1634"/>
      <c r="EKV19" s="1634"/>
      <c r="EKW19" s="1634"/>
      <c r="EKX19" s="1634"/>
      <c r="EKY19" s="1634"/>
      <c r="EKZ19" s="1634"/>
      <c r="ELA19" s="1634"/>
      <c r="ELB19" s="1634"/>
      <c r="ELC19" s="1634"/>
      <c r="ELD19" s="1634"/>
      <c r="ELE19" s="1634"/>
      <c r="ELF19" s="1634"/>
      <c r="ELG19" s="1634"/>
      <c r="ELH19" s="1634"/>
      <c r="ELI19" s="1634"/>
      <c r="ELJ19" s="1634"/>
      <c r="ELK19" s="1634"/>
      <c r="ELL19" s="1634"/>
      <c r="ELM19" s="1634"/>
      <c r="ELN19" s="1634"/>
      <c r="ELO19" s="1634"/>
      <c r="ELP19" s="1634"/>
      <c r="ELQ19" s="1634"/>
      <c r="ELR19" s="1634"/>
      <c r="ELS19" s="1634"/>
      <c r="ELT19" s="1634"/>
      <c r="ELU19" s="1634"/>
      <c r="ELV19" s="1634"/>
      <c r="ELW19" s="1634"/>
      <c r="ELX19" s="1634"/>
      <c r="ELY19" s="1634"/>
      <c r="ELZ19" s="1634"/>
      <c r="EMA19" s="1634"/>
      <c r="EMB19" s="1634"/>
      <c r="EMC19" s="1634"/>
      <c r="EMD19" s="1634"/>
      <c r="EME19" s="1634"/>
      <c r="EMF19" s="1634"/>
      <c r="EMG19" s="1634"/>
      <c r="EMH19" s="1634"/>
      <c r="EMI19" s="1634"/>
      <c r="EMJ19" s="1634"/>
      <c r="EMK19" s="1634"/>
      <c r="EML19" s="1634"/>
      <c r="EMM19" s="1634"/>
      <c r="EMN19" s="1634"/>
      <c r="EMO19" s="1634"/>
      <c r="EMP19" s="1634"/>
      <c r="EMQ19" s="1634"/>
      <c r="EMR19" s="1634"/>
      <c r="EMS19" s="1634"/>
      <c r="EMT19" s="1634"/>
      <c r="EMU19" s="1634"/>
      <c r="EMV19" s="1634"/>
      <c r="EMW19" s="1634"/>
      <c r="EMX19" s="1634"/>
      <c r="EMY19" s="1634"/>
      <c r="EMZ19" s="1634"/>
      <c r="ENA19" s="1634"/>
      <c r="ENB19" s="1634"/>
      <c r="ENC19" s="1634"/>
      <c r="END19" s="1634"/>
      <c r="ENE19" s="1634"/>
      <c r="ENF19" s="1634"/>
      <c r="ENG19" s="1634"/>
      <c r="ENH19" s="1634"/>
      <c r="ENI19" s="1634"/>
      <c r="ENJ19" s="1634"/>
      <c r="ENK19" s="1634"/>
      <c r="ENL19" s="1634"/>
      <c r="ENM19" s="1634"/>
      <c r="ENN19" s="1634"/>
      <c r="ENO19" s="1634"/>
      <c r="ENP19" s="1634"/>
      <c r="ENQ19" s="1634"/>
      <c r="ENR19" s="1634"/>
      <c r="ENS19" s="1634"/>
      <c r="ENT19" s="1634"/>
      <c r="ENU19" s="1634"/>
      <c r="ENV19" s="1634"/>
      <c r="ENW19" s="1634"/>
      <c r="ENX19" s="1634"/>
      <c r="ENY19" s="1634"/>
      <c r="ENZ19" s="1634"/>
      <c r="EOA19" s="1634"/>
      <c r="EOB19" s="1634"/>
      <c r="EOC19" s="1634"/>
      <c r="EOD19" s="1634"/>
      <c r="EOE19" s="1634"/>
      <c r="EOF19" s="1634"/>
      <c r="EOG19" s="1634"/>
      <c r="EOH19" s="1634"/>
      <c r="EOI19" s="1634"/>
      <c r="EOJ19" s="1634"/>
      <c r="EOK19" s="1634"/>
      <c r="EOL19" s="1634"/>
      <c r="EOM19" s="1634"/>
      <c r="EON19" s="1634"/>
      <c r="EOO19" s="1634"/>
      <c r="EOP19" s="1634"/>
      <c r="EOQ19" s="1634"/>
      <c r="EOR19" s="1634"/>
      <c r="EOS19" s="1634"/>
      <c r="EOT19" s="1634"/>
      <c r="EOU19" s="1634"/>
      <c r="EOV19" s="1634"/>
      <c r="EOW19" s="1634"/>
      <c r="EOX19" s="1634"/>
      <c r="EOY19" s="1634"/>
      <c r="EOZ19" s="1634"/>
      <c r="EPA19" s="1634"/>
      <c r="EPB19" s="1634"/>
      <c r="EPC19" s="1634"/>
      <c r="EPD19" s="1634"/>
      <c r="EPE19" s="1634"/>
      <c r="EPF19" s="1634"/>
      <c r="EPG19" s="1634"/>
      <c r="EPH19" s="1634"/>
      <c r="EPI19" s="1634"/>
      <c r="EPJ19" s="1634"/>
      <c r="EPK19" s="1634"/>
      <c r="EPL19" s="1634"/>
      <c r="EPM19" s="1634"/>
      <c r="EPN19" s="1634"/>
      <c r="EPO19" s="1634"/>
      <c r="EPP19" s="1634"/>
      <c r="EPQ19" s="1634"/>
      <c r="EPR19" s="1634"/>
      <c r="EPS19" s="1634"/>
      <c r="EPT19" s="1634"/>
      <c r="EPU19" s="1634"/>
      <c r="EPV19" s="1634"/>
      <c r="EPW19" s="1634"/>
      <c r="EPX19" s="1634"/>
      <c r="EPY19" s="1634"/>
      <c r="EPZ19" s="1634"/>
      <c r="EQA19" s="1634"/>
      <c r="EQB19" s="1634"/>
      <c r="EQC19" s="1634"/>
      <c r="EQD19" s="1634"/>
      <c r="EQE19" s="1634"/>
      <c r="EQF19" s="1634"/>
      <c r="EQG19" s="1634"/>
      <c r="EQH19" s="1634"/>
      <c r="EQI19" s="1634"/>
      <c r="EQJ19" s="1634"/>
      <c r="EQK19" s="1634"/>
      <c r="EQL19" s="1634"/>
      <c r="EQM19" s="1634"/>
      <c r="EQN19" s="1634"/>
      <c r="EQO19" s="1634"/>
      <c r="EQP19" s="1634"/>
      <c r="EQQ19" s="1634"/>
      <c r="EQR19" s="1634"/>
      <c r="EQS19" s="1634"/>
      <c r="EQT19" s="1634"/>
      <c r="EQU19" s="1634"/>
      <c r="EQV19" s="1634"/>
      <c r="EQW19" s="1634"/>
      <c r="EQX19" s="1634"/>
      <c r="EQY19" s="1634"/>
      <c r="EQZ19" s="1634"/>
      <c r="ERA19" s="1634"/>
      <c r="ERB19" s="1634"/>
      <c r="ERC19" s="1634"/>
      <c r="ERD19" s="1634"/>
      <c r="ERE19" s="1634"/>
      <c r="ERF19" s="1634"/>
      <c r="ERG19" s="1634"/>
      <c r="ERH19" s="1634"/>
      <c r="ERI19" s="1634"/>
      <c r="ERJ19" s="1634"/>
      <c r="ERK19" s="1634"/>
      <c r="ERL19" s="1634"/>
      <c r="ERM19" s="1634"/>
      <c r="ERN19" s="1634"/>
      <c r="ERO19" s="1634"/>
      <c r="ERP19" s="1634"/>
      <c r="ERQ19" s="1634"/>
      <c r="ERR19" s="1634"/>
      <c r="ERS19" s="1634"/>
      <c r="ERT19" s="1634"/>
      <c r="ERU19" s="1634"/>
      <c r="ERV19" s="1634"/>
      <c r="ERW19" s="1634"/>
      <c r="ERX19" s="1634"/>
      <c r="ERY19" s="1634"/>
      <c r="ERZ19" s="1634"/>
      <c r="ESA19" s="1634"/>
      <c r="ESB19" s="1634"/>
      <c r="ESC19" s="1634"/>
      <c r="ESD19" s="1634"/>
      <c r="ESE19" s="1634"/>
      <c r="ESF19" s="1634"/>
      <c r="ESG19" s="1634"/>
      <c r="ESH19" s="1634"/>
      <c r="ESI19" s="1634"/>
      <c r="ESJ19" s="1634"/>
      <c r="ESK19" s="1634"/>
      <c r="ESL19" s="1634"/>
      <c r="ESM19" s="1634"/>
      <c r="ESN19" s="1634"/>
      <c r="ESO19" s="1634"/>
      <c r="ESP19" s="1634"/>
      <c r="ESQ19" s="1634"/>
      <c r="ESR19" s="1634"/>
      <c r="ESS19" s="1634"/>
      <c r="EST19" s="1634"/>
      <c r="ESU19" s="1634"/>
      <c r="ESV19" s="1634"/>
      <c r="ESW19" s="1634"/>
      <c r="ESX19" s="1634"/>
      <c r="ESY19" s="1634"/>
      <c r="ESZ19" s="1634"/>
      <c r="ETA19" s="1634"/>
      <c r="ETB19" s="1634"/>
      <c r="ETC19" s="1634"/>
      <c r="ETD19" s="1634"/>
      <c r="ETE19" s="1634"/>
      <c r="ETF19" s="1634"/>
      <c r="ETG19" s="1634"/>
      <c r="ETH19" s="1634"/>
      <c r="ETI19" s="1634"/>
      <c r="ETJ19" s="1634"/>
      <c r="ETK19" s="1634"/>
      <c r="ETL19" s="1634"/>
      <c r="ETM19" s="1634"/>
      <c r="ETN19" s="1634"/>
      <c r="ETO19" s="1634"/>
      <c r="ETP19" s="1634"/>
      <c r="ETQ19" s="1634"/>
      <c r="ETR19" s="1634"/>
      <c r="ETS19" s="1634"/>
      <c r="ETT19" s="1634"/>
      <c r="ETU19" s="1634"/>
      <c r="ETV19" s="1634"/>
      <c r="ETW19" s="1634"/>
      <c r="ETX19" s="1634"/>
      <c r="ETY19" s="1634"/>
      <c r="ETZ19" s="1634"/>
      <c r="EUA19" s="1634"/>
      <c r="EUB19" s="1634"/>
      <c r="EUC19" s="1634"/>
      <c r="EUD19" s="1634"/>
      <c r="EUE19" s="1634"/>
      <c r="EUF19" s="1634"/>
      <c r="EUG19" s="1634"/>
      <c r="EUH19" s="1634"/>
      <c r="EUI19" s="1634"/>
      <c r="EUJ19" s="1634"/>
      <c r="EUK19" s="1634"/>
      <c r="EUL19" s="1634"/>
      <c r="EUM19" s="1634"/>
      <c r="EUN19" s="1634"/>
      <c r="EUO19" s="1634"/>
      <c r="EUP19" s="1634"/>
      <c r="EUQ19" s="1634"/>
      <c r="EUR19" s="1634"/>
      <c r="EUS19" s="1634"/>
      <c r="EUT19" s="1634"/>
      <c r="EUU19" s="1634"/>
      <c r="EUV19" s="1634"/>
      <c r="EUW19" s="1634"/>
      <c r="EUX19" s="1634"/>
      <c r="EUY19" s="1634"/>
      <c r="EUZ19" s="1634"/>
      <c r="EVA19" s="1634"/>
      <c r="EVB19" s="1634"/>
      <c r="EVC19" s="1634"/>
      <c r="EVD19" s="1634"/>
      <c r="EVE19" s="1634"/>
      <c r="EVF19" s="1634"/>
      <c r="EVG19" s="1634"/>
      <c r="EVH19" s="1634"/>
      <c r="EVI19" s="1634"/>
      <c r="EVJ19" s="1634"/>
      <c r="EVK19" s="1634"/>
      <c r="EVL19" s="1634"/>
      <c r="EVM19" s="1634"/>
      <c r="EVN19" s="1634"/>
      <c r="EVO19" s="1634"/>
      <c r="EVP19" s="1634"/>
      <c r="EVQ19" s="1634"/>
      <c r="EVR19" s="1634"/>
      <c r="EVS19" s="1634"/>
      <c r="EVT19" s="1634"/>
      <c r="EVU19" s="1634"/>
      <c r="EVV19" s="1634"/>
      <c r="EVW19" s="1634"/>
      <c r="EVX19" s="1634"/>
      <c r="EVY19" s="1634"/>
      <c r="EVZ19" s="1634"/>
      <c r="EWA19" s="1634"/>
      <c r="EWB19" s="1634"/>
      <c r="EWC19" s="1634"/>
      <c r="EWD19" s="1634"/>
      <c r="EWE19" s="1634"/>
      <c r="EWF19" s="1634"/>
      <c r="EWG19" s="1634"/>
      <c r="EWH19" s="1634"/>
      <c r="EWI19" s="1634"/>
      <c r="EWJ19" s="1634"/>
      <c r="EWK19" s="1634"/>
      <c r="EWL19" s="1634"/>
      <c r="EWM19" s="1634"/>
      <c r="EWN19" s="1634"/>
      <c r="EWO19" s="1634"/>
      <c r="EWP19" s="1634"/>
      <c r="EWQ19" s="1634"/>
      <c r="EWR19" s="1634"/>
      <c r="EWS19" s="1634"/>
      <c r="EWT19" s="1634"/>
      <c r="EWU19" s="1634"/>
      <c r="EWV19" s="1634"/>
      <c r="EWW19" s="1634"/>
      <c r="EWX19" s="1634"/>
      <c r="EWY19" s="1634"/>
      <c r="EWZ19" s="1634"/>
      <c r="EXA19" s="1634"/>
      <c r="EXB19" s="1634"/>
      <c r="EXC19" s="1634"/>
      <c r="EXD19" s="1634"/>
      <c r="EXE19" s="1634"/>
      <c r="EXF19" s="1634"/>
      <c r="EXG19" s="1634"/>
      <c r="EXH19" s="1634"/>
      <c r="EXI19" s="1634"/>
      <c r="EXJ19" s="1634"/>
      <c r="EXK19" s="1634"/>
      <c r="EXL19" s="1634"/>
      <c r="EXM19" s="1634"/>
      <c r="EXN19" s="1634"/>
      <c r="EXO19" s="1634"/>
      <c r="EXP19" s="1634"/>
      <c r="EXQ19" s="1634"/>
      <c r="EXR19" s="1634"/>
      <c r="EXS19" s="1634"/>
      <c r="EXT19" s="1634"/>
      <c r="EXU19" s="1634"/>
      <c r="EXV19" s="1634"/>
      <c r="EXW19" s="1634"/>
      <c r="EXX19" s="1634"/>
      <c r="EXY19" s="1634"/>
      <c r="EXZ19" s="1634"/>
      <c r="EYA19" s="1634"/>
      <c r="EYB19" s="1634"/>
      <c r="EYC19" s="1634"/>
      <c r="EYD19" s="1634"/>
      <c r="EYE19" s="1634"/>
      <c r="EYF19" s="1634"/>
      <c r="EYG19" s="1634"/>
      <c r="EYH19" s="1634"/>
      <c r="EYI19" s="1634"/>
      <c r="EYJ19" s="1634"/>
      <c r="EYK19" s="1634"/>
      <c r="EYL19" s="1634"/>
      <c r="EYM19" s="1634"/>
      <c r="EYN19" s="1634"/>
      <c r="EYO19" s="1634"/>
      <c r="EYP19" s="1634"/>
      <c r="EYQ19" s="1634"/>
      <c r="EYR19" s="1634"/>
      <c r="EYS19" s="1634"/>
      <c r="EYT19" s="1634"/>
      <c r="EYU19" s="1634"/>
      <c r="EYV19" s="1634"/>
      <c r="EYW19" s="1634"/>
      <c r="EYX19" s="1634"/>
      <c r="EYY19" s="1634"/>
      <c r="EYZ19" s="1634"/>
      <c r="EZA19" s="1634"/>
      <c r="EZB19" s="1634"/>
      <c r="EZC19" s="1634"/>
      <c r="EZD19" s="1634"/>
      <c r="EZE19" s="1634"/>
      <c r="EZF19" s="1634"/>
      <c r="EZG19" s="1634"/>
      <c r="EZH19" s="1634"/>
      <c r="EZI19" s="1634"/>
      <c r="EZJ19" s="1634"/>
      <c r="EZK19" s="1634"/>
      <c r="EZL19" s="1634"/>
      <c r="EZM19" s="1634"/>
      <c r="EZN19" s="1634"/>
      <c r="EZO19" s="1634"/>
      <c r="EZP19" s="1634"/>
      <c r="EZQ19" s="1634"/>
      <c r="EZR19" s="1634"/>
      <c r="EZS19" s="1634"/>
      <c r="EZT19" s="1634"/>
      <c r="EZU19" s="1634"/>
      <c r="EZV19" s="1634"/>
      <c r="EZW19" s="1634"/>
      <c r="EZX19" s="1634"/>
      <c r="EZY19" s="1634"/>
      <c r="EZZ19" s="1634"/>
      <c r="FAA19" s="1634"/>
      <c r="FAB19" s="1634"/>
      <c r="FAC19" s="1634"/>
      <c r="FAD19" s="1634"/>
      <c r="FAE19" s="1634"/>
      <c r="FAF19" s="1634"/>
      <c r="FAG19" s="1634"/>
      <c r="FAH19" s="1634"/>
      <c r="FAI19" s="1634"/>
      <c r="FAJ19" s="1634"/>
      <c r="FAK19" s="1634"/>
      <c r="FAL19" s="1634"/>
      <c r="FAM19" s="1634"/>
      <c r="FAN19" s="1634"/>
      <c r="FAO19" s="1634"/>
      <c r="FAP19" s="1634"/>
      <c r="FAQ19" s="1634"/>
      <c r="FAR19" s="1634"/>
      <c r="FAS19" s="1634"/>
      <c r="FAT19" s="1634"/>
      <c r="FAU19" s="1634"/>
      <c r="FAV19" s="1634"/>
      <c r="FAW19" s="1634"/>
      <c r="FAX19" s="1634"/>
      <c r="FAY19" s="1634"/>
      <c r="FAZ19" s="1634"/>
      <c r="FBA19" s="1634"/>
      <c r="FBB19" s="1634"/>
      <c r="FBC19" s="1634"/>
      <c r="FBD19" s="1634"/>
      <c r="FBE19" s="1634"/>
      <c r="FBF19" s="1634"/>
      <c r="FBG19" s="1634"/>
      <c r="FBH19" s="1634"/>
      <c r="FBI19" s="1634"/>
      <c r="FBJ19" s="1634"/>
      <c r="FBK19" s="1634"/>
      <c r="FBL19" s="1634"/>
      <c r="FBM19" s="1634"/>
      <c r="FBN19" s="1634"/>
      <c r="FBO19" s="1634"/>
      <c r="FBP19" s="1634"/>
      <c r="FBQ19" s="1634"/>
      <c r="FBR19" s="1634"/>
      <c r="FBS19" s="1634"/>
      <c r="FBT19" s="1634"/>
      <c r="FBU19" s="1634"/>
      <c r="FBV19" s="1634"/>
      <c r="FBW19" s="1634"/>
      <c r="FBX19" s="1634"/>
      <c r="FBY19" s="1634"/>
      <c r="FBZ19" s="1634"/>
      <c r="FCA19" s="1634"/>
      <c r="FCB19" s="1634"/>
      <c r="FCC19" s="1634"/>
      <c r="FCD19" s="1634"/>
      <c r="FCE19" s="1634"/>
      <c r="FCF19" s="1634"/>
      <c r="FCG19" s="1634"/>
      <c r="FCH19" s="1634"/>
      <c r="FCI19" s="1634"/>
      <c r="FCJ19" s="1634"/>
      <c r="FCK19" s="1634"/>
      <c r="FCL19" s="1634"/>
      <c r="FCM19" s="1634"/>
      <c r="FCN19" s="1634"/>
      <c r="FCO19" s="1634"/>
      <c r="FCP19" s="1634"/>
      <c r="FCQ19" s="1634"/>
      <c r="FCR19" s="1634"/>
      <c r="FCS19" s="1634"/>
      <c r="FCT19" s="1634"/>
      <c r="FCU19" s="1634"/>
      <c r="FCV19" s="1634"/>
      <c r="FCW19" s="1634"/>
      <c r="FCX19" s="1634"/>
      <c r="FCY19" s="1634"/>
      <c r="FCZ19" s="1634"/>
      <c r="FDA19" s="1634"/>
      <c r="FDB19" s="1634"/>
      <c r="FDC19" s="1634"/>
      <c r="FDD19" s="1634"/>
      <c r="FDE19" s="1634"/>
      <c r="FDF19" s="1634"/>
      <c r="FDG19" s="1634"/>
      <c r="FDH19" s="1634"/>
      <c r="FDI19" s="1634"/>
      <c r="FDJ19" s="1634"/>
      <c r="FDK19" s="1634"/>
      <c r="FDL19" s="1634"/>
      <c r="FDM19" s="1634"/>
      <c r="FDN19" s="1634"/>
      <c r="FDO19" s="1634"/>
      <c r="FDP19" s="1634"/>
      <c r="FDQ19" s="1634"/>
      <c r="FDR19" s="1634"/>
      <c r="FDS19" s="1634"/>
      <c r="FDT19" s="1634"/>
      <c r="FDU19" s="1634"/>
      <c r="FDV19" s="1634"/>
      <c r="FDW19" s="1634"/>
      <c r="FDX19" s="1634"/>
      <c r="FDY19" s="1634"/>
      <c r="FDZ19" s="1634"/>
      <c r="FEA19" s="1634"/>
      <c r="FEB19" s="1634"/>
      <c r="FEC19" s="1634"/>
      <c r="FED19" s="1634"/>
      <c r="FEE19" s="1634"/>
      <c r="FEF19" s="1634"/>
      <c r="FEG19" s="1634"/>
      <c r="FEH19" s="1634"/>
      <c r="FEI19" s="1634"/>
      <c r="FEJ19" s="1634"/>
      <c r="FEK19" s="1634"/>
      <c r="FEL19" s="1634"/>
      <c r="FEM19" s="1634"/>
      <c r="FEN19" s="1634"/>
      <c r="FEO19" s="1634"/>
      <c r="FEP19" s="1634"/>
      <c r="FEQ19" s="1634"/>
      <c r="FER19" s="1634"/>
      <c r="FES19" s="1634"/>
      <c r="FET19" s="1634"/>
      <c r="FEU19" s="1634"/>
      <c r="FEV19" s="1634"/>
      <c r="FEW19" s="1634"/>
      <c r="FEX19" s="1634"/>
      <c r="FEY19" s="1634"/>
      <c r="FEZ19" s="1634"/>
      <c r="FFA19" s="1634"/>
      <c r="FFB19" s="1634"/>
      <c r="FFC19" s="1634"/>
      <c r="FFD19" s="1634"/>
      <c r="FFE19" s="1634"/>
      <c r="FFF19" s="1634"/>
      <c r="FFG19" s="1634"/>
      <c r="FFH19" s="1634"/>
      <c r="FFI19" s="1634"/>
      <c r="FFJ19" s="1634"/>
      <c r="FFK19" s="1634"/>
      <c r="FFL19" s="1634"/>
      <c r="FFM19" s="1634"/>
      <c r="FFN19" s="1634"/>
      <c r="FFO19" s="1634"/>
      <c r="FFP19" s="1634"/>
      <c r="FFQ19" s="1634"/>
      <c r="FFR19" s="1634"/>
      <c r="FFS19" s="1634"/>
      <c r="FFT19" s="1634"/>
      <c r="FFU19" s="1634"/>
      <c r="FFV19" s="1634"/>
      <c r="FFW19" s="1634"/>
      <c r="FFX19" s="1634"/>
      <c r="FFY19" s="1634"/>
      <c r="FFZ19" s="1634"/>
      <c r="FGA19" s="1634"/>
      <c r="FGB19" s="1634"/>
      <c r="FGC19" s="1634"/>
      <c r="FGD19" s="1634"/>
      <c r="FGE19" s="1634"/>
      <c r="FGF19" s="1634"/>
      <c r="FGG19" s="1634"/>
      <c r="FGH19" s="1634"/>
      <c r="FGI19" s="1634"/>
      <c r="FGJ19" s="1634"/>
      <c r="FGK19" s="1634"/>
      <c r="FGL19" s="1634"/>
      <c r="FGM19" s="1634"/>
      <c r="FGN19" s="1634"/>
      <c r="FGO19" s="1634"/>
      <c r="FGP19" s="1634"/>
      <c r="FGQ19" s="1634"/>
      <c r="FGR19" s="1634"/>
      <c r="FGS19" s="1634"/>
      <c r="FGT19" s="1634"/>
      <c r="FGU19" s="1634"/>
      <c r="FGV19" s="1634"/>
      <c r="FGW19" s="1634"/>
      <c r="FGX19" s="1634"/>
      <c r="FGY19" s="1634"/>
      <c r="FGZ19" s="1634"/>
      <c r="FHA19" s="1634"/>
      <c r="FHB19" s="1634"/>
      <c r="FHC19" s="1634"/>
      <c r="FHD19" s="1634"/>
      <c r="FHE19" s="1634"/>
      <c r="FHF19" s="1634"/>
      <c r="FHG19" s="1634"/>
      <c r="FHH19" s="1634"/>
      <c r="FHI19" s="1634"/>
      <c r="FHJ19" s="1634"/>
      <c r="FHK19" s="1634"/>
      <c r="FHL19" s="1634"/>
      <c r="FHM19" s="1634"/>
      <c r="FHN19" s="1634"/>
      <c r="FHO19" s="1634"/>
      <c r="FHP19" s="1634"/>
      <c r="FHQ19" s="1634"/>
      <c r="FHR19" s="1634"/>
      <c r="FHS19" s="1634"/>
      <c r="FHT19" s="1634"/>
      <c r="FHU19" s="1634"/>
      <c r="FHV19" s="1634"/>
      <c r="FHW19" s="1634"/>
      <c r="FHX19" s="1634"/>
      <c r="FHY19" s="1634"/>
      <c r="FHZ19" s="1634"/>
      <c r="FIA19" s="1634"/>
      <c r="FIB19" s="1634"/>
      <c r="FIC19" s="1634"/>
      <c r="FID19" s="1634"/>
      <c r="FIE19" s="1634"/>
      <c r="FIF19" s="1634"/>
      <c r="FIG19" s="1634"/>
      <c r="FIH19" s="1634"/>
      <c r="FII19" s="1634"/>
      <c r="FIJ19" s="1634"/>
      <c r="FIK19" s="1634"/>
      <c r="FIL19" s="1634"/>
      <c r="FIM19" s="1634"/>
      <c r="FIN19" s="1634"/>
      <c r="FIO19" s="1634"/>
      <c r="FIP19" s="1634"/>
      <c r="FIQ19" s="1634"/>
      <c r="FIR19" s="1634"/>
      <c r="FIS19" s="1634"/>
      <c r="FIT19" s="1634"/>
      <c r="FIU19" s="1634"/>
      <c r="FIV19" s="1634"/>
      <c r="FIW19" s="1634"/>
      <c r="FIX19" s="1634"/>
      <c r="FIY19" s="1634"/>
      <c r="FIZ19" s="1634"/>
      <c r="FJA19" s="1634"/>
      <c r="FJB19" s="1634"/>
      <c r="FJC19" s="1634"/>
      <c r="FJD19" s="1634"/>
      <c r="FJE19" s="1634"/>
      <c r="FJF19" s="1634"/>
      <c r="FJG19" s="1634"/>
      <c r="FJH19" s="1634"/>
      <c r="FJI19" s="1634"/>
      <c r="FJJ19" s="1634"/>
      <c r="FJK19" s="1634"/>
      <c r="FJL19" s="1634"/>
      <c r="FJM19" s="1634"/>
      <c r="FJN19" s="1634"/>
      <c r="FJO19" s="1634"/>
      <c r="FJP19" s="1634"/>
      <c r="FJQ19" s="1634"/>
      <c r="FJR19" s="1634"/>
      <c r="FJS19" s="1634"/>
      <c r="FJT19" s="1634"/>
      <c r="FJU19" s="1634"/>
      <c r="FJV19" s="1634"/>
      <c r="FJW19" s="1634"/>
      <c r="FJX19" s="1634"/>
      <c r="FJY19" s="1634"/>
      <c r="FJZ19" s="1634"/>
      <c r="FKA19" s="1634"/>
      <c r="FKB19" s="1634"/>
      <c r="FKC19" s="1634"/>
      <c r="FKD19" s="1634"/>
      <c r="FKE19" s="1634"/>
      <c r="FKF19" s="1634"/>
      <c r="FKG19" s="1634"/>
      <c r="FKH19" s="1634"/>
      <c r="FKI19" s="1634"/>
      <c r="FKJ19" s="1634"/>
      <c r="FKK19" s="1634"/>
      <c r="FKL19" s="1634"/>
      <c r="FKM19" s="1634"/>
      <c r="FKN19" s="1634"/>
      <c r="FKO19" s="1634"/>
      <c r="FKP19" s="1634"/>
      <c r="FKQ19" s="1634"/>
      <c r="FKR19" s="1634"/>
      <c r="FKS19" s="1634"/>
      <c r="FKT19" s="1634"/>
      <c r="FKU19" s="1634"/>
      <c r="FKV19" s="1634"/>
      <c r="FKW19" s="1634"/>
      <c r="FKX19" s="1634"/>
      <c r="FKY19" s="1634"/>
      <c r="FKZ19" s="1634"/>
      <c r="FLA19" s="1634"/>
      <c r="FLB19" s="1634"/>
      <c r="FLC19" s="1634"/>
      <c r="FLD19" s="1634"/>
      <c r="FLE19" s="1634"/>
      <c r="FLF19" s="1634"/>
      <c r="FLG19" s="1634"/>
      <c r="FLH19" s="1634"/>
      <c r="FLI19" s="1634"/>
      <c r="FLJ19" s="1634"/>
      <c r="FLK19" s="1634"/>
      <c r="FLL19" s="1634"/>
      <c r="FLM19" s="1634"/>
      <c r="FLN19" s="1634"/>
      <c r="FLO19" s="1634"/>
      <c r="FLP19" s="1634"/>
      <c r="FLQ19" s="1634"/>
      <c r="FLR19" s="1634"/>
      <c r="FLS19" s="1634"/>
      <c r="FLT19" s="1634"/>
      <c r="FLU19" s="1634"/>
      <c r="FLV19" s="1634"/>
      <c r="FLW19" s="1634"/>
      <c r="FLX19" s="1634"/>
      <c r="FLY19" s="1634"/>
      <c r="FLZ19" s="1634"/>
      <c r="FMA19" s="1634"/>
      <c r="FMB19" s="1634"/>
      <c r="FMC19" s="1634"/>
      <c r="FMD19" s="1634"/>
      <c r="FME19" s="1634"/>
      <c r="FMF19" s="1634"/>
      <c r="FMG19" s="1634"/>
      <c r="FMH19" s="1634"/>
      <c r="FMI19" s="1634"/>
      <c r="FMJ19" s="1634"/>
      <c r="FMK19" s="1634"/>
      <c r="FML19" s="1634"/>
      <c r="FMM19" s="1634"/>
      <c r="FMN19" s="1634"/>
      <c r="FMO19" s="1634"/>
      <c r="FMP19" s="1634"/>
      <c r="FMQ19" s="1634"/>
      <c r="FMR19" s="1634"/>
      <c r="FMS19" s="1634"/>
      <c r="FMT19" s="1634"/>
      <c r="FMU19" s="1634"/>
      <c r="FMV19" s="1634"/>
      <c r="FMW19" s="1634"/>
      <c r="FMX19" s="1634"/>
      <c r="FMY19" s="1634"/>
      <c r="FMZ19" s="1634"/>
      <c r="FNA19" s="1634"/>
      <c r="FNB19" s="1634"/>
      <c r="FNC19" s="1634"/>
      <c r="FND19" s="1634"/>
      <c r="FNE19" s="1634"/>
      <c r="FNF19" s="1634"/>
      <c r="FNG19" s="1634"/>
      <c r="FNH19" s="1634"/>
      <c r="FNI19" s="1634"/>
      <c r="FNJ19" s="1634"/>
      <c r="FNK19" s="1634"/>
      <c r="FNL19" s="1634"/>
      <c r="FNM19" s="1634"/>
      <c r="FNN19" s="1634"/>
      <c r="FNO19" s="1634"/>
      <c r="FNP19" s="1634"/>
      <c r="FNQ19" s="1634"/>
      <c r="FNR19" s="1634"/>
      <c r="FNS19" s="1634"/>
      <c r="FNT19" s="1634"/>
      <c r="FNU19" s="1634"/>
      <c r="FNV19" s="1634"/>
      <c r="FNW19" s="1634"/>
      <c r="FNX19" s="1634"/>
      <c r="FNY19" s="1634"/>
      <c r="FNZ19" s="1634"/>
      <c r="FOA19" s="1634"/>
      <c r="FOB19" s="1634"/>
      <c r="FOC19" s="1634"/>
      <c r="FOD19" s="1634"/>
      <c r="FOE19" s="1634"/>
      <c r="FOF19" s="1634"/>
      <c r="FOG19" s="1634"/>
      <c r="FOH19" s="1634"/>
      <c r="FOI19" s="1634"/>
      <c r="FOJ19" s="1634"/>
      <c r="FOK19" s="1634"/>
      <c r="FOL19" s="1634"/>
      <c r="FOM19" s="1634"/>
      <c r="FON19" s="1634"/>
      <c r="FOO19" s="1634"/>
      <c r="FOP19" s="1634"/>
      <c r="FOQ19" s="1634"/>
      <c r="FOR19" s="1634"/>
      <c r="FOS19" s="1634"/>
      <c r="FOT19" s="1634"/>
      <c r="FOU19" s="1634"/>
      <c r="FOV19" s="1634"/>
      <c r="FOW19" s="1634"/>
      <c r="FOX19" s="1634"/>
      <c r="FOY19" s="1634"/>
      <c r="FOZ19" s="1634"/>
      <c r="FPA19" s="1634"/>
      <c r="FPB19" s="1634"/>
      <c r="FPC19" s="1634"/>
      <c r="FPD19" s="1634"/>
      <c r="FPE19" s="1634"/>
      <c r="FPF19" s="1634"/>
      <c r="FPG19" s="1634"/>
      <c r="FPH19" s="1634"/>
      <c r="FPI19" s="1634"/>
      <c r="FPJ19" s="1634"/>
      <c r="FPK19" s="1634"/>
      <c r="FPL19" s="1634"/>
      <c r="FPM19" s="1634"/>
      <c r="FPN19" s="1634"/>
      <c r="FPO19" s="1634"/>
      <c r="FPP19" s="1634"/>
      <c r="FPQ19" s="1634"/>
      <c r="FPR19" s="1634"/>
      <c r="FPS19" s="1634"/>
      <c r="FPT19" s="1634"/>
      <c r="FPU19" s="1634"/>
      <c r="FPV19" s="1634"/>
      <c r="FPW19" s="1634"/>
      <c r="FPX19" s="1634"/>
      <c r="FPY19" s="1634"/>
      <c r="FPZ19" s="1634"/>
      <c r="FQA19" s="1634"/>
      <c r="FQB19" s="1634"/>
      <c r="FQC19" s="1634"/>
      <c r="FQD19" s="1634"/>
      <c r="FQE19" s="1634"/>
      <c r="FQF19" s="1634"/>
      <c r="FQG19" s="1634"/>
      <c r="FQH19" s="1634"/>
      <c r="FQI19" s="1634"/>
      <c r="FQJ19" s="1634"/>
      <c r="FQK19" s="1634"/>
      <c r="FQL19" s="1634"/>
      <c r="FQM19" s="1634"/>
      <c r="FQN19" s="1634"/>
      <c r="FQO19" s="1634"/>
      <c r="FQP19" s="1634"/>
      <c r="FQQ19" s="1634"/>
      <c r="FQR19" s="1634"/>
      <c r="FQS19" s="1634"/>
      <c r="FQT19" s="1634"/>
      <c r="FQU19" s="1634"/>
      <c r="FQV19" s="1634"/>
      <c r="FQW19" s="1634"/>
      <c r="FQX19" s="1634"/>
      <c r="FQY19" s="1634"/>
      <c r="FQZ19" s="1634"/>
      <c r="FRA19" s="1634"/>
      <c r="FRB19" s="1634"/>
      <c r="FRC19" s="1634"/>
      <c r="FRD19" s="1634"/>
      <c r="FRE19" s="1634"/>
      <c r="FRF19" s="1634"/>
      <c r="FRG19" s="1634"/>
      <c r="FRH19" s="1634"/>
      <c r="FRI19" s="1634"/>
      <c r="FRJ19" s="1634"/>
      <c r="FRK19" s="1634"/>
      <c r="FRL19" s="1634"/>
      <c r="FRM19" s="1634"/>
      <c r="FRN19" s="1634"/>
      <c r="FRO19" s="1634"/>
      <c r="FRP19" s="1634"/>
      <c r="FRQ19" s="1634"/>
      <c r="FRR19" s="1634"/>
      <c r="FRS19" s="1634"/>
      <c r="FRT19" s="1634"/>
      <c r="FRU19" s="1634"/>
      <c r="FRV19" s="1634"/>
      <c r="FRW19" s="1634"/>
      <c r="FRX19" s="1634"/>
      <c r="FRY19" s="1634"/>
      <c r="FRZ19" s="1634"/>
      <c r="FSA19" s="1634"/>
      <c r="FSB19" s="1634"/>
      <c r="FSC19" s="1634"/>
      <c r="FSD19" s="1634"/>
      <c r="FSE19" s="1634"/>
      <c r="FSF19" s="1634"/>
      <c r="FSG19" s="1634"/>
      <c r="FSH19" s="1634"/>
      <c r="FSI19" s="1634"/>
      <c r="FSJ19" s="1634"/>
      <c r="FSK19" s="1634"/>
      <c r="FSL19" s="1634"/>
      <c r="FSM19" s="1634"/>
      <c r="FSN19" s="1634"/>
      <c r="FSO19" s="1634"/>
      <c r="FSP19" s="1634"/>
      <c r="FSQ19" s="1634"/>
      <c r="FSR19" s="1634"/>
      <c r="FSS19" s="1634"/>
      <c r="FST19" s="1634"/>
      <c r="FSU19" s="1634"/>
      <c r="FSV19" s="1634"/>
      <c r="FSW19" s="1634"/>
      <c r="FSX19" s="1634"/>
      <c r="FSY19" s="1634"/>
      <c r="FSZ19" s="1634"/>
      <c r="FTA19" s="1634"/>
      <c r="FTB19" s="1634"/>
      <c r="FTC19" s="1634"/>
      <c r="FTD19" s="1634"/>
      <c r="FTE19" s="1634"/>
      <c r="FTF19" s="1634"/>
      <c r="FTG19" s="1634"/>
      <c r="FTH19" s="1634"/>
      <c r="FTI19" s="1634"/>
      <c r="FTJ19" s="1634"/>
      <c r="FTK19" s="1634"/>
      <c r="FTL19" s="1634"/>
      <c r="FTM19" s="1634"/>
      <c r="FTN19" s="1634"/>
      <c r="FTO19" s="1634"/>
      <c r="FTP19" s="1634"/>
      <c r="FTQ19" s="1634"/>
      <c r="FTR19" s="1634"/>
      <c r="FTS19" s="1634"/>
      <c r="FTT19" s="1634"/>
      <c r="FTU19" s="1634"/>
      <c r="FTV19" s="1634"/>
      <c r="FTW19" s="1634"/>
      <c r="FTX19" s="1634"/>
      <c r="FTY19" s="1634"/>
      <c r="FTZ19" s="1634"/>
      <c r="FUA19" s="1634"/>
      <c r="FUB19" s="1634"/>
      <c r="FUC19" s="1634"/>
      <c r="FUD19" s="1634"/>
      <c r="FUE19" s="1634"/>
      <c r="FUF19" s="1634"/>
      <c r="FUG19" s="1634"/>
      <c r="FUH19" s="1634"/>
      <c r="FUI19" s="1634"/>
      <c r="FUJ19" s="1634"/>
      <c r="FUK19" s="1634"/>
      <c r="FUL19" s="1634"/>
      <c r="FUM19" s="1634"/>
      <c r="FUN19" s="1634"/>
      <c r="FUO19" s="1634"/>
      <c r="FUP19" s="1634"/>
      <c r="FUQ19" s="1634"/>
      <c r="FUR19" s="1634"/>
      <c r="FUS19" s="1634"/>
      <c r="FUT19" s="1634"/>
      <c r="FUU19" s="1634"/>
      <c r="FUV19" s="1634"/>
      <c r="FUW19" s="1634"/>
      <c r="FUX19" s="1634"/>
      <c r="FUY19" s="1634"/>
      <c r="FUZ19" s="1634"/>
      <c r="FVA19" s="1634"/>
      <c r="FVB19" s="1634"/>
      <c r="FVC19" s="1634"/>
      <c r="FVD19" s="1634"/>
      <c r="FVE19" s="1634"/>
      <c r="FVF19" s="1634"/>
      <c r="FVG19" s="1634"/>
      <c r="FVH19" s="1634"/>
      <c r="FVI19" s="1634"/>
      <c r="FVJ19" s="1634"/>
      <c r="FVK19" s="1634"/>
      <c r="FVL19" s="1634"/>
      <c r="FVM19" s="1634"/>
      <c r="FVN19" s="1634"/>
      <c r="FVO19" s="1634"/>
      <c r="FVP19" s="1634"/>
      <c r="FVQ19" s="1634"/>
      <c r="FVR19" s="1634"/>
      <c r="FVS19" s="1634"/>
      <c r="FVT19" s="1634"/>
      <c r="FVU19" s="1634"/>
      <c r="FVV19" s="1634"/>
      <c r="FVW19" s="1634"/>
      <c r="FVX19" s="1634"/>
      <c r="FVY19" s="1634"/>
      <c r="FVZ19" s="1634"/>
      <c r="FWA19" s="1634"/>
      <c r="FWB19" s="1634"/>
      <c r="FWC19" s="1634"/>
      <c r="FWD19" s="1634"/>
      <c r="FWE19" s="1634"/>
      <c r="FWF19" s="1634"/>
      <c r="FWG19" s="1634"/>
      <c r="FWH19" s="1634"/>
      <c r="FWI19" s="1634"/>
      <c r="FWJ19" s="1634"/>
      <c r="FWK19" s="1634"/>
      <c r="FWL19" s="1634"/>
      <c r="FWM19" s="1634"/>
      <c r="FWN19" s="1634"/>
      <c r="FWO19" s="1634"/>
      <c r="FWP19" s="1634"/>
      <c r="FWQ19" s="1634"/>
      <c r="FWR19" s="1634"/>
      <c r="FWS19" s="1634"/>
      <c r="FWT19" s="1634"/>
      <c r="FWU19" s="1634"/>
      <c r="FWV19" s="1634"/>
      <c r="FWW19" s="1634"/>
      <c r="FWX19" s="1634"/>
      <c r="FWY19" s="1634"/>
      <c r="FWZ19" s="1634"/>
      <c r="FXA19" s="1634"/>
      <c r="FXB19" s="1634"/>
      <c r="FXC19" s="1634"/>
      <c r="FXD19" s="1634"/>
      <c r="FXE19" s="1634"/>
      <c r="FXF19" s="1634"/>
      <c r="FXG19" s="1634"/>
      <c r="FXH19" s="1634"/>
      <c r="FXI19" s="1634"/>
      <c r="FXJ19" s="1634"/>
      <c r="FXK19" s="1634"/>
      <c r="FXL19" s="1634"/>
      <c r="FXM19" s="1634"/>
      <c r="FXN19" s="1634"/>
      <c r="FXO19" s="1634"/>
      <c r="FXP19" s="1634"/>
      <c r="FXQ19" s="1634"/>
      <c r="FXR19" s="1634"/>
      <c r="FXS19" s="1634"/>
      <c r="FXT19" s="1634"/>
      <c r="FXU19" s="1634"/>
      <c r="FXV19" s="1634"/>
      <c r="FXW19" s="1634"/>
      <c r="FXX19" s="1634"/>
      <c r="FXY19" s="1634"/>
      <c r="FXZ19" s="1634"/>
      <c r="FYA19" s="1634"/>
      <c r="FYB19" s="1634"/>
      <c r="FYC19" s="1634"/>
      <c r="FYD19" s="1634"/>
      <c r="FYE19" s="1634"/>
      <c r="FYF19" s="1634"/>
      <c r="FYG19" s="1634"/>
      <c r="FYH19" s="1634"/>
      <c r="FYI19" s="1634"/>
      <c r="FYJ19" s="1634"/>
      <c r="FYK19" s="1634"/>
      <c r="FYL19" s="1634"/>
      <c r="FYM19" s="1634"/>
      <c r="FYN19" s="1634"/>
      <c r="FYO19" s="1634"/>
      <c r="FYP19" s="1634"/>
      <c r="FYQ19" s="1634"/>
      <c r="FYR19" s="1634"/>
      <c r="FYS19" s="1634"/>
      <c r="FYT19" s="1634"/>
      <c r="FYU19" s="1634"/>
      <c r="FYV19" s="1634"/>
      <c r="FYW19" s="1634"/>
      <c r="FYX19" s="1634"/>
      <c r="FYY19" s="1634"/>
      <c r="FYZ19" s="1634"/>
      <c r="FZA19" s="1634"/>
      <c r="FZB19" s="1634"/>
      <c r="FZC19" s="1634"/>
      <c r="FZD19" s="1634"/>
      <c r="FZE19" s="1634"/>
      <c r="FZF19" s="1634"/>
      <c r="FZG19" s="1634"/>
      <c r="FZH19" s="1634"/>
      <c r="FZI19" s="1634"/>
      <c r="FZJ19" s="1634"/>
      <c r="FZK19" s="1634"/>
      <c r="FZL19" s="1634"/>
      <c r="FZM19" s="1634"/>
      <c r="FZN19" s="1634"/>
      <c r="FZO19" s="1634"/>
      <c r="FZP19" s="1634"/>
      <c r="FZQ19" s="1634"/>
      <c r="FZR19" s="1634"/>
      <c r="FZS19" s="1634"/>
      <c r="FZT19" s="1634"/>
      <c r="FZU19" s="1634"/>
      <c r="FZV19" s="1634"/>
      <c r="FZW19" s="1634"/>
      <c r="FZX19" s="1634"/>
      <c r="FZY19" s="1634"/>
      <c r="FZZ19" s="1634"/>
      <c r="GAA19" s="1634"/>
      <c r="GAB19" s="1634"/>
      <c r="GAC19" s="1634"/>
      <c r="GAD19" s="1634"/>
      <c r="GAE19" s="1634"/>
      <c r="GAF19" s="1634"/>
      <c r="GAG19" s="1634"/>
      <c r="GAH19" s="1634"/>
      <c r="GAI19" s="1634"/>
      <c r="GAJ19" s="1634"/>
      <c r="GAK19" s="1634"/>
      <c r="GAL19" s="1634"/>
      <c r="GAM19" s="1634"/>
      <c r="GAN19" s="1634"/>
      <c r="GAO19" s="1634"/>
      <c r="GAP19" s="1634"/>
      <c r="GAQ19" s="1634"/>
      <c r="GAR19" s="1634"/>
      <c r="GAS19" s="1634"/>
      <c r="GAT19" s="1634"/>
      <c r="GAU19" s="1634"/>
      <c r="GAV19" s="1634"/>
      <c r="GAW19" s="1634"/>
      <c r="GAX19" s="1634"/>
      <c r="GAY19" s="1634"/>
      <c r="GAZ19" s="1634"/>
      <c r="GBA19" s="1634"/>
      <c r="GBB19" s="1634"/>
      <c r="GBC19" s="1634"/>
      <c r="GBD19" s="1634"/>
      <c r="GBE19" s="1634"/>
      <c r="GBF19" s="1634"/>
      <c r="GBG19" s="1634"/>
      <c r="GBH19" s="1634"/>
      <c r="GBI19" s="1634"/>
      <c r="GBJ19" s="1634"/>
      <c r="GBK19" s="1634"/>
      <c r="GBL19" s="1634"/>
      <c r="GBM19" s="1634"/>
      <c r="GBN19" s="1634"/>
      <c r="GBO19" s="1634"/>
      <c r="GBP19" s="1634"/>
      <c r="GBQ19" s="1634"/>
      <c r="GBR19" s="1634"/>
      <c r="GBS19" s="1634"/>
      <c r="GBT19" s="1634"/>
      <c r="GBU19" s="1634"/>
      <c r="GBV19" s="1634"/>
      <c r="GBW19" s="1634"/>
      <c r="GBX19" s="1634"/>
      <c r="GBY19" s="1634"/>
      <c r="GBZ19" s="1634"/>
      <c r="GCA19" s="1634"/>
      <c r="GCB19" s="1634"/>
      <c r="GCC19" s="1634"/>
      <c r="GCD19" s="1634"/>
      <c r="GCE19" s="1634"/>
      <c r="GCF19" s="1634"/>
      <c r="GCG19" s="1634"/>
      <c r="GCH19" s="1634"/>
      <c r="GCI19" s="1634"/>
      <c r="GCJ19" s="1634"/>
      <c r="GCK19" s="1634"/>
      <c r="GCL19" s="1634"/>
      <c r="GCM19" s="1634"/>
      <c r="GCN19" s="1634"/>
      <c r="GCO19" s="1634"/>
      <c r="GCP19" s="1634"/>
      <c r="GCQ19" s="1634"/>
      <c r="GCR19" s="1634"/>
      <c r="GCS19" s="1634"/>
      <c r="GCT19" s="1634"/>
      <c r="GCU19" s="1634"/>
      <c r="GCV19" s="1634"/>
      <c r="GCW19" s="1634"/>
      <c r="GCX19" s="1634"/>
      <c r="GCY19" s="1634"/>
      <c r="GCZ19" s="1634"/>
      <c r="GDA19" s="1634"/>
      <c r="GDB19" s="1634"/>
      <c r="GDC19" s="1634"/>
      <c r="GDD19" s="1634"/>
      <c r="GDE19" s="1634"/>
      <c r="GDF19" s="1634"/>
      <c r="GDG19" s="1634"/>
      <c r="GDH19" s="1634"/>
      <c r="GDI19" s="1634"/>
      <c r="GDJ19" s="1634"/>
      <c r="GDK19" s="1634"/>
      <c r="GDL19" s="1634"/>
      <c r="GDM19" s="1634"/>
      <c r="GDN19" s="1634"/>
      <c r="GDO19" s="1634"/>
      <c r="GDP19" s="1634"/>
      <c r="GDQ19" s="1634"/>
      <c r="GDR19" s="1634"/>
      <c r="GDS19" s="1634"/>
      <c r="GDT19" s="1634"/>
      <c r="GDU19" s="1634"/>
      <c r="GDV19" s="1634"/>
      <c r="GDW19" s="1634"/>
      <c r="GDX19" s="1634"/>
      <c r="GDY19" s="1634"/>
      <c r="GDZ19" s="1634"/>
      <c r="GEA19" s="1634"/>
      <c r="GEB19" s="1634"/>
      <c r="GEC19" s="1634"/>
      <c r="GED19" s="1634"/>
      <c r="GEE19" s="1634"/>
      <c r="GEF19" s="1634"/>
      <c r="GEG19" s="1634"/>
      <c r="GEH19" s="1634"/>
      <c r="GEI19" s="1634"/>
      <c r="GEJ19" s="1634"/>
      <c r="GEK19" s="1634"/>
      <c r="GEL19" s="1634"/>
      <c r="GEM19" s="1634"/>
      <c r="GEN19" s="1634"/>
      <c r="GEO19" s="1634"/>
      <c r="GEP19" s="1634"/>
      <c r="GEQ19" s="1634"/>
      <c r="GER19" s="1634"/>
      <c r="GES19" s="1634"/>
      <c r="GET19" s="1634"/>
      <c r="GEU19" s="1634"/>
      <c r="GEV19" s="1634"/>
      <c r="GEW19" s="1634"/>
      <c r="GEX19" s="1634"/>
      <c r="GEY19" s="1634"/>
      <c r="GEZ19" s="1634"/>
      <c r="GFA19" s="1634"/>
      <c r="GFB19" s="1634"/>
      <c r="GFC19" s="1634"/>
      <c r="GFD19" s="1634"/>
      <c r="GFE19" s="1634"/>
      <c r="GFF19" s="1634"/>
      <c r="GFG19" s="1634"/>
      <c r="GFH19" s="1634"/>
      <c r="GFI19" s="1634"/>
      <c r="GFJ19" s="1634"/>
      <c r="GFK19" s="1634"/>
      <c r="GFL19" s="1634"/>
      <c r="GFM19" s="1634"/>
      <c r="GFN19" s="1634"/>
      <c r="GFO19" s="1634"/>
      <c r="GFP19" s="1634"/>
      <c r="GFQ19" s="1634"/>
      <c r="GFR19" s="1634"/>
      <c r="GFS19" s="1634"/>
      <c r="GFT19" s="1634"/>
      <c r="GFU19" s="1634"/>
      <c r="GFV19" s="1634"/>
      <c r="GFW19" s="1634"/>
      <c r="GFX19" s="1634"/>
      <c r="GFY19" s="1634"/>
      <c r="GFZ19" s="1634"/>
      <c r="GGA19" s="1634"/>
      <c r="GGB19" s="1634"/>
      <c r="GGC19" s="1634"/>
      <c r="GGD19" s="1634"/>
      <c r="GGE19" s="1634"/>
      <c r="GGF19" s="1634"/>
      <c r="GGG19" s="1634"/>
      <c r="GGH19" s="1634"/>
      <c r="GGI19" s="1634"/>
      <c r="GGJ19" s="1634"/>
      <c r="GGK19" s="1634"/>
      <c r="GGL19" s="1634"/>
      <c r="GGM19" s="1634"/>
      <c r="GGN19" s="1634"/>
      <c r="GGO19" s="1634"/>
      <c r="GGP19" s="1634"/>
      <c r="GGQ19" s="1634"/>
      <c r="GGR19" s="1634"/>
      <c r="GGS19" s="1634"/>
      <c r="GGT19" s="1634"/>
      <c r="GGU19" s="1634"/>
      <c r="GGV19" s="1634"/>
      <c r="GGW19" s="1634"/>
      <c r="GGX19" s="1634"/>
      <c r="GGY19" s="1634"/>
      <c r="GGZ19" s="1634"/>
      <c r="GHA19" s="1634"/>
      <c r="GHB19" s="1634"/>
      <c r="GHC19" s="1634"/>
      <c r="GHD19" s="1634"/>
      <c r="GHE19" s="1634"/>
      <c r="GHF19" s="1634"/>
      <c r="GHG19" s="1634"/>
      <c r="GHH19" s="1634"/>
      <c r="GHI19" s="1634"/>
      <c r="GHJ19" s="1634"/>
      <c r="GHK19" s="1634"/>
      <c r="GHL19" s="1634"/>
      <c r="GHM19" s="1634"/>
      <c r="GHN19" s="1634"/>
      <c r="GHO19" s="1634"/>
      <c r="GHP19" s="1634"/>
      <c r="GHQ19" s="1634"/>
      <c r="GHR19" s="1634"/>
      <c r="GHS19" s="1634"/>
      <c r="GHT19" s="1634"/>
      <c r="GHU19" s="1634"/>
      <c r="GHV19" s="1634"/>
      <c r="GHW19" s="1634"/>
      <c r="GHX19" s="1634"/>
      <c r="GHY19" s="1634"/>
      <c r="GHZ19" s="1634"/>
      <c r="GIA19" s="1634"/>
      <c r="GIB19" s="1634"/>
      <c r="GIC19" s="1634"/>
      <c r="GID19" s="1634"/>
      <c r="GIE19" s="1634"/>
      <c r="GIF19" s="1634"/>
      <c r="GIG19" s="1634"/>
      <c r="GIH19" s="1634"/>
      <c r="GII19" s="1634"/>
      <c r="GIJ19" s="1634"/>
      <c r="GIK19" s="1634"/>
      <c r="GIL19" s="1634"/>
      <c r="GIM19" s="1634"/>
      <c r="GIN19" s="1634"/>
      <c r="GIO19" s="1634"/>
      <c r="GIP19" s="1634"/>
      <c r="GIQ19" s="1634"/>
      <c r="GIR19" s="1634"/>
      <c r="GIS19" s="1634"/>
      <c r="GIT19" s="1634"/>
      <c r="GIU19" s="1634"/>
      <c r="GIV19" s="1634"/>
      <c r="GIW19" s="1634"/>
      <c r="GIX19" s="1634"/>
      <c r="GIY19" s="1634"/>
      <c r="GIZ19" s="1634"/>
      <c r="GJA19" s="1634"/>
      <c r="GJB19" s="1634"/>
      <c r="GJC19" s="1634"/>
      <c r="GJD19" s="1634"/>
      <c r="GJE19" s="1634"/>
      <c r="GJF19" s="1634"/>
      <c r="GJG19" s="1634"/>
      <c r="GJH19" s="1634"/>
      <c r="GJI19" s="1634"/>
      <c r="GJJ19" s="1634"/>
      <c r="GJK19" s="1634"/>
      <c r="GJL19" s="1634"/>
      <c r="GJM19" s="1634"/>
      <c r="GJN19" s="1634"/>
      <c r="GJO19" s="1634"/>
      <c r="GJP19" s="1634"/>
      <c r="GJQ19" s="1634"/>
      <c r="GJR19" s="1634"/>
      <c r="GJS19" s="1634"/>
      <c r="GJT19" s="1634"/>
      <c r="GJU19" s="1634"/>
      <c r="GJV19" s="1634"/>
      <c r="GJW19" s="1634"/>
      <c r="GJX19" s="1634"/>
      <c r="GJY19" s="1634"/>
      <c r="GJZ19" s="1634"/>
      <c r="GKA19" s="1634"/>
      <c r="GKB19" s="1634"/>
      <c r="GKC19" s="1634"/>
      <c r="GKD19" s="1634"/>
      <c r="GKE19" s="1634"/>
      <c r="GKF19" s="1634"/>
      <c r="GKG19" s="1634"/>
      <c r="GKH19" s="1634"/>
      <c r="GKI19" s="1634"/>
      <c r="GKJ19" s="1634"/>
      <c r="GKK19" s="1634"/>
      <c r="GKL19" s="1634"/>
      <c r="GKM19" s="1634"/>
      <c r="GKN19" s="1634"/>
      <c r="GKO19" s="1634"/>
      <c r="GKP19" s="1634"/>
      <c r="GKQ19" s="1634"/>
      <c r="GKR19" s="1634"/>
      <c r="GKS19" s="1634"/>
      <c r="GKT19" s="1634"/>
      <c r="GKU19" s="1634"/>
      <c r="GKV19" s="1634"/>
      <c r="GKW19" s="1634"/>
      <c r="GKX19" s="1634"/>
      <c r="GKY19" s="1634"/>
      <c r="GKZ19" s="1634"/>
      <c r="GLA19" s="1634"/>
      <c r="GLB19" s="1634"/>
      <c r="GLC19" s="1634"/>
      <c r="GLD19" s="1634"/>
      <c r="GLE19" s="1634"/>
      <c r="GLF19" s="1634"/>
      <c r="GLG19" s="1634"/>
      <c r="GLH19" s="1634"/>
      <c r="GLI19" s="1634"/>
      <c r="GLJ19" s="1634"/>
      <c r="GLK19" s="1634"/>
      <c r="GLL19" s="1634"/>
      <c r="GLM19" s="1634"/>
      <c r="GLN19" s="1634"/>
      <c r="GLO19" s="1634"/>
      <c r="GLP19" s="1634"/>
      <c r="GLQ19" s="1634"/>
      <c r="GLR19" s="1634"/>
      <c r="GLS19" s="1634"/>
      <c r="GLT19" s="1634"/>
      <c r="GLU19" s="1634"/>
      <c r="GLV19" s="1634"/>
      <c r="GLW19" s="1634"/>
      <c r="GLX19" s="1634"/>
      <c r="GLY19" s="1634"/>
      <c r="GLZ19" s="1634"/>
      <c r="GMA19" s="1634"/>
      <c r="GMB19" s="1634"/>
      <c r="GMC19" s="1634"/>
      <c r="GMD19" s="1634"/>
      <c r="GME19" s="1634"/>
      <c r="GMF19" s="1634"/>
      <c r="GMG19" s="1634"/>
      <c r="GMH19" s="1634"/>
      <c r="GMI19" s="1634"/>
      <c r="GMJ19" s="1634"/>
      <c r="GMK19" s="1634"/>
      <c r="GML19" s="1634"/>
      <c r="GMM19" s="1634"/>
      <c r="GMN19" s="1634"/>
      <c r="GMO19" s="1634"/>
      <c r="GMP19" s="1634"/>
      <c r="GMQ19" s="1634"/>
      <c r="GMR19" s="1634"/>
      <c r="GMS19" s="1634"/>
      <c r="GMT19" s="1634"/>
      <c r="GMU19" s="1634"/>
      <c r="GMV19" s="1634"/>
      <c r="GMW19" s="1634"/>
      <c r="GMX19" s="1634"/>
      <c r="GMY19" s="1634"/>
      <c r="GMZ19" s="1634"/>
      <c r="GNA19" s="1634"/>
      <c r="GNB19" s="1634"/>
      <c r="GNC19" s="1634"/>
      <c r="GND19" s="1634"/>
      <c r="GNE19" s="1634"/>
      <c r="GNF19" s="1634"/>
      <c r="GNG19" s="1634"/>
      <c r="GNH19" s="1634"/>
      <c r="GNI19" s="1634"/>
      <c r="GNJ19" s="1634"/>
      <c r="GNK19" s="1634"/>
      <c r="GNL19" s="1634"/>
      <c r="GNM19" s="1634"/>
      <c r="GNN19" s="1634"/>
      <c r="GNO19" s="1634"/>
      <c r="GNP19" s="1634"/>
      <c r="GNQ19" s="1634"/>
      <c r="GNR19" s="1634"/>
      <c r="GNS19" s="1634"/>
      <c r="GNT19" s="1634"/>
      <c r="GNU19" s="1634"/>
      <c r="GNV19" s="1634"/>
      <c r="GNW19" s="1634"/>
      <c r="GNX19" s="1634"/>
      <c r="GNY19" s="1634"/>
      <c r="GNZ19" s="1634"/>
      <c r="GOA19" s="1634"/>
      <c r="GOB19" s="1634"/>
      <c r="GOC19" s="1634"/>
      <c r="GOD19" s="1634"/>
      <c r="GOE19" s="1634"/>
      <c r="GOF19" s="1634"/>
      <c r="GOG19" s="1634"/>
      <c r="GOH19" s="1634"/>
      <c r="GOI19" s="1634"/>
      <c r="GOJ19" s="1634"/>
      <c r="GOK19" s="1634"/>
      <c r="GOL19" s="1634"/>
      <c r="GOM19" s="1634"/>
      <c r="GON19" s="1634"/>
      <c r="GOO19" s="1634"/>
      <c r="GOP19" s="1634"/>
      <c r="GOQ19" s="1634"/>
      <c r="GOR19" s="1634"/>
      <c r="GOS19" s="1634"/>
      <c r="GOT19" s="1634"/>
      <c r="GOU19" s="1634"/>
      <c r="GOV19" s="1634"/>
      <c r="GOW19" s="1634"/>
      <c r="GOX19" s="1634"/>
      <c r="GOY19" s="1634"/>
      <c r="GOZ19" s="1634"/>
      <c r="GPA19" s="1634"/>
      <c r="GPB19" s="1634"/>
      <c r="GPC19" s="1634"/>
      <c r="GPD19" s="1634"/>
      <c r="GPE19" s="1634"/>
      <c r="GPF19" s="1634"/>
      <c r="GPG19" s="1634"/>
      <c r="GPH19" s="1634"/>
      <c r="GPI19" s="1634"/>
      <c r="GPJ19" s="1634"/>
      <c r="GPK19" s="1634"/>
      <c r="GPL19" s="1634"/>
      <c r="GPM19" s="1634"/>
      <c r="GPN19" s="1634"/>
      <c r="GPO19" s="1634"/>
      <c r="GPP19" s="1634"/>
      <c r="GPQ19" s="1634"/>
      <c r="GPR19" s="1634"/>
      <c r="GPS19" s="1634"/>
      <c r="GPT19" s="1634"/>
      <c r="GPU19" s="1634"/>
      <c r="GPV19" s="1634"/>
      <c r="GPW19" s="1634"/>
      <c r="GPX19" s="1634"/>
      <c r="GPY19" s="1634"/>
      <c r="GPZ19" s="1634"/>
      <c r="GQA19" s="1634"/>
      <c r="GQB19" s="1634"/>
      <c r="GQC19" s="1634"/>
      <c r="GQD19" s="1634"/>
      <c r="GQE19" s="1634"/>
      <c r="GQF19" s="1634"/>
      <c r="GQG19" s="1634"/>
      <c r="GQH19" s="1634"/>
      <c r="GQI19" s="1634"/>
      <c r="GQJ19" s="1634"/>
      <c r="GQK19" s="1634"/>
      <c r="GQL19" s="1634"/>
      <c r="GQM19" s="1634"/>
      <c r="GQN19" s="1634"/>
      <c r="GQO19" s="1634"/>
      <c r="GQP19" s="1634"/>
      <c r="GQQ19" s="1634"/>
      <c r="GQR19" s="1634"/>
      <c r="GQS19" s="1634"/>
      <c r="GQT19" s="1634"/>
      <c r="GQU19" s="1634"/>
      <c r="GQV19" s="1634"/>
      <c r="GQW19" s="1634"/>
      <c r="GQX19" s="1634"/>
      <c r="GQY19" s="1634"/>
      <c r="GQZ19" s="1634"/>
      <c r="GRA19" s="1634"/>
      <c r="GRB19" s="1634"/>
      <c r="GRC19" s="1634"/>
      <c r="GRD19" s="1634"/>
      <c r="GRE19" s="1634"/>
      <c r="GRF19" s="1634"/>
      <c r="GRG19" s="1634"/>
      <c r="GRH19" s="1634"/>
      <c r="GRI19" s="1634"/>
      <c r="GRJ19" s="1634"/>
      <c r="GRK19" s="1634"/>
      <c r="GRL19" s="1634"/>
      <c r="GRM19" s="1634"/>
      <c r="GRN19" s="1634"/>
      <c r="GRO19" s="1634"/>
      <c r="GRP19" s="1634"/>
      <c r="GRQ19" s="1634"/>
      <c r="GRR19" s="1634"/>
      <c r="GRS19" s="1634"/>
      <c r="GRT19" s="1634"/>
      <c r="GRU19" s="1634"/>
      <c r="GRV19" s="1634"/>
      <c r="GRW19" s="1634"/>
      <c r="GRX19" s="1634"/>
      <c r="GRY19" s="1634"/>
      <c r="GRZ19" s="1634"/>
      <c r="GSA19" s="1634"/>
      <c r="GSB19" s="1634"/>
      <c r="GSC19" s="1634"/>
      <c r="GSD19" s="1634"/>
      <c r="GSE19" s="1634"/>
      <c r="GSF19" s="1634"/>
      <c r="GSG19" s="1634"/>
      <c r="GSH19" s="1634"/>
      <c r="GSI19" s="1634"/>
      <c r="GSJ19" s="1634"/>
      <c r="GSK19" s="1634"/>
      <c r="GSL19" s="1634"/>
      <c r="GSM19" s="1634"/>
      <c r="GSN19" s="1634"/>
      <c r="GSO19" s="1634"/>
      <c r="GSP19" s="1634"/>
      <c r="GSQ19" s="1634"/>
      <c r="GSR19" s="1634"/>
      <c r="GSS19" s="1634"/>
      <c r="GST19" s="1634"/>
      <c r="GSU19" s="1634"/>
      <c r="GSV19" s="1634"/>
      <c r="GSW19" s="1634"/>
      <c r="GSX19" s="1634"/>
      <c r="GSY19" s="1634"/>
      <c r="GSZ19" s="1634"/>
      <c r="GTA19" s="1634"/>
      <c r="GTB19" s="1634"/>
      <c r="GTC19" s="1634"/>
      <c r="GTD19" s="1634"/>
      <c r="GTE19" s="1634"/>
      <c r="GTF19" s="1634"/>
      <c r="GTG19" s="1634"/>
      <c r="GTH19" s="1634"/>
      <c r="GTI19" s="1634"/>
      <c r="GTJ19" s="1634"/>
      <c r="GTK19" s="1634"/>
      <c r="GTL19" s="1634"/>
      <c r="GTM19" s="1634"/>
      <c r="GTN19" s="1634"/>
      <c r="GTO19" s="1634"/>
      <c r="GTP19" s="1634"/>
      <c r="GTQ19" s="1634"/>
      <c r="GTR19" s="1634"/>
      <c r="GTS19" s="1634"/>
      <c r="GTT19" s="1634"/>
      <c r="GTU19" s="1634"/>
      <c r="GTV19" s="1634"/>
      <c r="GTW19" s="1634"/>
      <c r="GTX19" s="1634"/>
      <c r="GTY19" s="1634"/>
      <c r="GTZ19" s="1634"/>
      <c r="GUA19" s="1634"/>
      <c r="GUB19" s="1634"/>
      <c r="GUC19" s="1634"/>
      <c r="GUD19" s="1634"/>
      <c r="GUE19" s="1634"/>
      <c r="GUF19" s="1634"/>
      <c r="GUG19" s="1634"/>
      <c r="GUH19" s="1634"/>
      <c r="GUI19" s="1634"/>
      <c r="GUJ19" s="1634"/>
      <c r="GUK19" s="1634"/>
      <c r="GUL19" s="1634"/>
      <c r="GUM19" s="1634"/>
      <c r="GUN19" s="1634"/>
      <c r="GUO19" s="1634"/>
      <c r="GUP19" s="1634"/>
      <c r="GUQ19" s="1634"/>
      <c r="GUR19" s="1634"/>
      <c r="GUS19" s="1634"/>
      <c r="GUT19" s="1634"/>
      <c r="GUU19" s="1634"/>
      <c r="GUV19" s="1634"/>
      <c r="GUW19" s="1634"/>
      <c r="GUX19" s="1634"/>
      <c r="GUY19" s="1634"/>
      <c r="GUZ19" s="1634"/>
      <c r="GVA19" s="1634"/>
      <c r="GVB19" s="1634"/>
      <c r="GVC19" s="1634"/>
      <c r="GVD19" s="1634"/>
      <c r="GVE19" s="1634"/>
      <c r="GVF19" s="1634"/>
      <c r="GVG19" s="1634"/>
      <c r="GVH19" s="1634"/>
      <c r="GVI19" s="1634"/>
      <c r="GVJ19" s="1634"/>
      <c r="GVK19" s="1634"/>
      <c r="GVL19" s="1634"/>
      <c r="GVM19" s="1634"/>
      <c r="GVN19" s="1634"/>
      <c r="GVO19" s="1634"/>
      <c r="GVP19" s="1634"/>
      <c r="GVQ19" s="1634"/>
      <c r="GVR19" s="1634"/>
      <c r="GVS19" s="1634"/>
      <c r="GVT19" s="1634"/>
      <c r="GVU19" s="1634"/>
      <c r="GVV19" s="1634"/>
      <c r="GVW19" s="1634"/>
      <c r="GVX19" s="1634"/>
      <c r="GVY19" s="1634"/>
      <c r="GVZ19" s="1634"/>
      <c r="GWA19" s="1634"/>
      <c r="GWB19" s="1634"/>
      <c r="GWC19" s="1634"/>
      <c r="GWD19" s="1634"/>
      <c r="GWE19" s="1634"/>
      <c r="GWF19" s="1634"/>
      <c r="GWG19" s="1634"/>
      <c r="GWH19" s="1634"/>
      <c r="GWI19" s="1634"/>
      <c r="GWJ19" s="1634"/>
      <c r="GWK19" s="1634"/>
      <c r="GWL19" s="1634"/>
      <c r="GWM19" s="1634"/>
      <c r="GWN19" s="1634"/>
      <c r="GWO19" s="1634"/>
      <c r="GWP19" s="1634"/>
      <c r="GWQ19" s="1634"/>
      <c r="GWR19" s="1634"/>
      <c r="GWS19" s="1634"/>
      <c r="GWT19" s="1634"/>
      <c r="GWU19" s="1634"/>
      <c r="GWV19" s="1634"/>
      <c r="GWW19" s="1634"/>
      <c r="GWX19" s="1634"/>
      <c r="GWY19" s="1634"/>
      <c r="GWZ19" s="1634"/>
      <c r="GXA19" s="1634"/>
      <c r="GXB19" s="1634"/>
      <c r="GXC19" s="1634"/>
      <c r="GXD19" s="1634"/>
      <c r="GXE19" s="1634"/>
      <c r="GXF19" s="1634"/>
      <c r="GXG19" s="1634"/>
      <c r="GXH19" s="1634"/>
      <c r="GXI19" s="1634"/>
      <c r="GXJ19" s="1634"/>
      <c r="GXK19" s="1634"/>
      <c r="GXL19" s="1634"/>
      <c r="GXM19" s="1634"/>
      <c r="GXN19" s="1634"/>
      <c r="GXO19" s="1634"/>
      <c r="GXP19" s="1634"/>
      <c r="GXQ19" s="1634"/>
      <c r="GXR19" s="1634"/>
      <c r="GXS19" s="1634"/>
      <c r="GXT19" s="1634"/>
      <c r="GXU19" s="1634"/>
      <c r="GXV19" s="1634"/>
      <c r="GXW19" s="1634"/>
      <c r="GXX19" s="1634"/>
      <c r="GXY19" s="1634"/>
      <c r="GXZ19" s="1634"/>
      <c r="GYA19" s="1634"/>
      <c r="GYB19" s="1634"/>
      <c r="GYC19" s="1634"/>
      <c r="GYD19" s="1634"/>
      <c r="GYE19" s="1634"/>
      <c r="GYF19" s="1634"/>
      <c r="GYG19" s="1634"/>
      <c r="GYH19" s="1634"/>
      <c r="GYI19" s="1634"/>
      <c r="GYJ19" s="1634"/>
      <c r="GYK19" s="1634"/>
      <c r="GYL19" s="1634"/>
      <c r="GYM19" s="1634"/>
      <c r="GYN19" s="1634"/>
      <c r="GYO19" s="1634"/>
      <c r="GYP19" s="1634"/>
      <c r="GYQ19" s="1634"/>
      <c r="GYR19" s="1634"/>
      <c r="GYS19" s="1634"/>
      <c r="GYT19" s="1634"/>
      <c r="GYU19" s="1634"/>
      <c r="GYV19" s="1634"/>
      <c r="GYW19" s="1634"/>
      <c r="GYX19" s="1634"/>
      <c r="GYY19" s="1634"/>
      <c r="GYZ19" s="1634"/>
      <c r="GZA19" s="1634"/>
      <c r="GZB19" s="1634"/>
      <c r="GZC19" s="1634"/>
      <c r="GZD19" s="1634"/>
      <c r="GZE19" s="1634"/>
      <c r="GZF19" s="1634"/>
      <c r="GZG19" s="1634"/>
      <c r="GZH19" s="1634"/>
      <c r="GZI19" s="1634"/>
      <c r="GZJ19" s="1634"/>
      <c r="GZK19" s="1634"/>
      <c r="GZL19" s="1634"/>
      <c r="GZM19" s="1634"/>
      <c r="GZN19" s="1634"/>
      <c r="GZO19" s="1634"/>
      <c r="GZP19" s="1634"/>
      <c r="GZQ19" s="1634"/>
      <c r="GZR19" s="1634"/>
      <c r="GZS19" s="1634"/>
      <c r="GZT19" s="1634"/>
      <c r="GZU19" s="1634"/>
      <c r="GZV19" s="1634"/>
      <c r="GZW19" s="1634"/>
      <c r="GZX19" s="1634"/>
      <c r="GZY19" s="1634"/>
      <c r="GZZ19" s="1634"/>
      <c r="HAA19" s="1634"/>
      <c r="HAB19" s="1634"/>
      <c r="HAC19" s="1634"/>
      <c r="HAD19" s="1634"/>
      <c r="HAE19" s="1634"/>
      <c r="HAF19" s="1634"/>
      <c r="HAG19" s="1634"/>
      <c r="HAH19" s="1634"/>
      <c r="HAI19" s="1634"/>
      <c r="HAJ19" s="1634"/>
      <c r="HAK19" s="1634"/>
      <c r="HAL19" s="1634"/>
      <c r="HAM19" s="1634"/>
      <c r="HAN19" s="1634"/>
      <c r="HAO19" s="1634"/>
      <c r="HAP19" s="1634"/>
      <c r="HAQ19" s="1634"/>
      <c r="HAR19" s="1634"/>
      <c r="HAS19" s="1634"/>
      <c r="HAT19" s="1634"/>
      <c r="HAU19" s="1634"/>
      <c r="HAV19" s="1634"/>
      <c r="HAW19" s="1634"/>
      <c r="HAX19" s="1634"/>
      <c r="HAY19" s="1634"/>
      <c r="HAZ19" s="1634"/>
      <c r="HBA19" s="1634"/>
      <c r="HBB19" s="1634"/>
      <c r="HBC19" s="1634"/>
      <c r="HBD19" s="1634"/>
      <c r="HBE19" s="1634"/>
      <c r="HBF19" s="1634"/>
      <c r="HBG19" s="1634"/>
      <c r="HBH19" s="1634"/>
      <c r="HBI19" s="1634"/>
      <c r="HBJ19" s="1634"/>
      <c r="HBK19" s="1634"/>
      <c r="HBL19" s="1634"/>
      <c r="HBM19" s="1634"/>
      <c r="HBN19" s="1634"/>
      <c r="HBO19" s="1634"/>
      <c r="HBP19" s="1634"/>
      <c r="HBQ19" s="1634"/>
      <c r="HBR19" s="1634"/>
      <c r="HBS19" s="1634"/>
      <c r="HBT19" s="1634"/>
      <c r="HBU19" s="1634"/>
      <c r="HBV19" s="1634"/>
      <c r="HBW19" s="1634"/>
      <c r="HBX19" s="1634"/>
      <c r="HBY19" s="1634"/>
      <c r="HBZ19" s="1634"/>
      <c r="HCA19" s="1634"/>
      <c r="HCB19" s="1634"/>
      <c r="HCC19" s="1634"/>
      <c r="HCD19" s="1634"/>
      <c r="HCE19" s="1634"/>
      <c r="HCF19" s="1634"/>
      <c r="HCG19" s="1634"/>
      <c r="HCH19" s="1634"/>
      <c r="HCI19" s="1634"/>
      <c r="HCJ19" s="1634"/>
      <c r="HCK19" s="1634"/>
      <c r="HCL19" s="1634"/>
      <c r="HCM19" s="1634"/>
      <c r="HCN19" s="1634"/>
      <c r="HCO19" s="1634"/>
      <c r="HCP19" s="1634"/>
      <c r="HCQ19" s="1634"/>
      <c r="HCR19" s="1634"/>
      <c r="HCS19" s="1634"/>
      <c r="HCT19" s="1634"/>
      <c r="HCU19" s="1634"/>
      <c r="HCV19" s="1634"/>
      <c r="HCW19" s="1634"/>
      <c r="HCX19" s="1634"/>
      <c r="HCY19" s="1634"/>
      <c r="HCZ19" s="1634"/>
      <c r="HDA19" s="1634"/>
      <c r="HDB19" s="1634"/>
      <c r="HDC19" s="1634"/>
      <c r="HDD19" s="1634"/>
      <c r="HDE19" s="1634"/>
      <c r="HDF19" s="1634"/>
      <c r="HDG19" s="1634"/>
      <c r="HDH19" s="1634"/>
      <c r="HDI19" s="1634"/>
      <c r="HDJ19" s="1634"/>
      <c r="HDK19" s="1634"/>
      <c r="HDL19" s="1634"/>
      <c r="HDM19" s="1634"/>
      <c r="HDN19" s="1634"/>
      <c r="HDO19" s="1634"/>
      <c r="HDP19" s="1634"/>
      <c r="HDQ19" s="1634"/>
      <c r="HDR19" s="1634"/>
      <c r="HDS19" s="1634"/>
      <c r="HDT19" s="1634"/>
      <c r="HDU19" s="1634"/>
      <c r="HDV19" s="1634"/>
      <c r="HDW19" s="1634"/>
      <c r="HDX19" s="1634"/>
      <c r="HDY19" s="1634"/>
      <c r="HDZ19" s="1634"/>
      <c r="HEA19" s="1634"/>
      <c r="HEB19" s="1634"/>
      <c r="HEC19" s="1634"/>
      <c r="HED19" s="1634"/>
      <c r="HEE19" s="1634"/>
      <c r="HEF19" s="1634"/>
      <c r="HEG19" s="1634"/>
      <c r="HEH19" s="1634"/>
      <c r="HEI19" s="1634"/>
      <c r="HEJ19" s="1634"/>
      <c r="HEK19" s="1634"/>
      <c r="HEL19" s="1634"/>
      <c r="HEM19" s="1634"/>
      <c r="HEN19" s="1634"/>
      <c r="HEO19" s="1634"/>
      <c r="HEP19" s="1634"/>
      <c r="HEQ19" s="1634"/>
      <c r="HER19" s="1634"/>
      <c r="HES19" s="1634"/>
      <c r="HET19" s="1634"/>
      <c r="HEU19" s="1634"/>
      <c r="HEV19" s="1634"/>
      <c r="HEW19" s="1634"/>
      <c r="HEX19" s="1634"/>
      <c r="HEY19" s="1634"/>
      <c r="HEZ19" s="1634"/>
      <c r="HFA19" s="1634"/>
      <c r="HFB19" s="1634"/>
      <c r="HFC19" s="1634"/>
      <c r="HFD19" s="1634"/>
      <c r="HFE19" s="1634"/>
      <c r="HFF19" s="1634"/>
      <c r="HFG19" s="1634"/>
      <c r="HFH19" s="1634"/>
      <c r="HFI19" s="1634"/>
      <c r="HFJ19" s="1634"/>
      <c r="HFK19" s="1634"/>
      <c r="HFL19" s="1634"/>
      <c r="HFM19" s="1634"/>
      <c r="HFN19" s="1634"/>
      <c r="HFO19" s="1634"/>
      <c r="HFP19" s="1634"/>
      <c r="HFQ19" s="1634"/>
      <c r="HFR19" s="1634"/>
      <c r="HFS19" s="1634"/>
      <c r="HFT19" s="1634"/>
      <c r="HFU19" s="1634"/>
      <c r="HFV19" s="1634"/>
      <c r="HFW19" s="1634"/>
      <c r="HFX19" s="1634"/>
      <c r="HFY19" s="1634"/>
      <c r="HFZ19" s="1634"/>
      <c r="HGA19" s="1634"/>
      <c r="HGB19" s="1634"/>
      <c r="HGC19" s="1634"/>
      <c r="HGD19" s="1634"/>
      <c r="HGE19" s="1634"/>
      <c r="HGF19" s="1634"/>
      <c r="HGG19" s="1634"/>
      <c r="HGH19" s="1634"/>
      <c r="HGI19" s="1634"/>
      <c r="HGJ19" s="1634"/>
      <c r="HGK19" s="1634"/>
      <c r="HGL19" s="1634"/>
      <c r="HGM19" s="1634"/>
      <c r="HGN19" s="1634"/>
      <c r="HGO19" s="1634"/>
      <c r="HGP19" s="1634"/>
      <c r="HGQ19" s="1634"/>
      <c r="HGR19" s="1634"/>
      <c r="HGS19" s="1634"/>
      <c r="HGT19" s="1634"/>
      <c r="HGU19" s="1634"/>
      <c r="HGV19" s="1634"/>
      <c r="HGW19" s="1634"/>
      <c r="HGX19" s="1634"/>
      <c r="HGY19" s="1634"/>
      <c r="HGZ19" s="1634"/>
      <c r="HHA19" s="1634"/>
      <c r="HHB19" s="1634"/>
      <c r="HHC19" s="1634"/>
      <c r="HHD19" s="1634"/>
      <c r="HHE19" s="1634"/>
      <c r="HHF19" s="1634"/>
      <c r="HHG19" s="1634"/>
      <c r="HHH19" s="1634"/>
      <c r="HHI19" s="1634"/>
      <c r="HHJ19" s="1634"/>
      <c r="HHK19" s="1634"/>
      <c r="HHL19" s="1634"/>
      <c r="HHM19" s="1634"/>
      <c r="HHN19" s="1634"/>
      <c r="HHO19" s="1634"/>
      <c r="HHP19" s="1634"/>
      <c r="HHQ19" s="1634"/>
      <c r="HHR19" s="1634"/>
      <c r="HHS19" s="1634"/>
      <c r="HHT19" s="1634"/>
      <c r="HHU19" s="1634"/>
      <c r="HHV19" s="1634"/>
      <c r="HHW19" s="1634"/>
      <c r="HHX19" s="1634"/>
      <c r="HHY19" s="1634"/>
      <c r="HHZ19" s="1634"/>
      <c r="HIA19" s="1634"/>
      <c r="HIB19" s="1634"/>
      <c r="HIC19" s="1634"/>
      <c r="HID19" s="1634"/>
      <c r="HIE19" s="1634"/>
      <c r="HIF19" s="1634"/>
      <c r="HIG19" s="1634"/>
      <c r="HIH19" s="1634"/>
      <c r="HII19" s="1634"/>
      <c r="HIJ19" s="1634"/>
      <c r="HIK19" s="1634"/>
      <c r="HIL19" s="1634"/>
      <c r="HIM19" s="1634"/>
      <c r="HIN19" s="1634"/>
      <c r="HIO19" s="1634"/>
      <c r="HIP19" s="1634"/>
      <c r="HIQ19" s="1634"/>
      <c r="HIR19" s="1634"/>
      <c r="HIS19" s="1634"/>
      <c r="HIT19" s="1634"/>
      <c r="HIU19" s="1634"/>
      <c r="HIV19" s="1634"/>
      <c r="HIW19" s="1634"/>
      <c r="HIX19" s="1634"/>
      <c r="HIY19" s="1634"/>
      <c r="HIZ19" s="1634"/>
      <c r="HJA19" s="1634"/>
      <c r="HJB19" s="1634"/>
      <c r="HJC19" s="1634"/>
      <c r="HJD19" s="1634"/>
      <c r="HJE19" s="1634"/>
      <c r="HJF19" s="1634"/>
      <c r="HJG19" s="1634"/>
      <c r="HJH19" s="1634"/>
      <c r="HJI19" s="1634"/>
      <c r="HJJ19" s="1634"/>
      <c r="HJK19" s="1634"/>
      <c r="HJL19" s="1634"/>
      <c r="HJM19" s="1634"/>
      <c r="HJN19" s="1634"/>
      <c r="HJO19" s="1634"/>
      <c r="HJP19" s="1634"/>
      <c r="HJQ19" s="1634"/>
      <c r="HJR19" s="1634"/>
      <c r="HJS19" s="1634"/>
      <c r="HJT19" s="1634"/>
      <c r="HJU19" s="1634"/>
      <c r="HJV19" s="1634"/>
      <c r="HJW19" s="1634"/>
      <c r="HJX19" s="1634"/>
      <c r="HJY19" s="1634"/>
      <c r="HJZ19" s="1634"/>
      <c r="HKA19" s="1634"/>
      <c r="HKB19" s="1634"/>
      <c r="HKC19" s="1634"/>
      <c r="HKD19" s="1634"/>
      <c r="HKE19" s="1634"/>
      <c r="HKF19" s="1634"/>
      <c r="HKG19" s="1634"/>
      <c r="HKH19" s="1634"/>
      <c r="HKI19" s="1634"/>
      <c r="HKJ19" s="1634"/>
      <c r="HKK19" s="1634"/>
      <c r="HKL19" s="1634"/>
      <c r="HKM19" s="1634"/>
      <c r="HKN19" s="1634"/>
      <c r="HKO19" s="1634"/>
      <c r="HKP19" s="1634"/>
      <c r="HKQ19" s="1634"/>
      <c r="HKR19" s="1634"/>
      <c r="HKS19" s="1634"/>
      <c r="HKT19" s="1634"/>
      <c r="HKU19" s="1634"/>
      <c r="HKV19" s="1634"/>
      <c r="HKW19" s="1634"/>
      <c r="HKX19" s="1634"/>
      <c r="HKY19" s="1634"/>
      <c r="HKZ19" s="1634"/>
      <c r="HLA19" s="1634"/>
      <c r="HLB19" s="1634"/>
      <c r="HLC19" s="1634"/>
      <c r="HLD19" s="1634"/>
      <c r="HLE19" s="1634"/>
      <c r="HLF19" s="1634"/>
      <c r="HLG19" s="1634"/>
      <c r="HLH19" s="1634"/>
      <c r="HLI19" s="1634"/>
      <c r="HLJ19" s="1634"/>
      <c r="HLK19" s="1634"/>
      <c r="HLL19" s="1634"/>
      <c r="HLM19" s="1634"/>
      <c r="HLN19" s="1634"/>
      <c r="HLO19" s="1634"/>
      <c r="HLP19" s="1634"/>
      <c r="HLQ19" s="1634"/>
      <c r="HLR19" s="1634"/>
      <c r="HLS19" s="1634"/>
      <c r="HLT19" s="1634"/>
      <c r="HLU19" s="1634"/>
      <c r="HLV19" s="1634"/>
      <c r="HLW19" s="1634"/>
      <c r="HLX19" s="1634"/>
      <c r="HLY19" s="1634"/>
      <c r="HLZ19" s="1634"/>
      <c r="HMA19" s="1634"/>
      <c r="HMB19" s="1634"/>
      <c r="HMC19" s="1634"/>
      <c r="HMD19" s="1634"/>
      <c r="HME19" s="1634"/>
      <c r="HMF19" s="1634"/>
      <c r="HMG19" s="1634"/>
      <c r="HMH19" s="1634"/>
      <c r="HMI19" s="1634"/>
      <c r="HMJ19" s="1634"/>
      <c r="HMK19" s="1634"/>
      <c r="HML19" s="1634"/>
      <c r="HMM19" s="1634"/>
      <c r="HMN19" s="1634"/>
      <c r="HMO19" s="1634"/>
      <c r="HMP19" s="1634"/>
      <c r="HMQ19" s="1634"/>
      <c r="HMR19" s="1634"/>
      <c r="HMS19" s="1634"/>
      <c r="HMT19" s="1634"/>
      <c r="HMU19" s="1634"/>
      <c r="HMV19" s="1634"/>
      <c r="HMW19" s="1634"/>
      <c r="HMX19" s="1634"/>
      <c r="HMY19" s="1634"/>
      <c r="HMZ19" s="1634"/>
      <c r="HNA19" s="1634"/>
      <c r="HNB19" s="1634"/>
      <c r="HNC19" s="1634"/>
      <c r="HND19" s="1634"/>
      <c r="HNE19" s="1634"/>
      <c r="HNF19" s="1634"/>
      <c r="HNG19" s="1634"/>
      <c r="HNH19" s="1634"/>
      <c r="HNI19" s="1634"/>
      <c r="HNJ19" s="1634"/>
      <c r="HNK19" s="1634"/>
      <c r="HNL19" s="1634"/>
      <c r="HNM19" s="1634"/>
      <c r="HNN19" s="1634"/>
      <c r="HNO19" s="1634"/>
      <c r="HNP19" s="1634"/>
      <c r="HNQ19" s="1634"/>
      <c r="HNR19" s="1634"/>
      <c r="HNS19" s="1634"/>
      <c r="HNT19" s="1634"/>
      <c r="HNU19" s="1634"/>
      <c r="HNV19" s="1634"/>
      <c r="HNW19" s="1634"/>
      <c r="HNX19" s="1634"/>
      <c r="HNY19" s="1634"/>
      <c r="HNZ19" s="1634"/>
      <c r="HOA19" s="1634"/>
      <c r="HOB19" s="1634"/>
      <c r="HOC19" s="1634"/>
      <c r="HOD19" s="1634"/>
      <c r="HOE19" s="1634"/>
      <c r="HOF19" s="1634"/>
      <c r="HOG19" s="1634"/>
      <c r="HOH19" s="1634"/>
      <c r="HOI19" s="1634"/>
      <c r="HOJ19" s="1634"/>
      <c r="HOK19" s="1634"/>
      <c r="HOL19" s="1634"/>
      <c r="HOM19" s="1634"/>
      <c r="HON19" s="1634"/>
      <c r="HOO19" s="1634"/>
      <c r="HOP19" s="1634"/>
      <c r="HOQ19" s="1634"/>
      <c r="HOR19" s="1634"/>
      <c r="HOS19" s="1634"/>
      <c r="HOT19" s="1634"/>
      <c r="HOU19" s="1634"/>
      <c r="HOV19" s="1634"/>
      <c r="HOW19" s="1634"/>
      <c r="HOX19" s="1634"/>
      <c r="HOY19" s="1634"/>
      <c r="HOZ19" s="1634"/>
      <c r="HPA19" s="1634"/>
      <c r="HPB19" s="1634"/>
      <c r="HPC19" s="1634"/>
      <c r="HPD19" s="1634"/>
      <c r="HPE19" s="1634"/>
      <c r="HPF19" s="1634"/>
      <c r="HPG19" s="1634"/>
      <c r="HPH19" s="1634"/>
      <c r="HPI19" s="1634"/>
      <c r="HPJ19" s="1634"/>
      <c r="HPK19" s="1634"/>
      <c r="HPL19" s="1634"/>
      <c r="HPM19" s="1634"/>
      <c r="HPN19" s="1634"/>
      <c r="HPO19" s="1634"/>
      <c r="HPP19" s="1634"/>
      <c r="HPQ19" s="1634"/>
      <c r="HPR19" s="1634"/>
      <c r="HPS19" s="1634"/>
      <c r="HPT19" s="1634"/>
      <c r="HPU19" s="1634"/>
      <c r="HPV19" s="1634"/>
      <c r="HPW19" s="1634"/>
      <c r="HPX19" s="1634"/>
      <c r="HPY19" s="1634"/>
      <c r="HPZ19" s="1634"/>
      <c r="HQA19" s="1634"/>
      <c r="HQB19" s="1634"/>
      <c r="HQC19" s="1634"/>
      <c r="HQD19" s="1634"/>
      <c r="HQE19" s="1634"/>
      <c r="HQF19" s="1634"/>
      <c r="HQG19" s="1634"/>
      <c r="HQH19" s="1634"/>
      <c r="HQI19" s="1634"/>
      <c r="HQJ19" s="1634"/>
      <c r="HQK19" s="1634"/>
      <c r="HQL19" s="1634"/>
      <c r="HQM19" s="1634"/>
      <c r="HQN19" s="1634"/>
      <c r="HQO19" s="1634"/>
      <c r="HQP19" s="1634"/>
      <c r="HQQ19" s="1634"/>
      <c r="HQR19" s="1634"/>
      <c r="HQS19" s="1634"/>
      <c r="HQT19" s="1634"/>
      <c r="HQU19" s="1634"/>
      <c r="HQV19" s="1634"/>
      <c r="HQW19" s="1634"/>
      <c r="HQX19" s="1634"/>
      <c r="HQY19" s="1634"/>
      <c r="HQZ19" s="1634"/>
      <c r="HRA19" s="1634"/>
      <c r="HRB19" s="1634"/>
      <c r="HRC19" s="1634"/>
      <c r="HRD19" s="1634"/>
      <c r="HRE19" s="1634"/>
      <c r="HRF19" s="1634"/>
      <c r="HRG19" s="1634"/>
      <c r="HRH19" s="1634"/>
      <c r="HRI19" s="1634"/>
      <c r="HRJ19" s="1634"/>
      <c r="HRK19" s="1634"/>
      <c r="HRL19" s="1634"/>
      <c r="HRM19" s="1634"/>
      <c r="HRN19" s="1634"/>
      <c r="HRO19" s="1634"/>
      <c r="HRP19" s="1634"/>
      <c r="HRQ19" s="1634"/>
      <c r="HRR19" s="1634"/>
      <c r="HRS19" s="1634"/>
      <c r="HRT19" s="1634"/>
      <c r="HRU19" s="1634"/>
      <c r="HRV19" s="1634"/>
      <c r="HRW19" s="1634"/>
      <c r="HRX19" s="1634"/>
      <c r="HRY19" s="1634"/>
      <c r="HRZ19" s="1634"/>
      <c r="HSA19" s="1634"/>
      <c r="HSB19" s="1634"/>
      <c r="HSC19" s="1634"/>
      <c r="HSD19" s="1634"/>
      <c r="HSE19" s="1634"/>
      <c r="HSF19" s="1634"/>
      <c r="HSG19" s="1634"/>
      <c r="HSH19" s="1634"/>
      <c r="HSI19" s="1634"/>
      <c r="HSJ19" s="1634"/>
      <c r="HSK19" s="1634"/>
      <c r="HSL19" s="1634"/>
      <c r="HSM19" s="1634"/>
      <c r="HSN19" s="1634"/>
      <c r="HSO19" s="1634"/>
      <c r="HSP19" s="1634"/>
      <c r="HSQ19" s="1634"/>
      <c r="HSR19" s="1634"/>
      <c r="HSS19" s="1634"/>
      <c r="HST19" s="1634"/>
      <c r="HSU19" s="1634"/>
      <c r="HSV19" s="1634"/>
      <c r="HSW19" s="1634"/>
      <c r="HSX19" s="1634"/>
      <c r="HSY19" s="1634"/>
      <c r="HSZ19" s="1634"/>
      <c r="HTA19" s="1634"/>
      <c r="HTB19" s="1634"/>
      <c r="HTC19" s="1634"/>
      <c r="HTD19" s="1634"/>
      <c r="HTE19" s="1634"/>
      <c r="HTF19" s="1634"/>
      <c r="HTG19" s="1634"/>
      <c r="HTH19" s="1634"/>
      <c r="HTI19" s="1634"/>
      <c r="HTJ19" s="1634"/>
      <c r="HTK19" s="1634"/>
      <c r="HTL19" s="1634"/>
      <c r="HTM19" s="1634"/>
      <c r="HTN19" s="1634"/>
      <c r="HTO19" s="1634"/>
      <c r="HTP19" s="1634"/>
      <c r="HTQ19" s="1634"/>
      <c r="HTR19" s="1634"/>
      <c r="HTS19" s="1634"/>
      <c r="HTT19" s="1634"/>
      <c r="HTU19" s="1634"/>
      <c r="HTV19" s="1634"/>
      <c r="HTW19" s="1634"/>
      <c r="HTX19" s="1634"/>
      <c r="HTY19" s="1634"/>
      <c r="HTZ19" s="1634"/>
      <c r="HUA19" s="1634"/>
      <c r="HUB19" s="1634"/>
      <c r="HUC19" s="1634"/>
      <c r="HUD19" s="1634"/>
      <c r="HUE19" s="1634"/>
      <c r="HUF19" s="1634"/>
      <c r="HUG19" s="1634"/>
      <c r="HUH19" s="1634"/>
      <c r="HUI19" s="1634"/>
      <c r="HUJ19" s="1634"/>
      <c r="HUK19" s="1634"/>
      <c r="HUL19" s="1634"/>
      <c r="HUM19" s="1634"/>
      <c r="HUN19" s="1634"/>
      <c r="HUO19" s="1634"/>
      <c r="HUP19" s="1634"/>
      <c r="HUQ19" s="1634"/>
      <c r="HUR19" s="1634"/>
      <c r="HUS19" s="1634"/>
      <c r="HUT19" s="1634"/>
      <c r="HUU19" s="1634"/>
      <c r="HUV19" s="1634"/>
      <c r="HUW19" s="1634"/>
      <c r="HUX19" s="1634"/>
      <c r="HUY19" s="1634"/>
      <c r="HUZ19" s="1634"/>
      <c r="HVA19" s="1634"/>
      <c r="HVB19" s="1634"/>
      <c r="HVC19" s="1634"/>
      <c r="HVD19" s="1634"/>
      <c r="HVE19" s="1634"/>
      <c r="HVF19" s="1634"/>
      <c r="HVG19" s="1634"/>
      <c r="HVH19" s="1634"/>
      <c r="HVI19" s="1634"/>
      <c r="HVJ19" s="1634"/>
      <c r="HVK19" s="1634"/>
      <c r="HVL19" s="1634"/>
      <c r="HVM19" s="1634"/>
      <c r="HVN19" s="1634"/>
      <c r="HVO19" s="1634"/>
      <c r="HVP19" s="1634"/>
      <c r="HVQ19" s="1634"/>
      <c r="HVR19" s="1634"/>
      <c r="HVS19" s="1634"/>
      <c r="HVT19" s="1634"/>
      <c r="HVU19" s="1634"/>
      <c r="HVV19" s="1634"/>
      <c r="HVW19" s="1634"/>
      <c r="HVX19" s="1634"/>
      <c r="HVY19" s="1634"/>
      <c r="HVZ19" s="1634"/>
      <c r="HWA19" s="1634"/>
      <c r="HWB19" s="1634"/>
      <c r="HWC19" s="1634"/>
      <c r="HWD19" s="1634"/>
      <c r="HWE19" s="1634"/>
      <c r="HWF19" s="1634"/>
      <c r="HWG19" s="1634"/>
      <c r="HWH19" s="1634"/>
      <c r="HWI19" s="1634"/>
      <c r="HWJ19" s="1634"/>
      <c r="HWK19" s="1634"/>
      <c r="HWL19" s="1634"/>
      <c r="HWM19" s="1634"/>
      <c r="HWN19" s="1634"/>
      <c r="HWO19" s="1634"/>
      <c r="HWP19" s="1634"/>
      <c r="HWQ19" s="1634"/>
      <c r="HWR19" s="1634"/>
      <c r="HWS19" s="1634"/>
      <c r="HWT19" s="1634"/>
      <c r="HWU19" s="1634"/>
      <c r="HWV19" s="1634"/>
      <c r="HWW19" s="1634"/>
      <c r="HWX19" s="1634"/>
      <c r="HWY19" s="1634"/>
      <c r="HWZ19" s="1634"/>
      <c r="HXA19" s="1634"/>
      <c r="HXB19" s="1634"/>
      <c r="HXC19" s="1634"/>
      <c r="HXD19" s="1634"/>
      <c r="HXE19" s="1634"/>
      <c r="HXF19" s="1634"/>
      <c r="HXG19" s="1634"/>
      <c r="HXH19" s="1634"/>
      <c r="HXI19" s="1634"/>
      <c r="HXJ19" s="1634"/>
      <c r="HXK19" s="1634"/>
      <c r="HXL19" s="1634"/>
      <c r="HXM19" s="1634"/>
      <c r="HXN19" s="1634"/>
      <c r="HXO19" s="1634"/>
      <c r="HXP19" s="1634"/>
      <c r="HXQ19" s="1634"/>
      <c r="HXR19" s="1634"/>
      <c r="HXS19" s="1634"/>
      <c r="HXT19" s="1634"/>
      <c r="HXU19" s="1634"/>
      <c r="HXV19" s="1634"/>
      <c r="HXW19" s="1634"/>
      <c r="HXX19" s="1634"/>
      <c r="HXY19" s="1634"/>
      <c r="HXZ19" s="1634"/>
      <c r="HYA19" s="1634"/>
      <c r="HYB19" s="1634"/>
      <c r="HYC19" s="1634"/>
      <c r="HYD19" s="1634"/>
      <c r="HYE19" s="1634"/>
      <c r="HYF19" s="1634"/>
      <c r="HYG19" s="1634"/>
      <c r="HYH19" s="1634"/>
      <c r="HYI19" s="1634"/>
      <c r="HYJ19" s="1634"/>
      <c r="HYK19" s="1634"/>
      <c r="HYL19" s="1634"/>
      <c r="HYM19" s="1634"/>
      <c r="HYN19" s="1634"/>
      <c r="HYO19" s="1634"/>
      <c r="HYP19" s="1634"/>
      <c r="HYQ19" s="1634"/>
      <c r="HYR19" s="1634"/>
      <c r="HYS19" s="1634"/>
      <c r="HYT19" s="1634"/>
      <c r="HYU19" s="1634"/>
      <c r="HYV19" s="1634"/>
      <c r="HYW19" s="1634"/>
      <c r="HYX19" s="1634"/>
      <c r="HYY19" s="1634"/>
      <c r="HYZ19" s="1634"/>
      <c r="HZA19" s="1634"/>
      <c r="HZB19" s="1634"/>
      <c r="HZC19" s="1634"/>
      <c r="HZD19" s="1634"/>
      <c r="HZE19" s="1634"/>
      <c r="HZF19" s="1634"/>
      <c r="HZG19" s="1634"/>
      <c r="HZH19" s="1634"/>
      <c r="HZI19" s="1634"/>
      <c r="HZJ19" s="1634"/>
      <c r="HZK19" s="1634"/>
      <c r="HZL19" s="1634"/>
      <c r="HZM19" s="1634"/>
      <c r="HZN19" s="1634"/>
      <c r="HZO19" s="1634"/>
      <c r="HZP19" s="1634"/>
      <c r="HZQ19" s="1634"/>
      <c r="HZR19" s="1634"/>
      <c r="HZS19" s="1634"/>
      <c r="HZT19" s="1634"/>
      <c r="HZU19" s="1634"/>
      <c r="HZV19" s="1634"/>
      <c r="HZW19" s="1634"/>
      <c r="HZX19" s="1634"/>
      <c r="HZY19" s="1634"/>
      <c r="HZZ19" s="1634"/>
      <c r="IAA19" s="1634"/>
      <c r="IAB19" s="1634"/>
      <c r="IAC19" s="1634"/>
      <c r="IAD19" s="1634"/>
      <c r="IAE19" s="1634"/>
      <c r="IAF19" s="1634"/>
      <c r="IAG19" s="1634"/>
      <c r="IAH19" s="1634"/>
      <c r="IAI19" s="1634"/>
      <c r="IAJ19" s="1634"/>
      <c r="IAK19" s="1634"/>
      <c r="IAL19" s="1634"/>
      <c r="IAM19" s="1634"/>
      <c r="IAN19" s="1634"/>
      <c r="IAO19" s="1634"/>
      <c r="IAP19" s="1634"/>
      <c r="IAQ19" s="1634"/>
      <c r="IAR19" s="1634"/>
      <c r="IAS19" s="1634"/>
      <c r="IAT19" s="1634"/>
      <c r="IAU19" s="1634"/>
      <c r="IAV19" s="1634"/>
      <c r="IAW19" s="1634"/>
      <c r="IAX19" s="1634"/>
      <c r="IAY19" s="1634"/>
      <c r="IAZ19" s="1634"/>
      <c r="IBA19" s="1634"/>
      <c r="IBB19" s="1634"/>
      <c r="IBC19" s="1634"/>
      <c r="IBD19" s="1634"/>
      <c r="IBE19" s="1634"/>
      <c r="IBF19" s="1634"/>
      <c r="IBG19" s="1634"/>
      <c r="IBH19" s="1634"/>
      <c r="IBI19" s="1634"/>
      <c r="IBJ19" s="1634"/>
      <c r="IBK19" s="1634"/>
      <c r="IBL19" s="1634"/>
      <c r="IBM19" s="1634"/>
      <c r="IBN19" s="1634"/>
      <c r="IBO19" s="1634"/>
      <c r="IBP19" s="1634"/>
      <c r="IBQ19" s="1634"/>
      <c r="IBR19" s="1634"/>
      <c r="IBS19" s="1634"/>
      <c r="IBT19" s="1634"/>
      <c r="IBU19" s="1634"/>
      <c r="IBV19" s="1634"/>
      <c r="IBW19" s="1634"/>
      <c r="IBX19" s="1634"/>
      <c r="IBY19" s="1634"/>
      <c r="IBZ19" s="1634"/>
      <c r="ICA19" s="1634"/>
      <c r="ICB19" s="1634"/>
      <c r="ICC19" s="1634"/>
      <c r="ICD19" s="1634"/>
      <c r="ICE19" s="1634"/>
      <c r="ICF19" s="1634"/>
      <c r="ICG19" s="1634"/>
      <c r="ICH19" s="1634"/>
      <c r="ICI19" s="1634"/>
      <c r="ICJ19" s="1634"/>
      <c r="ICK19" s="1634"/>
      <c r="ICL19" s="1634"/>
      <c r="ICM19" s="1634"/>
      <c r="ICN19" s="1634"/>
      <c r="ICO19" s="1634"/>
      <c r="ICP19" s="1634"/>
      <c r="ICQ19" s="1634"/>
      <c r="ICR19" s="1634"/>
      <c r="ICS19" s="1634"/>
      <c r="ICT19" s="1634"/>
      <c r="ICU19" s="1634"/>
      <c r="ICV19" s="1634"/>
      <c r="ICW19" s="1634"/>
      <c r="ICX19" s="1634"/>
      <c r="ICY19" s="1634"/>
      <c r="ICZ19" s="1634"/>
      <c r="IDA19" s="1634"/>
      <c r="IDB19" s="1634"/>
      <c r="IDC19" s="1634"/>
      <c r="IDD19" s="1634"/>
      <c r="IDE19" s="1634"/>
      <c r="IDF19" s="1634"/>
      <c r="IDG19" s="1634"/>
      <c r="IDH19" s="1634"/>
      <c r="IDI19" s="1634"/>
      <c r="IDJ19" s="1634"/>
      <c r="IDK19" s="1634"/>
      <c r="IDL19" s="1634"/>
      <c r="IDM19" s="1634"/>
      <c r="IDN19" s="1634"/>
      <c r="IDO19" s="1634"/>
      <c r="IDP19" s="1634"/>
      <c r="IDQ19" s="1634"/>
      <c r="IDR19" s="1634"/>
      <c r="IDS19" s="1634"/>
      <c r="IDT19" s="1634"/>
      <c r="IDU19" s="1634"/>
      <c r="IDV19" s="1634"/>
      <c r="IDW19" s="1634"/>
      <c r="IDX19" s="1634"/>
      <c r="IDY19" s="1634"/>
      <c r="IDZ19" s="1634"/>
      <c r="IEA19" s="1634"/>
      <c r="IEB19" s="1634"/>
      <c r="IEC19" s="1634"/>
      <c r="IED19" s="1634"/>
      <c r="IEE19" s="1634"/>
      <c r="IEF19" s="1634"/>
      <c r="IEG19" s="1634"/>
      <c r="IEH19" s="1634"/>
      <c r="IEI19" s="1634"/>
      <c r="IEJ19" s="1634"/>
      <c r="IEK19" s="1634"/>
      <c r="IEL19" s="1634"/>
      <c r="IEM19" s="1634"/>
      <c r="IEN19" s="1634"/>
      <c r="IEO19" s="1634"/>
      <c r="IEP19" s="1634"/>
      <c r="IEQ19" s="1634"/>
      <c r="IER19" s="1634"/>
      <c r="IES19" s="1634"/>
      <c r="IET19" s="1634"/>
      <c r="IEU19" s="1634"/>
      <c r="IEV19" s="1634"/>
      <c r="IEW19" s="1634"/>
      <c r="IEX19" s="1634"/>
      <c r="IEY19" s="1634"/>
      <c r="IEZ19" s="1634"/>
      <c r="IFA19" s="1634"/>
      <c r="IFB19" s="1634"/>
      <c r="IFC19" s="1634"/>
      <c r="IFD19" s="1634"/>
      <c r="IFE19" s="1634"/>
      <c r="IFF19" s="1634"/>
      <c r="IFG19" s="1634"/>
      <c r="IFH19" s="1634"/>
      <c r="IFI19" s="1634"/>
      <c r="IFJ19" s="1634"/>
      <c r="IFK19" s="1634"/>
      <c r="IFL19" s="1634"/>
      <c r="IFM19" s="1634"/>
      <c r="IFN19" s="1634"/>
      <c r="IFO19" s="1634"/>
      <c r="IFP19" s="1634"/>
      <c r="IFQ19" s="1634"/>
      <c r="IFR19" s="1634"/>
      <c r="IFS19" s="1634"/>
      <c r="IFT19" s="1634"/>
      <c r="IFU19" s="1634"/>
      <c r="IFV19" s="1634"/>
      <c r="IFW19" s="1634"/>
      <c r="IFX19" s="1634"/>
      <c r="IFY19" s="1634"/>
      <c r="IFZ19" s="1634"/>
      <c r="IGA19" s="1634"/>
      <c r="IGB19" s="1634"/>
      <c r="IGC19" s="1634"/>
      <c r="IGD19" s="1634"/>
      <c r="IGE19" s="1634"/>
      <c r="IGF19" s="1634"/>
      <c r="IGG19" s="1634"/>
      <c r="IGH19" s="1634"/>
      <c r="IGI19" s="1634"/>
      <c r="IGJ19" s="1634"/>
      <c r="IGK19" s="1634"/>
      <c r="IGL19" s="1634"/>
      <c r="IGM19" s="1634"/>
      <c r="IGN19" s="1634"/>
      <c r="IGO19" s="1634"/>
      <c r="IGP19" s="1634"/>
      <c r="IGQ19" s="1634"/>
      <c r="IGR19" s="1634"/>
      <c r="IGS19" s="1634"/>
      <c r="IGT19" s="1634"/>
      <c r="IGU19" s="1634"/>
      <c r="IGV19" s="1634"/>
      <c r="IGW19" s="1634"/>
      <c r="IGX19" s="1634"/>
      <c r="IGY19" s="1634"/>
      <c r="IGZ19" s="1634"/>
      <c r="IHA19" s="1634"/>
      <c r="IHB19" s="1634"/>
      <c r="IHC19" s="1634"/>
      <c r="IHD19" s="1634"/>
      <c r="IHE19" s="1634"/>
      <c r="IHF19" s="1634"/>
      <c r="IHG19" s="1634"/>
      <c r="IHH19" s="1634"/>
      <c r="IHI19" s="1634"/>
      <c r="IHJ19" s="1634"/>
      <c r="IHK19" s="1634"/>
      <c r="IHL19" s="1634"/>
      <c r="IHM19" s="1634"/>
      <c r="IHN19" s="1634"/>
      <c r="IHO19" s="1634"/>
      <c r="IHP19" s="1634"/>
      <c r="IHQ19" s="1634"/>
      <c r="IHR19" s="1634"/>
      <c r="IHS19" s="1634"/>
      <c r="IHT19" s="1634"/>
      <c r="IHU19" s="1634"/>
      <c r="IHV19" s="1634"/>
      <c r="IHW19" s="1634"/>
      <c r="IHX19" s="1634"/>
      <c r="IHY19" s="1634"/>
      <c r="IHZ19" s="1634"/>
      <c r="IIA19" s="1634"/>
      <c r="IIB19" s="1634"/>
      <c r="IIC19" s="1634"/>
      <c r="IID19" s="1634"/>
      <c r="IIE19" s="1634"/>
      <c r="IIF19" s="1634"/>
      <c r="IIG19" s="1634"/>
      <c r="IIH19" s="1634"/>
      <c r="III19" s="1634"/>
      <c r="IIJ19" s="1634"/>
      <c r="IIK19" s="1634"/>
      <c r="IIL19" s="1634"/>
      <c r="IIM19" s="1634"/>
      <c r="IIN19" s="1634"/>
      <c r="IIO19" s="1634"/>
      <c r="IIP19" s="1634"/>
      <c r="IIQ19" s="1634"/>
      <c r="IIR19" s="1634"/>
      <c r="IIS19" s="1634"/>
      <c r="IIT19" s="1634"/>
      <c r="IIU19" s="1634"/>
      <c r="IIV19" s="1634"/>
      <c r="IIW19" s="1634"/>
      <c r="IIX19" s="1634"/>
      <c r="IIY19" s="1634"/>
      <c r="IIZ19" s="1634"/>
      <c r="IJA19" s="1634"/>
      <c r="IJB19" s="1634"/>
      <c r="IJC19" s="1634"/>
      <c r="IJD19" s="1634"/>
      <c r="IJE19" s="1634"/>
      <c r="IJF19" s="1634"/>
      <c r="IJG19" s="1634"/>
      <c r="IJH19" s="1634"/>
      <c r="IJI19" s="1634"/>
      <c r="IJJ19" s="1634"/>
      <c r="IJK19" s="1634"/>
      <c r="IJL19" s="1634"/>
      <c r="IJM19" s="1634"/>
      <c r="IJN19" s="1634"/>
      <c r="IJO19" s="1634"/>
      <c r="IJP19" s="1634"/>
      <c r="IJQ19" s="1634"/>
      <c r="IJR19" s="1634"/>
      <c r="IJS19" s="1634"/>
      <c r="IJT19" s="1634"/>
      <c r="IJU19" s="1634"/>
      <c r="IJV19" s="1634"/>
      <c r="IJW19" s="1634"/>
      <c r="IJX19" s="1634"/>
      <c r="IJY19" s="1634"/>
      <c r="IJZ19" s="1634"/>
      <c r="IKA19" s="1634"/>
      <c r="IKB19" s="1634"/>
      <c r="IKC19" s="1634"/>
      <c r="IKD19" s="1634"/>
      <c r="IKE19" s="1634"/>
      <c r="IKF19" s="1634"/>
      <c r="IKG19" s="1634"/>
      <c r="IKH19" s="1634"/>
      <c r="IKI19" s="1634"/>
      <c r="IKJ19" s="1634"/>
      <c r="IKK19" s="1634"/>
      <c r="IKL19" s="1634"/>
      <c r="IKM19" s="1634"/>
      <c r="IKN19" s="1634"/>
      <c r="IKO19" s="1634"/>
      <c r="IKP19" s="1634"/>
      <c r="IKQ19" s="1634"/>
      <c r="IKR19" s="1634"/>
      <c r="IKS19" s="1634"/>
      <c r="IKT19" s="1634"/>
      <c r="IKU19" s="1634"/>
      <c r="IKV19" s="1634"/>
      <c r="IKW19" s="1634"/>
      <c r="IKX19" s="1634"/>
      <c r="IKY19" s="1634"/>
      <c r="IKZ19" s="1634"/>
      <c r="ILA19" s="1634"/>
      <c r="ILB19" s="1634"/>
      <c r="ILC19" s="1634"/>
      <c r="ILD19" s="1634"/>
      <c r="ILE19" s="1634"/>
      <c r="ILF19" s="1634"/>
      <c r="ILG19" s="1634"/>
      <c r="ILH19" s="1634"/>
      <c r="ILI19" s="1634"/>
      <c r="ILJ19" s="1634"/>
      <c r="ILK19" s="1634"/>
      <c r="ILL19" s="1634"/>
      <c r="ILM19" s="1634"/>
      <c r="ILN19" s="1634"/>
      <c r="ILO19" s="1634"/>
      <c r="ILP19" s="1634"/>
      <c r="ILQ19" s="1634"/>
      <c r="ILR19" s="1634"/>
      <c r="ILS19" s="1634"/>
      <c r="ILT19" s="1634"/>
      <c r="ILU19" s="1634"/>
      <c r="ILV19" s="1634"/>
      <c r="ILW19" s="1634"/>
      <c r="ILX19" s="1634"/>
      <c r="ILY19" s="1634"/>
      <c r="ILZ19" s="1634"/>
      <c r="IMA19" s="1634"/>
      <c r="IMB19" s="1634"/>
      <c r="IMC19" s="1634"/>
      <c r="IMD19" s="1634"/>
      <c r="IME19" s="1634"/>
      <c r="IMF19" s="1634"/>
      <c r="IMG19" s="1634"/>
      <c r="IMH19" s="1634"/>
      <c r="IMI19" s="1634"/>
      <c r="IMJ19" s="1634"/>
      <c r="IMK19" s="1634"/>
      <c r="IML19" s="1634"/>
      <c r="IMM19" s="1634"/>
      <c r="IMN19" s="1634"/>
      <c r="IMO19" s="1634"/>
      <c r="IMP19" s="1634"/>
      <c r="IMQ19" s="1634"/>
      <c r="IMR19" s="1634"/>
      <c r="IMS19" s="1634"/>
      <c r="IMT19" s="1634"/>
      <c r="IMU19" s="1634"/>
      <c r="IMV19" s="1634"/>
      <c r="IMW19" s="1634"/>
      <c r="IMX19" s="1634"/>
      <c r="IMY19" s="1634"/>
      <c r="IMZ19" s="1634"/>
      <c r="INA19" s="1634"/>
      <c r="INB19" s="1634"/>
      <c r="INC19" s="1634"/>
      <c r="IND19" s="1634"/>
      <c r="INE19" s="1634"/>
      <c r="INF19" s="1634"/>
      <c r="ING19" s="1634"/>
      <c r="INH19" s="1634"/>
      <c r="INI19" s="1634"/>
      <c r="INJ19" s="1634"/>
      <c r="INK19" s="1634"/>
      <c r="INL19" s="1634"/>
      <c r="INM19" s="1634"/>
      <c r="INN19" s="1634"/>
      <c r="INO19" s="1634"/>
      <c r="INP19" s="1634"/>
      <c r="INQ19" s="1634"/>
      <c r="INR19" s="1634"/>
      <c r="INS19" s="1634"/>
      <c r="INT19" s="1634"/>
      <c r="INU19" s="1634"/>
      <c r="INV19" s="1634"/>
      <c r="INW19" s="1634"/>
      <c r="INX19" s="1634"/>
      <c r="INY19" s="1634"/>
      <c r="INZ19" s="1634"/>
      <c r="IOA19" s="1634"/>
      <c r="IOB19" s="1634"/>
      <c r="IOC19" s="1634"/>
      <c r="IOD19" s="1634"/>
      <c r="IOE19" s="1634"/>
      <c r="IOF19" s="1634"/>
      <c r="IOG19" s="1634"/>
      <c r="IOH19" s="1634"/>
      <c r="IOI19" s="1634"/>
      <c r="IOJ19" s="1634"/>
      <c r="IOK19" s="1634"/>
      <c r="IOL19" s="1634"/>
      <c r="IOM19" s="1634"/>
      <c r="ION19" s="1634"/>
      <c r="IOO19" s="1634"/>
      <c r="IOP19" s="1634"/>
      <c r="IOQ19" s="1634"/>
      <c r="IOR19" s="1634"/>
      <c r="IOS19" s="1634"/>
      <c r="IOT19" s="1634"/>
      <c r="IOU19" s="1634"/>
      <c r="IOV19" s="1634"/>
      <c r="IOW19" s="1634"/>
      <c r="IOX19" s="1634"/>
      <c r="IOY19" s="1634"/>
      <c r="IOZ19" s="1634"/>
      <c r="IPA19" s="1634"/>
      <c r="IPB19" s="1634"/>
      <c r="IPC19" s="1634"/>
      <c r="IPD19" s="1634"/>
      <c r="IPE19" s="1634"/>
      <c r="IPF19" s="1634"/>
      <c r="IPG19" s="1634"/>
      <c r="IPH19" s="1634"/>
      <c r="IPI19" s="1634"/>
      <c r="IPJ19" s="1634"/>
      <c r="IPK19" s="1634"/>
      <c r="IPL19" s="1634"/>
      <c r="IPM19" s="1634"/>
      <c r="IPN19" s="1634"/>
      <c r="IPO19" s="1634"/>
      <c r="IPP19" s="1634"/>
      <c r="IPQ19" s="1634"/>
      <c r="IPR19" s="1634"/>
      <c r="IPS19" s="1634"/>
      <c r="IPT19" s="1634"/>
      <c r="IPU19" s="1634"/>
      <c r="IPV19" s="1634"/>
      <c r="IPW19" s="1634"/>
      <c r="IPX19" s="1634"/>
      <c r="IPY19" s="1634"/>
      <c r="IPZ19" s="1634"/>
      <c r="IQA19" s="1634"/>
      <c r="IQB19" s="1634"/>
      <c r="IQC19" s="1634"/>
      <c r="IQD19" s="1634"/>
      <c r="IQE19" s="1634"/>
      <c r="IQF19" s="1634"/>
      <c r="IQG19" s="1634"/>
      <c r="IQH19" s="1634"/>
      <c r="IQI19" s="1634"/>
      <c r="IQJ19" s="1634"/>
      <c r="IQK19" s="1634"/>
      <c r="IQL19" s="1634"/>
      <c r="IQM19" s="1634"/>
      <c r="IQN19" s="1634"/>
      <c r="IQO19" s="1634"/>
      <c r="IQP19" s="1634"/>
      <c r="IQQ19" s="1634"/>
      <c r="IQR19" s="1634"/>
      <c r="IQS19" s="1634"/>
      <c r="IQT19" s="1634"/>
      <c r="IQU19" s="1634"/>
      <c r="IQV19" s="1634"/>
      <c r="IQW19" s="1634"/>
      <c r="IQX19" s="1634"/>
      <c r="IQY19" s="1634"/>
      <c r="IQZ19" s="1634"/>
      <c r="IRA19" s="1634"/>
      <c r="IRB19" s="1634"/>
      <c r="IRC19" s="1634"/>
      <c r="IRD19" s="1634"/>
      <c r="IRE19" s="1634"/>
      <c r="IRF19" s="1634"/>
      <c r="IRG19" s="1634"/>
      <c r="IRH19" s="1634"/>
      <c r="IRI19" s="1634"/>
      <c r="IRJ19" s="1634"/>
      <c r="IRK19" s="1634"/>
      <c r="IRL19" s="1634"/>
      <c r="IRM19" s="1634"/>
      <c r="IRN19" s="1634"/>
      <c r="IRO19" s="1634"/>
      <c r="IRP19" s="1634"/>
      <c r="IRQ19" s="1634"/>
      <c r="IRR19" s="1634"/>
      <c r="IRS19" s="1634"/>
      <c r="IRT19" s="1634"/>
      <c r="IRU19" s="1634"/>
      <c r="IRV19" s="1634"/>
      <c r="IRW19" s="1634"/>
      <c r="IRX19" s="1634"/>
      <c r="IRY19" s="1634"/>
      <c r="IRZ19" s="1634"/>
      <c r="ISA19" s="1634"/>
      <c r="ISB19" s="1634"/>
      <c r="ISC19" s="1634"/>
      <c r="ISD19" s="1634"/>
      <c r="ISE19" s="1634"/>
      <c r="ISF19" s="1634"/>
      <c r="ISG19" s="1634"/>
      <c r="ISH19" s="1634"/>
      <c r="ISI19" s="1634"/>
      <c r="ISJ19" s="1634"/>
      <c r="ISK19" s="1634"/>
      <c r="ISL19" s="1634"/>
      <c r="ISM19" s="1634"/>
      <c r="ISN19" s="1634"/>
      <c r="ISO19" s="1634"/>
      <c r="ISP19" s="1634"/>
      <c r="ISQ19" s="1634"/>
      <c r="ISR19" s="1634"/>
      <c r="ISS19" s="1634"/>
      <c r="IST19" s="1634"/>
      <c r="ISU19" s="1634"/>
      <c r="ISV19" s="1634"/>
      <c r="ISW19" s="1634"/>
      <c r="ISX19" s="1634"/>
      <c r="ISY19" s="1634"/>
      <c r="ISZ19" s="1634"/>
      <c r="ITA19" s="1634"/>
      <c r="ITB19" s="1634"/>
      <c r="ITC19" s="1634"/>
      <c r="ITD19" s="1634"/>
      <c r="ITE19" s="1634"/>
      <c r="ITF19" s="1634"/>
      <c r="ITG19" s="1634"/>
      <c r="ITH19" s="1634"/>
      <c r="ITI19" s="1634"/>
      <c r="ITJ19" s="1634"/>
      <c r="ITK19" s="1634"/>
      <c r="ITL19" s="1634"/>
      <c r="ITM19" s="1634"/>
      <c r="ITN19" s="1634"/>
      <c r="ITO19" s="1634"/>
      <c r="ITP19" s="1634"/>
      <c r="ITQ19" s="1634"/>
      <c r="ITR19" s="1634"/>
      <c r="ITS19" s="1634"/>
      <c r="ITT19" s="1634"/>
      <c r="ITU19" s="1634"/>
      <c r="ITV19" s="1634"/>
      <c r="ITW19" s="1634"/>
      <c r="ITX19" s="1634"/>
      <c r="ITY19" s="1634"/>
      <c r="ITZ19" s="1634"/>
      <c r="IUA19" s="1634"/>
      <c r="IUB19" s="1634"/>
      <c r="IUC19" s="1634"/>
      <c r="IUD19" s="1634"/>
      <c r="IUE19" s="1634"/>
      <c r="IUF19" s="1634"/>
      <c r="IUG19" s="1634"/>
      <c r="IUH19" s="1634"/>
      <c r="IUI19" s="1634"/>
      <c r="IUJ19" s="1634"/>
      <c r="IUK19" s="1634"/>
      <c r="IUL19" s="1634"/>
      <c r="IUM19" s="1634"/>
      <c r="IUN19" s="1634"/>
      <c r="IUO19" s="1634"/>
      <c r="IUP19" s="1634"/>
      <c r="IUQ19" s="1634"/>
      <c r="IUR19" s="1634"/>
      <c r="IUS19" s="1634"/>
      <c r="IUT19" s="1634"/>
      <c r="IUU19" s="1634"/>
      <c r="IUV19" s="1634"/>
      <c r="IUW19" s="1634"/>
      <c r="IUX19" s="1634"/>
      <c r="IUY19" s="1634"/>
      <c r="IUZ19" s="1634"/>
      <c r="IVA19" s="1634"/>
      <c r="IVB19" s="1634"/>
      <c r="IVC19" s="1634"/>
      <c r="IVD19" s="1634"/>
      <c r="IVE19" s="1634"/>
      <c r="IVF19" s="1634"/>
      <c r="IVG19" s="1634"/>
      <c r="IVH19" s="1634"/>
      <c r="IVI19" s="1634"/>
      <c r="IVJ19" s="1634"/>
      <c r="IVK19" s="1634"/>
      <c r="IVL19" s="1634"/>
      <c r="IVM19" s="1634"/>
      <c r="IVN19" s="1634"/>
      <c r="IVO19" s="1634"/>
      <c r="IVP19" s="1634"/>
      <c r="IVQ19" s="1634"/>
      <c r="IVR19" s="1634"/>
      <c r="IVS19" s="1634"/>
      <c r="IVT19" s="1634"/>
      <c r="IVU19" s="1634"/>
      <c r="IVV19" s="1634"/>
      <c r="IVW19" s="1634"/>
      <c r="IVX19" s="1634"/>
      <c r="IVY19" s="1634"/>
      <c r="IVZ19" s="1634"/>
      <c r="IWA19" s="1634"/>
      <c r="IWB19" s="1634"/>
      <c r="IWC19" s="1634"/>
      <c r="IWD19" s="1634"/>
      <c r="IWE19" s="1634"/>
      <c r="IWF19" s="1634"/>
      <c r="IWG19" s="1634"/>
      <c r="IWH19" s="1634"/>
      <c r="IWI19" s="1634"/>
      <c r="IWJ19" s="1634"/>
      <c r="IWK19" s="1634"/>
      <c r="IWL19" s="1634"/>
      <c r="IWM19" s="1634"/>
      <c r="IWN19" s="1634"/>
      <c r="IWO19" s="1634"/>
      <c r="IWP19" s="1634"/>
      <c r="IWQ19" s="1634"/>
      <c r="IWR19" s="1634"/>
      <c r="IWS19" s="1634"/>
      <c r="IWT19" s="1634"/>
      <c r="IWU19" s="1634"/>
      <c r="IWV19" s="1634"/>
      <c r="IWW19" s="1634"/>
      <c r="IWX19" s="1634"/>
      <c r="IWY19" s="1634"/>
      <c r="IWZ19" s="1634"/>
      <c r="IXA19" s="1634"/>
      <c r="IXB19" s="1634"/>
      <c r="IXC19" s="1634"/>
      <c r="IXD19" s="1634"/>
      <c r="IXE19" s="1634"/>
      <c r="IXF19" s="1634"/>
      <c r="IXG19" s="1634"/>
      <c r="IXH19" s="1634"/>
      <c r="IXI19" s="1634"/>
      <c r="IXJ19" s="1634"/>
      <c r="IXK19" s="1634"/>
      <c r="IXL19" s="1634"/>
      <c r="IXM19" s="1634"/>
      <c r="IXN19" s="1634"/>
      <c r="IXO19" s="1634"/>
      <c r="IXP19" s="1634"/>
      <c r="IXQ19" s="1634"/>
      <c r="IXR19" s="1634"/>
      <c r="IXS19" s="1634"/>
      <c r="IXT19" s="1634"/>
      <c r="IXU19" s="1634"/>
      <c r="IXV19" s="1634"/>
      <c r="IXW19" s="1634"/>
      <c r="IXX19" s="1634"/>
      <c r="IXY19" s="1634"/>
      <c r="IXZ19" s="1634"/>
      <c r="IYA19" s="1634"/>
      <c r="IYB19" s="1634"/>
      <c r="IYC19" s="1634"/>
      <c r="IYD19" s="1634"/>
      <c r="IYE19" s="1634"/>
      <c r="IYF19" s="1634"/>
      <c r="IYG19" s="1634"/>
      <c r="IYH19" s="1634"/>
      <c r="IYI19" s="1634"/>
      <c r="IYJ19" s="1634"/>
      <c r="IYK19" s="1634"/>
      <c r="IYL19" s="1634"/>
      <c r="IYM19" s="1634"/>
      <c r="IYN19" s="1634"/>
      <c r="IYO19" s="1634"/>
      <c r="IYP19" s="1634"/>
      <c r="IYQ19" s="1634"/>
      <c r="IYR19" s="1634"/>
      <c r="IYS19" s="1634"/>
      <c r="IYT19" s="1634"/>
      <c r="IYU19" s="1634"/>
      <c r="IYV19" s="1634"/>
      <c r="IYW19" s="1634"/>
      <c r="IYX19" s="1634"/>
      <c r="IYY19" s="1634"/>
      <c r="IYZ19" s="1634"/>
      <c r="IZA19" s="1634"/>
      <c r="IZB19" s="1634"/>
      <c r="IZC19" s="1634"/>
      <c r="IZD19" s="1634"/>
      <c r="IZE19" s="1634"/>
      <c r="IZF19" s="1634"/>
      <c r="IZG19" s="1634"/>
      <c r="IZH19" s="1634"/>
      <c r="IZI19" s="1634"/>
      <c r="IZJ19" s="1634"/>
      <c r="IZK19" s="1634"/>
      <c r="IZL19" s="1634"/>
      <c r="IZM19" s="1634"/>
      <c r="IZN19" s="1634"/>
      <c r="IZO19" s="1634"/>
      <c r="IZP19" s="1634"/>
      <c r="IZQ19" s="1634"/>
      <c r="IZR19" s="1634"/>
      <c r="IZS19" s="1634"/>
      <c r="IZT19" s="1634"/>
      <c r="IZU19" s="1634"/>
      <c r="IZV19" s="1634"/>
      <c r="IZW19" s="1634"/>
      <c r="IZX19" s="1634"/>
      <c r="IZY19" s="1634"/>
      <c r="IZZ19" s="1634"/>
      <c r="JAA19" s="1634"/>
      <c r="JAB19" s="1634"/>
      <c r="JAC19" s="1634"/>
      <c r="JAD19" s="1634"/>
      <c r="JAE19" s="1634"/>
      <c r="JAF19" s="1634"/>
      <c r="JAG19" s="1634"/>
      <c r="JAH19" s="1634"/>
      <c r="JAI19" s="1634"/>
      <c r="JAJ19" s="1634"/>
      <c r="JAK19" s="1634"/>
      <c r="JAL19" s="1634"/>
      <c r="JAM19" s="1634"/>
      <c r="JAN19" s="1634"/>
      <c r="JAO19" s="1634"/>
      <c r="JAP19" s="1634"/>
      <c r="JAQ19" s="1634"/>
      <c r="JAR19" s="1634"/>
      <c r="JAS19" s="1634"/>
      <c r="JAT19" s="1634"/>
      <c r="JAU19" s="1634"/>
      <c r="JAV19" s="1634"/>
      <c r="JAW19" s="1634"/>
      <c r="JAX19" s="1634"/>
      <c r="JAY19" s="1634"/>
      <c r="JAZ19" s="1634"/>
      <c r="JBA19" s="1634"/>
      <c r="JBB19" s="1634"/>
      <c r="JBC19" s="1634"/>
      <c r="JBD19" s="1634"/>
      <c r="JBE19" s="1634"/>
      <c r="JBF19" s="1634"/>
      <c r="JBG19" s="1634"/>
      <c r="JBH19" s="1634"/>
      <c r="JBI19" s="1634"/>
      <c r="JBJ19" s="1634"/>
      <c r="JBK19" s="1634"/>
      <c r="JBL19" s="1634"/>
      <c r="JBM19" s="1634"/>
      <c r="JBN19" s="1634"/>
      <c r="JBO19" s="1634"/>
      <c r="JBP19" s="1634"/>
      <c r="JBQ19" s="1634"/>
      <c r="JBR19" s="1634"/>
      <c r="JBS19" s="1634"/>
      <c r="JBT19" s="1634"/>
      <c r="JBU19" s="1634"/>
      <c r="JBV19" s="1634"/>
      <c r="JBW19" s="1634"/>
      <c r="JBX19" s="1634"/>
      <c r="JBY19" s="1634"/>
      <c r="JBZ19" s="1634"/>
      <c r="JCA19" s="1634"/>
      <c r="JCB19" s="1634"/>
      <c r="JCC19" s="1634"/>
      <c r="JCD19" s="1634"/>
      <c r="JCE19" s="1634"/>
      <c r="JCF19" s="1634"/>
      <c r="JCG19" s="1634"/>
      <c r="JCH19" s="1634"/>
      <c r="JCI19" s="1634"/>
      <c r="JCJ19" s="1634"/>
      <c r="JCK19" s="1634"/>
      <c r="JCL19" s="1634"/>
      <c r="JCM19" s="1634"/>
      <c r="JCN19" s="1634"/>
      <c r="JCO19" s="1634"/>
      <c r="JCP19" s="1634"/>
      <c r="JCQ19" s="1634"/>
      <c r="JCR19" s="1634"/>
      <c r="JCS19" s="1634"/>
      <c r="JCT19" s="1634"/>
      <c r="JCU19" s="1634"/>
      <c r="JCV19" s="1634"/>
      <c r="JCW19" s="1634"/>
      <c r="JCX19" s="1634"/>
      <c r="JCY19" s="1634"/>
      <c r="JCZ19" s="1634"/>
      <c r="JDA19" s="1634"/>
      <c r="JDB19" s="1634"/>
      <c r="JDC19" s="1634"/>
      <c r="JDD19" s="1634"/>
      <c r="JDE19" s="1634"/>
      <c r="JDF19" s="1634"/>
      <c r="JDG19" s="1634"/>
      <c r="JDH19" s="1634"/>
      <c r="JDI19" s="1634"/>
      <c r="JDJ19" s="1634"/>
      <c r="JDK19" s="1634"/>
      <c r="JDL19" s="1634"/>
      <c r="JDM19" s="1634"/>
      <c r="JDN19" s="1634"/>
      <c r="JDO19" s="1634"/>
      <c r="JDP19" s="1634"/>
      <c r="JDQ19" s="1634"/>
      <c r="JDR19" s="1634"/>
      <c r="JDS19" s="1634"/>
      <c r="JDT19" s="1634"/>
      <c r="JDU19" s="1634"/>
      <c r="JDV19" s="1634"/>
      <c r="JDW19" s="1634"/>
      <c r="JDX19" s="1634"/>
      <c r="JDY19" s="1634"/>
      <c r="JDZ19" s="1634"/>
      <c r="JEA19" s="1634"/>
      <c r="JEB19" s="1634"/>
      <c r="JEC19" s="1634"/>
      <c r="JED19" s="1634"/>
      <c r="JEE19" s="1634"/>
      <c r="JEF19" s="1634"/>
      <c r="JEG19" s="1634"/>
      <c r="JEH19" s="1634"/>
      <c r="JEI19" s="1634"/>
      <c r="JEJ19" s="1634"/>
      <c r="JEK19" s="1634"/>
      <c r="JEL19" s="1634"/>
      <c r="JEM19" s="1634"/>
      <c r="JEN19" s="1634"/>
      <c r="JEO19" s="1634"/>
      <c r="JEP19" s="1634"/>
      <c r="JEQ19" s="1634"/>
      <c r="JER19" s="1634"/>
      <c r="JES19" s="1634"/>
      <c r="JET19" s="1634"/>
      <c r="JEU19" s="1634"/>
      <c r="JEV19" s="1634"/>
      <c r="JEW19" s="1634"/>
      <c r="JEX19" s="1634"/>
      <c r="JEY19" s="1634"/>
      <c r="JEZ19" s="1634"/>
      <c r="JFA19" s="1634"/>
      <c r="JFB19" s="1634"/>
      <c r="JFC19" s="1634"/>
      <c r="JFD19" s="1634"/>
      <c r="JFE19" s="1634"/>
      <c r="JFF19" s="1634"/>
      <c r="JFG19" s="1634"/>
      <c r="JFH19" s="1634"/>
      <c r="JFI19" s="1634"/>
      <c r="JFJ19" s="1634"/>
      <c r="JFK19" s="1634"/>
      <c r="JFL19" s="1634"/>
      <c r="JFM19" s="1634"/>
      <c r="JFN19" s="1634"/>
      <c r="JFO19" s="1634"/>
      <c r="JFP19" s="1634"/>
      <c r="JFQ19" s="1634"/>
      <c r="JFR19" s="1634"/>
      <c r="JFS19" s="1634"/>
      <c r="JFT19" s="1634"/>
      <c r="JFU19" s="1634"/>
      <c r="JFV19" s="1634"/>
      <c r="JFW19" s="1634"/>
      <c r="JFX19" s="1634"/>
      <c r="JFY19" s="1634"/>
      <c r="JFZ19" s="1634"/>
      <c r="JGA19" s="1634"/>
      <c r="JGB19" s="1634"/>
      <c r="JGC19" s="1634"/>
      <c r="JGD19" s="1634"/>
      <c r="JGE19" s="1634"/>
      <c r="JGF19" s="1634"/>
      <c r="JGG19" s="1634"/>
      <c r="JGH19" s="1634"/>
      <c r="JGI19" s="1634"/>
      <c r="JGJ19" s="1634"/>
      <c r="JGK19" s="1634"/>
      <c r="JGL19" s="1634"/>
      <c r="JGM19" s="1634"/>
      <c r="JGN19" s="1634"/>
      <c r="JGO19" s="1634"/>
      <c r="JGP19" s="1634"/>
      <c r="JGQ19" s="1634"/>
      <c r="JGR19" s="1634"/>
      <c r="JGS19" s="1634"/>
      <c r="JGT19" s="1634"/>
      <c r="JGU19" s="1634"/>
      <c r="JGV19" s="1634"/>
      <c r="JGW19" s="1634"/>
      <c r="JGX19" s="1634"/>
      <c r="JGY19" s="1634"/>
      <c r="JGZ19" s="1634"/>
      <c r="JHA19" s="1634"/>
      <c r="JHB19" s="1634"/>
      <c r="JHC19" s="1634"/>
      <c r="JHD19" s="1634"/>
      <c r="JHE19" s="1634"/>
      <c r="JHF19" s="1634"/>
      <c r="JHG19" s="1634"/>
      <c r="JHH19" s="1634"/>
      <c r="JHI19" s="1634"/>
      <c r="JHJ19" s="1634"/>
      <c r="JHK19" s="1634"/>
      <c r="JHL19" s="1634"/>
      <c r="JHM19" s="1634"/>
      <c r="JHN19" s="1634"/>
      <c r="JHO19" s="1634"/>
      <c r="JHP19" s="1634"/>
      <c r="JHQ19" s="1634"/>
      <c r="JHR19" s="1634"/>
      <c r="JHS19" s="1634"/>
      <c r="JHT19" s="1634"/>
      <c r="JHU19" s="1634"/>
      <c r="JHV19" s="1634"/>
      <c r="JHW19" s="1634"/>
      <c r="JHX19" s="1634"/>
      <c r="JHY19" s="1634"/>
      <c r="JHZ19" s="1634"/>
      <c r="JIA19" s="1634"/>
      <c r="JIB19" s="1634"/>
      <c r="JIC19" s="1634"/>
      <c r="JID19" s="1634"/>
      <c r="JIE19" s="1634"/>
      <c r="JIF19" s="1634"/>
      <c r="JIG19" s="1634"/>
      <c r="JIH19" s="1634"/>
      <c r="JII19" s="1634"/>
      <c r="JIJ19" s="1634"/>
      <c r="JIK19" s="1634"/>
      <c r="JIL19" s="1634"/>
      <c r="JIM19" s="1634"/>
      <c r="JIN19" s="1634"/>
      <c r="JIO19" s="1634"/>
      <c r="JIP19" s="1634"/>
      <c r="JIQ19" s="1634"/>
      <c r="JIR19" s="1634"/>
      <c r="JIS19" s="1634"/>
      <c r="JIT19" s="1634"/>
      <c r="JIU19" s="1634"/>
      <c r="JIV19" s="1634"/>
      <c r="JIW19" s="1634"/>
      <c r="JIX19" s="1634"/>
      <c r="JIY19" s="1634"/>
      <c r="JIZ19" s="1634"/>
      <c r="JJA19" s="1634"/>
      <c r="JJB19" s="1634"/>
      <c r="JJC19" s="1634"/>
      <c r="JJD19" s="1634"/>
      <c r="JJE19" s="1634"/>
      <c r="JJF19" s="1634"/>
      <c r="JJG19" s="1634"/>
      <c r="JJH19" s="1634"/>
      <c r="JJI19" s="1634"/>
      <c r="JJJ19" s="1634"/>
      <c r="JJK19" s="1634"/>
      <c r="JJL19" s="1634"/>
      <c r="JJM19" s="1634"/>
      <c r="JJN19" s="1634"/>
      <c r="JJO19" s="1634"/>
      <c r="JJP19" s="1634"/>
      <c r="JJQ19" s="1634"/>
      <c r="JJR19" s="1634"/>
      <c r="JJS19" s="1634"/>
      <c r="JJT19" s="1634"/>
      <c r="JJU19" s="1634"/>
      <c r="JJV19" s="1634"/>
      <c r="JJW19" s="1634"/>
      <c r="JJX19" s="1634"/>
      <c r="JJY19" s="1634"/>
      <c r="JJZ19" s="1634"/>
      <c r="JKA19" s="1634"/>
      <c r="JKB19" s="1634"/>
      <c r="JKC19" s="1634"/>
      <c r="JKD19" s="1634"/>
      <c r="JKE19" s="1634"/>
      <c r="JKF19" s="1634"/>
      <c r="JKG19" s="1634"/>
      <c r="JKH19" s="1634"/>
      <c r="JKI19" s="1634"/>
      <c r="JKJ19" s="1634"/>
      <c r="JKK19" s="1634"/>
      <c r="JKL19" s="1634"/>
      <c r="JKM19" s="1634"/>
      <c r="JKN19" s="1634"/>
      <c r="JKO19" s="1634"/>
      <c r="JKP19" s="1634"/>
      <c r="JKQ19" s="1634"/>
      <c r="JKR19" s="1634"/>
      <c r="JKS19" s="1634"/>
      <c r="JKT19" s="1634"/>
      <c r="JKU19" s="1634"/>
      <c r="JKV19" s="1634"/>
      <c r="JKW19" s="1634"/>
      <c r="JKX19" s="1634"/>
      <c r="JKY19" s="1634"/>
      <c r="JKZ19" s="1634"/>
      <c r="JLA19" s="1634"/>
      <c r="JLB19" s="1634"/>
      <c r="JLC19" s="1634"/>
      <c r="JLD19" s="1634"/>
      <c r="JLE19" s="1634"/>
      <c r="JLF19" s="1634"/>
      <c r="JLG19" s="1634"/>
      <c r="JLH19" s="1634"/>
      <c r="JLI19" s="1634"/>
      <c r="JLJ19" s="1634"/>
      <c r="JLK19" s="1634"/>
      <c r="JLL19" s="1634"/>
      <c r="JLM19" s="1634"/>
      <c r="JLN19" s="1634"/>
      <c r="JLO19" s="1634"/>
      <c r="JLP19" s="1634"/>
      <c r="JLQ19" s="1634"/>
      <c r="JLR19" s="1634"/>
      <c r="JLS19" s="1634"/>
      <c r="JLT19" s="1634"/>
      <c r="JLU19" s="1634"/>
      <c r="JLV19" s="1634"/>
      <c r="JLW19" s="1634"/>
      <c r="JLX19" s="1634"/>
      <c r="JLY19" s="1634"/>
      <c r="JLZ19" s="1634"/>
      <c r="JMA19" s="1634"/>
      <c r="JMB19" s="1634"/>
      <c r="JMC19" s="1634"/>
      <c r="JMD19" s="1634"/>
      <c r="JME19" s="1634"/>
      <c r="JMF19" s="1634"/>
      <c r="JMG19" s="1634"/>
      <c r="JMH19" s="1634"/>
      <c r="JMI19" s="1634"/>
      <c r="JMJ19" s="1634"/>
      <c r="JMK19" s="1634"/>
      <c r="JML19" s="1634"/>
      <c r="JMM19" s="1634"/>
      <c r="JMN19" s="1634"/>
      <c r="JMO19" s="1634"/>
      <c r="JMP19" s="1634"/>
      <c r="JMQ19" s="1634"/>
      <c r="JMR19" s="1634"/>
      <c r="JMS19" s="1634"/>
      <c r="JMT19" s="1634"/>
      <c r="JMU19" s="1634"/>
      <c r="JMV19" s="1634"/>
      <c r="JMW19" s="1634"/>
      <c r="JMX19" s="1634"/>
      <c r="JMY19" s="1634"/>
      <c r="JMZ19" s="1634"/>
      <c r="JNA19" s="1634"/>
      <c r="JNB19" s="1634"/>
      <c r="JNC19" s="1634"/>
      <c r="JND19" s="1634"/>
      <c r="JNE19" s="1634"/>
      <c r="JNF19" s="1634"/>
      <c r="JNG19" s="1634"/>
      <c r="JNH19" s="1634"/>
      <c r="JNI19" s="1634"/>
      <c r="JNJ19" s="1634"/>
      <c r="JNK19" s="1634"/>
      <c r="JNL19" s="1634"/>
      <c r="JNM19" s="1634"/>
      <c r="JNN19" s="1634"/>
      <c r="JNO19" s="1634"/>
      <c r="JNP19" s="1634"/>
      <c r="JNQ19" s="1634"/>
      <c r="JNR19" s="1634"/>
      <c r="JNS19" s="1634"/>
      <c r="JNT19" s="1634"/>
      <c r="JNU19" s="1634"/>
      <c r="JNV19" s="1634"/>
      <c r="JNW19" s="1634"/>
      <c r="JNX19" s="1634"/>
      <c r="JNY19" s="1634"/>
      <c r="JNZ19" s="1634"/>
      <c r="JOA19" s="1634"/>
      <c r="JOB19" s="1634"/>
      <c r="JOC19" s="1634"/>
      <c r="JOD19" s="1634"/>
      <c r="JOE19" s="1634"/>
      <c r="JOF19" s="1634"/>
      <c r="JOG19" s="1634"/>
      <c r="JOH19" s="1634"/>
      <c r="JOI19" s="1634"/>
      <c r="JOJ19" s="1634"/>
      <c r="JOK19" s="1634"/>
      <c r="JOL19" s="1634"/>
      <c r="JOM19" s="1634"/>
      <c r="JON19" s="1634"/>
      <c r="JOO19" s="1634"/>
      <c r="JOP19" s="1634"/>
      <c r="JOQ19" s="1634"/>
      <c r="JOR19" s="1634"/>
      <c r="JOS19" s="1634"/>
      <c r="JOT19" s="1634"/>
      <c r="JOU19" s="1634"/>
      <c r="JOV19" s="1634"/>
      <c r="JOW19" s="1634"/>
      <c r="JOX19" s="1634"/>
      <c r="JOY19" s="1634"/>
      <c r="JOZ19" s="1634"/>
      <c r="JPA19" s="1634"/>
      <c r="JPB19" s="1634"/>
      <c r="JPC19" s="1634"/>
      <c r="JPD19" s="1634"/>
      <c r="JPE19" s="1634"/>
      <c r="JPF19" s="1634"/>
      <c r="JPG19" s="1634"/>
      <c r="JPH19" s="1634"/>
      <c r="JPI19" s="1634"/>
      <c r="JPJ19" s="1634"/>
      <c r="JPK19" s="1634"/>
      <c r="JPL19" s="1634"/>
      <c r="JPM19" s="1634"/>
      <c r="JPN19" s="1634"/>
      <c r="JPO19" s="1634"/>
      <c r="JPP19" s="1634"/>
      <c r="JPQ19" s="1634"/>
      <c r="JPR19" s="1634"/>
      <c r="JPS19" s="1634"/>
      <c r="JPT19" s="1634"/>
      <c r="JPU19" s="1634"/>
      <c r="JPV19" s="1634"/>
      <c r="JPW19" s="1634"/>
      <c r="JPX19" s="1634"/>
      <c r="JPY19" s="1634"/>
      <c r="JPZ19" s="1634"/>
      <c r="JQA19" s="1634"/>
      <c r="JQB19" s="1634"/>
      <c r="JQC19" s="1634"/>
      <c r="JQD19" s="1634"/>
      <c r="JQE19" s="1634"/>
      <c r="JQF19" s="1634"/>
      <c r="JQG19" s="1634"/>
      <c r="JQH19" s="1634"/>
      <c r="JQI19" s="1634"/>
      <c r="JQJ19" s="1634"/>
      <c r="JQK19" s="1634"/>
      <c r="JQL19" s="1634"/>
      <c r="JQM19" s="1634"/>
      <c r="JQN19" s="1634"/>
      <c r="JQO19" s="1634"/>
      <c r="JQP19" s="1634"/>
      <c r="JQQ19" s="1634"/>
      <c r="JQR19" s="1634"/>
      <c r="JQS19" s="1634"/>
      <c r="JQT19" s="1634"/>
      <c r="JQU19" s="1634"/>
      <c r="JQV19" s="1634"/>
      <c r="JQW19" s="1634"/>
      <c r="JQX19" s="1634"/>
      <c r="JQY19" s="1634"/>
      <c r="JQZ19" s="1634"/>
      <c r="JRA19" s="1634"/>
      <c r="JRB19" s="1634"/>
      <c r="JRC19" s="1634"/>
      <c r="JRD19" s="1634"/>
      <c r="JRE19" s="1634"/>
      <c r="JRF19" s="1634"/>
      <c r="JRG19" s="1634"/>
      <c r="JRH19" s="1634"/>
      <c r="JRI19" s="1634"/>
      <c r="JRJ19" s="1634"/>
      <c r="JRK19" s="1634"/>
      <c r="JRL19" s="1634"/>
      <c r="JRM19" s="1634"/>
      <c r="JRN19" s="1634"/>
      <c r="JRO19" s="1634"/>
      <c r="JRP19" s="1634"/>
      <c r="JRQ19" s="1634"/>
      <c r="JRR19" s="1634"/>
      <c r="JRS19" s="1634"/>
      <c r="JRT19" s="1634"/>
      <c r="JRU19" s="1634"/>
      <c r="JRV19" s="1634"/>
      <c r="JRW19" s="1634"/>
      <c r="JRX19" s="1634"/>
      <c r="JRY19" s="1634"/>
      <c r="JRZ19" s="1634"/>
      <c r="JSA19" s="1634"/>
      <c r="JSB19" s="1634"/>
      <c r="JSC19" s="1634"/>
      <c r="JSD19" s="1634"/>
      <c r="JSE19" s="1634"/>
      <c r="JSF19" s="1634"/>
      <c r="JSG19" s="1634"/>
      <c r="JSH19" s="1634"/>
      <c r="JSI19" s="1634"/>
      <c r="JSJ19" s="1634"/>
      <c r="JSK19" s="1634"/>
      <c r="JSL19" s="1634"/>
      <c r="JSM19" s="1634"/>
      <c r="JSN19" s="1634"/>
      <c r="JSO19" s="1634"/>
      <c r="JSP19" s="1634"/>
      <c r="JSQ19" s="1634"/>
      <c r="JSR19" s="1634"/>
      <c r="JSS19" s="1634"/>
      <c r="JST19" s="1634"/>
      <c r="JSU19" s="1634"/>
      <c r="JSV19" s="1634"/>
      <c r="JSW19" s="1634"/>
      <c r="JSX19" s="1634"/>
      <c r="JSY19" s="1634"/>
      <c r="JSZ19" s="1634"/>
      <c r="JTA19" s="1634"/>
      <c r="JTB19" s="1634"/>
      <c r="JTC19" s="1634"/>
      <c r="JTD19" s="1634"/>
      <c r="JTE19" s="1634"/>
      <c r="JTF19" s="1634"/>
      <c r="JTG19" s="1634"/>
      <c r="JTH19" s="1634"/>
      <c r="JTI19" s="1634"/>
      <c r="JTJ19" s="1634"/>
      <c r="JTK19" s="1634"/>
      <c r="JTL19" s="1634"/>
      <c r="JTM19" s="1634"/>
      <c r="JTN19" s="1634"/>
      <c r="JTO19" s="1634"/>
      <c r="JTP19" s="1634"/>
      <c r="JTQ19" s="1634"/>
      <c r="JTR19" s="1634"/>
      <c r="JTS19" s="1634"/>
      <c r="JTT19" s="1634"/>
      <c r="JTU19" s="1634"/>
      <c r="JTV19" s="1634"/>
      <c r="JTW19" s="1634"/>
      <c r="JTX19" s="1634"/>
      <c r="JTY19" s="1634"/>
      <c r="JTZ19" s="1634"/>
      <c r="JUA19" s="1634"/>
      <c r="JUB19" s="1634"/>
      <c r="JUC19" s="1634"/>
      <c r="JUD19" s="1634"/>
      <c r="JUE19" s="1634"/>
      <c r="JUF19" s="1634"/>
      <c r="JUG19" s="1634"/>
      <c r="JUH19" s="1634"/>
      <c r="JUI19" s="1634"/>
      <c r="JUJ19" s="1634"/>
      <c r="JUK19" s="1634"/>
      <c r="JUL19" s="1634"/>
      <c r="JUM19" s="1634"/>
      <c r="JUN19" s="1634"/>
      <c r="JUO19" s="1634"/>
      <c r="JUP19" s="1634"/>
      <c r="JUQ19" s="1634"/>
      <c r="JUR19" s="1634"/>
      <c r="JUS19" s="1634"/>
      <c r="JUT19" s="1634"/>
      <c r="JUU19" s="1634"/>
      <c r="JUV19" s="1634"/>
      <c r="JUW19" s="1634"/>
      <c r="JUX19" s="1634"/>
      <c r="JUY19" s="1634"/>
      <c r="JUZ19" s="1634"/>
      <c r="JVA19" s="1634"/>
      <c r="JVB19" s="1634"/>
      <c r="JVC19" s="1634"/>
      <c r="JVD19" s="1634"/>
      <c r="JVE19" s="1634"/>
      <c r="JVF19" s="1634"/>
      <c r="JVG19" s="1634"/>
      <c r="JVH19" s="1634"/>
      <c r="JVI19" s="1634"/>
      <c r="JVJ19" s="1634"/>
      <c r="JVK19" s="1634"/>
      <c r="JVL19" s="1634"/>
      <c r="JVM19" s="1634"/>
      <c r="JVN19" s="1634"/>
      <c r="JVO19" s="1634"/>
      <c r="JVP19" s="1634"/>
      <c r="JVQ19" s="1634"/>
      <c r="JVR19" s="1634"/>
      <c r="JVS19" s="1634"/>
      <c r="JVT19" s="1634"/>
      <c r="JVU19" s="1634"/>
      <c r="JVV19" s="1634"/>
      <c r="JVW19" s="1634"/>
      <c r="JVX19" s="1634"/>
      <c r="JVY19" s="1634"/>
      <c r="JVZ19" s="1634"/>
      <c r="JWA19" s="1634"/>
      <c r="JWB19" s="1634"/>
      <c r="JWC19" s="1634"/>
      <c r="JWD19" s="1634"/>
      <c r="JWE19" s="1634"/>
      <c r="JWF19" s="1634"/>
      <c r="JWG19" s="1634"/>
      <c r="JWH19" s="1634"/>
      <c r="JWI19" s="1634"/>
      <c r="JWJ19" s="1634"/>
      <c r="JWK19" s="1634"/>
      <c r="JWL19" s="1634"/>
      <c r="JWM19" s="1634"/>
      <c r="JWN19" s="1634"/>
      <c r="JWO19" s="1634"/>
      <c r="JWP19" s="1634"/>
      <c r="JWQ19" s="1634"/>
      <c r="JWR19" s="1634"/>
      <c r="JWS19" s="1634"/>
      <c r="JWT19" s="1634"/>
      <c r="JWU19" s="1634"/>
      <c r="JWV19" s="1634"/>
      <c r="JWW19" s="1634"/>
      <c r="JWX19" s="1634"/>
      <c r="JWY19" s="1634"/>
      <c r="JWZ19" s="1634"/>
      <c r="JXA19" s="1634"/>
      <c r="JXB19" s="1634"/>
      <c r="JXC19" s="1634"/>
      <c r="JXD19" s="1634"/>
      <c r="JXE19" s="1634"/>
      <c r="JXF19" s="1634"/>
      <c r="JXG19" s="1634"/>
      <c r="JXH19" s="1634"/>
      <c r="JXI19" s="1634"/>
      <c r="JXJ19" s="1634"/>
      <c r="JXK19" s="1634"/>
      <c r="JXL19" s="1634"/>
      <c r="JXM19" s="1634"/>
      <c r="JXN19" s="1634"/>
      <c r="JXO19" s="1634"/>
      <c r="JXP19" s="1634"/>
      <c r="JXQ19" s="1634"/>
      <c r="JXR19" s="1634"/>
      <c r="JXS19" s="1634"/>
      <c r="JXT19" s="1634"/>
      <c r="JXU19" s="1634"/>
      <c r="JXV19" s="1634"/>
      <c r="JXW19" s="1634"/>
      <c r="JXX19" s="1634"/>
      <c r="JXY19" s="1634"/>
      <c r="JXZ19" s="1634"/>
      <c r="JYA19" s="1634"/>
      <c r="JYB19" s="1634"/>
      <c r="JYC19" s="1634"/>
      <c r="JYD19" s="1634"/>
      <c r="JYE19" s="1634"/>
      <c r="JYF19" s="1634"/>
      <c r="JYG19" s="1634"/>
      <c r="JYH19" s="1634"/>
      <c r="JYI19" s="1634"/>
      <c r="JYJ19" s="1634"/>
      <c r="JYK19" s="1634"/>
      <c r="JYL19" s="1634"/>
      <c r="JYM19" s="1634"/>
      <c r="JYN19" s="1634"/>
      <c r="JYO19" s="1634"/>
      <c r="JYP19" s="1634"/>
      <c r="JYQ19" s="1634"/>
      <c r="JYR19" s="1634"/>
      <c r="JYS19" s="1634"/>
      <c r="JYT19" s="1634"/>
      <c r="JYU19" s="1634"/>
      <c r="JYV19" s="1634"/>
      <c r="JYW19" s="1634"/>
      <c r="JYX19" s="1634"/>
      <c r="JYY19" s="1634"/>
      <c r="JYZ19" s="1634"/>
      <c r="JZA19" s="1634"/>
      <c r="JZB19" s="1634"/>
      <c r="JZC19" s="1634"/>
      <c r="JZD19" s="1634"/>
      <c r="JZE19" s="1634"/>
      <c r="JZF19" s="1634"/>
      <c r="JZG19" s="1634"/>
      <c r="JZH19" s="1634"/>
      <c r="JZI19" s="1634"/>
      <c r="JZJ19" s="1634"/>
      <c r="JZK19" s="1634"/>
      <c r="JZL19" s="1634"/>
      <c r="JZM19" s="1634"/>
      <c r="JZN19" s="1634"/>
      <c r="JZO19" s="1634"/>
      <c r="JZP19" s="1634"/>
      <c r="JZQ19" s="1634"/>
      <c r="JZR19" s="1634"/>
      <c r="JZS19" s="1634"/>
      <c r="JZT19" s="1634"/>
      <c r="JZU19" s="1634"/>
      <c r="JZV19" s="1634"/>
      <c r="JZW19" s="1634"/>
      <c r="JZX19" s="1634"/>
      <c r="JZY19" s="1634"/>
      <c r="JZZ19" s="1634"/>
      <c r="KAA19" s="1634"/>
      <c r="KAB19" s="1634"/>
      <c r="KAC19" s="1634"/>
      <c r="KAD19" s="1634"/>
      <c r="KAE19" s="1634"/>
      <c r="KAF19" s="1634"/>
      <c r="KAG19" s="1634"/>
      <c r="KAH19" s="1634"/>
      <c r="KAI19" s="1634"/>
      <c r="KAJ19" s="1634"/>
      <c r="KAK19" s="1634"/>
      <c r="KAL19" s="1634"/>
      <c r="KAM19" s="1634"/>
      <c r="KAN19" s="1634"/>
      <c r="KAO19" s="1634"/>
      <c r="KAP19" s="1634"/>
      <c r="KAQ19" s="1634"/>
      <c r="KAR19" s="1634"/>
      <c r="KAS19" s="1634"/>
      <c r="KAT19" s="1634"/>
      <c r="KAU19" s="1634"/>
      <c r="KAV19" s="1634"/>
      <c r="KAW19" s="1634"/>
      <c r="KAX19" s="1634"/>
      <c r="KAY19" s="1634"/>
      <c r="KAZ19" s="1634"/>
      <c r="KBA19" s="1634"/>
      <c r="KBB19" s="1634"/>
      <c r="KBC19" s="1634"/>
      <c r="KBD19" s="1634"/>
      <c r="KBE19" s="1634"/>
      <c r="KBF19" s="1634"/>
      <c r="KBG19" s="1634"/>
      <c r="KBH19" s="1634"/>
      <c r="KBI19" s="1634"/>
      <c r="KBJ19" s="1634"/>
      <c r="KBK19" s="1634"/>
      <c r="KBL19" s="1634"/>
      <c r="KBM19" s="1634"/>
      <c r="KBN19" s="1634"/>
      <c r="KBO19" s="1634"/>
      <c r="KBP19" s="1634"/>
      <c r="KBQ19" s="1634"/>
      <c r="KBR19" s="1634"/>
      <c r="KBS19" s="1634"/>
      <c r="KBT19" s="1634"/>
      <c r="KBU19" s="1634"/>
      <c r="KBV19" s="1634"/>
      <c r="KBW19" s="1634"/>
      <c r="KBX19" s="1634"/>
      <c r="KBY19" s="1634"/>
      <c r="KBZ19" s="1634"/>
      <c r="KCA19" s="1634"/>
      <c r="KCB19" s="1634"/>
      <c r="KCC19" s="1634"/>
      <c r="KCD19" s="1634"/>
      <c r="KCE19" s="1634"/>
      <c r="KCF19" s="1634"/>
      <c r="KCG19" s="1634"/>
      <c r="KCH19" s="1634"/>
      <c r="KCI19" s="1634"/>
      <c r="KCJ19" s="1634"/>
      <c r="KCK19" s="1634"/>
      <c r="KCL19" s="1634"/>
      <c r="KCM19" s="1634"/>
      <c r="KCN19" s="1634"/>
      <c r="KCO19" s="1634"/>
      <c r="KCP19" s="1634"/>
      <c r="KCQ19" s="1634"/>
      <c r="KCR19" s="1634"/>
      <c r="KCS19" s="1634"/>
      <c r="KCT19" s="1634"/>
      <c r="KCU19" s="1634"/>
      <c r="KCV19" s="1634"/>
      <c r="KCW19" s="1634"/>
      <c r="KCX19" s="1634"/>
      <c r="KCY19" s="1634"/>
      <c r="KCZ19" s="1634"/>
      <c r="KDA19" s="1634"/>
      <c r="KDB19" s="1634"/>
      <c r="KDC19" s="1634"/>
      <c r="KDD19" s="1634"/>
      <c r="KDE19" s="1634"/>
      <c r="KDF19" s="1634"/>
      <c r="KDG19" s="1634"/>
      <c r="KDH19" s="1634"/>
      <c r="KDI19" s="1634"/>
      <c r="KDJ19" s="1634"/>
      <c r="KDK19" s="1634"/>
      <c r="KDL19" s="1634"/>
      <c r="KDM19" s="1634"/>
      <c r="KDN19" s="1634"/>
      <c r="KDO19" s="1634"/>
      <c r="KDP19" s="1634"/>
      <c r="KDQ19" s="1634"/>
      <c r="KDR19" s="1634"/>
      <c r="KDS19" s="1634"/>
      <c r="KDT19" s="1634"/>
      <c r="KDU19" s="1634"/>
      <c r="KDV19" s="1634"/>
      <c r="KDW19" s="1634"/>
      <c r="KDX19" s="1634"/>
      <c r="KDY19" s="1634"/>
      <c r="KDZ19" s="1634"/>
      <c r="KEA19" s="1634"/>
      <c r="KEB19" s="1634"/>
      <c r="KEC19" s="1634"/>
      <c r="KED19" s="1634"/>
      <c r="KEE19" s="1634"/>
      <c r="KEF19" s="1634"/>
      <c r="KEG19" s="1634"/>
      <c r="KEH19" s="1634"/>
      <c r="KEI19" s="1634"/>
      <c r="KEJ19" s="1634"/>
      <c r="KEK19" s="1634"/>
      <c r="KEL19" s="1634"/>
      <c r="KEM19" s="1634"/>
      <c r="KEN19" s="1634"/>
      <c r="KEO19" s="1634"/>
      <c r="KEP19" s="1634"/>
      <c r="KEQ19" s="1634"/>
      <c r="KER19" s="1634"/>
      <c r="KES19" s="1634"/>
      <c r="KET19" s="1634"/>
      <c r="KEU19" s="1634"/>
      <c r="KEV19" s="1634"/>
      <c r="KEW19" s="1634"/>
      <c r="KEX19" s="1634"/>
      <c r="KEY19" s="1634"/>
      <c r="KEZ19" s="1634"/>
      <c r="KFA19" s="1634"/>
      <c r="KFB19" s="1634"/>
      <c r="KFC19" s="1634"/>
      <c r="KFD19" s="1634"/>
      <c r="KFE19" s="1634"/>
      <c r="KFF19" s="1634"/>
      <c r="KFG19" s="1634"/>
      <c r="KFH19" s="1634"/>
      <c r="KFI19" s="1634"/>
      <c r="KFJ19" s="1634"/>
      <c r="KFK19" s="1634"/>
      <c r="KFL19" s="1634"/>
      <c r="KFM19" s="1634"/>
      <c r="KFN19" s="1634"/>
      <c r="KFO19" s="1634"/>
      <c r="KFP19" s="1634"/>
      <c r="KFQ19" s="1634"/>
      <c r="KFR19" s="1634"/>
      <c r="KFS19" s="1634"/>
      <c r="KFT19" s="1634"/>
      <c r="KFU19" s="1634"/>
      <c r="KFV19" s="1634"/>
      <c r="KFW19" s="1634"/>
      <c r="KFX19" s="1634"/>
      <c r="KFY19" s="1634"/>
      <c r="KFZ19" s="1634"/>
      <c r="KGA19" s="1634"/>
      <c r="KGB19" s="1634"/>
      <c r="KGC19" s="1634"/>
      <c r="KGD19" s="1634"/>
      <c r="KGE19" s="1634"/>
      <c r="KGF19" s="1634"/>
      <c r="KGG19" s="1634"/>
      <c r="KGH19" s="1634"/>
      <c r="KGI19" s="1634"/>
      <c r="KGJ19" s="1634"/>
      <c r="KGK19" s="1634"/>
      <c r="KGL19" s="1634"/>
      <c r="KGM19" s="1634"/>
      <c r="KGN19" s="1634"/>
      <c r="KGO19" s="1634"/>
      <c r="KGP19" s="1634"/>
      <c r="KGQ19" s="1634"/>
      <c r="KGR19" s="1634"/>
      <c r="KGS19" s="1634"/>
      <c r="KGT19" s="1634"/>
      <c r="KGU19" s="1634"/>
      <c r="KGV19" s="1634"/>
      <c r="KGW19" s="1634"/>
      <c r="KGX19" s="1634"/>
      <c r="KGY19" s="1634"/>
      <c r="KGZ19" s="1634"/>
      <c r="KHA19" s="1634"/>
      <c r="KHB19" s="1634"/>
      <c r="KHC19" s="1634"/>
      <c r="KHD19" s="1634"/>
      <c r="KHE19" s="1634"/>
      <c r="KHF19" s="1634"/>
      <c r="KHG19" s="1634"/>
      <c r="KHH19" s="1634"/>
      <c r="KHI19" s="1634"/>
      <c r="KHJ19" s="1634"/>
      <c r="KHK19" s="1634"/>
      <c r="KHL19" s="1634"/>
      <c r="KHM19" s="1634"/>
      <c r="KHN19" s="1634"/>
      <c r="KHO19" s="1634"/>
      <c r="KHP19" s="1634"/>
      <c r="KHQ19" s="1634"/>
      <c r="KHR19" s="1634"/>
      <c r="KHS19" s="1634"/>
      <c r="KHT19" s="1634"/>
      <c r="KHU19" s="1634"/>
      <c r="KHV19" s="1634"/>
      <c r="KHW19" s="1634"/>
      <c r="KHX19" s="1634"/>
      <c r="KHY19" s="1634"/>
      <c r="KHZ19" s="1634"/>
      <c r="KIA19" s="1634"/>
      <c r="KIB19" s="1634"/>
      <c r="KIC19" s="1634"/>
      <c r="KID19" s="1634"/>
      <c r="KIE19" s="1634"/>
      <c r="KIF19" s="1634"/>
      <c r="KIG19" s="1634"/>
      <c r="KIH19" s="1634"/>
      <c r="KII19" s="1634"/>
      <c r="KIJ19" s="1634"/>
      <c r="KIK19" s="1634"/>
      <c r="KIL19" s="1634"/>
      <c r="KIM19" s="1634"/>
      <c r="KIN19" s="1634"/>
      <c r="KIO19" s="1634"/>
      <c r="KIP19" s="1634"/>
      <c r="KIQ19" s="1634"/>
      <c r="KIR19" s="1634"/>
      <c r="KIS19" s="1634"/>
      <c r="KIT19" s="1634"/>
      <c r="KIU19" s="1634"/>
      <c r="KIV19" s="1634"/>
      <c r="KIW19" s="1634"/>
      <c r="KIX19" s="1634"/>
      <c r="KIY19" s="1634"/>
      <c r="KIZ19" s="1634"/>
      <c r="KJA19" s="1634"/>
      <c r="KJB19" s="1634"/>
      <c r="KJC19" s="1634"/>
      <c r="KJD19" s="1634"/>
      <c r="KJE19" s="1634"/>
      <c r="KJF19" s="1634"/>
      <c r="KJG19" s="1634"/>
      <c r="KJH19" s="1634"/>
      <c r="KJI19" s="1634"/>
      <c r="KJJ19" s="1634"/>
      <c r="KJK19" s="1634"/>
      <c r="KJL19" s="1634"/>
      <c r="KJM19" s="1634"/>
      <c r="KJN19" s="1634"/>
      <c r="KJO19" s="1634"/>
      <c r="KJP19" s="1634"/>
      <c r="KJQ19" s="1634"/>
      <c r="KJR19" s="1634"/>
      <c r="KJS19" s="1634"/>
      <c r="KJT19" s="1634"/>
      <c r="KJU19" s="1634"/>
      <c r="KJV19" s="1634"/>
      <c r="KJW19" s="1634"/>
      <c r="KJX19" s="1634"/>
      <c r="KJY19" s="1634"/>
      <c r="KJZ19" s="1634"/>
      <c r="KKA19" s="1634"/>
      <c r="KKB19" s="1634"/>
      <c r="KKC19" s="1634"/>
      <c r="KKD19" s="1634"/>
      <c r="KKE19" s="1634"/>
      <c r="KKF19" s="1634"/>
      <c r="KKG19" s="1634"/>
      <c r="KKH19" s="1634"/>
      <c r="KKI19" s="1634"/>
      <c r="KKJ19" s="1634"/>
      <c r="KKK19" s="1634"/>
      <c r="KKL19" s="1634"/>
      <c r="KKM19" s="1634"/>
      <c r="KKN19" s="1634"/>
      <c r="KKO19" s="1634"/>
      <c r="KKP19" s="1634"/>
      <c r="KKQ19" s="1634"/>
      <c r="KKR19" s="1634"/>
      <c r="KKS19" s="1634"/>
      <c r="KKT19" s="1634"/>
      <c r="KKU19" s="1634"/>
      <c r="KKV19" s="1634"/>
      <c r="KKW19" s="1634"/>
      <c r="KKX19" s="1634"/>
      <c r="KKY19" s="1634"/>
      <c r="KKZ19" s="1634"/>
      <c r="KLA19" s="1634"/>
      <c r="KLB19" s="1634"/>
      <c r="KLC19" s="1634"/>
      <c r="KLD19" s="1634"/>
      <c r="KLE19" s="1634"/>
      <c r="KLF19" s="1634"/>
      <c r="KLG19" s="1634"/>
      <c r="KLH19" s="1634"/>
      <c r="KLI19" s="1634"/>
      <c r="KLJ19" s="1634"/>
      <c r="KLK19" s="1634"/>
      <c r="KLL19" s="1634"/>
      <c r="KLM19" s="1634"/>
      <c r="KLN19" s="1634"/>
      <c r="KLO19" s="1634"/>
      <c r="KLP19" s="1634"/>
      <c r="KLQ19" s="1634"/>
      <c r="KLR19" s="1634"/>
      <c r="KLS19" s="1634"/>
      <c r="KLT19" s="1634"/>
      <c r="KLU19" s="1634"/>
      <c r="KLV19" s="1634"/>
      <c r="KLW19" s="1634"/>
      <c r="KLX19" s="1634"/>
      <c r="KLY19" s="1634"/>
      <c r="KLZ19" s="1634"/>
      <c r="KMA19" s="1634"/>
      <c r="KMB19" s="1634"/>
      <c r="KMC19" s="1634"/>
      <c r="KMD19" s="1634"/>
      <c r="KME19" s="1634"/>
      <c r="KMF19" s="1634"/>
      <c r="KMG19" s="1634"/>
      <c r="KMH19" s="1634"/>
      <c r="KMI19" s="1634"/>
      <c r="KMJ19" s="1634"/>
      <c r="KMK19" s="1634"/>
      <c r="KML19" s="1634"/>
      <c r="KMM19" s="1634"/>
      <c r="KMN19" s="1634"/>
      <c r="KMO19" s="1634"/>
      <c r="KMP19" s="1634"/>
      <c r="KMQ19" s="1634"/>
      <c r="KMR19" s="1634"/>
      <c r="KMS19" s="1634"/>
      <c r="KMT19" s="1634"/>
      <c r="KMU19" s="1634"/>
      <c r="KMV19" s="1634"/>
      <c r="KMW19" s="1634"/>
      <c r="KMX19" s="1634"/>
      <c r="KMY19" s="1634"/>
      <c r="KMZ19" s="1634"/>
      <c r="KNA19" s="1634"/>
      <c r="KNB19" s="1634"/>
      <c r="KNC19" s="1634"/>
      <c r="KND19" s="1634"/>
      <c r="KNE19" s="1634"/>
      <c r="KNF19" s="1634"/>
      <c r="KNG19" s="1634"/>
      <c r="KNH19" s="1634"/>
      <c r="KNI19" s="1634"/>
      <c r="KNJ19" s="1634"/>
      <c r="KNK19" s="1634"/>
      <c r="KNL19" s="1634"/>
      <c r="KNM19" s="1634"/>
      <c r="KNN19" s="1634"/>
      <c r="KNO19" s="1634"/>
      <c r="KNP19" s="1634"/>
      <c r="KNQ19" s="1634"/>
      <c r="KNR19" s="1634"/>
      <c r="KNS19" s="1634"/>
      <c r="KNT19" s="1634"/>
      <c r="KNU19" s="1634"/>
      <c r="KNV19" s="1634"/>
      <c r="KNW19" s="1634"/>
      <c r="KNX19" s="1634"/>
      <c r="KNY19" s="1634"/>
      <c r="KNZ19" s="1634"/>
      <c r="KOA19" s="1634"/>
      <c r="KOB19" s="1634"/>
      <c r="KOC19" s="1634"/>
      <c r="KOD19" s="1634"/>
      <c r="KOE19" s="1634"/>
      <c r="KOF19" s="1634"/>
      <c r="KOG19" s="1634"/>
      <c r="KOH19" s="1634"/>
      <c r="KOI19" s="1634"/>
      <c r="KOJ19" s="1634"/>
      <c r="KOK19" s="1634"/>
      <c r="KOL19" s="1634"/>
      <c r="KOM19" s="1634"/>
      <c r="KON19" s="1634"/>
      <c r="KOO19" s="1634"/>
      <c r="KOP19" s="1634"/>
      <c r="KOQ19" s="1634"/>
      <c r="KOR19" s="1634"/>
      <c r="KOS19" s="1634"/>
      <c r="KOT19" s="1634"/>
      <c r="KOU19" s="1634"/>
      <c r="KOV19" s="1634"/>
      <c r="KOW19" s="1634"/>
      <c r="KOX19" s="1634"/>
      <c r="KOY19" s="1634"/>
      <c r="KOZ19" s="1634"/>
      <c r="KPA19" s="1634"/>
      <c r="KPB19" s="1634"/>
      <c r="KPC19" s="1634"/>
      <c r="KPD19" s="1634"/>
      <c r="KPE19" s="1634"/>
      <c r="KPF19" s="1634"/>
      <c r="KPG19" s="1634"/>
      <c r="KPH19" s="1634"/>
      <c r="KPI19" s="1634"/>
      <c r="KPJ19" s="1634"/>
      <c r="KPK19" s="1634"/>
      <c r="KPL19" s="1634"/>
      <c r="KPM19" s="1634"/>
      <c r="KPN19" s="1634"/>
      <c r="KPO19" s="1634"/>
      <c r="KPP19" s="1634"/>
      <c r="KPQ19" s="1634"/>
      <c r="KPR19" s="1634"/>
      <c r="KPS19" s="1634"/>
      <c r="KPT19" s="1634"/>
      <c r="KPU19" s="1634"/>
      <c r="KPV19" s="1634"/>
      <c r="KPW19" s="1634"/>
      <c r="KPX19" s="1634"/>
      <c r="KPY19" s="1634"/>
      <c r="KPZ19" s="1634"/>
      <c r="KQA19" s="1634"/>
      <c r="KQB19" s="1634"/>
      <c r="KQC19" s="1634"/>
      <c r="KQD19" s="1634"/>
      <c r="KQE19" s="1634"/>
      <c r="KQF19" s="1634"/>
      <c r="KQG19" s="1634"/>
      <c r="KQH19" s="1634"/>
      <c r="KQI19" s="1634"/>
      <c r="KQJ19" s="1634"/>
      <c r="KQK19" s="1634"/>
      <c r="KQL19" s="1634"/>
      <c r="KQM19" s="1634"/>
      <c r="KQN19" s="1634"/>
      <c r="KQO19" s="1634"/>
      <c r="KQP19" s="1634"/>
      <c r="KQQ19" s="1634"/>
      <c r="KQR19" s="1634"/>
      <c r="KQS19" s="1634"/>
      <c r="KQT19" s="1634"/>
      <c r="KQU19" s="1634"/>
      <c r="KQV19" s="1634"/>
      <c r="KQW19" s="1634"/>
      <c r="KQX19" s="1634"/>
      <c r="KQY19" s="1634"/>
      <c r="KQZ19" s="1634"/>
      <c r="KRA19" s="1634"/>
      <c r="KRB19" s="1634"/>
      <c r="KRC19" s="1634"/>
      <c r="KRD19" s="1634"/>
      <c r="KRE19" s="1634"/>
      <c r="KRF19" s="1634"/>
      <c r="KRG19" s="1634"/>
      <c r="KRH19" s="1634"/>
      <c r="KRI19" s="1634"/>
      <c r="KRJ19" s="1634"/>
      <c r="KRK19" s="1634"/>
      <c r="KRL19" s="1634"/>
      <c r="KRM19" s="1634"/>
      <c r="KRN19" s="1634"/>
      <c r="KRO19" s="1634"/>
      <c r="KRP19" s="1634"/>
      <c r="KRQ19" s="1634"/>
      <c r="KRR19" s="1634"/>
      <c r="KRS19" s="1634"/>
      <c r="KRT19" s="1634"/>
      <c r="KRU19" s="1634"/>
      <c r="KRV19" s="1634"/>
      <c r="KRW19" s="1634"/>
      <c r="KRX19" s="1634"/>
      <c r="KRY19" s="1634"/>
      <c r="KRZ19" s="1634"/>
      <c r="KSA19" s="1634"/>
      <c r="KSB19" s="1634"/>
      <c r="KSC19" s="1634"/>
      <c r="KSD19" s="1634"/>
      <c r="KSE19" s="1634"/>
      <c r="KSF19" s="1634"/>
      <c r="KSG19" s="1634"/>
      <c r="KSH19" s="1634"/>
      <c r="KSI19" s="1634"/>
      <c r="KSJ19" s="1634"/>
      <c r="KSK19" s="1634"/>
      <c r="KSL19" s="1634"/>
      <c r="KSM19" s="1634"/>
      <c r="KSN19" s="1634"/>
      <c r="KSO19" s="1634"/>
      <c r="KSP19" s="1634"/>
      <c r="KSQ19" s="1634"/>
      <c r="KSR19" s="1634"/>
      <c r="KSS19" s="1634"/>
      <c r="KST19" s="1634"/>
      <c r="KSU19" s="1634"/>
      <c r="KSV19" s="1634"/>
      <c r="KSW19" s="1634"/>
      <c r="KSX19" s="1634"/>
      <c r="KSY19" s="1634"/>
      <c r="KSZ19" s="1634"/>
      <c r="KTA19" s="1634"/>
      <c r="KTB19" s="1634"/>
      <c r="KTC19" s="1634"/>
      <c r="KTD19" s="1634"/>
      <c r="KTE19" s="1634"/>
      <c r="KTF19" s="1634"/>
      <c r="KTG19" s="1634"/>
      <c r="KTH19" s="1634"/>
      <c r="KTI19" s="1634"/>
      <c r="KTJ19" s="1634"/>
      <c r="KTK19" s="1634"/>
      <c r="KTL19" s="1634"/>
      <c r="KTM19" s="1634"/>
      <c r="KTN19" s="1634"/>
      <c r="KTO19" s="1634"/>
      <c r="KTP19" s="1634"/>
      <c r="KTQ19" s="1634"/>
      <c r="KTR19" s="1634"/>
      <c r="KTS19" s="1634"/>
      <c r="KTT19" s="1634"/>
      <c r="KTU19" s="1634"/>
      <c r="KTV19" s="1634"/>
      <c r="KTW19" s="1634"/>
      <c r="KTX19" s="1634"/>
      <c r="KTY19" s="1634"/>
      <c r="KTZ19" s="1634"/>
      <c r="KUA19" s="1634"/>
      <c r="KUB19" s="1634"/>
      <c r="KUC19" s="1634"/>
      <c r="KUD19" s="1634"/>
      <c r="KUE19" s="1634"/>
      <c r="KUF19" s="1634"/>
      <c r="KUG19" s="1634"/>
      <c r="KUH19" s="1634"/>
      <c r="KUI19" s="1634"/>
      <c r="KUJ19" s="1634"/>
      <c r="KUK19" s="1634"/>
      <c r="KUL19" s="1634"/>
      <c r="KUM19" s="1634"/>
      <c r="KUN19" s="1634"/>
      <c r="KUO19" s="1634"/>
      <c r="KUP19" s="1634"/>
      <c r="KUQ19" s="1634"/>
      <c r="KUR19" s="1634"/>
      <c r="KUS19" s="1634"/>
      <c r="KUT19" s="1634"/>
      <c r="KUU19" s="1634"/>
      <c r="KUV19" s="1634"/>
      <c r="KUW19" s="1634"/>
      <c r="KUX19" s="1634"/>
      <c r="KUY19" s="1634"/>
      <c r="KUZ19" s="1634"/>
      <c r="KVA19" s="1634"/>
      <c r="KVB19" s="1634"/>
      <c r="KVC19" s="1634"/>
      <c r="KVD19" s="1634"/>
      <c r="KVE19" s="1634"/>
      <c r="KVF19" s="1634"/>
      <c r="KVG19" s="1634"/>
      <c r="KVH19" s="1634"/>
      <c r="KVI19" s="1634"/>
      <c r="KVJ19" s="1634"/>
      <c r="KVK19" s="1634"/>
      <c r="KVL19" s="1634"/>
      <c r="KVM19" s="1634"/>
      <c r="KVN19" s="1634"/>
      <c r="KVO19" s="1634"/>
      <c r="KVP19" s="1634"/>
      <c r="KVQ19" s="1634"/>
      <c r="KVR19" s="1634"/>
      <c r="KVS19" s="1634"/>
      <c r="KVT19" s="1634"/>
      <c r="KVU19" s="1634"/>
      <c r="KVV19" s="1634"/>
      <c r="KVW19" s="1634"/>
      <c r="KVX19" s="1634"/>
      <c r="KVY19" s="1634"/>
      <c r="KVZ19" s="1634"/>
      <c r="KWA19" s="1634"/>
      <c r="KWB19" s="1634"/>
      <c r="KWC19" s="1634"/>
      <c r="KWD19" s="1634"/>
      <c r="KWE19" s="1634"/>
      <c r="KWF19" s="1634"/>
      <c r="KWG19" s="1634"/>
      <c r="KWH19" s="1634"/>
      <c r="KWI19" s="1634"/>
      <c r="KWJ19" s="1634"/>
      <c r="KWK19" s="1634"/>
      <c r="KWL19" s="1634"/>
      <c r="KWM19" s="1634"/>
      <c r="KWN19" s="1634"/>
      <c r="KWO19" s="1634"/>
      <c r="KWP19" s="1634"/>
      <c r="KWQ19" s="1634"/>
      <c r="KWR19" s="1634"/>
      <c r="KWS19" s="1634"/>
      <c r="KWT19" s="1634"/>
      <c r="KWU19" s="1634"/>
      <c r="KWV19" s="1634"/>
      <c r="KWW19" s="1634"/>
      <c r="KWX19" s="1634"/>
      <c r="KWY19" s="1634"/>
      <c r="KWZ19" s="1634"/>
      <c r="KXA19" s="1634"/>
      <c r="KXB19" s="1634"/>
      <c r="KXC19" s="1634"/>
      <c r="KXD19" s="1634"/>
      <c r="KXE19" s="1634"/>
      <c r="KXF19" s="1634"/>
      <c r="KXG19" s="1634"/>
      <c r="KXH19" s="1634"/>
      <c r="KXI19" s="1634"/>
      <c r="KXJ19" s="1634"/>
      <c r="KXK19" s="1634"/>
      <c r="KXL19" s="1634"/>
      <c r="KXM19" s="1634"/>
      <c r="KXN19" s="1634"/>
      <c r="KXO19" s="1634"/>
      <c r="KXP19" s="1634"/>
      <c r="KXQ19" s="1634"/>
      <c r="KXR19" s="1634"/>
      <c r="KXS19" s="1634"/>
      <c r="KXT19" s="1634"/>
      <c r="KXU19" s="1634"/>
      <c r="KXV19" s="1634"/>
      <c r="KXW19" s="1634"/>
      <c r="KXX19" s="1634"/>
      <c r="KXY19" s="1634"/>
      <c r="KXZ19" s="1634"/>
      <c r="KYA19" s="1634"/>
      <c r="KYB19" s="1634"/>
      <c r="KYC19" s="1634"/>
      <c r="KYD19" s="1634"/>
      <c r="KYE19" s="1634"/>
      <c r="KYF19" s="1634"/>
      <c r="KYG19" s="1634"/>
      <c r="KYH19" s="1634"/>
      <c r="KYI19" s="1634"/>
      <c r="KYJ19" s="1634"/>
      <c r="KYK19" s="1634"/>
      <c r="KYL19" s="1634"/>
      <c r="KYM19" s="1634"/>
      <c r="KYN19" s="1634"/>
      <c r="KYO19" s="1634"/>
      <c r="KYP19" s="1634"/>
      <c r="KYQ19" s="1634"/>
      <c r="KYR19" s="1634"/>
      <c r="KYS19" s="1634"/>
      <c r="KYT19" s="1634"/>
      <c r="KYU19" s="1634"/>
      <c r="KYV19" s="1634"/>
      <c r="KYW19" s="1634"/>
      <c r="KYX19" s="1634"/>
      <c r="KYY19" s="1634"/>
      <c r="KYZ19" s="1634"/>
      <c r="KZA19" s="1634"/>
      <c r="KZB19" s="1634"/>
      <c r="KZC19" s="1634"/>
      <c r="KZD19" s="1634"/>
      <c r="KZE19" s="1634"/>
      <c r="KZF19" s="1634"/>
      <c r="KZG19" s="1634"/>
      <c r="KZH19" s="1634"/>
      <c r="KZI19" s="1634"/>
      <c r="KZJ19" s="1634"/>
      <c r="KZK19" s="1634"/>
      <c r="KZL19" s="1634"/>
      <c r="KZM19" s="1634"/>
      <c r="KZN19" s="1634"/>
      <c r="KZO19" s="1634"/>
      <c r="KZP19" s="1634"/>
      <c r="KZQ19" s="1634"/>
      <c r="KZR19" s="1634"/>
      <c r="KZS19" s="1634"/>
      <c r="KZT19" s="1634"/>
      <c r="KZU19" s="1634"/>
      <c r="KZV19" s="1634"/>
      <c r="KZW19" s="1634"/>
      <c r="KZX19" s="1634"/>
      <c r="KZY19" s="1634"/>
      <c r="KZZ19" s="1634"/>
      <c r="LAA19" s="1634"/>
      <c r="LAB19" s="1634"/>
      <c r="LAC19" s="1634"/>
      <c r="LAD19" s="1634"/>
      <c r="LAE19" s="1634"/>
      <c r="LAF19" s="1634"/>
      <c r="LAG19" s="1634"/>
      <c r="LAH19" s="1634"/>
      <c r="LAI19" s="1634"/>
      <c r="LAJ19" s="1634"/>
      <c r="LAK19" s="1634"/>
      <c r="LAL19" s="1634"/>
      <c r="LAM19" s="1634"/>
      <c r="LAN19" s="1634"/>
      <c r="LAO19" s="1634"/>
      <c r="LAP19" s="1634"/>
      <c r="LAQ19" s="1634"/>
      <c r="LAR19" s="1634"/>
      <c r="LAS19" s="1634"/>
      <c r="LAT19" s="1634"/>
      <c r="LAU19" s="1634"/>
      <c r="LAV19" s="1634"/>
      <c r="LAW19" s="1634"/>
      <c r="LAX19" s="1634"/>
      <c r="LAY19" s="1634"/>
      <c r="LAZ19" s="1634"/>
      <c r="LBA19" s="1634"/>
      <c r="LBB19" s="1634"/>
      <c r="LBC19" s="1634"/>
      <c r="LBD19" s="1634"/>
      <c r="LBE19" s="1634"/>
      <c r="LBF19" s="1634"/>
      <c r="LBG19" s="1634"/>
      <c r="LBH19" s="1634"/>
      <c r="LBI19" s="1634"/>
      <c r="LBJ19" s="1634"/>
      <c r="LBK19" s="1634"/>
      <c r="LBL19" s="1634"/>
      <c r="LBM19" s="1634"/>
      <c r="LBN19" s="1634"/>
      <c r="LBO19" s="1634"/>
      <c r="LBP19" s="1634"/>
      <c r="LBQ19" s="1634"/>
      <c r="LBR19" s="1634"/>
      <c r="LBS19" s="1634"/>
      <c r="LBT19" s="1634"/>
      <c r="LBU19" s="1634"/>
      <c r="LBV19" s="1634"/>
      <c r="LBW19" s="1634"/>
      <c r="LBX19" s="1634"/>
      <c r="LBY19" s="1634"/>
      <c r="LBZ19" s="1634"/>
      <c r="LCA19" s="1634"/>
      <c r="LCB19" s="1634"/>
      <c r="LCC19" s="1634"/>
      <c r="LCD19" s="1634"/>
      <c r="LCE19" s="1634"/>
      <c r="LCF19" s="1634"/>
      <c r="LCG19" s="1634"/>
      <c r="LCH19" s="1634"/>
      <c r="LCI19" s="1634"/>
      <c r="LCJ19" s="1634"/>
      <c r="LCK19" s="1634"/>
      <c r="LCL19" s="1634"/>
      <c r="LCM19" s="1634"/>
      <c r="LCN19" s="1634"/>
      <c r="LCO19" s="1634"/>
      <c r="LCP19" s="1634"/>
      <c r="LCQ19" s="1634"/>
      <c r="LCR19" s="1634"/>
      <c r="LCS19" s="1634"/>
      <c r="LCT19" s="1634"/>
      <c r="LCU19" s="1634"/>
      <c r="LCV19" s="1634"/>
      <c r="LCW19" s="1634"/>
      <c r="LCX19" s="1634"/>
      <c r="LCY19" s="1634"/>
      <c r="LCZ19" s="1634"/>
      <c r="LDA19" s="1634"/>
      <c r="LDB19" s="1634"/>
      <c r="LDC19" s="1634"/>
      <c r="LDD19" s="1634"/>
      <c r="LDE19" s="1634"/>
      <c r="LDF19" s="1634"/>
      <c r="LDG19" s="1634"/>
      <c r="LDH19" s="1634"/>
      <c r="LDI19" s="1634"/>
      <c r="LDJ19" s="1634"/>
      <c r="LDK19" s="1634"/>
      <c r="LDL19" s="1634"/>
      <c r="LDM19" s="1634"/>
      <c r="LDN19" s="1634"/>
      <c r="LDO19" s="1634"/>
      <c r="LDP19" s="1634"/>
      <c r="LDQ19" s="1634"/>
      <c r="LDR19" s="1634"/>
      <c r="LDS19" s="1634"/>
      <c r="LDT19" s="1634"/>
      <c r="LDU19" s="1634"/>
      <c r="LDV19" s="1634"/>
      <c r="LDW19" s="1634"/>
      <c r="LDX19" s="1634"/>
      <c r="LDY19" s="1634"/>
      <c r="LDZ19" s="1634"/>
      <c r="LEA19" s="1634"/>
      <c r="LEB19" s="1634"/>
      <c r="LEC19" s="1634"/>
      <c r="LED19" s="1634"/>
      <c r="LEE19" s="1634"/>
      <c r="LEF19" s="1634"/>
      <c r="LEG19" s="1634"/>
      <c r="LEH19" s="1634"/>
      <c r="LEI19" s="1634"/>
      <c r="LEJ19" s="1634"/>
      <c r="LEK19" s="1634"/>
      <c r="LEL19" s="1634"/>
      <c r="LEM19" s="1634"/>
      <c r="LEN19" s="1634"/>
      <c r="LEO19" s="1634"/>
      <c r="LEP19" s="1634"/>
      <c r="LEQ19" s="1634"/>
      <c r="LER19" s="1634"/>
      <c r="LES19" s="1634"/>
      <c r="LET19" s="1634"/>
      <c r="LEU19" s="1634"/>
      <c r="LEV19" s="1634"/>
      <c r="LEW19" s="1634"/>
      <c r="LEX19" s="1634"/>
      <c r="LEY19" s="1634"/>
      <c r="LEZ19" s="1634"/>
      <c r="LFA19" s="1634"/>
      <c r="LFB19" s="1634"/>
      <c r="LFC19" s="1634"/>
      <c r="LFD19" s="1634"/>
      <c r="LFE19" s="1634"/>
      <c r="LFF19" s="1634"/>
      <c r="LFG19" s="1634"/>
      <c r="LFH19" s="1634"/>
      <c r="LFI19" s="1634"/>
      <c r="LFJ19" s="1634"/>
      <c r="LFK19" s="1634"/>
      <c r="LFL19" s="1634"/>
      <c r="LFM19" s="1634"/>
      <c r="LFN19" s="1634"/>
      <c r="LFO19" s="1634"/>
      <c r="LFP19" s="1634"/>
      <c r="LFQ19" s="1634"/>
      <c r="LFR19" s="1634"/>
      <c r="LFS19" s="1634"/>
      <c r="LFT19" s="1634"/>
      <c r="LFU19" s="1634"/>
      <c r="LFV19" s="1634"/>
      <c r="LFW19" s="1634"/>
      <c r="LFX19" s="1634"/>
      <c r="LFY19" s="1634"/>
      <c r="LFZ19" s="1634"/>
      <c r="LGA19" s="1634"/>
      <c r="LGB19" s="1634"/>
      <c r="LGC19" s="1634"/>
      <c r="LGD19" s="1634"/>
      <c r="LGE19" s="1634"/>
      <c r="LGF19" s="1634"/>
      <c r="LGG19" s="1634"/>
      <c r="LGH19" s="1634"/>
      <c r="LGI19" s="1634"/>
      <c r="LGJ19" s="1634"/>
      <c r="LGK19" s="1634"/>
      <c r="LGL19" s="1634"/>
      <c r="LGM19" s="1634"/>
      <c r="LGN19" s="1634"/>
      <c r="LGO19" s="1634"/>
      <c r="LGP19" s="1634"/>
      <c r="LGQ19" s="1634"/>
      <c r="LGR19" s="1634"/>
      <c r="LGS19" s="1634"/>
      <c r="LGT19" s="1634"/>
      <c r="LGU19" s="1634"/>
      <c r="LGV19" s="1634"/>
      <c r="LGW19" s="1634"/>
      <c r="LGX19" s="1634"/>
      <c r="LGY19" s="1634"/>
      <c r="LGZ19" s="1634"/>
      <c r="LHA19" s="1634"/>
      <c r="LHB19" s="1634"/>
      <c r="LHC19" s="1634"/>
      <c r="LHD19" s="1634"/>
      <c r="LHE19" s="1634"/>
      <c r="LHF19" s="1634"/>
      <c r="LHG19" s="1634"/>
      <c r="LHH19" s="1634"/>
      <c r="LHI19" s="1634"/>
      <c r="LHJ19" s="1634"/>
      <c r="LHK19" s="1634"/>
      <c r="LHL19" s="1634"/>
      <c r="LHM19" s="1634"/>
      <c r="LHN19" s="1634"/>
      <c r="LHO19" s="1634"/>
      <c r="LHP19" s="1634"/>
      <c r="LHQ19" s="1634"/>
      <c r="LHR19" s="1634"/>
      <c r="LHS19" s="1634"/>
      <c r="LHT19" s="1634"/>
      <c r="LHU19" s="1634"/>
      <c r="LHV19" s="1634"/>
      <c r="LHW19" s="1634"/>
      <c r="LHX19" s="1634"/>
      <c r="LHY19" s="1634"/>
      <c r="LHZ19" s="1634"/>
      <c r="LIA19" s="1634"/>
      <c r="LIB19" s="1634"/>
      <c r="LIC19" s="1634"/>
      <c r="LID19" s="1634"/>
      <c r="LIE19" s="1634"/>
      <c r="LIF19" s="1634"/>
      <c r="LIG19" s="1634"/>
      <c r="LIH19" s="1634"/>
      <c r="LII19" s="1634"/>
      <c r="LIJ19" s="1634"/>
      <c r="LIK19" s="1634"/>
      <c r="LIL19" s="1634"/>
      <c r="LIM19" s="1634"/>
      <c r="LIN19" s="1634"/>
      <c r="LIO19" s="1634"/>
      <c r="LIP19" s="1634"/>
      <c r="LIQ19" s="1634"/>
      <c r="LIR19" s="1634"/>
      <c r="LIS19" s="1634"/>
      <c r="LIT19" s="1634"/>
      <c r="LIU19" s="1634"/>
      <c r="LIV19" s="1634"/>
      <c r="LIW19" s="1634"/>
      <c r="LIX19" s="1634"/>
      <c r="LIY19" s="1634"/>
      <c r="LIZ19" s="1634"/>
      <c r="LJA19" s="1634"/>
      <c r="LJB19" s="1634"/>
      <c r="LJC19" s="1634"/>
      <c r="LJD19" s="1634"/>
      <c r="LJE19" s="1634"/>
      <c r="LJF19" s="1634"/>
      <c r="LJG19" s="1634"/>
      <c r="LJH19" s="1634"/>
      <c r="LJI19" s="1634"/>
      <c r="LJJ19" s="1634"/>
      <c r="LJK19" s="1634"/>
      <c r="LJL19" s="1634"/>
      <c r="LJM19" s="1634"/>
      <c r="LJN19" s="1634"/>
      <c r="LJO19" s="1634"/>
      <c r="LJP19" s="1634"/>
      <c r="LJQ19" s="1634"/>
      <c r="LJR19" s="1634"/>
      <c r="LJS19" s="1634"/>
      <c r="LJT19" s="1634"/>
      <c r="LJU19" s="1634"/>
      <c r="LJV19" s="1634"/>
      <c r="LJW19" s="1634"/>
      <c r="LJX19" s="1634"/>
      <c r="LJY19" s="1634"/>
      <c r="LJZ19" s="1634"/>
      <c r="LKA19" s="1634"/>
      <c r="LKB19" s="1634"/>
      <c r="LKC19" s="1634"/>
      <c r="LKD19" s="1634"/>
      <c r="LKE19" s="1634"/>
      <c r="LKF19" s="1634"/>
      <c r="LKG19" s="1634"/>
      <c r="LKH19" s="1634"/>
      <c r="LKI19" s="1634"/>
      <c r="LKJ19" s="1634"/>
      <c r="LKK19" s="1634"/>
      <c r="LKL19" s="1634"/>
      <c r="LKM19" s="1634"/>
      <c r="LKN19" s="1634"/>
      <c r="LKO19" s="1634"/>
      <c r="LKP19" s="1634"/>
      <c r="LKQ19" s="1634"/>
      <c r="LKR19" s="1634"/>
      <c r="LKS19" s="1634"/>
      <c r="LKT19" s="1634"/>
      <c r="LKU19" s="1634"/>
      <c r="LKV19" s="1634"/>
      <c r="LKW19" s="1634"/>
      <c r="LKX19" s="1634"/>
      <c r="LKY19" s="1634"/>
      <c r="LKZ19" s="1634"/>
      <c r="LLA19" s="1634"/>
      <c r="LLB19" s="1634"/>
      <c r="LLC19" s="1634"/>
      <c r="LLD19" s="1634"/>
      <c r="LLE19" s="1634"/>
      <c r="LLF19" s="1634"/>
      <c r="LLG19" s="1634"/>
      <c r="LLH19" s="1634"/>
      <c r="LLI19" s="1634"/>
      <c r="LLJ19" s="1634"/>
      <c r="LLK19" s="1634"/>
      <c r="LLL19" s="1634"/>
      <c r="LLM19" s="1634"/>
      <c r="LLN19" s="1634"/>
      <c r="LLO19" s="1634"/>
      <c r="LLP19" s="1634"/>
      <c r="LLQ19" s="1634"/>
      <c r="LLR19" s="1634"/>
      <c r="LLS19" s="1634"/>
      <c r="LLT19" s="1634"/>
      <c r="LLU19" s="1634"/>
      <c r="LLV19" s="1634"/>
      <c r="LLW19" s="1634"/>
      <c r="LLX19" s="1634"/>
      <c r="LLY19" s="1634"/>
      <c r="LLZ19" s="1634"/>
      <c r="LMA19" s="1634"/>
      <c r="LMB19" s="1634"/>
      <c r="LMC19" s="1634"/>
      <c r="LMD19" s="1634"/>
      <c r="LME19" s="1634"/>
      <c r="LMF19" s="1634"/>
      <c r="LMG19" s="1634"/>
      <c r="LMH19" s="1634"/>
      <c r="LMI19" s="1634"/>
      <c r="LMJ19" s="1634"/>
      <c r="LMK19" s="1634"/>
      <c r="LML19" s="1634"/>
      <c r="LMM19" s="1634"/>
      <c r="LMN19" s="1634"/>
      <c r="LMO19" s="1634"/>
      <c r="LMP19" s="1634"/>
      <c r="LMQ19" s="1634"/>
      <c r="LMR19" s="1634"/>
      <c r="LMS19" s="1634"/>
      <c r="LMT19" s="1634"/>
      <c r="LMU19" s="1634"/>
      <c r="LMV19" s="1634"/>
      <c r="LMW19" s="1634"/>
      <c r="LMX19" s="1634"/>
      <c r="LMY19" s="1634"/>
      <c r="LMZ19" s="1634"/>
      <c r="LNA19" s="1634"/>
      <c r="LNB19" s="1634"/>
      <c r="LNC19" s="1634"/>
      <c r="LND19" s="1634"/>
      <c r="LNE19" s="1634"/>
      <c r="LNF19" s="1634"/>
      <c r="LNG19" s="1634"/>
      <c r="LNH19" s="1634"/>
      <c r="LNI19" s="1634"/>
      <c r="LNJ19" s="1634"/>
      <c r="LNK19" s="1634"/>
      <c r="LNL19" s="1634"/>
      <c r="LNM19" s="1634"/>
      <c r="LNN19" s="1634"/>
      <c r="LNO19" s="1634"/>
      <c r="LNP19" s="1634"/>
      <c r="LNQ19" s="1634"/>
      <c r="LNR19" s="1634"/>
      <c r="LNS19" s="1634"/>
      <c r="LNT19" s="1634"/>
      <c r="LNU19" s="1634"/>
      <c r="LNV19" s="1634"/>
      <c r="LNW19" s="1634"/>
      <c r="LNX19" s="1634"/>
      <c r="LNY19" s="1634"/>
      <c r="LNZ19" s="1634"/>
      <c r="LOA19" s="1634"/>
      <c r="LOB19" s="1634"/>
      <c r="LOC19" s="1634"/>
      <c r="LOD19" s="1634"/>
      <c r="LOE19" s="1634"/>
      <c r="LOF19" s="1634"/>
      <c r="LOG19" s="1634"/>
      <c r="LOH19" s="1634"/>
      <c r="LOI19" s="1634"/>
      <c r="LOJ19" s="1634"/>
      <c r="LOK19" s="1634"/>
      <c r="LOL19" s="1634"/>
      <c r="LOM19" s="1634"/>
      <c r="LON19" s="1634"/>
      <c r="LOO19" s="1634"/>
      <c r="LOP19" s="1634"/>
      <c r="LOQ19" s="1634"/>
      <c r="LOR19" s="1634"/>
      <c r="LOS19" s="1634"/>
      <c r="LOT19" s="1634"/>
      <c r="LOU19" s="1634"/>
      <c r="LOV19" s="1634"/>
      <c r="LOW19" s="1634"/>
      <c r="LOX19" s="1634"/>
      <c r="LOY19" s="1634"/>
      <c r="LOZ19" s="1634"/>
      <c r="LPA19" s="1634"/>
      <c r="LPB19" s="1634"/>
      <c r="LPC19" s="1634"/>
      <c r="LPD19" s="1634"/>
      <c r="LPE19" s="1634"/>
      <c r="LPF19" s="1634"/>
      <c r="LPG19" s="1634"/>
      <c r="LPH19" s="1634"/>
      <c r="LPI19" s="1634"/>
      <c r="LPJ19" s="1634"/>
      <c r="LPK19" s="1634"/>
      <c r="LPL19" s="1634"/>
      <c r="LPM19" s="1634"/>
      <c r="LPN19" s="1634"/>
      <c r="LPO19" s="1634"/>
      <c r="LPP19" s="1634"/>
      <c r="LPQ19" s="1634"/>
      <c r="LPR19" s="1634"/>
      <c r="LPS19" s="1634"/>
      <c r="LPT19" s="1634"/>
      <c r="LPU19" s="1634"/>
      <c r="LPV19" s="1634"/>
      <c r="LPW19" s="1634"/>
      <c r="LPX19" s="1634"/>
      <c r="LPY19" s="1634"/>
      <c r="LPZ19" s="1634"/>
      <c r="LQA19" s="1634"/>
      <c r="LQB19" s="1634"/>
      <c r="LQC19" s="1634"/>
      <c r="LQD19" s="1634"/>
      <c r="LQE19" s="1634"/>
      <c r="LQF19" s="1634"/>
      <c r="LQG19" s="1634"/>
      <c r="LQH19" s="1634"/>
      <c r="LQI19" s="1634"/>
      <c r="LQJ19" s="1634"/>
      <c r="LQK19" s="1634"/>
      <c r="LQL19" s="1634"/>
      <c r="LQM19" s="1634"/>
      <c r="LQN19" s="1634"/>
      <c r="LQO19" s="1634"/>
      <c r="LQP19" s="1634"/>
      <c r="LQQ19" s="1634"/>
      <c r="LQR19" s="1634"/>
      <c r="LQS19" s="1634"/>
      <c r="LQT19" s="1634"/>
      <c r="LQU19" s="1634"/>
      <c r="LQV19" s="1634"/>
      <c r="LQW19" s="1634"/>
      <c r="LQX19" s="1634"/>
      <c r="LQY19" s="1634"/>
      <c r="LQZ19" s="1634"/>
      <c r="LRA19" s="1634"/>
      <c r="LRB19" s="1634"/>
      <c r="LRC19" s="1634"/>
      <c r="LRD19" s="1634"/>
      <c r="LRE19" s="1634"/>
      <c r="LRF19" s="1634"/>
      <c r="LRG19" s="1634"/>
      <c r="LRH19" s="1634"/>
      <c r="LRI19" s="1634"/>
      <c r="LRJ19" s="1634"/>
      <c r="LRK19" s="1634"/>
      <c r="LRL19" s="1634"/>
      <c r="LRM19" s="1634"/>
      <c r="LRN19" s="1634"/>
      <c r="LRO19" s="1634"/>
      <c r="LRP19" s="1634"/>
      <c r="LRQ19" s="1634"/>
      <c r="LRR19" s="1634"/>
      <c r="LRS19" s="1634"/>
      <c r="LRT19" s="1634"/>
      <c r="LRU19" s="1634"/>
      <c r="LRV19" s="1634"/>
      <c r="LRW19" s="1634"/>
      <c r="LRX19" s="1634"/>
      <c r="LRY19" s="1634"/>
      <c r="LRZ19" s="1634"/>
      <c r="LSA19" s="1634"/>
      <c r="LSB19" s="1634"/>
      <c r="LSC19" s="1634"/>
      <c r="LSD19" s="1634"/>
      <c r="LSE19" s="1634"/>
      <c r="LSF19" s="1634"/>
      <c r="LSG19" s="1634"/>
      <c r="LSH19" s="1634"/>
      <c r="LSI19" s="1634"/>
      <c r="LSJ19" s="1634"/>
      <c r="LSK19" s="1634"/>
      <c r="LSL19" s="1634"/>
      <c r="LSM19" s="1634"/>
      <c r="LSN19" s="1634"/>
      <c r="LSO19" s="1634"/>
      <c r="LSP19" s="1634"/>
      <c r="LSQ19" s="1634"/>
      <c r="LSR19" s="1634"/>
      <c r="LSS19" s="1634"/>
      <c r="LST19" s="1634"/>
      <c r="LSU19" s="1634"/>
      <c r="LSV19" s="1634"/>
      <c r="LSW19" s="1634"/>
      <c r="LSX19" s="1634"/>
      <c r="LSY19" s="1634"/>
      <c r="LSZ19" s="1634"/>
      <c r="LTA19" s="1634"/>
      <c r="LTB19" s="1634"/>
      <c r="LTC19" s="1634"/>
      <c r="LTD19" s="1634"/>
      <c r="LTE19" s="1634"/>
      <c r="LTF19" s="1634"/>
      <c r="LTG19" s="1634"/>
      <c r="LTH19" s="1634"/>
      <c r="LTI19" s="1634"/>
      <c r="LTJ19" s="1634"/>
      <c r="LTK19" s="1634"/>
      <c r="LTL19" s="1634"/>
      <c r="LTM19" s="1634"/>
      <c r="LTN19" s="1634"/>
      <c r="LTO19" s="1634"/>
      <c r="LTP19" s="1634"/>
      <c r="LTQ19" s="1634"/>
      <c r="LTR19" s="1634"/>
      <c r="LTS19" s="1634"/>
      <c r="LTT19" s="1634"/>
      <c r="LTU19" s="1634"/>
      <c r="LTV19" s="1634"/>
      <c r="LTW19" s="1634"/>
      <c r="LTX19" s="1634"/>
      <c r="LTY19" s="1634"/>
      <c r="LTZ19" s="1634"/>
      <c r="LUA19" s="1634"/>
      <c r="LUB19" s="1634"/>
      <c r="LUC19" s="1634"/>
      <c r="LUD19" s="1634"/>
      <c r="LUE19" s="1634"/>
      <c r="LUF19" s="1634"/>
      <c r="LUG19" s="1634"/>
      <c r="LUH19" s="1634"/>
      <c r="LUI19" s="1634"/>
      <c r="LUJ19" s="1634"/>
      <c r="LUK19" s="1634"/>
      <c r="LUL19" s="1634"/>
      <c r="LUM19" s="1634"/>
      <c r="LUN19" s="1634"/>
      <c r="LUO19" s="1634"/>
      <c r="LUP19" s="1634"/>
      <c r="LUQ19" s="1634"/>
      <c r="LUR19" s="1634"/>
      <c r="LUS19" s="1634"/>
      <c r="LUT19" s="1634"/>
      <c r="LUU19" s="1634"/>
      <c r="LUV19" s="1634"/>
      <c r="LUW19" s="1634"/>
      <c r="LUX19" s="1634"/>
      <c r="LUY19" s="1634"/>
      <c r="LUZ19" s="1634"/>
      <c r="LVA19" s="1634"/>
      <c r="LVB19" s="1634"/>
      <c r="LVC19" s="1634"/>
      <c r="LVD19" s="1634"/>
      <c r="LVE19" s="1634"/>
      <c r="LVF19" s="1634"/>
      <c r="LVG19" s="1634"/>
      <c r="LVH19" s="1634"/>
      <c r="LVI19" s="1634"/>
      <c r="LVJ19" s="1634"/>
      <c r="LVK19" s="1634"/>
      <c r="LVL19" s="1634"/>
      <c r="LVM19" s="1634"/>
      <c r="LVN19" s="1634"/>
      <c r="LVO19" s="1634"/>
      <c r="LVP19" s="1634"/>
      <c r="LVQ19" s="1634"/>
      <c r="LVR19" s="1634"/>
      <c r="LVS19" s="1634"/>
      <c r="LVT19" s="1634"/>
      <c r="LVU19" s="1634"/>
      <c r="LVV19" s="1634"/>
      <c r="LVW19" s="1634"/>
      <c r="LVX19" s="1634"/>
      <c r="LVY19" s="1634"/>
      <c r="LVZ19" s="1634"/>
      <c r="LWA19" s="1634"/>
      <c r="LWB19" s="1634"/>
      <c r="LWC19" s="1634"/>
      <c r="LWD19" s="1634"/>
      <c r="LWE19" s="1634"/>
      <c r="LWF19" s="1634"/>
      <c r="LWG19" s="1634"/>
      <c r="LWH19" s="1634"/>
      <c r="LWI19" s="1634"/>
      <c r="LWJ19" s="1634"/>
      <c r="LWK19" s="1634"/>
      <c r="LWL19" s="1634"/>
      <c r="LWM19" s="1634"/>
      <c r="LWN19" s="1634"/>
      <c r="LWO19" s="1634"/>
      <c r="LWP19" s="1634"/>
      <c r="LWQ19" s="1634"/>
      <c r="LWR19" s="1634"/>
      <c r="LWS19" s="1634"/>
      <c r="LWT19" s="1634"/>
      <c r="LWU19" s="1634"/>
      <c r="LWV19" s="1634"/>
      <c r="LWW19" s="1634"/>
      <c r="LWX19" s="1634"/>
      <c r="LWY19" s="1634"/>
      <c r="LWZ19" s="1634"/>
      <c r="LXA19" s="1634"/>
      <c r="LXB19" s="1634"/>
      <c r="LXC19" s="1634"/>
      <c r="LXD19" s="1634"/>
      <c r="LXE19" s="1634"/>
      <c r="LXF19" s="1634"/>
      <c r="LXG19" s="1634"/>
      <c r="LXH19" s="1634"/>
      <c r="LXI19" s="1634"/>
      <c r="LXJ19" s="1634"/>
      <c r="LXK19" s="1634"/>
      <c r="LXL19" s="1634"/>
      <c r="LXM19" s="1634"/>
      <c r="LXN19" s="1634"/>
      <c r="LXO19" s="1634"/>
      <c r="LXP19" s="1634"/>
      <c r="LXQ19" s="1634"/>
      <c r="LXR19" s="1634"/>
      <c r="LXS19" s="1634"/>
      <c r="LXT19" s="1634"/>
      <c r="LXU19" s="1634"/>
      <c r="LXV19" s="1634"/>
      <c r="LXW19" s="1634"/>
      <c r="LXX19" s="1634"/>
      <c r="LXY19" s="1634"/>
      <c r="LXZ19" s="1634"/>
      <c r="LYA19" s="1634"/>
      <c r="LYB19" s="1634"/>
      <c r="LYC19" s="1634"/>
      <c r="LYD19" s="1634"/>
      <c r="LYE19" s="1634"/>
      <c r="LYF19" s="1634"/>
      <c r="LYG19" s="1634"/>
      <c r="LYH19" s="1634"/>
      <c r="LYI19" s="1634"/>
      <c r="LYJ19" s="1634"/>
      <c r="LYK19" s="1634"/>
      <c r="LYL19" s="1634"/>
      <c r="LYM19" s="1634"/>
      <c r="LYN19" s="1634"/>
      <c r="LYO19" s="1634"/>
      <c r="LYP19" s="1634"/>
      <c r="LYQ19" s="1634"/>
      <c r="LYR19" s="1634"/>
      <c r="LYS19" s="1634"/>
      <c r="LYT19" s="1634"/>
      <c r="LYU19" s="1634"/>
      <c r="LYV19" s="1634"/>
      <c r="LYW19" s="1634"/>
      <c r="LYX19" s="1634"/>
      <c r="LYY19" s="1634"/>
      <c r="LYZ19" s="1634"/>
      <c r="LZA19" s="1634"/>
      <c r="LZB19" s="1634"/>
      <c r="LZC19" s="1634"/>
      <c r="LZD19" s="1634"/>
      <c r="LZE19" s="1634"/>
      <c r="LZF19" s="1634"/>
      <c r="LZG19" s="1634"/>
      <c r="LZH19" s="1634"/>
      <c r="LZI19" s="1634"/>
      <c r="LZJ19" s="1634"/>
      <c r="LZK19" s="1634"/>
      <c r="LZL19" s="1634"/>
      <c r="LZM19" s="1634"/>
      <c r="LZN19" s="1634"/>
      <c r="LZO19" s="1634"/>
      <c r="LZP19" s="1634"/>
      <c r="LZQ19" s="1634"/>
      <c r="LZR19" s="1634"/>
      <c r="LZS19" s="1634"/>
      <c r="LZT19" s="1634"/>
      <c r="LZU19" s="1634"/>
      <c r="LZV19" s="1634"/>
      <c r="LZW19" s="1634"/>
      <c r="LZX19" s="1634"/>
      <c r="LZY19" s="1634"/>
      <c r="LZZ19" s="1634"/>
      <c r="MAA19" s="1634"/>
      <c r="MAB19" s="1634"/>
      <c r="MAC19" s="1634"/>
      <c r="MAD19" s="1634"/>
      <c r="MAE19" s="1634"/>
      <c r="MAF19" s="1634"/>
      <c r="MAG19" s="1634"/>
      <c r="MAH19" s="1634"/>
      <c r="MAI19" s="1634"/>
      <c r="MAJ19" s="1634"/>
      <c r="MAK19" s="1634"/>
      <c r="MAL19" s="1634"/>
      <c r="MAM19" s="1634"/>
      <c r="MAN19" s="1634"/>
      <c r="MAO19" s="1634"/>
      <c r="MAP19" s="1634"/>
      <c r="MAQ19" s="1634"/>
      <c r="MAR19" s="1634"/>
      <c r="MAS19" s="1634"/>
      <c r="MAT19" s="1634"/>
      <c r="MAU19" s="1634"/>
      <c r="MAV19" s="1634"/>
      <c r="MAW19" s="1634"/>
      <c r="MAX19" s="1634"/>
      <c r="MAY19" s="1634"/>
      <c r="MAZ19" s="1634"/>
      <c r="MBA19" s="1634"/>
      <c r="MBB19" s="1634"/>
      <c r="MBC19" s="1634"/>
      <c r="MBD19" s="1634"/>
      <c r="MBE19" s="1634"/>
      <c r="MBF19" s="1634"/>
      <c r="MBG19" s="1634"/>
      <c r="MBH19" s="1634"/>
      <c r="MBI19" s="1634"/>
      <c r="MBJ19" s="1634"/>
      <c r="MBK19" s="1634"/>
      <c r="MBL19" s="1634"/>
      <c r="MBM19" s="1634"/>
      <c r="MBN19" s="1634"/>
      <c r="MBO19" s="1634"/>
      <c r="MBP19" s="1634"/>
      <c r="MBQ19" s="1634"/>
      <c r="MBR19" s="1634"/>
      <c r="MBS19" s="1634"/>
      <c r="MBT19" s="1634"/>
      <c r="MBU19" s="1634"/>
      <c r="MBV19" s="1634"/>
      <c r="MBW19" s="1634"/>
      <c r="MBX19" s="1634"/>
      <c r="MBY19" s="1634"/>
      <c r="MBZ19" s="1634"/>
      <c r="MCA19" s="1634"/>
      <c r="MCB19" s="1634"/>
      <c r="MCC19" s="1634"/>
      <c r="MCD19" s="1634"/>
      <c r="MCE19" s="1634"/>
      <c r="MCF19" s="1634"/>
      <c r="MCG19" s="1634"/>
      <c r="MCH19" s="1634"/>
      <c r="MCI19" s="1634"/>
      <c r="MCJ19" s="1634"/>
      <c r="MCK19" s="1634"/>
      <c r="MCL19" s="1634"/>
      <c r="MCM19" s="1634"/>
      <c r="MCN19" s="1634"/>
      <c r="MCO19" s="1634"/>
      <c r="MCP19" s="1634"/>
      <c r="MCQ19" s="1634"/>
      <c r="MCR19" s="1634"/>
      <c r="MCS19" s="1634"/>
      <c r="MCT19" s="1634"/>
      <c r="MCU19" s="1634"/>
      <c r="MCV19" s="1634"/>
      <c r="MCW19" s="1634"/>
      <c r="MCX19" s="1634"/>
      <c r="MCY19" s="1634"/>
      <c r="MCZ19" s="1634"/>
      <c r="MDA19" s="1634"/>
      <c r="MDB19" s="1634"/>
      <c r="MDC19" s="1634"/>
      <c r="MDD19" s="1634"/>
      <c r="MDE19" s="1634"/>
      <c r="MDF19" s="1634"/>
      <c r="MDG19" s="1634"/>
      <c r="MDH19" s="1634"/>
      <c r="MDI19" s="1634"/>
      <c r="MDJ19" s="1634"/>
      <c r="MDK19" s="1634"/>
      <c r="MDL19" s="1634"/>
      <c r="MDM19" s="1634"/>
      <c r="MDN19" s="1634"/>
      <c r="MDO19" s="1634"/>
      <c r="MDP19" s="1634"/>
      <c r="MDQ19" s="1634"/>
      <c r="MDR19" s="1634"/>
      <c r="MDS19" s="1634"/>
      <c r="MDT19" s="1634"/>
      <c r="MDU19" s="1634"/>
      <c r="MDV19" s="1634"/>
      <c r="MDW19" s="1634"/>
      <c r="MDX19" s="1634"/>
      <c r="MDY19" s="1634"/>
      <c r="MDZ19" s="1634"/>
      <c r="MEA19" s="1634"/>
      <c r="MEB19" s="1634"/>
      <c r="MEC19" s="1634"/>
      <c r="MED19" s="1634"/>
      <c r="MEE19" s="1634"/>
      <c r="MEF19" s="1634"/>
      <c r="MEG19" s="1634"/>
      <c r="MEH19" s="1634"/>
      <c r="MEI19" s="1634"/>
      <c r="MEJ19" s="1634"/>
      <c r="MEK19" s="1634"/>
      <c r="MEL19" s="1634"/>
      <c r="MEM19" s="1634"/>
      <c r="MEN19" s="1634"/>
      <c r="MEO19" s="1634"/>
      <c r="MEP19" s="1634"/>
      <c r="MEQ19" s="1634"/>
      <c r="MER19" s="1634"/>
      <c r="MES19" s="1634"/>
      <c r="MET19" s="1634"/>
      <c r="MEU19" s="1634"/>
      <c r="MEV19" s="1634"/>
      <c r="MEW19" s="1634"/>
      <c r="MEX19" s="1634"/>
      <c r="MEY19" s="1634"/>
      <c r="MEZ19" s="1634"/>
      <c r="MFA19" s="1634"/>
      <c r="MFB19" s="1634"/>
      <c r="MFC19" s="1634"/>
      <c r="MFD19" s="1634"/>
      <c r="MFE19" s="1634"/>
      <c r="MFF19" s="1634"/>
      <c r="MFG19" s="1634"/>
      <c r="MFH19" s="1634"/>
      <c r="MFI19" s="1634"/>
      <c r="MFJ19" s="1634"/>
      <c r="MFK19" s="1634"/>
      <c r="MFL19" s="1634"/>
      <c r="MFM19" s="1634"/>
      <c r="MFN19" s="1634"/>
      <c r="MFO19" s="1634"/>
      <c r="MFP19" s="1634"/>
      <c r="MFQ19" s="1634"/>
      <c r="MFR19" s="1634"/>
      <c r="MFS19" s="1634"/>
      <c r="MFT19" s="1634"/>
      <c r="MFU19" s="1634"/>
      <c r="MFV19" s="1634"/>
      <c r="MFW19" s="1634"/>
      <c r="MFX19" s="1634"/>
      <c r="MFY19" s="1634"/>
      <c r="MFZ19" s="1634"/>
      <c r="MGA19" s="1634"/>
      <c r="MGB19" s="1634"/>
      <c r="MGC19" s="1634"/>
      <c r="MGD19" s="1634"/>
      <c r="MGE19" s="1634"/>
      <c r="MGF19" s="1634"/>
      <c r="MGG19" s="1634"/>
      <c r="MGH19" s="1634"/>
      <c r="MGI19" s="1634"/>
      <c r="MGJ19" s="1634"/>
      <c r="MGK19" s="1634"/>
      <c r="MGL19" s="1634"/>
      <c r="MGM19" s="1634"/>
      <c r="MGN19" s="1634"/>
      <c r="MGO19" s="1634"/>
      <c r="MGP19" s="1634"/>
      <c r="MGQ19" s="1634"/>
      <c r="MGR19" s="1634"/>
      <c r="MGS19" s="1634"/>
      <c r="MGT19" s="1634"/>
      <c r="MGU19" s="1634"/>
      <c r="MGV19" s="1634"/>
      <c r="MGW19" s="1634"/>
      <c r="MGX19" s="1634"/>
      <c r="MGY19" s="1634"/>
      <c r="MGZ19" s="1634"/>
      <c r="MHA19" s="1634"/>
      <c r="MHB19" s="1634"/>
      <c r="MHC19" s="1634"/>
      <c r="MHD19" s="1634"/>
      <c r="MHE19" s="1634"/>
      <c r="MHF19" s="1634"/>
      <c r="MHG19" s="1634"/>
      <c r="MHH19" s="1634"/>
      <c r="MHI19" s="1634"/>
      <c r="MHJ19" s="1634"/>
      <c r="MHK19" s="1634"/>
      <c r="MHL19" s="1634"/>
      <c r="MHM19" s="1634"/>
      <c r="MHN19" s="1634"/>
      <c r="MHO19" s="1634"/>
      <c r="MHP19" s="1634"/>
      <c r="MHQ19" s="1634"/>
      <c r="MHR19" s="1634"/>
      <c r="MHS19" s="1634"/>
      <c r="MHT19" s="1634"/>
      <c r="MHU19" s="1634"/>
      <c r="MHV19" s="1634"/>
      <c r="MHW19" s="1634"/>
      <c r="MHX19" s="1634"/>
      <c r="MHY19" s="1634"/>
      <c r="MHZ19" s="1634"/>
      <c r="MIA19" s="1634"/>
      <c r="MIB19" s="1634"/>
      <c r="MIC19" s="1634"/>
      <c r="MID19" s="1634"/>
      <c r="MIE19" s="1634"/>
      <c r="MIF19" s="1634"/>
      <c r="MIG19" s="1634"/>
      <c r="MIH19" s="1634"/>
      <c r="MII19" s="1634"/>
      <c r="MIJ19" s="1634"/>
      <c r="MIK19" s="1634"/>
      <c r="MIL19" s="1634"/>
      <c r="MIM19" s="1634"/>
      <c r="MIN19" s="1634"/>
      <c r="MIO19" s="1634"/>
      <c r="MIP19" s="1634"/>
      <c r="MIQ19" s="1634"/>
      <c r="MIR19" s="1634"/>
      <c r="MIS19" s="1634"/>
      <c r="MIT19" s="1634"/>
      <c r="MIU19" s="1634"/>
      <c r="MIV19" s="1634"/>
      <c r="MIW19" s="1634"/>
      <c r="MIX19" s="1634"/>
      <c r="MIY19" s="1634"/>
      <c r="MIZ19" s="1634"/>
      <c r="MJA19" s="1634"/>
      <c r="MJB19" s="1634"/>
      <c r="MJC19" s="1634"/>
      <c r="MJD19" s="1634"/>
      <c r="MJE19" s="1634"/>
      <c r="MJF19" s="1634"/>
      <c r="MJG19" s="1634"/>
      <c r="MJH19" s="1634"/>
      <c r="MJI19" s="1634"/>
      <c r="MJJ19" s="1634"/>
      <c r="MJK19" s="1634"/>
      <c r="MJL19" s="1634"/>
      <c r="MJM19" s="1634"/>
      <c r="MJN19" s="1634"/>
      <c r="MJO19" s="1634"/>
      <c r="MJP19" s="1634"/>
      <c r="MJQ19" s="1634"/>
      <c r="MJR19" s="1634"/>
      <c r="MJS19" s="1634"/>
      <c r="MJT19" s="1634"/>
      <c r="MJU19" s="1634"/>
      <c r="MJV19" s="1634"/>
      <c r="MJW19" s="1634"/>
      <c r="MJX19" s="1634"/>
      <c r="MJY19" s="1634"/>
      <c r="MJZ19" s="1634"/>
      <c r="MKA19" s="1634"/>
      <c r="MKB19" s="1634"/>
      <c r="MKC19" s="1634"/>
      <c r="MKD19" s="1634"/>
      <c r="MKE19" s="1634"/>
      <c r="MKF19" s="1634"/>
      <c r="MKG19" s="1634"/>
      <c r="MKH19" s="1634"/>
      <c r="MKI19" s="1634"/>
      <c r="MKJ19" s="1634"/>
      <c r="MKK19" s="1634"/>
      <c r="MKL19" s="1634"/>
      <c r="MKM19" s="1634"/>
      <c r="MKN19" s="1634"/>
      <c r="MKO19" s="1634"/>
      <c r="MKP19" s="1634"/>
      <c r="MKQ19" s="1634"/>
      <c r="MKR19" s="1634"/>
      <c r="MKS19" s="1634"/>
      <c r="MKT19" s="1634"/>
      <c r="MKU19" s="1634"/>
      <c r="MKV19" s="1634"/>
      <c r="MKW19" s="1634"/>
      <c r="MKX19" s="1634"/>
      <c r="MKY19" s="1634"/>
      <c r="MKZ19" s="1634"/>
      <c r="MLA19" s="1634"/>
      <c r="MLB19" s="1634"/>
      <c r="MLC19" s="1634"/>
      <c r="MLD19" s="1634"/>
      <c r="MLE19" s="1634"/>
      <c r="MLF19" s="1634"/>
      <c r="MLG19" s="1634"/>
      <c r="MLH19" s="1634"/>
      <c r="MLI19" s="1634"/>
      <c r="MLJ19" s="1634"/>
      <c r="MLK19" s="1634"/>
      <c r="MLL19" s="1634"/>
      <c r="MLM19" s="1634"/>
      <c r="MLN19" s="1634"/>
      <c r="MLO19" s="1634"/>
      <c r="MLP19" s="1634"/>
      <c r="MLQ19" s="1634"/>
      <c r="MLR19" s="1634"/>
      <c r="MLS19" s="1634"/>
      <c r="MLT19" s="1634"/>
      <c r="MLU19" s="1634"/>
      <c r="MLV19" s="1634"/>
      <c r="MLW19" s="1634"/>
      <c r="MLX19" s="1634"/>
      <c r="MLY19" s="1634"/>
      <c r="MLZ19" s="1634"/>
      <c r="MMA19" s="1634"/>
      <c r="MMB19" s="1634"/>
      <c r="MMC19" s="1634"/>
      <c r="MMD19" s="1634"/>
      <c r="MME19" s="1634"/>
      <c r="MMF19" s="1634"/>
      <c r="MMG19" s="1634"/>
      <c r="MMH19" s="1634"/>
      <c r="MMI19" s="1634"/>
      <c r="MMJ19" s="1634"/>
      <c r="MMK19" s="1634"/>
      <c r="MML19" s="1634"/>
      <c r="MMM19" s="1634"/>
      <c r="MMN19" s="1634"/>
      <c r="MMO19" s="1634"/>
      <c r="MMP19" s="1634"/>
      <c r="MMQ19" s="1634"/>
      <c r="MMR19" s="1634"/>
      <c r="MMS19" s="1634"/>
      <c r="MMT19" s="1634"/>
      <c r="MMU19" s="1634"/>
      <c r="MMV19" s="1634"/>
      <c r="MMW19" s="1634"/>
      <c r="MMX19" s="1634"/>
      <c r="MMY19" s="1634"/>
      <c r="MMZ19" s="1634"/>
      <c r="MNA19" s="1634"/>
      <c r="MNB19" s="1634"/>
      <c r="MNC19" s="1634"/>
      <c r="MND19" s="1634"/>
      <c r="MNE19" s="1634"/>
      <c r="MNF19" s="1634"/>
      <c r="MNG19" s="1634"/>
      <c r="MNH19" s="1634"/>
      <c r="MNI19" s="1634"/>
      <c r="MNJ19" s="1634"/>
      <c r="MNK19" s="1634"/>
      <c r="MNL19" s="1634"/>
      <c r="MNM19" s="1634"/>
      <c r="MNN19" s="1634"/>
      <c r="MNO19" s="1634"/>
      <c r="MNP19" s="1634"/>
      <c r="MNQ19" s="1634"/>
      <c r="MNR19" s="1634"/>
      <c r="MNS19" s="1634"/>
      <c r="MNT19" s="1634"/>
      <c r="MNU19" s="1634"/>
      <c r="MNV19" s="1634"/>
      <c r="MNW19" s="1634"/>
      <c r="MNX19" s="1634"/>
      <c r="MNY19" s="1634"/>
      <c r="MNZ19" s="1634"/>
      <c r="MOA19" s="1634"/>
      <c r="MOB19" s="1634"/>
      <c r="MOC19" s="1634"/>
      <c r="MOD19" s="1634"/>
      <c r="MOE19" s="1634"/>
      <c r="MOF19" s="1634"/>
      <c r="MOG19" s="1634"/>
      <c r="MOH19" s="1634"/>
      <c r="MOI19" s="1634"/>
      <c r="MOJ19" s="1634"/>
      <c r="MOK19" s="1634"/>
      <c r="MOL19" s="1634"/>
      <c r="MOM19" s="1634"/>
      <c r="MON19" s="1634"/>
      <c r="MOO19" s="1634"/>
      <c r="MOP19" s="1634"/>
      <c r="MOQ19" s="1634"/>
      <c r="MOR19" s="1634"/>
      <c r="MOS19" s="1634"/>
      <c r="MOT19" s="1634"/>
      <c r="MOU19" s="1634"/>
      <c r="MOV19" s="1634"/>
      <c r="MOW19" s="1634"/>
      <c r="MOX19" s="1634"/>
      <c r="MOY19" s="1634"/>
      <c r="MOZ19" s="1634"/>
      <c r="MPA19" s="1634"/>
      <c r="MPB19" s="1634"/>
      <c r="MPC19" s="1634"/>
      <c r="MPD19" s="1634"/>
      <c r="MPE19" s="1634"/>
      <c r="MPF19" s="1634"/>
      <c r="MPG19" s="1634"/>
      <c r="MPH19" s="1634"/>
      <c r="MPI19" s="1634"/>
      <c r="MPJ19" s="1634"/>
      <c r="MPK19" s="1634"/>
      <c r="MPL19" s="1634"/>
      <c r="MPM19" s="1634"/>
      <c r="MPN19" s="1634"/>
      <c r="MPO19" s="1634"/>
      <c r="MPP19" s="1634"/>
      <c r="MPQ19" s="1634"/>
      <c r="MPR19" s="1634"/>
      <c r="MPS19" s="1634"/>
      <c r="MPT19" s="1634"/>
      <c r="MPU19" s="1634"/>
      <c r="MPV19" s="1634"/>
      <c r="MPW19" s="1634"/>
      <c r="MPX19" s="1634"/>
      <c r="MPY19" s="1634"/>
      <c r="MPZ19" s="1634"/>
      <c r="MQA19" s="1634"/>
      <c r="MQB19" s="1634"/>
      <c r="MQC19" s="1634"/>
      <c r="MQD19" s="1634"/>
      <c r="MQE19" s="1634"/>
      <c r="MQF19" s="1634"/>
      <c r="MQG19" s="1634"/>
      <c r="MQH19" s="1634"/>
      <c r="MQI19" s="1634"/>
      <c r="MQJ19" s="1634"/>
      <c r="MQK19" s="1634"/>
      <c r="MQL19" s="1634"/>
      <c r="MQM19" s="1634"/>
      <c r="MQN19" s="1634"/>
      <c r="MQO19" s="1634"/>
      <c r="MQP19" s="1634"/>
      <c r="MQQ19" s="1634"/>
      <c r="MQR19" s="1634"/>
      <c r="MQS19" s="1634"/>
      <c r="MQT19" s="1634"/>
      <c r="MQU19" s="1634"/>
      <c r="MQV19" s="1634"/>
      <c r="MQW19" s="1634"/>
      <c r="MQX19" s="1634"/>
      <c r="MQY19" s="1634"/>
      <c r="MQZ19" s="1634"/>
      <c r="MRA19" s="1634"/>
      <c r="MRB19" s="1634"/>
      <c r="MRC19" s="1634"/>
      <c r="MRD19" s="1634"/>
      <c r="MRE19" s="1634"/>
      <c r="MRF19" s="1634"/>
      <c r="MRG19" s="1634"/>
      <c r="MRH19" s="1634"/>
      <c r="MRI19" s="1634"/>
      <c r="MRJ19" s="1634"/>
      <c r="MRK19" s="1634"/>
      <c r="MRL19" s="1634"/>
      <c r="MRM19" s="1634"/>
      <c r="MRN19" s="1634"/>
      <c r="MRO19" s="1634"/>
      <c r="MRP19" s="1634"/>
      <c r="MRQ19" s="1634"/>
      <c r="MRR19" s="1634"/>
      <c r="MRS19" s="1634"/>
      <c r="MRT19" s="1634"/>
      <c r="MRU19" s="1634"/>
      <c r="MRV19" s="1634"/>
      <c r="MRW19" s="1634"/>
      <c r="MRX19" s="1634"/>
      <c r="MRY19" s="1634"/>
      <c r="MRZ19" s="1634"/>
      <c r="MSA19" s="1634"/>
      <c r="MSB19" s="1634"/>
      <c r="MSC19" s="1634"/>
      <c r="MSD19" s="1634"/>
      <c r="MSE19" s="1634"/>
      <c r="MSF19" s="1634"/>
      <c r="MSG19" s="1634"/>
      <c r="MSH19" s="1634"/>
      <c r="MSI19" s="1634"/>
      <c r="MSJ19" s="1634"/>
      <c r="MSK19" s="1634"/>
      <c r="MSL19" s="1634"/>
      <c r="MSM19" s="1634"/>
      <c r="MSN19" s="1634"/>
      <c r="MSO19" s="1634"/>
      <c r="MSP19" s="1634"/>
      <c r="MSQ19" s="1634"/>
      <c r="MSR19" s="1634"/>
      <c r="MSS19" s="1634"/>
      <c r="MST19" s="1634"/>
      <c r="MSU19" s="1634"/>
      <c r="MSV19" s="1634"/>
      <c r="MSW19" s="1634"/>
      <c r="MSX19" s="1634"/>
      <c r="MSY19" s="1634"/>
      <c r="MSZ19" s="1634"/>
      <c r="MTA19" s="1634"/>
      <c r="MTB19" s="1634"/>
      <c r="MTC19" s="1634"/>
      <c r="MTD19" s="1634"/>
      <c r="MTE19" s="1634"/>
      <c r="MTF19" s="1634"/>
      <c r="MTG19" s="1634"/>
      <c r="MTH19" s="1634"/>
      <c r="MTI19" s="1634"/>
      <c r="MTJ19" s="1634"/>
      <c r="MTK19" s="1634"/>
      <c r="MTL19" s="1634"/>
      <c r="MTM19" s="1634"/>
      <c r="MTN19" s="1634"/>
      <c r="MTO19" s="1634"/>
      <c r="MTP19" s="1634"/>
      <c r="MTQ19" s="1634"/>
      <c r="MTR19" s="1634"/>
      <c r="MTS19" s="1634"/>
      <c r="MTT19" s="1634"/>
      <c r="MTU19" s="1634"/>
      <c r="MTV19" s="1634"/>
      <c r="MTW19" s="1634"/>
      <c r="MTX19" s="1634"/>
      <c r="MTY19" s="1634"/>
      <c r="MTZ19" s="1634"/>
      <c r="MUA19" s="1634"/>
      <c r="MUB19" s="1634"/>
      <c r="MUC19" s="1634"/>
      <c r="MUD19" s="1634"/>
      <c r="MUE19" s="1634"/>
      <c r="MUF19" s="1634"/>
      <c r="MUG19" s="1634"/>
      <c r="MUH19" s="1634"/>
      <c r="MUI19" s="1634"/>
      <c r="MUJ19" s="1634"/>
      <c r="MUK19" s="1634"/>
      <c r="MUL19" s="1634"/>
      <c r="MUM19" s="1634"/>
      <c r="MUN19" s="1634"/>
      <c r="MUO19" s="1634"/>
      <c r="MUP19" s="1634"/>
      <c r="MUQ19" s="1634"/>
      <c r="MUR19" s="1634"/>
      <c r="MUS19" s="1634"/>
      <c r="MUT19" s="1634"/>
      <c r="MUU19" s="1634"/>
      <c r="MUV19" s="1634"/>
      <c r="MUW19" s="1634"/>
      <c r="MUX19" s="1634"/>
      <c r="MUY19" s="1634"/>
      <c r="MUZ19" s="1634"/>
      <c r="MVA19" s="1634"/>
      <c r="MVB19" s="1634"/>
      <c r="MVC19" s="1634"/>
      <c r="MVD19" s="1634"/>
      <c r="MVE19" s="1634"/>
      <c r="MVF19" s="1634"/>
      <c r="MVG19" s="1634"/>
      <c r="MVH19" s="1634"/>
      <c r="MVI19" s="1634"/>
      <c r="MVJ19" s="1634"/>
      <c r="MVK19" s="1634"/>
      <c r="MVL19" s="1634"/>
      <c r="MVM19" s="1634"/>
      <c r="MVN19" s="1634"/>
      <c r="MVO19" s="1634"/>
      <c r="MVP19" s="1634"/>
      <c r="MVQ19" s="1634"/>
      <c r="MVR19" s="1634"/>
      <c r="MVS19" s="1634"/>
      <c r="MVT19" s="1634"/>
      <c r="MVU19" s="1634"/>
      <c r="MVV19" s="1634"/>
      <c r="MVW19" s="1634"/>
      <c r="MVX19" s="1634"/>
      <c r="MVY19" s="1634"/>
      <c r="MVZ19" s="1634"/>
      <c r="MWA19" s="1634"/>
      <c r="MWB19" s="1634"/>
      <c r="MWC19" s="1634"/>
      <c r="MWD19" s="1634"/>
      <c r="MWE19" s="1634"/>
      <c r="MWF19" s="1634"/>
      <c r="MWG19" s="1634"/>
      <c r="MWH19" s="1634"/>
      <c r="MWI19" s="1634"/>
      <c r="MWJ19" s="1634"/>
      <c r="MWK19" s="1634"/>
      <c r="MWL19" s="1634"/>
      <c r="MWM19" s="1634"/>
      <c r="MWN19" s="1634"/>
      <c r="MWO19" s="1634"/>
      <c r="MWP19" s="1634"/>
      <c r="MWQ19" s="1634"/>
      <c r="MWR19" s="1634"/>
      <c r="MWS19" s="1634"/>
      <c r="MWT19" s="1634"/>
      <c r="MWU19" s="1634"/>
      <c r="MWV19" s="1634"/>
      <c r="MWW19" s="1634"/>
      <c r="MWX19" s="1634"/>
      <c r="MWY19" s="1634"/>
      <c r="MWZ19" s="1634"/>
      <c r="MXA19" s="1634"/>
      <c r="MXB19" s="1634"/>
      <c r="MXC19" s="1634"/>
      <c r="MXD19" s="1634"/>
      <c r="MXE19" s="1634"/>
      <c r="MXF19" s="1634"/>
      <c r="MXG19" s="1634"/>
      <c r="MXH19" s="1634"/>
      <c r="MXI19" s="1634"/>
      <c r="MXJ19" s="1634"/>
      <c r="MXK19" s="1634"/>
      <c r="MXL19" s="1634"/>
      <c r="MXM19" s="1634"/>
      <c r="MXN19" s="1634"/>
      <c r="MXO19" s="1634"/>
      <c r="MXP19" s="1634"/>
      <c r="MXQ19" s="1634"/>
      <c r="MXR19" s="1634"/>
      <c r="MXS19" s="1634"/>
      <c r="MXT19" s="1634"/>
      <c r="MXU19" s="1634"/>
      <c r="MXV19" s="1634"/>
      <c r="MXW19" s="1634"/>
      <c r="MXX19" s="1634"/>
      <c r="MXY19" s="1634"/>
      <c r="MXZ19" s="1634"/>
      <c r="MYA19" s="1634"/>
      <c r="MYB19" s="1634"/>
      <c r="MYC19" s="1634"/>
      <c r="MYD19" s="1634"/>
      <c r="MYE19" s="1634"/>
      <c r="MYF19" s="1634"/>
      <c r="MYG19" s="1634"/>
      <c r="MYH19" s="1634"/>
      <c r="MYI19" s="1634"/>
      <c r="MYJ19" s="1634"/>
      <c r="MYK19" s="1634"/>
      <c r="MYL19" s="1634"/>
      <c r="MYM19" s="1634"/>
      <c r="MYN19" s="1634"/>
      <c r="MYO19" s="1634"/>
      <c r="MYP19" s="1634"/>
      <c r="MYQ19" s="1634"/>
      <c r="MYR19" s="1634"/>
      <c r="MYS19" s="1634"/>
      <c r="MYT19" s="1634"/>
      <c r="MYU19" s="1634"/>
      <c r="MYV19" s="1634"/>
      <c r="MYW19" s="1634"/>
      <c r="MYX19" s="1634"/>
      <c r="MYY19" s="1634"/>
      <c r="MYZ19" s="1634"/>
      <c r="MZA19" s="1634"/>
      <c r="MZB19" s="1634"/>
      <c r="MZC19" s="1634"/>
      <c r="MZD19" s="1634"/>
      <c r="MZE19" s="1634"/>
      <c r="MZF19" s="1634"/>
      <c r="MZG19" s="1634"/>
      <c r="MZH19" s="1634"/>
      <c r="MZI19" s="1634"/>
      <c r="MZJ19" s="1634"/>
      <c r="MZK19" s="1634"/>
      <c r="MZL19" s="1634"/>
      <c r="MZM19" s="1634"/>
      <c r="MZN19" s="1634"/>
      <c r="MZO19" s="1634"/>
      <c r="MZP19" s="1634"/>
      <c r="MZQ19" s="1634"/>
      <c r="MZR19" s="1634"/>
      <c r="MZS19" s="1634"/>
      <c r="MZT19" s="1634"/>
      <c r="MZU19" s="1634"/>
      <c r="MZV19" s="1634"/>
      <c r="MZW19" s="1634"/>
      <c r="MZX19" s="1634"/>
      <c r="MZY19" s="1634"/>
      <c r="MZZ19" s="1634"/>
      <c r="NAA19" s="1634"/>
      <c r="NAB19" s="1634"/>
      <c r="NAC19" s="1634"/>
      <c r="NAD19" s="1634"/>
      <c r="NAE19" s="1634"/>
      <c r="NAF19" s="1634"/>
      <c r="NAG19" s="1634"/>
      <c r="NAH19" s="1634"/>
      <c r="NAI19" s="1634"/>
      <c r="NAJ19" s="1634"/>
      <c r="NAK19" s="1634"/>
      <c r="NAL19" s="1634"/>
      <c r="NAM19" s="1634"/>
      <c r="NAN19" s="1634"/>
      <c r="NAO19" s="1634"/>
      <c r="NAP19" s="1634"/>
      <c r="NAQ19" s="1634"/>
      <c r="NAR19" s="1634"/>
      <c r="NAS19" s="1634"/>
      <c r="NAT19" s="1634"/>
      <c r="NAU19" s="1634"/>
      <c r="NAV19" s="1634"/>
      <c r="NAW19" s="1634"/>
      <c r="NAX19" s="1634"/>
      <c r="NAY19" s="1634"/>
      <c r="NAZ19" s="1634"/>
      <c r="NBA19" s="1634"/>
      <c r="NBB19" s="1634"/>
      <c r="NBC19" s="1634"/>
      <c r="NBD19" s="1634"/>
      <c r="NBE19" s="1634"/>
      <c r="NBF19" s="1634"/>
      <c r="NBG19" s="1634"/>
      <c r="NBH19" s="1634"/>
      <c r="NBI19" s="1634"/>
      <c r="NBJ19" s="1634"/>
      <c r="NBK19" s="1634"/>
      <c r="NBL19" s="1634"/>
      <c r="NBM19" s="1634"/>
      <c r="NBN19" s="1634"/>
      <c r="NBO19" s="1634"/>
      <c r="NBP19" s="1634"/>
      <c r="NBQ19" s="1634"/>
      <c r="NBR19" s="1634"/>
      <c r="NBS19" s="1634"/>
      <c r="NBT19" s="1634"/>
      <c r="NBU19" s="1634"/>
      <c r="NBV19" s="1634"/>
      <c r="NBW19" s="1634"/>
      <c r="NBX19" s="1634"/>
      <c r="NBY19" s="1634"/>
      <c r="NBZ19" s="1634"/>
      <c r="NCA19" s="1634"/>
      <c r="NCB19" s="1634"/>
      <c r="NCC19" s="1634"/>
      <c r="NCD19" s="1634"/>
      <c r="NCE19" s="1634"/>
      <c r="NCF19" s="1634"/>
      <c r="NCG19" s="1634"/>
      <c r="NCH19" s="1634"/>
      <c r="NCI19" s="1634"/>
      <c r="NCJ19" s="1634"/>
      <c r="NCK19" s="1634"/>
      <c r="NCL19" s="1634"/>
      <c r="NCM19" s="1634"/>
      <c r="NCN19" s="1634"/>
      <c r="NCO19" s="1634"/>
      <c r="NCP19" s="1634"/>
      <c r="NCQ19" s="1634"/>
      <c r="NCR19" s="1634"/>
      <c r="NCS19" s="1634"/>
      <c r="NCT19" s="1634"/>
      <c r="NCU19" s="1634"/>
      <c r="NCV19" s="1634"/>
      <c r="NCW19" s="1634"/>
      <c r="NCX19" s="1634"/>
      <c r="NCY19" s="1634"/>
      <c r="NCZ19" s="1634"/>
      <c r="NDA19" s="1634"/>
      <c r="NDB19" s="1634"/>
      <c r="NDC19" s="1634"/>
      <c r="NDD19" s="1634"/>
      <c r="NDE19" s="1634"/>
      <c r="NDF19" s="1634"/>
      <c r="NDG19" s="1634"/>
      <c r="NDH19" s="1634"/>
      <c r="NDI19" s="1634"/>
      <c r="NDJ19" s="1634"/>
      <c r="NDK19" s="1634"/>
      <c r="NDL19" s="1634"/>
      <c r="NDM19" s="1634"/>
      <c r="NDN19" s="1634"/>
      <c r="NDO19" s="1634"/>
      <c r="NDP19" s="1634"/>
      <c r="NDQ19" s="1634"/>
      <c r="NDR19" s="1634"/>
      <c r="NDS19" s="1634"/>
      <c r="NDT19" s="1634"/>
      <c r="NDU19" s="1634"/>
      <c r="NDV19" s="1634"/>
      <c r="NDW19" s="1634"/>
      <c r="NDX19" s="1634"/>
      <c r="NDY19" s="1634"/>
      <c r="NDZ19" s="1634"/>
      <c r="NEA19" s="1634"/>
      <c r="NEB19" s="1634"/>
      <c r="NEC19" s="1634"/>
      <c r="NED19" s="1634"/>
      <c r="NEE19" s="1634"/>
      <c r="NEF19" s="1634"/>
      <c r="NEG19" s="1634"/>
      <c r="NEH19" s="1634"/>
      <c r="NEI19" s="1634"/>
      <c r="NEJ19" s="1634"/>
      <c r="NEK19" s="1634"/>
      <c r="NEL19" s="1634"/>
      <c r="NEM19" s="1634"/>
      <c r="NEN19" s="1634"/>
      <c r="NEO19" s="1634"/>
      <c r="NEP19" s="1634"/>
      <c r="NEQ19" s="1634"/>
      <c r="NER19" s="1634"/>
      <c r="NES19" s="1634"/>
      <c r="NET19" s="1634"/>
      <c r="NEU19" s="1634"/>
      <c r="NEV19" s="1634"/>
      <c r="NEW19" s="1634"/>
      <c r="NEX19" s="1634"/>
      <c r="NEY19" s="1634"/>
      <c r="NEZ19" s="1634"/>
      <c r="NFA19" s="1634"/>
      <c r="NFB19" s="1634"/>
      <c r="NFC19" s="1634"/>
      <c r="NFD19" s="1634"/>
      <c r="NFE19" s="1634"/>
      <c r="NFF19" s="1634"/>
      <c r="NFG19" s="1634"/>
      <c r="NFH19" s="1634"/>
      <c r="NFI19" s="1634"/>
      <c r="NFJ19" s="1634"/>
      <c r="NFK19" s="1634"/>
      <c r="NFL19" s="1634"/>
      <c r="NFM19" s="1634"/>
      <c r="NFN19" s="1634"/>
      <c r="NFO19" s="1634"/>
      <c r="NFP19" s="1634"/>
      <c r="NFQ19" s="1634"/>
      <c r="NFR19" s="1634"/>
      <c r="NFS19" s="1634"/>
      <c r="NFT19" s="1634"/>
      <c r="NFU19" s="1634"/>
      <c r="NFV19" s="1634"/>
      <c r="NFW19" s="1634"/>
      <c r="NFX19" s="1634"/>
      <c r="NFY19" s="1634"/>
      <c r="NFZ19" s="1634"/>
      <c r="NGA19" s="1634"/>
      <c r="NGB19" s="1634"/>
      <c r="NGC19" s="1634"/>
      <c r="NGD19" s="1634"/>
      <c r="NGE19" s="1634"/>
      <c r="NGF19" s="1634"/>
      <c r="NGG19" s="1634"/>
      <c r="NGH19" s="1634"/>
      <c r="NGI19" s="1634"/>
      <c r="NGJ19" s="1634"/>
      <c r="NGK19" s="1634"/>
      <c r="NGL19" s="1634"/>
      <c r="NGM19" s="1634"/>
      <c r="NGN19" s="1634"/>
      <c r="NGO19" s="1634"/>
      <c r="NGP19" s="1634"/>
      <c r="NGQ19" s="1634"/>
      <c r="NGR19" s="1634"/>
      <c r="NGS19" s="1634"/>
      <c r="NGT19" s="1634"/>
      <c r="NGU19" s="1634"/>
      <c r="NGV19" s="1634"/>
      <c r="NGW19" s="1634"/>
      <c r="NGX19" s="1634"/>
      <c r="NGY19" s="1634"/>
      <c r="NGZ19" s="1634"/>
      <c r="NHA19" s="1634"/>
      <c r="NHB19" s="1634"/>
      <c r="NHC19" s="1634"/>
      <c r="NHD19" s="1634"/>
      <c r="NHE19" s="1634"/>
      <c r="NHF19" s="1634"/>
      <c r="NHG19" s="1634"/>
      <c r="NHH19" s="1634"/>
      <c r="NHI19" s="1634"/>
      <c r="NHJ19" s="1634"/>
      <c r="NHK19" s="1634"/>
      <c r="NHL19" s="1634"/>
      <c r="NHM19" s="1634"/>
      <c r="NHN19" s="1634"/>
      <c r="NHO19" s="1634"/>
      <c r="NHP19" s="1634"/>
      <c r="NHQ19" s="1634"/>
      <c r="NHR19" s="1634"/>
      <c r="NHS19" s="1634"/>
      <c r="NHT19" s="1634"/>
      <c r="NHU19" s="1634"/>
      <c r="NHV19" s="1634"/>
      <c r="NHW19" s="1634"/>
      <c r="NHX19" s="1634"/>
      <c r="NHY19" s="1634"/>
      <c r="NHZ19" s="1634"/>
      <c r="NIA19" s="1634"/>
      <c r="NIB19" s="1634"/>
      <c r="NIC19" s="1634"/>
      <c r="NID19" s="1634"/>
      <c r="NIE19" s="1634"/>
      <c r="NIF19" s="1634"/>
      <c r="NIG19" s="1634"/>
      <c r="NIH19" s="1634"/>
      <c r="NII19" s="1634"/>
      <c r="NIJ19" s="1634"/>
      <c r="NIK19" s="1634"/>
      <c r="NIL19" s="1634"/>
      <c r="NIM19" s="1634"/>
      <c r="NIN19" s="1634"/>
      <c r="NIO19" s="1634"/>
      <c r="NIP19" s="1634"/>
      <c r="NIQ19" s="1634"/>
      <c r="NIR19" s="1634"/>
      <c r="NIS19" s="1634"/>
      <c r="NIT19" s="1634"/>
      <c r="NIU19" s="1634"/>
      <c r="NIV19" s="1634"/>
      <c r="NIW19" s="1634"/>
      <c r="NIX19" s="1634"/>
      <c r="NIY19" s="1634"/>
      <c r="NIZ19" s="1634"/>
      <c r="NJA19" s="1634"/>
      <c r="NJB19" s="1634"/>
      <c r="NJC19" s="1634"/>
      <c r="NJD19" s="1634"/>
      <c r="NJE19" s="1634"/>
      <c r="NJF19" s="1634"/>
      <c r="NJG19" s="1634"/>
      <c r="NJH19" s="1634"/>
      <c r="NJI19" s="1634"/>
      <c r="NJJ19" s="1634"/>
      <c r="NJK19" s="1634"/>
      <c r="NJL19" s="1634"/>
      <c r="NJM19" s="1634"/>
      <c r="NJN19" s="1634"/>
      <c r="NJO19" s="1634"/>
      <c r="NJP19" s="1634"/>
      <c r="NJQ19" s="1634"/>
      <c r="NJR19" s="1634"/>
      <c r="NJS19" s="1634"/>
      <c r="NJT19" s="1634"/>
      <c r="NJU19" s="1634"/>
      <c r="NJV19" s="1634"/>
      <c r="NJW19" s="1634"/>
      <c r="NJX19" s="1634"/>
      <c r="NJY19" s="1634"/>
      <c r="NJZ19" s="1634"/>
      <c r="NKA19" s="1634"/>
      <c r="NKB19" s="1634"/>
      <c r="NKC19" s="1634"/>
      <c r="NKD19" s="1634"/>
      <c r="NKE19" s="1634"/>
      <c r="NKF19" s="1634"/>
      <c r="NKG19" s="1634"/>
      <c r="NKH19" s="1634"/>
      <c r="NKI19" s="1634"/>
      <c r="NKJ19" s="1634"/>
      <c r="NKK19" s="1634"/>
      <c r="NKL19" s="1634"/>
      <c r="NKM19" s="1634"/>
      <c r="NKN19" s="1634"/>
      <c r="NKO19" s="1634"/>
      <c r="NKP19" s="1634"/>
      <c r="NKQ19" s="1634"/>
      <c r="NKR19" s="1634"/>
      <c r="NKS19" s="1634"/>
      <c r="NKT19" s="1634"/>
      <c r="NKU19" s="1634"/>
      <c r="NKV19" s="1634"/>
      <c r="NKW19" s="1634"/>
      <c r="NKX19" s="1634"/>
      <c r="NKY19" s="1634"/>
      <c r="NKZ19" s="1634"/>
      <c r="NLA19" s="1634"/>
      <c r="NLB19" s="1634"/>
      <c r="NLC19" s="1634"/>
      <c r="NLD19" s="1634"/>
      <c r="NLE19" s="1634"/>
      <c r="NLF19" s="1634"/>
      <c r="NLG19" s="1634"/>
      <c r="NLH19" s="1634"/>
      <c r="NLI19" s="1634"/>
      <c r="NLJ19" s="1634"/>
      <c r="NLK19" s="1634"/>
      <c r="NLL19" s="1634"/>
      <c r="NLM19" s="1634"/>
      <c r="NLN19" s="1634"/>
      <c r="NLO19" s="1634"/>
      <c r="NLP19" s="1634"/>
      <c r="NLQ19" s="1634"/>
      <c r="NLR19" s="1634"/>
      <c r="NLS19" s="1634"/>
      <c r="NLT19" s="1634"/>
      <c r="NLU19" s="1634"/>
      <c r="NLV19" s="1634"/>
      <c r="NLW19" s="1634"/>
      <c r="NLX19" s="1634"/>
      <c r="NLY19" s="1634"/>
      <c r="NLZ19" s="1634"/>
      <c r="NMA19" s="1634"/>
      <c r="NMB19" s="1634"/>
      <c r="NMC19" s="1634"/>
      <c r="NMD19" s="1634"/>
      <c r="NME19" s="1634"/>
      <c r="NMF19" s="1634"/>
      <c r="NMG19" s="1634"/>
      <c r="NMH19" s="1634"/>
      <c r="NMI19" s="1634"/>
      <c r="NMJ19" s="1634"/>
      <c r="NMK19" s="1634"/>
      <c r="NML19" s="1634"/>
      <c r="NMM19" s="1634"/>
      <c r="NMN19" s="1634"/>
      <c r="NMO19" s="1634"/>
      <c r="NMP19" s="1634"/>
      <c r="NMQ19" s="1634"/>
      <c r="NMR19" s="1634"/>
      <c r="NMS19" s="1634"/>
      <c r="NMT19" s="1634"/>
      <c r="NMU19" s="1634"/>
      <c r="NMV19" s="1634"/>
      <c r="NMW19" s="1634"/>
      <c r="NMX19" s="1634"/>
      <c r="NMY19" s="1634"/>
      <c r="NMZ19" s="1634"/>
      <c r="NNA19" s="1634"/>
      <c r="NNB19" s="1634"/>
      <c r="NNC19" s="1634"/>
      <c r="NND19" s="1634"/>
      <c r="NNE19" s="1634"/>
      <c r="NNF19" s="1634"/>
      <c r="NNG19" s="1634"/>
      <c r="NNH19" s="1634"/>
      <c r="NNI19" s="1634"/>
      <c r="NNJ19" s="1634"/>
      <c r="NNK19" s="1634"/>
      <c r="NNL19" s="1634"/>
      <c r="NNM19" s="1634"/>
      <c r="NNN19" s="1634"/>
      <c r="NNO19" s="1634"/>
      <c r="NNP19" s="1634"/>
      <c r="NNQ19" s="1634"/>
      <c r="NNR19" s="1634"/>
      <c r="NNS19" s="1634"/>
      <c r="NNT19" s="1634"/>
      <c r="NNU19" s="1634"/>
      <c r="NNV19" s="1634"/>
      <c r="NNW19" s="1634"/>
      <c r="NNX19" s="1634"/>
      <c r="NNY19" s="1634"/>
      <c r="NNZ19" s="1634"/>
      <c r="NOA19" s="1634"/>
      <c r="NOB19" s="1634"/>
      <c r="NOC19" s="1634"/>
      <c r="NOD19" s="1634"/>
      <c r="NOE19" s="1634"/>
      <c r="NOF19" s="1634"/>
      <c r="NOG19" s="1634"/>
      <c r="NOH19" s="1634"/>
      <c r="NOI19" s="1634"/>
      <c r="NOJ19" s="1634"/>
      <c r="NOK19" s="1634"/>
      <c r="NOL19" s="1634"/>
      <c r="NOM19" s="1634"/>
      <c r="NON19" s="1634"/>
      <c r="NOO19" s="1634"/>
      <c r="NOP19" s="1634"/>
      <c r="NOQ19" s="1634"/>
      <c r="NOR19" s="1634"/>
      <c r="NOS19" s="1634"/>
      <c r="NOT19" s="1634"/>
      <c r="NOU19" s="1634"/>
      <c r="NOV19" s="1634"/>
      <c r="NOW19" s="1634"/>
      <c r="NOX19" s="1634"/>
      <c r="NOY19" s="1634"/>
      <c r="NOZ19" s="1634"/>
      <c r="NPA19" s="1634"/>
      <c r="NPB19" s="1634"/>
      <c r="NPC19" s="1634"/>
      <c r="NPD19" s="1634"/>
      <c r="NPE19" s="1634"/>
      <c r="NPF19" s="1634"/>
      <c r="NPG19" s="1634"/>
      <c r="NPH19" s="1634"/>
      <c r="NPI19" s="1634"/>
      <c r="NPJ19" s="1634"/>
      <c r="NPK19" s="1634"/>
      <c r="NPL19" s="1634"/>
      <c r="NPM19" s="1634"/>
      <c r="NPN19" s="1634"/>
      <c r="NPO19" s="1634"/>
      <c r="NPP19" s="1634"/>
      <c r="NPQ19" s="1634"/>
      <c r="NPR19" s="1634"/>
      <c r="NPS19" s="1634"/>
      <c r="NPT19" s="1634"/>
      <c r="NPU19" s="1634"/>
      <c r="NPV19" s="1634"/>
      <c r="NPW19" s="1634"/>
      <c r="NPX19" s="1634"/>
      <c r="NPY19" s="1634"/>
      <c r="NPZ19" s="1634"/>
      <c r="NQA19" s="1634"/>
      <c r="NQB19" s="1634"/>
      <c r="NQC19" s="1634"/>
      <c r="NQD19" s="1634"/>
      <c r="NQE19" s="1634"/>
      <c r="NQF19" s="1634"/>
      <c r="NQG19" s="1634"/>
      <c r="NQH19" s="1634"/>
      <c r="NQI19" s="1634"/>
      <c r="NQJ19" s="1634"/>
      <c r="NQK19" s="1634"/>
      <c r="NQL19" s="1634"/>
      <c r="NQM19" s="1634"/>
      <c r="NQN19" s="1634"/>
      <c r="NQO19" s="1634"/>
      <c r="NQP19" s="1634"/>
      <c r="NQQ19" s="1634"/>
      <c r="NQR19" s="1634"/>
      <c r="NQS19" s="1634"/>
      <c r="NQT19" s="1634"/>
      <c r="NQU19" s="1634"/>
      <c r="NQV19" s="1634"/>
      <c r="NQW19" s="1634"/>
      <c r="NQX19" s="1634"/>
      <c r="NQY19" s="1634"/>
      <c r="NQZ19" s="1634"/>
      <c r="NRA19" s="1634"/>
      <c r="NRB19" s="1634"/>
      <c r="NRC19" s="1634"/>
      <c r="NRD19" s="1634"/>
      <c r="NRE19" s="1634"/>
      <c r="NRF19" s="1634"/>
      <c r="NRG19" s="1634"/>
      <c r="NRH19" s="1634"/>
      <c r="NRI19" s="1634"/>
      <c r="NRJ19" s="1634"/>
      <c r="NRK19" s="1634"/>
      <c r="NRL19" s="1634"/>
      <c r="NRM19" s="1634"/>
      <c r="NRN19" s="1634"/>
      <c r="NRO19" s="1634"/>
      <c r="NRP19" s="1634"/>
      <c r="NRQ19" s="1634"/>
      <c r="NRR19" s="1634"/>
      <c r="NRS19" s="1634"/>
      <c r="NRT19" s="1634"/>
      <c r="NRU19" s="1634"/>
      <c r="NRV19" s="1634"/>
      <c r="NRW19" s="1634"/>
      <c r="NRX19" s="1634"/>
      <c r="NRY19" s="1634"/>
      <c r="NRZ19" s="1634"/>
      <c r="NSA19" s="1634"/>
      <c r="NSB19" s="1634"/>
      <c r="NSC19" s="1634"/>
      <c r="NSD19" s="1634"/>
      <c r="NSE19" s="1634"/>
      <c r="NSF19" s="1634"/>
      <c r="NSG19" s="1634"/>
      <c r="NSH19" s="1634"/>
      <c r="NSI19" s="1634"/>
      <c r="NSJ19" s="1634"/>
      <c r="NSK19" s="1634"/>
      <c r="NSL19" s="1634"/>
      <c r="NSM19" s="1634"/>
      <c r="NSN19" s="1634"/>
      <c r="NSO19" s="1634"/>
      <c r="NSP19" s="1634"/>
      <c r="NSQ19" s="1634"/>
      <c r="NSR19" s="1634"/>
      <c r="NSS19" s="1634"/>
      <c r="NST19" s="1634"/>
      <c r="NSU19" s="1634"/>
      <c r="NSV19" s="1634"/>
      <c r="NSW19" s="1634"/>
      <c r="NSX19" s="1634"/>
      <c r="NSY19" s="1634"/>
      <c r="NSZ19" s="1634"/>
      <c r="NTA19" s="1634"/>
      <c r="NTB19" s="1634"/>
      <c r="NTC19" s="1634"/>
      <c r="NTD19" s="1634"/>
      <c r="NTE19" s="1634"/>
      <c r="NTF19" s="1634"/>
      <c r="NTG19" s="1634"/>
      <c r="NTH19" s="1634"/>
      <c r="NTI19" s="1634"/>
      <c r="NTJ19" s="1634"/>
      <c r="NTK19" s="1634"/>
      <c r="NTL19" s="1634"/>
      <c r="NTM19" s="1634"/>
      <c r="NTN19" s="1634"/>
      <c r="NTO19" s="1634"/>
      <c r="NTP19" s="1634"/>
      <c r="NTQ19" s="1634"/>
      <c r="NTR19" s="1634"/>
      <c r="NTS19" s="1634"/>
      <c r="NTT19" s="1634"/>
      <c r="NTU19" s="1634"/>
      <c r="NTV19" s="1634"/>
      <c r="NTW19" s="1634"/>
      <c r="NTX19" s="1634"/>
      <c r="NTY19" s="1634"/>
      <c r="NTZ19" s="1634"/>
      <c r="NUA19" s="1634"/>
      <c r="NUB19" s="1634"/>
      <c r="NUC19" s="1634"/>
      <c r="NUD19" s="1634"/>
      <c r="NUE19" s="1634"/>
      <c r="NUF19" s="1634"/>
      <c r="NUG19" s="1634"/>
      <c r="NUH19" s="1634"/>
      <c r="NUI19" s="1634"/>
      <c r="NUJ19" s="1634"/>
      <c r="NUK19" s="1634"/>
      <c r="NUL19" s="1634"/>
      <c r="NUM19" s="1634"/>
      <c r="NUN19" s="1634"/>
      <c r="NUO19" s="1634"/>
      <c r="NUP19" s="1634"/>
      <c r="NUQ19" s="1634"/>
      <c r="NUR19" s="1634"/>
      <c r="NUS19" s="1634"/>
      <c r="NUT19" s="1634"/>
      <c r="NUU19" s="1634"/>
      <c r="NUV19" s="1634"/>
      <c r="NUW19" s="1634"/>
      <c r="NUX19" s="1634"/>
      <c r="NUY19" s="1634"/>
      <c r="NUZ19" s="1634"/>
      <c r="NVA19" s="1634"/>
      <c r="NVB19" s="1634"/>
      <c r="NVC19" s="1634"/>
      <c r="NVD19" s="1634"/>
      <c r="NVE19" s="1634"/>
      <c r="NVF19" s="1634"/>
      <c r="NVG19" s="1634"/>
      <c r="NVH19" s="1634"/>
      <c r="NVI19" s="1634"/>
      <c r="NVJ19" s="1634"/>
      <c r="NVK19" s="1634"/>
      <c r="NVL19" s="1634"/>
      <c r="NVM19" s="1634"/>
      <c r="NVN19" s="1634"/>
      <c r="NVO19" s="1634"/>
      <c r="NVP19" s="1634"/>
      <c r="NVQ19" s="1634"/>
      <c r="NVR19" s="1634"/>
      <c r="NVS19" s="1634"/>
      <c r="NVT19" s="1634"/>
      <c r="NVU19" s="1634"/>
      <c r="NVV19" s="1634"/>
      <c r="NVW19" s="1634"/>
      <c r="NVX19" s="1634"/>
      <c r="NVY19" s="1634"/>
      <c r="NVZ19" s="1634"/>
      <c r="NWA19" s="1634"/>
      <c r="NWB19" s="1634"/>
      <c r="NWC19" s="1634"/>
      <c r="NWD19" s="1634"/>
      <c r="NWE19" s="1634"/>
      <c r="NWF19" s="1634"/>
      <c r="NWG19" s="1634"/>
      <c r="NWH19" s="1634"/>
      <c r="NWI19" s="1634"/>
      <c r="NWJ19" s="1634"/>
      <c r="NWK19" s="1634"/>
      <c r="NWL19" s="1634"/>
      <c r="NWM19" s="1634"/>
      <c r="NWN19" s="1634"/>
      <c r="NWO19" s="1634"/>
      <c r="NWP19" s="1634"/>
      <c r="NWQ19" s="1634"/>
      <c r="NWR19" s="1634"/>
      <c r="NWS19" s="1634"/>
      <c r="NWT19" s="1634"/>
      <c r="NWU19" s="1634"/>
      <c r="NWV19" s="1634"/>
      <c r="NWW19" s="1634"/>
      <c r="NWX19" s="1634"/>
      <c r="NWY19" s="1634"/>
      <c r="NWZ19" s="1634"/>
      <c r="NXA19" s="1634"/>
      <c r="NXB19" s="1634"/>
      <c r="NXC19" s="1634"/>
      <c r="NXD19" s="1634"/>
      <c r="NXE19" s="1634"/>
      <c r="NXF19" s="1634"/>
      <c r="NXG19" s="1634"/>
      <c r="NXH19" s="1634"/>
      <c r="NXI19" s="1634"/>
      <c r="NXJ19" s="1634"/>
      <c r="NXK19" s="1634"/>
      <c r="NXL19" s="1634"/>
      <c r="NXM19" s="1634"/>
      <c r="NXN19" s="1634"/>
      <c r="NXO19" s="1634"/>
      <c r="NXP19" s="1634"/>
      <c r="NXQ19" s="1634"/>
      <c r="NXR19" s="1634"/>
      <c r="NXS19" s="1634"/>
      <c r="NXT19" s="1634"/>
      <c r="NXU19" s="1634"/>
      <c r="NXV19" s="1634"/>
      <c r="NXW19" s="1634"/>
      <c r="NXX19" s="1634"/>
      <c r="NXY19" s="1634"/>
      <c r="NXZ19" s="1634"/>
      <c r="NYA19" s="1634"/>
      <c r="NYB19" s="1634"/>
      <c r="NYC19" s="1634"/>
      <c r="NYD19" s="1634"/>
      <c r="NYE19" s="1634"/>
      <c r="NYF19" s="1634"/>
      <c r="NYG19" s="1634"/>
      <c r="NYH19" s="1634"/>
      <c r="NYI19" s="1634"/>
      <c r="NYJ19" s="1634"/>
      <c r="NYK19" s="1634"/>
      <c r="NYL19" s="1634"/>
      <c r="NYM19" s="1634"/>
      <c r="NYN19" s="1634"/>
      <c r="NYO19" s="1634"/>
      <c r="NYP19" s="1634"/>
      <c r="NYQ19" s="1634"/>
      <c r="NYR19" s="1634"/>
      <c r="NYS19" s="1634"/>
      <c r="NYT19" s="1634"/>
      <c r="NYU19" s="1634"/>
      <c r="NYV19" s="1634"/>
      <c r="NYW19" s="1634"/>
      <c r="NYX19" s="1634"/>
      <c r="NYY19" s="1634"/>
      <c r="NYZ19" s="1634"/>
      <c r="NZA19" s="1634"/>
      <c r="NZB19" s="1634"/>
      <c r="NZC19" s="1634"/>
      <c r="NZD19" s="1634"/>
      <c r="NZE19" s="1634"/>
      <c r="NZF19" s="1634"/>
      <c r="NZG19" s="1634"/>
      <c r="NZH19" s="1634"/>
      <c r="NZI19" s="1634"/>
      <c r="NZJ19" s="1634"/>
      <c r="NZK19" s="1634"/>
      <c r="NZL19" s="1634"/>
      <c r="NZM19" s="1634"/>
      <c r="NZN19" s="1634"/>
      <c r="NZO19" s="1634"/>
      <c r="NZP19" s="1634"/>
      <c r="NZQ19" s="1634"/>
      <c r="NZR19" s="1634"/>
      <c r="NZS19" s="1634"/>
      <c r="NZT19" s="1634"/>
      <c r="NZU19" s="1634"/>
      <c r="NZV19" s="1634"/>
      <c r="NZW19" s="1634"/>
      <c r="NZX19" s="1634"/>
      <c r="NZY19" s="1634"/>
      <c r="NZZ19" s="1634"/>
      <c r="OAA19" s="1634"/>
      <c r="OAB19" s="1634"/>
      <c r="OAC19" s="1634"/>
      <c r="OAD19" s="1634"/>
      <c r="OAE19" s="1634"/>
      <c r="OAF19" s="1634"/>
      <c r="OAG19" s="1634"/>
      <c r="OAH19" s="1634"/>
      <c r="OAI19" s="1634"/>
      <c r="OAJ19" s="1634"/>
      <c r="OAK19" s="1634"/>
      <c r="OAL19" s="1634"/>
      <c r="OAM19" s="1634"/>
      <c r="OAN19" s="1634"/>
      <c r="OAO19" s="1634"/>
      <c r="OAP19" s="1634"/>
      <c r="OAQ19" s="1634"/>
      <c r="OAR19" s="1634"/>
      <c r="OAS19" s="1634"/>
      <c r="OAT19" s="1634"/>
      <c r="OAU19" s="1634"/>
      <c r="OAV19" s="1634"/>
      <c r="OAW19" s="1634"/>
      <c r="OAX19" s="1634"/>
      <c r="OAY19" s="1634"/>
      <c r="OAZ19" s="1634"/>
      <c r="OBA19" s="1634"/>
      <c r="OBB19" s="1634"/>
      <c r="OBC19" s="1634"/>
      <c r="OBD19" s="1634"/>
      <c r="OBE19" s="1634"/>
      <c r="OBF19" s="1634"/>
      <c r="OBG19" s="1634"/>
      <c r="OBH19" s="1634"/>
      <c r="OBI19" s="1634"/>
      <c r="OBJ19" s="1634"/>
      <c r="OBK19" s="1634"/>
      <c r="OBL19" s="1634"/>
      <c r="OBM19" s="1634"/>
      <c r="OBN19" s="1634"/>
      <c r="OBO19" s="1634"/>
      <c r="OBP19" s="1634"/>
      <c r="OBQ19" s="1634"/>
      <c r="OBR19" s="1634"/>
      <c r="OBS19" s="1634"/>
      <c r="OBT19" s="1634"/>
      <c r="OBU19" s="1634"/>
      <c r="OBV19" s="1634"/>
      <c r="OBW19" s="1634"/>
      <c r="OBX19" s="1634"/>
      <c r="OBY19" s="1634"/>
      <c r="OBZ19" s="1634"/>
      <c r="OCA19" s="1634"/>
      <c r="OCB19" s="1634"/>
      <c r="OCC19" s="1634"/>
      <c r="OCD19" s="1634"/>
      <c r="OCE19" s="1634"/>
      <c r="OCF19" s="1634"/>
      <c r="OCG19" s="1634"/>
      <c r="OCH19" s="1634"/>
      <c r="OCI19" s="1634"/>
      <c r="OCJ19" s="1634"/>
      <c r="OCK19" s="1634"/>
      <c r="OCL19" s="1634"/>
      <c r="OCM19" s="1634"/>
      <c r="OCN19" s="1634"/>
      <c r="OCO19" s="1634"/>
      <c r="OCP19" s="1634"/>
      <c r="OCQ19" s="1634"/>
      <c r="OCR19" s="1634"/>
      <c r="OCS19" s="1634"/>
      <c r="OCT19" s="1634"/>
      <c r="OCU19" s="1634"/>
      <c r="OCV19" s="1634"/>
      <c r="OCW19" s="1634"/>
      <c r="OCX19" s="1634"/>
      <c r="OCY19" s="1634"/>
      <c r="OCZ19" s="1634"/>
      <c r="ODA19" s="1634"/>
      <c r="ODB19" s="1634"/>
      <c r="ODC19" s="1634"/>
      <c r="ODD19" s="1634"/>
      <c r="ODE19" s="1634"/>
      <c r="ODF19" s="1634"/>
      <c r="ODG19" s="1634"/>
      <c r="ODH19" s="1634"/>
      <c r="ODI19" s="1634"/>
      <c r="ODJ19" s="1634"/>
      <c r="ODK19" s="1634"/>
      <c r="ODL19" s="1634"/>
      <c r="ODM19" s="1634"/>
      <c r="ODN19" s="1634"/>
      <c r="ODO19" s="1634"/>
      <c r="ODP19" s="1634"/>
      <c r="ODQ19" s="1634"/>
      <c r="ODR19" s="1634"/>
      <c r="ODS19" s="1634"/>
      <c r="ODT19" s="1634"/>
      <c r="ODU19" s="1634"/>
      <c r="ODV19" s="1634"/>
      <c r="ODW19" s="1634"/>
      <c r="ODX19" s="1634"/>
      <c r="ODY19" s="1634"/>
      <c r="ODZ19" s="1634"/>
      <c r="OEA19" s="1634"/>
      <c r="OEB19" s="1634"/>
      <c r="OEC19" s="1634"/>
      <c r="OED19" s="1634"/>
      <c r="OEE19" s="1634"/>
      <c r="OEF19" s="1634"/>
      <c r="OEG19" s="1634"/>
      <c r="OEH19" s="1634"/>
      <c r="OEI19" s="1634"/>
      <c r="OEJ19" s="1634"/>
      <c r="OEK19" s="1634"/>
      <c r="OEL19" s="1634"/>
      <c r="OEM19" s="1634"/>
      <c r="OEN19" s="1634"/>
      <c r="OEO19" s="1634"/>
      <c r="OEP19" s="1634"/>
      <c r="OEQ19" s="1634"/>
      <c r="OER19" s="1634"/>
      <c r="OES19" s="1634"/>
      <c r="OET19" s="1634"/>
      <c r="OEU19" s="1634"/>
      <c r="OEV19" s="1634"/>
      <c r="OEW19" s="1634"/>
      <c r="OEX19" s="1634"/>
      <c r="OEY19" s="1634"/>
      <c r="OEZ19" s="1634"/>
      <c r="OFA19" s="1634"/>
      <c r="OFB19" s="1634"/>
      <c r="OFC19" s="1634"/>
      <c r="OFD19" s="1634"/>
      <c r="OFE19" s="1634"/>
      <c r="OFF19" s="1634"/>
      <c r="OFG19" s="1634"/>
      <c r="OFH19" s="1634"/>
      <c r="OFI19" s="1634"/>
      <c r="OFJ19" s="1634"/>
      <c r="OFK19" s="1634"/>
      <c r="OFL19" s="1634"/>
      <c r="OFM19" s="1634"/>
      <c r="OFN19" s="1634"/>
      <c r="OFO19" s="1634"/>
      <c r="OFP19" s="1634"/>
      <c r="OFQ19" s="1634"/>
      <c r="OFR19" s="1634"/>
      <c r="OFS19" s="1634"/>
      <c r="OFT19" s="1634"/>
      <c r="OFU19" s="1634"/>
      <c r="OFV19" s="1634"/>
      <c r="OFW19" s="1634"/>
      <c r="OFX19" s="1634"/>
      <c r="OFY19" s="1634"/>
      <c r="OFZ19" s="1634"/>
      <c r="OGA19" s="1634"/>
      <c r="OGB19" s="1634"/>
      <c r="OGC19" s="1634"/>
      <c r="OGD19" s="1634"/>
      <c r="OGE19" s="1634"/>
      <c r="OGF19" s="1634"/>
      <c r="OGG19" s="1634"/>
      <c r="OGH19" s="1634"/>
      <c r="OGI19" s="1634"/>
      <c r="OGJ19" s="1634"/>
      <c r="OGK19" s="1634"/>
      <c r="OGL19" s="1634"/>
      <c r="OGM19" s="1634"/>
      <c r="OGN19" s="1634"/>
      <c r="OGO19" s="1634"/>
      <c r="OGP19" s="1634"/>
      <c r="OGQ19" s="1634"/>
      <c r="OGR19" s="1634"/>
      <c r="OGS19" s="1634"/>
      <c r="OGT19" s="1634"/>
      <c r="OGU19" s="1634"/>
      <c r="OGV19" s="1634"/>
      <c r="OGW19" s="1634"/>
      <c r="OGX19" s="1634"/>
      <c r="OGY19" s="1634"/>
      <c r="OGZ19" s="1634"/>
      <c r="OHA19" s="1634"/>
      <c r="OHB19" s="1634"/>
      <c r="OHC19" s="1634"/>
      <c r="OHD19" s="1634"/>
      <c r="OHE19" s="1634"/>
      <c r="OHF19" s="1634"/>
      <c r="OHG19" s="1634"/>
      <c r="OHH19" s="1634"/>
      <c r="OHI19" s="1634"/>
      <c r="OHJ19" s="1634"/>
      <c r="OHK19" s="1634"/>
      <c r="OHL19" s="1634"/>
      <c r="OHM19" s="1634"/>
      <c r="OHN19" s="1634"/>
      <c r="OHO19" s="1634"/>
      <c r="OHP19" s="1634"/>
      <c r="OHQ19" s="1634"/>
      <c r="OHR19" s="1634"/>
      <c r="OHS19" s="1634"/>
      <c r="OHT19" s="1634"/>
      <c r="OHU19" s="1634"/>
      <c r="OHV19" s="1634"/>
      <c r="OHW19" s="1634"/>
      <c r="OHX19" s="1634"/>
      <c r="OHY19" s="1634"/>
      <c r="OHZ19" s="1634"/>
      <c r="OIA19" s="1634"/>
      <c r="OIB19" s="1634"/>
      <c r="OIC19" s="1634"/>
      <c r="OID19" s="1634"/>
      <c r="OIE19" s="1634"/>
      <c r="OIF19" s="1634"/>
      <c r="OIG19" s="1634"/>
      <c r="OIH19" s="1634"/>
      <c r="OII19" s="1634"/>
      <c r="OIJ19" s="1634"/>
      <c r="OIK19" s="1634"/>
      <c r="OIL19" s="1634"/>
      <c r="OIM19" s="1634"/>
      <c r="OIN19" s="1634"/>
      <c r="OIO19" s="1634"/>
      <c r="OIP19" s="1634"/>
      <c r="OIQ19" s="1634"/>
      <c r="OIR19" s="1634"/>
      <c r="OIS19" s="1634"/>
      <c r="OIT19" s="1634"/>
      <c r="OIU19" s="1634"/>
      <c r="OIV19" s="1634"/>
      <c r="OIW19" s="1634"/>
      <c r="OIX19" s="1634"/>
      <c r="OIY19" s="1634"/>
      <c r="OIZ19" s="1634"/>
      <c r="OJA19" s="1634"/>
      <c r="OJB19" s="1634"/>
      <c r="OJC19" s="1634"/>
      <c r="OJD19" s="1634"/>
      <c r="OJE19" s="1634"/>
      <c r="OJF19" s="1634"/>
      <c r="OJG19" s="1634"/>
      <c r="OJH19" s="1634"/>
      <c r="OJI19" s="1634"/>
      <c r="OJJ19" s="1634"/>
      <c r="OJK19" s="1634"/>
      <c r="OJL19" s="1634"/>
      <c r="OJM19" s="1634"/>
      <c r="OJN19" s="1634"/>
      <c r="OJO19" s="1634"/>
      <c r="OJP19" s="1634"/>
      <c r="OJQ19" s="1634"/>
      <c r="OJR19" s="1634"/>
      <c r="OJS19" s="1634"/>
      <c r="OJT19" s="1634"/>
      <c r="OJU19" s="1634"/>
      <c r="OJV19" s="1634"/>
      <c r="OJW19" s="1634"/>
      <c r="OJX19" s="1634"/>
      <c r="OJY19" s="1634"/>
      <c r="OJZ19" s="1634"/>
      <c r="OKA19" s="1634"/>
      <c r="OKB19" s="1634"/>
      <c r="OKC19" s="1634"/>
      <c r="OKD19" s="1634"/>
      <c r="OKE19" s="1634"/>
      <c r="OKF19" s="1634"/>
      <c r="OKG19" s="1634"/>
      <c r="OKH19" s="1634"/>
      <c r="OKI19" s="1634"/>
      <c r="OKJ19" s="1634"/>
      <c r="OKK19" s="1634"/>
      <c r="OKL19" s="1634"/>
      <c r="OKM19" s="1634"/>
      <c r="OKN19" s="1634"/>
      <c r="OKO19" s="1634"/>
      <c r="OKP19" s="1634"/>
      <c r="OKQ19" s="1634"/>
      <c r="OKR19" s="1634"/>
      <c r="OKS19" s="1634"/>
      <c r="OKT19" s="1634"/>
      <c r="OKU19" s="1634"/>
      <c r="OKV19" s="1634"/>
      <c r="OKW19" s="1634"/>
      <c r="OKX19" s="1634"/>
      <c r="OKY19" s="1634"/>
      <c r="OKZ19" s="1634"/>
      <c r="OLA19" s="1634"/>
      <c r="OLB19" s="1634"/>
      <c r="OLC19" s="1634"/>
      <c r="OLD19" s="1634"/>
      <c r="OLE19" s="1634"/>
      <c r="OLF19" s="1634"/>
      <c r="OLG19" s="1634"/>
      <c r="OLH19" s="1634"/>
      <c r="OLI19" s="1634"/>
      <c r="OLJ19" s="1634"/>
      <c r="OLK19" s="1634"/>
      <c r="OLL19" s="1634"/>
      <c r="OLM19" s="1634"/>
      <c r="OLN19" s="1634"/>
      <c r="OLO19" s="1634"/>
      <c r="OLP19" s="1634"/>
      <c r="OLQ19" s="1634"/>
      <c r="OLR19" s="1634"/>
      <c r="OLS19" s="1634"/>
      <c r="OLT19" s="1634"/>
      <c r="OLU19" s="1634"/>
      <c r="OLV19" s="1634"/>
      <c r="OLW19" s="1634"/>
      <c r="OLX19" s="1634"/>
      <c r="OLY19" s="1634"/>
      <c r="OLZ19" s="1634"/>
      <c r="OMA19" s="1634"/>
      <c r="OMB19" s="1634"/>
      <c r="OMC19" s="1634"/>
      <c r="OMD19" s="1634"/>
      <c r="OME19" s="1634"/>
      <c r="OMF19" s="1634"/>
      <c r="OMG19" s="1634"/>
      <c r="OMH19" s="1634"/>
      <c r="OMI19" s="1634"/>
      <c r="OMJ19" s="1634"/>
      <c r="OMK19" s="1634"/>
      <c r="OML19" s="1634"/>
      <c r="OMM19" s="1634"/>
      <c r="OMN19" s="1634"/>
      <c r="OMO19" s="1634"/>
      <c r="OMP19" s="1634"/>
      <c r="OMQ19" s="1634"/>
      <c r="OMR19" s="1634"/>
      <c r="OMS19" s="1634"/>
      <c r="OMT19" s="1634"/>
      <c r="OMU19" s="1634"/>
      <c r="OMV19" s="1634"/>
      <c r="OMW19" s="1634"/>
      <c r="OMX19" s="1634"/>
      <c r="OMY19" s="1634"/>
      <c r="OMZ19" s="1634"/>
      <c r="ONA19" s="1634"/>
      <c r="ONB19" s="1634"/>
      <c r="ONC19" s="1634"/>
      <c r="OND19" s="1634"/>
      <c r="ONE19" s="1634"/>
      <c r="ONF19" s="1634"/>
      <c r="ONG19" s="1634"/>
      <c r="ONH19" s="1634"/>
      <c r="ONI19" s="1634"/>
      <c r="ONJ19" s="1634"/>
      <c r="ONK19" s="1634"/>
      <c r="ONL19" s="1634"/>
      <c r="ONM19" s="1634"/>
      <c r="ONN19" s="1634"/>
      <c r="ONO19" s="1634"/>
      <c r="ONP19" s="1634"/>
      <c r="ONQ19" s="1634"/>
      <c r="ONR19" s="1634"/>
      <c r="ONS19" s="1634"/>
      <c r="ONT19" s="1634"/>
      <c r="ONU19" s="1634"/>
      <c r="ONV19" s="1634"/>
      <c r="ONW19" s="1634"/>
      <c r="ONX19" s="1634"/>
      <c r="ONY19" s="1634"/>
      <c r="ONZ19" s="1634"/>
      <c r="OOA19" s="1634"/>
      <c r="OOB19" s="1634"/>
      <c r="OOC19" s="1634"/>
      <c r="OOD19" s="1634"/>
      <c r="OOE19" s="1634"/>
      <c r="OOF19" s="1634"/>
      <c r="OOG19" s="1634"/>
      <c r="OOH19" s="1634"/>
      <c r="OOI19" s="1634"/>
      <c r="OOJ19" s="1634"/>
      <c r="OOK19" s="1634"/>
      <c r="OOL19" s="1634"/>
      <c r="OOM19" s="1634"/>
      <c r="OON19" s="1634"/>
      <c r="OOO19" s="1634"/>
      <c r="OOP19" s="1634"/>
      <c r="OOQ19" s="1634"/>
      <c r="OOR19" s="1634"/>
      <c r="OOS19" s="1634"/>
      <c r="OOT19" s="1634"/>
      <c r="OOU19" s="1634"/>
      <c r="OOV19" s="1634"/>
      <c r="OOW19" s="1634"/>
      <c r="OOX19" s="1634"/>
      <c r="OOY19" s="1634"/>
      <c r="OOZ19" s="1634"/>
      <c r="OPA19" s="1634"/>
      <c r="OPB19" s="1634"/>
      <c r="OPC19" s="1634"/>
      <c r="OPD19" s="1634"/>
      <c r="OPE19" s="1634"/>
      <c r="OPF19" s="1634"/>
      <c r="OPG19" s="1634"/>
      <c r="OPH19" s="1634"/>
      <c r="OPI19" s="1634"/>
      <c r="OPJ19" s="1634"/>
      <c r="OPK19" s="1634"/>
      <c r="OPL19" s="1634"/>
      <c r="OPM19" s="1634"/>
      <c r="OPN19" s="1634"/>
      <c r="OPO19" s="1634"/>
      <c r="OPP19" s="1634"/>
      <c r="OPQ19" s="1634"/>
      <c r="OPR19" s="1634"/>
      <c r="OPS19" s="1634"/>
      <c r="OPT19" s="1634"/>
      <c r="OPU19" s="1634"/>
      <c r="OPV19" s="1634"/>
      <c r="OPW19" s="1634"/>
      <c r="OPX19" s="1634"/>
      <c r="OPY19" s="1634"/>
      <c r="OPZ19" s="1634"/>
      <c r="OQA19" s="1634"/>
      <c r="OQB19" s="1634"/>
      <c r="OQC19" s="1634"/>
      <c r="OQD19" s="1634"/>
      <c r="OQE19" s="1634"/>
      <c r="OQF19" s="1634"/>
      <c r="OQG19" s="1634"/>
      <c r="OQH19" s="1634"/>
      <c r="OQI19" s="1634"/>
      <c r="OQJ19" s="1634"/>
      <c r="OQK19" s="1634"/>
      <c r="OQL19" s="1634"/>
      <c r="OQM19" s="1634"/>
      <c r="OQN19" s="1634"/>
      <c r="OQO19" s="1634"/>
      <c r="OQP19" s="1634"/>
      <c r="OQQ19" s="1634"/>
      <c r="OQR19" s="1634"/>
      <c r="OQS19" s="1634"/>
      <c r="OQT19" s="1634"/>
      <c r="OQU19" s="1634"/>
      <c r="OQV19" s="1634"/>
      <c r="OQW19" s="1634"/>
      <c r="OQX19" s="1634"/>
      <c r="OQY19" s="1634"/>
      <c r="OQZ19" s="1634"/>
      <c r="ORA19" s="1634"/>
      <c r="ORB19" s="1634"/>
      <c r="ORC19" s="1634"/>
      <c r="ORD19" s="1634"/>
      <c r="ORE19" s="1634"/>
      <c r="ORF19" s="1634"/>
      <c r="ORG19" s="1634"/>
      <c r="ORH19" s="1634"/>
      <c r="ORI19" s="1634"/>
      <c r="ORJ19" s="1634"/>
      <c r="ORK19" s="1634"/>
      <c r="ORL19" s="1634"/>
      <c r="ORM19" s="1634"/>
      <c r="ORN19" s="1634"/>
      <c r="ORO19" s="1634"/>
      <c r="ORP19" s="1634"/>
      <c r="ORQ19" s="1634"/>
      <c r="ORR19" s="1634"/>
      <c r="ORS19" s="1634"/>
      <c r="ORT19" s="1634"/>
      <c r="ORU19" s="1634"/>
      <c r="ORV19" s="1634"/>
      <c r="ORW19" s="1634"/>
      <c r="ORX19" s="1634"/>
      <c r="ORY19" s="1634"/>
      <c r="ORZ19" s="1634"/>
      <c r="OSA19" s="1634"/>
      <c r="OSB19" s="1634"/>
      <c r="OSC19" s="1634"/>
      <c r="OSD19" s="1634"/>
      <c r="OSE19" s="1634"/>
      <c r="OSF19" s="1634"/>
      <c r="OSG19" s="1634"/>
      <c r="OSH19" s="1634"/>
      <c r="OSI19" s="1634"/>
      <c r="OSJ19" s="1634"/>
      <c r="OSK19" s="1634"/>
      <c r="OSL19" s="1634"/>
      <c r="OSM19" s="1634"/>
      <c r="OSN19" s="1634"/>
      <c r="OSO19" s="1634"/>
      <c r="OSP19" s="1634"/>
      <c r="OSQ19" s="1634"/>
      <c r="OSR19" s="1634"/>
      <c r="OSS19" s="1634"/>
      <c r="OST19" s="1634"/>
      <c r="OSU19" s="1634"/>
      <c r="OSV19" s="1634"/>
      <c r="OSW19" s="1634"/>
      <c r="OSX19" s="1634"/>
      <c r="OSY19" s="1634"/>
      <c r="OSZ19" s="1634"/>
      <c r="OTA19" s="1634"/>
      <c r="OTB19" s="1634"/>
      <c r="OTC19" s="1634"/>
      <c r="OTD19" s="1634"/>
      <c r="OTE19" s="1634"/>
      <c r="OTF19" s="1634"/>
      <c r="OTG19" s="1634"/>
      <c r="OTH19" s="1634"/>
      <c r="OTI19" s="1634"/>
      <c r="OTJ19" s="1634"/>
      <c r="OTK19" s="1634"/>
      <c r="OTL19" s="1634"/>
      <c r="OTM19" s="1634"/>
      <c r="OTN19" s="1634"/>
      <c r="OTO19" s="1634"/>
      <c r="OTP19" s="1634"/>
      <c r="OTQ19" s="1634"/>
      <c r="OTR19" s="1634"/>
      <c r="OTS19" s="1634"/>
      <c r="OTT19" s="1634"/>
      <c r="OTU19" s="1634"/>
      <c r="OTV19" s="1634"/>
      <c r="OTW19" s="1634"/>
      <c r="OTX19" s="1634"/>
      <c r="OTY19" s="1634"/>
      <c r="OTZ19" s="1634"/>
      <c r="OUA19" s="1634"/>
      <c r="OUB19" s="1634"/>
      <c r="OUC19" s="1634"/>
      <c r="OUD19" s="1634"/>
      <c r="OUE19" s="1634"/>
      <c r="OUF19" s="1634"/>
      <c r="OUG19" s="1634"/>
      <c r="OUH19" s="1634"/>
      <c r="OUI19" s="1634"/>
      <c r="OUJ19" s="1634"/>
      <c r="OUK19" s="1634"/>
      <c r="OUL19" s="1634"/>
      <c r="OUM19" s="1634"/>
      <c r="OUN19" s="1634"/>
      <c r="OUO19" s="1634"/>
      <c r="OUP19" s="1634"/>
      <c r="OUQ19" s="1634"/>
      <c r="OUR19" s="1634"/>
      <c r="OUS19" s="1634"/>
      <c r="OUT19" s="1634"/>
      <c r="OUU19" s="1634"/>
      <c r="OUV19" s="1634"/>
      <c r="OUW19" s="1634"/>
      <c r="OUX19" s="1634"/>
      <c r="OUY19" s="1634"/>
      <c r="OUZ19" s="1634"/>
      <c r="OVA19" s="1634"/>
      <c r="OVB19" s="1634"/>
      <c r="OVC19" s="1634"/>
      <c r="OVD19" s="1634"/>
      <c r="OVE19" s="1634"/>
      <c r="OVF19" s="1634"/>
      <c r="OVG19" s="1634"/>
      <c r="OVH19" s="1634"/>
      <c r="OVI19" s="1634"/>
      <c r="OVJ19" s="1634"/>
      <c r="OVK19" s="1634"/>
      <c r="OVL19" s="1634"/>
      <c r="OVM19" s="1634"/>
      <c r="OVN19" s="1634"/>
      <c r="OVO19" s="1634"/>
      <c r="OVP19" s="1634"/>
      <c r="OVQ19" s="1634"/>
      <c r="OVR19" s="1634"/>
      <c r="OVS19" s="1634"/>
      <c r="OVT19" s="1634"/>
      <c r="OVU19" s="1634"/>
      <c r="OVV19" s="1634"/>
      <c r="OVW19" s="1634"/>
      <c r="OVX19" s="1634"/>
      <c r="OVY19" s="1634"/>
      <c r="OVZ19" s="1634"/>
      <c r="OWA19" s="1634"/>
      <c r="OWB19" s="1634"/>
      <c r="OWC19" s="1634"/>
      <c r="OWD19" s="1634"/>
      <c r="OWE19" s="1634"/>
      <c r="OWF19" s="1634"/>
      <c r="OWG19" s="1634"/>
      <c r="OWH19" s="1634"/>
      <c r="OWI19" s="1634"/>
      <c r="OWJ19" s="1634"/>
      <c r="OWK19" s="1634"/>
      <c r="OWL19" s="1634"/>
      <c r="OWM19" s="1634"/>
      <c r="OWN19" s="1634"/>
      <c r="OWO19" s="1634"/>
      <c r="OWP19" s="1634"/>
      <c r="OWQ19" s="1634"/>
      <c r="OWR19" s="1634"/>
      <c r="OWS19" s="1634"/>
      <c r="OWT19" s="1634"/>
      <c r="OWU19" s="1634"/>
      <c r="OWV19" s="1634"/>
      <c r="OWW19" s="1634"/>
      <c r="OWX19" s="1634"/>
      <c r="OWY19" s="1634"/>
      <c r="OWZ19" s="1634"/>
      <c r="OXA19" s="1634"/>
      <c r="OXB19" s="1634"/>
      <c r="OXC19" s="1634"/>
      <c r="OXD19" s="1634"/>
      <c r="OXE19" s="1634"/>
      <c r="OXF19" s="1634"/>
      <c r="OXG19" s="1634"/>
      <c r="OXH19" s="1634"/>
      <c r="OXI19" s="1634"/>
      <c r="OXJ19" s="1634"/>
      <c r="OXK19" s="1634"/>
      <c r="OXL19" s="1634"/>
      <c r="OXM19" s="1634"/>
      <c r="OXN19" s="1634"/>
      <c r="OXO19" s="1634"/>
      <c r="OXP19" s="1634"/>
      <c r="OXQ19" s="1634"/>
      <c r="OXR19" s="1634"/>
      <c r="OXS19" s="1634"/>
      <c r="OXT19" s="1634"/>
      <c r="OXU19" s="1634"/>
      <c r="OXV19" s="1634"/>
      <c r="OXW19" s="1634"/>
      <c r="OXX19" s="1634"/>
      <c r="OXY19" s="1634"/>
      <c r="OXZ19" s="1634"/>
      <c r="OYA19" s="1634"/>
      <c r="OYB19" s="1634"/>
      <c r="OYC19" s="1634"/>
      <c r="OYD19" s="1634"/>
      <c r="OYE19" s="1634"/>
      <c r="OYF19" s="1634"/>
      <c r="OYG19" s="1634"/>
      <c r="OYH19" s="1634"/>
      <c r="OYI19" s="1634"/>
      <c r="OYJ19" s="1634"/>
      <c r="OYK19" s="1634"/>
      <c r="OYL19" s="1634"/>
      <c r="OYM19" s="1634"/>
      <c r="OYN19" s="1634"/>
      <c r="OYO19" s="1634"/>
      <c r="OYP19" s="1634"/>
      <c r="OYQ19" s="1634"/>
      <c r="OYR19" s="1634"/>
      <c r="OYS19" s="1634"/>
      <c r="OYT19" s="1634"/>
      <c r="OYU19" s="1634"/>
      <c r="OYV19" s="1634"/>
      <c r="OYW19" s="1634"/>
      <c r="OYX19" s="1634"/>
      <c r="OYY19" s="1634"/>
      <c r="OYZ19" s="1634"/>
      <c r="OZA19" s="1634"/>
      <c r="OZB19" s="1634"/>
      <c r="OZC19" s="1634"/>
      <c r="OZD19" s="1634"/>
      <c r="OZE19" s="1634"/>
      <c r="OZF19" s="1634"/>
      <c r="OZG19" s="1634"/>
      <c r="OZH19" s="1634"/>
      <c r="OZI19" s="1634"/>
      <c r="OZJ19" s="1634"/>
      <c r="OZK19" s="1634"/>
      <c r="OZL19" s="1634"/>
      <c r="OZM19" s="1634"/>
      <c r="OZN19" s="1634"/>
      <c r="OZO19" s="1634"/>
      <c r="OZP19" s="1634"/>
      <c r="OZQ19" s="1634"/>
      <c r="OZR19" s="1634"/>
      <c r="OZS19" s="1634"/>
      <c r="OZT19" s="1634"/>
      <c r="OZU19" s="1634"/>
      <c r="OZV19" s="1634"/>
      <c r="OZW19" s="1634"/>
      <c r="OZX19" s="1634"/>
      <c r="OZY19" s="1634"/>
      <c r="OZZ19" s="1634"/>
      <c r="PAA19" s="1634"/>
      <c r="PAB19" s="1634"/>
      <c r="PAC19" s="1634"/>
      <c r="PAD19" s="1634"/>
      <c r="PAE19" s="1634"/>
      <c r="PAF19" s="1634"/>
      <c r="PAG19" s="1634"/>
      <c r="PAH19" s="1634"/>
      <c r="PAI19" s="1634"/>
      <c r="PAJ19" s="1634"/>
      <c r="PAK19" s="1634"/>
      <c r="PAL19" s="1634"/>
      <c r="PAM19" s="1634"/>
      <c r="PAN19" s="1634"/>
      <c r="PAO19" s="1634"/>
      <c r="PAP19" s="1634"/>
      <c r="PAQ19" s="1634"/>
      <c r="PAR19" s="1634"/>
      <c r="PAS19" s="1634"/>
      <c r="PAT19" s="1634"/>
      <c r="PAU19" s="1634"/>
      <c r="PAV19" s="1634"/>
      <c r="PAW19" s="1634"/>
      <c r="PAX19" s="1634"/>
      <c r="PAY19" s="1634"/>
      <c r="PAZ19" s="1634"/>
      <c r="PBA19" s="1634"/>
      <c r="PBB19" s="1634"/>
      <c r="PBC19" s="1634"/>
      <c r="PBD19" s="1634"/>
      <c r="PBE19" s="1634"/>
      <c r="PBF19" s="1634"/>
      <c r="PBG19" s="1634"/>
      <c r="PBH19" s="1634"/>
      <c r="PBI19" s="1634"/>
      <c r="PBJ19" s="1634"/>
      <c r="PBK19" s="1634"/>
      <c r="PBL19" s="1634"/>
      <c r="PBM19" s="1634"/>
      <c r="PBN19" s="1634"/>
      <c r="PBO19" s="1634"/>
      <c r="PBP19" s="1634"/>
      <c r="PBQ19" s="1634"/>
      <c r="PBR19" s="1634"/>
      <c r="PBS19" s="1634"/>
      <c r="PBT19" s="1634"/>
      <c r="PBU19" s="1634"/>
      <c r="PBV19" s="1634"/>
      <c r="PBW19" s="1634"/>
      <c r="PBX19" s="1634"/>
      <c r="PBY19" s="1634"/>
      <c r="PBZ19" s="1634"/>
      <c r="PCA19" s="1634"/>
      <c r="PCB19" s="1634"/>
      <c r="PCC19" s="1634"/>
      <c r="PCD19" s="1634"/>
      <c r="PCE19" s="1634"/>
      <c r="PCF19" s="1634"/>
      <c r="PCG19" s="1634"/>
      <c r="PCH19" s="1634"/>
      <c r="PCI19" s="1634"/>
      <c r="PCJ19" s="1634"/>
      <c r="PCK19" s="1634"/>
      <c r="PCL19" s="1634"/>
      <c r="PCM19" s="1634"/>
      <c r="PCN19" s="1634"/>
      <c r="PCO19" s="1634"/>
      <c r="PCP19" s="1634"/>
      <c r="PCQ19" s="1634"/>
      <c r="PCR19" s="1634"/>
      <c r="PCS19" s="1634"/>
      <c r="PCT19" s="1634"/>
      <c r="PCU19" s="1634"/>
      <c r="PCV19" s="1634"/>
      <c r="PCW19" s="1634"/>
      <c r="PCX19" s="1634"/>
      <c r="PCY19" s="1634"/>
      <c r="PCZ19" s="1634"/>
      <c r="PDA19" s="1634"/>
      <c r="PDB19" s="1634"/>
      <c r="PDC19" s="1634"/>
      <c r="PDD19" s="1634"/>
      <c r="PDE19" s="1634"/>
      <c r="PDF19" s="1634"/>
      <c r="PDG19" s="1634"/>
      <c r="PDH19" s="1634"/>
      <c r="PDI19" s="1634"/>
      <c r="PDJ19" s="1634"/>
      <c r="PDK19" s="1634"/>
      <c r="PDL19" s="1634"/>
      <c r="PDM19" s="1634"/>
      <c r="PDN19" s="1634"/>
      <c r="PDO19" s="1634"/>
      <c r="PDP19" s="1634"/>
      <c r="PDQ19" s="1634"/>
      <c r="PDR19" s="1634"/>
      <c r="PDS19" s="1634"/>
      <c r="PDT19" s="1634"/>
      <c r="PDU19" s="1634"/>
      <c r="PDV19" s="1634"/>
      <c r="PDW19" s="1634"/>
      <c r="PDX19" s="1634"/>
      <c r="PDY19" s="1634"/>
      <c r="PDZ19" s="1634"/>
      <c r="PEA19" s="1634"/>
      <c r="PEB19" s="1634"/>
      <c r="PEC19" s="1634"/>
      <c r="PED19" s="1634"/>
      <c r="PEE19" s="1634"/>
      <c r="PEF19" s="1634"/>
      <c r="PEG19" s="1634"/>
      <c r="PEH19" s="1634"/>
      <c r="PEI19" s="1634"/>
      <c r="PEJ19" s="1634"/>
      <c r="PEK19" s="1634"/>
      <c r="PEL19" s="1634"/>
      <c r="PEM19" s="1634"/>
      <c r="PEN19" s="1634"/>
      <c r="PEO19" s="1634"/>
      <c r="PEP19" s="1634"/>
      <c r="PEQ19" s="1634"/>
      <c r="PER19" s="1634"/>
      <c r="PES19" s="1634"/>
      <c r="PET19" s="1634"/>
      <c r="PEU19" s="1634"/>
      <c r="PEV19" s="1634"/>
      <c r="PEW19" s="1634"/>
      <c r="PEX19" s="1634"/>
      <c r="PEY19" s="1634"/>
      <c r="PEZ19" s="1634"/>
      <c r="PFA19" s="1634"/>
      <c r="PFB19" s="1634"/>
      <c r="PFC19" s="1634"/>
      <c r="PFD19" s="1634"/>
      <c r="PFE19" s="1634"/>
      <c r="PFF19" s="1634"/>
      <c r="PFG19" s="1634"/>
      <c r="PFH19" s="1634"/>
      <c r="PFI19" s="1634"/>
      <c r="PFJ19" s="1634"/>
      <c r="PFK19" s="1634"/>
      <c r="PFL19" s="1634"/>
      <c r="PFM19" s="1634"/>
      <c r="PFN19" s="1634"/>
      <c r="PFO19" s="1634"/>
      <c r="PFP19" s="1634"/>
      <c r="PFQ19" s="1634"/>
      <c r="PFR19" s="1634"/>
      <c r="PFS19" s="1634"/>
      <c r="PFT19" s="1634"/>
      <c r="PFU19" s="1634"/>
      <c r="PFV19" s="1634"/>
      <c r="PFW19" s="1634"/>
      <c r="PFX19" s="1634"/>
      <c r="PFY19" s="1634"/>
      <c r="PFZ19" s="1634"/>
      <c r="PGA19" s="1634"/>
      <c r="PGB19" s="1634"/>
      <c r="PGC19" s="1634"/>
      <c r="PGD19" s="1634"/>
      <c r="PGE19" s="1634"/>
      <c r="PGF19" s="1634"/>
      <c r="PGG19" s="1634"/>
      <c r="PGH19" s="1634"/>
      <c r="PGI19" s="1634"/>
      <c r="PGJ19" s="1634"/>
      <c r="PGK19" s="1634"/>
      <c r="PGL19" s="1634"/>
      <c r="PGM19" s="1634"/>
      <c r="PGN19" s="1634"/>
      <c r="PGO19" s="1634"/>
      <c r="PGP19" s="1634"/>
      <c r="PGQ19" s="1634"/>
      <c r="PGR19" s="1634"/>
      <c r="PGS19" s="1634"/>
      <c r="PGT19" s="1634"/>
      <c r="PGU19" s="1634"/>
      <c r="PGV19" s="1634"/>
      <c r="PGW19" s="1634"/>
      <c r="PGX19" s="1634"/>
      <c r="PGY19" s="1634"/>
      <c r="PGZ19" s="1634"/>
      <c r="PHA19" s="1634"/>
      <c r="PHB19" s="1634"/>
      <c r="PHC19" s="1634"/>
      <c r="PHD19" s="1634"/>
      <c r="PHE19" s="1634"/>
      <c r="PHF19" s="1634"/>
      <c r="PHG19" s="1634"/>
      <c r="PHH19" s="1634"/>
      <c r="PHI19" s="1634"/>
      <c r="PHJ19" s="1634"/>
      <c r="PHK19" s="1634"/>
      <c r="PHL19" s="1634"/>
      <c r="PHM19" s="1634"/>
      <c r="PHN19" s="1634"/>
      <c r="PHO19" s="1634"/>
      <c r="PHP19" s="1634"/>
      <c r="PHQ19" s="1634"/>
      <c r="PHR19" s="1634"/>
      <c r="PHS19" s="1634"/>
      <c r="PHT19" s="1634"/>
      <c r="PHU19" s="1634"/>
      <c r="PHV19" s="1634"/>
      <c r="PHW19" s="1634"/>
      <c r="PHX19" s="1634"/>
      <c r="PHY19" s="1634"/>
      <c r="PHZ19" s="1634"/>
      <c r="PIA19" s="1634"/>
      <c r="PIB19" s="1634"/>
      <c r="PIC19" s="1634"/>
      <c r="PID19" s="1634"/>
      <c r="PIE19" s="1634"/>
      <c r="PIF19" s="1634"/>
      <c r="PIG19" s="1634"/>
      <c r="PIH19" s="1634"/>
      <c r="PII19" s="1634"/>
      <c r="PIJ19" s="1634"/>
      <c r="PIK19" s="1634"/>
      <c r="PIL19" s="1634"/>
      <c r="PIM19" s="1634"/>
      <c r="PIN19" s="1634"/>
      <c r="PIO19" s="1634"/>
      <c r="PIP19" s="1634"/>
      <c r="PIQ19" s="1634"/>
      <c r="PIR19" s="1634"/>
      <c r="PIS19" s="1634"/>
      <c r="PIT19" s="1634"/>
      <c r="PIU19" s="1634"/>
      <c r="PIV19" s="1634"/>
      <c r="PIW19" s="1634"/>
      <c r="PIX19" s="1634"/>
      <c r="PIY19" s="1634"/>
      <c r="PIZ19" s="1634"/>
      <c r="PJA19" s="1634"/>
      <c r="PJB19" s="1634"/>
      <c r="PJC19" s="1634"/>
      <c r="PJD19" s="1634"/>
      <c r="PJE19" s="1634"/>
      <c r="PJF19" s="1634"/>
      <c r="PJG19" s="1634"/>
      <c r="PJH19" s="1634"/>
      <c r="PJI19" s="1634"/>
      <c r="PJJ19" s="1634"/>
      <c r="PJK19" s="1634"/>
      <c r="PJL19" s="1634"/>
      <c r="PJM19" s="1634"/>
      <c r="PJN19" s="1634"/>
      <c r="PJO19" s="1634"/>
      <c r="PJP19" s="1634"/>
      <c r="PJQ19" s="1634"/>
      <c r="PJR19" s="1634"/>
      <c r="PJS19" s="1634"/>
      <c r="PJT19" s="1634"/>
      <c r="PJU19" s="1634"/>
      <c r="PJV19" s="1634"/>
      <c r="PJW19" s="1634"/>
      <c r="PJX19" s="1634"/>
      <c r="PJY19" s="1634"/>
      <c r="PJZ19" s="1634"/>
      <c r="PKA19" s="1634"/>
      <c r="PKB19" s="1634"/>
      <c r="PKC19" s="1634"/>
      <c r="PKD19" s="1634"/>
      <c r="PKE19" s="1634"/>
      <c r="PKF19" s="1634"/>
      <c r="PKG19" s="1634"/>
      <c r="PKH19" s="1634"/>
      <c r="PKI19" s="1634"/>
      <c r="PKJ19" s="1634"/>
      <c r="PKK19" s="1634"/>
      <c r="PKL19" s="1634"/>
      <c r="PKM19" s="1634"/>
      <c r="PKN19" s="1634"/>
      <c r="PKO19" s="1634"/>
      <c r="PKP19" s="1634"/>
      <c r="PKQ19" s="1634"/>
      <c r="PKR19" s="1634"/>
      <c r="PKS19" s="1634"/>
      <c r="PKT19" s="1634"/>
      <c r="PKU19" s="1634"/>
      <c r="PKV19" s="1634"/>
      <c r="PKW19" s="1634"/>
      <c r="PKX19" s="1634"/>
      <c r="PKY19" s="1634"/>
      <c r="PKZ19" s="1634"/>
      <c r="PLA19" s="1634"/>
      <c r="PLB19" s="1634"/>
      <c r="PLC19" s="1634"/>
      <c r="PLD19" s="1634"/>
      <c r="PLE19" s="1634"/>
      <c r="PLF19" s="1634"/>
      <c r="PLG19" s="1634"/>
      <c r="PLH19" s="1634"/>
      <c r="PLI19" s="1634"/>
      <c r="PLJ19" s="1634"/>
      <c r="PLK19" s="1634"/>
      <c r="PLL19" s="1634"/>
      <c r="PLM19" s="1634"/>
      <c r="PLN19" s="1634"/>
      <c r="PLO19" s="1634"/>
      <c r="PLP19" s="1634"/>
      <c r="PLQ19" s="1634"/>
      <c r="PLR19" s="1634"/>
      <c r="PLS19" s="1634"/>
      <c r="PLT19" s="1634"/>
      <c r="PLU19" s="1634"/>
      <c r="PLV19" s="1634"/>
      <c r="PLW19" s="1634"/>
      <c r="PLX19" s="1634"/>
      <c r="PLY19" s="1634"/>
      <c r="PLZ19" s="1634"/>
      <c r="PMA19" s="1634"/>
      <c r="PMB19" s="1634"/>
      <c r="PMC19" s="1634"/>
      <c r="PMD19" s="1634"/>
      <c r="PME19" s="1634"/>
      <c r="PMF19" s="1634"/>
      <c r="PMG19" s="1634"/>
      <c r="PMH19" s="1634"/>
      <c r="PMI19" s="1634"/>
      <c r="PMJ19" s="1634"/>
      <c r="PMK19" s="1634"/>
      <c r="PML19" s="1634"/>
      <c r="PMM19" s="1634"/>
      <c r="PMN19" s="1634"/>
      <c r="PMO19" s="1634"/>
      <c r="PMP19" s="1634"/>
      <c r="PMQ19" s="1634"/>
      <c r="PMR19" s="1634"/>
      <c r="PMS19" s="1634"/>
      <c r="PMT19" s="1634"/>
      <c r="PMU19" s="1634"/>
      <c r="PMV19" s="1634"/>
      <c r="PMW19" s="1634"/>
      <c r="PMX19" s="1634"/>
      <c r="PMY19" s="1634"/>
      <c r="PMZ19" s="1634"/>
      <c r="PNA19" s="1634"/>
      <c r="PNB19" s="1634"/>
      <c r="PNC19" s="1634"/>
      <c r="PND19" s="1634"/>
      <c r="PNE19" s="1634"/>
      <c r="PNF19" s="1634"/>
      <c r="PNG19" s="1634"/>
      <c r="PNH19" s="1634"/>
      <c r="PNI19" s="1634"/>
      <c r="PNJ19" s="1634"/>
      <c r="PNK19" s="1634"/>
      <c r="PNL19" s="1634"/>
      <c r="PNM19" s="1634"/>
      <c r="PNN19" s="1634"/>
      <c r="PNO19" s="1634"/>
      <c r="PNP19" s="1634"/>
      <c r="PNQ19" s="1634"/>
      <c r="PNR19" s="1634"/>
      <c r="PNS19" s="1634"/>
      <c r="PNT19" s="1634"/>
      <c r="PNU19" s="1634"/>
      <c r="PNV19" s="1634"/>
      <c r="PNW19" s="1634"/>
      <c r="PNX19" s="1634"/>
      <c r="PNY19" s="1634"/>
      <c r="PNZ19" s="1634"/>
      <c r="POA19" s="1634"/>
      <c r="POB19" s="1634"/>
      <c r="POC19" s="1634"/>
      <c r="POD19" s="1634"/>
      <c r="POE19" s="1634"/>
      <c r="POF19" s="1634"/>
      <c r="POG19" s="1634"/>
      <c r="POH19" s="1634"/>
      <c r="POI19" s="1634"/>
      <c r="POJ19" s="1634"/>
      <c r="POK19" s="1634"/>
      <c r="POL19" s="1634"/>
      <c r="POM19" s="1634"/>
      <c r="PON19" s="1634"/>
      <c r="POO19" s="1634"/>
      <c r="POP19" s="1634"/>
      <c r="POQ19" s="1634"/>
      <c r="POR19" s="1634"/>
      <c r="POS19" s="1634"/>
      <c r="POT19" s="1634"/>
      <c r="POU19" s="1634"/>
      <c r="POV19" s="1634"/>
      <c r="POW19" s="1634"/>
      <c r="POX19" s="1634"/>
      <c r="POY19" s="1634"/>
      <c r="POZ19" s="1634"/>
      <c r="PPA19" s="1634"/>
      <c r="PPB19" s="1634"/>
      <c r="PPC19" s="1634"/>
      <c r="PPD19" s="1634"/>
      <c r="PPE19" s="1634"/>
      <c r="PPF19" s="1634"/>
      <c r="PPG19" s="1634"/>
      <c r="PPH19" s="1634"/>
      <c r="PPI19" s="1634"/>
      <c r="PPJ19" s="1634"/>
      <c r="PPK19" s="1634"/>
      <c r="PPL19" s="1634"/>
      <c r="PPM19" s="1634"/>
      <c r="PPN19" s="1634"/>
      <c r="PPO19" s="1634"/>
      <c r="PPP19" s="1634"/>
      <c r="PPQ19" s="1634"/>
      <c r="PPR19" s="1634"/>
      <c r="PPS19" s="1634"/>
      <c r="PPT19" s="1634"/>
      <c r="PPU19" s="1634"/>
      <c r="PPV19" s="1634"/>
      <c r="PPW19" s="1634"/>
      <c r="PPX19" s="1634"/>
      <c r="PPY19" s="1634"/>
      <c r="PPZ19" s="1634"/>
      <c r="PQA19" s="1634"/>
      <c r="PQB19" s="1634"/>
      <c r="PQC19" s="1634"/>
      <c r="PQD19" s="1634"/>
      <c r="PQE19" s="1634"/>
      <c r="PQF19" s="1634"/>
      <c r="PQG19" s="1634"/>
      <c r="PQH19" s="1634"/>
      <c r="PQI19" s="1634"/>
      <c r="PQJ19" s="1634"/>
      <c r="PQK19" s="1634"/>
      <c r="PQL19" s="1634"/>
      <c r="PQM19" s="1634"/>
      <c r="PQN19" s="1634"/>
      <c r="PQO19" s="1634"/>
      <c r="PQP19" s="1634"/>
      <c r="PQQ19" s="1634"/>
      <c r="PQR19" s="1634"/>
      <c r="PQS19" s="1634"/>
      <c r="PQT19" s="1634"/>
      <c r="PQU19" s="1634"/>
      <c r="PQV19" s="1634"/>
      <c r="PQW19" s="1634"/>
      <c r="PQX19" s="1634"/>
      <c r="PQY19" s="1634"/>
      <c r="PQZ19" s="1634"/>
      <c r="PRA19" s="1634"/>
      <c r="PRB19" s="1634"/>
      <c r="PRC19" s="1634"/>
      <c r="PRD19" s="1634"/>
      <c r="PRE19" s="1634"/>
      <c r="PRF19" s="1634"/>
      <c r="PRG19" s="1634"/>
      <c r="PRH19" s="1634"/>
      <c r="PRI19" s="1634"/>
      <c r="PRJ19" s="1634"/>
      <c r="PRK19" s="1634"/>
      <c r="PRL19" s="1634"/>
      <c r="PRM19" s="1634"/>
      <c r="PRN19" s="1634"/>
      <c r="PRO19" s="1634"/>
      <c r="PRP19" s="1634"/>
      <c r="PRQ19" s="1634"/>
      <c r="PRR19" s="1634"/>
      <c r="PRS19" s="1634"/>
      <c r="PRT19" s="1634"/>
      <c r="PRU19" s="1634"/>
      <c r="PRV19" s="1634"/>
      <c r="PRW19" s="1634"/>
      <c r="PRX19" s="1634"/>
      <c r="PRY19" s="1634"/>
      <c r="PRZ19" s="1634"/>
      <c r="PSA19" s="1634"/>
      <c r="PSB19" s="1634"/>
      <c r="PSC19" s="1634"/>
      <c r="PSD19" s="1634"/>
      <c r="PSE19" s="1634"/>
      <c r="PSF19" s="1634"/>
      <c r="PSG19" s="1634"/>
      <c r="PSH19" s="1634"/>
      <c r="PSI19" s="1634"/>
      <c r="PSJ19" s="1634"/>
      <c r="PSK19" s="1634"/>
      <c r="PSL19" s="1634"/>
      <c r="PSM19" s="1634"/>
      <c r="PSN19" s="1634"/>
      <c r="PSO19" s="1634"/>
      <c r="PSP19" s="1634"/>
      <c r="PSQ19" s="1634"/>
      <c r="PSR19" s="1634"/>
      <c r="PSS19" s="1634"/>
      <c r="PST19" s="1634"/>
      <c r="PSU19" s="1634"/>
      <c r="PSV19" s="1634"/>
      <c r="PSW19" s="1634"/>
      <c r="PSX19" s="1634"/>
      <c r="PSY19" s="1634"/>
      <c r="PSZ19" s="1634"/>
      <c r="PTA19" s="1634"/>
      <c r="PTB19" s="1634"/>
      <c r="PTC19" s="1634"/>
      <c r="PTD19" s="1634"/>
      <c r="PTE19" s="1634"/>
      <c r="PTF19" s="1634"/>
      <c r="PTG19" s="1634"/>
      <c r="PTH19" s="1634"/>
      <c r="PTI19" s="1634"/>
      <c r="PTJ19" s="1634"/>
      <c r="PTK19" s="1634"/>
      <c r="PTL19" s="1634"/>
      <c r="PTM19" s="1634"/>
      <c r="PTN19" s="1634"/>
      <c r="PTO19" s="1634"/>
      <c r="PTP19" s="1634"/>
      <c r="PTQ19" s="1634"/>
      <c r="PTR19" s="1634"/>
      <c r="PTS19" s="1634"/>
      <c r="PTT19" s="1634"/>
      <c r="PTU19" s="1634"/>
      <c r="PTV19" s="1634"/>
      <c r="PTW19" s="1634"/>
      <c r="PTX19" s="1634"/>
      <c r="PTY19" s="1634"/>
      <c r="PTZ19" s="1634"/>
      <c r="PUA19" s="1634"/>
      <c r="PUB19" s="1634"/>
      <c r="PUC19" s="1634"/>
      <c r="PUD19" s="1634"/>
      <c r="PUE19" s="1634"/>
      <c r="PUF19" s="1634"/>
      <c r="PUG19" s="1634"/>
      <c r="PUH19" s="1634"/>
      <c r="PUI19" s="1634"/>
      <c r="PUJ19" s="1634"/>
      <c r="PUK19" s="1634"/>
      <c r="PUL19" s="1634"/>
      <c r="PUM19" s="1634"/>
      <c r="PUN19" s="1634"/>
      <c r="PUO19" s="1634"/>
      <c r="PUP19" s="1634"/>
      <c r="PUQ19" s="1634"/>
      <c r="PUR19" s="1634"/>
      <c r="PUS19" s="1634"/>
      <c r="PUT19" s="1634"/>
      <c r="PUU19" s="1634"/>
      <c r="PUV19" s="1634"/>
      <c r="PUW19" s="1634"/>
      <c r="PUX19" s="1634"/>
      <c r="PUY19" s="1634"/>
      <c r="PUZ19" s="1634"/>
      <c r="PVA19" s="1634"/>
      <c r="PVB19" s="1634"/>
      <c r="PVC19" s="1634"/>
      <c r="PVD19" s="1634"/>
      <c r="PVE19" s="1634"/>
      <c r="PVF19" s="1634"/>
      <c r="PVG19" s="1634"/>
      <c r="PVH19" s="1634"/>
      <c r="PVI19" s="1634"/>
      <c r="PVJ19" s="1634"/>
      <c r="PVK19" s="1634"/>
      <c r="PVL19" s="1634"/>
      <c r="PVM19" s="1634"/>
      <c r="PVN19" s="1634"/>
      <c r="PVO19" s="1634"/>
      <c r="PVP19" s="1634"/>
      <c r="PVQ19" s="1634"/>
      <c r="PVR19" s="1634"/>
      <c r="PVS19" s="1634"/>
      <c r="PVT19" s="1634"/>
      <c r="PVU19" s="1634"/>
      <c r="PVV19" s="1634"/>
      <c r="PVW19" s="1634"/>
      <c r="PVX19" s="1634"/>
      <c r="PVY19" s="1634"/>
      <c r="PVZ19" s="1634"/>
      <c r="PWA19" s="1634"/>
      <c r="PWB19" s="1634"/>
      <c r="PWC19" s="1634"/>
      <c r="PWD19" s="1634"/>
      <c r="PWE19" s="1634"/>
      <c r="PWF19" s="1634"/>
      <c r="PWG19" s="1634"/>
      <c r="PWH19" s="1634"/>
      <c r="PWI19" s="1634"/>
      <c r="PWJ19" s="1634"/>
      <c r="PWK19" s="1634"/>
      <c r="PWL19" s="1634"/>
      <c r="PWM19" s="1634"/>
      <c r="PWN19" s="1634"/>
      <c r="PWO19" s="1634"/>
      <c r="PWP19" s="1634"/>
      <c r="PWQ19" s="1634"/>
      <c r="PWR19" s="1634"/>
      <c r="PWS19" s="1634"/>
      <c r="PWT19" s="1634"/>
      <c r="PWU19" s="1634"/>
      <c r="PWV19" s="1634"/>
      <c r="PWW19" s="1634"/>
      <c r="PWX19" s="1634"/>
      <c r="PWY19" s="1634"/>
      <c r="PWZ19" s="1634"/>
      <c r="PXA19" s="1634"/>
      <c r="PXB19" s="1634"/>
      <c r="PXC19" s="1634"/>
      <c r="PXD19" s="1634"/>
      <c r="PXE19" s="1634"/>
      <c r="PXF19" s="1634"/>
      <c r="PXG19" s="1634"/>
      <c r="PXH19" s="1634"/>
      <c r="PXI19" s="1634"/>
      <c r="PXJ19" s="1634"/>
      <c r="PXK19" s="1634"/>
      <c r="PXL19" s="1634"/>
      <c r="PXM19" s="1634"/>
      <c r="PXN19" s="1634"/>
      <c r="PXO19" s="1634"/>
      <c r="PXP19" s="1634"/>
      <c r="PXQ19" s="1634"/>
      <c r="PXR19" s="1634"/>
      <c r="PXS19" s="1634"/>
      <c r="PXT19" s="1634"/>
      <c r="PXU19" s="1634"/>
      <c r="PXV19" s="1634"/>
      <c r="PXW19" s="1634"/>
      <c r="PXX19" s="1634"/>
      <c r="PXY19" s="1634"/>
      <c r="PXZ19" s="1634"/>
      <c r="PYA19" s="1634"/>
      <c r="PYB19" s="1634"/>
      <c r="PYC19" s="1634"/>
      <c r="PYD19" s="1634"/>
      <c r="PYE19" s="1634"/>
      <c r="PYF19" s="1634"/>
      <c r="PYG19" s="1634"/>
      <c r="PYH19" s="1634"/>
      <c r="PYI19" s="1634"/>
      <c r="PYJ19" s="1634"/>
      <c r="PYK19" s="1634"/>
      <c r="PYL19" s="1634"/>
      <c r="PYM19" s="1634"/>
      <c r="PYN19" s="1634"/>
      <c r="PYO19" s="1634"/>
      <c r="PYP19" s="1634"/>
      <c r="PYQ19" s="1634"/>
      <c r="PYR19" s="1634"/>
      <c r="PYS19" s="1634"/>
      <c r="PYT19" s="1634"/>
      <c r="PYU19" s="1634"/>
      <c r="PYV19" s="1634"/>
      <c r="PYW19" s="1634"/>
      <c r="PYX19" s="1634"/>
      <c r="PYY19" s="1634"/>
      <c r="PYZ19" s="1634"/>
      <c r="PZA19" s="1634"/>
      <c r="PZB19" s="1634"/>
      <c r="PZC19" s="1634"/>
      <c r="PZD19" s="1634"/>
      <c r="PZE19" s="1634"/>
      <c r="PZF19" s="1634"/>
      <c r="PZG19" s="1634"/>
      <c r="PZH19" s="1634"/>
      <c r="PZI19" s="1634"/>
      <c r="PZJ19" s="1634"/>
      <c r="PZK19" s="1634"/>
      <c r="PZL19" s="1634"/>
      <c r="PZM19" s="1634"/>
      <c r="PZN19" s="1634"/>
      <c r="PZO19" s="1634"/>
      <c r="PZP19" s="1634"/>
      <c r="PZQ19" s="1634"/>
      <c r="PZR19" s="1634"/>
      <c r="PZS19" s="1634"/>
      <c r="PZT19" s="1634"/>
      <c r="PZU19" s="1634"/>
      <c r="PZV19" s="1634"/>
      <c r="PZW19" s="1634"/>
      <c r="PZX19" s="1634"/>
      <c r="PZY19" s="1634"/>
      <c r="PZZ19" s="1634"/>
      <c r="QAA19" s="1634"/>
      <c r="QAB19" s="1634"/>
      <c r="QAC19" s="1634"/>
      <c r="QAD19" s="1634"/>
      <c r="QAE19" s="1634"/>
      <c r="QAF19" s="1634"/>
      <c r="QAG19" s="1634"/>
      <c r="QAH19" s="1634"/>
      <c r="QAI19" s="1634"/>
      <c r="QAJ19" s="1634"/>
      <c r="QAK19" s="1634"/>
      <c r="QAL19" s="1634"/>
      <c r="QAM19" s="1634"/>
      <c r="QAN19" s="1634"/>
      <c r="QAO19" s="1634"/>
      <c r="QAP19" s="1634"/>
      <c r="QAQ19" s="1634"/>
      <c r="QAR19" s="1634"/>
      <c r="QAS19" s="1634"/>
      <c r="QAT19" s="1634"/>
      <c r="QAU19" s="1634"/>
      <c r="QAV19" s="1634"/>
      <c r="QAW19" s="1634"/>
      <c r="QAX19" s="1634"/>
      <c r="QAY19" s="1634"/>
      <c r="QAZ19" s="1634"/>
      <c r="QBA19" s="1634"/>
      <c r="QBB19" s="1634"/>
      <c r="QBC19" s="1634"/>
      <c r="QBD19" s="1634"/>
      <c r="QBE19" s="1634"/>
      <c r="QBF19" s="1634"/>
      <c r="QBG19" s="1634"/>
      <c r="QBH19" s="1634"/>
      <c r="QBI19" s="1634"/>
      <c r="QBJ19" s="1634"/>
      <c r="QBK19" s="1634"/>
      <c r="QBL19" s="1634"/>
      <c r="QBM19" s="1634"/>
      <c r="QBN19" s="1634"/>
      <c r="QBO19" s="1634"/>
      <c r="QBP19" s="1634"/>
      <c r="QBQ19" s="1634"/>
      <c r="QBR19" s="1634"/>
      <c r="QBS19" s="1634"/>
      <c r="QBT19" s="1634"/>
      <c r="QBU19" s="1634"/>
      <c r="QBV19" s="1634"/>
      <c r="QBW19" s="1634"/>
      <c r="QBX19" s="1634"/>
      <c r="QBY19" s="1634"/>
      <c r="QBZ19" s="1634"/>
      <c r="QCA19" s="1634"/>
      <c r="QCB19" s="1634"/>
      <c r="QCC19" s="1634"/>
      <c r="QCD19" s="1634"/>
      <c r="QCE19" s="1634"/>
      <c r="QCF19" s="1634"/>
      <c r="QCG19" s="1634"/>
      <c r="QCH19" s="1634"/>
      <c r="QCI19" s="1634"/>
      <c r="QCJ19" s="1634"/>
      <c r="QCK19" s="1634"/>
      <c r="QCL19" s="1634"/>
      <c r="QCM19" s="1634"/>
      <c r="QCN19" s="1634"/>
      <c r="QCO19" s="1634"/>
      <c r="QCP19" s="1634"/>
      <c r="QCQ19" s="1634"/>
      <c r="QCR19" s="1634"/>
      <c r="QCS19" s="1634"/>
      <c r="QCT19" s="1634"/>
      <c r="QCU19" s="1634"/>
      <c r="QCV19" s="1634"/>
      <c r="QCW19" s="1634"/>
      <c r="QCX19" s="1634"/>
      <c r="QCY19" s="1634"/>
      <c r="QCZ19" s="1634"/>
      <c r="QDA19" s="1634"/>
      <c r="QDB19" s="1634"/>
      <c r="QDC19" s="1634"/>
      <c r="QDD19" s="1634"/>
      <c r="QDE19" s="1634"/>
      <c r="QDF19" s="1634"/>
      <c r="QDG19" s="1634"/>
      <c r="QDH19" s="1634"/>
      <c r="QDI19" s="1634"/>
      <c r="QDJ19" s="1634"/>
      <c r="QDK19" s="1634"/>
      <c r="QDL19" s="1634"/>
      <c r="QDM19" s="1634"/>
      <c r="QDN19" s="1634"/>
      <c r="QDO19" s="1634"/>
      <c r="QDP19" s="1634"/>
      <c r="QDQ19" s="1634"/>
      <c r="QDR19" s="1634"/>
      <c r="QDS19" s="1634"/>
      <c r="QDT19" s="1634"/>
      <c r="QDU19" s="1634"/>
      <c r="QDV19" s="1634"/>
      <c r="QDW19" s="1634"/>
      <c r="QDX19" s="1634"/>
      <c r="QDY19" s="1634"/>
      <c r="QDZ19" s="1634"/>
      <c r="QEA19" s="1634"/>
      <c r="QEB19" s="1634"/>
      <c r="QEC19" s="1634"/>
      <c r="QED19" s="1634"/>
      <c r="QEE19" s="1634"/>
      <c r="QEF19" s="1634"/>
      <c r="QEG19" s="1634"/>
      <c r="QEH19" s="1634"/>
      <c r="QEI19" s="1634"/>
      <c r="QEJ19" s="1634"/>
      <c r="QEK19" s="1634"/>
      <c r="QEL19" s="1634"/>
      <c r="QEM19" s="1634"/>
      <c r="QEN19" s="1634"/>
      <c r="QEO19" s="1634"/>
      <c r="QEP19" s="1634"/>
      <c r="QEQ19" s="1634"/>
      <c r="QER19" s="1634"/>
      <c r="QES19" s="1634"/>
      <c r="QET19" s="1634"/>
      <c r="QEU19" s="1634"/>
      <c r="QEV19" s="1634"/>
      <c r="QEW19" s="1634"/>
      <c r="QEX19" s="1634"/>
      <c r="QEY19" s="1634"/>
      <c r="QEZ19" s="1634"/>
      <c r="QFA19" s="1634"/>
      <c r="QFB19" s="1634"/>
      <c r="QFC19" s="1634"/>
      <c r="QFD19" s="1634"/>
      <c r="QFE19" s="1634"/>
      <c r="QFF19" s="1634"/>
      <c r="QFG19" s="1634"/>
      <c r="QFH19" s="1634"/>
      <c r="QFI19" s="1634"/>
      <c r="QFJ19" s="1634"/>
      <c r="QFK19" s="1634"/>
      <c r="QFL19" s="1634"/>
      <c r="QFM19" s="1634"/>
      <c r="QFN19" s="1634"/>
      <c r="QFO19" s="1634"/>
      <c r="QFP19" s="1634"/>
      <c r="QFQ19" s="1634"/>
      <c r="QFR19" s="1634"/>
      <c r="QFS19" s="1634"/>
      <c r="QFT19" s="1634"/>
      <c r="QFU19" s="1634"/>
      <c r="QFV19" s="1634"/>
      <c r="QFW19" s="1634"/>
      <c r="QFX19" s="1634"/>
      <c r="QFY19" s="1634"/>
      <c r="QFZ19" s="1634"/>
      <c r="QGA19" s="1634"/>
      <c r="QGB19" s="1634"/>
      <c r="QGC19" s="1634"/>
      <c r="QGD19" s="1634"/>
      <c r="QGE19" s="1634"/>
      <c r="QGF19" s="1634"/>
      <c r="QGG19" s="1634"/>
      <c r="QGH19" s="1634"/>
      <c r="QGI19" s="1634"/>
      <c r="QGJ19" s="1634"/>
      <c r="QGK19" s="1634"/>
      <c r="QGL19" s="1634"/>
      <c r="QGM19" s="1634"/>
      <c r="QGN19" s="1634"/>
      <c r="QGO19" s="1634"/>
      <c r="QGP19" s="1634"/>
      <c r="QGQ19" s="1634"/>
      <c r="QGR19" s="1634"/>
      <c r="QGS19" s="1634"/>
      <c r="QGT19" s="1634"/>
      <c r="QGU19" s="1634"/>
      <c r="QGV19" s="1634"/>
      <c r="QGW19" s="1634"/>
      <c r="QGX19" s="1634"/>
      <c r="QGY19" s="1634"/>
      <c r="QGZ19" s="1634"/>
      <c r="QHA19" s="1634"/>
      <c r="QHB19" s="1634"/>
      <c r="QHC19" s="1634"/>
      <c r="QHD19" s="1634"/>
      <c r="QHE19" s="1634"/>
      <c r="QHF19" s="1634"/>
      <c r="QHG19" s="1634"/>
      <c r="QHH19" s="1634"/>
      <c r="QHI19" s="1634"/>
      <c r="QHJ19" s="1634"/>
      <c r="QHK19" s="1634"/>
      <c r="QHL19" s="1634"/>
      <c r="QHM19" s="1634"/>
      <c r="QHN19" s="1634"/>
      <c r="QHO19" s="1634"/>
      <c r="QHP19" s="1634"/>
      <c r="QHQ19" s="1634"/>
      <c r="QHR19" s="1634"/>
      <c r="QHS19" s="1634"/>
      <c r="QHT19" s="1634"/>
      <c r="QHU19" s="1634"/>
      <c r="QHV19" s="1634"/>
      <c r="QHW19" s="1634"/>
      <c r="QHX19" s="1634"/>
      <c r="QHY19" s="1634"/>
      <c r="QHZ19" s="1634"/>
      <c r="QIA19" s="1634"/>
      <c r="QIB19" s="1634"/>
      <c r="QIC19" s="1634"/>
      <c r="QID19" s="1634"/>
      <c r="QIE19" s="1634"/>
      <c r="QIF19" s="1634"/>
      <c r="QIG19" s="1634"/>
      <c r="QIH19" s="1634"/>
      <c r="QII19" s="1634"/>
      <c r="QIJ19" s="1634"/>
      <c r="QIK19" s="1634"/>
      <c r="QIL19" s="1634"/>
      <c r="QIM19" s="1634"/>
      <c r="QIN19" s="1634"/>
      <c r="QIO19" s="1634"/>
      <c r="QIP19" s="1634"/>
      <c r="QIQ19" s="1634"/>
      <c r="QIR19" s="1634"/>
      <c r="QIS19" s="1634"/>
      <c r="QIT19" s="1634"/>
      <c r="QIU19" s="1634"/>
      <c r="QIV19" s="1634"/>
      <c r="QIW19" s="1634"/>
      <c r="QIX19" s="1634"/>
      <c r="QIY19" s="1634"/>
      <c r="QIZ19" s="1634"/>
      <c r="QJA19" s="1634"/>
      <c r="QJB19" s="1634"/>
      <c r="QJC19" s="1634"/>
      <c r="QJD19" s="1634"/>
      <c r="QJE19" s="1634"/>
      <c r="QJF19" s="1634"/>
      <c r="QJG19" s="1634"/>
      <c r="QJH19" s="1634"/>
      <c r="QJI19" s="1634"/>
      <c r="QJJ19" s="1634"/>
      <c r="QJK19" s="1634"/>
      <c r="QJL19" s="1634"/>
      <c r="QJM19" s="1634"/>
      <c r="QJN19" s="1634"/>
      <c r="QJO19" s="1634"/>
      <c r="QJP19" s="1634"/>
      <c r="QJQ19" s="1634"/>
      <c r="QJR19" s="1634"/>
      <c r="QJS19" s="1634"/>
      <c r="QJT19" s="1634"/>
      <c r="QJU19" s="1634"/>
      <c r="QJV19" s="1634"/>
      <c r="QJW19" s="1634"/>
      <c r="QJX19" s="1634"/>
      <c r="QJY19" s="1634"/>
      <c r="QJZ19" s="1634"/>
      <c r="QKA19" s="1634"/>
      <c r="QKB19" s="1634"/>
      <c r="QKC19" s="1634"/>
      <c r="QKD19" s="1634"/>
      <c r="QKE19" s="1634"/>
      <c r="QKF19" s="1634"/>
      <c r="QKG19" s="1634"/>
      <c r="QKH19" s="1634"/>
      <c r="QKI19" s="1634"/>
      <c r="QKJ19" s="1634"/>
      <c r="QKK19" s="1634"/>
      <c r="QKL19" s="1634"/>
      <c r="QKM19" s="1634"/>
      <c r="QKN19" s="1634"/>
      <c r="QKO19" s="1634"/>
      <c r="QKP19" s="1634"/>
      <c r="QKQ19" s="1634"/>
      <c r="QKR19" s="1634"/>
      <c r="QKS19" s="1634"/>
      <c r="QKT19" s="1634"/>
      <c r="QKU19" s="1634"/>
      <c r="QKV19" s="1634"/>
      <c r="QKW19" s="1634"/>
      <c r="QKX19" s="1634"/>
      <c r="QKY19" s="1634"/>
      <c r="QKZ19" s="1634"/>
      <c r="QLA19" s="1634"/>
      <c r="QLB19" s="1634"/>
      <c r="QLC19" s="1634"/>
      <c r="QLD19" s="1634"/>
      <c r="QLE19" s="1634"/>
      <c r="QLF19" s="1634"/>
      <c r="QLG19" s="1634"/>
      <c r="QLH19" s="1634"/>
      <c r="QLI19" s="1634"/>
      <c r="QLJ19" s="1634"/>
      <c r="QLK19" s="1634"/>
      <c r="QLL19" s="1634"/>
      <c r="QLM19" s="1634"/>
      <c r="QLN19" s="1634"/>
      <c r="QLO19" s="1634"/>
      <c r="QLP19" s="1634"/>
      <c r="QLQ19" s="1634"/>
      <c r="QLR19" s="1634"/>
      <c r="QLS19" s="1634"/>
      <c r="QLT19" s="1634"/>
      <c r="QLU19" s="1634"/>
      <c r="QLV19" s="1634"/>
      <c r="QLW19" s="1634"/>
      <c r="QLX19" s="1634"/>
      <c r="QLY19" s="1634"/>
      <c r="QLZ19" s="1634"/>
      <c r="QMA19" s="1634"/>
      <c r="QMB19" s="1634"/>
      <c r="QMC19" s="1634"/>
      <c r="QMD19" s="1634"/>
      <c r="QME19" s="1634"/>
      <c r="QMF19" s="1634"/>
      <c r="QMG19" s="1634"/>
      <c r="QMH19" s="1634"/>
      <c r="QMI19" s="1634"/>
      <c r="QMJ19" s="1634"/>
      <c r="QMK19" s="1634"/>
      <c r="QML19" s="1634"/>
      <c r="QMM19" s="1634"/>
      <c r="QMN19" s="1634"/>
      <c r="QMO19" s="1634"/>
      <c r="QMP19" s="1634"/>
      <c r="QMQ19" s="1634"/>
      <c r="QMR19" s="1634"/>
      <c r="QMS19" s="1634"/>
      <c r="QMT19" s="1634"/>
      <c r="QMU19" s="1634"/>
      <c r="QMV19" s="1634"/>
      <c r="QMW19" s="1634"/>
      <c r="QMX19" s="1634"/>
      <c r="QMY19" s="1634"/>
      <c r="QMZ19" s="1634"/>
      <c r="QNA19" s="1634"/>
      <c r="QNB19" s="1634"/>
      <c r="QNC19" s="1634"/>
      <c r="QND19" s="1634"/>
      <c r="QNE19" s="1634"/>
      <c r="QNF19" s="1634"/>
      <c r="QNG19" s="1634"/>
      <c r="QNH19" s="1634"/>
      <c r="QNI19" s="1634"/>
      <c r="QNJ19" s="1634"/>
      <c r="QNK19" s="1634"/>
      <c r="QNL19" s="1634"/>
      <c r="QNM19" s="1634"/>
      <c r="QNN19" s="1634"/>
      <c r="QNO19" s="1634"/>
      <c r="QNP19" s="1634"/>
      <c r="QNQ19" s="1634"/>
      <c r="QNR19" s="1634"/>
      <c r="QNS19" s="1634"/>
      <c r="QNT19" s="1634"/>
      <c r="QNU19" s="1634"/>
      <c r="QNV19" s="1634"/>
      <c r="QNW19" s="1634"/>
      <c r="QNX19" s="1634"/>
      <c r="QNY19" s="1634"/>
      <c r="QNZ19" s="1634"/>
      <c r="QOA19" s="1634"/>
      <c r="QOB19" s="1634"/>
      <c r="QOC19" s="1634"/>
      <c r="QOD19" s="1634"/>
      <c r="QOE19" s="1634"/>
      <c r="QOF19" s="1634"/>
      <c r="QOG19" s="1634"/>
      <c r="QOH19" s="1634"/>
      <c r="QOI19" s="1634"/>
      <c r="QOJ19" s="1634"/>
      <c r="QOK19" s="1634"/>
      <c r="QOL19" s="1634"/>
      <c r="QOM19" s="1634"/>
      <c r="QON19" s="1634"/>
      <c r="QOO19" s="1634"/>
      <c r="QOP19" s="1634"/>
      <c r="QOQ19" s="1634"/>
      <c r="QOR19" s="1634"/>
      <c r="QOS19" s="1634"/>
      <c r="QOT19" s="1634"/>
      <c r="QOU19" s="1634"/>
      <c r="QOV19" s="1634"/>
      <c r="QOW19" s="1634"/>
      <c r="QOX19" s="1634"/>
      <c r="QOY19" s="1634"/>
      <c r="QOZ19" s="1634"/>
      <c r="QPA19" s="1634"/>
      <c r="QPB19" s="1634"/>
      <c r="QPC19" s="1634"/>
      <c r="QPD19" s="1634"/>
      <c r="QPE19" s="1634"/>
      <c r="QPF19" s="1634"/>
      <c r="QPG19" s="1634"/>
      <c r="QPH19" s="1634"/>
      <c r="QPI19" s="1634"/>
      <c r="QPJ19" s="1634"/>
      <c r="QPK19" s="1634"/>
      <c r="QPL19" s="1634"/>
      <c r="QPM19" s="1634"/>
      <c r="QPN19" s="1634"/>
      <c r="QPO19" s="1634"/>
      <c r="QPP19" s="1634"/>
      <c r="QPQ19" s="1634"/>
      <c r="QPR19" s="1634"/>
      <c r="QPS19" s="1634"/>
      <c r="QPT19" s="1634"/>
      <c r="QPU19" s="1634"/>
      <c r="QPV19" s="1634"/>
      <c r="QPW19" s="1634"/>
      <c r="QPX19" s="1634"/>
      <c r="QPY19" s="1634"/>
      <c r="QPZ19" s="1634"/>
      <c r="QQA19" s="1634"/>
      <c r="QQB19" s="1634"/>
      <c r="QQC19" s="1634"/>
      <c r="QQD19" s="1634"/>
      <c r="QQE19" s="1634"/>
      <c r="QQF19" s="1634"/>
      <c r="QQG19" s="1634"/>
      <c r="QQH19" s="1634"/>
      <c r="QQI19" s="1634"/>
      <c r="QQJ19" s="1634"/>
      <c r="QQK19" s="1634"/>
      <c r="QQL19" s="1634"/>
      <c r="QQM19" s="1634"/>
      <c r="QQN19" s="1634"/>
      <c r="QQO19" s="1634"/>
      <c r="QQP19" s="1634"/>
      <c r="QQQ19" s="1634"/>
      <c r="QQR19" s="1634"/>
      <c r="QQS19" s="1634"/>
      <c r="QQT19" s="1634"/>
      <c r="QQU19" s="1634"/>
      <c r="QQV19" s="1634"/>
      <c r="QQW19" s="1634"/>
      <c r="QQX19" s="1634"/>
      <c r="QQY19" s="1634"/>
      <c r="QQZ19" s="1634"/>
      <c r="QRA19" s="1634"/>
      <c r="QRB19" s="1634"/>
      <c r="QRC19" s="1634"/>
      <c r="QRD19" s="1634"/>
      <c r="QRE19" s="1634"/>
      <c r="QRF19" s="1634"/>
      <c r="QRG19" s="1634"/>
      <c r="QRH19" s="1634"/>
      <c r="QRI19" s="1634"/>
      <c r="QRJ19" s="1634"/>
      <c r="QRK19" s="1634"/>
      <c r="QRL19" s="1634"/>
      <c r="QRM19" s="1634"/>
      <c r="QRN19" s="1634"/>
      <c r="QRO19" s="1634"/>
      <c r="QRP19" s="1634"/>
      <c r="QRQ19" s="1634"/>
      <c r="QRR19" s="1634"/>
      <c r="QRS19" s="1634"/>
      <c r="QRT19" s="1634"/>
      <c r="QRU19" s="1634"/>
      <c r="QRV19" s="1634"/>
      <c r="QRW19" s="1634"/>
      <c r="QRX19" s="1634"/>
      <c r="QRY19" s="1634"/>
      <c r="QRZ19" s="1634"/>
      <c r="QSA19" s="1634"/>
      <c r="QSB19" s="1634"/>
      <c r="QSC19" s="1634"/>
      <c r="QSD19" s="1634"/>
      <c r="QSE19" s="1634"/>
      <c r="QSF19" s="1634"/>
      <c r="QSG19" s="1634"/>
      <c r="QSH19" s="1634"/>
      <c r="QSI19" s="1634"/>
      <c r="QSJ19" s="1634"/>
      <c r="QSK19" s="1634"/>
      <c r="QSL19" s="1634"/>
      <c r="QSM19" s="1634"/>
      <c r="QSN19" s="1634"/>
      <c r="QSO19" s="1634"/>
      <c r="QSP19" s="1634"/>
      <c r="QSQ19" s="1634"/>
      <c r="QSR19" s="1634"/>
      <c r="QSS19" s="1634"/>
      <c r="QST19" s="1634"/>
      <c r="QSU19" s="1634"/>
      <c r="QSV19" s="1634"/>
      <c r="QSW19" s="1634"/>
      <c r="QSX19" s="1634"/>
      <c r="QSY19" s="1634"/>
      <c r="QSZ19" s="1634"/>
      <c r="QTA19" s="1634"/>
      <c r="QTB19" s="1634"/>
      <c r="QTC19" s="1634"/>
      <c r="QTD19" s="1634"/>
      <c r="QTE19" s="1634"/>
      <c r="QTF19" s="1634"/>
      <c r="QTG19" s="1634"/>
      <c r="QTH19" s="1634"/>
      <c r="QTI19" s="1634"/>
      <c r="QTJ19" s="1634"/>
      <c r="QTK19" s="1634"/>
      <c r="QTL19" s="1634"/>
      <c r="QTM19" s="1634"/>
      <c r="QTN19" s="1634"/>
      <c r="QTO19" s="1634"/>
      <c r="QTP19" s="1634"/>
      <c r="QTQ19" s="1634"/>
      <c r="QTR19" s="1634"/>
      <c r="QTS19" s="1634"/>
      <c r="QTT19" s="1634"/>
      <c r="QTU19" s="1634"/>
      <c r="QTV19" s="1634"/>
      <c r="QTW19" s="1634"/>
      <c r="QTX19" s="1634"/>
      <c r="QTY19" s="1634"/>
      <c r="QTZ19" s="1634"/>
      <c r="QUA19" s="1634"/>
      <c r="QUB19" s="1634"/>
      <c r="QUC19" s="1634"/>
      <c r="QUD19" s="1634"/>
      <c r="QUE19" s="1634"/>
      <c r="QUF19" s="1634"/>
      <c r="QUG19" s="1634"/>
      <c r="QUH19" s="1634"/>
      <c r="QUI19" s="1634"/>
      <c r="QUJ19" s="1634"/>
      <c r="QUK19" s="1634"/>
      <c r="QUL19" s="1634"/>
      <c r="QUM19" s="1634"/>
      <c r="QUN19" s="1634"/>
      <c r="QUO19" s="1634"/>
      <c r="QUP19" s="1634"/>
      <c r="QUQ19" s="1634"/>
      <c r="QUR19" s="1634"/>
      <c r="QUS19" s="1634"/>
      <c r="QUT19" s="1634"/>
      <c r="QUU19" s="1634"/>
      <c r="QUV19" s="1634"/>
      <c r="QUW19" s="1634"/>
      <c r="QUX19" s="1634"/>
      <c r="QUY19" s="1634"/>
      <c r="QUZ19" s="1634"/>
      <c r="QVA19" s="1634"/>
      <c r="QVB19" s="1634"/>
      <c r="QVC19" s="1634"/>
      <c r="QVD19" s="1634"/>
      <c r="QVE19" s="1634"/>
      <c r="QVF19" s="1634"/>
      <c r="QVG19" s="1634"/>
      <c r="QVH19" s="1634"/>
      <c r="QVI19" s="1634"/>
      <c r="QVJ19" s="1634"/>
      <c r="QVK19" s="1634"/>
      <c r="QVL19" s="1634"/>
      <c r="QVM19" s="1634"/>
      <c r="QVN19" s="1634"/>
      <c r="QVO19" s="1634"/>
      <c r="QVP19" s="1634"/>
      <c r="QVQ19" s="1634"/>
      <c r="QVR19" s="1634"/>
      <c r="QVS19" s="1634"/>
      <c r="QVT19" s="1634"/>
      <c r="QVU19" s="1634"/>
      <c r="QVV19" s="1634"/>
      <c r="QVW19" s="1634"/>
      <c r="QVX19" s="1634"/>
      <c r="QVY19" s="1634"/>
      <c r="QVZ19" s="1634"/>
      <c r="QWA19" s="1634"/>
      <c r="QWB19" s="1634"/>
      <c r="QWC19" s="1634"/>
      <c r="QWD19" s="1634"/>
      <c r="QWE19" s="1634"/>
      <c r="QWF19" s="1634"/>
      <c r="QWG19" s="1634"/>
      <c r="QWH19" s="1634"/>
      <c r="QWI19" s="1634"/>
      <c r="QWJ19" s="1634"/>
      <c r="QWK19" s="1634"/>
      <c r="QWL19" s="1634"/>
      <c r="QWM19" s="1634"/>
      <c r="QWN19" s="1634"/>
      <c r="QWO19" s="1634"/>
      <c r="QWP19" s="1634"/>
      <c r="QWQ19" s="1634"/>
      <c r="QWR19" s="1634"/>
      <c r="QWS19" s="1634"/>
      <c r="QWT19" s="1634"/>
      <c r="QWU19" s="1634"/>
      <c r="QWV19" s="1634"/>
      <c r="QWW19" s="1634"/>
      <c r="QWX19" s="1634"/>
      <c r="QWY19" s="1634"/>
      <c r="QWZ19" s="1634"/>
      <c r="QXA19" s="1634"/>
      <c r="QXB19" s="1634"/>
      <c r="QXC19" s="1634"/>
      <c r="QXD19" s="1634"/>
      <c r="QXE19" s="1634"/>
      <c r="QXF19" s="1634"/>
      <c r="QXG19" s="1634"/>
      <c r="QXH19" s="1634"/>
      <c r="QXI19" s="1634"/>
      <c r="QXJ19" s="1634"/>
      <c r="QXK19" s="1634"/>
      <c r="QXL19" s="1634"/>
      <c r="QXM19" s="1634"/>
      <c r="QXN19" s="1634"/>
      <c r="QXO19" s="1634"/>
      <c r="QXP19" s="1634"/>
      <c r="QXQ19" s="1634"/>
      <c r="QXR19" s="1634"/>
      <c r="QXS19" s="1634"/>
      <c r="QXT19" s="1634"/>
      <c r="QXU19" s="1634"/>
      <c r="QXV19" s="1634"/>
      <c r="QXW19" s="1634"/>
      <c r="QXX19" s="1634"/>
      <c r="QXY19" s="1634"/>
      <c r="QXZ19" s="1634"/>
      <c r="QYA19" s="1634"/>
      <c r="QYB19" s="1634"/>
      <c r="QYC19" s="1634"/>
      <c r="QYD19" s="1634"/>
      <c r="QYE19" s="1634"/>
      <c r="QYF19" s="1634"/>
      <c r="QYG19" s="1634"/>
      <c r="QYH19" s="1634"/>
      <c r="QYI19" s="1634"/>
      <c r="QYJ19" s="1634"/>
      <c r="QYK19" s="1634"/>
      <c r="QYL19" s="1634"/>
      <c r="QYM19" s="1634"/>
      <c r="QYN19" s="1634"/>
      <c r="QYO19" s="1634"/>
      <c r="QYP19" s="1634"/>
      <c r="QYQ19" s="1634"/>
      <c r="QYR19" s="1634"/>
      <c r="QYS19" s="1634"/>
      <c r="QYT19" s="1634"/>
      <c r="QYU19" s="1634"/>
      <c r="QYV19" s="1634"/>
      <c r="QYW19" s="1634"/>
      <c r="QYX19" s="1634"/>
      <c r="QYY19" s="1634"/>
      <c r="QYZ19" s="1634"/>
      <c r="QZA19" s="1634"/>
      <c r="QZB19" s="1634"/>
      <c r="QZC19" s="1634"/>
      <c r="QZD19" s="1634"/>
      <c r="QZE19" s="1634"/>
      <c r="QZF19" s="1634"/>
      <c r="QZG19" s="1634"/>
      <c r="QZH19" s="1634"/>
      <c r="QZI19" s="1634"/>
      <c r="QZJ19" s="1634"/>
      <c r="QZK19" s="1634"/>
      <c r="QZL19" s="1634"/>
      <c r="QZM19" s="1634"/>
      <c r="QZN19" s="1634"/>
      <c r="QZO19" s="1634"/>
      <c r="QZP19" s="1634"/>
      <c r="QZQ19" s="1634"/>
      <c r="QZR19" s="1634"/>
      <c r="QZS19" s="1634"/>
      <c r="QZT19" s="1634"/>
      <c r="QZU19" s="1634"/>
      <c r="QZV19" s="1634"/>
      <c r="QZW19" s="1634"/>
      <c r="QZX19" s="1634"/>
      <c r="QZY19" s="1634"/>
      <c r="QZZ19" s="1634"/>
      <c r="RAA19" s="1634"/>
      <c r="RAB19" s="1634"/>
      <c r="RAC19" s="1634"/>
      <c r="RAD19" s="1634"/>
      <c r="RAE19" s="1634"/>
      <c r="RAF19" s="1634"/>
      <c r="RAG19" s="1634"/>
      <c r="RAH19" s="1634"/>
      <c r="RAI19" s="1634"/>
      <c r="RAJ19" s="1634"/>
      <c r="RAK19" s="1634"/>
      <c r="RAL19" s="1634"/>
      <c r="RAM19" s="1634"/>
      <c r="RAN19" s="1634"/>
      <c r="RAO19" s="1634"/>
      <c r="RAP19" s="1634"/>
      <c r="RAQ19" s="1634"/>
      <c r="RAR19" s="1634"/>
      <c r="RAS19" s="1634"/>
      <c r="RAT19" s="1634"/>
      <c r="RAU19" s="1634"/>
      <c r="RAV19" s="1634"/>
      <c r="RAW19" s="1634"/>
      <c r="RAX19" s="1634"/>
      <c r="RAY19" s="1634"/>
      <c r="RAZ19" s="1634"/>
      <c r="RBA19" s="1634"/>
      <c r="RBB19" s="1634"/>
      <c r="RBC19" s="1634"/>
      <c r="RBD19" s="1634"/>
      <c r="RBE19" s="1634"/>
      <c r="RBF19" s="1634"/>
      <c r="RBG19" s="1634"/>
      <c r="RBH19" s="1634"/>
      <c r="RBI19" s="1634"/>
      <c r="RBJ19" s="1634"/>
      <c r="RBK19" s="1634"/>
      <c r="RBL19" s="1634"/>
      <c r="RBM19" s="1634"/>
      <c r="RBN19" s="1634"/>
      <c r="RBO19" s="1634"/>
      <c r="RBP19" s="1634"/>
      <c r="RBQ19" s="1634"/>
      <c r="RBR19" s="1634"/>
      <c r="RBS19" s="1634"/>
      <c r="RBT19" s="1634"/>
      <c r="RBU19" s="1634"/>
      <c r="RBV19" s="1634"/>
      <c r="RBW19" s="1634"/>
      <c r="RBX19" s="1634"/>
      <c r="RBY19" s="1634"/>
      <c r="RBZ19" s="1634"/>
      <c r="RCA19" s="1634"/>
      <c r="RCB19" s="1634"/>
      <c r="RCC19" s="1634"/>
      <c r="RCD19" s="1634"/>
      <c r="RCE19" s="1634"/>
      <c r="RCF19" s="1634"/>
      <c r="RCG19" s="1634"/>
      <c r="RCH19" s="1634"/>
      <c r="RCI19" s="1634"/>
      <c r="RCJ19" s="1634"/>
      <c r="RCK19" s="1634"/>
      <c r="RCL19" s="1634"/>
      <c r="RCM19" s="1634"/>
      <c r="RCN19" s="1634"/>
      <c r="RCO19" s="1634"/>
      <c r="RCP19" s="1634"/>
      <c r="RCQ19" s="1634"/>
      <c r="RCR19" s="1634"/>
      <c r="RCS19" s="1634"/>
      <c r="RCT19" s="1634"/>
      <c r="RCU19" s="1634"/>
      <c r="RCV19" s="1634"/>
      <c r="RCW19" s="1634"/>
      <c r="RCX19" s="1634"/>
      <c r="RCY19" s="1634"/>
      <c r="RCZ19" s="1634"/>
      <c r="RDA19" s="1634"/>
      <c r="RDB19" s="1634"/>
      <c r="RDC19" s="1634"/>
      <c r="RDD19" s="1634"/>
      <c r="RDE19" s="1634"/>
      <c r="RDF19" s="1634"/>
      <c r="RDG19" s="1634"/>
      <c r="RDH19" s="1634"/>
      <c r="RDI19" s="1634"/>
      <c r="RDJ19" s="1634"/>
      <c r="RDK19" s="1634"/>
      <c r="RDL19" s="1634"/>
      <c r="RDM19" s="1634"/>
      <c r="RDN19" s="1634"/>
      <c r="RDO19" s="1634"/>
      <c r="RDP19" s="1634"/>
      <c r="RDQ19" s="1634"/>
      <c r="RDR19" s="1634"/>
      <c r="RDS19" s="1634"/>
      <c r="RDT19" s="1634"/>
      <c r="RDU19" s="1634"/>
      <c r="RDV19" s="1634"/>
      <c r="RDW19" s="1634"/>
      <c r="RDX19" s="1634"/>
      <c r="RDY19" s="1634"/>
      <c r="RDZ19" s="1634"/>
      <c r="REA19" s="1634"/>
      <c r="REB19" s="1634"/>
      <c r="REC19" s="1634"/>
      <c r="RED19" s="1634"/>
      <c r="REE19" s="1634"/>
      <c r="REF19" s="1634"/>
      <c r="REG19" s="1634"/>
      <c r="REH19" s="1634"/>
      <c r="REI19" s="1634"/>
      <c r="REJ19" s="1634"/>
      <c r="REK19" s="1634"/>
      <c r="REL19" s="1634"/>
      <c r="REM19" s="1634"/>
      <c r="REN19" s="1634"/>
      <c r="REO19" s="1634"/>
      <c r="REP19" s="1634"/>
      <c r="REQ19" s="1634"/>
      <c r="RER19" s="1634"/>
      <c r="RES19" s="1634"/>
      <c r="RET19" s="1634"/>
      <c r="REU19" s="1634"/>
      <c r="REV19" s="1634"/>
      <c r="REW19" s="1634"/>
      <c r="REX19" s="1634"/>
      <c r="REY19" s="1634"/>
      <c r="REZ19" s="1634"/>
      <c r="RFA19" s="1634"/>
      <c r="RFB19" s="1634"/>
      <c r="RFC19" s="1634"/>
      <c r="RFD19" s="1634"/>
      <c r="RFE19" s="1634"/>
      <c r="RFF19" s="1634"/>
      <c r="RFG19" s="1634"/>
      <c r="RFH19" s="1634"/>
      <c r="RFI19" s="1634"/>
      <c r="RFJ19" s="1634"/>
      <c r="RFK19" s="1634"/>
      <c r="RFL19" s="1634"/>
      <c r="RFM19" s="1634"/>
      <c r="RFN19" s="1634"/>
      <c r="RFO19" s="1634"/>
      <c r="RFP19" s="1634"/>
      <c r="RFQ19" s="1634"/>
      <c r="RFR19" s="1634"/>
      <c r="RFS19" s="1634"/>
      <c r="RFT19" s="1634"/>
      <c r="RFU19" s="1634"/>
      <c r="RFV19" s="1634"/>
      <c r="RFW19" s="1634"/>
      <c r="RFX19" s="1634"/>
      <c r="RFY19" s="1634"/>
      <c r="RFZ19" s="1634"/>
      <c r="RGA19" s="1634"/>
      <c r="RGB19" s="1634"/>
      <c r="RGC19" s="1634"/>
      <c r="RGD19" s="1634"/>
      <c r="RGE19" s="1634"/>
      <c r="RGF19" s="1634"/>
      <c r="RGG19" s="1634"/>
      <c r="RGH19" s="1634"/>
      <c r="RGI19" s="1634"/>
      <c r="RGJ19" s="1634"/>
      <c r="RGK19" s="1634"/>
      <c r="RGL19" s="1634"/>
      <c r="RGM19" s="1634"/>
      <c r="RGN19" s="1634"/>
      <c r="RGO19" s="1634"/>
      <c r="RGP19" s="1634"/>
      <c r="RGQ19" s="1634"/>
      <c r="RGR19" s="1634"/>
      <c r="RGS19" s="1634"/>
      <c r="RGT19" s="1634"/>
      <c r="RGU19" s="1634"/>
      <c r="RGV19" s="1634"/>
      <c r="RGW19" s="1634"/>
      <c r="RGX19" s="1634"/>
      <c r="RGY19" s="1634"/>
      <c r="RGZ19" s="1634"/>
      <c r="RHA19" s="1634"/>
      <c r="RHB19" s="1634"/>
      <c r="RHC19" s="1634"/>
      <c r="RHD19" s="1634"/>
      <c r="RHE19" s="1634"/>
      <c r="RHF19" s="1634"/>
      <c r="RHG19" s="1634"/>
      <c r="RHH19" s="1634"/>
      <c r="RHI19" s="1634"/>
      <c r="RHJ19" s="1634"/>
      <c r="RHK19" s="1634"/>
      <c r="RHL19" s="1634"/>
      <c r="RHM19" s="1634"/>
      <c r="RHN19" s="1634"/>
      <c r="RHO19" s="1634"/>
      <c r="RHP19" s="1634"/>
      <c r="RHQ19" s="1634"/>
      <c r="RHR19" s="1634"/>
      <c r="RHS19" s="1634"/>
      <c r="RHT19" s="1634"/>
      <c r="RHU19" s="1634"/>
      <c r="RHV19" s="1634"/>
      <c r="RHW19" s="1634"/>
      <c r="RHX19" s="1634"/>
      <c r="RHY19" s="1634"/>
      <c r="RHZ19" s="1634"/>
      <c r="RIA19" s="1634"/>
      <c r="RIB19" s="1634"/>
      <c r="RIC19" s="1634"/>
      <c r="RID19" s="1634"/>
      <c r="RIE19" s="1634"/>
      <c r="RIF19" s="1634"/>
      <c r="RIG19" s="1634"/>
      <c r="RIH19" s="1634"/>
      <c r="RII19" s="1634"/>
      <c r="RIJ19" s="1634"/>
      <c r="RIK19" s="1634"/>
      <c r="RIL19" s="1634"/>
      <c r="RIM19" s="1634"/>
      <c r="RIN19" s="1634"/>
      <c r="RIO19" s="1634"/>
      <c r="RIP19" s="1634"/>
      <c r="RIQ19" s="1634"/>
      <c r="RIR19" s="1634"/>
      <c r="RIS19" s="1634"/>
      <c r="RIT19" s="1634"/>
      <c r="RIU19" s="1634"/>
      <c r="RIV19" s="1634"/>
      <c r="RIW19" s="1634"/>
      <c r="RIX19" s="1634"/>
      <c r="RIY19" s="1634"/>
      <c r="RIZ19" s="1634"/>
      <c r="RJA19" s="1634"/>
      <c r="RJB19" s="1634"/>
      <c r="RJC19" s="1634"/>
      <c r="RJD19" s="1634"/>
      <c r="RJE19" s="1634"/>
      <c r="RJF19" s="1634"/>
      <c r="RJG19" s="1634"/>
      <c r="RJH19" s="1634"/>
      <c r="RJI19" s="1634"/>
      <c r="RJJ19" s="1634"/>
      <c r="RJK19" s="1634"/>
      <c r="RJL19" s="1634"/>
      <c r="RJM19" s="1634"/>
      <c r="RJN19" s="1634"/>
      <c r="RJO19" s="1634"/>
      <c r="RJP19" s="1634"/>
      <c r="RJQ19" s="1634"/>
      <c r="RJR19" s="1634"/>
      <c r="RJS19" s="1634"/>
      <c r="RJT19" s="1634"/>
      <c r="RJU19" s="1634"/>
      <c r="RJV19" s="1634"/>
      <c r="RJW19" s="1634"/>
      <c r="RJX19" s="1634"/>
      <c r="RJY19" s="1634"/>
      <c r="RJZ19" s="1634"/>
      <c r="RKA19" s="1634"/>
      <c r="RKB19" s="1634"/>
      <c r="RKC19" s="1634"/>
      <c r="RKD19" s="1634"/>
      <c r="RKE19" s="1634"/>
      <c r="RKF19" s="1634"/>
      <c r="RKG19" s="1634"/>
      <c r="RKH19" s="1634"/>
      <c r="RKI19" s="1634"/>
      <c r="RKJ19" s="1634"/>
      <c r="RKK19" s="1634"/>
      <c r="RKL19" s="1634"/>
      <c r="RKM19" s="1634"/>
      <c r="RKN19" s="1634"/>
      <c r="RKO19" s="1634"/>
      <c r="RKP19" s="1634"/>
      <c r="RKQ19" s="1634"/>
      <c r="RKR19" s="1634"/>
      <c r="RKS19" s="1634"/>
      <c r="RKT19" s="1634"/>
      <c r="RKU19" s="1634"/>
      <c r="RKV19" s="1634"/>
      <c r="RKW19" s="1634"/>
      <c r="RKX19" s="1634"/>
      <c r="RKY19" s="1634"/>
      <c r="RKZ19" s="1634"/>
      <c r="RLA19" s="1634"/>
      <c r="RLB19" s="1634"/>
      <c r="RLC19" s="1634"/>
      <c r="RLD19" s="1634"/>
      <c r="RLE19" s="1634"/>
      <c r="RLF19" s="1634"/>
      <c r="RLG19" s="1634"/>
      <c r="RLH19" s="1634"/>
      <c r="RLI19" s="1634"/>
      <c r="RLJ19" s="1634"/>
      <c r="RLK19" s="1634"/>
      <c r="RLL19" s="1634"/>
      <c r="RLM19" s="1634"/>
      <c r="RLN19" s="1634"/>
      <c r="RLO19" s="1634"/>
      <c r="RLP19" s="1634"/>
      <c r="RLQ19" s="1634"/>
      <c r="RLR19" s="1634"/>
      <c r="RLS19" s="1634"/>
      <c r="RLT19" s="1634"/>
      <c r="RLU19" s="1634"/>
      <c r="RLV19" s="1634"/>
      <c r="RLW19" s="1634"/>
      <c r="RLX19" s="1634"/>
      <c r="RLY19" s="1634"/>
      <c r="RLZ19" s="1634"/>
      <c r="RMA19" s="1634"/>
      <c r="RMB19" s="1634"/>
      <c r="RMC19" s="1634"/>
      <c r="RMD19" s="1634"/>
      <c r="RME19" s="1634"/>
      <c r="RMF19" s="1634"/>
      <c r="RMG19" s="1634"/>
      <c r="RMH19" s="1634"/>
      <c r="RMI19" s="1634"/>
      <c r="RMJ19" s="1634"/>
      <c r="RMK19" s="1634"/>
      <c r="RML19" s="1634"/>
      <c r="RMM19" s="1634"/>
      <c r="RMN19" s="1634"/>
      <c r="RMO19" s="1634"/>
      <c r="RMP19" s="1634"/>
      <c r="RMQ19" s="1634"/>
      <c r="RMR19" s="1634"/>
      <c r="RMS19" s="1634"/>
      <c r="RMT19" s="1634"/>
      <c r="RMU19" s="1634"/>
      <c r="RMV19" s="1634"/>
      <c r="RMW19" s="1634"/>
      <c r="RMX19" s="1634"/>
      <c r="RMY19" s="1634"/>
      <c r="RMZ19" s="1634"/>
      <c r="RNA19" s="1634"/>
      <c r="RNB19" s="1634"/>
      <c r="RNC19" s="1634"/>
      <c r="RND19" s="1634"/>
      <c r="RNE19" s="1634"/>
      <c r="RNF19" s="1634"/>
      <c r="RNG19" s="1634"/>
      <c r="RNH19" s="1634"/>
      <c r="RNI19" s="1634"/>
      <c r="RNJ19" s="1634"/>
      <c r="RNK19" s="1634"/>
      <c r="RNL19" s="1634"/>
      <c r="RNM19" s="1634"/>
      <c r="RNN19" s="1634"/>
      <c r="RNO19" s="1634"/>
      <c r="RNP19" s="1634"/>
      <c r="RNQ19" s="1634"/>
      <c r="RNR19" s="1634"/>
      <c r="RNS19" s="1634"/>
      <c r="RNT19" s="1634"/>
      <c r="RNU19" s="1634"/>
      <c r="RNV19" s="1634"/>
      <c r="RNW19" s="1634"/>
      <c r="RNX19" s="1634"/>
      <c r="RNY19" s="1634"/>
      <c r="RNZ19" s="1634"/>
      <c r="ROA19" s="1634"/>
      <c r="ROB19" s="1634"/>
      <c r="ROC19" s="1634"/>
      <c r="ROD19" s="1634"/>
      <c r="ROE19" s="1634"/>
      <c r="ROF19" s="1634"/>
      <c r="ROG19" s="1634"/>
      <c r="ROH19" s="1634"/>
      <c r="ROI19" s="1634"/>
      <c r="ROJ19" s="1634"/>
      <c r="ROK19" s="1634"/>
      <c r="ROL19" s="1634"/>
      <c r="ROM19" s="1634"/>
      <c r="RON19" s="1634"/>
      <c r="ROO19" s="1634"/>
      <c r="ROP19" s="1634"/>
      <c r="ROQ19" s="1634"/>
      <c r="ROR19" s="1634"/>
      <c r="ROS19" s="1634"/>
      <c r="ROT19" s="1634"/>
      <c r="ROU19" s="1634"/>
      <c r="ROV19" s="1634"/>
      <c r="ROW19" s="1634"/>
      <c r="ROX19" s="1634"/>
      <c r="ROY19" s="1634"/>
      <c r="ROZ19" s="1634"/>
      <c r="RPA19" s="1634"/>
      <c r="RPB19" s="1634"/>
      <c r="RPC19" s="1634"/>
      <c r="RPD19" s="1634"/>
      <c r="RPE19" s="1634"/>
      <c r="RPF19" s="1634"/>
      <c r="RPG19" s="1634"/>
      <c r="RPH19" s="1634"/>
      <c r="RPI19" s="1634"/>
      <c r="RPJ19" s="1634"/>
      <c r="RPK19" s="1634"/>
      <c r="RPL19" s="1634"/>
      <c r="RPM19" s="1634"/>
      <c r="RPN19" s="1634"/>
      <c r="RPO19" s="1634"/>
      <c r="RPP19" s="1634"/>
      <c r="RPQ19" s="1634"/>
      <c r="RPR19" s="1634"/>
      <c r="RPS19" s="1634"/>
      <c r="RPT19" s="1634"/>
      <c r="RPU19" s="1634"/>
      <c r="RPV19" s="1634"/>
      <c r="RPW19" s="1634"/>
      <c r="RPX19" s="1634"/>
      <c r="RPY19" s="1634"/>
      <c r="RPZ19" s="1634"/>
      <c r="RQA19" s="1634"/>
      <c r="RQB19" s="1634"/>
      <c r="RQC19" s="1634"/>
      <c r="RQD19" s="1634"/>
      <c r="RQE19" s="1634"/>
      <c r="RQF19" s="1634"/>
      <c r="RQG19" s="1634"/>
      <c r="RQH19" s="1634"/>
      <c r="RQI19" s="1634"/>
      <c r="RQJ19" s="1634"/>
      <c r="RQK19" s="1634"/>
      <c r="RQL19" s="1634"/>
      <c r="RQM19" s="1634"/>
      <c r="RQN19" s="1634"/>
      <c r="RQO19" s="1634"/>
      <c r="RQP19" s="1634"/>
      <c r="RQQ19" s="1634"/>
      <c r="RQR19" s="1634"/>
      <c r="RQS19" s="1634"/>
      <c r="RQT19" s="1634"/>
      <c r="RQU19" s="1634"/>
      <c r="RQV19" s="1634"/>
      <c r="RQW19" s="1634"/>
      <c r="RQX19" s="1634"/>
      <c r="RQY19" s="1634"/>
      <c r="RQZ19" s="1634"/>
      <c r="RRA19" s="1634"/>
      <c r="RRB19" s="1634"/>
      <c r="RRC19" s="1634"/>
      <c r="RRD19" s="1634"/>
      <c r="RRE19" s="1634"/>
      <c r="RRF19" s="1634"/>
      <c r="RRG19" s="1634"/>
      <c r="RRH19" s="1634"/>
      <c r="RRI19" s="1634"/>
      <c r="RRJ19" s="1634"/>
      <c r="RRK19" s="1634"/>
      <c r="RRL19" s="1634"/>
      <c r="RRM19" s="1634"/>
      <c r="RRN19" s="1634"/>
      <c r="RRO19" s="1634"/>
      <c r="RRP19" s="1634"/>
      <c r="RRQ19" s="1634"/>
      <c r="RRR19" s="1634"/>
      <c r="RRS19" s="1634"/>
      <c r="RRT19" s="1634"/>
      <c r="RRU19" s="1634"/>
      <c r="RRV19" s="1634"/>
      <c r="RRW19" s="1634"/>
      <c r="RRX19" s="1634"/>
      <c r="RRY19" s="1634"/>
      <c r="RRZ19" s="1634"/>
      <c r="RSA19" s="1634"/>
      <c r="RSB19" s="1634"/>
      <c r="RSC19" s="1634"/>
      <c r="RSD19" s="1634"/>
      <c r="RSE19" s="1634"/>
      <c r="RSF19" s="1634"/>
      <c r="RSG19" s="1634"/>
      <c r="RSH19" s="1634"/>
      <c r="RSI19" s="1634"/>
      <c r="RSJ19" s="1634"/>
      <c r="RSK19" s="1634"/>
      <c r="RSL19" s="1634"/>
      <c r="RSM19" s="1634"/>
      <c r="RSN19" s="1634"/>
      <c r="RSO19" s="1634"/>
      <c r="RSP19" s="1634"/>
      <c r="RSQ19" s="1634"/>
      <c r="RSR19" s="1634"/>
      <c r="RSS19" s="1634"/>
      <c r="RST19" s="1634"/>
      <c r="RSU19" s="1634"/>
      <c r="RSV19" s="1634"/>
      <c r="RSW19" s="1634"/>
      <c r="RSX19" s="1634"/>
      <c r="RSY19" s="1634"/>
      <c r="RSZ19" s="1634"/>
      <c r="RTA19" s="1634"/>
      <c r="RTB19" s="1634"/>
      <c r="RTC19" s="1634"/>
      <c r="RTD19" s="1634"/>
      <c r="RTE19" s="1634"/>
      <c r="RTF19" s="1634"/>
      <c r="RTG19" s="1634"/>
      <c r="RTH19" s="1634"/>
      <c r="RTI19" s="1634"/>
      <c r="RTJ19" s="1634"/>
      <c r="RTK19" s="1634"/>
      <c r="RTL19" s="1634"/>
      <c r="RTM19" s="1634"/>
      <c r="RTN19" s="1634"/>
      <c r="RTO19" s="1634"/>
      <c r="RTP19" s="1634"/>
      <c r="RTQ19" s="1634"/>
      <c r="RTR19" s="1634"/>
      <c r="RTS19" s="1634"/>
      <c r="RTT19" s="1634"/>
      <c r="RTU19" s="1634"/>
      <c r="RTV19" s="1634"/>
      <c r="RTW19" s="1634"/>
      <c r="RTX19" s="1634"/>
      <c r="RTY19" s="1634"/>
      <c r="RTZ19" s="1634"/>
      <c r="RUA19" s="1634"/>
      <c r="RUB19" s="1634"/>
      <c r="RUC19" s="1634"/>
      <c r="RUD19" s="1634"/>
      <c r="RUE19" s="1634"/>
      <c r="RUF19" s="1634"/>
      <c r="RUG19" s="1634"/>
      <c r="RUH19" s="1634"/>
      <c r="RUI19" s="1634"/>
      <c r="RUJ19" s="1634"/>
      <c r="RUK19" s="1634"/>
      <c r="RUL19" s="1634"/>
      <c r="RUM19" s="1634"/>
      <c r="RUN19" s="1634"/>
      <c r="RUO19" s="1634"/>
      <c r="RUP19" s="1634"/>
      <c r="RUQ19" s="1634"/>
      <c r="RUR19" s="1634"/>
      <c r="RUS19" s="1634"/>
      <c r="RUT19" s="1634"/>
      <c r="RUU19" s="1634"/>
      <c r="RUV19" s="1634"/>
      <c r="RUW19" s="1634"/>
      <c r="RUX19" s="1634"/>
      <c r="RUY19" s="1634"/>
      <c r="RUZ19" s="1634"/>
      <c r="RVA19" s="1634"/>
      <c r="RVB19" s="1634"/>
      <c r="RVC19" s="1634"/>
      <c r="RVD19" s="1634"/>
      <c r="RVE19" s="1634"/>
      <c r="RVF19" s="1634"/>
      <c r="RVG19" s="1634"/>
      <c r="RVH19" s="1634"/>
      <c r="RVI19" s="1634"/>
      <c r="RVJ19" s="1634"/>
      <c r="RVK19" s="1634"/>
      <c r="RVL19" s="1634"/>
      <c r="RVM19" s="1634"/>
      <c r="RVN19" s="1634"/>
      <c r="RVO19" s="1634"/>
      <c r="RVP19" s="1634"/>
      <c r="RVQ19" s="1634"/>
      <c r="RVR19" s="1634"/>
      <c r="RVS19" s="1634"/>
      <c r="RVT19" s="1634"/>
      <c r="RVU19" s="1634"/>
      <c r="RVV19" s="1634"/>
      <c r="RVW19" s="1634"/>
      <c r="RVX19" s="1634"/>
      <c r="RVY19" s="1634"/>
      <c r="RVZ19" s="1634"/>
      <c r="RWA19" s="1634"/>
      <c r="RWB19" s="1634"/>
      <c r="RWC19" s="1634"/>
      <c r="RWD19" s="1634"/>
      <c r="RWE19" s="1634"/>
      <c r="RWF19" s="1634"/>
      <c r="RWG19" s="1634"/>
      <c r="RWH19" s="1634"/>
      <c r="RWI19" s="1634"/>
      <c r="RWJ19" s="1634"/>
      <c r="RWK19" s="1634"/>
      <c r="RWL19" s="1634"/>
      <c r="RWM19" s="1634"/>
      <c r="RWN19" s="1634"/>
      <c r="RWO19" s="1634"/>
      <c r="RWP19" s="1634"/>
      <c r="RWQ19" s="1634"/>
      <c r="RWR19" s="1634"/>
      <c r="RWS19" s="1634"/>
      <c r="RWT19" s="1634"/>
      <c r="RWU19" s="1634"/>
      <c r="RWV19" s="1634"/>
      <c r="RWW19" s="1634"/>
      <c r="RWX19" s="1634"/>
      <c r="RWY19" s="1634"/>
      <c r="RWZ19" s="1634"/>
      <c r="RXA19" s="1634"/>
      <c r="RXB19" s="1634"/>
      <c r="RXC19" s="1634"/>
      <c r="RXD19" s="1634"/>
      <c r="RXE19" s="1634"/>
      <c r="RXF19" s="1634"/>
      <c r="RXG19" s="1634"/>
      <c r="RXH19" s="1634"/>
      <c r="RXI19" s="1634"/>
      <c r="RXJ19" s="1634"/>
      <c r="RXK19" s="1634"/>
      <c r="RXL19" s="1634"/>
      <c r="RXM19" s="1634"/>
      <c r="RXN19" s="1634"/>
      <c r="RXO19" s="1634"/>
      <c r="RXP19" s="1634"/>
      <c r="RXQ19" s="1634"/>
      <c r="RXR19" s="1634"/>
      <c r="RXS19" s="1634"/>
      <c r="RXT19" s="1634"/>
      <c r="RXU19" s="1634"/>
      <c r="RXV19" s="1634"/>
      <c r="RXW19" s="1634"/>
      <c r="RXX19" s="1634"/>
      <c r="RXY19" s="1634"/>
      <c r="RXZ19" s="1634"/>
      <c r="RYA19" s="1634"/>
      <c r="RYB19" s="1634"/>
      <c r="RYC19" s="1634"/>
      <c r="RYD19" s="1634"/>
      <c r="RYE19" s="1634"/>
      <c r="RYF19" s="1634"/>
      <c r="RYG19" s="1634"/>
      <c r="RYH19" s="1634"/>
      <c r="RYI19" s="1634"/>
      <c r="RYJ19" s="1634"/>
      <c r="RYK19" s="1634"/>
      <c r="RYL19" s="1634"/>
      <c r="RYM19" s="1634"/>
      <c r="RYN19" s="1634"/>
      <c r="RYO19" s="1634"/>
      <c r="RYP19" s="1634"/>
      <c r="RYQ19" s="1634"/>
      <c r="RYR19" s="1634"/>
      <c r="RYS19" s="1634"/>
      <c r="RYT19" s="1634"/>
      <c r="RYU19" s="1634"/>
      <c r="RYV19" s="1634"/>
      <c r="RYW19" s="1634"/>
      <c r="RYX19" s="1634"/>
      <c r="RYY19" s="1634"/>
      <c r="RYZ19" s="1634"/>
      <c r="RZA19" s="1634"/>
      <c r="RZB19" s="1634"/>
      <c r="RZC19" s="1634"/>
      <c r="RZD19" s="1634"/>
      <c r="RZE19" s="1634"/>
      <c r="RZF19" s="1634"/>
      <c r="RZG19" s="1634"/>
      <c r="RZH19" s="1634"/>
      <c r="RZI19" s="1634"/>
      <c r="RZJ19" s="1634"/>
      <c r="RZK19" s="1634"/>
      <c r="RZL19" s="1634"/>
      <c r="RZM19" s="1634"/>
      <c r="RZN19" s="1634"/>
      <c r="RZO19" s="1634"/>
      <c r="RZP19" s="1634"/>
      <c r="RZQ19" s="1634"/>
      <c r="RZR19" s="1634"/>
      <c r="RZS19" s="1634"/>
      <c r="RZT19" s="1634"/>
      <c r="RZU19" s="1634"/>
      <c r="RZV19" s="1634"/>
      <c r="RZW19" s="1634"/>
      <c r="RZX19" s="1634"/>
      <c r="RZY19" s="1634"/>
      <c r="RZZ19" s="1634"/>
      <c r="SAA19" s="1634"/>
      <c r="SAB19" s="1634"/>
      <c r="SAC19" s="1634"/>
      <c r="SAD19" s="1634"/>
      <c r="SAE19" s="1634"/>
      <c r="SAF19" s="1634"/>
      <c r="SAG19" s="1634"/>
      <c r="SAH19" s="1634"/>
      <c r="SAI19" s="1634"/>
      <c r="SAJ19" s="1634"/>
      <c r="SAK19" s="1634"/>
      <c r="SAL19" s="1634"/>
      <c r="SAM19" s="1634"/>
      <c r="SAN19" s="1634"/>
      <c r="SAO19" s="1634"/>
      <c r="SAP19" s="1634"/>
      <c r="SAQ19" s="1634"/>
      <c r="SAR19" s="1634"/>
      <c r="SAS19" s="1634"/>
      <c r="SAT19" s="1634"/>
      <c r="SAU19" s="1634"/>
      <c r="SAV19" s="1634"/>
      <c r="SAW19" s="1634"/>
      <c r="SAX19" s="1634"/>
      <c r="SAY19" s="1634"/>
      <c r="SAZ19" s="1634"/>
      <c r="SBA19" s="1634"/>
      <c r="SBB19" s="1634"/>
      <c r="SBC19" s="1634"/>
      <c r="SBD19" s="1634"/>
      <c r="SBE19" s="1634"/>
      <c r="SBF19" s="1634"/>
      <c r="SBG19" s="1634"/>
      <c r="SBH19" s="1634"/>
      <c r="SBI19" s="1634"/>
      <c r="SBJ19" s="1634"/>
      <c r="SBK19" s="1634"/>
      <c r="SBL19" s="1634"/>
      <c r="SBM19" s="1634"/>
      <c r="SBN19" s="1634"/>
      <c r="SBO19" s="1634"/>
      <c r="SBP19" s="1634"/>
      <c r="SBQ19" s="1634"/>
      <c r="SBR19" s="1634"/>
      <c r="SBS19" s="1634"/>
      <c r="SBT19" s="1634"/>
      <c r="SBU19" s="1634"/>
      <c r="SBV19" s="1634"/>
      <c r="SBW19" s="1634"/>
      <c r="SBX19" s="1634"/>
      <c r="SBY19" s="1634"/>
      <c r="SBZ19" s="1634"/>
      <c r="SCA19" s="1634"/>
      <c r="SCB19" s="1634"/>
      <c r="SCC19" s="1634"/>
      <c r="SCD19" s="1634"/>
      <c r="SCE19" s="1634"/>
      <c r="SCF19" s="1634"/>
      <c r="SCG19" s="1634"/>
      <c r="SCH19" s="1634"/>
      <c r="SCI19" s="1634"/>
      <c r="SCJ19" s="1634"/>
      <c r="SCK19" s="1634"/>
      <c r="SCL19" s="1634"/>
      <c r="SCM19" s="1634"/>
      <c r="SCN19" s="1634"/>
      <c r="SCO19" s="1634"/>
      <c r="SCP19" s="1634"/>
      <c r="SCQ19" s="1634"/>
      <c r="SCR19" s="1634"/>
      <c r="SCS19" s="1634"/>
      <c r="SCT19" s="1634"/>
      <c r="SCU19" s="1634"/>
      <c r="SCV19" s="1634"/>
      <c r="SCW19" s="1634"/>
      <c r="SCX19" s="1634"/>
      <c r="SCY19" s="1634"/>
      <c r="SCZ19" s="1634"/>
      <c r="SDA19" s="1634"/>
      <c r="SDB19" s="1634"/>
      <c r="SDC19" s="1634"/>
      <c r="SDD19" s="1634"/>
      <c r="SDE19" s="1634"/>
      <c r="SDF19" s="1634"/>
      <c r="SDG19" s="1634"/>
      <c r="SDH19" s="1634"/>
      <c r="SDI19" s="1634"/>
      <c r="SDJ19" s="1634"/>
      <c r="SDK19" s="1634"/>
      <c r="SDL19" s="1634"/>
      <c r="SDM19" s="1634"/>
      <c r="SDN19" s="1634"/>
      <c r="SDO19" s="1634"/>
      <c r="SDP19" s="1634"/>
      <c r="SDQ19" s="1634"/>
      <c r="SDR19" s="1634"/>
      <c r="SDS19" s="1634"/>
      <c r="SDT19" s="1634"/>
      <c r="SDU19" s="1634"/>
      <c r="SDV19" s="1634"/>
      <c r="SDW19" s="1634"/>
      <c r="SDX19" s="1634"/>
      <c r="SDY19" s="1634"/>
      <c r="SDZ19" s="1634"/>
      <c r="SEA19" s="1634"/>
      <c r="SEB19" s="1634"/>
      <c r="SEC19" s="1634"/>
      <c r="SED19" s="1634"/>
      <c r="SEE19" s="1634"/>
      <c r="SEF19" s="1634"/>
      <c r="SEG19" s="1634"/>
      <c r="SEH19" s="1634"/>
      <c r="SEI19" s="1634"/>
      <c r="SEJ19" s="1634"/>
      <c r="SEK19" s="1634"/>
      <c r="SEL19" s="1634"/>
      <c r="SEM19" s="1634"/>
      <c r="SEN19" s="1634"/>
      <c r="SEO19" s="1634"/>
      <c r="SEP19" s="1634"/>
      <c r="SEQ19" s="1634"/>
      <c r="SER19" s="1634"/>
      <c r="SES19" s="1634"/>
      <c r="SET19" s="1634"/>
      <c r="SEU19" s="1634"/>
      <c r="SEV19" s="1634"/>
      <c r="SEW19" s="1634"/>
      <c r="SEX19" s="1634"/>
      <c r="SEY19" s="1634"/>
      <c r="SEZ19" s="1634"/>
      <c r="SFA19" s="1634"/>
      <c r="SFB19" s="1634"/>
      <c r="SFC19" s="1634"/>
      <c r="SFD19" s="1634"/>
      <c r="SFE19" s="1634"/>
      <c r="SFF19" s="1634"/>
      <c r="SFG19" s="1634"/>
      <c r="SFH19" s="1634"/>
      <c r="SFI19" s="1634"/>
      <c r="SFJ19" s="1634"/>
      <c r="SFK19" s="1634"/>
      <c r="SFL19" s="1634"/>
      <c r="SFM19" s="1634"/>
      <c r="SFN19" s="1634"/>
      <c r="SFO19" s="1634"/>
      <c r="SFP19" s="1634"/>
      <c r="SFQ19" s="1634"/>
      <c r="SFR19" s="1634"/>
      <c r="SFS19" s="1634"/>
      <c r="SFT19" s="1634"/>
      <c r="SFU19" s="1634"/>
      <c r="SFV19" s="1634"/>
      <c r="SFW19" s="1634"/>
      <c r="SFX19" s="1634"/>
      <c r="SFY19" s="1634"/>
      <c r="SFZ19" s="1634"/>
      <c r="SGA19" s="1634"/>
      <c r="SGB19" s="1634"/>
      <c r="SGC19" s="1634"/>
      <c r="SGD19" s="1634"/>
      <c r="SGE19" s="1634"/>
      <c r="SGF19" s="1634"/>
      <c r="SGG19" s="1634"/>
      <c r="SGH19" s="1634"/>
      <c r="SGI19" s="1634"/>
      <c r="SGJ19" s="1634"/>
      <c r="SGK19" s="1634"/>
      <c r="SGL19" s="1634"/>
      <c r="SGM19" s="1634"/>
      <c r="SGN19" s="1634"/>
      <c r="SGO19" s="1634"/>
      <c r="SGP19" s="1634"/>
      <c r="SGQ19" s="1634"/>
      <c r="SGR19" s="1634"/>
      <c r="SGS19" s="1634"/>
      <c r="SGT19" s="1634"/>
      <c r="SGU19" s="1634"/>
      <c r="SGV19" s="1634"/>
      <c r="SGW19" s="1634"/>
      <c r="SGX19" s="1634"/>
      <c r="SGY19" s="1634"/>
      <c r="SGZ19" s="1634"/>
      <c r="SHA19" s="1634"/>
      <c r="SHB19" s="1634"/>
      <c r="SHC19" s="1634"/>
      <c r="SHD19" s="1634"/>
      <c r="SHE19" s="1634"/>
      <c r="SHF19" s="1634"/>
      <c r="SHG19" s="1634"/>
      <c r="SHH19" s="1634"/>
      <c r="SHI19" s="1634"/>
      <c r="SHJ19" s="1634"/>
      <c r="SHK19" s="1634"/>
      <c r="SHL19" s="1634"/>
      <c r="SHM19" s="1634"/>
      <c r="SHN19" s="1634"/>
      <c r="SHO19" s="1634"/>
      <c r="SHP19" s="1634"/>
      <c r="SHQ19" s="1634"/>
      <c r="SHR19" s="1634"/>
      <c r="SHS19" s="1634"/>
      <c r="SHT19" s="1634"/>
      <c r="SHU19" s="1634"/>
      <c r="SHV19" s="1634"/>
      <c r="SHW19" s="1634"/>
      <c r="SHX19" s="1634"/>
      <c r="SHY19" s="1634"/>
      <c r="SHZ19" s="1634"/>
      <c r="SIA19" s="1634"/>
      <c r="SIB19" s="1634"/>
      <c r="SIC19" s="1634"/>
      <c r="SID19" s="1634"/>
      <c r="SIE19" s="1634"/>
      <c r="SIF19" s="1634"/>
      <c r="SIG19" s="1634"/>
      <c r="SIH19" s="1634"/>
      <c r="SII19" s="1634"/>
      <c r="SIJ19" s="1634"/>
      <c r="SIK19" s="1634"/>
      <c r="SIL19" s="1634"/>
      <c r="SIM19" s="1634"/>
      <c r="SIN19" s="1634"/>
      <c r="SIO19" s="1634"/>
      <c r="SIP19" s="1634"/>
      <c r="SIQ19" s="1634"/>
      <c r="SIR19" s="1634"/>
      <c r="SIS19" s="1634"/>
      <c r="SIT19" s="1634"/>
      <c r="SIU19" s="1634"/>
      <c r="SIV19" s="1634"/>
      <c r="SIW19" s="1634"/>
      <c r="SIX19" s="1634"/>
      <c r="SIY19" s="1634"/>
      <c r="SIZ19" s="1634"/>
      <c r="SJA19" s="1634"/>
      <c r="SJB19" s="1634"/>
      <c r="SJC19" s="1634"/>
      <c r="SJD19" s="1634"/>
      <c r="SJE19" s="1634"/>
      <c r="SJF19" s="1634"/>
      <c r="SJG19" s="1634"/>
      <c r="SJH19" s="1634"/>
      <c r="SJI19" s="1634"/>
      <c r="SJJ19" s="1634"/>
      <c r="SJK19" s="1634"/>
      <c r="SJL19" s="1634"/>
      <c r="SJM19" s="1634"/>
      <c r="SJN19" s="1634"/>
      <c r="SJO19" s="1634"/>
      <c r="SJP19" s="1634"/>
      <c r="SJQ19" s="1634"/>
      <c r="SJR19" s="1634"/>
      <c r="SJS19" s="1634"/>
      <c r="SJT19" s="1634"/>
      <c r="SJU19" s="1634"/>
      <c r="SJV19" s="1634"/>
      <c r="SJW19" s="1634"/>
      <c r="SJX19" s="1634"/>
      <c r="SJY19" s="1634"/>
      <c r="SJZ19" s="1634"/>
      <c r="SKA19" s="1634"/>
      <c r="SKB19" s="1634"/>
      <c r="SKC19" s="1634"/>
      <c r="SKD19" s="1634"/>
      <c r="SKE19" s="1634"/>
      <c r="SKF19" s="1634"/>
      <c r="SKG19" s="1634"/>
      <c r="SKH19" s="1634"/>
      <c r="SKI19" s="1634"/>
      <c r="SKJ19" s="1634"/>
      <c r="SKK19" s="1634"/>
      <c r="SKL19" s="1634"/>
      <c r="SKM19" s="1634"/>
      <c r="SKN19" s="1634"/>
      <c r="SKO19" s="1634"/>
      <c r="SKP19" s="1634"/>
      <c r="SKQ19" s="1634"/>
      <c r="SKR19" s="1634"/>
      <c r="SKS19" s="1634"/>
      <c r="SKT19" s="1634"/>
      <c r="SKU19" s="1634"/>
      <c r="SKV19" s="1634"/>
      <c r="SKW19" s="1634"/>
      <c r="SKX19" s="1634"/>
      <c r="SKY19" s="1634"/>
      <c r="SKZ19" s="1634"/>
      <c r="SLA19" s="1634"/>
      <c r="SLB19" s="1634"/>
      <c r="SLC19" s="1634"/>
      <c r="SLD19" s="1634"/>
      <c r="SLE19" s="1634"/>
      <c r="SLF19" s="1634"/>
      <c r="SLG19" s="1634"/>
      <c r="SLH19" s="1634"/>
      <c r="SLI19" s="1634"/>
      <c r="SLJ19" s="1634"/>
      <c r="SLK19" s="1634"/>
      <c r="SLL19" s="1634"/>
      <c r="SLM19" s="1634"/>
      <c r="SLN19" s="1634"/>
      <c r="SLO19" s="1634"/>
      <c r="SLP19" s="1634"/>
      <c r="SLQ19" s="1634"/>
      <c r="SLR19" s="1634"/>
      <c r="SLS19" s="1634"/>
      <c r="SLT19" s="1634"/>
      <c r="SLU19" s="1634"/>
      <c r="SLV19" s="1634"/>
      <c r="SLW19" s="1634"/>
      <c r="SLX19" s="1634"/>
      <c r="SLY19" s="1634"/>
      <c r="SLZ19" s="1634"/>
      <c r="SMA19" s="1634"/>
      <c r="SMB19" s="1634"/>
      <c r="SMC19" s="1634"/>
      <c r="SMD19" s="1634"/>
      <c r="SME19" s="1634"/>
      <c r="SMF19" s="1634"/>
      <c r="SMG19" s="1634"/>
      <c r="SMH19" s="1634"/>
      <c r="SMI19" s="1634"/>
      <c r="SMJ19" s="1634"/>
      <c r="SMK19" s="1634"/>
      <c r="SML19" s="1634"/>
      <c r="SMM19" s="1634"/>
      <c r="SMN19" s="1634"/>
      <c r="SMO19" s="1634"/>
      <c r="SMP19" s="1634"/>
      <c r="SMQ19" s="1634"/>
      <c r="SMR19" s="1634"/>
      <c r="SMS19" s="1634"/>
      <c r="SMT19" s="1634"/>
      <c r="SMU19" s="1634"/>
      <c r="SMV19" s="1634"/>
      <c r="SMW19" s="1634"/>
      <c r="SMX19" s="1634"/>
      <c r="SMY19" s="1634"/>
      <c r="SMZ19" s="1634"/>
      <c r="SNA19" s="1634"/>
      <c r="SNB19" s="1634"/>
      <c r="SNC19" s="1634"/>
      <c r="SND19" s="1634"/>
      <c r="SNE19" s="1634"/>
      <c r="SNF19" s="1634"/>
      <c r="SNG19" s="1634"/>
      <c r="SNH19" s="1634"/>
      <c r="SNI19" s="1634"/>
      <c r="SNJ19" s="1634"/>
      <c r="SNK19" s="1634"/>
      <c r="SNL19" s="1634"/>
      <c r="SNM19" s="1634"/>
      <c r="SNN19" s="1634"/>
      <c r="SNO19" s="1634"/>
      <c r="SNP19" s="1634"/>
      <c r="SNQ19" s="1634"/>
      <c r="SNR19" s="1634"/>
      <c r="SNS19" s="1634"/>
      <c r="SNT19" s="1634"/>
      <c r="SNU19" s="1634"/>
      <c r="SNV19" s="1634"/>
      <c r="SNW19" s="1634"/>
      <c r="SNX19" s="1634"/>
      <c r="SNY19" s="1634"/>
      <c r="SNZ19" s="1634"/>
      <c r="SOA19" s="1634"/>
      <c r="SOB19" s="1634"/>
      <c r="SOC19" s="1634"/>
      <c r="SOD19" s="1634"/>
      <c r="SOE19" s="1634"/>
      <c r="SOF19" s="1634"/>
      <c r="SOG19" s="1634"/>
      <c r="SOH19" s="1634"/>
      <c r="SOI19" s="1634"/>
      <c r="SOJ19" s="1634"/>
      <c r="SOK19" s="1634"/>
      <c r="SOL19" s="1634"/>
      <c r="SOM19" s="1634"/>
      <c r="SON19" s="1634"/>
      <c r="SOO19" s="1634"/>
      <c r="SOP19" s="1634"/>
      <c r="SOQ19" s="1634"/>
      <c r="SOR19" s="1634"/>
      <c r="SOS19" s="1634"/>
      <c r="SOT19" s="1634"/>
      <c r="SOU19" s="1634"/>
      <c r="SOV19" s="1634"/>
      <c r="SOW19" s="1634"/>
      <c r="SOX19" s="1634"/>
      <c r="SOY19" s="1634"/>
      <c r="SOZ19" s="1634"/>
      <c r="SPA19" s="1634"/>
      <c r="SPB19" s="1634"/>
      <c r="SPC19" s="1634"/>
      <c r="SPD19" s="1634"/>
      <c r="SPE19" s="1634"/>
      <c r="SPF19" s="1634"/>
      <c r="SPG19" s="1634"/>
      <c r="SPH19" s="1634"/>
      <c r="SPI19" s="1634"/>
      <c r="SPJ19" s="1634"/>
      <c r="SPK19" s="1634"/>
      <c r="SPL19" s="1634"/>
      <c r="SPM19" s="1634"/>
      <c r="SPN19" s="1634"/>
      <c r="SPO19" s="1634"/>
      <c r="SPP19" s="1634"/>
      <c r="SPQ19" s="1634"/>
      <c r="SPR19" s="1634"/>
      <c r="SPS19" s="1634"/>
      <c r="SPT19" s="1634"/>
      <c r="SPU19" s="1634"/>
      <c r="SPV19" s="1634"/>
      <c r="SPW19" s="1634"/>
      <c r="SPX19" s="1634"/>
      <c r="SPY19" s="1634"/>
      <c r="SPZ19" s="1634"/>
      <c r="SQA19" s="1634"/>
      <c r="SQB19" s="1634"/>
      <c r="SQC19" s="1634"/>
      <c r="SQD19" s="1634"/>
      <c r="SQE19" s="1634"/>
      <c r="SQF19" s="1634"/>
      <c r="SQG19" s="1634"/>
      <c r="SQH19" s="1634"/>
      <c r="SQI19" s="1634"/>
      <c r="SQJ19" s="1634"/>
      <c r="SQK19" s="1634"/>
      <c r="SQL19" s="1634"/>
      <c r="SQM19" s="1634"/>
      <c r="SQN19" s="1634"/>
      <c r="SQO19" s="1634"/>
      <c r="SQP19" s="1634"/>
      <c r="SQQ19" s="1634"/>
      <c r="SQR19" s="1634"/>
      <c r="SQS19" s="1634"/>
      <c r="SQT19" s="1634"/>
      <c r="SQU19" s="1634"/>
      <c r="SQV19" s="1634"/>
      <c r="SQW19" s="1634"/>
      <c r="SQX19" s="1634"/>
      <c r="SQY19" s="1634"/>
      <c r="SQZ19" s="1634"/>
      <c r="SRA19" s="1634"/>
      <c r="SRB19" s="1634"/>
      <c r="SRC19" s="1634"/>
      <c r="SRD19" s="1634"/>
      <c r="SRE19" s="1634"/>
      <c r="SRF19" s="1634"/>
      <c r="SRG19" s="1634"/>
      <c r="SRH19" s="1634"/>
      <c r="SRI19" s="1634"/>
      <c r="SRJ19" s="1634"/>
      <c r="SRK19" s="1634"/>
      <c r="SRL19" s="1634"/>
      <c r="SRM19" s="1634"/>
      <c r="SRN19" s="1634"/>
      <c r="SRO19" s="1634"/>
      <c r="SRP19" s="1634"/>
      <c r="SRQ19" s="1634"/>
      <c r="SRR19" s="1634"/>
      <c r="SRS19" s="1634"/>
      <c r="SRT19" s="1634"/>
      <c r="SRU19" s="1634"/>
      <c r="SRV19" s="1634"/>
      <c r="SRW19" s="1634"/>
      <c r="SRX19" s="1634"/>
      <c r="SRY19" s="1634"/>
      <c r="SRZ19" s="1634"/>
      <c r="SSA19" s="1634"/>
      <c r="SSB19" s="1634"/>
      <c r="SSC19" s="1634"/>
      <c r="SSD19" s="1634"/>
      <c r="SSE19" s="1634"/>
      <c r="SSF19" s="1634"/>
      <c r="SSG19" s="1634"/>
      <c r="SSH19" s="1634"/>
      <c r="SSI19" s="1634"/>
      <c r="SSJ19" s="1634"/>
      <c r="SSK19" s="1634"/>
      <c r="SSL19" s="1634"/>
      <c r="SSM19" s="1634"/>
      <c r="SSN19" s="1634"/>
      <c r="SSO19" s="1634"/>
      <c r="SSP19" s="1634"/>
      <c r="SSQ19" s="1634"/>
      <c r="SSR19" s="1634"/>
      <c r="SSS19" s="1634"/>
      <c r="SST19" s="1634"/>
      <c r="SSU19" s="1634"/>
      <c r="SSV19" s="1634"/>
      <c r="SSW19" s="1634"/>
      <c r="SSX19" s="1634"/>
      <c r="SSY19" s="1634"/>
      <c r="SSZ19" s="1634"/>
      <c r="STA19" s="1634"/>
      <c r="STB19" s="1634"/>
      <c r="STC19" s="1634"/>
      <c r="STD19" s="1634"/>
      <c r="STE19" s="1634"/>
      <c r="STF19" s="1634"/>
      <c r="STG19" s="1634"/>
      <c r="STH19" s="1634"/>
      <c r="STI19" s="1634"/>
      <c r="STJ19" s="1634"/>
      <c r="STK19" s="1634"/>
      <c r="STL19" s="1634"/>
      <c r="STM19" s="1634"/>
      <c r="STN19" s="1634"/>
      <c r="STO19" s="1634"/>
      <c r="STP19" s="1634"/>
      <c r="STQ19" s="1634"/>
      <c r="STR19" s="1634"/>
      <c r="STS19" s="1634"/>
      <c r="STT19" s="1634"/>
      <c r="STU19" s="1634"/>
      <c r="STV19" s="1634"/>
      <c r="STW19" s="1634"/>
      <c r="STX19" s="1634"/>
      <c r="STY19" s="1634"/>
      <c r="STZ19" s="1634"/>
      <c r="SUA19" s="1634"/>
      <c r="SUB19" s="1634"/>
      <c r="SUC19" s="1634"/>
      <c r="SUD19" s="1634"/>
      <c r="SUE19" s="1634"/>
      <c r="SUF19" s="1634"/>
      <c r="SUG19" s="1634"/>
      <c r="SUH19" s="1634"/>
      <c r="SUI19" s="1634"/>
      <c r="SUJ19" s="1634"/>
      <c r="SUK19" s="1634"/>
      <c r="SUL19" s="1634"/>
      <c r="SUM19" s="1634"/>
      <c r="SUN19" s="1634"/>
      <c r="SUO19" s="1634"/>
      <c r="SUP19" s="1634"/>
      <c r="SUQ19" s="1634"/>
      <c r="SUR19" s="1634"/>
      <c r="SUS19" s="1634"/>
      <c r="SUT19" s="1634"/>
      <c r="SUU19" s="1634"/>
      <c r="SUV19" s="1634"/>
      <c r="SUW19" s="1634"/>
      <c r="SUX19" s="1634"/>
      <c r="SUY19" s="1634"/>
      <c r="SUZ19" s="1634"/>
      <c r="SVA19" s="1634"/>
      <c r="SVB19" s="1634"/>
      <c r="SVC19" s="1634"/>
      <c r="SVD19" s="1634"/>
      <c r="SVE19" s="1634"/>
      <c r="SVF19" s="1634"/>
      <c r="SVG19" s="1634"/>
      <c r="SVH19" s="1634"/>
      <c r="SVI19" s="1634"/>
      <c r="SVJ19" s="1634"/>
      <c r="SVK19" s="1634"/>
      <c r="SVL19" s="1634"/>
      <c r="SVM19" s="1634"/>
      <c r="SVN19" s="1634"/>
      <c r="SVO19" s="1634"/>
      <c r="SVP19" s="1634"/>
      <c r="SVQ19" s="1634"/>
      <c r="SVR19" s="1634"/>
      <c r="SVS19" s="1634"/>
      <c r="SVT19" s="1634"/>
      <c r="SVU19" s="1634"/>
      <c r="SVV19" s="1634"/>
      <c r="SVW19" s="1634"/>
      <c r="SVX19" s="1634"/>
      <c r="SVY19" s="1634"/>
      <c r="SVZ19" s="1634"/>
      <c r="SWA19" s="1634"/>
      <c r="SWB19" s="1634"/>
      <c r="SWC19" s="1634"/>
      <c r="SWD19" s="1634"/>
      <c r="SWE19" s="1634"/>
      <c r="SWF19" s="1634"/>
      <c r="SWG19" s="1634"/>
      <c r="SWH19" s="1634"/>
      <c r="SWI19" s="1634"/>
      <c r="SWJ19" s="1634"/>
      <c r="SWK19" s="1634"/>
      <c r="SWL19" s="1634"/>
      <c r="SWM19" s="1634"/>
      <c r="SWN19" s="1634"/>
      <c r="SWO19" s="1634"/>
      <c r="SWP19" s="1634"/>
      <c r="SWQ19" s="1634"/>
      <c r="SWR19" s="1634"/>
      <c r="SWS19" s="1634"/>
      <c r="SWT19" s="1634"/>
      <c r="SWU19" s="1634"/>
      <c r="SWV19" s="1634"/>
      <c r="SWW19" s="1634"/>
      <c r="SWX19" s="1634"/>
      <c r="SWY19" s="1634"/>
      <c r="SWZ19" s="1634"/>
      <c r="SXA19" s="1634"/>
      <c r="SXB19" s="1634"/>
      <c r="SXC19" s="1634"/>
      <c r="SXD19" s="1634"/>
      <c r="SXE19" s="1634"/>
      <c r="SXF19" s="1634"/>
      <c r="SXG19" s="1634"/>
      <c r="SXH19" s="1634"/>
      <c r="SXI19" s="1634"/>
      <c r="SXJ19" s="1634"/>
      <c r="SXK19" s="1634"/>
      <c r="SXL19" s="1634"/>
      <c r="SXM19" s="1634"/>
      <c r="SXN19" s="1634"/>
      <c r="SXO19" s="1634"/>
      <c r="SXP19" s="1634"/>
      <c r="SXQ19" s="1634"/>
      <c r="SXR19" s="1634"/>
      <c r="SXS19" s="1634"/>
      <c r="SXT19" s="1634"/>
      <c r="SXU19" s="1634"/>
      <c r="SXV19" s="1634"/>
      <c r="SXW19" s="1634"/>
      <c r="SXX19" s="1634"/>
      <c r="SXY19" s="1634"/>
      <c r="SXZ19" s="1634"/>
      <c r="SYA19" s="1634"/>
      <c r="SYB19" s="1634"/>
      <c r="SYC19" s="1634"/>
      <c r="SYD19" s="1634"/>
      <c r="SYE19" s="1634"/>
      <c r="SYF19" s="1634"/>
      <c r="SYG19" s="1634"/>
      <c r="SYH19" s="1634"/>
      <c r="SYI19" s="1634"/>
      <c r="SYJ19" s="1634"/>
      <c r="SYK19" s="1634"/>
      <c r="SYL19" s="1634"/>
      <c r="SYM19" s="1634"/>
      <c r="SYN19" s="1634"/>
      <c r="SYO19" s="1634"/>
      <c r="SYP19" s="1634"/>
      <c r="SYQ19" s="1634"/>
      <c r="SYR19" s="1634"/>
      <c r="SYS19" s="1634"/>
      <c r="SYT19" s="1634"/>
      <c r="SYU19" s="1634"/>
      <c r="SYV19" s="1634"/>
      <c r="SYW19" s="1634"/>
      <c r="SYX19" s="1634"/>
      <c r="SYY19" s="1634"/>
      <c r="SYZ19" s="1634"/>
      <c r="SZA19" s="1634"/>
      <c r="SZB19" s="1634"/>
      <c r="SZC19" s="1634"/>
      <c r="SZD19" s="1634"/>
      <c r="SZE19" s="1634"/>
      <c r="SZF19" s="1634"/>
      <c r="SZG19" s="1634"/>
      <c r="SZH19" s="1634"/>
      <c r="SZI19" s="1634"/>
      <c r="SZJ19" s="1634"/>
      <c r="SZK19" s="1634"/>
      <c r="SZL19" s="1634"/>
      <c r="SZM19" s="1634"/>
      <c r="SZN19" s="1634"/>
      <c r="SZO19" s="1634"/>
      <c r="SZP19" s="1634"/>
      <c r="SZQ19" s="1634"/>
      <c r="SZR19" s="1634"/>
      <c r="SZS19" s="1634"/>
      <c r="SZT19" s="1634"/>
      <c r="SZU19" s="1634"/>
      <c r="SZV19" s="1634"/>
      <c r="SZW19" s="1634"/>
      <c r="SZX19" s="1634"/>
      <c r="SZY19" s="1634"/>
      <c r="SZZ19" s="1634"/>
      <c r="TAA19" s="1634"/>
      <c r="TAB19" s="1634"/>
      <c r="TAC19" s="1634"/>
      <c r="TAD19" s="1634"/>
      <c r="TAE19" s="1634"/>
      <c r="TAF19" s="1634"/>
      <c r="TAG19" s="1634"/>
      <c r="TAH19" s="1634"/>
      <c r="TAI19" s="1634"/>
      <c r="TAJ19" s="1634"/>
      <c r="TAK19" s="1634"/>
      <c r="TAL19" s="1634"/>
      <c r="TAM19" s="1634"/>
      <c r="TAN19" s="1634"/>
      <c r="TAO19" s="1634"/>
      <c r="TAP19" s="1634"/>
      <c r="TAQ19" s="1634"/>
      <c r="TAR19" s="1634"/>
      <c r="TAS19" s="1634"/>
      <c r="TAT19" s="1634"/>
      <c r="TAU19" s="1634"/>
      <c r="TAV19" s="1634"/>
      <c r="TAW19" s="1634"/>
      <c r="TAX19" s="1634"/>
      <c r="TAY19" s="1634"/>
      <c r="TAZ19" s="1634"/>
      <c r="TBA19" s="1634"/>
      <c r="TBB19" s="1634"/>
      <c r="TBC19" s="1634"/>
      <c r="TBD19" s="1634"/>
      <c r="TBE19" s="1634"/>
      <c r="TBF19" s="1634"/>
      <c r="TBG19" s="1634"/>
      <c r="TBH19" s="1634"/>
      <c r="TBI19" s="1634"/>
      <c r="TBJ19" s="1634"/>
      <c r="TBK19" s="1634"/>
      <c r="TBL19" s="1634"/>
      <c r="TBM19" s="1634"/>
      <c r="TBN19" s="1634"/>
      <c r="TBO19" s="1634"/>
      <c r="TBP19" s="1634"/>
      <c r="TBQ19" s="1634"/>
      <c r="TBR19" s="1634"/>
      <c r="TBS19" s="1634"/>
      <c r="TBT19" s="1634"/>
      <c r="TBU19" s="1634"/>
      <c r="TBV19" s="1634"/>
      <c r="TBW19" s="1634"/>
      <c r="TBX19" s="1634"/>
      <c r="TBY19" s="1634"/>
      <c r="TBZ19" s="1634"/>
      <c r="TCA19" s="1634"/>
      <c r="TCB19" s="1634"/>
      <c r="TCC19" s="1634"/>
      <c r="TCD19" s="1634"/>
      <c r="TCE19" s="1634"/>
      <c r="TCF19" s="1634"/>
      <c r="TCG19" s="1634"/>
      <c r="TCH19" s="1634"/>
      <c r="TCI19" s="1634"/>
      <c r="TCJ19" s="1634"/>
      <c r="TCK19" s="1634"/>
      <c r="TCL19" s="1634"/>
      <c r="TCM19" s="1634"/>
      <c r="TCN19" s="1634"/>
      <c r="TCO19" s="1634"/>
      <c r="TCP19" s="1634"/>
      <c r="TCQ19" s="1634"/>
      <c r="TCR19" s="1634"/>
      <c r="TCS19" s="1634"/>
      <c r="TCT19" s="1634"/>
      <c r="TCU19" s="1634"/>
      <c r="TCV19" s="1634"/>
      <c r="TCW19" s="1634"/>
      <c r="TCX19" s="1634"/>
      <c r="TCY19" s="1634"/>
      <c r="TCZ19" s="1634"/>
      <c r="TDA19" s="1634"/>
      <c r="TDB19" s="1634"/>
      <c r="TDC19" s="1634"/>
      <c r="TDD19" s="1634"/>
      <c r="TDE19" s="1634"/>
      <c r="TDF19" s="1634"/>
      <c r="TDG19" s="1634"/>
      <c r="TDH19" s="1634"/>
      <c r="TDI19" s="1634"/>
      <c r="TDJ19" s="1634"/>
      <c r="TDK19" s="1634"/>
      <c r="TDL19" s="1634"/>
      <c r="TDM19" s="1634"/>
      <c r="TDN19" s="1634"/>
      <c r="TDO19" s="1634"/>
      <c r="TDP19" s="1634"/>
      <c r="TDQ19" s="1634"/>
      <c r="TDR19" s="1634"/>
      <c r="TDS19" s="1634"/>
      <c r="TDT19" s="1634"/>
      <c r="TDU19" s="1634"/>
      <c r="TDV19" s="1634"/>
      <c r="TDW19" s="1634"/>
      <c r="TDX19" s="1634"/>
      <c r="TDY19" s="1634"/>
      <c r="TDZ19" s="1634"/>
      <c r="TEA19" s="1634"/>
      <c r="TEB19" s="1634"/>
      <c r="TEC19" s="1634"/>
      <c r="TED19" s="1634"/>
      <c r="TEE19" s="1634"/>
      <c r="TEF19" s="1634"/>
      <c r="TEG19" s="1634"/>
      <c r="TEH19" s="1634"/>
      <c r="TEI19" s="1634"/>
      <c r="TEJ19" s="1634"/>
      <c r="TEK19" s="1634"/>
      <c r="TEL19" s="1634"/>
      <c r="TEM19" s="1634"/>
      <c r="TEN19" s="1634"/>
      <c r="TEO19" s="1634"/>
      <c r="TEP19" s="1634"/>
      <c r="TEQ19" s="1634"/>
      <c r="TER19" s="1634"/>
      <c r="TES19" s="1634"/>
      <c r="TET19" s="1634"/>
      <c r="TEU19" s="1634"/>
      <c r="TEV19" s="1634"/>
      <c r="TEW19" s="1634"/>
      <c r="TEX19" s="1634"/>
      <c r="TEY19" s="1634"/>
      <c r="TEZ19" s="1634"/>
      <c r="TFA19" s="1634"/>
      <c r="TFB19" s="1634"/>
      <c r="TFC19" s="1634"/>
      <c r="TFD19" s="1634"/>
      <c r="TFE19" s="1634"/>
      <c r="TFF19" s="1634"/>
      <c r="TFG19" s="1634"/>
      <c r="TFH19" s="1634"/>
      <c r="TFI19" s="1634"/>
      <c r="TFJ19" s="1634"/>
      <c r="TFK19" s="1634"/>
      <c r="TFL19" s="1634"/>
      <c r="TFM19" s="1634"/>
      <c r="TFN19" s="1634"/>
      <c r="TFO19" s="1634"/>
      <c r="TFP19" s="1634"/>
      <c r="TFQ19" s="1634"/>
      <c r="TFR19" s="1634"/>
      <c r="TFS19" s="1634"/>
      <c r="TFT19" s="1634"/>
      <c r="TFU19" s="1634"/>
      <c r="TFV19" s="1634"/>
      <c r="TFW19" s="1634"/>
      <c r="TFX19" s="1634"/>
      <c r="TFY19" s="1634"/>
      <c r="TFZ19" s="1634"/>
      <c r="TGA19" s="1634"/>
      <c r="TGB19" s="1634"/>
      <c r="TGC19" s="1634"/>
      <c r="TGD19" s="1634"/>
      <c r="TGE19" s="1634"/>
      <c r="TGF19" s="1634"/>
      <c r="TGG19" s="1634"/>
      <c r="TGH19" s="1634"/>
      <c r="TGI19" s="1634"/>
      <c r="TGJ19" s="1634"/>
      <c r="TGK19" s="1634"/>
      <c r="TGL19" s="1634"/>
      <c r="TGM19" s="1634"/>
      <c r="TGN19" s="1634"/>
      <c r="TGO19" s="1634"/>
      <c r="TGP19" s="1634"/>
      <c r="TGQ19" s="1634"/>
      <c r="TGR19" s="1634"/>
      <c r="TGS19" s="1634"/>
      <c r="TGT19" s="1634"/>
      <c r="TGU19" s="1634"/>
      <c r="TGV19" s="1634"/>
      <c r="TGW19" s="1634"/>
      <c r="TGX19" s="1634"/>
      <c r="TGY19" s="1634"/>
      <c r="TGZ19" s="1634"/>
      <c r="THA19" s="1634"/>
      <c r="THB19" s="1634"/>
      <c r="THC19" s="1634"/>
      <c r="THD19" s="1634"/>
      <c r="THE19" s="1634"/>
      <c r="THF19" s="1634"/>
      <c r="THG19" s="1634"/>
      <c r="THH19" s="1634"/>
      <c r="THI19" s="1634"/>
      <c r="THJ19" s="1634"/>
      <c r="THK19" s="1634"/>
      <c r="THL19" s="1634"/>
      <c r="THM19" s="1634"/>
      <c r="THN19" s="1634"/>
      <c r="THO19" s="1634"/>
      <c r="THP19" s="1634"/>
      <c r="THQ19" s="1634"/>
      <c r="THR19" s="1634"/>
      <c r="THS19" s="1634"/>
      <c r="THT19" s="1634"/>
      <c r="THU19" s="1634"/>
      <c r="THV19" s="1634"/>
      <c r="THW19" s="1634"/>
      <c r="THX19" s="1634"/>
      <c r="THY19" s="1634"/>
      <c r="THZ19" s="1634"/>
      <c r="TIA19" s="1634"/>
      <c r="TIB19" s="1634"/>
      <c r="TIC19" s="1634"/>
      <c r="TID19" s="1634"/>
      <c r="TIE19" s="1634"/>
      <c r="TIF19" s="1634"/>
      <c r="TIG19" s="1634"/>
      <c r="TIH19" s="1634"/>
      <c r="TII19" s="1634"/>
      <c r="TIJ19" s="1634"/>
      <c r="TIK19" s="1634"/>
      <c r="TIL19" s="1634"/>
      <c r="TIM19" s="1634"/>
      <c r="TIN19" s="1634"/>
      <c r="TIO19" s="1634"/>
      <c r="TIP19" s="1634"/>
      <c r="TIQ19" s="1634"/>
      <c r="TIR19" s="1634"/>
      <c r="TIS19" s="1634"/>
      <c r="TIT19" s="1634"/>
      <c r="TIU19" s="1634"/>
      <c r="TIV19" s="1634"/>
      <c r="TIW19" s="1634"/>
      <c r="TIX19" s="1634"/>
      <c r="TIY19" s="1634"/>
      <c r="TIZ19" s="1634"/>
      <c r="TJA19" s="1634"/>
      <c r="TJB19" s="1634"/>
      <c r="TJC19" s="1634"/>
      <c r="TJD19" s="1634"/>
      <c r="TJE19" s="1634"/>
      <c r="TJF19" s="1634"/>
      <c r="TJG19" s="1634"/>
      <c r="TJH19" s="1634"/>
      <c r="TJI19" s="1634"/>
      <c r="TJJ19" s="1634"/>
      <c r="TJK19" s="1634"/>
      <c r="TJL19" s="1634"/>
      <c r="TJM19" s="1634"/>
      <c r="TJN19" s="1634"/>
      <c r="TJO19" s="1634"/>
      <c r="TJP19" s="1634"/>
      <c r="TJQ19" s="1634"/>
      <c r="TJR19" s="1634"/>
      <c r="TJS19" s="1634"/>
      <c r="TJT19" s="1634"/>
      <c r="TJU19" s="1634"/>
      <c r="TJV19" s="1634"/>
      <c r="TJW19" s="1634"/>
      <c r="TJX19" s="1634"/>
      <c r="TJY19" s="1634"/>
      <c r="TJZ19" s="1634"/>
      <c r="TKA19" s="1634"/>
      <c r="TKB19" s="1634"/>
      <c r="TKC19" s="1634"/>
      <c r="TKD19" s="1634"/>
      <c r="TKE19" s="1634"/>
      <c r="TKF19" s="1634"/>
      <c r="TKG19" s="1634"/>
      <c r="TKH19" s="1634"/>
      <c r="TKI19" s="1634"/>
      <c r="TKJ19" s="1634"/>
      <c r="TKK19" s="1634"/>
      <c r="TKL19" s="1634"/>
      <c r="TKM19" s="1634"/>
      <c r="TKN19" s="1634"/>
      <c r="TKO19" s="1634"/>
      <c r="TKP19" s="1634"/>
      <c r="TKQ19" s="1634"/>
      <c r="TKR19" s="1634"/>
      <c r="TKS19" s="1634"/>
      <c r="TKT19" s="1634"/>
      <c r="TKU19" s="1634"/>
      <c r="TKV19" s="1634"/>
      <c r="TKW19" s="1634"/>
      <c r="TKX19" s="1634"/>
      <c r="TKY19" s="1634"/>
      <c r="TKZ19" s="1634"/>
      <c r="TLA19" s="1634"/>
      <c r="TLB19" s="1634"/>
      <c r="TLC19" s="1634"/>
      <c r="TLD19" s="1634"/>
      <c r="TLE19" s="1634"/>
      <c r="TLF19" s="1634"/>
      <c r="TLG19" s="1634"/>
      <c r="TLH19" s="1634"/>
      <c r="TLI19" s="1634"/>
      <c r="TLJ19" s="1634"/>
      <c r="TLK19" s="1634"/>
      <c r="TLL19" s="1634"/>
      <c r="TLM19" s="1634"/>
      <c r="TLN19" s="1634"/>
      <c r="TLO19" s="1634"/>
      <c r="TLP19" s="1634"/>
      <c r="TLQ19" s="1634"/>
      <c r="TLR19" s="1634"/>
      <c r="TLS19" s="1634"/>
      <c r="TLT19" s="1634"/>
      <c r="TLU19" s="1634"/>
      <c r="TLV19" s="1634"/>
      <c r="TLW19" s="1634"/>
      <c r="TLX19" s="1634"/>
      <c r="TLY19" s="1634"/>
      <c r="TLZ19" s="1634"/>
      <c r="TMA19" s="1634"/>
      <c r="TMB19" s="1634"/>
      <c r="TMC19" s="1634"/>
      <c r="TMD19" s="1634"/>
      <c r="TME19" s="1634"/>
      <c r="TMF19" s="1634"/>
      <c r="TMG19" s="1634"/>
      <c r="TMH19" s="1634"/>
      <c r="TMI19" s="1634"/>
      <c r="TMJ19" s="1634"/>
      <c r="TMK19" s="1634"/>
      <c r="TML19" s="1634"/>
      <c r="TMM19" s="1634"/>
      <c r="TMN19" s="1634"/>
      <c r="TMO19" s="1634"/>
      <c r="TMP19" s="1634"/>
      <c r="TMQ19" s="1634"/>
      <c r="TMR19" s="1634"/>
      <c r="TMS19" s="1634"/>
      <c r="TMT19" s="1634"/>
      <c r="TMU19" s="1634"/>
      <c r="TMV19" s="1634"/>
      <c r="TMW19" s="1634"/>
      <c r="TMX19" s="1634"/>
      <c r="TMY19" s="1634"/>
      <c r="TMZ19" s="1634"/>
      <c r="TNA19" s="1634"/>
      <c r="TNB19" s="1634"/>
      <c r="TNC19" s="1634"/>
      <c r="TND19" s="1634"/>
      <c r="TNE19" s="1634"/>
      <c r="TNF19" s="1634"/>
      <c r="TNG19" s="1634"/>
      <c r="TNH19" s="1634"/>
      <c r="TNI19" s="1634"/>
      <c r="TNJ19" s="1634"/>
      <c r="TNK19" s="1634"/>
      <c r="TNL19" s="1634"/>
      <c r="TNM19" s="1634"/>
      <c r="TNN19" s="1634"/>
      <c r="TNO19" s="1634"/>
      <c r="TNP19" s="1634"/>
      <c r="TNQ19" s="1634"/>
      <c r="TNR19" s="1634"/>
      <c r="TNS19" s="1634"/>
      <c r="TNT19" s="1634"/>
      <c r="TNU19" s="1634"/>
      <c r="TNV19" s="1634"/>
      <c r="TNW19" s="1634"/>
      <c r="TNX19" s="1634"/>
      <c r="TNY19" s="1634"/>
      <c r="TNZ19" s="1634"/>
      <c r="TOA19" s="1634"/>
      <c r="TOB19" s="1634"/>
      <c r="TOC19" s="1634"/>
      <c r="TOD19" s="1634"/>
      <c r="TOE19" s="1634"/>
      <c r="TOF19" s="1634"/>
      <c r="TOG19" s="1634"/>
      <c r="TOH19" s="1634"/>
      <c r="TOI19" s="1634"/>
      <c r="TOJ19" s="1634"/>
      <c r="TOK19" s="1634"/>
      <c r="TOL19" s="1634"/>
      <c r="TOM19" s="1634"/>
      <c r="TON19" s="1634"/>
      <c r="TOO19" s="1634"/>
      <c r="TOP19" s="1634"/>
      <c r="TOQ19" s="1634"/>
      <c r="TOR19" s="1634"/>
      <c r="TOS19" s="1634"/>
      <c r="TOT19" s="1634"/>
      <c r="TOU19" s="1634"/>
      <c r="TOV19" s="1634"/>
      <c r="TOW19" s="1634"/>
      <c r="TOX19" s="1634"/>
      <c r="TOY19" s="1634"/>
      <c r="TOZ19" s="1634"/>
      <c r="TPA19" s="1634"/>
      <c r="TPB19" s="1634"/>
      <c r="TPC19" s="1634"/>
      <c r="TPD19" s="1634"/>
      <c r="TPE19" s="1634"/>
      <c r="TPF19" s="1634"/>
      <c r="TPG19" s="1634"/>
      <c r="TPH19" s="1634"/>
      <c r="TPI19" s="1634"/>
      <c r="TPJ19" s="1634"/>
      <c r="TPK19" s="1634"/>
      <c r="TPL19" s="1634"/>
      <c r="TPM19" s="1634"/>
      <c r="TPN19" s="1634"/>
      <c r="TPO19" s="1634"/>
      <c r="TPP19" s="1634"/>
      <c r="TPQ19" s="1634"/>
      <c r="TPR19" s="1634"/>
      <c r="TPS19" s="1634"/>
      <c r="TPT19" s="1634"/>
      <c r="TPU19" s="1634"/>
      <c r="TPV19" s="1634"/>
      <c r="TPW19" s="1634"/>
      <c r="TPX19" s="1634"/>
      <c r="TPY19" s="1634"/>
      <c r="TPZ19" s="1634"/>
      <c r="TQA19" s="1634"/>
      <c r="TQB19" s="1634"/>
      <c r="TQC19" s="1634"/>
      <c r="TQD19" s="1634"/>
      <c r="TQE19" s="1634"/>
      <c r="TQF19" s="1634"/>
      <c r="TQG19" s="1634"/>
      <c r="TQH19" s="1634"/>
      <c r="TQI19" s="1634"/>
      <c r="TQJ19" s="1634"/>
      <c r="TQK19" s="1634"/>
      <c r="TQL19" s="1634"/>
      <c r="TQM19" s="1634"/>
      <c r="TQN19" s="1634"/>
      <c r="TQO19" s="1634"/>
      <c r="TQP19" s="1634"/>
      <c r="TQQ19" s="1634"/>
      <c r="TQR19" s="1634"/>
      <c r="TQS19" s="1634"/>
      <c r="TQT19" s="1634"/>
      <c r="TQU19" s="1634"/>
      <c r="TQV19" s="1634"/>
      <c r="TQW19" s="1634"/>
      <c r="TQX19" s="1634"/>
      <c r="TQY19" s="1634"/>
      <c r="TQZ19" s="1634"/>
      <c r="TRA19" s="1634"/>
      <c r="TRB19" s="1634"/>
      <c r="TRC19" s="1634"/>
      <c r="TRD19" s="1634"/>
      <c r="TRE19" s="1634"/>
      <c r="TRF19" s="1634"/>
      <c r="TRG19" s="1634"/>
      <c r="TRH19" s="1634"/>
      <c r="TRI19" s="1634"/>
      <c r="TRJ19" s="1634"/>
      <c r="TRK19" s="1634"/>
      <c r="TRL19" s="1634"/>
      <c r="TRM19" s="1634"/>
      <c r="TRN19" s="1634"/>
      <c r="TRO19" s="1634"/>
      <c r="TRP19" s="1634"/>
      <c r="TRQ19" s="1634"/>
      <c r="TRR19" s="1634"/>
      <c r="TRS19" s="1634"/>
      <c r="TRT19" s="1634"/>
      <c r="TRU19" s="1634"/>
      <c r="TRV19" s="1634"/>
      <c r="TRW19" s="1634"/>
      <c r="TRX19" s="1634"/>
      <c r="TRY19" s="1634"/>
      <c r="TRZ19" s="1634"/>
      <c r="TSA19" s="1634"/>
      <c r="TSB19" s="1634"/>
      <c r="TSC19" s="1634"/>
      <c r="TSD19" s="1634"/>
      <c r="TSE19" s="1634"/>
      <c r="TSF19" s="1634"/>
      <c r="TSG19" s="1634"/>
      <c r="TSH19" s="1634"/>
      <c r="TSI19" s="1634"/>
      <c r="TSJ19" s="1634"/>
      <c r="TSK19" s="1634"/>
      <c r="TSL19" s="1634"/>
      <c r="TSM19" s="1634"/>
      <c r="TSN19" s="1634"/>
      <c r="TSO19" s="1634"/>
      <c r="TSP19" s="1634"/>
      <c r="TSQ19" s="1634"/>
      <c r="TSR19" s="1634"/>
      <c r="TSS19" s="1634"/>
      <c r="TST19" s="1634"/>
      <c r="TSU19" s="1634"/>
      <c r="TSV19" s="1634"/>
      <c r="TSW19" s="1634"/>
      <c r="TSX19" s="1634"/>
      <c r="TSY19" s="1634"/>
      <c r="TSZ19" s="1634"/>
      <c r="TTA19" s="1634"/>
      <c r="TTB19" s="1634"/>
      <c r="TTC19" s="1634"/>
      <c r="TTD19" s="1634"/>
      <c r="TTE19" s="1634"/>
      <c r="TTF19" s="1634"/>
      <c r="TTG19" s="1634"/>
      <c r="TTH19" s="1634"/>
      <c r="TTI19" s="1634"/>
      <c r="TTJ19" s="1634"/>
      <c r="TTK19" s="1634"/>
      <c r="TTL19" s="1634"/>
      <c r="TTM19" s="1634"/>
      <c r="TTN19" s="1634"/>
      <c r="TTO19" s="1634"/>
      <c r="TTP19" s="1634"/>
      <c r="TTQ19" s="1634"/>
      <c r="TTR19" s="1634"/>
      <c r="TTS19" s="1634"/>
      <c r="TTT19" s="1634"/>
      <c r="TTU19" s="1634"/>
      <c r="TTV19" s="1634"/>
      <c r="TTW19" s="1634"/>
      <c r="TTX19" s="1634"/>
      <c r="TTY19" s="1634"/>
      <c r="TTZ19" s="1634"/>
      <c r="TUA19" s="1634"/>
      <c r="TUB19" s="1634"/>
      <c r="TUC19" s="1634"/>
      <c r="TUD19" s="1634"/>
      <c r="TUE19" s="1634"/>
      <c r="TUF19" s="1634"/>
      <c r="TUG19" s="1634"/>
      <c r="TUH19" s="1634"/>
      <c r="TUI19" s="1634"/>
      <c r="TUJ19" s="1634"/>
      <c r="TUK19" s="1634"/>
      <c r="TUL19" s="1634"/>
      <c r="TUM19" s="1634"/>
      <c r="TUN19" s="1634"/>
      <c r="TUO19" s="1634"/>
      <c r="TUP19" s="1634"/>
      <c r="TUQ19" s="1634"/>
      <c r="TUR19" s="1634"/>
      <c r="TUS19" s="1634"/>
      <c r="TUT19" s="1634"/>
      <c r="TUU19" s="1634"/>
      <c r="TUV19" s="1634"/>
      <c r="TUW19" s="1634"/>
      <c r="TUX19" s="1634"/>
      <c r="TUY19" s="1634"/>
      <c r="TUZ19" s="1634"/>
      <c r="TVA19" s="1634"/>
      <c r="TVB19" s="1634"/>
      <c r="TVC19" s="1634"/>
      <c r="TVD19" s="1634"/>
      <c r="TVE19" s="1634"/>
      <c r="TVF19" s="1634"/>
      <c r="TVG19" s="1634"/>
      <c r="TVH19" s="1634"/>
      <c r="TVI19" s="1634"/>
      <c r="TVJ19" s="1634"/>
      <c r="TVK19" s="1634"/>
      <c r="TVL19" s="1634"/>
      <c r="TVM19" s="1634"/>
      <c r="TVN19" s="1634"/>
      <c r="TVO19" s="1634"/>
      <c r="TVP19" s="1634"/>
      <c r="TVQ19" s="1634"/>
      <c r="TVR19" s="1634"/>
      <c r="TVS19" s="1634"/>
      <c r="TVT19" s="1634"/>
      <c r="TVU19" s="1634"/>
      <c r="TVV19" s="1634"/>
      <c r="TVW19" s="1634"/>
      <c r="TVX19" s="1634"/>
      <c r="TVY19" s="1634"/>
      <c r="TVZ19" s="1634"/>
      <c r="TWA19" s="1634"/>
      <c r="TWB19" s="1634"/>
      <c r="TWC19" s="1634"/>
      <c r="TWD19" s="1634"/>
      <c r="TWE19" s="1634"/>
      <c r="TWF19" s="1634"/>
      <c r="TWG19" s="1634"/>
      <c r="TWH19" s="1634"/>
      <c r="TWI19" s="1634"/>
      <c r="TWJ19" s="1634"/>
      <c r="TWK19" s="1634"/>
      <c r="TWL19" s="1634"/>
      <c r="TWM19" s="1634"/>
      <c r="TWN19" s="1634"/>
      <c r="TWO19" s="1634"/>
      <c r="TWP19" s="1634"/>
      <c r="TWQ19" s="1634"/>
      <c r="TWR19" s="1634"/>
      <c r="TWS19" s="1634"/>
      <c r="TWT19" s="1634"/>
      <c r="TWU19" s="1634"/>
      <c r="TWV19" s="1634"/>
      <c r="TWW19" s="1634"/>
      <c r="TWX19" s="1634"/>
      <c r="TWY19" s="1634"/>
      <c r="TWZ19" s="1634"/>
      <c r="TXA19" s="1634"/>
      <c r="TXB19" s="1634"/>
      <c r="TXC19" s="1634"/>
      <c r="TXD19" s="1634"/>
      <c r="TXE19" s="1634"/>
      <c r="TXF19" s="1634"/>
      <c r="TXG19" s="1634"/>
      <c r="TXH19" s="1634"/>
      <c r="TXI19" s="1634"/>
      <c r="TXJ19" s="1634"/>
      <c r="TXK19" s="1634"/>
      <c r="TXL19" s="1634"/>
      <c r="TXM19" s="1634"/>
      <c r="TXN19" s="1634"/>
      <c r="TXO19" s="1634"/>
      <c r="TXP19" s="1634"/>
      <c r="TXQ19" s="1634"/>
      <c r="TXR19" s="1634"/>
      <c r="TXS19" s="1634"/>
      <c r="TXT19" s="1634"/>
      <c r="TXU19" s="1634"/>
      <c r="TXV19" s="1634"/>
      <c r="TXW19" s="1634"/>
      <c r="TXX19" s="1634"/>
      <c r="TXY19" s="1634"/>
      <c r="TXZ19" s="1634"/>
      <c r="TYA19" s="1634"/>
      <c r="TYB19" s="1634"/>
      <c r="TYC19" s="1634"/>
      <c r="TYD19" s="1634"/>
      <c r="TYE19" s="1634"/>
      <c r="TYF19" s="1634"/>
      <c r="TYG19" s="1634"/>
      <c r="TYH19" s="1634"/>
      <c r="TYI19" s="1634"/>
      <c r="TYJ19" s="1634"/>
      <c r="TYK19" s="1634"/>
      <c r="TYL19" s="1634"/>
      <c r="TYM19" s="1634"/>
      <c r="TYN19" s="1634"/>
      <c r="TYO19" s="1634"/>
      <c r="TYP19" s="1634"/>
      <c r="TYQ19" s="1634"/>
      <c r="TYR19" s="1634"/>
      <c r="TYS19" s="1634"/>
      <c r="TYT19" s="1634"/>
      <c r="TYU19" s="1634"/>
      <c r="TYV19" s="1634"/>
      <c r="TYW19" s="1634"/>
      <c r="TYX19" s="1634"/>
      <c r="TYY19" s="1634"/>
      <c r="TYZ19" s="1634"/>
      <c r="TZA19" s="1634"/>
      <c r="TZB19" s="1634"/>
      <c r="TZC19" s="1634"/>
      <c r="TZD19" s="1634"/>
      <c r="TZE19" s="1634"/>
      <c r="TZF19" s="1634"/>
      <c r="TZG19" s="1634"/>
      <c r="TZH19" s="1634"/>
      <c r="TZI19" s="1634"/>
      <c r="TZJ19" s="1634"/>
      <c r="TZK19" s="1634"/>
      <c r="TZL19" s="1634"/>
      <c r="TZM19" s="1634"/>
      <c r="TZN19" s="1634"/>
      <c r="TZO19" s="1634"/>
      <c r="TZP19" s="1634"/>
      <c r="TZQ19" s="1634"/>
      <c r="TZR19" s="1634"/>
      <c r="TZS19" s="1634"/>
      <c r="TZT19" s="1634"/>
      <c r="TZU19" s="1634"/>
      <c r="TZV19" s="1634"/>
      <c r="TZW19" s="1634"/>
      <c r="TZX19" s="1634"/>
      <c r="TZY19" s="1634"/>
      <c r="TZZ19" s="1634"/>
      <c r="UAA19" s="1634"/>
      <c r="UAB19" s="1634"/>
      <c r="UAC19" s="1634"/>
      <c r="UAD19" s="1634"/>
      <c r="UAE19" s="1634"/>
      <c r="UAF19" s="1634"/>
      <c r="UAG19" s="1634"/>
      <c r="UAH19" s="1634"/>
      <c r="UAI19" s="1634"/>
      <c r="UAJ19" s="1634"/>
      <c r="UAK19" s="1634"/>
      <c r="UAL19" s="1634"/>
      <c r="UAM19" s="1634"/>
      <c r="UAN19" s="1634"/>
      <c r="UAO19" s="1634"/>
      <c r="UAP19" s="1634"/>
      <c r="UAQ19" s="1634"/>
      <c r="UAR19" s="1634"/>
      <c r="UAS19" s="1634"/>
      <c r="UAT19" s="1634"/>
      <c r="UAU19" s="1634"/>
      <c r="UAV19" s="1634"/>
      <c r="UAW19" s="1634"/>
      <c r="UAX19" s="1634"/>
      <c r="UAY19" s="1634"/>
      <c r="UAZ19" s="1634"/>
      <c r="UBA19" s="1634"/>
      <c r="UBB19" s="1634"/>
      <c r="UBC19" s="1634"/>
      <c r="UBD19" s="1634"/>
      <c r="UBE19" s="1634"/>
      <c r="UBF19" s="1634"/>
      <c r="UBG19" s="1634"/>
      <c r="UBH19" s="1634"/>
      <c r="UBI19" s="1634"/>
      <c r="UBJ19" s="1634"/>
      <c r="UBK19" s="1634"/>
      <c r="UBL19" s="1634"/>
      <c r="UBM19" s="1634"/>
      <c r="UBN19" s="1634"/>
      <c r="UBO19" s="1634"/>
      <c r="UBP19" s="1634"/>
      <c r="UBQ19" s="1634"/>
      <c r="UBR19" s="1634"/>
      <c r="UBS19" s="1634"/>
      <c r="UBT19" s="1634"/>
      <c r="UBU19" s="1634"/>
      <c r="UBV19" s="1634"/>
      <c r="UBW19" s="1634"/>
      <c r="UBX19" s="1634"/>
      <c r="UBY19" s="1634"/>
      <c r="UBZ19" s="1634"/>
      <c r="UCA19" s="1634"/>
      <c r="UCB19" s="1634"/>
      <c r="UCC19" s="1634"/>
      <c r="UCD19" s="1634"/>
      <c r="UCE19" s="1634"/>
      <c r="UCF19" s="1634"/>
      <c r="UCG19" s="1634"/>
      <c r="UCH19" s="1634"/>
      <c r="UCI19" s="1634"/>
      <c r="UCJ19" s="1634"/>
      <c r="UCK19" s="1634"/>
      <c r="UCL19" s="1634"/>
      <c r="UCM19" s="1634"/>
      <c r="UCN19" s="1634"/>
      <c r="UCO19" s="1634"/>
      <c r="UCP19" s="1634"/>
      <c r="UCQ19" s="1634"/>
      <c r="UCR19" s="1634"/>
      <c r="UCS19" s="1634"/>
      <c r="UCT19" s="1634"/>
      <c r="UCU19" s="1634"/>
      <c r="UCV19" s="1634"/>
      <c r="UCW19" s="1634"/>
      <c r="UCX19" s="1634"/>
      <c r="UCY19" s="1634"/>
      <c r="UCZ19" s="1634"/>
      <c r="UDA19" s="1634"/>
      <c r="UDB19" s="1634"/>
      <c r="UDC19" s="1634"/>
      <c r="UDD19" s="1634"/>
      <c r="UDE19" s="1634"/>
      <c r="UDF19" s="1634"/>
      <c r="UDG19" s="1634"/>
      <c r="UDH19" s="1634"/>
      <c r="UDI19" s="1634"/>
      <c r="UDJ19" s="1634"/>
      <c r="UDK19" s="1634"/>
      <c r="UDL19" s="1634"/>
      <c r="UDM19" s="1634"/>
      <c r="UDN19" s="1634"/>
      <c r="UDO19" s="1634"/>
      <c r="UDP19" s="1634"/>
      <c r="UDQ19" s="1634"/>
      <c r="UDR19" s="1634"/>
      <c r="UDS19" s="1634"/>
      <c r="UDT19" s="1634"/>
      <c r="UDU19" s="1634"/>
      <c r="UDV19" s="1634"/>
      <c r="UDW19" s="1634"/>
      <c r="UDX19" s="1634"/>
      <c r="UDY19" s="1634"/>
      <c r="UDZ19" s="1634"/>
      <c r="UEA19" s="1634"/>
      <c r="UEB19" s="1634"/>
      <c r="UEC19" s="1634"/>
      <c r="UED19" s="1634"/>
      <c r="UEE19" s="1634"/>
      <c r="UEF19" s="1634"/>
      <c r="UEG19" s="1634"/>
      <c r="UEH19" s="1634"/>
      <c r="UEI19" s="1634"/>
      <c r="UEJ19" s="1634"/>
      <c r="UEK19" s="1634"/>
      <c r="UEL19" s="1634"/>
      <c r="UEM19" s="1634"/>
      <c r="UEN19" s="1634"/>
      <c r="UEO19" s="1634"/>
      <c r="UEP19" s="1634"/>
      <c r="UEQ19" s="1634"/>
      <c r="UER19" s="1634"/>
      <c r="UES19" s="1634"/>
      <c r="UET19" s="1634"/>
      <c r="UEU19" s="1634"/>
      <c r="UEV19" s="1634"/>
      <c r="UEW19" s="1634"/>
      <c r="UEX19" s="1634"/>
      <c r="UEY19" s="1634"/>
      <c r="UEZ19" s="1634"/>
      <c r="UFA19" s="1634"/>
      <c r="UFB19" s="1634"/>
      <c r="UFC19" s="1634"/>
      <c r="UFD19" s="1634"/>
      <c r="UFE19" s="1634"/>
      <c r="UFF19" s="1634"/>
      <c r="UFG19" s="1634"/>
      <c r="UFH19" s="1634"/>
      <c r="UFI19" s="1634"/>
      <c r="UFJ19" s="1634"/>
      <c r="UFK19" s="1634"/>
      <c r="UFL19" s="1634"/>
      <c r="UFM19" s="1634"/>
      <c r="UFN19" s="1634"/>
      <c r="UFO19" s="1634"/>
      <c r="UFP19" s="1634"/>
      <c r="UFQ19" s="1634"/>
      <c r="UFR19" s="1634"/>
      <c r="UFS19" s="1634"/>
      <c r="UFT19" s="1634"/>
      <c r="UFU19" s="1634"/>
      <c r="UFV19" s="1634"/>
      <c r="UFW19" s="1634"/>
      <c r="UFX19" s="1634"/>
      <c r="UFY19" s="1634"/>
      <c r="UFZ19" s="1634"/>
      <c r="UGA19" s="1634"/>
      <c r="UGB19" s="1634"/>
      <c r="UGC19" s="1634"/>
      <c r="UGD19" s="1634"/>
      <c r="UGE19" s="1634"/>
      <c r="UGF19" s="1634"/>
      <c r="UGG19" s="1634"/>
      <c r="UGH19" s="1634"/>
      <c r="UGI19" s="1634"/>
      <c r="UGJ19" s="1634"/>
      <c r="UGK19" s="1634"/>
      <c r="UGL19" s="1634"/>
      <c r="UGM19" s="1634"/>
      <c r="UGN19" s="1634"/>
      <c r="UGO19" s="1634"/>
      <c r="UGP19" s="1634"/>
      <c r="UGQ19" s="1634"/>
      <c r="UGR19" s="1634"/>
      <c r="UGS19" s="1634"/>
      <c r="UGT19" s="1634"/>
      <c r="UGU19" s="1634"/>
      <c r="UGV19" s="1634"/>
      <c r="UGW19" s="1634"/>
      <c r="UGX19" s="1634"/>
      <c r="UGY19" s="1634"/>
      <c r="UGZ19" s="1634"/>
      <c r="UHA19" s="1634"/>
      <c r="UHB19" s="1634"/>
      <c r="UHC19" s="1634"/>
      <c r="UHD19" s="1634"/>
      <c r="UHE19" s="1634"/>
      <c r="UHF19" s="1634"/>
      <c r="UHG19" s="1634"/>
      <c r="UHH19" s="1634"/>
      <c r="UHI19" s="1634"/>
      <c r="UHJ19" s="1634"/>
      <c r="UHK19" s="1634"/>
      <c r="UHL19" s="1634"/>
      <c r="UHM19" s="1634"/>
      <c r="UHN19" s="1634"/>
      <c r="UHO19" s="1634"/>
      <c r="UHP19" s="1634"/>
      <c r="UHQ19" s="1634"/>
      <c r="UHR19" s="1634"/>
      <c r="UHS19" s="1634"/>
      <c r="UHT19" s="1634"/>
      <c r="UHU19" s="1634"/>
      <c r="UHV19" s="1634"/>
      <c r="UHW19" s="1634"/>
      <c r="UHX19" s="1634"/>
      <c r="UHY19" s="1634"/>
      <c r="UHZ19" s="1634"/>
      <c r="UIA19" s="1634"/>
      <c r="UIB19" s="1634"/>
      <c r="UIC19" s="1634"/>
      <c r="UID19" s="1634"/>
      <c r="UIE19" s="1634"/>
      <c r="UIF19" s="1634"/>
      <c r="UIG19" s="1634"/>
      <c r="UIH19" s="1634"/>
      <c r="UII19" s="1634"/>
      <c r="UIJ19" s="1634"/>
      <c r="UIK19" s="1634"/>
      <c r="UIL19" s="1634"/>
      <c r="UIM19" s="1634"/>
      <c r="UIN19" s="1634"/>
      <c r="UIO19" s="1634"/>
      <c r="UIP19" s="1634"/>
      <c r="UIQ19" s="1634"/>
      <c r="UIR19" s="1634"/>
      <c r="UIS19" s="1634"/>
      <c r="UIT19" s="1634"/>
      <c r="UIU19" s="1634"/>
      <c r="UIV19" s="1634"/>
      <c r="UIW19" s="1634"/>
      <c r="UIX19" s="1634"/>
      <c r="UIY19" s="1634"/>
      <c r="UIZ19" s="1634"/>
      <c r="UJA19" s="1634"/>
      <c r="UJB19" s="1634"/>
      <c r="UJC19" s="1634"/>
      <c r="UJD19" s="1634"/>
      <c r="UJE19" s="1634"/>
      <c r="UJF19" s="1634"/>
      <c r="UJG19" s="1634"/>
      <c r="UJH19" s="1634"/>
      <c r="UJI19" s="1634"/>
      <c r="UJJ19" s="1634"/>
      <c r="UJK19" s="1634"/>
      <c r="UJL19" s="1634"/>
      <c r="UJM19" s="1634"/>
      <c r="UJN19" s="1634"/>
      <c r="UJO19" s="1634"/>
      <c r="UJP19" s="1634"/>
      <c r="UJQ19" s="1634"/>
      <c r="UJR19" s="1634"/>
      <c r="UJS19" s="1634"/>
      <c r="UJT19" s="1634"/>
      <c r="UJU19" s="1634"/>
      <c r="UJV19" s="1634"/>
      <c r="UJW19" s="1634"/>
      <c r="UJX19" s="1634"/>
      <c r="UJY19" s="1634"/>
      <c r="UJZ19" s="1634"/>
      <c r="UKA19" s="1634"/>
      <c r="UKB19" s="1634"/>
      <c r="UKC19" s="1634"/>
      <c r="UKD19" s="1634"/>
      <c r="UKE19" s="1634"/>
      <c r="UKF19" s="1634"/>
      <c r="UKG19" s="1634"/>
      <c r="UKH19" s="1634"/>
      <c r="UKI19" s="1634"/>
      <c r="UKJ19" s="1634"/>
      <c r="UKK19" s="1634"/>
      <c r="UKL19" s="1634"/>
      <c r="UKM19" s="1634"/>
      <c r="UKN19" s="1634"/>
      <c r="UKO19" s="1634"/>
      <c r="UKP19" s="1634"/>
      <c r="UKQ19" s="1634"/>
      <c r="UKR19" s="1634"/>
      <c r="UKS19" s="1634"/>
      <c r="UKT19" s="1634"/>
      <c r="UKU19" s="1634"/>
      <c r="UKV19" s="1634"/>
      <c r="UKW19" s="1634"/>
      <c r="UKX19" s="1634"/>
      <c r="UKY19" s="1634"/>
      <c r="UKZ19" s="1634"/>
      <c r="ULA19" s="1634"/>
      <c r="ULB19" s="1634"/>
      <c r="ULC19" s="1634"/>
      <c r="ULD19" s="1634"/>
      <c r="ULE19" s="1634"/>
      <c r="ULF19" s="1634"/>
      <c r="ULG19" s="1634"/>
      <c r="ULH19" s="1634"/>
      <c r="ULI19" s="1634"/>
      <c r="ULJ19" s="1634"/>
      <c r="ULK19" s="1634"/>
      <c r="ULL19" s="1634"/>
      <c r="ULM19" s="1634"/>
      <c r="ULN19" s="1634"/>
      <c r="ULO19" s="1634"/>
      <c r="ULP19" s="1634"/>
      <c r="ULQ19" s="1634"/>
      <c r="ULR19" s="1634"/>
      <c r="ULS19" s="1634"/>
      <c r="ULT19" s="1634"/>
      <c r="ULU19" s="1634"/>
      <c r="ULV19" s="1634"/>
      <c r="ULW19" s="1634"/>
      <c r="ULX19" s="1634"/>
      <c r="ULY19" s="1634"/>
      <c r="ULZ19" s="1634"/>
      <c r="UMA19" s="1634"/>
      <c r="UMB19" s="1634"/>
      <c r="UMC19" s="1634"/>
      <c r="UMD19" s="1634"/>
      <c r="UME19" s="1634"/>
      <c r="UMF19" s="1634"/>
      <c r="UMG19" s="1634"/>
      <c r="UMH19" s="1634"/>
      <c r="UMI19" s="1634"/>
      <c r="UMJ19" s="1634"/>
      <c r="UMK19" s="1634"/>
      <c r="UML19" s="1634"/>
      <c r="UMM19" s="1634"/>
      <c r="UMN19" s="1634"/>
      <c r="UMO19" s="1634"/>
      <c r="UMP19" s="1634"/>
      <c r="UMQ19" s="1634"/>
      <c r="UMR19" s="1634"/>
      <c r="UMS19" s="1634"/>
      <c r="UMT19" s="1634"/>
      <c r="UMU19" s="1634"/>
      <c r="UMV19" s="1634"/>
      <c r="UMW19" s="1634"/>
      <c r="UMX19" s="1634"/>
      <c r="UMY19" s="1634"/>
      <c r="UMZ19" s="1634"/>
      <c r="UNA19" s="1634"/>
      <c r="UNB19" s="1634"/>
      <c r="UNC19" s="1634"/>
      <c r="UND19" s="1634"/>
      <c r="UNE19" s="1634"/>
      <c r="UNF19" s="1634"/>
      <c r="UNG19" s="1634"/>
      <c r="UNH19" s="1634"/>
      <c r="UNI19" s="1634"/>
      <c r="UNJ19" s="1634"/>
      <c r="UNK19" s="1634"/>
      <c r="UNL19" s="1634"/>
      <c r="UNM19" s="1634"/>
      <c r="UNN19" s="1634"/>
      <c r="UNO19" s="1634"/>
      <c r="UNP19" s="1634"/>
      <c r="UNQ19" s="1634"/>
      <c r="UNR19" s="1634"/>
      <c r="UNS19" s="1634"/>
      <c r="UNT19" s="1634"/>
      <c r="UNU19" s="1634"/>
      <c r="UNV19" s="1634"/>
      <c r="UNW19" s="1634"/>
      <c r="UNX19" s="1634"/>
      <c r="UNY19" s="1634"/>
      <c r="UNZ19" s="1634"/>
      <c r="UOA19" s="1634"/>
      <c r="UOB19" s="1634"/>
      <c r="UOC19" s="1634"/>
      <c r="UOD19" s="1634"/>
      <c r="UOE19" s="1634"/>
      <c r="UOF19" s="1634"/>
      <c r="UOG19" s="1634"/>
      <c r="UOH19" s="1634"/>
      <c r="UOI19" s="1634"/>
      <c r="UOJ19" s="1634"/>
      <c r="UOK19" s="1634"/>
      <c r="UOL19" s="1634"/>
      <c r="UOM19" s="1634"/>
      <c r="UON19" s="1634"/>
      <c r="UOO19" s="1634"/>
      <c r="UOP19" s="1634"/>
      <c r="UOQ19" s="1634"/>
      <c r="UOR19" s="1634"/>
      <c r="UOS19" s="1634"/>
      <c r="UOT19" s="1634"/>
      <c r="UOU19" s="1634"/>
      <c r="UOV19" s="1634"/>
      <c r="UOW19" s="1634"/>
      <c r="UOX19" s="1634"/>
      <c r="UOY19" s="1634"/>
      <c r="UOZ19" s="1634"/>
      <c r="UPA19" s="1634"/>
      <c r="UPB19" s="1634"/>
      <c r="UPC19" s="1634"/>
      <c r="UPD19" s="1634"/>
      <c r="UPE19" s="1634"/>
      <c r="UPF19" s="1634"/>
      <c r="UPG19" s="1634"/>
      <c r="UPH19" s="1634"/>
      <c r="UPI19" s="1634"/>
      <c r="UPJ19" s="1634"/>
      <c r="UPK19" s="1634"/>
      <c r="UPL19" s="1634"/>
      <c r="UPM19" s="1634"/>
      <c r="UPN19" s="1634"/>
      <c r="UPO19" s="1634"/>
      <c r="UPP19" s="1634"/>
      <c r="UPQ19" s="1634"/>
      <c r="UPR19" s="1634"/>
      <c r="UPS19" s="1634"/>
      <c r="UPT19" s="1634"/>
      <c r="UPU19" s="1634"/>
      <c r="UPV19" s="1634"/>
      <c r="UPW19" s="1634"/>
      <c r="UPX19" s="1634"/>
      <c r="UPY19" s="1634"/>
      <c r="UPZ19" s="1634"/>
      <c r="UQA19" s="1634"/>
      <c r="UQB19" s="1634"/>
      <c r="UQC19" s="1634"/>
      <c r="UQD19" s="1634"/>
      <c r="UQE19" s="1634"/>
      <c r="UQF19" s="1634"/>
      <c r="UQG19" s="1634"/>
      <c r="UQH19" s="1634"/>
      <c r="UQI19" s="1634"/>
      <c r="UQJ19" s="1634"/>
      <c r="UQK19" s="1634"/>
      <c r="UQL19" s="1634"/>
      <c r="UQM19" s="1634"/>
      <c r="UQN19" s="1634"/>
      <c r="UQO19" s="1634"/>
      <c r="UQP19" s="1634"/>
      <c r="UQQ19" s="1634"/>
      <c r="UQR19" s="1634"/>
      <c r="UQS19" s="1634"/>
      <c r="UQT19" s="1634"/>
      <c r="UQU19" s="1634"/>
      <c r="UQV19" s="1634"/>
      <c r="UQW19" s="1634"/>
      <c r="UQX19" s="1634"/>
      <c r="UQY19" s="1634"/>
      <c r="UQZ19" s="1634"/>
      <c r="URA19" s="1634"/>
      <c r="URB19" s="1634"/>
      <c r="URC19" s="1634"/>
      <c r="URD19" s="1634"/>
      <c r="URE19" s="1634"/>
      <c r="URF19" s="1634"/>
      <c r="URG19" s="1634"/>
      <c r="URH19" s="1634"/>
      <c r="URI19" s="1634"/>
      <c r="URJ19" s="1634"/>
      <c r="URK19" s="1634"/>
      <c r="URL19" s="1634"/>
      <c r="URM19" s="1634"/>
      <c r="URN19" s="1634"/>
      <c r="URO19" s="1634"/>
      <c r="URP19" s="1634"/>
      <c r="URQ19" s="1634"/>
      <c r="URR19" s="1634"/>
      <c r="URS19" s="1634"/>
      <c r="URT19" s="1634"/>
      <c r="URU19" s="1634"/>
      <c r="URV19" s="1634"/>
      <c r="URW19" s="1634"/>
      <c r="URX19" s="1634"/>
      <c r="URY19" s="1634"/>
      <c r="URZ19" s="1634"/>
      <c r="USA19" s="1634"/>
      <c r="USB19" s="1634"/>
      <c r="USC19" s="1634"/>
      <c r="USD19" s="1634"/>
      <c r="USE19" s="1634"/>
      <c r="USF19" s="1634"/>
      <c r="USG19" s="1634"/>
      <c r="USH19" s="1634"/>
      <c r="USI19" s="1634"/>
      <c r="USJ19" s="1634"/>
      <c r="USK19" s="1634"/>
      <c r="USL19" s="1634"/>
      <c r="USM19" s="1634"/>
      <c r="USN19" s="1634"/>
      <c r="USO19" s="1634"/>
      <c r="USP19" s="1634"/>
      <c r="USQ19" s="1634"/>
      <c r="USR19" s="1634"/>
      <c r="USS19" s="1634"/>
      <c r="UST19" s="1634"/>
      <c r="USU19" s="1634"/>
      <c r="USV19" s="1634"/>
      <c r="USW19" s="1634"/>
      <c r="USX19" s="1634"/>
      <c r="USY19" s="1634"/>
      <c r="USZ19" s="1634"/>
      <c r="UTA19" s="1634"/>
      <c r="UTB19" s="1634"/>
      <c r="UTC19" s="1634"/>
      <c r="UTD19" s="1634"/>
      <c r="UTE19" s="1634"/>
      <c r="UTF19" s="1634"/>
      <c r="UTG19" s="1634"/>
      <c r="UTH19" s="1634"/>
      <c r="UTI19" s="1634"/>
      <c r="UTJ19" s="1634"/>
      <c r="UTK19" s="1634"/>
      <c r="UTL19" s="1634"/>
      <c r="UTM19" s="1634"/>
      <c r="UTN19" s="1634"/>
      <c r="UTO19" s="1634"/>
      <c r="UTP19" s="1634"/>
      <c r="UTQ19" s="1634"/>
      <c r="UTR19" s="1634"/>
      <c r="UTS19" s="1634"/>
      <c r="UTT19" s="1634"/>
      <c r="UTU19" s="1634"/>
      <c r="UTV19" s="1634"/>
      <c r="UTW19" s="1634"/>
      <c r="UTX19" s="1634"/>
      <c r="UTY19" s="1634"/>
      <c r="UTZ19" s="1634"/>
      <c r="UUA19" s="1634"/>
      <c r="UUB19" s="1634"/>
      <c r="UUC19" s="1634"/>
      <c r="UUD19" s="1634"/>
      <c r="UUE19" s="1634"/>
      <c r="UUF19" s="1634"/>
      <c r="UUG19" s="1634"/>
      <c r="UUH19" s="1634"/>
      <c r="UUI19" s="1634"/>
      <c r="UUJ19" s="1634"/>
      <c r="UUK19" s="1634"/>
      <c r="UUL19" s="1634"/>
      <c r="UUM19" s="1634"/>
      <c r="UUN19" s="1634"/>
      <c r="UUO19" s="1634"/>
      <c r="UUP19" s="1634"/>
      <c r="UUQ19" s="1634"/>
      <c r="UUR19" s="1634"/>
      <c r="UUS19" s="1634"/>
      <c r="UUT19" s="1634"/>
      <c r="UUU19" s="1634"/>
      <c r="UUV19" s="1634"/>
      <c r="UUW19" s="1634"/>
      <c r="UUX19" s="1634"/>
      <c r="UUY19" s="1634"/>
      <c r="UUZ19" s="1634"/>
      <c r="UVA19" s="1634"/>
      <c r="UVB19" s="1634"/>
      <c r="UVC19" s="1634"/>
      <c r="UVD19" s="1634"/>
      <c r="UVE19" s="1634"/>
      <c r="UVF19" s="1634"/>
      <c r="UVG19" s="1634"/>
      <c r="UVH19" s="1634"/>
      <c r="UVI19" s="1634"/>
      <c r="UVJ19" s="1634"/>
      <c r="UVK19" s="1634"/>
      <c r="UVL19" s="1634"/>
      <c r="UVM19" s="1634"/>
      <c r="UVN19" s="1634"/>
      <c r="UVO19" s="1634"/>
      <c r="UVP19" s="1634"/>
      <c r="UVQ19" s="1634"/>
      <c r="UVR19" s="1634"/>
      <c r="UVS19" s="1634"/>
      <c r="UVT19" s="1634"/>
      <c r="UVU19" s="1634"/>
      <c r="UVV19" s="1634"/>
      <c r="UVW19" s="1634"/>
      <c r="UVX19" s="1634"/>
      <c r="UVY19" s="1634"/>
      <c r="UVZ19" s="1634"/>
      <c r="UWA19" s="1634"/>
      <c r="UWB19" s="1634"/>
      <c r="UWC19" s="1634"/>
      <c r="UWD19" s="1634"/>
      <c r="UWE19" s="1634"/>
      <c r="UWF19" s="1634"/>
      <c r="UWG19" s="1634"/>
      <c r="UWH19" s="1634"/>
      <c r="UWI19" s="1634"/>
      <c r="UWJ19" s="1634"/>
      <c r="UWK19" s="1634"/>
      <c r="UWL19" s="1634"/>
      <c r="UWM19" s="1634"/>
      <c r="UWN19" s="1634"/>
      <c r="UWO19" s="1634"/>
      <c r="UWP19" s="1634"/>
      <c r="UWQ19" s="1634"/>
      <c r="UWR19" s="1634"/>
      <c r="UWS19" s="1634"/>
      <c r="UWT19" s="1634"/>
      <c r="UWU19" s="1634"/>
      <c r="UWV19" s="1634"/>
      <c r="UWW19" s="1634"/>
      <c r="UWX19" s="1634"/>
      <c r="UWY19" s="1634"/>
      <c r="UWZ19" s="1634"/>
      <c r="UXA19" s="1634"/>
      <c r="UXB19" s="1634"/>
      <c r="UXC19" s="1634"/>
      <c r="UXD19" s="1634"/>
      <c r="UXE19" s="1634"/>
      <c r="UXF19" s="1634"/>
      <c r="UXG19" s="1634"/>
      <c r="UXH19" s="1634"/>
      <c r="UXI19" s="1634"/>
      <c r="UXJ19" s="1634"/>
      <c r="UXK19" s="1634"/>
      <c r="UXL19" s="1634"/>
      <c r="UXM19" s="1634"/>
      <c r="UXN19" s="1634"/>
      <c r="UXO19" s="1634"/>
      <c r="UXP19" s="1634"/>
      <c r="UXQ19" s="1634"/>
      <c r="UXR19" s="1634"/>
      <c r="UXS19" s="1634"/>
      <c r="UXT19" s="1634"/>
      <c r="UXU19" s="1634"/>
      <c r="UXV19" s="1634"/>
      <c r="UXW19" s="1634"/>
      <c r="UXX19" s="1634"/>
      <c r="UXY19" s="1634"/>
      <c r="UXZ19" s="1634"/>
      <c r="UYA19" s="1634"/>
      <c r="UYB19" s="1634"/>
      <c r="UYC19" s="1634"/>
      <c r="UYD19" s="1634"/>
      <c r="UYE19" s="1634"/>
      <c r="UYF19" s="1634"/>
      <c r="UYG19" s="1634"/>
      <c r="UYH19" s="1634"/>
      <c r="UYI19" s="1634"/>
      <c r="UYJ19" s="1634"/>
      <c r="UYK19" s="1634"/>
      <c r="UYL19" s="1634"/>
      <c r="UYM19" s="1634"/>
      <c r="UYN19" s="1634"/>
      <c r="UYO19" s="1634"/>
      <c r="UYP19" s="1634"/>
      <c r="UYQ19" s="1634"/>
      <c r="UYR19" s="1634"/>
      <c r="UYS19" s="1634"/>
      <c r="UYT19" s="1634"/>
      <c r="UYU19" s="1634"/>
      <c r="UYV19" s="1634"/>
      <c r="UYW19" s="1634"/>
      <c r="UYX19" s="1634"/>
      <c r="UYY19" s="1634"/>
      <c r="UYZ19" s="1634"/>
      <c r="UZA19" s="1634"/>
      <c r="UZB19" s="1634"/>
      <c r="UZC19" s="1634"/>
      <c r="UZD19" s="1634"/>
      <c r="UZE19" s="1634"/>
      <c r="UZF19" s="1634"/>
      <c r="UZG19" s="1634"/>
      <c r="UZH19" s="1634"/>
      <c r="UZI19" s="1634"/>
      <c r="UZJ19" s="1634"/>
      <c r="UZK19" s="1634"/>
      <c r="UZL19" s="1634"/>
      <c r="UZM19" s="1634"/>
      <c r="UZN19" s="1634"/>
      <c r="UZO19" s="1634"/>
      <c r="UZP19" s="1634"/>
      <c r="UZQ19" s="1634"/>
      <c r="UZR19" s="1634"/>
      <c r="UZS19" s="1634"/>
      <c r="UZT19" s="1634"/>
      <c r="UZU19" s="1634"/>
      <c r="UZV19" s="1634"/>
      <c r="UZW19" s="1634"/>
      <c r="UZX19" s="1634"/>
      <c r="UZY19" s="1634"/>
      <c r="UZZ19" s="1634"/>
      <c r="VAA19" s="1634"/>
      <c r="VAB19" s="1634"/>
      <c r="VAC19" s="1634"/>
      <c r="VAD19" s="1634"/>
      <c r="VAE19" s="1634"/>
      <c r="VAF19" s="1634"/>
      <c r="VAG19" s="1634"/>
      <c r="VAH19" s="1634"/>
      <c r="VAI19" s="1634"/>
      <c r="VAJ19" s="1634"/>
      <c r="VAK19" s="1634"/>
      <c r="VAL19" s="1634"/>
      <c r="VAM19" s="1634"/>
      <c r="VAN19" s="1634"/>
      <c r="VAO19" s="1634"/>
      <c r="VAP19" s="1634"/>
      <c r="VAQ19" s="1634"/>
      <c r="VAR19" s="1634"/>
      <c r="VAS19" s="1634"/>
      <c r="VAT19" s="1634"/>
      <c r="VAU19" s="1634"/>
      <c r="VAV19" s="1634"/>
      <c r="VAW19" s="1634"/>
      <c r="VAX19" s="1634"/>
      <c r="VAY19" s="1634"/>
      <c r="VAZ19" s="1634"/>
      <c r="VBA19" s="1634"/>
      <c r="VBB19" s="1634"/>
      <c r="VBC19" s="1634"/>
      <c r="VBD19" s="1634"/>
      <c r="VBE19" s="1634"/>
      <c r="VBF19" s="1634"/>
      <c r="VBG19" s="1634"/>
      <c r="VBH19" s="1634"/>
      <c r="VBI19" s="1634"/>
      <c r="VBJ19" s="1634"/>
      <c r="VBK19" s="1634"/>
      <c r="VBL19" s="1634"/>
      <c r="VBM19" s="1634"/>
      <c r="VBN19" s="1634"/>
      <c r="VBO19" s="1634"/>
      <c r="VBP19" s="1634"/>
      <c r="VBQ19" s="1634"/>
      <c r="VBR19" s="1634"/>
      <c r="VBS19" s="1634"/>
      <c r="VBT19" s="1634"/>
      <c r="VBU19" s="1634"/>
      <c r="VBV19" s="1634"/>
      <c r="VBW19" s="1634"/>
      <c r="VBX19" s="1634"/>
      <c r="VBY19" s="1634"/>
      <c r="VBZ19" s="1634"/>
      <c r="VCA19" s="1634"/>
      <c r="VCB19" s="1634"/>
      <c r="VCC19" s="1634"/>
      <c r="VCD19" s="1634"/>
      <c r="VCE19" s="1634"/>
      <c r="VCF19" s="1634"/>
      <c r="VCG19" s="1634"/>
      <c r="VCH19" s="1634"/>
      <c r="VCI19" s="1634"/>
      <c r="VCJ19" s="1634"/>
      <c r="VCK19" s="1634"/>
      <c r="VCL19" s="1634"/>
      <c r="VCM19" s="1634"/>
      <c r="VCN19" s="1634"/>
      <c r="VCO19" s="1634"/>
      <c r="VCP19" s="1634"/>
      <c r="VCQ19" s="1634"/>
      <c r="VCR19" s="1634"/>
      <c r="VCS19" s="1634"/>
      <c r="VCT19" s="1634"/>
      <c r="VCU19" s="1634"/>
      <c r="VCV19" s="1634"/>
      <c r="VCW19" s="1634"/>
      <c r="VCX19" s="1634"/>
      <c r="VCY19" s="1634"/>
      <c r="VCZ19" s="1634"/>
      <c r="VDA19" s="1634"/>
      <c r="VDB19" s="1634"/>
      <c r="VDC19" s="1634"/>
      <c r="VDD19" s="1634"/>
      <c r="VDE19" s="1634"/>
      <c r="VDF19" s="1634"/>
      <c r="VDG19" s="1634"/>
      <c r="VDH19" s="1634"/>
      <c r="VDI19" s="1634"/>
      <c r="VDJ19" s="1634"/>
      <c r="VDK19" s="1634"/>
      <c r="VDL19" s="1634"/>
      <c r="VDM19" s="1634"/>
      <c r="VDN19" s="1634"/>
      <c r="VDO19" s="1634"/>
      <c r="VDP19" s="1634"/>
      <c r="VDQ19" s="1634"/>
      <c r="VDR19" s="1634"/>
      <c r="VDS19" s="1634"/>
      <c r="VDT19" s="1634"/>
      <c r="VDU19" s="1634"/>
      <c r="VDV19" s="1634"/>
      <c r="VDW19" s="1634"/>
      <c r="VDX19" s="1634"/>
      <c r="VDY19" s="1634"/>
      <c r="VDZ19" s="1634"/>
      <c r="VEA19" s="1634"/>
      <c r="VEB19" s="1634"/>
      <c r="VEC19" s="1634"/>
      <c r="VED19" s="1634"/>
      <c r="VEE19" s="1634"/>
      <c r="VEF19" s="1634"/>
      <c r="VEG19" s="1634"/>
      <c r="VEH19" s="1634"/>
      <c r="VEI19" s="1634"/>
      <c r="VEJ19" s="1634"/>
      <c r="VEK19" s="1634"/>
      <c r="VEL19" s="1634"/>
      <c r="VEM19" s="1634"/>
      <c r="VEN19" s="1634"/>
      <c r="VEO19" s="1634"/>
      <c r="VEP19" s="1634"/>
      <c r="VEQ19" s="1634"/>
      <c r="VER19" s="1634"/>
      <c r="VES19" s="1634"/>
      <c r="VET19" s="1634"/>
      <c r="VEU19" s="1634"/>
      <c r="VEV19" s="1634"/>
      <c r="VEW19" s="1634"/>
      <c r="VEX19" s="1634"/>
      <c r="VEY19" s="1634"/>
      <c r="VEZ19" s="1634"/>
      <c r="VFA19" s="1634"/>
      <c r="VFB19" s="1634"/>
      <c r="VFC19" s="1634"/>
      <c r="VFD19" s="1634"/>
      <c r="VFE19" s="1634"/>
      <c r="VFF19" s="1634"/>
      <c r="VFG19" s="1634"/>
      <c r="VFH19" s="1634"/>
      <c r="VFI19" s="1634"/>
      <c r="VFJ19" s="1634"/>
      <c r="VFK19" s="1634"/>
      <c r="VFL19" s="1634"/>
      <c r="VFM19" s="1634"/>
      <c r="VFN19" s="1634"/>
      <c r="VFO19" s="1634"/>
      <c r="VFP19" s="1634"/>
      <c r="VFQ19" s="1634"/>
      <c r="VFR19" s="1634"/>
      <c r="VFS19" s="1634"/>
      <c r="VFT19" s="1634"/>
      <c r="VFU19" s="1634"/>
      <c r="VFV19" s="1634"/>
      <c r="VFW19" s="1634"/>
      <c r="VFX19" s="1634"/>
      <c r="VFY19" s="1634"/>
      <c r="VFZ19" s="1634"/>
      <c r="VGA19" s="1634"/>
      <c r="VGB19" s="1634"/>
      <c r="VGC19" s="1634"/>
      <c r="VGD19" s="1634"/>
      <c r="VGE19" s="1634"/>
      <c r="VGF19" s="1634"/>
      <c r="VGG19" s="1634"/>
      <c r="VGH19" s="1634"/>
      <c r="VGI19" s="1634"/>
      <c r="VGJ19" s="1634"/>
      <c r="VGK19" s="1634"/>
      <c r="VGL19" s="1634"/>
      <c r="VGM19" s="1634"/>
      <c r="VGN19" s="1634"/>
      <c r="VGO19" s="1634"/>
      <c r="VGP19" s="1634"/>
      <c r="VGQ19" s="1634"/>
      <c r="VGR19" s="1634"/>
      <c r="VGS19" s="1634"/>
      <c r="VGT19" s="1634"/>
      <c r="VGU19" s="1634"/>
      <c r="VGV19" s="1634"/>
      <c r="VGW19" s="1634"/>
      <c r="VGX19" s="1634"/>
      <c r="VGY19" s="1634"/>
      <c r="VGZ19" s="1634"/>
      <c r="VHA19" s="1634"/>
      <c r="VHB19" s="1634"/>
      <c r="VHC19" s="1634"/>
      <c r="VHD19" s="1634"/>
      <c r="VHE19" s="1634"/>
      <c r="VHF19" s="1634"/>
      <c r="VHG19" s="1634"/>
      <c r="VHH19" s="1634"/>
      <c r="VHI19" s="1634"/>
      <c r="VHJ19" s="1634"/>
      <c r="VHK19" s="1634"/>
      <c r="VHL19" s="1634"/>
      <c r="VHM19" s="1634"/>
      <c r="VHN19" s="1634"/>
      <c r="VHO19" s="1634"/>
      <c r="VHP19" s="1634"/>
      <c r="VHQ19" s="1634"/>
      <c r="VHR19" s="1634"/>
      <c r="VHS19" s="1634"/>
      <c r="VHT19" s="1634"/>
      <c r="VHU19" s="1634"/>
      <c r="VHV19" s="1634"/>
      <c r="VHW19" s="1634"/>
      <c r="VHX19" s="1634"/>
      <c r="VHY19" s="1634"/>
      <c r="VHZ19" s="1634"/>
      <c r="VIA19" s="1634"/>
      <c r="VIB19" s="1634"/>
      <c r="VIC19" s="1634"/>
      <c r="VID19" s="1634"/>
      <c r="VIE19" s="1634"/>
      <c r="VIF19" s="1634"/>
      <c r="VIG19" s="1634"/>
      <c r="VIH19" s="1634"/>
      <c r="VII19" s="1634"/>
      <c r="VIJ19" s="1634"/>
      <c r="VIK19" s="1634"/>
      <c r="VIL19" s="1634"/>
      <c r="VIM19" s="1634"/>
      <c r="VIN19" s="1634"/>
      <c r="VIO19" s="1634"/>
      <c r="VIP19" s="1634"/>
      <c r="VIQ19" s="1634"/>
      <c r="VIR19" s="1634"/>
      <c r="VIS19" s="1634"/>
      <c r="VIT19" s="1634"/>
      <c r="VIU19" s="1634"/>
      <c r="VIV19" s="1634"/>
      <c r="VIW19" s="1634"/>
      <c r="VIX19" s="1634"/>
      <c r="VIY19" s="1634"/>
      <c r="VIZ19" s="1634"/>
      <c r="VJA19" s="1634"/>
      <c r="VJB19" s="1634"/>
      <c r="VJC19" s="1634"/>
      <c r="VJD19" s="1634"/>
      <c r="VJE19" s="1634"/>
      <c r="VJF19" s="1634"/>
      <c r="VJG19" s="1634"/>
      <c r="VJH19" s="1634"/>
      <c r="VJI19" s="1634"/>
      <c r="VJJ19" s="1634"/>
      <c r="VJK19" s="1634"/>
      <c r="VJL19" s="1634"/>
      <c r="VJM19" s="1634"/>
      <c r="VJN19" s="1634"/>
      <c r="VJO19" s="1634"/>
      <c r="VJP19" s="1634"/>
      <c r="VJQ19" s="1634"/>
      <c r="VJR19" s="1634"/>
      <c r="VJS19" s="1634"/>
      <c r="VJT19" s="1634"/>
      <c r="VJU19" s="1634"/>
      <c r="VJV19" s="1634"/>
      <c r="VJW19" s="1634"/>
      <c r="VJX19" s="1634"/>
      <c r="VJY19" s="1634"/>
      <c r="VJZ19" s="1634"/>
      <c r="VKA19" s="1634"/>
      <c r="VKB19" s="1634"/>
      <c r="VKC19" s="1634"/>
      <c r="VKD19" s="1634"/>
      <c r="VKE19" s="1634"/>
      <c r="VKF19" s="1634"/>
      <c r="VKG19" s="1634"/>
      <c r="VKH19" s="1634"/>
      <c r="VKI19" s="1634"/>
      <c r="VKJ19" s="1634"/>
      <c r="VKK19" s="1634"/>
      <c r="VKL19" s="1634"/>
      <c r="VKM19" s="1634"/>
      <c r="VKN19" s="1634"/>
      <c r="VKO19" s="1634"/>
      <c r="VKP19" s="1634"/>
      <c r="VKQ19" s="1634"/>
      <c r="VKR19" s="1634"/>
      <c r="VKS19" s="1634"/>
      <c r="VKT19" s="1634"/>
      <c r="VKU19" s="1634"/>
      <c r="VKV19" s="1634"/>
      <c r="VKW19" s="1634"/>
      <c r="VKX19" s="1634"/>
      <c r="VKY19" s="1634"/>
      <c r="VKZ19" s="1634"/>
      <c r="VLA19" s="1634"/>
      <c r="VLB19" s="1634"/>
      <c r="VLC19" s="1634"/>
      <c r="VLD19" s="1634"/>
      <c r="VLE19" s="1634"/>
      <c r="VLF19" s="1634"/>
      <c r="VLG19" s="1634"/>
      <c r="VLH19" s="1634"/>
      <c r="VLI19" s="1634"/>
      <c r="VLJ19" s="1634"/>
      <c r="VLK19" s="1634"/>
      <c r="VLL19" s="1634"/>
      <c r="VLM19" s="1634"/>
      <c r="VLN19" s="1634"/>
      <c r="VLO19" s="1634"/>
      <c r="VLP19" s="1634"/>
      <c r="VLQ19" s="1634"/>
      <c r="VLR19" s="1634"/>
      <c r="VLS19" s="1634"/>
      <c r="VLT19" s="1634"/>
      <c r="VLU19" s="1634"/>
      <c r="VLV19" s="1634"/>
      <c r="VLW19" s="1634"/>
      <c r="VLX19" s="1634"/>
      <c r="VLY19" s="1634"/>
      <c r="VLZ19" s="1634"/>
      <c r="VMA19" s="1634"/>
      <c r="VMB19" s="1634"/>
      <c r="VMC19" s="1634"/>
      <c r="VMD19" s="1634"/>
      <c r="VME19" s="1634"/>
      <c r="VMF19" s="1634"/>
      <c r="VMG19" s="1634"/>
      <c r="VMH19" s="1634"/>
      <c r="VMI19" s="1634"/>
      <c r="VMJ19" s="1634"/>
      <c r="VMK19" s="1634"/>
      <c r="VML19" s="1634"/>
      <c r="VMM19" s="1634"/>
      <c r="VMN19" s="1634"/>
      <c r="VMO19" s="1634"/>
      <c r="VMP19" s="1634"/>
      <c r="VMQ19" s="1634"/>
      <c r="VMR19" s="1634"/>
      <c r="VMS19" s="1634"/>
      <c r="VMT19" s="1634"/>
      <c r="VMU19" s="1634"/>
      <c r="VMV19" s="1634"/>
      <c r="VMW19" s="1634"/>
      <c r="VMX19" s="1634"/>
      <c r="VMY19" s="1634"/>
      <c r="VMZ19" s="1634"/>
      <c r="VNA19" s="1634"/>
      <c r="VNB19" s="1634"/>
      <c r="VNC19" s="1634"/>
      <c r="VND19" s="1634"/>
      <c r="VNE19" s="1634"/>
      <c r="VNF19" s="1634"/>
      <c r="VNG19" s="1634"/>
      <c r="VNH19" s="1634"/>
      <c r="VNI19" s="1634"/>
      <c r="VNJ19" s="1634"/>
      <c r="VNK19" s="1634"/>
      <c r="VNL19" s="1634"/>
      <c r="VNM19" s="1634"/>
      <c r="VNN19" s="1634"/>
      <c r="VNO19" s="1634"/>
      <c r="VNP19" s="1634"/>
      <c r="VNQ19" s="1634"/>
      <c r="VNR19" s="1634"/>
      <c r="VNS19" s="1634"/>
      <c r="VNT19" s="1634"/>
      <c r="VNU19" s="1634"/>
      <c r="VNV19" s="1634"/>
      <c r="VNW19" s="1634"/>
      <c r="VNX19" s="1634"/>
      <c r="VNY19" s="1634"/>
      <c r="VNZ19" s="1634"/>
      <c r="VOA19" s="1634"/>
      <c r="VOB19" s="1634"/>
      <c r="VOC19" s="1634"/>
      <c r="VOD19" s="1634"/>
      <c r="VOE19" s="1634"/>
      <c r="VOF19" s="1634"/>
      <c r="VOG19" s="1634"/>
      <c r="VOH19" s="1634"/>
      <c r="VOI19" s="1634"/>
      <c r="VOJ19" s="1634"/>
      <c r="VOK19" s="1634"/>
      <c r="VOL19" s="1634"/>
      <c r="VOM19" s="1634"/>
      <c r="VON19" s="1634"/>
      <c r="VOO19" s="1634"/>
      <c r="VOP19" s="1634"/>
      <c r="VOQ19" s="1634"/>
      <c r="VOR19" s="1634"/>
      <c r="VOS19" s="1634"/>
      <c r="VOT19" s="1634"/>
      <c r="VOU19" s="1634"/>
      <c r="VOV19" s="1634"/>
      <c r="VOW19" s="1634"/>
      <c r="VOX19" s="1634"/>
      <c r="VOY19" s="1634"/>
      <c r="VOZ19" s="1634"/>
      <c r="VPA19" s="1634"/>
      <c r="VPB19" s="1634"/>
      <c r="VPC19" s="1634"/>
      <c r="VPD19" s="1634"/>
      <c r="VPE19" s="1634"/>
      <c r="VPF19" s="1634"/>
      <c r="VPG19" s="1634"/>
      <c r="VPH19" s="1634"/>
      <c r="VPI19" s="1634"/>
      <c r="VPJ19" s="1634"/>
      <c r="VPK19" s="1634"/>
      <c r="VPL19" s="1634"/>
      <c r="VPM19" s="1634"/>
      <c r="VPN19" s="1634"/>
      <c r="VPO19" s="1634"/>
      <c r="VPP19" s="1634"/>
      <c r="VPQ19" s="1634"/>
      <c r="VPR19" s="1634"/>
      <c r="VPS19" s="1634"/>
      <c r="VPT19" s="1634"/>
      <c r="VPU19" s="1634"/>
      <c r="VPV19" s="1634"/>
      <c r="VPW19" s="1634"/>
      <c r="VPX19" s="1634"/>
      <c r="VPY19" s="1634"/>
      <c r="VPZ19" s="1634"/>
      <c r="VQA19" s="1634"/>
      <c r="VQB19" s="1634"/>
      <c r="VQC19" s="1634"/>
      <c r="VQD19" s="1634"/>
      <c r="VQE19" s="1634"/>
      <c r="VQF19" s="1634"/>
      <c r="VQG19" s="1634"/>
      <c r="VQH19" s="1634"/>
      <c r="VQI19" s="1634"/>
      <c r="VQJ19" s="1634"/>
      <c r="VQK19" s="1634"/>
      <c r="VQL19" s="1634"/>
      <c r="VQM19" s="1634"/>
      <c r="VQN19" s="1634"/>
      <c r="VQO19" s="1634"/>
      <c r="VQP19" s="1634"/>
      <c r="VQQ19" s="1634"/>
      <c r="VQR19" s="1634"/>
      <c r="VQS19" s="1634"/>
      <c r="VQT19" s="1634"/>
      <c r="VQU19" s="1634"/>
      <c r="VQV19" s="1634"/>
      <c r="VQW19" s="1634"/>
      <c r="VQX19" s="1634"/>
      <c r="VQY19" s="1634"/>
      <c r="VQZ19" s="1634"/>
      <c r="VRA19" s="1634"/>
      <c r="VRB19" s="1634"/>
      <c r="VRC19" s="1634"/>
      <c r="VRD19" s="1634"/>
      <c r="VRE19" s="1634"/>
      <c r="VRF19" s="1634"/>
      <c r="VRG19" s="1634"/>
      <c r="VRH19" s="1634"/>
      <c r="VRI19" s="1634"/>
      <c r="VRJ19" s="1634"/>
      <c r="VRK19" s="1634"/>
      <c r="VRL19" s="1634"/>
      <c r="VRM19" s="1634"/>
      <c r="VRN19" s="1634"/>
      <c r="VRO19" s="1634"/>
      <c r="VRP19" s="1634"/>
      <c r="VRQ19" s="1634"/>
      <c r="VRR19" s="1634"/>
      <c r="VRS19" s="1634"/>
      <c r="VRT19" s="1634"/>
      <c r="VRU19" s="1634"/>
      <c r="VRV19" s="1634"/>
      <c r="VRW19" s="1634"/>
      <c r="VRX19" s="1634"/>
      <c r="VRY19" s="1634"/>
      <c r="VRZ19" s="1634"/>
      <c r="VSA19" s="1634"/>
      <c r="VSB19" s="1634"/>
      <c r="VSC19" s="1634"/>
      <c r="VSD19" s="1634"/>
      <c r="VSE19" s="1634"/>
      <c r="VSF19" s="1634"/>
      <c r="VSG19" s="1634"/>
      <c r="VSH19" s="1634"/>
      <c r="VSI19" s="1634"/>
      <c r="VSJ19" s="1634"/>
      <c r="VSK19" s="1634"/>
      <c r="VSL19" s="1634"/>
      <c r="VSM19" s="1634"/>
      <c r="VSN19" s="1634"/>
      <c r="VSO19" s="1634"/>
      <c r="VSP19" s="1634"/>
      <c r="VSQ19" s="1634"/>
      <c r="VSR19" s="1634"/>
      <c r="VSS19" s="1634"/>
      <c r="VST19" s="1634"/>
      <c r="VSU19" s="1634"/>
      <c r="VSV19" s="1634"/>
      <c r="VSW19" s="1634"/>
      <c r="VSX19" s="1634"/>
      <c r="VSY19" s="1634"/>
      <c r="VSZ19" s="1634"/>
      <c r="VTA19" s="1634"/>
      <c r="VTB19" s="1634"/>
      <c r="VTC19" s="1634"/>
      <c r="VTD19" s="1634"/>
      <c r="VTE19" s="1634"/>
      <c r="VTF19" s="1634"/>
      <c r="VTG19" s="1634"/>
      <c r="VTH19" s="1634"/>
      <c r="VTI19" s="1634"/>
      <c r="VTJ19" s="1634"/>
      <c r="VTK19" s="1634"/>
      <c r="VTL19" s="1634"/>
      <c r="VTM19" s="1634"/>
      <c r="VTN19" s="1634"/>
      <c r="VTO19" s="1634"/>
      <c r="VTP19" s="1634"/>
      <c r="VTQ19" s="1634"/>
      <c r="VTR19" s="1634"/>
      <c r="VTS19" s="1634"/>
      <c r="VTT19" s="1634"/>
      <c r="VTU19" s="1634"/>
      <c r="VTV19" s="1634"/>
      <c r="VTW19" s="1634"/>
      <c r="VTX19" s="1634"/>
      <c r="VTY19" s="1634"/>
      <c r="VTZ19" s="1634"/>
      <c r="VUA19" s="1634"/>
      <c r="VUB19" s="1634"/>
      <c r="VUC19" s="1634"/>
      <c r="VUD19" s="1634"/>
      <c r="VUE19" s="1634"/>
      <c r="VUF19" s="1634"/>
      <c r="VUG19" s="1634"/>
      <c r="VUH19" s="1634"/>
      <c r="VUI19" s="1634"/>
      <c r="VUJ19" s="1634"/>
      <c r="VUK19" s="1634"/>
      <c r="VUL19" s="1634"/>
      <c r="VUM19" s="1634"/>
      <c r="VUN19" s="1634"/>
      <c r="VUO19" s="1634"/>
      <c r="VUP19" s="1634"/>
      <c r="VUQ19" s="1634"/>
      <c r="VUR19" s="1634"/>
      <c r="VUS19" s="1634"/>
      <c r="VUT19" s="1634"/>
      <c r="VUU19" s="1634"/>
      <c r="VUV19" s="1634"/>
      <c r="VUW19" s="1634"/>
      <c r="VUX19" s="1634"/>
      <c r="VUY19" s="1634"/>
      <c r="VUZ19" s="1634"/>
      <c r="VVA19" s="1634"/>
      <c r="VVB19" s="1634"/>
      <c r="VVC19" s="1634"/>
      <c r="VVD19" s="1634"/>
      <c r="VVE19" s="1634"/>
      <c r="VVF19" s="1634"/>
      <c r="VVG19" s="1634"/>
      <c r="VVH19" s="1634"/>
      <c r="VVI19" s="1634"/>
      <c r="VVJ19" s="1634"/>
      <c r="VVK19" s="1634"/>
      <c r="VVL19" s="1634"/>
      <c r="VVM19" s="1634"/>
      <c r="VVN19" s="1634"/>
      <c r="VVO19" s="1634"/>
      <c r="VVP19" s="1634"/>
      <c r="VVQ19" s="1634"/>
      <c r="VVR19" s="1634"/>
      <c r="VVS19" s="1634"/>
      <c r="VVT19" s="1634"/>
      <c r="VVU19" s="1634"/>
      <c r="VVV19" s="1634"/>
      <c r="VVW19" s="1634"/>
      <c r="VVX19" s="1634"/>
      <c r="VVY19" s="1634"/>
      <c r="VVZ19" s="1634"/>
      <c r="VWA19" s="1634"/>
      <c r="VWB19" s="1634"/>
      <c r="VWC19" s="1634"/>
      <c r="VWD19" s="1634"/>
      <c r="VWE19" s="1634"/>
      <c r="VWF19" s="1634"/>
      <c r="VWG19" s="1634"/>
      <c r="VWH19" s="1634"/>
      <c r="VWI19" s="1634"/>
      <c r="VWJ19" s="1634"/>
      <c r="VWK19" s="1634"/>
      <c r="VWL19" s="1634"/>
      <c r="VWM19" s="1634"/>
      <c r="VWN19" s="1634"/>
      <c r="VWO19" s="1634"/>
      <c r="VWP19" s="1634"/>
      <c r="VWQ19" s="1634"/>
      <c r="VWR19" s="1634"/>
      <c r="VWS19" s="1634"/>
      <c r="VWT19" s="1634"/>
      <c r="VWU19" s="1634"/>
      <c r="VWV19" s="1634"/>
      <c r="VWW19" s="1634"/>
      <c r="VWX19" s="1634"/>
      <c r="VWY19" s="1634"/>
      <c r="VWZ19" s="1634"/>
      <c r="VXA19" s="1634"/>
      <c r="VXB19" s="1634"/>
      <c r="VXC19" s="1634"/>
      <c r="VXD19" s="1634"/>
      <c r="VXE19" s="1634"/>
      <c r="VXF19" s="1634"/>
      <c r="VXG19" s="1634"/>
      <c r="VXH19" s="1634"/>
      <c r="VXI19" s="1634"/>
      <c r="VXJ19" s="1634"/>
      <c r="VXK19" s="1634"/>
      <c r="VXL19" s="1634"/>
      <c r="VXM19" s="1634"/>
      <c r="VXN19" s="1634"/>
      <c r="VXO19" s="1634"/>
      <c r="VXP19" s="1634"/>
      <c r="VXQ19" s="1634"/>
      <c r="VXR19" s="1634"/>
      <c r="VXS19" s="1634"/>
      <c r="VXT19" s="1634"/>
      <c r="VXU19" s="1634"/>
      <c r="VXV19" s="1634"/>
      <c r="VXW19" s="1634"/>
      <c r="VXX19" s="1634"/>
      <c r="VXY19" s="1634"/>
      <c r="VXZ19" s="1634"/>
      <c r="VYA19" s="1634"/>
      <c r="VYB19" s="1634"/>
      <c r="VYC19" s="1634"/>
      <c r="VYD19" s="1634"/>
      <c r="VYE19" s="1634"/>
      <c r="VYF19" s="1634"/>
      <c r="VYG19" s="1634"/>
      <c r="VYH19" s="1634"/>
      <c r="VYI19" s="1634"/>
      <c r="VYJ19" s="1634"/>
      <c r="VYK19" s="1634"/>
      <c r="VYL19" s="1634"/>
      <c r="VYM19" s="1634"/>
      <c r="VYN19" s="1634"/>
      <c r="VYO19" s="1634"/>
      <c r="VYP19" s="1634"/>
      <c r="VYQ19" s="1634"/>
      <c r="VYR19" s="1634"/>
      <c r="VYS19" s="1634"/>
      <c r="VYT19" s="1634"/>
      <c r="VYU19" s="1634"/>
      <c r="VYV19" s="1634"/>
      <c r="VYW19" s="1634"/>
      <c r="VYX19" s="1634"/>
      <c r="VYY19" s="1634"/>
      <c r="VYZ19" s="1634"/>
      <c r="VZA19" s="1634"/>
      <c r="VZB19" s="1634"/>
      <c r="VZC19" s="1634"/>
      <c r="VZD19" s="1634"/>
      <c r="VZE19" s="1634"/>
      <c r="VZF19" s="1634"/>
      <c r="VZG19" s="1634"/>
      <c r="VZH19" s="1634"/>
      <c r="VZI19" s="1634"/>
      <c r="VZJ19" s="1634"/>
      <c r="VZK19" s="1634"/>
      <c r="VZL19" s="1634"/>
      <c r="VZM19" s="1634"/>
      <c r="VZN19" s="1634"/>
      <c r="VZO19" s="1634"/>
      <c r="VZP19" s="1634"/>
      <c r="VZQ19" s="1634"/>
      <c r="VZR19" s="1634"/>
      <c r="VZS19" s="1634"/>
      <c r="VZT19" s="1634"/>
      <c r="VZU19" s="1634"/>
      <c r="VZV19" s="1634"/>
      <c r="VZW19" s="1634"/>
      <c r="VZX19" s="1634"/>
      <c r="VZY19" s="1634"/>
      <c r="VZZ19" s="1634"/>
      <c r="WAA19" s="1634"/>
      <c r="WAB19" s="1634"/>
      <c r="WAC19" s="1634"/>
      <c r="WAD19" s="1634"/>
      <c r="WAE19" s="1634"/>
      <c r="WAF19" s="1634"/>
      <c r="WAG19" s="1634"/>
      <c r="WAH19" s="1634"/>
      <c r="WAI19" s="1634"/>
      <c r="WAJ19" s="1634"/>
      <c r="WAK19" s="1634"/>
      <c r="WAL19" s="1634"/>
      <c r="WAM19" s="1634"/>
      <c r="WAN19" s="1634"/>
      <c r="WAO19" s="1634"/>
      <c r="WAP19" s="1634"/>
      <c r="WAQ19" s="1634"/>
      <c r="WAR19" s="1634"/>
      <c r="WAS19" s="1634"/>
      <c r="WAT19" s="1634"/>
      <c r="WAU19" s="1634"/>
      <c r="WAV19" s="1634"/>
      <c r="WAW19" s="1634"/>
      <c r="WAX19" s="1634"/>
      <c r="WAY19" s="1634"/>
      <c r="WAZ19" s="1634"/>
      <c r="WBA19" s="1634"/>
      <c r="WBB19" s="1634"/>
      <c r="WBC19" s="1634"/>
      <c r="WBD19" s="1634"/>
      <c r="WBE19" s="1634"/>
      <c r="WBF19" s="1634"/>
      <c r="WBG19" s="1634"/>
      <c r="WBH19" s="1634"/>
      <c r="WBI19" s="1634"/>
      <c r="WBJ19" s="1634"/>
      <c r="WBK19" s="1634"/>
      <c r="WBL19" s="1634"/>
      <c r="WBM19" s="1634"/>
      <c r="WBN19" s="1634"/>
      <c r="WBO19" s="1634"/>
      <c r="WBP19" s="1634"/>
      <c r="WBQ19" s="1634"/>
      <c r="WBR19" s="1634"/>
      <c r="WBS19" s="1634"/>
      <c r="WBT19" s="1634"/>
      <c r="WBU19" s="1634"/>
      <c r="WBV19" s="1634"/>
      <c r="WBW19" s="1634"/>
      <c r="WBX19" s="1634"/>
      <c r="WBY19" s="1634"/>
      <c r="WBZ19" s="1634"/>
      <c r="WCA19" s="1634"/>
      <c r="WCB19" s="1634"/>
      <c r="WCC19" s="1634"/>
      <c r="WCD19" s="1634"/>
      <c r="WCE19" s="1634"/>
      <c r="WCF19" s="1634"/>
      <c r="WCG19" s="1634"/>
      <c r="WCH19" s="1634"/>
      <c r="WCI19" s="1634"/>
      <c r="WCJ19" s="1634"/>
      <c r="WCK19" s="1634"/>
      <c r="WCL19" s="1634"/>
      <c r="WCM19" s="1634"/>
      <c r="WCN19" s="1634"/>
      <c r="WCO19" s="1634"/>
      <c r="WCP19" s="1634"/>
      <c r="WCQ19" s="1634"/>
      <c r="WCR19" s="1634"/>
      <c r="WCS19" s="1634"/>
      <c r="WCT19" s="1634"/>
      <c r="WCU19" s="1634"/>
      <c r="WCV19" s="1634"/>
      <c r="WCW19" s="1634"/>
      <c r="WCX19" s="1634"/>
      <c r="WCY19" s="1634"/>
      <c r="WCZ19" s="1634"/>
      <c r="WDA19" s="1634"/>
      <c r="WDB19" s="1634"/>
      <c r="WDC19" s="1634"/>
      <c r="WDD19" s="1634"/>
      <c r="WDE19" s="1634"/>
      <c r="WDF19" s="1634"/>
      <c r="WDG19" s="1634"/>
      <c r="WDH19" s="1634"/>
      <c r="WDI19" s="1634"/>
      <c r="WDJ19" s="1634"/>
      <c r="WDK19" s="1634"/>
      <c r="WDL19" s="1634"/>
      <c r="WDM19" s="1634"/>
      <c r="WDN19" s="1634"/>
      <c r="WDO19" s="1634"/>
      <c r="WDP19" s="1634"/>
      <c r="WDQ19" s="1634"/>
      <c r="WDR19" s="1634"/>
      <c r="WDS19" s="1634"/>
      <c r="WDT19" s="1634"/>
      <c r="WDU19" s="1634"/>
      <c r="WDV19" s="1634"/>
      <c r="WDW19" s="1634"/>
      <c r="WDX19" s="1634"/>
      <c r="WDY19" s="1634"/>
      <c r="WDZ19" s="1634"/>
      <c r="WEA19" s="1634"/>
      <c r="WEB19" s="1634"/>
      <c r="WEC19" s="1634"/>
      <c r="WED19" s="1634"/>
      <c r="WEE19" s="1634"/>
      <c r="WEF19" s="1634"/>
      <c r="WEG19" s="1634"/>
      <c r="WEH19" s="1634"/>
      <c r="WEI19" s="1634"/>
      <c r="WEJ19" s="1634"/>
      <c r="WEK19" s="1634"/>
      <c r="WEL19" s="1634"/>
      <c r="WEM19" s="1634"/>
      <c r="WEN19" s="1634"/>
      <c r="WEO19" s="1634"/>
      <c r="WEP19" s="1634"/>
      <c r="WEQ19" s="1634"/>
      <c r="WER19" s="1634"/>
      <c r="WES19" s="1634"/>
      <c r="WET19" s="1634"/>
      <c r="WEU19" s="1634"/>
      <c r="WEV19" s="1634"/>
      <c r="WEW19" s="1634"/>
      <c r="WEX19" s="1634"/>
      <c r="WEY19" s="1634"/>
      <c r="WEZ19" s="1634"/>
      <c r="WFA19" s="1634"/>
      <c r="WFB19" s="1634"/>
      <c r="WFC19" s="1634"/>
      <c r="WFD19" s="1634"/>
      <c r="WFE19" s="1634"/>
      <c r="WFF19" s="1634"/>
      <c r="WFG19" s="1634"/>
      <c r="WFH19" s="1634"/>
      <c r="WFI19" s="1634"/>
      <c r="WFJ19" s="1634"/>
      <c r="WFK19" s="1634"/>
      <c r="WFL19" s="1634"/>
      <c r="WFM19" s="1634"/>
      <c r="WFN19" s="1634"/>
      <c r="WFO19" s="1634"/>
      <c r="WFP19" s="1634"/>
      <c r="WFQ19" s="1634"/>
      <c r="WFR19" s="1634"/>
      <c r="WFS19" s="1634"/>
      <c r="WFT19" s="1634"/>
      <c r="WFU19" s="1634"/>
      <c r="WFV19" s="1634"/>
      <c r="WFW19" s="1634"/>
      <c r="WFX19" s="1634"/>
      <c r="WFY19" s="1634"/>
      <c r="WFZ19" s="1634"/>
      <c r="WGA19" s="1634"/>
      <c r="WGB19" s="1634"/>
      <c r="WGC19" s="1634"/>
      <c r="WGD19" s="1634"/>
      <c r="WGE19" s="1634"/>
      <c r="WGF19" s="1634"/>
      <c r="WGG19" s="1634"/>
      <c r="WGH19" s="1634"/>
      <c r="WGI19" s="1634"/>
      <c r="WGJ19" s="1634"/>
      <c r="WGK19" s="1634"/>
      <c r="WGL19" s="1634"/>
      <c r="WGM19" s="1634"/>
      <c r="WGN19" s="1634"/>
      <c r="WGO19" s="1634"/>
      <c r="WGP19" s="1634"/>
      <c r="WGQ19" s="1634"/>
      <c r="WGR19" s="1634"/>
      <c r="WGS19" s="1634"/>
      <c r="WGT19" s="1634"/>
      <c r="WGU19" s="1634"/>
      <c r="WGV19" s="1634"/>
      <c r="WGW19" s="1634"/>
      <c r="WGX19" s="1634"/>
      <c r="WGY19" s="1634"/>
      <c r="WGZ19" s="1634"/>
      <c r="WHA19" s="1634"/>
      <c r="WHB19" s="1634"/>
      <c r="WHC19" s="1634"/>
      <c r="WHD19" s="1634"/>
      <c r="WHE19" s="1634"/>
      <c r="WHF19" s="1634"/>
      <c r="WHG19" s="1634"/>
      <c r="WHH19" s="1634"/>
      <c r="WHI19" s="1634"/>
      <c r="WHJ19" s="1634"/>
      <c r="WHK19" s="1634"/>
      <c r="WHL19" s="1634"/>
      <c r="WHM19" s="1634"/>
      <c r="WHN19" s="1634"/>
      <c r="WHO19" s="1634"/>
      <c r="WHP19" s="1634"/>
      <c r="WHQ19" s="1634"/>
      <c r="WHR19" s="1634"/>
      <c r="WHS19" s="1634"/>
      <c r="WHT19" s="1634"/>
      <c r="WHU19" s="1634"/>
      <c r="WHV19" s="1634"/>
      <c r="WHW19" s="1634"/>
      <c r="WHX19" s="1634"/>
      <c r="WHY19" s="1634"/>
      <c r="WHZ19" s="1634"/>
      <c r="WIA19" s="1634"/>
      <c r="WIB19" s="1634"/>
      <c r="WIC19" s="1634"/>
      <c r="WID19" s="1634"/>
      <c r="WIE19" s="1634"/>
      <c r="WIF19" s="1634"/>
      <c r="WIG19" s="1634"/>
      <c r="WIH19" s="1634"/>
      <c r="WII19" s="1634"/>
      <c r="WIJ19" s="1634"/>
      <c r="WIK19" s="1634"/>
      <c r="WIL19" s="1634"/>
      <c r="WIM19" s="1634"/>
      <c r="WIN19" s="1634"/>
      <c r="WIO19" s="1634"/>
      <c r="WIP19" s="1634"/>
      <c r="WIQ19" s="1634"/>
      <c r="WIR19" s="1634"/>
      <c r="WIS19" s="1634"/>
      <c r="WIT19" s="1634"/>
      <c r="WIU19" s="1634"/>
      <c r="WIV19" s="1634"/>
      <c r="WIW19" s="1634"/>
      <c r="WIX19" s="1634"/>
      <c r="WIY19" s="1634"/>
      <c r="WIZ19" s="1634"/>
      <c r="WJA19" s="1634"/>
      <c r="WJB19" s="1634"/>
      <c r="WJC19" s="1634"/>
      <c r="WJD19" s="1634"/>
      <c r="WJE19" s="1634"/>
      <c r="WJF19" s="1634"/>
      <c r="WJG19" s="1634"/>
      <c r="WJH19" s="1634"/>
      <c r="WJI19" s="1634"/>
      <c r="WJJ19" s="1634"/>
      <c r="WJK19" s="1634"/>
      <c r="WJL19" s="1634"/>
      <c r="WJM19" s="1634"/>
      <c r="WJN19" s="1634"/>
      <c r="WJO19" s="1634"/>
      <c r="WJP19" s="1634"/>
      <c r="WJQ19" s="1634"/>
      <c r="WJR19" s="1634"/>
      <c r="WJS19" s="1634"/>
      <c r="WJT19" s="1634"/>
      <c r="WJU19" s="1634"/>
      <c r="WJV19" s="1634"/>
      <c r="WJW19" s="1634"/>
      <c r="WJX19" s="1634"/>
      <c r="WJY19" s="1634"/>
      <c r="WJZ19" s="1634"/>
      <c r="WKA19" s="1634"/>
      <c r="WKB19" s="1634"/>
      <c r="WKC19" s="1634"/>
      <c r="WKD19" s="1634"/>
      <c r="WKE19" s="1634"/>
      <c r="WKF19" s="1634"/>
      <c r="WKG19" s="1634"/>
      <c r="WKH19" s="1634"/>
      <c r="WKI19" s="1634"/>
      <c r="WKJ19" s="1634"/>
      <c r="WKK19" s="1634"/>
      <c r="WKL19" s="1634"/>
      <c r="WKM19" s="1634"/>
      <c r="WKN19" s="1634"/>
      <c r="WKO19" s="1634"/>
      <c r="WKP19" s="1634"/>
      <c r="WKQ19" s="1634"/>
      <c r="WKR19" s="1634"/>
      <c r="WKS19" s="1634"/>
      <c r="WKT19" s="1634"/>
      <c r="WKU19" s="1634"/>
      <c r="WKV19" s="1634"/>
      <c r="WKW19" s="1634"/>
      <c r="WKX19" s="1634"/>
      <c r="WKY19" s="1634"/>
      <c r="WKZ19" s="1634"/>
      <c r="WLA19" s="1634"/>
      <c r="WLB19" s="1634"/>
      <c r="WLC19" s="1634"/>
      <c r="WLD19" s="1634"/>
      <c r="WLE19" s="1634"/>
      <c r="WLF19" s="1634"/>
      <c r="WLG19" s="1634"/>
      <c r="WLH19" s="1634"/>
      <c r="WLI19" s="1634"/>
      <c r="WLJ19" s="1634"/>
      <c r="WLK19" s="1634"/>
      <c r="WLL19" s="1634"/>
      <c r="WLM19" s="1634"/>
      <c r="WLN19" s="1634"/>
      <c r="WLO19" s="1634"/>
      <c r="WLP19" s="1634"/>
      <c r="WLQ19" s="1634"/>
      <c r="WLR19" s="1634"/>
      <c r="WLS19" s="1634"/>
      <c r="WLT19" s="1634"/>
      <c r="WLU19" s="1634"/>
      <c r="WLV19" s="1634"/>
      <c r="WLW19" s="1634"/>
      <c r="WLX19" s="1634"/>
      <c r="WLY19" s="1634"/>
      <c r="WLZ19" s="1634"/>
      <c r="WMA19" s="1634"/>
      <c r="WMB19" s="1634"/>
      <c r="WMC19" s="1634"/>
      <c r="WMD19" s="1634"/>
      <c r="WME19" s="1634"/>
      <c r="WMF19" s="1634"/>
      <c r="WMG19" s="1634"/>
      <c r="WMH19" s="1634"/>
      <c r="WMI19" s="1634"/>
      <c r="WMJ19" s="1634"/>
      <c r="WMK19" s="1634"/>
      <c r="WML19" s="1634"/>
      <c r="WMM19" s="1634"/>
      <c r="WMN19" s="1634"/>
      <c r="WMO19" s="1634"/>
      <c r="WMP19" s="1634"/>
      <c r="WMQ19" s="1634"/>
      <c r="WMR19" s="1634"/>
      <c r="WMS19" s="1634"/>
      <c r="WMT19" s="1634"/>
      <c r="WMU19" s="1634"/>
      <c r="WMV19" s="1634"/>
      <c r="WMW19" s="1634"/>
      <c r="WMX19" s="1634"/>
      <c r="WMY19" s="1634"/>
      <c r="WMZ19" s="1634"/>
      <c r="WNA19" s="1634"/>
      <c r="WNB19" s="1634"/>
      <c r="WNC19" s="1634"/>
      <c r="WND19" s="1634"/>
      <c r="WNE19" s="1634"/>
      <c r="WNF19" s="1634"/>
      <c r="WNG19" s="1634"/>
      <c r="WNH19" s="1634"/>
      <c r="WNI19" s="1634"/>
      <c r="WNJ19" s="1634"/>
      <c r="WNK19" s="1634"/>
      <c r="WNL19" s="1634"/>
      <c r="WNM19" s="1634"/>
      <c r="WNN19" s="1634"/>
      <c r="WNO19" s="1634"/>
      <c r="WNP19" s="1634"/>
      <c r="WNQ19" s="1634"/>
      <c r="WNR19" s="1634"/>
      <c r="WNS19" s="1634"/>
      <c r="WNT19" s="1634"/>
      <c r="WNU19" s="1634"/>
      <c r="WNV19" s="1634"/>
      <c r="WNW19" s="1634"/>
      <c r="WNX19" s="1634"/>
      <c r="WNY19" s="1634"/>
      <c r="WNZ19" s="1634"/>
      <c r="WOA19" s="1634"/>
      <c r="WOB19" s="1634"/>
      <c r="WOC19" s="1634"/>
      <c r="WOD19" s="1634"/>
      <c r="WOE19" s="1634"/>
      <c r="WOF19" s="1634"/>
      <c r="WOG19" s="1634"/>
      <c r="WOH19" s="1634"/>
      <c r="WOI19" s="1634"/>
      <c r="WOJ19" s="1634"/>
      <c r="WOK19" s="1634"/>
      <c r="WOL19" s="1634"/>
      <c r="WOM19" s="1634"/>
      <c r="WON19" s="1634"/>
      <c r="WOO19" s="1634"/>
      <c r="WOP19" s="1634"/>
      <c r="WOQ19" s="1634"/>
      <c r="WOR19" s="1634"/>
      <c r="WOS19" s="1634"/>
      <c r="WOT19" s="1634"/>
      <c r="WOU19" s="1634"/>
      <c r="WOV19" s="1634"/>
      <c r="WOW19" s="1634"/>
      <c r="WOX19" s="1634"/>
      <c r="WOY19" s="1634"/>
      <c r="WOZ19" s="1634"/>
      <c r="WPA19" s="1634"/>
      <c r="WPB19" s="1634"/>
      <c r="WPC19" s="1634"/>
      <c r="WPD19" s="1634"/>
      <c r="WPE19" s="1634"/>
      <c r="WPF19" s="1634"/>
      <c r="WPG19" s="1634"/>
      <c r="WPH19" s="1634"/>
      <c r="WPI19" s="1634"/>
      <c r="WPJ19" s="1634"/>
      <c r="WPK19" s="1634"/>
      <c r="WPL19" s="1634"/>
      <c r="WPM19" s="1634"/>
      <c r="WPN19" s="1634"/>
      <c r="WPO19" s="1634"/>
      <c r="WPP19" s="1634"/>
      <c r="WPQ19" s="1634"/>
      <c r="WPR19" s="1634"/>
      <c r="WPS19" s="1634"/>
      <c r="WPT19" s="1634"/>
      <c r="WPU19" s="1634"/>
      <c r="WPV19" s="1634"/>
      <c r="WPW19" s="1634"/>
      <c r="WPX19" s="1634"/>
      <c r="WPY19" s="1634"/>
      <c r="WPZ19" s="1634"/>
      <c r="WQA19" s="1634"/>
      <c r="WQB19" s="1634"/>
      <c r="WQC19" s="1634"/>
      <c r="WQD19" s="1634"/>
      <c r="WQE19" s="1634"/>
      <c r="WQF19" s="1634"/>
      <c r="WQG19" s="1634"/>
      <c r="WQH19" s="1634"/>
      <c r="WQI19" s="1634"/>
      <c r="WQJ19" s="1634"/>
      <c r="WQK19" s="1634"/>
      <c r="WQL19" s="1634"/>
      <c r="WQM19" s="1634"/>
      <c r="WQN19" s="1634"/>
      <c r="WQO19" s="1634"/>
      <c r="WQP19" s="1634"/>
      <c r="WQQ19" s="1634"/>
      <c r="WQR19" s="1634"/>
      <c r="WQS19" s="1634"/>
      <c r="WQT19" s="1634"/>
      <c r="WQU19" s="1634"/>
      <c r="WQV19" s="1634"/>
      <c r="WQW19" s="1634"/>
      <c r="WQX19" s="1634"/>
      <c r="WQY19" s="1634"/>
      <c r="WQZ19" s="1634"/>
      <c r="WRA19" s="1634"/>
      <c r="WRB19" s="1634"/>
      <c r="WRC19" s="1634"/>
      <c r="WRD19" s="1634"/>
      <c r="WRE19" s="1634"/>
      <c r="WRF19" s="1634"/>
      <c r="WRG19" s="1634"/>
      <c r="WRH19" s="1634"/>
      <c r="WRI19" s="1634"/>
      <c r="WRJ19" s="1634"/>
      <c r="WRK19" s="1634"/>
      <c r="WRL19" s="1634"/>
      <c r="WRM19" s="1634"/>
      <c r="WRN19" s="1634"/>
      <c r="WRO19" s="1634"/>
      <c r="WRP19" s="1634"/>
      <c r="WRQ19" s="1634"/>
      <c r="WRR19" s="1634"/>
      <c r="WRS19" s="1634"/>
      <c r="WRT19" s="1634"/>
      <c r="WRU19" s="1634"/>
      <c r="WRV19" s="1634"/>
      <c r="WRW19" s="1634"/>
      <c r="WRX19" s="1634"/>
      <c r="WRY19" s="1634"/>
      <c r="WRZ19" s="1634"/>
      <c r="WSA19" s="1634"/>
      <c r="WSB19" s="1634"/>
      <c r="WSC19" s="1634"/>
      <c r="WSD19" s="1634"/>
      <c r="WSE19" s="1634"/>
      <c r="WSF19" s="1634"/>
      <c r="WSG19" s="1634"/>
      <c r="WSH19" s="1634"/>
      <c r="WSI19" s="1634"/>
      <c r="WSJ19" s="1634"/>
      <c r="WSK19" s="1634"/>
      <c r="WSL19" s="1634"/>
      <c r="WSM19" s="1634"/>
      <c r="WSN19" s="1634"/>
      <c r="WSO19" s="1634"/>
      <c r="WSP19" s="1634"/>
      <c r="WSQ19" s="1634"/>
      <c r="WSR19" s="1634"/>
      <c r="WSS19" s="1634"/>
      <c r="WST19" s="1634"/>
      <c r="WSU19" s="1634"/>
      <c r="WSV19" s="1634"/>
      <c r="WSW19" s="1634"/>
      <c r="WSX19" s="1634"/>
      <c r="WSY19" s="1634"/>
      <c r="WSZ19" s="1634"/>
      <c r="WTA19" s="1634"/>
      <c r="WTB19" s="1634"/>
      <c r="WTC19" s="1634"/>
      <c r="WTD19" s="1634"/>
      <c r="WTE19" s="1634"/>
      <c r="WTF19" s="1634"/>
      <c r="WTG19" s="1634"/>
      <c r="WTH19" s="1634"/>
      <c r="WTI19" s="1634"/>
      <c r="WTJ19" s="1634"/>
      <c r="WTK19" s="1634"/>
      <c r="WTL19" s="1634"/>
      <c r="WTM19" s="1634"/>
      <c r="WTN19" s="1634"/>
      <c r="WTO19" s="1634"/>
      <c r="WTP19" s="1634"/>
      <c r="WTQ19" s="1634"/>
      <c r="WTR19" s="1634"/>
      <c r="WTS19" s="1634"/>
      <c r="WTT19" s="1634"/>
      <c r="WTU19" s="1634"/>
      <c r="WTV19" s="1634"/>
      <c r="WTW19" s="1634"/>
      <c r="WTX19" s="1634"/>
      <c r="WTY19" s="1634"/>
      <c r="WTZ19" s="1634"/>
      <c r="WUA19" s="1634"/>
      <c r="WUB19" s="1634"/>
      <c r="WUC19" s="1634"/>
      <c r="WUD19" s="1634"/>
      <c r="WUE19" s="1634"/>
      <c r="WUF19" s="1634"/>
      <c r="WUG19" s="1634"/>
      <c r="WUH19" s="1634"/>
      <c r="WUI19" s="1634"/>
      <c r="WUJ19" s="1634"/>
      <c r="WUK19" s="1634"/>
      <c r="WUL19" s="1634"/>
      <c r="WUM19" s="1634"/>
      <c r="WUN19" s="1634"/>
      <c r="WUO19" s="1634"/>
      <c r="WUP19" s="1634"/>
      <c r="WUQ19" s="1634"/>
      <c r="WUR19" s="1634"/>
      <c r="WUS19" s="1634"/>
      <c r="WUT19" s="1634"/>
      <c r="WUU19" s="1634"/>
      <c r="WUV19" s="1634"/>
      <c r="WUW19" s="1634"/>
      <c r="WUX19" s="1634"/>
      <c r="WUY19" s="1634"/>
      <c r="WUZ19" s="1634"/>
      <c r="WVA19" s="1634"/>
      <c r="WVB19" s="1634"/>
      <c r="WVC19" s="1634"/>
      <c r="WVD19" s="1634"/>
      <c r="WVE19" s="1634"/>
      <c r="WVF19" s="1634"/>
      <c r="WVG19" s="1634"/>
      <c r="WVH19" s="1634"/>
      <c r="WVI19" s="1634"/>
      <c r="WVJ19" s="1634"/>
      <c r="WVK19" s="1634"/>
      <c r="WVL19" s="1634"/>
      <c r="WVM19" s="1634"/>
      <c r="WVN19" s="1634"/>
      <c r="WVO19" s="1634"/>
      <c r="WVP19" s="1634"/>
      <c r="WVQ19" s="1634"/>
      <c r="WVR19" s="1634"/>
      <c r="WVS19" s="1634"/>
      <c r="WVT19" s="1634"/>
      <c r="WVU19" s="1634"/>
      <c r="WVV19" s="1634"/>
      <c r="WVW19" s="1634"/>
      <c r="WVX19" s="1634"/>
      <c r="WVY19" s="1634"/>
      <c r="WVZ19" s="1634"/>
      <c r="WWA19" s="1634"/>
      <c r="WWB19" s="1634"/>
      <c r="WWC19" s="1634"/>
      <c r="WWD19" s="1634"/>
      <c r="WWE19" s="1634"/>
      <c r="WWF19" s="1634"/>
      <c r="WWG19" s="1634"/>
      <c r="WWH19" s="1634"/>
      <c r="WWI19" s="1634"/>
      <c r="WWJ19" s="1634"/>
      <c r="WWK19" s="1634"/>
      <c r="WWL19" s="1634"/>
      <c r="WWM19" s="1634"/>
      <c r="WWN19" s="1634"/>
      <c r="WWO19" s="1634"/>
      <c r="WWP19" s="1634"/>
      <c r="WWQ19" s="1634"/>
      <c r="WWR19" s="1634"/>
      <c r="WWS19" s="1634"/>
      <c r="WWT19" s="1634"/>
      <c r="WWU19" s="1634"/>
      <c r="WWV19" s="1634"/>
      <c r="WWW19" s="1634"/>
      <c r="WWX19" s="1634"/>
      <c r="WWY19" s="1634"/>
      <c r="WWZ19" s="1634"/>
      <c r="WXA19" s="1634"/>
      <c r="WXB19" s="1634"/>
      <c r="WXC19" s="1634"/>
      <c r="WXD19" s="1634"/>
      <c r="WXE19" s="1634"/>
      <c r="WXF19" s="1634"/>
      <c r="WXG19" s="1634"/>
      <c r="WXH19" s="1634"/>
      <c r="WXI19" s="1634"/>
      <c r="WXJ19" s="1634"/>
      <c r="WXK19" s="1634"/>
      <c r="WXL19" s="1634"/>
      <c r="WXM19" s="1634"/>
      <c r="WXN19" s="1634"/>
      <c r="WXO19" s="1634"/>
      <c r="WXP19" s="1634"/>
      <c r="WXQ19" s="1634"/>
      <c r="WXR19" s="1634"/>
      <c r="WXS19" s="1634"/>
      <c r="WXT19" s="1634"/>
      <c r="WXU19" s="1634"/>
      <c r="WXV19" s="1634"/>
      <c r="WXW19" s="1634"/>
      <c r="WXX19" s="1634"/>
      <c r="WXY19" s="1634"/>
      <c r="WXZ19" s="1634"/>
      <c r="WYA19" s="1634"/>
      <c r="WYB19" s="1634"/>
      <c r="WYC19" s="1634"/>
      <c r="WYD19" s="1634"/>
      <c r="WYE19" s="1634"/>
      <c r="WYF19" s="1634"/>
      <c r="WYG19" s="1634"/>
      <c r="WYH19" s="1634"/>
      <c r="WYI19" s="1634"/>
      <c r="WYJ19" s="1634"/>
      <c r="WYK19" s="1634"/>
      <c r="WYL19" s="1634"/>
      <c r="WYM19" s="1634"/>
      <c r="WYN19" s="1634"/>
      <c r="WYO19" s="1634"/>
      <c r="WYP19" s="1634"/>
      <c r="WYQ19" s="1634"/>
      <c r="WYR19" s="1634"/>
      <c r="WYS19" s="1634"/>
      <c r="WYT19" s="1634"/>
      <c r="WYU19" s="1634"/>
      <c r="WYV19" s="1634"/>
      <c r="WYW19" s="1634"/>
      <c r="WYX19" s="1634"/>
      <c r="WYY19" s="1634"/>
      <c r="WYZ19" s="1634"/>
      <c r="WZA19" s="1634"/>
      <c r="WZB19" s="1634"/>
      <c r="WZC19" s="1634"/>
      <c r="WZD19" s="1634"/>
      <c r="WZE19" s="1634"/>
      <c r="WZF19" s="1634"/>
      <c r="WZG19" s="1634"/>
      <c r="WZH19" s="1634"/>
      <c r="WZI19" s="1634"/>
      <c r="WZJ19" s="1634"/>
      <c r="WZK19" s="1634"/>
      <c r="WZL19" s="1634"/>
      <c r="WZM19" s="1634"/>
      <c r="WZN19" s="1634"/>
      <c r="WZO19" s="1634"/>
      <c r="WZP19" s="1634"/>
      <c r="WZQ19" s="1634"/>
      <c r="WZR19" s="1634"/>
      <c r="WZS19" s="1634"/>
      <c r="WZT19" s="1634"/>
      <c r="WZU19" s="1634"/>
      <c r="WZV19" s="1634"/>
      <c r="WZW19" s="1634"/>
      <c r="WZX19" s="1634"/>
      <c r="WZY19" s="1634"/>
      <c r="WZZ19" s="1634"/>
      <c r="XAA19" s="1634"/>
      <c r="XAB19" s="1634"/>
      <c r="XAC19" s="1634"/>
      <c r="XAD19" s="1634"/>
      <c r="XAE19" s="1634"/>
      <c r="XAF19" s="1634"/>
      <c r="XAG19" s="1634"/>
      <c r="XAH19" s="1634"/>
      <c r="XAI19" s="1634"/>
      <c r="XAJ19" s="1634"/>
      <c r="XAK19" s="1634"/>
      <c r="XAL19" s="1634"/>
      <c r="XAM19" s="1634"/>
      <c r="XAN19" s="1634"/>
      <c r="XAO19" s="1634"/>
      <c r="XAP19" s="1634"/>
      <c r="XAQ19" s="1634"/>
      <c r="XAR19" s="1634"/>
      <c r="XAS19" s="1634"/>
      <c r="XAT19" s="1634"/>
      <c r="XAU19" s="1634"/>
      <c r="XAV19" s="1634"/>
      <c r="XAW19" s="1634"/>
      <c r="XAX19" s="1634"/>
      <c r="XAY19" s="1634"/>
      <c r="XAZ19" s="1634"/>
      <c r="XBA19" s="1634"/>
      <c r="XBB19" s="1634"/>
      <c r="XBC19" s="1634"/>
      <c r="XBD19" s="1634"/>
      <c r="XBE19" s="1634"/>
      <c r="XBF19" s="1634"/>
      <c r="XBG19" s="1634"/>
      <c r="XBH19" s="1634"/>
      <c r="XBI19" s="1634"/>
      <c r="XBJ19" s="1634"/>
      <c r="XBK19" s="1634"/>
      <c r="XBL19" s="1634"/>
      <c r="XBM19" s="1634"/>
      <c r="XBN19" s="1634"/>
      <c r="XBO19" s="1634"/>
      <c r="XBP19" s="1634"/>
      <c r="XBQ19" s="1634"/>
      <c r="XBR19" s="1634"/>
      <c r="XBS19" s="1634"/>
      <c r="XBT19" s="1634"/>
      <c r="XBU19" s="1634"/>
      <c r="XBV19" s="1634"/>
      <c r="XBW19" s="1634"/>
      <c r="XBX19" s="1634"/>
      <c r="XBY19" s="1634"/>
      <c r="XBZ19" s="1634"/>
      <c r="XCA19" s="1634"/>
      <c r="XCB19" s="1634"/>
      <c r="XCC19" s="1634"/>
      <c r="XCD19" s="1634"/>
      <c r="XCE19" s="1634"/>
      <c r="XCF19" s="1634"/>
      <c r="XCG19" s="1634"/>
      <c r="XCH19" s="1634"/>
      <c r="XCI19" s="1634"/>
      <c r="XCJ19" s="1634"/>
      <c r="XCK19" s="1634"/>
      <c r="XCL19" s="1634"/>
      <c r="XCM19" s="1634"/>
      <c r="XCN19" s="1634"/>
      <c r="XCO19" s="1634"/>
      <c r="XCP19" s="1634"/>
      <c r="XCQ19" s="1634"/>
      <c r="XCR19" s="1634"/>
      <c r="XCS19" s="1634"/>
      <c r="XCT19" s="1634"/>
      <c r="XCU19" s="1634"/>
      <c r="XCV19" s="1634"/>
      <c r="XCW19" s="1634"/>
      <c r="XCX19" s="1634"/>
      <c r="XCY19" s="1634"/>
      <c r="XCZ19" s="1634"/>
      <c r="XDA19" s="1634"/>
      <c r="XDB19" s="1634"/>
      <c r="XDC19" s="1634"/>
      <c r="XDD19" s="1634"/>
      <c r="XDE19" s="1634"/>
      <c r="XDF19" s="1634"/>
      <c r="XDG19" s="1634"/>
      <c r="XDH19" s="1634"/>
      <c r="XDI19" s="1634"/>
      <c r="XDJ19" s="1634"/>
      <c r="XDK19" s="1634"/>
      <c r="XDL19" s="1634"/>
      <c r="XDM19" s="1634"/>
      <c r="XDN19" s="1634"/>
      <c r="XDO19" s="1634"/>
      <c r="XDP19" s="1634"/>
      <c r="XDQ19" s="1634"/>
      <c r="XDR19" s="1634"/>
      <c r="XDS19" s="1634"/>
      <c r="XDT19" s="1634"/>
      <c r="XDU19" s="1634"/>
      <c r="XDV19" s="1634"/>
      <c r="XDW19" s="1634"/>
      <c r="XDX19" s="1634"/>
      <c r="XDY19" s="1634"/>
      <c r="XDZ19" s="1634"/>
      <c r="XEA19" s="1634"/>
      <c r="XEB19" s="1634"/>
      <c r="XEC19" s="1634"/>
      <c r="XED19" s="1634"/>
      <c r="XEE19" s="1634"/>
      <c r="XEF19" s="1634"/>
      <c r="XEG19" s="1634"/>
      <c r="XEH19" s="1634"/>
      <c r="XEI19" s="1634"/>
      <c r="XEJ19" s="1634"/>
      <c r="XEK19" s="1634"/>
      <c r="XEL19" s="1634"/>
      <c r="XEM19" s="1634"/>
      <c r="XEN19" s="1634"/>
      <c r="XEO19" s="1634"/>
      <c r="XEP19" s="1634"/>
      <c r="XEQ19" s="1634"/>
      <c r="XER19" s="1634"/>
      <c r="XES19" s="1634"/>
      <c r="XET19" s="1634"/>
      <c r="XEU19" s="1634"/>
      <c r="XEV19" s="1634"/>
      <c r="XEW19" s="1634"/>
      <c r="XEX19" s="1634"/>
      <c r="XEY19" s="1634"/>
      <c r="XEZ19" s="1634"/>
      <c r="XFA19" s="1634"/>
      <c r="XFB19" s="1634"/>
      <c r="XFC19" s="1634"/>
      <c r="XFD19" s="1634"/>
    </row>
    <row r="20" spans="2:16384" s="142" customFormat="1" x14ac:dyDescent="0.2">
      <c r="B20" s="3"/>
      <c r="C20" s="844" t="s">
        <v>7391</v>
      </c>
      <c r="D20" s="1783"/>
      <c r="E20" s="1360" t="s">
        <v>7386</v>
      </c>
      <c r="F20" s="852"/>
      <c r="G20" s="544">
        <f>'TRA89'!BA68</f>
      </c>
      <c r="H20" s="561"/>
      <c r="I20" s="544">
        <f t="shared" ref="I20:I25" si="10">SUM(F20:H20)</f>
      </c>
      <c r="J20" s="222" t="str">
        <f t="shared" si="6"/>
        <v/>
      </c>
      <c r="K20" s="1780"/>
      <c r="L20" s="1736">
        <f t="shared" si="9"/>
        <v>0</v>
      </c>
      <c r="M20" s="1634"/>
      <c r="N20" s="1736">
        <f t="shared" si="7"/>
        <v>0</v>
      </c>
      <c r="O20" s="32">
        <f t="shared" si="8"/>
        <v>0</v>
      </c>
      <c r="P20" s="28">
        <f t="shared" si="5"/>
        <v>0</v>
      </c>
    </row>
    <row r="21" spans="2:16384" s="142" customFormat="1" x14ac:dyDescent="0.2">
      <c r="B21" s="3"/>
      <c r="C21" s="844" t="s">
        <v>8089</v>
      </c>
      <c r="D21" s="1783"/>
      <c r="E21" s="1360" t="s">
        <v>7992</v>
      </c>
      <c r="F21" s="852"/>
      <c r="G21" s="544">
        <f>'TRA96'!J61</f>
      </c>
      <c r="H21" s="561"/>
      <c r="I21" s="544">
        <f t="shared" si="10"/>
        <v>0</v>
      </c>
      <c r="J21" s="222" t="str">
        <f t="shared" si="6"/>
        <v/>
      </c>
      <c r="K21" s="1780"/>
      <c r="L21" s="1736">
        <f t="shared" si="9"/>
        <v>0</v>
      </c>
      <c r="N21" s="1736">
        <f t="shared" si="7"/>
        <v>0</v>
      </c>
      <c r="O21" s="32">
        <f t="shared" si="8"/>
        <v>0</v>
      </c>
      <c r="P21" s="28">
        <f t="shared" si="5"/>
        <v>0</v>
      </c>
    </row>
    <row r="22" spans="2:16384" s="142" customFormat="1" x14ac:dyDescent="0.2">
      <c r="B22" s="3"/>
      <c r="C22" s="844" t="s">
        <v>8111</v>
      </c>
      <c r="D22" s="844"/>
      <c r="E22" s="1360" t="s">
        <v>7993</v>
      </c>
      <c r="F22" s="852"/>
      <c r="G22" s="544">
        <f>'TRA97'!D41</f>
      </c>
      <c r="H22" s="561"/>
      <c r="I22" s="544">
        <f t="shared" si="10"/>
        <v>0</v>
      </c>
      <c r="J22" s="222" t="str">
        <f>IF(O22=0,"",IF(P22&lt;&gt;2,reo,IF(I22&lt;0,neg,"")))</f>
        <v/>
      </c>
      <c r="K22" s="1780"/>
      <c r="L22" s="1736">
        <f t="shared" si="9"/>
        <v>0</v>
      </c>
      <c r="N22" s="1736">
        <f t="shared" si="7"/>
        <v>0</v>
      </c>
      <c r="O22" s="32">
        <f t="shared" si="8"/>
        <v>0</v>
      </c>
      <c r="P22" s="28">
        <f t="shared" si="5"/>
        <v>0</v>
      </c>
    </row>
    <row r="23" spans="2:16384" s="142" customFormat="1" x14ac:dyDescent="0.2">
      <c r="B23" s="3"/>
      <c r="C23" s="844" t="s">
        <v>8330</v>
      </c>
      <c r="D23" s="844"/>
      <c r="E23" s="1360" t="s">
        <v>7996</v>
      </c>
      <c r="F23" s="852"/>
      <c r="G23" s="544">
        <f>'TRA100'!I71</f>
      </c>
      <c r="H23" s="561"/>
      <c r="I23" s="544">
        <f t="shared" si="10"/>
        <v>0</v>
      </c>
      <c r="J23" s="222" t="str">
        <f>IF(O23=0,"",IF(P23&lt;&gt;2,reo,IF(I23&lt;0,neg,"")))</f>
        <v/>
      </c>
      <c r="K23" s="1780"/>
      <c r="L23" s="1736">
        <f t="shared" si="9"/>
        <v>0</v>
      </c>
      <c r="N23" s="1736">
        <f>IF(O23&lt;=0,0,O23*-1)</f>
      </c>
      <c r="O23" s="32">
        <f>F23+G23</f>
      </c>
      <c r="P23" s="28">
        <f t="shared" si="5"/>
        <v>0</v>
      </c>
    </row>
    <row r="24" spans="2:16384" s="142" customFormat="1" x14ac:dyDescent="0.2">
      <c r="B24" s="3"/>
      <c r="C24" s="844" t="s">
        <v>10137</v>
      </c>
      <c r="D24" s="844"/>
      <c r="E24" s="1360" t="s">
        <v>10116</v>
      </c>
      <c r="F24" s="852"/>
      <c r="G24" s="544">
        <f>'TRA119'!K57</f>
      </c>
      <c r="H24" s="561"/>
      <c r="I24" s="544">
        <f t="shared" si="10"/>
        <v>0</v>
      </c>
      <c r="J24" s="222" t="str">
        <f>IF(O24=0,"",IF(P24&lt;&gt;2,reo,IF(I24&lt;0,neg,"")))</f>
        <v/>
      </c>
      <c r="K24" s="1780"/>
      <c r="L24" s="1736">
        <f t="shared" si="9"/>
        <v>0</v>
      </c>
      <c r="N24" s="1736">
        <f>IF(O24&lt;=0,0,O24*-1)</f>
      </c>
      <c r="O24" s="32">
        <f>F24+G24</f>
      </c>
      <c r="P24" s="28">
        <f t="shared" si="5"/>
        <v>0</v>
      </c>
    </row>
    <row r="25" spans="2:16384" s="142" customFormat="1" x14ac:dyDescent="0.2">
      <c r="B25" s="3"/>
      <c r="C25" s="844" t="s">
        <v>10497</v>
      </c>
      <c r="D25" s="844"/>
      <c r="E25" s="1360" t="s">
        <v>10493</v>
      </c>
      <c r="F25" s="852"/>
      <c r="G25" s="544">
        <f>'TRA129'!H33</f>
      </c>
      <c r="H25" s="561"/>
      <c r="I25" s="544">
        <f t="shared" si="10"/>
        <v>0</v>
      </c>
      <c r="J25" s="222" t="str">
        <f>IF(O25=0,"",IF(P25&lt;&gt;2,reo,IF(I25&lt;0,neg,"")))</f>
        <v/>
      </c>
      <c r="K25" s="1780"/>
      <c r="L25" s="1736">
        <f t="shared" si="9"/>
        <v>0</v>
      </c>
      <c r="N25" s="1736">
        <f>IF(O25&lt;=0,0,O25*-1)</f>
      </c>
      <c r="O25" s="32">
        <f>F25+G25</f>
      </c>
      <c r="P25" s="28">
        <f t="shared" si="5"/>
        <v>0</v>
      </c>
    </row>
    <row r="26" spans="2:16384" s="142" customFormat="1" hidden="1" x14ac:dyDescent="0.2">
      <c r="P26" s="28">
        <f t="shared" si="5"/>
        <v>0</v>
      </c>
    </row>
    <row r="27" spans="2:16384" s="142" customFormat="1" hidden="1" x14ac:dyDescent="0.2">
      <c r="P27" s="28">
        <f t="shared" si="5"/>
        <v>0</v>
      </c>
    </row>
    <row r="28" spans="2:16384" s="142" customFormat="1" hidden="1" x14ac:dyDescent="0.2">
      <c r="P28" s="28">
        <f t="shared" si="5"/>
        <v>0</v>
      </c>
    </row>
    <row r="29" spans="2:16384" x14ac:dyDescent="0.2">
      <c r="B29" s="3"/>
      <c r="C29" s="855" t="s">
        <v>463</v>
      </c>
      <c r="D29" s="856"/>
      <c r="E29" s="245"/>
      <c r="F29" s="852"/>
      <c r="G29" s="852"/>
      <c r="H29" s="561"/>
      <c r="I29" s="544">
        <f>SUM(F29:H29)</f>
      </c>
      <c r="J29" s="222" t="str">
        <f>IF(O29=0,"",IF(P29&lt;&gt;3,reo,IF(I29&lt;0,neg,"")))</f>
        <v/>
      </c>
      <c r="K29" s="3"/>
      <c r="L29" s="28">
        <f>IF(J29=reo,1,0)</f>
      </c>
      <c r="N29" s="28">
        <f>IF(O29&lt;=0,0,O29*-1)</f>
      </c>
      <c r="O29" s="32">
        <f>F29+G29</f>
      </c>
      <c r="P29" s="28">
        <f>COUNT(F29:H29)</f>
      </c>
    </row>
    <row r="30" spans="2:16384" x14ac:dyDescent="0.2">
      <c r="B30" s="3"/>
      <c r="C30" s="1358" t="s">
        <v>3988</v>
      </c>
      <c r="D30" s="862"/>
      <c r="E30" s="1288"/>
      <c r="F30" s="86"/>
      <c r="G30" s="86"/>
      <c r="H30" s="607"/>
      <c r="I30" s="10"/>
      <c r="J30" s="222"/>
      <c r="K30" s="3"/>
    </row>
    <row r="31" spans="2:16384" x14ac:dyDescent="0.2">
      <c r="B31" s="3"/>
      <c r="C31" s="1173" t="s">
        <v>6514</v>
      </c>
      <c r="D31" s="1287" t="s">
        <v>6310</v>
      </c>
      <c r="E31" s="1360" t="s">
        <v>6232</v>
      </c>
      <c r="F31" s="852"/>
      <c r="G31" s="535">
        <f>'TRA74'!Q32</f>
      </c>
      <c r="H31" s="561"/>
      <c r="I31" s="535">
        <f>SUM(F31:H31)</f>
      </c>
      <c r="J31" s="222" t="str">
        <f>IF(S31=0,"",IF(P31=0,"",IF(AC31&lt;&gt;2,"",IF(R31&lt;&gt;1," Legislation!",IF(Q31&lt;&gt;3,reo,IF(I31&lt;0,neg,IF(AND(ya=2012,F31&gt;0),"No b/fwd in y/a 2012!","")))))))</f>
        <v/>
      </c>
      <c r="K31" s="3"/>
      <c r="L31" s="28">
        <f>IF(J31="",0,IF(J31=neg,0,1))</f>
      </c>
      <c r="N31" s="28">
        <f>IF(O31&lt;=0,0,O31*-1)</f>
      </c>
      <c r="O31" s="32">
        <f>F31+G31</f>
      </c>
      <c r="P31" s="28">
        <f>R31+Q31</f>
      </c>
      <c r="Q31" s="28">
        <f>COUNT(F31:H31)</f>
      </c>
      <c r="R31" s="28">
        <f>COUNTA(D31)</f>
      </c>
      <c r="S31" s="28">
        <f>Q31+R31</f>
      </c>
      <c r="V31" s="28">
        <f>IF(D31=cis,-9.99999999999999E+21,0)</f>
      </c>
      <c r="W31" s="28">
        <f>IF(D31=cis,0,9.99999999999999E+33)</f>
      </c>
      <c r="AA31" s="28">
        <f>IF(ya=2012,0,9.99999999999999E+27)</f>
      </c>
      <c r="AC31" s="28">
        <f>'p2'!O28+'p2'!T28</f>
      </c>
    </row>
    <row r="32" spans="2:16384" hidden="1" x14ac:dyDescent="0.2">
      <c r="B32" s="3"/>
      <c r="C32" s="663" t="s">
        <v>6514</v>
      </c>
      <c r="D32" s="1287" t="s">
        <v>10770</v>
      </c>
      <c r="E32" s="1360" t="s">
        <v>972</v>
      </c>
      <c r="F32" s="1170"/>
      <c r="G32" s="535">
        <f>'p6'!O27</f>
      </c>
      <c r="H32" s="1171"/>
      <c r="I32" s="1172">
        <f>SUM(F32:H32)</f>
      </c>
      <c r="J32" s="222" t="str">
        <f>IF(O32=0,"",IF(P32&lt;&gt;2,reo,IF(I32&lt;0,neg,"")))</f>
        <v/>
      </c>
      <c r="K32" s="3"/>
      <c r="L32" s="28">
        <f>IF(J32="",0,IF(J32=neg,0,1))</f>
      </c>
      <c r="N32" s="28">
        <f>IF(O32&lt;=0,0,O32*-1)</f>
      </c>
      <c r="O32" s="32">
        <f>F32+G32</f>
      </c>
      <c r="P32" s="28">
        <f t="shared" ref="P32" si="11">COUNT(F32,H32)</f>
      </c>
    </row>
    <row r="33" spans="2:29" x14ac:dyDescent="0.2">
      <c r="B33" s="3"/>
      <c r="C33" s="1169" t="s">
        <v>3707</v>
      </c>
      <c r="D33" s="240"/>
      <c r="E33" s="1176"/>
      <c r="F33" s="852"/>
      <c r="G33" s="510"/>
      <c r="H33" s="561"/>
      <c r="I33" s="535">
        <f>SUM(F33:H33)</f>
      </c>
      <c r="J33" s="222" t="str">
        <f>IF(S33=0,"",IF(P33=0,"",IF(R33&lt;&gt;1," Legislation!",IF(Q33&lt;&gt;3,reo,IF(I33&lt;0,neg,"")))))</f>
        <v/>
      </c>
      <c r="K33" s="3"/>
      <c r="L33" s="28">
        <f>IF(J33="",0,IF(J33=neg,0,1))</f>
      </c>
      <c r="N33" s="28">
        <f>IF(O33&lt;=0,0,O33*-1)</f>
      </c>
      <c r="O33" s="32">
        <f>F33+G33</f>
      </c>
      <c r="P33" s="28">
        <f>R33+Q33</f>
      </c>
      <c r="Q33" s="28">
        <f>COUNT(F33:H33)</f>
      </c>
      <c r="R33" s="28">
        <f>COUNTA(D33)</f>
      </c>
      <c r="S33" s="28">
        <f>Q33+R33</f>
      </c>
      <c r="Y33" s="28">
        <f>IF(AND(ya&lt;2010,G35&lt;0),1,0)</f>
      </c>
      <c r="Z33" s="28" t="str">
        <f>IF(ya&gt;2009,"","Collective Investment Scheme - Adjustment Y/A "&amp;ya)</f>
        <v/>
      </c>
      <c r="AC33" s="84">
        <f>G29+G31+G32+G33</f>
      </c>
    </row>
    <row r="34" spans="2:29" ht="12.75" customHeight="1" x14ac:dyDescent="0.2">
      <c r="B34" s="3"/>
      <c r="C34" s="1358" t="s">
        <v>1711</v>
      </c>
      <c r="D34" s="862"/>
      <c r="E34" s="843"/>
      <c r="F34" s="523"/>
      <c r="G34" s="523"/>
      <c r="H34" s="476"/>
      <c r="I34" s="1174"/>
      <c r="J34" s="222"/>
      <c r="K34" s="3"/>
    </row>
    <row r="35" spans="2:29" x14ac:dyDescent="0.2">
      <c r="B35" s="3"/>
      <c r="C35" s="1173" t="s">
        <v>6514</v>
      </c>
      <c r="D35" s="838" t="s">
        <v>5978</v>
      </c>
      <c r="E35" s="399"/>
      <c r="F35" s="1193"/>
      <c r="G35" s="510"/>
      <c r="H35" s="1059"/>
      <c r="I35" s="1153">
        <f>SUM(F35:H35)</f>
      </c>
      <c r="J35" s="222" t="str">
        <f>IF(AND(AC35&lt;&gt;2,G35&lt;0)," Not a CIS on page 2!",IF(AND(AC35=2,G35="")," Amount!",""))</f>
        <v/>
      </c>
      <c r="K35" s="3"/>
      <c r="L35" s="28">
        <f>IF(J35="",0,1)</f>
      </c>
      <c r="M35" s="28">
        <f>IF(N35&lt;0,0,N35*-1)</f>
      </c>
      <c r="N35" s="84">
        <f>SUM(I9:I33)</f>
      </c>
      <c r="AB35" s="28">
        <f>COUNT(G35:G36)</f>
      </c>
      <c r="AC35" s="84">
        <f>'p2'!O25+'p2'!T25</f>
      </c>
    </row>
    <row r="36" spans="2:29" x14ac:dyDescent="0.2">
      <c r="B36" s="3"/>
      <c r="C36" s="1173" t="s">
        <v>6514</v>
      </c>
      <c r="D36" s="1167"/>
      <c r="E36" s="1176"/>
      <c r="F36" s="1193"/>
      <c r="G36" s="510"/>
      <c r="H36" s="1059"/>
      <c r="I36" s="1153">
        <f>SUM(F36:H36)</f>
      </c>
      <c r="J36" s="222" t="str">
        <f>IF(AND(D36="",G36&lt;&gt;"")," Legislation!",IF(AND(D36&lt;&gt;"",G36="")," Amount!",""))</f>
        <v/>
      </c>
      <c r="K36" s="3"/>
      <c r="L36" s="28">
        <f>IF(J36="",0,1)</f>
      </c>
      <c r="M36" s="28">
        <f>IF(N36&lt;0,0,N36*-1)</f>
      </c>
      <c r="N36" s="84">
        <f>N35+G35</f>
      </c>
      <c r="O36" s="28">
        <f>COUNTA(D36,G36)</f>
      </c>
    </row>
    <row r="37" spans="2:29" hidden="1" x14ac:dyDescent="0.2">
      <c r="B37" s="3"/>
      <c r="C37" s="142"/>
      <c r="D37" s="142"/>
      <c r="E37" s="142"/>
      <c r="F37" s="142"/>
      <c r="G37" s="142"/>
      <c r="H37" s="142"/>
      <c r="I37" s="142"/>
      <c r="J37" s="222" t="str">
        <f>IF(AND(D37="",G37&lt;&gt;"")," Legislation!",IF(AND(D37&lt;&gt;"",G37="")," Amount!",""))</f>
        <v/>
      </c>
      <c r="K37" s="3"/>
      <c r="M37" s="28">
        <f>N37*-1</f>
      </c>
      <c r="N37" s="84">
        <f>N36+G36</f>
      </c>
    </row>
    <row r="38" spans="2:29" x14ac:dyDescent="0.2">
      <c r="B38" s="3"/>
      <c r="C38" s="1111" t="str">
        <f>EUR</f>
        <v/>
      </c>
      <c r="D38" s="3"/>
      <c r="E38" s="3"/>
      <c r="F38" s="3"/>
      <c r="G38" s="3"/>
      <c r="H38" s="3"/>
      <c r="I38" s="3"/>
      <c r="J38" s="3"/>
      <c r="K38" s="3"/>
    </row>
    <row r="40" spans="2:29" hidden="1" x14ac:dyDescent="0.2">
      <c r="H40" s="139"/>
    </row>
    <row r="41" spans="2:29" hidden="1" x14ac:dyDescent="0.2">
      <c r="H41" s="139"/>
    </row>
    <row r="42" spans="2:29" hidden="1" x14ac:dyDescent="0.2">
      <c r="H42" s="139"/>
    </row>
    <row r="43" spans="2:29" hidden="1" x14ac:dyDescent="0.2">
      <c r="H43" s="139"/>
    </row>
    <row r="44" spans="2:29" hidden="1" x14ac:dyDescent="0.2">
      <c r="H44" s="139"/>
    </row>
    <row r="45" spans="2:29" hidden="1" x14ac:dyDescent="0.2">
      <c r="H45" s="139"/>
    </row>
    <row r="46" spans="2:29" hidden="1" x14ac:dyDescent="0.2">
      <c r="H46" s="139"/>
    </row>
    <row r="47" spans="2:29" hidden="1" x14ac:dyDescent="0.2">
      <c r="H47" s="139"/>
    </row>
    <row r="48" spans="2:29" hidden="1" x14ac:dyDescent="0.2">
      <c r="H48" s="139"/>
    </row>
    <row r="49" spans="2:29" hidden="1" x14ac:dyDescent="0.2">
      <c r="H49" s="139"/>
    </row>
    <row r="50" spans="2:29" hidden="1" x14ac:dyDescent="0.2">
      <c r="H50" s="139"/>
    </row>
    <row r="51" spans="2:29" x14ac:dyDescent="0.2">
      <c r="B51" s="3"/>
      <c r="C51" s="411" t="s">
        <v>2593</v>
      </c>
      <c r="D51" s="350"/>
      <c r="E51" s="1347" t="s">
        <v>972</v>
      </c>
      <c r="F51" s="544">
        <f>SUM(F9:F29,F31:F33)</f>
      </c>
      <c r="G51" s="544">
        <f>IF(AC35&lt;&gt;2,SUM(G9:G33,G36),SUM(G9:G29,G31:G33,G35:G36))</f>
      </c>
      <c r="H51" s="544">
        <f>SUM(H9:H29,H31:H33)</f>
      </c>
      <c r="I51" s="544">
        <f>IF(AC35&lt;&gt;2,SUM(I9:I29,I31:I33,I36),SUM(I9:I29,I31:I33,I35:I36))</f>
      </c>
      <c r="J51" s="222" t="str">
        <f>IF(I51&lt;0,neg,"")</f>
        <v/>
      </c>
      <c r="K51" s="3"/>
      <c r="L51" s="28">
        <f>SUM(L9:L37)</f>
      </c>
      <c r="M51" s="84">
        <f>SUM(F51:I51)</f>
      </c>
      <c r="AC51" s="84">
        <f>SUM(G9:G29,G31:G33)</f>
      </c>
    </row>
    <row r="52" spans="2:29" ht="6.75" customHeight="1" x14ac:dyDescent="0.2">
      <c r="B52" s="3"/>
      <c r="C52" s="3"/>
      <c r="D52" s="3"/>
      <c r="E52" s="3"/>
      <c r="F52" s="3"/>
      <c r="G52" s="3"/>
      <c r="H52" s="72"/>
      <c r="I52" s="3"/>
      <c r="J52" s="3"/>
      <c r="K52" s="3"/>
    </row>
    <row r="53" spans="2:29" ht="24.75" customHeight="1" x14ac:dyDescent="0.2">
      <c r="B53" s="3"/>
      <c r="C53" s="818" t="str">
        <f>_xlfn.SINGLE(MTCA)</f>
      </c>
      <c r="D53" s="857"/>
      <c r="E53" s="63" t="str">
        <f>ver</f>
        <v>TA2_e-CO_2025_Ver 1.1</v>
      </c>
      <c r="F53" s="857"/>
      <c r="G53" s="857"/>
      <c r="H53" s="858"/>
      <c r="I53" s="859" t="s">
        <v>6131</v>
      </c>
      <c r="J53" s="3"/>
      <c r="K53" s="3"/>
      <c r="AB53" s="28" t="s">
        <v>5806</v>
      </c>
      <c r="AC53" s="84"/>
    </row>
    <row r="54" spans="2:29" ht="15" x14ac:dyDescent="0.2">
      <c r="B54" s="3"/>
      <c r="C54" s="3"/>
      <c r="D54" s="563" t="str">
        <f>COM&amp;"  "</f>
        <v xml:space="preserve">IS ATTACHMENT COMPLETE [Y or N] ?  </v>
      </c>
      <c r="E54" s="569" t="s">
        <v>4457</v>
      </c>
      <c r="F54" s="1276" t="str">
        <f>IF(AND(F51+G51&gt;0,E54=""),re,"")</f>
        <v/>
      </c>
      <c r="G54" s="3"/>
      <c r="H54" s="1361" t="s">
        <v>365</v>
      </c>
      <c r="I54" s="3"/>
      <c r="J54" s="3"/>
      <c r="K54" s="3"/>
      <c r="L54" s="28">
        <f>IF(AND(notifd=1,W54=0),0,IF(L51&lt;&gt;0,100,IF(E54=y,1,100)))</f>
      </c>
      <c r="O54" s="28">
        <f>COUNT(F9:F15,F29,G29,H29,H9:H15,F31:H33,D31:D33)</f>
      </c>
      <c r="W54" s="192">
        <f>COUNTA(F9:F29,H9:H29,G29,F31:H33,G35:G37,D31:D33,D36:D37)</f>
      </c>
      <c r="AB54" s="28" t="s">
        <v>363</v>
      </c>
    </row>
    <row r="55" spans="2:29" x14ac:dyDescent="0.2">
      <c r="B55" s="860"/>
      <c r="C55" s="860"/>
      <c r="D55" s="860"/>
      <c r="E55" s="860"/>
      <c r="F55" s="860"/>
      <c r="G55" s="860"/>
      <c r="H55" s="861"/>
      <c r="I55" s="860"/>
      <c r="J55" s="860"/>
      <c r="K55" s="860"/>
      <c r="AB55" s="28" t="s">
        <v>2372</v>
      </c>
    </row>
    <row r="56" spans="2:29" hidden="1" x14ac:dyDescent="0.2">
      <c r="H56" s="139"/>
    </row>
    <row r="57" spans="2:29" hidden="1" x14ac:dyDescent="0.2">
      <c r="H57" s="139"/>
    </row>
    <row r="58" spans="2:29" hidden="1" x14ac:dyDescent="0.2">
      <c r="H58" s="139"/>
    </row>
    <row r="59" spans="2:29" hidden="1" x14ac:dyDescent="0.2">
      <c r="C59" s="28" t="s">
        <v>4457</v>
      </c>
      <c r="H59" s="139"/>
    </row>
    <row r="60" spans="2:29" hidden="1" x14ac:dyDescent="0.2">
      <c r="C60" s="28" t="s">
        <v>1736</v>
      </c>
      <c r="H60" s="139"/>
    </row>
    <row r="61" spans="2:29" hidden="1" x14ac:dyDescent="0.2">
      <c r="H61" s="139"/>
    </row>
    <row r="62" spans="2:29" hidden="1" x14ac:dyDescent="0.2">
      <c r="H62" s="139"/>
    </row>
    <row r="63" spans="2:29" hidden="1" x14ac:dyDescent="0.2">
      <c r="H63" s="139"/>
    </row>
    <row r="64" spans="2:29" hidden="1" x14ac:dyDescent="0.2">
      <c r="H64" s="139"/>
    </row>
    <row r="65" spans="8:8" hidden="1" x14ac:dyDescent="0.2">
      <c r="H65" s="139"/>
    </row>
    <row r="66" spans="8:8" hidden="1" x14ac:dyDescent="0.2">
      <c r="H66" s="139"/>
    </row>
    <row r="67" spans="8:8" hidden="1" x14ac:dyDescent="0.2">
      <c r="H67" s="139"/>
    </row>
    <row r="68" spans="8:8" hidden="1" x14ac:dyDescent="0.2">
      <c r="H68" s="139"/>
    </row>
    <row r="69" spans="8:8" hidden="1" x14ac:dyDescent="0.2">
      <c r="H69" s="139"/>
    </row>
    <row r="70" spans="8:8" hidden="1" x14ac:dyDescent="0.2">
      <c r="H70" s="139"/>
    </row>
    <row r="71" spans="8:8" hidden="1" x14ac:dyDescent="0.2">
      <c r="H71" s="139"/>
    </row>
    <row r="72" spans="8:8" hidden="1" x14ac:dyDescent="0.2">
      <c r="H72" s="139"/>
    </row>
    <row r="73" spans="8:8" hidden="1" x14ac:dyDescent="0.2">
      <c r="H73" s="139"/>
    </row>
    <row r="74" spans="8:8" hidden="1" x14ac:dyDescent="0.2">
      <c r="H74" s="139"/>
    </row>
    <row r="75" spans="8:8" hidden="1" x14ac:dyDescent="0.2">
      <c r="H75" s="139"/>
    </row>
    <row r="76" spans="8:8" hidden="1" x14ac:dyDescent="0.2">
      <c r="H76" s="139"/>
    </row>
    <row r="77" spans="8:8" hidden="1" x14ac:dyDescent="0.2">
      <c r="H77" s="139"/>
    </row>
    <row r="78" spans="8:8" hidden="1" x14ac:dyDescent="0.2">
      <c r="H78" s="139"/>
    </row>
    <row r="79" spans="8:8" hidden="1" x14ac:dyDescent="0.2">
      <c r="H79" s="139"/>
    </row>
    <row r="80" spans="8:8" hidden="1" x14ac:dyDescent="0.2">
      <c r="H80" s="139"/>
    </row>
    <row r="81" spans="8:8" hidden="1" x14ac:dyDescent="0.2">
      <c r="H81" s="139"/>
    </row>
    <row r="82" spans="8:8" hidden="1" x14ac:dyDescent="0.2">
      <c r="H82" s="139"/>
    </row>
    <row r="83" spans="8:8" hidden="1" x14ac:dyDescent="0.2">
      <c r="H83" s="139"/>
    </row>
    <row r="84" spans="8:8" hidden="1" x14ac:dyDescent="0.2">
      <c r="H84" s="139"/>
    </row>
    <row r="85" spans="8:8" hidden="1" x14ac:dyDescent="0.2">
      <c r="H85" s="139"/>
    </row>
    <row r="86" spans="8:8" hidden="1" x14ac:dyDescent="0.2">
      <c r="H86" s="139"/>
    </row>
    <row r="87" spans="8:8" hidden="1" x14ac:dyDescent="0.2">
      <c r="H87" s="139"/>
    </row>
    <row r="88" spans="8:8" hidden="1" x14ac:dyDescent="0.2">
      <c r="H88" s="139"/>
    </row>
    <row r="89" spans="8:8" hidden="1" x14ac:dyDescent="0.2">
      <c r="H89" s="139"/>
    </row>
    <row r="90" spans="8:8" hidden="1" x14ac:dyDescent="0.2">
      <c r="H90" s="139"/>
    </row>
    <row r="91" spans="8:8" hidden="1" x14ac:dyDescent="0.2">
      <c r="H91" s="139"/>
    </row>
    <row r="92" spans="8:8" hidden="1" x14ac:dyDescent="0.2">
      <c r="H92" s="139"/>
    </row>
    <row r="93" spans="8:8" hidden="1" x14ac:dyDescent="0.2">
      <c r="H93" s="139"/>
    </row>
    <row r="94" spans="8:8" hidden="1" x14ac:dyDescent="0.2">
      <c r="H94" s="139"/>
    </row>
    <row r="95" spans="8:8" hidden="1" x14ac:dyDescent="0.2">
      <c r="H95" s="139"/>
    </row>
    <row r="96" spans="8:8" hidden="1" x14ac:dyDescent="0.2">
      <c r="H96" s="139"/>
    </row>
    <row r="97" spans="2:11" hidden="1" x14ac:dyDescent="0.2">
      <c r="H97" s="139"/>
    </row>
    <row r="98" spans="2:11" hidden="1" x14ac:dyDescent="0.2">
      <c r="H98" s="139"/>
    </row>
    <row r="99" spans="2:11" hidden="1" x14ac:dyDescent="0.2">
      <c r="H99" s="139"/>
    </row>
    <row r="100" spans="2:11" hidden="1" x14ac:dyDescent="0.2">
      <c r="H100" s="139"/>
    </row>
    <row r="101" spans="2:11" hidden="1" x14ac:dyDescent="0.2">
      <c r="H101" s="139"/>
    </row>
    <row r="102" spans="2:11" hidden="1" x14ac:dyDescent="0.2">
      <c r="B102" s="3"/>
      <c r="C102" s="3"/>
      <c r="D102" s="3"/>
      <c r="E102" s="3"/>
      <c r="F102" s="86"/>
      <c r="G102" s="86"/>
      <c r="H102" s="607"/>
      <c r="I102" s="86"/>
      <c r="J102" s="3"/>
      <c r="K102" s="3"/>
    </row>
    <row r="103" spans="2:11" hidden="1" x14ac:dyDescent="0.2">
      <c r="B103" s="3"/>
      <c r="C103" s="3"/>
      <c r="D103" s="3"/>
      <c r="E103" s="3"/>
      <c r="F103" s="86"/>
      <c r="G103" s="86"/>
      <c r="H103" s="607"/>
      <c r="I103" s="86"/>
      <c r="J103" s="3"/>
      <c r="K103" s="3"/>
    </row>
    <row r="104" spans="2:11" hidden="1" x14ac:dyDescent="0.2">
      <c r="B104" s="3"/>
      <c r="C104" s="3"/>
      <c r="D104" s="3"/>
      <c r="E104" s="3"/>
      <c r="F104" s="86"/>
      <c r="G104" s="86"/>
      <c r="H104" s="86"/>
      <c r="I104" s="86"/>
      <c r="J104" s="3"/>
      <c r="K104" s="3"/>
    </row>
    <row r="105" spans="2:11" hidden="1" x14ac:dyDescent="0.2">
      <c r="F105" s="606"/>
      <c r="G105" s="606"/>
      <c r="H105" s="606"/>
      <c r="I105" s="606"/>
    </row>
    <row r="106" spans="2:11" hidden="1" x14ac:dyDescent="0.2">
      <c r="F106" s="606"/>
      <c r="G106" s="606"/>
      <c r="H106" s="606"/>
      <c r="I106" s="606"/>
    </row>
    <row r="107" spans="2:11" hidden="1" x14ac:dyDescent="0.2">
      <c r="F107" s="606"/>
      <c r="G107" s="606"/>
      <c r="H107" s="606"/>
      <c r="I107" s="606"/>
    </row>
    <row r="108" spans="2:11" hidden="1" x14ac:dyDescent="0.2">
      <c r="F108" s="606"/>
      <c r="G108" s="606"/>
      <c r="H108" s="606"/>
      <c r="I108" s="606"/>
    </row>
    <row r="109" spans="2:11" hidden="1" x14ac:dyDescent="0.2">
      <c r="F109" s="606"/>
      <c r="G109" s="606"/>
      <c r="H109" s="606"/>
      <c r="I109" s="606"/>
    </row>
    <row r="110" spans="2:11" hidden="1" x14ac:dyDescent="0.2">
      <c r="F110" s="606"/>
      <c r="G110" s="606"/>
      <c r="H110" s="606"/>
      <c r="I110" s="606"/>
    </row>
    <row r="111" spans="2:11" hidden="1" x14ac:dyDescent="0.2">
      <c r="F111" s="606"/>
      <c r="G111" s="606"/>
      <c r="H111" s="606"/>
      <c r="I111" s="606"/>
    </row>
    <row r="112" spans="2:11" hidden="1" x14ac:dyDescent="0.2">
      <c r="F112" s="606"/>
      <c r="G112" s="606"/>
      <c r="H112" s="606"/>
      <c r="I112" s="606"/>
    </row>
    <row r="113" spans="6:9" hidden="1" x14ac:dyDescent="0.2">
      <c r="F113" s="606"/>
      <c r="G113" s="606"/>
      <c r="H113" s="606"/>
      <c r="I113" s="606"/>
    </row>
    <row r="114" spans="6:9" hidden="1" x14ac:dyDescent="0.2">
      <c r="F114" s="606"/>
      <c r="G114" s="606"/>
      <c r="H114" s="606"/>
      <c r="I114" s="606"/>
    </row>
    <row r="115" spans="6:9" hidden="1" x14ac:dyDescent="0.2">
      <c r="F115" s="606"/>
      <c r="G115" s="606"/>
      <c r="H115" s="606"/>
      <c r="I115" s="606"/>
    </row>
    <row r="116" spans="6:9" hidden="1" x14ac:dyDescent="0.2">
      <c r="F116" s="606"/>
      <c r="G116" s="606"/>
      <c r="H116" s="606"/>
      <c r="I116" s="606"/>
    </row>
    <row r="117" spans="6:9" hidden="1" x14ac:dyDescent="0.2">
      <c r="F117" s="606"/>
      <c r="G117" s="606"/>
      <c r="H117" s="606"/>
      <c r="I117" s="606"/>
    </row>
    <row r="118" spans="6:9" hidden="1" x14ac:dyDescent="0.2">
      <c r="F118" s="606"/>
      <c r="G118" s="606"/>
      <c r="H118" s="606"/>
      <c r="I118" s="606"/>
    </row>
    <row r="119" spans="6:9" hidden="1" x14ac:dyDescent="0.2">
      <c r="F119" s="606"/>
      <c r="G119" s="606"/>
      <c r="H119" s="606"/>
      <c r="I119" s="606"/>
    </row>
    <row r="120" spans="6:9" hidden="1" x14ac:dyDescent="0.2">
      <c r="F120" s="606"/>
      <c r="G120" s="606"/>
      <c r="H120" s="606"/>
      <c r="I120" s="606"/>
    </row>
    <row r="121" spans="6:9" hidden="1" x14ac:dyDescent="0.2">
      <c r="F121" s="606"/>
      <c r="G121" s="606"/>
      <c r="H121" s="606"/>
      <c r="I121" s="606"/>
    </row>
    <row r="122" spans="6:9" hidden="1" x14ac:dyDescent="0.2">
      <c r="F122" s="606"/>
      <c r="G122" s="606"/>
      <c r="H122" s="606"/>
      <c r="I122" s="606"/>
    </row>
    <row r="123" spans="6:9" hidden="1" x14ac:dyDescent="0.2">
      <c r="F123" s="606"/>
      <c r="G123" s="606"/>
      <c r="H123" s="606"/>
      <c r="I123" s="606"/>
    </row>
    <row r="124" spans="6:9" hidden="1" x14ac:dyDescent="0.2">
      <c r="F124" s="606"/>
      <c r="G124" s="606"/>
      <c r="H124" s="606"/>
      <c r="I124" s="606"/>
    </row>
    <row r="125" spans="6:9" hidden="1" x14ac:dyDescent="0.2">
      <c r="F125" s="606"/>
      <c r="G125" s="606"/>
      <c r="H125" s="606"/>
      <c r="I125" s="606"/>
    </row>
    <row r="126" spans="6:9" hidden="1" x14ac:dyDescent="0.2">
      <c r="F126" s="606"/>
      <c r="G126" s="606"/>
      <c r="H126" s="606"/>
      <c r="I126" s="606"/>
    </row>
    <row r="127" spans="6:9" hidden="1" x14ac:dyDescent="0.2">
      <c r="F127" s="606"/>
      <c r="G127" s="606"/>
      <c r="H127" s="606"/>
      <c r="I127" s="606"/>
    </row>
    <row r="128" spans="6:9" hidden="1" x14ac:dyDescent="0.2">
      <c r="F128" s="606"/>
      <c r="G128" s="606"/>
      <c r="H128" s="606"/>
      <c r="I128" s="606"/>
    </row>
    <row r="129" spans="3:9" hidden="1" x14ac:dyDescent="0.2">
      <c r="F129" s="606"/>
      <c r="G129" s="606"/>
      <c r="H129" s="606"/>
      <c r="I129" s="606"/>
    </row>
    <row r="130" spans="3:9" hidden="1" x14ac:dyDescent="0.2">
      <c r="F130" s="606"/>
      <c r="G130" s="606"/>
      <c r="H130" s="606"/>
      <c r="I130" s="606"/>
    </row>
    <row r="131" spans="3:9" hidden="1" x14ac:dyDescent="0.2">
      <c r="F131" s="606"/>
      <c r="G131" s="606"/>
      <c r="H131" s="606"/>
      <c r="I131" s="606"/>
    </row>
    <row r="132" spans="3:9" hidden="1" x14ac:dyDescent="0.2">
      <c r="C132" s="66" t="s">
        <v>5120</v>
      </c>
    </row>
    <row r="133" spans="3:9" hidden="1" x14ac:dyDescent="0.2">
      <c r="C133" s="66" t="s">
        <v>5121</v>
      </c>
    </row>
    <row r="134" spans="3:9" hidden="1" x14ac:dyDescent="0.2">
      <c r="C134" s="66" t="s">
        <v>1498</v>
      </c>
    </row>
    <row r="135" spans="3:9" hidden="1" x14ac:dyDescent="0.2">
      <c r="C135" s="66" t="s">
        <v>6078</v>
      </c>
      <c r="D135" s="3" t="s">
        <v>6079</v>
      </c>
    </row>
    <row r="136" spans="3:9" hidden="1" x14ac:dyDescent="0.2">
      <c r="C136" s="66" t="s">
        <v>6080</v>
      </c>
    </row>
    <row r="137" spans="3:9" hidden="1" x14ac:dyDescent="0.2">
      <c r="C137" s="66" t="s">
        <v>5118</v>
      </c>
    </row>
    <row r="138" spans="3:9" hidden="1" x14ac:dyDescent="0.2">
      <c r="C138" s="66" t="s">
        <v>5119</v>
      </c>
    </row>
    <row r="140" spans="3:9" hidden="1" x14ac:dyDescent="0.2">
      <c r="C140" s="66" t="s">
        <v>3711</v>
      </c>
    </row>
  </sheetData>
  <sheetProtection algorithmName="SHA-512" hashValue="F3QDBoQkC+LQvg6mPIjyEa8LGhGAbDk/uPuyMckLP0PxmGqrGUd2ocosmDA/To2Uq/OVXxyQP8O7UEnMHFhpgw==" saltValue="sar9eOI0m7K7dLQ9ahyHbg==" spinCount="100000" sheet="1" objects="1" scenarios="1"/>
  <customSheetViews>
    <customSheetView guid="{99B5278F-6EA9-4B1A-8623-27A4DF4AD5E4}" hiddenRows="1" hiddenColumns="1" topLeftCell="B1">
      <selection activeCell="H54" sqref="H54"/>
      <pageMargins left="0.23" right="0.1" top="1" bottom="1" header="0.5" footer="0.5"/>
      <pageSetup paperSize="9" orientation="landscape" r:id="rId1"/>
      <headerFooter alignWithMargins="0">
        <oddFooter>&amp;LName&amp;CSignature&amp;RDate</oddFooter>
      </headerFooter>
    </customSheetView>
  </customSheetViews>
  <mergeCells count="7">
    <mergeCell ref="C1:H1"/>
    <mergeCell ref="C4:D7"/>
    <mergeCell ref="E4:E7"/>
    <mergeCell ref="F4:I5"/>
    <mergeCell ref="F6:F7"/>
    <mergeCell ref="G6:H6"/>
    <mergeCell ref="I6:I7"/>
  </mergeCells>
  <phoneticPr fontId="110" type="noConversion"/>
  <conditionalFormatting sqref="C35:D35 C36">
    <cfRule type="expression" dxfId="595" priority="26" stopIfTrue="1">
      <formula>$AC$35&lt;&gt;2</formula>
    </cfRule>
  </conditionalFormatting>
  <conditionalFormatting sqref="G35">
    <cfRule type="expression" dxfId="594" priority="27" stopIfTrue="1">
      <formula>$AC$35&lt;&gt;2</formula>
    </cfRule>
  </conditionalFormatting>
  <conditionalFormatting sqref="J9:J25">
    <cfRule type="expression" dxfId="593" priority="1" stopIfTrue="1">
      <formula>$J9=neg</formula>
    </cfRule>
  </conditionalFormatting>
  <conditionalFormatting sqref="J29:J37 J51">
    <cfRule type="expression" dxfId="592" priority="24" stopIfTrue="1">
      <formula>$J29=neg</formula>
    </cfRule>
  </conditionalFormatting>
  <dataValidations count="9">
    <dataValidation type="whole" allowBlank="1" showInputMessage="1" showErrorMessage="1" errorTitle="Dividends Paid" error="Please enter a negative amount that does not exceed available profits!" sqref="H29 H31:H33 H9:H24" xr:uid="{00000000-0002-0000-2F00-000000000000}">
      <formula1>N9</formula1>
      <formula2>0</formula2>
    </dataValidation>
    <dataValidation type="whole" operator="greaterThanOrEqual" allowBlank="1" showInputMessage="1" showErrorMessage="1" errorTitle="Net Income after tax" error="Please enter a positive amount!" sqref="G31:G33 G29 G16:G24" xr:uid="{00000000-0002-0000-2F00-000001000000}">
      <formula1>0</formula1>
    </dataValidation>
    <dataValidation type="whole" operator="greaterThanOrEqual" allowBlank="1" showInputMessage="1" showErrorMessage="1" errorTitle="Amount brought forward" error="Please enter a positive amount!_x000a_" sqref="F29 H35:H37 F32:F33 F9:F24" xr:uid="{00000000-0002-0000-2F00-000002000000}">
      <formula1>0</formula1>
    </dataValidation>
    <dataValidation type="textLength" operator="greaterThanOrEqual" allowBlank="1" showInputMessage="1" showErrorMessage="1" errorTitle="Legislation" error="Please enter the proper legislation reference!" sqref="D31:D32 D36:D37" xr:uid="{00000000-0002-0000-2F00-000003000000}">
      <formula1>5</formula1>
    </dataValidation>
    <dataValidation type="list" allowBlank="1" showInputMessage="1" showErrorMessage="1" sqref="E54" xr:uid="{00000000-0002-0000-2F00-000004000000}">
      <formula1>$C$58:$C$60</formula1>
    </dataValidation>
    <dataValidation type="whole" allowBlank="1" showInputMessage="1" showErrorMessage="1" errorTitle="Net Income after tax" error="Please enter a negative amountthat does not exceed total income allocated to the Final Tax Account!" sqref="G37" xr:uid="{00000000-0002-0000-2F00-000005000000}">
      <formula1>M37</formula1>
      <formula2>0</formula2>
    </dataValidation>
    <dataValidation errorStyle="warning" operator="greaterThanOrEqual" showInputMessage="1" showErrorMessage="1" errorTitle="Legislation" error="Please enter proper legislation reference!" promptTitle="CIS" prompt="To be used only in the case of a Collective Investment Scheme that is reporting taxed income (e.g. dividends received that carry tax at source) and requires an adjustment to relocate profits from this account to OTHER TAXED ACCOUNTS." sqref="D35" xr:uid="{00000000-0002-0000-2F00-000006000000}"/>
    <dataValidation type="whole" allowBlank="1" showInputMessage="1" showErrorMessage="1" errorTitle="Adjustments to relocate profits" error="Please enter a negative amount that does not exceed total income allocated to the Final Tax Account!" sqref="G35:G36" xr:uid="{00000000-0002-0000-2F00-000007000000}">
      <formula1>M35</formula1>
      <formula2>0</formula2>
    </dataValidation>
    <dataValidation type="whole" allowBlank="1" showInputMessage="1" showErrorMessage="1" errorTitle="Amount brought forward" error="Please enter a positive amount!_x000a_OR_x000a_Enter 0 if Y/A is 2012!_x000a_" sqref="F31" xr:uid="{00000000-0002-0000-2F00-000008000000}">
      <formula1>0</formula1>
      <formula2>AA31</formula2>
    </dataValidation>
  </dataValidations>
  <hyperlinks>
    <hyperlink ref="H54" location="Index!A68" display="Back to Index" xr:uid="{00000000-0004-0000-2F00-000000000000}"/>
    <hyperlink ref="E9" location="TRA9_14!A1" display="TRA 09" xr:uid="{00000000-0004-0000-2F00-000001000000}"/>
    <hyperlink ref="E10" location="TRA9_14!A60" display="TRA 11" xr:uid="{00000000-0004-0000-2F00-000002000000}"/>
    <hyperlink ref="E11" location="TRA41!A1" display="TRA 41" xr:uid="{00000000-0004-0000-2F00-000003000000}"/>
    <hyperlink ref="E12" location="TRA53!A1" display="TRA 53" xr:uid="{00000000-0004-0000-2F00-000004000000}"/>
    <hyperlink ref="E13" location="TRA6!A1" display="TRA 06" xr:uid="{00000000-0004-0000-2F00-000005000000}"/>
    <hyperlink ref="E14" location="TRA18!A1" display="TRA 18" xr:uid="{00000000-0004-0000-2F00-000006000000}"/>
    <hyperlink ref="E51" location="'p6'!A1" display="Page 6" xr:uid="{00000000-0004-0000-2F00-000007000000}"/>
    <hyperlink ref="E31" location="TRA74!G32" display="TRA 74" xr:uid="{00000000-0004-0000-2F00-000008000000}"/>
    <hyperlink ref="E16" location="TRA75!A1" display="TRA 75" xr:uid="{00000000-0004-0000-2F00-000009000000}"/>
    <hyperlink ref="E17" location="TRA76!A1" display="TRA 76" xr:uid="{00000000-0004-0000-2F00-00000A000000}"/>
    <hyperlink ref="E18" location="TRA77!A1" display="TRA 77" xr:uid="{00000000-0004-0000-2F00-00000B000000}"/>
    <hyperlink ref="E19" location="'TRA83'!A1" display="TRA 83" xr:uid="{00000000-0004-0000-2F00-00000C000000}"/>
    <hyperlink ref="E20" location="'TRA89'!A1" display="TRA 89" xr:uid="{00000000-0004-0000-2F00-00000D000000}"/>
    <hyperlink ref="E21" location="'TRA96'!A1" display="TRA 96" xr:uid="{00000000-0004-0000-2F00-00000E000000}"/>
    <hyperlink ref="E22" location="'TRA97'!A1" display="TRA 97" xr:uid="{00000000-0004-0000-2F00-00000F000000}"/>
    <hyperlink ref="E23" location="'TRA100'!A1" display="TRA 100" xr:uid="{00000000-0004-0000-2F00-000010000000}"/>
    <hyperlink ref="E24" location="'TRA119'!A1" display="TRA 119" xr:uid="{00000000-0004-0000-2F00-000011000000}"/>
    <hyperlink ref="E25" location="'TRA129'!A1" display="TRA 129" xr:uid="{8C91F949-00BD-44B3-A75D-B71CA1A31258}"/>
    <hyperlink ref="E32" location="'p6'!O27" display="Page 6" xr:uid="{4223634E-F2E3-41EA-B354-AA371E2CBC15}"/>
  </hyperlinks>
  <pageMargins left="0.19685039370078741" right="0.19685039370078741" top="0.74803149606299213" bottom="0.98425196850393704" header="0.51181102362204722" footer="0.51181102362204722"/>
  <pageSetup paperSize="9" scale="95" orientation="landscape" r:id="rId2"/>
  <headerFooter alignWithMargins="0">
    <oddFooter>&amp;LName&amp;CSignature&amp;RDate</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0"/>
  <dimension ref="A1:IV103"/>
  <sheetViews>
    <sheetView zoomScale="70" zoomScaleNormal="70" workbookViewId="0">
      <selection activeCell="E86" sqref="E86"/>
    </sheetView>
  </sheetViews>
  <sheetFormatPr defaultColWidth="0" defaultRowHeight="12.75" zeroHeight="1" x14ac:dyDescent="0.2"/>
  <cols>
    <col min="1" max="1" width="2.28515625" style="28" customWidth="1"/>
    <col min="2" max="2" width="56.5703125" style="28" customWidth="1"/>
    <col min="3" max="3" width="8" style="28" customWidth="1"/>
    <col min="4" max="5" width="11.7109375" style="32" customWidth="1"/>
    <col min="6" max="6" width="11.7109375" style="46" customWidth="1"/>
    <col min="7" max="7" width="11.7109375" style="868" customWidth="1"/>
    <col min="8" max="8" width="36.7109375" style="868" customWidth="1"/>
    <col min="9" max="9" width="4.28515625" style="868" hidden="1" customWidth="1"/>
    <col min="10" max="10" width="11" style="28" hidden="1" customWidth="1"/>
    <col min="11" max="11" width="9.28515625" style="28" hidden="1" customWidth="1"/>
    <col min="12" max="16384" width="8.7109375" style="28" hidden="1"/>
  </cols>
  <sheetData>
    <row r="1" spans="1:256" s="208" customFormat="1" x14ac:dyDescent="0.2">
      <c r="A1" s="1215"/>
      <c r="B1" s="4938" t="str">
        <f>_ref1</f>
      </c>
      <c r="C1" s="4938"/>
      <c r="D1" s="4938"/>
      <c r="E1" s="4938"/>
      <c r="F1" s="4938"/>
      <c r="G1" s="1216" t="str">
        <f>_YA1</f>
      </c>
      <c r="H1" s="1220"/>
      <c r="I1" s="142"/>
      <c r="J1" s="142"/>
      <c r="K1" s="142"/>
      <c r="L1" s="142">
        <f>ya</f>
      </c>
      <c r="M1" s="142"/>
      <c r="N1" s="142"/>
      <c r="O1" s="235"/>
      <c r="P1" s="235"/>
      <c r="Q1" s="235"/>
      <c r="R1" s="235"/>
      <c r="S1" s="235"/>
      <c r="T1" s="235"/>
      <c r="U1" s="235"/>
      <c r="V1" s="235"/>
      <c r="W1" s="235"/>
      <c r="X1" s="235"/>
      <c r="Z1" s="208">
        <f>'p2'!P55</f>
      </c>
      <c r="AA1" s="208">
        <f>COUNT(C20:F23,C30:F33,C42:F45,D53:D71,C61:C71,F53:F71,D77:D81,F77:F81)</f>
      </c>
    </row>
    <row r="2" spans="1:256" s="208" customFormat="1" ht="4.5" customHeight="1" x14ac:dyDescent="0.2">
      <c r="A2" s="1215"/>
      <c r="B2" s="1217"/>
      <c r="C2" s="1217"/>
      <c r="D2" s="1218"/>
      <c r="E2" s="1218"/>
      <c r="F2" s="1215"/>
      <c r="G2" s="1219"/>
      <c r="H2" s="1220"/>
      <c r="I2" s="142"/>
      <c r="J2" s="142"/>
      <c r="K2" s="142"/>
      <c r="L2" s="142"/>
      <c r="M2" s="142"/>
      <c r="N2" s="142"/>
      <c r="O2" s="235"/>
      <c r="P2" s="235"/>
      <c r="Q2" s="235"/>
      <c r="R2" s="235"/>
      <c r="S2" s="235"/>
      <c r="T2" s="235"/>
      <c r="U2" s="235"/>
      <c r="V2" s="235"/>
      <c r="W2" s="235"/>
      <c r="X2" s="235"/>
    </row>
    <row r="3" spans="1:256" s="208" customFormat="1" ht="20.25" customHeight="1" x14ac:dyDescent="0.25">
      <c r="A3" s="1215"/>
      <c r="B3" s="4958" t="s">
        <v>5373</v>
      </c>
      <c r="C3" s="4958"/>
      <c r="D3" s="4958"/>
      <c r="E3" s="4958"/>
      <c r="F3" s="4958"/>
      <c r="G3" s="4958"/>
      <c r="H3" s="1220"/>
      <c r="I3" s="142"/>
      <c r="J3" s="142"/>
      <c r="K3" s="142"/>
      <c r="L3" s="142"/>
      <c r="M3" s="142"/>
      <c r="N3" s="142"/>
      <c r="O3" s="235"/>
    </row>
    <row r="4" spans="1:256" s="208" customFormat="1" ht="6" customHeight="1" x14ac:dyDescent="0.2">
      <c r="A4" s="1220"/>
      <c r="B4" s="1220"/>
      <c r="C4" s="1220"/>
      <c r="D4" s="1220"/>
      <c r="E4" s="1220"/>
      <c r="F4" s="1250"/>
      <c r="G4" s="1220"/>
      <c r="H4" s="1220"/>
      <c r="I4" s="142"/>
      <c r="J4" s="142"/>
      <c r="K4" s="142"/>
      <c r="L4" s="142"/>
      <c r="M4" s="142"/>
      <c r="N4" s="142"/>
      <c r="O4" s="235"/>
    </row>
    <row r="5" spans="1:256" s="184" customFormat="1" ht="12.75" customHeight="1" x14ac:dyDescent="0.2">
      <c r="A5" s="1221"/>
      <c r="B5" s="1362" t="s">
        <v>5408</v>
      </c>
      <c r="C5" s="1222"/>
      <c r="D5" s="1222"/>
      <c r="E5" s="1223"/>
      <c r="F5" s="1250"/>
      <c r="G5" s="1264"/>
      <c r="H5" s="1273" t="str">
        <f>IF(AND($Z$1=2,AA1=0),"",IF(G5="",re,IF(AND(G5=D93,BA5&lt;&gt;1),BB5,"")))</f>
        <v/>
      </c>
      <c r="I5" s="1226">
        <f>IF(H5=re,1,0)</f>
      </c>
      <c r="J5" s="142"/>
      <c r="K5" s="142"/>
      <c r="L5" s="142"/>
      <c r="M5" s="142"/>
      <c r="N5" s="142"/>
      <c r="O5" s="77"/>
      <c r="BA5" s="1124">
        <f>Index!E63</f>
      </c>
      <c r="BB5" s="1224" t="s">
        <v>6709</v>
      </c>
    </row>
    <row r="6" spans="1:256" s="142" customFormat="1" ht="5.25" customHeight="1" x14ac:dyDescent="0.2">
      <c r="A6" s="1220"/>
      <c r="B6" s="1363"/>
      <c r="C6" s="1363"/>
      <c r="D6" s="1363"/>
      <c r="E6" s="1220"/>
      <c r="F6" s="1250"/>
      <c r="G6" s="1220"/>
      <c r="H6" s="1220"/>
      <c r="AF6" s="1224"/>
      <c r="AG6" s="1224"/>
      <c r="AH6" s="1224"/>
      <c r="AI6" s="1224"/>
      <c r="AJ6" s="1224"/>
      <c r="AK6" s="1224"/>
      <c r="AL6" s="1224"/>
      <c r="AM6" s="1224"/>
      <c r="AN6" s="1224"/>
      <c r="AO6" s="1224"/>
      <c r="AP6" s="1224"/>
      <c r="AQ6" s="1224"/>
      <c r="AR6" s="1224"/>
      <c r="AS6" s="1224"/>
      <c r="AT6" s="1224"/>
      <c r="AU6" s="1224"/>
      <c r="AV6" s="1224"/>
      <c r="AW6" s="1224"/>
      <c r="AX6" s="1224"/>
      <c r="AY6" s="1224"/>
      <c r="AZ6" s="1224"/>
      <c r="BA6" s="1224"/>
      <c r="BB6" s="1224"/>
      <c r="BC6" s="1224"/>
      <c r="BD6" s="1224"/>
      <c r="BE6" s="1224"/>
      <c r="BF6" s="1224"/>
      <c r="BG6" s="1224"/>
      <c r="BH6" s="1224"/>
      <c r="BI6" s="1224"/>
      <c r="BJ6" s="1224"/>
      <c r="BK6" s="1224"/>
      <c r="BL6" s="1224"/>
      <c r="BM6" s="1224"/>
      <c r="BN6" s="1224"/>
      <c r="BO6" s="1224"/>
      <c r="BP6" s="1224"/>
      <c r="BQ6" s="1224"/>
      <c r="BR6" s="1224"/>
      <c r="BS6" s="1224"/>
      <c r="BT6" s="1224"/>
      <c r="BU6" s="1224"/>
      <c r="BV6" s="1224"/>
      <c r="BW6" s="1224"/>
      <c r="BX6" s="1224"/>
      <c r="BY6" s="1224"/>
      <c r="BZ6" s="1224"/>
      <c r="CA6" s="1224"/>
      <c r="CB6" s="1224"/>
      <c r="CC6" s="1224"/>
      <c r="CD6" s="1224"/>
      <c r="CE6" s="1224"/>
      <c r="CF6" s="1224"/>
      <c r="CG6" s="1224"/>
      <c r="CH6" s="1224"/>
      <c r="CI6" s="1224"/>
      <c r="CJ6" s="1224"/>
      <c r="CK6" s="1224"/>
      <c r="CL6" s="1224"/>
      <c r="CM6" s="1224"/>
      <c r="CN6" s="1224"/>
      <c r="CO6" s="1224"/>
      <c r="CP6" s="1224"/>
      <c r="CQ6" s="1224"/>
      <c r="CR6" s="1224"/>
      <c r="CS6" s="1224"/>
      <c r="CT6" s="1224"/>
      <c r="CU6" s="1224"/>
      <c r="CV6" s="1224"/>
      <c r="CW6" s="1224"/>
      <c r="CX6" s="1224"/>
      <c r="CY6" s="1224"/>
      <c r="CZ6" s="1224"/>
      <c r="DA6" s="1224"/>
      <c r="DB6" s="1224"/>
      <c r="DC6" s="1224"/>
      <c r="DD6" s="1224"/>
      <c r="DE6" s="1224"/>
      <c r="DF6" s="1224"/>
      <c r="DG6" s="1224"/>
      <c r="DH6" s="1224"/>
      <c r="DI6" s="1224"/>
      <c r="DJ6" s="1224"/>
      <c r="DK6" s="1224"/>
      <c r="DL6" s="1224"/>
      <c r="DM6" s="1224"/>
      <c r="DN6" s="1224"/>
      <c r="DO6" s="1224"/>
      <c r="DP6" s="1224"/>
      <c r="DQ6" s="1224"/>
      <c r="DR6" s="1224"/>
      <c r="DS6" s="1224"/>
      <c r="DT6" s="1224"/>
      <c r="DU6" s="1224"/>
      <c r="DV6" s="1224"/>
      <c r="DW6" s="1224"/>
      <c r="DX6" s="1224"/>
      <c r="DY6" s="1224"/>
      <c r="DZ6" s="1224"/>
      <c r="EA6" s="1224"/>
      <c r="EB6" s="1224"/>
      <c r="EC6" s="1224"/>
      <c r="ED6" s="1224"/>
      <c r="EE6" s="1224"/>
      <c r="EF6" s="1224"/>
      <c r="EG6" s="1224"/>
      <c r="EH6" s="1224"/>
      <c r="EI6" s="1224"/>
      <c r="EJ6" s="1224"/>
      <c r="EK6" s="1224"/>
      <c r="EL6" s="1224"/>
      <c r="EM6" s="1224"/>
      <c r="EN6" s="1224"/>
      <c r="EO6" s="1224"/>
      <c r="EP6" s="1224"/>
      <c r="EQ6" s="1224"/>
      <c r="ER6" s="1224"/>
      <c r="ES6" s="1224"/>
      <c r="ET6" s="1224"/>
      <c r="EU6" s="1224"/>
      <c r="EV6" s="1224"/>
      <c r="EW6" s="1224"/>
      <c r="EX6" s="1224"/>
      <c r="EY6" s="1224"/>
      <c r="EZ6" s="1224"/>
      <c r="FA6" s="1224"/>
      <c r="FB6" s="1224"/>
      <c r="FC6" s="1224"/>
      <c r="FD6" s="1224"/>
      <c r="FE6" s="1224"/>
      <c r="FF6" s="1224"/>
      <c r="FG6" s="1224"/>
      <c r="FH6" s="1224"/>
      <c r="FI6" s="1224"/>
      <c r="FJ6" s="1224"/>
      <c r="FK6" s="1224"/>
      <c r="FL6" s="1224"/>
      <c r="FM6" s="1224"/>
      <c r="FN6" s="1224"/>
      <c r="FO6" s="1224"/>
      <c r="FP6" s="1224"/>
      <c r="FQ6" s="1224"/>
      <c r="FR6" s="1224"/>
      <c r="FS6" s="1224"/>
      <c r="FT6" s="1224"/>
      <c r="FU6" s="1224"/>
      <c r="FV6" s="1224"/>
      <c r="FW6" s="1224"/>
      <c r="FX6" s="1224"/>
      <c r="FY6" s="1224"/>
      <c r="FZ6" s="1224"/>
      <c r="GA6" s="1224"/>
      <c r="GB6" s="1224"/>
      <c r="GC6" s="1224"/>
      <c r="GD6" s="1224"/>
      <c r="GE6" s="1224"/>
      <c r="GF6" s="1224"/>
      <c r="GG6" s="1224"/>
      <c r="GH6" s="1224"/>
      <c r="GI6" s="1224"/>
      <c r="GJ6" s="1224"/>
      <c r="GK6" s="1224"/>
      <c r="GL6" s="1224"/>
      <c r="GM6" s="1224"/>
      <c r="GN6" s="1224"/>
      <c r="GO6" s="1224"/>
      <c r="GP6" s="1224"/>
      <c r="GQ6" s="1224"/>
      <c r="GR6" s="1224"/>
      <c r="GS6" s="1224"/>
      <c r="GT6" s="1224"/>
      <c r="GU6" s="1224"/>
      <c r="GV6" s="1224"/>
      <c r="GW6" s="1224"/>
      <c r="GX6" s="1224"/>
      <c r="GY6" s="1224"/>
      <c r="GZ6" s="1224"/>
      <c r="HA6" s="1224"/>
      <c r="HB6" s="1224"/>
      <c r="HC6" s="1224"/>
      <c r="HD6" s="1224"/>
      <c r="HE6" s="1224"/>
      <c r="HF6" s="1224"/>
      <c r="HG6" s="1224"/>
      <c r="HH6" s="1224"/>
      <c r="HI6" s="1224"/>
      <c r="HJ6" s="1224"/>
      <c r="HK6" s="1224"/>
      <c r="HL6" s="1224"/>
      <c r="HM6" s="1224"/>
      <c r="HN6" s="1224"/>
      <c r="HO6" s="1224"/>
      <c r="HP6" s="1224"/>
      <c r="HQ6" s="1224"/>
      <c r="HR6" s="1224"/>
      <c r="HS6" s="1224"/>
      <c r="HT6" s="1224"/>
      <c r="HU6" s="1224"/>
      <c r="HV6" s="1224"/>
      <c r="HW6" s="1224"/>
      <c r="HX6" s="1224"/>
      <c r="HY6" s="1224"/>
      <c r="HZ6" s="1224"/>
      <c r="IA6" s="1224"/>
      <c r="IB6" s="1224"/>
      <c r="IC6" s="1224"/>
      <c r="ID6" s="1224"/>
      <c r="IE6" s="1224"/>
      <c r="IF6" s="1224"/>
      <c r="IG6" s="1224"/>
      <c r="IH6" s="1224"/>
      <c r="II6" s="1224"/>
      <c r="IJ6" s="1224"/>
      <c r="IK6" s="1224"/>
      <c r="IL6" s="1224"/>
      <c r="IM6" s="1224"/>
      <c r="IN6" s="1224"/>
      <c r="IO6" s="1224"/>
      <c r="IP6" s="1224"/>
      <c r="IQ6" s="1224"/>
      <c r="IR6" s="1224"/>
      <c r="IS6" s="1224"/>
      <c r="IT6" s="1224"/>
      <c r="IU6" s="1224"/>
      <c r="IV6" s="1224"/>
    </row>
    <row r="7" spans="1:256" s="142" customFormat="1" ht="34.5" customHeight="1" x14ac:dyDescent="0.2">
      <c r="A7" s="1220"/>
      <c r="B7" s="4960" t="s">
        <v>3980</v>
      </c>
      <c r="C7" s="4961"/>
      <c r="D7" s="4961"/>
      <c r="E7" s="4961"/>
      <c r="F7" s="4961"/>
      <c r="G7" s="4962"/>
      <c r="H7" s="1220"/>
      <c r="AF7" s="1224"/>
      <c r="AG7" s="1224"/>
      <c r="AH7" s="1224"/>
      <c r="AI7" s="1224"/>
      <c r="AJ7" s="1224"/>
      <c r="AK7" s="1224"/>
      <c r="AL7" s="1224"/>
      <c r="AM7" s="1224"/>
      <c r="AN7" s="1224"/>
      <c r="AO7" s="1224"/>
      <c r="AP7" s="1224"/>
      <c r="AQ7" s="1224"/>
      <c r="AR7" s="1224"/>
      <c r="AS7" s="1224"/>
      <c r="AT7" s="1224"/>
      <c r="AU7" s="1224"/>
      <c r="AV7" s="1224"/>
      <c r="AW7" s="1224"/>
      <c r="AX7" s="1224"/>
      <c r="AY7" s="1224"/>
      <c r="AZ7" s="1224"/>
      <c r="BC7" s="1224"/>
      <c r="BD7" s="1224"/>
      <c r="BE7" s="1224"/>
      <c r="BF7" s="1224"/>
      <c r="BG7" s="1224"/>
      <c r="BH7" s="1224"/>
      <c r="BI7" s="1224"/>
      <c r="BJ7" s="1224"/>
      <c r="BK7" s="1224"/>
      <c r="BL7" s="1224"/>
      <c r="BM7" s="1224"/>
      <c r="BN7" s="1224"/>
      <c r="BO7" s="1224"/>
      <c r="BP7" s="1224"/>
      <c r="BQ7" s="1224"/>
      <c r="BR7" s="1224"/>
      <c r="BS7" s="1224"/>
      <c r="BT7" s="1224"/>
      <c r="BU7" s="1224"/>
      <c r="BV7" s="1224"/>
      <c r="BW7" s="1224"/>
      <c r="BX7" s="1224"/>
      <c r="BY7" s="1224"/>
      <c r="BZ7" s="1224"/>
      <c r="CA7" s="1224"/>
      <c r="CB7" s="1224"/>
      <c r="CC7" s="1224"/>
      <c r="CD7" s="1224"/>
      <c r="CE7" s="1224"/>
      <c r="CF7" s="1224"/>
      <c r="CG7" s="1224"/>
      <c r="CH7" s="1224"/>
      <c r="CI7" s="1224"/>
      <c r="CJ7" s="1224"/>
      <c r="CK7" s="1224"/>
      <c r="CL7" s="1224"/>
      <c r="CM7" s="1224"/>
      <c r="CN7" s="1224"/>
      <c r="CO7" s="1224"/>
      <c r="CP7" s="1224"/>
      <c r="CQ7" s="1224"/>
      <c r="CR7" s="1224"/>
      <c r="CS7" s="1224"/>
      <c r="CT7" s="1224"/>
      <c r="CU7" s="1224"/>
      <c r="CV7" s="1224"/>
      <c r="CW7" s="1224"/>
      <c r="CX7" s="1224"/>
      <c r="CY7" s="1224"/>
      <c r="CZ7" s="1224"/>
      <c r="DA7" s="1224"/>
      <c r="DB7" s="1224"/>
      <c r="DC7" s="1224"/>
      <c r="DD7" s="1224"/>
      <c r="DE7" s="1224"/>
      <c r="DF7" s="1224"/>
      <c r="DG7" s="1224"/>
      <c r="DH7" s="1224"/>
      <c r="DI7" s="1224"/>
      <c r="DJ7" s="1224"/>
      <c r="DK7" s="1224"/>
      <c r="DL7" s="1224"/>
      <c r="DM7" s="1224"/>
      <c r="DN7" s="1224"/>
      <c r="DO7" s="1224"/>
      <c r="DP7" s="1224"/>
      <c r="DQ7" s="1224"/>
      <c r="DR7" s="1224"/>
      <c r="DS7" s="1224"/>
      <c r="DT7" s="1224"/>
      <c r="DU7" s="1224"/>
      <c r="DV7" s="1224"/>
      <c r="DW7" s="1224"/>
      <c r="DX7" s="1224"/>
      <c r="DY7" s="1224"/>
      <c r="DZ7" s="1224"/>
      <c r="EA7" s="1224"/>
      <c r="EB7" s="1224"/>
      <c r="EC7" s="1224"/>
      <c r="ED7" s="1224"/>
      <c r="EE7" s="1224"/>
      <c r="EF7" s="1224"/>
      <c r="EG7" s="1224"/>
      <c r="EH7" s="1224"/>
      <c r="EI7" s="1224"/>
      <c r="EJ7" s="1224"/>
      <c r="EK7" s="1224"/>
      <c r="EL7" s="1224"/>
      <c r="EM7" s="1224"/>
      <c r="EN7" s="1224"/>
      <c r="EO7" s="1224"/>
      <c r="EP7" s="1224"/>
      <c r="EQ7" s="1224"/>
      <c r="ER7" s="1224"/>
      <c r="ES7" s="1224"/>
      <c r="ET7" s="1224"/>
      <c r="EU7" s="1224"/>
      <c r="EV7" s="1224"/>
      <c r="EW7" s="1224"/>
      <c r="EX7" s="1224"/>
      <c r="EY7" s="1224"/>
      <c r="EZ7" s="1224"/>
      <c r="FA7" s="1224"/>
      <c r="FB7" s="1224"/>
      <c r="FC7" s="1224"/>
      <c r="FD7" s="1224"/>
      <c r="FE7" s="1224"/>
      <c r="FF7" s="1224"/>
      <c r="FG7" s="1224"/>
      <c r="FH7" s="1224"/>
      <c r="FI7" s="1224"/>
      <c r="FJ7" s="1224"/>
      <c r="FK7" s="1224"/>
      <c r="FL7" s="1224"/>
      <c r="FM7" s="1224"/>
      <c r="FN7" s="1224"/>
      <c r="FO7" s="1224"/>
      <c r="FP7" s="1224"/>
      <c r="FQ7" s="1224"/>
      <c r="FR7" s="1224"/>
      <c r="FS7" s="1224"/>
      <c r="FT7" s="1224"/>
      <c r="FU7" s="1224"/>
      <c r="FV7" s="1224"/>
      <c r="FW7" s="1224"/>
      <c r="FX7" s="1224"/>
      <c r="FY7" s="1224"/>
      <c r="FZ7" s="1224"/>
      <c r="GA7" s="1224"/>
      <c r="GB7" s="1224"/>
      <c r="GC7" s="1224"/>
      <c r="GD7" s="1224"/>
      <c r="GE7" s="1224"/>
      <c r="GF7" s="1224"/>
      <c r="GG7" s="1224"/>
      <c r="GH7" s="1224"/>
      <c r="GI7" s="1224"/>
      <c r="GJ7" s="1224"/>
      <c r="GK7" s="1224"/>
      <c r="GL7" s="1224"/>
      <c r="GM7" s="1224"/>
      <c r="GN7" s="1224"/>
      <c r="GO7" s="1224"/>
      <c r="GP7" s="1224"/>
      <c r="GQ7" s="1224"/>
      <c r="GR7" s="1224"/>
      <c r="GS7" s="1224"/>
      <c r="GT7" s="1224"/>
      <c r="GU7" s="1224"/>
      <c r="GV7" s="1224"/>
      <c r="GW7" s="1224"/>
      <c r="GX7" s="1224"/>
      <c r="GY7" s="1224"/>
      <c r="GZ7" s="1224"/>
      <c r="HA7" s="1224"/>
      <c r="HB7" s="1224"/>
      <c r="HC7" s="1224"/>
      <c r="HD7" s="1224"/>
      <c r="HE7" s="1224"/>
      <c r="HF7" s="1224"/>
      <c r="HG7" s="1224"/>
      <c r="HH7" s="1224"/>
      <c r="HI7" s="1224"/>
      <c r="HJ7" s="1224"/>
      <c r="HK7" s="1224"/>
      <c r="HL7" s="1224"/>
      <c r="HM7" s="1224"/>
      <c r="HN7" s="1224"/>
      <c r="HO7" s="1224"/>
      <c r="HP7" s="1224"/>
      <c r="HQ7" s="1224"/>
      <c r="HR7" s="1224"/>
      <c r="HS7" s="1224"/>
      <c r="HT7" s="1224"/>
      <c r="HU7" s="1224"/>
      <c r="HV7" s="1224"/>
      <c r="HW7" s="1224"/>
      <c r="HX7" s="1224"/>
      <c r="HY7" s="1224"/>
      <c r="HZ7" s="1224"/>
      <c r="IA7" s="1224"/>
      <c r="IB7" s="1224"/>
      <c r="IC7" s="1224"/>
      <c r="ID7" s="1224"/>
      <c r="IE7" s="1224"/>
      <c r="IF7" s="1224"/>
      <c r="IG7" s="1224"/>
      <c r="IH7" s="1224"/>
      <c r="II7" s="1224"/>
      <c r="IJ7" s="1224"/>
      <c r="IK7" s="1224"/>
      <c r="IL7" s="1224"/>
      <c r="IM7" s="1224"/>
      <c r="IN7" s="1224"/>
      <c r="IO7" s="1224"/>
      <c r="IP7" s="1224"/>
      <c r="IQ7" s="1224"/>
      <c r="IR7" s="1224"/>
      <c r="IS7" s="1224"/>
      <c r="IT7" s="1224"/>
      <c r="IU7" s="1224"/>
      <c r="IV7" s="1224"/>
    </row>
    <row r="8" spans="1:256" s="142" customFormat="1" ht="4.5" customHeight="1" x14ac:dyDescent="0.2">
      <c r="A8" s="1220"/>
      <c r="B8" s="1220"/>
      <c r="C8" s="1220"/>
      <c r="D8" s="1220"/>
      <c r="E8" s="1220"/>
      <c r="F8" s="1220"/>
      <c r="G8" s="1220"/>
      <c r="H8" s="1220"/>
      <c r="AF8" s="1224"/>
      <c r="AG8" s="1224"/>
      <c r="AH8" s="1224"/>
      <c r="AI8" s="1224"/>
      <c r="AJ8" s="1224"/>
      <c r="AK8" s="1224"/>
      <c r="AL8" s="1224"/>
      <c r="AM8" s="1224"/>
      <c r="AN8" s="1224"/>
      <c r="AO8" s="1224"/>
      <c r="AP8" s="1224"/>
      <c r="AQ8" s="1224"/>
      <c r="AR8" s="1224"/>
      <c r="AS8" s="1224"/>
      <c r="AT8" s="1224"/>
      <c r="AU8" s="1224"/>
      <c r="AV8" s="1224"/>
      <c r="AW8" s="1224"/>
      <c r="AX8" s="1224"/>
      <c r="AY8" s="1224"/>
      <c r="AZ8" s="1224"/>
      <c r="BC8" s="1224"/>
      <c r="BD8" s="1224"/>
      <c r="BE8" s="1224"/>
      <c r="BF8" s="1224"/>
      <c r="BG8" s="1224"/>
      <c r="BH8" s="1224"/>
      <c r="BI8" s="1224"/>
      <c r="BJ8" s="1224"/>
      <c r="BK8" s="1224"/>
      <c r="BL8" s="1224"/>
      <c r="BM8" s="1224"/>
      <c r="BN8" s="1224"/>
      <c r="BO8" s="1224"/>
      <c r="BP8" s="1224"/>
      <c r="BQ8" s="1224"/>
      <c r="BR8" s="1224"/>
      <c r="BS8" s="1224"/>
      <c r="BT8" s="1224"/>
      <c r="BU8" s="1224"/>
      <c r="BV8" s="1224"/>
      <c r="BW8" s="1224"/>
      <c r="BX8" s="1224"/>
      <c r="BY8" s="1224"/>
      <c r="BZ8" s="1224"/>
      <c r="CA8" s="1224"/>
      <c r="CB8" s="1224"/>
      <c r="CC8" s="1224"/>
      <c r="CD8" s="1224"/>
      <c r="CE8" s="1224"/>
      <c r="CF8" s="1224"/>
      <c r="CG8" s="1224"/>
      <c r="CH8" s="1224"/>
      <c r="CI8" s="1224"/>
      <c r="CJ8" s="1224"/>
      <c r="CK8" s="1224"/>
      <c r="CL8" s="1224"/>
      <c r="CM8" s="1224"/>
      <c r="CN8" s="1224"/>
      <c r="CO8" s="1224"/>
      <c r="CP8" s="1224"/>
      <c r="CQ8" s="1224"/>
      <c r="CR8" s="1224"/>
      <c r="CS8" s="1224"/>
      <c r="CT8" s="1224"/>
      <c r="CU8" s="1224"/>
      <c r="CV8" s="1224"/>
      <c r="CW8" s="1224"/>
      <c r="CX8" s="1224"/>
      <c r="CY8" s="1224"/>
      <c r="CZ8" s="1224"/>
      <c r="DA8" s="1224"/>
      <c r="DB8" s="1224"/>
      <c r="DC8" s="1224"/>
      <c r="DD8" s="1224"/>
      <c r="DE8" s="1224"/>
      <c r="DF8" s="1224"/>
      <c r="DG8" s="1224"/>
      <c r="DH8" s="1224"/>
      <c r="DI8" s="1224"/>
      <c r="DJ8" s="1224"/>
      <c r="DK8" s="1224"/>
      <c r="DL8" s="1224"/>
      <c r="DM8" s="1224"/>
      <c r="DN8" s="1224"/>
      <c r="DO8" s="1224"/>
      <c r="DP8" s="1224"/>
      <c r="DQ8" s="1224"/>
      <c r="DR8" s="1224"/>
      <c r="DS8" s="1224"/>
      <c r="DT8" s="1224"/>
      <c r="DU8" s="1224"/>
      <c r="DV8" s="1224"/>
      <c r="DW8" s="1224"/>
      <c r="DX8" s="1224"/>
      <c r="DY8" s="1224"/>
      <c r="DZ8" s="1224"/>
      <c r="EA8" s="1224"/>
      <c r="EB8" s="1224"/>
      <c r="EC8" s="1224"/>
      <c r="ED8" s="1224"/>
      <c r="EE8" s="1224"/>
      <c r="EF8" s="1224"/>
      <c r="EG8" s="1224"/>
      <c r="EH8" s="1224"/>
      <c r="EI8" s="1224"/>
      <c r="EJ8" s="1224"/>
      <c r="EK8" s="1224"/>
      <c r="EL8" s="1224"/>
      <c r="EM8" s="1224"/>
      <c r="EN8" s="1224"/>
      <c r="EO8" s="1224"/>
      <c r="EP8" s="1224"/>
      <c r="EQ8" s="1224"/>
      <c r="ER8" s="1224"/>
      <c r="ES8" s="1224"/>
      <c r="ET8" s="1224"/>
      <c r="EU8" s="1224"/>
      <c r="EV8" s="1224"/>
      <c r="EW8" s="1224"/>
      <c r="EX8" s="1224"/>
      <c r="EY8" s="1224"/>
      <c r="EZ8" s="1224"/>
      <c r="FA8" s="1224"/>
      <c r="FB8" s="1224"/>
      <c r="FC8" s="1224"/>
      <c r="FD8" s="1224"/>
      <c r="FE8" s="1224"/>
      <c r="FF8" s="1224"/>
      <c r="FG8" s="1224"/>
      <c r="FH8" s="1224"/>
      <c r="FI8" s="1224"/>
      <c r="FJ8" s="1224"/>
      <c r="FK8" s="1224"/>
      <c r="FL8" s="1224"/>
      <c r="FM8" s="1224"/>
      <c r="FN8" s="1224"/>
      <c r="FO8" s="1224"/>
      <c r="FP8" s="1224"/>
      <c r="FQ8" s="1224"/>
      <c r="FR8" s="1224"/>
      <c r="FS8" s="1224"/>
      <c r="FT8" s="1224"/>
      <c r="FU8" s="1224"/>
      <c r="FV8" s="1224"/>
      <c r="FW8" s="1224"/>
      <c r="FX8" s="1224"/>
      <c r="FY8" s="1224"/>
      <c r="FZ8" s="1224"/>
      <c r="GA8" s="1224"/>
      <c r="GB8" s="1224"/>
      <c r="GC8" s="1224"/>
      <c r="GD8" s="1224"/>
      <c r="GE8" s="1224"/>
      <c r="GF8" s="1224"/>
      <c r="GG8" s="1224"/>
      <c r="GH8" s="1224"/>
      <c r="GI8" s="1224"/>
      <c r="GJ8" s="1224"/>
      <c r="GK8" s="1224"/>
      <c r="GL8" s="1224"/>
      <c r="GM8" s="1224"/>
      <c r="GN8" s="1224"/>
      <c r="GO8" s="1224"/>
      <c r="GP8" s="1224"/>
      <c r="GQ8" s="1224"/>
      <c r="GR8" s="1224"/>
      <c r="GS8" s="1224"/>
      <c r="GT8" s="1224"/>
      <c r="GU8" s="1224"/>
      <c r="GV8" s="1224"/>
      <c r="GW8" s="1224"/>
      <c r="GX8" s="1224"/>
      <c r="GY8" s="1224"/>
      <c r="GZ8" s="1224"/>
      <c r="HA8" s="1224"/>
      <c r="HB8" s="1224"/>
      <c r="HC8" s="1224"/>
      <c r="HD8" s="1224"/>
      <c r="HE8" s="1224"/>
      <c r="HF8" s="1224"/>
      <c r="HG8" s="1224"/>
      <c r="HH8" s="1224"/>
      <c r="HI8" s="1224"/>
      <c r="HJ8" s="1224"/>
      <c r="HK8" s="1224"/>
      <c r="HL8" s="1224"/>
      <c r="HM8" s="1224"/>
      <c r="HN8" s="1224"/>
      <c r="HO8" s="1224"/>
      <c r="HP8" s="1224"/>
      <c r="HQ8" s="1224"/>
      <c r="HR8" s="1224"/>
      <c r="HS8" s="1224"/>
      <c r="HT8" s="1224"/>
      <c r="HU8" s="1224"/>
      <c r="HV8" s="1224"/>
      <c r="HW8" s="1224"/>
      <c r="HX8" s="1224"/>
      <c r="HY8" s="1224"/>
      <c r="HZ8" s="1224"/>
      <c r="IA8" s="1224"/>
      <c r="IB8" s="1224"/>
      <c r="IC8" s="1224"/>
      <c r="ID8" s="1224"/>
      <c r="IE8" s="1224"/>
      <c r="IF8" s="1224"/>
      <c r="IG8" s="1224"/>
      <c r="IH8" s="1224"/>
      <c r="II8" s="1224"/>
      <c r="IJ8" s="1224"/>
      <c r="IK8" s="1224"/>
      <c r="IL8" s="1224"/>
      <c r="IM8" s="1224"/>
      <c r="IN8" s="1224"/>
      <c r="IO8" s="1224"/>
      <c r="IP8" s="1224"/>
      <c r="IQ8" s="1224"/>
      <c r="IR8" s="1224"/>
      <c r="IS8" s="1224"/>
      <c r="IT8" s="1224"/>
      <c r="IU8" s="1224"/>
      <c r="IV8" s="1224"/>
    </row>
    <row r="9" spans="1:256" s="142" customFormat="1" ht="12.75" hidden="1" customHeight="1" x14ac:dyDescent="0.2">
      <c r="A9" s="1220"/>
      <c r="B9" s="4963"/>
      <c r="C9" s="4963"/>
      <c r="D9" s="4963"/>
      <c r="E9" s="4963"/>
      <c r="F9" s="4963"/>
      <c r="G9" s="1273"/>
      <c r="H9" s="1273"/>
      <c r="I9" s="1226"/>
      <c r="AF9" s="1224"/>
      <c r="AG9" s="1224"/>
      <c r="AH9" s="1224"/>
      <c r="AI9" s="1224"/>
      <c r="AJ9" s="1224"/>
      <c r="AK9" s="1224"/>
      <c r="AL9" s="1224"/>
      <c r="AM9" s="1224"/>
      <c r="AN9" s="1224"/>
      <c r="AO9" s="1224"/>
      <c r="AP9" s="1224"/>
      <c r="AQ9" s="1224"/>
      <c r="AR9" s="1224"/>
      <c r="AS9" s="1224"/>
      <c r="AT9" s="1224"/>
      <c r="AU9" s="1224"/>
      <c r="AV9" s="1224"/>
      <c r="AW9" s="1224"/>
      <c r="AX9" s="1224"/>
      <c r="AY9" s="1224"/>
      <c r="AZ9" s="1224"/>
      <c r="BC9" s="1224"/>
      <c r="BD9" s="1224"/>
      <c r="BE9" s="1224"/>
      <c r="BF9" s="1224"/>
      <c r="BG9" s="1224"/>
      <c r="BH9" s="1224"/>
      <c r="BI9" s="1224"/>
      <c r="BJ9" s="1224"/>
      <c r="BK9" s="1224"/>
      <c r="BL9" s="1224"/>
      <c r="BM9" s="1224"/>
      <c r="BN9" s="1224"/>
      <c r="BO9" s="1224"/>
      <c r="BP9" s="1224"/>
      <c r="BQ9" s="1224"/>
      <c r="BR9" s="1224"/>
      <c r="BS9" s="1224"/>
      <c r="BT9" s="1224"/>
      <c r="BU9" s="1224"/>
      <c r="BV9" s="1224"/>
      <c r="BW9" s="1224"/>
      <c r="BX9" s="1224"/>
      <c r="BY9" s="1224"/>
      <c r="BZ9" s="1224"/>
      <c r="CA9" s="1224"/>
      <c r="CB9" s="1224"/>
      <c r="CC9" s="1224"/>
      <c r="CD9" s="1224"/>
      <c r="CE9" s="1224"/>
      <c r="CF9" s="1224"/>
      <c r="CG9" s="1224"/>
      <c r="CH9" s="1224"/>
      <c r="CI9" s="1224"/>
      <c r="CJ9" s="1224"/>
      <c r="CK9" s="1224"/>
      <c r="CL9" s="1224"/>
      <c r="CM9" s="1224"/>
      <c r="CN9" s="1224"/>
      <c r="CO9" s="1224"/>
      <c r="CP9" s="1224"/>
      <c r="CQ9" s="1224"/>
      <c r="CR9" s="1224"/>
      <c r="CS9" s="1224"/>
      <c r="CT9" s="1224"/>
      <c r="CU9" s="1224"/>
      <c r="CV9" s="1224"/>
      <c r="CW9" s="1224"/>
      <c r="CX9" s="1224"/>
      <c r="CY9" s="1224"/>
      <c r="CZ9" s="1224"/>
      <c r="DA9" s="1224"/>
      <c r="DB9" s="1224"/>
      <c r="DC9" s="1224"/>
      <c r="DD9" s="1224"/>
      <c r="DE9" s="1224"/>
      <c r="DF9" s="1224"/>
      <c r="DG9" s="1224"/>
      <c r="DH9" s="1224"/>
      <c r="DI9" s="1224"/>
      <c r="DJ9" s="1224"/>
      <c r="DK9" s="1224"/>
      <c r="DL9" s="1224"/>
      <c r="DM9" s="1224"/>
      <c r="DN9" s="1224"/>
      <c r="DO9" s="1224"/>
      <c r="DP9" s="1224"/>
      <c r="DQ9" s="1224"/>
      <c r="DR9" s="1224"/>
      <c r="DS9" s="1224"/>
      <c r="DT9" s="1224"/>
      <c r="DU9" s="1224"/>
      <c r="DV9" s="1224"/>
      <c r="DW9" s="1224"/>
      <c r="DX9" s="1224"/>
      <c r="DY9" s="1224"/>
      <c r="DZ9" s="1224"/>
      <c r="EA9" s="1224"/>
      <c r="EB9" s="1224"/>
      <c r="EC9" s="1224"/>
      <c r="ED9" s="1224"/>
      <c r="EE9" s="1224"/>
      <c r="EF9" s="1224"/>
      <c r="EG9" s="1224"/>
      <c r="EH9" s="1224"/>
      <c r="EI9" s="1224"/>
      <c r="EJ9" s="1224"/>
      <c r="EK9" s="1224"/>
      <c r="EL9" s="1224"/>
      <c r="EM9" s="1224"/>
      <c r="EN9" s="1224"/>
      <c r="EO9" s="1224"/>
      <c r="EP9" s="1224"/>
      <c r="EQ9" s="1224"/>
      <c r="ER9" s="1224"/>
      <c r="ES9" s="1224"/>
      <c r="ET9" s="1224"/>
      <c r="EU9" s="1224"/>
      <c r="EV9" s="1224"/>
      <c r="EW9" s="1224"/>
      <c r="EX9" s="1224"/>
      <c r="EY9" s="1224"/>
      <c r="EZ9" s="1224"/>
      <c r="FA9" s="1224"/>
      <c r="FB9" s="1224"/>
      <c r="FC9" s="1224"/>
      <c r="FD9" s="1224"/>
      <c r="FE9" s="1224"/>
      <c r="FF9" s="1224"/>
      <c r="FG9" s="1224"/>
      <c r="FH9" s="1224"/>
      <c r="FI9" s="1224"/>
      <c r="FJ9" s="1224"/>
      <c r="FK9" s="1224"/>
      <c r="FL9" s="1224"/>
      <c r="FM9" s="1224"/>
      <c r="FN9" s="1224"/>
      <c r="FO9" s="1224"/>
      <c r="FP9" s="1224"/>
      <c r="FQ9" s="1224"/>
      <c r="FR9" s="1224"/>
      <c r="FS9" s="1224"/>
      <c r="FT9" s="1224"/>
      <c r="FU9" s="1224"/>
      <c r="FV9" s="1224"/>
      <c r="FW9" s="1224"/>
      <c r="FX9" s="1224"/>
      <c r="FY9" s="1224"/>
      <c r="FZ9" s="1224"/>
      <c r="GA9" s="1224"/>
      <c r="GB9" s="1224"/>
      <c r="GC9" s="1224"/>
      <c r="GD9" s="1224"/>
      <c r="GE9" s="1224"/>
      <c r="GF9" s="1224"/>
      <c r="GG9" s="1224"/>
      <c r="GH9" s="1224"/>
      <c r="GI9" s="1224"/>
      <c r="GJ9" s="1224"/>
      <c r="GK9" s="1224"/>
      <c r="GL9" s="1224"/>
      <c r="GM9" s="1224"/>
      <c r="GN9" s="1224"/>
      <c r="GO9" s="1224"/>
      <c r="GP9" s="1224"/>
      <c r="GQ9" s="1224"/>
      <c r="GR9" s="1224"/>
      <c r="GS9" s="1224"/>
      <c r="GT9" s="1224"/>
      <c r="GU9" s="1224"/>
      <c r="GV9" s="1224"/>
      <c r="GW9" s="1224"/>
      <c r="GX9" s="1224"/>
      <c r="GY9" s="1224"/>
      <c r="GZ9" s="1224"/>
      <c r="HA9" s="1224"/>
      <c r="HB9" s="1224"/>
      <c r="HC9" s="1224"/>
      <c r="HD9" s="1224"/>
      <c r="HE9" s="1224"/>
      <c r="HF9" s="1224"/>
      <c r="HG9" s="1224"/>
      <c r="HH9" s="1224"/>
      <c r="HI9" s="1224"/>
      <c r="HJ9" s="1224"/>
      <c r="HK9" s="1224"/>
      <c r="HL9" s="1224"/>
      <c r="HM9" s="1224"/>
      <c r="HN9" s="1224"/>
      <c r="HO9" s="1224"/>
      <c r="HP9" s="1224"/>
      <c r="HQ9" s="1224"/>
      <c r="HR9" s="1224"/>
      <c r="HS9" s="1224"/>
      <c r="HT9" s="1224"/>
      <c r="HU9" s="1224"/>
      <c r="HV9" s="1224"/>
      <c r="HW9" s="1224"/>
      <c r="HX9" s="1224"/>
      <c r="HY9" s="1224"/>
      <c r="HZ9" s="1224"/>
      <c r="IA9" s="1224"/>
      <c r="IB9" s="1224"/>
      <c r="IC9" s="1224"/>
      <c r="ID9" s="1224"/>
      <c r="IE9" s="1224"/>
      <c r="IF9" s="1224"/>
      <c r="IG9" s="1224"/>
      <c r="IH9" s="1224"/>
      <c r="II9" s="1224"/>
      <c r="IJ9" s="1224"/>
      <c r="IK9" s="1224"/>
      <c r="IL9" s="1224"/>
      <c r="IM9" s="1224"/>
      <c r="IN9" s="1224"/>
      <c r="IO9" s="1224"/>
      <c r="IP9" s="1224"/>
      <c r="IQ9" s="1224"/>
      <c r="IR9" s="1224"/>
      <c r="IS9" s="1224"/>
      <c r="IT9" s="1224"/>
      <c r="IU9" s="1224"/>
      <c r="IV9" s="1224"/>
    </row>
    <row r="10" spans="1:256" s="142" customFormat="1" x14ac:dyDescent="0.2">
      <c r="A10" s="1220"/>
      <c r="B10" s="1147" t="s">
        <v>5405</v>
      </c>
      <c r="C10" s="1147"/>
      <c r="D10" s="1147"/>
      <c r="E10" s="1147"/>
      <c r="F10" s="1147"/>
      <c r="G10" s="2485" t="str">
        <f>IF(N10=0,"",IF(OR(N10="N",N10="n"),D94,D93))</f>
      </c>
      <c r="H10" s="1273" t="str">
        <f>IF(N10=0," Please indicate on Page 2 [No. 5]!","")</f>
        <v/>
      </c>
      <c r="I10" s="1226">
        <f>IF(H10="",0,1)</f>
      </c>
      <c r="N10" s="142" t="str">
        <f>'p2'!G11</f>
      </c>
      <c r="AF10" s="1224"/>
      <c r="AG10" s="1224"/>
      <c r="AH10" s="1224"/>
      <c r="AI10" s="1224"/>
      <c r="AJ10" s="1224"/>
      <c r="AK10" s="1224"/>
      <c r="AL10" s="1224"/>
      <c r="AM10" s="1224"/>
      <c r="AN10" s="1224"/>
      <c r="AO10" s="1224"/>
      <c r="AP10" s="1224"/>
      <c r="AQ10" s="1224"/>
      <c r="AR10" s="1224"/>
      <c r="AS10" s="1224"/>
      <c r="AT10" s="1224"/>
      <c r="AU10" s="1224"/>
      <c r="AV10" s="1224"/>
      <c r="AW10" s="1224"/>
      <c r="AX10" s="1224"/>
      <c r="AY10" s="1224"/>
      <c r="AZ10" s="1224"/>
      <c r="BC10" s="1224"/>
      <c r="BD10" s="1224"/>
      <c r="BE10" s="1224"/>
      <c r="BF10" s="1224"/>
      <c r="BG10" s="1224"/>
      <c r="BH10" s="1224"/>
      <c r="BI10" s="1224"/>
      <c r="BJ10" s="1224"/>
      <c r="BK10" s="1224"/>
      <c r="BL10" s="1224"/>
      <c r="BM10" s="1224"/>
      <c r="BN10" s="1224"/>
      <c r="BO10" s="1224"/>
      <c r="BP10" s="1224"/>
      <c r="BQ10" s="1224"/>
      <c r="BR10" s="1224"/>
      <c r="BS10" s="1224"/>
      <c r="BT10" s="1224"/>
      <c r="BU10" s="1224"/>
      <c r="BV10" s="1224"/>
      <c r="BW10" s="1224"/>
      <c r="BX10" s="1224"/>
      <c r="BY10" s="1224"/>
      <c r="BZ10" s="1224"/>
      <c r="CA10" s="1224"/>
      <c r="CB10" s="1224"/>
      <c r="CC10" s="1224"/>
      <c r="CD10" s="1224"/>
      <c r="CE10" s="1224"/>
      <c r="CF10" s="1224"/>
      <c r="CG10" s="1224"/>
      <c r="CH10" s="1224"/>
      <c r="CI10" s="1224"/>
      <c r="CJ10" s="1224"/>
      <c r="CK10" s="1224"/>
      <c r="CL10" s="1224"/>
      <c r="CM10" s="1224"/>
      <c r="CN10" s="1224"/>
      <c r="CO10" s="1224"/>
      <c r="CP10" s="1224"/>
      <c r="CQ10" s="1224"/>
      <c r="CR10" s="1224"/>
      <c r="CS10" s="1224"/>
      <c r="CT10" s="1224"/>
      <c r="CU10" s="1224"/>
      <c r="CV10" s="1224"/>
      <c r="CW10" s="1224"/>
      <c r="CX10" s="1224"/>
      <c r="CY10" s="1224"/>
      <c r="CZ10" s="1224"/>
      <c r="DA10" s="1224"/>
      <c r="DB10" s="1224"/>
      <c r="DC10" s="1224"/>
      <c r="DD10" s="1224"/>
      <c r="DE10" s="1224"/>
      <c r="DF10" s="1224"/>
      <c r="DG10" s="1224"/>
      <c r="DH10" s="1224"/>
      <c r="DI10" s="1224"/>
      <c r="DJ10" s="1224"/>
      <c r="DK10" s="1224"/>
      <c r="DL10" s="1224"/>
      <c r="DM10" s="1224"/>
      <c r="DN10" s="1224"/>
      <c r="DO10" s="1224"/>
      <c r="DP10" s="1224"/>
      <c r="DQ10" s="1224"/>
      <c r="DR10" s="1224"/>
      <c r="DS10" s="1224"/>
      <c r="DT10" s="1224"/>
      <c r="DU10" s="1224"/>
      <c r="DV10" s="1224"/>
      <c r="DW10" s="1224"/>
      <c r="DX10" s="1224"/>
      <c r="DY10" s="1224"/>
      <c r="DZ10" s="1224"/>
      <c r="EA10" s="1224"/>
      <c r="EB10" s="1224"/>
      <c r="EC10" s="1224"/>
      <c r="ED10" s="1224"/>
      <c r="EE10" s="1224"/>
      <c r="EF10" s="1224"/>
      <c r="EG10" s="1224"/>
      <c r="EH10" s="1224"/>
      <c r="EI10" s="1224"/>
      <c r="EJ10" s="1224"/>
      <c r="EK10" s="1224"/>
      <c r="EL10" s="1224"/>
      <c r="EM10" s="1224"/>
      <c r="EN10" s="1224"/>
      <c r="EO10" s="1224"/>
      <c r="EP10" s="1224"/>
      <c r="EQ10" s="1224"/>
      <c r="ER10" s="1224"/>
      <c r="ES10" s="1224"/>
      <c r="ET10" s="1224"/>
      <c r="EU10" s="1224"/>
      <c r="EV10" s="1224"/>
      <c r="EW10" s="1224"/>
      <c r="EX10" s="1224"/>
      <c r="EY10" s="1224"/>
      <c r="EZ10" s="1224"/>
      <c r="FA10" s="1224"/>
      <c r="FB10" s="1224"/>
      <c r="FC10" s="1224"/>
      <c r="FD10" s="1224"/>
      <c r="FE10" s="1224"/>
      <c r="FF10" s="1224"/>
      <c r="FG10" s="1224"/>
      <c r="FH10" s="1224"/>
      <c r="FI10" s="1224"/>
      <c r="FJ10" s="1224"/>
      <c r="FK10" s="1224"/>
      <c r="FL10" s="1224"/>
      <c r="FM10" s="1224"/>
      <c r="FN10" s="1224"/>
      <c r="FO10" s="1224"/>
      <c r="FP10" s="1224"/>
      <c r="FQ10" s="1224"/>
      <c r="FR10" s="1224"/>
      <c r="FS10" s="1224"/>
      <c r="FT10" s="1224"/>
      <c r="FU10" s="1224"/>
      <c r="FV10" s="1224"/>
      <c r="FW10" s="1224"/>
      <c r="FX10" s="1224"/>
      <c r="FY10" s="1224"/>
      <c r="FZ10" s="1224"/>
      <c r="GA10" s="1224"/>
      <c r="GB10" s="1224"/>
      <c r="GC10" s="1224"/>
      <c r="GD10" s="1224"/>
      <c r="GE10" s="1224"/>
      <c r="GF10" s="1224"/>
      <c r="GG10" s="1224"/>
      <c r="GH10" s="1224"/>
      <c r="GI10" s="1224"/>
      <c r="GJ10" s="1224"/>
      <c r="GK10" s="1224"/>
      <c r="GL10" s="1224"/>
      <c r="GM10" s="1224"/>
      <c r="GN10" s="1224"/>
      <c r="GO10" s="1224"/>
      <c r="GP10" s="1224"/>
      <c r="GQ10" s="1224"/>
      <c r="GR10" s="1224"/>
      <c r="GS10" s="1224"/>
      <c r="GT10" s="1224"/>
      <c r="GU10" s="1224"/>
      <c r="GV10" s="1224"/>
      <c r="GW10" s="1224"/>
      <c r="GX10" s="1224"/>
      <c r="GY10" s="1224"/>
      <c r="GZ10" s="1224"/>
      <c r="HA10" s="1224"/>
      <c r="HB10" s="1224"/>
      <c r="HC10" s="1224"/>
      <c r="HD10" s="1224"/>
      <c r="HE10" s="1224"/>
      <c r="HF10" s="1224"/>
      <c r="HG10" s="1224"/>
      <c r="HH10" s="1224"/>
      <c r="HI10" s="1224"/>
      <c r="HJ10" s="1224"/>
      <c r="HK10" s="1224"/>
      <c r="HL10" s="1224"/>
      <c r="HM10" s="1224"/>
      <c r="HN10" s="1224"/>
      <c r="HO10" s="1224"/>
      <c r="HP10" s="1224"/>
      <c r="HQ10" s="1224"/>
      <c r="HR10" s="1224"/>
      <c r="HS10" s="1224"/>
      <c r="HT10" s="1224"/>
      <c r="HU10" s="1224"/>
      <c r="HV10" s="1224"/>
      <c r="HW10" s="1224"/>
      <c r="HX10" s="1224"/>
      <c r="HY10" s="1224"/>
      <c r="HZ10" s="1224"/>
      <c r="IA10" s="1224"/>
      <c r="IB10" s="1224"/>
      <c r="IC10" s="1224"/>
      <c r="ID10" s="1224"/>
      <c r="IE10" s="1224"/>
      <c r="IF10" s="1224"/>
      <c r="IG10" s="1224"/>
      <c r="IH10" s="1224"/>
      <c r="II10" s="1224"/>
      <c r="IJ10" s="1224"/>
      <c r="IK10" s="1224"/>
      <c r="IL10" s="1224"/>
      <c r="IM10" s="1224"/>
      <c r="IN10" s="1224"/>
      <c r="IO10" s="1224"/>
      <c r="IP10" s="1224"/>
      <c r="IQ10" s="1224"/>
      <c r="IR10" s="1224"/>
      <c r="IS10" s="1224"/>
      <c r="IT10" s="1224"/>
      <c r="IU10" s="1224"/>
      <c r="IV10" s="1224"/>
    </row>
    <row r="11" spans="1:256" s="142" customFormat="1" ht="12.75" customHeight="1" x14ac:dyDescent="0.2">
      <c r="A11" s="1220"/>
      <c r="B11" s="1147" t="s">
        <v>5406</v>
      </c>
      <c r="C11" s="1264"/>
      <c r="D11" s="1273" t="str">
        <f>IF(Z1=2,"",IF(AND(G10=y,C11=""),re,IF(AND(G10=y,C11=n),"Option invalid!",IF(AND(G10=n,C11&lt;&gt;""),"Delete!",""))))</f>
        <v/>
      </c>
      <c r="E11" s="1220"/>
      <c r="F11" s="1364" t="s">
        <v>5404</v>
      </c>
      <c r="G11" s="364"/>
      <c r="H11" s="1273" t="str">
        <f>IF(Z1=2,"",IF(AND(G10=y,G11=""),re,IF(AND(G10=n,G11&lt;&gt;""),"Delete!","")))</f>
        <v/>
      </c>
      <c r="I11" s="1226">
        <f>IF(D11&lt;&gt;"",1,IF(H11="",0,1))</f>
      </c>
      <c r="J11" s="1190">
        <v>40544</v>
      </c>
      <c r="AF11" s="1224"/>
      <c r="AG11" s="1224"/>
      <c r="AH11" s="1224"/>
      <c r="AI11" s="1224"/>
      <c r="AJ11" s="1224"/>
      <c r="AK11" s="1224"/>
      <c r="AL11" s="1224"/>
      <c r="AM11" s="1224"/>
      <c r="AN11" s="1224"/>
      <c r="AO11" s="1224"/>
      <c r="AP11" s="1224"/>
      <c r="AQ11" s="1224"/>
      <c r="AR11" s="1224"/>
      <c r="AS11" s="1224"/>
      <c r="AT11" s="1224"/>
      <c r="AU11" s="1224"/>
      <c r="AV11" s="1224"/>
      <c r="AW11" s="1224"/>
      <c r="AX11" s="1224"/>
      <c r="AY11" s="1224"/>
      <c r="AZ11" s="1224"/>
      <c r="BA11" s="1224"/>
      <c r="BB11" s="1224"/>
      <c r="BC11" s="1224"/>
      <c r="BD11" s="1224"/>
      <c r="BE11" s="1224"/>
      <c r="BF11" s="1224"/>
      <c r="BG11" s="1224"/>
      <c r="BH11" s="1224"/>
      <c r="BI11" s="1224"/>
      <c r="BJ11" s="1224"/>
      <c r="BK11" s="1224"/>
      <c r="BL11" s="1224"/>
      <c r="BM11" s="1224"/>
      <c r="BN11" s="1224"/>
      <c r="BO11" s="1224"/>
      <c r="BP11" s="1224"/>
      <c r="BQ11" s="1224"/>
      <c r="BR11" s="1224"/>
      <c r="BS11" s="1224"/>
      <c r="BT11" s="1224"/>
      <c r="BU11" s="1224"/>
      <c r="BV11" s="1224"/>
      <c r="BW11" s="1224"/>
      <c r="BX11" s="1224"/>
      <c r="BY11" s="1224"/>
      <c r="BZ11" s="1224"/>
      <c r="CA11" s="1224"/>
      <c r="CB11" s="1224"/>
      <c r="CC11" s="1224"/>
      <c r="CD11" s="1224"/>
      <c r="CE11" s="1224"/>
      <c r="CF11" s="1224"/>
      <c r="CG11" s="1224"/>
      <c r="CH11" s="1224"/>
      <c r="CI11" s="1224"/>
      <c r="CJ11" s="1224"/>
      <c r="CK11" s="1224"/>
      <c r="CL11" s="1224"/>
      <c r="CM11" s="1224"/>
      <c r="CN11" s="1224"/>
      <c r="CO11" s="1224"/>
      <c r="CP11" s="1224"/>
      <c r="CQ11" s="1224"/>
      <c r="CR11" s="1224"/>
      <c r="CS11" s="1224"/>
      <c r="CT11" s="1224"/>
      <c r="CU11" s="1224"/>
      <c r="CV11" s="1224"/>
      <c r="CW11" s="1224"/>
      <c r="CX11" s="1224"/>
      <c r="CY11" s="1224"/>
      <c r="CZ11" s="1224"/>
      <c r="DA11" s="1224"/>
      <c r="DB11" s="1224"/>
      <c r="DC11" s="1224"/>
      <c r="DD11" s="1224"/>
      <c r="DE11" s="1224"/>
      <c r="DF11" s="1224"/>
      <c r="DG11" s="1224"/>
      <c r="DH11" s="1224"/>
      <c r="DI11" s="1224"/>
      <c r="DJ11" s="1224"/>
      <c r="DK11" s="1224"/>
      <c r="DL11" s="1224"/>
      <c r="DM11" s="1224"/>
      <c r="DN11" s="1224"/>
      <c r="DO11" s="1224"/>
      <c r="DP11" s="1224"/>
      <c r="DQ11" s="1224"/>
      <c r="DR11" s="1224"/>
      <c r="DS11" s="1224"/>
      <c r="DT11" s="1224"/>
      <c r="DU11" s="1224"/>
      <c r="DV11" s="1224"/>
      <c r="DW11" s="1224"/>
      <c r="DX11" s="1224"/>
      <c r="DY11" s="1224"/>
      <c r="DZ11" s="1224"/>
      <c r="EA11" s="1224"/>
      <c r="EB11" s="1224"/>
      <c r="EC11" s="1224"/>
      <c r="ED11" s="1224"/>
      <c r="EE11" s="1224"/>
      <c r="EF11" s="1224"/>
      <c r="EG11" s="1224"/>
      <c r="EH11" s="1224"/>
      <c r="EI11" s="1224"/>
      <c r="EJ11" s="1224"/>
      <c r="EK11" s="1224"/>
      <c r="EL11" s="1224"/>
      <c r="EM11" s="1224"/>
      <c r="EN11" s="1224"/>
      <c r="EO11" s="1224"/>
      <c r="EP11" s="1224"/>
      <c r="EQ11" s="1224"/>
      <c r="ER11" s="1224"/>
      <c r="ES11" s="1224"/>
      <c r="ET11" s="1224"/>
      <c r="EU11" s="1224"/>
      <c r="EV11" s="1224"/>
      <c r="EW11" s="1224"/>
      <c r="EX11" s="1224"/>
      <c r="EY11" s="1224"/>
      <c r="EZ11" s="1224"/>
      <c r="FA11" s="1224"/>
      <c r="FB11" s="1224"/>
      <c r="FC11" s="1224"/>
      <c r="FD11" s="1224"/>
      <c r="FE11" s="1224"/>
      <c r="FF11" s="1224"/>
      <c r="FG11" s="1224"/>
      <c r="FH11" s="1224"/>
      <c r="FI11" s="1224"/>
      <c r="FJ11" s="1224"/>
      <c r="FK11" s="1224"/>
      <c r="FL11" s="1224"/>
      <c r="FM11" s="1224"/>
      <c r="FN11" s="1224"/>
      <c r="FO11" s="1224"/>
      <c r="FP11" s="1224"/>
      <c r="FQ11" s="1224"/>
      <c r="FR11" s="1224"/>
      <c r="FS11" s="1224"/>
      <c r="FT11" s="1224"/>
      <c r="FU11" s="1224"/>
      <c r="FV11" s="1224"/>
      <c r="FW11" s="1224"/>
      <c r="FX11" s="1224"/>
      <c r="FY11" s="1224"/>
      <c r="FZ11" s="1224"/>
      <c r="GA11" s="1224"/>
      <c r="GB11" s="1224"/>
      <c r="GC11" s="1224"/>
      <c r="GD11" s="1224"/>
      <c r="GE11" s="1224"/>
      <c r="GF11" s="1224"/>
      <c r="GG11" s="1224"/>
      <c r="GH11" s="1224"/>
      <c r="GI11" s="1224"/>
      <c r="GJ11" s="1224"/>
      <c r="GK11" s="1224"/>
      <c r="GL11" s="1224"/>
      <c r="GM11" s="1224"/>
      <c r="GN11" s="1224"/>
      <c r="GO11" s="1224"/>
      <c r="GP11" s="1224"/>
      <c r="GQ11" s="1224"/>
      <c r="GR11" s="1224"/>
      <c r="GS11" s="1224"/>
      <c r="GT11" s="1224"/>
      <c r="GU11" s="1224"/>
      <c r="GV11" s="1224"/>
      <c r="GW11" s="1224"/>
      <c r="GX11" s="1224"/>
      <c r="GY11" s="1224"/>
      <c r="GZ11" s="1224"/>
      <c r="HA11" s="1224"/>
      <c r="HB11" s="1224"/>
      <c r="HC11" s="1224"/>
      <c r="HD11" s="1224"/>
      <c r="HE11" s="1224"/>
      <c r="HF11" s="1224"/>
      <c r="HG11" s="1224"/>
      <c r="HH11" s="1224"/>
      <c r="HI11" s="1224"/>
      <c r="HJ11" s="1224"/>
      <c r="HK11" s="1224"/>
      <c r="HL11" s="1224"/>
      <c r="HM11" s="1224"/>
      <c r="HN11" s="1224"/>
      <c r="HO11" s="1224"/>
      <c r="HP11" s="1224"/>
      <c r="HQ11" s="1224"/>
      <c r="HR11" s="1224"/>
      <c r="HS11" s="1224"/>
      <c r="HT11" s="1224"/>
      <c r="HU11" s="1224"/>
      <c r="HV11" s="1224"/>
      <c r="HW11" s="1224"/>
      <c r="HX11" s="1224"/>
      <c r="HY11" s="1224"/>
      <c r="HZ11" s="1224"/>
      <c r="IA11" s="1224"/>
      <c r="IB11" s="1224"/>
      <c r="IC11" s="1224"/>
      <c r="ID11" s="1224"/>
      <c r="IE11" s="1224"/>
      <c r="IF11" s="1224"/>
      <c r="IG11" s="1224"/>
      <c r="IH11" s="1224"/>
      <c r="II11" s="1224"/>
      <c r="IJ11" s="1224"/>
      <c r="IK11" s="1224"/>
      <c r="IL11" s="1224"/>
      <c r="IM11" s="1224"/>
      <c r="IN11" s="1224"/>
      <c r="IO11" s="1224"/>
      <c r="IP11" s="1224"/>
      <c r="IQ11" s="1224"/>
      <c r="IR11" s="1224"/>
      <c r="IS11" s="1224"/>
      <c r="IT11" s="1224"/>
      <c r="IU11" s="1224"/>
      <c r="IV11" s="1224"/>
    </row>
    <row r="12" spans="1:256" s="142" customFormat="1" ht="12.75" customHeight="1" x14ac:dyDescent="0.2">
      <c r="A12" s="1220"/>
      <c r="B12" s="1220"/>
      <c r="C12" s="1220"/>
      <c r="D12" s="1220"/>
      <c r="E12" s="1220"/>
      <c r="F12" s="1364" t="s">
        <v>5407</v>
      </c>
      <c r="G12" s="364"/>
      <c r="H12" s="1273" t="str">
        <f>IF(Z1=2,"",IF(AND(G10=y,G12=""),re,IF(AND(G10=n,G12&lt;&gt;""),"Delete!","")))</f>
        <v/>
      </c>
      <c r="I12" s="1226">
        <f>IF(H12="",0,1)</f>
      </c>
      <c r="J12" s="1190">
        <v>40180</v>
      </c>
      <c r="AF12" s="1224"/>
      <c r="AG12" s="1224"/>
      <c r="AH12" s="1224"/>
      <c r="AI12" s="1224"/>
      <c r="AJ12" s="1224"/>
      <c r="AK12" s="1224"/>
      <c r="AL12" s="1224"/>
      <c r="AM12" s="1224"/>
      <c r="AN12" s="1224"/>
      <c r="AO12" s="1224"/>
      <c r="AP12" s="1224"/>
      <c r="AQ12" s="1224"/>
      <c r="AR12" s="1224"/>
      <c r="AS12" s="1224"/>
      <c r="AT12" s="1224"/>
      <c r="AU12" s="1224"/>
      <c r="AV12" s="1224"/>
      <c r="AW12" s="1224"/>
      <c r="AX12" s="1224"/>
      <c r="AY12" s="1224"/>
      <c r="AZ12" s="1224"/>
      <c r="BA12" s="1224"/>
      <c r="BB12" s="1224"/>
      <c r="BC12" s="1224"/>
      <c r="BD12" s="1224"/>
      <c r="BE12" s="1224"/>
      <c r="BF12" s="1224"/>
      <c r="BG12" s="1224"/>
      <c r="BH12" s="1224"/>
      <c r="BI12" s="1224"/>
      <c r="BJ12" s="1224"/>
      <c r="BK12" s="1224"/>
      <c r="BL12" s="1224"/>
      <c r="BM12" s="1224"/>
      <c r="BN12" s="1224"/>
      <c r="BO12" s="1224"/>
      <c r="BP12" s="1224"/>
      <c r="BQ12" s="1224"/>
      <c r="BR12" s="1224"/>
      <c r="BS12" s="1224"/>
      <c r="BT12" s="1224"/>
      <c r="BU12" s="1224"/>
      <c r="BV12" s="1224"/>
      <c r="BW12" s="1224"/>
      <c r="BX12" s="1224"/>
      <c r="BY12" s="1224"/>
      <c r="BZ12" s="1224"/>
      <c r="CA12" s="1224"/>
      <c r="CB12" s="1224"/>
      <c r="CC12" s="1224"/>
      <c r="CD12" s="1224"/>
      <c r="CE12" s="1224"/>
      <c r="CF12" s="1224"/>
      <c r="CG12" s="1224"/>
      <c r="CH12" s="1224"/>
      <c r="CI12" s="1224"/>
      <c r="CJ12" s="1224"/>
      <c r="CK12" s="1224"/>
      <c r="CL12" s="1224"/>
      <c r="CM12" s="1224"/>
      <c r="CN12" s="1224"/>
      <c r="CO12" s="1224"/>
      <c r="CP12" s="1224"/>
      <c r="CQ12" s="1224"/>
      <c r="CR12" s="1224"/>
      <c r="CS12" s="1224"/>
      <c r="CT12" s="1224"/>
      <c r="CU12" s="1224"/>
      <c r="CV12" s="1224"/>
      <c r="CW12" s="1224"/>
      <c r="CX12" s="1224"/>
      <c r="CY12" s="1224"/>
      <c r="CZ12" s="1224"/>
      <c r="DA12" s="1224"/>
      <c r="DB12" s="1224"/>
      <c r="DC12" s="1224"/>
      <c r="DD12" s="1224"/>
      <c r="DE12" s="1224"/>
      <c r="DF12" s="1224"/>
      <c r="DG12" s="1224"/>
      <c r="DH12" s="1224"/>
      <c r="DI12" s="1224"/>
      <c r="DJ12" s="1224"/>
      <c r="DK12" s="1224"/>
      <c r="DL12" s="1224"/>
      <c r="DM12" s="1224"/>
      <c r="DN12" s="1224"/>
      <c r="DO12" s="1224"/>
      <c r="DP12" s="1224"/>
      <c r="DQ12" s="1224"/>
      <c r="DR12" s="1224"/>
      <c r="DS12" s="1224"/>
      <c r="DT12" s="1224"/>
      <c r="DU12" s="1224"/>
      <c r="DV12" s="1224"/>
      <c r="DW12" s="1224"/>
      <c r="DX12" s="1224"/>
      <c r="DY12" s="1224"/>
      <c r="DZ12" s="1224"/>
      <c r="EA12" s="1224"/>
      <c r="EB12" s="1224"/>
      <c r="EC12" s="1224"/>
      <c r="ED12" s="1224"/>
      <c r="EE12" s="1224"/>
      <c r="EF12" s="1224"/>
      <c r="EG12" s="1224"/>
      <c r="EH12" s="1224"/>
      <c r="EI12" s="1224"/>
      <c r="EJ12" s="1224"/>
      <c r="EK12" s="1224"/>
      <c r="EL12" s="1224"/>
      <c r="EM12" s="1224"/>
      <c r="EN12" s="1224"/>
      <c r="EO12" s="1224"/>
      <c r="EP12" s="1224"/>
      <c r="EQ12" s="1224"/>
      <c r="ER12" s="1224"/>
      <c r="ES12" s="1224"/>
      <c r="ET12" s="1224"/>
      <c r="EU12" s="1224"/>
      <c r="EV12" s="1224"/>
      <c r="EW12" s="1224"/>
      <c r="EX12" s="1224"/>
      <c r="EY12" s="1224"/>
      <c r="EZ12" s="1224"/>
      <c r="FA12" s="1224"/>
      <c r="FB12" s="1224"/>
      <c r="FC12" s="1224"/>
      <c r="FD12" s="1224"/>
      <c r="FE12" s="1224"/>
      <c r="FF12" s="1224"/>
      <c r="FG12" s="1224"/>
      <c r="FH12" s="1224"/>
      <c r="FI12" s="1224"/>
      <c r="FJ12" s="1224"/>
      <c r="FK12" s="1224"/>
      <c r="FL12" s="1224"/>
      <c r="FM12" s="1224"/>
      <c r="FN12" s="1224"/>
      <c r="FO12" s="1224"/>
      <c r="FP12" s="1224"/>
      <c r="FQ12" s="1224"/>
      <c r="FR12" s="1224"/>
      <c r="FS12" s="1224"/>
      <c r="FT12" s="1224"/>
      <c r="FU12" s="1224"/>
      <c r="FV12" s="1224"/>
      <c r="FW12" s="1224"/>
      <c r="FX12" s="1224"/>
      <c r="FY12" s="1224"/>
      <c r="FZ12" s="1224"/>
      <c r="GA12" s="1224"/>
      <c r="GB12" s="1224"/>
      <c r="GC12" s="1224"/>
      <c r="GD12" s="1224"/>
      <c r="GE12" s="1224"/>
      <c r="GF12" s="1224"/>
      <c r="GG12" s="1224"/>
      <c r="GH12" s="1224"/>
      <c r="GI12" s="1224"/>
      <c r="GJ12" s="1224"/>
      <c r="GK12" s="1224"/>
      <c r="GL12" s="1224"/>
      <c r="GM12" s="1224"/>
      <c r="GN12" s="1224"/>
      <c r="GO12" s="1224"/>
      <c r="GP12" s="1224"/>
      <c r="GQ12" s="1224"/>
      <c r="GR12" s="1224"/>
      <c r="GS12" s="1224"/>
      <c r="GT12" s="1224"/>
      <c r="GU12" s="1224"/>
      <c r="GV12" s="1224"/>
      <c r="GW12" s="1224"/>
      <c r="GX12" s="1224"/>
      <c r="GY12" s="1224"/>
      <c r="GZ12" s="1224"/>
      <c r="HA12" s="1224"/>
      <c r="HB12" s="1224"/>
      <c r="HC12" s="1224"/>
      <c r="HD12" s="1224"/>
      <c r="HE12" s="1224"/>
      <c r="HF12" s="1224"/>
      <c r="HG12" s="1224"/>
      <c r="HH12" s="1224"/>
      <c r="HI12" s="1224"/>
      <c r="HJ12" s="1224"/>
      <c r="HK12" s="1224"/>
      <c r="HL12" s="1224"/>
      <c r="HM12" s="1224"/>
      <c r="HN12" s="1224"/>
      <c r="HO12" s="1224"/>
      <c r="HP12" s="1224"/>
      <c r="HQ12" s="1224"/>
      <c r="HR12" s="1224"/>
      <c r="HS12" s="1224"/>
      <c r="HT12" s="1224"/>
      <c r="HU12" s="1224"/>
      <c r="HV12" s="1224"/>
      <c r="HW12" s="1224"/>
      <c r="HX12" s="1224"/>
      <c r="HY12" s="1224"/>
      <c r="HZ12" s="1224"/>
      <c r="IA12" s="1224"/>
      <c r="IB12" s="1224"/>
      <c r="IC12" s="1224"/>
      <c r="ID12" s="1224"/>
      <c r="IE12" s="1224"/>
      <c r="IF12" s="1224"/>
      <c r="IG12" s="1224"/>
      <c r="IH12" s="1224"/>
      <c r="II12" s="1224"/>
      <c r="IJ12" s="1224"/>
      <c r="IK12" s="1224"/>
      <c r="IL12" s="1224"/>
      <c r="IM12" s="1224"/>
      <c r="IN12" s="1224"/>
      <c r="IO12" s="1224"/>
      <c r="IP12" s="1224"/>
      <c r="IQ12" s="1224"/>
      <c r="IR12" s="1224"/>
      <c r="IS12" s="1224"/>
      <c r="IT12" s="1224"/>
      <c r="IU12" s="1224"/>
      <c r="IV12" s="1224"/>
    </row>
    <row r="13" spans="1:256" s="142" customFormat="1" ht="6" customHeight="1" x14ac:dyDescent="0.2">
      <c r="A13" s="1220"/>
      <c r="B13" s="1220"/>
      <c r="C13" s="1220"/>
      <c r="D13" s="1220"/>
      <c r="E13" s="1220"/>
      <c r="F13" s="1250"/>
      <c r="G13" s="1250"/>
      <c r="H13" s="1220"/>
      <c r="AF13" s="1224"/>
      <c r="AG13" s="1224"/>
      <c r="AH13" s="1224"/>
      <c r="AI13" s="1224"/>
      <c r="AJ13" s="1224"/>
      <c r="AK13" s="1224"/>
      <c r="AL13" s="1224"/>
      <c r="AM13" s="1224"/>
      <c r="AN13" s="1224"/>
      <c r="AO13" s="1224"/>
      <c r="AP13" s="1224"/>
      <c r="AQ13" s="1224"/>
      <c r="AR13" s="1224"/>
      <c r="AS13" s="1224"/>
      <c r="AT13" s="1224"/>
      <c r="AU13" s="1224"/>
      <c r="AV13" s="1224"/>
      <c r="AW13" s="1224"/>
      <c r="AX13" s="1224"/>
      <c r="AY13" s="1224"/>
      <c r="AZ13" s="1224"/>
      <c r="BA13" s="1224"/>
      <c r="BB13" s="1224"/>
      <c r="BC13" s="1224"/>
      <c r="BD13" s="1224"/>
      <c r="BE13" s="1224"/>
      <c r="BF13" s="1224"/>
      <c r="BG13" s="1224"/>
      <c r="BH13" s="1224"/>
      <c r="BI13" s="1224"/>
      <c r="BJ13" s="1224"/>
      <c r="BK13" s="1224"/>
      <c r="BL13" s="1224"/>
      <c r="BM13" s="1224"/>
      <c r="BN13" s="1224"/>
      <c r="BO13" s="1224"/>
      <c r="BP13" s="1224"/>
      <c r="BQ13" s="1224"/>
      <c r="BR13" s="1224"/>
      <c r="BS13" s="1224"/>
      <c r="BT13" s="1224"/>
      <c r="BU13" s="1224"/>
      <c r="BV13" s="1224"/>
      <c r="BW13" s="1224"/>
      <c r="BX13" s="1224"/>
      <c r="BY13" s="1224"/>
      <c r="BZ13" s="1224"/>
      <c r="CA13" s="1224"/>
      <c r="CB13" s="1224"/>
      <c r="CC13" s="1224"/>
      <c r="CD13" s="1224"/>
      <c r="CE13" s="1224"/>
      <c r="CF13" s="1224"/>
      <c r="CG13" s="1224"/>
      <c r="CH13" s="1224"/>
      <c r="CI13" s="1224"/>
      <c r="CJ13" s="1224"/>
      <c r="CK13" s="1224"/>
      <c r="CL13" s="1224"/>
      <c r="CM13" s="1224"/>
      <c r="CN13" s="1224"/>
      <c r="CO13" s="1224"/>
      <c r="CP13" s="1224"/>
      <c r="CQ13" s="1224"/>
      <c r="CR13" s="1224"/>
      <c r="CS13" s="1224"/>
      <c r="CT13" s="1224"/>
      <c r="CU13" s="1224"/>
      <c r="CV13" s="1224"/>
      <c r="CW13" s="1224"/>
      <c r="CX13" s="1224"/>
      <c r="CY13" s="1224"/>
      <c r="CZ13" s="1224"/>
      <c r="DA13" s="1224"/>
      <c r="DB13" s="1224"/>
      <c r="DC13" s="1224"/>
      <c r="DD13" s="1224"/>
      <c r="DE13" s="1224"/>
      <c r="DF13" s="1224"/>
      <c r="DG13" s="1224"/>
      <c r="DH13" s="1224"/>
      <c r="DI13" s="1224"/>
      <c r="DJ13" s="1224"/>
      <c r="DK13" s="1224"/>
      <c r="DL13" s="1224"/>
      <c r="DM13" s="1224"/>
      <c r="DN13" s="1224"/>
      <c r="DO13" s="1224"/>
      <c r="DP13" s="1224"/>
      <c r="DQ13" s="1224"/>
      <c r="DR13" s="1224"/>
      <c r="DS13" s="1224"/>
      <c r="DT13" s="1224"/>
      <c r="DU13" s="1224"/>
      <c r="DV13" s="1224"/>
      <c r="DW13" s="1224"/>
      <c r="DX13" s="1224"/>
      <c r="DY13" s="1224"/>
      <c r="DZ13" s="1224"/>
      <c r="EA13" s="1224"/>
      <c r="EB13" s="1224"/>
      <c r="EC13" s="1224"/>
      <c r="ED13" s="1224"/>
      <c r="EE13" s="1224"/>
      <c r="EF13" s="1224"/>
      <c r="EG13" s="1224"/>
      <c r="EH13" s="1224"/>
      <c r="EI13" s="1224"/>
      <c r="EJ13" s="1224"/>
      <c r="EK13" s="1224"/>
      <c r="EL13" s="1224"/>
      <c r="EM13" s="1224"/>
      <c r="EN13" s="1224"/>
      <c r="EO13" s="1224"/>
      <c r="EP13" s="1224"/>
      <c r="EQ13" s="1224"/>
      <c r="ER13" s="1224"/>
      <c r="ES13" s="1224"/>
      <c r="ET13" s="1224"/>
      <c r="EU13" s="1224"/>
      <c r="EV13" s="1224"/>
      <c r="EW13" s="1224"/>
      <c r="EX13" s="1224"/>
      <c r="EY13" s="1224"/>
      <c r="EZ13" s="1224"/>
      <c r="FA13" s="1224"/>
      <c r="FB13" s="1224"/>
      <c r="FC13" s="1224"/>
      <c r="FD13" s="1224"/>
      <c r="FE13" s="1224"/>
      <c r="FF13" s="1224"/>
      <c r="FG13" s="1224"/>
      <c r="FH13" s="1224"/>
      <c r="FI13" s="1224"/>
      <c r="FJ13" s="1224"/>
      <c r="FK13" s="1224"/>
      <c r="FL13" s="1224"/>
      <c r="FM13" s="1224"/>
      <c r="FN13" s="1224"/>
      <c r="FO13" s="1224"/>
      <c r="FP13" s="1224"/>
      <c r="FQ13" s="1224"/>
      <c r="FR13" s="1224"/>
      <c r="FS13" s="1224"/>
      <c r="FT13" s="1224"/>
      <c r="FU13" s="1224"/>
      <c r="FV13" s="1224"/>
      <c r="FW13" s="1224"/>
      <c r="FX13" s="1224"/>
      <c r="FY13" s="1224"/>
      <c r="FZ13" s="1224"/>
      <c r="GA13" s="1224"/>
      <c r="GB13" s="1224"/>
      <c r="GC13" s="1224"/>
      <c r="GD13" s="1224"/>
      <c r="GE13" s="1224"/>
      <c r="GF13" s="1224"/>
      <c r="GG13" s="1224"/>
      <c r="GH13" s="1224"/>
      <c r="GI13" s="1224"/>
      <c r="GJ13" s="1224"/>
      <c r="GK13" s="1224"/>
      <c r="GL13" s="1224"/>
      <c r="GM13" s="1224"/>
      <c r="GN13" s="1224"/>
      <c r="GO13" s="1224"/>
      <c r="GP13" s="1224"/>
      <c r="GQ13" s="1224"/>
      <c r="GR13" s="1224"/>
      <c r="GS13" s="1224"/>
      <c r="GT13" s="1224"/>
      <c r="GU13" s="1224"/>
      <c r="GV13" s="1224"/>
      <c r="GW13" s="1224"/>
      <c r="GX13" s="1224"/>
      <c r="GY13" s="1224"/>
      <c r="GZ13" s="1224"/>
      <c r="HA13" s="1224"/>
      <c r="HB13" s="1224"/>
      <c r="HC13" s="1224"/>
      <c r="HD13" s="1224"/>
      <c r="HE13" s="1224"/>
      <c r="HF13" s="1224"/>
      <c r="HG13" s="1224"/>
      <c r="HH13" s="1224"/>
      <c r="HI13" s="1224"/>
      <c r="HJ13" s="1224"/>
      <c r="HK13" s="1224"/>
      <c r="HL13" s="1224"/>
      <c r="HM13" s="1224"/>
      <c r="HN13" s="1224"/>
      <c r="HO13" s="1224"/>
      <c r="HP13" s="1224"/>
      <c r="HQ13" s="1224"/>
      <c r="HR13" s="1224"/>
      <c r="HS13" s="1224"/>
      <c r="HT13" s="1224"/>
      <c r="HU13" s="1224"/>
      <c r="HV13" s="1224"/>
      <c r="HW13" s="1224"/>
      <c r="HX13" s="1224"/>
      <c r="HY13" s="1224"/>
      <c r="HZ13" s="1224"/>
      <c r="IA13" s="1224"/>
      <c r="IB13" s="1224"/>
      <c r="IC13" s="1224"/>
      <c r="ID13" s="1224"/>
      <c r="IE13" s="1224"/>
      <c r="IF13" s="1224"/>
      <c r="IG13" s="1224"/>
      <c r="IH13" s="1224"/>
      <c r="II13" s="1224"/>
      <c r="IJ13" s="1224"/>
      <c r="IK13" s="1224"/>
      <c r="IL13" s="1224"/>
      <c r="IM13" s="1224"/>
      <c r="IN13" s="1224"/>
      <c r="IO13" s="1224"/>
      <c r="IP13" s="1224"/>
      <c r="IQ13" s="1224"/>
      <c r="IR13" s="1224"/>
      <c r="IS13" s="1224"/>
      <c r="IT13" s="1224"/>
      <c r="IU13" s="1224"/>
      <c r="IV13" s="1224"/>
    </row>
    <row r="14" spans="1:256" s="142" customFormat="1" ht="21.75" customHeight="1" x14ac:dyDescent="0.2">
      <c r="A14" s="1220"/>
      <c r="B14" s="4964" t="s">
        <v>2829</v>
      </c>
      <c r="C14" s="4965"/>
      <c r="D14" s="4965"/>
      <c r="E14" s="4965"/>
      <c r="F14" s="4965"/>
      <c r="G14" s="4966"/>
      <c r="H14" s="1220"/>
    </row>
    <row r="15" spans="1:256" s="142" customFormat="1" ht="6" customHeight="1" x14ac:dyDescent="0.2">
      <c r="A15" s="1220"/>
      <c r="B15" s="1220"/>
      <c r="C15" s="1220"/>
      <c r="D15" s="1220"/>
      <c r="E15" s="1220"/>
      <c r="F15" s="1250"/>
      <c r="G15" s="1220"/>
      <c r="H15" s="1220"/>
    </row>
    <row r="16" spans="1:256" s="142" customFormat="1" ht="15.75" customHeight="1" x14ac:dyDescent="0.2">
      <c r="A16" s="1220"/>
      <c r="B16" s="4939" t="s">
        <v>4142</v>
      </c>
      <c r="C16" s="4940"/>
      <c r="D16" s="4940"/>
      <c r="E16" s="4940"/>
      <c r="F16" s="4940"/>
      <c r="G16" s="4950"/>
      <c r="H16" s="1220"/>
      <c r="N16" s="28"/>
    </row>
    <row r="17" spans="1:31" s="142" customFormat="1" ht="12.75" customHeight="1" x14ac:dyDescent="0.2">
      <c r="A17" s="1220"/>
      <c r="B17" s="4941"/>
      <c r="C17" s="4942"/>
      <c r="D17" s="4942"/>
      <c r="E17" s="4942"/>
      <c r="F17" s="4942"/>
      <c r="G17" s="4951"/>
      <c r="H17" s="1220"/>
      <c r="N17" s="28"/>
      <c r="P17" s="235"/>
      <c r="Q17" s="235"/>
      <c r="R17" s="235"/>
      <c r="S17" s="235"/>
      <c r="T17" s="235"/>
      <c r="U17" s="235"/>
      <c r="V17" s="235"/>
      <c r="W17" s="235"/>
      <c r="X17" s="235"/>
      <c r="Y17" s="208"/>
      <c r="Z17" s="208"/>
      <c r="AA17" s="208"/>
      <c r="AB17" s="208"/>
      <c r="AC17" s="208"/>
      <c r="AD17" s="239">
        <f>'p5'!D11</f>
      </c>
      <c r="AE17" s="239">
        <f>SUM(AD17,AD20,AD23,AD16)</f>
      </c>
    </row>
    <row r="18" spans="1:31" s="142" customFormat="1" ht="6" customHeight="1" x14ac:dyDescent="0.2">
      <c r="A18" s="1220"/>
      <c r="B18" s="1220"/>
      <c r="C18" s="1220"/>
      <c r="D18" s="1220"/>
      <c r="E18" s="1220"/>
      <c r="F18" s="1250"/>
      <c r="G18" s="1220"/>
      <c r="H18" s="1220"/>
      <c r="N18" s="28"/>
      <c r="P18" s="235"/>
      <c r="Q18" s="1226" t="s">
        <v>1578</v>
      </c>
      <c r="R18" s="1226" t="s">
        <v>1578</v>
      </c>
      <c r="S18" s="235"/>
      <c r="T18" s="235"/>
      <c r="U18" s="235"/>
      <c r="V18" s="235"/>
      <c r="W18" s="235"/>
      <c r="X18" s="235"/>
      <c r="Y18" s="208"/>
      <c r="Z18" s="208"/>
      <c r="AA18" s="208"/>
      <c r="AB18" s="208"/>
      <c r="AC18" s="208"/>
      <c r="AD18" s="208"/>
      <c r="AE18" s="208"/>
    </row>
    <row r="19" spans="1:31" s="142" customFormat="1" ht="22.5" x14ac:dyDescent="0.2">
      <c r="A19" s="1220"/>
      <c r="B19" s="1227"/>
      <c r="C19" s="1228" t="s">
        <v>6848</v>
      </c>
      <c r="D19" s="1228" t="s">
        <v>4839</v>
      </c>
      <c r="E19" s="1228" t="s">
        <v>142</v>
      </c>
      <c r="F19" s="1228" t="s">
        <v>226</v>
      </c>
      <c r="G19" s="1229" t="s">
        <v>2364</v>
      </c>
      <c r="H19" s="1220"/>
      <c r="N19" s="28"/>
      <c r="P19" s="77"/>
      <c r="Q19" s="77"/>
      <c r="R19" s="77"/>
      <c r="S19" s="77"/>
      <c r="T19" s="77"/>
      <c r="U19" s="77"/>
      <c r="V19" s="77"/>
      <c r="W19" s="77"/>
      <c r="X19" s="1451">
        <f>J24</f>
      </c>
      <c r="Y19" s="184"/>
      <c r="Z19" s="184"/>
      <c r="AA19" s="184"/>
      <c r="AB19" s="184"/>
      <c r="AC19" s="184"/>
      <c r="AD19" s="184"/>
      <c r="AE19" s="184"/>
    </row>
    <row r="20" spans="1:31" s="142" customFormat="1" x14ac:dyDescent="0.2">
      <c r="A20" s="1220"/>
      <c r="B20" s="1230" t="s">
        <v>7336</v>
      </c>
      <c r="C20" s="2094">
        <v>0</v>
      </c>
      <c r="D20" s="1231"/>
      <c r="E20" s="1369">
        <f>'TRA35'!AA55</f>
      </c>
      <c r="F20" s="864"/>
      <c r="G20" s="1232">
        <f>IF(ya=2008,E20+F20,SUM(D20:F20))</f>
      </c>
      <c r="H20" s="1273" t="str">
        <f>IF($X$19=0,"",IF(R20=0," "&amp;reo,IF(AND(R20&gt;0,S20=0)," Tax Rate!",IF(AND(R20&gt;0,T20=0)," Brought forward!",IF(AND(R20&gt;0,U20=0)," Allocation for current year!",IF(AND(R20&gt;0,V20=0)," Dividends paid or 0!",IF(G20&lt;0,"C/fwd cannot be negative!","")))))))</f>
        <v/>
      </c>
      <c r="I20" s="1226">
        <f>IF(H20="",0,1)</f>
      </c>
      <c r="J20" s="1233">
        <f>IF(D20+E20&lt;0,0,(D20+E20)*-1)</f>
      </c>
      <c r="N20" s="28"/>
      <c r="P20" s="1233">
        <f>IF(D20+E20&lt;0,0,(D20+E20)*-1)</f>
      </c>
      <c r="Q20" s="1226">
        <f>COUNT(C20:F20)</f>
      </c>
      <c r="R20" s="1226">
        <f>S20+T20+U20+V20</f>
      </c>
      <c r="S20" s="1226">
        <f t="shared" ref="S20:V23" si="0">COUNT(C20)</f>
      </c>
      <c r="T20" s="1226">
        <f t="shared" si="0"/>
        <v>0</v>
      </c>
      <c r="U20" s="1226">
        <f t="shared" si="0"/>
        <v>1</v>
      </c>
      <c r="V20" s="1226">
        <f t="shared" si="0"/>
        <v>0</v>
      </c>
      <c r="W20" s="1224"/>
      <c r="X20" s="1234">
        <f>IF(X19-E20&lt;=0,0,X19-E20)</f>
      </c>
      <c r="Y20" s="1224"/>
      <c r="Z20" s="1224"/>
      <c r="AA20" s="1235"/>
      <c r="AB20" s="1224"/>
      <c r="AC20" s="1224"/>
      <c r="AD20" s="1224"/>
      <c r="AE20" s="1224"/>
    </row>
    <row r="21" spans="1:31" s="142" customFormat="1" x14ac:dyDescent="0.2">
      <c r="A21" s="1220"/>
      <c r="B21" s="1230" t="s">
        <v>5188</v>
      </c>
      <c r="C21" s="1265"/>
      <c r="D21" s="1231"/>
      <c r="E21" s="1231"/>
      <c r="F21" s="864"/>
      <c r="G21" s="1232">
        <f>IF(ya=2008,E21+F21,SUM(D21:F21))</f>
      </c>
      <c r="H21" s="1273" t="str">
        <f>IF($X$19=0,"",IF(AND(X20&gt;0,R21=0)," "&amp;reo,IF(AND(R21&gt;0,S21=0)," Tax Rate!",IF(AND(R21&gt;0,T21=0)," Brought forward!",IF(AND(R21&gt;0,U21=0)," Allocation for current year!",IF(AND(R21&gt;0,V21=0)," Dividends paid or 0!",IF(G21&lt;0,"C/fwd cannot be negative!","")))))))</f>
        <v/>
      </c>
      <c r="I21" s="1226">
        <f>IF(H21="",0,1)</f>
      </c>
      <c r="J21" s="1233">
        <f>IF(D21+E21&lt;0,0,(D21+E21)*-1)</f>
      </c>
      <c r="N21" s="28"/>
      <c r="P21" s="1233">
        <f>IF(D21+E21&lt;0,0,(D21+E21)*-1)</f>
      </c>
      <c r="Q21" s="1226">
        <f>COUNT(C21:F21)</f>
      </c>
      <c r="R21" s="1226">
        <f>S21+T21+U21+V21</f>
      </c>
      <c r="S21" s="1226">
        <f t="shared" si="0"/>
        <v>0</v>
      </c>
      <c r="T21" s="1226">
        <f t="shared" si="0"/>
        <v>0</v>
      </c>
      <c r="U21" s="1226">
        <f t="shared" si="0"/>
        <v>0</v>
      </c>
      <c r="V21" s="1226">
        <f t="shared" si="0"/>
        <v>0</v>
      </c>
      <c r="W21" s="1224"/>
      <c r="X21" s="1234">
        <f>IF(X20-E21&lt;=0,0,X20-E21)</f>
      </c>
      <c r="Y21" s="1224"/>
      <c r="Z21" s="1224"/>
      <c r="AA21" s="1224"/>
      <c r="AB21" s="1224"/>
      <c r="AC21" s="1224"/>
      <c r="AD21" s="1224"/>
      <c r="AE21" s="1224"/>
    </row>
    <row r="22" spans="1:31" s="142" customFormat="1" x14ac:dyDescent="0.2">
      <c r="A22" s="1220"/>
      <c r="B22" s="1230" t="s">
        <v>5188</v>
      </c>
      <c r="C22" s="1265"/>
      <c r="D22" s="1231"/>
      <c r="E22" s="1231"/>
      <c r="F22" s="864"/>
      <c r="G22" s="1232">
        <f>IF(ya=2008,E22+F22,SUM(D22:F22))</f>
      </c>
      <c r="H22" s="1273" t="str">
        <f>IF($X$19=0,"",IF(AND(X21&gt;0,R22=0)," "&amp;reo,IF(AND(R22&gt;0,S22=0)," Tax Rate!",IF(AND(R22&gt;0,T22=0)," Brought forward!",IF(AND(R22&gt;0,U22=0)," Allocation for current year!",IF(AND(R22&gt;0,V22=0)," Dividends paid or 0!",IF(G22&lt;0,"C/fwd cannot be negative!","")))))))</f>
        <v/>
      </c>
      <c r="I22" s="1226">
        <f>IF(H22="",0,1)</f>
      </c>
      <c r="J22" s="1233">
        <f>IF(D22+E22&lt;0,0,(D22+E22)*-1)</f>
      </c>
      <c r="N22" s="28"/>
      <c r="P22" s="1233">
        <f>IF(D22+E22&lt;0,0,(D22+E22)*-1)</f>
      </c>
      <c r="Q22" s="1226">
        <f>COUNT(C22:F22)</f>
      </c>
      <c r="R22" s="1226">
        <f>S22+T22+U22+V22</f>
      </c>
      <c r="S22" s="1226">
        <f t="shared" si="0"/>
        <v>0</v>
      </c>
      <c r="T22" s="1226">
        <f t="shared" si="0"/>
        <v>0</v>
      </c>
      <c r="U22" s="1226">
        <f t="shared" si="0"/>
        <v>0</v>
      </c>
      <c r="V22" s="1226">
        <f t="shared" si="0"/>
        <v>0</v>
      </c>
      <c r="W22" s="1224"/>
      <c r="X22" s="1234">
        <f>IF(X21-E22&lt;=0,0,X21-E22)</f>
      </c>
      <c r="Y22" s="1224"/>
      <c r="Z22" s="1224"/>
      <c r="AA22" s="1224"/>
      <c r="AB22" s="1224"/>
      <c r="AC22" s="1224"/>
      <c r="AD22" s="1224"/>
      <c r="AE22" s="1224"/>
    </row>
    <row r="23" spans="1:31" s="142" customFormat="1" x14ac:dyDescent="0.2">
      <c r="A23" s="1220"/>
      <c r="B23" s="1236" t="s">
        <v>5188</v>
      </c>
      <c r="C23" s="1265"/>
      <c r="D23" s="1231"/>
      <c r="E23" s="1231"/>
      <c r="F23" s="864"/>
      <c r="G23" s="1232">
        <f>IF(ya=2008,E23+F23,SUM(D23:F23))</f>
      </c>
      <c r="H23" s="1273" t="str">
        <f>IF($X$19=0,"",IF(AND(X22&gt;0,R23=0)," "&amp;reo,IF(AND(R23&gt;0,S23=0)," Tax Rate!",IF(AND(R23&gt;0,T23=0)," Brought forward!",IF(AND(R23&gt;0,U23=0)," Allocation for current year!",IF(AND(R23&gt;0,V23=0)," Dividends paid or 0!",IF(G23&lt;0,"C/fwd cannot be negative!","")))))))</f>
        <v/>
      </c>
      <c r="I23" s="1226">
        <f>IF(H23="",0,1)</f>
      </c>
      <c r="J23" s="1233">
        <f>IF(D23+E23&lt;0,0,(D23+E23)*-1)</f>
      </c>
      <c r="N23" s="28"/>
      <c r="P23" s="1233">
        <f>IF(D23+E23&lt;0,0,(D23+E23)*-1)</f>
      </c>
      <c r="Q23" s="1226">
        <f>COUNT(C23:F23)</f>
      </c>
      <c r="R23" s="1226">
        <f>S23+T23+U23+V23</f>
      </c>
      <c r="S23" s="1226">
        <f t="shared" si="0"/>
        <v>0</v>
      </c>
      <c r="T23" s="1226">
        <f t="shared" si="0"/>
        <v>0</v>
      </c>
      <c r="U23" s="1226">
        <f t="shared" si="0"/>
        <v>0</v>
      </c>
      <c r="V23" s="1226">
        <f t="shared" si="0"/>
        <v>0</v>
      </c>
      <c r="W23" s="1224"/>
      <c r="X23" s="1226"/>
      <c r="Y23" s="1224"/>
      <c r="Z23" s="1224"/>
      <c r="AA23" s="1224"/>
      <c r="AB23" s="1224"/>
      <c r="AC23" s="1224"/>
      <c r="AD23" s="1224"/>
      <c r="AE23" s="1224"/>
    </row>
    <row r="24" spans="1:31" s="142" customFormat="1" ht="15" x14ac:dyDescent="0.25">
      <c r="A24" s="1220"/>
      <c r="B24" s="1268" t="s">
        <v>5375</v>
      </c>
      <c r="C24" s="1269"/>
      <c r="D24" s="1270">
        <f>SUM(D20:D23)</f>
      </c>
      <c r="E24" s="1270">
        <f>SUM(E20:E23)</f>
      </c>
      <c r="F24" s="1271">
        <f>SUM(F20:F23)</f>
      </c>
      <c r="G24" s="1270">
        <f>SUM(G20:G23)</f>
      </c>
      <c r="H24" s="1452"/>
      <c r="I24" s="28"/>
      <c r="J24" s="1972">
        <f>IF(G10="No",'p6'!Q17,'p6'!Q33-('p6'!Q18+'p6'!Q19))</f>
      </c>
      <c r="K24" s="591" t="s">
        <v>5374</v>
      </c>
      <c r="M24" s="1453" t="str">
        <f>IF(G10="No",AB24,AC24)</f>
        <v xml:space="preserve"> Not equal to amount on Page 6 field 97a! (</v>
      </c>
      <c r="N24" s="28"/>
      <c r="P24" s="1233"/>
      <c r="Q24" s="1226"/>
      <c r="R24" s="1226"/>
      <c r="S24" s="1226"/>
      <c r="T24" s="1226"/>
      <c r="U24" s="1226"/>
      <c r="V24" s="1226"/>
      <c r="W24" s="1224"/>
      <c r="X24" s="1226"/>
      <c r="Y24" s="1224"/>
      <c r="Z24" s="1224"/>
      <c r="AA24" s="1224"/>
      <c r="AB24" s="1454" t="s">
        <v>4150</v>
      </c>
      <c r="AC24" s="1454" t="s">
        <v>4151</v>
      </c>
      <c r="AD24" s="1224"/>
      <c r="AE24" s="1224"/>
    </row>
    <row r="25" spans="1:31" s="142" customFormat="1" ht="6" customHeight="1" x14ac:dyDescent="0.2">
      <c r="A25" s="1273"/>
      <c r="B25" s="1273"/>
      <c r="C25" s="1273"/>
      <c r="D25" s="1273"/>
      <c r="E25" s="1273"/>
      <c r="F25" s="1273"/>
      <c r="G25" s="1273"/>
      <c r="H25" s="1273"/>
      <c r="N25" s="28"/>
    </row>
    <row r="26" spans="1:31" s="142" customFormat="1" ht="19.5" customHeight="1" x14ac:dyDescent="0.2">
      <c r="A26" s="1273"/>
      <c r="B26" s="4939" t="s">
        <v>4143</v>
      </c>
      <c r="C26" s="4940"/>
      <c r="D26" s="4940"/>
      <c r="E26" s="4940"/>
      <c r="F26" s="4940"/>
      <c r="G26" s="4943" t="s">
        <v>2708</v>
      </c>
      <c r="H26" s="1273"/>
      <c r="N26" s="28"/>
    </row>
    <row r="27" spans="1:31" s="142" customFormat="1" ht="16.5" customHeight="1" x14ac:dyDescent="0.2">
      <c r="A27" s="1273"/>
      <c r="B27" s="4941"/>
      <c r="C27" s="4942"/>
      <c r="D27" s="4942"/>
      <c r="E27" s="4942"/>
      <c r="F27" s="4942"/>
      <c r="G27" s="4944"/>
      <c r="H27" s="1273"/>
      <c r="N27" s="28"/>
    </row>
    <row r="28" spans="1:31" s="142" customFormat="1" ht="6" customHeight="1" x14ac:dyDescent="0.2">
      <c r="A28" s="1273"/>
      <c r="B28" s="1273"/>
      <c r="C28" s="1273"/>
      <c r="D28" s="1273"/>
      <c r="E28" s="1273"/>
      <c r="F28" s="1273"/>
      <c r="G28" s="1273"/>
      <c r="H28" s="1273"/>
      <c r="N28" s="28"/>
    </row>
    <row r="29" spans="1:31" s="142" customFormat="1" ht="22.5" x14ac:dyDescent="0.2">
      <c r="A29" s="1273"/>
      <c r="B29" s="1227"/>
      <c r="C29" s="1228" t="s">
        <v>6848</v>
      </c>
      <c r="D29" s="1228" t="s">
        <v>4839</v>
      </c>
      <c r="E29" s="1228" t="s">
        <v>142</v>
      </c>
      <c r="F29" s="1228" t="s">
        <v>226</v>
      </c>
      <c r="G29" s="1229" t="s">
        <v>2364</v>
      </c>
      <c r="H29" s="1293" t="str">
        <f>IF(AND(G10=y,SUM(D34:E34)&gt;0)," Option exercised on Pg 2!","")</f>
        <v/>
      </c>
      <c r="N29" s="28"/>
      <c r="X29" s="553">
        <f>J34</f>
      </c>
    </row>
    <row r="30" spans="1:31" s="142" customFormat="1" ht="12.75" customHeight="1" x14ac:dyDescent="0.2">
      <c r="A30" s="1220"/>
      <c r="B30" s="1230" t="s">
        <v>7488</v>
      </c>
      <c r="C30" s="2094">
        <v>0</v>
      </c>
      <c r="D30" s="1231"/>
      <c r="E30" s="1369">
        <f>TRA63_MTA_FIA!N48*-1</f>
      </c>
      <c r="F30" s="864"/>
      <c r="G30" s="1238">
        <f>SUM(D30:F30)</f>
      </c>
      <c r="H30" s="1273" t="str">
        <f>IF(AND($J$34=0,$L$34=0),"",IF(AND(X29&gt;0,R30=0)," "&amp;reo,IF(AND(R30&gt;0,S30=0)," Tax Rate!",IF(AND(R30&gt;0,T30=0)," Brought forward!",IF(AND(R30&gt;0,U30=0)," Allocation for current year!",IF(AND(R30&gt;0,V30=0)," Dividends paid or 0!",IF(G30&lt;0,"C/fwd cannot be negative!","")))))))</f>
        <v/>
      </c>
      <c r="I30" s="1226">
        <f>IF(H30="",0,1)</f>
      </c>
      <c r="J30" s="1233">
        <f>IF(D30+E30&lt;0,0,(D30+E30)*-1)</f>
      </c>
      <c r="N30" s="28"/>
      <c r="P30" s="1233">
        <f>IF(D30+E30&lt;0,0,(D30+E30)*-1)</f>
      </c>
      <c r="Q30" s="1226">
        <f>COUNT(C30:F30)</f>
      </c>
      <c r="R30" s="1226">
        <f>S30+T30+U30+V30</f>
      </c>
      <c r="S30" s="1226">
        <f t="shared" ref="S30:V33" si="1">COUNT(C30)</f>
      </c>
      <c r="T30" s="1226">
        <f t="shared" si="1"/>
        <v>0</v>
      </c>
      <c r="U30" s="1226">
        <f t="shared" si="1"/>
        <v>1</v>
      </c>
      <c r="V30" s="1226">
        <f t="shared" si="1"/>
        <v>0</v>
      </c>
      <c r="W30" s="1224"/>
      <c r="X30" s="1234">
        <f>IF(X29-E30&lt;=0,0,X29-E30)</f>
      </c>
    </row>
    <row r="31" spans="1:31" s="142" customFormat="1" ht="12.75" customHeight="1" x14ac:dyDescent="0.2">
      <c r="A31" s="1220"/>
      <c r="B31" s="1230" t="s">
        <v>5188</v>
      </c>
      <c r="C31" s="1265"/>
      <c r="D31" s="1231"/>
      <c r="E31" s="1231"/>
      <c r="F31" s="864"/>
      <c r="G31" s="1238">
        <f>SUM(D31:F31)</f>
      </c>
      <c r="H31" s="1273" t="str">
        <f>IF(AND($J$34=0,$L$34=0),"",IF(AND(X30&gt;0,R31=0)," "&amp;reo,IF(AND(R31&gt;0,S31=0)," Tax Rate!",IF(AND(R31&gt;0,T31=0)," Brought forward!",IF(AND(R31&gt;0,U31=0)," Allocation for current year!",IF(AND(R31&gt;0,V31=0)," Dividends paid or 0!",IF(G31&lt;0,"C/fwd cannot be negative!","")))))))</f>
        <v/>
      </c>
      <c r="I31" s="1226">
        <f>IF(H31="",0,1)</f>
      </c>
      <c r="J31" s="1233">
        <f>IF(D31+E31&lt;0,0,(D31+E31)*-1)</f>
      </c>
      <c r="N31" s="28"/>
      <c r="P31" s="1233">
        <f>IF(D31+E31&lt;0,0,(D31+E31)*-1)</f>
      </c>
      <c r="Q31" s="1226">
        <f>COUNT(C31:F31)</f>
      </c>
      <c r="R31" s="1226">
        <f>S31+T31+U31+V31</f>
      </c>
      <c r="S31" s="1226">
        <f t="shared" si="1"/>
        <v>0</v>
      </c>
      <c r="T31" s="1226">
        <f t="shared" si="1"/>
        <v>0</v>
      </c>
      <c r="U31" s="1226">
        <f t="shared" si="1"/>
        <v>0</v>
      </c>
      <c r="V31" s="1226">
        <f t="shared" si="1"/>
        <v>0</v>
      </c>
      <c r="W31" s="1224"/>
      <c r="X31" s="1234">
        <f>IF(X30-E31&lt;=0,0,X30-E31)</f>
      </c>
    </row>
    <row r="32" spans="1:31" s="142" customFormat="1" ht="12.75" customHeight="1" x14ac:dyDescent="0.2">
      <c r="A32" s="1220"/>
      <c r="B32" s="1230" t="s">
        <v>5188</v>
      </c>
      <c r="C32" s="1265"/>
      <c r="D32" s="1231"/>
      <c r="E32" s="1231"/>
      <c r="F32" s="864"/>
      <c r="G32" s="1238">
        <f>SUM(D32:F32)</f>
      </c>
      <c r="H32" s="1273" t="str">
        <f>IF(AND($J$34=0,$L$34=0),"",IF(AND(X31&gt;0,R32=0)," "&amp;reo,IF(AND(R32&gt;0,S32=0)," Tax Rate!",IF(AND(R32&gt;0,T32=0)," Brought forward!",IF(AND(R32&gt;0,U32=0)," Allocation for current year!",IF(AND(R32&gt;0,V32=0)," Dividends paid or 0!",IF(G32&lt;0,"C/fwd cannot be negative!","")))))))</f>
        <v/>
      </c>
      <c r="I32" s="1226">
        <f>IF(H32="",0,1)</f>
      </c>
      <c r="J32" s="1233">
        <f>IF(D32+E32&lt;0,0,(D32+E32)*-1)</f>
      </c>
      <c r="N32" s="28"/>
      <c r="P32" s="1233">
        <f>IF(D32+E32&lt;0,0,(D32+E32)*-1)</f>
      </c>
      <c r="Q32" s="1226">
        <f>COUNT(C32:F32)</f>
      </c>
      <c r="R32" s="1226">
        <f>S32+T32+U32+V32</f>
      </c>
      <c r="S32" s="1226">
        <f t="shared" si="1"/>
        <v>0</v>
      </c>
      <c r="T32" s="1226">
        <f t="shared" si="1"/>
        <v>0</v>
      </c>
      <c r="U32" s="1226">
        <f t="shared" si="1"/>
        <v>0</v>
      </c>
      <c r="V32" s="1226">
        <f t="shared" si="1"/>
        <v>0</v>
      </c>
      <c r="W32" s="1224"/>
      <c r="X32" s="1234">
        <f>IF(X31-E32&lt;=0,0,X31-E32)</f>
      </c>
    </row>
    <row r="33" spans="1:106" s="142" customFormat="1" ht="12.75" customHeight="1" x14ac:dyDescent="0.2">
      <c r="A33" s="1220"/>
      <c r="B33" s="1236" t="s">
        <v>5188</v>
      </c>
      <c r="C33" s="1265"/>
      <c r="D33" s="1231"/>
      <c r="E33" s="1231"/>
      <c r="F33" s="864"/>
      <c r="G33" s="1238">
        <f>SUM(D33:F33)</f>
      </c>
      <c r="H33" s="1273" t="str">
        <f>IF(AND($J$34=0,$L$34=0),"",IF(AND(X32&gt;0,R33=0)," "&amp;reo,IF(AND(R33&gt;0,S33=0)," Tax Rate!",IF(AND(R33&gt;0,T33=0)," Brought forward!",IF(AND(R33&gt;0,U33=0)," Allocation for current year!",IF(AND(R33&gt;0,V33=0)," Dividends paid or 0!",IF(G33&lt;0,"C/fwd cannot be negative!","")))))))</f>
        <v/>
      </c>
      <c r="I33" s="1226">
        <f>IF(H33="",0,1)</f>
      </c>
      <c r="J33" s="1233">
        <f>IF(D33+E33&lt;0,0,(D33+E33)*-1)</f>
      </c>
      <c r="N33" s="28"/>
      <c r="P33" s="1233">
        <f>IF(D33+E33&lt;0,0,(D33+E33)*-1)</f>
      </c>
      <c r="Q33" s="1226">
        <f>COUNT(C33:F33)</f>
      </c>
      <c r="R33" s="1226">
        <f>S33+T33+U33+V33</f>
      </c>
      <c r="S33" s="1226">
        <f t="shared" si="1"/>
        <v>0</v>
      </c>
      <c r="T33" s="1226">
        <f t="shared" si="1"/>
        <v>0</v>
      </c>
      <c r="U33" s="1226">
        <f t="shared" si="1"/>
        <v>0</v>
      </c>
      <c r="V33" s="1226">
        <f t="shared" si="1"/>
        <v>0</v>
      </c>
      <c r="W33" s="1224"/>
      <c r="X33" s="1226"/>
    </row>
    <row r="34" spans="1:106" s="142" customFormat="1" ht="12.75" customHeight="1" x14ac:dyDescent="0.2">
      <c r="A34" s="1220"/>
      <c r="B34" s="1268" t="s">
        <v>5375</v>
      </c>
      <c r="C34" s="1269"/>
      <c r="D34" s="1270">
        <f>SUM(D30:D33)</f>
      </c>
      <c r="E34" s="1270">
        <f>SUM(E30:E33)</f>
      </c>
      <c r="F34" s="1271">
        <f>SUM(F30:F33)</f>
      </c>
      <c r="G34" s="1270">
        <f>SUM(G30:G33)</f>
      </c>
      <c r="H34" s="1273" t="str">
        <f>IF(E34&lt;&gt;J34," Not equal to amount on TRA 62A! ("&amp;J34&amp;")","")</f>
        <v/>
      </c>
      <c r="I34" s="1226">
        <f>IF(H34="",0,1)</f>
      </c>
      <c r="J34" s="1263">
        <f>TRA62A_IPA!D72</f>
      </c>
      <c r="K34" s="591" t="s">
        <v>2711</v>
      </c>
      <c r="L34" s="553">
        <f>'p6'!Q22</f>
      </c>
      <c r="M34" s="142" t="s">
        <v>2712</v>
      </c>
      <c r="N34" s="28"/>
    </row>
    <row r="35" spans="1:106" s="142" customFormat="1" hidden="1" x14ac:dyDescent="0.2">
      <c r="A35" s="1220"/>
      <c r="F35" s="591"/>
      <c r="H35" s="1273"/>
      <c r="N35" s="28"/>
    </row>
    <row r="36" spans="1:106" s="142" customFormat="1" hidden="1" x14ac:dyDescent="0.2">
      <c r="A36" s="1220"/>
      <c r="F36" s="591"/>
      <c r="H36" s="1273"/>
      <c r="N36" s="28"/>
    </row>
    <row r="37" spans="1:106" s="142" customFormat="1" ht="6" customHeight="1" x14ac:dyDescent="0.2">
      <c r="A37" s="1273"/>
      <c r="B37" s="1273"/>
      <c r="C37" s="1273"/>
      <c r="D37" s="1273"/>
      <c r="E37" s="1273"/>
      <c r="F37" s="1273"/>
      <c r="G37" s="1273"/>
      <c r="H37" s="1273"/>
      <c r="N37" s="28"/>
    </row>
    <row r="38" spans="1:106" s="142" customFormat="1" ht="15" customHeight="1" x14ac:dyDescent="0.2">
      <c r="A38" s="1220"/>
      <c r="B38" s="4952" t="str">
        <f>BB$40</f>
      </c>
      <c r="C38" s="4953"/>
      <c r="D38" s="4953"/>
      <c r="E38" s="4953"/>
      <c r="F38" s="4953"/>
      <c r="G38" s="4954"/>
      <c r="H38" s="1273"/>
    </row>
    <row r="39" spans="1:106" s="142" customFormat="1" ht="14.25" customHeight="1" x14ac:dyDescent="0.2">
      <c r="A39" s="1220"/>
      <c r="B39" s="4955" t="s">
        <v>5376</v>
      </c>
      <c r="C39" s="4956"/>
      <c r="D39" s="4956"/>
      <c r="E39" s="4956"/>
      <c r="F39" s="4956"/>
      <c r="G39" s="4957"/>
      <c r="H39" s="1273"/>
    </row>
    <row r="40" spans="1:106" s="142" customFormat="1" ht="6" customHeight="1" x14ac:dyDescent="0.2">
      <c r="A40" s="1273"/>
      <c r="B40" s="1273"/>
      <c r="C40" s="1273"/>
      <c r="D40" s="1273"/>
      <c r="E40" s="1273"/>
      <c r="F40" s="1273"/>
      <c r="G40" s="1273"/>
      <c r="H40" s="1273"/>
      <c r="BA40" s="142">
        <f>TRA61_FTA!AB35</f>
      </c>
      <c r="BB40" s="142" t="s">
        <v>3460</v>
      </c>
    </row>
    <row r="41" spans="1:106" s="142" customFormat="1" ht="22.5" x14ac:dyDescent="0.2">
      <c r="A41" s="1220"/>
      <c r="B41" s="1365"/>
      <c r="C41" s="1243" t="s">
        <v>6848</v>
      </c>
      <c r="D41" s="1228" t="s">
        <v>4839</v>
      </c>
      <c r="E41" s="1228" t="s">
        <v>142</v>
      </c>
      <c r="F41" s="1228" t="s">
        <v>226</v>
      </c>
      <c r="G41" s="1229" t="s">
        <v>2364</v>
      </c>
      <c r="H41" s="1273"/>
      <c r="X41" s="553"/>
    </row>
    <row r="42" spans="1:106" s="1224" customFormat="1" x14ac:dyDescent="0.2">
      <c r="A42" s="1237"/>
      <c r="B42" s="1230" t="s">
        <v>2696</v>
      </c>
      <c r="C42" s="1077"/>
      <c r="D42" s="864"/>
      <c r="E42" s="864"/>
      <c r="F42" s="864"/>
      <c r="G42" s="1238">
        <f>SUM(D42:F42)</f>
      </c>
      <c r="H42" s="1273" t="str">
        <f>IF(AND($BA$40=0,K42&lt;&gt;0),"Delete!",IF(AND(BA40=1,L42=0)," "&amp;reo,IF(AND(L42&gt;0,M42=0)," Tax Rate!",IF(AND(L42&gt;0,N42=0)," Brought forward!",IF(AND(L42&gt;0,O42=0)," Allocation for current year!",IF(AND(L42&gt;0,P42=0)," Dividends paid or 0!",IF(G42&lt;0,"C/fwd cannot be negative!","")))))))</f>
        <v/>
      </c>
      <c r="I42" s="1226">
        <f>IF(H42="",0,1)</f>
      </c>
      <c r="J42" s="1233">
        <f>IF(D42+E42&lt;0,0,(D42+E42)*-1)</f>
      </c>
      <c r="K42" s="1226">
        <f>COUNT(C42:F42)</f>
      </c>
      <c r="L42" s="1226">
        <f>M42+N42+O42+P42</f>
      </c>
      <c r="M42" s="1226">
        <f t="shared" ref="M42:P45" si="2">COUNT(C42)</f>
      </c>
      <c r="N42" s="1226">
        <f t="shared" si="2"/>
        <v>0</v>
      </c>
      <c r="O42" s="1226">
        <f t="shared" si="2"/>
        <v>0</v>
      </c>
      <c r="P42" s="1226">
        <f t="shared" si="2"/>
        <v>0</v>
      </c>
      <c r="Q42" s="142"/>
      <c r="R42" s="1234">
        <f>IF(T42-E42&lt;=0,0,T42-E42)</f>
      </c>
      <c r="S42" s="142"/>
      <c r="T42" s="1366">
        <f>'p6'!Q18</f>
      </c>
      <c r="U42" s="1226"/>
      <c r="V42" s="1226"/>
      <c r="W42" s="1226"/>
      <c r="DB42" s="1235"/>
    </row>
    <row r="43" spans="1:106" s="1224" customFormat="1" x14ac:dyDescent="0.2">
      <c r="A43" s="1237"/>
      <c r="B43" s="1230" t="s">
        <v>2696</v>
      </c>
      <c r="C43" s="1077"/>
      <c r="D43" s="864"/>
      <c r="E43" s="864"/>
      <c r="F43" s="864"/>
      <c r="G43" s="1238">
        <f>SUM(D43:F43)</f>
      </c>
      <c r="H43" s="1273" t="str">
        <f>IF(AND($BA$40=0,K43&lt;&gt;0),"Delete!",IF($T$42=0,"",IF(AND(R42&gt;0,L43=0)," "&amp;reo,IF(AND(L43&gt;0,M43=0)," Tax Rate!",IF(AND(L43&gt;0,N43=0)," Brought forward!",IF(AND(L43&gt;0,O43=0)," Allocation for current year!",IF(AND(L43&gt;0,P43=0)," Dividends paid or 0!",IF(G43&lt;0,"C/fwd cannot be negative!",""))))))))</f>
        <v/>
      </c>
      <c r="I43" s="1226">
        <f>IF(H43="",0,1)</f>
      </c>
      <c r="J43" s="1233">
        <f>IF(D43+E43&lt;0,0,(D43+E43)*-1)</f>
      </c>
      <c r="K43" s="1226">
        <f>COUNT(C43:F43)</f>
      </c>
      <c r="L43" s="1226">
        <f>M43+N43+O43+P43</f>
      </c>
      <c r="M43" s="1226">
        <f t="shared" si="2"/>
        <v>0</v>
      </c>
      <c r="N43" s="1226">
        <f t="shared" si="2"/>
        <v>0</v>
      </c>
      <c r="O43" s="1226">
        <f t="shared" si="2"/>
        <v>0</v>
      </c>
      <c r="P43" s="1226">
        <f t="shared" si="2"/>
        <v>0</v>
      </c>
      <c r="Q43" s="142"/>
      <c r="R43" s="1234">
        <f>IF(R42-E43&lt;=0,0,R42-E43)</f>
      </c>
      <c r="S43" s="142"/>
      <c r="T43" s="142"/>
      <c r="U43" s="1226"/>
      <c r="V43" s="1226"/>
      <c r="W43" s="1226"/>
      <c r="DB43" s="1235"/>
    </row>
    <row r="44" spans="1:106" s="1224" customFormat="1" x14ac:dyDescent="0.2">
      <c r="A44" s="1237"/>
      <c r="B44" s="1230" t="s">
        <v>2696</v>
      </c>
      <c r="C44" s="1077"/>
      <c r="D44" s="864"/>
      <c r="E44" s="864"/>
      <c r="F44" s="864"/>
      <c r="G44" s="1238">
        <f>SUM(D44:F44)</f>
      </c>
      <c r="H44" s="1273" t="str">
        <f>IF(AND($BA$40=0,K44&lt;&gt;0),"Delete!",IF($T$42=0,"",IF(AND(R43&gt;0,L44=0)," "&amp;reo,IF(AND(L44&gt;0,M44=0)," Tax Rate!",IF(AND(L44&gt;0,N44=0)," Brought forward!",IF(AND(L44&gt;0,O44=0)," Allocation for current year!",IF(AND(L44&gt;0,P44=0)," Dividends paid or 0!",IF(G44&lt;0,"C/fwd cannot be negative!",""))))))))</f>
        <v/>
      </c>
      <c r="I44" s="1226">
        <f>IF(H44="",0,1)</f>
      </c>
      <c r="J44" s="1233">
        <f>IF(D44+E44&lt;0,0,(D44+E44)*-1)</f>
      </c>
      <c r="K44" s="1226">
        <f>COUNT(C44:F44)</f>
      </c>
      <c r="L44" s="1226">
        <f>M44+N44+O44+P44</f>
      </c>
      <c r="M44" s="1226">
        <f t="shared" si="2"/>
        <v>0</v>
      </c>
      <c r="N44" s="1226">
        <f t="shared" si="2"/>
        <v>0</v>
      </c>
      <c r="O44" s="1226">
        <f t="shared" si="2"/>
        <v>0</v>
      </c>
      <c r="P44" s="1226">
        <f t="shared" si="2"/>
        <v>0</v>
      </c>
      <c r="R44" s="1234">
        <f>IF(R43-E44&lt;=0,0,R43-E44)</f>
      </c>
      <c r="S44" s="142"/>
      <c r="T44" s="142"/>
      <c r="U44" s="1226"/>
      <c r="V44" s="1226"/>
      <c r="W44" s="1226"/>
      <c r="DB44" s="1235"/>
    </row>
    <row r="45" spans="1:106" s="1224" customFormat="1" x14ac:dyDescent="0.2">
      <c r="A45" s="1237"/>
      <c r="B45" s="1236" t="s">
        <v>2696</v>
      </c>
      <c r="C45" s="1077"/>
      <c r="D45" s="864"/>
      <c r="E45" s="864"/>
      <c r="F45" s="864"/>
      <c r="G45" s="1238">
        <f>SUM(D45:F45)</f>
      </c>
      <c r="H45" s="1273" t="str">
        <f>IF(AND($BA$40=0,K45&lt;&gt;0),"Delete!",IF($T$42=0,"",IF(AND(R44&gt;0,L45=0)," "&amp;reo,IF(AND(L45&gt;0,M45=0)," Tax Rate!",IF(AND(L45&gt;0,N45=0)," Brought forward!",IF(AND(L45&gt;0,O45=0)," Allocation for current year!",IF(AND(L45&gt;0,P45=0)," Dividends paid or 0!",IF(G45&lt;0,"C/fwd cannot be negative!",""))))))))</f>
        <v/>
      </c>
      <c r="I45" s="1226">
        <f>IF(H45="",0,1)</f>
      </c>
      <c r="J45" s="1233">
        <f>IF(D45+E45&lt;0,0,(D45+E45)*-1)</f>
      </c>
      <c r="K45" s="1226">
        <f>COUNT(C45:F45)</f>
      </c>
      <c r="L45" s="1226">
        <f>M45+N45+O45+P45</f>
      </c>
      <c r="M45" s="1226">
        <f t="shared" si="2"/>
        <v>0</v>
      </c>
      <c r="N45" s="1226">
        <f t="shared" si="2"/>
        <v>0</v>
      </c>
      <c r="O45" s="1226">
        <f t="shared" si="2"/>
        <v>0</v>
      </c>
      <c r="P45" s="1226">
        <f t="shared" si="2"/>
        <v>0</v>
      </c>
      <c r="R45" s="1234">
        <f>IF(R44-E45&lt;=0,0,R44-E45)</f>
      </c>
      <c r="S45" s="1226"/>
      <c r="T45" s="1226"/>
      <c r="U45" s="1226"/>
      <c r="V45" s="1226"/>
      <c r="W45" s="1226"/>
      <c r="DB45" s="1235"/>
    </row>
    <row r="46" spans="1:106" s="1224" customFormat="1" x14ac:dyDescent="0.2">
      <c r="A46" s="1237"/>
      <c r="B46" s="4948" t="s">
        <v>5375</v>
      </c>
      <c r="C46" s="4949"/>
      <c r="D46" s="1270">
        <f>SUM(D42:D45)</f>
      </c>
      <c r="E46" s="1270">
        <f>SUM(E42:E45)</f>
      </c>
      <c r="F46" s="1271">
        <f>SUM(F42:F45)</f>
      </c>
      <c r="G46" s="1238">
        <f>SUM(G42:G45)</f>
      </c>
      <c r="H46" s="1273" t="str">
        <f>IF(E46&lt;&gt;J46," Not equal to amount on Page 6 field 97e! ("&amp;J46&amp;")","")</f>
        <v/>
      </c>
      <c r="I46" s="1226">
        <f>IF(H46="",0,1)</f>
      </c>
      <c r="J46" s="1263">
        <f>'p6'!Q18</f>
      </c>
      <c r="K46" s="1259" t="s">
        <v>5382</v>
      </c>
      <c r="L46" s="142"/>
      <c r="M46" s="142"/>
      <c r="N46" s="142"/>
      <c r="O46" s="1226"/>
      <c r="P46" s="1226"/>
      <c r="Q46" s="1226"/>
      <c r="R46" s="1226"/>
      <c r="S46" s="1226"/>
      <c r="T46" s="1226"/>
      <c r="U46" s="1226"/>
      <c r="V46" s="1226"/>
      <c r="W46" s="1226"/>
      <c r="DB46" s="1235"/>
    </row>
    <row r="47" spans="1:106" s="1224" customFormat="1" ht="23.25" customHeight="1" x14ac:dyDescent="0.2">
      <c r="A47" s="1239"/>
      <c r="B47" s="1246" t="str">
        <f>_xlfn.SINGLE(MTCA)</f>
      </c>
      <c r="C47" s="1246"/>
      <c r="D47" s="1247"/>
      <c r="E47" s="1248" t="str">
        <f>ver</f>
        <v>TA2_e-CO_2025_Ver 1.1</v>
      </c>
      <c r="F47" s="1246"/>
      <c r="G47" s="1246"/>
      <c r="H47" s="1249" t="s">
        <v>5377</v>
      </c>
      <c r="I47" s="142"/>
      <c r="J47" s="142"/>
      <c r="K47" s="142"/>
      <c r="L47" s="142"/>
      <c r="M47" s="142"/>
      <c r="N47" s="142"/>
      <c r="O47" s="1226"/>
      <c r="P47" s="1226"/>
      <c r="Q47" s="1226"/>
      <c r="R47" s="1226"/>
      <c r="S47" s="1226"/>
      <c r="T47" s="1226"/>
      <c r="U47" s="1226"/>
      <c r="V47" s="1226"/>
      <c r="W47" s="1226"/>
      <c r="DB47" s="1235"/>
    </row>
    <row r="48" spans="1:106" s="1224" customFormat="1" ht="18" x14ac:dyDescent="0.2">
      <c r="A48" s="1237"/>
      <c r="B48" s="4959" t="s">
        <v>5378</v>
      </c>
      <c r="C48" s="4959"/>
      <c r="D48" s="4959"/>
      <c r="E48" s="1220"/>
      <c r="F48" s="1250"/>
      <c r="G48" s="1220"/>
      <c r="H48" s="1220"/>
      <c r="I48" s="142"/>
      <c r="J48" s="142"/>
      <c r="K48" s="142"/>
      <c r="L48" s="142"/>
      <c r="M48" s="142"/>
      <c r="N48" s="142"/>
      <c r="O48" s="1226"/>
      <c r="P48" s="1226"/>
      <c r="Q48" s="1226"/>
      <c r="R48" s="1226"/>
      <c r="S48" s="1226"/>
      <c r="T48" s="1226"/>
      <c r="U48" s="1226"/>
      <c r="V48" s="1226"/>
      <c r="W48" s="1226"/>
      <c r="DB48" s="1235"/>
    </row>
    <row r="49" spans="1:106" s="1224" customFormat="1" ht="6" customHeight="1" x14ac:dyDescent="0.2">
      <c r="A49" s="1237"/>
      <c r="B49" s="1220"/>
      <c r="C49" s="1220"/>
      <c r="D49" s="1220"/>
      <c r="E49" s="1220"/>
      <c r="F49" s="1250"/>
      <c r="G49" s="1220"/>
      <c r="H49" s="1220"/>
      <c r="I49" s="142"/>
      <c r="J49" s="142"/>
      <c r="K49" s="142"/>
      <c r="L49" s="142"/>
      <c r="M49" s="142"/>
      <c r="N49" s="142"/>
      <c r="O49" s="1226"/>
      <c r="P49" s="1226"/>
      <c r="Q49" s="1226"/>
      <c r="R49" s="1226"/>
      <c r="S49" s="1226"/>
      <c r="T49" s="1226"/>
      <c r="U49" s="1226"/>
      <c r="V49" s="1226"/>
      <c r="W49" s="1226"/>
      <c r="DB49" s="1235"/>
    </row>
    <row r="50" spans="1:106" s="1224" customFormat="1" ht="33" customHeight="1" x14ac:dyDescent="0.2">
      <c r="A50" s="1237"/>
      <c r="B50" s="4945" t="s">
        <v>5379</v>
      </c>
      <c r="C50" s="4946"/>
      <c r="D50" s="4946"/>
      <c r="E50" s="4946"/>
      <c r="F50" s="4946"/>
      <c r="G50" s="4947"/>
      <c r="H50" s="1220"/>
      <c r="I50" s="142"/>
      <c r="J50" s="142"/>
      <c r="K50" s="142"/>
      <c r="L50" s="142"/>
      <c r="M50" s="142"/>
      <c r="N50" s="142"/>
      <c r="O50" s="1226"/>
      <c r="P50" s="1226"/>
      <c r="Q50" s="1226"/>
      <c r="R50" s="1226"/>
      <c r="S50" s="1226"/>
      <c r="T50" s="1226"/>
      <c r="U50" s="1226"/>
      <c r="V50" s="1226"/>
      <c r="W50" s="1226"/>
      <c r="DB50" s="1235"/>
    </row>
    <row r="51" spans="1:106" s="1224" customFormat="1" ht="6" customHeight="1" x14ac:dyDescent="0.2">
      <c r="A51" s="1237"/>
      <c r="B51" s="1220"/>
      <c r="C51" s="1220"/>
      <c r="D51" s="1220"/>
      <c r="E51" s="1220"/>
      <c r="F51" s="1250"/>
      <c r="G51" s="1220"/>
      <c r="H51" s="1220"/>
      <c r="I51" s="142"/>
      <c r="J51" s="142"/>
      <c r="K51" s="142"/>
      <c r="L51" s="142"/>
      <c r="M51" s="142"/>
      <c r="N51" s="142"/>
      <c r="O51" s="1226"/>
      <c r="P51" s="1226"/>
      <c r="Q51" s="1226"/>
      <c r="R51" s="1226"/>
      <c r="S51" s="1226"/>
      <c r="T51" s="1226"/>
      <c r="U51" s="1226"/>
      <c r="V51" s="1226"/>
      <c r="W51" s="1226"/>
      <c r="DB51" s="1235"/>
    </row>
    <row r="52" spans="1:106" s="1224" customFormat="1" ht="22.5" x14ac:dyDescent="0.2">
      <c r="A52" s="1237"/>
      <c r="B52" s="1220"/>
      <c r="C52" s="1243" t="s">
        <v>6848</v>
      </c>
      <c r="D52" s="1243" t="s">
        <v>4839</v>
      </c>
      <c r="E52" s="1367" t="s">
        <v>142</v>
      </c>
      <c r="F52" s="1243" t="s">
        <v>226</v>
      </c>
      <c r="G52" s="1229" t="s">
        <v>2364</v>
      </c>
      <c r="H52" s="1220"/>
      <c r="I52" s="142"/>
      <c r="J52" s="142"/>
      <c r="K52" s="142"/>
      <c r="L52" s="142"/>
      <c r="M52" s="142"/>
      <c r="N52" s="142"/>
      <c r="O52" s="1226"/>
      <c r="P52" s="1226"/>
      <c r="Q52" s="1226"/>
      <c r="R52" s="1226"/>
      <c r="S52" s="1226"/>
      <c r="T52" s="1226"/>
      <c r="U52" s="1226"/>
      <c r="V52" s="1226"/>
      <c r="W52" s="1226"/>
      <c r="DB52" s="1235"/>
    </row>
    <row r="53" spans="1:106" s="1224" customFormat="1" x14ac:dyDescent="0.2">
      <c r="A53" s="1237"/>
      <c r="B53" s="536" t="s">
        <v>4680</v>
      </c>
      <c r="C53" s="1220"/>
      <c r="D53" s="1231"/>
      <c r="E53" s="1251"/>
      <c r="F53" s="864"/>
      <c r="G53" s="1232">
        <f>D53+F53</f>
      </c>
      <c r="H53" s="881" t="str">
        <f t="shared" ref="H53:H71" si="3">IF(K53=0,"",IF(AND($G$10=$D$94,K53&lt;&gt;0)," Delete!",IF(K53&lt;&gt;2,reo,IF(G53&lt;0,neg,""))))</f>
        <v/>
      </c>
      <c r="I53" s="209">
        <f t="shared" ref="I53:I63" si="4">IF(H53="",0,IF(H53=neg,0,1))</f>
      </c>
      <c r="J53" s="1233">
        <f t="shared" ref="J53:J71" si="5">IF(D53&lt;0,0,(D53+E53)*-1)</f>
      </c>
      <c r="K53" s="28">
        <f t="shared" ref="K53:K63" si="6">COUNT(D53:F53)</f>
      </c>
      <c r="L53" s="142"/>
      <c r="M53" s="142"/>
      <c r="O53" s="1226"/>
      <c r="P53" s="1226"/>
      <c r="Q53" s="1226"/>
      <c r="R53" s="1226"/>
      <c r="S53" s="1226"/>
      <c r="T53" s="1226"/>
      <c r="U53" s="1226"/>
      <c r="V53" s="1226"/>
      <c r="W53" s="1226"/>
      <c r="DB53" s="1235"/>
    </row>
    <row r="54" spans="1:106" s="1224" customFormat="1" x14ac:dyDescent="0.2">
      <c r="A54" s="1237"/>
      <c r="B54" s="119" t="s">
        <v>1047</v>
      </c>
      <c r="C54" s="890" t="s">
        <v>1038</v>
      </c>
      <c r="D54" s="1231"/>
      <c r="E54" s="1252"/>
      <c r="F54" s="864"/>
      <c r="G54" s="1232">
        <f t="shared" ref="G54:G71" si="7">D54+F54</f>
      </c>
      <c r="H54" s="881" t="str">
        <f t="shared" si="3"/>
        <v/>
      </c>
      <c r="I54" s="209">
        <f t="shared" si="4"/>
        <v>0</v>
      </c>
      <c r="J54" s="1233">
        <f t="shared" si="5"/>
        <v>0</v>
      </c>
      <c r="K54" s="28">
        <f t="shared" si="6"/>
        <v>0</v>
      </c>
      <c r="L54" s="142"/>
      <c r="M54" s="142"/>
      <c r="O54" s="1226"/>
      <c r="P54" s="1226"/>
      <c r="Q54" s="1226"/>
      <c r="R54" s="1226"/>
      <c r="S54" s="1226"/>
      <c r="T54" s="1226"/>
      <c r="U54" s="1226"/>
      <c r="V54" s="1226"/>
      <c r="W54" s="1226"/>
      <c r="DB54" s="1235"/>
    </row>
    <row r="55" spans="1:106" s="1224" customFormat="1" x14ac:dyDescent="0.2">
      <c r="A55" s="1237"/>
      <c r="B55" s="119" t="s">
        <v>1047</v>
      </c>
      <c r="C55" s="891">
        <v>10</v>
      </c>
      <c r="D55" s="1231"/>
      <c r="E55" s="1252"/>
      <c r="F55" s="864"/>
      <c r="G55" s="1232">
        <f t="shared" si="7"/>
        <v>0</v>
      </c>
      <c r="H55" s="881" t="str">
        <f t="shared" si="3"/>
        <v/>
      </c>
      <c r="I55" s="209">
        <f t="shared" si="4"/>
        <v>0</v>
      </c>
      <c r="J55" s="1233">
        <f t="shared" si="5"/>
        <v>0</v>
      </c>
      <c r="K55" s="28">
        <f t="shared" si="6"/>
        <v>0</v>
      </c>
      <c r="L55" s="142"/>
      <c r="M55" s="142"/>
      <c r="O55" s="1226"/>
      <c r="P55" s="1226"/>
      <c r="Q55" s="1226"/>
      <c r="R55" s="1226"/>
      <c r="S55" s="1226"/>
      <c r="T55" s="1226"/>
      <c r="U55" s="1226"/>
      <c r="V55" s="1226"/>
      <c r="W55" s="1226"/>
      <c r="DB55" s="1235"/>
    </row>
    <row r="56" spans="1:106" s="1224" customFormat="1" x14ac:dyDescent="0.2">
      <c r="A56" s="1237"/>
      <c r="B56" s="119" t="s">
        <v>1047</v>
      </c>
      <c r="C56" s="891">
        <v>15</v>
      </c>
      <c r="D56" s="1231"/>
      <c r="E56" s="1252"/>
      <c r="F56" s="864"/>
      <c r="G56" s="1232">
        <f t="shared" si="7"/>
        <v>0</v>
      </c>
      <c r="H56" s="881" t="str">
        <f t="shared" si="3"/>
        <v/>
      </c>
      <c r="I56" s="209">
        <f t="shared" si="4"/>
        <v>0</v>
      </c>
      <c r="J56" s="1233">
        <f t="shared" si="5"/>
        <v>0</v>
      </c>
      <c r="K56" s="28">
        <f t="shared" si="6"/>
        <v>0</v>
      </c>
      <c r="L56" s="142"/>
      <c r="M56" s="142"/>
      <c r="O56" s="1226"/>
      <c r="P56" s="1226"/>
      <c r="Q56" s="1226"/>
      <c r="R56" s="1226"/>
      <c r="S56" s="1226"/>
      <c r="T56" s="1226"/>
      <c r="U56" s="1226"/>
      <c r="V56" s="1226"/>
      <c r="W56" s="1226"/>
      <c r="DB56" s="1235"/>
    </row>
    <row r="57" spans="1:106" s="1224" customFormat="1" x14ac:dyDescent="0.2">
      <c r="A57" s="1237"/>
      <c r="B57" s="119" t="s">
        <v>1047</v>
      </c>
      <c r="C57" s="891">
        <v>25</v>
      </c>
      <c r="D57" s="1231"/>
      <c r="E57" s="1252"/>
      <c r="F57" s="864"/>
      <c r="G57" s="1232">
        <f t="shared" si="7"/>
        <v>0</v>
      </c>
      <c r="H57" s="881" t="str">
        <f t="shared" si="3"/>
        <v/>
      </c>
      <c r="I57" s="209">
        <f t="shared" si="4"/>
        <v>0</v>
      </c>
      <c r="J57" s="1233">
        <f t="shared" si="5"/>
        <v>0</v>
      </c>
      <c r="K57" s="28">
        <f t="shared" si="6"/>
        <v>0</v>
      </c>
      <c r="L57" s="142"/>
      <c r="M57" s="142"/>
      <c r="O57" s="1226"/>
      <c r="P57" s="1226"/>
      <c r="Q57" s="1226"/>
      <c r="R57" s="1226"/>
      <c r="S57" s="1226"/>
      <c r="T57" s="1226"/>
      <c r="U57" s="1226"/>
      <c r="V57" s="1226"/>
      <c r="W57" s="1226"/>
      <c r="DB57" s="1235"/>
    </row>
    <row r="58" spans="1:106" s="1224" customFormat="1" x14ac:dyDescent="0.2">
      <c r="A58" s="1237"/>
      <c r="B58" s="119" t="s">
        <v>1047</v>
      </c>
      <c r="C58" s="891">
        <v>32.5</v>
      </c>
      <c r="D58" s="1231"/>
      <c r="E58" s="1252"/>
      <c r="F58" s="864"/>
      <c r="G58" s="1232">
        <f t="shared" si="7"/>
        <v>0</v>
      </c>
      <c r="H58" s="881" t="str">
        <f t="shared" si="3"/>
        <v/>
      </c>
      <c r="I58" s="209">
        <f t="shared" si="4"/>
        <v>0</v>
      </c>
      <c r="J58" s="1233">
        <f t="shared" si="5"/>
        <v>0</v>
      </c>
      <c r="K58" s="28">
        <f t="shared" si="6"/>
        <v>0</v>
      </c>
      <c r="L58" s="142"/>
      <c r="M58" s="142"/>
      <c r="O58" s="1226"/>
      <c r="P58" s="1226"/>
      <c r="Q58" s="1226"/>
      <c r="R58" s="1226"/>
      <c r="S58" s="1226"/>
      <c r="T58" s="1226"/>
      <c r="U58" s="1226"/>
      <c r="V58" s="1226"/>
      <c r="W58" s="1226"/>
      <c r="DB58" s="1235"/>
    </row>
    <row r="59" spans="1:106" s="1224" customFormat="1" x14ac:dyDescent="0.2">
      <c r="A59" s="1237"/>
      <c r="B59" s="119" t="s">
        <v>1047</v>
      </c>
      <c r="C59" s="891">
        <v>35</v>
      </c>
      <c r="D59" s="1231"/>
      <c r="E59" s="1252"/>
      <c r="F59" s="864"/>
      <c r="G59" s="1232">
        <f t="shared" si="7"/>
        <v>0</v>
      </c>
      <c r="H59" s="881" t="str">
        <f t="shared" si="3"/>
        <v/>
      </c>
      <c r="I59" s="209">
        <f t="shared" si="4"/>
        <v>0</v>
      </c>
      <c r="J59" s="1233">
        <f t="shared" si="5"/>
        <v>0</v>
      </c>
      <c r="K59" s="28">
        <f t="shared" si="6"/>
        <v>0</v>
      </c>
      <c r="L59" s="142"/>
      <c r="M59" s="142"/>
      <c r="O59" s="1226"/>
      <c r="P59" s="1226"/>
      <c r="Q59" s="1226"/>
      <c r="R59" s="1226"/>
      <c r="S59" s="1226"/>
      <c r="T59" s="1226"/>
      <c r="U59" s="1226"/>
      <c r="V59" s="1226"/>
      <c r="W59" s="1226"/>
      <c r="DB59" s="1235"/>
    </row>
    <row r="60" spans="1:106" s="1224" customFormat="1" x14ac:dyDescent="0.2">
      <c r="A60" s="1237"/>
      <c r="B60" s="119" t="s">
        <v>1047</v>
      </c>
      <c r="C60" s="891">
        <v>37.5</v>
      </c>
      <c r="D60" s="1231"/>
      <c r="E60" s="1252"/>
      <c r="F60" s="864"/>
      <c r="G60" s="1232">
        <f t="shared" si="7"/>
        <v>0</v>
      </c>
      <c r="H60" s="881" t="str">
        <f t="shared" si="3"/>
        <v/>
      </c>
      <c r="I60" s="209">
        <f t="shared" si="4"/>
        <v>0</v>
      </c>
      <c r="J60" s="1233">
        <f t="shared" si="5"/>
        <v>0</v>
      </c>
      <c r="K60" s="28">
        <f t="shared" si="6"/>
        <v>0</v>
      </c>
      <c r="L60" s="142"/>
      <c r="M60" s="142"/>
      <c r="O60" s="1226"/>
      <c r="P60" s="1226"/>
      <c r="Q60" s="1226"/>
      <c r="R60" s="1226"/>
      <c r="S60" s="1226"/>
      <c r="T60" s="1226"/>
      <c r="U60" s="1226"/>
      <c r="V60" s="1226"/>
      <c r="W60" s="1226"/>
      <c r="DB60" s="1235"/>
    </row>
    <row r="61" spans="1:106" s="1224" customFormat="1" x14ac:dyDescent="0.2">
      <c r="A61" s="1237"/>
      <c r="B61" s="119" t="s">
        <v>1047</v>
      </c>
      <c r="C61" s="1266"/>
      <c r="D61" s="1231"/>
      <c r="E61" s="1252"/>
      <c r="F61" s="864"/>
      <c r="G61" s="1232">
        <f t="shared" si="7"/>
        <v>0</v>
      </c>
      <c r="H61" s="881" t="str">
        <f t="shared" si="3"/>
        <v/>
      </c>
      <c r="I61" s="209">
        <f t="shared" si="4"/>
        <v>0</v>
      </c>
      <c r="J61" s="1233">
        <f t="shared" si="5"/>
        <v>0</v>
      </c>
      <c r="K61" s="28">
        <f t="shared" si="6"/>
        <v>0</v>
      </c>
      <c r="L61" s="142"/>
      <c r="M61" s="142"/>
      <c r="O61" s="1226"/>
      <c r="P61" s="1226"/>
      <c r="Q61" s="1226"/>
      <c r="R61" s="1226"/>
      <c r="S61" s="1226"/>
      <c r="T61" s="1226"/>
      <c r="U61" s="1226"/>
      <c r="V61" s="1226"/>
      <c r="W61" s="1226"/>
      <c r="DB61" s="1235"/>
    </row>
    <row r="62" spans="1:106" s="1224" customFormat="1" x14ac:dyDescent="0.2">
      <c r="A62" s="1237"/>
      <c r="B62" s="119" t="s">
        <v>1047</v>
      </c>
      <c r="C62" s="1266"/>
      <c r="D62" s="1231"/>
      <c r="E62" s="1252"/>
      <c r="F62" s="864"/>
      <c r="G62" s="1232">
        <f t="shared" si="7"/>
        <v>0</v>
      </c>
      <c r="H62" s="881" t="str">
        <f t="shared" si="3"/>
        <v/>
      </c>
      <c r="I62" s="209">
        <f t="shared" si="4"/>
        <v>0</v>
      </c>
      <c r="J62" s="1233">
        <f t="shared" si="5"/>
        <v>0</v>
      </c>
      <c r="K62" s="28">
        <f t="shared" si="6"/>
        <v>0</v>
      </c>
      <c r="L62" s="142"/>
      <c r="M62" s="142"/>
      <c r="O62" s="1226"/>
      <c r="P62" s="1226"/>
      <c r="Q62" s="1226"/>
      <c r="R62" s="1226"/>
      <c r="S62" s="1226"/>
      <c r="T62" s="1226"/>
      <c r="U62" s="1226"/>
      <c r="V62" s="1226"/>
      <c r="W62" s="1226"/>
      <c r="DB62" s="1235"/>
    </row>
    <row r="63" spans="1:106" s="1224" customFormat="1" x14ac:dyDescent="0.2">
      <c r="A63" s="1237"/>
      <c r="B63" s="119" t="s">
        <v>1047</v>
      </c>
      <c r="C63" s="1266"/>
      <c r="D63" s="1231"/>
      <c r="E63" s="1252"/>
      <c r="F63" s="864"/>
      <c r="G63" s="1232">
        <f t="shared" si="7"/>
        <v>0</v>
      </c>
      <c r="H63" s="881" t="str">
        <f t="shared" si="3"/>
        <v/>
      </c>
      <c r="I63" s="209">
        <f t="shared" si="4"/>
        <v>0</v>
      </c>
      <c r="J63" s="1233">
        <f t="shared" si="5"/>
        <v>0</v>
      </c>
      <c r="K63" s="28">
        <f t="shared" si="6"/>
        <v>0</v>
      </c>
      <c r="L63" s="142"/>
      <c r="M63" s="209"/>
      <c r="O63" s="28"/>
      <c r="P63" s="1226"/>
      <c r="Q63" s="1226"/>
      <c r="R63" s="1226"/>
      <c r="S63" s="1226"/>
      <c r="T63" s="1226"/>
      <c r="U63" s="1226"/>
      <c r="V63" s="1226"/>
      <c r="W63" s="1226"/>
      <c r="DB63" s="1235"/>
    </row>
    <row r="64" spans="1:106" s="1224" customFormat="1" x14ac:dyDescent="0.2">
      <c r="A64" s="1237"/>
      <c r="B64" s="119" t="s">
        <v>1047</v>
      </c>
      <c r="C64" s="1266"/>
      <c r="D64" s="1231"/>
      <c r="E64" s="1252"/>
      <c r="F64" s="864"/>
      <c r="G64" s="1232">
        <f t="shared" si="7"/>
        <v>0</v>
      </c>
      <c r="H64" s="881" t="str">
        <f t="shared" si="3"/>
        <v/>
      </c>
      <c r="I64" s="209">
        <f>IF(H64="",0,IF(H64=neg,0,1))</f>
      </c>
      <c r="J64" s="1233">
        <f t="shared" si="5"/>
        <v>0</v>
      </c>
      <c r="K64" s="28">
        <f>COUNT(D64:F64)</f>
      </c>
      <c r="L64" s="142"/>
      <c r="M64" s="142"/>
      <c r="O64" s="1226"/>
      <c r="P64" s="1226"/>
      <c r="Q64" s="1226"/>
      <c r="R64" s="1226"/>
      <c r="S64" s="1226"/>
      <c r="T64" s="1226"/>
      <c r="U64" s="1226"/>
      <c r="V64" s="1226"/>
      <c r="W64" s="1226"/>
      <c r="DB64" s="1235"/>
    </row>
    <row r="65" spans="1:106" s="1224" customFormat="1" ht="12.75" hidden="1" customHeight="1" x14ac:dyDescent="0.2">
      <c r="A65" s="1237"/>
      <c r="B65" s="119" t="s">
        <v>1047</v>
      </c>
      <c r="C65" s="892"/>
      <c r="D65" s="1231"/>
      <c r="E65" s="1252"/>
      <c r="F65" s="864"/>
      <c r="G65" s="1232">
        <f t="shared" si="7"/>
        <v>0</v>
      </c>
      <c r="H65" s="881" t="str">
        <f t="shared" si="3"/>
        <v/>
      </c>
      <c r="I65" s="209">
        <f t="shared" ref="I65:I71" si="8">IF(H65="",0,IF(H65=neg,0,1))</f>
      </c>
      <c r="J65" s="1233">
        <f t="shared" si="5"/>
        <v>0</v>
      </c>
      <c r="K65" s="28">
        <f t="shared" ref="K65:K71" si="9">COUNT(D65:F65)</f>
      </c>
      <c r="L65" s="142"/>
      <c r="M65" s="142"/>
      <c r="O65" s="1226"/>
      <c r="P65" s="1226"/>
      <c r="Q65" s="1226"/>
      <c r="R65" s="1226"/>
      <c r="S65" s="1226"/>
      <c r="T65" s="1226"/>
      <c r="U65" s="1226"/>
      <c r="V65" s="1226"/>
      <c r="W65" s="1226"/>
      <c r="DB65" s="1235"/>
    </row>
    <row r="66" spans="1:106" s="1224" customFormat="1" ht="12.75" hidden="1" customHeight="1" x14ac:dyDescent="0.2">
      <c r="A66" s="1237"/>
      <c r="B66" s="119" t="s">
        <v>1047</v>
      </c>
      <c r="C66" s="892"/>
      <c r="D66" s="1231"/>
      <c r="E66" s="1252"/>
      <c r="F66" s="864"/>
      <c r="G66" s="1232">
        <f t="shared" si="7"/>
        <v>0</v>
      </c>
      <c r="H66" s="881" t="str">
        <f t="shared" si="3"/>
        <v/>
      </c>
      <c r="I66" s="209">
        <f t="shared" si="8"/>
        <v>0</v>
      </c>
      <c r="J66" s="1233">
        <f t="shared" si="5"/>
        <v>0</v>
      </c>
      <c r="K66" s="28">
        <f t="shared" si="9"/>
        <v>0</v>
      </c>
      <c r="L66" s="142"/>
      <c r="M66" s="142"/>
      <c r="O66" s="1226"/>
      <c r="P66" s="1226"/>
      <c r="Q66" s="1226"/>
      <c r="R66" s="1226"/>
      <c r="S66" s="1226"/>
      <c r="T66" s="1226"/>
      <c r="U66" s="1226"/>
      <c r="V66" s="1226"/>
      <c r="W66" s="1226"/>
      <c r="DB66" s="1235"/>
    </row>
    <row r="67" spans="1:106" s="1224" customFormat="1" ht="12.75" hidden="1" customHeight="1" x14ac:dyDescent="0.2">
      <c r="A67" s="1237"/>
      <c r="B67" s="119" t="s">
        <v>1047</v>
      </c>
      <c r="C67" s="892"/>
      <c r="D67" s="1231"/>
      <c r="E67" s="1252"/>
      <c r="F67" s="864"/>
      <c r="G67" s="1232">
        <f t="shared" si="7"/>
        <v>0</v>
      </c>
      <c r="H67" s="881" t="str">
        <f t="shared" si="3"/>
        <v/>
      </c>
      <c r="I67" s="209">
        <f t="shared" si="8"/>
        <v>0</v>
      </c>
      <c r="J67" s="1233">
        <f t="shared" si="5"/>
        <v>0</v>
      </c>
      <c r="K67" s="28">
        <f t="shared" si="9"/>
        <v>0</v>
      </c>
      <c r="L67" s="142"/>
      <c r="M67" s="142"/>
      <c r="O67" s="1226"/>
      <c r="P67" s="1226"/>
      <c r="Q67" s="1226"/>
      <c r="R67" s="1226"/>
      <c r="S67" s="1226"/>
      <c r="T67" s="1226"/>
      <c r="U67" s="1226"/>
      <c r="V67" s="1226"/>
      <c r="W67" s="1226"/>
      <c r="DB67" s="1235"/>
    </row>
    <row r="68" spans="1:106" s="1224" customFormat="1" ht="12.75" hidden="1" customHeight="1" x14ac:dyDescent="0.2">
      <c r="A68" s="1237"/>
      <c r="B68" s="119" t="s">
        <v>1047</v>
      </c>
      <c r="C68" s="892"/>
      <c r="D68" s="1231"/>
      <c r="E68" s="1252"/>
      <c r="F68" s="864"/>
      <c r="G68" s="1232">
        <f t="shared" si="7"/>
        <v>0</v>
      </c>
      <c r="H68" s="881" t="str">
        <f t="shared" si="3"/>
        <v/>
      </c>
      <c r="I68" s="209">
        <f t="shared" si="8"/>
        <v>0</v>
      </c>
      <c r="J68" s="1233">
        <f t="shared" si="5"/>
        <v>0</v>
      </c>
      <c r="K68" s="28">
        <f t="shared" si="9"/>
        <v>0</v>
      </c>
      <c r="L68" s="142"/>
      <c r="M68" s="142"/>
      <c r="O68" s="1226"/>
      <c r="P68" s="1226"/>
      <c r="Q68" s="1226"/>
      <c r="R68" s="1226"/>
      <c r="S68" s="1226"/>
      <c r="T68" s="1226"/>
      <c r="U68" s="1226"/>
      <c r="V68" s="1226"/>
      <c r="W68" s="1226"/>
      <c r="DB68" s="1235"/>
    </row>
    <row r="69" spans="1:106" s="1224" customFormat="1" x14ac:dyDescent="0.2">
      <c r="A69" s="1237"/>
      <c r="B69" s="536" t="s">
        <v>2467</v>
      </c>
      <c r="C69" s="1266"/>
      <c r="D69" s="1231"/>
      <c r="E69" s="1252"/>
      <c r="F69" s="864"/>
      <c r="G69" s="1232">
        <f t="shared" si="7"/>
        <v>0</v>
      </c>
      <c r="H69" s="881" t="str">
        <f t="shared" si="3"/>
        <v/>
      </c>
      <c r="I69" s="209">
        <f t="shared" si="8"/>
        <v>0</v>
      </c>
      <c r="J69" s="1233">
        <f t="shared" si="5"/>
        <v>0</v>
      </c>
      <c r="K69" s="28">
        <f t="shared" si="9"/>
        <v>0</v>
      </c>
      <c r="L69" s="142"/>
      <c r="M69" s="142"/>
      <c r="O69" s="1226"/>
      <c r="P69" s="1226"/>
      <c r="Q69" s="1226"/>
      <c r="R69" s="1226"/>
      <c r="S69" s="1226"/>
      <c r="T69" s="1226"/>
      <c r="U69" s="1226"/>
      <c r="V69" s="1226"/>
      <c r="W69" s="1226"/>
      <c r="DB69" s="1235"/>
    </row>
    <row r="70" spans="1:106" s="1224" customFormat="1" x14ac:dyDescent="0.2">
      <c r="A70" s="1237"/>
      <c r="B70" s="536" t="s">
        <v>2467</v>
      </c>
      <c r="C70" s="1266"/>
      <c r="D70" s="1231"/>
      <c r="E70" s="1252"/>
      <c r="F70" s="864"/>
      <c r="G70" s="1232">
        <f t="shared" si="7"/>
        <v>0</v>
      </c>
      <c r="H70" s="881" t="str">
        <f t="shared" si="3"/>
        <v/>
      </c>
      <c r="I70" s="209">
        <f t="shared" si="8"/>
        <v>0</v>
      </c>
      <c r="J70" s="1233">
        <f t="shared" si="5"/>
        <v>0</v>
      </c>
      <c r="K70" s="28">
        <f t="shared" si="9"/>
        <v>0</v>
      </c>
      <c r="L70" s="142"/>
      <c r="M70" s="142"/>
      <c r="O70" s="1226"/>
      <c r="P70" s="1226"/>
      <c r="Q70" s="1226"/>
      <c r="R70" s="1226"/>
      <c r="S70" s="1226"/>
      <c r="T70" s="1226"/>
      <c r="U70" s="1226"/>
      <c r="V70" s="1226"/>
      <c r="W70" s="1226"/>
      <c r="DB70" s="1235"/>
    </row>
    <row r="71" spans="1:106" s="1224" customFormat="1" x14ac:dyDescent="0.2">
      <c r="A71" s="1237"/>
      <c r="B71" s="536" t="s">
        <v>2467</v>
      </c>
      <c r="C71" s="1266"/>
      <c r="D71" s="1231"/>
      <c r="E71" s="1252"/>
      <c r="F71" s="864"/>
      <c r="G71" s="1232">
        <f t="shared" si="7"/>
        <v>0</v>
      </c>
      <c r="H71" s="881" t="str">
        <f t="shared" si="3"/>
        <v/>
      </c>
      <c r="I71" s="209">
        <f t="shared" si="8"/>
        <v>0</v>
      </c>
      <c r="J71" s="1233">
        <f t="shared" si="5"/>
        <v>0</v>
      </c>
      <c r="K71" s="28">
        <f t="shared" si="9"/>
        <v>0</v>
      </c>
      <c r="L71" s="142"/>
      <c r="M71" s="142"/>
      <c r="O71" s="1226"/>
      <c r="P71" s="1226"/>
      <c r="Q71" s="1226"/>
      <c r="R71" s="1226"/>
      <c r="S71" s="1226"/>
      <c r="T71" s="1226"/>
      <c r="U71" s="1226"/>
      <c r="V71" s="1226"/>
      <c r="W71" s="1226"/>
      <c r="DB71" s="1235"/>
    </row>
    <row r="72" spans="1:106" s="1224" customFormat="1" x14ac:dyDescent="0.2">
      <c r="A72" s="1237"/>
      <c r="B72" s="1268" t="s">
        <v>5375</v>
      </c>
      <c r="C72" s="1269"/>
      <c r="D72" s="1270">
        <f>SUM(D53:D71)</f>
      </c>
      <c r="E72" s="1368">
        <v>0</v>
      </c>
      <c r="F72" s="1271">
        <f>SUM(F53:F71)</f>
      </c>
      <c r="G72" s="1270">
        <f>SUM(G53:G71)</f>
      </c>
      <c r="H72" s="881"/>
      <c r="I72" s="142"/>
      <c r="J72" s="142"/>
      <c r="K72" s="142"/>
      <c r="L72" s="142"/>
      <c r="M72" s="142"/>
      <c r="N72" s="142"/>
      <c r="O72" s="1226"/>
      <c r="P72" s="1226"/>
      <c r="Q72" s="1226"/>
      <c r="R72" s="1226"/>
      <c r="S72" s="1226"/>
      <c r="T72" s="1226"/>
      <c r="U72" s="1226"/>
      <c r="V72" s="1226"/>
      <c r="W72" s="1226"/>
      <c r="DB72" s="1235"/>
    </row>
    <row r="73" spans="1:106" s="1224" customFormat="1" ht="6" customHeight="1" x14ac:dyDescent="0.2">
      <c r="A73" s="1237"/>
      <c r="B73" s="1220"/>
      <c r="C73" s="1220"/>
      <c r="D73" s="1220"/>
      <c r="E73" s="1220"/>
      <c r="F73" s="1250"/>
      <c r="G73" s="1220"/>
      <c r="H73" s="1220"/>
      <c r="I73" s="142"/>
      <c r="J73" s="142"/>
      <c r="K73" s="142"/>
      <c r="L73" s="142"/>
      <c r="M73" s="142"/>
      <c r="N73" s="142"/>
      <c r="O73" s="1226"/>
      <c r="P73" s="1226"/>
      <c r="Q73" s="1226"/>
      <c r="R73" s="1226"/>
      <c r="S73" s="1226"/>
      <c r="T73" s="1226"/>
      <c r="U73" s="1226"/>
      <c r="V73" s="1226"/>
      <c r="W73" s="1226"/>
      <c r="DB73" s="1235"/>
    </row>
    <row r="74" spans="1:106" s="1224" customFormat="1" ht="35.25" customHeight="1" x14ac:dyDescent="0.2">
      <c r="A74" s="1237"/>
      <c r="B74" s="4945" t="s">
        <v>5380</v>
      </c>
      <c r="C74" s="4946"/>
      <c r="D74" s="4946"/>
      <c r="E74" s="4946"/>
      <c r="F74" s="4946"/>
      <c r="G74" s="4947"/>
      <c r="H74" s="1220"/>
      <c r="I74" s="142"/>
      <c r="J74" s="142"/>
      <c r="K74" s="142"/>
      <c r="L74" s="142"/>
      <c r="M74" s="142"/>
      <c r="N74" s="142"/>
      <c r="O74" s="1226"/>
      <c r="P74" s="1226"/>
      <c r="Q74" s="1226"/>
      <c r="R74" s="1226"/>
      <c r="S74" s="1226"/>
      <c r="T74" s="1226"/>
      <c r="U74" s="1226"/>
      <c r="V74" s="1226"/>
      <c r="W74" s="1226"/>
      <c r="DB74" s="1235"/>
    </row>
    <row r="75" spans="1:106" s="1224" customFormat="1" ht="6" customHeight="1" x14ac:dyDescent="0.2">
      <c r="A75" s="1237"/>
      <c r="B75" s="1220"/>
      <c r="C75" s="1220"/>
      <c r="D75" s="1220"/>
      <c r="E75" s="1220"/>
      <c r="F75" s="1250"/>
      <c r="G75" s="1220"/>
      <c r="H75" s="1220"/>
      <c r="I75" s="142"/>
      <c r="J75" s="142"/>
      <c r="K75" s="142"/>
      <c r="L75" s="142"/>
      <c r="M75" s="142"/>
      <c r="N75" s="142"/>
      <c r="O75" s="1226"/>
      <c r="P75" s="1226"/>
      <c r="Q75" s="1226"/>
      <c r="R75" s="1226"/>
      <c r="S75" s="1226"/>
      <c r="T75" s="1226"/>
      <c r="U75" s="1226"/>
      <c r="V75" s="1226"/>
      <c r="W75" s="1226"/>
      <c r="DB75" s="1235"/>
    </row>
    <row r="76" spans="1:106" s="1224" customFormat="1" ht="22.5" x14ac:dyDescent="0.2">
      <c r="A76" s="1237"/>
      <c r="B76" s="1220"/>
      <c r="C76" s="1220"/>
      <c r="D76" s="1243" t="s">
        <v>4839</v>
      </c>
      <c r="E76" s="1367" t="s">
        <v>142</v>
      </c>
      <c r="F76" s="1243" t="s">
        <v>226</v>
      </c>
      <c r="G76" s="1243" t="s">
        <v>2364</v>
      </c>
      <c r="H76" s="1220"/>
      <c r="I76" s="142"/>
      <c r="J76" s="142"/>
      <c r="K76" s="142"/>
      <c r="L76" s="142"/>
      <c r="M76" s="142"/>
      <c r="N76" s="142"/>
      <c r="O76" s="1226"/>
      <c r="P76" s="1226"/>
      <c r="Q76" s="1226"/>
      <c r="R76" s="1226"/>
      <c r="S76" s="1226"/>
      <c r="T76" s="1226"/>
      <c r="U76" s="1226"/>
      <c r="V76" s="1226"/>
      <c r="W76" s="1226"/>
      <c r="DB76" s="1235"/>
    </row>
    <row r="77" spans="1:106" s="1224" customFormat="1" x14ac:dyDescent="0.2">
      <c r="A77" s="1237"/>
      <c r="B77" s="17" t="s">
        <v>4680</v>
      </c>
      <c r="C77" s="1220"/>
      <c r="D77" s="1231"/>
      <c r="E77" s="1244"/>
      <c r="F77" s="864"/>
      <c r="G77" s="1232">
        <f>D77+F77</f>
      </c>
      <c r="H77" s="881" t="str">
        <f t="shared" ref="H77:H82" si="10">IF(K77=0,"",IF(AND($G$10=$D$94,K77&lt;&gt;0)," Delete!",IF(K77&lt;&gt;2,reo,IF(G77&lt;0,neg,""))))</f>
        <v/>
      </c>
      <c r="I77" s="209">
        <f>IF(H77="",0,IF(H77=neg,0,1))</f>
      </c>
      <c r="J77" s="1233">
        <f t="shared" ref="J77:J82" si="11">IF(D77&lt;0,0,(D77+E77)*-1)</f>
      </c>
      <c r="K77" s="28">
        <f>COUNT(D77:F77)</f>
      </c>
      <c r="L77" s="142"/>
      <c r="M77" s="142"/>
      <c r="N77" s="142"/>
      <c r="O77" s="1226"/>
      <c r="P77" s="1226"/>
      <c r="Q77" s="1226"/>
      <c r="R77" s="1226"/>
      <c r="S77" s="1226"/>
      <c r="T77" s="1226"/>
      <c r="U77" s="1226"/>
      <c r="V77" s="1226"/>
      <c r="W77" s="1226"/>
      <c r="DB77" s="1235"/>
    </row>
    <row r="78" spans="1:106" s="1224" customFormat="1" x14ac:dyDescent="0.2">
      <c r="A78" s="1237"/>
      <c r="B78" s="17" t="s">
        <v>6185</v>
      </c>
      <c r="C78" s="1220"/>
      <c r="D78" s="1231"/>
      <c r="E78" s="1220"/>
      <c r="F78" s="864"/>
      <c r="G78" s="1232">
        <f>D78+F78</f>
      </c>
      <c r="H78" s="881" t="str">
        <f t="shared" si="10"/>
        <v/>
      </c>
      <c r="I78" s="209">
        <f>IF(H78="",0,IF(H78=neg,0,1))</f>
      </c>
      <c r="J78" s="1233">
        <f t="shared" si="11"/>
        <v>0</v>
      </c>
      <c r="K78" s="28">
        <f>COUNT(D78:F78)</f>
      </c>
      <c r="L78" s="142"/>
      <c r="M78" s="142"/>
      <c r="N78" s="142"/>
      <c r="O78" s="1226"/>
      <c r="P78" s="1226"/>
      <c r="Q78" s="1226"/>
      <c r="R78" s="1226"/>
      <c r="S78" s="1226"/>
      <c r="T78" s="1226"/>
      <c r="U78" s="1226"/>
      <c r="V78" s="1226"/>
      <c r="W78" s="1226"/>
      <c r="DB78" s="1235"/>
    </row>
    <row r="79" spans="1:106" s="1224" customFormat="1" x14ac:dyDescent="0.2">
      <c r="A79" s="1237"/>
      <c r="B79" s="17" t="s">
        <v>997</v>
      </c>
      <c r="C79" s="1220"/>
      <c r="D79" s="1231"/>
      <c r="E79" s="1220"/>
      <c r="F79" s="864"/>
      <c r="G79" s="1232">
        <f>D79+F79</f>
      </c>
      <c r="H79" s="881" t="str">
        <f t="shared" si="10"/>
        <v/>
      </c>
      <c r="I79" s="209">
        <f>IF(H79="",0,IF(H79=neg,0,1))</f>
      </c>
      <c r="J79" s="1233">
        <f t="shared" si="11"/>
        <v>0</v>
      </c>
      <c r="K79" s="28">
        <f>COUNT(D79:F79)</f>
      </c>
      <c r="L79" s="142"/>
      <c r="M79" s="142"/>
      <c r="N79" s="142"/>
      <c r="O79" s="1226"/>
      <c r="P79" s="1226"/>
      <c r="Q79" s="1226"/>
      <c r="R79" s="1226"/>
      <c r="S79" s="1226"/>
      <c r="T79" s="1226"/>
      <c r="U79" s="1226"/>
      <c r="V79" s="1226"/>
      <c r="W79" s="1226"/>
      <c r="DB79" s="1235"/>
    </row>
    <row r="80" spans="1:106" s="1224" customFormat="1" x14ac:dyDescent="0.2">
      <c r="A80" s="1237"/>
      <c r="B80" s="17" t="s">
        <v>6874</v>
      </c>
      <c r="C80" s="1220"/>
      <c r="D80" s="1231"/>
      <c r="E80" s="1220"/>
      <c r="F80" s="864"/>
      <c r="G80" s="1232">
        <f>D80+F80</f>
      </c>
      <c r="H80" s="881" t="str">
        <f t="shared" si="10"/>
        <v/>
      </c>
      <c r="I80" s="209">
        <f>IF(H80="",0,IF(H80=neg,0,1))</f>
      </c>
      <c r="J80" s="1233">
        <f t="shared" si="11"/>
        <v>0</v>
      </c>
      <c r="K80" s="28">
        <f>COUNT(D80:F80)</f>
      </c>
      <c r="L80" s="142"/>
      <c r="M80" s="142"/>
      <c r="N80" s="142"/>
      <c r="O80" s="1226"/>
      <c r="P80" s="1226"/>
      <c r="Q80" s="1226"/>
      <c r="R80" s="1226"/>
      <c r="S80" s="1226"/>
      <c r="T80" s="1226"/>
      <c r="U80" s="1226"/>
      <c r="V80" s="1226"/>
      <c r="W80" s="1226"/>
      <c r="DB80" s="1235"/>
    </row>
    <row r="81" spans="1:106" s="1224" customFormat="1" x14ac:dyDescent="0.2">
      <c r="A81" s="1237"/>
      <c r="B81" s="1254" t="s">
        <v>2466</v>
      </c>
      <c r="C81" s="1220"/>
      <c r="D81" s="1231"/>
      <c r="E81" s="1220"/>
      <c r="F81" s="864"/>
      <c r="G81" s="1232">
        <f>D81+F81</f>
      </c>
      <c r="H81" s="881" t="str">
        <f t="shared" si="10"/>
        <v/>
      </c>
      <c r="I81" s="209">
        <f>IF(H81="",0,IF(H81=neg,0,1))</f>
      </c>
      <c r="J81" s="1233">
        <f t="shared" si="11"/>
        <v>0</v>
      </c>
      <c r="K81" s="28">
        <f>COUNT(D81:F81)</f>
      </c>
      <c r="L81" s="142"/>
      <c r="M81" s="142"/>
      <c r="N81" s="142"/>
      <c r="O81" s="1226"/>
      <c r="P81" s="1226"/>
      <c r="Q81" s="1226"/>
      <c r="R81" s="1226"/>
      <c r="S81" s="1226"/>
      <c r="T81" s="1226"/>
      <c r="U81" s="1226"/>
      <c r="V81" s="1226"/>
      <c r="W81" s="1226"/>
      <c r="DB81" s="1235"/>
    </row>
    <row r="82" spans="1:106" s="1224" customFormat="1" x14ac:dyDescent="0.2">
      <c r="A82" s="1237"/>
      <c r="B82" s="1268" t="s">
        <v>5375</v>
      </c>
      <c r="C82" s="1269"/>
      <c r="D82" s="1270">
        <f>SUM(D77:D81)</f>
      </c>
      <c r="E82" s="1368">
        <v>0</v>
      </c>
      <c r="F82" s="1271">
        <f>SUM(F77:F81)</f>
      </c>
      <c r="G82" s="1270">
        <f>SUM(G77:G81)</f>
      </c>
      <c r="H82" s="881" t="str">
        <f t="shared" si="10"/>
        <v/>
      </c>
      <c r="I82" s="142"/>
      <c r="J82" s="1233">
        <f t="shared" si="11"/>
        <v>0</v>
      </c>
      <c r="K82" s="142"/>
      <c r="L82" s="142"/>
      <c r="M82" s="142"/>
      <c r="N82" s="142"/>
      <c r="O82" s="1226"/>
      <c r="P82" s="1226"/>
      <c r="Q82" s="1226"/>
      <c r="R82" s="1226"/>
      <c r="S82" s="1226"/>
      <c r="T82" s="1226"/>
      <c r="U82" s="1226"/>
      <c r="V82" s="1226"/>
      <c r="W82" s="1226"/>
      <c r="DB82" s="1235"/>
    </row>
    <row r="83" spans="1:106" s="1224" customFormat="1" ht="6" customHeight="1" x14ac:dyDescent="0.2">
      <c r="A83" s="1237"/>
      <c r="B83" s="1220"/>
      <c r="C83" s="1220"/>
      <c r="D83" s="1220"/>
      <c r="E83" s="1220"/>
      <c r="F83" s="1250"/>
      <c r="G83" s="1220"/>
      <c r="H83" s="1220"/>
      <c r="I83" s="142"/>
      <c r="J83" s="142"/>
      <c r="K83" s="142"/>
      <c r="L83" s="142"/>
      <c r="M83" s="142"/>
      <c r="N83" s="142"/>
      <c r="O83" s="1226"/>
      <c r="P83" s="1226"/>
      <c r="Q83" s="1226"/>
      <c r="R83" s="1226"/>
      <c r="S83" s="1226"/>
      <c r="T83" s="1226"/>
      <c r="U83" s="1226"/>
      <c r="V83" s="1226"/>
      <c r="W83" s="1226"/>
      <c r="DB83" s="1235"/>
    </row>
    <row r="84" spans="1:106" s="1224" customFormat="1" x14ac:dyDescent="0.2">
      <c r="A84" s="1237"/>
      <c r="B84" s="1268" t="s">
        <v>5590</v>
      </c>
      <c r="C84" s="1372" t="s">
        <v>972</v>
      </c>
      <c r="D84" s="1369">
        <f>SUM(D82,D72,D46,D34,D24)</f>
      </c>
      <c r="E84" s="1369">
        <f>SUM(E82,E72,E46,E34,E24)</f>
      </c>
      <c r="F84" s="590">
        <f>SUM(F82,F72,F46,F34,F24)</f>
      </c>
      <c r="G84" s="1369">
        <f>SUM(G82,G72,G46,G34,G24)</f>
      </c>
      <c r="H84" s="1273" t="str">
        <f>IF(E84&lt;&gt;J84," Not equal to amount on Page 6 field 102b! ("&amp;J84&amp;")","")</f>
        <v/>
      </c>
      <c r="I84" s="209">
        <f>IF(H84="",0,IF(H84=neg,0,1))</f>
      </c>
      <c r="J84" s="553">
        <f>'p6'!Q33</f>
      </c>
      <c r="K84" s="142"/>
      <c r="L84" s="142"/>
      <c r="M84" s="142"/>
      <c r="N84" s="142"/>
      <c r="O84" s="1226"/>
      <c r="P84" s="1226"/>
      <c r="Q84" s="1226"/>
      <c r="R84" s="1226"/>
      <c r="S84" s="1226"/>
      <c r="T84" s="1226"/>
      <c r="U84" s="1226"/>
      <c r="V84" s="1226"/>
      <c r="W84" s="1226"/>
      <c r="DB84" s="1235"/>
    </row>
    <row r="85" spans="1:106" s="1224" customFormat="1" x14ac:dyDescent="0.2">
      <c r="A85" s="1237"/>
      <c r="B85" s="1220"/>
      <c r="C85" s="1220"/>
      <c r="D85" s="1220"/>
      <c r="E85" s="1220"/>
      <c r="F85" s="1250"/>
      <c r="G85" s="1220"/>
      <c r="H85" s="1220"/>
      <c r="I85" s="142"/>
      <c r="J85" s="142"/>
      <c r="K85" s="142"/>
      <c r="L85" s="142"/>
      <c r="M85" s="142"/>
      <c r="N85" s="142"/>
      <c r="O85" s="1226"/>
      <c r="P85" s="1226"/>
      <c r="Q85" s="1226"/>
      <c r="R85" s="1226"/>
      <c r="S85" s="1226"/>
      <c r="T85" s="1226"/>
      <c r="U85" s="1226"/>
      <c r="V85" s="1226"/>
      <c r="W85" s="1226"/>
      <c r="DB85" s="1235"/>
    </row>
    <row r="86" spans="1:106" s="1224" customFormat="1" x14ac:dyDescent="0.2">
      <c r="A86" s="1237"/>
      <c r="B86" s="1244"/>
      <c r="C86" s="1244"/>
      <c r="D86" s="1370" t="s">
        <v>5381</v>
      </c>
      <c r="E86" s="1225"/>
      <c r="F86" s="1371" t="str">
        <f>IF(Z1=2,"",IF(E86="",re,""))</f>
        <v/>
      </c>
      <c r="G86" s="1220"/>
      <c r="H86" s="1220"/>
      <c r="I86" s="142">
        <f>IF(F86="",0,1)</f>
      </c>
      <c r="J86" s="142"/>
      <c r="K86" s="142"/>
      <c r="L86" s="142"/>
      <c r="M86" s="142"/>
      <c r="N86" s="142"/>
      <c r="O86" s="1226"/>
      <c r="P86" s="1226"/>
      <c r="Q86" s="1226"/>
      <c r="R86" s="1226"/>
      <c r="S86" s="1226"/>
      <c r="T86" s="1226"/>
      <c r="U86" s="1226"/>
      <c r="V86" s="1226"/>
      <c r="W86" s="1226"/>
      <c r="DB86" s="1235"/>
    </row>
    <row r="87" spans="1:106" s="1224" customFormat="1" x14ac:dyDescent="0.2">
      <c r="A87" s="1237"/>
      <c r="B87" s="1220"/>
      <c r="C87" s="1220"/>
      <c r="D87" s="1220"/>
      <c r="E87" s="1220"/>
      <c r="F87" s="1250"/>
      <c r="G87" s="1220"/>
      <c r="H87" s="1220"/>
      <c r="I87" s="164">
        <f>SUM(I1:I86)</f>
      </c>
      <c r="J87" s="142"/>
      <c r="K87" s="142"/>
      <c r="L87" s="142"/>
      <c r="M87" s="142"/>
      <c r="N87" s="142"/>
      <c r="O87" s="1226"/>
      <c r="P87" s="1226"/>
      <c r="Q87" s="1226"/>
      <c r="R87" s="1226"/>
      <c r="S87" s="1226"/>
      <c r="T87" s="1226"/>
      <c r="U87" s="1226"/>
      <c r="V87" s="1226"/>
      <c r="W87" s="1226"/>
      <c r="DB87" s="1235"/>
    </row>
    <row r="88" spans="1:106" x14ac:dyDescent="0.2">
      <c r="A88" s="1239"/>
      <c r="B88" s="1239" t="str">
        <f>_xlfn.SINGLE(MTCA)</f>
      </c>
      <c r="C88" s="1239"/>
      <c r="D88" s="1240"/>
      <c r="E88" s="1241" t="str">
        <f>ver</f>
        <v>TA2_e-CO_2025_Ver 1.1</v>
      </c>
      <c r="F88" s="1239"/>
      <c r="G88" s="1239"/>
      <c r="H88" s="1242" t="s">
        <v>5202</v>
      </c>
      <c r="I88" s="142"/>
      <c r="J88" s="142"/>
      <c r="K88" s="142"/>
      <c r="L88" s="142"/>
      <c r="M88" s="142"/>
      <c r="N88" s="142"/>
      <c r="P88" s="192"/>
    </row>
    <row r="89" spans="1:106" ht="15" x14ac:dyDescent="0.2">
      <c r="A89" s="1215"/>
      <c r="B89" s="1215"/>
      <c r="C89" s="1373" t="s">
        <v>365</v>
      </c>
      <c r="D89" s="1245"/>
      <c r="E89" s="1245"/>
      <c r="F89" s="1239"/>
      <c r="G89" s="1244"/>
      <c r="H89" s="1244"/>
      <c r="I89" s="142">
        <f>IF(AND(Z1=2,AA1=0),0,IF(I87&lt;&gt;0,100,IF(E86=D94,100,1)))</f>
      </c>
      <c r="J89" s="142"/>
      <c r="K89" s="142"/>
      <c r="L89" s="142"/>
      <c r="M89" s="142"/>
      <c r="N89" s="142"/>
    </row>
    <row r="90" spans="1:106" x14ac:dyDescent="0.2">
      <c r="A90" s="1244"/>
      <c r="B90" s="1244"/>
      <c r="C90" s="1244"/>
      <c r="D90" s="1245"/>
      <c r="E90" s="1245"/>
      <c r="F90" s="1239"/>
      <c r="G90" s="1244"/>
      <c r="H90" s="1244"/>
      <c r="I90" s="142"/>
      <c r="J90" s="142"/>
      <c r="K90" s="142"/>
      <c r="L90" s="142"/>
      <c r="M90" s="142"/>
      <c r="N90" s="142"/>
    </row>
    <row r="91" spans="1:106" hidden="1" x14ac:dyDescent="0.2">
      <c r="G91" s="28"/>
      <c r="H91" s="28"/>
      <c r="I91" s="28"/>
    </row>
    <row r="92" spans="1:106" hidden="1" x14ac:dyDescent="0.2">
      <c r="G92" s="28"/>
      <c r="H92" s="28"/>
      <c r="I92" s="28"/>
    </row>
    <row r="93" spans="1:106" hidden="1" x14ac:dyDescent="0.2">
      <c r="A93" s="208"/>
      <c r="B93" s="208"/>
      <c r="C93" s="208"/>
      <c r="D93" s="32" t="s">
        <v>4457</v>
      </c>
      <c r="G93" s="28"/>
      <c r="H93" s="28"/>
      <c r="I93" s="28"/>
    </row>
    <row r="94" spans="1:106" hidden="1" x14ac:dyDescent="0.2">
      <c r="D94" s="32" t="s">
        <v>1736</v>
      </c>
      <c r="G94" s="28"/>
      <c r="H94" s="28"/>
      <c r="I94" s="28"/>
    </row>
    <row r="95" spans="1:106" hidden="1" x14ac:dyDescent="0.2">
      <c r="G95" s="28"/>
      <c r="H95" s="28"/>
      <c r="I95" s="28"/>
    </row>
    <row r="96" spans="1:106" hidden="1" x14ac:dyDescent="0.2">
      <c r="G96" s="28"/>
      <c r="H96" s="28"/>
      <c r="I96" s="28"/>
    </row>
    <row r="97" spans="7:9" hidden="1" x14ac:dyDescent="0.2">
      <c r="G97" s="28"/>
      <c r="H97" s="28"/>
      <c r="I97" s="28"/>
    </row>
    <row r="98" spans="7:9" hidden="1" x14ac:dyDescent="0.2">
      <c r="G98" s="28"/>
      <c r="H98" s="28"/>
      <c r="I98" s="28"/>
    </row>
    <row r="99" spans="7:9" hidden="1" x14ac:dyDescent="0.2">
      <c r="G99" s="28"/>
      <c r="H99" s="28"/>
      <c r="I99" s="28"/>
    </row>
    <row r="100" spans="7:9" hidden="1" x14ac:dyDescent="0.2">
      <c r="G100" s="28"/>
      <c r="H100" s="28"/>
      <c r="I100" s="28"/>
    </row>
    <row r="101" spans="7:9" hidden="1" x14ac:dyDescent="0.2">
      <c r="G101" s="28"/>
      <c r="H101" s="28"/>
      <c r="I101" s="28"/>
    </row>
    <row r="102" spans="7:9" hidden="1" x14ac:dyDescent="0.2">
      <c r="G102" s="28"/>
      <c r="H102" s="28"/>
      <c r="I102" s="28"/>
    </row>
    <row r="103" spans="7:9" hidden="1" x14ac:dyDescent="0.2">
      <c r="G103" s="28"/>
      <c r="H103" s="28"/>
      <c r="I103" s="28"/>
    </row>
  </sheetData>
  <sheetProtection algorithmName="SHA-512" hashValue="W+5OlacpYSfcg5nSRP1dRIj0jH0w8h9KsTJU1v4VEi6gQjk54ghenn6rHcr7l7rQKnfmyfF4uun7Zk8GT89xMw==" saltValue="kwfHVKJR+sHRx8VSaPnRnw==" spinCount="100000" sheet="1" objects="1" scenarios="1"/>
  <dataConsolidate link="1"/>
  <customSheetViews>
    <customSheetView guid="{99B5278F-6EA9-4B1A-8623-27A4DF4AD5E4}" hiddenRows="1">
      <rowBreaks count="1" manualBreakCount="1">
        <brk id="47" max="7" man="1"/>
      </rowBreaks>
      <pageMargins left="0.27559055118110237" right="0.19685039370078741" top="0.17" bottom="0.16" header="0.15748031496062992" footer="0.16"/>
      <printOptions horizontalCentered="1" verticalCentered="1"/>
      <pageSetup paperSize="9" orientation="landscape" horizontalDpi="4294967293" r:id="rId1"/>
    </customSheetView>
  </customSheetViews>
  <mergeCells count="13">
    <mergeCell ref="B74:G74"/>
    <mergeCell ref="B48:D48"/>
    <mergeCell ref="B7:G7"/>
    <mergeCell ref="B9:F9"/>
    <mergeCell ref="B14:G14"/>
    <mergeCell ref="B1:F1"/>
    <mergeCell ref="B26:F27"/>
    <mergeCell ref="G26:G27"/>
    <mergeCell ref="B50:G50"/>
    <mergeCell ref="B46:C46"/>
    <mergeCell ref="B16:G17"/>
    <mergeCell ref="B38:G39"/>
    <mergeCell ref="B3:G3"/>
  </mergeCells>
  <phoneticPr fontId="126" type="noConversion"/>
  <conditionalFormatting sqref="B11">
    <cfRule type="expression" dxfId="591" priority="8" stopIfTrue="1">
      <formula>$G$10=n</formula>
    </cfRule>
  </conditionalFormatting>
  <conditionalFormatting sqref="B41">
    <cfRule type="expression" dxfId="590" priority="43" stopIfTrue="1">
      <formula>$BA$40=0</formula>
    </cfRule>
  </conditionalFormatting>
  <conditionalFormatting sqref="B42:B45">
    <cfRule type="expression" dxfId="589" priority="41" stopIfTrue="1">
      <formula>$BA$40=0</formula>
    </cfRule>
  </conditionalFormatting>
  <conditionalFormatting sqref="B38:D39 C41:G41 B46 D46:F46">
    <cfRule type="expression" dxfId="588" priority="27" stopIfTrue="1">
      <formula>$BA$40=0</formula>
    </cfRule>
  </conditionalFormatting>
  <conditionalFormatting sqref="B26:G27">
    <cfRule type="expression" dxfId="587" priority="5" stopIfTrue="1">
      <formula>$G$10=y</formula>
    </cfRule>
  </conditionalFormatting>
  <conditionalFormatting sqref="C11">
    <cfRule type="expression" dxfId="586" priority="9" stopIfTrue="1">
      <formula>$G$10=n</formula>
    </cfRule>
  </conditionalFormatting>
  <conditionalFormatting sqref="C30">
    <cfRule type="expression" dxfId="585" priority="2">
      <formula>$G$10=y</formula>
    </cfRule>
  </conditionalFormatting>
  <conditionalFormatting sqref="C42:F45">
    <cfRule type="expression" dxfId="584" priority="40" stopIfTrue="1">
      <formula>$BA$40=0</formula>
    </cfRule>
  </conditionalFormatting>
  <conditionalFormatting sqref="C29:G29 G30:G33 B34:G34">
    <cfRule type="expression" dxfId="583" priority="6" stopIfTrue="1">
      <formula>$G$10=y</formula>
    </cfRule>
  </conditionalFormatting>
  <conditionalFormatting sqref="D48:D52 F48:F52 B48:C83 E48:E83 G48:G83 D72:D76 F72:F76 D82:D83 F82:F83">
    <cfRule type="expression" dxfId="582" priority="54" stopIfTrue="1">
      <formula>$G$10=$D$94</formula>
    </cfRule>
  </conditionalFormatting>
  <conditionalFormatting sqref="D53:D71 F53:F71 D77:D81">
    <cfRule type="expression" dxfId="581" priority="55" stopIfTrue="1">
      <formula>$G$10=$D$94</formula>
    </cfRule>
  </conditionalFormatting>
  <conditionalFormatting sqref="D30:F33 C31:C33">
    <cfRule type="expression" dxfId="580" priority="7" stopIfTrue="1">
      <formula>$G$10=y</formula>
    </cfRule>
  </conditionalFormatting>
  <conditionalFormatting sqref="E20">
    <cfRule type="expression" dxfId="579" priority="4" stopIfTrue="1">
      <formula>$E$24&lt;&gt;$J$24</formula>
    </cfRule>
  </conditionalFormatting>
  <conditionalFormatting sqref="E24">
    <cfRule type="expression" dxfId="578" priority="18" stopIfTrue="1">
      <formula>$E$24&lt;&gt;$J$24</formula>
    </cfRule>
  </conditionalFormatting>
  <conditionalFormatting sqref="E30">
    <cfRule type="expression" dxfId="577" priority="3" stopIfTrue="1">
      <formula>$E$24&lt;&gt;$J$24</formula>
    </cfRule>
  </conditionalFormatting>
  <conditionalFormatting sqref="E34">
    <cfRule type="expression" dxfId="576" priority="19" stopIfTrue="1">
      <formula>$E$34&lt;&gt;$J$34</formula>
    </cfRule>
  </conditionalFormatting>
  <conditionalFormatting sqref="F11:F12">
    <cfRule type="expression" dxfId="575" priority="11" stopIfTrue="1">
      <formula>$G$10=n</formula>
    </cfRule>
  </conditionalFormatting>
  <conditionalFormatting sqref="F77:F81">
    <cfRule type="expression" dxfId="574" priority="56" stopIfTrue="1">
      <formula>$G$10=$D$94</formula>
    </cfRule>
  </conditionalFormatting>
  <conditionalFormatting sqref="G11">
    <cfRule type="expression" dxfId="573" priority="10" stopIfTrue="1">
      <formula>$G$10=n</formula>
    </cfRule>
  </conditionalFormatting>
  <conditionalFormatting sqref="G12">
    <cfRule type="expression" dxfId="572" priority="1">
      <formula>$G$10=n</formula>
    </cfRule>
  </conditionalFormatting>
  <conditionalFormatting sqref="G42:G46">
    <cfRule type="expression" dxfId="571" priority="22" stopIfTrue="1">
      <formula>$BA$40=0</formula>
    </cfRule>
  </conditionalFormatting>
  <conditionalFormatting sqref="H5">
    <cfRule type="expression" dxfId="570" priority="57" stopIfTrue="1">
      <formula>$H$5=$BB$5</formula>
    </cfRule>
  </conditionalFormatting>
  <conditionalFormatting sqref="H53:H72">
    <cfRule type="expression" dxfId="569" priority="14" stopIfTrue="1">
      <formula>$Q53=neg</formula>
    </cfRule>
  </conditionalFormatting>
  <conditionalFormatting sqref="H77:H82">
    <cfRule type="expression" dxfId="568" priority="13" stopIfTrue="1">
      <formula>$Q77=neg</formula>
    </cfRule>
  </conditionalFormatting>
  <dataValidations count="6">
    <dataValidation type="whole" errorStyle="warning" allowBlank="1" showInputMessage="1" showErrorMessage="1" errorTitle="Allocation for the current year" error="Please enter a positive value!  Total current year allocation(s) excessive!" sqref="E30:E33 E20:E23" xr:uid="{00000000-0002-0000-3000-000000000000}">
      <formula1>0</formula1>
      <formula2>X19</formula2>
    </dataValidation>
    <dataValidation type="whole" allowBlank="1" showInputMessage="1" showErrorMessage="1" errorTitle="Dividends Paid" error="Please enter a negative value that does not exceed available profits!_x000a_" sqref="F77:F81 F42:F45 F30:F33 F20:F23 F53:F71" xr:uid="{00000000-0002-0000-3000-000001000000}">
      <formula1>J20</formula1>
      <formula2>0</formula2>
    </dataValidation>
    <dataValidation type="list" allowBlank="1" showInputMessage="1" showErrorMessage="1" sqref="G5 C11 E86" xr:uid="{00000000-0002-0000-3000-000002000000}">
      <formula1>$D$92:$D$94</formula1>
    </dataValidation>
    <dataValidation type="decimal" allowBlank="1" showInputMessage="1" showErrorMessage="1" errorTitle="TAX RATE" error="PLEASE ENTER A POSITIVE VALUE THAT DOES NOT EXCEED 35c!" sqref="C61:C71" xr:uid="{00000000-0002-0000-3000-000003000000}">
      <formula1>0</formula1>
      <formula2>35</formula2>
    </dataValidation>
    <dataValidation type="date" operator="greaterThanOrEqual" allowBlank="1" showInputMessage="1" showErrorMessage="1" errorTitle="Date of election" error="Cannot be before 1/1/2011!" sqref="G11:G12" xr:uid="{00000000-0002-0000-3000-000004000000}">
      <formula1>J11</formula1>
    </dataValidation>
    <dataValidation type="whole" operator="greaterThanOrEqual" allowBlank="1" showInputMessage="1" showErrorMessage="1" errorTitle="Allocated" error="Please enter positive value!" sqref="E42:E45" xr:uid="{00000000-0002-0000-3000-000005000000}">
      <formula1>0</formula1>
    </dataValidation>
  </dataValidations>
  <hyperlinks>
    <hyperlink ref="C89" location="Index!A69" display="Back to Index" xr:uid="{00000000-0004-0000-3000-000000000000}"/>
    <hyperlink ref="K46" location="'p6'!Q18" display="Page 6 (field 97e)" xr:uid="{00000000-0004-0000-3000-000001000000}"/>
    <hyperlink ref="C84" location="'p6'!B34" display="Page 6" xr:uid="{00000000-0004-0000-3000-000002000000}"/>
    <hyperlink ref="G26:G27" location="TRA62A_IPA!A1" display="TRA 62A" xr:uid="{00000000-0004-0000-3000-000003000000}"/>
    <hyperlink ref="K24" location="'p6'!Q20" display="Page 6 (field 99a)" xr:uid="{00000000-0004-0000-3000-000004000000}"/>
  </hyperlinks>
  <pageMargins left="0.15748031496062992" right="0.15748031496062992" top="0.15748031496062992" bottom="0.15748031496062992" header="0.15748031496062992" footer="0.15748031496062992"/>
  <pageSetup paperSize="9" scale="95" orientation="landscape" r:id="rId2"/>
  <headerFooter>
    <oddFooter>&amp;LName&amp;CSignature&amp;RDate</oddFooter>
  </headerFooter>
  <rowBreaks count="1" manualBreakCount="1">
    <brk id="47" max="7"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9">
    <pageSetUpPr fitToPage="1"/>
  </sheetPr>
  <dimension ref="A1:BZ92"/>
  <sheetViews>
    <sheetView zoomScaleNormal="130" workbookViewId="0">
      <selection activeCell="C90" sqref="C90"/>
    </sheetView>
  </sheetViews>
  <sheetFormatPr defaultColWidth="0" defaultRowHeight="12.75" zeroHeight="1" x14ac:dyDescent="0.2"/>
  <cols>
    <col min="1" max="1" width="2.28515625" style="177" customWidth="1"/>
    <col min="2" max="2" width="57.5703125" style="28" customWidth="1"/>
    <col min="3" max="3" width="13.42578125" style="28" bestFit="1" customWidth="1"/>
    <col min="4" max="4" width="11.7109375" style="32" customWidth="1"/>
    <col min="5" max="5" width="23" style="32" customWidth="1"/>
    <col min="6" max="6" width="4.5703125" style="28" hidden="1" customWidth="1"/>
    <col min="7" max="9" width="9.28515625" style="868" hidden="1" customWidth="1"/>
    <col min="10" max="12" width="9.28515625" style="28" hidden="1" customWidth="1"/>
    <col min="13" max="13" width="12.28515625" style="28" hidden="1" customWidth="1"/>
    <col min="14" max="78" width="0" style="28" hidden="1" customWidth="1"/>
    <col min="79" max="16384" width="9.28515625" style="28" hidden="1"/>
  </cols>
  <sheetData>
    <row r="1" spans="1:78" x14ac:dyDescent="0.2">
      <c r="A1" s="1447"/>
      <c r="B1" s="1253" t="str">
        <f>_ref1</f>
      </c>
      <c r="C1" s="1253"/>
      <c r="D1" s="1253"/>
      <c r="E1" s="1216" t="str">
        <f>_YA1</f>
      </c>
      <c r="F1" s="142"/>
      <c r="G1" s="142"/>
      <c r="H1" s="142"/>
      <c r="I1" s="142"/>
      <c r="J1" s="142"/>
      <c r="K1" s="142" t="str">
        <f>'p2'!G11</f>
      </c>
      <c r="L1" s="142">
        <f>IF(OR(K1="Y",K1="y"=0),0,IF(AND(Z1=2,AA1=0),0,1))</f>
      </c>
      <c r="M1" s="142"/>
      <c r="N1" s="142"/>
      <c r="O1" s="142"/>
      <c r="P1" s="142"/>
      <c r="Q1" s="142"/>
      <c r="R1" s="142"/>
      <c r="S1" s="142"/>
      <c r="T1" s="142"/>
      <c r="U1" s="142"/>
      <c r="V1" s="142"/>
      <c r="W1" s="142"/>
      <c r="X1" s="142"/>
      <c r="Y1" s="142"/>
      <c r="Z1" s="142">
        <f>'p2'!P55</f>
      </c>
      <c r="AA1" s="142">
        <f>COUNT(D7,D13,D15,C19:C20,C26:C27,C29,D45,D49,D53,C59,C61,C63,D66,B76:D81,B85:C88)</f>
      </c>
      <c r="AB1" s="142"/>
      <c r="AC1" s="142"/>
      <c r="AD1" s="142"/>
      <c r="AE1" s="142"/>
      <c r="AF1" s="142"/>
      <c r="AG1" s="142"/>
      <c r="AH1" s="142"/>
      <c r="AI1" s="142"/>
      <c r="AJ1" s="208"/>
      <c r="AK1" s="208"/>
      <c r="AL1" s="208"/>
      <c r="AM1" s="208"/>
      <c r="AN1" s="208"/>
      <c r="AO1" s="208"/>
      <c r="AP1" s="208"/>
      <c r="AQ1" s="208"/>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row>
    <row r="2" spans="1:78" ht="5.25" customHeight="1" x14ac:dyDescent="0.2">
      <c r="A2" s="1447"/>
      <c r="B2" s="1217"/>
      <c r="C2" s="1217"/>
      <c r="D2" s="1218"/>
      <c r="E2" s="1218"/>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row>
    <row r="3" spans="1:78" hidden="1" x14ac:dyDescent="0.2">
      <c r="A3" s="1363"/>
      <c r="B3" s="1220"/>
      <c r="C3" s="1220"/>
      <c r="D3" s="1220"/>
      <c r="E3" s="1244"/>
      <c r="F3" s="142"/>
      <c r="G3" s="142"/>
      <c r="H3" s="142"/>
      <c r="I3" s="142"/>
      <c r="J3" s="142"/>
      <c r="K3" s="142"/>
      <c r="L3" s="142">
        <f>COUNT(D7,D13,D15,C19,C20,C26,C27,C29,D45,D49)</f>
      </c>
      <c r="M3" s="142"/>
      <c r="N3" s="142"/>
      <c r="O3" s="142"/>
      <c r="P3" s="142"/>
      <c r="Q3" s="142"/>
      <c r="R3" s="142"/>
      <c r="S3" s="142"/>
      <c r="T3" s="142"/>
      <c r="U3" s="142"/>
      <c r="V3" s="142"/>
      <c r="W3" s="142"/>
      <c r="X3" s="142"/>
      <c r="Y3" s="142"/>
      <c r="Z3" s="142"/>
      <c r="AA3" s="142"/>
      <c r="AB3" s="142"/>
      <c r="AC3" s="142"/>
      <c r="AD3" s="142"/>
      <c r="AE3" s="142"/>
      <c r="AF3" s="142"/>
      <c r="AG3" s="142"/>
      <c r="AH3" s="142"/>
      <c r="AI3" s="142"/>
      <c r="AJ3" s="1224"/>
      <c r="AK3" s="1224"/>
      <c r="AL3" s="1224"/>
      <c r="AM3" s="1224"/>
      <c r="AN3" s="1224"/>
      <c r="AO3" s="1224"/>
      <c r="AP3" s="1224"/>
      <c r="AQ3" s="1224"/>
      <c r="AR3" s="1224"/>
      <c r="AS3" s="1224"/>
      <c r="AT3" s="1224"/>
      <c r="AU3" s="1224"/>
      <c r="AV3" s="1224"/>
      <c r="AW3" s="1224"/>
      <c r="AX3" s="1224"/>
      <c r="AY3" s="1224"/>
      <c r="AZ3" s="1224"/>
      <c r="BA3" s="1224"/>
      <c r="BB3" s="1224"/>
      <c r="BC3" s="1224"/>
      <c r="BD3" s="1224"/>
      <c r="BE3" s="1224"/>
      <c r="BF3" s="1224"/>
      <c r="BG3" s="1224"/>
      <c r="BH3" s="1224"/>
      <c r="BI3" s="1224"/>
      <c r="BJ3" s="1224"/>
      <c r="BK3" s="1224"/>
      <c r="BL3" s="1224"/>
      <c r="BM3" s="1224"/>
      <c r="BN3" s="1224"/>
      <c r="BO3" s="1224"/>
      <c r="BP3" s="1224"/>
      <c r="BQ3" s="1224"/>
      <c r="BR3" s="1224"/>
      <c r="BS3" s="1224"/>
      <c r="BT3" s="1224"/>
      <c r="BU3" s="1224"/>
      <c r="BV3" s="1224"/>
      <c r="BW3" s="1224"/>
      <c r="BX3" s="1224"/>
      <c r="BY3" s="1224"/>
      <c r="BZ3" s="1224"/>
    </row>
    <row r="4" spans="1:78" ht="14.25" customHeight="1" x14ac:dyDescent="0.2">
      <c r="A4" s="1363"/>
      <c r="B4" s="4975" t="s">
        <v>2709</v>
      </c>
      <c r="C4" s="4976"/>
      <c r="D4" s="4977"/>
      <c r="E4" s="1244"/>
      <c r="F4" s="142"/>
      <c r="G4" s="142"/>
      <c r="H4" s="142"/>
      <c r="I4" s="142"/>
      <c r="J4" s="142"/>
      <c r="K4" s="142"/>
      <c r="L4" s="1294">
        <f>L1+L3</f>
      </c>
      <c r="M4" s="142"/>
      <c r="N4" s="142"/>
      <c r="O4" s="142"/>
      <c r="P4" s="142"/>
      <c r="Q4" s="142"/>
      <c r="R4" s="142"/>
      <c r="S4" s="142"/>
      <c r="T4" s="142"/>
      <c r="U4" s="142"/>
      <c r="V4" s="142"/>
      <c r="W4" s="142"/>
      <c r="X4" s="142"/>
      <c r="Y4" s="142"/>
      <c r="Z4" s="142"/>
      <c r="AA4" s="142"/>
      <c r="AB4" s="142"/>
      <c r="AC4" s="142"/>
      <c r="AD4" s="142"/>
      <c r="AE4" s="142"/>
      <c r="AF4" s="142"/>
      <c r="AG4" s="142"/>
      <c r="AH4" s="142"/>
      <c r="AI4" s="142"/>
    </row>
    <row r="5" spans="1:78" ht="18" customHeight="1" x14ac:dyDescent="0.2">
      <c r="A5" s="1363"/>
      <c r="B5" s="4978"/>
      <c r="C5" s="4979"/>
      <c r="D5" s="4980"/>
      <c r="E5" s="1244"/>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row>
    <row r="6" spans="1:78" ht="6" customHeight="1" x14ac:dyDescent="0.2">
      <c r="A6" s="1363"/>
      <c r="B6" s="1220"/>
      <c r="C6" s="1220"/>
      <c r="D6" s="1220"/>
      <c r="E6" s="1244"/>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row>
    <row r="7" spans="1:78" x14ac:dyDescent="0.2">
      <c r="A7" s="1363"/>
      <c r="B7" s="4981" t="s">
        <v>5383</v>
      </c>
      <c r="C7" s="4982"/>
      <c r="D7" s="1261">
        <v>0</v>
      </c>
      <c r="E7" s="1374" t="str">
        <f>IF(L4=0,"",IF(D7="",reo,""))</f>
        <v/>
      </c>
      <c r="F7" s="142">
        <f>IF(E7="",0,1)</f>
      </c>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row>
    <row r="8" spans="1:78" ht="6" customHeight="1" x14ac:dyDescent="0.2">
      <c r="A8" s="1363"/>
      <c r="B8" s="1220"/>
      <c r="C8" s="1220"/>
      <c r="D8" s="1220"/>
      <c r="E8" s="1244"/>
      <c r="F8" s="142"/>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row>
    <row r="9" spans="1:78" x14ac:dyDescent="0.2">
      <c r="A9" s="1363"/>
      <c r="B9" s="4981" t="s">
        <v>5384</v>
      </c>
      <c r="C9" s="4982"/>
      <c r="D9" s="1220"/>
      <c r="E9" s="1244"/>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row>
    <row r="10" spans="1:78" ht="6" customHeight="1" x14ac:dyDescent="0.2">
      <c r="A10" s="1363"/>
      <c r="B10" s="65"/>
      <c r="C10" s="65"/>
      <c r="D10" s="1220"/>
      <c r="E10" s="1244"/>
      <c r="F10" s="142"/>
      <c r="G10" s="142"/>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row>
    <row r="11" spans="1:78" ht="14.25" customHeight="1" x14ac:dyDescent="0.2">
      <c r="A11" s="1448"/>
      <c r="B11" s="4967" t="s">
        <v>6061</v>
      </c>
      <c r="C11" s="4968"/>
      <c r="D11" s="1220"/>
      <c r="E11" s="1244"/>
      <c r="F11" s="142"/>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row>
    <row r="12" spans="1:78" x14ac:dyDescent="0.2">
      <c r="A12" s="1363"/>
      <c r="B12" s="4969"/>
      <c r="C12" s="4970"/>
      <c r="D12" s="1220"/>
      <c r="E12" s="1244"/>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row>
    <row r="13" spans="1:78" x14ac:dyDescent="0.2">
      <c r="A13" s="1363"/>
      <c r="B13" s="4971"/>
      <c r="C13" s="4972"/>
      <c r="D13" s="1261">
        <v>0</v>
      </c>
      <c r="E13" s="1374" t="str">
        <f>IF(L4=0,"",IF(D13="",reo,""))</f>
        <v/>
      </c>
      <c r="F13" s="142">
        <f>IF(E13="",0,1)</f>
      </c>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row>
    <row r="14" spans="1:78" ht="6" customHeight="1" x14ac:dyDescent="0.2">
      <c r="A14" s="1363"/>
      <c r="B14" s="3"/>
      <c r="C14" s="34"/>
      <c r="D14" s="34"/>
      <c r="E14" s="1244"/>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row>
    <row r="15" spans="1:78" x14ac:dyDescent="0.2">
      <c r="A15" s="1363"/>
      <c r="B15" s="4973" t="s">
        <v>1519</v>
      </c>
      <c r="C15" s="4974"/>
      <c r="D15" s="1261">
        <v>0</v>
      </c>
      <c r="E15" s="1374" t="str">
        <f>IF(L4=0,"",IF(D15="",reo,""))</f>
        <v/>
      </c>
      <c r="F15" s="142">
        <f>IF(E15="",0,1)</f>
      </c>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row>
    <row r="16" spans="1:78" ht="6" customHeight="1" x14ac:dyDescent="0.2">
      <c r="A16" s="1363"/>
      <c r="B16" s="3"/>
      <c r="C16" s="3"/>
      <c r="D16" s="34"/>
      <c r="E16" s="1244"/>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row>
    <row r="17" spans="1:35" x14ac:dyDescent="0.2">
      <c r="A17" s="1363"/>
      <c r="B17" s="4871" t="s">
        <v>3455</v>
      </c>
      <c r="C17" s="4872"/>
      <c r="D17" s="34"/>
      <c r="E17" s="1244"/>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row>
    <row r="18" spans="1:35" x14ac:dyDescent="0.2">
      <c r="A18" s="1363"/>
      <c r="B18" s="4875"/>
      <c r="C18" s="4876"/>
      <c r="D18" s="34"/>
      <c r="E18" s="1244"/>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row>
    <row r="19" spans="1:35" x14ac:dyDescent="0.2">
      <c r="A19" s="1363"/>
      <c r="B19" s="1255" t="s">
        <v>6062</v>
      </c>
      <c r="C19" s="1262">
        <v>0</v>
      </c>
      <c r="D19" s="406" t="str">
        <f>IF(L4=0,"",IF(C19="",reo,""))</f>
        <v/>
      </c>
      <c r="E19" s="1244"/>
      <c r="F19" s="142">
        <f>IF(D19="",0,1)</f>
      </c>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row>
    <row r="20" spans="1:35" x14ac:dyDescent="0.2">
      <c r="A20" s="1363"/>
      <c r="B20" s="1256" t="s">
        <v>6063</v>
      </c>
      <c r="C20" s="1262"/>
      <c r="D20" s="406" t="str">
        <f>IF(C19=0,"",IF(C20="",reo,""))</f>
        <v/>
      </c>
      <c r="E20" s="1244"/>
      <c r="F20" s="142">
        <f>IF(D20="",0,1)</f>
      </c>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row>
    <row r="21" spans="1:35" x14ac:dyDescent="0.2">
      <c r="A21" s="1363"/>
      <c r="B21" s="4983" t="s">
        <v>402</v>
      </c>
      <c r="C21" s="4984"/>
      <c r="D21" s="1375">
        <f>ROUND(C19*C20,0)</f>
      </c>
      <c r="E21" s="1244"/>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row>
    <row r="22" spans="1:35" ht="6" customHeight="1" x14ac:dyDescent="0.2">
      <c r="A22" s="1363"/>
      <c r="B22" s="34"/>
      <c r="C22" s="34"/>
      <c r="D22" s="34"/>
      <c r="E22" s="1244"/>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row>
    <row r="23" spans="1:35" x14ac:dyDescent="0.2">
      <c r="A23" s="1363"/>
      <c r="B23" s="4967" t="s">
        <v>3262</v>
      </c>
      <c r="C23" s="4968"/>
      <c r="D23" s="34"/>
      <c r="E23" s="1244"/>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row>
    <row r="24" spans="1:35" x14ac:dyDescent="0.2">
      <c r="A24" s="1363"/>
      <c r="B24" s="4969"/>
      <c r="C24" s="4970"/>
      <c r="D24" s="34"/>
      <c r="E24" s="1244"/>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row>
    <row r="25" spans="1:35" x14ac:dyDescent="0.2">
      <c r="A25" s="1363"/>
      <c r="B25" s="4971"/>
      <c r="C25" s="4972"/>
      <c r="D25" s="34"/>
      <c r="E25" s="1244"/>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row>
    <row r="26" spans="1:35" x14ac:dyDescent="0.2">
      <c r="A26" s="1363"/>
      <c r="B26" s="1255" t="s">
        <v>6062</v>
      </c>
      <c r="C26" s="1262">
        <v>0</v>
      </c>
      <c r="D26" s="406" t="str">
        <f>IF(L4=0,"",IF(C26="",reo,""))</f>
        <v/>
      </c>
      <c r="E26" s="1244"/>
      <c r="F26" s="142">
        <f>IF(D26="",0,1)</f>
      </c>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row>
    <row r="27" spans="1:35" x14ac:dyDescent="0.2">
      <c r="A27" s="1363"/>
      <c r="B27" s="1256" t="s">
        <v>6063</v>
      </c>
      <c r="C27" s="1262"/>
      <c r="D27" s="406" t="str">
        <f>IF(C26=0,"",IF(C27="",reo,""))</f>
        <v/>
      </c>
      <c r="E27" s="1244"/>
      <c r="F27" s="142">
        <f>IF(D27="",0,1)</f>
      </c>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row>
    <row r="28" spans="1:35" x14ac:dyDescent="0.2">
      <c r="A28" s="1363"/>
      <c r="B28" s="1257" t="s">
        <v>402</v>
      </c>
      <c r="C28" s="1375">
        <f>ROUND(C26*C27,0)</f>
      </c>
      <c r="D28" s="34"/>
      <c r="E28" s="1244"/>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row>
    <row r="29" spans="1:35" x14ac:dyDescent="0.2">
      <c r="A29" s="1363"/>
      <c r="B29" s="1258" t="s">
        <v>966</v>
      </c>
      <c r="C29" s="1261"/>
      <c r="D29" s="406" t="str">
        <f>IF(C28=0,"",IF(C29="",reo,""))</f>
        <v/>
      </c>
      <c r="E29" s="1244"/>
      <c r="F29" s="142">
        <f>IF(D29="",0,1)</f>
      </c>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row>
    <row r="30" spans="1:35" x14ac:dyDescent="0.2">
      <c r="A30" s="1363"/>
      <c r="B30" s="4983" t="s">
        <v>6064</v>
      </c>
      <c r="C30" s="4984"/>
      <c r="D30" s="1375">
        <f>IF(C29&gt;C28,0,C28-C29)</f>
      </c>
      <c r="E30" s="1244"/>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row>
    <row r="31" spans="1:35" ht="6" customHeight="1" x14ac:dyDescent="0.2">
      <c r="A31" s="1363"/>
      <c r="B31" s="3"/>
      <c r="C31" s="3"/>
      <c r="D31" s="1220"/>
      <c r="E31" s="1244"/>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row>
    <row r="32" spans="1:35" ht="12.75" hidden="1" customHeight="1" x14ac:dyDescent="0.2">
      <c r="A32" s="1363"/>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row>
    <row r="33" spans="1:35" hidden="1" x14ac:dyDescent="0.2">
      <c r="A33" s="1363"/>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row>
    <row r="34" spans="1:35" hidden="1" x14ac:dyDescent="0.2">
      <c r="A34" s="1363"/>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row>
    <row r="35" spans="1:35" ht="12.75" hidden="1" customHeight="1" x14ac:dyDescent="0.2">
      <c r="A35" s="1363"/>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row>
    <row r="36" spans="1:35" hidden="1" x14ac:dyDescent="0.2">
      <c r="A36" s="1363"/>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row>
    <row r="37" spans="1:35" ht="12.75" hidden="1" customHeight="1" x14ac:dyDescent="0.2">
      <c r="A37" s="1363"/>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row>
    <row r="38" spans="1:35" hidden="1" x14ac:dyDescent="0.2">
      <c r="A38" s="1363"/>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row>
    <row r="39" spans="1:35" ht="12.75" hidden="1" customHeight="1" x14ac:dyDescent="0.2">
      <c r="A39" s="1363"/>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row>
    <row r="40" spans="1:35" hidden="1" x14ac:dyDescent="0.2">
      <c r="A40" s="1363"/>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row>
    <row r="41" spans="1:35" hidden="1" x14ac:dyDescent="0.2">
      <c r="A41" s="1363"/>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row>
    <row r="42" spans="1:35" ht="6" hidden="1" customHeight="1" x14ac:dyDescent="0.2">
      <c r="A42" s="1363"/>
      <c r="B42" s="1220"/>
      <c r="C42" s="1220"/>
      <c r="D42" s="1220"/>
      <c r="E42" s="1244"/>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row>
    <row r="43" spans="1:35" x14ac:dyDescent="0.2">
      <c r="A43" s="1363"/>
      <c r="B43" s="4986" t="s">
        <v>6065</v>
      </c>
      <c r="C43" s="4987"/>
      <c r="D43" s="1375">
        <f>SUM(D30,D21,D15,D13,D7)</f>
      </c>
      <c r="E43" s="1244"/>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row>
    <row r="44" spans="1:35" ht="6" customHeight="1" x14ac:dyDescent="0.2">
      <c r="A44" s="1363"/>
      <c r="B44" s="1220"/>
      <c r="C44" s="1220"/>
      <c r="D44" s="1220"/>
      <c r="E44" s="1244"/>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row>
    <row r="45" spans="1:35" x14ac:dyDescent="0.2">
      <c r="A45" s="1363"/>
      <c r="B45" s="4986" t="s">
        <v>2710</v>
      </c>
      <c r="C45" s="4987"/>
      <c r="D45" s="1261">
        <v>0</v>
      </c>
      <c r="E45" s="1374" t="str">
        <f>IF(L4=0,"",IF(AND(L1=0,D45&gt;0)," Option exercised on Pg 2!",IF(AND(L1=1,D45=""),reo,IF(OR(D45&gt;D43,D45&gt;N45)," Excessive!",IF(AND(D45=0,D43=0),"",IF(AND(D45&lt;D43,D45&lt;N45)," MTA/FIA profits available!",""))))))</f>
        <v/>
      </c>
      <c r="F45" s="142">
        <f>IF(E45="",0,1)</f>
      </c>
      <c r="G45" s="142"/>
      <c r="H45" s="142">
        <f>IF(AND(L1=0,D45&gt;0),1,0)</f>
      </c>
      <c r="I45" s="142"/>
      <c r="J45" s="142"/>
      <c r="K45" s="142"/>
      <c r="L45" s="142"/>
      <c r="M45" s="142">
        <f>IF(L1=0,0,D43)</f>
      </c>
      <c r="N45" s="1455">
        <f>'p6'!S20+'p6'!U20-D66</f>
      </c>
      <c r="O45" s="142"/>
      <c r="P45" s="142"/>
      <c r="Q45" s="142"/>
      <c r="R45" s="142"/>
      <c r="S45" s="142"/>
      <c r="T45" s="142"/>
      <c r="U45" s="142"/>
      <c r="V45" s="142"/>
      <c r="W45" s="142"/>
      <c r="X45" s="142"/>
      <c r="Y45" s="142"/>
      <c r="Z45" s="142"/>
      <c r="AA45" s="142"/>
      <c r="AB45" s="142"/>
      <c r="AC45" s="142"/>
      <c r="AD45" s="142"/>
      <c r="AE45" s="142"/>
      <c r="AF45" s="142"/>
      <c r="AG45" s="142"/>
      <c r="AH45" s="142"/>
      <c r="AI45" s="142"/>
    </row>
    <row r="46" spans="1:35" ht="6" customHeight="1" x14ac:dyDescent="0.2">
      <c r="A46" s="1363"/>
      <c r="B46" s="1220"/>
      <c r="C46" s="1220"/>
      <c r="D46" s="1220"/>
      <c r="E46" s="1244"/>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row>
    <row r="47" spans="1:35" x14ac:dyDescent="0.2">
      <c r="A47" s="1363"/>
      <c r="B47" s="4986" t="s">
        <v>1340</v>
      </c>
      <c r="C47" s="4987"/>
      <c r="D47" s="1375">
        <f>IF(D45&gt;D43,0,D43-D45)</f>
      </c>
      <c r="E47" s="1244"/>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row>
    <row r="48" spans="1:35" ht="6" customHeight="1" x14ac:dyDescent="0.2">
      <c r="A48" s="1363"/>
      <c r="B48" s="1220"/>
      <c r="C48" s="1220"/>
      <c r="D48" s="1220"/>
      <c r="E48" s="1244"/>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row>
    <row r="49" spans="1:35" x14ac:dyDescent="0.2">
      <c r="A49" s="1448">
        <v>1</v>
      </c>
      <c r="B49" s="4986" t="s">
        <v>2707</v>
      </c>
      <c r="C49" s="4987"/>
      <c r="D49" s="811"/>
      <c r="E49" s="1374" t="str">
        <f>IF(D47=0,"",IF(D49="",reo,IF(D49&lt;M49," Check!","")))</f>
        <v/>
      </c>
      <c r="F49" s="142">
        <f>IF(E49="",0,1)</f>
      </c>
      <c r="G49" s="142"/>
      <c r="L49" s="142"/>
      <c r="M49" s="142">
        <f>IF(D47=0,0,D47*-1)</f>
      </c>
      <c r="N49" s="142"/>
      <c r="O49" s="142"/>
      <c r="P49" s="142"/>
      <c r="Q49" s="142"/>
      <c r="R49" s="142"/>
      <c r="S49" s="142"/>
      <c r="T49" s="142"/>
      <c r="U49" s="142"/>
      <c r="V49" s="142"/>
      <c r="W49" s="142"/>
      <c r="X49" s="142"/>
      <c r="Y49" s="142"/>
      <c r="Z49" s="142"/>
      <c r="AA49" s="142"/>
      <c r="AB49" s="142"/>
      <c r="AC49" s="142"/>
      <c r="AD49" s="142"/>
      <c r="AE49" s="142"/>
      <c r="AF49" s="142"/>
      <c r="AG49" s="142"/>
      <c r="AH49" s="142"/>
      <c r="AI49" s="142"/>
    </row>
    <row r="50" spans="1:35" ht="6" customHeight="1" x14ac:dyDescent="0.2">
      <c r="A50" s="1448"/>
      <c r="B50" s="1220"/>
      <c r="C50" s="1220"/>
      <c r="D50" s="1220"/>
      <c r="E50" s="1244"/>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row>
    <row r="51" spans="1:35" x14ac:dyDescent="0.2">
      <c r="A51" s="1448"/>
      <c r="B51" s="4986" t="s">
        <v>1340</v>
      </c>
      <c r="C51" s="4987"/>
      <c r="D51" s="1375">
        <f>IF(D47+D49&lt;0,0,D47+D49)</f>
      </c>
      <c r="E51" s="1244"/>
      <c r="F51" s="142"/>
      <c r="G51" s="142"/>
      <c r="H51" s="142"/>
      <c r="I51" s="142"/>
      <c r="J51" s="142"/>
      <c r="K51" s="142"/>
      <c r="L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row>
    <row r="52" spans="1:35" ht="6" customHeight="1" x14ac:dyDescent="0.2">
      <c r="A52" s="1448"/>
      <c r="B52" s="1220"/>
      <c r="C52" s="1220"/>
      <c r="D52" s="1220"/>
      <c r="E52" s="1244"/>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row>
    <row r="53" spans="1:35" x14ac:dyDescent="0.2">
      <c r="A53" s="1448">
        <v>2</v>
      </c>
      <c r="B53" s="4986" t="s">
        <v>2706</v>
      </c>
      <c r="C53" s="4987"/>
      <c r="D53" s="811">
        <v>0</v>
      </c>
      <c r="E53" s="1374" t="str">
        <f>IF(AND(L1=0,D53&gt;0)," Option exercised on Pg 2!",IF(AND(L1=1,D49+D51=0,D53=""),reo,IF(AND(D51&gt;0,D53&gt;0)," Unallocated amounts above!",IF(AND(D49&lt;0,D53&gt;0),"Amounts allocated to Related Co!",""))))</f>
        <v/>
      </c>
      <c r="F53" s="142">
        <f>IF(E53="",0,1)</f>
      </c>
      <c r="G53" s="142"/>
      <c r="H53" s="142">
        <f>IF(AND(L1=0,D53&gt;0),1,0)</f>
      </c>
      <c r="I53" s="142"/>
      <c r="J53" s="142"/>
      <c r="K53" s="142"/>
      <c r="L53" s="142"/>
      <c r="M53" s="142">
        <f>IF(L1=0,0,IF(D51&gt;0,0,999999999999))</f>
      </c>
      <c r="N53" s="142"/>
      <c r="O53" s="142"/>
      <c r="P53" s="142"/>
      <c r="Q53" s="142"/>
      <c r="R53" s="142"/>
      <c r="S53" s="142"/>
      <c r="T53" s="142"/>
      <c r="U53" s="142"/>
      <c r="V53" s="142"/>
      <c r="W53" s="142"/>
      <c r="X53" s="142"/>
      <c r="Y53" s="142"/>
      <c r="Z53" s="142"/>
      <c r="AA53" s="142"/>
      <c r="AB53" s="142"/>
      <c r="AC53" s="142"/>
      <c r="AD53" s="142"/>
      <c r="AE53" s="142"/>
      <c r="AF53" s="142"/>
      <c r="AG53" s="142"/>
      <c r="AH53" s="142"/>
      <c r="AI53" s="142"/>
    </row>
    <row r="54" spans="1:35" ht="5.25" customHeight="1" x14ac:dyDescent="0.2">
      <c r="A54" s="1448"/>
      <c r="B54" s="1220"/>
      <c r="C54" s="1220"/>
      <c r="D54" s="1220"/>
      <c r="E54" s="1244"/>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row>
    <row r="55" spans="1:35" hidden="1" x14ac:dyDescent="0.2">
      <c r="A55" s="4985">
        <v>3</v>
      </c>
      <c r="B55" s="4967" t="s">
        <v>3981</v>
      </c>
      <c r="C55" s="4968"/>
      <c r="D55" s="1220"/>
      <c r="E55" s="1244"/>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row>
    <row r="56" spans="1:35" hidden="1" x14ac:dyDescent="0.2">
      <c r="A56" s="4985"/>
      <c r="B56" s="4969"/>
      <c r="C56" s="4970"/>
      <c r="D56" s="1220"/>
      <c r="E56" s="1244"/>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row>
    <row r="57" spans="1:35" hidden="1" x14ac:dyDescent="0.2">
      <c r="A57" s="4985"/>
      <c r="B57" s="4971"/>
      <c r="C57" s="4972"/>
      <c r="D57" s="1220"/>
      <c r="E57" s="1244"/>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row>
    <row r="58" spans="1:35" hidden="1" x14ac:dyDescent="0.2">
      <c r="A58" s="1363"/>
      <c r="B58" s="4988" t="s">
        <v>4960</v>
      </c>
      <c r="C58" s="1260"/>
      <c r="D58" s="34"/>
      <c r="E58" s="1244"/>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row>
    <row r="59" spans="1:35" hidden="1" x14ac:dyDescent="0.2">
      <c r="A59" s="1363"/>
      <c r="B59" s="4989"/>
      <c r="C59" s="1261">
        <v>0</v>
      </c>
      <c r="D59" s="406" t="str">
        <f>IF(L1=0,"",IF(C59="",reo,""))</f>
        <v/>
      </c>
      <c r="E59" s="1244"/>
      <c r="F59" s="142">
        <f>IF(D59="",0,1)</f>
      </c>
      <c r="G59" s="142"/>
      <c r="H59" s="142"/>
      <c r="I59" s="142"/>
      <c r="J59" s="142"/>
      <c r="K59" s="142"/>
      <c r="L59" s="142">
        <f>COUNT(C59,C61,C63,D66)</f>
      </c>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row>
    <row r="60" spans="1:35" hidden="1" x14ac:dyDescent="0.2">
      <c r="A60" s="1363"/>
      <c r="B60" s="4988" t="s">
        <v>4961</v>
      </c>
      <c r="C60" s="245"/>
      <c r="D60" s="34"/>
      <c r="E60" s="1244"/>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row>
    <row r="61" spans="1:35" hidden="1" x14ac:dyDescent="0.2">
      <c r="A61" s="1363"/>
      <c r="B61" s="4989"/>
      <c r="C61" s="1261">
        <v>0</v>
      </c>
      <c r="D61" s="406" t="str">
        <f>IF(C59=0,"",IF(C61="",reo,""))</f>
        <v/>
      </c>
      <c r="E61" s="1244"/>
      <c r="F61" s="142">
        <f>IF(D61="",0,1)</f>
      </c>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row>
    <row r="62" spans="1:35" hidden="1" x14ac:dyDescent="0.2">
      <c r="A62" s="1363"/>
      <c r="B62" s="4988" t="s">
        <v>5142</v>
      </c>
      <c r="C62" s="245"/>
      <c r="D62" s="34"/>
      <c r="E62" s="1244"/>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row>
    <row r="63" spans="1:35" hidden="1" x14ac:dyDescent="0.2">
      <c r="A63" s="1363"/>
      <c r="B63" s="4989"/>
      <c r="C63" s="1261">
        <v>0</v>
      </c>
      <c r="D63" s="406" t="str">
        <f>IF(C59=0,"",IF(C63="",reo,""))</f>
        <v/>
      </c>
      <c r="E63" s="1244"/>
      <c r="F63" s="142">
        <f>IF(D63="",0,1)</f>
      </c>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row>
    <row r="64" spans="1:35" hidden="1" x14ac:dyDescent="0.2">
      <c r="A64" s="1363"/>
      <c r="B64" s="554" t="s">
        <v>5143</v>
      </c>
      <c r="C64" s="1375">
        <f>IF(M64&lt;0,0,M64)</f>
      </c>
      <c r="D64" s="34"/>
      <c r="E64" s="1244"/>
      <c r="F64" s="142"/>
      <c r="G64" s="142"/>
      <c r="H64" s="142"/>
      <c r="I64" s="142"/>
      <c r="J64" s="142"/>
      <c r="K64" s="142"/>
      <c r="L64" s="142"/>
      <c r="M64" s="142">
        <f>ROUND(C59-(C61+C63),0)</f>
      </c>
      <c r="N64" s="142"/>
      <c r="O64" s="142"/>
      <c r="P64" s="142"/>
      <c r="Q64" s="142"/>
      <c r="R64" s="142"/>
      <c r="S64" s="142"/>
      <c r="T64" s="142"/>
      <c r="U64" s="142"/>
      <c r="V64" s="142"/>
      <c r="W64" s="142"/>
      <c r="X64" s="142"/>
      <c r="Y64" s="142"/>
      <c r="Z64" s="142"/>
      <c r="AA64" s="142"/>
      <c r="AB64" s="142"/>
      <c r="AC64" s="142"/>
      <c r="AD64" s="142"/>
      <c r="AE64" s="142"/>
      <c r="AF64" s="142"/>
      <c r="AG64" s="142"/>
      <c r="AH64" s="142"/>
      <c r="AI64" s="142"/>
    </row>
    <row r="65" spans="1:35" ht="6" hidden="1" customHeight="1" x14ac:dyDescent="0.2">
      <c r="A65" s="1363"/>
      <c r="B65" s="1220"/>
      <c r="C65" s="1220"/>
      <c r="D65" s="1220"/>
      <c r="E65" s="1244"/>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row>
    <row r="66" spans="1:35" x14ac:dyDescent="0.2">
      <c r="A66" s="1363"/>
      <c r="B66" s="4986" t="s">
        <v>6066</v>
      </c>
      <c r="C66" s="4987"/>
      <c r="D66" s="1261"/>
      <c r="E66" s="1374" t="str">
        <f>IF(AND(L1=0,D66&gt;0)," Option exercised on Pg 2!",IF(C64=0,"",IF(AND(L1=1,D66=""),reo,IF(D66&gt;C64," Check!",""))))</f>
        <v/>
      </c>
      <c r="F66" s="142">
        <f>IF(E66="",0,1)</f>
      </c>
      <c r="G66" s="142"/>
      <c r="H66" s="142"/>
      <c r="I66" s="142"/>
      <c r="J66" s="142"/>
      <c r="K66" s="142">
        <f>IF(AND(L66=0,D66&gt;0),1,0)</f>
      </c>
      <c r="L66" s="142">
        <f>IF(L1=0,0,C64)</f>
      </c>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row>
    <row r="67" spans="1:35" ht="5.25" customHeight="1" x14ac:dyDescent="0.2">
      <c r="A67" s="1363"/>
      <c r="B67" s="1220"/>
      <c r="C67" s="1220"/>
      <c r="D67" s="1220"/>
      <c r="E67" s="1244"/>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row>
    <row r="68" spans="1:35" x14ac:dyDescent="0.2">
      <c r="A68" s="1363"/>
      <c r="B68" s="4986" t="s">
        <v>1340</v>
      </c>
      <c r="C68" s="4987"/>
      <c r="D68" s="1375">
        <f>IF(D66&gt;C64,0,C64-D66)</f>
      </c>
      <c r="E68" s="1244"/>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row>
    <row r="69" spans="1:35" ht="6" customHeight="1" x14ac:dyDescent="0.2">
      <c r="A69" s="1363"/>
      <c r="B69" s="1220"/>
      <c r="C69" s="1220"/>
      <c r="D69" s="1220"/>
      <c r="E69" s="1244"/>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row>
    <row r="70" spans="1:35" x14ac:dyDescent="0.2">
      <c r="A70" s="1363"/>
      <c r="B70" s="4986" t="s">
        <v>6168</v>
      </c>
      <c r="C70" s="4987"/>
      <c r="D70" s="1232">
        <f>D51+D68</f>
      </c>
      <c r="E70" s="1376" t="str">
        <f>IF(AND(D70&gt;0,J70&gt;0),"MTA / FIA profits available!","")</f>
        <v/>
      </c>
      <c r="F70" s="142">
        <f>IF(E70="",0,1)</f>
      </c>
      <c r="G70" s="142"/>
      <c r="H70" s="142"/>
      <c r="I70" s="142"/>
      <c r="J70" s="553">
        <f>'p6'!S33+'p6'!U33</f>
      </c>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row>
    <row r="71" spans="1:35" ht="6" customHeight="1" x14ac:dyDescent="0.2">
      <c r="A71" s="1363"/>
      <c r="B71" s="1220"/>
      <c r="C71" s="1220"/>
      <c r="D71" s="1220"/>
      <c r="E71" s="1244"/>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row>
    <row r="72" spans="1:35" x14ac:dyDescent="0.2">
      <c r="A72" s="1363"/>
      <c r="B72" s="4986" t="s">
        <v>6169</v>
      </c>
      <c r="C72" s="4987"/>
      <c r="D72" s="1232">
        <f>D66+D53+D45</f>
      </c>
      <c r="E72" s="1384" t="s">
        <v>4469</v>
      </c>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row>
    <row r="73" spans="1:35" x14ac:dyDescent="0.2">
      <c r="A73" s="1363"/>
      <c r="B73" s="1220"/>
      <c r="C73" s="1220"/>
      <c r="D73" s="1220"/>
      <c r="E73" s="1244"/>
      <c r="F73" s="142"/>
      <c r="G73" s="142"/>
      <c r="H73" s="142"/>
      <c r="I73" s="142"/>
      <c r="J73" s="142"/>
      <c r="K73" s="142"/>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row>
    <row r="74" spans="1:35" x14ac:dyDescent="0.2">
      <c r="A74" s="1363"/>
      <c r="B74" s="1377" t="s">
        <v>6326</v>
      </c>
      <c r="C74" s="1297"/>
      <c r="D74" s="1298"/>
      <c r="E74" s="1244"/>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row>
    <row r="75" spans="1:35" x14ac:dyDescent="0.2">
      <c r="A75" s="1363"/>
      <c r="B75" s="1378" t="s">
        <v>4470</v>
      </c>
      <c r="C75" s="1379" t="s">
        <v>4471</v>
      </c>
      <c r="D75" s="1379" t="s">
        <v>4693</v>
      </c>
      <c r="E75" s="1244"/>
      <c r="F75" s="142"/>
      <c r="G75" s="142"/>
      <c r="H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row>
    <row r="76" spans="1:35" x14ac:dyDescent="0.2">
      <c r="A76" s="1363"/>
      <c r="B76" s="754"/>
      <c r="C76" s="1267"/>
      <c r="D76" s="724"/>
      <c r="E76" s="1293" t="str">
        <f t="shared" ref="E76:E81" si="0">IF(I76&lt;=0,"",IF(COUNTA(B76:D76)&lt;&gt;3," All details!",""))</f>
        <v/>
      </c>
      <c r="F76" s="142">
        <f t="shared" ref="F76:F82" si="1">IF(E76="",0,1)</f>
      </c>
      <c r="G76" s="142"/>
      <c r="H76" s="1380">
        <f>SUM(D53,D49)</f>
      </c>
      <c r="I76" s="142">
        <f>(D49*-1)+D53</f>
      </c>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row>
    <row r="77" spans="1:35" x14ac:dyDescent="0.2">
      <c r="A77" s="1363"/>
      <c r="B77" s="754"/>
      <c r="C77" s="1267"/>
      <c r="D77" s="724"/>
      <c r="E77" s="1293" t="str">
        <f t="shared" si="0"/>
        <v/>
      </c>
      <c r="F77" s="142">
        <f t="shared" si="1"/>
        <v>0</v>
      </c>
      <c r="G77" s="142"/>
      <c r="H77" s="142"/>
      <c r="I77" s="553">
        <f>I76-D76</f>
      </c>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row>
    <row r="78" spans="1:35" x14ac:dyDescent="0.2">
      <c r="A78" s="1363"/>
      <c r="B78" s="754"/>
      <c r="C78" s="1267"/>
      <c r="D78" s="724"/>
      <c r="E78" s="1293" t="str">
        <f t="shared" si="0"/>
        <v/>
      </c>
      <c r="F78" s="142">
        <f t="shared" si="1"/>
        <v>0</v>
      </c>
      <c r="G78" s="142"/>
      <c r="H78" s="142"/>
      <c r="I78" s="553">
        <f>I77-D77</f>
      </c>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row>
    <row r="79" spans="1:35" x14ac:dyDescent="0.2">
      <c r="A79" s="1363"/>
      <c r="B79" s="754"/>
      <c r="C79" s="1267"/>
      <c r="D79" s="724"/>
      <c r="E79" s="1293" t="str">
        <f t="shared" si="0"/>
        <v/>
      </c>
      <c r="F79" s="142">
        <f t="shared" si="1"/>
        <v>0</v>
      </c>
      <c r="G79" s="142"/>
      <c r="H79" s="142"/>
      <c r="I79" s="553">
        <f>I78-D78</f>
      </c>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row>
    <row r="80" spans="1:35" x14ac:dyDescent="0.2">
      <c r="A80" s="1363"/>
      <c r="B80" s="754"/>
      <c r="C80" s="1267"/>
      <c r="D80" s="724"/>
      <c r="E80" s="1293" t="str">
        <f t="shared" si="0"/>
        <v/>
      </c>
      <c r="F80" s="142">
        <f t="shared" si="1"/>
        <v>0</v>
      </c>
      <c r="G80" s="142"/>
      <c r="H80" s="142"/>
      <c r="I80" s="553">
        <f>I79-D79</f>
      </c>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row>
    <row r="81" spans="1:35" x14ac:dyDescent="0.2">
      <c r="A81" s="1363"/>
      <c r="B81" s="754"/>
      <c r="C81" s="1267"/>
      <c r="D81" s="724"/>
      <c r="E81" s="1293" t="str">
        <f t="shared" si="0"/>
        <v/>
      </c>
      <c r="F81" s="142">
        <f t="shared" si="1"/>
        <v>0</v>
      </c>
      <c r="G81" s="142"/>
      <c r="H81" s="142"/>
      <c r="I81" s="553">
        <f>I80-D80</f>
      </c>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row>
    <row r="82" spans="1:35" x14ac:dyDescent="0.2">
      <c r="A82" s="1449"/>
      <c r="B82" s="1293"/>
      <c r="C82" s="1272" t="s">
        <v>6940</v>
      </c>
      <c r="D82" s="1232">
        <f>SUM(D76:D81)</f>
      </c>
      <c r="E82" s="1293" t="str">
        <f>IF(SUM(D76:D81)&lt;&gt;I76," Check amounts!","")</f>
        <v/>
      </c>
      <c r="F82" s="142">
        <f t="shared" si="1"/>
        <v>0</v>
      </c>
      <c r="G82" s="142"/>
      <c r="H82" s="142"/>
      <c r="I82" s="553"/>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row>
    <row r="83" spans="1:35" x14ac:dyDescent="0.2">
      <c r="A83" s="1363"/>
      <c r="B83" s="1381" t="s">
        <v>6325</v>
      </c>
      <c r="C83" s="1382"/>
      <c r="D83" s="1293"/>
      <c r="E83" s="1293"/>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row>
    <row r="84" spans="1:35" x14ac:dyDescent="0.2">
      <c r="A84" s="1363"/>
      <c r="B84" s="1378" t="s">
        <v>4470</v>
      </c>
      <c r="C84" s="1379" t="s">
        <v>4471</v>
      </c>
      <c r="D84" s="1293"/>
      <c r="E84" s="1293"/>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row>
    <row r="85" spans="1:35" x14ac:dyDescent="0.2">
      <c r="A85" s="1363"/>
      <c r="B85" s="1295"/>
      <c r="C85" s="1296"/>
      <c r="D85" s="1293" t="str">
        <f>IF(H85=0,"",IF(COUNTA(B85:C85)&lt;&gt;2," All details!",""))</f>
        <v/>
      </c>
      <c r="E85" s="1244"/>
      <c r="F85" s="142">
        <f>IF(D85="",0,1)</f>
      </c>
      <c r="G85" s="142"/>
      <c r="H85" s="553">
        <f>D66</f>
      </c>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row>
    <row r="86" spans="1:35" x14ac:dyDescent="0.2">
      <c r="A86" s="1363"/>
      <c r="B86" s="754"/>
      <c r="C86" s="1267"/>
      <c r="D86" s="1293" t="str">
        <f>IF(COUNTA(B86:C86)=0,"",IF(COUNTA(B86:C86)&lt;&gt;2," All details!",""))</f>
        <v/>
      </c>
      <c r="E86" s="1244"/>
      <c r="F86" s="142">
        <f>IF(D86="",0,1)</f>
      </c>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row>
    <row r="87" spans="1:35" x14ac:dyDescent="0.2">
      <c r="A87" s="1363"/>
      <c r="B87" s="754"/>
      <c r="C87" s="1267"/>
      <c r="D87" s="1293" t="str">
        <f>IF(COUNTA(B87:C87)=0,"",IF(COUNTA(B87:C87)&lt;&gt;2," All details!",""))</f>
        <v/>
      </c>
      <c r="E87" s="1244"/>
      <c r="F87" s="142">
        <f>IF(D87="",0,1)</f>
      </c>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row>
    <row r="88" spans="1:35" x14ac:dyDescent="0.2">
      <c r="A88" s="1363"/>
      <c r="B88" s="754"/>
      <c r="C88" s="1267"/>
      <c r="D88" s="1293" t="str">
        <f>IF(COUNTA(B88:C88)=0,"",IF(COUNTA(B88:C88)&lt;&gt;2," All details!",""))</f>
        <v/>
      </c>
      <c r="E88" s="1244"/>
      <c r="F88" s="142">
        <f>IF(D88="",0,1)</f>
      </c>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row>
    <row r="89" spans="1:35" x14ac:dyDescent="0.2">
      <c r="A89" s="1363"/>
      <c r="B89" s="1220"/>
      <c r="C89" s="1220"/>
      <c r="D89" s="1220"/>
      <c r="E89" s="1244"/>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row>
    <row r="90" spans="1:35" s="46" customFormat="1" x14ac:dyDescent="0.2">
      <c r="A90" s="1363"/>
      <c r="B90" s="1370" t="s">
        <v>5381</v>
      </c>
      <c r="C90" s="1225"/>
      <c r="D90" s="1293" t="str">
        <f>IF(L90=0,"",IF(C90="",re,""))</f>
        <v/>
      </c>
      <c r="E90" s="1239"/>
      <c r="F90" s="142">
        <f>IF(D90="",0,1)</f>
      </c>
      <c r="G90" s="591"/>
      <c r="H90" s="591"/>
      <c r="I90" s="591"/>
      <c r="J90" s="591"/>
      <c r="K90" s="591"/>
      <c r="L90" s="226">
        <f>D53+L4</f>
      </c>
      <c r="M90" s="591"/>
      <c r="N90" s="591"/>
      <c r="O90" s="591"/>
      <c r="P90" s="591"/>
      <c r="Q90" s="591"/>
      <c r="R90" s="591"/>
      <c r="S90" s="591"/>
      <c r="T90" s="591"/>
      <c r="U90" s="591"/>
      <c r="V90" s="591"/>
      <c r="W90" s="591"/>
      <c r="X90" s="591"/>
      <c r="Y90" s="591"/>
      <c r="Z90" s="591"/>
      <c r="AA90" s="591"/>
      <c r="AB90" s="591"/>
      <c r="AC90" s="591"/>
      <c r="AD90" s="591"/>
      <c r="AE90" s="591"/>
      <c r="AF90" s="591"/>
      <c r="AG90" s="591"/>
      <c r="AH90" s="591"/>
      <c r="AI90" s="591"/>
    </row>
    <row r="91" spans="1:35" x14ac:dyDescent="0.2">
      <c r="A91" s="1239" t="str">
        <f>_xlfn.SINGLE(MTCA)</f>
      </c>
      <c r="B91" s="1220"/>
      <c r="C91" s="1259" t="str">
        <f>ver</f>
        <v>TA2_e-CO_2025_Ver 1.1</v>
      </c>
      <c r="D91" s="1220"/>
      <c r="E91" s="1239" t="s">
        <v>2708</v>
      </c>
      <c r="F91" s="142">
        <f>SUM(F1:F90)</f>
      </c>
      <c r="G91" s="142"/>
      <c r="H91" s="142"/>
      <c r="I91" s="142"/>
      <c r="J91" s="553">
        <f>D68+D70+D72+L1</f>
      </c>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row>
    <row r="92" spans="1:35" ht="15" x14ac:dyDescent="0.2">
      <c r="A92" s="1363"/>
      <c r="B92" s="1373" t="s">
        <v>365</v>
      </c>
      <c r="C92" s="1220"/>
      <c r="D92" s="1220"/>
      <c r="E92" s="1244"/>
      <c r="F92" s="1383">
        <f>IF(J91=0,0,IF(F91&lt;&gt;0,100,IF(C90=n,100,1)))</f>
      </c>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row>
  </sheetData>
  <sheetProtection algorithmName="SHA-512" hashValue="Fch2v0VBxsYSQETeGgjqYdZBmE7atCz8KtAR8lseCjmxDROMcQgzyvnVIabaUqN/Rbr4pRg0ddsG7wGMsGzkow==" saltValue="NJno+QuyTNKuEwsBXL5J1A==" spinCount="100000" sheet="1" objects="1" scenarios="1"/>
  <customSheetViews>
    <customSheetView guid="{99B5278F-6EA9-4B1A-8623-27A4DF4AD5E4}" fitToPage="1" printArea="1" hiddenRows="1" topLeftCell="A57">
      <selection activeCell="D76" sqref="D76"/>
      <pageMargins left="0.19685039370078741" right="0.15748031496062992" top="0.27559055118110237" bottom="0.21" header="0.15748031496062992" footer="0.17"/>
      <pageSetup paperSize="9" scale="95" orientation="portrait" horizontalDpi="4294967293" r:id="rId1"/>
    </customSheetView>
  </customSheetViews>
  <mergeCells count="24">
    <mergeCell ref="B72:C72"/>
    <mergeCell ref="B68:C68"/>
    <mergeCell ref="B58:B59"/>
    <mergeCell ref="B60:B61"/>
    <mergeCell ref="B66:C66"/>
    <mergeCell ref="B70:C70"/>
    <mergeCell ref="B62:B63"/>
    <mergeCell ref="A55:A57"/>
    <mergeCell ref="B51:C51"/>
    <mergeCell ref="B55:C57"/>
    <mergeCell ref="B30:C30"/>
    <mergeCell ref="B53:C53"/>
    <mergeCell ref="B49:C49"/>
    <mergeCell ref="B43:C43"/>
    <mergeCell ref="B45:C45"/>
    <mergeCell ref="B47:C47"/>
    <mergeCell ref="B23:C25"/>
    <mergeCell ref="B15:C15"/>
    <mergeCell ref="B17:C18"/>
    <mergeCell ref="B4:D5"/>
    <mergeCell ref="B7:C7"/>
    <mergeCell ref="B9:C9"/>
    <mergeCell ref="B11:C13"/>
    <mergeCell ref="B21:C21"/>
  </mergeCells>
  <phoneticPr fontId="126" type="noConversion"/>
  <conditionalFormatting sqref="A3:A41 A43:A45 B44:D44 A47 A49:A51 B50:D50 A53 A55 A58:A64 A66:A68 B67:E67 A70 A72:A90 B73:D73 E73:E92 C76:C81 B76:B82 A82:B82 D83:D92 B85:C89 B91 C91:C92 A92">
    <cfRule type="expression" dxfId="567" priority="6" stopIfTrue="1">
      <formula>#REF!=0</formula>
    </cfRule>
  </conditionalFormatting>
  <conditionalFormatting sqref="D45">
    <cfRule type="expression" dxfId="566" priority="3" stopIfTrue="1">
      <formula>$H$45=1</formula>
    </cfRule>
  </conditionalFormatting>
  <conditionalFormatting sqref="D53">
    <cfRule type="expression" dxfId="565" priority="2" stopIfTrue="1">
      <formula>$H$53=1</formula>
    </cfRule>
  </conditionalFormatting>
  <conditionalFormatting sqref="D66">
    <cfRule type="expression" dxfId="564" priority="1" stopIfTrue="1">
      <formula>$K$66=1</formula>
    </cfRule>
  </conditionalFormatting>
  <dataValidations count="17">
    <dataValidation type="whole" allowBlank="1" showInputMessage="1" showErrorMessage="1" errorTitle="Current year allocation" error="Please enter a positive value that does not exceed total amount that may be allocated for the year!_x000a_OR_x000a_Option exercised - amount can only be allocated to a related company!" sqref="D45" xr:uid="{00000000-0002-0000-3100-000000000000}">
      <formula1>0</formula1>
      <formula2>M45</formula2>
    </dataValidation>
    <dataValidation type="whole" allowBlank="1" showInputMessage="1" showErrorMessage="1" errorTitle="Amount of profit" error="Please enter a positive value! Amount in B cannot be more than A!" sqref="C61" xr:uid="{00000000-0002-0000-3100-000001000000}">
      <formula1>0</formula1>
      <formula2>C59</formula2>
    </dataValidation>
    <dataValidation type="whole" allowBlank="1" showInputMessage="1" showErrorMessage="1" errorTitle="Current year allocation" error="Please enter a positive value that does not exceed total amount that may be allocated for the year!_x000a_OR_x000a_Option exercised on Page 2!" sqref="D66" xr:uid="{00000000-0002-0000-3100-000002000000}">
      <formula1>0</formula1>
      <formula2>L66</formula2>
    </dataValidation>
    <dataValidation type="whole" allowBlank="1" showInputMessage="1" showErrorMessage="1" errorTitle="Allocated to IPA of Related Comp" error="Please enter a negative value that does not exceed the unallocated amount!" sqref="D49" xr:uid="{00000000-0002-0000-3100-000003000000}">
      <formula1>M49</formula1>
      <formula2>0</formula2>
    </dataValidation>
    <dataValidation type="whole" operator="greaterThanOrEqual" allowBlank="1" showInputMessage="1" showErrorMessage="1" errorTitle="Current year allocation" error="Please enter a positive value!" sqref="D51 D68 D47" xr:uid="{00000000-0002-0000-3100-000004000000}">
      <formula1>0</formula1>
    </dataValidation>
    <dataValidation type="list" allowBlank="1" showInputMessage="1" showErrorMessage="1" sqref="C90" xr:uid="{00000000-0002-0000-3100-000005000000}">
      <formula1>yn</formula1>
    </dataValidation>
    <dataValidation type="whole" operator="greaterThanOrEqual" allowBlank="1" showInputMessage="1" showErrorMessage="1" errorTitle="Insurance Premiums" error="Please enter a positive value!" sqref="D15" xr:uid="{00000000-0002-0000-3100-000006000000}">
      <formula1>0</formula1>
    </dataValidation>
    <dataValidation type="whole" operator="greaterThanOrEqual" allowBlank="1" showInputMessage="1" showErrorMessage="1" errorTitle="Interest, fees, etc." error="Please enter a positive value!" sqref="D13" xr:uid="{00000000-0002-0000-3100-000007000000}">
      <formula1>0</formula1>
    </dataValidation>
    <dataValidation type="whole" operator="greaterThanOrEqual" allowBlank="1" showInputMessage="1" showErrorMessage="1" errorTitle="Amount Brought forward" error="Please enter a positive value!" sqref="D7" xr:uid="{00000000-0002-0000-3100-000008000000}">
      <formula1>0</formula1>
    </dataValidation>
    <dataValidation type="whole" operator="greaterThanOrEqual" allowBlank="1" showInputMessage="1" showErrorMessage="1" errorTitle="Rate" error="Please enter a positive value!  " promptTitle="Rate" prompt="€250 or equivalent according to reporting currency" sqref="C27 C20" xr:uid="{00000000-0002-0000-3100-000009000000}">
      <formula1>0</formula1>
    </dataValidation>
    <dataValidation type="whole" operator="greaterThanOrEqual" allowBlank="1" showInputMessage="1" showErrorMessage="1" errorTitle="Area" error="Please enter a positive value!" sqref="C26 C19" xr:uid="{00000000-0002-0000-3100-00000A000000}">
      <formula1>0</formula1>
    </dataValidation>
    <dataValidation type="whole" operator="greaterThanOrEqual" allowBlank="1" showInputMessage="1" showErrorMessage="1" errorTitle="Amount of profit" error="Please enter a positive value!" sqref="C59 C63" xr:uid="{00000000-0002-0000-3100-00000B000000}">
      <formula1>0</formula1>
    </dataValidation>
    <dataValidation type="whole" operator="greaterThanOrEqual" allowBlank="1" showInputMessage="1" showErrorMessage="1" errorTitle="Consideration paid" error="Please enter a positive value!" sqref="C29" xr:uid="{00000000-0002-0000-3100-00000C000000}">
      <formula1>0</formula1>
    </dataValidation>
    <dataValidation type="textLength" operator="greaterThan" allowBlank="1" showInputMessage="1" showErrorMessage="1" errorTitle="Related Company Name" error="Please enter the correct name!" sqref="B85:B88 B76:B81" xr:uid="{00000000-0002-0000-3100-00000D000000}">
      <formula1>8</formula1>
    </dataValidation>
    <dataValidation type="textLength" operator="greaterThan" allowBlank="1" showInputMessage="1" showErrorMessage="1" errorTitle="Tax / ROC number" error="Please enter the correct number!" sqref="C85:C88 C76:C81 C83" xr:uid="{00000000-0002-0000-3100-00000E000000}">
      <formula1>4</formula1>
    </dataValidation>
    <dataValidation type="whole" allowBlank="1" showInputMessage="1" showErrorMessage="1" errorTitle="Amount FROM a Related Comp" error="Please enter a positive value that does not exceed income from the MTA or FIA!_x000a_OR _x000a_Option exercised on page 2! _x000a_OR_x000a_Company made allocations to a related company OR has unallocated amounts!" sqref="D53" xr:uid="{00000000-0002-0000-3100-00000F000000}">
      <formula1>0</formula1>
      <formula2>M53</formula2>
    </dataValidation>
    <dataValidation type="whole" allowBlank="1" showInputMessage="1" showErrorMessage="1" errorTitle="Amounts To/From Related Coys" error="Please enter a positive value! Cannot exceed amounts To or From related companies (1 and 2 above)!" sqref="D76:D81" xr:uid="{00000000-0002-0000-3100-000010000000}">
      <formula1>0</formula1>
      <formula2>I76</formula2>
    </dataValidation>
  </dataValidations>
  <hyperlinks>
    <hyperlink ref="B92" location="Index!A69" display="Back to Index" xr:uid="{00000000-0004-0000-3100-000000000000}"/>
    <hyperlink ref="E72" location="TRA62_IPA!A1" display="TRA 62" xr:uid="{00000000-0004-0000-3100-000001000000}"/>
  </hyperlinks>
  <pageMargins left="0.19685039370078741" right="0.15748031496062992" top="0.27559055118110237" bottom="1.1023622047244095" header="0.15748031496062992" footer="0.15748031496062992"/>
  <pageSetup paperSize="9" scale="95" orientation="portrait" blackAndWhite="1" r:id="rId2"/>
  <headerFooter>
    <oddFooter>&amp;LName&amp;CSignature&amp;RDate</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9"/>
  <dimension ref="A1:BP100"/>
  <sheetViews>
    <sheetView topLeftCell="A14" zoomScale="70" zoomScaleNormal="70" workbookViewId="0">
      <selection activeCell="B58" sqref="B58:G58"/>
    </sheetView>
  </sheetViews>
  <sheetFormatPr defaultColWidth="0" defaultRowHeight="0" customHeight="1" zeroHeight="1" x14ac:dyDescent="0.2"/>
  <cols>
    <col min="1" max="2" width="0.7109375" style="28" customWidth="1"/>
    <col min="3" max="6" width="9.7109375" style="28" customWidth="1"/>
    <col min="7" max="7" width="13.7109375" style="28" customWidth="1"/>
    <col min="8" max="8" width="6.42578125" style="28" customWidth="1"/>
    <col min="9" max="9" width="7.42578125" style="28" customWidth="1"/>
    <col min="10" max="10" width="6.5703125" style="28" customWidth="1"/>
    <col min="11" max="11" width="3.7109375" style="28" customWidth="1"/>
    <col min="12" max="12" width="6.28515625" style="28" customWidth="1"/>
    <col min="13" max="16" width="10.7109375" style="28" customWidth="1"/>
    <col min="17" max="17" width="23" style="28" customWidth="1"/>
    <col min="18" max="18" width="4.5703125" style="28" hidden="1" customWidth="1"/>
    <col min="19" max="68" width="10.28515625" style="28" hidden="1" customWidth="1"/>
    <col min="69" max="16384" width="9.28515625" style="142" hidden="1"/>
  </cols>
  <sheetData>
    <row r="1" spans="1:53" ht="24.75" customHeight="1" x14ac:dyDescent="0.2">
      <c r="A1" s="2"/>
      <c r="B1" s="5001" t="str">
        <f>_ref1</f>
      </c>
      <c r="C1" s="5001"/>
      <c r="D1" s="5001"/>
      <c r="E1" s="5001"/>
      <c r="F1" s="5001"/>
      <c r="G1" s="5001"/>
      <c r="H1" s="5001"/>
      <c r="I1" s="5001"/>
      <c r="J1" s="5001"/>
      <c r="K1" s="5001"/>
      <c r="L1" s="5001"/>
      <c r="M1" s="5001"/>
      <c r="N1" s="5001"/>
      <c r="O1" s="5001"/>
      <c r="P1" s="2220" t="str">
        <f>_YA1</f>
      </c>
      <c r="Q1" s="869"/>
      <c r="R1" s="209"/>
      <c r="S1" s="28" t="s">
        <v>1484</v>
      </c>
      <c r="Z1" s="28">
        <f>'p2'!P55</f>
      </c>
      <c r="AA1" s="2082">
        <f>COUNT(M15:O19,M29:O36,M37,O37,M38:O47,N48)</f>
      </c>
    </row>
    <row r="2" spans="1:53" ht="15" customHeight="1" x14ac:dyDescent="0.25">
      <c r="A2" s="1175"/>
      <c r="B2" s="5002" t="str">
        <f>IF(AND(V17=0,W15&gt;0,W23&gt;0),W17,IF(AND(V27=0,U27&lt;&gt;0),W27,""))</f>
        <v/>
      </c>
      <c r="C2" s="5002"/>
      <c r="D2" s="5002"/>
      <c r="E2" s="5002"/>
      <c r="F2" s="5002"/>
      <c r="G2" s="5002"/>
      <c r="H2" s="5002"/>
      <c r="I2" s="5002"/>
      <c r="J2" s="5002"/>
      <c r="K2" s="5002"/>
      <c r="L2" s="5002"/>
      <c r="M2" s="5002"/>
      <c r="N2" s="5002"/>
      <c r="O2" s="5002"/>
      <c r="P2" s="5002"/>
      <c r="Q2" s="117"/>
      <c r="R2" s="209">
        <f>IF(B2="",0,1)</f>
      </c>
      <c r="AB2" s="870"/>
      <c r="AC2" s="870"/>
      <c r="AD2" s="870"/>
      <c r="AE2" s="870"/>
      <c r="AF2" s="870"/>
      <c r="AG2" s="870"/>
      <c r="AH2" s="870"/>
      <c r="AI2" s="870"/>
      <c r="AJ2" s="870"/>
      <c r="AK2" s="870"/>
      <c r="AL2" s="870"/>
      <c r="AM2" s="870"/>
      <c r="AN2" s="870"/>
      <c r="AO2" s="870"/>
      <c r="AP2" s="870"/>
      <c r="AQ2" s="870"/>
      <c r="AR2" s="870"/>
      <c r="AS2" s="870"/>
      <c r="AT2" s="870"/>
      <c r="AU2" s="870"/>
      <c r="AV2" s="870"/>
      <c r="AW2" s="870"/>
      <c r="AX2" s="870"/>
      <c r="AY2" s="870"/>
      <c r="AZ2" s="870"/>
      <c r="BA2" s="870"/>
    </row>
    <row r="3" spans="1:53" ht="15" customHeight="1" x14ac:dyDescent="0.25">
      <c r="A3" s="1175"/>
      <c r="B3" s="871" t="s">
        <v>6963</v>
      </c>
      <c r="C3" s="872"/>
      <c r="D3" s="872"/>
      <c r="E3" s="872"/>
      <c r="F3" s="872"/>
      <c r="G3" s="872"/>
      <c r="H3" s="872"/>
      <c r="I3" s="872"/>
      <c r="J3" s="872"/>
      <c r="K3" s="872"/>
      <c r="L3" s="872"/>
      <c r="M3" s="872"/>
      <c r="N3" s="872"/>
      <c r="O3" s="872"/>
      <c r="P3" s="873"/>
      <c r="Q3" s="117"/>
      <c r="R3" s="209"/>
      <c r="AB3" s="870"/>
      <c r="AC3" s="870"/>
      <c r="AD3" s="870"/>
      <c r="AE3" s="870"/>
      <c r="AF3" s="870"/>
      <c r="AG3" s="870"/>
      <c r="AH3" s="870"/>
      <c r="AI3" s="870"/>
      <c r="AJ3" s="870"/>
      <c r="AK3" s="870"/>
      <c r="AL3" s="870"/>
      <c r="AM3" s="870"/>
      <c r="AN3" s="870"/>
      <c r="AO3" s="870"/>
      <c r="AP3" s="870"/>
      <c r="AQ3" s="870"/>
      <c r="AR3" s="870"/>
      <c r="AS3" s="870"/>
      <c r="AT3" s="870"/>
      <c r="AU3" s="870"/>
      <c r="AV3" s="870"/>
      <c r="AW3" s="870"/>
      <c r="AX3" s="870"/>
      <c r="AY3" s="870"/>
      <c r="AZ3" s="870"/>
      <c r="BA3" s="870"/>
    </row>
    <row r="4" spans="1:53" ht="4.5" customHeight="1" x14ac:dyDescent="0.2">
      <c r="A4" s="1175"/>
      <c r="B4" s="224"/>
      <c r="C4" s="224"/>
      <c r="D4" s="224"/>
      <c r="E4" s="224"/>
      <c r="F4" s="224"/>
      <c r="G4" s="224"/>
      <c r="H4" s="224"/>
      <c r="I4" s="224"/>
      <c r="J4" s="224"/>
      <c r="K4" s="224"/>
      <c r="L4" s="224"/>
      <c r="M4" s="224"/>
      <c r="N4" s="224"/>
      <c r="O4" s="224"/>
      <c r="P4" s="224"/>
      <c r="Q4" s="117"/>
      <c r="R4" s="209"/>
    </row>
    <row r="5" spans="1:53" ht="15" customHeight="1" x14ac:dyDescent="0.2">
      <c r="A5" s="1175"/>
      <c r="B5" s="4993" t="s">
        <v>1366</v>
      </c>
      <c r="C5" s="4994"/>
      <c r="D5" s="4994"/>
      <c r="E5" s="4994"/>
      <c r="F5" s="4994"/>
      <c r="G5" s="4994"/>
      <c r="H5" s="4994"/>
      <c r="I5" s="4994"/>
      <c r="J5" s="4994"/>
      <c r="K5" s="4994"/>
      <c r="L5" s="4995"/>
      <c r="M5" s="874" t="s">
        <v>4812</v>
      </c>
      <c r="N5" s="4727" t="s">
        <v>4813</v>
      </c>
      <c r="O5" s="4729"/>
      <c r="P5" s="874" t="s">
        <v>4814</v>
      </c>
      <c r="Q5" s="117"/>
      <c r="R5" s="209"/>
    </row>
    <row r="6" spans="1:53" ht="27" customHeight="1" x14ac:dyDescent="0.2">
      <c r="A6" s="17"/>
      <c r="B6" s="4996"/>
      <c r="C6" s="4997"/>
      <c r="D6" s="4997"/>
      <c r="E6" s="4997"/>
      <c r="F6" s="4997"/>
      <c r="G6" s="4997"/>
      <c r="H6" s="4997"/>
      <c r="I6" s="4997"/>
      <c r="J6" s="4997"/>
      <c r="K6" s="4997"/>
      <c r="L6" s="4998"/>
      <c r="M6" s="875" t="s">
        <v>4815</v>
      </c>
      <c r="N6" s="258" t="s">
        <v>4243</v>
      </c>
      <c r="O6" s="269" t="s">
        <v>226</v>
      </c>
      <c r="P6" s="875" t="s">
        <v>4815</v>
      </c>
      <c r="Q6" s="1456" t="str">
        <f>Q27</f>
        <v/>
      </c>
      <c r="R6" s="209"/>
    </row>
    <row r="7" spans="1:53" ht="12" customHeight="1" x14ac:dyDescent="0.2">
      <c r="A7" s="17"/>
      <c r="B7" s="16"/>
      <c r="C7" s="17"/>
      <c r="D7" s="17"/>
      <c r="E7" s="17"/>
      <c r="F7" s="17"/>
      <c r="G7" s="17"/>
      <c r="H7" s="17"/>
      <c r="I7" s="17"/>
      <c r="J7" s="17"/>
      <c r="K7" s="17"/>
      <c r="L7" s="17"/>
      <c r="M7" s="17"/>
      <c r="N7" s="17"/>
      <c r="O7" s="17"/>
      <c r="P7" s="144"/>
      <c r="Q7" s="117"/>
      <c r="R7" s="209"/>
    </row>
    <row r="8" spans="1:53" ht="15" hidden="1" customHeight="1" x14ac:dyDescent="0.2">
      <c r="A8" s="17"/>
      <c r="B8" s="882"/>
      <c r="C8" s="211"/>
      <c r="D8" s="211"/>
      <c r="E8" s="211"/>
      <c r="F8" s="211"/>
      <c r="G8" s="211"/>
      <c r="H8" s="211"/>
      <c r="I8" s="211"/>
      <c r="J8" s="211"/>
      <c r="K8" s="211"/>
      <c r="L8" s="211"/>
      <c r="M8" s="882"/>
      <c r="N8" s="211"/>
      <c r="O8" s="211"/>
      <c r="P8" s="974"/>
      <c r="Q8" s="117"/>
      <c r="R8" s="209"/>
    </row>
    <row r="9" spans="1:53" ht="15" customHeight="1" x14ac:dyDescent="0.2">
      <c r="A9" s="17"/>
      <c r="B9" s="882"/>
      <c r="C9" s="4990" t="s">
        <v>7816</v>
      </c>
      <c r="D9" s="4990"/>
      <c r="E9" s="4990"/>
      <c r="F9" s="4990"/>
      <c r="G9" s="4990"/>
      <c r="H9" s="4990"/>
      <c r="I9" s="4990"/>
      <c r="J9" s="4990"/>
      <c r="K9" s="4990"/>
      <c r="L9" s="4991"/>
      <c r="M9" s="878"/>
      <c r="N9" s="878"/>
      <c r="O9" s="879"/>
      <c r="P9" s="880">
        <f t="shared" ref="P9:P14" si="0">(M9+N9)+O9</f>
      </c>
      <c r="Q9" s="881" t="str">
        <f t="shared" ref="Q9:Q17" si="1">IF(T9=0,"",IF(T9&lt;&gt;3,reo,IF(P9&lt;0,neg,"")))</f>
        <v/>
      </c>
      <c r="R9" s="209">
        <f t="shared" ref="R9:R20" si="2">IF(Q9=reo,1,0)</f>
      </c>
      <c r="S9" s="32">
        <f t="shared" ref="S9:S14" si="3">(M9+N9)*-1</f>
      </c>
      <c r="T9" s="28">
        <f t="shared" ref="T9:T14" si="4">COUNT(M9:O9)</f>
      </c>
    </row>
    <row r="10" spans="1:53" ht="15" customHeight="1" x14ac:dyDescent="0.2">
      <c r="A10" s="17"/>
      <c r="B10" s="882"/>
      <c r="C10" s="4990" t="s">
        <v>7807</v>
      </c>
      <c r="D10" s="4990"/>
      <c r="E10" s="4990"/>
      <c r="F10" s="4990"/>
      <c r="G10" s="4990"/>
      <c r="H10" s="4990"/>
      <c r="I10" s="4990"/>
      <c r="J10" s="4990"/>
      <c r="K10" s="4990"/>
      <c r="L10" s="4991"/>
      <c r="M10" s="878"/>
      <c r="N10" s="878"/>
      <c r="O10" s="879"/>
      <c r="P10" s="880">
        <f t="shared" si="0"/>
        <v>0</v>
      </c>
      <c r="Q10" s="881" t="str">
        <f t="shared" si="1"/>
        <v/>
      </c>
      <c r="R10" s="209">
        <f t="shared" si="2"/>
        <v>0</v>
      </c>
      <c r="S10" s="32">
        <f t="shared" si="3"/>
        <v>0</v>
      </c>
      <c r="T10" s="28">
        <f t="shared" si="4"/>
        <v>0</v>
      </c>
    </row>
    <row r="11" spans="1:53" ht="15" customHeight="1" x14ac:dyDescent="0.2">
      <c r="A11" s="17"/>
      <c r="B11" s="882"/>
      <c r="C11" s="4990" t="s">
        <v>7808</v>
      </c>
      <c r="D11" s="4990"/>
      <c r="E11" s="4990"/>
      <c r="F11" s="4990"/>
      <c r="G11" s="4990"/>
      <c r="H11" s="4990"/>
      <c r="I11" s="4990"/>
      <c r="J11" s="4990"/>
      <c r="K11" s="4990"/>
      <c r="L11" s="4991"/>
      <c r="M11" s="878"/>
      <c r="N11" s="878"/>
      <c r="O11" s="879"/>
      <c r="P11" s="880">
        <f t="shared" si="0"/>
        <v>0</v>
      </c>
      <c r="Q11" s="881" t="str">
        <f t="shared" si="1"/>
        <v/>
      </c>
      <c r="R11" s="209">
        <f t="shared" si="2"/>
        <v>0</v>
      </c>
      <c r="S11" s="32">
        <f t="shared" si="3"/>
        <v>0</v>
      </c>
      <c r="T11" s="28">
        <f t="shared" si="4"/>
        <v>0</v>
      </c>
    </row>
    <row r="12" spans="1:53" ht="15" customHeight="1" x14ac:dyDescent="0.2">
      <c r="A12" s="17"/>
      <c r="B12" s="882"/>
      <c r="C12" s="4990" t="s">
        <v>7809</v>
      </c>
      <c r="D12" s="4990"/>
      <c r="E12" s="4990"/>
      <c r="F12" s="4990"/>
      <c r="G12" s="4990"/>
      <c r="H12" s="4990"/>
      <c r="I12" s="4990"/>
      <c r="J12" s="4990"/>
      <c r="K12" s="4990"/>
      <c r="L12" s="4991"/>
      <c r="M12" s="878"/>
      <c r="N12" s="878"/>
      <c r="O12" s="879"/>
      <c r="P12" s="880">
        <f t="shared" si="0"/>
        <v>0</v>
      </c>
      <c r="Q12" s="881" t="str">
        <f t="shared" si="1"/>
        <v/>
      </c>
      <c r="R12" s="209">
        <f t="shared" si="2"/>
        <v>0</v>
      </c>
      <c r="S12" s="32">
        <f t="shared" si="3"/>
        <v>0</v>
      </c>
      <c r="T12" s="28">
        <f t="shared" si="4"/>
        <v>0</v>
      </c>
    </row>
    <row r="13" spans="1:53" ht="15" customHeight="1" x14ac:dyDescent="0.2">
      <c r="A13" s="17"/>
      <c r="B13" s="882"/>
      <c r="C13" s="4990" t="s">
        <v>7810</v>
      </c>
      <c r="D13" s="4990"/>
      <c r="E13" s="4990"/>
      <c r="F13" s="4990"/>
      <c r="G13" s="4990"/>
      <c r="H13" s="4990"/>
      <c r="I13" s="4990"/>
      <c r="J13" s="4990"/>
      <c r="K13" s="4990"/>
      <c r="L13" s="4991"/>
      <c r="M13" s="878"/>
      <c r="N13" s="878"/>
      <c r="O13" s="879"/>
      <c r="P13" s="880">
        <f t="shared" si="0"/>
        <v>0</v>
      </c>
      <c r="Q13" s="881" t="str">
        <f t="shared" si="1"/>
        <v/>
      </c>
      <c r="R13" s="209">
        <f t="shared" si="2"/>
        <v>0</v>
      </c>
      <c r="S13" s="32">
        <f t="shared" si="3"/>
        <v>0</v>
      </c>
      <c r="T13" s="28">
        <f t="shared" si="4"/>
        <v>0</v>
      </c>
    </row>
    <row r="14" spans="1:53" ht="15" customHeight="1" x14ac:dyDescent="0.2">
      <c r="A14" s="17"/>
      <c r="B14" s="882"/>
      <c r="C14" s="4990" t="s">
        <v>7827</v>
      </c>
      <c r="D14" s="4990"/>
      <c r="E14" s="4990"/>
      <c r="F14" s="4990"/>
      <c r="G14" s="4990"/>
      <c r="H14" s="4990"/>
      <c r="I14" s="4990"/>
      <c r="J14" s="4990"/>
      <c r="K14" s="4990"/>
      <c r="L14" s="4991"/>
      <c r="M14" s="878"/>
      <c r="N14" s="878"/>
      <c r="O14" s="879"/>
      <c r="P14" s="880">
        <f t="shared" si="0"/>
        <v>0</v>
      </c>
      <c r="Q14" s="881" t="str">
        <f t="shared" si="1"/>
        <v/>
      </c>
      <c r="R14" s="209">
        <f t="shared" si="2"/>
        <v>0</v>
      </c>
      <c r="S14" s="32">
        <f t="shared" si="3"/>
        <v>0</v>
      </c>
      <c r="T14" s="28">
        <f t="shared" si="4"/>
        <v>0</v>
      </c>
    </row>
    <row r="15" spans="1:53" ht="15" customHeight="1" x14ac:dyDescent="0.2">
      <c r="A15" s="17"/>
      <c r="B15" s="877"/>
      <c r="C15" s="4990" t="s">
        <v>7828</v>
      </c>
      <c r="D15" s="4990"/>
      <c r="E15" s="4990"/>
      <c r="F15" s="4990"/>
      <c r="G15" s="4990"/>
      <c r="H15" s="4990"/>
      <c r="I15" s="4990"/>
      <c r="J15" s="4990"/>
      <c r="K15" s="4990"/>
      <c r="L15" s="4991"/>
      <c r="M15" s="878"/>
      <c r="N15" s="878"/>
      <c r="O15" s="879"/>
      <c r="P15" s="880">
        <f t="shared" ref="P15:P20" si="5">(M15+N15)+O15</f>
      </c>
      <c r="Q15" s="881" t="str">
        <f t="shared" si="1"/>
        <v/>
      </c>
      <c r="R15" s="209">
        <f t="shared" si="2"/>
        <v>0</v>
      </c>
      <c r="S15" s="32">
        <f t="shared" ref="S15:S20" si="6">(M15+N15)*-1</f>
      </c>
      <c r="T15" s="28">
        <f t="shared" ref="T15:T20" si="7">COUNT(M15:O15)</f>
      </c>
      <c r="W15" s="30">
        <f>COUNT(M9:O20)</f>
      </c>
      <c r="BA15" s="28">
        <f>IF(Q15=neg,1,0)</f>
      </c>
    </row>
    <row r="16" spans="1:53" ht="15" customHeight="1" x14ac:dyDescent="0.2">
      <c r="A16" s="17"/>
      <c r="B16" s="877"/>
      <c r="C16" s="5005" t="s">
        <v>7829</v>
      </c>
      <c r="D16" s="5005"/>
      <c r="E16" s="5005"/>
      <c r="F16" s="5005"/>
      <c r="G16" s="5005"/>
      <c r="H16" s="5005"/>
      <c r="I16" s="5005"/>
      <c r="J16" s="5005"/>
      <c r="K16" s="5005"/>
      <c r="L16" s="5006"/>
      <c r="M16" s="878"/>
      <c r="N16" s="878"/>
      <c r="O16" s="879"/>
      <c r="P16" s="880">
        <f t="shared" si="5"/>
        <v>0</v>
      </c>
      <c r="Q16" s="881" t="str">
        <f t="shared" si="1"/>
        <v/>
      </c>
      <c r="R16" s="209">
        <f t="shared" si="2"/>
        <v>0</v>
      </c>
      <c r="S16" s="32">
        <f t="shared" si="6"/>
        <v>0</v>
      </c>
      <c r="T16" s="28">
        <f t="shared" si="7"/>
        <v>0</v>
      </c>
      <c r="BA16" s="28">
        <f>IF(Q16=neg,1,0)</f>
      </c>
    </row>
    <row r="17" spans="1:53" ht="15" customHeight="1" x14ac:dyDescent="0.2">
      <c r="A17" s="17"/>
      <c r="B17" s="877"/>
      <c r="C17" s="5005" t="s">
        <v>7811</v>
      </c>
      <c r="D17" s="5005"/>
      <c r="E17" s="5005"/>
      <c r="F17" s="5005"/>
      <c r="G17" s="5005"/>
      <c r="H17" s="5005"/>
      <c r="I17" s="5005"/>
      <c r="J17" s="5005"/>
      <c r="K17" s="5005"/>
      <c r="L17" s="5006"/>
      <c r="M17" s="878"/>
      <c r="N17" s="878"/>
      <c r="O17" s="879"/>
      <c r="P17" s="880">
        <f t="shared" si="5"/>
        <v>0</v>
      </c>
      <c r="Q17" s="881" t="str">
        <f t="shared" si="1"/>
        <v/>
      </c>
      <c r="R17" s="209">
        <f t="shared" si="2"/>
        <v>0</v>
      </c>
      <c r="S17" s="32">
        <f t="shared" si="6"/>
        <v>0</v>
      </c>
      <c r="T17" s="28">
        <f t="shared" si="7"/>
        <v>0</v>
      </c>
      <c r="V17" s="28">
        <f>'p2'!O10</f>
      </c>
      <c r="W17" s="28" t="s">
        <v>1039</v>
      </c>
      <c r="BA17" s="28">
        <f>IF(Q17=neg,1,0)</f>
      </c>
    </row>
    <row r="18" spans="1:53" ht="15" customHeight="1" x14ac:dyDescent="0.2">
      <c r="A18" s="17"/>
      <c r="B18" s="877"/>
      <c r="C18" s="4990" t="s">
        <v>7817</v>
      </c>
      <c r="D18" s="4990"/>
      <c r="E18" s="4990"/>
      <c r="F18" s="4990"/>
      <c r="G18" s="4990"/>
      <c r="H18" s="4990"/>
      <c r="I18" s="4990"/>
      <c r="J18" s="4990"/>
      <c r="K18" s="4990"/>
      <c r="L18" s="4991"/>
      <c r="M18" s="878"/>
      <c r="N18" s="878"/>
      <c r="O18" s="879"/>
      <c r="P18" s="880">
        <f t="shared" si="5"/>
        <v>0</v>
      </c>
      <c r="Q18" s="1721" t="str">
        <f>IF(AND(V$19=1,U$53=0,V$17&gt;0,S$27=0),W$19,IF(T18=0,"",IF(T18&lt;&gt;3,reo,IF(AND(V$19=0,N18&gt;0),W$22,IF(P18&lt;0,neg,"")))))</f>
        <v/>
      </c>
      <c r="R18" s="209">
        <f t="shared" si="2"/>
        <v>0</v>
      </c>
      <c r="S18" s="32">
        <f t="shared" si="6"/>
        <v>0</v>
      </c>
      <c r="T18" s="28">
        <f t="shared" si="7"/>
        <v>0</v>
      </c>
      <c r="U18" s="1509">
        <f>COUNT(N18)</f>
      </c>
      <c r="BA18" s="28">
        <f>IF(Q18=neg,1,0)</f>
      </c>
    </row>
    <row r="19" spans="1:53" ht="15" customHeight="1" x14ac:dyDescent="0.2">
      <c r="A19" s="17"/>
      <c r="B19" s="882"/>
      <c r="C19" s="4990" t="s">
        <v>7812</v>
      </c>
      <c r="D19" s="4990"/>
      <c r="E19" s="4990"/>
      <c r="F19" s="4990"/>
      <c r="G19" s="4990"/>
      <c r="H19" s="4990"/>
      <c r="I19" s="4990"/>
      <c r="J19" s="4990"/>
      <c r="K19" s="4990"/>
      <c r="L19" s="4991"/>
      <c r="M19" s="878"/>
      <c r="N19" s="878"/>
      <c r="O19" s="879"/>
      <c r="P19" s="880">
        <f t="shared" si="5"/>
        <v>0</v>
      </c>
      <c r="Q19" s="1721" t="str">
        <f>IF(AND(V$19=1,U$53=0,V$17&gt;0,S$27=0),W$19,IF(T19=0,"",IF(T19&lt;&gt;3,reo,IF(AND(V$19=0,N19&gt;0),W$22,IF(P19&lt;0,neg,"")))))</f>
        <v/>
      </c>
      <c r="R19" s="209">
        <f t="shared" si="2"/>
        <v>0</v>
      </c>
      <c r="S19" s="32">
        <f t="shared" si="6"/>
        <v>0</v>
      </c>
      <c r="T19" s="28">
        <f t="shared" si="7"/>
        <v>0</v>
      </c>
      <c r="U19" s="1509">
        <f>COUNT(N19)</f>
      </c>
      <c r="V19" s="1510">
        <f>'p2'!P30</f>
      </c>
      <c r="W19" s="28" t="s">
        <v>5466</v>
      </c>
      <c r="BA19" s="28">
        <f>IF(Q19=neg,1,0)</f>
      </c>
    </row>
    <row r="20" spans="1:53" ht="15" customHeight="1" x14ac:dyDescent="0.2">
      <c r="A20" s="17"/>
      <c r="B20" s="882"/>
      <c r="C20" s="4990" t="s">
        <v>7813</v>
      </c>
      <c r="D20" s="4990"/>
      <c r="E20" s="4990"/>
      <c r="F20" s="4990"/>
      <c r="G20" s="4990"/>
      <c r="H20" s="4990"/>
      <c r="I20" s="4990"/>
      <c r="J20" s="4990"/>
      <c r="K20" s="4990"/>
      <c r="L20" s="4991"/>
      <c r="M20" s="878"/>
      <c r="N20" s="878"/>
      <c r="O20" s="879"/>
      <c r="P20" s="880">
        <f t="shared" si="5"/>
        <v>0</v>
      </c>
      <c r="Q20" s="1721" t="str">
        <f>IF(AND(V$19=1,U$53=0,V$17&gt;0,S$27=0),W$19,IF(T20=0,"",IF(T20&lt;&gt;3,reo,IF(AND(V$19=0,N20&gt;0),W$22,IF(P20&lt;0,neg,"")))))</f>
        <v/>
      </c>
      <c r="R20" s="209">
        <f t="shared" si="2"/>
        <v>0</v>
      </c>
      <c r="S20" s="32">
        <f t="shared" si="6"/>
        <v>0</v>
      </c>
      <c r="T20" s="28">
        <f t="shared" si="7"/>
        <v>0</v>
      </c>
      <c r="U20" s="1509">
        <f>COUNT(N20)</f>
      </c>
    </row>
    <row r="21" spans="1:53" ht="18.75" hidden="1" customHeight="1" x14ac:dyDescent="0.2">
      <c r="A21" s="17"/>
      <c r="B21" s="882"/>
      <c r="C21" s="211"/>
      <c r="D21" s="211"/>
      <c r="E21" s="211"/>
      <c r="F21" s="211"/>
      <c r="G21" s="211"/>
      <c r="H21" s="211"/>
      <c r="I21" s="211"/>
      <c r="J21" s="211"/>
      <c r="K21" s="211"/>
      <c r="L21" s="211"/>
      <c r="M21" s="882"/>
      <c r="N21" s="211"/>
      <c r="O21" s="211"/>
      <c r="P21" s="974"/>
      <c r="Q21" s="117"/>
      <c r="R21" s="209"/>
    </row>
    <row r="22" spans="1:53" ht="15.75" customHeight="1" x14ac:dyDescent="0.2">
      <c r="A22" s="17"/>
      <c r="B22" s="2214"/>
      <c r="C22" s="2215" t="str">
        <f>EUR</f>
        <v/>
      </c>
      <c r="D22" s="2216"/>
      <c r="E22" s="2216"/>
      <c r="F22" s="2216"/>
      <c r="G22" s="2216"/>
      <c r="H22" s="2216"/>
      <c r="I22" s="2216"/>
      <c r="J22" s="2216"/>
      <c r="K22" s="2216"/>
      <c r="L22" s="2216"/>
      <c r="M22" s="2217"/>
      <c r="N22" s="2217"/>
      <c r="O22" s="2217"/>
      <c r="P22" s="2218"/>
      <c r="Q22" s="117"/>
      <c r="R22" s="209"/>
      <c r="U22" s="84">
        <f>SUM(U18:U21)</f>
      </c>
      <c r="V22" s="28">
        <f>IF(AND(Q19&lt;&gt;"",Q19&lt;&gt;reo),1,IF(AND(Q18&lt;&gt;"",Q18&lt;&gt;reo),1,IF(AND(Q20&lt;&gt;"",Q20&lt;&gt;reo),1,0)))</f>
      </c>
      <c r="W22" s="28" t="s">
        <v>762</v>
      </c>
    </row>
    <row r="23" spans="1:53" ht="17.25" customHeight="1" x14ac:dyDescent="0.2">
      <c r="A23" s="17"/>
      <c r="B23" s="884" t="s">
        <v>2107</v>
      </c>
      <c r="C23" s="128"/>
      <c r="D23" s="128"/>
      <c r="E23" s="128"/>
      <c r="F23" s="128"/>
      <c r="G23" s="128"/>
      <c r="H23" s="128"/>
      <c r="I23" s="128"/>
      <c r="J23" s="128"/>
      <c r="K23" s="128"/>
      <c r="L23" s="174"/>
      <c r="M23" s="880">
        <f>SUM(M9:M20)</f>
      </c>
      <c r="N23" s="880">
        <f>ROUND(SUM(N9:N20),0)</f>
      </c>
      <c r="O23" s="880">
        <f>SUM(O9:O20)</f>
      </c>
      <c r="P23" s="880">
        <f>SUM(P9:P20)</f>
      </c>
      <c r="Q23" s="117"/>
      <c r="R23" s="209"/>
      <c r="U23" s="28" t="s">
        <v>763</v>
      </c>
      <c r="W23" s="84">
        <f>SUM(N23,M23,P23)</f>
      </c>
      <c r="BA23" s="28">
        <f>V22</f>
      </c>
    </row>
    <row r="24" spans="1:53" ht="33.75" customHeight="1" x14ac:dyDescent="0.2">
      <c r="A24" s="65"/>
      <c r="B24" s="885"/>
      <c r="C24" s="20" t="str">
        <f>_xlfn.SINGLE(MTCA)</f>
      </c>
      <c r="D24" s="65"/>
      <c r="E24" s="65"/>
      <c r="F24" s="65"/>
      <c r="G24" s="65"/>
      <c r="H24" s="65"/>
      <c r="I24" s="65"/>
      <c r="J24" s="229" t="str">
        <f>ver</f>
        <v>TA2_e-CO_2025_Ver 1.1</v>
      </c>
      <c r="K24" s="65"/>
      <c r="L24" s="65"/>
      <c r="M24" s="886"/>
      <c r="N24" s="886"/>
      <c r="O24" s="886"/>
      <c r="P24" s="886" t="s">
        <v>7814</v>
      </c>
      <c r="Q24" s="117"/>
      <c r="R24" s="209"/>
    </row>
    <row r="25" spans="1:53" ht="27.75" customHeight="1" x14ac:dyDescent="0.2">
      <c r="A25" s="65"/>
      <c r="B25" s="4992" t="str">
        <f>B1</f>
      </c>
      <c r="C25" s="4992"/>
      <c r="D25" s="4992"/>
      <c r="E25" s="4992"/>
      <c r="F25" s="4992"/>
      <c r="G25" s="4992"/>
      <c r="H25" s="4992"/>
      <c r="I25" s="4992"/>
      <c r="J25" s="4992"/>
      <c r="K25" s="4992"/>
      <c r="L25" s="4992"/>
      <c r="M25" s="4992"/>
      <c r="N25" s="4992"/>
      <c r="O25" s="4992"/>
      <c r="P25" s="2219" t="str">
        <f>P1</f>
      </c>
      <c r="Q25" s="117"/>
      <c r="R25" s="209"/>
    </row>
    <row r="26" spans="1:53" ht="19.5" customHeight="1" x14ac:dyDescent="0.2">
      <c r="A26" s="17"/>
      <c r="B26" s="4993" t="s">
        <v>3653</v>
      </c>
      <c r="C26" s="4994"/>
      <c r="D26" s="4994"/>
      <c r="E26" s="4994"/>
      <c r="F26" s="4994"/>
      <c r="G26" s="4994"/>
      <c r="H26" s="4994"/>
      <c r="I26" s="4994"/>
      <c r="J26" s="4994"/>
      <c r="K26" s="4994"/>
      <c r="L26" s="4995"/>
      <c r="M26" s="5003" t="s">
        <v>6500</v>
      </c>
      <c r="N26" s="4999" t="s">
        <v>4813</v>
      </c>
      <c r="O26" s="5000"/>
      <c r="P26" s="5003" t="s">
        <v>6501</v>
      </c>
      <c r="Q26" s="117"/>
      <c r="R26" s="209"/>
    </row>
    <row r="27" spans="1:53" ht="32.25" customHeight="1" x14ac:dyDescent="0.2">
      <c r="A27" s="17"/>
      <c r="B27" s="4996"/>
      <c r="C27" s="4997"/>
      <c r="D27" s="4997"/>
      <c r="E27" s="4997"/>
      <c r="F27" s="4997"/>
      <c r="G27" s="4997"/>
      <c r="H27" s="4997"/>
      <c r="I27" s="4997"/>
      <c r="J27" s="4997"/>
      <c r="K27" s="4997"/>
      <c r="L27" s="4998"/>
      <c r="M27" s="5004"/>
      <c r="N27" s="887" t="s">
        <v>4243</v>
      </c>
      <c r="O27" s="888" t="s">
        <v>226</v>
      </c>
      <c r="P27" s="5004"/>
      <c r="Q27" s="1456" t="str">
        <f>IF(AND(S27&gt;0,T27&gt;0),"IPA Option exercised on Page 2!","")</f>
        <v/>
      </c>
      <c r="R27" s="209">
        <f>IF(Q27&lt;&gt;"",1,0)</f>
      </c>
      <c r="S27" s="28">
        <f>IF('p2'!G11="n",0,1)</f>
      </c>
      <c r="T27" s="84">
        <f>SUM(M54:N54,M23,N23)</f>
      </c>
      <c r="U27" s="32">
        <f>O23+O54</f>
      </c>
      <c r="V27" s="28">
        <f>'p2'!O15</f>
      </c>
      <c r="W27" s="28" t="s">
        <v>1040</v>
      </c>
    </row>
    <row r="28" spans="1:53" ht="5.25" customHeight="1" x14ac:dyDescent="0.2">
      <c r="A28" s="17"/>
      <c r="B28" s="889"/>
      <c r="C28" s="3"/>
      <c r="D28" s="3"/>
      <c r="E28" s="3"/>
      <c r="F28" s="3"/>
      <c r="G28" s="3"/>
      <c r="H28" s="3"/>
      <c r="I28" s="3"/>
      <c r="J28" s="3"/>
      <c r="K28" s="3"/>
      <c r="L28" s="3"/>
      <c r="M28" s="86"/>
      <c r="N28" s="86"/>
      <c r="O28" s="86"/>
      <c r="P28" s="228"/>
      <c r="Q28" s="117"/>
      <c r="R28" s="209"/>
    </row>
    <row r="29" spans="1:53" ht="15" customHeight="1" x14ac:dyDescent="0.2">
      <c r="A29" s="17"/>
      <c r="B29" s="889"/>
      <c r="C29" s="3"/>
      <c r="D29" s="3"/>
      <c r="E29" s="3" t="s">
        <v>4680</v>
      </c>
      <c r="F29" s="65"/>
      <c r="G29" s="65"/>
      <c r="H29" s="65"/>
      <c r="I29" s="65"/>
      <c r="J29" s="65"/>
      <c r="K29" s="65"/>
      <c r="L29" s="17"/>
      <c r="M29" s="878"/>
      <c r="N29" s="878"/>
      <c r="O29" s="879"/>
      <c r="P29" s="880">
        <f t="shared" ref="P29:P36" si="8">(M29+N29)+O29</f>
      </c>
      <c r="Q29" s="881" t="str">
        <f t="shared" ref="Q29:Q36" si="9">IF(T29=0,"",IF(T29&lt;&gt;3,reo,IF(P29&lt;0,neg,"")))</f>
        <v/>
      </c>
      <c r="R29" s="209">
        <f t="shared" ref="R29:R36" si="10">IF(Q29=reo,1,0)</f>
      </c>
      <c r="S29" s="32">
        <f t="shared" ref="S29:S37" si="11">(M29+N29)*-1</f>
      </c>
      <c r="T29" s="28">
        <f t="shared" ref="T29:T44" si="12">COUNT(M29:O29)</f>
      </c>
      <c r="BA29" s="28">
        <f t="shared" ref="BA29:BA47" si="13">IF(Q29=neg,1,0)</f>
      </c>
    </row>
    <row r="30" spans="1:53" ht="15" customHeight="1" x14ac:dyDescent="0.2">
      <c r="A30" s="17"/>
      <c r="B30" s="889"/>
      <c r="C30" s="3"/>
      <c r="D30" s="3"/>
      <c r="E30" s="631" t="s">
        <v>1047</v>
      </c>
      <c r="F30" s="17"/>
      <c r="G30" s="17"/>
      <c r="H30" s="890" t="s">
        <v>1038</v>
      </c>
      <c r="I30" s="17" t="s">
        <v>1048</v>
      </c>
      <c r="J30" s="65"/>
      <c r="K30" s="65"/>
      <c r="L30" s="65"/>
      <c r="M30" s="878"/>
      <c r="N30" s="878"/>
      <c r="O30" s="879"/>
      <c r="P30" s="880">
        <f t="shared" si="8"/>
        <v>0</v>
      </c>
      <c r="Q30" s="881" t="str">
        <f t="shared" si="9"/>
        <v/>
      </c>
      <c r="R30" s="209">
        <f t="shared" si="10"/>
        <v>0</v>
      </c>
      <c r="S30" s="32">
        <f t="shared" si="11"/>
        <v>0</v>
      </c>
      <c r="T30" s="28">
        <f t="shared" si="12"/>
        <v>0</v>
      </c>
      <c r="BA30" s="28">
        <f t="shared" si="13"/>
        <v>0</v>
      </c>
    </row>
    <row r="31" spans="1:53" ht="15" customHeight="1" x14ac:dyDescent="0.2">
      <c r="A31" s="17"/>
      <c r="B31" s="889"/>
      <c r="C31" s="3"/>
      <c r="D31" s="3"/>
      <c r="E31" s="631" t="s">
        <v>1047</v>
      </c>
      <c r="F31" s="17"/>
      <c r="G31" s="17"/>
      <c r="H31" s="891">
        <v>10</v>
      </c>
      <c r="I31" s="17" t="s">
        <v>1048</v>
      </c>
      <c r="J31" s="65"/>
      <c r="K31" s="65"/>
      <c r="L31" s="65"/>
      <c r="M31" s="878"/>
      <c r="N31" s="878"/>
      <c r="O31" s="879"/>
      <c r="P31" s="880">
        <f t="shared" si="8"/>
        <v>0</v>
      </c>
      <c r="Q31" s="881" t="str">
        <f t="shared" si="9"/>
        <v/>
      </c>
      <c r="R31" s="209">
        <f t="shared" si="10"/>
        <v>0</v>
      </c>
      <c r="S31" s="32">
        <f t="shared" si="11"/>
        <v>0</v>
      </c>
      <c r="T31" s="28">
        <f t="shared" si="12"/>
        <v>0</v>
      </c>
      <c r="BA31" s="28">
        <f t="shared" si="13"/>
        <v>0</v>
      </c>
    </row>
    <row r="32" spans="1:53" ht="15" customHeight="1" x14ac:dyDescent="0.2">
      <c r="A32" s="17"/>
      <c r="B32" s="889"/>
      <c r="C32" s="3"/>
      <c r="D32" s="3"/>
      <c r="E32" s="631" t="s">
        <v>1047</v>
      </c>
      <c r="F32" s="17"/>
      <c r="G32" s="17"/>
      <c r="H32" s="891">
        <v>15</v>
      </c>
      <c r="I32" s="17" t="s">
        <v>1048</v>
      </c>
      <c r="J32" s="65"/>
      <c r="K32" s="65"/>
      <c r="L32" s="65"/>
      <c r="M32" s="878"/>
      <c r="N32" s="878"/>
      <c r="O32" s="879"/>
      <c r="P32" s="880">
        <f t="shared" si="8"/>
        <v>0</v>
      </c>
      <c r="Q32" s="881" t="str">
        <f t="shared" si="9"/>
        <v/>
      </c>
      <c r="R32" s="209">
        <f t="shared" si="10"/>
        <v>0</v>
      </c>
      <c r="S32" s="32">
        <f t="shared" si="11"/>
        <v>0</v>
      </c>
      <c r="T32" s="28">
        <f t="shared" si="12"/>
        <v>0</v>
      </c>
      <c r="BA32" s="28">
        <f t="shared" si="13"/>
        <v>0</v>
      </c>
    </row>
    <row r="33" spans="1:53" ht="15" customHeight="1" x14ac:dyDescent="0.2">
      <c r="A33" s="17"/>
      <c r="B33" s="889"/>
      <c r="C33" s="3"/>
      <c r="D33" s="3"/>
      <c r="E33" s="631" t="s">
        <v>1047</v>
      </c>
      <c r="F33" s="17"/>
      <c r="G33" s="17"/>
      <c r="H33" s="891">
        <v>25</v>
      </c>
      <c r="I33" s="17" t="s">
        <v>1048</v>
      </c>
      <c r="J33" s="65"/>
      <c r="K33" s="65"/>
      <c r="L33" s="65"/>
      <c r="M33" s="878"/>
      <c r="N33" s="878"/>
      <c r="O33" s="879"/>
      <c r="P33" s="880">
        <f t="shared" si="8"/>
        <v>0</v>
      </c>
      <c r="Q33" s="881" t="str">
        <f t="shared" si="9"/>
        <v/>
      </c>
      <c r="R33" s="209">
        <f t="shared" si="10"/>
        <v>0</v>
      </c>
      <c r="S33" s="32">
        <f t="shared" si="11"/>
        <v>0</v>
      </c>
      <c r="T33" s="28">
        <f t="shared" si="12"/>
        <v>0</v>
      </c>
      <c r="BA33" s="28">
        <f t="shared" si="13"/>
        <v>0</v>
      </c>
    </row>
    <row r="34" spans="1:53" ht="15" customHeight="1" x14ac:dyDescent="0.2">
      <c r="A34" s="17"/>
      <c r="B34" s="889"/>
      <c r="C34" s="3"/>
      <c r="D34" s="3"/>
      <c r="E34" s="631" t="s">
        <v>1047</v>
      </c>
      <c r="F34" s="17"/>
      <c r="G34" s="17"/>
      <c r="H34" s="891">
        <v>32.5</v>
      </c>
      <c r="I34" s="17" t="s">
        <v>1048</v>
      </c>
      <c r="J34" s="65"/>
      <c r="K34" s="65"/>
      <c r="L34" s="65"/>
      <c r="M34" s="878"/>
      <c r="N34" s="878"/>
      <c r="O34" s="879"/>
      <c r="P34" s="880">
        <f t="shared" si="8"/>
        <v>0</v>
      </c>
      <c r="Q34" s="881" t="str">
        <f t="shared" si="9"/>
        <v/>
      </c>
      <c r="R34" s="209">
        <f t="shared" si="10"/>
        <v>0</v>
      </c>
      <c r="S34" s="32">
        <f t="shared" si="11"/>
        <v>0</v>
      </c>
      <c r="T34" s="28">
        <f t="shared" si="12"/>
        <v>0</v>
      </c>
      <c r="BA34" s="28">
        <f t="shared" si="13"/>
        <v>0</v>
      </c>
    </row>
    <row r="35" spans="1:53" ht="15" customHeight="1" x14ac:dyDescent="0.2">
      <c r="A35" s="17"/>
      <c r="B35" s="889"/>
      <c r="C35" s="3"/>
      <c r="D35" s="3"/>
      <c r="E35" s="631" t="s">
        <v>1047</v>
      </c>
      <c r="F35" s="17"/>
      <c r="G35" s="17"/>
      <c r="H35" s="891">
        <v>35</v>
      </c>
      <c r="I35" s="17" t="s">
        <v>1048</v>
      </c>
      <c r="J35" s="65"/>
      <c r="K35" s="65"/>
      <c r="L35" s="65"/>
      <c r="M35" s="878">
        <v>0</v>
      </c>
      <c r="N35" s="878">
        <v>0</v>
      </c>
      <c r="O35" s="879">
        <v>0</v>
      </c>
      <c r="P35" s="880">
        <f t="shared" si="8"/>
        <v>0</v>
      </c>
      <c r="Q35" s="881" t="str">
        <f>IF(T35&lt;&gt;3,reo,IF(P35&lt;0,neg,""))</f>
        <v/>
      </c>
      <c r="R35" s="209">
        <f t="shared" si="10"/>
        <v>0</v>
      </c>
      <c r="S35" s="32">
        <f t="shared" si="11"/>
        <v>0</v>
      </c>
      <c r="T35" s="28">
        <f t="shared" si="12"/>
        <v>3</v>
      </c>
      <c r="AA35" s="28">
        <f>'p4'!O62</f>
      </c>
      <c r="BA35" s="28">
        <f t="shared" si="13"/>
        <v>0</v>
      </c>
    </row>
    <row r="36" spans="1:53" ht="15" customHeight="1" x14ac:dyDescent="0.2">
      <c r="A36" s="17"/>
      <c r="B36" s="889"/>
      <c r="C36" s="3"/>
      <c r="D36" s="3"/>
      <c r="E36" s="631" t="s">
        <v>1047</v>
      </c>
      <c r="F36" s="17"/>
      <c r="G36" s="17"/>
      <c r="H36" s="891">
        <v>37.5</v>
      </c>
      <c r="I36" s="17" t="s">
        <v>1048</v>
      </c>
      <c r="J36" s="65"/>
      <c r="K36" s="65"/>
      <c r="L36" s="65"/>
      <c r="M36" s="878"/>
      <c r="N36" s="878"/>
      <c r="O36" s="879"/>
      <c r="P36" s="880">
        <f t="shared" si="8"/>
        <v>0</v>
      </c>
      <c r="Q36" s="881" t="str">
        <f t="shared" si="9"/>
        <v/>
      </c>
      <c r="R36" s="209">
        <f t="shared" si="10"/>
        <v>0</v>
      </c>
      <c r="S36" s="32">
        <f t="shared" si="11"/>
        <v>0</v>
      </c>
      <c r="T36" s="28">
        <f t="shared" si="12"/>
        <v>0</v>
      </c>
      <c r="BA36" s="28">
        <f t="shared" si="13"/>
        <v>0</v>
      </c>
    </row>
    <row r="37" spans="1:53" ht="15" customHeight="1" x14ac:dyDescent="0.2">
      <c r="A37" s="17"/>
      <c r="B37" s="889"/>
      <c r="C37" s="3"/>
      <c r="D37" s="2221"/>
      <c r="E37" s="2221" t="s">
        <v>7819</v>
      </c>
      <c r="F37" s="2221"/>
      <c r="G37" s="2221"/>
      <c r="H37" s="887">
        <v>0</v>
      </c>
      <c r="I37" s="17" t="s">
        <v>1048</v>
      </c>
      <c r="J37" s="65"/>
      <c r="K37" s="65"/>
      <c r="L37" s="1973" t="s">
        <v>7820</v>
      </c>
      <c r="M37" s="878"/>
      <c r="N37" s="880">
        <f>'TRA35'!AB55</f>
      </c>
      <c r="O37" s="879"/>
      <c r="P37" s="880">
        <f>(M37+N37)+O37+N48</f>
      </c>
      <c r="Q37" s="881" t="str">
        <f>IF(T37=0,"",IF(AND(N37=0,P37=0),"",IF(T37&lt;&gt;3,reo,IF(P37&lt;0,neg,""))))</f>
        <v/>
      </c>
      <c r="R37" s="209">
        <f t="shared" ref="R37:R47" si="14">IF(Q37="",0,IF(Q37=neg,0,1))</f>
      </c>
      <c r="S37" s="32">
        <f t="shared" si="11"/>
        <v>-12729</v>
      </c>
      <c r="T37" s="28">
        <f t="shared" si="12"/>
        <v>3</v>
      </c>
      <c r="BA37" s="28">
        <f t="shared" si="13"/>
        <v>0</v>
      </c>
    </row>
    <row r="38" spans="1:53" ht="15" customHeight="1" x14ac:dyDescent="0.2">
      <c r="A38" s="17"/>
      <c r="B38" s="889"/>
      <c r="C38" s="3"/>
      <c r="D38" s="3"/>
      <c r="E38" s="631" t="s">
        <v>1047</v>
      </c>
      <c r="F38" s="17"/>
      <c r="G38" s="17"/>
      <c r="H38" s="892"/>
      <c r="I38" s="17" t="s">
        <v>1048</v>
      </c>
      <c r="J38" s="65"/>
      <c r="K38" s="65"/>
      <c r="L38" s="203"/>
      <c r="M38" s="878"/>
      <c r="N38" s="878"/>
      <c r="O38" s="879"/>
      <c r="P38" s="880">
        <f t="shared" ref="P38:P44" si="15">(M38+N38)+O38</f>
      </c>
      <c r="Q38" s="881" t="str">
        <f t="shared" ref="Q38:Q44" si="16">IF(T38=0,"",IF(H38="","Tax Rate!",IF(T38&lt;&gt;3,reo,IF(P38&lt;0,neg,""))))</f>
        <v/>
      </c>
      <c r="R38" s="209">
        <f t="shared" si="14"/>
        <v>0</v>
      </c>
      <c r="S38" s="32">
        <f t="shared" ref="S38:S44" si="17">(M38+N38)*-1</f>
      </c>
      <c r="T38" s="28">
        <f t="shared" si="12"/>
        <v>0</v>
      </c>
      <c r="BA38" s="28">
        <f t="shared" si="13"/>
        <v>0</v>
      </c>
    </row>
    <row r="39" spans="1:53" ht="15" customHeight="1" x14ac:dyDescent="0.2">
      <c r="A39" s="17"/>
      <c r="B39" s="889"/>
      <c r="C39" s="3"/>
      <c r="D39" s="3"/>
      <c r="E39" s="631" t="s">
        <v>1047</v>
      </c>
      <c r="F39" s="17"/>
      <c r="G39" s="17"/>
      <c r="H39" s="892"/>
      <c r="I39" s="17" t="s">
        <v>1048</v>
      </c>
      <c r="J39" s="65"/>
      <c r="K39" s="65"/>
      <c r="L39" s="203"/>
      <c r="M39" s="878"/>
      <c r="N39" s="878"/>
      <c r="O39" s="879"/>
      <c r="P39" s="880">
        <f t="shared" si="15"/>
        <v>0</v>
      </c>
      <c r="Q39" s="881" t="str">
        <f t="shared" si="16"/>
        <v/>
      </c>
      <c r="R39" s="209">
        <f t="shared" si="14"/>
        <v>0</v>
      </c>
      <c r="S39" s="32">
        <f t="shared" si="17"/>
        <v>0</v>
      </c>
      <c r="T39" s="28">
        <f t="shared" si="12"/>
        <v>0</v>
      </c>
      <c r="BA39" s="28">
        <f t="shared" si="13"/>
        <v>0</v>
      </c>
    </row>
    <row r="40" spans="1:53" ht="15" customHeight="1" x14ac:dyDescent="0.2">
      <c r="A40" s="17"/>
      <c r="B40" s="889"/>
      <c r="C40" s="3"/>
      <c r="D40" s="3"/>
      <c r="E40" s="631" t="s">
        <v>1047</v>
      </c>
      <c r="F40" s="17"/>
      <c r="G40" s="17"/>
      <c r="H40" s="892"/>
      <c r="I40" s="17" t="s">
        <v>1048</v>
      </c>
      <c r="J40" s="65"/>
      <c r="K40" s="65"/>
      <c r="L40" s="203"/>
      <c r="M40" s="878"/>
      <c r="N40" s="878"/>
      <c r="O40" s="879"/>
      <c r="P40" s="880">
        <f t="shared" si="15"/>
        <v>0</v>
      </c>
      <c r="Q40" s="881" t="str">
        <f t="shared" si="16"/>
        <v/>
      </c>
      <c r="R40" s="209">
        <f t="shared" si="14"/>
        <v>0</v>
      </c>
      <c r="S40" s="32">
        <f t="shared" si="17"/>
        <v>0</v>
      </c>
      <c r="T40" s="28">
        <f t="shared" si="12"/>
        <v>0</v>
      </c>
      <c r="BA40" s="28">
        <f t="shared" si="13"/>
        <v>0</v>
      </c>
    </row>
    <row r="41" spans="1:53" ht="15" customHeight="1" x14ac:dyDescent="0.2">
      <c r="A41" s="17"/>
      <c r="B41" s="889"/>
      <c r="C41" s="3"/>
      <c r="D41" s="3"/>
      <c r="E41" s="631" t="s">
        <v>1047</v>
      </c>
      <c r="F41" s="17"/>
      <c r="G41" s="17"/>
      <c r="H41" s="892"/>
      <c r="I41" s="17" t="s">
        <v>1048</v>
      </c>
      <c r="J41" s="65"/>
      <c r="K41" s="65"/>
      <c r="L41" s="203"/>
      <c r="M41" s="878"/>
      <c r="N41" s="878"/>
      <c r="O41" s="879"/>
      <c r="P41" s="880">
        <f t="shared" si="15"/>
        <v>0</v>
      </c>
      <c r="Q41" s="881" t="str">
        <f t="shared" si="16"/>
        <v/>
      </c>
      <c r="R41" s="209">
        <f t="shared" si="14"/>
        <v>0</v>
      </c>
      <c r="S41" s="32">
        <f t="shared" si="17"/>
        <v>0</v>
      </c>
      <c r="T41" s="28">
        <f t="shared" si="12"/>
        <v>0</v>
      </c>
      <c r="BA41" s="28">
        <f t="shared" si="13"/>
        <v>0</v>
      </c>
    </row>
    <row r="42" spans="1:53" ht="15" customHeight="1" x14ac:dyDescent="0.2">
      <c r="A42" s="17"/>
      <c r="B42" s="889"/>
      <c r="C42" s="3"/>
      <c r="D42" s="3"/>
      <c r="E42" s="631" t="s">
        <v>1047</v>
      </c>
      <c r="F42" s="17"/>
      <c r="G42" s="17"/>
      <c r="H42" s="892"/>
      <c r="I42" s="17" t="s">
        <v>1048</v>
      </c>
      <c r="J42" s="65"/>
      <c r="K42" s="65"/>
      <c r="L42" s="203"/>
      <c r="M42" s="878"/>
      <c r="N42" s="878"/>
      <c r="O42" s="879"/>
      <c r="P42" s="880">
        <f t="shared" si="15"/>
        <v>0</v>
      </c>
      <c r="Q42" s="881" t="str">
        <f t="shared" si="16"/>
        <v/>
      </c>
      <c r="R42" s="209">
        <f t="shared" si="14"/>
        <v>0</v>
      </c>
      <c r="S42" s="32">
        <f t="shared" si="17"/>
        <v>0</v>
      </c>
      <c r="T42" s="28">
        <f t="shared" si="12"/>
        <v>0</v>
      </c>
      <c r="BA42" s="28">
        <f t="shared" si="13"/>
        <v>0</v>
      </c>
    </row>
    <row r="43" spans="1:53" ht="12.75" x14ac:dyDescent="0.2">
      <c r="A43" s="203"/>
      <c r="B43" s="889"/>
      <c r="C43" s="3"/>
      <c r="D43" s="3"/>
      <c r="E43" s="631" t="s">
        <v>1047</v>
      </c>
      <c r="F43" s="17"/>
      <c r="G43" s="17"/>
      <c r="H43" s="892"/>
      <c r="I43" s="17" t="s">
        <v>1048</v>
      </c>
      <c r="J43" s="65"/>
      <c r="K43" s="65"/>
      <c r="L43" s="203"/>
      <c r="M43" s="878"/>
      <c r="N43" s="878"/>
      <c r="O43" s="879"/>
      <c r="P43" s="880">
        <f t="shared" si="15"/>
        <v>0</v>
      </c>
      <c r="Q43" s="881" t="str">
        <f t="shared" si="16"/>
        <v/>
      </c>
      <c r="R43" s="209">
        <f t="shared" si="14"/>
        <v>0</v>
      </c>
      <c r="S43" s="32">
        <f t="shared" si="17"/>
        <v>0</v>
      </c>
      <c r="T43" s="28">
        <f t="shared" si="12"/>
        <v>0</v>
      </c>
      <c r="BA43" s="28">
        <f t="shared" si="13"/>
        <v>0</v>
      </c>
    </row>
    <row r="44" spans="1:53" ht="12.75" x14ac:dyDescent="0.2">
      <c r="A44" s="17"/>
      <c r="B44" s="889"/>
      <c r="C44" s="3"/>
      <c r="D44" s="3"/>
      <c r="E44" s="631" t="s">
        <v>1047</v>
      </c>
      <c r="F44" s="17"/>
      <c r="G44" s="17"/>
      <c r="H44" s="892"/>
      <c r="I44" s="17" t="s">
        <v>1048</v>
      </c>
      <c r="J44" s="65"/>
      <c r="K44" s="65"/>
      <c r="L44" s="203"/>
      <c r="M44" s="878"/>
      <c r="N44" s="878"/>
      <c r="O44" s="879"/>
      <c r="P44" s="880">
        <f t="shared" si="15"/>
        <v>0</v>
      </c>
      <c r="Q44" s="881" t="str">
        <f t="shared" si="16"/>
        <v/>
      </c>
      <c r="R44" s="209">
        <f t="shared" si="14"/>
        <v>0</v>
      </c>
      <c r="S44" s="32">
        <f t="shared" si="17"/>
        <v>0</v>
      </c>
      <c r="T44" s="28">
        <f t="shared" si="12"/>
        <v>0</v>
      </c>
      <c r="BA44" s="28">
        <f t="shared" si="13"/>
        <v>0</v>
      </c>
    </row>
    <row r="45" spans="1:53" ht="12.75" x14ac:dyDescent="0.2">
      <c r="A45" s="3"/>
      <c r="B45" s="11"/>
      <c r="C45" s="3"/>
      <c r="D45" s="3"/>
      <c r="E45" s="3" t="s">
        <v>2467</v>
      </c>
      <c r="F45" s="3"/>
      <c r="G45" s="3"/>
      <c r="H45" s="892"/>
      <c r="I45" s="17" t="s">
        <v>1048</v>
      </c>
      <c r="J45" s="65"/>
      <c r="K45" s="65"/>
      <c r="L45" s="3"/>
      <c r="M45" s="878"/>
      <c r="N45" s="878"/>
      <c r="O45" s="879"/>
      <c r="P45" s="880">
        <f>(M45+N45)+O45</f>
      </c>
      <c r="Q45" s="2083" t="str">
        <f>IF(AND(V$19=1,U$53=0,S$27=0),W$19,IF(T45=0,"",IF(H45="","Tax Rate!",IF(T45&lt;&gt;3,reo,IF(AND(V$19=0,N45&gt;0),W$22,IF(P45&lt;0,neg,""))))))</f>
        <v/>
      </c>
      <c r="R45" s="209">
        <f t="shared" si="14"/>
        <v>0</v>
      </c>
      <c r="S45" s="32">
        <f>(M45+N45)*-1</f>
      </c>
      <c r="T45" s="28">
        <f>COUNT(M45:O45)</f>
      </c>
      <c r="U45" s="2008">
        <f>COUNT(N45)</f>
      </c>
      <c r="BA45" s="28">
        <f t="shared" si="13"/>
        <v>0</v>
      </c>
    </row>
    <row r="46" spans="1:53" ht="15" customHeight="1" x14ac:dyDescent="0.2">
      <c r="A46" s="3"/>
      <c r="B46" s="11"/>
      <c r="C46" s="3"/>
      <c r="D46" s="3"/>
      <c r="E46" s="3" t="s">
        <v>2467</v>
      </c>
      <c r="F46" s="3"/>
      <c r="G46" s="3"/>
      <c r="H46" s="892"/>
      <c r="I46" s="17" t="s">
        <v>1048</v>
      </c>
      <c r="J46" s="65"/>
      <c r="K46" s="65"/>
      <c r="L46" s="3"/>
      <c r="M46" s="878"/>
      <c r="N46" s="878"/>
      <c r="O46" s="879"/>
      <c r="P46" s="880">
        <f>(M46+N46)+O46</f>
      </c>
      <c r="Q46" s="2083" t="str">
        <f>IF(AND(V$19=1,U$53=0,S$27=0),W$19,IF(T46=0,"",IF(H46="","Tax Rate!",IF(T46&lt;&gt;3,reo,IF(AND(V$19=0,N46&gt;0),W$22,IF(P46&lt;0,neg,""))))))</f>
        <v/>
      </c>
      <c r="R46" s="209">
        <f t="shared" si="14"/>
        <v>0</v>
      </c>
      <c r="S46" s="32">
        <f>(M46+N46)*-1</f>
      </c>
      <c r="T46" s="28">
        <f>COUNT(M46:O46)</f>
      </c>
      <c r="U46" s="2008">
        <f>COUNT(N46)</f>
      </c>
      <c r="BA46" s="28">
        <f t="shared" si="13"/>
        <v>0</v>
      </c>
    </row>
    <row r="47" spans="1:53" ht="12.75" x14ac:dyDescent="0.2">
      <c r="A47" s="3"/>
      <c r="B47" s="11"/>
      <c r="C47" s="3"/>
      <c r="D47" s="3"/>
      <c r="E47" s="3" t="s">
        <v>2467</v>
      </c>
      <c r="F47" s="3"/>
      <c r="G47" s="3"/>
      <c r="H47" s="892"/>
      <c r="I47" s="17" t="s">
        <v>1048</v>
      </c>
      <c r="J47" s="65"/>
      <c r="K47" s="65"/>
      <c r="L47" s="3"/>
      <c r="M47" s="878"/>
      <c r="N47" s="878"/>
      <c r="O47" s="879"/>
      <c r="P47" s="880">
        <f>(M47+N47)+O47</f>
      </c>
      <c r="Q47" s="2083" t="str">
        <f>IF(AND(V$19=1,U$53=0,S$27=0),W$19,IF(T47=0,"",IF(H47="","Tax Rate!",IF(T47&lt;&gt;3,reo,IF(AND(V$19=0,N47&gt;0),W$22,IF(P47&lt;0,neg,""))))))</f>
        <v/>
      </c>
      <c r="R47" s="209">
        <f t="shared" si="14"/>
        <v>0</v>
      </c>
      <c r="S47" s="32">
        <f>(M47+N47)*-1</f>
      </c>
      <c r="T47" s="28">
        <f>COUNT(M47:O47)</f>
      </c>
      <c r="U47" s="2008">
        <f>COUNT(N47)</f>
      </c>
      <c r="BA47" s="28">
        <f t="shared" si="13"/>
        <v>0</v>
      </c>
    </row>
    <row r="48" spans="1:53" ht="12.75" x14ac:dyDescent="0.2">
      <c r="A48" s="3"/>
      <c r="B48" s="11"/>
      <c r="C48" s="3"/>
      <c r="D48" s="2078"/>
      <c r="E48" s="2079" t="s">
        <v>7818</v>
      </c>
      <c r="F48" s="2078"/>
      <c r="G48" s="3"/>
      <c r="H48" s="11"/>
      <c r="I48" s="2078"/>
      <c r="J48" s="3"/>
      <c r="K48" s="3"/>
      <c r="L48" s="3"/>
      <c r="M48" s="3"/>
      <c r="N48" s="878"/>
      <c r="O48" s="2083" t="str">
        <f>IF(N37=0,"",IF(AND(N48="",N37&gt;0,V48&gt;0,V53&gt;W53)," &lt; "&amp;re,""))</f>
        <v/>
      </c>
      <c r="P48" s="2093"/>
      <c r="Q48" s="2083"/>
      <c r="R48" s="209">
        <f>IF(O48="",0,1)</f>
      </c>
      <c r="S48" s="142"/>
      <c r="U48" s="84">
        <f>SUM(U45:U47)</f>
      </c>
      <c r="V48" s="2080">
        <f>'p6'!Q22</f>
      </c>
    </row>
    <row r="49" spans="1:53" ht="12.75" x14ac:dyDescent="0.2">
      <c r="A49" s="3"/>
      <c r="B49" s="11"/>
      <c r="C49" s="3"/>
      <c r="D49" s="2078"/>
      <c r="E49" s="2079" t="s">
        <v>10559</v>
      </c>
      <c r="F49" s="2078"/>
      <c r="G49" s="3"/>
      <c r="H49" s="11"/>
      <c r="I49" s="2078"/>
      <c r="J49" s="3"/>
      <c r="K49" s="3"/>
      <c r="L49" s="3"/>
      <c r="M49" s="3"/>
      <c r="N49" s="878"/>
      <c r="O49" s="2083" t="str">
        <f>IF(N37=0,"",IF(AND(N49="",N37&gt;0,V49&gt;0,V53&gt;W53)," &lt; "&amp;re,IF(N49&gt;V49,"Excessive amount","")))</f>
        <v/>
      </c>
      <c r="P49" s="4071"/>
      <c r="Q49" s="2083"/>
      <c r="R49" s="209">
        <f>IF(O49="",0,1)</f>
      </c>
      <c r="S49" s="142"/>
      <c r="V49" s="32">
        <f>'p6'!O26</f>
      </c>
    </row>
    <row r="50" spans="1:53" ht="15" hidden="1" customHeight="1" x14ac:dyDescent="0.2">
      <c r="A50" s="142"/>
      <c r="B50" s="883"/>
      <c r="C50" s="142"/>
      <c r="E50" s="142"/>
      <c r="F50" s="142"/>
      <c r="G50" s="142"/>
      <c r="H50" s="142"/>
      <c r="I50" s="142"/>
      <c r="J50" s="142"/>
      <c r="K50" s="142"/>
      <c r="L50" s="142"/>
      <c r="M50" s="226"/>
      <c r="N50" s="226"/>
      <c r="O50" s="226"/>
      <c r="P50" s="227"/>
      <c r="Q50" s="117"/>
      <c r="R50" s="209"/>
      <c r="S50" s="142"/>
      <c r="U50" s="84"/>
    </row>
    <row r="51" spans="1:53" ht="4.1500000000000004" hidden="1" customHeight="1" x14ac:dyDescent="0.2">
      <c r="A51" s="142"/>
      <c r="B51" s="883"/>
      <c r="C51" s="142"/>
      <c r="D51" s="142"/>
      <c r="E51" s="142"/>
      <c r="F51" s="142"/>
      <c r="G51" s="142"/>
      <c r="H51" s="142"/>
      <c r="I51" s="142"/>
      <c r="J51" s="142"/>
      <c r="K51" s="142"/>
      <c r="L51" s="142"/>
      <c r="M51" s="226"/>
      <c r="N51" s="226"/>
      <c r="O51" s="226"/>
      <c r="P51" s="227"/>
      <c r="Q51" s="117"/>
      <c r="R51" s="209"/>
      <c r="S51" s="142"/>
    </row>
    <row r="52" spans="1:53" ht="15" hidden="1" customHeight="1" x14ac:dyDescent="0.2">
      <c r="A52" s="142"/>
      <c r="B52" s="883"/>
      <c r="C52" s="142"/>
      <c r="D52" s="142"/>
      <c r="E52" s="142"/>
      <c r="F52" s="142"/>
      <c r="G52" s="142"/>
      <c r="H52" s="142"/>
      <c r="I52" s="142"/>
      <c r="J52" s="142"/>
      <c r="K52" s="142"/>
      <c r="L52" s="142"/>
      <c r="M52" s="226"/>
      <c r="N52" s="226"/>
      <c r="O52" s="226"/>
      <c r="P52" s="227"/>
      <c r="Q52" s="117"/>
      <c r="R52" s="209"/>
      <c r="S52" s="142"/>
      <c r="U52" s="84"/>
    </row>
    <row r="53" spans="1:53" ht="12.75" x14ac:dyDescent="0.2">
      <c r="A53" s="17"/>
      <c r="B53" s="889"/>
      <c r="C53" s="1111" t="str">
        <f>EUR</f>
        <v/>
      </c>
      <c r="D53" s="17"/>
      <c r="E53" s="17"/>
      <c r="F53" s="17"/>
      <c r="G53" s="17"/>
      <c r="H53" s="17"/>
      <c r="I53" s="17"/>
      <c r="J53" s="17"/>
      <c r="K53" s="17"/>
      <c r="L53" s="65"/>
      <c r="M53" s="886"/>
      <c r="N53" s="886"/>
      <c r="O53" s="886"/>
      <c r="P53" s="893"/>
      <c r="Q53" s="117"/>
      <c r="R53" s="209"/>
      <c r="U53" s="84">
        <f>U48+U22</f>
      </c>
      <c r="V53" s="2080">
        <f>'p6'!U44</f>
      </c>
      <c r="W53" s="2080">
        <f>'p6'!S33</f>
      </c>
    </row>
    <row r="54" spans="1:53" ht="15" x14ac:dyDescent="0.2">
      <c r="A54" s="17"/>
      <c r="B54" s="884" t="s">
        <v>5155</v>
      </c>
      <c r="C54" s="128"/>
      <c r="D54" s="128"/>
      <c r="E54" s="128"/>
      <c r="F54" s="128"/>
      <c r="G54" s="128"/>
      <c r="H54" s="128"/>
      <c r="I54" s="128"/>
      <c r="J54" s="128"/>
      <c r="K54" s="128"/>
      <c r="L54" s="174"/>
      <c r="M54" s="880">
        <f>SUM(M29:M47)</f>
      </c>
      <c r="N54" s="880">
        <f>ROUND(SUM(N29:N49),0)</f>
      </c>
      <c r="O54" s="880">
        <f>SUM(O29:O47)</f>
      </c>
      <c r="P54" s="880">
        <f>SUM(P29:P48)</f>
      </c>
      <c r="Q54" s="1385" t="s">
        <v>6206</v>
      </c>
      <c r="R54" s="209"/>
      <c r="S54" s="32"/>
      <c r="U54" s="84"/>
      <c r="V54" s="84"/>
      <c r="W54" s="30">
        <f>COUNT(M29:M29:O36,M37,O37,N48,M38:O47)</f>
      </c>
      <c r="Y54" s="84"/>
      <c r="BA54" s="192">
        <f>SUM(BA15:BA47)</f>
      </c>
    </row>
    <row r="55" spans="1:53" ht="26.25" customHeight="1" x14ac:dyDescent="0.2">
      <c r="A55" s="117"/>
      <c r="B55" s="894" t="str">
        <f>_xlfn.SINGLE(MTCA)</f>
      </c>
      <c r="C55" s="117"/>
      <c r="D55" s="117"/>
      <c r="E55" s="117"/>
      <c r="F55" s="117"/>
      <c r="G55" s="117"/>
      <c r="H55" s="117"/>
      <c r="I55" s="117"/>
      <c r="J55" s="894" t="str">
        <f>ver</f>
        <v>TA2_e-CO_2025_Ver 1.1</v>
      </c>
      <c r="K55" s="117"/>
      <c r="L55" s="894"/>
      <c r="M55" s="894"/>
      <c r="N55" s="117"/>
      <c r="O55" s="117"/>
      <c r="P55" s="56" t="s">
        <v>7815</v>
      </c>
      <c r="Q55" s="117"/>
      <c r="R55" s="209">
        <f>SUM(R2:R52)</f>
      </c>
      <c r="S55" s="225"/>
      <c r="W55" s="28">
        <f>W54+W15</f>
      </c>
    </row>
    <row r="56" spans="1:53" ht="7.5" customHeight="1" x14ac:dyDescent="0.2">
      <c r="A56" s="211"/>
      <c r="B56" s="211"/>
      <c r="C56" s="211"/>
      <c r="D56" s="211"/>
      <c r="E56" s="211"/>
      <c r="F56" s="211"/>
      <c r="G56" s="211"/>
      <c r="H56" s="211"/>
      <c r="I56" s="211"/>
      <c r="J56" s="211"/>
      <c r="K56" s="211"/>
      <c r="L56" s="211"/>
      <c r="M56" s="211"/>
      <c r="N56" s="211"/>
      <c r="O56" s="211"/>
      <c r="P56" s="211"/>
      <c r="Q56" s="117"/>
      <c r="R56" s="209"/>
      <c r="S56" s="32"/>
    </row>
    <row r="57" spans="1:53" ht="16.5" customHeight="1" x14ac:dyDescent="0.2">
      <c r="A57" s="211"/>
      <c r="B57" s="211"/>
      <c r="C57" s="211"/>
      <c r="D57" s="211"/>
      <c r="E57" s="211"/>
      <c r="F57" s="211"/>
      <c r="G57" s="211"/>
      <c r="H57" s="211"/>
      <c r="I57" s="211"/>
      <c r="J57" s="895" t="str">
        <f>COM&amp;" "</f>
        <v xml:space="preserve">IS ATTACHMENT COMPLETE [Y or N] ? </v>
      </c>
      <c r="K57" s="211"/>
      <c r="L57" s="211"/>
      <c r="M57" s="211"/>
      <c r="N57" s="211"/>
      <c r="O57" s="896"/>
      <c r="P57" s="1299" t="str">
        <f>IF(AND(Z1=2,AA1=0),"",IF(AND(X57=0,W55=0),"",IF(O57="",re,"")))</f>
        <v/>
      </c>
      <c r="Q57" s="117"/>
      <c r="R57" s="897">
        <f>IF(AND(Z1=2,AA1=0),0,IF(AND(notifd=1,W55=0),0,IF(AND(X57=0,W55=0),0,IF(AND(X57=1,W55=0),100,IF(R55&gt;0,100,IF(O57=y,1,100))))))</f>
      </c>
      <c r="X57" s="28">
        <f>IF(Y57=y,0,1)</f>
      </c>
      <c r="Y57" s="28" t="str">
        <f>TRA62_IPA!G10</f>
      </c>
    </row>
    <row r="58" spans="1:53" ht="15" customHeight="1" x14ac:dyDescent="0.2">
      <c r="A58" s="17"/>
      <c r="B58" s="4273" t="s">
        <v>6841</v>
      </c>
      <c r="C58" s="4273"/>
      <c r="D58" s="4273"/>
      <c r="E58" s="4273"/>
      <c r="F58" s="4273"/>
      <c r="G58" s="4273"/>
      <c r="H58" s="211"/>
      <c r="I58" s="211"/>
      <c r="J58" s="211"/>
      <c r="K58" s="211"/>
      <c r="L58" s="211"/>
      <c r="M58" s="211"/>
      <c r="N58" s="211"/>
      <c r="O58" s="211"/>
      <c r="P58" s="211"/>
      <c r="Q58" s="211"/>
    </row>
    <row r="59" spans="1:53" ht="4.1500000000000004" customHeight="1" x14ac:dyDescent="0.2">
      <c r="A59" s="211"/>
      <c r="B59" s="211"/>
      <c r="C59" s="211"/>
      <c r="D59" s="211"/>
      <c r="E59" s="211"/>
      <c r="F59" s="211"/>
      <c r="G59" s="211"/>
      <c r="H59" s="211"/>
      <c r="I59" s="211"/>
      <c r="J59" s="211"/>
      <c r="K59" s="211"/>
      <c r="L59" s="211"/>
      <c r="M59" s="211"/>
      <c r="N59" s="211"/>
      <c r="O59" s="211"/>
      <c r="P59" s="211"/>
      <c r="Q59" s="211"/>
    </row>
    <row r="60" spans="1:53" ht="15" hidden="1" customHeight="1" x14ac:dyDescent="0.2">
      <c r="A60" s="142"/>
      <c r="B60" s="142"/>
      <c r="C60" s="142"/>
      <c r="D60" s="142"/>
      <c r="E60" s="142"/>
      <c r="F60" s="142"/>
      <c r="G60" s="142"/>
      <c r="H60" s="142"/>
      <c r="I60" s="142"/>
      <c r="J60" s="142"/>
      <c r="K60" s="142"/>
      <c r="L60" s="142"/>
      <c r="M60" s="142"/>
      <c r="N60" s="142"/>
      <c r="O60" s="142"/>
      <c r="P60" s="142"/>
      <c r="Q60" s="142"/>
      <c r="T60" s="84"/>
    </row>
    <row r="61" spans="1:53" ht="12.75" hidden="1" x14ac:dyDescent="0.2">
      <c r="A61" s="142"/>
      <c r="B61" s="142"/>
      <c r="C61" s="142"/>
      <c r="D61" s="142"/>
      <c r="E61" s="142"/>
      <c r="F61" s="142"/>
      <c r="G61" s="142"/>
      <c r="H61" s="142"/>
      <c r="I61" s="142"/>
      <c r="J61" s="142"/>
      <c r="K61" s="142"/>
      <c r="L61" s="142"/>
      <c r="M61" s="142"/>
      <c r="N61" s="142"/>
      <c r="O61" s="142"/>
      <c r="P61" s="142"/>
      <c r="Q61" s="142"/>
    </row>
    <row r="62" spans="1:53" ht="15" hidden="1" customHeight="1" x14ac:dyDescent="0.2">
      <c r="A62" s="142"/>
      <c r="B62" s="142"/>
      <c r="C62" s="142" t="s">
        <v>4457</v>
      </c>
      <c r="D62" s="142"/>
      <c r="E62" s="142"/>
      <c r="F62" s="142"/>
      <c r="G62" s="142"/>
      <c r="H62" s="142"/>
      <c r="I62" s="142"/>
      <c r="J62" s="142"/>
      <c r="K62" s="142"/>
      <c r="L62" s="142"/>
      <c r="M62" s="142"/>
      <c r="N62" s="142"/>
      <c r="O62" s="142"/>
      <c r="P62" s="142"/>
      <c r="Q62" s="142"/>
      <c r="U62" s="84"/>
    </row>
    <row r="63" spans="1:53" ht="12.75" hidden="1" x14ac:dyDescent="0.2">
      <c r="A63" s="142"/>
      <c r="B63" s="142"/>
      <c r="C63" s="142" t="s">
        <v>1736</v>
      </c>
      <c r="D63" s="142"/>
      <c r="E63" s="142"/>
      <c r="F63" s="142"/>
      <c r="G63" s="142"/>
      <c r="H63" s="142"/>
      <c r="I63" s="142"/>
      <c r="J63" s="142"/>
      <c r="K63" s="142"/>
      <c r="L63" s="142"/>
      <c r="M63" s="142"/>
      <c r="N63" s="142"/>
      <c r="O63" s="142"/>
      <c r="P63" s="142"/>
      <c r="Q63" s="142"/>
    </row>
    <row r="64" spans="1:53" ht="5.25" hidden="1" customHeight="1" x14ac:dyDescent="0.2">
      <c r="A64" s="142"/>
      <c r="B64" s="142"/>
      <c r="C64" s="142"/>
      <c r="D64" s="142"/>
      <c r="E64" s="142"/>
      <c r="F64" s="142"/>
      <c r="G64" s="142"/>
      <c r="H64" s="142"/>
      <c r="I64" s="142"/>
      <c r="J64" s="142"/>
      <c r="K64" s="142"/>
      <c r="L64" s="142"/>
      <c r="M64" s="142"/>
      <c r="N64" s="142"/>
      <c r="O64" s="142"/>
      <c r="P64" s="142"/>
      <c r="Q64" s="142"/>
    </row>
    <row r="65" spans="1:20" ht="21.75" hidden="1" customHeight="1" x14ac:dyDescent="0.2">
      <c r="A65" s="142"/>
      <c r="B65" s="142"/>
      <c r="C65" s="142"/>
      <c r="D65" s="142"/>
      <c r="E65" s="142"/>
      <c r="F65" s="142"/>
      <c r="G65" s="142"/>
      <c r="H65" s="142"/>
      <c r="I65" s="142"/>
      <c r="J65" s="142"/>
      <c r="K65" s="142"/>
      <c r="L65" s="142"/>
      <c r="M65" s="142"/>
      <c r="N65" s="142"/>
      <c r="O65" s="142"/>
      <c r="P65" s="142"/>
      <c r="Q65" s="142"/>
    </row>
    <row r="66" spans="1:20" ht="12.75" hidden="1" x14ac:dyDescent="0.2">
      <c r="A66" s="142"/>
      <c r="B66" s="142"/>
      <c r="C66" s="142"/>
      <c r="D66" s="142"/>
      <c r="E66" s="142"/>
      <c r="F66" s="142"/>
      <c r="G66" s="142"/>
      <c r="H66" s="142"/>
      <c r="I66" s="142"/>
      <c r="J66" s="142"/>
      <c r="K66" s="142"/>
      <c r="L66" s="142"/>
      <c r="M66" s="142"/>
      <c r="N66" s="142"/>
      <c r="O66" s="142"/>
      <c r="P66" s="142"/>
      <c r="Q66" s="142"/>
      <c r="T66" s="32"/>
    </row>
    <row r="67" spans="1:20" ht="12.75" hidden="1" x14ac:dyDescent="0.2">
      <c r="A67" s="142"/>
      <c r="B67" s="142"/>
      <c r="C67" s="142"/>
      <c r="D67" s="142"/>
      <c r="E67" s="142"/>
      <c r="F67" s="142"/>
      <c r="G67" s="142"/>
      <c r="H67" s="142"/>
      <c r="I67" s="142"/>
      <c r="J67" s="142"/>
      <c r="K67" s="142"/>
      <c r="L67" s="142"/>
      <c r="M67" s="142"/>
      <c r="N67" s="142"/>
      <c r="O67" s="142"/>
      <c r="P67" s="142"/>
      <c r="Q67" s="142"/>
      <c r="T67" s="32"/>
    </row>
    <row r="68" spans="1:20" ht="3.75" hidden="1" customHeight="1" x14ac:dyDescent="0.2">
      <c r="A68" s="142"/>
      <c r="B68" s="142"/>
      <c r="C68" s="142"/>
      <c r="D68" s="142"/>
      <c r="E68" s="142"/>
      <c r="F68" s="142"/>
      <c r="G68" s="142"/>
      <c r="H68" s="142"/>
      <c r="I68" s="142"/>
      <c r="J68" s="142"/>
      <c r="K68" s="142"/>
      <c r="L68" s="142"/>
      <c r="M68" s="142"/>
      <c r="N68" s="142"/>
      <c r="O68" s="142"/>
      <c r="P68" s="142"/>
      <c r="Q68" s="142"/>
      <c r="T68" s="32"/>
    </row>
    <row r="69" spans="1:20" ht="15" hidden="1" customHeight="1" x14ac:dyDescent="0.2">
      <c r="A69" s="142"/>
      <c r="B69" s="142"/>
      <c r="C69" s="142"/>
      <c r="D69" s="142"/>
      <c r="E69" s="142"/>
      <c r="F69" s="142"/>
      <c r="G69" s="142"/>
      <c r="H69" s="142"/>
      <c r="I69" s="142"/>
      <c r="J69" s="142"/>
      <c r="K69" s="142"/>
      <c r="L69" s="142"/>
      <c r="M69" s="142"/>
      <c r="N69" s="142"/>
      <c r="O69" s="142"/>
      <c r="P69" s="142"/>
      <c r="Q69" s="142"/>
      <c r="T69" s="32"/>
    </row>
    <row r="70" spans="1:20" ht="7.5" hidden="1" customHeight="1" x14ac:dyDescent="0.2">
      <c r="A70" s="142"/>
      <c r="B70" s="142"/>
      <c r="C70" s="142"/>
      <c r="D70" s="142"/>
      <c r="E70" s="142"/>
      <c r="F70" s="142"/>
      <c r="G70" s="142"/>
      <c r="H70" s="142"/>
      <c r="I70" s="142"/>
      <c r="J70" s="142"/>
      <c r="K70" s="142"/>
      <c r="L70" s="142"/>
      <c r="M70" s="142"/>
      <c r="N70" s="142"/>
      <c r="O70" s="142"/>
      <c r="P70" s="142"/>
      <c r="Q70" s="142"/>
      <c r="T70" s="32"/>
    </row>
    <row r="71" spans="1:20" ht="12.75" hidden="1" x14ac:dyDescent="0.2">
      <c r="A71" s="142"/>
      <c r="B71" s="142"/>
      <c r="C71" s="142"/>
      <c r="D71" s="142"/>
      <c r="E71" s="142"/>
      <c r="F71" s="142"/>
      <c r="G71" s="142"/>
      <c r="H71" s="142"/>
      <c r="I71" s="142"/>
      <c r="J71" s="142"/>
      <c r="K71" s="142"/>
      <c r="L71" s="142"/>
      <c r="M71" s="142"/>
      <c r="N71" s="142"/>
      <c r="O71" s="142"/>
      <c r="P71" s="142"/>
      <c r="Q71" s="142"/>
      <c r="T71" s="32"/>
    </row>
    <row r="72" spans="1:20" ht="2.25" hidden="1" customHeight="1" x14ac:dyDescent="0.2">
      <c r="A72" s="142"/>
      <c r="B72" s="142"/>
      <c r="C72" s="142"/>
      <c r="D72" s="142"/>
      <c r="E72" s="142"/>
      <c r="F72" s="142"/>
      <c r="G72" s="142"/>
      <c r="H72" s="142"/>
      <c r="I72" s="142"/>
      <c r="J72" s="142"/>
      <c r="K72" s="142"/>
      <c r="L72" s="142"/>
      <c r="M72" s="142"/>
      <c r="N72" s="142"/>
      <c r="O72" s="142"/>
      <c r="P72" s="142"/>
      <c r="Q72" s="142"/>
      <c r="T72" s="32"/>
    </row>
    <row r="73" spans="1:20" ht="15" hidden="1" customHeight="1" x14ac:dyDescent="0.2">
      <c r="A73" s="142"/>
      <c r="B73" s="142"/>
      <c r="C73" s="142"/>
      <c r="D73" s="142"/>
      <c r="E73" s="142"/>
      <c r="F73" s="142"/>
      <c r="G73" s="142"/>
      <c r="H73" s="142"/>
      <c r="I73" s="142"/>
      <c r="J73" s="142"/>
      <c r="K73" s="142"/>
      <c r="L73" s="142"/>
      <c r="M73" s="142"/>
      <c r="N73" s="142"/>
      <c r="O73" s="142"/>
      <c r="P73" s="142"/>
      <c r="Q73" s="142"/>
      <c r="T73" s="32"/>
    </row>
    <row r="74" spans="1:20" ht="4.1500000000000004" hidden="1" customHeight="1" x14ac:dyDescent="0.2">
      <c r="A74" s="142"/>
      <c r="B74" s="142"/>
      <c r="C74" s="142"/>
      <c r="D74" s="142"/>
      <c r="E74" s="142"/>
      <c r="F74" s="142"/>
      <c r="G74" s="142"/>
      <c r="H74" s="142"/>
      <c r="I74" s="142"/>
      <c r="J74" s="142"/>
      <c r="K74" s="142"/>
      <c r="L74" s="142"/>
      <c r="M74" s="142"/>
      <c r="N74" s="142"/>
      <c r="O74" s="142"/>
      <c r="P74" s="142"/>
      <c r="Q74" s="142"/>
      <c r="T74" s="32"/>
    </row>
    <row r="75" spans="1:20" ht="12.75" hidden="1" x14ac:dyDescent="0.2">
      <c r="A75" s="142"/>
      <c r="B75" s="142"/>
      <c r="C75" s="142"/>
      <c r="D75" s="142"/>
      <c r="E75" s="142"/>
      <c r="F75" s="142"/>
      <c r="G75" s="142"/>
      <c r="H75" s="142"/>
      <c r="I75" s="142"/>
      <c r="J75" s="142"/>
      <c r="K75" s="142"/>
      <c r="L75" s="142"/>
      <c r="M75" s="142"/>
      <c r="N75" s="142"/>
      <c r="O75" s="142"/>
      <c r="P75" s="142"/>
      <c r="Q75" s="142"/>
      <c r="T75" s="32"/>
    </row>
    <row r="76" spans="1:20" ht="2.25" hidden="1" customHeight="1" x14ac:dyDescent="0.2">
      <c r="A76" s="142"/>
      <c r="B76" s="142"/>
      <c r="C76" s="142"/>
      <c r="D76" s="142"/>
      <c r="E76" s="142"/>
      <c r="F76" s="142"/>
      <c r="G76" s="142"/>
      <c r="H76" s="142"/>
      <c r="I76" s="142"/>
      <c r="J76" s="142"/>
      <c r="K76" s="142"/>
      <c r="L76" s="142"/>
      <c r="M76" s="142"/>
      <c r="N76" s="142"/>
      <c r="O76" s="142"/>
      <c r="P76" s="142"/>
      <c r="Q76" s="142"/>
      <c r="T76" s="32"/>
    </row>
    <row r="77" spans="1:20" ht="15" hidden="1" customHeight="1" x14ac:dyDescent="0.2">
      <c r="A77" s="142"/>
      <c r="B77" s="142"/>
      <c r="C77" s="142"/>
      <c r="D77" s="142"/>
      <c r="E77" s="142"/>
      <c r="F77" s="142"/>
      <c r="G77" s="142"/>
      <c r="H77" s="142"/>
      <c r="I77" s="142"/>
      <c r="J77" s="142"/>
      <c r="K77" s="142"/>
      <c r="L77" s="142"/>
      <c r="M77" s="142"/>
      <c r="N77" s="142"/>
      <c r="O77" s="142"/>
      <c r="P77" s="142"/>
      <c r="Q77" s="142"/>
      <c r="T77" s="32"/>
    </row>
    <row r="78" spans="1:20" ht="4.1500000000000004" hidden="1" customHeight="1" x14ac:dyDescent="0.2">
      <c r="A78" s="142"/>
      <c r="B78" s="142"/>
      <c r="C78" s="142"/>
      <c r="D78" s="142"/>
      <c r="E78" s="142"/>
      <c r="F78" s="142"/>
      <c r="G78" s="142"/>
      <c r="H78" s="142"/>
      <c r="I78" s="142"/>
      <c r="J78" s="142"/>
      <c r="K78" s="142"/>
      <c r="L78" s="142"/>
      <c r="M78" s="142"/>
      <c r="N78" s="142"/>
      <c r="O78" s="142"/>
      <c r="P78" s="142"/>
      <c r="Q78" s="142"/>
    </row>
    <row r="79" spans="1:20" ht="15" hidden="1" customHeight="1" x14ac:dyDescent="0.2">
      <c r="A79" s="142"/>
      <c r="B79" s="142"/>
      <c r="C79" s="142"/>
      <c r="D79" s="142"/>
      <c r="E79" s="142"/>
      <c r="F79" s="142"/>
      <c r="G79" s="142"/>
      <c r="H79" s="142"/>
      <c r="I79" s="142"/>
      <c r="J79" s="142"/>
      <c r="K79" s="142"/>
      <c r="L79" s="142"/>
      <c r="M79" s="142"/>
      <c r="N79" s="142"/>
      <c r="O79" s="142"/>
      <c r="P79" s="142"/>
      <c r="Q79" s="142"/>
    </row>
    <row r="80" spans="1:20" ht="4.1500000000000004" hidden="1" customHeight="1" x14ac:dyDescent="0.2">
      <c r="A80" s="142"/>
      <c r="B80" s="142"/>
      <c r="C80" s="142"/>
      <c r="D80" s="142"/>
      <c r="E80" s="142"/>
      <c r="F80" s="142"/>
      <c r="G80" s="142"/>
      <c r="H80" s="142"/>
      <c r="I80" s="142"/>
      <c r="J80" s="142"/>
      <c r="K80" s="142"/>
      <c r="L80" s="142"/>
      <c r="M80" s="142"/>
      <c r="N80" s="142"/>
      <c r="O80" s="142"/>
      <c r="P80" s="142"/>
      <c r="Q80" s="142"/>
    </row>
    <row r="81" spans="1:17" ht="15" hidden="1" customHeight="1" x14ac:dyDescent="0.2">
      <c r="A81" s="142"/>
      <c r="B81" s="142"/>
      <c r="C81" s="142"/>
      <c r="D81" s="142"/>
      <c r="E81" s="142"/>
      <c r="F81" s="142"/>
      <c r="G81" s="142"/>
      <c r="H81" s="142"/>
      <c r="I81" s="142"/>
      <c r="J81" s="142"/>
      <c r="K81" s="142"/>
      <c r="L81" s="142"/>
      <c r="M81" s="142"/>
      <c r="N81" s="142"/>
      <c r="O81" s="142"/>
      <c r="P81" s="142"/>
      <c r="Q81" s="142"/>
    </row>
    <row r="82" spans="1:17" ht="4.1500000000000004" hidden="1" customHeight="1" x14ac:dyDescent="0.2">
      <c r="A82" s="142"/>
      <c r="B82" s="142"/>
      <c r="C82" s="142"/>
      <c r="D82" s="142"/>
      <c r="E82" s="142"/>
      <c r="F82" s="142"/>
      <c r="G82" s="142"/>
      <c r="H82" s="142"/>
      <c r="I82" s="142"/>
      <c r="J82" s="142"/>
      <c r="K82" s="142"/>
      <c r="L82" s="142"/>
      <c r="M82" s="142"/>
      <c r="N82" s="142"/>
      <c r="O82" s="142"/>
      <c r="P82" s="142"/>
      <c r="Q82" s="142"/>
    </row>
    <row r="83" spans="1:17" ht="15" hidden="1" customHeight="1" x14ac:dyDescent="0.2">
      <c r="A83" s="142"/>
      <c r="B83" s="142"/>
      <c r="C83" s="142"/>
      <c r="D83" s="142"/>
      <c r="E83" s="142"/>
      <c r="F83" s="142"/>
      <c r="G83" s="142"/>
      <c r="H83" s="142"/>
      <c r="I83" s="142"/>
      <c r="J83" s="142"/>
      <c r="K83" s="142"/>
      <c r="L83" s="142"/>
      <c r="M83" s="142"/>
      <c r="N83" s="142"/>
      <c r="O83" s="142"/>
      <c r="P83" s="142"/>
      <c r="Q83" s="142"/>
    </row>
    <row r="84" spans="1:17" ht="4.1500000000000004" hidden="1" customHeight="1" x14ac:dyDescent="0.2">
      <c r="A84" s="142"/>
      <c r="B84" s="142"/>
      <c r="C84" s="142"/>
      <c r="D84" s="142"/>
      <c r="E84" s="142"/>
      <c r="F84" s="142"/>
      <c r="G84" s="142"/>
      <c r="H84" s="142"/>
      <c r="I84" s="142"/>
      <c r="J84" s="142"/>
      <c r="K84" s="142"/>
      <c r="L84" s="142"/>
      <c r="M84" s="142"/>
      <c r="N84" s="142"/>
      <c r="O84" s="142"/>
      <c r="P84" s="142"/>
      <c r="Q84" s="142"/>
    </row>
    <row r="85" spans="1:17" ht="15" hidden="1" customHeight="1" x14ac:dyDescent="0.2">
      <c r="A85" s="142"/>
      <c r="B85" s="142"/>
      <c r="C85" s="142"/>
      <c r="D85" s="142"/>
      <c r="E85" s="142"/>
      <c r="F85" s="142"/>
      <c r="G85" s="142"/>
      <c r="H85" s="142"/>
      <c r="I85" s="142"/>
      <c r="J85" s="142"/>
      <c r="K85" s="142"/>
      <c r="L85" s="142"/>
      <c r="M85" s="142"/>
      <c r="N85" s="142"/>
      <c r="O85" s="142"/>
      <c r="P85" s="142"/>
      <c r="Q85" s="142"/>
    </row>
    <row r="86" spans="1:17" ht="4.5" hidden="1" customHeight="1" x14ac:dyDescent="0.2">
      <c r="A86" s="142"/>
      <c r="B86" s="142"/>
      <c r="C86" s="142"/>
      <c r="D86" s="142"/>
      <c r="E86" s="142"/>
      <c r="F86" s="142"/>
      <c r="G86" s="142"/>
      <c r="H86" s="142"/>
      <c r="I86" s="142"/>
      <c r="J86" s="142"/>
      <c r="K86" s="142"/>
      <c r="L86" s="142"/>
      <c r="M86" s="142"/>
      <c r="N86" s="142"/>
      <c r="O86" s="142"/>
      <c r="P86" s="142"/>
      <c r="Q86" s="142"/>
    </row>
    <row r="87" spans="1:17" ht="15" hidden="1" customHeight="1" x14ac:dyDescent="0.2">
      <c r="A87" s="142"/>
      <c r="B87" s="142"/>
      <c r="C87" s="142"/>
      <c r="D87" s="142"/>
      <c r="E87" s="142"/>
      <c r="F87" s="142"/>
      <c r="G87" s="142"/>
      <c r="H87" s="142"/>
      <c r="I87" s="142"/>
      <c r="J87" s="142"/>
      <c r="K87" s="142"/>
      <c r="L87" s="142"/>
      <c r="M87" s="142"/>
      <c r="N87" s="142"/>
      <c r="O87" s="142"/>
      <c r="P87" s="142"/>
      <c r="Q87" s="142"/>
    </row>
    <row r="88" spans="1:17" ht="6" hidden="1" customHeight="1" x14ac:dyDescent="0.2">
      <c r="A88" s="142"/>
      <c r="B88" s="142"/>
      <c r="C88" s="142"/>
      <c r="D88" s="142"/>
      <c r="E88" s="142"/>
      <c r="F88" s="142"/>
      <c r="G88" s="142"/>
      <c r="H88" s="142"/>
      <c r="I88" s="142"/>
      <c r="J88" s="142"/>
      <c r="K88" s="142"/>
      <c r="L88" s="142"/>
      <c r="M88" s="142"/>
      <c r="N88" s="142"/>
      <c r="O88" s="142"/>
      <c r="P88" s="142"/>
      <c r="Q88" s="142"/>
    </row>
    <row r="89" spans="1:17" ht="14.25" hidden="1" customHeight="1" x14ac:dyDescent="0.2">
      <c r="A89" s="142"/>
      <c r="B89" s="142"/>
      <c r="C89" s="142"/>
      <c r="D89" s="142"/>
      <c r="E89" s="142"/>
      <c r="F89" s="142"/>
      <c r="G89" s="142"/>
      <c r="H89" s="142"/>
      <c r="I89" s="142"/>
      <c r="J89" s="142"/>
      <c r="K89" s="142"/>
      <c r="L89" s="142"/>
      <c r="M89" s="142"/>
      <c r="N89" s="142"/>
      <c r="O89" s="142"/>
      <c r="P89" s="142"/>
      <c r="Q89" s="142"/>
    </row>
    <row r="90" spans="1:17" ht="4.1500000000000004" hidden="1" customHeight="1" x14ac:dyDescent="0.2">
      <c r="A90" s="142"/>
      <c r="B90" s="142"/>
      <c r="C90" s="142"/>
      <c r="D90" s="142"/>
      <c r="E90" s="142"/>
      <c r="F90" s="142"/>
      <c r="G90" s="142"/>
      <c r="H90" s="142"/>
      <c r="I90" s="142"/>
      <c r="J90" s="142"/>
      <c r="K90" s="142"/>
      <c r="L90" s="142"/>
      <c r="M90" s="142"/>
      <c r="N90" s="142"/>
      <c r="O90" s="142"/>
      <c r="P90" s="142"/>
      <c r="Q90" s="142"/>
    </row>
    <row r="91" spans="1:17" ht="15" hidden="1" customHeight="1" x14ac:dyDescent="0.2">
      <c r="A91" s="142"/>
      <c r="B91" s="142"/>
      <c r="C91" s="142"/>
      <c r="D91" s="142"/>
      <c r="E91" s="142"/>
      <c r="F91" s="142"/>
      <c r="G91" s="142"/>
      <c r="H91" s="142"/>
      <c r="I91" s="142"/>
      <c r="J91" s="142"/>
      <c r="K91" s="142"/>
      <c r="L91" s="142"/>
      <c r="M91" s="142"/>
      <c r="N91" s="142"/>
      <c r="O91" s="142"/>
      <c r="P91" s="142"/>
      <c r="Q91" s="142"/>
    </row>
    <row r="92" spans="1:17" ht="4.1500000000000004" hidden="1" customHeight="1" x14ac:dyDescent="0.2">
      <c r="A92" s="142"/>
      <c r="B92" s="142"/>
      <c r="C92" s="142"/>
      <c r="D92" s="142"/>
      <c r="E92" s="142"/>
      <c r="F92" s="142"/>
      <c r="G92" s="142"/>
      <c r="H92" s="142"/>
      <c r="I92" s="142"/>
      <c r="J92" s="142"/>
      <c r="K92" s="142"/>
      <c r="L92" s="142"/>
      <c r="M92" s="142"/>
      <c r="N92" s="142"/>
      <c r="O92" s="142"/>
      <c r="P92" s="142"/>
      <c r="Q92" s="142"/>
    </row>
    <row r="93" spans="1:17" ht="15" hidden="1" customHeight="1" x14ac:dyDescent="0.2">
      <c r="A93" s="142"/>
      <c r="B93" s="142"/>
      <c r="C93" s="142"/>
      <c r="D93" s="142"/>
      <c r="E93" s="142"/>
      <c r="F93" s="142"/>
      <c r="G93" s="142"/>
      <c r="H93" s="142"/>
      <c r="I93" s="142"/>
      <c r="J93" s="142"/>
      <c r="K93" s="142"/>
      <c r="L93" s="142"/>
      <c r="M93" s="142"/>
      <c r="N93" s="142"/>
      <c r="O93" s="142"/>
      <c r="P93" s="142"/>
      <c r="Q93" s="142"/>
    </row>
    <row r="94" spans="1:17" ht="4.1500000000000004" hidden="1" customHeight="1" x14ac:dyDescent="0.2">
      <c r="A94" s="142"/>
      <c r="B94" s="142"/>
      <c r="C94" s="142"/>
      <c r="D94" s="142"/>
      <c r="E94" s="142"/>
      <c r="F94" s="142"/>
      <c r="G94" s="142"/>
      <c r="H94" s="142"/>
      <c r="I94" s="142"/>
      <c r="J94" s="142"/>
      <c r="K94" s="142"/>
      <c r="L94" s="142"/>
      <c r="M94" s="142"/>
      <c r="N94" s="142"/>
      <c r="O94" s="142"/>
      <c r="P94" s="142"/>
      <c r="Q94" s="142"/>
    </row>
    <row r="95" spans="1:17" ht="15" hidden="1" customHeight="1" x14ac:dyDescent="0.2">
      <c r="A95" s="142"/>
      <c r="B95" s="142"/>
      <c r="C95" s="142"/>
      <c r="D95" s="142"/>
      <c r="E95" s="142"/>
      <c r="F95" s="142"/>
      <c r="G95" s="142"/>
      <c r="H95" s="142"/>
      <c r="I95" s="142"/>
      <c r="J95" s="142"/>
      <c r="K95" s="142"/>
      <c r="L95" s="142"/>
      <c r="M95" s="142"/>
      <c r="N95" s="142"/>
      <c r="O95" s="142"/>
      <c r="P95" s="142"/>
      <c r="Q95" s="142"/>
    </row>
    <row r="96" spans="1:17" ht="4.1500000000000004" hidden="1" customHeight="1" x14ac:dyDescent="0.2">
      <c r="A96" s="142"/>
      <c r="B96" s="142"/>
      <c r="C96" s="142"/>
      <c r="D96" s="142"/>
      <c r="E96" s="142"/>
      <c r="F96" s="142"/>
      <c r="G96" s="142"/>
      <c r="H96" s="142"/>
      <c r="I96" s="142"/>
      <c r="J96" s="142"/>
      <c r="K96" s="142"/>
      <c r="L96" s="142"/>
      <c r="M96" s="142"/>
      <c r="N96" s="142"/>
      <c r="O96" s="142"/>
      <c r="P96" s="142"/>
      <c r="Q96" s="142"/>
    </row>
    <row r="97" spans="1:19" ht="15" hidden="1" customHeight="1" x14ac:dyDescent="0.2">
      <c r="A97" s="142"/>
      <c r="B97" s="142"/>
      <c r="C97" s="142"/>
      <c r="D97" s="142"/>
      <c r="E97" s="142"/>
      <c r="F97" s="142"/>
      <c r="G97" s="142"/>
      <c r="H97" s="142"/>
      <c r="I97" s="142"/>
      <c r="J97" s="142"/>
      <c r="K97" s="142"/>
      <c r="L97" s="142"/>
      <c r="M97" s="142"/>
      <c r="N97" s="142"/>
      <c r="O97" s="142"/>
      <c r="P97" s="142"/>
      <c r="Q97" s="142"/>
    </row>
    <row r="98" spans="1:19" ht="12.75" hidden="1" x14ac:dyDescent="0.2">
      <c r="A98" s="142"/>
      <c r="B98" s="142"/>
      <c r="C98" s="142"/>
      <c r="D98" s="142"/>
      <c r="E98" s="142"/>
      <c r="F98" s="142"/>
      <c r="G98" s="142"/>
      <c r="H98" s="142"/>
      <c r="I98" s="142"/>
      <c r="J98" s="142"/>
      <c r="K98" s="142"/>
      <c r="L98" s="142"/>
      <c r="M98" s="142"/>
      <c r="N98" s="142"/>
      <c r="O98" s="142"/>
      <c r="P98" s="142"/>
      <c r="Q98" s="142"/>
      <c r="S98" s="28">
        <f>IF(R97&gt;0,100,1)</f>
      </c>
    </row>
    <row r="99" spans="1:19" ht="12.75" hidden="1" x14ac:dyDescent="0.2">
      <c r="A99" s="46"/>
      <c r="B99" s="46"/>
      <c r="C99" s="46"/>
      <c r="D99" s="46"/>
      <c r="E99" s="46"/>
      <c r="F99" s="46"/>
      <c r="G99" s="46"/>
      <c r="H99" s="46"/>
      <c r="I99" s="46"/>
      <c r="J99" s="46"/>
      <c r="K99" s="46"/>
      <c r="L99" s="46"/>
      <c r="M99" s="46"/>
      <c r="N99" s="46"/>
      <c r="O99" s="46"/>
      <c r="P99" s="46"/>
      <c r="Q99" s="898"/>
      <c r="R99" s="898"/>
    </row>
    <row r="100" spans="1:19" ht="12.75" hidden="1" customHeight="1" x14ac:dyDescent="0.2">
      <c r="A100" s="46"/>
      <c r="B100" s="46"/>
      <c r="C100" s="46"/>
      <c r="D100" s="46"/>
      <c r="E100" s="46"/>
      <c r="F100" s="46"/>
      <c r="G100" s="46"/>
      <c r="H100" s="46"/>
      <c r="I100" s="46"/>
      <c r="J100" s="46"/>
      <c r="K100" s="46"/>
      <c r="L100" s="46"/>
      <c r="M100" s="46"/>
      <c r="N100" s="46"/>
      <c r="O100" s="46"/>
      <c r="P100" s="46"/>
      <c r="Q100" s="898"/>
      <c r="R100" s="898"/>
    </row>
  </sheetData>
  <sheetProtection algorithmName="SHA-512" hashValue="xaLKC7sMa02/tMyzb5m//mJeJJtTc/epP8u2GA1runfsLIhT4KoGcFnNXeP6QZxJH+SfI3GkkgzOrPHzgDoBdA==" saltValue="58V2MR7hdDTOpmy6yDNGhg==" spinCount="100000" sheet="1" objects="1" scenarios="1"/>
  <customSheetViews>
    <customSheetView guid="{99B5278F-6EA9-4B1A-8623-27A4DF4AD5E4}" hiddenRows="1" hiddenColumns="1" topLeftCell="A21">
      <selection activeCell="N34" sqref="N34"/>
      <pageMargins left="0.28999999999999998" right="0.03" top="0.67" bottom="0.91" header="0.5" footer="0.43"/>
      <pageSetup paperSize="9" orientation="portrait" horizontalDpi="300" verticalDpi="300" r:id="rId1"/>
      <headerFooter alignWithMargins="0">
        <oddFooter>&amp;LName&amp;CSignature&amp;RDate</oddFooter>
      </headerFooter>
    </customSheetView>
  </customSheetViews>
  <mergeCells count="22">
    <mergeCell ref="B25:O25"/>
    <mergeCell ref="B58:G58"/>
    <mergeCell ref="B5:L6"/>
    <mergeCell ref="N26:O26"/>
    <mergeCell ref="B1:O1"/>
    <mergeCell ref="B2:P2"/>
    <mergeCell ref="P26:P27"/>
    <mergeCell ref="M26:M27"/>
    <mergeCell ref="B26:L27"/>
    <mergeCell ref="N5:O5"/>
    <mergeCell ref="C16:L16"/>
    <mergeCell ref="C15:L15"/>
    <mergeCell ref="C17:L17"/>
    <mergeCell ref="C14:L14"/>
    <mergeCell ref="C18:L18"/>
    <mergeCell ref="C19:L19"/>
    <mergeCell ref="C10:L10"/>
    <mergeCell ref="C9:L9"/>
    <mergeCell ref="C20:L20"/>
    <mergeCell ref="C13:L13"/>
    <mergeCell ref="C12:L12"/>
    <mergeCell ref="C11:L11"/>
  </mergeCells>
  <phoneticPr fontId="0" type="noConversion"/>
  <conditionalFormatting sqref="B2:P2">
    <cfRule type="expression" dxfId="563" priority="5" stopIfTrue="1">
      <formula>$R$2=1</formula>
    </cfRule>
  </conditionalFormatting>
  <conditionalFormatting sqref="Q18:Q20">
    <cfRule type="expression" dxfId="562" priority="8" stopIfTrue="1">
      <formula>$Q18=reo</formula>
    </cfRule>
  </conditionalFormatting>
  <conditionalFormatting sqref="Q29:Q47 Q9:Q20">
    <cfRule type="expression" dxfId="561" priority="4" stopIfTrue="1">
      <formula>$Q9=neg</formula>
    </cfRule>
  </conditionalFormatting>
  <conditionalFormatting sqref="Q45:Q47">
    <cfRule type="expression" dxfId="560" priority="1">
      <formula>$Q45=$W$19</formula>
    </cfRule>
  </conditionalFormatting>
  <dataValidations count="7">
    <dataValidation type="whole" allowBlank="1" showInputMessage="1" showErrorMessage="1" errorTitle="DIVIDENDS PAID" error="PLEASE ENTER A NEGATIVE VALUE!_x000a_OR_x000a_VALUE CANNOT EXCEED DISTRIBUTABLE RESERVES!" sqref="O29:O47 O9:O20" xr:uid="{00000000-0002-0000-3200-000000000000}">
      <formula1>S9</formula1>
      <formula2>0</formula2>
    </dataValidation>
    <dataValidation type="whole" allowBlank="1" showInputMessage="1" showErrorMessage="1" errorTitle="TAX ACCOUNTING" error="PLEASE ENTER A NEGATIVE VALUE NOT GREATER THAN N37!" sqref="N48" xr:uid="{00000000-0002-0000-3200-000001000000}">
      <formula1>N37*-1</formula1>
      <formula2>0</formula2>
    </dataValidation>
    <dataValidation type="decimal" allowBlank="1" showInputMessage="1" showErrorMessage="1" errorTitle="TAX RATE" error="PLEASE ENTER A POSITIVE VALUE THAT DOES NOT EXCEED 35c!" sqref="H37:H47" xr:uid="{00000000-0002-0000-3200-000002000000}">
      <formula1>0</formula1>
      <formula2>35</formula2>
    </dataValidation>
    <dataValidation type="whole" operator="greaterThanOrEqual" allowBlank="1" showInputMessage="1" showErrorMessage="1" errorTitle="TAX ACCOUNTING" error="PLEASE ENTER A POSITIVE VALUE!" sqref="M29:N47 M9:N20" xr:uid="{00000000-0002-0000-3200-000003000000}">
      <formula1>0</formula1>
    </dataValidation>
    <dataValidation operator="greaterThanOrEqual" allowBlank="1" showInputMessage="1" showErrorMessage="1" errorTitle="RETAINED EARNINGS / DISTRIBUTION" error="PLEASE ENTER A POSITIVE VALUE!" sqref="M54:P54" xr:uid="{00000000-0002-0000-3200-000004000000}"/>
    <dataValidation type="list" allowBlank="1" showInputMessage="1" showErrorMessage="1" sqref="O57" xr:uid="{00000000-0002-0000-3200-000005000000}">
      <formula1>$C$61:$C$63</formula1>
    </dataValidation>
    <dataValidation type="whole" allowBlank="1" showInputMessage="1" showErrorMessage="1" sqref="N49" xr:uid="{4873032B-F85A-43E0-88FF-270890995200}">
      <formula1>N37*-1</formula1>
      <formula2>0</formula2>
    </dataValidation>
  </dataValidations>
  <hyperlinks>
    <hyperlink ref="B58" location="Index!A1" display="Index!A1" xr:uid="{00000000-0004-0000-3200-000000000000}"/>
    <hyperlink ref="Q54" location="'p6'!B36" display="  Page 6" xr:uid="{00000000-0004-0000-3200-000001000000}"/>
    <hyperlink ref="L37" location="'TRA35'!A1" display="TRA 35" xr:uid="{00000000-0004-0000-3200-000002000000}"/>
  </hyperlinks>
  <pageMargins left="0.27559055118110237" right="3.937007874015748E-2" top="0.6692913385826772" bottom="0.9055118110236221" header="0.51181102362204722" footer="0.43307086614173229"/>
  <pageSetup paperSize="9" scale="95" orientation="landscape" r:id="rId2"/>
  <headerFooter alignWithMargins="0">
    <oddFooter>&amp;LName&amp;CSignature&amp;RDate</oddFooter>
  </headerFooter>
  <rowBreaks count="1" manualBreakCount="1">
    <brk id="24" max="16" man="1"/>
  </rowBreaks>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1">
    <pageSetUpPr fitToPage="1"/>
  </sheetPr>
  <dimension ref="A1:BL60"/>
  <sheetViews>
    <sheetView workbookViewId="0"/>
  </sheetViews>
  <sheetFormatPr defaultColWidth="0" defaultRowHeight="12.75" customHeight="1" zeroHeight="1" x14ac:dyDescent="0.2"/>
  <cols>
    <col min="1" max="1" width="0.7109375" style="28" customWidth="1"/>
    <col min="2" max="2" width="12.7109375" style="1393" customWidth="1"/>
    <col min="3" max="3" width="11.5703125" style="28" customWidth="1"/>
    <col min="4" max="4" width="10.5703125" style="28" customWidth="1"/>
    <col min="5" max="5" width="10.7109375" style="28" customWidth="1"/>
    <col min="6" max="6" width="9.7109375" style="40" customWidth="1"/>
    <col min="7" max="7" width="10.5703125" style="28" customWidth="1"/>
    <col min="8" max="8" width="6.28515625" style="40" customWidth="1"/>
    <col min="9" max="9" width="10" style="28" customWidth="1"/>
    <col min="10" max="10" width="6.5703125" style="28" customWidth="1"/>
    <col min="11" max="11" width="26.28515625" style="28" customWidth="1"/>
    <col min="12" max="12" width="12.42578125" style="28" hidden="1" customWidth="1"/>
    <col min="13" max="13" width="10.5703125" style="28" hidden="1" customWidth="1"/>
    <col min="14" max="14" width="4.7109375" style="28" hidden="1" customWidth="1"/>
    <col min="15" max="15" width="3.5703125" style="28" hidden="1" customWidth="1"/>
    <col min="16" max="16" width="7" style="28" hidden="1" customWidth="1"/>
    <col min="17" max="32" width="8.28515625" style="28" hidden="1" customWidth="1"/>
    <col min="33" max="33" width="28.42578125" style="28" hidden="1" customWidth="1"/>
    <col min="34" max="38" width="5" style="28" hidden="1" customWidth="1"/>
    <col min="39" max="16384" width="12.28515625" style="28" hidden="1"/>
  </cols>
  <sheetData>
    <row r="1" spans="1:59" s="66" customFormat="1" ht="12" x14ac:dyDescent="0.2">
      <c r="A1" s="1179"/>
      <c r="B1" s="5013" t="str">
        <f>_ref1</f>
      </c>
      <c r="C1" s="5013"/>
      <c r="D1" s="5013"/>
      <c r="E1" s="5013"/>
      <c r="F1" s="5013"/>
      <c r="G1" s="5013"/>
      <c r="H1" s="5013"/>
      <c r="I1" s="1179" t="str">
        <f>_YA1</f>
      </c>
      <c r="J1" s="1179"/>
      <c r="K1" s="1179"/>
      <c r="Q1" s="66" t="s">
        <v>5827</v>
      </c>
    </row>
    <row r="2" spans="1:59" x14ac:dyDescent="0.2">
      <c r="A2" s="860"/>
      <c r="B2" s="1194"/>
      <c r="C2" s="860"/>
      <c r="D2" s="860"/>
      <c r="E2" s="860"/>
      <c r="F2" s="860"/>
      <c r="G2" s="860"/>
      <c r="H2" s="860"/>
      <c r="I2" s="860"/>
      <c r="J2" s="860"/>
      <c r="K2" s="860"/>
      <c r="Q2" s="28" t="s">
        <v>5828</v>
      </c>
    </row>
    <row r="3" spans="1:59" ht="30.75" customHeight="1" x14ac:dyDescent="0.2">
      <c r="A3" s="860"/>
      <c r="B3" s="5015" t="s">
        <v>5144</v>
      </c>
      <c r="C3" s="5016"/>
      <c r="D3" s="5016"/>
      <c r="E3" s="5016"/>
      <c r="F3" s="5016"/>
      <c r="G3" s="5016"/>
      <c r="H3" s="5016"/>
      <c r="I3" s="5017"/>
      <c r="J3" s="3"/>
      <c r="K3" s="3"/>
      <c r="Q3" s="28" t="s">
        <v>2253</v>
      </c>
    </row>
    <row r="4" spans="1:59" ht="6.75" customHeight="1" x14ac:dyDescent="0.2">
      <c r="A4" s="860"/>
      <c r="B4" s="242"/>
      <c r="C4" s="3"/>
      <c r="D4" s="3"/>
      <c r="E4" s="3"/>
      <c r="F4" s="2"/>
      <c r="G4" s="3"/>
      <c r="H4" s="2"/>
      <c r="I4" s="3"/>
      <c r="J4" s="3"/>
      <c r="K4" s="3"/>
      <c r="Q4" s="28" t="s">
        <v>3272</v>
      </c>
      <c r="AH4" s="28" t="s">
        <v>4618</v>
      </c>
      <c r="AI4" s="28" t="s">
        <v>4613</v>
      </c>
      <c r="AJ4" s="28" t="s">
        <v>4612</v>
      </c>
      <c r="AK4" s="28" t="s">
        <v>4618</v>
      </c>
      <c r="AL4" s="28" t="s">
        <v>4613</v>
      </c>
    </row>
    <row r="5" spans="1:59" ht="12.75" customHeight="1" x14ac:dyDescent="0.2">
      <c r="A5" s="860"/>
      <c r="B5" s="1194"/>
      <c r="C5" s="3"/>
      <c r="D5" s="539" t="s">
        <v>3273</v>
      </c>
      <c r="E5" s="275"/>
      <c r="F5" s="1082" t="str">
        <f>IF(cnt=0,"",IF(E5="",re,""))</f>
        <v/>
      </c>
      <c r="G5" s="860"/>
      <c r="H5" s="860"/>
      <c r="I5" s="860"/>
      <c r="J5" s="860"/>
      <c r="K5" s="860"/>
      <c r="L5" s="28">
        <f>IF(F5="",0,1)</f>
      </c>
      <c r="N5" s="28">
        <f>COUNTA(E5,C7,C9,D11,G7,G9,G11,C16,E16,F16,G16,H16,D16,C18,D18,E18,F18,G18,H18,H20,G20,F20,E20,D20,C20,F42,F44,E48)</f>
      </c>
      <c r="Q5" s="28" t="s">
        <v>3275</v>
      </c>
      <c r="AG5" s="1195" t="s">
        <v>6020</v>
      </c>
      <c r="AH5" s="28">
        <v>0.7</v>
      </c>
      <c r="AI5" s="28">
        <v>0.6</v>
      </c>
      <c r="AJ5" s="28">
        <v>0.5</v>
      </c>
      <c r="AK5" s="28">
        <v>0.7</v>
      </c>
      <c r="AL5" s="28">
        <v>0.6</v>
      </c>
    </row>
    <row r="6" spans="1:59" x14ac:dyDescent="0.2">
      <c r="A6" s="860"/>
      <c r="B6" s="1194"/>
      <c r="C6" s="3"/>
      <c r="D6" s="3"/>
      <c r="E6" s="3"/>
      <c r="F6" s="860"/>
      <c r="G6" s="5014" t="s">
        <v>6519</v>
      </c>
      <c r="H6" s="5014"/>
      <c r="I6" s="5014"/>
      <c r="J6" s="860"/>
      <c r="K6" s="860"/>
      <c r="Q6" s="28" t="s">
        <v>4997</v>
      </c>
      <c r="AG6" s="1195" t="s">
        <v>3277</v>
      </c>
      <c r="AH6" s="28">
        <v>0.45</v>
      </c>
      <c r="AI6" s="28">
        <v>0.35</v>
      </c>
      <c r="AJ6" s="28">
        <v>0.25</v>
      </c>
      <c r="AK6" s="28">
        <v>0.45</v>
      </c>
      <c r="AL6" s="28">
        <v>0.35</v>
      </c>
    </row>
    <row r="7" spans="1:59" ht="12.75" customHeight="1" x14ac:dyDescent="0.2">
      <c r="A7" s="860"/>
      <c r="B7" s="1194" t="s">
        <v>3278</v>
      </c>
      <c r="C7" s="5007"/>
      <c r="D7" s="5008"/>
      <c r="E7" s="5009"/>
      <c r="F7" s="1082" t="str">
        <f>IF(cnt=0,"",IF(C7="",re,IF(AND(C7="",G7&lt;&gt;""),re,"")))</f>
        <v/>
      </c>
      <c r="G7" s="5010"/>
      <c r="H7" s="5011"/>
      <c r="I7" s="5012"/>
      <c r="J7" s="1082" t="str">
        <f>IF(cnt=0,"",IF(G7="",re,""))</f>
        <v/>
      </c>
      <c r="K7" s="860"/>
      <c r="L7" s="28">
        <f>IF(AND(F7="",J7=""),0,1)</f>
      </c>
      <c r="N7" s="28">
        <f>COUNTA(C7,G7)</f>
      </c>
      <c r="AG7" s="1195" t="s">
        <v>3279</v>
      </c>
      <c r="AH7" s="28">
        <v>0.8</v>
      </c>
      <c r="AI7" s="28">
        <v>0.75</v>
      </c>
      <c r="AJ7" s="28">
        <v>0.65</v>
      </c>
    </row>
    <row r="8" spans="1:59" ht="8.25" customHeight="1" x14ac:dyDescent="0.2">
      <c r="A8" s="860"/>
      <c r="B8" s="1194"/>
      <c r="C8" s="1151"/>
      <c r="D8" s="1151"/>
      <c r="E8" s="1212"/>
      <c r="F8" s="1082"/>
      <c r="G8" s="1179"/>
      <c r="H8" s="1179"/>
      <c r="I8" s="1179"/>
      <c r="J8" s="1082"/>
      <c r="K8" s="860"/>
      <c r="AG8" s="1195" t="s">
        <v>7334</v>
      </c>
      <c r="AH8" s="28">
        <v>0.6</v>
      </c>
      <c r="AI8" s="28">
        <v>0.5</v>
      </c>
      <c r="AJ8" s="28">
        <v>0.4</v>
      </c>
    </row>
    <row r="9" spans="1:59" ht="12.75" customHeight="1" x14ac:dyDescent="0.2">
      <c r="A9" s="860"/>
      <c r="B9" s="1194" t="s">
        <v>3280</v>
      </c>
      <c r="C9" s="5007"/>
      <c r="D9" s="5008"/>
      <c r="E9" s="5009"/>
      <c r="F9" s="1082" t="str">
        <f>IF(AND(C9="",G9&lt;&gt;""),re,"")</f>
        <v/>
      </c>
      <c r="G9" s="5010"/>
      <c r="H9" s="5011"/>
      <c r="I9" s="5012"/>
      <c r="J9" s="1082" t="str">
        <f>IF(AND(C9&lt;&gt;"",G9=""),re,"")</f>
        <v/>
      </c>
      <c r="K9" s="860"/>
      <c r="L9" s="28">
        <f>IF(AND(F9="",J9=""),0,1)</f>
      </c>
      <c r="N9" s="28">
        <f>COUNTA(C9,G9)</f>
      </c>
      <c r="AG9" s="1195"/>
    </row>
    <row r="10" spans="1:59" ht="7.5" customHeight="1" x14ac:dyDescent="0.2">
      <c r="A10" s="860"/>
      <c r="B10" s="1194"/>
      <c r="C10" s="1151"/>
      <c r="D10" s="1151"/>
      <c r="E10" s="1212"/>
      <c r="F10" s="1196"/>
      <c r="G10" s="1179"/>
      <c r="H10" s="1197"/>
      <c r="I10" s="1179"/>
      <c r="J10" s="1082"/>
      <c r="K10" s="860"/>
      <c r="Y10" s="1195" t="s">
        <v>6020</v>
      </c>
      <c r="Z10" s="1198" t="s">
        <v>3277</v>
      </c>
      <c r="AA10" s="1198" t="s">
        <v>3279</v>
      </c>
      <c r="AB10" s="1198" t="s">
        <v>7334</v>
      </c>
      <c r="AD10" s="28" t="s">
        <v>3274</v>
      </c>
      <c r="AE10" s="28" t="s">
        <v>3281</v>
      </c>
      <c r="AF10" s="28" t="s">
        <v>3282</v>
      </c>
      <c r="AG10" s="1195"/>
    </row>
    <row r="11" spans="1:59" x14ac:dyDescent="0.2">
      <c r="A11" s="860"/>
      <c r="B11" s="1194" t="s">
        <v>3283</v>
      </c>
      <c r="C11" s="5007"/>
      <c r="D11" s="5008"/>
      <c r="E11" s="5009"/>
      <c r="F11" s="1082" t="str">
        <f>IF(AND(C11="",G11&lt;&gt;""),re,"")</f>
        <v/>
      </c>
      <c r="G11" s="5010"/>
      <c r="H11" s="5011"/>
      <c r="I11" s="5012"/>
      <c r="J11" s="1082" t="str">
        <f>IF(AND(C11&lt;&gt;"",G11=""),re,"")</f>
        <v/>
      </c>
      <c r="K11" s="860"/>
      <c r="L11" s="28">
        <f>IF(AND(F11="",J11=""),0,1)</f>
      </c>
      <c r="N11" s="28">
        <f>COUNTA(C11,G11)</f>
      </c>
    </row>
    <row r="12" spans="1:59" ht="6" customHeight="1" x14ac:dyDescent="0.2">
      <c r="A12" s="860"/>
      <c r="B12" s="1194"/>
      <c r="C12" s="860"/>
      <c r="D12" s="860"/>
      <c r="E12" s="860"/>
      <c r="F12" s="1053"/>
      <c r="G12" s="860"/>
      <c r="H12" s="1053"/>
      <c r="I12" s="860"/>
      <c r="J12" s="860"/>
      <c r="K12" s="860"/>
    </row>
    <row r="13" spans="1:59" ht="15.75" customHeight="1" x14ac:dyDescent="0.2">
      <c r="A13" s="860"/>
      <c r="B13" s="1194"/>
      <c r="C13" s="1105" t="s">
        <v>1594</v>
      </c>
      <c r="D13" s="620"/>
      <c r="E13" s="620"/>
      <c r="F13" s="620"/>
      <c r="G13" s="620"/>
      <c r="H13" s="620"/>
      <c r="I13" s="621"/>
      <c r="J13" s="1386"/>
      <c r="K13" s="1387"/>
      <c r="AA13" s="235" t="s">
        <v>3276</v>
      </c>
    </row>
    <row r="14" spans="1:59" ht="54.75" customHeight="1" x14ac:dyDescent="0.2">
      <c r="A14" s="860"/>
      <c r="B14" s="1194"/>
      <c r="C14" s="1388" t="s">
        <v>1595</v>
      </c>
      <c r="D14" s="1388" t="s">
        <v>3211</v>
      </c>
      <c r="E14" s="1388" t="s">
        <v>3210</v>
      </c>
      <c r="F14" s="1388" t="s">
        <v>1596</v>
      </c>
      <c r="G14" s="1388" t="s">
        <v>1597</v>
      </c>
      <c r="H14" s="1388" t="s">
        <v>1596</v>
      </c>
      <c r="I14" s="1388" t="s">
        <v>5889</v>
      </c>
      <c r="J14" s="1386"/>
      <c r="K14" s="1387"/>
      <c r="AA14" s="235" t="s">
        <v>3279</v>
      </c>
      <c r="AB14" s="235" t="s">
        <v>4988</v>
      </c>
    </row>
    <row r="15" spans="1:59" ht="4.5" customHeight="1" x14ac:dyDescent="0.2">
      <c r="A15" s="860"/>
      <c r="B15" s="1389"/>
      <c r="C15" s="1390"/>
      <c r="D15" s="1390"/>
      <c r="E15" s="1390"/>
      <c r="F15" s="1390"/>
      <c r="G15" s="1390"/>
      <c r="H15" s="1390"/>
      <c r="I15" s="1390"/>
      <c r="J15" s="860"/>
      <c r="K15" s="860"/>
    </row>
    <row r="16" spans="1:59" ht="13.5" customHeight="1" x14ac:dyDescent="0.2">
      <c r="A16" s="860"/>
      <c r="B16" s="1194" t="str">
        <f>IF(N7=0,"",B7)</f>
        <v/>
      </c>
      <c r="C16" s="223"/>
      <c r="D16" s="432"/>
      <c r="E16" s="432"/>
      <c r="F16" s="647"/>
      <c r="G16" s="223"/>
      <c r="H16" s="647"/>
      <c r="I16" s="405">
        <f>ROUND((E16*F16)+(G16*H16),0)</f>
      </c>
      <c r="J16" s="1082" t="str">
        <f>IF(AND(N16=0,O16=0),"",IF(AND(N16=0,O16&gt;0),"Delete!",IF(AND(ya=2010,D16&lt;&gt;""),"Delete!",IF(AND(T16=1,BG16&gt;0),"Delete!",IF(N16&gt;O16,"All details "&amp;_reo1,IF(E16+D16+G16&gt;C16,$Q$5,IF(OR(F16&gt;R16,H16&gt;S16),$Q$2,"")))))))</f>
        <v/>
      </c>
      <c r="K16" s="860"/>
      <c r="L16" s="28">
        <f>IF(J16="",0,IF(OR(J16=$Q$2,J16=$Q$1,J16=$Q$5),0,1))</f>
      </c>
      <c r="M16" s="28">
        <f>IF(OR(J16=$Q$2,J16=$Q$1,J16=$Q$5),1,0)</f>
      </c>
      <c r="N16" s="28">
        <f>IF(N7=0,0,IF(T16=1,BE16,BF16))</f>
      </c>
      <c r="O16" s="32">
        <f>IF(COUNT(C16:F16)=0,0,COUNT(C16:H16))</f>
      </c>
      <c r="P16" s="32">
        <f>C16-D16</f>
      </c>
      <c r="R16" s="28" t="e">
        <f>VLOOKUP(VLOOKUP(B16,pr,2,FALSE),tle,W16,FALSE)</f>
      </c>
      <c r="S16" s="28" t="e">
        <f>IF($E$5=$AF$10,0,VLOOKUP(VLOOKUP(B16,pr,2,FALSE),tle,X16,FALSE))</f>
      </c>
      <c r="T16" s="28">
        <f>IF(OR(E5=AF10,C7=AG7,C7=AG8),1,0)</f>
      </c>
      <c r="W16" s="66">
        <f>IF(E5=AD10,2,IF(E5=AE10,3,4))</f>
      </c>
      <c r="X16" s="66">
        <f>IF(E5=AD10,5,IF(E5=AE10,6,0))</f>
      </c>
      <c r="Y16" s="66"/>
      <c r="Z16" s="1199">
        <f>IF(ya=2010,0,C16)</f>
      </c>
      <c r="AA16" s="235" t="s">
        <v>4989</v>
      </c>
      <c r="BD16" s="28">
        <f>IF(T16=1,0,(C16-(D16+E16)))</f>
      </c>
      <c r="BE16" s="28">
        <f>IF(ya=2010,3,4)</f>
      </c>
      <c r="BF16" s="28">
        <f>IF(ya=2010,5,6)</f>
      </c>
      <c r="BG16" s="28">
        <f>IF(OR(G16&gt;0,H16&gt;0),1,0)</f>
      </c>
    </row>
    <row r="17" spans="1:64" ht="5.25" customHeight="1" x14ac:dyDescent="0.2">
      <c r="A17" s="860"/>
      <c r="B17" s="1194"/>
      <c r="C17" s="1181"/>
      <c r="D17" s="1181"/>
      <c r="E17" s="1181"/>
      <c r="F17" s="1200"/>
      <c r="G17" s="1181"/>
      <c r="H17" s="1200"/>
      <c r="I17" s="1181"/>
      <c r="J17" s="1054"/>
      <c r="K17" s="860"/>
      <c r="W17" s="66"/>
      <c r="X17" s="66"/>
      <c r="Y17" s="66"/>
      <c r="Z17" s="66"/>
    </row>
    <row r="18" spans="1:64" ht="12.75" customHeight="1" x14ac:dyDescent="0.2">
      <c r="A18" s="860"/>
      <c r="B18" s="1194" t="str">
        <f>IF(N9=0,"",B9)</f>
        <v/>
      </c>
      <c r="C18" s="223"/>
      <c r="D18" s="432"/>
      <c r="E18" s="432"/>
      <c r="F18" s="647"/>
      <c r="G18" s="223"/>
      <c r="H18" s="647"/>
      <c r="I18" s="405">
        <f>ROUND((E18*F18)+(G18*H18),0)</f>
      </c>
      <c r="J18" s="1082" t="str">
        <f>IF(AND(N18=0,O18=0),"",IF(AND(N18=0,O18&gt;0),"Delete!",IF(AND(ya=2010,D18&lt;&gt;""),"Delete!",IF(AND(T18=1,BG18&gt;0),"Delete!",IF(N18&gt;O18,"All details "&amp;_reo1,IF(E18+D18+G18&gt;C18,$Q$5,IF(OR(F18&gt;R18,H18&gt;S18),$Q$2,"")))))))</f>
        <v/>
      </c>
      <c r="K18" s="860"/>
      <c r="L18" s="28">
        <f>IF(J18="",0,IF(OR(J18=$Q$2,J18=$Q$1,J18=$Q$5),0,1))</f>
      </c>
      <c r="M18" s="28">
        <f>IF(OR(J18=$Q$2,J18=$Q$1,J18=$Q$5),1,0)</f>
      </c>
      <c r="N18" s="28">
        <f>IF(N9=0,0,IF(T18=1,BE18,BF18))</f>
      </c>
      <c r="O18" s="32">
        <f>IF(COUNT(C18:F18)=0,0,COUNT(C18:H18))</f>
      </c>
      <c r="P18" s="32">
        <f>C18-D18</f>
      </c>
      <c r="R18" s="28" t="e">
        <f>VLOOKUP(VLOOKUP(B18,pr,2,FALSE),tle,W18,FALSE)</f>
      </c>
      <c r="S18" s="28" t="e">
        <f>IF($E$5=$AF$10,0,VLOOKUP(VLOOKUP(B18,pr,2,FALSE),tle,X18,FALSE))</f>
      </c>
      <c r="T18" s="28">
        <f>IF(OR(E5=AF10,C9=AG7,C9=AG8),1,0)</f>
      </c>
      <c r="W18" s="66">
        <f>IF(E5=AD10,2,IF(E5=AE10,3,4))</f>
      </c>
      <c r="X18" s="66">
        <f>IF(E5=AD10,5,IF(E5=AE10,6,0))</f>
      </c>
      <c r="Y18" s="66"/>
      <c r="Z18" s="1199">
        <f>IF(ya=2010,0,C18)</f>
      </c>
      <c r="BD18" s="28">
        <f>IF(T18=1,0,(C18-(D18+E18)))</f>
      </c>
      <c r="BE18" s="28">
        <f>IF(ya=2010,3,4)</f>
      </c>
      <c r="BF18" s="28">
        <f>IF(ya=2010,5,6)</f>
      </c>
      <c r="BG18" s="28">
        <f>IF(OR(G18&gt;0,H18&gt;0),1,0)</f>
      </c>
    </row>
    <row r="19" spans="1:64" ht="4.5" customHeight="1" x14ac:dyDescent="0.2">
      <c r="A19" s="860"/>
      <c r="B19" s="1194"/>
      <c r="C19" s="1203"/>
      <c r="D19" s="1181"/>
      <c r="E19" s="1181"/>
      <c r="F19" s="1200"/>
      <c r="G19" s="1181"/>
      <c r="H19" s="1200"/>
      <c r="I19" s="1181"/>
      <c r="J19" s="1054"/>
      <c r="K19" s="860"/>
      <c r="W19" s="66"/>
      <c r="X19" s="66"/>
      <c r="Y19" s="66"/>
      <c r="Z19" s="66"/>
    </row>
    <row r="20" spans="1:64" ht="12.75" customHeight="1" x14ac:dyDescent="0.2">
      <c r="A20" s="860"/>
      <c r="B20" s="1194" t="str">
        <f>IF(N11=0,"",B11)</f>
        <v/>
      </c>
      <c r="C20" s="223"/>
      <c r="D20" s="432"/>
      <c r="E20" s="432"/>
      <c r="F20" s="647"/>
      <c r="G20" s="223"/>
      <c r="H20" s="647"/>
      <c r="I20" s="405">
        <f>ROUND((E20*F20)+(G20*H20),0)</f>
      </c>
      <c r="J20" s="1082" t="str">
        <f>IF(AND(N20=0,O20=0),"",IF(AND(N20=0,O20&gt;0),"Delete!",IF(AND(ya=2010,D20&lt;&gt;""),"Delete!",IF(AND(T20=1,BG20&gt;0),"Delete!",IF(N20&gt;O20,"All details "&amp;_reo1,IF(E20+D20+G20&gt;C20,$Q$5,IF(OR(F20&gt;R20,H20&gt;S20),$Q$2,"")))))))</f>
        <v/>
      </c>
      <c r="K20" s="860"/>
      <c r="L20" s="28">
        <f>IF(J20="",0,IF(OR(J20=$Q$2,J20=$Q$1,J20=$Q$5),0,1))</f>
      </c>
      <c r="M20" s="28">
        <f>IF(OR(J20=$Q$2,J20=$Q$1,J20=$Q$5),1,0)</f>
      </c>
      <c r="N20" s="28">
        <f>IF(N11=0,0,IF(T20=1,BE20,BF20))</f>
      </c>
      <c r="O20" s="32">
        <f>IF(COUNT(C20:F20)=0,0,COUNT(C20:H20)+1)</f>
      </c>
      <c r="P20" s="32">
        <f>C20-D20</f>
      </c>
      <c r="R20" s="28" t="e">
        <f>VLOOKUP(VLOOKUP(B20,pr,2,FALSE),tle,W20,FALSE)</f>
      </c>
      <c r="S20" s="28" t="e">
        <f>IF($E$5=$AF$10,0,VLOOKUP(VLOOKUP(B20,pr,2,FALSE),tle,X20,FALSE))</f>
      </c>
      <c r="T20" s="28">
        <f>IF(OR(E5=AF10,C11=AG7,C11=AG8),1,0)</f>
      </c>
      <c r="W20" s="66">
        <f>IF(E5=AD10,2,IF(E5=AE10,3,4))</f>
      </c>
      <c r="X20" s="66">
        <f>IF(E5=AD10,5,IF(E5=AE10,6,0))</f>
      </c>
      <c r="Y20" s="66"/>
      <c r="Z20" s="1199">
        <f>IF(ya=2010,0,C20)</f>
      </c>
      <c r="BD20" s="28">
        <f>IF(T20=1,0,(C20-(D20+E20)))</f>
      </c>
      <c r="BE20" s="28">
        <f>IF(ya=2010,3,4)</f>
      </c>
      <c r="BF20" s="28">
        <f>IF(ya=2010,5,6)</f>
      </c>
      <c r="BG20" s="28">
        <f>IF(OR(G20&gt;0,H20&gt;0),1,0)</f>
      </c>
    </row>
    <row r="21" spans="1:64" ht="4.5" customHeight="1" x14ac:dyDescent="0.2">
      <c r="A21" s="860"/>
      <c r="B21" s="1194"/>
      <c r="C21" s="860"/>
      <c r="D21" s="860"/>
      <c r="E21" s="860"/>
      <c r="F21" s="1053"/>
      <c r="G21" s="860"/>
      <c r="H21" s="1053"/>
      <c r="I21" s="1201"/>
      <c r="J21" s="860"/>
      <c r="K21" s="860"/>
      <c r="W21" s="66"/>
      <c r="X21" s="66"/>
      <c r="Y21" s="66"/>
      <c r="Z21" s="66"/>
    </row>
    <row r="22" spans="1:64" x14ac:dyDescent="0.2">
      <c r="A22" s="860"/>
      <c r="B22" s="1194"/>
      <c r="C22" s="860" t="s">
        <v>4990</v>
      </c>
      <c r="D22" s="860"/>
      <c r="E22" s="860"/>
      <c r="F22" s="1053"/>
      <c r="G22" s="860"/>
      <c r="H22" s="1053"/>
      <c r="I22" s="405">
        <f>SUM(I16,I18,I20)</f>
      </c>
      <c r="J22" s="860"/>
      <c r="K22" s="860"/>
      <c r="T22" s="28">
        <f>SUM(T16:T20)</f>
      </c>
      <c r="U22" s="32">
        <f>SUM(G16:H20)</f>
      </c>
      <c r="W22" s="66"/>
      <c r="X22" s="66"/>
      <c r="Y22" s="66"/>
      <c r="Z22" s="66"/>
    </row>
    <row r="23" spans="1:64" ht="3.75" customHeight="1" x14ac:dyDescent="0.2">
      <c r="A23" s="860"/>
      <c r="B23" s="1194"/>
      <c r="C23" s="860"/>
      <c r="D23" s="860"/>
      <c r="E23" s="860"/>
      <c r="F23" s="1053"/>
      <c r="G23" s="860"/>
      <c r="H23" s="1053"/>
      <c r="I23" s="1181"/>
      <c r="J23" s="860"/>
      <c r="K23" s="860"/>
      <c r="W23" s="66"/>
      <c r="X23" s="66"/>
      <c r="Y23" s="66"/>
      <c r="Z23" s="66"/>
    </row>
    <row r="24" spans="1:64" ht="12.75" customHeight="1" x14ac:dyDescent="0.2">
      <c r="A24" s="860"/>
      <c r="B24" s="1194"/>
      <c r="C24" s="860" t="s">
        <v>4991</v>
      </c>
      <c r="D24" s="1391"/>
      <c r="E24" s="1391"/>
      <c r="F24" s="1053"/>
      <c r="G24" s="860"/>
      <c r="H24" s="1053"/>
      <c r="I24" s="510"/>
      <c r="J24" s="1082" t="str">
        <f>IF(I22=0,"",IF(I24="",reo,""))</f>
        <v/>
      </c>
      <c r="K24" s="1202"/>
      <c r="L24" s="28">
        <f>IF(J24="",0,1)</f>
      </c>
      <c r="W24" s="66"/>
      <c r="X24" s="66"/>
      <c r="Y24" s="66"/>
      <c r="Z24" s="66"/>
    </row>
    <row r="25" spans="1:64" ht="4.5" customHeight="1" x14ac:dyDescent="0.2">
      <c r="A25" s="860"/>
      <c r="B25" s="1194"/>
      <c r="C25" s="860"/>
      <c r="D25" s="860"/>
      <c r="E25" s="860"/>
      <c r="F25" s="1053"/>
      <c r="G25" s="860"/>
      <c r="H25" s="1053"/>
      <c r="I25" s="1181"/>
      <c r="J25" s="860"/>
      <c r="K25" s="1179"/>
      <c r="W25" s="66"/>
      <c r="X25" s="66"/>
      <c r="Y25" s="66"/>
      <c r="Z25" s="66"/>
    </row>
    <row r="26" spans="1:64" x14ac:dyDescent="0.2">
      <c r="A26" s="860"/>
      <c r="B26" s="1194"/>
      <c r="C26" s="860" t="s">
        <v>4992</v>
      </c>
      <c r="D26" s="860"/>
      <c r="E26" s="860"/>
      <c r="F26" s="1053"/>
      <c r="G26" s="860"/>
      <c r="H26" s="1053"/>
      <c r="I26" s="405">
        <f>IF(I22+I24&lt;0,0,I22+I24)</f>
      </c>
      <c r="J26" s="860"/>
      <c r="K26" s="1202"/>
      <c r="W26" s="66"/>
      <c r="X26" s="66"/>
      <c r="Y26" s="66"/>
      <c r="Z26" s="66"/>
    </row>
    <row r="27" spans="1:64" x14ac:dyDescent="0.2">
      <c r="A27" s="860"/>
      <c r="B27" s="1194"/>
      <c r="C27" s="860"/>
      <c r="D27" s="860"/>
      <c r="E27" s="860"/>
      <c r="F27" s="1053"/>
      <c r="G27" s="860"/>
      <c r="H27" s="1053"/>
      <c r="I27" s="1053"/>
      <c r="J27" s="1053"/>
      <c r="K27" s="1202"/>
      <c r="W27" s="66"/>
      <c r="X27" s="66"/>
      <c r="Y27" s="66"/>
      <c r="Z27" s="66"/>
    </row>
    <row r="28" spans="1:64" ht="28.5" customHeight="1" x14ac:dyDescent="0.2">
      <c r="A28" s="860"/>
      <c r="B28" s="1194"/>
      <c r="C28" s="5019" t="s">
        <v>5001</v>
      </c>
      <c r="D28" s="5020"/>
      <c r="E28" s="5020"/>
      <c r="F28" s="5021"/>
      <c r="G28" s="860"/>
      <c r="H28" s="1053"/>
      <c r="I28" s="1053"/>
      <c r="J28" s="1053"/>
      <c r="K28" s="1202"/>
      <c r="W28" s="66"/>
      <c r="X28" s="66"/>
      <c r="Y28" s="66"/>
      <c r="Z28" s="66"/>
    </row>
    <row r="29" spans="1:64" ht="56.25" customHeight="1" x14ac:dyDescent="0.2">
      <c r="A29" s="860"/>
      <c r="B29" s="1194"/>
      <c r="C29" s="741" t="s">
        <v>4993</v>
      </c>
      <c r="D29" s="741" t="s">
        <v>4994</v>
      </c>
      <c r="E29" s="741" t="s">
        <v>6940</v>
      </c>
      <c r="F29" s="741" t="s">
        <v>4995</v>
      </c>
      <c r="G29" s="5022"/>
      <c r="H29" s="5023"/>
      <c r="I29" s="5023"/>
      <c r="J29" s="5023"/>
      <c r="K29" s="1202"/>
      <c r="W29" s="66"/>
      <c r="X29" s="66"/>
      <c r="Y29" s="66"/>
      <c r="Z29" s="66"/>
      <c r="BA29" s="28" t="s">
        <v>5002</v>
      </c>
    </row>
    <row r="30" spans="1:64" ht="6" customHeight="1" x14ac:dyDescent="0.2">
      <c r="A30" s="860"/>
      <c r="B30" s="1194"/>
      <c r="C30" s="1390"/>
      <c r="D30" s="1390"/>
      <c r="E30" s="1390"/>
      <c r="F30" s="860"/>
      <c r="G30" s="1082"/>
      <c r="H30" s="1053"/>
      <c r="I30" s="1053"/>
      <c r="J30" s="1053"/>
      <c r="K30" s="1202"/>
      <c r="W30" s="66"/>
      <c r="X30" s="66"/>
      <c r="Y30" s="66"/>
      <c r="Z30" s="66"/>
    </row>
    <row r="31" spans="1:64" x14ac:dyDescent="0.2">
      <c r="A31" s="860"/>
      <c r="B31" s="1194" t="str">
        <f>B16</f>
        <v/>
      </c>
      <c r="C31" s="223"/>
      <c r="D31" s="223"/>
      <c r="E31" s="405">
        <f>C31+D31</f>
      </c>
      <c r="F31" s="377"/>
      <c r="G31" s="1082" t="str">
        <f>IF(O31&gt;N31,"Delete!",IF(O31&lt;N31,_reo1,IF(I16=0,"",IF(OR(C31="",D31=""),reo,IF(F31&gt;0.25,$BA$29,IF(BJ31&gt;0.25,"More than 25% of Eligible costs?",IF(BK31&gt;0.25,"More than 25 % Approved value!","")))))))</f>
        <v/>
      </c>
      <c r="H31" s="1053"/>
      <c r="I31" s="1053"/>
      <c r="J31" s="1053"/>
      <c r="K31" s="1202"/>
      <c r="L31" s="28">
        <f>IF(OR(G31=_reo1,G31=reo),1,0)</f>
      </c>
      <c r="M31" s="28">
        <f>IF(OR(G31="",L31=1),0,1)</f>
      </c>
      <c r="N31" s="28">
        <f>IF(B31="",0,3)</f>
      </c>
      <c r="O31" s="28">
        <f>COUNT(C31:D31,F31)</f>
      </c>
      <c r="P31" s="28" t="e">
        <f>C31/(D16+E16)</f>
      </c>
      <c r="Q31" s="28" t="e">
        <f>D31/(D16+E16)</f>
      </c>
      <c r="R31" s="28" t="e">
        <f>(C31+D31)/(D16+E16)</f>
      </c>
      <c r="S31" s="28">
        <f>IF(ISERROR(R31),0,IF(R31&gt;0.25,1,0))</f>
      </c>
      <c r="W31" s="66"/>
      <c r="X31" s="66"/>
      <c r="Y31" s="66"/>
      <c r="Z31" s="66"/>
      <c r="BD31" s="32">
        <f>C31+D31</f>
      </c>
      <c r="BE31" s="32">
        <f>D16+E16+G16</f>
      </c>
      <c r="BF31" s="32">
        <f>C16</f>
      </c>
      <c r="BJ31" s="28" t="e">
        <f>BD31/BE31</f>
      </c>
      <c r="BK31" s="28" t="e">
        <f>BD31/BF31</f>
      </c>
      <c r="BL31" s="32">
        <f>D16+E16-C31</f>
      </c>
    </row>
    <row r="32" spans="1:64" ht="6" customHeight="1" x14ac:dyDescent="0.2">
      <c r="A32" s="860"/>
      <c r="B32" s="1194"/>
      <c r="C32" s="1203"/>
      <c r="D32" s="1203"/>
      <c r="E32" s="1203"/>
      <c r="F32" s="1194"/>
      <c r="G32" s="1054"/>
      <c r="H32" s="1053"/>
      <c r="I32" s="1053"/>
      <c r="J32" s="1053"/>
      <c r="K32" s="1202"/>
      <c r="W32" s="66"/>
      <c r="X32" s="66"/>
      <c r="Y32" s="66"/>
      <c r="Z32" s="66"/>
    </row>
    <row r="33" spans="1:64" x14ac:dyDescent="0.2">
      <c r="A33" s="860"/>
      <c r="B33" s="1194" t="str">
        <f>B18</f>
        <v/>
      </c>
      <c r="C33" s="223"/>
      <c r="D33" s="223"/>
      <c r="E33" s="394">
        <f>C33+D33</f>
      </c>
      <c r="F33" s="377"/>
      <c r="G33" s="1082" t="str">
        <f>IF(O33&gt;N33,"Delete!",IF(O33&lt;N33,_reo1,IF(I18=0,"",IF(OR(C33="",D33=""),reo,IF(F33&gt;0.25,$BA$29,IF(BJ33&gt;0.25,"More than 25% of Eligible costs!",IF(BK33&gt;0.25,"More than 25 % Approved value!","")))))))</f>
        <v/>
      </c>
      <c r="H33" s="1053"/>
      <c r="I33" s="1053"/>
      <c r="J33" s="1053"/>
      <c r="K33" s="1202"/>
      <c r="L33" s="28">
        <f>IF(OR(G33=_reo1,G33=reo),1,0)</f>
      </c>
      <c r="M33" s="28">
        <f>IF(OR(G33="",L33=1),0,1)</f>
      </c>
      <c r="N33" s="28">
        <f>IF(B33="",0,3)</f>
      </c>
      <c r="O33" s="28">
        <f>COUNT(C33:D33,F33)</f>
      </c>
      <c r="P33" s="28" t="e">
        <f>C33/(D18+E18)</f>
      </c>
      <c r="Q33" s="28" t="e">
        <f>D33/(D18+E18)</f>
      </c>
      <c r="R33" s="28" t="e">
        <f>(C33+D33)/(D18+E18)</f>
      </c>
      <c r="S33" s="28">
        <f>IF(ISERROR(R33),0,IF(R33&gt;0.25,1,0))</f>
      </c>
      <c r="W33" s="66"/>
      <c r="X33" s="66"/>
      <c r="Y33" s="66"/>
      <c r="Z33" s="66"/>
      <c r="BD33" s="32">
        <f>C33+D33</f>
      </c>
      <c r="BE33" s="32">
        <f>D18+E18+G18</f>
      </c>
      <c r="BF33" s="32">
        <f>C18</f>
      </c>
      <c r="BJ33" s="28" t="e">
        <f>BD33/BE33</f>
      </c>
      <c r="BK33" s="28" t="e">
        <f>BD33/BF33</f>
      </c>
      <c r="BL33" s="32">
        <f>D18+E18-C33</f>
      </c>
    </row>
    <row r="34" spans="1:64" ht="6" customHeight="1" x14ac:dyDescent="0.2">
      <c r="A34" s="860"/>
      <c r="B34" s="1194"/>
      <c r="C34" s="1203"/>
      <c r="D34" s="1203"/>
      <c r="E34" s="1203"/>
      <c r="F34" s="1194"/>
      <c r="G34" s="1054"/>
      <c r="H34" s="1053"/>
      <c r="I34" s="1053"/>
      <c r="J34" s="1053"/>
      <c r="K34" s="1202"/>
      <c r="W34" s="66"/>
      <c r="X34" s="66"/>
      <c r="Y34" s="66"/>
      <c r="Z34" s="66"/>
    </row>
    <row r="35" spans="1:64" x14ac:dyDescent="0.2">
      <c r="A35" s="860"/>
      <c r="B35" s="1194" t="str">
        <f>B20</f>
        <v/>
      </c>
      <c r="C35" s="223"/>
      <c r="D35" s="223"/>
      <c r="E35" s="394">
        <f>C35+D35</f>
      </c>
      <c r="F35" s="377"/>
      <c r="G35" s="1082" t="str">
        <f>IF(O35&gt;N35,"Delete!",IF(O35&lt;N35,_reo1,IF(I20=0,"",IF(OR(C35="",D35=""),reo,IF(F35&gt;0.25,$BA$29,IF(BJ35&gt;0.25,"More than 25% of Eligible costs!",IF(BK35&gt;0.25,"More than 25 % Approved value!","")))))))</f>
        <v/>
      </c>
      <c r="H35" s="1053"/>
      <c r="I35" s="1053"/>
      <c r="J35" s="1053"/>
      <c r="K35" s="1202"/>
      <c r="L35" s="28">
        <f>IF(OR(G35=_reo1,G35=reo),1,0)</f>
      </c>
      <c r="M35" s="28">
        <f>IF(OR(G35="",L35=1),0,1)</f>
      </c>
      <c r="N35" s="28">
        <f>IF(B35="",0,3)</f>
      </c>
      <c r="O35" s="28">
        <f>COUNT(C35:D35,F35)</f>
      </c>
      <c r="P35" s="28" t="e">
        <f>C35/(D20+E20)</f>
      </c>
      <c r="Q35" s="28" t="e">
        <f>D35/(D20+E20)</f>
      </c>
      <c r="R35" s="28" t="e">
        <f>(C35+D35)/(D20+E20)</f>
      </c>
      <c r="S35" s="28">
        <f>IF(ISERROR(R35),0,IF(R35&gt;0.25,1,0))</f>
      </c>
      <c r="W35" s="66"/>
      <c r="X35" s="66"/>
      <c r="Y35" s="66"/>
      <c r="Z35" s="66"/>
      <c r="BD35" s="32">
        <f>C35+D35</f>
      </c>
      <c r="BE35" s="32">
        <f>D20+E20+G20</f>
      </c>
      <c r="BF35" s="32">
        <f>C20</f>
      </c>
      <c r="BJ35" s="28" t="e">
        <f>BD35/BE35</f>
      </c>
      <c r="BK35" s="28" t="e">
        <f>BD35/BF35</f>
      </c>
      <c r="BL35" s="32">
        <f>D20+E20-C35</f>
      </c>
    </row>
    <row r="36" spans="1:64" hidden="1" x14ac:dyDescent="0.2">
      <c r="A36" s="860"/>
      <c r="B36" s="1194"/>
      <c r="C36" s="860"/>
      <c r="D36" s="860"/>
      <c r="E36" s="860"/>
      <c r="F36" s="1053"/>
      <c r="G36" s="860"/>
      <c r="H36" s="1053"/>
      <c r="I36" s="1053"/>
      <c r="J36" s="1053"/>
      <c r="K36" s="1202"/>
      <c r="S36" s="28">
        <f>SUM(S31:S35)</f>
      </c>
      <c r="W36" s="66"/>
      <c r="X36" s="66"/>
      <c r="Y36" s="66"/>
      <c r="Z36" s="66"/>
    </row>
    <row r="37" spans="1:64" x14ac:dyDescent="0.2">
      <c r="A37" s="860"/>
      <c r="B37" s="1194"/>
      <c r="C37" s="860"/>
      <c r="D37" s="860"/>
      <c r="E37" s="860"/>
      <c r="F37" s="1053"/>
      <c r="G37" s="860"/>
      <c r="H37" s="1053"/>
      <c r="I37" s="860"/>
      <c r="J37" s="860"/>
      <c r="K37" s="1179"/>
      <c r="W37" s="66"/>
      <c r="X37" s="66"/>
      <c r="Y37" s="66"/>
      <c r="Z37" s="66"/>
    </row>
    <row r="38" spans="1:64" ht="15" x14ac:dyDescent="0.2">
      <c r="A38" s="860"/>
      <c r="B38" s="1194"/>
      <c r="C38" s="4817" t="s">
        <v>4996</v>
      </c>
      <c r="D38" s="4818"/>
      <c r="E38" s="4818"/>
      <c r="F38" s="4819"/>
      <c r="G38" s="860"/>
      <c r="H38" s="1053"/>
      <c r="I38" s="860"/>
      <c r="J38" s="860"/>
      <c r="K38" s="1179"/>
      <c r="W38" s="66"/>
      <c r="X38" s="66"/>
      <c r="Y38" s="66"/>
      <c r="Z38" s="66"/>
    </row>
    <row r="39" spans="1:64" ht="6" customHeight="1" x14ac:dyDescent="0.2">
      <c r="A39" s="860"/>
      <c r="B39" s="1194"/>
      <c r="C39" s="860"/>
      <c r="D39" s="860"/>
      <c r="E39" s="860"/>
      <c r="F39" s="1053"/>
      <c r="G39" s="860"/>
      <c r="H39" s="1053"/>
      <c r="I39" s="860"/>
      <c r="J39" s="860"/>
      <c r="K39" s="1179"/>
      <c r="W39" s="66"/>
      <c r="X39" s="66"/>
      <c r="Y39" s="66"/>
      <c r="Z39" s="66"/>
    </row>
    <row r="40" spans="1:64" ht="12.75" customHeight="1" x14ac:dyDescent="0.2">
      <c r="A40" s="860"/>
      <c r="B40" s="1194"/>
      <c r="C40" s="17" t="s">
        <v>6221</v>
      </c>
      <c r="D40" s="17"/>
      <c r="E40" s="17"/>
      <c r="F40" s="405">
        <f>I26</f>
      </c>
      <c r="G40" s="3"/>
      <c r="H40" s="3"/>
      <c r="I40" s="3"/>
      <c r="J40" s="3"/>
      <c r="K40" s="3"/>
      <c r="W40" s="66"/>
      <c r="X40" s="66"/>
      <c r="Y40" s="66"/>
      <c r="Z40" s="66"/>
    </row>
    <row r="41" spans="1:64" ht="6" customHeight="1" x14ac:dyDescent="0.2">
      <c r="A41" s="860"/>
      <c r="B41" s="1194"/>
      <c r="C41" s="1282"/>
      <c r="D41" s="65"/>
      <c r="E41" s="3"/>
      <c r="F41" s="3"/>
      <c r="G41" s="3"/>
      <c r="H41" s="3"/>
      <c r="I41" s="3"/>
      <c r="J41" s="3"/>
      <c r="K41" s="3"/>
      <c r="W41" s="66"/>
      <c r="X41" s="66"/>
      <c r="Y41" s="66"/>
      <c r="Z41" s="66"/>
    </row>
    <row r="42" spans="1:64" ht="12.75" customHeight="1" x14ac:dyDescent="0.2">
      <c r="A42" s="860"/>
      <c r="B42" s="1194"/>
      <c r="C42" s="17" t="s">
        <v>6222</v>
      </c>
      <c r="D42" s="17"/>
      <c r="E42" s="17"/>
      <c r="F42" s="223"/>
      <c r="G42" s="1082" t="str">
        <f>IF(cnt=0,"",IF(ya=2010,"",IF(F42="",reo,"")))</f>
        <v/>
      </c>
      <c r="H42" s="3"/>
      <c r="I42" s="3"/>
      <c r="J42" s="3"/>
      <c r="K42" s="3"/>
      <c r="L42" s="28">
        <f>IF(G42="",0,1)</f>
      </c>
      <c r="P42" s="28">
        <f>IF(ya=2010,0,9.99999999999999E+23)</f>
      </c>
      <c r="W42" s="66"/>
      <c r="X42" s="66"/>
      <c r="Y42" s="66"/>
      <c r="Z42" s="66"/>
    </row>
    <row r="43" spans="1:64" ht="6" customHeight="1" x14ac:dyDescent="0.2">
      <c r="A43" s="860"/>
      <c r="B43" s="1194"/>
      <c r="C43" s="65"/>
      <c r="D43" s="65"/>
      <c r="E43" s="3"/>
      <c r="F43" s="3"/>
      <c r="G43" s="3"/>
      <c r="H43" s="3"/>
      <c r="I43" s="3"/>
      <c r="J43" s="3"/>
      <c r="K43" s="3"/>
    </row>
    <row r="44" spans="1:64" x14ac:dyDescent="0.2">
      <c r="A44" s="860"/>
      <c r="B44" s="64" t="s">
        <v>5145</v>
      </c>
      <c r="C44" s="17" t="s">
        <v>6223</v>
      </c>
      <c r="D44" s="65"/>
      <c r="E44" s="3"/>
      <c r="F44" s="510"/>
      <c r="G44" s="1082" t="str">
        <f>IF(cnt=0,"",IF(F44="",reo,IF(F44*-1&gt;F40+F42,"Excessive!","")))</f>
        <v/>
      </c>
      <c r="H44" s="3"/>
      <c r="I44" s="1394" t="s">
        <v>951</v>
      </c>
      <c r="J44" s="3"/>
      <c r="K44" s="3"/>
      <c r="L44" s="28">
        <f>IF(G44="",0,1)</f>
      </c>
    </row>
    <row r="45" spans="1:64" ht="6" customHeight="1" x14ac:dyDescent="0.2">
      <c r="A45" s="860"/>
      <c r="B45" s="1194"/>
      <c r="C45" s="65"/>
      <c r="D45" s="65"/>
      <c r="E45" s="3"/>
      <c r="F45" s="3"/>
      <c r="G45" s="3"/>
      <c r="H45" s="3"/>
      <c r="I45" s="3"/>
      <c r="J45" s="3"/>
      <c r="K45" s="3"/>
    </row>
    <row r="46" spans="1:64" x14ac:dyDescent="0.2">
      <c r="A46" s="860"/>
      <c r="B46" s="1194"/>
      <c r="C46" s="17" t="s">
        <v>3563</v>
      </c>
      <c r="D46" s="65"/>
      <c r="E46" s="3"/>
      <c r="F46" s="405">
        <f>IF(F40+F42+F44&lt;0,0,(F40+F42+F44))</f>
      </c>
      <c r="G46" s="3"/>
      <c r="H46" s="3"/>
      <c r="I46" s="3"/>
      <c r="J46" s="3"/>
      <c r="K46" s="3"/>
    </row>
    <row r="47" spans="1:64" ht="6" customHeight="1" x14ac:dyDescent="0.2">
      <c r="A47" s="860"/>
      <c r="B47" s="1194"/>
      <c r="C47" s="65"/>
      <c r="D47" s="65"/>
      <c r="E47" s="3"/>
      <c r="F47" s="3"/>
      <c r="G47" s="3"/>
      <c r="H47" s="3"/>
      <c r="I47" s="3"/>
      <c r="J47" s="3"/>
      <c r="K47" s="3"/>
    </row>
    <row r="48" spans="1:64" hidden="1" x14ac:dyDescent="0.2">
      <c r="A48" s="860"/>
      <c r="C48" s="46" t="s">
        <v>3564</v>
      </c>
      <c r="D48" s="66"/>
      <c r="E48" s="66"/>
      <c r="F48" s="66"/>
      <c r="G48" s="66"/>
      <c r="H48" s="66"/>
      <c r="I48" s="66"/>
      <c r="J48" s="66"/>
      <c r="K48" s="66"/>
    </row>
    <row r="49" spans="1:16" ht="6" hidden="1" customHeight="1" x14ac:dyDescent="0.2">
      <c r="A49" s="860"/>
      <c r="C49" s="66"/>
      <c r="D49" s="66"/>
      <c r="F49" s="28"/>
      <c r="H49" s="28"/>
    </row>
    <row r="50" spans="1:16" hidden="1" x14ac:dyDescent="0.2">
      <c r="A50" s="860"/>
      <c r="C50" s="46" t="s">
        <v>3565</v>
      </c>
      <c r="D50" s="66"/>
      <c r="F50" s="28"/>
      <c r="H50" s="28"/>
    </row>
    <row r="51" spans="1:16" ht="6" customHeight="1" x14ac:dyDescent="0.2">
      <c r="A51" s="860"/>
      <c r="B51" s="1194"/>
      <c r="C51" s="65"/>
      <c r="D51" s="65"/>
      <c r="E51" s="3"/>
      <c r="F51" s="3"/>
      <c r="G51" s="3"/>
      <c r="H51" s="3"/>
      <c r="I51" s="3"/>
      <c r="J51" s="3"/>
      <c r="K51" s="3"/>
    </row>
    <row r="52" spans="1:16" x14ac:dyDescent="0.2">
      <c r="A52" s="860"/>
      <c r="B52" s="2375"/>
      <c r="C52" s="2376" t="s">
        <v>7986</v>
      </c>
      <c r="D52" s="65"/>
      <c r="E52" s="3"/>
      <c r="F52" s="3"/>
      <c r="G52" s="1082"/>
      <c r="H52" s="3"/>
      <c r="I52" s="878"/>
      <c r="J52" s="1082" t="str">
        <f>IF(F46=0,"",IF(I52="",reo,""))</f>
        <v/>
      </c>
      <c r="K52" s="3"/>
      <c r="L52" s="28">
        <f>IF(J52="",0,1)</f>
      </c>
    </row>
    <row r="53" spans="1:16" ht="4.5" customHeight="1" x14ac:dyDescent="0.2">
      <c r="A53" s="860"/>
      <c r="B53" s="1194"/>
      <c r="C53" s="3"/>
      <c r="D53" s="3"/>
      <c r="E53" s="3"/>
      <c r="F53" s="3"/>
      <c r="G53" s="3"/>
      <c r="H53" s="3"/>
      <c r="I53" s="3"/>
      <c r="J53" s="3"/>
      <c r="K53" s="3"/>
    </row>
    <row r="54" spans="1:16" ht="13.15" customHeight="1" x14ac:dyDescent="0.2">
      <c r="A54" s="1204"/>
      <c r="B54" s="4883" t="s">
        <v>7455</v>
      </c>
      <c r="C54" s="5018"/>
      <c r="D54" s="5018"/>
      <c r="E54" s="5018"/>
      <c r="F54" s="5018"/>
      <c r="G54" s="5018"/>
      <c r="H54" s="4884"/>
      <c r="I54" s="223"/>
      <c r="J54" s="1395" t="s">
        <v>951</v>
      </c>
      <c r="K54" s="1152" t="str">
        <f>IF(F44=0,"",IF(I54="",re,""))</f>
        <v/>
      </c>
      <c r="L54" s="28">
        <f>IF(K54=re,1,0)</f>
      </c>
      <c r="N54" s="28">
        <f>F44/-5%</f>
      </c>
    </row>
    <row r="55" spans="1:16" ht="14.25" x14ac:dyDescent="0.2">
      <c r="A55" s="860"/>
      <c r="B55" s="242"/>
      <c r="C55" s="1392"/>
      <c r="D55" s="1392"/>
      <c r="E55" s="1392"/>
      <c r="F55" s="1392"/>
      <c r="G55" s="1392"/>
      <c r="H55" s="1392"/>
      <c r="I55" s="1392"/>
      <c r="J55" s="1204"/>
      <c r="K55" s="1204"/>
    </row>
    <row r="56" spans="1:16" ht="14.25" x14ac:dyDescent="0.2">
      <c r="A56" s="860"/>
      <c r="B56" s="327" t="s">
        <v>3570</v>
      </c>
      <c r="C56" s="327"/>
      <c r="D56" s="3"/>
      <c r="E56" s="3"/>
      <c r="F56" s="2"/>
      <c r="G56" s="275"/>
      <c r="H56" s="1082" t="str">
        <f>IF(cnt=0,"",IF(G56="",re,IF(G56=n,"No Benefit!!","")))</f>
        <v/>
      </c>
      <c r="I56" s="1392"/>
      <c r="J56" s="1204"/>
      <c r="K56" s="1204"/>
      <c r="L56" s="28">
        <f>IF(H56="",0,1)</f>
      </c>
      <c r="P56" s="28" t="s">
        <v>4457</v>
      </c>
    </row>
    <row r="57" spans="1:16" ht="12.75" customHeight="1" x14ac:dyDescent="0.2">
      <c r="A57" s="860"/>
      <c r="B57" s="242"/>
      <c r="C57" s="1205"/>
      <c r="D57" s="1205"/>
      <c r="E57" s="1205"/>
      <c r="F57" s="1205"/>
      <c r="G57" s="1205"/>
      <c r="H57" s="1205"/>
      <c r="I57" s="1205"/>
      <c r="J57" s="1205"/>
      <c r="K57" s="1205"/>
      <c r="L57" s="28">
        <f>IF(G58="",0,1)</f>
      </c>
      <c r="P57" s="28" t="s">
        <v>1736</v>
      </c>
    </row>
    <row r="58" spans="1:16" s="66" customFormat="1" x14ac:dyDescent="0.2">
      <c r="A58" s="1179"/>
      <c r="B58" s="242"/>
      <c r="C58" s="1392"/>
      <c r="D58" s="1392"/>
      <c r="E58" s="610" t="s">
        <v>4456</v>
      </c>
      <c r="F58" s="275"/>
      <c r="G58" s="1082" t="str">
        <f>IF(cnt=0,"",IF(F58="",re,""))</f>
        <v/>
      </c>
      <c r="H58" s="65"/>
      <c r="I58" s="65"/>
      <c r="J58" s="65"/>
      <c r="K58" s="1205"/>
      <c r="L58" s="66">
        <f>SUM(L1:L57)</f>
      </c>
      <c r="M58" s="66">
        <f>SUM(M1:M57)</f>
      </c>
    </row>
    <row r="59" spans="1:16" ht="27.75" customHeight="1" x14ac:dyDescent="0.2">
      <c r="A59" s="3"/>
      <c r="B59" s="327" t="str">
        <f>_xlfn.SINGLE(MTCA)</f>
      </c>
      <c r="C59" s="65"/>
      <c r="D59" s="65"/>
      <c r="E59" s="65" t="str">
        <f>ver</f>
        <v>TA2_e-CO_2025_Ver 1.1</v>
      </c>
      <c r="F59" s="64"/>
      <c r="G59" s="65"/>
      <c r="H59" s="64"/>
      <c r="I59" s="65"/>
      <c r="J59" s="539" t="s">
        <v>3567</v>
      </c>
      <c r="K59" s="3"/>
      <c r="L59" s="28">
        <f>IF(AND(cnt=0,L58=0),0,IF(AND(L58=0,F58=P56),1,100))</f>
      </c>
    </row>
    <row r="60" spans="1:16" ht="15" x14ac:dyDescent="0.2">
      <c r="A60" s="3"/>
      <c r="B60" s="444" t="s">
        <v>365</v>
      </c>
      <c r="C60" s="3"/>
      <c r="D60" s="3"/>
      <c r="E60" s="3"/>
      <c r="F60" s="2"/>
      <c r="G60" s="3"/>
      <c r="H60" s="2"/>
      <c r="I60" s="3"/>
      <c r="J60" s="3"/>
      <c r="K60" s="3"/>
    </row>
  </sheetData>
  <sheetProtection algorithmName="SHA-512" hashValue="Cut0IpZ87NVgUS4c1+pNUEoY09eSRAlHPe/AhBbuwtPhzjGb2kXLmQQk83HNxIZCn06d1VIVQc197wlCsaBnkQ==" saltValue="16Tu/GilcKTtTG9uFz+ezQ==" spinCount="100000" sheet="1" objects="1" scenarios="1"/>
  <customSheetViews>
    <customSheetView guid="{99B5278F-6EA9-4B1A-8623-27A4DF4AD5E4}" fitToPage="1" hiddenRows="1" hiddenColumns="1">
      <selection activeCell="E5" sqref="E5"/>
      <pageMargins left="0.19685039370078741" right="0.15748031496062992" top="0.23622047244094491" bottom="0.78740157480314965" header="0.19685039370078741" footer="0.51181102362204722"/>
      <printOptions horizontalCentered="1"/>
      <pageSetup scale="94" orientation="portrait" r:id="rId1"/>
      <headerFooter alignWithMargins="0">
        <oddFooter>&amp;LName&amp;CSignature&amp;RDate</oddFooter>
      </headerFooter>
    </customSheetView>
  </customSheetViews>
  <mergeCells count="13">
    <mergeCell ref="C11:E11"/>
    <mergeCell ref="G11:I11"/>
    <mergeCell ref="B54:H54"/>
    <mergeCell ref="C28:F28"/>
    <mergeCell ref="C38:F38"/>
    <mergeCell ref="G29:J29"/>
    <mergeCell ref="C9:E9"/>
    <mergeCell ref="G9:I9"/>
    <mergeCell ref="B1:H1"/>
    <mergeCell ref="G6:I6"/>
    <mergeCell ref="C7:E7"/>
    <mergeCell ref="G7:I7"/>
    <mergeCell ref="B3:I3"/>
  </mergeCells>
  <phoneticPr fontId="119" type="noConversion"/>
  <conditionalFormatting sqref="B19">
    <cfRule type="expression" dxfId="559" priority="11" stopIfTrue="1">
      <formula>$N10=0</formula>
    </cfRule>
  </conditionalFormatting>
  <conditionalFormatting sqref="C16 E16:F16">
    <cfRule type="expression" dxfId="558" priority="27" stopIfTrue="1">
      <formula>$B$16=""</formula>
    </cfRule>
  </conditionalFormatting>
  <conditionalFormatting sqref="C18:C20 E18:E20 D19 F31 C31:D35 F33 F35">
    <cfRule type="expression" dxfId="557" priority="10" stopIfTrue="1">
      <formula>$B18=""</formula>
    </cfRule>
  </conditionalFormatting>
  <conditionalFormatting sqref="C42">
    <cfRule type="expression" dxfId="556" priority="37" stopIfTrue="1">
      <formula>ya=2010</formula>
    </cfRule>
  </conditionalFormatting>
  <conditionalFormatting sqref="D16 D18 D20 F42">
    <cfRule type="expression" dxfId="555" priority="30" stopIfTrue="1">
      <formula>ya=2010</formula>
    </cfRule>
  </conditionalFormatting>
  <conditionalFormatting sqref="D42:E42">
    <cfRule type="expression" dxfId="554" priority="36" stopIfTrue="1">
      <formula>ya=2010</formula>
    </cfRule>
  </conditionalFormatting>
  <conditionalFormatting sqref="F16">
    <cfRule type="expression" dxfId="553" priority="29" stopIfTrue="1">
      <formula>$F$16&gt;$R$16</formula>
    </cfRule>
  </conditionalFormatting>
  <conditionalFormatting sqref="F18">
    <cfRule type="expression" dxfId="552" priority="22" stopIfTrue="1">
      <formula>$F18&gt;$R18</formula>
    </cfRule>
  </conditionalFormatting>
  <conditionalFormatting sqref="F20">
    <cfRule type="expression" dxfId="551" priority="24" stopIfTrue="1">
      <formula>$F$20&gt;$R$20</formula>
    </cfRule>
  </conditionalFormatting>
  <conditionalFormatting sqref="F19:G19">
    <cfRule type="expression" dxfId="550" priority="9" stopIfTrue="1">
      <formula>$B19=""</formula>
    </cfRule>
  </conditionalFormatting>
  <conditionalFormatting sqref="G16 G18 G20">
    <cfRule type="expression" dxfId="549" priority="16" stopIfTrue="1">
      <formula>$T16=1</formula>
    </cfRule>
  </conditionalFormatting>
  <conditionalFormatting sqref="G19">
    <cfRule type="expression" dxfId="548" priority="8" stopIfTrue="1">
      <formula>$T19=1</formula>
    </cfRule>
  </conditionalFormatting>
  <conditionalFormatting sqref="G31 G33 G35">
    <cfRule type="expression" dxfId="547" priority="32" stopIfTrue="1">
      <formula>$L31=0</formula>
    </cfRule>
  </conditionalFormatting>
  <conditionalFormatting sqref="G32 G34 G42 G44 K54 H56 G58">
    <cfRule type="expression" dxfId="546" priority="14" stopIfTrue="1">
      <formula>$G32=$Q$3</formula>
    </cfRule>
    <cfRule type="expression" dxfId="545" priority="15" stopIfTrue="1">
      <formula>$G32=$Q$4</formula>
    </cfRule>
  </conditionalFormatting>
  <conditionalFormatting sqref="G52">
    <cfRule type="expression" dxfId="544" priority="3" stopIfTrue="1">
      <formula>$G52=$Q$3</formula>
    </cfRule>
    <cfRule type="expression" dxfId="543" priority="4" stopIfTrue="1">
      <formula>$G52=$Q$4</formula>
    </cfRule>
  </conditionalFormatting>
  <conditionalFormatting sqref="G14:H15">
    <cfRule type="expression" dxfId="542" priority="25" stopIfTrue="1">
      <formula>$E$5=$AF$10</formula>
    </cfRule>
  </conditionalFormatting>
  <conditionalFormatting sqref="G16:H16 F18:H18 F20:H20">
    <cfRule type="expression" dxfId="541" priority="17" stopIfTrue="1">
      <formula>$B16=""</formula>
    </cfRule>
  </conditionalFormatting>
  <conditionalFormatting sqref="G17:H17">
    <cfRule type="expression" dxfId="540" priority="5" stopIfTrue="1">
      <formula>$T17=1</formula>
    </cfRule>
  </conditionalFormatting>
  <conditionalFormatting sqref="H16 H18 H20">
    <cfRule type="expression" dxfId="539" priority="19" stopIfTrue="1">
      <formula>$T16=1</formula>
    </cfRule>
    <cfRule type="expression" dxfId="538" priority="20" stopIfTrue="1">
      <formula>$H16&gt;$S16</formula>
    </cfRule>
  </conditionalFormatting>
  <conditionalFormatting sqref="H19">
    <cfRule type="expression" dxfId="537" priority="7" stopIfTrue="1">
      <formula>$B19=""</formula>
    </cfRule>
    <cfRule type="expression" dxfId="536" priority="6" stopIfTrue="1">
      <formula>$T19=1</formula>
    </cfRule>
  </conditionalFormatting>
  <conditionalFormatting sqref="H31:I31 H33:I33 H35:I35">
    <cfRule type="expression" dxfId="535" priority="31" stopIfTrue="1">
      <formula>$M$31=0</formula>
    </cfRule>
  </conditionalFormatting>
  <conditionalFormatting sqref="J16 J18 J20">
    <cfRule type="expression" dxfId="534" priority="33" stopIfTrue="1">
      <formula>$J16=$Q$1</formula>
    </cfRule>
    <cfRule type="expression" dxfId="533" priority="34" stopIfTrue="1">
      <formula>$J16=$Q$2</formula>
    </cfRule>
    <cfRule type="expression" dxfId="532" priority="35" stopIfTrue="1">
      <formula>$J16=$Q$5</formula>
    </cfRule>
  </conditionalFormatting>
  <conditionalFormatting sqref="J17 J19">
    <cfRule type="expression" dxfId="531" priority="13" stopIfTrue="1">
      <formula>$J17=$Q$2</formula>
    </cfRule>
    <cfRule type="expression" dxfId="530" priority="12" stopIfTrue="1">
      <formula>$J17=$Q$1</formula>
    </cfRule>
  </conditionalFormatting>
  <conditionalFormatting sqref="J52">
    <cfRule type="expression" dxfId="529" priority="2" stopIfTrue="1">
      <formula>$G52=$Q$4</formula>
    </cfRule>
    <cfRule type="expression" dxfId="528" priority="1" stopIfTrue="1">
      <formula>$G52=$Q$3</formula>
    </cfRule>
  </conditionalFormatting>
  <conditionalFormatting sqref="J13:K14">
    <cfRule type="expression" dxfId="527" priority="26" stopIfTrue="1">
      <formula>$J$13&lt;&gt;""</formula>
    </cfRule>
  </conditionalFormatting>
  <dataValidations count="17">
    <dataValidation type="decimal" errorStyle="warning" operator="lessThanOrEqual" allowBlank="1" showInputMessage="1" showErrorMessage="1" errorTitle="Tax credit rate" error="Excessive?" promptTitle="Tax credit rate" prompt="Value expressed as a percentage" sqref="F16 F18 F20" xr:uid="{00000000-0002-0000-3300-000000000000}">
      <formula1>R16</formula1>
    </dataValidation>
    <dataValidation type="decimal" errorStyle="warning" operator="lessThanOrEqual" allowBlank="1" showInputMessage="1" showErrorMessage="1" errorTitle="Tax credit rate" error="Rate entered may be excessive!" sqref="H18 H16 H20" xr:uid="{00000000-0002-0000-3300-000001000000}">
      <formula1>S16</formula1>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E16 E20 E18" xr:uid="{00000000-0002-0000-3300-000002000000}">
      <formula1>0</formula1>
      <formula2>P16</formula2>
    </dataValidation>
    <dataValidation type="whole" errorStyle="warning" allowBlank="1" showInputMessage="1" showErrorMessage="1" errorTitle="Income Relieved by tax credit" error="Ensure that the value entered is not excessive!" sqref="I54" xr:uid="{00000000-0002-0000-3300-000003000000}">
      <formula1>0</formula1>
      <formula2>N54</formula2>
    </dataValidation>
    <dataValidation type="list" allowBlank="1" showInputMessage="1" showErrorMessage="1" sqref="F58 G56" xr:uid="{00000000-0002-0000-3300-000004000000}">
      <formula1>$P$55:$P$57</formula1>
    </dataValidation>
    <dataValidation type="whole" operator="lessThanOrEqual" allowBlank="1" showInputMessage="1" showErrorMessage="1" errorTitle="Tax credit utilised" error="Please enter a negative value!" sqref="F44" xr:uid="{00000000-0002-0000-3300-000005000000}">
      <formula1>0</formula1>
    </dataValidation>
    <dataValidation type="whole" operator="greaterThanOrEqual" allowBlank="1" showInputMessage="1" showErrorMessage="1" errorTitle="Approved value" error="Please enter a positive amount!" sqref="C16 C18 C20" xr:uid="{00000000-0002-0000-3300-000006000000}">
      <formula1>0</formula1>
    </dataValidation>
    <dataValidation type="whole" operator="lessThanOrEqual" allowBlank="1" showInputMessage="1" showErrorMessage="1" errorTitle="State Aid Claimed elsewhere" error="Please enter a negative value!" sqref="I24" xr:uid="{00000000-0002-0000-3300-000007000000}">
      <formula1>0</formula1>
    </dataValidation>
    <dataValidation type="list" allowBlank="1" showInputMessage="1" showErrorMessage="1" sqref="E5" xr:uid="{00000000-0002-0000-3300-000008000000}">
      <formula1>$AC$10:$AF$10</formula1>
    </dataValidation>
    <dataValidation type="list" allowBlank="1" showInputMessage="1" showErrorMessage="1" sqref="C9 C11 C7" xr:uid="{00000000-0002-0000-3300-000009000000}">
      <formula1>$X$10:$AB$10</formula1>
    </dataValidation>
    <dataValidation type="whole" errorStyle="warning" allowBlank="1" showInputMessage="1" showErrorMessage="1" errorTitle="Additional overheads" error="Cannot be more than eligible costs!" sqref="D31 D33 D35" xr:uid="{00000000-0002-0000-3300-00000A000000}">
      <formula1>0</formula1>
      <formula2>BL31</formula2>
    </dataValidation>
    <dataValidation type="decimal" errorStyle="warning" operator="lessThanOrEqual" allowBlank="1" showInputMessage="1" showErrorMessage="1" errorTitle="% Costs to total eligible costs" error="In aggregate both costs cannot be more than 25% of eligible costs!" sqref="F31 F33 F35" xr:uid="{00000000-0002-0000-3300-00000B000000}">
      <formula1>0.25</formula1>
    </dataValidation>
    <dataValidation type="whole" errorStyle="warning" allowBlank="1" showInputMessage="1" showErrorMessage="1" errorTitle="Contractual Research" error="Cannot be more than eligible costs!" sqref="C31 C33 C35" xr:uid="{00000000-0002-0000-3300-00000C000000}">
      <formula1>0</formula1>
      <formula2>D16+E16-D31</formula2>
    </dataValidation>
    <dataValidation type="whole" allowBlank="1" showInputMessage="1" showErrorMessage="1" errorTitle="Special eligible costs" error="Cannot exceed approved amount_x000a_OR_x000a_Not applicable on type of project described!" sqref="G16 G18 G20" xr:uid="{00000000-0002-0000-3300-00000D000000}">
      <formula1>0</formula1>
      <formula2>BD16</formula2>
    </dataValidation>
    <dataValidation type="whole" allowBlank="1" showInputMessage="1" showErrorMessage="1" errorTitle="Tax credit brought forward" error="Please enter a positive value!_x000a_OR_x000a_No value expected for the Y/A 2010!" sqref="F42" xr:uid="{00000000-0002-0000-3300-00000E000000}">
      <formula1>0</formula1>
      <formula2>P42</formula2>
    </dataValidation>
    <dataValidation type="whole" allowBlank="1" showInputMessage="1" showErrorMessage="1" errorTitle="Eligible Costs - Previous years" error="Please enter a positive value that does not exceed approved amount!_x000a_OR_x000a_Leave blank for the Y/A 2010!" promptTitle="Eligible costs - previous years" prompt="Please enter value that does not exceed approved amount OR 0.  Please enter a 0 for the Y/A 2010!" sqref="D16 D18 D20" xr:uid="{00000000-0002-0000-3300-00000F000000}">
      <formula1>0</formula1>
      <formula2>Z16</formula2>
    </dataValidation>
    <dataValidation type="whole" errorStyle="warning" operator="greaterThanOrEqual" allowBlank="1" showInputMessage="1" showErrorMessage="1" errorTitle="Tax credit c/fwd" error="Please enter a positive whole number" sqref="I52" xr:uid="{00000000-0002-0000-3300-000010000000}">
      <formula1>0</formula1>
    </dataValidation>
  </dataValidations>
  <hyperlinks>
    <hyperlink ref="B60" location="Index!A72" display="Back to Index" xr:uid="{00000000-0004-0000-3300-000000000000}"/>
    <hyperlink ref="I44" location="TRA35!A1" display="TRA 35" xr:uid="{00000000-0004-0000-3300-000001000000}"/>
    <hyperlink ref="J54" location="TRA35!A1" display="TRA 35" xr:uid="{00000000-0004-0000-3300-000002000000}"/>
  </hyperlinks>
  <printOptions horizontalCentered="1"/>
  <pageMargins left="0.19685039370078741" right="0.15748031496062992" top="0.23622047244094491" bottom="1.1499999999999999" header="0.19685039370078741" footer="0.51181102362204722"/>
  <pageSetup scale="91" orientation="portrait" r:id="rId2"/>
  <headerFooter alignWithMargins="0">
    <oddFooter>&amp;LName&amp;CSignature&amp;RDate</oddFooter>
  </headerFooter>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22"/>
  <dimension ref="A1:BC71"/>
  <sheetViews>
    <sheetView workbookViewId="0">
      <selection activeCell="F42" sqref="F42"/>
    </sheetView>
  </sheetViews>
  <sheetFormatPr defaultColWidth="0" defaultRowHeight="12.75" zeroHeight="1" x14ac:dyDescent="0.2"/>
  <cols>
    <col min="1" max="1" width="0.42578125" style="28" customWidth="1"/>
    <col min="2" max="2" width="7.7109375" style="28" bestFit="1" customWidth="1"/>
    <col min="3" max="3" width="25.28515625" style="28" customWidth="1"/>
    <col min="4" max="4" width="13.28515625" style="28" customWidth="1"/>
    <col min="5" max="5" width="8.7109375" style="28" customWidth="1"/>
    <col min="6" max="6" width="9.42578125" style="28" customWidth="1"/>
    <col min="7" max="10" width="11.7109375" style="28" customWidth="1"/>
    <col min="11" max="11" width="28.5703125" style="28" customWidth="1"/>
    <col min="12" max="12" width="2.28515625" style="28" customWidth="1"/>
    <col min="13" max="13" width="9.28515625" style="1742" hidden="1" customWidth="1"/>
    <col min="14" max="21" width="9.28515625" style="28" hidden="1" customWidth="1"/>
    <col min="22" max="22" width="10.7109375" style="28" hidden="1" customWidth="1"/>
    <col min="23" max="23" width="11.42578125" style="28" hidden="1" customWidth="1"/>
    <col min="24" max="24" width="12.42578125" style="28" hidden="1" customWidth="1"/>
    <col min="25" max="28" width="10.28515625" style="28" hidden="1" customWidth="1"/>
    <col min="29" max="33" width="9.28515625" style="28" hidden="1" customWidth="1"/>
    <col min="34" max="34" width="11.7109375" style="28" hidden="1" customWidth="1"/>
    <col min="35" max="55" width="0" style="28" hidden="1" customWidth="1"/>
    <col min="56" max="16384" width="9.28515625" style="28" hidden="1"/>
  </cols>
  <sheetData>
    <row r="1" spans="1:55" x14ac:dyDescent="0.2">
      <c r="A1" s="3"/>
      <c r="B1" s="65" t="str">
        <f>_ref1</f>
      </c>
      <c r="C1" s="3"/>
      <c r="D1" s="3"/>
      <c r="E1" s="3"/>
      <c r="F1" s="3"/>
      <c r="G1" s="3"/>
      <c r="H1" s="3"/>
      <c r="I1" s="3"/>
      <c r="J1" s="64" t="str">
        <f>_YA1</f>
      </c>
      <c r="K1" s="3"/>
      <c r="L1" s="3"/>
      <c r="P1" s="28">
        <f>ya</f>
      </c>
      <c r="R1" s="28" t="str">
        <f>nd</f>
        <v xml:space="preserve"> No deduction!</v>
      </c>
      <c r="AB1" s="898" t="s">
        <v>4591</v>
      </c>
    </row>
    <row r="2" spans="1:55" x14ac:dyDescent="0.2">
      <c r="A2" s="3"/>
      <c r="B2" s="3"/>
      <c r="C2" s="3"/>
      <c r="D2" s="3"/>
      <c r="E2" s="3"/>
      <c r="F2" s="3"/>
      <c r="G2" s="3"/>
      <c r="H2" s="3"/>
      <c r="I2" s="3"/>
      <c r="J2" s="3"/>
      <c r="K2" s="3"/>
      <c r="L2" s="3"/>
      <c r="AA2" s="139" t="s">
        <v>5053</v>
      </c>
      <c r="AB2" s="898" t="str">
        <f>cur</f>
      </c>
      <c r="AC2" s="898"/>
      <c r="AD2" s="2486" t="str">
        <f>IF(P28=0,"",IF(AB2=""," Currency on page 1 required!",""))</f>
        <v/>
      </c>
    </row>
    <row r="3" spans="1:55" ht="32.25" customHeight="1" x14ac:dyDescent="0.2">
      <c r="A3" s="3"/>
      <c r="B3" s="5024" t="s">
        <v>7695</v>
      </c>
      <c r="C3" s="5025"/>
      <c r="D3" s="5025"/>
      <c r="E3" s="5025"/>
      <c r="F3" s="5025"/>
      <c r="G3" s="5025"/>
      <c r="H3" s="5025"/>
      <c r="I3" s="5025"/>
      <c r="J3" s="5026"/>
      <c r="K3" s="3"/>
      <c r="L3" s="3"/>
      <c r="P3" s="28">
        <f>COUNTA(E5,C15:H24)</f>
      </c>
      <c r="AA3" s="139" t="s">
        <v>5664</v>
      </c>
      <c r="AB3" s="2412">
        <f>VLOOKUP(AB2,cbmer,8,FALSE)</f>
      </c>
      <c r="AC3" s="2487" t="str">
        <f>IF(P28=0,"",IF(AB2=Z27,"",IF(AB3="",re,IF(ISERROR(P35)," Numeric value required!",""))))</f>
        <v/>
      </c>
    </row>
    <row r="4" spans="1:55" ht="15" hidden="1" customHeight="1" x14ac:dyDescent="0.2">
      <c r="A4" s="3"/>
      <c r="B4" s="3"/>
      <c r="C4" s="3"/>
      <c r="D4" s="3"/>
      <c r="E4" s="3"/>
      <c r="F4" s="3"/>
      <c r="G4" s="3"/>
      <c r="H4" s="3"/>
      <c r="I4" s="2371" t="s">
        <v>7697</v>
      </c>
      <c r="J4" s="2371"/>
      <c r="K4" s="3"/>
      <c r="L4" s="3"/>
    </row>
    <row r="5" spans="1:55" ht="12.75" hidden="1" customHeight="1" x14ac:dyDescent="0.2">
      <c r="A5" s="3"/>
      <c r="B5" s="3"/>
      <c r="C5" s="3"/>
      <c r="D5" s="72" t="s">
        <v>5052</v>
      </c>
      <c r="E5" s="1184"/>
      <c r="F5" s="885" t="str">
        <f>IF(AND(P3&lt;&gt;0,E5=""),re,"")</f>
        <v/>
      </c>
      <c r="G5" s="3"/>
      <c r="H5" s="3"/>
      <c r="I5" s="2372"/>
      <c r="J5" s="2372"/>
      <c r="K5" s="3"/>
      <c r="L5" s="3"/>
      <c r="N5" s="28">
        <f>IF(F5="",0,1)</f>
      </c>
      <c r="BA5" s="2143" t="s">
        <v>7696</v>
      </c>
      <c r="BB5" s="2142"/>
      <c r="BC5" s="2142"/>
    </row>
    <row r="6" spans="1:55" ht="6" hidden="1" customHeight="1" x14ac:dyDescent="0.2">
      <c r="A6" s="3"/>
      <c r="B6" s="3"/>
      <c r="C6" s="3"/>
      <c r="D6" s="72"/>
      <c r="E6" s="3"/>
      <c r="F6" s="3"/>
      <c r="G6" s="3"/>
      <c r="H6" s="2141"/>
      <c r="I6" s="2372"/>
      <c r="J6" s="2372"/>
      <c r="K6" s="3"/>
      <c r="L6" s="3"/>
      <c r="BA6" s="2142"/>
      <c r="BB6" s="2142"/>
      <c r="BC6" s="2142"/>
    </row>
    <row r="7" spans="1:55" ht="12.75" hidden="1" customHeight="1" x14ac:dyDescent="0.2">
      <c r="A7" s="3"/>
      <c r="B7" s="3"/>
      <c r="C7" s="3"/>
      <c r="D7" s="72" t="s">
        <v>5053</v>
      </c>
      <c r="E7" s="5033" t="str">
        <f>IF('p1'!Z70="","",'p1'!Z70)</f>
      </c>
      <c r="F7" s="5034"/>
      <c r="G7" s="249" t="str">
        <f>IF(P3=0,"",IF(E7=""," Currency on page 1 required!",""))</f>
        <v/>
      </c>
      <c r="H7" s="2141"/>
      <c r="I7" s="2372"/>
      <c r="J7" s="2372"/>
      <c r="K7" s="3"/>
      <c r="L7" s="3"/>
      <c r="N7" s="28">
        <f>IF(G7="",0,1)</f>
      </c>
      <c r="BA7" s="2142"/>
      <c r="BB7" s="2142"/>
      <c r="BC7" s="2142"/>
    </row>
    <row r="8" spans="1:55" ht="5.25" hidden="1" customHeight="1" x14ac:dyDescent="0.2">
      <c r="A8" s="3"/>
      <c r="B8" s="3"/>
      <c r="C8" s="3"/>
      <c r="D8" s="2"/>
      <c r="E8" s="2"/>
      <c r="F8" s="2"/>
      <c r="G8" s="2"/>
      <c r="H8" s="2141"/>
      <c r="I8" s="2372"/>
      <c r="J8" s="2372"/>
      <c r="K8" s="3"/>
      <c r="L8" s="3"/>
      <c r="BA8" s="2142"/>
      <c r="BB8" s="2142"/>
      <c r="BC8" s="2142"/>
    </row>
    <row r="9" spans="1:55" ht="15" hidden="1" x14ac:dyDescent="0.2">
      <c r="A9" s="3"/>
      <c r="B9" s="3"/>
      <c r="C9" s="3"/>
      <c r="D9" s="72" t="s">
        <v>5664</v>
      </c>
      <c r="E9" s="1396"/>
      <c r="F9" s="2140" t="str">
        <f>IF(P3=0,"",IF(E7=AB1,"",IF(E9="",re,IF(ISERROR(P9)," Numeric value required!",""))))</f>
        <v/>
      </c>
      <c r="G9" s="2"/>
      <c r="H9" s="2141"/>
      <c r="I9" s="2372"/>
      <c r="J9" s="2372"/>
      <c r="K9" s="3"/>
      <c r="L9" s="3"/>
      <c r="N9" s="28">
        <f>IF(F9="",0,1)</f>
      </c>
      <c r="P9" s="28">
        <f>ROUND(E9*1,0)</f>
      </c>
      <c r="Z9" s="28">
        <f>IF(E7=AB1,12000,ROUND(12000*E9,0))</f>
      </c>
      <c r="BA9" s="2142"/>
      <c r="BB9" s="2142"/>
      <c r="BC9" s="2142"/>
    </row>
    <row r="10" spans="1:55" ht="13.15" hidden="1" customHeight="1" x14ac:dyDescent="0.2">
      <c r="A10" s="3"/>
      <c r="B10" s="3"/>
      <c r="C10" s="3"/>
      <c r="D10" s="72"/>
      <c r="E10" s="2140"/>
      <c r="F10" s="2140"/>
      <c r="G10" s="2"/>
      <c r="H10" s="3"/>
      <c r="I10" s="2373"/>
      <c r="J10" s="2373"/>
      <c r="K10" s="2234" t="str">
        <f>IF(K11="","","W A R N I N G!")</f>
        <v/>
      </c>
      <c r="L10" s="3"/>
      <c r="M10" s="1742" t="s">
        <v>7694</v>
      </c>
    </row>
    <row r="11" spans="1:55" ht="15" hidden="1" x14ac:dyDescent="0.25">
      <c r="A11" s="3"/>
      <c r="B11" s="3"/>
      <c r="C11" s="2144" t="s">
        <v>7699</v>
      </c>
      <c r="D11" s="2137"/>
      <c r="E11" s="2137"/>
      <c r="F11" s="2137"/>
      <c r="G11" s="2137"/>
      <c r="H11" s="2137"/>
      <c r="I11" s="2137"/>
      <c r="J11" s="2138"/>
      <c r="K11" s="5035" t="str">
        <f>IF(AND(COUNT(G15:H24)&gt;0,AB15=0),"31 December year end! Cannot Claim inflated deductions!","")</f>
        <v/>
      </c>
      <c r="L11" s="3"/>
      <c r="M11" s="1742" t="s">
        <v>7689</v>
      </c>
      <c r="R11" s="1736" t="s">
        <v>7826</v>
      </c>
      <c r="S11" s="2233">
        <f>IF(K11="",0,1)</f>
      </c>
    </row>
    <row r="12" spans="1:55" hidden="1" x14ac:dyDescent="0.2">
      <c r="A12" s="3"/>
      <c r="B12" s="3"/>
      <c r="C12" s="4701" t="s">
        <v>5663</v>
      </c>
      <c r="D12" s="4701"/>
      <c r="E12" s="4701" t="s">
        <v>7685</v>
      </c>
      <c r="F12" s="4701"/>
      <c r="G12" s="4701"/>
      <c r="H12" s="4701"/>
      <c r="I12" s="4701"/>
      <c r="J12" s="4701"/>
      <c r="K12" s="5035"/>
      <c r="L12" s="3"/>
    </row>
    <row r="13" spans="1:55" hidden="1" x14ac:dyDescent="0.2">
      <c r="A13" s="3"/>
      <c r="B13" s="3"/>
      <c r="C13" s="5029" t="s">
        <v>5715</v>
      </c>
      <c r="D13" s="5029" t="s">
        <v>5716</v>
      </c>
      <c r="E13" s="4443" t="s">
        <v>5717</v>
      </c>
      <c r="F13" s="4443" t="s">
        <v>1759</v>
      </c>
      <c r="G13" s="4698" t="s">
        <v>5718</v>
      </c>
      <c r="H13" s="4699"/>
      <c r="I13" s="4699"/>
      <c r="J13" s="4443" t="s">
        <v>4446</v>
      </c>
      <c r="K13" s="3"/>
      <c r="L13" s="3"/>
      <c r="W13" s="28">
        <f>X15/0.4293</f>
      </c>
      <c r="Z13" s="74"/>
      <c r="AA13" s="2139">
        <v>42735</v>
      </c>
      <c r="AB13" s="1742"/>
      <c r="AC13" s="5027" t="s">
        <v>7689</v>
      </c>
    </row>
    <row r="14" spans="1:55" ht="69" hidden="1" customHeight="1" x14ac:dyDescent="0.2">
      <c r="A14" s="3"/>
      <c r="B14" s="3"/>
      <c r="C14" s="5030"/>
      <c r="D14" s="5030"/>
      <c r="E14" s="4444"/>
      <c r="F14" s="4444"/>
      <c r="G14" s="269" t="s">
        <v>5713</v>
      </c>
      <c r="H14" s="269" t="s">
        <v>5714</v>
      </c>
      <c r="I14" s="1397" t="s">
        <v>5681</v>
      </c>
      <c r="J14" s="4444"/>
      <c r="K14" s="3"/>
      <c r="L14" s="3"/>
      <c r="T14" s="28">
        <f>E5+1</f>
      </c>
      <c r="V14" s="235" t="s">
        <v>5710</v>
      </c>
      <c r="W14" s="235" t="s">
        <v>5711</v>
      </c>
      <c r="X14" s="1206" t="s">
        <v>5709</v>
      </c>
      <c r="Y14" s="74"/>
      <c r="Z14" s="74">
        <v>40179</v>
      </c>
      <c r="AA14" s="2139">
        <v>42735</v>
      </c>
      <c r="AB14" s="1742" t="s">
        <v>7691</v>
      </c>
      <c r="AC14" s="5027"/>
    </row>
    <row r="15" spans="1:55" hidden="1" x14ac:dyDescent="0.2">
      <c r="A15" s="3"/>
      <c r="B15" s="114" t="s">
        <v>5712</v>
      </c>
      <c r="C15" s="1207"/>
      <c r="D15" s="1207"/>
      <c r="E15" s="1208"/>
      <c r="F15" s="1209"/>
      <c r="G15" s="223"/>
      <c r="H15" s="223"/>
      <c r="I15" s="799">
        <f>IF(ya=2010,G15,G15+H15)</f>
      </c>
      <c r="J15" s="410">
        <f>X15</f>
      </c>
      <c r="K15" s="222" t="str">
        <f>IF($P$3=0,"",IF(O15&lt;&gt;0," All pharmacy details required!",IF(P15&lt;&gt;0,"Date of approval required!",IF(Q15&lt;&gt;0,"Current year expenditure claimed!",IF(AND(ya=2010,H15&lt;&gt;""),"Delete previous!",IF(R15&lt;&gt;0,"Expenditure previously claimed or 0!",""))))))</f>
        <v/>
      </c>
      <c r="L15" s="3"/>
      <c r="N15" s="28">
        <f>IF(K15="",0,1)</f>
      </c>
      <c r="O15" s="28">
        <f t="shared" ref="O15:O24" si="0">IF(OR(C15="",D15=""),1,0)</f>
      </c>
      <c r="P15" s="28">
        <f>IF(F15="",1,0)</f>
      </c>
      <c r="Q15" s="28">
        <f>IF(G15="",1,0)</f>
      </c>
      <c r="R15" s="28">
        <f>IF(ya=2010,0,IF(H15="",1,0))</f>
      </c>
      <c r="S15" s="28">
        <f>COUNTA(C15:H15)</f>
      </c>
      <c r="T15" s="28">
        <f>IF(T14-1&lt;=0,0,T14-1)</f>
      </c>
      <c r="U15" s="28">
        <v>1</v>
      </c>
      <c r="V15" s="28">
        <f>I15*3</f>
      </c>
      <c r="W15" s="28">
        <f t="shared" ref="W15:W24" si="1">IF(ya=2010,0,H15*3)</f>
      </c>
      <c r="X15" s="28">
        <f>IF(W15&gt;=poyc,0,IF(V15&gt;poyc,poyc-W15,V15-W15))</f>
      </c>
      <c r="AA15" s="2139">
        <f>IF(OR(ISERROR(AB15),AB15=0),DATE(ya-2,12,31),IF(AB15=AA13,DATE(ya-2,12,31),DATE(ya-1,12,31)))</f>
      </c>
      <c r="AB15" s="2139">
        <f>'p1'!M66</f>
      </c>
      <c r="AC15" s="5027"/>
    </row>
    <row r="16" spans="1:55" hidden="1" x14ac:dyDescent="0.2">
      <c r="A16" s="3"/>
      <c r="B16" s="114" t="str">
        <f>IF(T16=0,"","Outlet "&amp;U16)</f>
        <v/>
      </c>
      <c r="C16" s="1207"/>
      <c r="D16" s="1207"/>
      <c r="E16" s="1208"/>
      <c r="F16" s="1209"/>
      <c r="G16" s="223"/>
      <c r="H16" s="223"/>
      <c r="I16" s="799">
        <f t="shared" ref="I16:I24" si="2">IF(ya=2010,G16,G16+H16)</f>
      </c>
      <c r="J16" s="799">
        <f>IF(B16="",0,X16)</f>
      </c>
      <c r="K16" s="222" t="str">
        <f t="shared" ref="K16:K24" si="3">IF($P$3=0,"",IF(AND(B16="",S16&gt;0),"Delete!",IF(T16=0,"",IF(O16&lt;&gt;0," All pharmacy details required!",IF(P16&lt;&gt;0,"Date of approval required!",IF(Q16&lt;&gt;0,"Current year expenditure claimed!",IF(AND(ya=2010,H16&lt;&gt;""),"Delete previous!",IF(R16&lt;&gt;0,"Expenditure previously claimed or 0!",""))))))))</f>
        <v/>
      </c>
      <c r="L16" s="3"/>
      <c r="N16" s="28">
        <f t="shared" ref="N16:N24" si="4">IF(K16="",0,1)</f>
      </c>
      <c r="O16" s="28">
        <f t="shared" si="0"/>
        <v>1</v>
      </c>
      <c r="P16" s="28">
        <f t="shared" ref="P16:Q24" si="5">IF(F16="",1,0)</f>
      </c>
      <c r="Q16" s="28">
        <f t="shared" si="5"/>
        <v>1</v>
      </c>
      <c r="R16" s="28">
        <f t="shared" ref="R16:R24" si="6">IF(ya=2010,0,IF(H16="",1,0))</f>
      </c>
      <c r="S16" s="28">
        <f t="shared" ref="S16:S24" si="7">COUNTA(C16:H16)</f>
      </c>
      <c r="T16" s="28">
        <f t="shared" ref="T16:T24" si="8">IF(T15-1&lt;=0,0,T15-1)</f>
      </c>
      <c r="U16" s="28">
        <v>2</v>
      </c>
      <c r="V16" s="28">
        <f t="shared" ref="V16:V24" si="9">I16*3</f>
      </c>
      <c r="W16" s="28">
        <f t="shared" si="1"/>
        <v>0</v>
      </c>
      <c r="X16" s="28">
        <f t="shared" ref="X16:X24" si="10">IF(W16&gt;=poyc,0,IF(V16&gt;poyc,poyc-W16,V16-W16))</f>
      </c>
    </row>
    <row r="17" spans="1:28" hidden="1" x14ac:dyDescent="0.2">
      <c r="A17" s="3"/>
      <c r="B17" s="114" t="str">
        <f t="shared" ref="B17:B24" si="11">IF(T17=0,"","Outlet "&amp;U17)</f>
        <v/>
      </c>
      <c r="C17" s="1207"/>
      <c r="D17" s="1207"/>
      <c r="E17" s="1208"/>
      <c r="F17" s="1209"/>
      <c r="G17" s="223"/>
      <c r="H17" s="223"/>
      <c r="I17" s="799">
        <f t="shared" si="2"/>
        <v>0</v>
      </c>
      <c r="J17" s="799">
        <f t="shared" ref="J17:J24" si="12">IF(B17="",0,X17)</f>
      </c>
      <c r="K17" s="222" t="str">
        <f t="shared" si="3"/>
        <v/>
      </c>
      <c r="L17" s="3"/>
      <c r="N17" s="28">
        <f t="shared" si="4"/>
        <v>0</v>
      </c>
      <c r="O17" s="28">
        <f t="shared" si="0"/>
        <v>1</v>
      </c>
      <c r="P17" s="28">
        <f t="shared" si="5"/>
        <v>1</v>
      </c>
      <c r="Q17" s="28">
        <f t="shared" si="5"/>
        <v>1</v>
      </c>
      <c r="R17" s="28">
        <f t="shared" si="6"/>
        <v>1</v>
      </c>
      <c r="S17" s="28">
        <f t="shared" si="7"/>
        <v>0</v>
      </c>
      <c r="T17" s="28">
        <f t="shared" si="8"/>
        <v>0</v>
      </c>
      <c r="U17" s="28">
        <v>3</v>
      </c>
      <c r="V17" s="28">
        <f t="shared" si="9"/>
        <v>0</v>
      </c>
      <c r="W17" s="28">
        <f t="shared" si="1"/>
        <v>0</v>
      </c>
      <c r="X17" s="28">
        <f t="shared" si="10"/>
        <v>0</v>
      </c>
    </row>
    <row r="18" spans="1:28" hidden="1" x14ac:dyDescent="0.2">
      <c r="A18" s="3"/>
      <c r="B18" s="114" t="str">
        <f t="shared" si="11"/>
        <v/>
      </c>
      <c r="C18" s="1207"/>
      <c r="D18" s="1207"/>
      <c r="E18" s="1208"/>
      <c r="F18" s="1209"/>
      <c r="G18" s="223"/>
      <c r="H18" s="223"/>
      <c r="I18" s="799">
        <f t="shared" si="2"/>
        <v>0</v>
      </c>
      <c r="J18" s="799">
        <f t="shared" si="12"/>
        <v>0</v>
      </c>
      <c r="K18" s="222" t="str">
        <f t="shared" si="3"/>
        <v/>
      </c>
      <c r="L18" s="3"/>
      <c r="N18" s="28">
        <f t="shared" si="4"/>
        <v>0</v>
      </c>
      <c r="O18" s="28">
        <f t="shared" si="0"/>
        <v>1</v>
      </c>
      <c r="P18" s="28">
        <f t="shared" si="5"/>
        <v>1</v>
      </c>
      <c r="Q18" s="28">
        <f t="shared" si="5"/>
        <v>1</v>
      </c>
      <c r="R18" s="28">
        <f t="shared" si="6"/>
        <v>1</v>
      </c>
      <c r="S18" s="28">
        <f t="shared" si="7"/>
        <v>0</v>
      </c>
      <c r="T18" s="28">
        <f t="shared" si="8"/>
        <v>0</v>
      </c>
      <c r="U18" s="28">
        <v>4</v>
      </c>
      <c r="V18" s="28">
        <f t="shared" si="9"/>
        <v>0</v>
      </c>
      <c r="W18" s="28">
        <f t="shared" si="1"/>
        <v>0</v>
      </c>
      <c r="X18" s="28">
        <f t="shared" si="10"/>
        <v>0</v>
      </c>
    </row>
    <row r="19" spans="1:28" hidden="1" x14ac:dyDescent="0.2">
      <c r="A19" s="3"/>
      <c r="B19" s="114" t="str">
        <f t="shared" si="11"/>
        <v/>
      </c>
      <c r="C19" s="1207"/>
      <c r="D19" s="1207"/>
      <c r="E19" s="1208"/>
      <c r="F19" s="1209"/>
      <c r="G19" s="223"/>
      <c r="H19" s="223"/>
      <c r="I19" s="799">
        <f t="shared" si="2"/>
        <v>0</v>
      </c>
      <c r="J19" s="799">
        <f t="shared" si="12"/>
        <v>0</v>
      </c>
      <c r="K19" s="222" t="str">
        <f t="shared" si="3"/>
        <v/>
      </c>
      <c r="L19" s="3"/>
      <c r="N19" s="28">
        <f t="shared" si="4"/>
        <v>0</v>
      </c>
      <c r="O19" s="28">
        <f t="shared" si="0"/>
        <v>1</v>
      </c>
      <c r="P19" s="28">
        <f t="shared" si="5"/>
        <v>1</v>
      </c>
      <c r="Q19" s="28">
        <f t="shared" si="5"/>
        <v>1</v>
      </c>
      <c r="R19" s="28">
        <f t="shared" si="6"/>
        <v>1</v>
      </c>
      <c r="S19" s="28">
        <f t="shared" si="7"/>
        <v>0</v>
      </c>
      <c r="T19" s="28">
        <f t="shared" si="8"/>
        <v>0</v>
      </c>
      <c r="U19" s="28">
        <v>5</v>
      </c>
      <c r="V19" s="28">
        <f t="shared" si="9"/>
        <v>0</v>
      </c>
      <c r="W19" s="28">
        <f t="shared" si="1"/>
        <v>0</v>
      </c>
      <c r="X19" s="28">
        <f t="shared" si="10"/>
        <v>0</v>
      </c>
    </row>
    <row r="20" spans="1:28" hidden="1" x14ac:dyDescent="0.2">
      <c r="A20" s="3"/>
      <c r="B20" s="114" t="str">
        <f t="shared" si="11"/>
        <v/>
      </c>
      <c r="C20" s="1207"/>
      <c r="D20" s="1207"/>
      <c r="E20" s="1208"/>
      <c r="F20" s="1209"/>
      <c r="G20" s="223"/>
      <c r="H20" s="223"/>
      <c r="I20" s="799">
        <f t="shared" si="2"/>
        <v>0</v>
      </c>
      <c r="J20" s="799">
        <f t="shared" si="12"/>
        <v>0</v>
      </c>
      <c r="K20" s="222" t="str">
        <f t="shared" si="3"/>
        <v/>
      </c>
      <c r="L20" s="3"/>
      <c r="N20" s="28">
        <f t="shared" si="4"/>
        <v>0</v>
      </c>
      <c r="O20" s="28">
        <f t="shared" si="0"/>
        <v>1</v>
      </c>
      <c r="P20" s="28">
        <f t="shared" si="5"/>
        <v>1</v>
      </c>
      <c r="Q20" s="28">
        <f t="shared" si="5"/>
        <v>1</v>
      </c>
      <c r="R20" s="28">
        <f t="shared" si="6"/>
        <v>1</v>
      </c>
      <c r="S20" s="28">
        <f t="shared" si="7"/>
        <v>0</v>
      </c>
      <c r="T20" s="28">
        <f t="shared" si="8"/>
        <v>0</v>
      </c>
      <c r="U20" s="28">
        <v>6</v>
      </c>
      <c r="V20" s="28">
        <f t="shared" si="9"/>
        <v>0</v>
      </c>
      <c r="W20" s="28">
        <f t="shared" si="1"/>
        <v>0</v>
      </c>
      <c r="X20" s="28">
        <f t="shared" si="10"/>
        <v>0</v>
      </c>
    </row>
    <row r="21" spans="1:28" hidden="1" x14ac:dyDescent="0.2">
      <c r="A21" s="3"/>
      <c r="B21" s="114" t="str">
        <f t="shared" si="11"/>
        <v/>
      </c>
      <c r="C21" s="1207"/>
      <c r="D21" s="1207"/>
      <c r="E21" s="1208"/>
      <c r="F21" s="1209"/>
      <c r="G21" s="223"/>
      <c r="H21" s="223"/>
      <c r="I21" s="799">
        <f t="shared" si="2"/>
        <v>0</v>
      </c>
      <c r="J21" s="799">
        <f t="shared" si="12"/>
        <v>0</v>
      </c>
      <c r="K21" s="222" t="str">
        <f t="shared" si="3"/>
        <v/>
      </c>
      <c r="L21" s="3"/>
      <c r="N21" s="28">
        <f t="shared" si="4"/>
        <v>0</v>
      </c>
      <c r="O21" s="28">
        <f t="shared" si="0"/>
        <v>1</v>
      </c>
      <c r="P21" s="28">
        <f t="shared" si="5"/>
        <v>1</v>
      </c>
      <c r="Q21" s="28">
        <f t="shared" si="5"/>
        <v>1</v>
      </c>
      <c r="R21" s="28">
        <f t="shared" si="6"/>
        <v>1</v>
      </c>
      <c r="S21" s="28">
        <f t="shared" si="7"/>
        <v>0</v>
      </c>
      <c r="T21" s="28">
        <f t="shared" si="8"/>
        <v>0</v>
      </c>
      <c r="U21" s="28">
        <v>7</v>
      </c>
      <c r="V21" s="28">
        <f t="shared" si="9"/>
        <v>0</v>
      </c>
      <c r="W21" s="28">
        <f t="shared" si="1"/>
        <v>0</v>
      </c>
      <c r="X21" s="28">
        <f t="shared" si="10"/>
        <v>0</v>
      </c>
    </row>
    <row r="22" spans="1:28" hidden="1" x14ac:dyDescent="0.2">
      <c r="A22" s="3"/>
      <c r="B22" s="114" t="str">
        <f t="shared" si="11"/>
        <v/>
      </c>
      <c r="C22" s="1207"/>
      <c r="D22" s="1207"/>
      <c r="E22" s="1208"/>
      <c r="F22" s="1209"/>
      <c r="G22" s="223"/>
      <c r="H22" s="223"/>
      <c r="I22" s="799">
        <f t="shared" si="2"/>
        <v>0</v>
      </c>
      <c r="J22" s="799">
        <f t="shared" si="12"/>
        <v>0</v>
      </c>
      <c r="K22" s="222" t="str">
        <f t="shared" si="3"/>
        <v/>
      </c>
      <c r="L22" s="3"/>
      <c r="N22" s="28">
        <f t="shared" si="4"/>
        <v>0</v>
      </c>
      <c r="O22" s="28">
        <f t="shared" si="0"/>
        <v>1</v>
      </c>
      <c r="P22" s="28">
        <f t="shared" si="5"/>
        <v>1</v>
      </c>
      <c r="Q22" s="28">
        <f t="shared" si="5"/>
        <v>1</v>
      </c>
      <c r="R22" s="28">
        <f t="shared" si="6"/>
        <v>1</v>
      </c>
      <c r="S22" s="28">
        <f t="shared" si="7"/>
        <v>0</v>
      </c>
      <c r="T22" s="28">
        <f t="shared" si="8"/>
        <v>0</v>
      </c>
      <c r="U22" s="28">
        <v>8</v>
      </c>
      <c r="V22" s="28">
        <f t="shared" si="9"/>
        <v>0</v>
      </c>
      <c r="W22" s="28">
        <f t="shared" si="1"/>
        <v>0</v>
      </c>
      <c r="X22" s="28">
        <f t="shared" si="10"/>
        <v>0</v>
      </c>
    </row>
    <row r="23" spans="1:28" hidden="1" x14ac:dyDescent="0.2">
      <c r="A23" s="3"/>
      <c r="B23" s="114" t="str">
        <f t="shared" si="11"/>
        <v/>
      </c>
      <c r="C23" s="1207"/>
      <c r="D23" s="1207"/>
      <c r="E23" s="1208"/>
      <c r="F23" s="1209"/>
      <c r="G23" s="223"/>
      <c r="H23" s="223"/>
      <c r="I23" s="799">
        <f t="shared" si="2"/>
        <v>0</v>
      </c>
      <c r="J23" s="799">
        <f t="shared" si="12"/>
        <v>0</v>
      </c>
      <c r="K23" s="222" t="str">
        <f t="shared" si="3"/>
        <v/>
      </c>
      <c r="L23" s="3"/>
      <c r="N23" s="28">
        <f t="shared" si="4"/>
        <v>0</v>
      </c>
      <c r="O23" s="28">
        <f t="shared" si="0"/>
        <v>1</v>
      </c>
      <c r="P23" s="28">
        <f t="shared" si="5"/>
        <v>1</v>
      </c>
      <c r="Q23" s="28">
        <f t="shared" si="5"/>
        <v>1</v>
      </c>
      <c r="R23" s="28">
        <f t="shared" si="6"/>
        <v>1</v>
      </c>
      <c r="S23" s="28">
        <f t="shared" si="7"/>
        <v>0</v>
      </c>
      <c r="T23" s="28">
        <f t="shared" si="8"/>
        <v>0</v>
      </c>
      <c r="U23" s="28">
        <v>9</v>
      </c>
      <c r="V23" s="28">
        <f t="shared" si="9"/>
        <v>0</v>
      </c>
      <c r="W23" s="28">
        <f t="shared" si="1"/>
        <v>0</v>
      </c>
      <c r="X23" s="28">
        <f t="shared" si="10"/>
        <v>0</v>
      </c>
    </row>
    <row r="24" spans="1:28" hidden="1" x14ac:dyDescent="0.2">
      <c r="A24" s="3"/>
      <c r="B24" s="114" t="str">
        <f t="shared" si="11"/>
        <v/>
      </c>
      <c r="C24" s="1207"/>
      <c r="D24" s="1207"/>
      <c r="E24" s="1208"/>
      <c r="F24" s="1209"/>
      <c r="G24" s="223"/>
      <c r="H24" s="223"/>
      <c r="I24" s="799">
        <f t="shared" si="2"/>
        <v>0</v>
      </c>
      <c r="J24" s="799">
        <f t="shared" si="12"/>
        <v>0</v>
      </c>
      <c r="K24" s="222" t="str">
        <f t="shared" si="3"/>
        <v/>
      </c>
      <c r="L24" s="3"/>
      <c r="N24" s="28">
        <f t="shared" si="4"/>
        <v>0</v>
      </c>
      <c r="O24" s="28">
        <f t="shared" si="0"/>
        <v>1</v>
      </c>
      <c r="P24" s="28">
        <f t="shared" si="5"/>
        <v>1</v>
      </c>
      <c r="Q24" s="28">
        <f t="shared" si="5"/>
        <v>1</v>
      </c>
      <c r="R24" s="28">
        <f t="shared" si="6"/>
        <v>1</v>
      </c>
      <c r="S24" s="28">
        <f t="shared" si="7"/>
        <v>0</v>
      </c>
      <c r="T24" s="28">
        <f t="shared" si="8"/>
        <v>0</v>
      </c>
      <c r="U24" s="28">
        <v>10</v>
      </c>
      <c r="V24" s="28">
        <f t="shared" si="9"/>
        <v>0</v>
      </c>
      <c r="W24" s="28">
        <f t="shared" si="1"/>
        <v>0</v>
      </c>
      <c r="X24" s="28">
        <f t="shared" si="10"/>
        <v>0</v>
      </c>
    </row>
    <row r="25" spans="1:28" ht="15.75" hidden="1" x14ac:dyDescent="0.2">
      <c r="A25" s="3"/>
      <c r="B25" s="64"/>
      <c r="C25" s="4270" t="s">
        <v>5682</v>
      </c>
      <c r="D25" s="4271"/>
      <c r="E25" s="4271"/>
      <c r="F25" s="4271"/>
      <c r="G25" s="4271"/>
      <c r="H25" s="4271"/>
      <c r="I25" s="4272"/>
      <c r="J25" s="1019">
        <f>IF(K27=nd,0,SUM(J15:J24))</f>
      </c>
      <c r="K25" t="str">
        <f>IF(K27=nd,nd," TRA 60")</f>
        <v xml:space="preserve"> TRA 60</v>
      </c>
      <c r="L25" s="3"/>
      <c r="AB25" s="1165" t="s">
        <v>1665</v>
      </c>
    </row>
    <row r="26" spans="1:28" hidden="1" x14ac:dyDescent="0.2">
      <c r="A26" s="3"/>
      <c r="B26" s="64"/>
      <c r="C26" s="1306" t="str">
        <f>AB25</f>
      </c>
      <c r="D26" s="3"/>
      <c r="E26" s="3"/>
      <c r="F26" s="3"/>
      <c r="G26" s="3"/>
      <c r="H26" s="3"/>
      <c r="I26" s="3"/>
      <c r="J26" s="3"/>
      <c r="K26" s="3"/>
      <c r="L26" s="3"/>
    </row>
    <row r="27" spans="1:28" hidden="1" x14ac:dyDescent="0.2">
      <c r="A27" s="3"/>
      <c r="B27" s="2135"/>
      <c r="C27" s="2134" t="s">
        <v>7698</v>
      </c>
      <c r="D27" s="3"/>
      <c r="E27" s="3"/>
      <c r="F27" s="3"/>
      <c r="G27" s="3"/>
      <c r="H27" s="3"/>
      <c r="I27" s="3"/>
      <c r="J27" s="275"/>
      <c r="K27" s="1836" t="str">
        <f>IF(AND(P3&gt;0,J27=""),re,IF(J27=n,nd,""))</f>
        <v/>
      </c>
      <c r="L27" s="3"/>
      <c r="M27" s="1742" t="s">
        <v>7689</v>
      </c>
      <c r="N27" s="28">
        <f>IF(K27="",0,1)</f>
      </c>
      <c r="Z27" s="898" t="s">
        <v>4591</v>
      </c>
    </row>
    <row r="28" spans="1:28" hidden="1" x14ac:dyDescent="0.2">
      <c r="A28" s="65"/>
      <c r="B28" s="468" t="s">
        <v>10574</v>
      </c>
      <c r="C28" s="468"/>
      <c r="D28" s="468"/>
      <c r="E28" s="468" t="str">
        <f>ver</f>
        <v>TA2_e-CO_2025_Ver 1.1</v>
      </c>
      <c r="F28" s="468"/>
      <c r="G28" s="468"/>
      <c r="H28" s="468"/>
      <c r="I28" s="468"/>
      <c r="J28" s="2147" t="s">
        <v>7707</v>
      </c>
      <c r="K28" s="14"/>
      <c r="L28" s="14"/>
      <c r="P28" s="1736">
        <f>COUNTA(E31,C41:H50)</f>
      </c>
    </row>
    <row r="29" spans="1:28" hidden="1" x14ac:dyDescent="0.2">
      <c r="A29" s="3"/>
      <c r="B29" s="65" t="str">
        <f>_ref1</f>
      </c>
      <c r="C29" s="3"/>
      <c r="D29" s="3"/>
      <c r="E29" s="3"/>
      <c r="F29" s="3"/>
      <c r="G29" s="3"/>
      <c r="H29" s="3"/>
      <c r="I29" s="3"/>
      <c r="J29" s="64" t="str">
        <f>_YA1</f>
      </c>
      <c r="K29" s="3"/>
      <c r="L29" s="3"/>
      <c r="P29" s="1736"/>
    </row>
    <row r="30" spans="1:28" x14ac:dyDescent="0.2">
      <c r="A30" s="3"/>
      <c r="B30" s="64"/>
      <c r="C30" s="1306"/>
      <c r="D30" s="3"/>
      <c r="E30" s="3"/>
      <c r="F30" s="3"/>
      <c r="G30" s="3"/>
      <c r="H30" s="3"/>
      <c r="I30" s="3"/>
      <c r="J30" s="3"/>
      <c r="K30" s="3"/>
      <c r="L30" s="3"/>
      <c r="P30" s="1736"/>
    </row>
    <row r="31" spans="1:28" x14ac:dyDescent="0.2">
      <c r="A31" s="3"/>
      <c r="B31" s="64"/>
      <c r="C31" s="3"/>
      <c r="D31" s="72" t="s">
        <v>5052</v>
      </c>
      <c r="E31" s="1184"/>
      <c r="F31" s="885" t="str">
        <f>IF(AND(P28&lt;&gt;0,E31=""),re,"")</f>
        <v/>
      </c>
      <c r="G31" s="3"/>
      <c r="H31" s="3"/>
      <c r="I31" s="3"/>
      <c r="J31" s="3"/>
      <c r="K31" s="3"/>
      <c r="L31" s="3"/>
      <c r="N31" s="28">
        <f>IF(F31="",0,1)</f>
      </c>
    </row>
    <row r="32" spans="1:28" ht="6.75" hidden="1" customHeight="1" x14ac:dyDescent="0.2">
      <c r="A32" s="3"/>
      <c r="B32" s="64"/>
      <c r="C32" s="3"/>
      <c r="D32" s="72"/>
      <c r="E32" s="3"/>
      <c r="F32" s="3"/>
      <c r="G32" s="3"/>
      <c r="H32" s="3"/>
      <c r="I32" s="3"/>
      <c r="J32" s="3"/>
      <c r="K32" s="3"/>
      <c r="L32" s="3"/>
    </row>
    <row r="33" spans="1:34" hidden="1" x14ac:dyDescent="0.2">
      <c r="A33" s="3"/>
      <c r="B33" s="64"/>
      <c r="C33" s="3"/>
      <c r="H33" s="3"/>
      <c r="I33" s="3"/>
      <c r="J33" s="3"/>
      <c r="K33" s="3"/>
      <c r="L33" s="3"/>
    </row>
    <row r="34" spans="1:34" ht="3.75" hidden="1" customHeight="1" x14ac:dyDescent="0.2">
      <c r="A34" s="3"/>
      <c r="B34" s="64"/>
      <c r="C34" s="3"/>
      <c r="D34" s="2"/>
      <c r="E34" s="2"/>
      <c r="F34" s="2"/>
      <c r="G34" s="2"/>
      <c r="H34" s="3"/>
      <c r="I34" s="3"/>
      <c r="J34" s="3"/>
      <c r="K34" s="3"/>
      <c r="L34" s="3"/>
    </row>
    <row r="35" spans="1:34" hidden="1" x14ac:dyDescent="0.2">
      <c r="A35" s="3"/>
      <c r="B35" s="64"/>
      <c r="C35" s="3"/>
      <c r="G35" s="2"/>
      <c r="H35" s="3"/>
      <c r="I35" s="3"/>
      <c r="J35" s="3"/>
      <c r="K35" s="3"/>
      <c r="L35" s="3"/>
      <c r="P35" s="28">
        <f>ROUND(AB3*1,0)</f>
      </c>
      <c r="Z35" s="28">
        <f>IF(AB2=Z27,14000,ROUND(14000*AB3,0))</f>
      </c>
    </row>
    <row r="36" spans="1:34" x14ac:dyDescent="0.2">
      <c r="A36" s="3"/>
      <c r="B36" s="64"/>
      <c r="C36" s="1306"/>
      <c r="D36" s="3"/>
      <c r="E36" s="3"/>
      <c r="F36" s="3"/>
      <c r="G36" s="3"/>
      <c r="H36" s="3"/>
      <c r="I36" s="3"/>
      <c r="J36" s="3"/>
      <c r="K36" s="3"/>
      <c r="L36" s="3"/>
    </row>
    <row r="37" spans="1:34" ht="15" x14ac:dyDescent="0.25">
      <c r="A37" s="3"/>
      <c r="B37" s="64"/>
      <c r="C37" s="2136" t="s">
        <v>7692</v>
      </c>
      <c r="D37" s="2137"/>
      <c r="E37" s="2137"/>
      <c r="F37" s="2137"/>
      <c r="G37" s="2137"/>
      <c r="H37" s="2137"/>
      <c r="I37" s="2137"/>
      <c r="J37" s="2138"/>
      <c r="K37" s="3"/>
      <c r="L37" s="3"/>
    </row>
    <row r="38" spans="1:34" ht="12.75" customHeight="1" x14ac:dyDescent="0.2">
      <c r="A38" s="3"/>
      <c r="B38" s="64"/>
      <c r="C38" s="5028" t="s">
        <v>5663</v>
      </c>
      <c r="D38" s="5028"/>
      <c r="E38" s="5028" t="s">
        <v>7686</v>
      </c>
      <c r="F38" s="5028"/>
      <c r="G38" s="5028"/>
      <c r="H38" s="5028"/>
      <c r="I38" s="5028"/>
      <c r="J38" s="5028"/>
      <c r="K38" s="2488" t="str">
        <f>IF(H62=n,nob,"")</f>
        <v/>
      </c>
      <c r="L38" s="3"/>
      <c r="N38" s="28">
        <f>IF(K38="",0,1)</f>
      </c>
    </row>
    <row r="39" spans="1:34" x14ac:dyDescent="0.2">
      <c r="A39" s="3"/>
      <c r="B39" s="64"/>
      <c r="C39" s="5029" t="s">
        <v>5715</v>
      </c>
      <c r="D39" s="5029" t="s">
        <v>5716</v>
      </c>
      <c r="E39" s="4443" t="s">
        <v>5717</v>
      </c>
      <c r="F39" s="4443" t="s">
        <v>1759</v>
      </c>
      <c r="G39" s="5031" t="s">
        <v>7688</v>
      </c>
      <c r="H39" s="5032"/>
      <c r="I39" s="5032"/>
      <c r="J39" s="4443" t="s">
        <v>7690</v>
      </c>
      <c r="K39" s="3"/>
      <c r="L39" s="3"/>
      <c r="W39" s="28">
        <f>X41/0.4293</f>
      </c>
      <c r="Z39" s="74"/>
      <c r="AA39" s="2139">
        <v>42735</v>
      </c>
      <c r="AB39" s="1742"/>
      <c r="AC39" s="5027" t="s">
        <v>7689</v>
      </c>
    </row>
    <row r="40" spans="1:34" ht="56.25" x14ac:dyDescent="0.2">
      <c r="A40" s="3"/>
      <c r="B40" s="64"/>
      <c r="C40" s="5030"/>
      <c r="D40" s="5030"/>
      <c r="E40" s="4444"/>
      <c r="F40" s="4444"/>
      <c r="G40" s="269" t="s">
        <v>7687</v>
      </c>
      <c r="H40" s="269" t="s">
        <v>7693</v>
      </c>
      <c r="I40" s="1397" t="s">
        <v>5681</v>
      </c>
      <c r="J40" s="4444"/>
      <c r="K40" s="3"/>
      <c r="L40" s="3"/>
      <c r="T40" s="28">
        <f>E31+1</f>
      </c>
      <c r="V40" s="1778" t="s">
        <v>4528</v>
      </c>
      <c r="W40" s="235" t="s">
        <v>5711</v>
      </c>
      <c r="X40" s="1206" t="s">
        <v>5709</v>
      </c>
      <c r="Y40" s="74"/>
      <c r="Z40" s="74">
        <v>42370</v>
      </c>
      <c r="AA40" s="2139">
        <v>44196</v>
      </c>
      <c r="AB40" s="1742" t="s">
        <v>7691</v>
      </c>
      <c r="AC40" s="5027"/>
    </row>
    <row r="41" spans="1:34" x14ac:dyDescent="0.2">
      <c r="A41" s="3"/>
      <c r="B41" s="114" t="s">
        <v>5712</v>
      </c>
      <c r="C41" s="1207"/>
      <c r="D41" s="1207"/>
      <c r="E41" s="1208"/>
      <c r="F41" s="1209"/>
      <c r="G41" s="223"/>
      <c r="H41" s="223"/>
      <c r="I41" s="799">
        <f t="shared" ref="I41:I50" si="13">IF(ya=2017,G41,G41+H41)</f>
      </c>
      <c r="J41" s="410">
        <f>X41</f>
      </c>
      <c r="K41" s="222" t="str">
        <f>IF($P$28=0,"",IF(O41&lt;&gt;0," All pharmacy details required!",IF(P41&lt;&gt;0,"Date of approval required!",IF(Q41&lt;&gt;0,"Current year expenditure claimed!",IF(AND(ya=2017,H41&lt;&gt;""),"Delete! No previous!",IF(R41&lt;&gt;0,"Expenditure previously claimed or 0!",""))))))</f>
        <v/>
      </c>
      <c r="L41" s="3"/>
      <c r="N41" s="28">
        <f>IF(K41="",0,1)</f>
      </c>
      <c r="O41" s="28">
        <f t="shared" ref="O41:O50" si="14">IF(OR(C41="",D41=""),1,0)</f>
      </c>
      <c r="P41" s="28">
        <f>IF(F41="",1,0)</f>
      </c>
      <c r="Q41" s="28">
        <f>IF(G41="",1,0)</f>
      </c>
      <c r="R41" s="28">
        <f>IF(ya=2017,0,IF(H41="",1,0))</f>
      </c>
      <c r="S41" s="28">
        <f>COUNTA(C41:H41)</f>
      </c>
      <c r="T41" s="28">
        <f>IF(T40-1&lt;=0,0,T40-1)</f>
      </c>
      <c r="U41" s="28">
        <v>1</v>
      </c>
      <c r="V41" s="32">
        <f>I41</f>
      </c>
      <c r="W41" s="28">
        <f t="shared" ref="W41:W50" si="15">IF(ya=2017,0,H41)</f>
      </c>
      <c r="X41" s="28">
        <f t="shared" ref="X41:X50" si="16">IF(W41&gt;=poyc_1,0,IF(V41&gt;poyc_1,poyc_1-W41,V41-W41))</f>
      </c>
      <c r="AA41" s="2139">
        <f>IF(OR(ISERROR(AB41),AB41=0),DATE(ya-2,12,31),IF(AB41=AA39,DATE(ya-2,12,31),DATE(ya-1,12,31)))</f>
      </c>
      <c r="AB41" s="2139">
        <f>'p1'!M91</f>
      </c>
      <c r="AC41" s="5027"/>
      <c r="AH41" s="28">
        <f t="shared" ref="AH41:AH50" si="17">IF(ya=2017,0,10000000000)</f>
      </c>
    </row>
    <row r="42" spans="1:34" x14ac:dyDescent="0.2">
      <c r="A42" s="3"/>
      <c r="B42" s="114" t="str">
        <f>IF(T42=0,"","Outlet "&amp;U42)</f>
        <v/>
      </c>
      <c r="C42" s="1207"/>
      <c r="D42" s="1207"/>
      <c r="E42" s="1208"/>
      <c r="F42" s="1209"/>
      <c r="G42" s="223"/>
      <c r="H42" s="223"/>
      <c r="I42" s="799">
        <f t="shared" si="13"/>
        <v>0</v>
      </c>
      <c r="J42" s="410">
        <f t="shared" ref="J42:J50" si="18">X42</f>
      </c>
      <c r="K42" s="222" t="str">
        <f t="shared" ref="K42:K50" si="19">IF($P$28=0,"",IF(AND(B42="",S42&gt;0),"Delete!",IF(T42=0,"",IF(O42&lt;&gt;0," All pharmacy details required!",IF(P42&lt;&gt;0,"Date of approval required!",IF(Q42&lt;&gt;0,"Current year expenditure claimed!",IF(AND(ya=2017,H42&lt;&gt;""),"Delete! No previous!",IF(R42&lt;&gt;0,"Expenditure previously claimed or 0!",""))))))))</f>
        <v/>
      </c>
      <c r="L42" s="3"/>
      <c r="N42" s="28">
        <f t="shared" ref="N42:N50" si="20">IF(K42="",0,1)</f>
      </c>
      <c r="O42" s="28">
        <f t="shared" si="14"/>
        <v>1</v>
      </c>
      <c r="P42" s="28">
        <f t="shared" ref="P42:P50" si="21">IF(F42="",1,0)</f>
      </c>
      <c r="Q42" s="28">
        <f t="shared" ref="Q42:Q50" si="22">IF(G42="",1,0)</f>
      </c>
      <c r="R42" s="28">
        <f t="shared" ref="R42:R50" si="23">IF(ya=2010,0,IF(H42="",1,0))</f>
      </c>
      <c r="S42" s="28">
        <f t="shared" ref="S42:S50" si="24">COUNTA(C42:H42)</f>
      </c>
      <c r="T42" s="28">
        <f t="shared" ref="T42:T50" si="25">IF(T41-1&lt;=0,0,T41-1)</f>
      </c>
      <c r="U42" s="28">
        <v>2</v>
      </c>
      <c r="V42" s="32">
        <f t="shared" ref="V42:V50" si="26">I42</f>
      </c>
      <c r="W42" s="28">
        <f t="shared" si="15"/>
        <v>0</v>
      </c>
      <c r="X42" s="28">
        <f t="shared" si="16"/>
        <v>0</v>
      </c>
      <c r="AH42" s="28">
        <f t="shared" si="17"/>
        <v>10000000000</v>
      </c>
    </row>
    <row r="43" spans="1:34" x14ac:dyDescent="0.2">
      <c r="A43" s="3"/>
      <c r="B43" s="114" t="str">
        <f t="shared" ref="B43:B50" si="27">IF(T43=0,"","Outlet "&amp;U43)</f>
        <v/>
      </c>
      <c r="C43" s="1207"/>
      <c r="D43" s="1207"/>
      <c r="E43" s="1208"/>
      <c r="F43" s="1209"/>
      <c r="G43" s="223"/>
      <c r="H43" s="223"/>
      <c r="I43" s="799">
        <f t="shared" si="13"/>
        <v>0</v>
      </c>
      <c r="J43" s="410">
        <f t="shared" si="18"/>
        <v>0</v>
      </c>
      <c r="K43" s="222" t="str">
        <f t="shared" si="19"/>
        <v/>
      </c>
      <c r="L43" s="3"/>
      <c r="N43" s="28">
        <f t="shared" si="20"/>
        <v>0</v>
      </c>
      <c r="O43" s="28">
        <f t="shared" si="14"/>
        <v>1</v>
      </c>
      <c r="P43" s="28">
        <f t="shared" si="21"/>
        <v>1</v>
      </c>
      <c r="Q43" s="28">
        <f t="shared" si="22"/>
        <v>1</v>
      </c>
      <c r="R43" s="28">
        <f t="shared" si="23"/>
        <v>1</v>
      </c>
      <c r="S43" s="28">
        <f t="shared" si="24"/>
        <v>0</v>
      </c>
      <c r="T43" s="28">
        <f t="shared" si="25"/>
        <v>0</v>
      </c>
      <c r="U43" s="28">
        <v>3</v>
      </c>
      <c r="V43" s="32">
        <f t="shared" si="26"/>
        <v>0</v>
      </c>
      <c r="W43" s="28">
        <f t="shared" si="15"/>
        <v>0</v>
      </c>
      <c r="X43" s="28">
        <f t="shared" si="16"/>
        <v>0</v>
      </c>
      <c r="AH43" s="28">
        <f t="shared" si="17"/>
        <v>10000000000</v>
      </c>
    </row>
    <row r="44" spans="1:34" x14ac:dyDescent="0.2">
      <c r="A44" s="3"/>
      <c r="B44" s="114" t="str">
        <f t="shared" si="27"/>
        <v/>
      </c>
      <c r="C44" s="1207"/>
      <c r="D44" s="1207"/>
      <c r="E44" s="1208"/>
      <c r="F44" s="1209"/>
      <c r="G44" s="223"/>
      <c r="H44" s="223"/>
      <c r="I44" s="799">
        <f t="shared" si="13"/>
        <v>0</v>
      </c>
      <c r="J44" s="410">
        <f t="shared" si="18"/>
        <v>0</v>
      </c>
      <c r="K44" s="222" t="str">
        <f t="shared" si="19"/>
        <v/>
      </c>
      <c r="L44" s="3"/>
      <c r="N44" s="28">
        <f t="shared" si="20"/>
        <v>0</v>
      </c>
      <c r="O44" s="28">
        <f t="shared" si="14"/>
        <v>1</v>
      </c>
      <c r="P44" s="28">
        <f t="shared" si="21"/>
        <v>1</v>
      </c>
      <c r="Q44" s="28">
        <f t="shared" si="22"/>
        <v>1</v>
      </c>
      <c r="R44" s="28">
        <f t="shared" si="23"/>
        <v>1</v>
      </c>
      <c r="S44" s="28">
        <f t="shared" si="24"/>
        <v>0</v>
      </c>
      <c r="T44" s="28">
        <f t="shared" si="25"/>
        <v>0</v>
      </c>
      <c r="U44" s="28">
        <v>4</v>
      </c>
      <c r="V44" s="32">
        <f t="shared" si="26"/>
        <v>0</v>
      </c>
      <c r="W44" s="28">
        <f t="shared" si="15"/>
        <v>0</v>
      </c>
      <c r="X44" s="28">
        <f t="shared" si="16"/>
        <v>0</v>
      </c>
      <c r="AH44" s="28">
        <f t="shared" si="17"/>
        <v>10000000000</v>
      </c>
    </row>
    <row r="45" spans="1:34" x14ac:dyDescent="0.2">
      <c r="A45" s="3"/>
      <c r="B45" s="114" t="str">
        <f t="shared" si="27"/>
        <v/>
      </c>
      <c r="C45" s="1207"/>
      <c r="D45" s="1207"/>
      <c r="E45" s="1208"/>
      <c r="F45" s="1209"/>
      <c r="G45" s="223"/>
      <c r="H45" s="223"/>
      <c r="I45" s="799">
        <f t="shared" si="13"/>
        <v>0</v>
      </c>
      <c r="J45" s="410">
        <f t="shared" si="18"/>
        <v>0</v>
      </c>
      <c r="K45" s="222" t="str">
        <f t="shared" si="19"/>
        <v/>
      </c>
      <c r="L45" s="3"/>
      <c r="N45" s="28">
        <f t="shared" si="20"/>
        <v>0</v>
      </c>
      <c r="O45" s="28">
        <f t="shared" si="14"/>
        <v>1</v>
      </c>
      <c r="P45" s="28">
        <f t="shared" si="21"/>
        <v>1</v>
      </c>
      <c r="Q45" s="28">
        <f t="shared" si="22"/>
        <v>1</v>
      </c>
      <c r="R45" s="28">
        <f t="shared" si="23"/>
        <v>1</v>
      </c>
      <c r="S45" s="28">
        <f t="shared" si="24"/>
        <v>0</v>
      </c>
      <c r="T45" s="28">
        <f t="shared" si="25"/>
        <v>0</v>
      </c>
      <c r="U45" s="28">
        <v>5</v>
      </c>
      <c r="V45" s="32">
        <f t="shared" si="26"/>
        <v>0</v>
      </c>
      <c r="W45" s="28">
        <f t="shared" si="15"/>
        <v>0</v>
      </c>
      <c r="X45" s="28">
        <f t="shared" si="16"/>
        <v>0</v>
      </c>
      <c r="AH45" s="28">
        <f t="shared" si="17"/>
        <v>10000000000</v>
      </c>
    </row>
    <row r="46" spans="1:34" x14ac:dyDescent="0.2">
      <c r="A46" s="3"/>
      <c r="B46" s="114" t="str">
        <f t="shared" si="27"/>
        <v/>
      </c>
      <c r="C46" s="1207"/>
      <c r="D46" s="1207"/>
      <c r="E46" s="1208"/>
      <c r="F46" s="1209"/>
      <c r="G46" s="223"/>
      <c r="H46" s="223"/>
      <c r="I46" s="799">
        <f t="shared" si="13"/>
        <v>0</v>
      </c>
      <c r="J46" s="410">
        <f t="shared" si="18"/>
        <v>0</v>
      </c>
      <c r="K46" s="222" t="str">
        <f t="shared" si="19"/>
        <v/>
      </c>
      <c r="L46" s="3"/>
      <c r="N46" s="28">
        <f t="shared" si="20"/>
        <v>0</v>
      </c>
      <c r="O46" s="28">
        <f t="shared" si="14"/>
        <v>1</v>
      </c>
      <c r="P46" s="28">
        <f t="shared" si="21"/>
        <v>1</v>
      </c>
      <c r="Q46" s="28">
        <f t="shared" si="22"/>
        <v>1</v>
      </c>
      <c r="R46" s="28">
        <f t="shared" si="23"/>
        <v>1</v>
      </c>
      <c r="S46" s="28">
        <f t="shared" si="24"/>
        <v>0</v>
      </c>
      <c r="T46" s="28">
        <f t="shared" si="25"/>
        <v>0</v>
      </c>
      <c r="U46" s="28">
        <v>6</v>
      </c>
      <c r="V46" s="32">
        <f t="shared" si="26"/>
        <v>0</v>
      </c>
      <c r="W46" s="28">
        <f t="shared" si="15"/>
        <v>0</v>
      </c>
      <c r="X46" s="28">
        <f t="shared" si="16"/>
        <v>0</v>
      </c>
      <c r="AH46" s="28">
        <f t="shared" si="17"/>
        <v>10000000000</v>
      </c>
    </row>
    <row r="47" spans="1:34" x14ac:dyDescent="0.2">
      <c r="A47" s="3"/>
      <c r="B47" s="114" t="str">
        <f t="shared" si="27"/>
        <v/>
      </c>
      <c r="C47" s="1207"/>
      <c r="D47" s="1207"/>
      <c r="E47" s="1208"/>
      <c r="F47" s="1209"/>
      <c r="G47" s="223"/>
      <c r="H47" s="223"/>
      <c r="I47" s="799">
        <f t="shared" si="13"/>
        <v>0</v>
      </c>
      <c r="J47" s="410">
        <f t="shared" si="18"/>
        <v>0</v>
      </c>
      <c r="K47" s="222" t="str">
        <f t="shared" si="19"/>
        <v/>
      </c>
      <c r="L47" s="3"/>
      <c r="N47" s="28">
        <f t="shared" si="20"/>
        <v>0</v>
      </c>
      <c r="O47" s="28">
        <f t="shared" si="14"/>
        <v>1</v>
      </c>
      <c r="P47" s="28">
        <f t="shared" si="21"/>
        <v>1</v>
      </c>
      <c r="Q47" s="28">
        <f t="shared" si="22"/>
        <v>1</v>
      </c>
      <c r="R47" s="28">
        <f t="shared" si="23"/>
        <v>1</v>
      </c>
      <c r="S47" s="28">
        <f t="shared" si="24"/>
        <v>0</v>
      </c>
      <c r="T47" s="28">
        <f t="shared" si="25"/>
        <v>0</v>
      </c>
      <c r="U47" s="28">
        <v>7</v>
      </c>
      <c r="V47" s="32">
        <f t="shared" si="26"/>
        <v>0</v>
      </c>
      <c r="W47" s="28">
        <f t="shared" si="15"/>
        <v>0</v>
      </c>
      <c r="X47" s="28">
        <f t="shared" si="16"/>
        <v>0</v>
      </c>
      <c r="AH47" s="28">
        <f t="shared" si="17"/>
        <v>10000000000</v>
      </c>
    </row>
    <row r="48" spans="1:34" x14ac:dyDescent="0.2">
      <c r="A48" s="3"/>
      <c r="B48" s="114" t="str">
        <f t="shared" si="27"/>
        <v/>
      </c>
      <c r="C48" s="1207"/>
      <c r="D48" s="1207"/>
      <c r="E48" s="1208"/>
      <c r="F48" s="1209"/>
      <c r="G48" s="223"/>
      <c r="H48" s="223"/>
      <c r="I48" s="799">
        <f t="shared" si="13"/>
        <v>0</v>
      </c>
      <c r="J48" s="410">
        <f t="shared" si="18"/>
        <v>0</v>
      </c>
      <c r="K48" s="222" t="str">
        <f t="shared" si="19"/>
        <v/>
      </c>
      <c r="L48" s="3"/>
      <c r="N48" s="28">
        <f t="shared" si="20"/>
        <v>0</v>
      </c>
      <c r="O48" s="28">
        <f t="shared" si="14"/>
        <v>1</v>
      </c>
      <c r="P48" s="28">
        <f t="shared" si="21"/>
        <v>1</v>
      </c>
      <c r="Q48" s="28">
        <f t="shared" si="22"/>
        <v>1</v>
      </c>
      <c r="R48" s="28">
        <f t="shared" si="23"/>
        <v>1</v>
      </c>
      <c r="S48" s="28">
        <f t="shared" si="24"/>
        <v>0</v>
      </c>
      <c r="T48" s="28">
        <f t="shared" si="25"/>
        <v>0</v>
      </c>
      <c r="U48" s="28">
        <v>8</v>
      </c>
      <c r="V48" s="32">
        <f t="shared" si="26"/>
        <v>0</v>
      </c>
      <c r="W48" s="28">
        <f t="shared" si="15"/>
        <v>0</v>
      </c>
      <c r="X48" s="28">
        <f t="shared" si="16"/>
        <v>0</v>
      </c>
      <c r="AH48" s="28">
        <f t="shared" si="17"/>
        <v>10000000000</v>
      </c>
    </row>
    <row r="49" spans="1:34" x14ac:dyDescent="0.2">
      <c r="A49" s="3"/>
      <c r="B49" s="114" t="str">
        <f t="shared" si="27"/>
        <v/>
      </c>
      <c r="C49" s="1207"/>
      <c r="D49" s="1207"/>
      <c r="E49" s="1208"/>
      <c r="F49" s="1209"/>
      <c r="G49" s="223"/>
      <c r="H49" s="223"/>
      <c r="I49" s="799">
        <f t="shared" si="13"/>
        <v>0</v>
      </c>
      <c r="J49" s="410">
        <f t="shared" si="18"/>
        <v>0</v>
      </c>
      <c r="K49" s="222" t="str">
        <f t="shared" si="19"/>
        <v/>
      </c>
      <c r="L49" s="3"/>
      <c r="N49" s="28">
        <f t="shared" si="20"/>
        <v>0</v>
      </c>
      <c r="O49" s="28">
        <f t="shared" si="14"/>
        <v>1</v>
      </c>
      <c r="P49" s="28">
        <f t="shared" si="21"/>
        <v>1</v>
      </c>
      <c r="Q49" s="28">
        <f t="shared" si="22"/>
        <v>1</v>
      </c>
      <c r="R49" s="28">
        <f t="shared" si="23"/>
        <v>1</v>
      </c>
      <c r="S49" s="28">
        <f t="shared" si="24"/>
        <v>0</v>
      </c>
      <c r="T49" s="28">
        <f t="shared" si="25"/>
        <v>0</v>
      </c>
      <c r="U49" s="28">
        <v>9</v>
      </c>
      <c r="V49" s="32">
        <f t="shared" si="26"/>
        <v>0</v>
      </c>
      <c r="W49" s="28">
        <f t="shared" si="15"/>
        <v>0</v>
      </c>
      <c r="X49" s="28">
        <f t="shared" si="16"/>
        <v>0</v>
      </c>
      <c r="AH49" s="28">
        <f t="shared" si="17"/>
        <v>10000000000</v>
      </c>
    </row>
    <row r="50" spans="1:34" x14ac:dyDescent="0.2">
      <c r="A50" s="3"/>
      <c r="B50" s="114" t="str">
        <f t="shared" si="27"/>
        <v/>
      </c>
      <c r="C50" s="1207"/>
      <c r="D50" s="1207"/>
      <c r="E50" s="1208"/>
      <c r="F50" s="1209"/>
      <c r="G50" s="223"/>
      <c r="H50" s="223"/>
      <c r="I50" s="799">
        <f t="shared" si="13"/>
        <v>0</v>
      </c>
      <c r="J50" s="410">
        <f t="shared" si="18"/>
        <v>0</v>
      </c>
      <c r="K50" s="222" t="str">
        <f t="shared" si="19"/>
        <v/>
      </c>
      <c r="L50" s="3"/>
      <c r="N50" s="28">
        <f t="shared" si="20"/>
        <v>0</v>
      </c>
      <c r="O50" s="28">
        <f t="shared" si="14"/>
        <v>1</v>
      </c>
      <c r="P50" s="28">
        <f t="shared" si="21"/>
        <v>1</v>
      </c>
      <c r="Q50" s="28">
        <f t="shared" si="22"/>
        <v>1</v>
      </c>
      <c r="R50" s="28">
        <f t="shared" si="23"/>
        <v>1</v>
      </c>
      <c r="S50" s="28">
        <f t="shared" si="24"/>
        <v>0</v>
      </c>
      <c r="T50" s="28">
        <f t="shared" si="25"/>
        <v>0</v>
      </c>
      <c r="U50" s="28">
        <v>10</v>
      </c>
      <c r="V50" s="32">
        <f t="shared" si="26"/>
        <v>0</v>
      </c>
      <c r="W50" s="28">
        <f t="shared" si="15"/>
        <v>0</v>
      </c>
      <c r="X50" s="28">
        <f t="shared" si="16"/>
        <v>0</v>
      </c>
      <c r="AH50" s="28">
        <f t="shared" si="17"/>
        <v>10000000000</v>
      </c>
    </row>
    <row r="51" spans="1:34" ht="15.75" x14ac:dyDescent="0.2">
      <c r="A51" s="3"/>
      <c r="B51" s="64"/>
      <c r="C51" s="5036" t="s">
        <v>7700</v>
      </c>
      <c r="D51" s="4271"/>
      <c r="E51" s="4271"/>
      <c r="F51" s="4271"/>
      <c r="G51" s="4271"/>
      <c r="H51" s="4271"/>
      <c r="I51" s="4272"/>
      <c r="J51" s="1019">
        <f>IF(I62=nd,0,SUM(J41:J50))</f>
      </c>
      <c r="K51" s="3"/>
      <c r="L51" s="3"/>
      <c r="AB51" s="1165" t="s">
        <v>1665</v>
      </c>
    </row>
    <row r="52" spans="1:34" x14ac:dyDescent="0.2">
      <c r="A52" s="3"/>
      <c r="B52" s="3"/>
      <c r="C52" s="1306" t="s">
        <v>7704</v>
      </c>
      <c r="D52" s="3"/>
      <c r="E52" s="3"/>
      <c r="F52" s="3"/>
      <c r="G52" s="3"/>
      <c r="H52" s="3"/>
      <c r="I52" s="3"/>
      <c r="J52" s="3"/>
      <c r="K52" s="3"/>
      <c r="L52" s="3"/>
    </row>
    <row r="53" spans="1:34" x14ac:dyDescent="0.2">
      <c r="A53" s="3"/>
      <c r="B53" s="3"/>
      <c r="C53" s="1306"/>
      <c r="D53" s="3"/>
      <c r="E53" s="3"/>
      <c r="F53" s="3"/>
      <c r="G53" s="3"/>
      <c r="H53" s="3"/>
      <c r="I53" s="3"/>
      <c r="J53" s="3"/>
      <c r="K53" s="3"/>
      <c r="L53" s="3"/>
      <c r="X53" s="28">
        <f>poyc_1</f>
      </c>
    </row>
    <row r="54" spans="1:34" hidden="1" x14ac:dyDescent="0.2">
      <c r="A54" s="3"/>
      <c r="B54" s="3"/>
      <c r="C54" s="3"/>
      <c r="D54" s="3"/>
      <c r="E54" s="3"/>
      <c r="F54" s="3"/>
      <c r="G54" s="3"/>
      <c r="H54" s="2145" t="s">
        <v>7705</v>
      </c>
      <c r="I54" s="3"/>
      <c r="J54" s="223">
        <v>0</v>
      </c>
      <c r="K54" s="2146" t="str">
        <f>IF(AND(ya=2017,J54&gt;0),"Delete!",IF(AND(ya&gt;2017,P28&gt;0,J54=""),reo,""))</f>
        <v/>
      </c>
      <c r="L54" s="3"/>
      <c r="N54" s="28">
        <f>IF(K54&lt;&gt;"",1,0)</f>
      </c>
      <c r="X54" s="28">
        <f>IF(ya=2017,0,poyc_1)</f>
      </c>
    </row>
    <row r="55" spans="1:34" hidden="1" x14ac:dyDescent="0.2">
      <c r="A55" s="3"/>
      <c r="B55" s="3"/>
      <c r="C55" s="3"/>
      <c r="D55" s="3"/>
      <c r="E55" s="3"/>
      <c r="F55" s="3"/>
      <c r="G55" s="3"/>
      <c r="H55" s="2145" t="s">
        <v>7701</v>
      </c>
      <c r="I55" s="3"/>
      <c r="J55" s="410">
        <v>0</v>
      </c>
      <c r="K55" s="2146"/>
      <c r="L55" s="3"/>
    </row>
    <row r="56" spans="1:34" hidden="1" x14ac:dyDescent="0.2">
      <c r="A56" s="3"/>
      <c r="B56" s="3"/>
      <c r="C56" s="3"/>
      <c r="D56" s="3"/>
      <c r="E56" s="3"/>
      <c r="F56" s="3"/>
      <c r="G56" s="3"/>
      <c r="H56" s="2145" t="s">
        <v>7703</v>
      </c>
      <c r="I56" s="3"/>
      <c r="J56" s="410">
        <f>IF(I62=nob,0,IF(ya=2017,J55,IF(J54&gt;poyc_1,0,IF(J54+J55&gt;poyc_1,poyc_1-J54,J54+J55))))</f>
      </c>
      <c r="K56" s="2146"/>
      <c r="L56" s="3"/>
    </row>
    <row r="57" spans="1:34" x14ac:dyDescent="0.2">
      <c r="A57" s="3"/>
      <c r="B57" s="3"/>
      <c r="C57" s="3"/>
      <c r="D57" s="329"/>
      <c r="E57" s="2172"/>
      <c r="F57" s="2172"/>
      <c r="G57" s="2172"/>
      <c r="H57" s="2173" t="s">
        <v>7730</v>
      </c>
      <c r="I57" s="2148" t="str">
        <f>IF(I62=nd,"","TRA 35  ")</f>
        <v xml:space="preserve">TRA 35  </v>
      </c>
      <c r="J57" s="223"/>
      <c r="K57" s="2146" t="str">
        <f>IF(J57&gt;J51,"Excessive!",IF(I62=nob,nob,IF(AND(P28&gt;0,J57=""),reo,"")))</f>
        <v/>
      </c>
      <c r="L57" s="3"/>
      <c r="N57" s="28">
        <f>IF(K57&lt;&gt;"",1,0)</f>
      </c>
    </row>
    <row r="58" spans="1:34" hidden="1" x14ac:dyDescent="0.2">
      <c r="A58" s="3"/>
      <c r="B58" s="3"/>
      <c r="C58" s="3"/>
      <c r="D58" s="3"/>
      <c r="E58" s="3"/>
      <c r="F58" s="3"/>
      <c r="G58" s="3"/>
      <c r="H58" s="2145" t="s">
        <v>7702</v>
      </c>
      <c r="I58" s="3"/>
      <c r="J58" s="410">
        <f>IF(J56-J57&lt;0,0,J56-J57)</f>
      </c>
      <c r="K58" s="2146"/>
      <c r="L58" s="3"/>
    </row>
    <row r="59" spans="1:34" ht="7.5" customHeight="1" x14ac:dyDescent="0.2">
      <c r="A59" s="3"/>
      <c r="B59" s="3"/>
      <c r="C59" s="3"/>
      <c r="D59" s="3"/>
      <c r="E59" s="3"/>
      <c r="F59" s="3"/>
      <c r="G59" s="3"/>
      <c r="H59" s="3"/>
      <c r="I59" s="3"/>
      <c r="J59" s="3"/>
      <c r="K59" s="2146"/>
      <c r="L59" s="3"/>
    </row>
    <row r="60" spans="1:34" x14ac:dyDescent="0.2">
      <c r="A60" s="3"/>
      <c r="B60" s="3"/>
      <c r="C60" s="3"/>
      <c r="D60" s="1303"/>
      <c r="E60" s="1303"/>
      <c r="F60" s="1303"/>
      <c r="G60" s="1303"/>
      <c r="H60" s="1417" t="s">
        <v>5708</v>
      </c>
      <c r="I60" s="2148" t="str">
        <f>IF(I62=nd,"","TRA 35  ")</f>
        <v xml:space="preserve">TRA 35  </v>
      </c>
      <c r="J60" s="223"/>
      <c r="K60" s="2146" t="str">
        <f>IF(AND(J57="",J60&gt;0),"Delete!",IF(OR(J57="",J57=0),"",IF(AND(P28&gt;0,J60=0),re,IF(OR(J60&lt;O60,J60&gt;P60),"Check amount!",""))))</f>
        <v/>
      </c>
      <c r="L60" s="3"/>
      <c r="N60" s="28">
        <f>IF(K60&lt;&gt;"",1,0)</f>
      </c>
      <c r="O60" s="28">
        <f>ROUND((J57/0.35)-1,0)</f>
      </c>
      <c r="P60" s="28">
        <f>ROUND((J57/0.05)+1,0)</f>
      </c>
    </row>
    <row r="61" spans="1:34" x14ac:dyDescent="0.2">
      <c r="A61" s="3"/>
      <c r="B61" s="3"/>
      <c r="C61" s="3"/>
      <c r="D61" s="3"/>
      <c r="E61" s="3"/>
      <c r="F61" s="3"/>
      <c r="G61" s="3"/>
      <c r="H61" s="3"/>
      <c r="I61" s="3"/>
      <c r="J61" s="3"/>
      <c r="K61" s="3"/>
      <c r="L61" s="3"/>
    </row>
    <row r="62" spans="1:34" x14ac:dyDescent="0.2">
      <c r="A62" s="3"/>
      <c r="B62" s="3"/>
      <c r="C62" s="3" t="s">
        <v>5683</v>
      </c>
      <c r="D62" s="3"/>
      <c r="E62" s="3"/>
      <c r="F62" s="3"/>
      <c r="G62" s="3"/>
      <c r="H62" s="275"/>
      <c r="I62" s="249" t="str">
        <f>IF(AND(P3+P28&lt;&gt;0,H62=""),re,IF(H62=n,nob,""))</f>
        <v/>
      </c>
      <c r="J62" s="3"/>
      <c r="K62" s="3"/>
      <c r="L62" s="3"/>
      <c r="N62" s="28">
        <f>IF(I62&lt;&gt;"",1,0)</f>
      </c>
    </row>
    <row r="63" spans="1:34" x14ac:dyDescent="0.2">
      <c r="A63" s="3"/>
      <c r="B63" s="3"/>
      <c r="C63" s="3"/>
      <c r="D63" s="3"/>
      <c r="E63" s="3"/>
      <c r="F63" s="3"/>
      <c r="G63" s="3"/>
      <c r="H63" s="3"/>
      <c r="I63" s="3"/>
      <c r="J63" s="3"/>
      <c r="K63" s="3"/>
      <c r="L63" s="3"/>
      <c r="N63" s="28">
        <f>SUM(N1:N62)</f>
      </c>
    </row>
    <row r="64" spans="1:34" x14ac:dyDescent="0.2">
      <c r="A64" s="3"/>
      <c r="B64" s="3"/>
      <c r="C64" s="3"/>
      <c r="D64" s="3"/>
      <c r="E64" s="1392"/>
      <c r="F64" s="1392"/>
      <c r="G64" s="610" t="s">
        <v>4456</v>
      </c>
      <c r="H64" s="275"/>
      <c r="I64" s="249" t="str">
        <f>IF(AND(P3+P28&lt;&gt;0,H64=""),re,"")</f>
        <v/>
      </c>
      <c r="J64" s="3"/>
      <c r="K64" s="3"/>
      <c r="L64" s="3"/>
    </row>
    <row r="65" spans="1:14" x14ac:dyDescent="0.2">
      <c r="A65" s="3"/>
      <c r="B65" s="3"/>
      <c r="C65" s="3"/>
      <c r="D65" s="3"/>
      <c r="E65" s="3"/>
      <c r="F65" s="3"/>
      <c r="G65" s="3"/>
      <c r="H65" s="3"/>
      <c r="I65" s="3"/>
      <c r="J65" s="3"/>
      <c r="K65" s="3"/>
      <c r="L65" s="3"/>
    </row>
    <row r="66" spans="1:14" ht="6.75" customHeight="1" x14ac:dyDescent="0.2">
      <c r="A66" s="3"/>
      <c r="B66" s="3"/>
      <c r="C66" s="3"/>
      <c r="D66" s="3"/>
      <c r="E66" s="3"/>
      <c r="F66" s="3"/>
      <c r="G66" s="3"/>
      <c r="H66" s="3"/>
      <c r="I66" s="3"/>
      <c r="J66" s="3"/>
      <c r="K66" s="3"/>
      <c r="L66" s="3"/>
    </row>
    <row r="67" spans="1:14" s="66" customFormat="1" x14ac:dyDescent="0.2">
      <c r="A67" s="65"/>
      <c r="B67" s="65" t="str">
        <f>_xlfn.SINGLE(MTCA)</f>
      </c>
      <c r="C67" s="65"/>
      <c r="D67" s="65"/>
      <c r="E67" s="65" t="str">
        <f>ver</f>
        <v>TA2_e-CO_2025_Ver 1.1</v>
      </c>
      <c r="F67" s="65"/>
      <c r="G67" s="65"/>
      <c r="H67" s="65"/>
      <c r="I67" s="65"/>
      <c r="J67" s="539" t="s">
        <v>320</v>
      </c>
      <c r="K67" s="65"/>
      <c r="L67" s="65"/>
      <c r="M67" s="1879"/>
      <c r="N67" s="28">
        <f>IF(AND(P3+P28=0,N63=0),0,IF(N63&gt;0,100,IF(H64&lt;&gt;y,100,1)))</f>
      </c>
    </row>
    <row r="68" spans="1:14" ht="21.75" customHeight="1" x14ac:dyDescent="0.2">
      <c r="A68" s="3"/>
      <c r="B68" s="1398" t="s">
        <v>365</v>
      </c>
      <c r="C68" s="3"/>
      <c r="D68" s="3"/>
      <c r="E68" s="3"/>
      <c r="F68" s="3"/>
      <c r="G68" s="3"/>
      <c r="H68" s="3"/>
      <c r="I68" s="3"/>
      <c r="J68" s="3"/>
      <c r="K68" s="3"/>
      <c r="L68" s="3"/>
    </row>
    <row r="71" spans="1:14" hidden="1" x14ac:dyDescent="0.2">
      <c r="G71" s="1736" t="s">
        <v>7706</v>
      </c>
      <c r="H71" s="28">
        <f>IF(I62=nd,0,J57)</f>
      </c>
      <c r="I71" s="28">
        <f>IF(I62=nd,0,J60)</f>
      </c>
    </row>
  </sheetData>
  <sheetProtection algorithmName="SHA-512" hashValue="36m4p6mPeHQEkKSXJ5OAJLNFnBzQ08oWINcCw1HH6HNZOhpeELvMRYFLQWNybIcjMwDom1bZ+WreBeu64M0Vcg==" saltValue="THZ4LzoOP9TdneT1cOQF7A==" spinCount="100000" sheet="1" objects="1" scenarios="1"/>
  <customSheetViews>
    <customSheetView guid="{99B5278F-6EA9-4B1A-8623-27A4DF4AD5E4}" fitToPage="1" hiddenRows="1" hiddenColumns="1">
      <selection activeCell="E5" sqref="E5"/>
      <pageMargins left="7.874015748031496E-2" right="0.11811023622047245" top="0.98425196850393704" bottom="0.98425196850393704" header="0.51181102362204722" footer="0.51181102362204722"/>
      <pageSetup scale="97" orientation="landscape" r:id="rId1"/>
      <headerFooter alignWithMargins="0"/>
    </customSheetView>
  </customSheetViews>
  <mergeCells count="23">
    <mergeCell ref="K11:K12"/>
    <mergeCell ref="AC39:AC41"/>
    <mergeCell ref="C51:I51"/>
    <mergeCell ref="C13:C14"/>
    <mergeCell ref="D13:D14"/>
    <mergeCell ref="E13:E14"/>
    <mergeCell ref="F13:F14"/>
    <mergeCell ref="B3:J3"/>
    <mergeCell ref="AC13:AC15"/>
    <mergeCell ref="C38:D38"/>
    <mergeCell ref="E38:J38"/>
    <mergeCell ref="C39:C40"/>
    <mergeCell ref="D39:D40"/>
    <mergeCell ref="E39:E40"/>
    <mergeCell ref="F39:F40"/>
    <mergeCell ref="G39:I39"/>
    <mergeCell ref="J39:J40"/>
    <mergeCell ref="E7:F7"/>
    <mergeCell ref="C12:D12"/>
    <mergeCell ref="E12:J12"/>
    <mergeCell ref="C25:I25"/>
    <mergeCell ref="G13:I13"/>
    <mergeCell ref="J13:J14"/>
  </mergeCells>
  <phoneticPr fontId="120" type="noConversion"/>
  <conditionalFormatting sqref="A16:A24 C16:G24">
    <cfRule type="expression" dxfId="526" priority="13" stopIfTrue="1">
      <formula>$T16=0</formula>
    </cfRule>
  </conditionalFormatting>
  <conditionalFormatting sqref="B16:B24 I16:J24">
    <cfRule type="expression" dxfId="525" priority="14" stopIfTrue="1">
      <formula>$T16=0</formula>
    </cfRule>
  </conditionalFormatting>
  <conditionalFormatting sqref="B42:B50">
    <cfRule type="expression" dxfId="524" priority="6" stopIfTrue="1">
      <formula>$T42=0</formula>
    </cfRule>
  </conditionalFormatting>
  <conditionalFormatting sqref="C42:G50">
    <cfRule type="expression" dxfId="523" priority="9" stopIfTrue="1">
      <formula>$T42=0</formula>
    </cfRule>
  </conditionalFormatting>
  <conditionalFormatting sqref="H14 H40">
    <cfRule type="expression" dxfId="522" priority="17" stopIfTrue="1">
      <formula>ya=2010</formula>
    </cfRule>
  </conditionalFormatting>
  <conditionalFormatting sqref="H15:H24">
    <cfRule type="expression" dxfId="521" priority="15" stopIfTrue="1">
      <formula>$T15=0</formula>
    </cfRule>
    <cfRule type="expression" dxfId="520" priority="16" stopIfTrue="1">
      <formula>ya=2010</formula>
    </cfRule>
  </conditionalFormatting>
  <conditionalFormatting sqref="H41:H50">
    <cfRule type="expression" dxfId="519" priority="7" stopIfTrue="1">
      <formula>$T41=0</formula>
    </cfRule>
    <cfRule type="expression" dxfId="518" priority="8" stopIfTrue="1">
      <formula>ya=2010</formula>
    </cfRule>
  </conditionalFormatting>
  <conditionalFormatting sqref="J54">
    <cfRule type="expression" dxfId="517" priority="5">
      <formula>ya=2017</formula>
    </cfRule>
  </conditionalFormatting>
  <conditionalFormatting sqref="J57">
    <cfRule type="expression" dxfId="516" priority="4">
      <formula>$I$62=nd</formula>
    </cfRule>
  </conditionalFormatting>
  <conditionalFormatting sqref="J60">
    <cfRule type="expression" dxfId="515" priority="3">
      <formula>$I$62=nd</formula>
    </cfRule>
  </conditionalFormatting>
  <conditionalFormatting sqref="K25 I57 I60">
    <cfRule type="expression" dxfId="514" priority="18" stopIfTrue="1">
      <formula>$K$25=nd</formula>
    </cfRule>
  </conditionalFormatting>
  <dataValidations count="15">
    <dataValidation type="whole" errorStyle="warning" allowBlank="1" showInputMessage="1" showErrorMessage="1" errorTitle="Maximum deduction claimed" error="The amount entered is more than 200% maximum that can be claimed!" sqref="J15:J24 J41:J50 J58 J54:J56" xr:uid="{00000000-0002-0000-3400-000000000000}">
      <formula1>0</formula1>
      <formula2>X15</formula2>
    </dataValidation>
    <dataValidation type="whole" allowBlank="1" showInputMessage="1" showErrorMessage="1" errorTitle="Expenditure claimed previously" error="Please enter a positive numeric value!  No values for the Y/A 2017!" promptTitle="Previous Expenditure" prompt="Please enter the ACTUAL expenditure incurred" sqref="H41:H50" xr:uid="{00000000-0002-0000-3400-000001000000}">
      <formula1>0</formula1>
      <formula2>AH41</formula2>
    </dataValidation>
    <dataValidation type="whole" allowBlank="1" showInputMessage="1" showErrorMessage="1" errorTitle="Tax Credit claimed" error="Please enter a positive value that cannot exceed the total amount available!" sqref="J57" xr:uid="{00000000-0002-0000-3400-000002000000}">
      <formula1>0</formula1>
      <formula2>J51</formula2>
    </dataValidation>
    <dataValidation type="date" errorStyle="warning" allowBlank="1" showInputMessage="1" showErrorMessage="1" errorTitle="Date of approval" error="Please check the date entered that cannot be before 2016 or later than current year of assessment!" sqref="F41" xr:uid="{00000000-0002-0000-3400-000003000000}">
      <formula1>Z40</formula1>
      <formula2>AA40</formula2>
    </dataValidation>
    <dataValidation type="whole" allowBlank="1" showInputMessage="1" showErrorMessage="1" errorTitle="Tax Relieved" error="Please enter a positive value for income, the tax on which is relieved by tax credits!" sqref="J60" xr:uid="{00000000-0002-0000-3400-000004000000}">
      <formula1>O60</formula1>
      <formula2>P60</formula2>
    </dataValidation>
    <dataValidation type="list" allowBlank="1" showInputMessage="1" showErrorMessage="1" sqref="H64 H62" xr:uid="{00000000-0002-0000-3400-000005000000}">
      <formula1>yn</formula1>
    </dataValidation>
    <dataValidation type="list" allowBlank="1" showInputMessage="1" showErrorMessage="1" errorTitle="Dropdown list" error="Choose an item from the list!_x000a_" sqref="Z27" xr:uid="{00000000-0002-0000-3400-000006000000}">
      <formula1>$BB$1:$BB$20</formula1>
    </dataValidation>
    <dataValidation type="date" errorStyle="warning" allowBlank="1" showInputMessage="1" showErrorMessage="1" errorTitle="Date of approval" error="Please check the date entered that cannot be before 2010 or later than current year of assessment!" sqref="F15:F24" xr:uid="{00000000-0002-0000-3400-000007000000}">
      <formula1>$Z$14</formula1>
      <formula2>$AA$14</formula2>
    </dataValidation>
    <dataValidation type="textLength" operator="greaterThan" allowBlank="1" showInputMessage="1" showErrorMessage="1" errorTitle="Name of Pharmacy" error="Please enter the correct details" sqref="C15:C24 C41:C50" xr:uid="{00000000-0002-0000-3400-000008000000}">
      <formula1>6</formula1>
    </dataValidation>
    <dataValidation type="textLength" operator="greaterThanOrEqual" allowBlank="1" showInputMessage="1" showErrorMessage="1" errorTitle="Locality" error="Please enter the proper locality!" sqref="D15:D24 D41:D50" xr:uid="{00000000-0002-0000-3400-000009000000}">
      <formula1>3</formula1>
    </dataValidation>
    <dataValidation type="whole" operator="greaterThanOrEqual" allowBlank="1" showInputMessage="1" showErrorMessage="1" errorTitle="Expenditure claimed current year" error="Please enter a positive numeric value!" promptTitle="Current year Expenditure" prompt="Please enter the ACTUAL expenditure incurred" sqref="G15:G24 G41:G50" xr:uid="{00000000-0002-0000-3400-00000A000000}">
      <formula1>0</formula1>
    </dataValidation>
    <dataValidation type="whole" operator="greaterThanOrEqual" allowBlank="1" showInputMessage="1" showErrorMessage="1" errorTitle="Expenditure claimed previously" error="Please enter a positive numeric value!" promptTitle="Previous Expenditure" prompt="Please enter the ACTUAL expenditure incurred" sqref="H15:H24" xr:uid="{00000000-0002-0000-3400-00000B000000}">
      <formula1>0</formula1>
    </dataValidation>
    <dataValidation type="whole" operator="greaterThan" allowBlank="1" showInputMessage="1" showErrorMessage="1" errorTitle="Number of outlets" error="Please enter a positive value!" sqref="E5 E31" xr:uid="{00000000-0002-0000-3400-00000C000000}">
      <formula1>0</formula1>
    </dataValidation>
    <dataValidation type="date" errorStyle="warning" allowBlank="1" showInputMessage="1" showErrorMessage="1" errorTitle="Date of approval" error="Cannot be earlier than 1/1/2016 or more than the date covered by the current year of assessment!" sqref="F42:F50" xr:uid="{00000000-0002-0000-3400-00000D000000}">
      <formula1>Z40</formula1>
      <formula2>AA40</formula2>
    </dataValidation>
    <dataValidation allowBlank="1" showInputMessage="1" showErrorMessage="1" errorTitle="Dropdown list" error="Choose an item from the list!_x000a_" sqref="AB1" xr:uid="{00000000-0002-0000-3400-00000E000000}"/>
  </dataValidations>
  <hyperlinks>
    <hyperlink ref="B68" location="Index!A74" display="Back to Index" xr:uid="{00000000-0004-0000-3400-000000000000}"/>
    <hyperlink ref="I57" location="'TRA35'!A1" display="'TRA35'!A1" xr:uid="{00000000-0004-0000-3400-000001000000}"/>
    <hyperlink ref="I60" location="'TRA35'!A1" display="'TRA35'!A1" xr:uid="{00000000-0004-0000-3400-000002000000}"/>
  </hyperlinks>
  <printOptions horizontalCentered="1" verticalCentered="1"/>
  <pageMargins left="7.874015748031496E-2" right="0.11811023622047245" top="7.874015748031496E-2" bottom="0.97" header="7.874015748031496E-2" footer="0.28000000000000003"/>
  <pageSetup paperSize="9" orientation="landscape" r:id="rId2"/>
  <headerFooter alignWithMargins="0">
    <oddFooter>&amp;LName&amp;CSignature&amp;RDate</oddFooter>
  </headerFooter>
  <rowBreaks count="1" manualBreakCount="1">
    <brk id="28" max="16383" man="1"/>
  </rowBreaks>
  <colBreaks count="1" manualBreakCount="1">
    <brk id="1" max="1048575" man="1"/>
  </colBreaks>
  <legacy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0"/>
  <dimension ref="A1:L33"/>
  <sheetViews>
    <sheetView showGridLines="0" workbookViewId="0">
      <selection activeCell="B1" sqref="B1:D1"/>
    </sheetView>
  </sheetViews>
  <sheetFormatPr defaultColWidth="0" defaultRowHeight="12.75" zeroHeight="1" x14ac:dyDescent="0.2"/>
  <cols>
    <col min="1" max="1" width="1.28515625" style="142" customWidth="1"/>
    <col min="2" max="2" width="39.28515625" style="142" customWidth="1"/>
    <col min="3" max="3" width="15.7109375" style="142" customWidth="1"/>
    <col min="4" max="4" width="13.7109375" style="142" customWidth="1"/>
    <col min="5" max="5" width="17.7109375" style="142" bestFit="1" customWidth="1"/>
    <col min="6" max="11" width="9.28515625" style="142" hidden="1" customWidth="1"/>
    <col min="12" max="12" width="10.28515625" style="142" hidden="1" customWidth="1"/>
    <col min="13" max="16384" width="9.28515625" style="142" hidden="1"/>
  </cols>
  <sheetData>
    <row r="1" spans="1:12" s="28" customFormat="1" x14ac:dyDescent="0.2">
      <c r="A1" s="3"/>
      <c r="B1" s="4408" t="str">
        <f>_ref1</f>
      </c>
      <c r="C1" s="4408"/>
      <c r="D1" s="4408"/>
      <c r="E1" s="65" t="str">
        <f>_YA1</f>
      </c>
      <c r="H1" s="2066" t="s">
        <v>7442</v>
      </c>
      <c r="J1" s="1736" t="s">
        <v>7443</v>
      </c>
    </row>
    <row r="2" spans="1:12" s="28" customFormat="1" x14ac:dyDescent="0.2">
      <c r="A2" s="3"/>
      <c r="B2" s="3"/>
      <c r="C2" s="3"/>
      <c r="D2" s="3"/>
      <c r="E2" s="3"/>
      <c r="L2" s="28">
        <f>COUNTA(C8,C10,D20,D22,D21)</f>
      </c>
    </row>
    <row r="3" spans="1:12" s="28" customFormat="1" ht="18" x14ac:dyDescent="0.25">
      <c r="A3" s="3"/>
      <c r="B3" s="1177" t="s">
        <v>3909</v>
      </c>
      <c r="C3" s="1071"/>
      <c r="D3" s="1399"/>
      <c r="E3" s="3"/>
    </row>
    <row r="4" spans="1:12" s="28" customFormat="1" x14ac:dyDescent="0.2">
      <c r="A4" s="3"/>
      <c r="B4" s="1178" t="s">
        <v>3910</v>
      </c>
      <c r="C4" s="1072"/>
      <c r="D4" s="1400"/>
      <c r="E4" s="3"/>
    </row>
    <row r="5" spans="1:12" s="28" customFormat="1" ht="6.75" customHeight="1" x14ac:dyDescent="0.2">
      <c r="A5" s="3"/>
      <c r="B5" s="3"/>
      <c r="C5" s="3"/>
      <c r="D5" s="3"/>
      <c r="E5" s="3"/>
    </row>
    <row r="6" spans="1:12" s="28" customFormat="1" ht="14.25" x14ac:dyDescent="0.2">
      <c r="A6" s="3"/>
      <c r="B6" s="753" t="s">
        <v>3911</v>
      </c>
      <c r="C6" s="33"/>
      <c r="D6" s="350"/>
      <c r="E6" s="3"/>
    </row>
    <row r="7" spans="1:12" s="28" customFormat="1" ht="3.75" customHeight="1" x14ac:dyDescent="0.2">
      <c r="A7" s="3"/>
      <c r="B7" s="3"/>
      <c r="C7" s="3"/>
      <c r="D7" s="3"/>
      <c r="E7" s="3"/>
    </row>
    <row r="8" spans="1:12" s="28" customFormat="1" x14ac:dyDescent="0.2">
      <c r="A8" s="3"/>
      <c r="B8" s="65" t="s">
        <v>3912</v>
      </c>
      <c r="C8" s="202"/>
      <c r="D8" s="534" t="str">
        <f>IF($L$2=0,"",IF(C8="",re,""))</f>
        <v/>
      </c>
      <c r="E8" s="3"/>
      <c r="J8" s="28">
        <f>IF(D8="",0,1)</f>
      </c>
      <c r="L8" s="74">
        <f ca="1">TODAY()</f>
      </c>
    </row>
    <row r="9" spans="1:12" s="28" customFormat="1" ht="4.5" customHeight="1" x14ac:dyDescent="0.2">
      <c r="A9" s="3"/>
      <c r="B9" s="65"/>
      <c r="C9" s="3"/>
      <c r="D9" s="3"/>
      <c r="E9" s="3"/>
    </row>
    <row r="10" spans="1:12" s="28" customFormat="1" x14ac:dyDescent="0.2">
      <c r="A10" s="3"/>
      <c r="B10" s="65" t="s">
        <v>3913</v>
      </c>
      <c r="C10" s="363"/>
      <c r="D10" s="534" t="str">
        <f>IF($L$2=0,"",IF(C10="",re,""))</f>
        <v/>
      </c>
      <c r="E10" s="3"/>
      <c r="J10" s="28">
        <f>IF(D10="",0,1)</f>
      </c>
    </row>
    <row r="11" spans="1:12" s="28" customFormat="1" ht="5.25" customHeight="1" x14ac:dyDescent="0.2">
      <c r="A11" s="3"/>
      <c r="B11" s="65"/>
      <c r="C11" s="3"/>
      <c r="D11" s="3"/>
      <c r="E11" s="3"/>
    </row>
    <row r="12" spans="1:12" s="28" customFormat="1" x14ac:dyDescent="0.2">
      <c r="A12" s="3"/>
      <c r="B12" s="65" t="s">
        <v>3914</v>
      </c>
      <c r="C12" s="3"/>
      <c r="D12" s="3"/>
      <c r="E12" s="3"/>
    </row>
    <row r="13" spans="1:12" s="28" customFormat="1" x14ac:dyDescent="0.2">
      <c r="A13" s="3"/>
      <c r="B13" s="5037"/>
      <c r="C13" s="5038"/>
      <c r="D13" s="5039"/>
      <c r="E13" s="3"/>
    </row>
    <row r="14" spans="1:12" x14ac:dyDescent="0.2">
      <c r="A14" s="3"/>
      <c r="B14" s="5040"/>
      <c r="C14" s="5041"/>
      <c r="D14" s="5042"/>
      <c r="E14" s="534" t="str">
        <f>IF($L$2=0,"",IF(B13="",re,""))</f>
        <v/>
      </c>
      <c r="J14" s="142">
        <f>IF(E14="",0,1)</f>
      </c>
    </row>
    <row r="15" spans="1:12" x14ac:dyDescent="0.2">
      <c r="A15" s="3"/>
      <c r="B15" s="5040"/>
      <c r="C15" s="5041"/>
      <c r="D15" s="5042"/>
      <c r="E15" s="3"/>
    </row>
    <row r="16" spans="1:12" x14ac:dyDescent="0.2">
      <c r="A16" s="3"/>
      <c r="B16" s="5043"/>
      <c r="C16" s="5044"/>
      <c r="D16" s="5045"/>
      <c r="E16" s="3"/>
    </row>
    <row r="17" spans="1:10" x14ac:dyDescent="0.2">
      <c r="A17" s="3"/>
      <c r="B17" s="3"/>
      <c r="C17" s="3"/>
      <c r="D17" s="3"/>
      <c r="E17" s="3"/>
    </row>
    <row r="18" spans="1:10" ht="14.25" x14ac:dyDescent="0.2">
      <c r="A18" s="3"/>
      <c r="B18" s="753" t="s">
        <v>3915</v>
      </c>
      <c r="C18" s="33"/>
      <c r="D18" s="350"/>
      <c r="E18" s="3"/>
    </row>
    <row r="19" spans="1:10" ht="4.5" customHeight="1" x14ac:dyDescent="0.2">
      <c r="A19" s="3"/>
      <c r="B19" s="3"/>
      <c r="C19" s="3"/>
      <c r="D19" s="3"/>
      <c r="E19" s="3"/>
    </row>
    <row r="20" spans="1:10" x14ac:dyDescent="0.2">
      <c r="A20" s="3"/>
      <c r="B20" s="229" t="s">
        <v>3916</v>
      </c>
      <c r="C20" s="3"/>
      <c r="D20" s="339"/>
      <c r="E20" s="534" t="str">
        <f>IF($L$2=0,"",IF(D20="",reo,""))</f>
        <v/>
      </c>
      <c r="J20" s="142">
        <f>IF(E20="",0,1)</f>
      </c>
    </row>
    <row r="21" spans="1:10" x14ac:dyDescent="0.2">
      <c r="A21" s="3"/>
      <c r="B21" s="229" t="s">
        <v>2032</v>
      </c>
      <c r="C21" s="3"/>
      <c r="D21" s="339"/>
      <c r="E21" s="534" t="str">
        <f>IF($L$2=0,"",IF(D21="",reo,""))</f>
        <v/>
      </c>
      <c r="J21" s="142">
        <f>IF(E21="",0,1)</f>
      </c>
    </row>
    <row r="22" spans="1:10" x14ac:dyDescent="0.2">
      <c r="A22" s="3"/>
      <c r="B22" s="229" t="s">
        <v>4638</v>
      </c>
      <c r="C22" s="3"/>
      <c r="D22" s="339"/>
      <c r="E22" s="534" t="str">
        <f>IF($L$2=0,"",IF(D22="",reo,""))</f>
        <v/>
      </c>
      <c r="J22" s="142">
        <f>IF(E22="",0,1)</f>
      </c>
    </row>
    <row r="23" spans="1:10" ht="39.75" customHeight="1" x14ac:dyDescent="0.2">
      <c r="A23" s="3"/>
      <c r="B23" s="1210"/>
      <c r="C23" s="885" t="str">
        <f>IF($L$2=0,"",IF(B23="",re,""))</f>
        <v/>
      </c>
      <c r="D23" s="3"/>
      <c r="E23" s="3"/>
      <c r="J23" s="142">
        <f>IF(C23="",0,1)</f>
      </c>
    </row>
    <row r="24" spans="1:10" x14ac:dyDescent="0.2">
      <c r="A24" s="3"/>
      <c r="B24" s="3"/>
      <c r="C24" s="3"/>
      <c r="D24" s="3"/>
      <c r="E24" s="3"/>
    </row>
    <row r="25" spans="1:10" ht="14.25" x14ac:dyDescent="0.2">
      <c r="A25" s="3"/>
      <c r="B25" s="753" t="s">
        <v>3917</v>
      </c>
      <c r="C25" s="350"/>
      <c r="D25" s="499">
        <f>SUM(D20:D22)</f>
      </c>
      <c r="E25" s="1175" t="s">
        <v>5146</v>
      </c>
    </row>
    <row r="26" spans="1:10" ht="6" customHeight="1" x14ac:dyDescent="0.2">
      <c r="A26" s="3"/>
      <c r="B26" s="3"/>
      <c r="C26" s="3"/>
      <c r="D26" s="3"/>
      <c r="E26" s="3"/>
    </row>
    <row r="27" spans="1:10" x14ac:dyDescent="0.2">
      <c r="A27" s="3"/>
      <c r="B27" s="327" t="s">
        <v>3918</v>
      </c>
      <c r="C27" s="3"/>
      <c r="D27" s="331"/>
      <c r="E27" s="534" t="str">
        <f>IF($L$2=0,"",IF(D27="",re,IF(D27=n,"No exemption!","")))</f>
        <v/>
      </c>
      <c r="J27" s="142">
        <f>IF(E27="",0,1)</f>
      </c>
    </row>
    <row r="28" spans="1:10" x14ac:dyDescent="0.2">
      <c r="A28" s="3"/>
      <c r="B28" s="3"/>
      <c r="C28" s="3"/>
      <c r="D28" s="3"/>
      <c r="E28" s="3"/>
    </row>
    <row r="29" spans="1:10" x14ac:dyDescent="0.2">
      <c r="A29" s="3"/>
      <c r="B29" s="17" t="str">
        <f>_xlfn.SINGLE(MTCA)&amp;"                                        "&amp;ver</f>
        <v>MTCA - Malta                                        TA2_e-CO_2025_Ver 1.1</v>
      </c>
      <c r="C29" s="3"/>
      <c r="D29" s="3"/>
      <c r="E29" s="17" t="s">
        <v>3919</v>
      </c>
    </row>
    <row r="30" spans="1:10" x14ac:dyDescent="0.2">
      <c r="A30" s="3"/>
      <c r="B30" s="3"/>
      <c r="C30" s="3"/>
      <c r="D30" s="3"/>
      <c r="E30" s="3"/>
    </row>
    <row r="31" spans="1:10" x14ac:dyDescent="0.2">
      <c r="A31" s="3"/>
      <c r="B31" s="237"/>
      <c r="C31" s="610" t="str">
        <f>COM&amp;"         "</f>
        <v xml:space="preserve">IS ATTACHMENT COMPLETE [Y or N] ?         </v>
      </c>
      <c r="D31" s="331"/>
      <c r="E31" s="3"/>
      <c r="J31" s="142">
        <f>SUM(J8:J28)</f>
      </c>
    </row>
    <row r="32" spans="1:10" x14ac:dyDescent="0.2">
      <c r="A32" s="3"/>
      <c r="B32" s="3"/>
      <c r="C32" s="3"/>
      <c r="D32" s="3"/>
      <c r="E32" s="3"/>
      <c r="G32" s="142">
        <f>IF(L2=0,0,IF(J31&lt;&gt;0,100,IF(D31&lt;&gt;y,100,1)))</f>
      </c>
      <c r="H32" s="142">
        <f>IF(G32=100,0,D25)</f>
      </c>
    </row>
    <row r="33" spans="1:5" x14ac:dyDescent="0.2">
      <c r="A33" s="3"/>
      <c r="B33" s="3" t="s">
        <v>6290</v>
      </c>
      <c r="C33" s="3"/>
      <c r="D33" s="3"/>
      <c r="E33" s="3"/>
    </row>
  </sheetData>
  <sheetProtection algorithmName="SHA-512" hashValue="jh12s3/OWyC80qUFB1i+5iS+Qi3HtgtRGePoTtzPLT2N3qYYTLX43bZTnh4PbZKcs8WH0ObxFafqNEx5ZHQ6EA==" saltValue="Qul6n7yppJYhoSx9agxG1w==" spinCount="100000" sheet="1" objects="1" scenarios="1"/>
  <customSheetViews>
    <customSheetView guid="{99B5278F-6EA9-4B1A-8623-27A4DF4AD5E4}" showGridLines="0" hiddenRows="1" hiddenColumns="1">
      <selection activeCell="C8" sqref="C8"/>
      <pageMargins left="0.59" right="0.5" top="1" bottom="1" header="0.5" footer="0.5"/>
      <pageSetup paperSize="9" orientation="portrait" horizontalDpi="200" verticalDpi="200" r:id="rId1"/>
      <headerFooter alignWithMargins="0"/>
    </customSheetView>
  </customSheetViews>
  <mergeCells count="2">
    <mergeCell ref="B13:D16"/>
    <mergeCell ref="B1:D1"/>
  </mergeCells>
  <phoneticPr fontId="120" type="noConversion"/>
  <dataValidations xWindow="362" yWindow="306" count="6">
    <dataValidation type="list" allowBlank="1" showInputMessage="1" showErrorMessage="1" errorTitle="Choose item from Dropdown list! " sqref="D31 D27" xr:uid="{00000000-0002-0000-3500-000000000000}">
      <formula1>yn</formula1>
    </dataValidation>
    <dataValidation type="textLength" operator="greaterThan" allowBlank="1" showInputMessage="1" showErrorMessage="1" errorTitle="Description" error="Please enter the proper description!" sqref="B23" xr:uid="{00000000-0002-0000-3500-000001000000}">
      <formula1>4</formula1>
    </dataValidation>
    <dataValidation type="textLength" operator="greaterThan" allowBlank="1" showInputMessage="1" showErrorMessage="1" errorTitle="Description" error="Proper description required!" sqref="B13:D16" xr:uid="{00000000-0002-0000-3500-000002000000}">
      <formula1>10</formula1>
    </dataValidation>
    <dataValidation type="textLength" operator="greaterThanOrEqual" allowBlank="1" showInputMessage="1" showErrorMessage="1" errorTitle="Reference" error="Please enter the proper reference!" sqref="C10" xr:uid="{00000000-0002-0000-3500-000003000000}">
      <formula1>4</formula1>
    </dataValidation>
    <dataValidation type="date" allowBlank="1" showInputMessage="1" showErrorMessage="1" errorTitle="Date of determination" error="Check date! " promptTitle="date format" prompt="dd/mm/yyyy" sqref="C8" xr:uid="{00000000-0002-0000-3500-000004000000}">
      <formula1>40179</formula1>
      <formula2>L8</formula2>
    </dataValidation>
    <dataValidation type="whole" operator="greaterThanOrEqual" allowBlank="1" showInputMessage="1" showErrorMessage="1" errorTitle="Income from Qualifying patents" error="Please enter a positive numeric value!" sqref="D20:D22" xr:uid="{00000000-0002-0000-3500-000005000000}">
      <formula1>0</formula1>
    </dataValidation>
  </dataValidations>
  <hyperlinks>
    <hyperlink ref="B33" location="Index!A1" display="Index!A1" xr:uid="{00000000-0004-0000-3500-000000000000}"/>
    <hyperlink ref="E25" location="TRA18!A1" display="  TRA 18" xr:uid="{00000000-0004-0000-3500-000001000000}"/>
  </hyperlinks>
  <pageMargins left="0.59055118110236227" right="0.51181102362204722" top="0.62992125984251968" bottom="0.98425196850393704" header="0.51181102362204722" footer="0.51181102362204722"/>
  <pageSetup paperSize="9" scale="120" orientation="landscape" horizontalDpi="200" verticalDpi="200" r:id="rId2"/>
  <headerFooter alignWithMargins="0">
    <oddFooter>&amp;LName&amp;CSignature&amp;RDate</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1"/>
  <dimension ref="A2:CD209"/>
  <sheetViews>
    <sheetView topLeftCell="B2" workbookViewId="0"/>
  </sheetViews>
  <sheetFormatPr defaultColWidth="0" defaultRowHeight="12.75" zeroHeight="1" x14ac:dyDescent="0.2"/>
  <cols>
    <col min="1" max="1" width="0" style="28" hidden="1" customWidth="1"/>
    <col min="2" max="2" width="0.5703125" style="28" customWidth="1"/>
    <col min="3" max="3" width="29.5703125" style="28" customWidth="1"/>
    <col min="4" max="4" width="18" style="28" customWidth="1"/>
    <col min="5" max="5" width="12.28515625" style="28" customWidth="1"/>
    <col min="6" max="6" width="10.7109375" style="28" customWidth="1"/>
    <col min="7" max="7" width="32.42578125" style="28" customWidth="1"/>
    <col min="8" max="8" width="12.7109375" style="28" customWidth="1"/>
    <col min="9" max="10" width="13.5703125" style="28" customWidth="1"/>
    <col min="11" max="11" width="5" style="28" hidden="1" customWidth="1"/>
    <col min="12" max="18" width="10.7109375" style="28" hidden="1" customWidth="1"/>
    <col min="19" max="20" width="13.28515625" style="28" hidden="1" customWidth="1"/>
    <col min="21" max="28" width="9.28515625" style="28" hidden="1" customWidth="1"/>
    <col min="29" max="29" width="24.42578125" style="28" hidden="1" customWidth="1"/>
    <col min="30" max="80" width="9.28515625" style="28" hidden="1" customWidth="1"/>
    <col min="81" max="81" width="14.42578125" style="28" hidden="1" customWidth="1"/>
    <col min="82" max="82" width="10.28515625" style="28" hidden="1" customWidth="1"/>
    <col min="83" max="16384" width="9.28515625" style="28" hidden="1"/>
  </cols>
  <sheetData>
    <row r="2" spans="2:15" x14ac:dyDescent="0.2">
      <c r="B2" s="3"/>
      <c r="C2" s="4408" t="str">
        <f>_ref1</f>
      </c>
      <c r="D2" s="4408"/>
      <c r="E2" s="4408"/>
      <c r="F2" s="4408"/>
      <c r="G2" s="4408"/>
      <c r="H2" s="4408"/>
      <c r="I2" s="539" t="str">
        <f>_YA1</f>
      </c>
      <c r="J2" s="539"/>
      <c r="K2" s="30"/>
    </row>
    <row r="3" spans="2:15" x14ac:dyDescent="0.2">
      <c r="B3" s="3"/>
      <c r="C3" s="3"/>
      <c r="D3" s="3"/>
      <c r="E3" s="3"/>
      <c r="F3" s="3"/>
      <c r="G3" s="3"/>
      <c r="H3" s="3"/>
      <c r="I3" s="3"/>
      <c r="J3" s="3"/>
      <c r="K3" s="30"/>
    </row>
    <row r="4" spans="2:15" ht="18" x14ac:dyDescent="0.25">
      <c r="B4" s="3"/>
      <c r="C4" s="772" t="s">
        <v>3826</v>
      </c>
      <c r="D4" s="189"/>
      <c r="E4" s="189"/>
      <c r="F4" s="189"/>
      <c r="G4" s="189"/>
      <c r="H4" s="190"/>
      <c r="I4" s="3"/>
      <c r="J4" s="3"/>
      <c r="K4" s="30"/>
      <c r="O4" s="28" t="s">
        <v>3827</v>
      </c>
    </row>
    <row r="5" spans="2:15" ht="18" x14ac:dyDescent="0.25">
      <c r="B5" s="3"/>
      <c r="C5" s="807" t="s">
        <v>1982</v>
      </c>
      <c r="D5" s="180"/>
      <c r="E5" s="180"/>
      <c r="F5" s="180"/>
      <c r="G5" s="180"/>
      <c r="H5" s="181"/>
      <c r="I5" s="3"/>
      <c r="J5" s="3"/>
      <c r="K5" s="30"/>
      <c r="O5" s="28" t="s">
        <v>6656</v>
      </c>
    </row>
    <row r="6" spans="2:15" ht="3" customHeight="1" x14ac:dyDescent="0.2">
      <c r="B6" s="3"/>
      <c r="C6" s="3"/>
      <c r="D6" s="3"/>
      <c r="E6" s="3"/>
      <c r="F6" s="3"/>
      <c r="G6" s="3"/>
      <c r="H6" s="3"/>
      <c r="I6" s="3"/>
      <c r="J6" s="3"/>
      <c r="K6" s="30"/>
    </row>
    <row r="7" spans="2:15" ht="14.25" x14ac:dyDescent="0.2">
      <c r="B7" s="3"/>
      <c r="C7" s="813" t="s">
        <v>728</v>
      </c>
      <c r="D7" s="199"/>
      <c r="E7" s="199"/>
      <c r="F7" s="199"/>
      <c r="G7" s="199"/>
      <c r="H7" s="200"/>
      <c r="I7" s="61"/>
      <c r="J7" s="3"/>
      <c r="K7" s="30"/>
    </row>
    <row r="8" spans="2:15" ht="3" customHeight="1" x14ac:dyDescent="0.2">
      <c r="B8" s="3"/>
      <c r="C8" s="3"/>
      <c r="D8" s="3"/>
      <c r="E8" s="3"/>
      <c r="F8" s="3"/>
      <c r="G8" s="3"/>
      <c r="H8" s="3"/>
      <c r="I8" s="3"/>
      <c r="J8" s="3"/>
      <c r="K8" s="30"/>
    </row>
    <row r="9" spans="2:15" ht="12.75" customHeight="1" x14ac:dyDescent="0.2">
      <c r="B9" s="3"/>
      <c r="C9" s="229" t="s">
        <v>729</v>
      </c>
      <c r="D9" s="977"/>
      <c r="E9" s="288"/>
      <c r="F9" s="534" t="str">
        <f>IF(M11=0,"",IF(ISBLANK(E9),re,IF(O26=0,"",IF(O26&lt;&gt;E9,"Check!",""))))</f>
        <v/>
      </c>
      <c r="G9" s="3"/>
      <c r="H9" s="3"/>
      <c r="I9" s="3"/>
      <c r="J9" s="3"/>
      <c r="K9" s="30">
        <f>IF(F9="",0,1)</f>
      </c>
      <c r="M9" s="28">
        <f>COUNTA(E9,F16)</f>
      </c>
    </row>
    <row r="10" spans="2:15" ht="3" customHeight="1" x14ac:dyDescent="0.2">
      <c r="B10" s="3"/>
      <c r="C10" s="814"/>
      <c r="D10" s="814"/>
      <c r="E10" s="814"/>
      <c r="F10" s="814"/>
      <c r="G10" s="3"/>
      <c r="H10" s="3"/>
      <c r="I10" s="3"/>
      <c r="J10" s="3"/>
      <c r="K10" s="30"/>
    </row>
    <row r="11" spans="2:15" x14ac:dyDescent="0.2">
      <c r="B11" s="3"/>
      <c r="C11" s="3" t="s">
        <v>730</v>
      </c>
      <c r="D11" s="6"/>
      <c r="E11" s="275"/>
      <c r="F11" s="534" t="str">
        <f>IF(M11=0,"",IF(E11="",re,""))</f>
        <v/>
      </c>
      <c r="G11" s="3"/>
      <c r="H11" s="3"/>
      <c r="I11" s="3"/>
      <c r="J11" s="3"/>
      <c r="K11" s="30">
        <f>IF(F11="",0,1)</f>
      </c>
      <c r="M11" s="28">
        <f>COUNTA(E19:H26)</f>
      </c>
    </row>
    <row r="12" spans="2:15" ht="3" customHeight="1" x14ac:dyDescent="0.2">
      <c r="B12" s="3"/>
      <c r="C12" s="3"/>
      <c r="D12" s="3"/>
      <c r="E12" s="3"/>
      <c r="F12" s="3"/>
      <c r="G12" s="3"/>
      <c r="H12" s="3"/>
      <c r="I12" s="3"/>
      <c r="J12" s="3"/>
      <c r="K12" s="30"/>
    </row>
    <row r="13" spans="2:15" x14ac:dyDescent="0.2">
      <c r="B13" s="3"/>
      <c r="C13" s="3" t="s">
        <v>731</v>
      </c>
      <c r="D13" s="3"/>
      <c r="E13" s="5046"/>
      <c r="F13" s="5047"/>
      <c r="G13" s="5047"/>
      <c r="H13" s="5048"/>
      <c r="I13" s="534" t="str">
        <f>IF(AND(E11=O5,E13=""),re,IF(AND(E11=O4,E13&lt;&gt;""),"Delete!",""))</f>
        <v/>
      </c>
      <c r="J13" s="3"/>
      <c r="K13" s="30">
        <f>IF(I13="",0,1)</f>
      </c>
    </row>
    <row r="14" spans="2:15" x14ac:dyDescent="0.2">
      <c r="B14" s="3"/>
      <c r="C14" s="3"/>
      <c r="D14" s="3"/>
      <c r="E14" s="5049"/>
      <c r="F14" s="5050"/>
      <c r="G14" s="5050"/>
      <c r="H14" s="5051"/>
      <c r="I14" s="3"/>
      <c r="J14" s="3"/>
      <c r="K14" s="30"/>
    </row>
    <row r="15" spans="2:15" ht="6.75" customHeight="1" x14ac:dyDescent="0.2">
      <c r="B15" s="3"/>
      <c r="C15" s="3"/>
      <c r="D15" s="3"/>
      <c r="E15" s="3"/>
      <c r="F15" s="3"/>
      <c r="G15" s="3"/>
      <c r="H15" s="3"/>
      <c r="I15" s="3"/>
      <c r="J15" s="3"/>
      <c r="K15" s="30"/>
    </row>
    <row r="16" spans="2:15" x14ac:dyDescent="0.2">
      <c r="B16" s="3"/>
      <c r="C16" s="8" t="s">
        <v>2206</v>
      </c>
      <c r="D16" s="8"/>
      <c r="E16" s="8"/>
      <c r="F16" s="331"/>
      <c r="G16" s="795" t="str">
        <f>IF(E9="","",IF(ISBLANK(F16),re,IF(F16=A$202,nd,"")))</f>
        <v/>
      </c>
      <c r="H16" s="3"/>
      <c r="I16" s="3"/>
      <c r="J16" s="3"/>
      <c r="K16" s="30">
        <f>IF(G16=re,1,0)</f>
      </c>
    </row>
    <row r="17" spans="2:19" ht="7.5" customHeight="1" x14ac:dyDescent="0.2">
      <c r="B17" s="3"/>
      <c r="C17" s="3"/>
      <c r="D17" s="3"/>
      <c r="E17" s="3"/>
      <c r="F17" s="3"/>
      <c r="G17" s="3"/>
      <c r="H17" s="3"/>
      <c r="I17" s="3"/>
      <c r="J17" s="3"/>
      <c r="K17" s="30"/>
    </row>
    <row r="18" spans="2:19" ht="24" x14ac:dyDescent="0.2">
      <c r="B18" s="3"/>
      <c r="C18" s="4862" t="s">
        <v>4975</v>
      </c>
      <c r="D18" s="4863"/>
      <c r="E18" s="400" t="s">
        <v>5654</v>
      </c>
      <c r="F18" s="400" t="s">
        <v>6933</v>
      </c>
      <c r="G18" s="400" t="s">
        <v>5655</v>
      </c>
      <c r="H18" s="400" t="s">
        <v>4738</v>
      </c>
      <c r="I18" s="3"/>
      <c r="J18" s="3"/>
      <c r="K18" s="30"/>
      <c r="P18" s="74">
        <f>DATE(ya-2,1,2)</f>
      </c>
    </row>
    <row r="19" spans="2:19" x14ac:dyDescent="0.2">
      <c r="B19" s="3"/>
      <c r="C19" s="4864"/>
      <c r="D19" s="4865"/>
      <c r="E19" s="201"/>
      <c r="F19" s="202"/>
      <c r="G19" s="275"/>
      <c r="H19" s="339"/>
      <c r="I19" s="61" t="str">
        <f>IF(M$11=0,"",IF(M19=0,re,IF(M19=4,"","&lt; All data!")))</f>
        <v/>
      </c>
      <c r="J19" s="3"/>
      <c r="K19" s="30">
        <f t="shared" ref="K19:K26" si="0">IF(I19="",0,1)</f>
      </c>
      <c r="M19" s="28">
        <f t="shared" ref="M19:M26" si="1">COUNTA(E19:H19)</f>
      </c>
      <c r="N19" s="28">
        <f>IF(M19=0,0,1)</f>
      </c>
      <c r="P19" s="74">
        <f>DATE(ya-1,12,31)</f>
      </c>
      <c r="S19" s="28" t="s">
        <v>5656</v>
      </c>
    </row>
    <row r="20" spans="2:19" x14ac:dyDescent="0.2">
      <c r="B20" s="3"/>
      <c r="C20" s="4864"/>
      <c r="D20" s="4865"/>
      <c r="E20" s="201"/>
      <c r="F20" s="202"/>
      <c r="G20" s="275"/>
      <c r="H20" s="339"/>
      <c r="I20" s="61" t="str">
        <f t="shared" ref="I20:I26" si="2">IF(M$11=0,"",IF(M20=0,"",IF(M20=4,"","&lt; All data!")))</f>
        <v/>
      </c>
      <c r="J20" s="3"/>
      <c r="K20" s="30">
        <f t="shared" si="0"/>
        <v>0</v>
      </c>
      <c r="M20" s="28">
        <f t="shared" si="1"/>
        <v>0</v>
      </c>
      <c r="N20" s="28">
        <f t="shared" ref="N20:N26" si="3">IF(M20=0,0,1)</f>
      </c>
    </row>
    <row r="21" spans="2:19" x14ac:dyDescent="0.2">
      <c r="B21" s="3"/>
      <c r="C21" s="4864"/>
      <c r="D21" s="4865"/>
      <c r="E21" s="201"/>
      <c r="F21" s="202"/>
      <c r="G21" s="275"/>
      <c r="H21" s="339"/>
      <c r="I21" s="61" t="str">
        <f t="shared" si="2"/>
        <v/>
      </c>
      <c r="J21" s="3"/>
      <c r="K21" s="30">
        <f t="shared" si="0"/>
        <v>0</v>
      </c>
      <c r="M21" s="28">
        <f t="shared" si="1"/>
        <v>0</v>
      </c>
      <c r="N21" s="28">
        <f t="shared" si="3"/>
        <v>0</v>
      </c>
    </row>
    <row r="22" spans="2:19" x14ac:dyDescent="0.2">
      <c r="B22" s="3"/>
      <c r="C22" s="4864"/>
      <c r="D22" s="4865"/>
      <c r="E22" s="201"/>
      <c r="F22" s="202"/>
      <c r="G22" s="275"/>
      <c r="H22" s="339"/>
      <c r="I22" s="61" t="str">
        <f t="shared" si="2"/>
        <v/>
      </c>
      <c r="J22" s="3"/>
      <c r="K22" s="30">
        <f t="shared" si="0"/>
        <v>0</v>
      </c>
      <c r="M22" s="28">
        <f t="shared" si="1"/>
        <v>0</v>
      </c>
      <c r="N22" s="28">
        <f t="shared" si="3"/>
        <v>0</v>
      </c>
    </row>
    <row r="23" spans="2:19" x14ac:dyDescent="0.2">
      <c r="B23" s="3"/>
      <c r="C23" s="4864"/>
      <c r="D23" s="4865"/>
      <c r="E23" s="201"/>
      <c r="F23" s="202"/>
      <c r="G23" s="275"/>
      <c r="H23" s="339"/>
      <c r="I23" s="61" t="str">
        <f t="shared" si="2"/>
        <v/>
      </c>
      <c r="J23" s="3"/>
      <c r="K23" s="30">
        <f t="shared" si="0"/>
        <v>0</v>
      </c>
      <c r="M23" s="28">
        <f t="shared" si="1"/>
        <v>0</v>
      </c>
      <c r="N23" s="28">
        <f t="shared" si="3"/>
        <v>0</v>
      </c>
    </row>
    <row r="24" spans="2:19" x14ac:dyDescent="0.2">
      <c r="B24" s="3"/>
      <c r="C24" s="4864"/>
      <c r="D24" s="4865"/>
      <c r="E24" s="201"/>
      <c r="F24" s="202"/>
      <c r="G24" s="275"/>
      <c r="H24" s="339"/>
      <c r="I24" s="61" t="str">
        <f t="shared" si="2"/>
        <v/>
      </c>
      <c r="J24" s="3"/>
      <c r="K24" s="30">
        <f t="shared" si="0"/>
        <v>0</v>
      </c>
      <c r="M24" s="28">
        <f t="shared" si="1"/>
        <v>0</v>
      </c>
      <c r="N24" s="28">
        <f t="shared" si="3"/>
        <v>0</v>
      </c>
    </row>
    <row r="25" spans="2:19" x14ac:dyDescent="0.2">
      <c r="B25" s="3"/>
      <c r="C25" s="4864"/>
      <c r="D25" s="4865"/>
      <c r="E25" s="201"/>
      <c r="F25" s="202"/>
      <c r="G25" s="275"/>
      <c r="H25" s="339"/>
      <c r="I25" s="61" t="str">
        <f t="shared" si="2"/>
        <v/>
      </c>
      <c r="J25" s="3"/>
      <c r="K25" s="30">
        <f t="shared" si="0"/>
        <v>0</v>
      </c>
      <c r="M25" s="28">
        <f t="shared" si="1"/>
        <v>0</v>
      </c>
      <c r="N25" s="28">
        <f t="shared" si="3"/>
        <v>0</v>
      </c>
    </row>
    <row r="26" spans="2:19" x14ac:dyDescent="0.2">
      <c r="B26" s="3"/>
      <c r="C26" s="4866"/>
      <c r="D26" s="4867"/>
      <c r="E26" s="201"/>
      <c r="F26" s="202"/>
      <c r="G26" s="275"/>
      <c r="H26" s="339"/>
      <c r="I26" s="61" t="str">
        <f t="shared" si="2"/>
        <v/>
      </c>
      <c r="J26" s="3"/>
      <c r="K26" s="30">
        <f t="shared" si="0"/>
        <v>0</v>
      </c>
      <c r="L26" s="28">
        <f>SUM(K19:K26)</f>
      </c>
      <c r="M26" s="28">
        <f t="shared" si="1"/>
        <v>0</v>
      </c>
      <c r="N26" s="28">
        <f t="shared" si="3"/>
        <v>0</v>
      </c>
      <c r="O26" s="28">
        <f>SUM(N19:N26)</f>
      </c>
    </row>
    <row r="27" spans="2:19" x14ac:dyDescent="0.2">
      <c r="B27" s="3"/>
      <c r="C27" s="3"/>
      <c r="D27" s="3"/>
      <c r="E27" s="534" t="str">
        <f>IF(O26&lt;&gt;E9,"Check number of donations!","")</f>
        <v/>
      </c>
      <c r="F27" s="3"/>
      <c r="G27" s="1401"/>
      <c r="H27" s="1401"/>
      <c r="I27" s="3"/>
      <c r="J27" s="3"/>
      <c r="K27" s="30">
        <f>IF(E27="",0,1)</f>
      </c>
      <c r="M27" s="28">
        <f>IF(F16=A202,1,0)</f>
      </c>
    </row>
    <row r="28" spans="2:19" x14ac:dyDescent="0.2">
      <c r="B28" s="3"/>
      <c r="C28" s="457" t="s">
        <v>1013</v>
      </c>
      <c r="D28" s="199"/>
      <c r="E28" s="199"/>
      <c r="F28" s="199"/>
      <c r="G28" s="1403" t="s">
        <v>5657</v>
      </c>
      <c r="H28" s="340">
        <f>IF(M27=1,0,IF(L26&lt;&gt;0,0,SUM(H19:H26)))</f>
      </c>
      <c r="I28" s="1402" t="str">
        <f>IF(F16=A$202,nd,"")</f>
        <v/>
      </c>
      <c r="J28" s="3"/>
      <c r="K28" s="30">
        <f>SUM(K7:K27)</f>
      </c>
    </row>
    <row r="29" spans="2:19" ht="6" customHeight="1" x14ac:dyDescent="0.2">
      <c r="B29" s="3"/>
      <c r="C29" s="3"/>
      <c r="D29" s="3"/>
      <c r="E29" s="3"/>
      <c r="F29" s="3"/>
      <c r="G29" s="3"/>
      <c r="H29" s="3"/>
      <c r="I29" s="3"/>
      <c r="J29" s="3"/>
      <c r="K29" s="30"/>
    </row>
    <row r="30" spans="2:19" x14ac:dyDescent="0.2">
      <c r="B30" s="3"/>
      <c r="C30" s="65" t="str">
        <f>_xlfn.SINGLE(MTCA)</f>
      </c>
      <c r="D30" s="3"/>
      <c r="E30" s="65" t="str">
        <f>ver</f>
        <v>TA2_e-CO_2025_Ver 1.1</v>
      </c>
      <c r="F30" s="3"/>
      <c r="G30" s="3"/>
      <c r="H30" s="3"/>
      <c r="I30" s="539" t="s">
        <v>5658</v>
      </c>
      <c r="J30" s="539"/>
      <c r="K30" s="30"/>
      <c r="N30" s="28">
        <f>SUM(N19:N29)</f>
      </c>
    </row>
    <row r="31" spans="2:19" ht="7.5" customHeight="1" x14ac:dyDescent="0.2">
      <c r="B31" s="3"/>
      <c r="C31" s="3"/>
      <c r="D31" s="3"/>
      <c r="E31" s="3"/>
      <c r="F31" s="3"/>
      <c r="G31" s="3"/>
      <c r="H31" s="3"/>
      <c r="I31" s="3"/>
      <c r="J31" s="3"/>
      <c r="K31" s="30"/>
    </row>
    <row r="32" spans="2:19" x14ac:dyDescent="0.2">
      <c r="B32" s="3"/>
      <c r="C32" s="3"/>
      <c r="D32" s="3"/>
      <c r="E32" s="610" t="str">
        <f>COM</f>
      </c>
      <c r="F32" s="331"/>
      <c r="G32" s="534" t="str">
        <f>IF(M11=0,"",IF(F32="",re,""))</f>
        <v/>
      </c>
      <c r="H32" s="3"/>
      <c r="I32" s="3"/>
      <c r="J32" s="3"/>
      <c r="K32" s="30">
        <f>IF(N30=0,0,IF(K28&gt;0,100,IF(F32=A203,1,100)))</f>
      </c>
    </row>
    <row r="33" spans="2:11" ht="4.5" customHeight="1" x14ac:dyDescent="0.2">
      <c r="B33" s="3"/>
      <c r="C33" s="3"/>
      <c r="D33" s="3"/>
      <c r="E33" s="3"/>
      <c r="F33" s="3"/>
      <c r="G33" s="3"/>
      <c r="H33" s="3"/>
      <c r="I33" s="3"/>
      <c r="J33" s="3"/>
      <c r="K33" s="30"/>
    </row>
    <row r="34" spans="2:11" x14ac:dyDescent="0.2">
      <c r="B34" s="3"/>
      <c r="C34" s="4636" t="s">
        <v>1700</v>
      </c>
      <c r="D34" s="4636"/>
      <c r="E34" s="3"/>
      <c r="F34" s="3"/>
      <c r="G34" s="3"/>
      <c r="H34" s="3"/>
      <c r="I34" s="3"/>
      <c r="J34" s="3"/>
      <c r="K34" s="30"/>
    </row>
    <row r="35" spans="2:11" x14ac:dyDescent="0.2">
      <c r="B35" s="3"/>
      <c r="C35" s="3"/>
      <c r="D35" s="3"/>
      <c r="E35" s="3"/>
      <c r="F35" s="3"/>
      <c r="G35" s="3"/>
      <c r="H35" s="3"/>
      <c r="I35" s="3"/>
      <c r="J35" s="3"/>
      <c r="K35" s="30"/>
    </row>
    <row r="37" spans="2:11" ht="3.75" hidden="1" customHeight="1" x14ac:dyDescent="0.2"/>
    <row r="43" spans="2:11" ht="3" hidden="1" customHeight="1" x14ac:dyDescent="0.2"/>
    <row r="45" spans="2:11" ht="57" hidden="1" customHeight="1" x14ac:dyDescent="0.2"/>
    <row r="47" spans="2:11" ht="14.25" hidden="1" customHeight="1" x14ac:dyDescent="0.2"/>
    <row r="196" spans="1:1" hidden="1" x14ac:dyDescent="0.2">
      <c r="A196" s="28" t="s">
        <v>1014</v>
      </c>
    </row>
    <row r="197" spans="1:1" hidden="1" x14ac:dyDescent="0.2">
      <c r="A197" s="28" t="s">
        <v>1015</v>
      </c>
    </row>
    <row r="198" spans="1:1" hidden="1" x14ac:dyDescent="0.2">
      <c r="A198" s="28" t="s">
        <v>1016</v>
      </c>
    </row>
    <row r="199" spans="1:1" hidden="1" x14ac:dyDescent="0.2">
      <c r="A199" s="28" t="s">
        <v>6877</v>
      </c>
    </row>
    <row r="200" spans="1:1" hidden="1" x14ac:dyDescent="0.2">
      <c r="A200" s="28" t="s">
        <v>4793</v>
      </c>
    </row>
    <row r="202" spans="1:1" hidden="1" x14ac:dyDescent="0.2">
      <c r="A202" s="28" t="s">
        <v>1736</v>
      </c>
    </row>
    <row r="203" spans="1:1" hidden="1" x14ac:dyDescent="0.2">
      <c r="A203" s="28" t="s">
        <v>4457</v>
      </c>
    </row>
    <row r="205" spans="1:1" hidden="1" x14ac:dyDescent="0.2">
      <c r="A205" s="28" t="s">
        <v>4794</v>
      </c>
    </row>
    <row r="206" spans="1:1" hidden="1" x14ac:dyDescent="0.2">
      <c r="A206" s="28" t="s">
        <v>4795</v>
      </c>
    </row>
    <row r="207" spans="1:1" hidden="1" x14ac:dyDescent="0.2">
      <c r="A207" s="28" t="s">
        <v>283</v>
      </c>
    </row>
    <row r="208" spans="1:1" hidden="1" x14ac:dyDescent="0.2">
      <c r="A208" s="28" t="s">
        <v>4910</v>
      </c>
    </row>
    <row r="209" spans="1:1" hidden="1" x14ac:dyDescent="0.2">
      <c r="A209" s="28" t="s">
        <v>4911</v>
      </c>
    </row>
  </sheetData>
  <sheetProtection algorithmName="SHA-512" hashValue="mZlx8lKFhD5KwN0bBTfvP2zRRqWK0ElLjvL64KMm0N4Qa7qsoRuMFyQgUAxUSeg5iimnKq/N4i7eD0tkxSbqBg==" saltValue="BKHX1MslfIM3DnkUSGU9iQ==" spinCount="100000" sheet="1" objects="1" scenarios="1"/>
  <customSheetViews>
    <customSheetView guid="{99B5278F-6EA9-4B1A-8623-27A4DF4AD5E4}" hiddenRows="1" hiddenColumns="1" topLeftCell="B2">
      <selection activeCell="E9" sqref="E9"/>
      <pageMargins left="0.75" right="0.75" top="1" bottom="1" header="0.5" footer="0.5"/>
      <headerFooter alignWithMargins="0"/>
    </customSheetView>
  </customSheetViews>
  <mergeCells count="4">
    <mergeCell ref="C2:H2"/>
    <mergeCell ref="E13:H14"/>
    <mergeCell ref="C18:D26"/>
    <mergeCell ref="C34:D34"/>
  </mergeCells>
  <phoneticPr fontId="120" type="noConversion"/>
  <conditionalFormatting sqref="C13">
    <cfRule type="expression" dxfId="513" priority="3" stopIfTrue="1">
      <formula>$E$11=$O$4</formula>
    </cfRule>
  </conditionalFormatting>
  <conditionalFormatting sqref="D13:D14 C14">
    <cfRule type="expression" dxfId="512" priority="2" stopIfTrue="1">
      <formula>$E$11=$O$4</formula>
    </cfRule>
  </conditionalFormatting>
  <conditionalFormatting sqref="E13:H14">
    <cfRule type="expression" dxfId="511" priority="4" stopIfTrue="1">
      <formula>$E$11=$O$4</formula>
    </cfRule>
  </conditionalFormatting>
  <conditionalFormatting sqref="G16">
    <cfRule type="cellIs" dxfId="510" priority="1" stopIfTrue="1" operator="equal">
      <formula>re</formula>
    </cfRule>
  </conditionalFormatting>
  <dataValidations count="8">
    <dataValidation type="textLength" operator="greaterThan" allowBlank="1" showInputMessage="1" showErrorMessage="1" errorTitle="Asset description" error="Please give a proper asset description!" sqref="E13:H14" xr:uid="{00000000-0002-0000-3600-000000000000}">
      <formula1>8</formula1>
    </dataValidation>
    <dataValidation type="list" allowBlank="1" showInputMessage="1" showErrorMessage="1" sqref="E11" xr:uid="{00000000-0002-0000-3600-000001000000}">
      <formula1>$O$3:$O$5</formula1>
    </dataValidation>
    <dataValidation type="list" allowBlank="1" showInputMessage="1" showErrorMessage="1" sqref="G19:G26" xr:uid="{00000000-0002-0000-3600-000002000000}">
      <formula1>$S$18:$S$19</formula1>
    </dataValidation>
    <dataValidation type="whole" errorStyle="warning" allowBlank="1" showInputMessage="1" showErrorMessage="1" errorTitle="Amount of donation under Rule 3" error="Please enter a positive whole number! _x000a_Cannot be less than €150 or greater than €50,000!" sqref="H19:H26" xr:uid="{00000000-0002-0000-3600-000003000000}">
      <formula1>150</formula1>
      <formula2>50000</formula2>
    </dataValidation>
    <dataValidation type="textLength" errorStyle="warning" operator="greaterThanOrEqual" allowBlank="1" showInputMessage="1" showErrorMessage="1" errorTitle="Certificate Reference" error="Please enter the correct reference!" sqref="E19:E26" xr:uid="{00000000-0002-0000-3600-000004000000}">
      <formula1>4</formula1>
    </dataValidation>
    <dataValidation type="date" allowBlank="1" showInputMessage="1" showErrorMessage="1" errorTitle="Date" error="Date that must be within the current year of assessment!" promptTitle="Date format" prompt="dd/mm/yyyy" sqref="F19:F26" xr:uid="{00000000-0002-0000-3600-000005000000}">
      <formula1>$P$18</formula1>
      <formula2>$P$19</formula2>
    </dataValidation>
    <dataValidation type="whole" operator="greaterThan" allowBlank="1" showInputMessage="1" showErrorMessage="1" errorTitle="Number of entities" error="Please enter a positive whole number!" sqref="E9" xr:uid="{00000000-0002-0000-3600-000006000000}">
      <formula1>0</formula1>
    </dataValidation>
    <dataValidation type="list" allowBlank="1" showInputMessage="1" showErrorMessage="1" sqref="F16 F32" xr:uid="{00000000-0002-0000-3600-000007000000}">
      <formula1>$A$201:$A$203</formula1>
    </dataValidation>
  </dataValidations>
  <hyperlinks>
    <hyperlink ref="C34" location="Index!A1" display="BACK TO INDEX" xr:uid="{00000000-0004-0000-3600-000000000000}"/>
    <hyperlink ref="G28" location="TRA60!F30" display="TRA 60  " xr:uid="{00000000-0004-0000-3600-000001000000}"/>
  </hyperlinks>
  <pageMargins left="0.17" right="0.16" top="0.98425196850393704" bottom="0.98425196850393704" header="0.51181102362204722" footer="0.51181102362204722"/>
  <pageSetup orientation="landscape" r:id="rId1"/>
  <headerFooter alignWithMargins="0">
    <oddFooter>&amp;LName &amp;CSignature&amp;RDate</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B47"/>
  <sheetViews>
    <sheetView zoomScale="120" workbookViewId="0">
      <selection activeCell="B8" sqref="B8"/>
    </sheetView>
  </sheetViews>
  <sheetFormatPr defaultColWidth="0" defaultRowHeight="12.75" zeroHeight="1" x14ac:dyDescent="0.2"/>
  <cols>
    <col min="1" max="1" width="9.28515625" style="28" customWidth="1"/>
    <col min="2" max="2" width="39.42578125" style="28" customWidth="1"/>
    <col min="3" max="3" width="9.28515625" style="28" customWidth="1"/>
    <col min="4" max="4" width="2.28515625" style="28" customWidth="1"/>
    <col min="5" max="5" width="9.28515625" style="1408" customWidth="1"/>
    <col min="6" max="6" width="2.28515625" style="28" customWidth="1"/>
    <col min="7" max="7" width="9.28515625" style="28" customWidth="1"/>
    <col min="8" max="8" width="17.42578125" style="28" customWidth="1"/>
    <col min="9" max="9" width="8.7109375" style="28" customWidth="1"/>
    <col min="10" max="10" width="2.28515625" style="28" hidden="1" customWidth="1"/>
    <col min="11" max="11" width="9.28515625" style="28" hidden="1" customWidth="1"/>
    <col min="12" max="12" width="2.28515625" style="28" hidden="1" customWidth="1"/>
    <col min="13" max="13" width="9.28515625" style="28" hidden="1" customWidth="1"/>
    <col min="14" max="14" width="4.28515625" style="28" hidden="1" customWidth="1"/>
    <col min="15" max="15" width="12.7109375" style="28" hidden="1" customWidth="1"/>
    <col min="16" max="16" width="9.28515625" style="28" hidden="1" customWidth="1"/>
    <col min="17" max="17" width="2.28515625" style="28" hidden="1" customWidth="1"/>
    <col min="18" max="27" width="9.28515625" style="28" hidden="1" customWidth="1"/>
    <col min="28" max="28" width="6.7109375" style="28" hidden="1" customWidth="1"/>
    <col min="29" max="16384" width="9.28515625" style="28" hidden="1"/>
  </cols>
  <sheetData>
    <row r="1" spans="1:22" x14ac:dyDescent="0.2">
      <c r="A1" s="860"/>
      <c r="B1" s="4408" t="str">
        <f>_ref1</f>
      </c>
      <c r="C1" s="4408"/>
      <c r="D1" s="4408"/>
      <c r="E1" s="4408"/>
      <c r="F1" s="4408"/>
      <c r="G1" s="4408"/>
      <c r="H1" s="4408"/>
      <c r="I1" s="860" t="str">
        <f>_YA1</f>
      </c>
      <c r="O1" s="32">
        <f>E6</f>
      </c>
      <c r="R1" s="28">
        <v>1</v>
      </c>
      <c r="S1" s="3551" t="str">
        <f>LEFT(C8,5)</f>
        <v/>
      </c>
      <c r="T1" s="3549">
        <f>IF(C8="",0,CONCATENATE(S1,9-MOD((SUM((MID(S1,1,1)*1),(MID(S1,2,1)*3),(MID(S1,3,1)*7),(MID(S1,4,1)*1),(MID(S1,5,1)*3))),9)))</f>
      </c>
      <c r="U1" s="3548">
        <f>IFERROR(ROUND(T1,0),9999999)</f>
      </c>
      <c r="V1" s="28">
        <f>COUNT(C8)</f>
      </c>
    </row>
    <row r="2" spans="1:22" x14ac:dyDescent="0.2">
      <c r="A2" s="860"/>
      <c r="B2" s="860"/>
      <c r="C2" s="860"/>
      <c r="D2" s="860"/>
      <c r="E2" s="1202"/>
      <c r="F2" s="860"/>
      <c r="G2" s="860"/>
      <c r="H2" s="860"/>
      <c r="I2" s="860"/>
      <c r="L2" s="28">
        <f>SUM(L27,L33)</f>
      </c>
      <c r="N2" s="28">
        <v>1</v>
      </c>
      <c r="R2" s="28">
        <v>2</v>
      </c>
      <c r="S2" s="3548" t="str">
        <f>LEFT(E8,5)</f>
        <v/>
      </c>
      <c r="T2" s="3549">
        <f>IF(E8="",0,CONCATENATE(S2,9-MOD((SUM((MID(S2,1,1)*1),(MID(S2,2,1)*3),(MID(S2,3,1)*7),(MID(S2,4,1)*1),(MID(S2,5,1)*3))),9)))</f>
      </c>
      <c r="U2" s="3548">
        <f t="shared" ref="U2:U12" si="0">IFERROR(ROUND(T2,0),9999999)</f>
      </c>
      <c r="V2" s="28">
        <f>COUNT(E8)</f>
      </c>
    </row>
    <row r="3" spans="1:22" x14ac:dyDescent="0.2">
      <c r="A3" s="860"/>
      <c r="B3" s="411" t="s">
        <v>5087</v>
      </c>
      <c r="C3" s="33"/>
      <c r="D3" s="33"/>
      <c r="E3" s="1404"/>
      <c r="F3" s="33"/>
      <c r="G3" s="33"/>
      <c r="H3" s="350"/>
      <c r="I3" s="860"/>
      <c r="N3" s="28">
        <v>2</v>
      </c>
      <c r="R3" s="28">
        <v>3</v>
      </c>
      <c r="S3" s="3548" t="str">
        <f>LEFT(G8,5)</f>
        <v/>
      </c>
      <c r="T3" s="3549">
        <f>IF(G8="",0,CONCATENATE(S3,9-MOD((SUM((MID(S3,1,1)*1),(MID(S3,2,1)*3),(MID(S3,3,1)*7),(MID(S3,4,1)*1),(MID(S3,5,1)*3))),9)))</f>
      </c>
      <c r="U3" s="3548">
        <f t="shared" si="0"/>
        <v>0</v>
      </c>
      <c r="V3" s="28">
        <f>COUNT(G8)</f>
      </c>
    </row>
    <row r="4" spans="1:22" x14ac:dyDescent="0.2">
      <c r="A4" s="860"/>
      <c r="B4" s="860"/>
      <c r="C4" s="860"/>
      <c r="D4" s="860"/>
      <c r="E4" s="1202"/>
      <c r="F4" s="860"/>
      <c r="G4" s="860"/>
      <c r="H4" s="860"/>
      <c r="I4" s="860"/>
      <c r="N4" s="28">
        <v>3</v>
      </c>
      <c r="R4" s="28">
        <v>4</v>
      </c>
      <c r="S4" s="3548" t="str">
        <f>LEFT(C9,5)</f>
        <v/>
      </c>
      <c r="T4" s="3549">
        <f>IF(C9="",0,CONCATENATE(S4,9-MOD((SUM((MID(S4,1,1)*1),(MID(S4,2,1)*3),(MID(S4,3,1)*7),(MID(S4,4,1)*1),(MID(S4,5,1)*3))),9)))</f>
      </c>
      <c r="U4" s="3548">
        <f t="shared" si="0"/>
        <v>0</v>
      </c>
      <c r="V4" s="28">
        <f>COUNT(C9)</f>
      </c>
    </row>
    <row r="5" spans="1:22" x14ac:dyDescent="0.2">
      <c r="A5" s="860"/>
      <c r="B5" s="1405" t="str">
        <f>IF(N$27&lt;&gt;O$27,"Ensure that the total deductions claimed do not exceed €20,000 or equivalent!","")</f>
        <v/>
      </c>
      <c r="C5" s="860"/>
      <c r="D5" s="860"/>
      <c r="E5" s="1202"/>
      <c r="F5" s="860"/>
      <c r="G5" s="860"/>
      <c r="H5" s="860"/>
      <c r="I5" s="860"/>
      <c r="N5" s="28">
        <v>4</v>
      </c>
      <c r="R5" s="28">
        <v>5</v>
      </c>
      <c r="S5" s="3548" t="str">
        <f>LEFT(E9,5)</f>
        <v/>
      </c>
      <c r="T5" s="3549">
        <f>IF(E9="",0,CONCATENATE(S5,9-MOD((SUM((MID(S5,1,1)*1),(MID(S5,2,1)*3),(MID(S5,3,1)*7),(MID(S5,4,1)*1),(MID(S5,5,1)*3))),9)))</f>
      </c>
      <c r="U5" s="3548">
        <f t="shared" si="0"/>
        <v>0</v>
      </c>
      <c r="V5" s="28">
        <f>COUNT(E9)</f>
      </c>
    </row>
    <row r="6" spans="1:22" x14ac:dyDescent="0.2">
      <c r="A6" s="860"/>
      <c r="B6" s="1179" t="s">
        <v>10018</v>
      </c>
      <c r="C6" s="860"/>
      <c r="D6" s="860"/>
      <c r="E6" s="3555"/>
      <c r="F6" s="1152" t="str">
        <f>IF(L42=0,"",IF(AND(L42&gt;0,E6=""),re,""))</f>
        <v/>
      </c>
      <c r="G6" s="1152"/>
      <c r="H6" s="860"/>
      <c r="I6" s="860"/>
      <c r="N6" s="28">
        <v>5</v>
      </c>
      <c r="R6" s="28">
        <v>6</v>
      </c>
      <c r="S6" s="3548" t="str">
        <f>LEFT(G9,5)</f>
        <v/>
      </c>
      <c r="T6" s="3549">
        <f>IF(G9="",0,CONCATENATE(S6,9-MOD((SUM((MID(S6,1,1)*1),(MID(S6,2,1)*3),(MID(S6,3,1)*7),(MID(S6,4,1)*1),(MID(S6,5,1)*3))),9)))</f>
      </c>
      <c r="U6" s="3548">
        <f t="shared" si="0"/>
        <v>0</v>
      </c>
      <c r="V6" s="28">
        <f>COUNT(G9)</f>
      </c>
    </row>
    <row r="7" spans="1:22" x14ac:dyDescent="0.2">
      <c r="A7" s="860"/>
      <c r="B7" s="860"/>
      <c r="C7" s="860"/>
      <c r="D7" s="860"/>
      <c r="E7" s="1202"/>
      <c r="F7" s="860"/>
      <c r="G7" s="860"/>
      <c r="H7" s="860"/>
      <c r="I7" s="860"/>
      <c r="N7" s="28">
        <v>6</v>
      </c>
      <c r="R7" s="28">
        <v>7</v>
      </c>
      <c r="S7" s="3548" t="str">
        <f>LEFT(C10,5)</f>
        <v/>
      </c>
      <c r="T7" s="3549">
        <f>IF(C10="",0,CONCATENATE(S7,9-MOD((SUM((MID(S7,1,1)*1),(MID(S7,2,1)*3),(MID(S7,3,1)*7),(MID(S7,4,1)*1),(MID(S7,5,1)*3))),9)))</f>
      </c>
      <c r="U7" s="3548">
        <f t="shared" si="0"/>
        <v>0</v>
      </c>
      <c r="V7" s="28">
        <f>COUNT(C10)</f>
      </c>
    </row>
    <row r="8" spans="1:22" x14ac:dyDescent="0.2">
      <c r="A8" s="860"/>
      <c r="B8" s="1179" t="s">
        <v>1571</v>
      </c>
      <c r="C8" s="428"/>
      <c r="D8" s="860"/>
      <c r="E8" s="428"/>
      <c r="F8" s="860"/>
      <c r="G8" s="428"/>
      <c r="H8" s="1152" t="str">
        <f>IF(AND($E$6="",SUM(V1:V12)=0),"",IF(AND($O$1&gt;=1,C8=""),re,IF(AND($O$1&gt;=2,E8=""),re,IF(AND($O$1&gt;=3,G8=""),re,IF(AND($O$1&lt;3,SUM(V1:V3)=3),"Delete!",IF(AND($O$1&lt;2,SUM(V1:V2)=2),"Delete!",IF(AND($O$1&lt;1,V1=1),"Delete!","")))))))</f>
        <v/>
      </c>
      <c r="I8" s="860"/>
      <c r="J8" s="28">
        <f>IF(H8="",0,1)</f>
      </c>
      <c r="N8" s="28">
        <v>7</v>
      </c>
      <c r="R8" s="28">
        <v>8</v>
      </c>
      <c r="S8" s="3548" t="str">
        <f>LEFT(E10,5)</f>
        <v/>
      </c>
      <c r="T8" s="3549">
        <f>IF(E10="",0,CONCATENATE(S8,9-MOD((SUM((MID(S8,1,1)*1),(MID(S8,2,1)*3),(MID(S8,3,1)*7),(MID(S8,4,1)*1),(MID(S8,5,1)*3))),9)))</f>
      </c>
      <c r="U8" s="3548">
        <f t="shared" si="0"/>
        <v>0</v>
      </c>
      <c r="V8" s="28">
        <f>COUNT(E10)</f>
      </c>
    </row>
    <row r="9" spans="1:22" x14ac:dyDescent="0.2">
      <c r="A9" s="860"/>
      <c r="B9" s="1179"/>
      <c r="C9" s="428"/>
      <c r="D9" s="860"/>
      <c r="E9" s="428"/>
      <c r="F9" s="860"/>
      <c r="G9" s="428"/>
      <c r="H9" s="1152" t="str">
        <f>IF($E$6="","",IF(AND($O$1&gt;=4,C9=""),re,IF(AND($O$1&gt;=5,E9=""),re,IF(AND($O$1&gt;=6,G9=""),re,IF(AND($O$1&lt;4,SUM(V4:V6)&gt;0),"Delete!",IF(AND($O$1&lt;5,SUM(V4:V6)&gt;1),"Delete!",IF(AND($O$1&lt;6,SUM(V4:V6)&gt;2),"Delete!","")))))))</f>
        <v/>
      </c>
      <c r="I9" s="860"/>
      <c r="J9" s="28">
        <f>IF(H9="",0,1)</f>
      </c>
      <c r="N9" s="28">
        <v>8</v>
      </c>
      <c r="R9" s="28">
        <v>9</v>
      </c>
      <c r="S9" s="3548" t="str">
        <f>LEFT(G10,5)</f>
        <v/>
      </c>
      <c r="T9" s="3549">
        <f>IF(G10="",0,CONCATENATE(S9,9-MOD((SUM((MID(S9,1,1)*1),(MID(S9,2,1)*3),(MID(S9,3,1)*7),(MID(S9,4,1)*1),(MID(S9,5,1)*3))),9)))</f>
      </c>
      <c r="U9" s="3548">
        <f t="shared" si="0"/>
        <v>0</v>
      </c>
      <c r="V9" s="28">
        <f>COUNT(G10)</f>
      </c>
    </row>
    <row r="10" spans="1:22" x14ac:dyDescent="0.2">
      <c r="A10" s="860"/>
      <c r="B10" s="1179"/>
      <c r="C10" s="428"/>
      <c r="D10" s="860"/>
      <c r="E10" s="428"/>
      <c r="F10" s="860"/>
      <c r="G10" s="428"/>
      <c r="H10" s="1152" t="str">
        <f>IF($E$6="","",IF(AND($O$1&gt;=7,C10=""),re,IF(AND($O$1&gt;=8,E10=""),re,IF(AND($O$1&gt;=9,G10=""),re,IF(AND($O$1&lt;7,SUM(V7:V9)&gt;0),"Delete!",IF(AND($O$1&lt;8,SUM(V7:V9)&gt;1),"Delete!",IF(AND($O$1&lt;9,SUM(V7:V9)&gt;2),"Delete!","")))))))</f>
        <v/>
      </c>
      <c r="I10" s="860"/>
      <c r="J10" s="28">
        <f>IF(H10="",0,1)</f>
      </c>
      <c r="N10" s="28">
        <v>9</v>
      </c>
      <c r="R10" s="28">
        <v>10</v>
      </c>
      <c r="S10" s="3548" t="str">
        <f>LEFT(C11,5)</f>
        <v/>
      </c>
      <c r="T10" s="3549">
        <f>IF(C11="",0,CONCATENATE(S10,9-MOD((SUM((MID(S10,1,1)*1),(MID(S10,2,1)*3),(MID(S10,3,1)*7),(MID(S10,4,1)*1),(MID(S10,5,1)*3))),9)))</f>
      </c>
      <c r="U10" s="3548">
        <f t="shared" si="0"/>
        <v>0</v>
      </c>
      <c r="V10" s="28">
        <f>COUNT(C11)</f>
      </c>
    </row>
    <row r="11" spans="1:22" x14ac:dyDescent="0.2">
      <c r="A11" s="860"/>
      <c r="B11" s="1179"/>
      <c r="C11" s="428"/>
      <c r="D11" s="860"/>
      <c r="E11" s="428"/>
      <c r="F11" s="860"/>
      <c r="G11" s="428"/>
      <c r="H11" s="1152" t="str">
        <f>IF($E$6="","",IF(AND($O$1&gt;=10,C11=""),re,IF(AND($O$1&gt;=11,E11=""),re,IF(AND($O$1&gt;=12,G11=""),re,IF(AND($O$1&lt;10,SUM(V10:V12)&gt;0),"Delete!",IF(AND($O$1&lt;11,SUM(V10:V12)&gt;1),"Delete!",IF(AND($O$1&lt;12,SUM(V10:V12)&gt;2),"Delete!","")))))))</f>
        <v/>
      </c>
      <c r="I11" s="860"/>
      <c r="J11" s="28">
        <f>IF(H11="",0,1)</f>
      </c>
      <c r="N11" s="28">
        <v>10</v>
      </c>
      <c r="R11" s="28">
        <v>11</v>
      </c>
      <c r="S11" s="3548" t="str">
        <f>LEFT(E11,5)</f>
        <v/>
      </c>
      <c r="T11" s="3549">
        <f>IF(E11="",0,CONCATENATE(S11,9-MOD((SUM((MID(S11,1,1)*1),(MID(S11,2,1)*3),(MID(S11,3,1)*7),(MID(S11,4,1)*1),(MID(S11,5,1)*3))),9)))</f>
      </c>
      <c r="U11" s="3548">
        <f t="shared" si="0"/>
        <v>0</v>
      </c>
      <c r="V11" s="28">
        <f>COUNT(E11)</f>
      </c>
    </row>
    <row r="12" spans="1:22" ht="6" customHeight="1" x14ac:dyDescent="0.2">
      <c r="A12" s="860"/>
      <c r="B12" s="1179"/>
      <c r="C12" s="1179"/>
      <c r="D12" s="1179"/>
      <c r="E12" s="1179"/>
      <c r="F12" s="1179"/>
      <c r="G12" s="1179"/>
      <c r="H12" s="860"/>
      <c r="I12" s="860"/>
      <c r="N12" s="28">
        <v>11</v>
      </c>
      <c r="R12" s="28">
        <v>12</v>
      </c>
      <c r="S12" s="3548" t="str">
        <f>LEFT(G11,5)</f>
        <v/>
      </c>
      <c r="T12" s="3549">
        <f>IF(G11="",0,CONCATENATE(S12,9-MOD((SUM((MID(S12,1,1)*1),(MID(S12,2,1)*3),(MID(S12,3,1)*7),(MID(S12,4,1)*1),(MID(S12,5,1)*3))),9)))</f>
      </c>
      <c r="U12" s="3548">
        <f t="shared" si="0"/>
        <v>0</v>
      </c>
      <c r="V12" s="28">
        <f>COUNT(G11)</f>
      </c>
    </row>
    <row r="13" spans="1:22" hidden="1" x14ac:dyDescent="0.2">
      <c r="A13" s="860"/>
      <c r="B13" s="1179"/>
      <c r="C13" s="1179"/>
      <c r="D13" s="1179"/>
      <c r="E13" s="1179"/>
      <c r="F13" s="1179"/>
      <c r="G13" s="1179"/>
      <c r="H13" s="860"/>
      <c r="I13" s="860"/>
      <c r="N13" s="28">
        <v>12</v>
      </c>
      <c r="V13" s="28">
        <f>COUNT(C20)</f>
      </c>
    </row>
    <row r="14" spans="1:22" hidden="1" x14ac:dyDescent="0.2">
      <c r="A14" s="860"/>
      <c r="B14" s="1179"/>
      <c r="C14" s="1179"/>
      <c r="D14" s="1179"/>
      <c r="E14" s="1179"/>
      <c r="F14" s="1179"/>
      <c r="G14" s="1179"/>
      <c r="H14" s="860"/>
      <c r="I14" s="860"/>
      <c r="V14" s="28">
        <f>COUNT(C21)</f>
      </c>
    </row>
    <row r="15" spans="1:22" ht="7.5" hidden="1" customHeight="1" x14ac:dyDescent="0.2">
      <c r="A15" s="860"/>
      <c r="B15" s="1179"/>
      <c r="C15" s="1179"/>
      <c r="D15" s="1179"/>
      <c r="E15" s="1179"/>
      <c r="F15" s="1179"/>
      <c r="G15" s="1179"/>
      <c r="H15" s="860"/>
      <c r="I15" s="860"/>
      <c r="V15" s="28">
        <f>COUNT(C22)</f>
      </c>
    </row>
    <row r="16" spans="1:22" hidden="1" x14ac:dyDescent="0.2">
      <c r="A16" s="860"/>
      <c r="B16" s="1179"/>
      <c r="C16" s="860"/>
      <c r="D16" s="860"/>
      <c r="E16" s="1202"/>
      <c r="F16" s="860"/>
      <c r="G16" s="860"/>
      <c r="H16" s="860"/>
      <c r="I16" s="860"/>
      <c r="V16" s="28">
        <f>COUNT(C23)</f>
      </c>
    </row>
    <row r="17" spans="1:28" x14ac:dyDescent="0.2">
      <c r="A17" s="860"/>
      <c r="B17" s="1179" t="s">
        <v>6458</v>
      </c>
      <c r="C17" s="860"/>
      <c r="D17" s="860"/>
      <c r="E17" s="1202"/>
      <c r="F17" s="860"/>
      <c r="G17" s="860"/>
      <c r="H17" s="860"/>
      <c r="I17" s="860"/>
      <c r="N17" s="28">
        <v>12</v>
      </c>
    </row>
    <row r="18" spans="1:28" ht="5.25" customHeight="1" x14ac:dyDescent="0.2">
      <c r="A18" s="860"/>
      <c r="B18" s="1179"/>
      <c r="C18" s="860"/>
      <c r="D18" s="860"/>
      <c r="E18" s="1202"/>
      <c r="F18" s="860"/>
      <c r="G18" s="860"/>
      <c r="H18" s="860"/>
      <c r="I18" s="860"/>
    </row>
    <row r="19" spans="1:28" x14ac:dyDescent="0.2">
      <c r="A19" s="860"/>
      <c r="B19" s="1179" t="s">
        <v>6453</v>
      </c>
      <c r="C19" s="860"/>
      <c r="D19" s="860"/>
      <c r="E19" s="223"/>
      <c r="F19" s="1152" t="str">
        <f>IF($L$27=0,"",IF(E19="",reo,""))</f>
        <v/>
      </c>
      <c r="G19" s="1152"/>
      <c r="H19" s="860"/>
      <c r="I19" s="860"/>
      <c r="J19" s="28">
        <f>IF(F19="",0,1)</f>
      </c>
    </row>
    <row r="20" spans="1:28" x14ac:dyDescent="0.2">
      <c r="A20" s="860"/>
      <c r="B20" s="1179" t="s">
        <v>6454</v>
      </c>
      <c r="C20" s="860"/>
      <c r="D20" s="860"/>
      <c r="E20" s="223"/>
      <c r="F20" s="1152" t="str">
        <f>IF($L$27=0,"",IF(E20="",reo,""))</f>
        <v/>
      </c>
      <c r="G20" s="1152"/>
      <c r="H20" s="860"/>
      <c r="I20" s="860"/>
      <c r="J20" s="28">
        <f>IF(F20="",0,1)</f>
      </c>
    </row>
    <row r="21" spans="1:28" x14ac:dyDescent="0.2">
      <c r="A21" s="860"/>
      <c r="B21" s="1179" t="s">
        <v>6455</v>
      </c>
      <c r="C21" s="860"/>
      <c r="D21" s="860"/>
      <c r="E21" s="223"/>
      <c r="F21" s="1152" t="str">
        <f>IF($L$27=0,"",IF(E21="",reo,""))</f>
        <v/>
      </c>
      <c r="G21" s="1152"/>
      <c r="H21" s="860"/>
      <c r="I21" s="860"/>
      <c r="J21" s="28">
        <f>IF(F21="",0,1)</f>
      </c>
    </row>
    <row r="22" spans="1:28" ht="6.75" hidden="1" customHeight="1" x14ac:dyDescent="0.2">
      <c r="A22" s="860"/>
      <c r="B22" s="1179"/>
      <c r="C22" s="860"/>
      <c r="D22" s="860"/>
      <c r="E22" s="1181"/>
      <c r="F22" s="860"/>
      <c r="G22" s="860"/>
      <c r="H22" s="860"/>
      <c r="I22" s="860"/>
    </row>
    <row r="23" spans="1:28" ht="6.75" hidden="1" customHeight="1" x14ac:dyDescent="0.2">
      <c r="A23" s="860"/>
      <c r="B23" s="1179"/>
      <c r="C23" s="860"/>
      <c r="D23" s="860"/>
      <c r="E23" s="1181"/>
      <c r="F23" s="860"/>
      <c r="G23" s="860"/>
      <c r="H23" s="860"/>
      <c r="I23" s="860"/>
    </row>
    <row r="24" spans="1:28" ht="6.75" hidden="1" customHeight="1" x14ac:dyDescent="0.2">
      <c r="A24" s="860"/>
      <c r="B24" s="1179"/>
      <c r="C24" s="860"/>
      <c r="D24" s="860"/>
      <c r="E24" s="1181"/>
      <c r="F24" s="860"/>
      <c r="G24" s="860"/>
      <c r="H24" s="860"/>
      <c r="I24" s="860"/>
    </row>
    <row r="25" spans="1:28" ht="6.75" hidden="1" customHeight="1" x14ac:dyDescent="0.2">
      <c r="A25" s="860"/>
      <c r="B25" s="1179"/>
      <c r="C25" s="860"/>
      <c r="D25" s="860"/>
      <c r="E25" s="1181"/>
      <c r="F25" s="860"/>
      <c r="G25" s="860"/>
      <c r="H25" s="860"/>
      <c r="I25" s="860"/>
    </row>
    <row r="26" spans="1:28" ht="6.75" customHeight="1" x14ac:dyDescent="0.2">
      <c r="A26" s="860"/>
      <c r="B26" s="1179"/>
      <c r="C26" s="860"/>
      <c r="D26" s="860"/>
      <c r="E26" s="1181"/>
      <c r="F26" s="860"/>
      <c r="G26" s="860"/>
      <c r="H26" s="860"/>
      <c r="I26" s="860"/>
    </row>
    <row r="27" spans="1:28" x14ac:dyDescent="0.2">
      <c r="A27" s="860"/>
      <c r="B27" s="1179" t="s">
        <v>3831</v>
      </c>
      <c r="C27" s="860"/>
      <c r="D27" s="860"/>
      <c r="E27" s="799">
        <f>SUM(E19:E25)</f>
      </c>
      <c r="F27" s="1152" t="str">
        <f>IF(N$27&lt;&gt;O$27,"",IF(E27&gt;20000," Cannot exceed €20,000!",""))</f>
        <v/>
      </c>
      <c r="G27" s="1152"/>
      <c r="H27" s="860"/>
      <c r="I27" s="860"/>
      <c r="J27" s="28">
        <f>IF(F27="",0,1)</f>
      </c>
      <c r="L27" s="28">
        <f>IF(E27=0,0,1)</f>
      </c>
      <c r="N27" s="28" t="str">
        <f>cur</f>
      </c>
      <c r="O27" s="28" t="s">
        <v>4591</v>
      </c>
    </row>
    <row r="28" spans="1:28" ht="7.5" customHeight="1" x14ac:dyDescent="0.2">
      <c r="A28" s="860"/>
      <c r="B28" s="1180"/>
      <c r="C28" s="860"/>
      <c r="D28" s="860"/>
      <c r="E28" s="1406"/>
      <c r="F28" s="860"/>
      <c r="G28" s="860"/>
      <c r="H28" s="860"/>
      <c r="I28" s="860"/>
    </row>
    <row r="29" spans="1:28" x14ac:dyDescent="0.2">
      <c r="A29" s="860"/>
      <c r="B29" s="1179" t="s">
        <v>3212</v>
      </c>
      <c r="C29" s="860"/>
      <c r="D29" s="860"/>
      <c r="E29" s="223"/>
      <c r="F29" s="1082" t="str">
        <f>IF(L37=0,"",IF(AND(ya=2011,E29&lt;&gt;"")," Delete!",IF(ya=2011,"",IF(E29="",re,IF(E29&lt;E27," Cannot be less than current year expenditure!",IF(N$27&lt;&gt;O$27,"",IF(E29&gt;20000," Cannot exceed €20,000!","")))))))</f>
        <v/>
      </c>
      <c r="G29" s="1082"/>
      <c r="H29" s="860"/>
      <c r="I29" s="860"/>
      <c r="J29" s="28">
        <f>IF(F29="",0,1)</f>
      </c>
      <c r="L29" s="28">
        <f>IF(E29="",0,1)</f>
      </c>
      <c r="AB29" s="28">
        <f>IF(ya=2011,E27,999999999999999)</f>
      </c>
    </row>
    <row r="30" spans="1:28" ht="6.75" customHeight="1" x14ac:dyDescent="0.2">
      <c r="A30" s="860"/>
      <c r="B30" s="860"/>
      <c r="C30" s="860"/>
      <c r="D30" s="860"/>
      <c r="E30" s="1406"/>
      <c r="F30" s="860"/>
      <c r="G30" s="860"/>
      <c r="H30" s="860"/>
      <c r="I30" s="860"/>
    </row>
    <row r="31" spans="1:28" x14ac:dyDescent="0.2">
      <c r="A31" s="860"/>
      <c r="B31" s="1179" t="s">
        <v>4152</v>
      </c>
      <c r="C31" s="860"/>
      <c r="D31" s="860"/>
      <c r="E31" s="223"/>
      <c r="F31" s="1152" t="str">
        <f>IF(AND(ya=2011,E31&gt;0)," Delete!",IF(AND(ya&gt;2011,E29&gt;0,E31=""),re,""))</f>
        <v/>
      </c>
      <c r="G31" s="1152"/>
      <c r="H31" s="860"/>
      <c r="I31" s="860"/>
      <c r="J31" s="28">
        <f>IF(F31="",0,1)</f>
      </c>
      <c r="O31" s="32">
        <f>E29-E27</f>
      </c>
    </row>
    <row r="32" spans="1:28" ht="6.75" customHeight="1" x14ac:dyDescent="0.2">
      <c r="A32" s="860"/>
      <c r="B32" s="860"/>
      <c r="C32" s="860"/>
      <c r="D32" s="860"/>
      <c r="E32" s="1406"/>
      <c r="F32" s="860"/>
      <c r="G32" s="860"/>
      <c r="H32" s="860"/>
      <c r="I32" s="860"/>
    </row>
    <row r="33" spans="1:17" x14ac:dyDescent="0.2">
      <c r="A33" s="860"/>
      <c r="B33" s="1179" t="s">
        <v>4153</v>
      </c>
      <c r="C33" s="860"/>
      <c r="D33" s="860"/>
      <c r="E33" s="223"/>
      <c r="F33" s="1152" t="str">
        <f>IF(AND(ya=2011,E33&gt;0)," Delete!",IF(AND(E33="",N33&gt;0),re,""))</f>
        <v/>
      </c>
      <c r="G33" s="1152"/>
      <c r="H33" s="860"/>
      <c r="I33" s="860"/>
      <c r="J33" s="28">
        <f>IF(F33="",0,1)</f>
      </c>
      <c r="L33" s="28">
        <f>IF(E33="",0,1)</f>
      </c>
      <c r="N33" s="32">
        <f>O31-E31</f>
      </c>
    </row>
    <row r="34" spans="1:17" ht="6.75" customHeight="1" x14ac:dyDescent="0.2">
      <c r="A34" s="860"/>
      <c r="B34" s="1179"/>
      <c r="C34" s="860"/>
      <c r="D34" s="860"/>
      <c r="E34" s="1181"/>
      <c r="F34" s="860"/>
      <c r="G34" s="860"/>
      <c r="H34" s="860"/>
      <c r="I34" s="860"/>
    </row>
    <row r="35" spans="1:17" x14ac:dyDescent="0.2">
      <c r="A35" s="860"/>
      <c r="B35" s="1179" t="s">
        <v>4154</v>
      </c>
      <c r="C35" s="860"/>
      <c r="D35" s="3550" t="s">
        <v>3130</v>
      </c>
      <c r="E35" s="223"/>
      <c r="F35" s="1152" t="str">
        <f>IF(L37=0,"",IF(E35="",reo,""))</f>
        <v/>
      </c>
      <c r="G35" s="1152"/>
      <c r="H35" s="860"/>
      <c r="I35" s="860"/>
      <c r="J35" s="28">
        <f>IF(F35="",0,1)</f>
      </c>
      <c r="L35" s="28">
        <f>IF(E35="",0,1)</f>
      </c>
      <c r="N35" s="32">
        <f>IF(ya=2011,E27,E29-E31)</f>
      </c>
      <c r="Q35" s="28">
        <f>IF(E39=n,0,E35)</f>
      </c>
    </row>
    <row r="36" spans="1:17" ht="5.25" customHeight="1" x14ac:dyDescent="0.2">
      <c r="A36" s="860"/>
      <c r="B36" s="1179"/>
      <c r="C36" s="860"/>
      <c r="D36" s="860"/>
      <c r="E36" s="1181"/>
      <c r="F36" s="860"/>
      <c r="G36" s="860"/>
      <c r="H36" s="860"/>
      <c r="I36" s="860"/>
    </row>
    <row r="37" spans="1:17" x14ac:dyDescent="0.2">
      <c r="A37" s="860"/>
      <c r="B37" s="1179" t="s">
        <v>4155</v>
      </c>
      <c r="C37" s="860"/>
      <c r="D37" s="860"/>
      <c r="E37" s="223"/>
      <c r="F37" s="1152" t="str">
        <f>IF(AND(N37&gt;0,E37=""),re,"")</f>
        <v/>
      </c>
      <c r="G37" s="1152"/>
      <c r="H37" s="860"/>
      <c r="I37" s="860"/>
      <c r="J37" s="28">
        <f>IF(F37="",0,1)</f>
      </c>
      <c r="L37" s="28">
        <f>SUM(L27:L35)</f>
      </c>
      <c r="N37" s="32">
        <f>N35-E35</f>
      </c>
    </row>
    <row r="38" spans="1:17" x14ac:dyDescent="0.2">
      <c r="A38" s="860"/>
      <c r="B38" s="860"/>
      <c r="C38" s="860"/>
      <c r="D38" s="860"/>
      <c r="E38" s="1202"/>
      <c r="F38" s="860"/>
      <c r="G38" s="860"/>
      <c r="H38" s="860"/>
      <c r="I38" s="860"/>
    </row>
    <row r="39" spans="1:17" x14ac:dyDescent="0.2">
      <c r="A39" s="860"/>
      <c r="B39" s="860"/>
      <c r="C39" s="1182" t="s">
        <v>6457</v>
      </c>
      <c r="D39" s="860"/>
      <c r="E39" s="1407"/>
      <c r="F39" s="1152" t="str">
        <f>IF($L$37=0,"",IF(E39="",re,IF(E39=n," No deduction!","")))</f>
        <v/>
      </c>
      <c r="G39" s="1152"/>
      <c r="H39" s="860"/>
      <c r="I39" s="860"/>
      <c r="J39" s="28">
        <f>IF(F39="",0,1)</f>
      </c>
    </row>
    <row r="40" spans="1:17" x14ac:dyDescent="0.2">
      <c r="A40" s="860"/>
      <c r="B40" s="860"/>
      <c r="C40" s="860"/>
      <c r="D40" s="860"/>
      <c r="E40" s="1202"/>
      <c r="F40" s="860"/>
      <c r="G40" s="860"/>
      <c r="H40" s="860"/>
      <c r="I40" s="860"/>
    </row>
    <row r="41" spans="1:17" x14ac:dyDescent="0.2">
      <c r="A41" s="860"/>
      <c r="B41" s="860"/>
      <c r="C41" s="860"/>
      <c r="D41" s="860"/>
      <c r="E41" s="1202"/>
      <c r="F41" s="860"/>
      <c r="G41" s="860"/>
      <c r="H41" s="860"/>
      <c r="I41" s="860"/>
    </row>
    <row r="42" spans="1:17" x14ac:dyDescent="0.2">
      <c r="A42" s="860"/>
      <c r="B42" s="5052" t="s">
        <v>4456</v>
      </c>
      <c r="C42" s="5052"/>
      <c r="D42" s="860"/>
      <c r="E42" s="1407"/>
      <c r="F42" s="1152" t="str">
        <f>IF($L$2=0,"",IF(E42="",re,""))</f>
        <v/>
      </c>
      <c r="G42" s="1152"/>
      <c r="H42" s="860"/>
      <c r="I42" s="860"/>
      <c r="J42" s="28">
        <f>IF(F42="",0,1)</f>
      </c>
      <c r="L42" s="28">
        <f>COUNT(E6,E19,E20,E21,E29,E31,E35,E37)</f>
      </c>
    </row>
    <row r="43" spans="1:17" x14ac:dyDescent="0.2">
      <c r="A43" s="860"/>
      <c r="B43" s="860"/>
      <c r="C43" s="860"/>
      <c r="D43" s="860"/>
      <c r="E43" s="1202"/>
      <c r="F43" s="860"/>
      <c r="G43" s="860"/>
      <c r="H43" s="860"/>
      <c r="I43" s="860"/>
    </row>
    <row r="44" spans="1:17" x14ac:dyDescent="0.2">
      <c r="A44" s="65" t="str">
        <f>_xlfn.SINGLE(MTCA)</f>
      </c>
      <c r="B44" s="860"/>
      <c r="C44" s="65" t="str">
        <f>ver</f>
        <v>TA2_e-CO_2025_Ver 1.1</v>
      </c>
      <c r="D44" s="860"/>
      <c r="E44" s="1202"/>
      <c r="F44" s="860"/>
      <c r="G44" s="860"/>
      <c r="H44" s="860"/>
      <c r="I44" s="327" t="s">
        <v>5488</v>
      </c>
      <c r="J44" s="28">
        <f>SUM(J1:J42)</f>
      </c>
    </row>
    <row r="45" spans="1:17" x14ac:dyDescent="0.2">
      <c r="A45" s="860"/>
      <c r="B45" s="1410" t="s">
        <v>6290</v>
      </c>
      <c r="C45" s="860"/>
      <c r="D45" s="860"/>
      <c r="E45" s="1202"/>
      <c r="F45" s="860"/>
      <c r="G45" s="860"/>
      <c r="H45" s="860"/>
      <c r="I45" s="860"/>
    </row>
    <row r="46" spans="1:17" x14ac:dyDescent="0.2">
      <c r="A46" s="860"/>
      <c r="B46" s="860"/>
      <c r="C46" s="860"/>
      <c r="D46" s="860"/>
      <c r="E46" s="1202"/>
      <c r="F46" s="860"/>
      <c r="G46" s="860"/>
      <c r="H46" s="860"/>
      <c r="I46" s="860"/>
      <c r="J46" s="28">
        <f>IF(L42=0,0,IF(J44&lt;&gt;0,100,IF(E42=y,1,100)))</f>
      </c>
    </row>
    <row r="47" spans="1:17" x14ac:dyDescent="0.2">
      <c r="A47" s="860"/>
      <c r="B47" s="860"/>
      <c r="C47" s="860"/>
      <c r="D47" s="860"/>
      <c r="E47" s="1202"/>
      <c r="F47" s="860"/>
      <c r="G47" s="860"/>
      <c r="H47" s="860"/>
      <c r="I47" s="860"/>
    </row>
  </sheetData>
  <sheetProtection algorithmName="SHA-512" hashValue="2Kn2LeONDz1cnsbYX7BVLVvaGFnKEIiZKkAz45nCSg5cl/eba0+VKiRjsGQTpepQHMl2lTJKQK716+fvtcF/Xg==" saltValue="eTSTVuNJ9tEhjNj02gJAXQ==" spinCount="100000" sheet="1" objects="1" scenarios="1"/>
  <customSheetViews>
    <customSheetView guid="{99B5278F-6EA9-4B1A-8623-27A4DF4AD5E4}" scale="120" hiddenRows="1" hiddenColumns="1">
      <selection activeCell="C7" sqref="C7"/>
      <pageMargins left="0.75" right="0.75" top="1" bottom="1" header="0.5" footer="0.5"/>
      <pageSetup paperSize="9" orientation="portrait" horizontalDpi="200" verticalDpi="200" r:id="rId1"/>
      <headerFooter alignWithMargins="0"/>
    </customSheetView>
  </customSheetViews>
  <mergeCells count="2">
    <mergeCell ref="B1:H1"/>
    <mergeCell ref="B42:C42"/>
  </mergeCells>
  <phoneticPr fontId="120" type="noConversion"/>
  <conditionalFormatting sqref="B29 B31 B33">
    <cfRule type="expression" dxfId="509" priority="29" stopIfTrue="1">
      <formula>ya=2011</formula>
    </cfRule>
  </conditionalFormatting>
  <conditionalFormatting sqref="C8">
    <cfRule type="expression" dxfId="508" priority="1">
      <formula>$O$1&lt;$N$2</formula>
    </cfRule>
  </conditionalFormatting>
  <conditionalFormatting sqref="C9">
    <cfRule type="expression" dxfId="507" priority="23">
      <formula>$O$1&lt;$N5</formula>
    </cfRule>
  </conditionalFormatting>
  <conditionalFormatting sqref="C9:C11">
    <cfRule type="expression" dxfId="506" priority="6">
      <formula>$E$6=""</formula>
    </cfRule>
  </conditionalFormatting>
  <conditionalFormatting sqref="C10">
    <cfRule type="expression" dxfId="505" priority="9">
      <formula>$O$1&lt;$N8</formula>
    </cfRule>
  </conditionalFormatting>
  <conditionalFormatting sqref="C11">
    <cfRule type="expression" dxfId="504" priority="7">
      <formula>$O$1&lt;$N11</formula>
    </cfRule>
  </conditionalFormatting>
  <conditionalFormatting sqref="C33:D33">
    <cfRule type="expression" dxfId="503" priority="28" stopIfTrue="1">
      <formula>ya=2011</formula>
    </cfRule>
  </conditionalFormatting>
  <conditionalFormatting sqref="E8">
    <cfRule type="expression" dxfId="502" priority="27">
      <formula>$O$1&lt;$N$3</formula>
    </cfRule>
  </conditionalFormatting>
  <conditionalFormatting sqref="E8:E11">
    <cfRule type="expression" dxfId="501" priority="4">
      <formula>$E$6=""</formula>
    </cfRule>
  </conditionalFormatting>
  <conditionalFormatting sqref="E9">
    <cfRule type="expression" dxfId="500" priority="21">
      <formula>$O$1&lt;$N6</formula>
    </cfRule>
  </conditionalFormatting>
  <conditionalFormatting sqref="E10">
    <cfRule type="expression" dxfId="499" priority="13">
      <formula>$O$1&lt;$N9</formula>
    </cfRule>
  </conditionalFormatting>
  <conditionalFormatting sqref="E11">
    <cfRule type="expression" dxfId="498" priority="5">
      <formula>$O$1&lt;$N12</formula>
    </cfRule>
  </conditionalFormatting>
  <conditionalFormatting sqref="E29 E31 E33">
    <cfRule type="expression" dxfId="497" priority="31" stopIfTrue="1">
      <formula>ya=2011</formula>
    </cfRule>
  </conditionalFormatting>
  <conditionalFormatting sqref="E35">
    <cfRule type="expression" dxfId="496" priority="30" stopIfTrue="1">
      <formula>$E$39=n</formula>
    </cfRule>
  </conditionalFormatting>
  <conditionalFormatting sqref="G8">
    <cfRule type="expression" dxfId="495" priority="24">
      <formula>$E$6=""</formula>
    </cfRule>
    <cfRule type="expression" dxfId="494" priority="26">
      <formula>$O$1&lt;$N$4</formula>
    </cfRule>
  </conditionalFormatting>
  <conditionalFormatting sqref="G9">
    <cfRule type="expression" dxfId="493" priority="17">
      <formula>$O$1&lt;$N7</formula>
    </cfRule>
  </conditionalFormatting>
  <conditionalFormatting sqref="G9:G11">
    <cfRule type="expression" dxfId="492" priority="2">
      <formula>$E$6=""</formula>
    </cfRule>
  </conditionalFormatting>
  <conditionalFormatting sqref="G10">
    <cfRule type="expression" dxfId="491" priority="11">
      <formula>$O$1&lt;$N10</formula>
    </cfRule>
  </conditionalFormatting>
  <conditionalFormatting sqref="G11">
    <cfRule type="expression" dxfId="490" priority="3">
      <formula>$O$1&lt;$N13</formula>
    </cfRule>
  </conditionalFormatting>
  <dataValidations count="20">
    <dataValidation type="whole" allowBlank="1" showInputMessage="1" showErrorMessage="1" errorTitle="Deductions claimed" error="Cannot be more than the total qualifying expenditure incurred to date!" sqref="E31" xr:uid="{00000000-0002-0000-3700-000000000000}">
      <formula1>0</formula1>
      <formula2>O31</formula2>
    </dataValidation>
    <dataValidation type="whole" allowBlank="1" showInputMessage="1" showErrorMessage="1" errorTitle="Deduction claimed current year" error="Excessive claim!" sqref="E35" xr:uid="{00000000-0002-0000-3700-000001000000}">
      <formula1>0</formula1>
      <formula2>N35</formula2>
    </dataValidation>
    <dataValidation type="whole" allowBlank="1" showInputMessage="1" showErrorMessage="1" errorTitle="Unclaimed deductions b/fwd" error="Check amount!" sqref="E33" xr:uid="{00000000-0002-0000-3700-000002000000}">
      <formula1>0</formula1>
      <formula2>N33</formula2>
    </dataValidation>
    <dataValidation type="whole" allowBlank="1" showInputMessage="1" showErrorMessage="1" errorTitle="Unclaimed deductions c/fwd" error="Check amount!" sqref="E37" xr:uid="{00000000-0002-0000-3700-000003000000}">
      <formula1>0</formula1>
      <formula2>N37</formula2>
    </dataValidation>
    <dataValidation type="whole" allowBlank="1" showInputMessage="1" showErrorMessage="1" errorTitle="Qualifying expenditure incurred" error="Check amount entered!" sqref="E29" xr:uid="{00000000-0002-0000-3700-000004000000}">
      <formula1>0</formula1>
      <formula2>AB29</formula2>
    </dataValidation>
    <dataValidation type="whole" operator="equal" allowBlank="1" showInputMessage="1" showErrorMessage="1" errorTitle="PE Number" error="Please enter the correct PE number!" sqref="G11" xr:uid="{00000000-0002-0000-3700-000005000000}">
      <formula1>U12</formula1>
    </dataValidation>
    <dataValidation type="list" showInputMessage="1" showErrorMessage="1" sqref="E42 E39" xr:uid="{00000000-0002-0000-3700-000006000000}">
      <formula1>yn</formula1>
    </dataValidation>
    <dataValidation type="whole" operator="greaterThanOrEqual" allowBlank="1" showInputMessage="1" showErrorMessage="1" errorTitle="Qualifying Expenditure" error="Please enter a numeric positive amount!" sqref="E19:E21" xr:uid="{00000000-0002-0000-3700-000007000000}">
      <formula1>0</formula1>
    </dataValidation>
    <dataValidation type="list" allowBlank="1" showInputMessage="1" showErrorMessage="1" errorTitle="PE numbers" error="Maximum PE numbers is 12" sqref="E6" xr:uid="{00000000-0002-0000-3700-000008000000}">
      <formula1>$N$1:$N$13</formula1>
    </dataValidation>
    <dataValidation type="whole" operator="equal" allowBlank="1" showInputMessage="1" showErrorMessage="1" errorTitle="PE Number" error="Please enter the correct PE number!" sqref="C8" xr:uid="{00000000-0002-0000-3700-000009000000}">
      <formula1>U1</formula1>
    </dataValidation>
    <dataValidation type="whole" operator="equal" allowBlank="1" showInputMessage="1" showErrorMessage="1" errorTitle="PE Number" error="Please enter the correct PE number!" sqref="E8" xr:uid="{00000000-0002-0000-3700-00000A000000}">
      <formula1>U2</formula1>
    </dataValidation>
    <dataValidation type="whole" operator="equal" allowBlank="1" showInputMessage="1" showErrorMessage="1" errorTitle="PE Number" error="Please enter the correct PE number!" sqref="G8" xr:uid="{00000000-0002-0000-3700-00000B000000}">
      <formula1>U3</formula1>
    </dataValidation>
    <dataValidation type="whole" operator="equal" allowBlank="1" showInputMessage="1" showErrorMessage="1" errorTitle="PE Number" error="Please enter the correct PE number!" sqref="C9" xr:uid="{00000000-0002-0000-3700-00000C000000}">
      <formula1>U4</formula1>
    </dataValidation>
    <dataValidation type="whole" operator="equal" allowBlank="1" showInputMessage="1" showErrorMessage="1" errorTitle="PE Number" error="Please enter the correct PE number!" sqref="E9" xr:uid="{00000000-0002-0000-3700-00000D000000}">
      <formula1>U5</formula1>
    </dataValidation>
    <dataValidation type="whole" operator="equal" allowBlank="1" showInputMessage="1" showErrorMessage="1" errorTitle="PE Number" error="Please enter the correct PE number!" sqref="G9" xr:uid="{00000000-0002-0000-3700-00000E000000}">
      <formula1>U6</formula1>
    </dataValidation>
    <dataValidation type="whole" operator="equal" allowBlank="1" showInputMessage="1" showErrorMessage="1" errorTitle="PE Number" error="Please enter the correct PE number!" sqref="C10" xr:uid="{00000000-0002-0000-3700-00000F000000}">
      <formula1>U7</formula1>
    </dataValidation>
    <dataValidation type="whole" operator="equal" allowBlank="1" showInputMessage="1" showErrorMessage="1" errorTitle="PE Number" error="Please enter the correct PE number!" sqref="E10" xr:uid="{00000000-0002-0000-3700-000010000000}">
      <formula1>U8</formula1>
    </dataValidation>
    <dataValidation type="whole" operator="equal" allowBlank="1" showInputMessage="1" showErrorMessage="1" errorTitle="PE Number" error="Please enter the correct PE number!" sqref="G10" xr:uid="{00000000-0002-0000-3700-000011000000}">
      <formula1>U9</formula1>
    </dataValidation>
    <dataValidation type="whole" operator="equal" allowBlank="1" showInputMessage="1" showErrorMessage="1" errorTitle="PE Number" error="Please enter the correct PE number!" sqref="C11" xr:uid="{00000000-0002-0000-3700-000012000000}">
      <formula1>U10</formula1>
    </dataValidation>
    <dataValidation type="whole" operator="equal" allowBlank="1" showInputMessage="1" showErrorMessage="1" errorTitle="PE Number" error="Please enter the correct PE number!" sqref="E11" xr:uid="{00000000-0002-0000-3700-000013000000}">
      <formula1>U11</formula1>
    </dataValidation>
  </dataValidations>
  <hyperlinks>
    <hyperlink ref="B45" location="Index!B77" display="B A C K   T O   I N D E X" xr:uid="{00000000-0004-0000-3700-000000000000}"/>
    <hyperlink ref="D35" location="TRA60!A1" display="TRA 60" xr:uid="{00000000-0004-0000-3700-000001000000}"/>
  </hyperlinks>
  <pageMargins left="0.74803149606299213" right="0.74803149606299213" top="0.98425196850393704" bottom="0.98425196850393704" header="0.51181102362204722" footer="0.51181102362204722"/>
  <pageSetup paperSize="9" scale="110" orientation="landscape" r:id="rId2"/>
  <headerFooter alignWithMargins="0">
    <oddFooter>&amp;LName&amp;CSignature&amp;RDate</oddFooter>
  </headerFooter>
  <legacy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5"/>
  <dimension ref="A1:AB51"/>
  <sheetViews>
    <sheetView workbookViewId="0">
      <selection activeCell="E6" sqref="E6"/>
    </sheetView>
  </sheetViews>
  <sheetFormatPr defaultColWidth="0" defaultRowHeight="12.75" customHeight="1" zeroHeight="1" x14ac:dyDescent="0.2"/>
  <cols>
    <col min="1" max="1" width="9.28515625" style="28" customWidth="1"/>
    <col min="2" max="2" width="63.28515625" style="28" customWidth="1"/>
    <col min="3" max="3" width="9.28515625" style="28" customWidth="1"/>
    <col min="4" max="4" width="2.5703125" style="28" customWidth="1"/>
    <col min="5" max="5" width="9.28515625" style="1408" customWidth="1"/>
    <col min="6" max="6" width="2.5703125" style="28" customWidth="1"/>
    <col min="7" max="7" width="9.28515625" style="28" customWidth="1"/>
    <col min="8" max="8" width="17.42578125" style="28" customWidth="1"/>
    <col min="9" max="9" width="13.42578125" style="28" customWidth="1"/>
    <col min="10" max="13" width="9.28515625" style="28" hidden="1" customWidth="1"/>
    <col min="14" max="28" width="0" style="28" hidden="1" customWidth="1"/>
    <col min="29" max="16384" width="14.28515625" style="28" hidden="1"/>
  </cols>
  <sheetData>
    <row r="1" spans="1:22" x14ac:dyDescent="0.2">
      <c r="A1" s="860"/>
      <c r="B1" s="4408" t="str">
        <f>_ref1</f>
      </c>
      <c r="C1" s="4408"/>
      <c r="D1" s="4408"/>
      <c r="E1" s="4408"/>
      <c r="F1" s="4408"/>
      <c r="G1" s="4408"/>
      <c r="H1" s="4408"/>
      <c r="I1" s="1179" t="str">
        <f>_YA1</f>
      </c>
      <c r="O1" s="32">
        <f>E6</f>
      </c>
      <c r="R1" s="28">
        <v>1</v>
      </c>
      <c r="S1" s="3551" t="str">
        <f>LEFT(C8,5)</f>
        <v/>
      </c>
      <c r="T1" s="3549">
        <f>IF(C8="",0,CONCATENATE(S1,9-MOD((SUM((MID(S1,1,1)*1),(MID(S1,2,1)*3),(MID(S1,3,1)*7),(MID(S1,4,1)*1),(MID(S1,5,1)*3))),9)))</f>
      </c>
      <c r="U1" s="3548">
        <f>IFERROR(ROUND(T1,0),9999999)</f>
      </c>
      <c r="V1" s="28">
        <f>COUNT(C8)</f>
      </c>
    </row>
    <row r="2" spans="1:22" x14ac:dyDescent="0.2">
      <c r="A2" s="860"/>
      <c r="B2" s="860"/>
      <c r="C2" s="860"/>
      <c r="D2" s="860"/>
      <c r="E2" s="1202"/>
      <c r="F2" s="860"/>
      <c r="G2" s="860"/>
      <c r="H2" s="860"/>
      <c r="I2" s="860"/>
      <c r="L2" s="28">
        <f>COUNTA(C8,C18,C19,E23,E24,E25,E26,E33,E35,E39,E41,E43)</f>
      </c>
      <c r="N2" s="28">
        <v>1</v>
      </c>
      <c r="R2" s="28">
        <v>2</v>
      </c>
      <c r="S2" s="3548" t="str">
        <f>LEFT(E8,5)</f>
        <v/>
      </c>
      <c r="T2" s="3549">
        <f>IF(E8="",0,CONCATENATE(S2,9-MOD((SUM((MID(S2,1,1)*1),(MID(S2,2,1)*3),(MID(S2,3,1)*7),(MID(S2,4,1)*1),(MID(S2,5,1)*3))),9)))</f>
      </c>
      <c r="U2" s="3548">
        <f t="shared" ref="U2:U10" si="0">IFERROR(ROUND(T2,0),9999999)</f>
      </c>
      <c r="V2" s="28">
        <f>COUNT(E8)</f>
      </c>
    </row>
    <row r="3" spans="1:22" x14ac:dyDescent="0.2">
      <c r="A3" s="860"/>
      <c r="B3" s="411" t="s">
        <v>5751</v>
      </c>
      <c r="C3" s="33"/>
      <c r="D3" s="33"/>
      <c r="E3" s="810"/>
      <c r="F3" s="33"/>
      <c r="G3" s="33"/>
      <c r="H3" s="350"/>
      <c r="I3" s="860"/>
      <c r="N3" s="28">
        <v>2</v>
      </c>
      <c r="R3" s="28">
        <v>3</v>
      </c>
      <c r="S3" s="3548" t="str">
        <f>LEFT(G8,5)</f>
        <v/>
      </c>
      <c r="T3" s="3549">
        <f>IF(G8="",0,CONCATENATE(S3,9-MOD((SUM((MID(S3,1,1)*1),(MID(S3,2,1)*3),(MID(S3,3,1)*7),(MID(S3,4,1)*1),(MID(S3,5,1)*3))),9)))</f>
      </c>
      <c r="U3" s="3548">
        <f t="shared" si="0"/>
        <v>0</v>
      </c>
      <c r="V3" s="28">
        <f>COUNT(G8)</f>
      </c>
    </row>
    <row r="4" spans="1:22" x14ac:dyDescent="0.2">
      <c r="A4" s="860"/>
      <c r="B4" s="860"/>
      <c r="C4" s="860"/>
      <c r="D4" s="860"/>
      <c r="E4" s="1202"/>
      <c r="F4" s="860"/>
      <c r="G4" s="860"/>
      <c r="H4" s="860"/>
      <c r="I4" s="860"/>
      <c r="N4" s="28">
        <v>3</v>
      </c>
      <c r="R4" s="28">
        <v>4</v>
      </c>
      <c r="S4" s="3548" t="str">
        <f>LEFT(C9,5)</f>
        <v/>
      </c>
      <c r="T4" s="3549">
        <f>IF(C9="",0,CONCATENATE(S4,9-MOD((SUM((MID(S4,1,1)*1),(MID(S4,2,1)*3),(MID(S4,3,1)*7),(MID(S4,4,1)*1),(MID(S4,5,1)*3))),9)))</f>
      </c>
      <c r="U4" s="3548">
        <f t="shared" si="0"/>
        <v>0</v>
      </c>
      <c r="V4" s="28">
        <f>COUNT(C9)</f>
      </c>
    </row>
    <row r="5" spans="1:22" x14ac:dyDescent="0.2">
      <c r="A5" s="860"/>
      <c r="B5" s="1405" t="str">
        <f>IF(N$31&lt;&gt;O$31,"Ensure that the total deductions claimed do not exceed €20,000 or equivalent!","")</f>
        <v/>
      </c>
      <c r="C5" s="860"/>
      <c r="D5" s="860"/>
      <c r="E5" s="1202"/>
      <c r="F5" s="860"/>
      <c r="G5" s="860"/>
      <c r="H5" s="860"/>
      <c r="I5" s="860"/>
      <c r="N5" s="28">
        <v>4</v>
      </c>
      <c r="R5" s="28">
        <v>5</v>
      </c>
      <c r="S5" s="3548" t="str">
        <f>LEFT(E9,5)</f>
        <v/>
      </c>
      <c r="T5" s="3549">
        <f>IF(E9="",0,CONCATENATE(S5,9-MOD((SUM((MID(S5,1,1)*1),(MID(S5,2,1)*3),(MID(S5,3,1)*7),(MID(S5,4,1)*1),(MID(S5,5,1)*3))),9)))</f>
      </c>
      <c r="U5" s="3548">
        <f t="shared" si="0"/>
        <v>0</v>
      </c>
      <c r="V5" s="28">
        <f>COUNT(E9)</f>
      </c>
    </row>
    <row r="6" spans="1:22" x14ac:dyDescent="0.2">
      <c r="A6" s="860"/>
      <c r="B6" s="1179" t="s">
        <v>10018</v>
      </c>
      <c r="C6" s="860"/>
      <c r="D6" s="860"/>
      <c r="E6" s="1407"/>
      <c r="F6" s="1152" t="str">
        <f>IF(L46=0,"",IF(AND(L46&gt;0,E6=""),re,""))</f>
        <v/>
      </c>
      <c r="G6" s="860"/>
      <c r="H6" s="860"/>
      <c r="I6" s="860"/>
      <c r="N6" s="28">
        <v>5</v>
      </c>
      <c r="R6" s="28">
        <v>6</v>
      </c>
      <c r="S6" s="3548" t="str">
        <f>LEFT(G9,5)</f>
        <v/>
      </c>
      <c r="T6" s="3549">
        <f>IF(G9="",0,CONCATENATE(S6,9-MOD((SUM((MID(S6,1,1)*1),(MID(S6,2,1)*3),(MID(S6,3,1)*7),(MID(S6,4,1)*1),(MID(S6,5,1)*3))),9)))</f>
      </c>
      <c r="U6" s="3548">
        <f t="shared" si="0"/>
        <v>0</v>
      </c>
      <c r="V6" s="28">
        <f>COUNT(G9)</f>
      </c>
    </row>
    <row r="7" spans="1:22" x14ac:dyDescent="0.2">
      <c r="A7" s="860"/>
      <c r="B7" s="860"/>
      <c r="C7" s="860"/>
      <c r="D7" s="860"/>
      <c r="E7" s="1202"/>
      <c r="F7" s="860"/>
      <c r="G7" s="860"/>
      <c r="H7" s="860"/>
      <c r="I7" s="860"/>
      <c r="N7" s="28">
        <v>6</v>
      </c>
      <c r="R7" s="28">
        <v>7</v>
      </c>
      <c r="S7" s="3548" t="str">
        <f>LEFT(C10,5)</f>
        <v/>
      </c>
      <c r="T7" s="3549">
        <f>IF(C10="",0,CONCATENATE(S7,9-MOD((SUM((MID(S7,1,1)*1),(MID(S7,2,1)*3),(MID(S7,3,1)*7),(MID(S7,4,1)*1),(MID(S7,5,1)*3))),9)))</f>
      </c>
      <c r="U7" s="3548">
        <f t="shared" si="0"/>
        <v>0</v>
      </c>
      <c r="V7" s="28">
        <f>COUNT(C10)</f>
      </c>
    </row>
    <row r="8" spans="1:22" x14ac:dyDescent="0.2">
      <c r="A8" s="860"/>
      <c r="B8" s="1179" t="s">
        <v>1571</v>
      </c>
      <c r="C8" s="428"/>
      <c r="D8" s="1152"/>
      <c r="E8" s="428"/>
      <c r="F8" s="860"/>
      <c r="G8" s="428"/>
      <c r="H8" s="1152" t="str">
        <f>IF(AND($E$6="",SUM(V1:V12)=0),"",IF(AND($O$1&gt;=1,C8=""),re,IF(AND($O$1&gt;=2,E8=""),re,IF(AND($O$1&gt;=3,G8=""),re,IF(AND($O$1&lt;3,SUM(V1:V3)=3),"Delete!",IF(AND($O$1&lt;2,SUM(V1:V2)=2),"Delete!",IF(AND($O$1&lt;1,V1=1),"Delete!","")))))))</f>
        <v/>
      </c>
      <c r="I8" s="860"/>
      <c r="J8" s="28">
        <f>IF(H8="",0,1)</f>
      </c>
      <c r="N8" s="28">
        <v>7</v>
      </c>
      <c r="R8" s="28">
        <v>8</v>
      </c>
      <c r="S8" s="3548" t="str">
        <f>LEFT(E10,5)</f>
        <v/>
      </c>
      <c r="T8" s="3549">
        <f>IF(E10="",0,CONCATENATE(S8,9-MOD((SUM((MID(S8,1,1)*1),(MID(S8,2,1)*3),(MID(S8,3,1)*7),(MID(S8,4,1)*1),(MID(S8,5,1)*3))),9)))</f>
      </c>
      <c r="U8" s="3548">
        <f t="shared" si="0"/>
        <v>0</v>
      </c>
      <c r="V8" s="28">
        <f>COUNT(E10)</f>
      </c>
    </row>
    <row r="9" spans="1:22" x14ac:dyDescent="0.2">
      <c r="A9" s="860"/>
      <c r="B9" s="1179"/>
      <c r="C9" s="428"/>
      <c r="D9" s="1152"/>
      <c r="E9" s="428"/>
      <c r="F9" s="860"/>
      <c r="G9" s="428"/>
      <c r="H9" s="1152" t="str">
        <f>IF($E$6="","",IF(AND($O$1&gt;=4,C9=""),re,IF(AND($O$1&gt;=5,E9=""),re,IF(AND($O$1&gt;=6,G9=""),re,IF(AND($O$1&lt;4,SUM(V4:V6)&gt;0),"Delete!",IF(AND($O$1&lt;5,SUM(V4:V6)&gt;1),"Delete!",IF(AND($O$1&lt;6,SUM(V4:V6)&gt;2),"Delete!","")))))))</f>
        <v/>
      </c>
      <c r="I9" s="860"/>
      <c r="J9" s="28">
        <f>IF(H9="",0,1)</f>
      </c>
      <c r="N9" s="28">
        <v>8</v>
      </c>
      <c r="R9" s="28">
        <v>9</v>
      </c>
      <c r="S9" s="3548" t="str">
        <f>LEFT(G10,5)</f>
        <v/>
      </c>
      <c r="T9" s="3549">
        <f>IF(G10="",0,CONCATENATE(S9,9-MOD((SUM((MID(S9,1,1)*1),(MID(S9,2,1)*3),(MID(S9,3,1)*7),(MID(S9,4,1)*1),(MID(S9,5,1)*3))),9)))</f>
      </c>
      <c r="U9" s="3548">
        <f t="shared" si="0"/>
        <v>0</v>
      </c>
      <c r="V9" s="28">
        <f>COUNT(G10)</f>
      </c>
    </row>
    <row r="10" spans="1:22" x14ac:dyDescent="0.2">
      <c r="A10" s="860"/>
      <c r="B10" s="1179"/>
      <c r="C10" s="428"/>
      <c r="D10" s="1152"/>
      <c r="E10" s="3553"/>
      <c r="F10" s="860"/>
      <c r="G10" s="3553"/>
      <c r="H10" s="1152" t="str">
        <f>IF($E$6="","",IF(AND($O$1&gt;=7,C10=""),re,IF(AND($O$1&gt;=8,E10=""),re,IF(AND($O$1&gt;=9,G10=""),re,IF(AND($O$1&lt;7,SUM(V7:V9)&gt;0),"Delete!",IF(AND($O$1&lt;8,SUM(V7:V9)&gt;1),"Delete!",IF(AND($O$1&lt;9,SUM(V7:V9)&gt;2),"Delete!","")))))))</f>
        <v/>
      </c>
      <c r="I10" s="860"/>
      <c r="J10" s="28">
        <f>IF(H10="",0,1)</f>
      </c>
      <c r="N10" s="28">
        <v>9</v>
      </c>
      <c r="R10" s="28">
        <v>10</v>
      </c>
      <c r="S10" s="3548" t="str">
        <f>LEFT(C11,5)</f>
        <v/>
      </c>
      <c r="T10" s="3549">
        <f>IF(C11="",0,CONCATENATE(S10,9-MOD((SUM((MID(S10,1,1)*1),(MID(S10,2,1)*3),(MID(S10,3,1)*7),(MID(S10,4,1)*1),(MID(S10,5,1)*3))),9)))</f>
      </c>
      <c r="U10" s="3548">
        <f t="shared" si="0"/>
        <v>0</v>
      </c>
      <c r="V10" s="28">
        <f>COUNT(C11)</f>
      </c>
    </row>
    <row r="11" spans="1:22" x14ac:dyDescent="0.2">
      <c r="A11" s="860"/>
      <c r="B11" s="1179"/>
      <c r="C11" s="428"/>
      <c r="D11" s="1152"/>
      <c r="E11" s="3554"/>
      <c r="F11" s="1202"/>
      <c r="G11" s="3554"/>
      <c r="H11" s="1152" t="str">
        <f>IF($E$6="","",IF(AND($O$1&gt;=10,C11=""),re,IF(AND($O$1&gt;=11,E11=""),re,IF(AND($O$1&gt;=12,G11=""),re,IF(AND($O$1&lt;10,SUM(V10:V12)&gt;0),"Delete!",IF(AND($O$1&lt;11,SUM(V10:V12)&gt;1),"Delete!",IF(AND($O$1&lt;12,SUM(V10:V12)&gt;2),"Delete!","")))))))</f>
        <v/>
      </c>
      <c r="I11" s="860"/>
      <c r="J11" s="28">
        <f>IF(H11="",0,1)</f>
      </c>
      <c r="N11" s="28">
        <v>10</v>
      </c>
      <c r="R11" s="28">
        <v>11</v>
      </c>
      <c r="S11" s="3552" t="str">
        <f>LEFT(E11,5)</f>
        <v/>
      </c>
      <c r="T11" s="3549">
        <f>IF(E11="",0,CONCATENATE(S11,9-MOD((SUM((MID(S11,1,1)*1),(MID(S11,2,1)*3),(MID(S11,3,1)*7),(MID(S11,4,1)*1),(MID(S11,5,1)*3))),9)))</f>
      </c>
      <c r="U11" s="3548">
        <f>IFERROR(ROUND(T11,0),9999999)</f>
      </c>
      <c r="V11" s="28">
        <f>COUNT(E11)</f>
      </c>
    </row>
    <row r="12" spans="1:22" hidden="1" x14ac:dyDescent="0.2">
      <c r="A12" s="860"/>
      <c r="B12" s="1179"/>
      <c r="C12" s="1179"/>
      <c r="D12" s="1152"/>
      <c r="E12" s="1202"/>
      <c r="F12" s="1202"/>
      <c r="G12" s="1202"/>
      <c r="H12" s="860"/>
      <c r="I12" s="860"/>
      <c r="N12" s="28">
        <v>11</v>
      </c>
      <c r="R12" s="28">
        <v>12</v>
      </c>
      <c r="S12" s="3552" t="str">
        <f>LEFT(G11,5)</f>
        <v/>
      </c>
      <c r="T12" s="3549">
        <f>IF(G11="",0,CONCATENATE(S12,9-MOD((SUM((MID(S12,1,1)*1),(MID(S12,2,1)*3),(MID(S12,3,1)*7),(MID(S12,4,1)*1),(MID(S12,5,1)*3))),9)))</f>
      </c>
      <c r="U12" s="3548">
        <f>IFERROR(ROUND(T12,0),9999999)</f>
      </c>
      <c r="V12" s="28">
        <f>COUNT(G11)</f>
      </c>
    </row>
    <row r="13" spans="1:22" hidden="1" x14ac:dyDescent="0.2">
      <c r="A13" s="860"/>
      <c r="B13" s="1179"/>
      <c r="C13" s="1179"/>
      <c r="D13" s="1152"/>
      <c r="E13" s="1202"/>
      <c r="F13" s="860"/>
      <c r="G13" s="860"/>
      <c r="H13" s="860"/>
      <c r="I13" s="860"/>
      <c r="N13" s="28">
        <v>12</v>
      </c>
      <c r="S13" s="1736"/>
    </row>
    <row r="14" spans="1:22" hidden="1" x14ac:dyDescent="0.2">
      <c r="A14" s="860"/>
      <c r="B14" s="1179"/>
      <c r="C14" s="1179"/>
      <c r="D14" s="1152"/>
      <c r="E14" s="1202"/>
      <c r="F14" s="860"/>
      <c r="G14" s="860"/>
      <c r="H14" s="860"/>
      <c r="I14" s="860"/>
    </row>
    <row r="15" spans="1:22" hidden="1" x14ac:dyDescent="0.2">
      <c r="A15" s="860"/>
      <c r="B15" s="1179"/>
      <c r="C15" s="1179"/>
      <c r="D15" s="1152"/>
      <c r="E15" s="1202"/>
      <c r="F15" s="860"/>
      <c r="G15" s="860"/>
      <c r="H15" s="860"/>
      <c r="I15" s="860"/>
    </row>
    <row r="16" spans="1:22" hidden="1" x14ac:dyDescent="0.2">
      <c r="A16" s="860"/>
      <c r="B16" s="1179"/>
      <c r="C16" s="1179"/>
      <c r="D16" s="1152"/>
      <c r="E16" s="1202"/>
      <c r="F16" s="860"/>
      <c r="G16" s="860"/>
      <c r="H16" s="860"/>
      <c r="I16" s="860"/>
    </row>
    <row r="17" spans="1:15" x14ac:dyDescent="0.2">
      <c r="A17" s="860"/>
      <c r="B17" s="1179"/>
      <c r="C17" s="1179"/>
      <c r="D17" s="1152"/>
      <c r="E17" s="1202"/>
      <c r="F17" s="860"/>
      <c r="G17" s="860"/>
      <c r="H17" s="860"/>
      <c r="I17" s="860"/>
    </row>
    <row r="18" spans="1:15" x14ac:dyDescent="0.2">
      <c r="A18" s="860"/>
      <c r="B18" s="1179" t="s">
        <v>5269</v>
      </c>
      <c r="C18" s="428"/>
      <c r="D18" s="1152" t="str">
        <f>IF(L46=0,"",IF(C18="",re,""))</f>
        <v/>
      </c>
      <c r="E18" s="1202"/>
      <c r="F18" s="860"/>
      <c r="G18" s="860"/>
      <c r="H18" s="860"/>
      <c r="I18" s="860"/>
      <c r="J18" s="28">
        <f>IF(D18="",0,1)</f>
      </c>
    </row>
    <row r="19" spans="1:15" x14ac:dyDescent="0.2">
      <c r="A19" s="860"/>
      <c r="B19" s="1179" t="s">
        <v>1817</v>
      </c>
      <c r="C19" s="364"/>
      <c r="D19" s="1152" t="str">
        <f>IF(L46=0,"",IF(C19="",re,""))</f>
        <v/>
      </c>
      <c r="E19" s="1202"/>
      <c r="F19" s="860"/>
      <c r="G19" s="860"/>
      <c r="H19" s="860"/>
      <c r="I19" s="860"/>
      <c r="J19" s="28">
        <f>IF(D19="",0,1)</f>
      </c>
      <c r="N19" s="74">
        <v>40179</v>
      </c>
      <c r="O19" s="74">
        <f>DATE(ya-1,12,31)</f>
      </c>
    </row>
    <row r="20" spans="1:15" x14ac:dyDescent="0.2">
      <c r="A20" s="860"/>
      <c r="B20" s="1179"/>
      <c r="C20" s="860"/>
      <c r="D20" s="860"/>
      <c r="E20" s="1202"/>
      <c r="F20" s="860"/>
      <c r="G20" s="860"/>
      <c r="H20" s="860"/>
      <c r="I20" s="860"/>
    </row>
    <row r="21" spans="1:15" x14ac:dyDescent="0.2">
      <c r="A21" s="860"/>
      <c r="B21" s="1179" t="s">
        <v>6458</v>
      </c>
      <c r="C21" s="860"/>
      <c r="D21" s="860"/>
      <c r="E21" s="1202"/>
      <c r="F21" s="860"/>
      <c r="G21" s="860"/>
      <c r="H21" s="860"/>
      <c r="I21" s="860"/>
    </row>
    <row r="22" spans="1:15" ht="5.25" customHeight="1" x14ac:dyDescent="0.2">
      <c r="A22" s="860"/>
      <c r="B22" s="1179"/>
      <c r="C22" s="860"/>
      <c r="D22" s="860"/>
      <c r="E22" s="1202"/>
      <c r="F22" s="860"/>
      <c r="G22" s="860"/>
      <c r="H22" s="860"/>
      <c r="I22" s="860"/>
    </row>
    <row r="23" spans="1:15" x14ac:dyDescent="0.2">
      <c r="A23" s="860"/>
      <c r="B23" s="1179" t="s">
        <v>2619</v>
      </c>
      <c r="C23" s="860"/>
      <c r="D23" s="860"/>
      <c r="E23" s="223"/>
      <c r="F23" s="1152" t="str">
        <f>IF($L$46=0,"",IF(E23="",reo,""))</f>
        <v/>
      </c>
      <c r="G23" s="1152"/>
      <c r="H23" s="860"/>
      <c r="I23" s="860"/>
      <c r="J23" s="28">
        <f t="shared" ref="J23:J29" si="1">IF(F23="",0,1)</f>
      </c>
    </row>
    <row r="24" spans="1:15" x14ac:dyDescent="0.2">
      <c r="A24" s="860"/>
      <c r="B24" s="1179" t="s">
        <v>2617</v>
      </c>
      <c r="C24" s="860"/>
      <c r="D24" s="860"/>
      <c r="E24" s="223"/>
      <c r="F24" s="1152" t="str">
        <f>IF($L$46=0,"",IF(E24="",reo,""))</f>
        <v/>
      </c>
      <c r="G24" s="1152"/>
      <c r="H24" s="860"/>
      <c r="I24" s="860"/>
      <c r="J24" s="28">
        <f t="shared" si="1"/>
        <v>0</v>
      </c>
    </row>
    <row r="25" spans="1:15" x14ac:dyDescent="0.2">
      <c r="A25" s="860"/>
      <c r="B25" s="1179" t="s">
        <v>2618</v>
      </c>
      <c r="C25" s="860"/>
      <c r="D25" s="860"/>
      <c r="E25" s="223"/>
      <c r="F25" s="1152" t="str">
        <f>IF($L$46=0,"",IF(E25="",reo,""))</f>
        <v/>
      </c>
      <c r="G25" s="1152"/>
      <c r="H25" s="860"/>
      <c r="I25" s="860"/>
      <c r="J25" s="28">
        <f t="shared" si="1"/>
        <v>0</v>
      </c>
    </row>
    <row r="26" spans="1:15" x14ac:dyDescent="0.2">
      <c r="A26" s="860"/>
      <c r="B26" s="1179" t="s">
        <v>2620</v>
      </c>
      <c r="C26" s="860"/>
      <c r="D26" s="860"/>
      <c r="E26" s="223"/>
      <c r="F26" s="1152" t="str">
        <f>IF($L$46=0,"",IF(E26="",reo,""))</f>
        <v/>
      </c>
      <c r="G26" s="1152"/>
      <c r="H26" s="860"/>
      <c r="I26" s="860"/>
      <c r="J26" s="28">
        <f t="shared" si="1"/>
        <v>0</v>
      </c>
    </row>
    <row r="27" spans="1:15" ht="6.75" hidden="1" customHeight="1" x14ac:dyDescent="0.2">
      <c r="A27" s="860"/>
      <c r="B27" s="1179"/>
      <c r="C27" s="860"/>
      <c r="D27" s="860"/>
      <c r="E27" s="1181"/>
      <c r="F27" s="860"/>
      <c r="G27" s="860"/>
      <c r="H27" s="860"/>
      <c r="I27" s="860"/>
      <c r="J27" s="28">
        <f t="shared" si="1"/>
        <v>0</v>
      </c>
    </row>
    <row r="28" spans="1:15" ht="6.75" hidden="1" customHeight="1" x14ac:dyDescent="0.2">
      <c r="A28" s="860"/>
      <c r="B28" s="1179"/>
      <c r="C28" s="860"/>
      <c r="D28" s="860"/>
      <c r="E28" s="1181"/>
      <c r="F28" s="860"/>
      <c r="G28" s="860"/>
      <c r="H28" s="860"/>
      <c r="I28" s="860"/>
      <c r="J28" s="28">
        <f t="shared" si="1"/>
        <v>0</v>
      </c>
    </row>
    <row r="29" spans="1:15" ht="6.75" hidden="1" customHeight="1" x14ac:dyDescent="0.2">
      <c r="A29" s="860"/>
      <c r="B29" s="1179"/>
      <c r="C29" s="860"/>
      <c r="D29" s="860"/>
      <c r="E29" s="1181"/>
      <c r="F29" s="860"/>
      <c r="G29" s="860"/>
      <c r="H29" s="860"/>
      <c r="I29" s="860"/>
      <c r="J29" s="28">
        <f t="shared" si="1"/>
        <v>0</v>
      </c>
    </row>
    <row r="30" spans="1:15" ht="6.75" customHeight="1" x14ac:dyDescent="0.2">
      <c r="A30" s="860"/>
      <c r="B30" s="1179"/>
      <c r="C30" s="860"/>
      <c r="D30" s="860"/>
      <c r="E30" s="1181"/>
      <c r="F30" s="860"/>
      <c r="G30" s="860"/>
      <c r="H30" s="860"/>
      <c r="I30" s="860"/>
    </row>
    <row r="31" spans="1:15" x14ac:dyDescent="0.2">
      <c r="A31" s="860"/>
      <c r="B31" s="1179" t="s">
        <v>3831</v>
      </c>
      <c r="C31" s="860"/>
      <c r="D31" s="860"/>
      <c r="E31" s="799">
        <f>SUM(E23:E29)</f>
      </c>
      <c r="F31" s="1152" t="str">
        <f>IF(N$31&lt;&gt;O$31,"",IF(E31&gt;20000," Cannot exceed €20,000!",""))</f>
        <v/>
      </c>
      <c r="G31" s="1152"/>
      <c r="H31" s="860"/>
      <c r="I31" s="860"/>
      <c r="J31" s="28">
        <f>IF(F31="",0,1)</f>
      </c>
      <c r="L31" s="28">
        <f>IF(E31=0,0,1)</f>
      </c>
      <c r="N31" s="28" t="str">
        <f>cur</f>
      </c>
      <c r="O31" s="28" t="s">
        <v>4591</v>
      </c>
    </row>
    <row r="32" spans="1:15" ht="7.5" customHeight="1" x14ac:dyDescent="0.2">
      <c r="A32" s="860"/>
      <c r="B32" s="1180"/>
      <c r="C32" s="860"/>
      <c r="D32" s="860"/>
      <c r="E32" s="1406"/>
      <c r="F32" s="860"/>
      <c r="G32" s="860"/>
      <c r="H32" s="860"/>
      <c r="I32" s="860"/>
    </row>
    <row r="33" spans="1:28" x14ac:dyDescent="0.2">
      <c r="A33" s="860"/>
      <c r="B33" s="1179" t="s">
        <v>3212</v>
      </c>
      <c r="C33" s="860"/>
      <c r="D33" s="860"/>
      <c r="E33" s="223"/>
      <c r="F33" s="1082" t="str">
        <f>IF(L41=0,"",IF(AND(ya=2011,E33&lt;&gt;"")," Delete!",IF(ya=2011,"",IF(E33="",re,IF(E33&lt;E31," Cannot be less than current year expenditure!",IF(N$31&lt;&gt;O$31,"",IF(E33&gt;20000," Cannot exceed €20,000!","")))))))</f>
        <v/>
      </c>
      <c r="G33" s="1082"/>
      <c r="H33" s="860"/>
      <c r="I33" s="860"/>
      <c r="J33" s="28">
        <f>IF(F33="",0,1)</f>
      </c>
      <c r="L33" s="28">
        <f>IF(E33="",0,1)</f>
      </c>
      <c r="AB33" s="28">
        <f>IF(ya=2011,E31,999999999999999)</f>
      </c>
    </row>
    <row r="34" spans="1:28" ht="6.75" customHeight="1" x14ac:dyDescent="0.2">
      <c r="A34" s="860"/>
      <c r="B34" s="860"/>
      <c r="C34" s="860"/>
      <c r="D34" s="860"/>
      <c r="E34" s="1406"/>
      <c r="F34" s="860"/>
      <c r="G34" s="860"/>
      <c r="H34" s="860"/>
      <c r="I34" s="860"/>
    </row>
    <row r="35" spans="1:28" x14ac:dyDescent="0.2">
      <c r="A35" s="860"/>
      <c r="B35" s="1179" t="s">
        <v>5152</v>
      </c>
      <c r="C35" s="860"/>
      <c r="D35" s="860"/>
      <c r="E35" s="223"/>
      <c r="F35" s="1152" t="str">
        <f>IF(AND(ya=2011,E35&gt;0)," Delete!",IF(AND(ya&gt;2011,E33&gt;0,E35=""),re,IF(E35&gt;E33-E31,"Excessive!","")))</f>
        <v/>
      </c>
      <c r="G35" s="1152"/>
      <c r="H35" s="860"/>
      <c r="I35" s="860"/>
      <c r="J35" s="28">
        <f>IF(F35="",0,1)</f>
      </c>
    </row>
    <row r="36" spans="1:28" ht="6.75" customHeight="1" x14ac:dyDescent="0.2">
      <c r="A36" s="860"/>
      <c r="B36" s="860"/>
      <c r="C36" s="860"/>
      <c r="D36" s="860"/>
      <c r="E36" s="1406"/>
      <c r="F36" s="860"/>
      <c r="G36" s="860"/>
      <c r="H36" s="860"/>
      <c r="I36" s="860"/>
    </row>
    <row r="37" spans="1:28" x14ac:dyDescent="0.2">
      <c r="A37" s="860"/>
      <c r="B37" s="1179" t="s">
        <v>5153</v>
      </c>
      <c r="C37" s="860"/>
      <c r="D37" s="860"/>
      <c r="E37" s="799">
        <f>IF(E35="",0,IF((E33-E31)-E35&lt;0,0,(E33-E31)-E35))</f>
      </c>
      <c r="F37" s="1152"/>
      <c r="G37" s="1152"/>
      <c r="H37" s="860"/>
      <c r="I37" s="860"/>
      <c r="J37" s="28">
        <f>IF(F37="",0,1)</f>
      </c>
    </row>
    <row r="38" spans="1:28" ht="6.75" customHeight="1" x14ac:dyDescent="0.2">
      <c r="A38" s="860"/>
      <c r="B38" s="1179"/>
      <c r="C38" s="860"/>
      <c r="D38" s="860"/>
      <c r="E38" s="1181"/>
      <c r="F38" s="860"/>
      <c r="G38" s="860"/>
      <c r="H38" s="860"/>
      <c r="I38" s="860"/>
    </row>
    <row r="39" spans="1:28" x14ac:dyDescent="0.2">
      <c r="A39" s="860"/>
      <c r="B39" s="1179" t="s">
        <v>6456</v>
      </c>
      <c r="C39" s="860"/>
      <c r="D39" s="3550" t="s">
        <v>3130</v>
      </c>
      <c r="E39" s="223"/>
      <c r="F39" s="1152" t="str">
        <f>IF(L41=0,"",IF(E39="",reo,""))</f>
        <v/>
      </c>
      <c r="G39" s="1152"/>
      <c r="H39" s="860"/>
      <c r="I39" s="860"/>
      <c r="J39" s="28">
        <f>IF(F39="",0,1)</f>
      </c>
      <c r="L39" s="28">
        <f>IF(E39="",0,1)</f>
      </c>
      <c r="N39" s="32">
        <f>IF(ya=2011,E31,E33-E35)</f>
      </c>
      <c r="Q39" s="28">
        <f>IF(E43=n,0,E39)</f>
      </c>
    </row>
    <row r="40" spans="1:28" ht="5.25" customHeight="1" x14ac:dyDescent="0.2">
      <c r="A40" s="860"/>
      <c r="B40" s="1179"/>
      <c r="C40" s="860"/>
      <c r="D40" s="860"/>
      <c r="E40" s="1181"/>
      <c r="F40" s="860"/>
      <c r="G40" s="860"/>
      <c r="H40" s="860"/>
      <c r="I40" s="860"/>
    </row>
    <row r="41" spans="1:28" x14ac:dyDescent="0.2">
      <c r="A41" s="860"/>
      <c r="B41" s="1179" t="s">
        <v>5154</v>
      </c>
      <c r="C41" s="860"/>
      <c r="D41" s="860"/>
      <c r="E41" s="223"/>
      <c r="F41" s="1152" t="str">
        <f>IF(AND(N41&gt;0,E41=""),re,"")</f>
        <v/>
      </c>
      <c r="G41" s="1152"/>
      <c r="H41" s="860"/>
      <c r="I41" s="860"/>
      <c r="J41" s="28">
        <f>IF(F41="",0,1)</f>
      </c>
      <c r="L41" s="28">
        <f>SUM(L31:L39)</f>
      </c>
      <c r="N41" s="32">
        <f>N39-E39</f>
      </c>
    </row>
    <row r="42" spans="1:28" x14ac:dyDescent="0.2">
      <c r="A42" s="860"/>
      <c r="B42" s="860"/>
      <c r="C42" s="860"/>
      <c r="D42" s="860"/>
      <c r="E42" s="1202"/>
      <c r="F42" s="860"/>
      <c r="G42" s="860"/>
      <c r="H42" s="860"/>
      <c r="I42" s="860"/>
    </row>
    <row r="43" spans="1:28" x14ac:dyDescent="0.2">
      <c r="A43" s="860"/>
      <c r="B43" s="860"/>
      <c r="C43" s="1182" t="s">
        <v>6457</v>
      </c>
      <c r="D43" s="860"/>
      <c r="E43" s="1407"/>
      <c r="F43" s="1152" t="str">
        <f>IF($L$41=0,"",IF(E43="",re,IF(E43=n," No deduction!","")))</f>
        <v/>
      </c>
      <c r="G43" s="1152"/>
      <c r="H43" s="860"/>
      <c r="I43" s="860"/>
      <c r="J43" s="28">
        <f>IF(F43="",0,1)</f>
      </c>
    </row>
    <row r="44" spans="1:28" x14ac:dyDescent="0.2">
      <c r="A44" s="860"/>
      <c r="B44" s="860"/>
      <c r="C44" s="860"/>
      <c r="D44" s="860"/>
      <c r="E44" s="1202"/>
      <c r="F44" s="860"/>
      <c r="G44" s="860"/>
      <c r="H44" s="860"/>
      <c r="I44" s="860"/>
    </row>
    <row r="45" spans="1:28" x14ac:dyDescent="0.2">
      <c r="A45" s="860"/>
      <c r="B45" s="860"/>
      <c r="C45" s="860"/>
      <c r="D45" s="860"/>
      <c r="E45" s="1202"/>
      <c r="F45" s="860"/>
      <c r="G45" s="860"/>
      <c r="H45" s="860"/>
      <c r="I45" s="860"/>
    </row>
    <row r="46" spans="1:28" x14ac:dyDescent="0.2">
      <c r="A46" s="860"/>
      <c r="B46" s="5052" t="s">
        <v>4456</v>
      </c>
      <c r="C46" s="5052"/>
      <c r="D46" s="860"/>
      <c r="E46" s="1407"/>
      <c r="F46" s="1152" t="str">
        <f>IF($L$2=0,"",IF(E46="",re,""))</f>
        <v/>
      </c>
      <c r="G46" s="1152"/>
      <c r="H46" s="860"/>
      <c r="I46" s="860"/>
      <c r="J46" s="28">
        <f>IF(F46="",0,1)</f>
      </c>
      <c r="L46" s="28">
        <f>COUNT(E6,C8,E23,E24,E25,E26,E33,E35,E39,E41)</f>
      </c>
    </row>
    <row r="47" spans="1:28" x14ac:dyDescent="0.2">
      <c r="A47" s="860"/>
      <c r="B47" s="860"/>
      <c r="C47" s="860"/>
      <c r="D47" s="860"/>
      <c r="E47" s="1202"/>
      <c r="F47" s="860"/>
      <c r="G47" s="860"/>
      <c r="H47" s="860"/>
      <c r="I47" s="860"/>
    </row>
    <row r="48" spans="1:28" x14ac:dyDescent="0.2">
      <c r="A48" s="65" t="str">
        <f>_xlfn.SINGLE(MTCA)</f>
      </c>
      <c r="B48" s="860"/>
      <c r="C48" s="539" t="str">
        <f>ver</f>
        <v>TA2_e-CO_2025_Ver 1.1</v>
      </c>
      <c r="D48" s="860"/>
      <c r="E48" s="1202"/>
      <c r="F48" s="860"/>
      <c r="G48" s="860"/>
      <c r="H48" s="860"/>
      <c r="I48" s="327" t="s">
        <v>2621</v>
      </c>
      <c r="J48" s="28">
        <f>SUM(J1:J46)</f>
      </c>
    </row>
    <row r="49" spans="1:10" x14ac:dyDescent="0.2">
      <c r="A49" s="860"/>
      <c r="B49" s="1410" t="s">
        <v>6290</v>
      </c>
      <c r="C49" s="860"/>
      <c r="D49" s="860"/>
      <c r="E49" s="1202"/>
      <c r="F49" s="860"/>
      <c r="G49" s="860"/>
      <c r="H49" s="860"/>
      <c r="I49" s="860"/>
    </row>
    <row r="50" spans="1:10" x14ac:dyDescent="0.2">
      <c r="A50" s="860"/>
      <c r="B50" s="860"/>
      <c r="C50" s="860"/>
      <c r="D50" s="860"/>
      <c r="E50" s="1202"/>
      <c r="F50" s="860"/>
      <c r="G50" s="860"/>
      <c r="H50" s="860"/>
      <c r="I50" s="860"/>
      <c r="J50" s="28">
        <f>IF(L46=0,0,IF(J48&lt;&gt;0,100,IF(E46=y,1,100)))</f>
      </c>
    </row>
    <row r="51" spans="1:10" x14ac:dyDescent="0.2">
      <c r="A51" s="860"/>
      <c r="B51" s="860"/>
      <c r="C51" s="860"/>
      <c r="D51" s="860"/>
      <c r="E51" s="1202"/>
      <c r="F51" s="860"/>
      <c r="G51" s="860"/>
      <c r="H51" s="860"/>
      <c r="I51" s="860"/>
    </row>
  </sheetData>
  <sheetProtection algorithmName="SHA-512" hashValue="tbBAZS2gZjj8dnqzVPMOmQU8sLnM9IdoPuJ5bcwxPTgE7DN/ZMZzFiz6q7rwutnVj/jzKhvEH9tHlVILxvxwrg==" saltValue="y8mH9yYmDtpp/p7ixaUhdg==" spinCount="100000" sheet="1" objects="1" scenarios="1"/>
  <customSheetViews>
    <customSheetView guid="{99B5278F-6EA9-4B1A-8623-27A4DF4AD5E4}" hiddenRows="1" hiddenColumns="1">
      <selection activeCell="C7" sqref="C7"/>
      <pageMargins left="0.24" right="0.28999999999999998" top="1" bottom="1" header="0.5" footer="0.5"/>
      <pageSetup paperSize="9" orientation="landscape" horizontalDpi="200" verticalDpi="200" r:id="rId1"/>
      <headerFooter alignWithMargins="0"/>
    </customSheetView>
  </customSheetViews>
  <mergeCells count="2">
    <mergeCell ref="B1:H1"/>
    <mergeCell ref="B46:C46"/>
  </mergeCells>
  <phoneticPr fontId="120" type="noConversion"/>
  <conditionalFormatting sqref="B33 B35 B37">
    <cfRule type="expression" dxfId="489" priority="45" stopIfTrue="1">
      <formula>ya=2011</formula>
    </cfRule>
  </conditionalFormatting>
  <conditionalFormatting sqref="C8">
    <cfRule type="expression" dxfId="488" priority="1956">
      <formula>#REF!&lt;$N$2</formula>
    </cfRule>
  </conditionalFormatting>
  <conditionalFormatting sqref="C9">
    <cfRule type="expression" dxfId="487" priority="1947">
      <formula>$O$1&lt;$N$5</formula>
    </cfRule>
  </conditionalFormatting>
  <conditionalFormatting sqref="C9:C11">
    <cfRule type="expression" dxfId="486" priority="19">
      <formula>$E$6=""</formula>
    </cfRule>
  </conditionalFormatting>
  <conditionalFormatting sqref="C10">
    <cfRule type="expression" dxfId="485" priority="1949">
      <formula>$O$1&lt;$N$8</formula>
    </cfRule>
  </conditionalFormatting>
  <conditionalFormatting sqref="C11">
    <cfRule type="expression" dxfId="484" priority="20">
      <formula>$O$1&lt;$N$11</formula>
    </cfRule>
  </conditionalFormatting>
  <conditionalFormatting sqref="C37:D37">
    <cfRule type="expression" dxfId="483" priority="44" stopIfTrue="1">
      <formula>ya=2011</formula>
    </cfRule>
  </conditionalFormatting>
  <conditionalFormatting sqref="E8">
    <cfRule type="expression" dxfId="482" priority="1958">
      <formula>O1&lt;$N$3</formula>
    </cfRule>
  </conditionalFormatting>
  <conditionalFormatting sqref="E8:E11">
    <cfRule type="expression" dxfId="481" priority="9">
      <formula>$E$6=""</formula>
    </cfRule>
  </conditionalFormatting>
  <conditionalFormatting sqref="E9">
    <cfRule type="expression" dxfId="480" priority="1960">
      <formula>$O$1&lt;$N$6</formula>
    </cfRule>
  </conditionalFormatting>
  <conditionalFormatting sqref="E10">
    <cfRule type="expression" dxfId="479" priority="1962">
      <formula>$O$1&lt;$N$9</formula>
    </cfRule>
  </conditionalFormatting>
  <conditionalFormatting sqref="E11">
    <cfRule type="expression" dxfId="478" priority="10">
      <formula>$O$1&lt;$N$12</formula>
    </cfRule>
  </conditionalFormatting>
  <conditionalFormatting sqref="E33 E35">
    <cfRule type="expression" dxfId="477" priority="47" stopIfTrue="1">
      <formula>ya=2011</formula>
    </cfRule>
  </conditionalFormatting>
  <conditionalFormatting sqref="E39">
    <cfRule type="expression" dxfId="476" priority="46" stopIfTrue="1">
      <formula>$E$43=n</formula>
    </cfRule>
  </conditionalFormatting>
  <conditionalFormatting sqref="G8">
    <cfRule type="expression" dxfId="475" priority="1965">
      <formula>$E$6=""</formula>
    </cfRule>
    <cfRule type="expression" dxfId="474" priority="1966">
      <formula>$O$1&lt;$N$4</formula>
    </cfRule>
  </conditionalFormatting>
  <conditionalFormatting sqref="G9">
    <cfRule type="expression" dxfId="473" priority="2">
      <formula>$O$1&lt;$N$7</formula>
    </cfRule>
  </conditionalFormatting>
  <conditionalFormatting sqref="G9:G11">
    <cfRule type="expression" dxfId="472" priority="1">
      <formula>$E$6=""</formula>
    </cfRule>
  </conditionalFormatting>
  <conditionalFormatting sqref="G10">
    <cfRule type="expression" dxfId="471" priority="1953">
      <formula>$O$1&lt;$N$10</formula>
    </cfRule>
  </conditionalFormatting>
  <conditionalFormatting sqref="G11">
    <cfRule type="expression" dxfId="470" priority="6">
      <formula>$O$1&lt;$N$13</formula>
    </cfRule>
  </conditionalFormatting>
  <dataValidations count="21">
    <dataValidation type="whole" allowBlank="1" showInputMessage="1" showErrorMessage="1" errorTitle="Unclaimed deductions c/fwd" error="Check amount!" sqref="E41" xr:uid="{00000000-0002-0000-3800-000000000000}">
      <formula1>0</formula1>
      <formula2>N41</formula2>
    </dataValidation>
    <dataValidation allowBlank="1" showInputMessage="1" showErrorMessage="1" errorTitle="Unclaimed deductions b/fwd" error="Check amount!" sqref="E37" xr:uid="{00000000-0002-0000-3800-000001000000}"/>
    <dataValidation type="whole" allowBlank="1" showInputMessage="1" showErrorMessage="1" errorTitle="Deduction claimed current year" error="Excessive claim!" sqref="E39" xr:uid="{00000000-0002-0000-3800-000002000000}">
      <formula1>0</formula1>
      <formula2>N39</formula2>
    </dataValidation>
    <dataValidation type="whole" allowBlank="1" showInputMessage="1" showErrorMessage="1" errorTitle="Deductions claimed" error="Cannot be more than the total qualifying expenditure incurred to date less current year expenditure!" sqref="E35" xr:uid="{00000000-0002-0000-3800-000003000000}">
      <formula1>0</formula1>
      <formula2>E33-E31</formula2>
    </dataValidation>
    <dataValidation type="date" errorStyle="warning" allowBlank="1" showInputMessage="1" showErrorMessage="1" errorTitle="Approval date" error="Please ensure you entered the correct date!" sqref="C19" xr:uid="{00000000-0002-0000-3800-000004000000}">
      <formula1>N19</formula1>
      <formula2>O19</formula2>
    </dataValidation>
    <dataValidation type="textLength" operator="greaterThanOrEqual" allowBlank="1" showInputMessage="1" showErrorMessage="1" errorTitle="Approval reference" error="Please enter the correct reference number!" sqref="C18" xr:uid="{00000000-0002-0000-3800-000005000000}">
      <formula1>4</formula1>
    </dataValidation>
    <dataValidation type="whole" allowBlank="1" showInputMessage="1" showErrorMessage="1" errorTitle="Qualifying expenditure incurred" error="Check amount entered!" sqref="E33" xr:uid="{00000000-0002-0000-3800-000006000000}">
      <formula1>0</formula1>
      <formula2>AB33</formula2>
    </dataValidation>
    <dataValidation type="whole" operator="greaterThanOrEqual" allowBlank="1" showInputMessage="1" showErrorMessage="1" errorTitle="Qualifying Expenditure" error="Please enter a numeric positive value!" sqref="E23:E26" xr:uid="{00000000-0002-0000-3800-000007000000}">
      <formula1>0</formula1>
    </dataValidation>
    <dataValidation type="list" showInputMessage="1" showErrorMessage="1" sqref="E43 E46" xr:uid="{00000000-0002-0000-3800-000008000000}">
      <formula1>yn</formula1>
    </dataValidation>
    <dataValidation type="whole" operator="equal" allowBlank="1" showInputMessage="1" showErrorMessage="1" errorTitle="PE Number" error="Please enter the correct PE number!" sqref="C11" xr:uid="{00000000-0002-0000-3800-000009000000}">
      <formula1>U10</formula1>
    </dataValidation>
    <dataValidation type="whole" operator="equal" allowBlank="1" showInputMessage="1" showErrorMessage="1" errorTitle="PE Number" error="Please enter the correct PE number!" sqref="C10" xr:uid="{00000000-0002-0000-3800-00000A000000}">
      <formula1>U7</formula1>
    </dataValidation>
    <dataValidation type="whole" operator="equal" allowBlank="1" showInputMessage="1" showErrorMessage="1" errorTitle="PE Number" error="Please enter the correct PE number!" sqref="C9 G9" xr:uid="{00000000-0002-0000-3800-00000B000000}">
      <formula1>U4</formula1>
    </dataValidation>
    <dataValidation type="whole" operator="equal" allowBlank="1" showInputMessage="1" showErrorMessage="1" errorTitle="PE Number" error="Please enter the correct PE number!" sqref="C8" xr:uid="{00000000-0002-0000-3800-00000C000000}">
      <formula1>U1</formula1>
    </dataValidation>
    <dataValidation type="whole" operator="equal" allowBlank="1" showInputMessage="1" showErrorMessage="1" errorTitle="PE Number" error="Please enter the correct PE number!" sqref="E10" xr:uid="{00000000-0002-0000-3800-00000D000000}">
      <formula1>U8</formula1>
    </dataValidation>
    <dataValidation type="whole" operator="equal" allowBlank="1" showInputMessage="1" showErrorMessage="1" errorTitle="PE Number" error="Please enter the correct PE number!" sqref="E9" xr:uid="{00000000-0002-0000-3800-00000E000000}">
      <formula1>U5</formula1>
    </dataValidation>
    <dataValidation type="whole" operator="equal" allowBlank="1" showInputMessage="1" showErrorMessage="1" errorTitle="PE Number" error="Please enter the correct PE number!" sqref="E8" xr:uid="{00000000-0002-0000-3800-00000F000000}">
      <formula1>U2</formula1>
    </dataValidation>
    <dataValidation type="whole" operator="equal" allowBlank="1" showInputMessage="1" showErrorMessage="1" errorTitle="PE Number" error="Please enter the correct PE number!" sqref="G10" xr:uid="{00000000-0002-0000-3800-000010000000}">
      <formula1>U9</formula1>
    </dataValidation>
    <dataValidation type="whole" operator="equal" allowBlank="1" showInputMessage="1" showErrorMessage="1" errorTitle="PE Number" error="Please enter the correct PE number!" sqref="G8" xr:uid="{00000000-0002-0000-3800-000011000000}">
      <formula1>U3</formula1>
    </dataValidation>
    <dataValidation type="list" allowBlank="1" showInputMessage="1" showErrorMessage="1" errorTitle="PE numbers" error="Maximum PE numbers is 12" sqref="E6" xr:uid="{00000000-0002-0000-3800-000012000000}">
      <formula1>$N$1:$N$13</formula1>
    </dataValidation>
    <dataValidation type="whole" operator="equal" allowBlank="1" showInputMessage="1" showErrorMessage="1" errorTitle="PE Number" error="Please enter the correct PE number!" sqref="E11" xr:uid="{00000000-0002-0000-3800-000013000000}">
      <formula1>U11</formula1>
    </dataValidation>
    <dataValidation type="whole" operator="equal" allowBlank="1" showInputMessage="1" showErrorMessage="1" errorTitle="PE Number" error="Please enter the correct PE number!" sqref="G11" xr:uid="{00000000-0002-0000-3800-000014000000}">
      <formula1>U12</formula1>
    </dataValidation>
  </dataValidations>
  <hyperlinks>
    <hyperlink ref="B49" location="Index!B77" display="B A C K   T O   I N D E X" xr:uid="{00000000-0004-0000-3800-000000000000}"/>
    <hyperlink ref="D39" location="TRA60!A1" display="TRA 60" xr:uid="{00000000-0004-0000-3800-000001000000}"/>
  </hyperlinks>
  <pageMargins left="0.23622047244094491" right="0.27559055118110237" top="0.98425196850393704" bottom="0.98425196850393704" header="0.51181102362204722" footer="0.51181102362204722"/>
  <pageSetup paperSize="9" orientation="landscape" r:id="rId2"/>
  <headerFooter alignWithMargins="0">
    <oddFooter>&amp;LName&amp;CSignature&amp;RDate</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6"/>
  <dimension ref="A1:XFC41"/>
  <sheetViews>
    <sheetView workbookViewId="0">
      <selection activeCell="C14" sqref="C14"/>
    </sheetView>
  </sheetViews>
  <sheetFormatPr defaultColWidth="0" defaultRowHeight="12.75" zeroHeight="1" x14ac:dyDescent="0.2"/>
  <cols>
    <col min="1" max="1" width="9.28515625" style="28" customWidth="1"/>
    <col min="2" max="2" width="60.7109375" style="28" customWidth="1"/>
    <col min="3" max="3" width="15.28515625" style="28" customWidth="1"/>
    <col min="4" max="4" width="12" style="28" customWidth="1"/>
    <col min="5" max="5" width="19.7109375" style="28" customWidth="1"/>
    <col min="6" max="6" width="2" style="28" hidden="1"/>
    <col min="7" max="7" width="2" style="142" hidden="1"/>
    <col min="8" max="9" width="9.28515625" style="28" hidden="1"/>
    <col min="10" max="10" width="2" style="28" hidden="1"/>
    <col min="11" max="11" width="12.7109375" style="28" hidden="1"/>
    <col min="12" max="12" width="30.28515625" style="28" hidden="1"/>
    <col min="13" max="14" width="10.28515625" style="28" hidden="1"/>
    <col min="15" max="16" width="8" style="28" hidden="1"/>
    <col min="17" max="16383" width="9.28515625" style="28" hidden="1"/>
    <col min="16384" max="16384" width="10.7109375" style="28" hidden="1"/>
  </cols>
  <sheetData>
    <row r="1" spans="1:16" s="1736" customFormat="1" x14ac:dyDescent="0.2">
      <c r="A1" s="5053" t="str">
        <f>_ref1</f>
      </c>
      <c r="B1" s="5053"/>
      <c r="C1" s="5053"/>
      <c r="D1" s="5053"/>
      <c r="E1" s="1780" t="str">
        <f>_YA1</f>
      </c>
      <c r="F1" s="1634"/>
      <c r="G1" s="1634"/>
    </row>
    <row r="2" spans="1:16" x14ac:dyDescent="0.2">
      <c r="A2" s="860"/>
      <c r="B2" s="860"/>
      <c r="C2" s="860"/>
      <c r="D2" s="860"/>
      <c r="E2" s="860"/>
      <c r="F2" s="142"/>
      <c r="L2" s="28" t="s">
        <v>3445</v>
      </c>
      <c r="P2" s="28" t="s">
        <v>3446</v>
      </c>
    </row>
    <row r="3" spans="1:16" hidden="1" x14ac:dyDescent="0.2">
      <c r="A3" s="860" t="s">
        <v>3447</v>
      </c>
      <c r="B3" s="860" t="s">
        <v>3448</v>
      </c>
      <c r="C3" s="1201">
        <v>500000</v>
      </c>
      <c r="D3" s="860"/>
      <c r="E3" s="860"/>
      <c r="F3" s="142"/>
      <c r="L3" s="28" t="s">
        <v>3449</v>
      </c>
      <c r="P3" s="28" t="s">
        <v>3450</v>
      </c>
    </row>
    <row r="4" spans="1:16" hidden="1" x14ac:dyDescent="0.2">
      <c r="A4" s="860"/>
      <c r="B4" s="861" t="s">
        <v>3451</v>
      </c>
      <c r="C4" s="1201">
        <v>25000</v>
      </c>
      <c r="D4" s="860"/>
      <c r="E4" s="860"/>
      <c r="F4" s="142"/>
    </row>
    <row r="5" spans="1:16" x14ac:dyDescent="0.2">
      <c r="A5" s="860"/>
      <c r="B5" s="860"/>
      <c r="C5" s="860"/>
      <c r="D5" s="860"/>
      <c r="E5" s="860"/>
      <c r="F5" s="142"/>
      <c r="K5" s="28">
        <f>COUNTA(C13,C14,C15,C16,C17,C18,C19)</f>
      </c>
    </row>
    <row r="6" spans="1:16" x14ac:dyDescent="0.2">
      <c r="A6" s="860"/>
      <c r="B6" s="860"/>
      <c r="C6" s="860"/>
      <c r="D6" s="860"/>
      <c r="E6" s="860"/>
      <c r="F6" s="142"/>
    </row>
    <row r="7" spans="1:16" ht="14.25" x14ac:dyDescent="0.2">
      <c r="A7" s="860"/>
      <c r="B7" s="1411" t="s">
        <v>3452</v>
      </c>
      <c r="C7" s="1412"/>
      <c r="D7" s="860"/>
      <c r="E7" s="860"/>
      <c r="F7" s="142"/>
    </row>
    <row r="8" spans="1:16" ht="14.25" x14ac:dyDescent="0.2">
      <c r="A8" s="860"/>
      <c r="B8" s="1183" t="s">
        <v>4801</v>
      </c>
      <c r="C8" s="1413"/>
      <c r="D8" s="860"/>
      <c r="E8" s="860"/>
      <c r="F8" s="142"/>
      <c r="J8" s="28" t="str">
        <f>cur</f>
      </c>
      <c r="K8" s="28" t="s">
        <v>4591</v>
      </c>
    </row>
    <row r="9" spans="1:16" ht="5.25" customHeight="1" x14ac:dyDescent="0.2">
      <c r="A9" s="860"/>
      <c r="B9" s="860"/>
      <c r="C9" s="860"/>
      <c r="D9" s="860"/>
      <c r="E9" s="860"/>
      <c r="F9" s="142"/>
    </row>
    <row r="10" spans="1:16" ht="15" x14ac:dyDescent="0.2">
      <c r="A10" s="860"/>
      <c r="B10" s="1414" t="s">
        <v>1938</v>
      </c>
      <c r="C10" s="860"/>
      <c r="D10" s="860"/>
      <c r="E10" s="860"/>
      <c r="F10" s="142"/>
    </row>
    <row r="11" spans="1:16" ht="5.25" customHeight="1" x14ac:dyDescent="0.2">
      <c r="A11" s="860"/>
      <c r="B11" s="860"/>
      <c r="C11" s="860"/>
      <c r="D11" s="860"/>
      <c r="E11" s="860"/>
      <c r="F11" s="142"/>
    </row>
    <row r="12" spans="1:16" x14ac:dyDescent="0.2">
      <c r="A12" s="860"/>
      <c r="B12" s="1303" t="s">
        <v>6317</v>
      </c>
      <c r="C12" s="860"/>
      <c r="D12" s="860"/>
      <c r="E12" s="860"/>
      <c r="F12" s="142"/>
    </row>
    <row r="13" spans="1:16" x14ac:dyDescent="0.2">
      <c r="A13" s="860"/>
      <c r="B13" s="1182" t="s">
        <v>5089</v>
      </c>
      <c r="C13" s="632"/>
      <c r="D13" s="860"/>
      <c r="E13" s="1415" t="str">
        <f>IF($K$5=0,"",IF(C13="",re,""))</f>
        <v/>
      </c>
      <c r="F13" s="142"/>
      <c r="G13" s="142">
        <f t="shared" ref="G13:G19" si="0">IF(E13="",0,1)</f>
      </c>
    </row>
    <row r="14" spans="1:16" x14ac:dyDescent="0.2">
      <c r="A14" s="860"/>
      <c r="B14" s="1182" t="s">
        <v>5088</v>
      </c>
      <c r="C14" s="202"/>
      <c r="D14" s="860"/>
      <c r="E14" s="1415" t="str">
        <f>IF($K$5=0,"",IF(C14="",re,""))</f>
        <v/>
      </c>
      <c r="F14" s="142"/>
      <c r="G14" s="142">
        <f t="shared" si="0"/>
        <v>0</v>
      </c>
      <c r="M14" s="74">
        <v>40179</v>
      </c>
      <c r="N14" s="74">
        <f>DATE(ya,12,31)</f>
      </c>
    </row>
    <row r="15" spans="1:16" x14ac:dyDescent="0.2">
      <c r="A15" s="860"/>
      <c r="B15" s="1182" t="s">
        <v>5089</v>
      </c>
      <c r="C15" s="375"/>
      <c r="D15" s="860"/>
      <c r="E15" s="1415"/>
      <c r="F15" s="142"/>
      <c r="G15" s="142">
        <f t="shared" si="0"/>
        <v>0</v>
      </c>
    </row>
    <row r="16" spans="1:16" x14ac:dyDescent="0.2">
      <c r="A16" s="860"/>
      <c r="B16" s="1182" t="s">
        <v>5088</v>
      </c>
      <c r="C16" s="202"/>
      <c r="D16" s="860"/>
      <c r="E16" s="1415"/>
      <c r="F16" s="142"/>
      <c r="G16" s="142">
        <f t="shared" si="0"/>
        <v>0</v>
      </c>
      <c r="M16" s="74">
        <f>M14</f>
      </c>
      <c r="N16" s="74">
        <f>N14</f>
      </c>
    </row>
    <row r="17" spans="1:14" x14ac:dyDescent="0.2">
      <c r="A17" s="860"/>
      <c r="B17" s="861" t="s">
        <v>3453</v>
      </c>
      <c r="C17" s="1184"/>
      <c r="D17" s="860"/>
      <c r="E17" s="1415" t="str">
        <f>IF($K$5=0,"",IF(C17="",re,""))</f>
        <v/>
      </c>
      <c r="F17" s="142"/>
      <c r="G17" s="142">
        <f t="shared" si="0"/>
        <v>0</v>
      </c>
    </row>
    <row r="18" spans="1:14" x14ac:dyDescent="0.2">
      <c r="A18" s="860"/>
      <c r="B18" s="861" t="s">
        <v>5701</v>
      </c>
      <c r="C18" s="339"/>
      <c r="D18" s="860"/>
      <c r="E18" s="1415" t="str">
        <f>IF($K$5=0,"",IF(C18="",re,""))</f>
        <v/>
      </c>
      <c r="F18" s="142"/>
      <c r="G18" s="142">
        <f t="shared" si="0"/>
        <v>0</v>
      </c>
    </row>
    <row r="19" spans="1:14" x14ac:dyDescent="0.2">
      <c r="A19" s="860"/>
      <c r="B19" s="861" t="s">
        <v>5702</v>
      </c>
      <c r="C19" s="339"/>
      <c r="D19" s="860"/>
      <c r="E19" s="1415" t="str">
        <f>IF($K$5=0,"",IF(C19="",re,IF(AND(J8=K8,C19&gt;25000),"Excessive!","")))</f>
        <v/>
      </c>
      <c r="F19" s="142"/>
      <c r="G19" s="142">
        <f t="shared" si="0"/>
        <v>0</v>
      </c>
    </row>
    <row r="20" spans="1:14" ht="5.25" customHeight="1" x14ac:dyDescent="0.2">
      <c r="A20" s="1201"/>
      <c r="B20" s="1201"/>
      <c r="C20" s="1201"/>
      <c r="D20" s="1212"/>
      <c r="E20" s="860"/>
      <c r="F20" s="142"/>
    </row>
    <row r="21" spans="1:14" x14ac:dyDescent="0.2">
      <c r="A21" s="860"/>
      <c r="B21" s="1303" t="s">
        <v>5703</v>
      </c>
      <c r="C21" s="860"/>
      <c r="D21" s="1212"/>
      <c r="E21" s="860"/>
      <c r="F21" s="142"/>
    </row>
    <row r="22" spans="1:14" x14ac:dyDescent="0.2">
      <c r="A22" s="860"/>
      <c r="B22" s="1182" t="s">
        <v>5054</v>
      </c>
      <c r="C22" s="1416">
        <f>IF(C17&gt;ya,0,C19)</f>
      </c>
      <c r="D22" s="1212"/>
      <c r="E22" s="860"/>
      <c r="F22" s="142"/>
    </row>
    <row r="23" spans="1:14" hidden="1" x14ac:dyDescent="0.2">
      <c r="A23" s="860"/>
      <c r="B23" s="1182"/>
      <c r="C23" s="1416"/>
      <c r="D23" s="1212"/>
      <c r="E23" s="860"/>
      <c r="F23" s="142"/>
    </row>
    <row r="24" spans="1:14" x14ac:dyDescent="0.2">
      <c r="A24" s="860"/>
      <c r="B24" s="1182" t="s">
        <v>5704</v>
      </c>
      <c r="C24" s="339"/>
      <c r="D24" s="1212"/>
      <c r="E24" s="1415" t="str">
        <f>IF(AND(ya=2011,C24&gt;0),"Delete!",IF(K33=0,"",IF(AND(ya&gt;2011,C24=""),reo,IF(AND(J8=K8,C22+C24&gt;25000),"Excessive!",""))))</f>
        <v/>
      </c>
      <c r="F24" s="142"/>
      <c r="G24" s="142">
        <f>IF(E24="",0,1)</f>
      </c>
    </row>
    <row r="25" spans="1:14" x14ac:dyDescent="0.2">
      <c r="A25" s="860"/>
      <c r="B25" s="1182" t="s">
        <v>5705</v>
      </c>
      <c r="C25" s="340">
        <f>IF(ya=2011,C22,C22+C24)</f>
      </c>
      <c r="D25" s="1212"/>
      <c r="E25" s="860"/>
      <c r="F25" s="142"/>
    </row>
    <row r="26" spans="1:14" x14ac:dyDescent="0.2">
      <c r="A26" s="860"/>
      <c r="B26" s="1182" t="s">
        <v>5706</v>
      </c>
      <c r="C26" s="339"/>
      <c r="D26" s="1409" t="s">
        <v>951</v>
      </c>
      <c r="E26" s="1415" t="str">
        <f>IF(K33=0,"",IF(C26="",reo,IF(E32=nob,nob,"")))</f>
        <v/>
      </c>
      <c r="F26" s="142">
        <f>IF($E$26=nob,0,C26)</f>
      </c>
      <c r="G26" s="142">
        <f>IF(E26="",0,1)</f>
      </c>
    </row>
    <row r="27" spans="1:14" x14ac:dyDescent="0.2">
      <c r="A27" s="860"/>
      <c r="B27" s="1182" t="s">
        <v>5707</v>
      </c>
      <c r="C27" s="1189">
        <f>IF(C25-C26&lt;0,0,C25-C26)</f>
      </c>
      <c r="D27" s="1212"/>
      <c r="E27" s="860"/>
      <c r="F27" s="142"/>
    </row>
    <row r="28" spans="1:14" ht="5.25" customHeight="1" x14ac:dyDescent="0.2">
      <c r="A28" s="860"/>
      <c r="B28" s="860"/>
      <c r="C28" s="860"/>
      <c r="D28" s="1212"/>
      <c r="E28" s="860"/>
      <c r="F28" s="142"/>
    </row>
    <row r="29" spans="1:14" x14ac:dyDescent="0.2">
      <c r="A29" s="860"/>
      <c r="B29" s="1417" t="s">
        <v>5708</v>
      </c>
      <c r="C29" s="339"/>
      <c r="D29" s="1409" t="s">
        <v>951</v>
      </c>
      <c r="E29" s="1415" t="str">
        <f>IF(K33=0,"",IF(AND(C26&gt;=0,C29=""),reo,IF(AND(C26=0,C29&gt;0),"No tax relieved!","")))</f>
        <v/>
      </c>
      <c r="F29" s="142">
        <f>IF($E$26=nob,0,C29)</f>
      </c>
      <c r="G29" s="142">
        <f>IF(E29="",0,1)</f>
      </c>
      <c r="M29" s="28">
        <f>ROUND(C26/0.05,0)</f>
      </c>
      <c r="N29" s="28">
        <f>ROUND(C26/0.35,0)</f>
      </c>
    </row>
    <row r="30" spans="1:14" x14ac:dyDescent="0.2">
      <c r="A30" s="860"/>
      <c r="B30" s="860"/>
      <c r="C30" s="1213" t="str">
        <f>IF(OR(C29&gt;M29,C29&lt;N29),ck,"")</f>
        <v/>
      </c>
      <c r="D30" s="860"/>
      <c r="E30" s="860"/>
      <c r="F30" s="142"/>
    </row>
    <row r="31" spans="1:14" x14ac:dyDescent="0.2">
      <c r="A31" s="860"/>
      <c r="B31" s="860"/>
      <c r="C31" s="860"/>
      <c r="D31" s="860"/>
      <c r="E31" s="860"/>
      <c r="F31" s="142"/>
    </row>
    <row r="32" spans="1:14" x14ac:dyDescent="0.2">
      <c r="A32" s="860"/>
      <c r="B32" s="860" t="s">
        <v>2007</v>
      </c>
      <c r="C32" s="860"/>
      <c r="D32" s="331"/>
      <c r="E32" s="1152" t="str">
        <f>IF(K33=0,"",IF(D32="",re,IF(AND(D32=n,C26&gt;0),nob,"")))</f>
        <v/>
      </c>
      <c r="F32" s="142"/>
      <c r="G32" s="142">
        <f>IF(E32="",0,1)</f>
      </c>
      <c r="K32" s="28">
        <f>COUNT(C24,C26,C29)</f>
      </c>
    </row>
    <row r="33" spans="1:11" x14ac:dyDescent="0.2">
      <c r="A33" s="860"/>
      <c r="B33" s="860"/>
      <c r="C33" s="860"/>
      <c r="D33" s="860"/>
      <c r="E33" s="860"/>
      <c r="F33" s="142"/>
      <c r="K33" s="28">
        <f>K5+K32</f>
      </c>
    </row>
    <row r="34" spans="1:11" x14ac:dyDescent="0.2">
      <c r="A34" s="860"/>
      <c r="B34" s="5052" t="s">
        <v>4802</v>
      </c>
      <c r="C34" s="5052"/>
      <c r="D34" s="331"/>
      <c r="E34" s="1152" t="str">
        <f>IF(K33=0,"",IF(D34="",re,""))</f>
        <v/>
      </c>
      <c r="F34" s="142"/>
      <c r="G34" s="142">
        <f>IF(E34="",0,1)</f>
      </c>
    </row>
    <row r="35" spans="1:11" x14ac:dyDescent="0.2">
      <c r="A35" s="860"/>
      <c r="B35" s="860"/>
      <c r="C35" s="860"/>
      <c r="D35" s="860"/>
      <c r="E35" s="860"/>
      <c r="F35" s="142"/>
    </row>
    <row r="36" spans="1:11" x14ac:dyDescent="0.2">
      <c r="A36" s="860"/>
      <c r="B36" s="860"/>
      <c r="C36" s="860"/>
      <c r="D36" s="860"/>
      <c r="E36" s="860"/>
      <c r="F36" s="142"/>
      <c r="G36" s="142">
        <f>SUM(G9:G34)</f>
      </c>
    </row>
    <row r="37" spans="1:11" x14ac:dyDescent="0.2">
      <c r="A37" s="860"/>
      <c r="B37" s="860"/>
      <c r="C37" s="860"/>
      <c r="D37" s="860"/>
      <c r="E37" s="860"/>
      <c r="F37" s="142"/>
    </row>
    <row r="38" spans="1:11" x14ac:dyDescent="0.2">
      <c r="A38" s="860"/>
      <c r="B38" s="860"/>
      <c r="C38" s="860"/>
      <c r="D38" s="860"/>
      <c r="E38" s="860"/>
      <c r="F38" s="142"/>
    </row>
    <row r="39" spans="1:11" x14ac:dyDescent="0.2">
      <c r="A39" s="65" t="s">
        <v>10574</v>
      </c>
      <c r="B39" s="539" t="str">
        <f>ver</f>
        <v>TA2_e-CO_2025_Ver 1.1</v>
      </c>
      <c r="C39" s="860"/>
      <c r="D39" s="860"/>
      <c r="E39" s="65" t="s">
        <v>5633</v>
      </c>
      <c r="F39" s="142"/>
      <c r="G39" s="142">
        <f>IF(K33=0,0,IF(G36&lt;&gt;0,100,IF(D34=y,1,100)))</f>
      </c>
    </row>
    <row r="40" spans="1:11" ht="7.5" customHeight="1" x14ac:dyDescent="0.2">
      <c r="A40" s="860"/>
      <c r="B40" s="860"/>
      <c r="C40" s="860"/>
      <c r="D40" s="860"/>
      <c r="E40" s="860"/>
      <c r="F40" s="142"/>
    </row>
    <row r="41" spans="1:11" x14ac:dyDescent="0.2">
      <c r="A41" s="860"/>
      <c r="B41" s="1410" t="s">
        <v>6290</v>
      </c>
      <c r="C41" s="860"/>
      <c r="D41" s="860"/>
      <c r="E41" s="860"/>
      <c r="F41" s="142"/>
    </row>
  </sheetData>
  <sheetProtection algorithmName="SHA-512" hashValue="G2fCpKrDVsmLNLCdvoXEXaFdUPSQw0JDOll8IXH3g5z1PdvVYPQ0IXkhKnMYOsRocjXoNhjmEc3OMRSL7UlD4w==" saltValue="xIY9sb0L4wndQ2XOkfNi3Q==" spinCount="100000" sheet="1" objects="1" scenarios="1"/>
  <customSheetViews>
    <customSheetView guid="{99B5278F-6EA9-4B1A-8623-27A4DF4AD5E4}" hiddenRows="1" hiddenColumns="1">
      <selection activeCell="B13" sqref="B13"/>
      <pageMargins left="0.75" right="0.75" top="1" bottom="1" header="0.5" footer="0.5"/>
      <pageSetup paperSize="9" orientation="landscape" horizontalDpi="200" verticalDpi="200" r:id="rId1"/>
      <headerFooter alignWithMargins="0"/>
    </customSheetView>
  </customSheetViews>
  <mergeCells count="2">
    <mergeCell ref="B34:C34"/>
    <mergeCell ref="A1:D1"/>
  </mergeCells>
  <phoneticPr fontId="120" type="noConversion"/>
  <conditionalFormatting sqref="B24">
    <cfRule type="expression" dxfId="469" priority="1" stopIfTrue="1">
      <formula>ya=2011</formula>
    </cfRule>
  </conditionalFormatting>
  <conditionalFormatting sqref="C24">
    <cfRule type="expression" dxfId="468" priority="3" stopIfTrue="1">
      <formula>ya=2011</formula>
    </cfRule>
  </conditionalFormatting>
  <conditionalFormatting sqref="C26 C29">
    <cfRule type="expression" dxfId="467" priority="2" stopIfTrue="1">
      <formula>$E$26=nob</formula>
    </cfRule>
  </conditionalFormatting>
  <dataValidations xWindow="569" yWindow="432" count="6">
    <dataValidation type="whole" allowBlank="1" showInputMessage="1" showErrorMessage="1" errorTitle="Tax credit utilised" error="Cannot be more than tax credits available!" sqref="C26" xr:uid="{00000000-0002-0000-3900-000000000000}">
      <formula1>0</formula1>
      <formula2>C25</formula2>
    </dataValidation>
    <dataValidation type="whole" errorStyle="warning" allowBlank="1" showInputMessage="1" showErrorMessage="1" errorTitle="Income relieved by tax credit" error="Are you sure the amount entered is correct?" sqref="C29" xr:uid="{00000000-0002-0000-3900-000001000000}">
      <formula1>N29</formula1>
      <formula2>M29</formula2>
    </dataValidation>
    <dataValidation type="date" allowBlank="1" showInputMessage="1" showErrorMessage="1" errorTitle="Date of approval" error="Please enter the correct date!" promptTitle="Date format" prompt="dd/mm/yyyy" sqref="C14 C16" xr:uid="{00000000-0002-0000-3900-000002000000}">
      <formula1>M14</formula1>
      <formula2>N14</formula2>
    </dataValidation>
    <dataValidation type="whole" allowBlank="1" showInputMessage="1" showErrorMessage="1" errorTitle="First year of assessment" error="Please enter the correct year of assessment expressed as four digits!" sqref="C17" xr:uid="{00000000-0002-0000-3900-000003000000}">
      <formula1>2011</formula1>
      <formula2>2015</formula2>
    </dataValidation>
    <dataValidation type="list" showInputMessage="1" showErrorMessage="1" sqref="D34 D32" xr:uid="{00000000-0002-0000-3900-000004000000}">
      <formula1>yn</formula1>
    </dataValidation>
    <dataValidation type="textLength" operator="greaterThanOrEqual" allowBlank="1" showInputMessage="1" showErrorMessage="1" errorTitle="Certificate number" error="Please enter the correct reference!" sqref="C13 C15" xr:uid="{00000000-0002-0000-3900-000005000000}">
      <formula1>5</formula1>
    </dataValidation>
  </dataValidations>
  <hyperlinks>
    <hyperlink ref="B41" location="Index!B77" display="B A C K   T O   I N D E X" xr:uid="{00000000-0004-0000-3900-000000000000}"/>
    <hyperlink ref="D26" location="TRA35!A1" display="TRA 35" xr:uid="{00000000-0004-0000-3900-000001000000}"/>
    <hyperlink ref="D29" location="TRA35!A1" display="TRA 35" xr:uid="{00000000-0004-0000-3900-000002000000}"/>
  </hyperlinks>
  <pageMargins left="0.74803149606299213" right="0.74803149606299213" top="0.98425196850393704" bottom="0.98425196850393704" header="0.51181102362204722" footer="0.51181102362204722"/>
  <pageSetup paperSize="9" orientation="landscape" horizontalDpi="200" verticalDpi="200" r:id="rId2"/>
  <headerFooter alignWithMargins="0">
    <oddFooter>&amp;LName&amp;CSignature&amp;RDate</oddFooter>
  </headerFooter>
  <legacy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7"/>
  <dimension ref="A1:P41"/>
  <sheetViews>
    <sheetView topLeftCell="XFD1048576" workbookViewId="0">
      <selection sqref="A1:XFD1048576"/>
    </sheetView>
  </sheetViews>
  <sheetFormatPr defaultColWidth="0" defaultRowHeight="12.75" zeroHeight="1" x14ac:dyDescent="0.2"/>
  <cols>
    <col min="1" max="1" width="9.28515625" style="28" hidden="1" customWidth="1"/>
    <col min="2" max="2" width="60.7109375" style="28" hidden="1" customWidth="1"/>
    <col min="3" max="3" width="15.28515625" style="28" hidden="1" customWidth="1"/>
    <col min="4" max="4" width="7.7109375" style="28" hidden="1" customWidth="1"/>
    <col min="5" max="5" width="27.7109375" style="28" hidden="1" customWidth="1"/>
    <col min="6" max="6" width="13.7109375" style="28" hidden="1" customWidth="1"/>
    <col min="7" max="7" width="13.7109375" style="142" hidden="1" customWidth="1"/>
    <col min="8" max="13" width="13.7109375" style="28" hidden="1" customWidth="1"/>
    <col min="14" max="14" width="10.28515625" style="28" hidden="1" customWidth="1"/>
    <col min="15" max="16" width="9.28515625" style="28" hidden="1" customWidth="1"/>
    <col min="17" max="16384" width="0" style="28" hidden="1"/>
  </cols>
  <sheetData>
    <row r="1" spans="1:16" hidden="1" x14ac:dyDescent="0.2">
      <c r="A1" s="4408" t="str">
        <f>_ref1</f>
      </c>
      <c r="B1" s="4408"/>
      <c r="C1" s="4408"/>
      <c r="D1" s="4408"/>
      <c r="E1" s="65" t="str">
        <f>_YA1</f>
      </c>
      <c r="F1" s="142"/>
    </row>
    <row r="2" spans="1:16" hidden="1" x14ac:dyDescent="0.2">
      <c r="A2" s="860"/>
      <c r="B2" s="860"/>
      <c r="C2" s="860"/>
      <c r="D2" s="860"/>
      <c r="E2" s="860"/>
      <c r="F2" s="142"/>
      <c r="L2" s="28" t="s">
        <v>3445</v>
      </c>
      <c r="P2" s="28" t="s">
        <v>3446</v>
      </c>
    </row>
    <row r="3" spans="1:16" hidden="1" x14ac:dyDescent="0.2">
      <c r="A3" s="860" t="s">
        <v>3447</v>
      </c>
      <c r="B3" s="860" t="s">
        <v>3448</v>
      </c>
      <c r="C3" s="1201">
        <v>500000</v>
      </c>
      <c r="D3" s="860"/>
      <c r="E3" s="860"/>
      <c r="F3" s="142"/>
      <c r="L3" s="28" t="s">
        <v>3449</v>
      </c>
      <c r="P3" s="28" t="s">
        <v>3450</v>
      </c>
    </row>
    <row r="4" spans="1:16" hidden="1" x14ac:dyDescent="0.2">
      <c r="A4" s="860"/>
      <c r="B4" s="861" t="s">
        <v>3451</v>
      </c>
      <c r="C4" s="1201">
        <v>25000</v>
      </c>
      <c r="D4" s="860"/>
      <c r="E4" s="860"/>
      <c r="F4" s="142"/>
    </row>
    <row r="5" spans="1:16" hidden="1" x14ac:dyDescent="0.2">
      <c r="A5" s="860"/>
      <c r="B5" s="860"/>
      <c r="C5" s="860"/>
      <c r="D5" s="860"/>
      <c r="E5" s="860"/>
      <c r="F5" s="142"/>
      <c r="K5" s="28">
        <f>COUNT(C17,C18,C19)</f>
      </c>
    </row>
    <row r="6" spans="1:16" hidden="1" x14ac:dyDescent="0.2">
      <c r="A6" s="860"/>
      <c r="B6" s="860"/>
      <c r="C6" s="860"/>
      <c r="D6" s="860"/>
      <c r="E6" s="860"/>
      <c r="F6" s="142"/>
    </row>
    <row r="7" spans="1:16" ht="14.25" hidden="1" x14ac:dyDescent="0.2">
      <c r="A7" s="860"/>
      <c r="B7" s="1411" t="s">
        <v>3452</v>
      </c>
      <c r="C7" s="1412"/>
      <c r="D7" s="860"/>
      <c r="E7" s="860"/>
      <c r="F7" s="142"/>
    </row>
    <row r="8" spans="1:16" ht="14.25" hidden="1" x14ac:dyDescent="0.2">
      <c r="A8" s="860"/>
      <c r="B8" s="1183" t="s">
        <v>1680</v>
      </c>
      <c r="C8" s="1413"/>
      <c r="D8" s="860"/>
      <c r="E8" s="860"/>
      <c r="F8" s="142"/>
      <c r="J8" s="28" t="str">
        <f>cur</f>
      </c>
      <c r="K8" s="28" t="s">
        <v>4591</v>
      </c>
    </row>
    <row r="9" spans="1:16" ht="5.25" hidden="1" customHeight="1" x14ac:dyDescent="0.2">
      <c r="A9" s="860"/>
      <c r="B9" s="860"/>
      <c r="C9" s="860"/>
      <c r="D9" s="860"/>
      <c r="E9" s="860"/>
      <c r="F9" s="142"/>
    </row>
    <row r="10" spans="1:16" ht="15" hidden="1" x14ac:dyDescent="0.2">
      <c r="A10" s="860"/>
      <c r="B10" s="1414" t="s">
        <v>1938</v>
      </c>
      <c r="C10" s="860"/>
      <c r="D10" s="860"/>
      <c r="E10" s="860"/>
      <c r="F10" s="142"/>
    </row>
    <row r="11" spans="1:16" ht="5.25" hidden="1" customHeight="1" x14ac:dyDescent="0.2">
      <c r="A11" s="860"/>
      <c r="B11" s="860"/>
      <c r="C11" s="860"/>
      <c r="D11" s="860"/>
      <c r="E11" s="860"/>
      <c r="F11" s="142"/>
    </row>
    <row r="12" spans="1:16" hidden="1" x14ac:dyDescent="0.2">
      <c r="A12" s="860"/>
      <c r="B12" s="1303" t="s">
        <v>726</v>
      </c>
      <c r="C12" s="860"/>
      <c r="D12" s="860"/>
      <c r="E12" s="860"/>
      <c r="F12" s="142"/>
    </row>
    <row r="13" spans="1:16" hidden="1" x14ac:dyDescent="0.2">
      <c r="A13" s="860"/>
      <c r="B13" s="1182" t="s">
        <v>5089</v>
      </c>
      <c r="C13" s="375"/>
      <c r="D13" s="860"/>
      <c r="E13" s="1415" t="str">
        <f>IF($K$5=0,"",IF(C13="",re,""))</f>
        <v/>
      </c>
      <c r="F13" s="142"/>
      <c r="G13" s="142">
        <f t="shared" ref="G13:G18" si="0">IF(E13="",0,1)</f>
      </c>
      <c r="N13" s="74">
        <v>41639</v>
      </c>
    </row>
    <row r="14" spans="1:16" hidden="1" x14ac:dyDescent="0.2">
      <c r="A14" s="860"/>
      <c r="B14" s="1182" t="s">
        <v>5088</v>
      </c>
      <c r="C14" s="202"/>
      <c r="D14" s="860"/>
      <c r="E14" s="1415" t="str">
        <f>IF($K$5=0,"",IF(C14="",re,""))</f>
        <v/>
      </c>
      <c r="F14" s="142"/>
      <c r="G14" s="142">
        <f t="shared" si="0"/>
        <v>0</v>
      </c>
      <c r="M14" s="74">
        <v>40179</v>
      </c>
      <c r="N14" s="74">
        <f ca="1">IF(TODAY()&lt;N13,TODAY(),N13)</f>
      </c>
    </row>
    <row r="15" spans="1:16" hidden="1" x14ac:dyDescent="0.2">
      <c r="A15" s="860"/>
      <c r="B15" s="860"/>
      <c r="C15" s="1211"/>
      <c r="D15" s="860"/>
      <c r="E15" s="1415"/>
      <c r="F15" s="142"/>
      <c r="G15" s="142">
        <f t="shared" si="0"/>
        <v>0</v>
      </c>
    </row>
    <row r="16" spans="1:16" hidden="1" x14ac:dyDescent="0.2">
      <c r="A16" s="860"/>
      <c r="B16" s="860"/>
      <c r="C16" s="1211"/>
      <c r="D16" s="860"/>
      <c r="E16" s="1415"/>
      <c r="F16" s="142"/>
      <c r="G16" s="142">
        <f t="shared" si="0"/>
        <v>0</v>
      </c>
    </row>
    <row r="17" spans="1:14" hidden="1" x14ac:dyDescent="0.2">
      <c r="A17" s="860"/>
      <c r="B17" s="861" t="s">
        <v>3453</v>
      </c>
      <c r="C17" s="1184"/>
      <c r="D17" s="860"/>
      <c r="E17" s="1415" t="str">
        <f>IF($K$5=0,"",IF(C17="",re,""))</f>
        <v/>
      </c>
      <c r="F17" s="142"/>
      <c r="G17" s="142">
        <f t="shared" si="0"/>
        <v>0</v>
      </c>
    </row>
    <row r="18" spans="1:14" hidden="1" x14ac:dyDescent="0.2">
      <c r="A18" s="860"/>
      <c r="B18" s="861" t="s">
        <v>5701</v>
      </c>
      <c r="C18" s="339"/>
      <c r="D18" s="860"/>
      <c r="E18" s="1415" t="str">
        <f>IF($K$5=0,"",IF(C18="",re,""))</f>
        <v/>
      </c>
      <c r="F18" s="142"/>
      <c r="G18" s="142">
        <f t="shared" si="0"/>
        <v>0</v>
      </c>
    </row>
    <row r="19" spans="1:14" hidden="1" x14ac:dyDescent="0.2">
      <c r="A19" s="860"/>
      <c r="B19" s="861" t="s">
        <v>5702</v>
      </c>
      <c r="C19" s="339"/>
      <c r="D19" s="860"/>
      <c r="E19" s="1415" t="str">
        <f>IF($K$5=0,"",IF(C19="",re,IF(C19&gt;M19,"More than 60% of eligible costs!",IF(AND(J8=K8,C19&gt;25000),"Excessive!",""))))</f>
        <v/>
      </c>
      <c r="F19" s="142"/>
      <c r="G19" s="142">
        <f>IF(E19=re,1,0)</f>
      </c>
      <c r="H19" s="28">
        <f>IF(OR(E19="",E19=re),0,1)</f>
      </c>
      <c r="M19" s="28">
        <f>0.6*C18</f>
      </c>
    </row>
    <row r="20" spans="1:14" ht="5.25" hidden="1" customHeight="1" x14ac:dyDescent="0.2">
      <c r="A20" s="1201"/>
      <c r="B20" s="1201"/>
      <c r="C20" s="1201"/>
      <c r="D20" s="1212"/>
      <c r="E20" s="860"/>
      <c r="F20" s="142"/>
    </row>
    <row r="21" spans="1:14" hidden="1" x14ac:dyDescent="0.2">
      <c r="A21" s="860"/>
      <c r="B21" s="1303" t="s">
        <v>5703</v>
      </c>
      <c r="C21" s="860"/>
      <c r="D21" s="1212"/>
      <c r="E21" s="860"/>
      <c r="F21" s="142"/>
    </row>
    <row r="22" spans="1:14" hidden="1" x14ac:dyDescent="0.2">
      <c r="A22" s="860"/>
      <c r="B22" s="1182" t="s">
        <v>5054</v>
      </c>
      <c r="C22" s="1416">
        <f>IF(OR(C17&gt;ya,ya&gt;2015),0,C19)</f>
      </c>
      <c r="D22" s="1212"/>
      <c r="E22" s="860"/>
      <c r="F22" s="142"/>
    </row>
    <row r="23" spans="1:14" hidden="1" x14ac:dyDescent="0.2">
      <c r="A23" s="860"/>
      <c r="B23" s="1182"/>
      <c r="C23" s="1416"/>
      <c r="D23" s="1212"/>
      <c r="E23" s="860"/>
      <c r="F23" s="142"/>
    </row>
    <row r="24" spans="1:14" hidden="1" x14ac:dyDescent="0.2">
      <c r="A24" s="860"/>
      <c r="B24" s="1182" t="s">
        <v>5704</v>
      </c>
      <c r="C24" s="339"/>
      <c r="D24" s="1212"/>
      <c r="E24" s="1415" t="str">
        <f>IF(AND(ya=2011,C24&gt;0),"Delete!",IF(K33=0,"",IF(AND(ya&gt;2011,C24=""),reo,IF(AND(J8=K8,C22+C24&gt;25000),"Excessive!",""))))</f>
        <v/>
      </c>
      <c r="F24" s="142"/>
      <c r="G24" s="142">
        <f>IF(E24="",0,1)</f>
      </c>
    </row>
    <row r="25" spans="1:14" hidden="1" x14ac:dyDescent="0.2">
      <c r="A25" s="860"/>
      <c r="B25" s="1182" t="s">
        <v>5705</v>
      </c>
      <c r="C25" s="340">
        <f>IF(ya=2014,C24,IF(ya=2011,C22,IF(ya&gt;2015,0,C22+C24)))</f>
      </c>
      <c r="D25" s="1212"/>
      <c r="E25" s="860"/>
      <c r="F25" s="142"/>
    </row>
    <row r="26" spans="1:14" hidden="1" x14ac:dyDescent="0.2">
      <c r="A26" s="860"/>
      <c r="B26" s="1182" t="s">
        <v>5706</v>
      </c>
      <c r="C26" s="339"/>
      <c r="D26" s="1409"/>
      <c r="E26" s="1415" t="str">
        <f>IF(K33=0,"",IF(C26="",reo,IF(E32=nob,nob,"")))</f>
        <v/>
      </c>
      <c r="F26" s="142">
        <f>IF($E$26=nob,0,C26)</f>
      </c>
      <c r="G26" s="142">
        <f>IF(E26="",0,1)</f>
      </c>
    </row>
    <row r="27" spans="1:14" hidden="1" x14ac:dyDescent="0.2">
      <c r="A27" s="860"/>
      <c r="B27" s="1182" t="s">
        <v>5707</v>
      </c>
      <c r="C27" s="1189">
        <f>IF(ya&gt;2014,0,IF(C25-C26&lt;0,0,C25-C26))</f>
      </c>
      <c r="D27" s="1212"/>
      <c r="E27" s="860"/>
      <c r="F27" s="142"/>
    </row>
    <row r="28" spans="1:14" ht="5.25" hidden="1" customHeight="1" x14ac:dyDescent="0.2">
      <c r="A28" s="860"/>
      <c r="B28" s="860"/>
      <c r="C28" s="860"/>
      <c r="D28" s="1212"/>
      <c r="E28" s="860"/>
      <c r="F28" s="142"/>
    </row>
    <row r="29" spans="1:14" hidden="1" x14ac:dyDescent="0.2">
      <c r="A29" s="860"/>
      <c r="B29" s="1417" t="s">
        <v>5708</v>
      </c>
      <c r="C29" s="339"/>
      <c r="D29" s="1409"/>
      <c r="E29" s="1415" t="str">
        <f>IF(K33=0,"",IF(AND(C26&gt;=0,C29=""),reo,IF(AND(C26=0,C29&gt;0),"No tax relieved!","")))</f>
        <v/>
      </c>
      <c r="F29" s="142">
        <f>IF($E$26=nob,0,ROUND(C29,0))</f>
      </c>
      <c r="G29" s="142">
        <f>IF(E29="",0,1)</f>
      </c>
      <c r="M29" s="28">
        <f>ROUND(C26/0.05,0)</f>
      </c>
      <c r="N29" s="28">
        <f>ROUND(C26/0.35,0)</f>
      </c>
    </row>
    <row r="30" spans="1:14" hidden="1" x14ac:dyDescent="0.2">
      <c r="A30" s="860"/>
      <c r="B30" s="860"/>
      <c r="C30" s="1213" t="str">
        <f>IF(OR(C29&gt;M29,C29&lt;N29),ck,"")</f>
        <v/>
      </c>
      <c r="D30" s="860"/>
      <c r="E30" s="860"/>
      <c r="F30" s="142"/>
    </row>
    <row r="31" spans="1:14" hidden="1" x14ac:dyDescent="0.2">
      <c r="A31" s="860"/>
      <c r="B31" s="860"/>
      <c r="C31" s="860"/>
      <c r="D31" s="860"/>
      <c r="E31" s="860"/>
      <c r="F31" s="142"/>
    </row>
    <row r="32" spans="1:14" hidden="1" x14ac:dyDescent="0.2">
      <c r="A32" s="860"/>
      <c r="B32" s="860" t="s">
        <v>2007</v>
      </c>
      <c r="C32" s="860"/>
      <c r="D32" s="331"/>
      <c r="E32" s="1152" t="str">
        <f>IF(K33=0,"",IF(D32="",re,IF(AND(D32=n,C26&gt;0),nob,"")))</f>
        <v/>
      </c>
      <c r="F32" s="142"/>
      <c r="G32" s="142">
        <f>IF(E32="",0,1)</f>
      </c>
      <c r="K32" s="28">
        <f>COUNT(C24,C26,C29)</f>
      </c>
    </row>
    <row r="33" spans="1:11" hidden="1" x14ac:dyDescent="0.2">
      <c r="A33" s="860"/>
      <c r="B33" s="860"/>
      <c r="C33" s="860"/>
      <c r="D33" s="860"/>
      <c r="E33" s="860"/>
      <c r="F33" s="142"/>
      <c r="K33" s="28">
        <f>K5+K32</f>
      </c>
    </row>
    <row r="34" spans="1:11" hidden="1" x14ac:dyDescent="0.2">
      <c r="A34" s="860"/>
      <c r="B34" s="5052" t="s">
        <v>4802</v>
      </c>
      <c r="C34" s="5052"/>
      <c r="D34" s="331"/>
      <c r="E34" s="1152" t="str">
        <f>IF(K33=0,"",IF(D34="",re,""))</f>
        <v/>
      </c>
      <c r="F34" s="142"/>
      <c r="G34" s="142">
        <f>IF(E34="",0,1)</f>
      </c>
    </row>
    <row r="35" spans="1:11" hidden="1" x14ac:dyDescent="0.2">
      <c r="A35" s="860"/>
      <c r="B35" s="860"/>
      <c r="C35" s="860"/>
      <c r="D35" s="860"/>
      <c r="E35" s="860"/>
      <c r="F35" s="142"/>
    </row>
    <row r="36" spans="1:11" hidden="1" x14ac:dyDescent="0.2">
      <c r="A36" s="860"/>
      <c r="B36" s="860"/>
      <c r="C36" s="860"/>
      <c r="D36" s="860"/>
      <c r="E36" s="860"/>
      <c r="F36" s="142"/>
      <c r="G36" s="142">
        <f>SUM(G9:G34)</f>
      </c>
    </row>
    <row r="37" spans="1:11" hidden="1" x14ac:dyDescent="0.2">
      <c r="A37" s="860"/>
      <c r="B37" s="860"/>
      <c r="C37" s="860"/>
      <c r="D37" s="860"/>
      <c r="E37" s="860"/>
      <c r="F37" s="142"/>
    </row>
    <row r="38" spans="1:11" hidden="1" x14ac:dyDescent="0.2">
      <c r="A38" s="860"/>
      <c r="B38" s="860"/>
      <c r="C38" s="860"/>
      <c r="D38" s="860"/>
      <c r="E38" s="860"/>
      <c r="F38" s="142"/>
    </row>
    <row r="39" spans="1:11" hidden="1" x14ac:dyDescent="0.2">
      <c r="A39" s="65" t="s">
        <v>10574</v>
      </c>
      <c r="B39" s="539" t="str">
        <f>ver</f>
        <v>TA2_e-CO_2025_Ver 1.1</v>
      </c>
      <c r="C39" s="860"/>
      <c r="D39" s="860"/>
      <c r="E39" s="65" t="s">
        <v>1679</v>
      </c>
      <c r="F39" s="142"/>
      <c r="G39" s="142">
        <f>IF(K33=0,0,IF(G36&lt;&gt;0,100,IF(D34=y,1,100)))</f>
      </c>
    </row>
    <row r="40" spans="1:11" ht="7.5" hidden="1" customHeight="1" x14ac:dyDescent="0.2">
      <c r="A40" s="860"/>
      <c r="B40" s="860"/>
      <c r="C40" s="860"/>
      <c r="D40" s="860"/>
      <c r="E40" s="860"/>
      <c r="F40" s="142"/>
    </row>
    <row r="41" spans="1:11" hidden="1" x14ac:dyDescent="0.2">
      <c r="A41" s="860"/>
      <c r="B41" s="1410"/>
      <c r="C41" s="860"/>
      <c r="D41" s="860"/>
      <c r="E41" s="860"/>
      <c r="F41" s="142"/>
    </row>
  </sheetData>
  <sheetProtection algorithmName="SHA-512" hashValue="LX7/iIuWPK2IcL0OQeWViSTyKHHcNw4FeOehZzljkTNnUVqBAmJy2n3QvXWkVDFVaGMH7/1cvTeiqNO7zswGWA==" saltValue="dJQVxXZGFffg4l8pSXCJAg==" spinCount="100000" sheet="1" objects="1" scenarios="1"/>
  <customSheetViews>
    <customSheetView guid="{99B5278F-6EA9-4B1A-8623-27A4DF4AD5E4}" hiddenRows="1" hiddenColumns="1">
      <selection sqref="A1:D1"/>
      <pageMargins left="0.75" right="0.75" top="1" bottom="1" header="0.5" footer="0.5"/>
      <pageSetup paperSize="9" orientation="landscape" horizontalDpi="200" verticalDpi="200" r:id="rId1"/>
      <headerFooter alignWithMargins="0"/>
    </customSheetView>
  </customSheetViews>
  <mergeCells count="2">
    <mergeCell ref="B34:C34"/>
    <mergeCell ref="A1:D1"/>
  </mergeCells>
  <phoneticPr fontId="120" type="noConversion"/>
  <conditionalFormatting sqref="B24">
    <cfRule type="expression" dxfId="466" priority="1" stopIfTrue="1">
      <formula>ya=2011</formula>
    </cfRule>
  </conditionalFormatting>
  <conditionalFormatting sqref="C24">
    <cfRule type="expression" dxfId="465" priority="3" stopIfTrue="1">
      <formula>ya=2011</formula>
    </cfRule>
  </conditionalFormatting>
  <conditionalFormatting sqref="C26 C29">
    <cfRule type="expression" dxfId="464" priority="2" stopIfTrue="1">
      <formula>$E$26=nob</formula>
    </cfRule>
  </conditionalFormatting>
  <conditionalFormatting sqref="E19">
    <cfRule type="expression" dxfId="463" priority="4" stopIfTrue="1">
      <formula>$C$19&gt;$M$19</formula>
    </cfRule>
  </conditionalFormatting>
  <dataValidations count="8">
    <dataValidation type="whole" allowBlank="1" showInputMessage="1" showErrorMessage="1" errorTitle="Tax credit utilised" error="Cannot be more than tax credits available!" sqref="C26" xr:uid="{00000000-0002-0000-3A00-000000000000}">
      <formula1>0</formula1>
      <formula2>C25</formula2>
    </dataValidation>
    <dataValidation type="whole" errorStyle="warning" allowBlank="1" showInputMessage="1" showErrorMessage="1" errorTitle="Income relieved by tax credit" error="Are you sure the amount entered is correct?" sqref="C29" xr:uid="{00000000-0002-0000-3A00-000001000000}">
      <formula1>N29</formula1>
      <formula2>M29</formula2>
    </dataValidation>
    <dataValidation type="date" allowBlank="1" showInputMessage="1" showErrorMessage="1" errorTitle="Date of approval" error="Please enter the correct date!" promptTitle="Date format" prompt="dd/mm/yyyy" sqref="C14" xr:uid="{00000000-0002-0000-3A00-000002000000}">
      <formula1>M14</formula1>
      <formula2>N14</formula2>
    </dataValidation>
    <dataValidation type="whole" allowBlank="1" showInputMessage="1" showErrorMessage="1" errorTitle="First year of assessment" error="Please enter the correct year of assessment expressed as four digits!" sqref="C17" xr:uid="{00000000-0002-0000-3A00-000003000000}">
      <formula1>2011</formula1>
      <formula2>2014</formula2>
    </dataValidation>
    <dataValidation type="list" showInputMessage="1" showErrorMessage="1" sqref="D34 D32" xr:uid="{00000000-0002-0000-3A00-000004000000}">
      <formula1>yn</formula1>
    </dataValidation>
    <dataValidation type="textLength" operator="greaterThanOrEqual" allowBlank="1" showInputMessage="1" showErrorMessage="1" errorTitle="Certificate number" error="Please enter the correct reference!" sqref="C13" xr:uid="{00000000-0002-0000-3A00-000005000000}">
      <formula1>5</formula1>
    </dataValidation>
    <dataValidation type="whole" errorStyle="warning" allowBlank="1" showInputMessage="1" showErrorMessage="1" errorTitle="Approved tax credit" error="More than 60% of eligible costs!" sqref="C19" xr:uid="{00000000-0002-0000-3A00-000006000000}">
      <formula1>0</formula1>
      <formula2>M19</formula2>
    </dataValidation>
    <dataValidation type="whole" operator="greaterThanOrEqual" allowBlank="1" showInputMessage="1" showErrorMessage="1" errorTitle="Approved eligible cost" error="Please enter a positive value!" sqref="C18" xr:uid="{00000000-0002-0000-3A00-000007000000}">
      <formula1>0</formula1>
    </dataValidation>
  </dataValidations>
  <pageMargins left="0.75" right="0.75" top="1" bottom="1" header="0.5" footer="0.5"/>
  <pageSetup paperSize="9" orientation="landscape" horizontalDpi="200" verticalDpi="200" r:id="rId2"/>
  <headerFooter alignWithMargins="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8">
    <pageSetUpPr fitToPage="1"/>
  </sheetPr>
  <dimension ref="A1:T126"/>
  <sheetViews>
    <sheetView workbookViewId="0"/>
  </sheetViews>
  <sheetFormatPr defaultColWidth="0" defaultRowHeight="12.75" zeroHeight="1" x14ac:dyDescent="0.2"/>
  <cols>
    <col min="1" max="1" width="2.5703125" style="28" customWidth="1"/>
    <col min="2" max="2" width="12.28515625" style="28" customWidth="1"/>
    <col min="3" max="3" width="17.7109375" style="28" customWidth="1"/>
    <col min="4" max="4" width="46" style="28" customWidth="1"/>
    <col min="5" max="5" width="10.28515625" style="28" customWidth="1"/>
    <col min="6" max="7" width="10.7109375" style="28" customWidth="1"/>
    <col min="8" max="8" width="11.42578125" style="28" customWidth="1"/>
    <col min="9" max="9" width="11" style="28" customWidth="1"/>
    <col min="10" max="10" width="14.28515625" style="28" customWidth="1"/>
    <col min="11" max="11" width="13.7109375" style="28" hidden="1" customWidth="1"/>
    <col min="12" max="12" width="10.7109375" style="28" hidden="1" customWidth="1"/>
    <col min="13" max="16" width="9.28515625" style="28" hidden="1" customWidth="1"/>
    <col min="17" max="18" width="10.28515625" style="28" hidden="1" customWidth="1"/>
    <col min="19" max="16384" width="9.28515625" style="28" hidden="1"/>
  </cols>
  <sheetData>
    <row r="1" spans="1:20" x14ac:dyDescent="0.2">
      <c r="A1" s="3"/>
      <c r="B1" s="3" t="str">
        <f>_ref1</f>
      </c>
      <c r="C1" s="3"/>
      <c r="D1" s="3"/>
      <c r="E1" s="3"/>
      <c r="F1" s="3"/>
      <c r="G1" s="3"/>
      <c r="H1" s="72" t="str">
        <f>_YA1</f>
      </c>
      <c r="I1" s="3"/>
      <c r="J1" s="3"/>
    </row>
    <row r="2" spans="1:20" ht="4.5" customHeight="1" x14ac:dyDescent="0.2">
      <c r="A2" s="3"/>
      <c r="B2" s="3"/>
      <c r="C2" s="3"/>
      <c r="D2" s="3"/>
      <c r="E2" s="3"/>
      <c r="F2" s="3"/>
      <c r="G2" s="3"/>
      <c r="H2" s="3"/>
      <c r="I2" s="3"/>
      <c r="J2" s="3"/>
    </row>
    <row r="3" spans="1:20" ht="18" x14ac:dyDescent="0.25">
      <c r="A3" s="3"/>
      <c r="B3" s="4891" t="s">
        <v>7727</v>
      </c>
      <c r="C3" s="4892"/>
      <c r="D3" s="4892"/>
      <c r="E3" s="4892"/>
      <c r="F3" s="4892"/>
      <c r="G3" s="4892"/>
      <c r="H3" s="4893"/>
      <c r="I3" s="3"/>
      <c r="J3" s="3"/>
      <c r="L3" s="28" t="s">
        <v>6229</v>
      </c>
      <c r="T3" s="28" t="str">
        <f>nd</f>
        <v xml:space="preserve"> No deduction!</v>
      </c>
    </row>
    <row r="4" spans="1:20" ht="18" x14ac:dyDescent="0.25">
      <c r="A4" s="3"/>
      <c r="B4" s="4894" t="s">
        <v>4472</v>
      </c>
      <c r="C4" s="4895"/>
      <c r="D4" s="4895"/>
      <c r="E4" s="4895"/>
      <c r="F4" s="4895"/>
      <c r="G4" s="4895"/>
      <c r="H4" s="4896"/>
      <c r="I4" s="3"/>
      <c r="J4" s="3"/>
      <c r="T4" s="28" t="str">
        <f>res</f>
      </c>
    </row>
    <row r="5" spans="1:20" ht="4.5" customHeight="1" x14ac:dyDescent="0.2">
      <c r="A5" s="3"/>
      <c r="B5" s="3"/>
      <c r="C5" s="3"/>
      <c r="D5" s="3"/>
      <c r="E5" s="3"/>
      <c r="F5" s="3"/>
      <c r="G5" s="3"/>
      <c r="H5" s="3"/>
      <c r="I5" s="3"/>
      <c r="J5" s="3"/>
    </row>
    <row r="6" spans="1:20" ht="14.25" x14ac:dyDescent="0.2">
      <c r="A6" s="3"/>
      <c r="B6" s="327" t="s">
        <v>7718</v>
      </c>
      <c r="C6" s="1149"/>
      <c r="D6" s="1149"/>
      <c r="E6" s="1149"/>
      <c r="F6" s="1149"/>
      <c r="G6" s="1149"/>
      <c r="H6" s="1149"/>
      <c r="I6" s="3"/>
      <c r="J6" s="3"/>
      <c r="O6" s="28" t="s">
        <v>4478</v>
      </c>
      <c r="T6" s="28" t="str">
        <f>adet</f>
      </c>
    </row>
    <row r="7" spans="1:20" hidden="1" x14ac:dyDescent="0.2">
      <c r="A7" s="3"/>
      <c r="B7" s="3"/>
      <c r="C7" s="3"/>
      <c r="D7" s="3"/>
      <c r="E7" s="3"/>
      <c r="F7" s="3"/>
      <c r="G7" s="3"/>
      <c r="H7" s="3"/>
      <c r="I7" s="3"/>
      <c r="J7" s="3"/>
    </row>
    <row r="8" spans="1:20" ht="5.25" customHeight="1" x14ac:dyDescent="0.2">
      <c r="A8" s="3"/>
      <c r="B8" s="3"/>
      <c r="C8" s="3"/>
      <c r="D8" s="3"/>
      <c r="E8" s="3"/>
      <c r="F8" s="3"/>
      <c r="G8" s="3"/>
      <c r="H8" s="3"/>
      <c r="I8" s="3"/>
      <c r="J8" s="3"/>
    </row>
    <row r="9" spans="1:20" ht="18" x14ac:dyDescent="0.25">
      <c r="A9" s="3"/>
      <c r="B9" s="4891" t="s">
        <v>7717</v>
      </c>
      <c r="C9" s="4892"/>
      <c r="D9" s="4892"/>
      <c r="E9" s="4892"/>
      <c r="F9" s="4892"/>
      <c r="G9" s="4892"/>
      <c r="H9" s="4893"/>
      <c r="I9" s="3"/>
      <c r="J9" s="3"/>
      <c r="O9" s="28" t="s">
        <v>4591</v>
      </c>
    </row>
    <row r="10" spans="1:20" ht="48" x14ac:dyDescent="0.2">
      <c r="A10" s="3"/>
      <c r="B10" s="1418" t="s">
        <v>4473</v>
      </c>
      <c r="C10" s="1418" t="s">
        <v>4474</v>
      </c>
      <c r="D10" s="1418" t="s">
        <v>4475</v>
      </c>
      <c r="E10" s="1418" t="s">
        <v>4476</v>
      </c>
      <c r="F10" s="1418" t="s">
        <v>4477</v>
      </c>
      <c r="G10" s="1418" t="s">
        <v>7720</v>
      </c>
      <c r="H10" s="1418" t="s">
        <v>7719</v>
      </c>
      <c r="I10" s="2171" t="str">
        <f>IF(M61=0,"",IF(H$120=L$120,nd,""))</f>
        <v/>
      </c>
      <c r="J10" s="3"/>
      <c r="L10" s="1778" t="s">
        <v>7721</v>
      </c>
      <c r="N10" s="28">
        <f>IF(O10=O9,1,0)</f>
      </c>
      <c r="O10" s="28" t="str">
        <f>cur</f>
      </c>
    </row>
    <row r="11" spans="1:20" x14ac:dyDescent="0.2">
      <c r="A11" s="3"/>
      <c r="B11" s="1277"/>
      <c r="C11" s="1277"/>
      <c r="D11" s="698"/>
      <c r="E11" s="1278"/>
      <c r="F11" s="339"/>
      <c r="G11" s="811"/>
      <c r="H11" s="1420">
        <f>N11</f>
      </c>
      <c r="I11" s="1276" t="str">
        <f t="shared" ref="I11:I21" si="0">IF(M11=0,"",IF(M11&lt;&gt;6,adet,IF(AND($N$10=1,N11&lt;O11),res,"")))</f>
        <v/>
      </c>
      <c r="J11" s="3"/>
      <c r="K11" s="28">
        <f t="shared" ref="K11:K21" si="1">IF(I11="",0,IF(I11=res,0,1))</f>
      </c>
      <c r="L11" s="1948">
        <f>IF(F11+G11&lt;0,0,F11+G11)</f>
      </c>
      <c r="M11" s="1742">
        <f>COUNTA(B11:G11)</f>
      </c>
      <c r="N11" s="1742">
        <f>IF($N$10=0,O11,IF(O11&gt;40000,40000,O11))</f>
      </c>
      <c r="O11" s="1742">
        <f>ROUND(L11*1.5,0)</f>
      </c>
      <c r="Q11" s="74">
        <v>40544</v>
      </c>
      <c r="R11" s="74">
        <f>DATE(ya-1,12,31)</f>
      </c>
    </row>
    <row r="12" spans="1:20" x14ac:dyDescent="0.2">
      <c r="A12" s="3"/>
      <c r="B12" s="1277"/>
      <c r="C12" s="1277"/>
      <c r="D12" s="698"/>
      <c r="E12" s="1278"/>
      <c r="F12" s="339"/>
      <c r="G12" s="811"/>
      <c r="H12" s="1420">
        <f t="shared" ref="H12:H21" si="2">N12</f>
      </c>
      <c r="I12" s="1276" t="str">
        <f t="shared" si="0"/>
        <v/>
      </c>
      <c r="J12" s="3"/>
      <c r="K12" s="28">
        <f t="shared" si="1"/>
        <v>0</v>
      </c>
      <c r="L12" s="1948">
        <f t="shared" ref="L12:L21" si="3">IF(F12+G12&lt;0,0,F12+G12)</f>
      </c>
      <c r="M12" s="1742">
        <f t="shared" ref="M12:M21" si="4">COUNTA(B12:G12)</f>
      </c>
      <c r="N12" s="1742">
        <f t="shared" ref="N12:N21" si="5">IF($N$10=0,O12,IF(O12&gt;40000,40000,O12))</f>
      </c>
      <c r="O12" s="1742">
        <f t="shared" ref="O12:O21" si="6">ROUND(L12*1.5,0)</f>
      </c>
    </row>
    <row r="13" spans="1:20" x14ac:dyDescent="0.2">
      <c r="A13" s="3"/>
      <c r="B13" s="1277"/>
      <c r="C13" s="1277"/>
      <c r="D13" s="698"/>
      <c r="E13" s="1278"/>
      <c r="F13" s="339"/>
      <c r="G13" s="811"/>
      <c r="H13" s="1420">
        <f t="shared" si="2"/>
        <v>0</v>
      </c>
      <c r="I13" s="1276" t="str">
        <f t="shared" si="0"/>
        <v/>
      </c>
      <c r="J13" s="3"/>
      <c r="K13" s="28">
        <f t="shared" si="1"/>
        <v>0</v>
      </c>
      <c r="L13" s="1948">
        <f t="shared" si="3"/>
        <v>0</v>
      </c>
      <c r="M13" s="1742">
        <f t="shared" si="4"/>
        <v>0</v>
      </c>
      <c r="N13" s="1742">
        <f t="shared" si="5"/>
        <v>0</v>
      </c>
      <c r="O13" s="1742">
        <f t="shared" si="6"/>
        <v>0</v>
      </c>
    </row>
    <row r="14" spans="1:20" x14ac:dyDescent="0.2">
      <c r="A14" s="3"/>
      <c r="B14" s="1277"/>
      <c r="C14" s="1277"/>
      <c r="D14" s="698"/>
      <c r="E14" s="1278"/>
      <c r="F14" s="339"/>
      <c r="G14" s="811"/>
      <c r="H14" s="1420">
        <f t="shared" si="2"/>
        <v>0</v>
      </c>
      <c r="I14" s="1276" t="str">
        <f t="shared" si="0"/>
        <v/>
      </c>
      <c r="J14" s="3"/>
      <c r="K14" s="28">
        <f t="shared" si="1"/>
        <v>0</v>
      </c>
      <c r="L14" s="1948">
        <f t="shared" si="3"/>
        <v>0</v>
      </c>
      <c r="M14" s="1742">
        <f t="shared" si="4"/>
        <v>0</v>
      </c>
      <c r="N14" s="1742">
        <f t="shared" si="5"/>
        <v>0</v>
      </c>
      <c r="O14" s="1742">
        <f t="shared" si="6"/>
        <v>0</v>
      </c>
    </row>
    <row r="15" spans="1:20" x14ac:dyDescent="0.2">
      <c r="A15" s="3"/>
      <c r="B15" s="1277"/>
      <c r="C15" s="1277"/>
      <c r="D15" s="698"/>
      <c r="E15" s="1278"/>
      <c r="F15" s="339"/>
      <c r="G15" s="811"/>
      <c r="H15" s="1420">
        <f t="shared" si="2"/>
        <v>0</v>
      </c>
      <c r="I15" s="1276" t="str">
        <f t="shared" si="0"/>
        <v/>
      </c>
      <c r="J15" s="3"/>
      <c r="K15" s="28">
        <f t="shared" si="1"/>
        <v>0</v>
      </c>
      <c r="L15" s="1948">
        <f t="shared" si="3"/>
        <v>0</v>
      </c>
      <c r="M15" s="1742">
        <f t="shared" si="4"/>
        <v>0</v>
      </c>
      <c r="N15" s="1742">
        <f t="shared" si="5"/>
        <v>0</v>
      </c>
      <c r="O15" s="1742">
        <f t="shared" si="6"/>
        <v>0</v>
      </c>
    </row>
    <row r="16" spans="1:20" x14ac:dyDescent="0.2">
      <c r="A16" s="3"/>
      <c r="B16" s="1277"/>
      <c r="C16" s="1277"/>
      <c r="D16" s="698"/>
      <c r="E16" s="1278"/>
      <c r="F16" s="339"/>
      <c r="G16" s="811"/>
      <c r="H16" s="1420">
        <f t="shared" si="2"/>
        <v>0</v>
      </c>
      <c r="I16" s="1276" t="str">
        <f t="shared" si="0"/>
        <v/>
      </c>
      <c r="J16" s="3"/>
      <c r="K16" s="28">
        <f t="shared" si="1"/>
        <v>0</v>
      </c>
      <c r="L16" s="1948">
        <f t="shared" si="3"/>
        <v>0</v>
      </c>
      <c r="M16" s="1742">
        <f t="shared" si="4"/>
        <v>0</v>
      </c>
      <c r="N16" s="1742">
        <f t="shared" si="5"/>
        <v>0</v>
      </c>
      <c r="O16" s="1742">
        <f t="shared" si="6"/>
        <v>0</v>
      </c>
    </row>
    <row r="17" spans="1:15" x14ac:dyDescent="0.2">
      <c r="A17" s="3"/>
      <c r="B17" s="1277"/>
      <c r="C17" s="1277"/>
      <c r="D17" s="698"/>
      <c r="E17" s="1278"/>
      <c r="F17" s="339"/>
      <c r="G17" s="811"/>
      <c r="H17" s="1420">
        <f t="shared" si="2"/>
        <v>0</v>
      </c>
      <c r="I17" s="1276" t="str">
        <f t="shared" si="0"/>
        <v/>
      </c>
      <c r="J17" s="3"/>
      <c r="K17" s="28">
        <f t="shared" si="1"/>
        <v>0</v>
      </c>
      <c r="L17" s="1948">
        <f t="shared" si="3"/>
        <v>0</v>
      </c>
      <c r="M17" s="1742">
        <f t="shared" si="4"/>
        <v>0</v>
      </c>
      <c r="N17" s="1742">
        <f t="shared" si="5"/>
        <v>0</v>
      </c>
      <c r="O17" s="1742">
        <f t="shared" si="6"/>
        <v>0</v>
      </c>
    </row>
    <row r="18" spans="1:15" x14ac:dyDescent="0.2">
      <c r="A18" s="3"/>
      <c r="B18" s="1277"/>
      <c r="C18" s="1277"/>
      <c r="D18" s="698"/>
      <c r="E18" s="1278"/>
      <c r="F18" s="339"/>
      <c r="G18" s="811"/>
      <c r="H18" s="1420">
        <f t="shared" si="2"/>
        <v>0</v>
      </c>
      <c r="I18" s="1276" t="str">
        <f t="shared" si="0"/>
        <v/>
      </c>
      <c r="J18" s="3"/>
      <c r="K18" s="28">
        <f t="shared" si="1"/>
        <v>0</v>
      </c>
      <c r="L18" s="1948">
        <f t="shared" si="3"/>
        <v>0</v>
      </c>
      <c r="M18" s="1742">
        <f t="shared" si="4"/>
        <v>0</v>
      </c>
      <c r="N18" s="1742">
        <f t="shared" si="5"/>
        <v>0</v>
      </c>
      <c r="O18" s="1742">
        <f t="shared" si="6"/>
        <v>0</v>
      </c>
    </row>
    <row r="19" spans="1:15" x14ac:dyDescent="0.2">
      <c r="A19" s="3"/>
      <c r="B19" s="1277"/>
      <c r="C19" s="1277"/>
      <c r="D19" s="698"/>
      <c r="E19" s="1278"/>
      <c r="F19" s="339"/>
      <c r="G19" s="811"/>
      <c r="H19" s="1420">
        <f t="shared" si="2"/>
        <v>0</v>
      </c>
      <c r="I19" s="1276" t="str">
        <f t="shared" si="0"/>
        <v/>
      </c>
      <c r="J19" s="3"/>
      <c r="K19" s="28">
        <f t="shared" si="1"/>
        <v>0</v>
      </c>
      <c r="L19" s="1948">
        <f t="shared" si="3"/>
        <v>0</v>
      </c>
      <c r="M19" s="1742">
        <f t="shared" si="4"/>
        <v>0</v>
      </c>
      <c r="N19" s="1742">
        <f t="shared" si="5"/>
        <v>0</v>
      </c>
      <c r="O19" s="1742">
        <f t="shared" si="6"/>
        <v>0</v>
      </c>
    </row>
    <row r="20" spans="1:15" x14ac:dyDescent="0.2">
      <c r="A20" s="3"/>
      <c r="B20" s="1277"/>
      <c r="C20" s="1277"/>
      <c r="D20" s="698"/>
      <c r="E20" s="1278"/>
      <c r="F20" s="339"/>
      <c r="G20" s="811"/>
      <c r="H20" s="1420">
        <f t="shared" si="2"/>
        <v>0</v>
      </c>
      <c r="I20" s="1276" t="str">
        <f t="shared" si="0"/>
        <v/>
      </c>
      <c r="J20" s="3"/>
      <c r="K20" s="28">
        <f t="shared" si="1"/>
        <v>0</v>
      </c>
      <c r="L20" s="1948">
        <f t="shared" si="3"/>
        <v>0</v>
      </c>
      <c r="M20" s="1742">
        <f t="shared" si="4"/>
        <v>0</v>
      </c>
      <c r="N20" s="1742">
        <f t="shared" si="5"/>
        <v>0</v>
      </c>
      <c r="O20" s="1742">
        <f t="shared" si="6"/>
        <v>0</v>
      </c>
    </row>
    <row r="21" spans="1:15" x14ac:dyDescent="0.2">
      <c r="A21" s="3"/>
      <c r="B21" s="1277"/>
      <c r="C21" s="1277"/>
      <c r="D21" s="698"/>
      <c r="E21" s="1278"/>
      <c r="F21" s="339"/>
      <c r="G21" s="811"/>
      <c r="H21" s="1420">
        <f t="shared" si="2"/>
        <v>0</v>
      </c>
      <c r="I21" s="1276" t="str">
        <f t="shared" si="0"/>
        <v/>
      </c>
      <c r="J21" s="3"/>
      <c r="K21" s="28">
        <f t="shared" si="1"/>
        <v>0</v>
      </c>
      <c r="L21" s="1948">
        <f t="shared" si="3"/>
        <v>0</v>
      </c>
      <c r="M21" s="1742">
        <f t="shared" si="4"/>
        <v>0</v>
      </c>
      <c r="N21" s="1742">
        <f t="shared" si="5"/>
        <v>0</v>
      </c>
      <c r="O21" s="1742">
        <f t="shared" si="6"/>
        <v>0</v>
      </c>
    </row>
    <row r="22" spans="1:15" x14ac:dyDescent="0.2">
      <c r="A22" s="3"/>
      <c r="B22" s="1277"/>
      <c r="C22" s="1277"/>
      <c r="D22" s="698"/>
      <c r="E22" s="1278"/>
      <c r="F22" s="339"/>
      <c r="G22" s="811"/>
      <c r="H22" s="1420">
        <f t="shared" ref="H22:H60" si="7">N22</f>
      </c>
      <c r="I22" s="1276" t="str">
        <f t="shared" ref="I22:I60" si="8">IF(M22=0,"",IF(M22&lt;&gt;6,adet,IF(AND($N$10=1,N22&lt;O22),res,"")))</f>
        <v/>
      </c>
      <c r="J22" s="3"/>
      <c r="K22" s="28">
        <f t="shared" ref="K22:K60" si="9">IF(I22="",0,IF(I22=res,0,1))</f>
      </c>
      <c r="L22" s="1948">
        <f t="shared" ref="L22:L60" si="10">IF(F22+G22&lt;0,0,F22+G22)</f>
      </c>
      <c r="M22" s="1742">
        <f t="shared" ref="M22:M60" si="11">COUNTA(B22:G22)</f>
      </c>
      <c r="N22" s="1742">
        <f t="shared" ref="N22:N60" si="12">IF($N$10=0,O22,IF(O22&gt;40000,40000,O22))</f>
      </c>
      <c r="O22" s="1742">
        <f t="shared" ref="O22:O60" si="13">ROUND(L22*1.5,0)</f>
      </c>
    </row>
    <row r="23" spans="1:15" x14ac:dyDescent="0.2">
      <c r="A23" s="3"/>
      <c r="B23" s="1277"/>
      <c r="C23" s="1277"/>
      <c r="D23" s="698"/>
      <c r="E23" s="1278"/>
      <c r="F23" s="339"/>
      <c r="G23" s="811"/>
      <c r="H23" s="1420">
        <f t="shared" si="7"/>
        <v>0</v>
      </c>
      <c r="I23" s="1276" t="str">
        <f t="shared" si="8"/>
        <v/>
      </c>
      <c r="J23" s="3"/>
      <c r="K23" s="28">
        <f t="shared" si="9"/>
        <v>0</v>
      </c>
      <c r="L23" s="1948">
        <f t="shared" si="10"/>
        <v>0</v>
      </c>
      <c r="M23" s="1742">
        <f t="shared" si="11"/>
        <v>0</v>
      </c>
      <c r="N23" s="1742">
        <f t="shared" si="12"/>
        <v>0</v>
      </c>
      <c r="O23" s="1742">
        <f t="shared" si="13"/>
        <v>0</v>
      </c>
    </row>
    <row r="24" spans="1:15" x14ac:dyDescent="0.2">
      <c r="A24" s="3"/>
      <c r="B24" s="1277"/>
      <c r="C24" s="1277"/>
      <c r="D24" s="698"/>
      <c r="E24" s="1278"/>
      <c r="F24" s="339"/>
      <c r="G24" s="811"/>
      <c r="H24" s="1420">
        <f t="shared" si="7"/>
        <v>0</v>
      </c>
      <c r="I24" s="1276" t="str">
        <f t="shared" si="8"/>
        <v/>
      </c>
      <c r="J24" s="3"/>
      <c r="K24" s="28">
        <f t="shared" si="9"/>
        <v>0</v>
      </c>
      <c r="L24" s="1948">
        <f t="shared" si="10"/>
        <v>0</v>
      </c>
      <c r="M24" s="1742">
        <f t="shared" si="11"/>
        <v>0</v>
      </c>
      <c r="N24" s="1742">
        <f t="shared" si="12"/>
        <v>0</v>
      </c>
      <c r="O24" s="1742">
        <f t="shared" si="13"/>
        <v>0</v>
      </c>
    </row>
    <row r="25" spans="1:15" x14ac:dyDescent="0.2">
      <c r="A25" s="3"/>
      <c r="B25" s="1277"/>
      <c r="C25" s="1277"/>
      <c r="D25" s="698"/>
      <c r="E25" s="1278"/>
      <c r="F25" s="339"/>
      <c r="G25" s="811"/>
      <c r="H25" s="1420">
        <f t="shared" si="7"/>
        <v>0</v>
      </c>
      <c r="I25" s="1276" t="str">
        <f t="shared" si="8"/>
        <v/>
      </c>
      <c r="J25" s="3"/>
      <c r="K25" s="28">
        <f t="shared" si="9"/>
        <v>0</v>
      </c>
      <c r="L25" s="1948">
        <f t="shared" si="10"/>
        <v>0</v>
      </c>
      <c r="M25" s="1742">
        <f t="shared" si="11"/>
        <v>0</v>
      </c>
      <c r="N25" s="1742">
        <f t="shared" si="12"/>
        <v>0</v>
      </c>
      <c r="O25" s="1742">
        <f t="shared" si="13"/>
        <v>0</v>
      </c>
    </row>
    <row r="26" spans="1:15" x14ac:dyDescent="0.2">
      <c r="A26" s="3"/>
      <c r="B26" s="1277"/>
      <c r="C26" s="1277"/>
      <c r="D26" s="698"/>
      <c r="E26" s="1278"/>
      <c r="F26" s="339"/>
      <c r="G26" s="811"/>
      <c r="H26" s="1420">
        <f t="shared" si="7"/>
        <v>0</v>
      </c>
      <c r="I26" s="1276" t="str">
        <f t="shared" si="8"/>
        <v/>
      </c>
      <c r="J26" s="3"/>
      <c r="K26" s="28">
        <f t="shared" si="9"/>
        <v>0</v>
      </c>
      <c r="L26" s="1948">
        <f t="shared" si="10"/>
        <v>0</v>
      </c>
      <c r="M26" s="1742">
        <f t="shared" si="11"/>
        <v>0</v>
      </c>
      <c r="N26" s="1742">
        <f t="shared" si="12"/>
        <v>0</v>
      </c>
      <c r="O26" s="1742">
        <f t="shared" si="13"/>
        <v>0</v>
      </c>
    </row>
    <row r="27" spans="1:15" x14ac:dyDescent="0.2">
      <c r="A27" s="3"/>
      <c r="B27" s="1277"/>
      <c r="C27" s="1277"/>
      <c r="D27" s="698"/>
      <c r="E27" s="1278"/>
      <c r="F27" s="339"/>
      <c r="G27" s="811"/>
      <c r="H27" s="1420">
        <f t="shared" si="7"/>
        <v>0</v>
      </c>
      <c r="I27" s="1276" t="str">
        <f t="shared" si="8"/>
        <v/>
      </c>
      <c r="J27" s="3"/>
      <c r="K27" s="28">
        <f t="shared" si="9"/>
        <v>0</v>
      </c>
      <c r="L27" s="1948">
        <f t="shared" si="10"/>
        <v>0</v>
      </c>
      <c r="M27" s="1742">
        <f t="shared" si="11"/>
        <v>0</v>
      </c>
      <c r="N27" s="1742">
        <f t="shared" si="12"/>
        <v>0</v>
      </c>
      <c r="O27" s="1742">
        <f t="shared" si="13"/>
        <v>0</v>
      </c>
    </row>
    <row r="28" spans="1:15" x14ac:dyDescent="0.2">
      <c r="A28" s="3"/>
      <c r="B28" s="1277"/>
      <c r="C28" s="1277"/>
      <c r="D28" s="698"/>
      <c r="E28" s="1278"/>
      <c r="F28" s="339"/>
      <c r="G28" s="811"/>
      <c r="H28" s="1420">
        <f t="shared" si="7"/>
        <v>0</v>
      </c>
      <c r="I28" s="1276" t="str">
        <f t="shared" si="8"/>
        <v/>
      </c>
      <c r="J28" s="3"/>
      <c r="K28" s="28">
        <f t="shared" si="9"/>
        <v>0</v>
      </c>
      <c r="L28" s="1948">
        <f t="shared" si="10"/>
        <v>0</v>
      </c>
      <c r="M28" s="1742">
        <f t="shared" si="11"/>
        <v>0</v>
      </c>
      <c r="N28" s="1742">
        <f t="shared" si="12"/>
        <v>0</v>
      </c>
      <c r="O28" s="1742">
        <f t="shared" si="13"/>
        <v>0</v>
      </c>
    </row>
    <row r="29" spans="1:15" x14ac:dyDescent="0.2">
      <c r="A29" s="3"/>
      <c r="B29" s="1277"/>
      <c r="C29" s="1277"/>
      <c r="D29" s="698"/>
      <c r="E29" s="1278"/>
      <c r="F29" s="339"/>
      <c r="G29" s="811"/>
      <c r="H29" s="1420">
        <f t="shared" si="7"/>
        <v>0</v>
      </c>
      <c r="I29" s="1276" t="str">
        <f t="shared" si="8"/>
        <v/>
      </c>
      <c r="J29" s="3"/>
      <c r="K29" s="28">
        <f t="shared" si="9"/>
        <v>0</v>
      </c>
      <c r="L29" s="1948">
        <f t="shared" si="10"/>
        <v>0</v>
      </c>
      <c r="M29" s="1742">
        <f t="shared" si="11"/>
        <v>0</v>
      </c>
      <c r="N29" s="1742">
        <f t="shared" si="12"/>
        <v>0</v>
      </c>
      <c r="O29" s="1742">
        <f t="shared" si="13"/>
        <v>0</v>
      </c>
    </row>
    <row r="30" spans="1:15" x14ac:dyDescent="0.2">
      <c r="A30" s="3"/>
      <c r="B30" s="1277"/>
      <c r="C30" s="1277"/>
      <c r="D30" s="698"/>
      <c r="E30" s="1278"/>
      <c r="F30" s="339"/>
      <c r="G30" s="811"/>
      <c r="H30" s="1420">
        <f t="shared" si="7"/>
        <v>0</v>
      </c>
      <c r="I30" s="1276" t="str">
        <f t="shared" si="8"/>
        <v/>
      </c>
      <c r="J30" s="3"/>
      <c r="K30" s="28">
        <f t="shared" si="9"/>
        <v>0</v>
      </c>
      <c r="L30" s="1948">
        <f t="shared" si="10"/>
        <v>0</v>
      </c>
      <c r="M30" s="1742">
        <f t="shared" si="11"/>
        <v>0</v>
      </c>
      <c r="N30" s="1742">
        <f t="shared" si="12"/>
        <v>0</v>
      </c>
      <c r="O30" s="1742">
        <f t="shared" si="13"/>
        <v>0</v>
      </c>
    </row>
    <row r="31" spans="1:15" x14ac:dyDescent="0.2">
      <c r="A31" s="3"/>
      <c r="B31" s="1277"/>
      <c r="C31" s="1277"/>
      <c r="D31" s="698"/>
      <c r="E31" s="1278"/>
      <c r="F31" s="339"/>
      <c r="G31" s="811"/>
      <c r="H31" s="1420">
        <f t="shared" si="7"/>
        <v>0</v>
      </c>
      <c r="I31" s="1276" t="str">
        <f t="shared" si="8"/>
        <v/>
      </c>
      <c r="J31" s="3"/>
      <c r="K31" s="28">
        <f t="shared" si="9"/>
        <v>0</v>
      </c>
      <c r="L31" s="1948">
        <f t="shared" si="10"/>
        <v>0</v>
      </c>
      <c r="M31" s="1742">
        <f t="shared" si="11"/>
        <v>0</v>
      </c>
      <c r="N31" s="1742">
        <f t="shared" si="12"/>
        <v>0</v>
      </c>
      <c r="O31" s="1742">
        <f t="shared" si="13"/>
        <v>0</v>
      </c>
    </row>
    <row r="32" spans="1:15" x14ac:dyDescent="0.2">
      <c r="A32" s="3"/>
      <c r="B32" s="1277"/>
      <c r="C32" s="1277"/>
      <c r="D32" s="698"/>
      <c r="E32" s="1278"/>
      <c r="F32" s="339"/>
      <c r="G32" s="811"/>
      <c r="H32" s="1420">
        <f t="shared" si="7"/>
        <v>0</v>
      </c>
      <c r="I32" s="1276" t="str">
        <f t="shared" si="8"/>
        <v/>
      </c>
      <c r="J32" s="3"/>
      <c r="K32" s="28">
        <f t="shared" si="9"/>
        <v>0</v>
      </c>
      <c r="L32" s="1948">
        <f t="shared" si="10"/>
        <v>0</v>
      </c>
      <c r="M32" s="1742">
        <f t="shared" si="11"/>
        <v>0</v>
      </c>
      <c r="N32" s="1742">
        <f t="shared" si="12"/>
        <v>0</v>
      </c>
      <c r="O32" s="1742">
        <f t="shared" si="13"/>
        <v>0</v>
      </c>
    </row>
    <row r="33" spans="1:15" x14ac:dyDescent="0.2">
      <c r="A33" s="3"/>
      <c r="B33" s="1277"/>
      <c r="C33" s="1277"/>
      <c r="D33" s="698"/>
      <c r="E33" s="1278"/>
      <c r="F33" s="339"/>
      <c r="G33" s="811"/>
      <c r="H33" s="1420">
        <f t="shared" si="7"/>
        <v>0</v>
      </c>
      <c r="I33" s="1276" t="str">
        <f t="shared" si="8"/>
        <v/>
      </c>
      <c r="J33" s="3"/>
      <c r="K33" s="28">
        <f t="shared" si="9"/>
        <v>0</v>
      </c>
      <c r="L33" s="1948">
        <f t="shared" si="10"/>
        <v>0</v>
      </c>
      <c r="M33" s="1742">
        <f t="shared" si="11"/>
        <v>0</v>
      </c>
      <c r="N33" s="1742">
        <f t="shared" si="12"/>
        <v>0</v>
      </c>
      <c r="O33" s="1742">
        <f t="shared" si="13"/>
        <v>0</v>
      </c>
    </row>
    <row r="34" spans="1:15" x14ac:dyDescent="0.2">
      <c r="A34" s="3"/>
      <c r="B34" s="1277"/>
      <c r="C34" s="1277"/>
      <c r="D34" s="698"/>
      <c r="E34" s="1278"/>
      <c r="F34" s="339"/>
      <c r="G34" s="811"/>
      <c r="H34" s="1420">
        <f t="shared" si="7"/>
        <v>0</v>
      </c>
      <c r="I34" s="1276" t="str">
        <f t="shared" si="8"/>
        <v/>
      </c>
      <c r="J34" s="3"/>
      <c r="K34" s="28">
        <f t="shared" si="9"/>
        <v>0</v>
      </c>
      <c r="L34" s="1948">
        <f t="shared" si="10"/>
        <v>0</v>
      </c>
      <c r="M34" s="1742">
        <f t="shared" si="11"/>
        <v>0</v>
      </c>
      <c r="N34" s="1742">
        <f t="shared" si="12"/>
        <v>0</v>
      </c>
      <c r="O34" s="1742">
        <f t="shared" si="13"/>
        <v>0</v>
      </c>
    </row>
    <row r="35" spans="1:15" x14ac:dyDescent="0.2">
      <c r="A35" s="3"/>
      <c r="B35" s="1277"/>
      <c r="C35" s="1277"/>
      <c r="D35" s="698"/>
      <c r="E35" s="1278"/>
      <c r="F35" s="339"/>
      <c r="G35" s="811"/>
      <c r="H35" s="1420">
        <f t="shared" si="7"/>
        <v>0</v>
      </c>
      <c r="I35" s="1276" t="str">
        <f t="shared" si="8"/>
        <v/>
      </c>
      <c r="J35" s="3"/>
      <c r="K35" s="28">
        <f t="shared" si="9"/>
        <v>0</v>
      </c>
      <c r="L35" s="1948">
        <f t="shared" si="10"/>
        <v>0</v>
      </c>
      <c r="M35" s="1742">
        <f t="shared" si="11"/>
        <v>0</v>
      </c>
      <c r="N35" s="1742">
        <f t="shared" si="12"/>
        <v>0</v>
      </c>
      <c r="O35" s="1742">
        <f t="shared" si="13"/>
        <v>0</v>
      </c>
    </row>
    <row r="36" spans="1:15" x14ac:dyDescent="0.2">
      <c r="A36" s="3"/>
      <c r="B36" s="1277"/>
      <c r="C36" s="1277"/>
      <c r="D36" s="698"/>
      <c r="E36" s="1278"/>
      <c r="F36" s="339"/>
      <c r="G36" s="811"/>
      <c r="H36" s="1420">
        <f t="shared" si="7"/>
        <v>0</v>
      </c>
      <c r="I36" s="1276" t="str">
        <f t="shared" si="8"/>
        <v/>
      </c>
      <c r="J36" s="3"/>
      <c r="K36" s="28">
        <f t="shared" si="9"/>
        <v>0</v>
      </c>
      <c r="L36" s="1948">
        <f t="shared" si="10"/>
        <v>0</v>
      </c>
      <c r="M36" s="1742">
        <f t="shared" si="11"/>
        <v>0</v>
      </c>
      <c r="N36" s="1742">
        <f t="shared" si="12"/>
        <v>0</v>
      </c>
      <c r="O36" s="1742">
        <f t="shared" si="13"/>
        <v>0</v>
      </c>
    </row>
    <row r="37" spans="1:15" x14ac:dyDescent="0.2">
      <c r="A37" s="3"/>
      <c r="B37" s="1277"/>
      <c r="C37" s="1277"/>
      <c r="D37" s="698"/>
      <c r="E37" s="1278"/>
      <c r="F37" s="339"/>
      <c r="G37" s="811"/>
      <c r="H37" s="1420">
        <f t="shared" si="7"/>
        <v>0</v>
      </c>
      <c r="I37" s="1276" t="str">
        <f t="shared" si="8"/>
        <v/>
      </c>
      <c r="J37" s="3"/>
      <c r="K37" s="28">
        <f t="shared" si="9"/>
        <v>0</v>
      </c>
      <c r="L37" s="1948">
        <f t="shared" si="10"/>
        <v>0</v>
      </c>
      <c r="M37" s="1742">
        <f t="shared" si="11"/>
        <v>0</v>
      </c>
      <c r="N37" s="1742">
        <f t="shared" si="12"/>
        <v>0</v>
      </c>
      <c r="O37" s="1742">
        <f t="shared" si="13"/>
        <v>0</v>
      </c>
    </row>
    <row r="38" spans="1:15" x14ac:dyDescent="0.2">
      <c r="A38" s="3"/>
      <c r="B38" s="1277"/>
      <c r="C38" s="1277"/>
      <c r="D38" s="698"/>
      <c r="E38" s="1278"/>
      <c r="F38" s="339"/>
      <c r="G38" s="811"/>
      <c r="H38" s="1420">
        <f t="shared" si="7"/>
        <v>0</v>
      </c>
      <c r="I38" s="1276" t="str">
        <f t="shared" si="8"/>
        <v/>
      </c>
      <c r="J38" s="3"/>
      <c r="K38" s="28">
        <f t="shared" si="9"/>
        <v>0</v>
      </c>
      <c r="L38" s="1948">
        <f t="shared" si="10"/>
        <v>0</v>
      </c>
      <c r="M38" s="1742">
        <f t="shared" si="11"/>
        <v>0</v>
      </c>
      <c r="N38" s="1742">
        <f t="shared" si="12"/>
        <v>0</v>
      </c>
      <c r="O38" s="1742">
        <f t="shared" si="13"/>
        <v>0</v>
      </c>
    </row>
    <row r="39" spans="1:15" x14ac:dyDescent="0.2">
      <c r="A39" s="3"/>
      <c r="B39" s="1277"/>
      <c r="C39" s="1277"/>
      <c r="D39" s="698"/>
      <c r="E39" s="1278"/>
      <c r="F39" s="339"/>
      <c r="G39" s="811"/>
      <c r="H39" s="1420">
        <f t="shared" si="7"/>
        <v>0</v>
      </c>
      <c r="I39" s="1276" t="str">
        <f t="shared" si="8"/>
        <v/>
      </c>
      <c r="J39" s="3"/>
      <c r="K39" s="28">
        <f t="shared" si="9"/>
        <v>0</v>
      </c>
      <c r="L39" s="1948">
        <f t="shared" si="10"/>
        <v>0</v>
      </c>
      <c r="M39" s="1742">
        <f t="shared" si="11"/>
        <v>0</v>
      </c>
      <c r="N39" s="1742">
        <f t="shared" si="12"/>
        <v>0</v>
      </c>
      <c r="O39" s="1742">
        <f t="shared" si="13"/>
        <v>0</v>
      </c>
    </row>
    <row r="40" spans="1:15" x14ac:dyDescent="0.2">
      <c r="A40" s="3"/>
      <c r="B40" s="1277"/>
      <c r="C40" s="1277"/>
      <c r="D40" s="698"/>
      <c r="E40" s="1278"/>
      <c r="F40" s="339"/>
      <c r="G40" s="811"/>
      <c r="H40" s="1420">
        <f t="shared" si="7"/>
        <v>0</v>
      </c>
      <c r="I40" s="1276" t="str">
        <f t="shared" si="8"/>
        <v/>
      </c>
      <c r="J40" s="3"/>
      <c r="K40" s="28">
        <f t="shared" si="9"/>
        <v>0</v>
      </c>
      <c r="L40" s="1948">
        <f t="shared" si="10"/>
        <v>0</v>
      </c>
      <c r="M40" s="1742">
        <f t="shared" si="11"/>
        <v>0</v>
      </c>
      <c r="N40" s="1742">
        <f t="shared" si="12"/>
        <v>0</v>
      </c>
      <c r="O40" s="1742">
        <f t="shared" si="13"/>
        <v>0</v>
      </c>
    </row>
    <row r="41" spans="1:15" x14ac:dyDescent="0.2">
      <c r="A41" s="3"/>
      <c r="B41" s="1277"/>
      <c r="C41" s="1277"/>
      <c r="D41" s="698"/>
      <c r="E41" s="1278"/>
      <c r="F41" s="339"/>
      <c r="G41" s="811"/>
      <c r="H41" s="1420">
        <f t="shared" si="7"/>
        <v>0</v>
      </c>
      <c r="I41" s="1276" t="str">
        <f t="shared" si="8"/>
        <v/>
      </c>
      <c r="J41" s="3"/>
      <c r="K41" s="28">
        <f t="shared" si="9"/>
        <v>0</v>
      </c>
      <c r="L41" s="1948">
        <f t="shared" si="10"/>
        <v>0</v>
      </c>
      <c r="M41" s="1742">
        <f t="shared" si="11"/>
        <v>0</v>
      </c>
      <c r="N41" s="1742">
        <f t="shared" si="12"/>
        <v>0</v>
      </c>
      <c r="O41" s="1742">
        <f t="shared" si="13"/>
        <v>0</v>
      </c>
    </row>
    <row r="42" spans="1:15" x14ac:dyDescent="0.2">
      <c r="A42" s="3"/>
      <c r="B42" s="1277"/>
      <c r="C42" s="1277"/>
      <c r="D42" s="698"/>
      <c r="E42" s="1278"/>
      <c r="F42" s="339"/>
      <c r="G42" s="811"/>
      <c r="H42" s="1420">
        <f t="shared" si="7"/>
        <v>0</v>
      </c>
      <c r="I42" s="1276" t="str">
        <f t="shared" si="8"/>
        <v/>
      </c>
      <c r="J42" s="3"/>
      <c r="K42" s="28">
        <f t="shared" si="9"/>
        <v>0</v>
      </c>
      <c r="L42" s="1948">
        <f t="shared" si="10"/>
        <v>0</v>
      </c>
      <c r="M42" s="1742">
        <f t="shared" si="11"/>
        <v>0</v>
      </c>
      <c r="N42" s="1742">
        <f t="shared" si="12"/>
        <v>0</v>
      </c>
      <c r="O42" s="1742">
        <f t="shared" si="13"/>
        <v>0</v>
      </c>
    </row>
    <row r="43" spans="1:15" x14ac:dyDescent="0.2">
      <c r="A43" s="3"/>
      <c r="B43" s="1277"/>
      <c r="C43" s="1277"/>
      <c r="D43" s="698"/>
      <c r="E43" s="1278"/>
      <c r="F43" s="339"/>
      <c r="G43" s="811"/>
      <c r="H43" s="1420">
        <f t="shared" si="7"/>
        <v>0</v>
      </c>
      <c r="I43" s="1276" t="str">
        <f t="shared" si="8"/>
        <v/>
      </c>
      <c r="J43" s="3"/>
      <c r="K43" s="28">
        <f t="shared" si="9"/>
        <v>0</v>
      </c>
      <c r="L43" s="1948">
        <f t="shared" si="10"/>
        <v>0</v>
      </c>
      <c r="M43" s="1742">
        <f t="shared" si="11"/>
        <v>0</v>
      </c>
      <c r="N43" s="1742">
        <f t="shared" si="12"/>
        <v>0</v>
      </c>
      <c r="O43" s="1742">
        <f t="shared" si="13"/>
        <v>0</v>
      </c>
    </row>
    <row r="44" spans="1:15" x14ac:dyDescent="0.2">
      <c r="A44" s="3"/>
      <c r="B44" s="1277"/>
      <c r="C44" s="1277"/>
      <c r="D44" s="698"/>
      <c r="E44" s="1278"/>
      <c r="F44" s="339"/>
      <c r="G44" s="811"/>
      <c r="H44" s="1420">
        <f t="shared" si="7"/>
        <v>0</v>
      </c>
      <c r="I44" s="1276" t="str">
        <f t="shared" si="8"/>
        <v/>
      </c>
      <c r="J44" s="3"/>
      <c r="K44" s="28">
        <f t="shared" si="9"/>
        <v>0</v>
      </c>
      <c r="L44" s="1948">
        <f t="shared" si="10"/>
        <v>0</v>
      </c>
      <c r="M44" s="1742">
        <f t="shared" si="11"/>
        <v>0</v>
      </c>
      <c r="N44" s="1742">
        <f t="shared" si="12"/>
        <v>0</v>
      </c>
      <c r="O44" s="1742">
        <f t="shared" si="13"/>
        <v>0</v>
      </c>
    </row>
    <row r="45" spans="1:15" x14ac:dyDescent="0.2">
      <c r="A45" s="3"/>
      <c r="B45" s="1277"/>
      <c r="C45" s="1277"/>
      <c r="D45" s="698"/>
      <c r="E45" s="1278"/>
      <c r="F45" s="339"/>
      <c r="G45" s="811"/>
      <c r="H45" s="1420">
        <f t="shared" si="7"/>
        <v>0</v>
      </c>
      <c r="I45" s="1276" t="str">
        <f t="shared" si="8"/>
        <v/>
      </c>
      <c r="J45" s="3"/>
      <c r="K45" s="28">
        <f t="shared" si="9"/>
        <v>0</v>
      </c>
      <c r="L45" s="1948">
        <f t="shared" si="10"/>
        <v>0</v>
      </c>
      <c r="M45" s="1742">
        <f t="shared" si="11"/>
        <v>0</v>
      </c>
      <c r="N45" s="1742">
        <f t="shared" si="12"/>
        <v>0</v>
      </c>
      <c r="O45" s="1742">
        <f t="shared" si="13"/>
        <v>0</v>
      </c>
    </row>
    <row r="46" spans="1:15" x14ac:dyDescent="0.2">
      <c r="A46" s="3"/>
      <c r="B46" s="1277"/>
      <c r="C46" s="1277"/>
      <c r="D46" s="698"/>
      <c r="E46" s="1278"/>
      <c r="F46" s="339"/>
      <c r="G46" s="811"/>
      <c r="H46" s="1420">
        <f t="shared" si="7"/>
        <v>0</v>
      </c>
      <c r="I46" s="1276" t="str">
        <f t="shared" si="8"/>
        <v/>
      </c>
      <c r="J46" s="3"/>
      <c r="K46" s="28">
        <f t="shared" si="9"/>
        <v>0</v>
      </c>
      <c r="L46" s="1948">
        <f t="shared" si="10"/>
        <v>0</v>
      </c>
      <c r="M46" s="1742">
        <f t="shared" si="11"/>
        <v>0</v>
      </c>
      <c r="N46" s="1742">
        <f t="shared" si="12"/>
        <v>0</v>
      </c>
      <c r="O46" s="1742">
        <f t="shared" si="13"/>
        <v>0</v>
      </c>
    </row>
    <row r="47" spans="1:15" x14ac:dyDescent="0.2">
      <c r="A47" s="3"/>
      <c r="B47" s="1277"/>
      <c r="C47" s="1277"/>
      <c r="D47" s="698"/>
      <c r="E47" s="1278"/>
      <c r="F47" s="339"/>
      <c r="G47" s="811"/>
      <c r="H47" s="1420">
        <f t="shared" si="7"/>
        <v>0</v>
      </c>
      <c r="I47" s="1276" t="str">
        <f t="shared" si="8"/>
        <v/>
      </c>
      <c r="J47" s="3"/>
      <c r="K47" s="28">
        <f t="shared" si="9"/>
        <v>0</v>
      </c>
      <c r="L47" s="1948">
        <f t="shared" si="10"/>
        <v>0</v>
      </c>
      <c r="M47" s="1742">
        <f t="shared" si="11"/>
        <v>0</v>
      </c>
      <c r="N47" s="1742">
        <f t="shared" si="12"/>
        <v>0</v>
      </c>
      <c r="O47" s="1742">
        <f t="shared" si="13"/>
        <v>0</v>
      </c>
    </row>
    <row r="48" spans="1:15" x14ac:dyDescent="0.2">
      <c r="A48" s="3"/>
      <c r="B48" s="1277"/>
      <c r="C48" s="1277"/>
      <c r="D48" s="698"/>
      <c r="E48" s="1278"/>
      <c r="F48" s="339"/>
      <c r="G48" s="811"/>
      <c r="H48" s="1420">
        <f t="shared" si="7"/>
        <v>0</v>
      </c>
      <c r="I48" s="1276" t="str">
        <f t="shared" si="8"/>
        <v/>
      </c>
      <c r="J48" s="3"/>
      <c r="K48" s="28">
        <f t="shared" si="9"/>
        <v>0</v>
      </c>
      <c r="L48" s="1948">
        <f t="shared" si="10"/>
        <v>0</v>
      </c>
      <c r="M48" s="1742">
        <f t="shared" si="11"/>
        <v>0</v>
      </c>
      <c r="N48" s="1742">
        <f t="shared" si="12"/>
        <v>0</v>
      </c>
      <c r="O48" s="1742">
        <f t="shared" si="13"/>
        <v>0</v>
      </c>
    </row>
    <row r="49" spans="1:15" x14ac:dyDescent="0.2">
      <c r="A49" s="3"/>
      <c r="B49" s="1277"/>
      <c r="C49" s="1277"/>
      <c r="D49" s="698"/>
      <c r="E49" s="1278"/>
      <c r="F49" s="339"/>
      <c r="G49" s="811"/>
      <c r="H49" s="1420">
        <f t="shared" si="7"/>
        <v>0</v>
      </c>
      <c r="I49" s="1276" t="str">
        <f t="shared" si="8"/>
        <v/>
      </c>
      <c r="J49" s="3"/>
      <c r="K49" s="28">
        <f t="shared" si="9"/>
        <v>0</v>
      </c>
      <c r="L49" s="1948">
        <f t="shared" si="10"/>
        <v>0</v>
      </c>
      <c r="M49" s="1742">
        <f t="shared" si="11"/>
        <v>0</v>
      </c>
      <c r="N49" s="1742">
        <f t="shared" si="12"/>
        <v>0</v>
      </c>
      <c r="O49" s="1742">
        <f t="shared" si="13"/>
        <v>0</v>
      </c>
    </row>
    <row r="50" spans="1:15" x14ac:dyDescent="0.2">
      <c r="A50" s="3"/>
      <c r="B50" s="1277"/>
      <c r="C50" s="1277"/>
      <c r="D50" s="698"/>
      <c r="E50" s="1278"/>
      <c r="F50" s="339"/>
      <c r="G50" s="811"/>
      <c r="H50" s="1420">
        <f t="shared" si="7"/>
        <v>0</v>
      </c>
      <c r="I50" s="1276" t="str">
        <f t="shared" si="8"/>
        <v/>
      </c>
      <c r="J50" s="3"/>
      <c r="K50" s="28">
        <f t="shared" si="9"/>
        <v>0</v>
      </c>
      <c r="L50" s="1948">
        <f t="shared" si="10"/>
        <v>0</v>
      </c>
      <c r="M50" s="1742">
        <f t="shared" si="11"/>
        <v>0</v>
      </c>
      <c r="N50" s="1742">
        <f t="shared" si="12"/>
        <v>0</v>
      </c>
      <c r="O50" s="1742">
        <f t="shared" si="13"/>
        <v>0</v>
      </c>
    </row>
    <row r="51" spans="1:15" x14ac:dyDescent="0.2">
      <c r="A51" s="3"/>
      <c r="B51" s="1277"/>
      <c r="C51" s="1277"/>
      <c r="D51" s="698"/>
      <c r="E51" s="1278"/>
      <c r="F51" s="339"/>
      <c r="G51" s="811"/>
      <c r="H51" s="1420">
        <f t="shared" si="7"/>
        <v>0</v>
      </c>
      <c r="I51" s="1276" t="str">
        <f t="shared" si="8"/>
        <v/>
      </c>
      <c r="J51" s="3"/>
      <c r="K51" s="28">
        <f t="shared" si="9"/>
        <v>0</v>
      </c>
      <c r="L51" s="1948">
        <f t="shared" si="10"/>
        <v>0</v>
      </c>
      <c r="M51" s="1742">
        <f t="shared" si="11"/>
        <v>0</v>
      </c>
      <c r="N51" s="1742">
        <f t="shared" si="12"/>
        <v>0</v>
      </c>
      <c r="O51" s="1742">
        <f t="shared" si="13"/>
        <v>0</v>
      </c>
    </row>
    <row r="52" spans="1:15" x14ac:dyDescent="0.2">
      <c r="A52" s="3"/>
      <c r="B52" s="1277"/>
      <c r="C52" s="1277"/>
      <c r="D52" s="698"/>
      <c r="E52" s="1278"/>
      <c r="F52" s="339"/>
      <c r="G52" s="811"/>
      <c r="H52" s="1420">
        <f t="shared" si="7"/>
        <v>0</v>
      </c>
      <c r="I52" s="1276" t="str">
        <f t="shared" si="8"/>
        <v/>
      </c>
      <c r="J52" s="3"/>
      <c r="K52" s="28">
        <f t="shared" si="9"/>
        <v>0</v>
      </c>
      <c r="L52" s="1948">
        <f t="shared" si="10"/>
        <v>0</v>
      </c>
      <c r="M52" s="1742">
        <f t="shared" si="11"/>
        <v>0</v>
      </c>
      <c r="N52" s="1742">
        <f t="shared" si="12"/>
        <v>0</v>
      </c>
      <c r="O52" s="1742">
        <f t="shared" si="13"/>
        <v>0</v>
      </c>
    </row>
    <row r="53" spans="1:15" x14ac:dyDescent="0.2">
      <c r="A53" s="3"/>
      <c r="B53" s="1277"/>
      <c r="C53" s="1277"/>
      <c r="D53" s="698"/>
      <c r="E53" s="1278"/>
      <c r="F53" s="339"/>
      <c r="G53" s="811"/>
      <c r="H53" s="1420">
        <f t="shared" si="7"/>
        <v>0</v>
      </c>
      <c r="I53" s="1276" t="str">
        <f t="shared" si="8"/>
        <v/>
      </c>
      <c r="J53" s="3"/>
      <c r="K53" s="28">
        <f t="shared" si="9"/>
        <v>0</v>
      </c>
      <c r="L53" s="1948">
        <f t="shared" si="10"/>
        <v>0</v>
      </c>
      <c r="M53" s="1742">
        <f t="shared" si="11"/>
        <v>0</v>
      </c>
      <c r="N53" s="1742">
        <f t="shared" si="12"/>
        <v>0</v>
      </c>
      <c r="O53" s="1742">
        <f t="shared" si="13"/>
        <v>0</v>
      </c>
    </row>
    <row r="54" spans="1:15" x14ac:dyDescent="0.2">
      <c r="A54" s="3"/>
      <c r="B54" s="1277"/>
      <c r="C54" s="1277"/>
      <c r="D54" s="698"/>
      <c r="E54" s="1278"/>
      <c r="F54" s="339"/>
      <c r="G54" s="811"/>
      <c r="H54" s="1420">
        <f t="shared" si="7"/>
        <v>0</v>
      </c>
      <c r="I54" s="1276" t="str">
        <f t="shared" si="8"/>
        <v/>
      </c>
      <c r="J54" s="3"/>
      <c r="K54" s="28">
        <f t="shared" si="9"/>
        <v>0</v>
      </c>
      <c r="L54" s="1948">
        <f t="shared" si="10"/>
        <v>0</v>
      </c>
      <c r="M54" s="1742">
        <f t="shared" si="11"/>
        <v>0</v>
      </c>
      <c r="N54" s="1742">
        <f t="shared" si="12"/>
        <v>0</v>
      </c>
      <c r="O54" s="1742">
        <f t="shared" si="13"/>
        <v>0</v>
      </c>
    </row>
    <row r="55" spans="1:15" x14ac:dyDescent="0.2">
      <c r="A55" s="3"/>
      <c r="B55" s="1277"/>
      <c r="C55" s="1277"/>
      <c r="D55" s="698"/>
      <c r="E55" s="1278"/>
      <c r="F55" s="339"/>
      <c r="G55" s="811"/>
      <c r="H55" s="1420">
        <f t="shared" si="7"/>
        <v>0</v>
      </c>
      <c r="I55" s="1276" t="str">
        <f t="shared" si="8"/>
        <v/>
      </c>
      <c r="J55" s="3"/>
      <c r="K55" s="28">
        <f t="shared" si="9"/>
        <v>0</v>
      </c>
      <c r="L55" s="1948">
        <f t="shared" si="10"/>
        <v>0</v>
      </c>
      <c r="M55" s="1742">
        <f t="shared" si="11"/>
        <v>0</v>
      </c>
      <c r="N55" s="1742">
        <f t="shared" si="12"/>
        <v>0</v>
      </c>
      <c r="O55" s="1742">
        <f t="shared" si="13"/>
        <v>0</v>
      </c>
    </row>
    <row r="56" spans="1:15" x14ac:dyDescent="0.2">
      <c r="A56" s="3"/>
      <c r="B56" s="1277"/>
      <c r="C56" s="1277"/>
      <c r="D56" s="698"/>
      <c r="E56" s="1278"/>
      <c r="F56" s="339"/>
      <c r="G56" s="811"/>
      <c r="H56" s="1420">
        <f t="shared" si="7"/>
        <v>0</v>
      </c>
      <c r="I56" s="1276" t="str">
        <f t="shared" si="8"/>
        <v/>
      </c>
      <c r="J56" s="3"/>
      <c r="K56" s="28">
        <f t="shared" si="9"/>
        <v>0</v>
      </c>
      <c r="L56" s="1948">
        <f t="shared" si="10"/>
        <v>0</v>
      </c>
      <c r="M56" s="1742">
        <f t="shared" si="11"/>
        <v>0</v>
      </c>
      <c r="N56" s="1742">
        <f t="shared" si="12"/>
        <v>0</v>
      </c>
      <c r="O56" s="1742">
        <f t="shared" si="13"/>
        <v>0</v>
      </c>
    </row>
    <row r="57" spans="1:15" x14ac:dyDescent="0.2">
      <c r="A57" s="3"/>
      <c r="B57" s="1277"/>
      <c r="C57" s="1277"/>
      <c r="D57" s="698"/>
      <c r="E57" s="1278"/>
      <c r="F57" s="339"/>
      <c r="G57" s="811"/>
      <c r="H57" s="1420">
        <f t="shared" si="7"/>
        <v>0</v>
      </c>
      <c r="I57" s="1276" t="str">
        <f t="shared" si="8"/>
        <v/>
      </c>
      <c r="J57" s="3"/>
      <c r="K57" s="28">
        <f t="shared" si="9"/>
        <v>0</v>
      </c>
      <c r="L57" s="1948">
        <f t="shared" si="10"/>
        <v>0</v>
      </c>
      <c r="M57" s="1742">
        <f t="shared" si="11"/>
        <v>0</v>
      </c>
      <c r="N57" s="1742">
        <f t="shared" si="12"/>
        <v>0</v>
      </c>
      <c r="O57" s="1742">
        <f t="shared" si="13"/>
        <v>0</v>
      </c>
    </row>
    <row r="58" spans="1:15" x14ac:dyDescent="0.2">
      <c r="A58" s="3"/>
      <c r="B58" s="1277"/>
      <c r="C58" s="1277"/>
      <c r="D58" s="698"/>
      <c r="E58" s="1278"/>
      <c r="F58" s="339"/>
      <c r="G58" s="811"/>
      <c r="H58" s="1420">
        <f t="shared" si="7"/>
        <v>0</v>
      </c>
      <c r="I58" s="1276" t="str">
        <f t="shared" si="8"/>
        <v/>
      </c>
      <c r="J58" s="3"/>
      <c r="K58" s="28">
        <f t="shared" si="9"/>
        <v>0</v>
      </c>
      <c r="L58" s="1948">
        <f t="shared" si="10"/>
        <v>0</v>
      </c>
      <c r="M58" s="1742">
        <f t="shared" si="11"/>
        <v>0</v>
      </c>
      <c r="N58" s="1742">
        <f t="shared" si="12"/>
        <v>0</v>
      </c>
      <c r="O58" s="1742">
        <f t="shared" si="13"/>
        <v>0</v>
      </c>
    </row>
    <row r="59" spans="1:15" x14ac:dyDescent="0.2">
      <c r="A59" s="3"/>
      <c r="B59" s="1277"/>
      <c r="C59" s="1277"/>
      <c r="D59" s="698"/>
      <c r="E59" s="1278"/>
      <c r="F59" s="339"/>
      <c r="G59" s="811"/>
      <c r="H59" s="1420">
        <f t="shared" si="7"/>
        <v>0</v>
      </c>
      <c r="I59" s="1276" t="str">
        <f t="shared" si="8"/>
        <v/>
      </c>
      <c r="J59" s="3"/>
      <c r="K59" s="28">
        <f t="shared" si="9"/>
        <v>0</v>
      </c>
      <c r="L59" s="1948">
        <f t="shared" si="10"/>
        <v>0</v>
      </c>
      <c r="M59" s="1742">
        <f t="shared" si="11"/>
        <v>0</v>
      </c>
      <c r="N59" s="1742">
        <f t="shared" si="12"/>
        <v>0</v>
      </c>
      <c r="O59" s="1742">
        <f t="shared" si="13"/>
        <v>0</v>
      </c>
    </row>
    <row r="60" spans="1:15" x14ac:dyDescent="0.2">
      <c r="A60" s="3"/>
      <c r="B60" s="1277"/>
      <c r="C60" s="1277"/>
      <c r="D60" s="698"/>
      <c r="E60" s="1278"/>
      <c r="F60" s="339"/>
      <c r="G60" s="811"/>
      <c r="H60" s="1420">
        <f t="shared" si="7"/>
        <v>0</v>
      </c>
      <c r="I60" s="1276" t="str">
        <f t="shared" si="8"/>
        <v/>
      </c>
      <c r="J60" s="3"/>
      <c r="K60" s="28">
        <f t="shared" si="9"/>
        <v>0</v>
      </c>
      <c r="L60" s="1948">
        <f t="shared" si="10"/>
        <v>0</v>
      </c>
      <c r="M60" s="1742">
        <f t="shared" si="11"/>
        <v>0</v>
      </c>
      <c r="N60" s="1742">
        <f t="shared" si="12"/>
        <v>0</v>
      </c>
      <c r="O60" s="1742">
        <f t="shared" si="13"/>
        <v>0</v>
      </c>
    </row>
    <row r="61" spans="1:15" ht="14.25" customHeight="1" x14ac:dyDescent="0.2">
      <c r="A61" s="3"/>
      <c r="B61" s="5054" t="s">
        <v>7722</v>
      </c>
      <c r="C61" s="5054"/>
      <c r="D61" s="5054"/>
      <c r="E61" s="5054"/>
      <c r="F61" s="5054"/>
      <c r="G61" s="5054"/>
      <c r="H61" s="5054"/>
      <c r="I61" s="1420">
        <f>IF(I10=nd,0,SUM(H11:H60))</f>
      </c>
      <c r="J61" s="3"/>
      <c r="M61" s="28">
        <f>SUM(M11:M60)</f>
      </c>
    </row>
    <row r="62" spans="1:15" ht="7.5" customHeight="1" x14ac:dyDescent="0.2">
      <c r="A62" s="3"/>
      <c r="B62" s="3"/>
      <c r="C62" s="3"/>
      <c r="D62" s="3"/>
      <c r="E62" s="3"/>
      <c r="F62" s="3"/>
      <c r="G62" s="3"/>
      <c r="H62" s="3"/>
      <c r="I62" s="3"/>
      <c r="J62" s="3"/>
    </row>
    <row r="63" spans="1:15" ht="18" x14ac:dyDescent="0.25">
      <c r="A63" s="3"/>
      <c r="B63" s="4891" t="s">
        <v>7726</v>
      </c>
      <c r="C63" s="4892"/>
      <c r="D63" s="4892"/>
      <c r="E63" s="4892"/>
      <c r="F63" s="4892"/>
      <c r="G63" s="4892"/>
      <c r="H63" s="4893"/>
      <c r="I63" s="3"/>
      <c r="J63" s="3"/>
    </row>
    <row r="64" spans="1:15" ht="48" x14ac:dyDescent="0.2">
      <c r="A64" s="3"/>
      <c r="B64" s="1418" t="s">
        <v>4473</v>
      </c>
      <c r="C64" s="1418" t="s">
        <v>4474</v>
      </c>
      <c r="D64" s="1418" t="s">
        <v>4475</v>
      </c>
      <c r="E64" s="1418" t="s">
        <v>4476</v>
      </c>
      <c r="F64" s="1418" t="s">
        <v>4477</v>
      </c>
      <c r="G64" s="1418" t="s">
        <v>7720</v>
      </c>
      <c r="H64" s="1418" t="s">
        <v>6231</v>
      </c>
      <c r="I64" s="2171" t="str">
        <f>IF(M118=0,"",IF(H$120=L$120,nd,""))</f>
        <v/>
      </c>
      <c r="J64" s="1419"/>
    </row>
    <row r="65" spans="1:15" x14ac:dyDescent="0.2">
      <c r="A65" s="3"/>
      <c r="B65" s="1277"/>
      <c r="C65" s="1277"/>
      <c r="D65" s="698"/>
      <c r="E65" s="1278"/>
      <c r="F65" s="339"/>
      <c r="G65" s="811"/>
      <c r="H65" s="1420">
        <f>N65</f>
      </c>
      <c r="I65" s="1276" t="str">
        <f t="shared" ref="I65:I115" si="14">IF(M65=0,"",IF(M65&lt;&gt;6,adet,IF(AND($N$10=1,N65&lt;O65),res,"")))</f>
        <v/>
      </c>
      <c r="J65" s="3"/>
      <c r="K65" s="28">
        <f t="shared" ref="K65:K96" si="15">IF(I65="",0,IF(I65=res,0,1))</f>
      </c>
      <c r="L65" s="1948">
        <f>IF(F65+G65&lt;0,0,F65+G65)</f>
      </c>
      <c r="M65" s="1742">
        <f>COUNTA(B65:G65)</f>
      </c>
      <c r="N65" s="1742">
        <f>IF($N$10=0,O65,IF(O65&gt;30000,30000,O65))</f>
      </c>
      <c r="O65" s="1742">
        <f>ROUND(L65*1.25,0)</f>
      </c>
    </row>
    <row r="66" spans="1:15" x14ac:dyDescent="0.2">
      <c r="A66" s="3"/>
      <c r="B66" s="1277"/>
      <c r="C66" s="1277"/>
      <c r="D66" s="698"/>
      <c r="E66" s="1278"/>
      <c r="F66" s="339"/>
      <c r="G66" s="811"/>
      <c r="H66" s="1420">
        <f t="shared" ref="H66:H74" si="16">N66</f>
      </c>
      <c r="I66" s="1276" t="str">
        <f t="shared" si="14"/>
        <v/>
      </c>
      <c r="J66" s="3"/>
      <c r="K66" s="28">
        <f t="shared" si="15"/>
        <v>0</v>
      </c>
      <c r="L66" s="1948">
        <f t="shared" ref="L66:L74" si="17">IF(F66+G66&lt;0,0,F66+G66)</f>
      </c>
      <c r="M66" s="1742">
        <f t="shared" ref="M66:M74" si="18">COUNTA(B66:G66)</f>
      </c>
      <c r="N66" s="1742">
        <f t="shared" ref="N66:N74" si="19">IF($N$10=0,O66,IF(O66&gt;30000,30000,O66))</f>
      </c>
      <c r="O66" s="1742">
        <f t="shared" ref="O66:O74" si="20">ROUND(L66*1.25,0)</f>
      </c>
    </row>
    <row r="67" spans="1:15" x14ac:dyDescent="0.2">
      <c r="A67" s="3"/>
      <c r="B67" s="1277"/>
      <c r="C67" s="1277"/>
      <c r="D67" s="698"/>
      <c r="E67" s="1278"/>
      <c r="F67" s="339"/>
      <c r="G67" s="811"/>
      <c r="H67" s="1420">
        <f t="shared" si="16"/>
        <v>0</v>
      </c>
      <c r="I67" s="1276" t="str">
        <f t="shared" si="14"/>
        <v/>
      </c>
      <c r="J67" s="3"/>
      <c r="K67" s="28">
        <f t="shared" si="15"/>
        <v>0</v>
      </c>
      <c r="L67" s="1948">
        <f t="shared" si="17"/>
        <v>0</v>
      </c>
      <c r="M67" s="1742">
        <f t="shared" si="18"/>
        <v>0</v>
      </c>
      <c r="N67" s="1742">
        <f t="shared" si="19"/>
        <v>0</v>
      </c>
      <c r="O67" s="1742">
        <f t="shared" si="20"/>
        <v>0</v>
      </c>
    </row>
    <row r="68" spans="1:15" x14ac:dyDescent="0.2">
      <c r="A68" s="3"/>
      <c r="B68" s="1277"/>
      <c r="C68" s="1277"/>
      <c r="D68" s="698"/>
      <c r="E68" s="1278"/>
      <c r="F68" s="339"/>
      <c r="G68" s="811"/>
      <c r="H68" s="1420">
        <f t="shared" si="16"/>
        <v>0</v>
      </c>
      <c r="I68" s="1276" t="str">
        <f t="shared" si="14"/>
        <v/>
      </c>
      <c r="J68" s="3"/>
      <c r="K68" s="28">
        <f t="shared" si="15"/>
        <v>0</v>
      </c>
      <c r="L68" s="1948">
        <f t="shared" si="17"/>
        <v>0</v>
      </c>
      <c r="M68" s="1742">
        <f t="shared" si="18"/>
        <v>0</v>
      </c>
      <c r="N68" s="1742">
        <f t="shared" si="19"/>
        <v>0</v>
      </c>
      <c r="O68" s="1742">
        <f t="shared" si="20"/>
        <v>0</v>
      </c>
    </row>
    <row r="69" spans="1:15" x14ac:dyDescent="0.2">
      <c r="A69" s="3"/>
      <c r="B69" s="1277"/>
      <c r="C69" s="1277"/>
      <c r="D69" s="698"/>
      <c r="E69" s="1278"/>
      <c r="F69" s="339"/>
      <c r="G69" s="811"/>
      <c r="H69" s="1420">
        <f t="shared" si="16"/>
        <v>0</v>
      </c>
      <c r="I69" s="1276" t="str">
        <f t="shared" si="14"/>
        <v/>
      </c>
      <c r="J69" s="3"/>
      <c r="K69" s="28">
        <f t="shared" si="15"/>
        <v>0</v>
      </c>
      <c r="L69" s="1948">
        <f t="shared" si="17"/>
        <v>0</v>
      </c>
      <c r="M69" s="1742">
        <f t="shared" si="18"/>
        <v>0</v>
      </c>
      <c r="N69" s="1742">
        <f t="shared" si="19"/>
        <v>0</v>
      </c>
      <c r="O69" s="1742">
        <f t="shared" si="20"/>
        <v>0</v>
      </c>
    </row>
    <row r="70" spans="1:15" x14ac:dyDescent="0.2">
      <c r="A70" s="3"/>
      <c r="B70" s="1277"/>
      <c r="C70" s="1277"/>
      <c r="D70" s="698"/>
      <c r="E70" s="1278"/>
      <c r="F70" s="339"/>
      <c r="G70" s="811"/>
      <c r="H70" s="1420">
        <f t="shared" si="16"/>
        <v>0</v>
      </c>
      <c r="I70" s="1276" t="str">
        <f t="shared" si="14"/>
        <v/>
      </c>
      <c r="J70" s="3"/>
      <c r="K70" s="28">
        <f t="shared" si="15"/>
        <v>0</v>
      </c>
      <c r="L70" s="1948">
        <f t="shared" si="17"/>
        <v>0</v>
      </c>
      <c r="M70" s="1742">
        <f t="shared" si="18"/>
        <v>0</v>
      </c>
      <c r="N70" s="1742">
        <f t="shared" si="19"/>
        <v>0</v>
      </c>
      <c r="O70" s="1742">
        <f t="shared" si="20"/>
        <v>0</v>
      </c>
    </row>
    <row r="71" spans="1:15" x14ac:dyDescent="0.2">
      <c r="A71" s="3"/>
      <c r="B71" s="1277"/>
      <c r="C71" s="1277"/>
      <c r="D71" s="698"/>
      <c r="E71" s="1278"/>
      <c r="F71" s="339"/>
      <c r="G71" s="811"/>
      <c r="H71" s="1420">
        <f t="shared" si="16"/>
        <v>0</v>
      </c>
      <c r="I71" s="1276" t="str">
        <f t="shared" si="14"/>
        <v/>
      </c>
      <c r="J71" s="3"/>
      <c r="K71" s="28">
        <f t="shared" si="15"/>
        <v>0</v>
      </c>
      <c r="L71" s="1948">
        <f t="shared" si="17"/>
        <v>0</v>
      </c>
      <c r="M71" s="1742">
        <f t="shared" si="18"/>
        <v>0</v>
      </c>
      <c r="N71" s="1742">
        <f t="shared" si="19"/>
        <v>0</v>
      </c>
      <c r="O71" s="1742">
        <f t="shared" si="20"/>
        <v>0</v>
      </c>
    </row>
    <row r="72" spans="1:15" x14ac:dyDescent="0.2">
      <c r="A72" s="3"/>
      <c r="B72" s="1277"/>
      <c r="C72" s="1277"/>
      <c r="D72" s="698"/>
      <c r="E72" s="1278"/>
      <c r="F72" s="339"/>
      <c r="G72" s="811"/>
      <c r="H72" s="1420">
        <f t="shared" si="16"/>
        <v>0</v>
      </c>
      <c r="I72" s="1276" t="str">
        <f t="shared" si="14"/>
        <v/>
      </c>
      <c r="J72" s="3"/>
      <c r="K72" s="28">
        <f t="shared" si="15"/>
        <v>0</v>
      </c>
      <c r="L72" s="1948">
        <f t="shared" si="17"/>
        <v>0</v>
      </c>
      <c r="M72" s="1742">
        <f t="shared" si="18"/>
        <v>0</v>
      </c>
      <c r="N72" s="1742">
        <f t="shared" si="19"/>
        <v>0</v>
      </c>
      <c r="O72" s="1742">
        <f t="shared" si="20"/>
        <v>0</v>
      </c>
    </row>
    <row r="73" spans="1:15" x14ac:dyDescent="0.2">
      <c r="A73" s="3"/>
      <c r="B73" s="1277"/>
      <c r="C73" s="1277"/>
      <c r="D73" s="698"/>
      <c r="E73" s="1278"/>
      <c r="F73" s="339"/>
      <c r="G73" s="811"/>
      <c r="H73" s="1420">
        <f t="shared" si="16"/>
        <v>0</v>
      </c>
      <c r="I73" s="1276" t="str">
        <f t="shared" si="14"/>
        <v/>
      </c>
      <c r="J73" s="3"/>
      <c r="K73" s="28">
        <f t="shared" si="15"/>
        <v>0</v>
      </c>
      <c r="L73" s="1948">
        <f t="shared" si="17"/>
        <v>0</v>
      </c>
      <c r="M73" s="1742">
        <f t="shared" si="18"/>
        <v>0</v>
      </c>
      <c r="N73" s="1742">
        <f t="shared" si="19"/>
        <v>0</v>
      </c>
      <c r="O73" s="1742">
        <f t="shared" si="20"/>
        <v>0</v>
      </c>
    </row>
    <row r="74" spans="1:15" x14ac:dyDescent="0.2">
      <c r="A74" s="3"/>
      <c r="B74" s="1277"/>
      <c r="C74" s="1277"/>
      <c r="D74" s="698"/>
      <c r="E74" s="1278"/>
      <c r="F74" s="339"/>
      <c r="G74" s="811"/>
      <c r="H74" s="1420">
        <f t="shared" si="16"/>
        <v>0</v>
      </c>
      <c r="I74" s="1276" t="str">
        <f t="shared" si="14"/>
        <v/>
      </c>
      <c r="J74" s="3"/>
      <c r="K74" s="28">
        <f t="shared" si="15"/>
        <v>0</v>
      </c>
      <c r="L74" s="1948">
        <f t="shared" si="17"/>
        <v>0</v>
      </c>
      <c r="M74" s="1742">
        <f t="shared" si="18"/>
        <v>0</v>
      </c>
      <c r="N74" s="1742">
        <f t="shared" si="19"/>
        <v>0</v>
      </c>
      <c r="O74" s="1742">
        <f t="shared" si="20"/>
        <v>0</v>
      </c>
    </row>
    <row r="75" spans="1:15" x14ac:dyDescent="0.2">
      <c r="A75" s="3"/>
      <c r="B75" s="1277"/>
      <c r="C75" s="1277"/>
      <c r="D75" s="698"/>
      <c r="E75" s="1278"/>
      <c r="F75" s="339"/>
      <c r="G75" s="811"/>
      <c r="H75" s="1420">
        <f t="shared" ref="H75:H115" si="21">N75</f>
      </c>
      <c r="I75" s="1276" t="str">
        <f t="shared" si="14"/>
        <v/>
      </c>
      <c r="J75" s="3"/>
      <c r="K75" s="28">
        <f t="shared" si="15"/>
        <v>0</v>
      </c>
      <c r="L75" s="1948">
        <f t="shared" ref="L75:L115" si="22">IF(F75+G75&lt;0,0,F75+G75)</f>
      </c>
      <c r="M75" s="1742">
        <f t="shared" ref="M75:M115" si="23">COUNTA(B75:G75)</f>
      </c>
      <c r="N75" s="1742">
        <f t="shared" ref="N75:N115" si="24">IF($N$10=0,O75,IF(O75&gt;30000,30000,O75))</f>
      </c>
      <c r="O75" s="1742">
        <f t="shared" ref="O75:O115" si="25">ROUND(L75*1.25,0)</f>
      </c>
    </row>
    <row r="76" spans="1:15" x14ac:dyDescent="0.2">
      <c r="A76" s="3"/>
      <c r="B76" s="1277"/>
      <c r="C76" s="1277"/>
      <c r="D76" s="698"/>
      <c r="E76" s="1278"/>
      <c r="F76" s="339"/>
      <c r="G76" s="811"/>
      <c r="H76" s="1420">
        <f t="shared" si="21"/>
        <v>0</v>
      </c>
      <c r="I76" s="1276" t="str">
        <f t="shared" si="14"/>
        <v/>
      </c>
      <c r="J76" s="3"/>
      <c r="K76" s="28">
        <f t="shared" si="15"/>
        <v>0</v>
      </c>
      <c r="L76" s="1948">
        <f t="shared" si="22"/>
        <v>0</v>
      </c>
      <c r="M76" s="1742">
        <f t="shared" si="23"/>
        <v>0</v>
      </c>
      <c r="N76" s="1742">
        <f t="shared" si="24"/>
        <v>0</v>
      </c>
      <c r="O76" s="1742">
        <f t="shared" si="25"/>
        <v>0</v>
      </c>
    </row>
    <row r="77" spans="1:15" x14ac:dyDescent="0.2">
      <c r="A77" s="3"/>
      <c r="B77" s="1277"/>
      <c r="C77" s="1277"/>
      <c r="D77" s="698"/>
      <c r="E77" s="1278"/>
      <c r="F77" s="339"/>
      <c r="G77" s="811"/>
      <c r="H77" s="1420">
        <f t="shared" si="21"/>
        <v>0</v>
      </c>
      <c r="I77" s="1276" t="str">
        <f t="shared" si="14"/>
        <v/>
      </c>
      <c r="J77" s="3"/>
      <c r="K77" s="28">
        <f t="shared" si="15"/>
        <v>0</v>
      </c>
      <c r="L77" s="1948">
        <f t="shared" si="22"/>
        <v>0</v>
      </c>
      <c r="M77" s="1742">
        <f t="shared" si="23"/>
        <v>0</v>
      </c>
      <c r="N77" s="1742">
        <f t="shared" si="24"/>
        <v>0</v>
      </c>
      <c r="O77" s="1742">
        <f t="shared" si="25"/>
        <v>0</v>
      </c>
    </row>
    <row r="78" spans="1:15" x14ac:dyDescent="0.2">
      <c r="A78" s="3"/>
      <c r="B78" s="1277"/>
      <c r="C78" s="1277"/>
      <c r="D78" s="698"/>
      <c r="E78" s="1278"/>
      <c r="F78" s="339"/>
      <c r="G78" s="811"/>
      <c r="H78" s="1420">
        <f t="shared" si="21"/>
        <v>0</v>
      </c>
      <c r="I78" s="1276" t="str">
        <f t="shared" si="14"/>
        <v/>
      </c>
      <c r="J78" s="3"/>
      <c r="K78" s="28">
        <f t="shared" si="15"/>
        <v>0</v>
      </c>
      <c r="L78" s="1948">
        <f t="shared" si="22"/>
        <v>0</v>
      </c>
      <c r="M78" s="1742">
        <f t="shared" si="23"/>
        <v>0</v>
      </c>
      <c r="N78" s="1742">
        <f t="shared" si="24"/>
        <v>0</v>
      </c>
      <c r="O78" s="1742">
        <f t="shared" si="25"/>
        <v>0</v>
      </c>
    </row>
    <row r="79" spans="1:15" x14ac:dyDescent="0.2">
      <c r="A79" s="3"/>
      <c r="B79" s="1277"/>
      <c r="C79" s="1277"/>
      <c r="D79" s="698"/>
      <c r="E79" s="1278"/>
      <c r="F79" s="339"/>
      <c r="G79" s="811"/>
      <c r="H79" s="1420">
        <f t="shared" si="21"/>
        <v>0</v>
      </c>
      <c r="I79" s="1276" t="str">
        <f t="shared" si="14"/>
        <v/>
      </c>
      <c r="J79" s="3"/>
      <c r="K79" s="28">
        <f t="shared" si="15"/>
        <v>0</v>
      </c>
      <c r="L79" s="1948">
        <f t="shared" si="22"/>
        <v>0</v>
      </c>
      <c r="M79" s="1742">
        <f t="shared" si="23"/>
        <v>0</v>
      </c>
      <c r="N79" s="1742">
        <f t="shared" si="24"/>
        <v>0</v>
      </c>
      <c r="O79" s="1742">
        <f t="shared" si="25"/>
        <v>0</v>
      </c>
    </row>
    <row r="80" spans="1:15" x14ac:dyDescent="0.2">
      <c r="A80" s="3"/>
      <c r="B80" s="1277"/>
      <c r="C80" s="1277"/>
      <c r="D80" s="698"/>
      <c r="E80" s="1278"/>
      <c r="F80" s="339"/>
      <c r="G80" s="811"/>
      <c r="H80" s="1420">
        <f t="shared" si="21"/>
        <v>0</v>
      </c>
      <c r="I80" s="1276" t="str">
        <f t="shared" si="14"/>
        <v/>
      </c>
      <c r="J80" s="3"/>
      <c r="K80" s="28">
        <f t="shared" si="15"/>
        <v>0</v>
      </c>
      <c r="L80" s="1948">
        <f t="shared" si="22"/>
        <v>0</v>
      </c>
      <c r="M80" s="1742">
        <f t="shared" si="23"/>
        <v>0</v>
      </c>
      <c r="N80" s="1742">
        <f t="shared" si="24"/>
        <v>0</v>
      </c>
      <c r="O80" s="1742">
        <f t="shared" si="25"/>
        <v>0</v>
      </c>
    </row>
    <row r="81" spans="1:15" x14ac:dyDescent="0.2">
      <c r="A81" s="3"/>
      <c r="B81" s="1277"/>
      <c r="C81" s="1277"/>
      <c r="D81" s="698"/>
      <c r="E81" s="1278"/>
      <c r="F81" s="339"/>
      <c r="G81" s="811"/>
      <c r="H81" s="1420">
        <f t="shared" si="21"/>
        <v>0</v>
      </c>
      <c r="I81" s="1276" t="str">
        <f t="shared" si="14"/>
        <v/>
      </c>
      <c r="J81" s="3"/>
      <c r="K81" s="28">
        <f t="shared" si="15"/>
        <v>0</v>
      </c>
      <c r="L81" s="1948">
        <f t="shared" si="22"/>
        <v>0</v>
      </c>
      <c r="M81" s="1742">
        <f t="shared" si="23"/>
        <v>0</v>
      </c>
      <c r="N81" s="1742">
        <f t="shared" si="24"/>
        <v>0</v>
      </c>
      <c r="O81" s="1742">
        <f t="shared" si="25"/>
        <v>0</v>
      </c>
    </row>
    <row r="82" spans="1:15" x14ac:dyDescent="0.2">
      <c r="A82" s="3"/>
      <c r="B82" s="1277"/>
      <c r="C82" s="1277"/>
      <c r="D82" s="698"/>
      <c r="E82" s="1278"/>
      <c r="F82" s="339"/>
      <c r="G82" s="811"/>
      <c r="H82" s="1420">
        <f t="shared" si="21"/>
        <v>0</v>
      </c>
      <c r="I82" s="1276" t="str">
        <f t="shared" si="14"/>
        <v/>
      </c>
      <c r="J82" s="3"/>
      <c r="K82" s="28">
        <f t="shared" si="15"/>
        <v>0</v>
      </c>
      <c r="L82" s="1948">
        <f t="shared" si="22"/>
        <v>0</v>
      </c>
      <c r="M82" s="1742">
        <f t="shared" si="23"/>
        <v>0</v>
      </c>
      <c r="N82" s="1742">
        <f t="shared" si="24"/>
        <v>0</v>
      </c>
      <c r="O82" s="1742">
        <f t="shared" si="25"/>
        <v>0</v>
      </c>
    </row>
    <row r="83" spans="1:15" x14ac:dyDescent="0.2">
      <c r="A83" s="3"/>
      <c r="B83" s="1277"/>
      <c r="C83" s="1277"/>
      <c r="D83" s="698"/>
      <c r="E83" s="1278"/>
      <c r="F83" s="339"/>
      <c r="G83" s="811"/>
      <c r="H83" s="1420">
        <f t="shared" si="21"/>
        <v>0</v>
      </c>
      <c r="I83" s="1276" t="str">
        <f t="shared" si="14"/>
        <v/>
      </c>
      <c r="J83" s="3"/>
      <c r="K83" s="28">
        <f t="shared" si="15"/>
        <v>0</v>
      </c>
      <c r="L83" s="1948">
        <f t="shared" si="22"/>
        <v>0</v>
      </c>
      <c r="M83" s="1742">
        <f t="shared" si="23"/>
        <v>0</v>
      </c>
      <c r="N83" s="1742">
        <f t="shared" si="24"/>
        <v>0</v>
      </c>
      <c r="O83" s="1742">
        <f t="shared" si="25"/>
        <v>0</v>
      </c>
    </row>
    <row r="84" spans="1:15" x14ac:dyDescent="0.2">
      <c r="A84" s="3"/>
      <c r="B84" s="1277"/>
      <c r="C84" s="1277"/>
      <c r="D84" s="698"/>
      <c r="E84" s="1278"/>
      <c r="F84" s="339"/>
      <c r="G84" s="811"/>
      <c r="H84" s="1420">
        <f t="shared" si="21"/>
        <v>0</v>
      </c>
      <c r="I84" s="1276" t="str">
        <f t="shared" si="14"/>
        <v/>
      </c>
      <c r="J84" s="3"/>
      <c r="K84" s="28">
        <f t="shared" si="15"/>
        <v>0</v>
      </c>
      <c r="L84" s="1948">
        <f t="shared" si="22"/>
        <v>0</v>
      </c>
      <c r="M84" s="1742">
        <f t="shared" si="23"/>
        <v>0</v>
      </c>
      <c r="N84" s="1742">
        <f t="shared" si="24"/>
        <v>0</v>
      </c>
      <c r="O84" s="1742">
        <f t="shared" si="25"/>
        <v>0</v>
      </c>
    </row>
    <row r="85" spans="1:15" x14ac:dyDescent="0.2">
      <c r="A85" s="3"/>
      <c r="B85" s="1277"/>
      <c r="C85" s="1277"/>
      <c r="D85" s="698"/>
      <c r="E85" s="1278"/>
      <c r="F85" s="339"/>
      <c r="G85" s="811"/>
      <c r="H85" s="1420">
        <f t="shared" si="21"/>
        <v>0</v>
      </c>
      <c r="I85" s="1276" t="str">
        <f t="shared" si="14"/>
        <v/>
      </c>
      <c r="J85" s="3"/>
      <c r="K85" s="28">
        <f t="shared" si="15"/>
        <v>0</v>
      </c>
      <c r="L85" s="1948">
        <f t="shared" si="22"/>
        <v>0</v>
      </c>
      <c r="M85" s="1742">
        <f t="shared" si="23"/>
        <v>0</v>
      </c>
      <c r="N85" s="1742">
        <f t="shared" si="24"/>
        <v>0</v>
      </c>
      <c r="O85" s="1742">
        <f t="shared" si="25"/>
        <v>0</v>
      </c>
    </row>
    <row r="86" spans="1:15" x14ac:dyDescent="0.2">
      <c r="A86" s="3"/>
      <c r="B86" s="1277"/>
      <c r="C86" s="1277"/>
      <c r="D86" s="698"/>
      <c r="E86" s="1278"/>
      <c r="F86" s="339"/>
      <c r="G86" s="811"/>
      <c r="H86" s="1420">
        <f t="shared" si="21"/>
        <v>0</v>
      </c>
      <c r="I86" s="1276" t="str">
        <f t="shared" si="14"/>
        <v/>
      </c>
      <c r="J86" s="3"/>
      <c r="K86" s="28">
        <f t="shared" si="15"/>
        <v>0</v>
      </c>
      <c r="L86" s="1948">
        <f t="shared" si="22"/>
        <v>0</v>
      </c>
      <c r="M86" s="1742">
        <f t="shared" si="23"/>
        <v>0</v>
      </c>
      <c r="N86" s="1742">
        <f t="shared" si="24"/>
        <v>0</v>
      </c>
      <c r="O86" s="1742">
        <f t="shared" si="25"/>
        <v>0</v>
      </c>
    </row>
    <row r="87" spans="1:15" x14ac:dyDescent="0.2">
      <c r="A87" s="3"/>
      <c r="B87" s="1277"/>
      <c r="C87" s="1277"/>
      <c r="D87" s="698"/>
      <c r="E87" s="1278"/>
      <c r="F87" s="339"/>
      <c r="G87" s="811"/>
      <c r="H87" s="1420">
        <f t="shared" si="21"/>
        <v>0</v>
      </c>
      <c r="I87" s="1276" t="str">
        <f t="shared" si="14"/>
        <v/>
      </c>
      <c r="J87" s="3"/>
      <c r="K87" s="28">
        <f t="shared" si="15"/>
        <v>0</v>
      </c>
      <c r="L87" s="1948">
        <f t="shared" si="22"/>
        <v>0</v>
      </c>
      <c r="M87" s="1742">
        <f t="shared" si="23"/>
        <v>0</v>
      </c>
      <c r="N87" s="1742">
        <f t="shared" si="24"/>
        <v>0</v>
      </c>
      <c r="O87" s="1742">
        <f t="shared" si="25"/>
        <v>0</v>
      </c>
    </row>
    <row r="88" spans="1:15" x14ac:dyDescent="0.2">
      <c r="A88" s="3"/>
      <c r="B88" s="1277"/>
      <c r="C88" s="1277"/>
      <c r="D88" s="698"/>
      <c r="E88" s="1278"/>
      <c r="F88" s="339"/>
      <c r="G88" s="811"/>
      <c r="H88" s="1420">
        <f t="shared" si="21"/>
        <v>0</v>
      </c>
      <c r="I88" s="1276" t="str">
        <f t="shared" si="14"/>
        <v/>
      </c>
      <c r="J88" s="3"/>
      <c r="K88" s="28">
        <f t="shared" si="15"/>
        <v>0</v>
      </c>
      <c r="L88" s="1948">
        <f t="shared" si="22"/>
        <v>0</v>
      </c>
      <c r="M88" s="1742">
        <f t="shared" si="23"/>
        <v>0</v>
      </c>
      <c r="N88" s="1742">
        <f t="shared" si="24"/>
        <v>0</v>
      </c>
      <c r="O88" s="1742">
        <f t="shared" si="25"/>
        <v>0</v>
      </c>
    </row>
    <row r="89" spans="1:15" x14ac:dyDescent="0.2">
      <c r="A89" s="3"/>
      <c r="B89" s="1277"/>
      <c r="C89" s="1277"/>
      <c r="D89" s="698"/>
      <c r="E89" s="1278"/>
      <c r="F89" s="339"/>
      <c r="G89" s="811"/>
      <c r="H89" s="1420">
        <f t="shared" si="21"/>
        <v>0</v>
      </c>
      <c r="I89" s="1276" t="str">
        <f t="shared" si="14"/>
        <v/>
      </c>
      <c r="J89" s="3"/>
      <c r="K89" s="28">
        <f t="shared" si="15"/>
        <v>0</v>
      </c>
      <c r="L89" s="1948">
        <f t="shared" si="22"/>
        <v>0</v>
      </c>
      <c r="M89" s="1742">
        <f t="shared" si="23"/>
        <v>0</v>
      </c>
      <c r="N89" s="1742">
        <f t="shared" si="24"/>
        <v>0</v>
      </c>
      <c r="O89" s="1742">
        <f t="shared" si="25"/>
        <v>0</v>
      </c>
    </row>
    <row r="90" spans="1:15" x14ac:dyDescent="0.2">
      <c r="A90" s="3"/>
      <c r="B90" s="1277"/>
      <c r="C90" s="1277"/>
      <c r="D90" s="698"/>
      <c r="E90" s="1278"/>
      <c r="F90" s="339"/>
      <c r="G90" s="811"/>
      <c r="H90" s="1420">
        <f t="shared" si="21"/>
        <v>0</v>
      </c>
      <c r="I90" s="1276" t="str">
        <f t="shared" si="14"/>
        <v/>
      </c>
      <c r="J90" s="3"/>
      <c r="K90" s="28">
        <f t="shared" si="15"/>
        <v>0</v>
      </c>
      <c r="L90" s="1948">
        <f t="shared" si="22"/>
        <v>0</v>
      </c>
      <c r="M90" s="1742">
        <f t="shared" si="23"/>
        <v>0</v>
      </c>
      <c r="N90" s="1742">
        <f t="shared" si="24"/>
        <v>0</v>
      </c>
      <c r="O90" s="1742">
        <f t="shared" si="25"/>
        <v>0</v>
      </c>
    </row>
    <row r="91" spans="1:15" x14ac:dyDescent="0.2">
      <c r="A91" s="3"/>
      <c r="B91" s="1277"/>
      <c r="C91" s="1277"/>
      <c r="D91" s="698"/>
      <c r="E91" s="1278"/>
      <c r="F91" s="339"/>
      <c r="G91" s="811"/>
      <c r="H91" s="1420">
        <f t="shared" si="21"/>
        <v>0</v>
      </c>
      <c r="I91" s="1276" t="str">
        <f t="shared" si="14"/>
        <v/>
      </c>
      <c r="J91" s="3"/>
      <c r="K91" s="28">
        <f t="shared" si="15"/>
        <v>0</v>
      </c>
      <c r="L91" s="1948">
        <f t="shared" si="22"/>
        <v>0</v>
      </c>
      <c r="M91" s="1742">
        <f t="shared" si="23"/>
        <v>0</v>
      </c>
      <c r="N91" s="1742">
        <f t="shared" si="24"/>
        <v>0</v>
      </c>
      <c r="O91" s="1742">
        <f t="shared" si="25"/>
        <v>0</v>
      </c>
    </row>
    <row r="92" spans="1:15" x14ac:dyDescent="0.2">
      <c r="A92" s="3"/>
      <c r="B92" s="1277"/>
      <c r="C92" s="1277"/>
      <c r="D92" s="698"/>
      <c r="E92" s="1278"/>
      <c r="F92" s="339"/>
      <c r="G92" s="811"/>
      <c r="H92" s="1420">
        <f t="shared" si="21"/>
        <v>0</v>
      </c>
      <c r="I92" s="1276" t="str">
        <f t="shared" si="14"/>
        <v/>
      </c>
      <c r="J92" s="3"/>
      <c r="K92" s="28">
        <f t="shared" si="15"/>
        <v>0</v>
      </c>
      <c r="L92" s="1948">
        <f t="shared" si="22"/>
        <v>0</v>
      </c>
      <c r="M92" s="1742">
        <f t="shared" si="23"/>
        <v>0</v>
      </c>
      <c r="N92" s="1742">
        <f t="shared" si="24"/>
        <v>0</v>
      </c>
      <c r="O92" s="1742">
        <f t="shared" si="25"/>
        <v>0</v>
      </c>
    </row>
    <row r="93" spans="1:15" x14ac:dyDescent="0.2">
      <c r="A93" s="3"/>
      <c r="B93" s="1277"/>
      <c r="C93" s="1277"/>
      <c r="D93" s="698"/>
      <c r="E93" s="1278"/>
      <c r="F93" s="339"/>
      <c r="G93" s="811"/>
      <c r="H93" s="1420">
        <f t="shared" si="21"/>
        <v>0</v>
      </c>
      <c r="I93" s="1276" t="str">
        <f t="shared" si="14"/>
        <v/>
      </c>
      <c r="J93" s="3"/>
      <c r="K93" s="28">
        <f t="shared" si="15"/>
        <v>0</v>
      </c>
      <c r="L93" s="1948">
        <f t="shared" si="22"/>
        <v>0</v>
      </c>
      <c r="M93" s="1742">
        <f t="shared" si="23"/>
        <v>0</v>
      </c>
      <c r="N93" s="1742">
        <f t="shared" si="24"/>
        <v>0</v>
      </c>
      <c r="O93" s="1742">
        <f t="shared" si="25"/>
        <v>0</v>
      </c>
    </row>
    <row r="94" spans="1:15" x14ac:dyDescent="0.2">
      <c r="A94" s="3"/>
      <c r="B94" s="1277"/>
      <c r="C94" s="1277"/>
      <c r="D94" s="698"/>
      <c r="E94" s="1278"/>
      <c r="F94" s="339"/>
      <c r="G94" s="811"/>
      <c r="H94" s="1420">
        <f t="shared" si="21"/>
        <v>0</v>
      </c>
      <c r="I94" s="1276" t="str">
        <f t="shared" si="14"/>
        <v/>
      </c>
      <c r="J94" s="3"/>
      <c r="K94" s="28">
        <f t="shared" si="15"/>
        <v>0</v>
      </c>
      <c r="L94" s="1948">
        <f t="shared" si="22"/>
        <v>0</v>
      </c>
      <c r="M94" s="1742">
        <f t="shared" si="23"/>
        <v>0</v>
      </c>
      <c r="N94" s="1742">
        <f t="shared" si="24"/>
        <v>0</v>
      </c>
      <c r="O94" s="1742">
        <f t="shared" si="25"/>
        <v>0</v>
      </c>
    </row>
    <row r="95" spans="1:15" x14ac:dyDescent="0.2">
      <c r="A95" s="3"/>
      <c r="B95" s="1277"/>
      <c r="C95" s="1277"/>
      <c r="D95" s="698"/>
      <c r="E95" s="1278"/>
      <c r="F95" s="339"/>
      <c r="G95" s="811"/>
      <c r="H95" s="1420">
        <f t="shared" si="21"/>
        <v>0</v>
      </c>
      <c r="I95" s="1276" t="str">
        <f t="shared" si="14"/>
        <v/>
      </c>
      <c r="J95" s="3"/>
      <c r="K95" s="28">
        <f t="shared" si="15"/>
        <v>0</v>
      </c>
      <c r="L95" s="1948">
        <f t="shared" si="22"/>
        <v>0</v>
      </c>
      <c r="M95" s="1742">
        <f t="shared" si="23"/>
        <v>0</v>
      </c>
      <c r="N95" s="1742">
        <f t="shared" si="24"/>
        <v>0</v>
      </c>
      <c r="O95" s="1742">
        <f t="shared" si="25"/>
        <v>0</v>
      </c>
    </row>
    <row r="96" spans="1:15" x14ac:dyDescent="0.2">
      <c r="A96" s="3"/>
      <c r="B96" s="1277"/>
      <c r="C96" s="1277"/>
      <c r="D96" s="698"/>
      <c r="E96" s="1278"/>
      <c r="F96" s="339"/>
      <c r="G96" s="811"/>
      <c r="H96" s="1420">
        <f t="shared" si="21"/>
        <v>0</v>
      </c>
      <c r="I96" s="1276" t="str">
        <f t="shared" si="14"/>
        <v/>
      </c>
      <c r="J96" s="3"/>
      <c r="K96" s="28">
        <f t="shared" si="15"/>
        <v>0</v>
      </c>
      <c r="L96" s="1948">
        <f t="shared" si="22"/>
        <v>0</v>
      </c>
      <c r="M96" s="1742">
        <f t="shared" si="23"/>
        <v>0</v>
      </c>
      <c r="N96" s="1742">
        <f t="shared" si="24"/>
        <v>0</v>
      </c>
      <c r="O96" s="1742">
        <f t="shared" si="25"/>
        <v>0</v>
      </c>
    </row>
    <row r="97" spans="1:15" x14ac:dyDescent="0.2">
      <c r="A97" s="3"/>
      <c r="B97" s="1277"/>
      <c r="C97" s="1277"/>
      <c r="D97" s="698"/>
      <c r="E97" s="1278"/>
      <c r="F97" s="339"/>
      <c r="G97" s="811"/>
      <c r="H97" s="1420">
        <f t="shared" si="21"/>
        <v>0</v>
      </c>
      <c r="I97" s="1276" t="str">
        <f t="shared" si="14"/>
        <v/>
      </c>
      <c r="J97" s="3"/>
      <c r="K97" s="28">
        <f t="shared" ref="K97:K115" si="26">IF(I97="",0,IF(I97=res,0,1))</f>
      </c>
      <c r="L97" s="1948">
        <f t="shared" si="22"/>
        <v>0</v>
      </c>
      <c r="M97" s="1742">
        <f t="shared" si="23"/>
        <v>0</v>
      </c>
      <c r="N97" s="1742">
        <f t="shared" si="24"/>
        <v>0</v>
      </c>
      <c r="O97" s="1742">
        <f t="shared" si="25"/>
        <v>0</v>
      </c>
    </row>
    <row r="98" spans="1:15" x14ac:dyDescent="0.2">
      <c r="A98" s="3"/>
      <c r="B98" s="1277"/>
      <c r="C98" s="1277"/>
      <c r="D98" s="698"/>
      <c r="E98" s="1278"/>
      <c r="F98" s="339"/>
      <c r="G98" s="811"/>
      <c r="H98" s="1420">
        <f t="shared" si="21"/>
        <v>0</v>
      </c>
      <c r="I98" s="1276" t="str">
        <f t="shared" si="14"/>
        <v/>
      </c>
      <c r="J98" s="3"/>
      <c r="K98" s="28">
        <f t="shared" si="26"/>
        <v>0</v>
      </c>
      <c r="L98" s="1948">
        <f t="shared" si="22"/>
        <v>0</v>
      </c>
      <c r="M98" s="1742">
        <f t="shared" si="23"/>
        <v>0</v>
      </c>
      <c r="N98" s="1742">
        <f t="shared" si="24"/>
        <v>0</v>
      </c>
      <c r="O98" s="1742">
        <f t="shared" si="25"/>
        <v>0</v>
      </c>
    </row>
    <row r="99" spans="1:15" x14ac:dyDescent="0.2">
      <c r="A99" s="3"/>
      <c r="B99" s="1277"/>
      <c r="C99" s="1277"/>
      <c r="D99" s="698"/>
      <c r="E99" s="1278"/>
      <c r="F99" s="339"/>
      <c r="G99" s="811"/>
      <c r="H99" s="1420">
        <f t="shared" si="21"/>
        <v>0</v>
      </c>
      <c r="I99" s="1276" t="str">
        <f t="shared" si="14"/>
        <v/>
      </c>
      <c r="J99" s="3"/>
      <c r="K99" s="28">
        <f t="shared" si="26"/>
        <v>0</v>
      </c>
      <c r="L99" s="1948">
        <f t="shared" si="22"/>
        <v>0</v>
      </c>
      <c r="M99" s="1742">
        <f t="shared" si="23"/>
        <v>0</v>
      </c>
      <c r="N99" s="1742">
        <f t="shared" si="24"/>
        <v>0</v>
      </c>
      <c r="O99" s="1742">
        <f t="shared" si="25"/>
        <v>0</v>
      </c>
    </row>
    <row r="100" spans="1:15" x14ac:dyDescent="0.2">
      <c r="A100" s="3"/>
      <c r="B100" s="1277"/>
      <c r="C100" s="1277"/>
      <c r="D100" s="698"/>
      <c r="E100" s="1278"/>
      <c r="F100" s="339"/>
      <c r="G100" s="811"/>
      <c r="H100" s="1420">
        <f t="shared" si="21"/>
        <v>0</v>
      </c>
      <c r="I100" s="1276" t="str">
        <f t="shared" si="14"/>
        <v/>
      </c>
      <c r="J100" s="3"/>
      <c r="K100" s="28">
        <f t="shared" si="26"/>
        <v>0</v>
      </c>
      <c r="L100" s="1948">
        <f t="shared" si="22"/>
        <v>0</v>
      </c>
      <c r="M100" s="1742">
        <f t="shared" si="23"/>
        <v>0</v>
      </c>
      <c r="N100" s="1742">
        <f t="shared" si="24"/>
        <v>0</v>
      </c>
      <c r="O100" s="1742">
        <f t="shared" si="25"/>
        <v>0</v>
      </c>
    </row>
    <row r="101" spans="1:15" x14ac:dyDescent="0.2">
      <c r="A101" s="3"/>
      <c r="B101" s="1277"/>
      <c r="C101" s="1277"/>
      <c r="D101" s="698"/>
      <c r="E101" s="1278"/>
      <c r="F101" s="339"/>
      <c r="G101" s="811"/>
      <c r="H101" s="1420">
        <f t="shared" si="21"/>
        <v>0</v>
      </c>
      <c r="I101" s="1276" t="str">
        <f t="shared" si="14"/>
        <v/>
      </c>
      <c r="J101" s="3"/>
      <c r="K101" s="28">
        <f t="shared" si="26"/>
        <v>0</v>
      </c>
      <c r="L101" s="1948">
        <f t="shared" si="22"/>
        <v>0</v>
      </c>
      <c r="M101" s="1742">
        <f t="shared" si="23"/>
        <v>0</v>
      </c>
      <c r="N101" s="1742">
        <f t="shared" si="24"/>
        <v>0</v>
      </c>
      <c r="O101" s="1742">
        <f t="shared" si="25"/>
        <v>0</v>
      </c>
    </row>
    <row r="102" spans="1:15" x14ac:dyDescent="0.2">
      <c r="A102" s="3"/>
      <c r="B102" s="1277"/>
      <c r="C102" s="1277"/>
      <c r="D102" s="698"/>
      <c r="E102" s="1278"/>
      <c r="F102" s="339"/>
      <c r="G102" s="811"/>
      <c r="H102" s="1420">
        <f t="shared" si="21"/>
        <v>0</v>
      </c>
      <c r="I102" s="1276" t="str">
        <f t="shared" si="14"/>
        <v/>
      </c>
      <c r="J102" s="3"/>
      <c r="K102" s="28">
        <f t="shared" si="26"/>
        <v>0</v>
      </c>
      <c r="L102" s="1948">
        <f t="shared" si="22"/>
        <v>0</v>
      </c>
      <c r="M102" s="1742">
        <f t="shared" si="23"/>
        <v>0</v>
      </c>
      <c r="N102" s="1742">
        <f t="shared" si="24"/>
        <v>0</v>
      </c>
      <c r="O102" s="1742">
        <f t="shared" si="25"/>
        <v>0</v>
      </c>
    </row>
    <row r="103" spans="1:15" x14ac:dyDescent="0.2">
      <c r="A103" s="3"/>
      <c r="B103" s="1277"/>
      <c r="C103" s="1277"/>
      <c r="D103" s="698"/>
      <c r="E103" s="1278"/>
      <c r="F103" s="339"/>
      <c r="G103" s="811"/>
      <c r="H103" s="1420">
        <f t="shared" si="21"/>
        <v>0</v>
      </c>
      <c r="I103" s="1276" t="str">
        <f t="shared" si="14"/>
        <v/>
      </c>
      <c r="J103" s="3"/>
      <c r="K103" s="28">
        <f t="shared" si="26"/>
        <v>0</v>
      </c>
      <c r="L103" s="1948">
        <f t="shared" si="22"/>
        <v>0</v>
      </c>
      <c r="M103" s="1742">
        <f t="shared" si="23"/>
        <v>0</v>
      </c>
      <c r="N103" s="1742">
        <f t="shared" si="24"/>
        <v>0</v>
      </c>
      <c r="O103" s="1742">
        <f t="shared" si="25"/>
        <v>0</v>
      </c>
    </row>
    <row r="104" spans="1:15" x14ac:dyDescent="0.2">
      <c r="A104" s="3"/>
      <c r="B104" s="1277"/>
      <c r="C104" s="1277"/>
      <c r="D104" s="698"/>
      <c r="E104" s="1278"/>
      <c r="F104" s="339"/>
      <c r="G104" s="811"/>
      <c r="H104" s="1420">
        <f t="shared" si="21"/>
        <v>0</v>
      </c>
      <c r="I104" s="1276" t="str">
        <f t="shared" si="14"/>
        <v/>
      </c>
      <c r="J104" s="3"/>
      <c r="K104" s="28">
        <f t="shared" si="26"/>
        <v>0</v>
      </c>
      <c r="L104" s="1948">
        <f t="shared" si="22"/>
        <v>0</v>
      </c>
      <c r="M104" s="1742">
        <f t="shared" si="23"/>
        <v>0</v>
      </c>
      <c r="N104" s="1742">
        <f t="shared" si="24"/>
        <v>0</v>
      </c>
      <c r="O104" s="1742">
        <f t="shared" si="25"/>
        <v>0</v>
      </c>
    </row>
    <row r="105" spans="1:15" x14ac:dyDescent="0.2">
      <c r="A105" s="3"/>
      <c r="B105" s="1277"/>
      <c r="C105" s="1277"/>
      <c r="D105" s="698"/>
      <c r="E105" s="1278"/>
      <c r="F105" s="339"/>
      <c r="G105" s="811"/>
      <c r="H105" s="1420">
        <f t="shared" si="21"/>
        <v>0</v>
      </c>
      <c r="I105" s="1276" t="str">
        <f t="shared" si="14"/>
        <v/>
      </c>
      <c r="J105" s="3"/>
      <c r="K105" s="28">
        <f t="shared" si="26"/>
        <v>0</v>
      </c>
      <c r="L105" s="1948">
        <f t="shared" si="22"/>
        <v>0</v>
      </c>
      <c r="M105" s="1742">
        <f t="shared" si="23"/>
        <v>0</v>
      </c>
      <c r="N105" s="1742">
        <f t="shared" si="24"/>
        <v>0</v>
      </c>
      <c r="O105" s="1742">
        <f t="shared" si="25"/>
        <v>0</v>
      </c>
    </row>
    <row r="106" spans="1:15" x14ac:dyDescent="0.2">
      <c r="A106" s="3"/>
      <c r="B106" s="1277"/>
      <c r="C106" s="1277"/>
      <c r="D106" s="698"/>
      <c r="E106" s="1278"/>
      <c r="F106" s="339"/>
      <c r="G106" s="811"/>
      <c r="H106" s="1420">
        <f t="shared" si="21"/>
        <v>0</v>
      </c>
      <c r="I106" s="1276" t="str">
        <f t="shared" si="14"/>
        <v/>
      </c>
      <c r="J106" s="3"/>
      <c r="K106" s="28">
        <f t="shared" si="26"/>
        <v>0</v>
      </c>
      <c r="L106" s="1948">
        <f t="shared" si="22"/>
        <v>0</v>
      </c>
      <c r="M106" s="1742">
        <f t="shared" si="23"/>
        <v>0</v>
      </c>
      <c r="N106" s="1742">
        <f t="shared" si="24"/>
        <v>0</v>
      </c>
      <c r="O106" s="1742">
        <f t="shared" si="25"/>
        <v>0</v>
      </c>
    </row>
    <row r="107" spans="1:15" x14ac:dyDescent="0.2">
      <c r="A107" s="3"/>
      <c r="B107" s="1277"/>
      <c r="C107" s="1277"/>
      <c r="D107" s="698"/>
      <c r="E107" s="1278"/>
      <c r="F107" s="339"/>
      <c r="G107" s="811"/>
      <c r="H107" s="1420">
        <f t="shared" si="21"/>
        <v>0</v>
      </c>
      <c r="I107" s="1276" t="str">
        <f t="shared" si="14"/>
        <v/>
      </c>
      <c r="J107" s="3"/>
      <c r="K107" s="28">
        <f t="shared" si="26"/>
        <v>0</v>
      </c>
      <c r="L107" s="1948">
        <f t="shared" si="22"/>
        <v>0</v>
      </c>
      <c r="M107" s="1742">
        <f t="shared" si="23"/>
        <v>0</v>
      </c>
      <c r="N107" s="1742">
        <f t="shared" si="24"/>
        <v>0</v>
      </c>
      <c r="O107" s="1742">
        <f t="shared" si="25"/>
        <v>0</v>
      </c>
    </row>
    <row r="108" spans="1:15" x14ac:dyDescent="0.2">
      <c r="A108" s="3"/>
      <c r="B108" s="1277"/>
      <c r="C108" s="1277"/>
      <c r="D108" s="698"/>
      <c r="E108" s="1278"/>
      <c r="F108" s="339"/>
      <c r="G108" s="811"/>
      <c r="H108" s="1420">
        <f t="shared" si="21"/>
        <v>0</v>
      </c>
      <c r="I108" s="1276" t="str">
        <f t="shared" si="14"/>
        <v/>
      </c>
      <c r="J108" s="3"/>
      <c r="K108" s="28">
        <f t="shared" si="26"/>
        <v>0</v>
      </c>
      <c r="L108" s="1948">
        <f t="shared" si="22"/>
        <v>0</v>
      </c>
      <c r="M108" s="1742">
        <f t="shared" si="23"/>
        <v>0</v>
      </c>
      <c r="N108" s="1742">
        <f>IF($N$10=0,O108,IF(O108&gt;30000,30000,O108))</f>
      </c>
      <c r="O108" s="1742">
        <f t="shared" si="25"/>
        <v>0</v>
      </c>
    </row>
    <row r="109" spans="1:15" x14ac:dyDescent="0.2">
      <c r="A109" s="3"/>
      <c r="B109" s="1277"/>
      <c r="C109" s="1277"/>
      <c r="D109" s="698"/>
      <c r="E109" s="1278"/>
      <c r="F109" s="339"/>
      <c r="G109" s="811"/>
      <c r="H109" s="1420">
        <f t="shared" si="21"/>
        <v>0</v>
      </c>
      <c r="I109" s="1276" t="str">
        <f t="shared" si="14"/>
        <v/>
      </c>
      <c r="J109" s="3"/>
      <c r="K109" s="28">
        <f t="shared" si="26"/>
        <v>0</v>
      </c>
      <c r="L109" s="1948">
        <f t="shared" si="22"/>
        <v>0</v>
      </c>
      <c r="M109" s="1742">
        <f t="shared" si="23"/>
        <v>0</v>
      </c>
      <c r="N109" s="1742">
        <f t="shared" si="24"/>
        <v>0</v>
      </c>
      <c r="O109" s="1742">
        <f t="shared" si="25"/>
        <v>0</v>
      </c>
    </row>
    <row r="110" spans="1:15" x14ac:dyDescent="0.2">
      <c r="A110" s="3"/>
      <c r="B110" s="1277"/>
      <c r="C110" s="1277"/>
      <c r="D110" s="698"/>
      <c r="E110" s="1278"/>
      <c r="F110" s="339"/>
      <c r="G110" s="811"/>
      <c r="H110" s="1420">
        <f t="shared" si="21"/>
        <v>0</v>
      </c>
      <c r="I110" s="1276" t="str">
        <f t="shared" si="14"/>
        <v/>
      </c>
      <c r="J110" s="3"/>
      <c r="K110" s="28">
        <f t="shared" si="26"/>
        <v>0</v>
      </c>
      <c r="L110" s="1948">
        <f t="shared" si="22"/>
        <v>0</v>
      </c>
      <c r="M110" s="1742">
        <f t="shared" si="23"/>
        <v>0</v>
      </c>
      <c r="N110" s="1742">
        <f t="shared" si="24"/>
        <v>0</v>
      </c>
      <c r="O110" s="1742">
        <f t="shared" si="25"/>
        <v>0</v>
      </c>
    </row>
    <row r="111" spans="1:15" x14ac:dyDescent="0.2">
      <c r="A111" s="3"/>
      <c r="B111" s="1277"/>
      <c r="C111" s="1277"/>
      <c r="D111" s="698"/>
      <c r="E111" s="1278"/>
      <c r="F111" s="339"/>
      <c r="G111" s="811"/>
      <c r="H111" s="1420">
        <f t="shared" si="21"/>
        <v>0</v>
      </c>
      <c r="I111" s="1276" t="str">
        <f t="shared" si="14"/>
        <v/>
      </c>
      <c r="J111" s="3"/>
      <c r="K111" s="28">
        <f t="shared" si="26"/>
        <v>0</v>
      </c>
      <c r="L111" s="1948">
        <f t="shared" si="22"/>
        <v>0</v>
      </c>
      <c r="M111" s="1742">
        <f t="shared" si="23"/>
        <v>0</v>
      </c>
      <c r="N111" s="1742">
        <f t="shared" si="24"/>
        <v>0</v>
      </c>
      <c r="O111" s="1742">
        <f t="shared" si="25"/>
        <v>0</v>
      </c>
    </row>
    <row r="112" spans="1:15" x14ac:dyDescent="0.2">
      <c r="A112" s="3"/>
      <c r="B112" s="1277"/>
      <c r="C112" s="1277"/>
      <c r="D112" s="698"/>
      <c r="E112" s="1278"/>
      <c r="F112" s="339"/>
      <c r="G112" s="811"/>
      <c r="H112" s="1420">
        <f t="shared" si="21"/>
        <v>0</v>
      </c>
      <c r="I112" s="1276" t="str">
        <f t="shared" si="14"/>
        <v/>
      </c>
      <c r="J112" s="3"/>
      <c r="K112" s="28">
        <f t="shared" si="26"/>
        <v>0</v>
      </c>
      <c r="L112" s="1948">
        <f t="shared" si="22"/>
        <v>0</v>
      </c>
      <c r="M112" s="1742">
        <f t="shared" si="23"/>
        <v>0</v>
      </c>
      <c r="N112" s="1742">
        <f t="shared" si="24"/>
        <v>0</v>
      </c>
      <c r="O112" s="1742">
        <f t="shared" si="25"/>
        <v>0</v>
      </c>
    </row>
    <row r="113" spans="1:15" x14ac:dyDescent="0.2">
      <c r="A113" s="3"/>
      <c r="B113" s="1277"/>
      <c r="C113" s="1277"/>
      <c r="D113" s="698"/>
      <c r="E113" s="1278"/>
      <c r="F113" s="339"/>
      <c r="G113" s="811"/>
      <c r="H113" s="1420">
        <f t="shared" si="21"/>
        <v>0</v>
      </c>
      <c r="I113" s="1276" t="str">
        <f t="shared" si="14"/>
        <v/>
      </c>
      <c r="J113" s="3"/>
      <c r="K113" s="28">
        <f t="shared" si="26"/>
        <v>0</v>
      </c>
      <c r="L113" s="1948">
        <f t="shared" si="22"/>
        <v>0</v>
      </c>
      <c r="M113" s="1742">
        <f t="shared" si="23"/>
        <v>0</v>
      </c>
      <c r="N113" s="1742">
        <f t="shared" si="24"/>
        <v>0</v>
      </c>
      <c r="O113" s="1742">
        <f t="shared" si="25"/>
        <v>0</v>
      </c>
    </row>
    <row r="114" spans="1:15" x14ac:dyDescent="0.2">
      <c r="A114" s="3"/>
      <c r="B114" s="1277"/>
      <c r="C114" s="1277"/>
      <c r="D114" s="698"/>
      <c r="E114" s="1278"/>
      <c r="F114" s="339"/>
      <c r="G114" s="811"/>
      <c r="H114" s="1420">
        <f t="shared" si="21"/>
        <v>0</v>
      </c>
      <c r="I114" s="1276" t="str">
        <f t="shared" si="14"/>
        <v/>
      </c>
      <c r="J114" s="3"/>
      <c r="K114" s="28">
        <f t="shared" si="26"/>
        <v>0</v>
      </c>
      <c r="L114" s="1948">
        <f t="shared" si="22"/>
        <v>0</v>
      </c>
      <c r="M114" s="1742">
        <f t="shared" si="23"/>
        <v>0</v>
      </c>
      <c r="N114" s="1742">
        <f t="shared" si="24"/>
        <v>0</v>
      </c>
      <c r="O114" s="1742">
        <f t="shared" si="25"/>
        <v>0</v>
      </c>
    </row>
    <row r="115" spans="1:15" x14ac:dyDescent="0.2">
      <c r="A115" s="3"/>
      <c r="B115" s="1277"/>
      <c r="C115" s="1277"/>
      <c r="D115" s="698"/>
      <c r="E115" s="1278"/>
      <c r="F115" s="339"/>
      <c r="G115" s="811"/>
      <c r="H115" s="1420">
        <f t="shared" si="21"/>
        <v>0</v>
      </c>
      <c r="I115" s="1276" t="str">
        <f t="shared" si="14"/>
        <v/>
      </c>
      <c r="J115" s="3"/>
      <c r="K115" s="28">
        <f t="shared" si="26"/>
        <v>0</v>
      </c>
      <c r="L115" s="1948">
        <f t="shared" si="22"/>
        <v>0</v>
      </c>
      <c r="M115" s="1742">
        <f t="shared" si="23"/>
        <v>0</v>
      </c>
      <c r="N115" s="1742">
        <f t="shared" si="24"/>
        <v>0</v>
      </c>
      <c r="O115" s="1742">
        <f t="shared" si="25"/>
        <v>0</v>
      </c>
    </row>
    <row r="116" spans="1:15" ht="14.25" x14ac:dyDescent="0.2">
      <c r="A116" s="3"/>
      <c r="B116" s="5054" t="s">
        <v>7724</v>
      </c>
      <c r="C116" s="5054"/>
      <c r="D116" s="5054"/>
      <c r="E116" s="5054"/>
      <c r="F116" s="5054"/>
      <c r="G116" s="5054"/>
      <c r="H116" s="5054"/>
      <c r="I116" s="1420">
        <f>IF(I64=nd,0,SUM(H65:H115))</f>
      </c>
      <c r="J116" s="3"/>
      <c r="L116" s="1948"/>
      <c r="M116" s="1742"/>
      <c r="N116" s="1742"/>
      <c r="O116" s="1742"/>
    </row>
    <row r="117" spans="1:15" ht="4.5" customHeight="1" x14ac:dyDescent="0.2">
      <c r="A117" s="3"/>
      <c r="B117" s="3"/>
      <c r="C117" s="3"/>
      <c r="D117" s="3"/>
      <c r="E117" s="3"/>
      <c r="F117" s="3"/>
      <c r="G117" s="3"/>
      <c r="H117" s="3"/>
      <c r="I117" s="3"/>
      <c r="J117" s="3"/>
      <c r="L117" s="1948"/>
      <c r="M117" s="1742"/>
      <c r="N117" s="1742"/>
      <c r="O117" s="1742"/>
    </row>
    <row r="118" spans="1:15" ht="15" customHeight="1" x14ac:dyDescent="0.2">
      <c r="A118" s="3"/>
      <c r="B118" s="5054" t="s">
        <v>7723</v>
      </c>
      <c r="C118" s="5054"/>
      <c r="D118" s="5054"/>
      <c r="E118" s="5054"/>
      <c r="F118" s="5054"/>
      <c r="G118" s="5054"/>
      <c r="H118" s="5054"/>
      <c r="I118" s="2169">
        <f>I116+I61</f>
      </c>
      <c r="J118" s="2170" t="s">
        <v>7725</v>
      </c>
      <c r="M118" s="28">
        <f>SUM(M65:M116)</f>
      </c>
    </row>
    <row r="119" spans="1:15" ht="4.5" customHeight="1" x14ac:dyDescent="0.2">
      <c r="A119" s="3"/>
      <c r="B119" s="3"/>
      <c r="C119" s="3"/>
      <c r="D119" s="3"/>
      <c r="E119" s="3"/>
      <c r="F119" s="3"/>
      <c r="G119" s="3"/>
      <c r="H119" s="3"/>
      <c r="I119" s="3"/>
      <c r="J119" s="3"/>
    </row>
    <row r="120" spans="1:15" x14ac:dyDescent="0.2">
      <c r="A120" s="3"/>
      <c r="B120" s="3" t="s">
        <v>6226</v>
      </c>
      <c r="C120" s="3"/>
      <c r="D120" s="3"/>
      <c r="E120" s="3"/>
      <c r="F120" s="3"/>
      <c r="G120" s="3"/>
      <c r="H120" s="331"/>
      <c r="I120" s="3"/>
      <c r="J120" s="1276" t="str">
        <f>IF(I118=0,"",IF(H120="",re,""))</f>
        <v/>
      </c>
      <c r="K120" s="28">
        <f>IF(J120="",0,1)</f>
      </c>
      <c r="L120" s="28" t="str">
        <f>y</f>
      </c>
    </row>
    <row r="121" spans="1:15" ht="5.25" customHeight="1" x14ac:dyDescent="0.2">
      <c r="A121" s="3"/>
      <c r="B121" s="3"/>
      <c r="C121" s="3"/>
      <c r="D121" s="3"/>
      <c r="E121" s="3"/>
      <c r="F121" s="3"/>
      <c r="G121" s="3"/>
      <c r="H121" s="3"/>
      <c r="I121" s="3"/>
      <c r="J121" s="3"/>
      <c r="L121" s="28" t="str">
        <f>n</f>
      </c>
    </row>
    <row r="122" spans="1:15" x14ac:dyDescent="0.2">
      <c r="A122" s="3"/>
      <c r="B122" s="3"/>
      <c r="C122" s="3"/>
      <c r="D122" s="3"/>
      <c r="E122" s="3"/>
      <c r="F122" s="610" t="s">
        <v>6227</v>
      </c>
      <c r="G122" s="610"/>
      <c r="H122" s="331"/>
      <c r="I122" s="3"/>
      <c r="J122" s="1276" t="str">
        <f>IF(I118=0,"",IF(H122="",re,""))</f>
        <v/>
      </c>
      <c r="K122" s="28">
        <f>IF(J122="",0,1)</f>
      </c>
    </row>
    <row r="123" spans="1:15" ht="6" customHeight="1" x14ac:dyDescent="0.2">
      <c r="A123" s="3"/>
      <c r="B123" s="65"/>
      <c r="C123" s="3"/>
      <c r="D123" s="2"/>
      <c r="E123" s="3"/>
      <c r="F123" s="3"/>
      <c r="G123" s="3"/>
      <c r="H123" s="3"/>
      <c r="I123" s="3"/>
      <c r="J123" s="3"/>
      <c r="K123" s="28">
        <f>SUM(K11:K122)</f>
      </c>
      <c r="M123" s="28">
        <f>SUM(M118+M61)</f>
      </c>
    </row>
    <row r="124" spans="1:15" x14ac:dyDescent="0.2">
      <c r="A124" s="3"/>
      <c r="B124" s="65" t="str">
        <f>_xlfn.SINGLE(MTCA)</f>
      </c>
      <c r="C124" s="3"/>
      <c r="D124" s="2" t="str">
        <f>ver</f>
        <v>TA2_e-CO_2025_Ver 1.1</v>
      </c>
      <c r="E124" s="3"/>
      <c r="F124" s="3"/>
      <c r="G124" s="3"/>
      <c r="H124" s="72" t="s">
        <v>6228</v>
      </c>
      <c r="I124" s="3"/>
      <c r="J124" s="3"/>
      <c r="K124" s="1742">
        <f>IF(M123=0,0,IF(K123&gt;0,100,IF(H122&lt;&gt;L120,100,1)))</f>
      </c>
    </row>
    <row r="125" spans="1:15" x14ac:dyDescent="0.2">
      <c r="A125" s="3"/>
      <c r="B125" s="65"/>
      <c r="C125" s="3"/>
      <c r="D125" s="2"/>
      <c r="E125" s="3"/>
      <c r="F125" s="3"/>
      <c r="G125" s="3"/>
      <c r="H125" s="72"/>
      <c r="I125" s="3"/>
      <c r="J125" s="3"/>
    </row>
    <row r="126" spans="1:15" x14ac:dyDescent="0.2">
      <c r="A126" s="3"/>
      <c r="B126" s="1410" t="s">
        <v>6290</v>
      </c>
      <c r="C126" s="3"/>
      <c r="D126" s="3"/>
      <c r="E126" s="3"/>
      <c r="F126" s="3"/>
      <c r="G126" s="3"/>
      <c r="H126" s="3"/>
      <c r="I126" s="3"/>
      <c r="J126" s="3"/>
    </row>
  </sheetData>
  <sheetProtection algorithmName="SHA-512" hashValue="7Zej6oH+CAb8m4MD/+9imQbwaLo/FHUy6KJCaTuVG1nha8Yh4LRyNt4Cs1YAdTCKPf4/imsDLj0nW26+devjYg==" saltValue="JvZ2e9DMD4cN6O74UUybow==" spinCount="100000" sheet="1" objects="1" scenarios="1"/>
  <customSheetViews>
    <customSheetView guid="{99B5278F-6EA9-4B1A-8623-27A4DF4AD5E4}" hiddenRows="1" topLeftCell="K1">
      <selection activeCell="U3" sqref="U3"/>
      <pageMargins left="0.15748031496062992" right="0.19685039370078741" top="0.74803149606299213" bottom="0.74803149606299213" header="0.31496062992125984" footer="0.31496062992125984"/>
      <printOptions horizontalCentered="1"/>
      <pageSetup paperSize="9" orientation="landscape" r:id="rId1"/>
    </customSheetView>
  </customSheetViews>
  <mergeCells count="7">
    <mergeCell ref="B118:H118"/>
    <mergeCell ref="B3:H3"/>
    <mergeCell ref="B4:H4"/>
    <mergeCell ref="B9:H9"/>
    <mergeCell ref="B63:H63"/>
    <mergeCell ref="B61:H61"/>
    <mergeCell ref="B116:H116"/>
  </mergeCells>
  <phoneticPr fontId="143" type="noConversion"/>
  <conditionalFormatting sqref="I11:I60">
    <cfRule type="expression" dxfId="462" priority="5" stopIfTrue="1">
      <formula>$I11=res</formula>
    </cfRule>
  </conditionalFormatting>
  <conditionalFormatting sqref="I65:I115">
    <cfRule type="expression" dxfId="461" priority="1" stopIfTrue="1">
      <formula>$I65=res</formula>
    </cfRule>
  </conditionalFormatting>
  <conditionalFormatting sqref="J120 J122">
    <cfRule type="expression" dxfId="460" priority="4" stopIfTrue="1">
      <formula>$J120=res</formula>
    </cfRule>
  </conditionalFormatting>
  <dataValidations disablePrompts="1" count="8">
    <dataValidation type="list" allowBlank="1" showInputMessage="1" showErrorMessage="1" sqref="H122 H120" xr:uid="{00000000-0002-0000-3B00-000000000000}">
      <formula1>$L$119:$L$121</formula1>
    </dataValidation>
    <dataValidation type="textLength" operator="greaterThanOrEqual" allowBlank="1" showInputMessage="1" showErrorMessage="1" errorTitle="Vehicle Registration number" error="Please indicate the correct registration number!_x000a_" sqref="B11:B60 B65:B115" xr:uid="{00000000-0002-0000-3B00-000001000000}">
      <formula1>4</formula1>
    </dataValidation>
    <dataValidation type="textLength" operator="greaterThanOrEqual" allowBlank="1" showInputMessage="1" showErrorMessage="1" errorTitle="SUPPLIER" error="Please give proper details of supplier!" sqref="D11:D60 D65:D115" xr:uid="{00000000-0002-0000-3B00-000002000000}">
      <formula1>7</formula1>
    </dataValidation>
    <dataValidation type="textLength" operator="greaterThanOrEqual" allowBlank="1" showInputMessage="1" showErrorMessage="1" errorTitle="Vehicle Model" error="Please enter the correct model!_x000a__x000a_" sqref="C11:C60 C65:C115" xr:uid="{00000000-0002-0000-3B00-000003000000}">
      <formula1>3</formula1>
    </dataValidation>
    <dataValidation type="whole" operator="greaterThanOrEqual" allowBlank="1" showInputMessage="1" showErrorMessage="1" errorTitle="Qualifying Expenditure" error="Please enter a positive value!" sqref="F11:F60 F65:F115" xr:uid="{00000000-0002-0000-3B00-000004000000}">
      <formula1>0</formula1>
    </dataValidation>
    <dataValidation type="date" allowBlank="1" showInputMessage="1" showErrorMessage="1" errorTitle="Date of acquisition" error="Cannot be earlier than 1 January 2011 or later than 31 December of the basis year!" sqref="E11:E60" xr:uid="{00000000-0002-0000-3B00-000005000000}">
      <formula1>$Q$11</formula1>
      <formula2>$R$11</formula2>
    </dataValidation>
    <dataValidation type="whole" operator="lessThanOrEqual" allowBlank="1" showInputMessage="1" showErrorMessage="1" errorTitle="Government Grants or Benefits" error="Please enter a negative value!" sqref="G11:G60 G65:G115" xr:uid="{00000000-0002-0000-3B00-000006000000}">
      <formula1>0</formula1>
    </dataValidation>
    <dataValidation type="date" allowBlank="1" showInputMessage="1" showErrorMessage="1" errorTitle="Date of acquisition" error="Cannot be earlier than 1 January 2016 or later than 31 December of the basis year!" sqref="E65:E115" xr:uid="{00000000-0002-0000-3B00-000007000000}">
      <formula1>$Q$11</formula1>
      <formula2>$R$11</formula2>
    </dataValidation>
  </dataValidations>
  <hyperlinks>
    <hyperlink ref="B126" location="Index!B81" display="B A C K   T O   I N D E X" xr:uid="{00000000-0004-0000-3B00-000000000000}"/>
    <hyperlink ref="J118" location="TRA60!F33" display="TRA 60" xr:uid="{00000000-0004-0000-3B00-000001000000}"/>
  </hyperlinks>
  <printOptions horizontalCentered="1"/>
  <pageMargins left="0.15748031496062992" right="0.19685039370078741" top="0.15748031496062992" bottom="0.59055118110236227" header="0.15748031496062992" footer="0.15748031496062992"/>
  <pageSetup paperSize="9" scale="34" orientation="landscape" r:id="rId2"/>
  <headerFooter>
    <oddFooter>&amp;LName&amp;CSignature&amp;RDate</oddFooter>
  </headerFooter>
  <legacyDrawing r:id="rId3"/>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9"/>
  <dimension ref="A1:X40"/>
  <sheetViews>
    <sheetView zoomScaleNormal="100" workbookViewId="0">
      <selection activeCell="B1" sqref="B1:G1"/>
    </sheetView>
  </sheetViews>
  <sheetFormatPr defaultColWidth="0" defaultRowHeight="12.75" zeroHeight="1" x14ac:dyDescent="0.2"/>
  <cols>
    <col min="1" max="1" width="1.28515625" style="28" customWidth="1"/>
    <col min="2" max="3" width="9.28515625" style="28" customWidth="1"/>
    <col min="4" max="4" width="40.28515625" style="28" customWidth="1"/>
    <col min="5" max="5" width="27.28515625" style="28" customWidth="1"/>
    <col min="6" max="6" width="7.7109375" style="28" customWidth="1"/>
    <col min="7" max="7" width="11.28515625" style="28" customWidth="1"/>
    <col min="8" max="8" width="10" style="28" customWidth="1"/>
    <col min="9" max="9" width="11.28515625" style="28" customWidth="1"/>
    <col min="10" max="10" width="19.42578125" style="28" customWidth="1"/>
    <col min="11" max="11" width="11.7109375" style="28" hidden="1" customWidth="1"/>
    <col min="12" max="13" width="9.28515625" style="28" hidden="1" customWidth="1"/>
    <col min="14" max="14" width="11.28515625" style="28" hidden="1" customWidth="1"/>
    <col min="15" max="15" width="9.28515625" style="28" hidden="1" customWidth="1"/>
    <col min="16" max="16" width="22" style="28" hidden="1" customWidth="1"/>
    <col min="17" max="18" width="9.28515625" style="28" hidden="1" customWidth="1"/>
    <col min="19" max="19" width="11.28515625" style="28" hidden="1" customWidth="1"/>
    <col min="20" max="16384" width="9.28515625" style="28" hidden="1"/>
  </cols>
  <sheetData>
    <row r="1" spans="1:24" x14ac:dyDescent="0.2">
      <c r="A1" s="65"/>
      <c r="B1" s="4408" t="str">
        <f>_ref1</f>
      </c>
      <c r="C1" s="4408"/>
      <c r="D1" s="4408"/>
      <c r="E1" s="4408"/>
      <c r="F1" s="4408"/>
      <c r="G1" s="4408"/>
      <c r="H1" s="61"/>
      <c r="I1" s="539" t="str">
        <f>_YA1</f>
      </c>
      <c r="J1" s="61"/>
      <c r="N1" s="28">
        <f>IF(OR(O1="y",O1="Y"),1,0)</f>
      </c>
      <c r="O1" s="28" t="str">
        <f>'p2'!G28</f>
      </c>
    </row>
    <row r="2" spans="1:24" x14ac:dyDescent="0.2">
      <c r="A2" s="65"/>
      <c r="B2" s="3"/>
      <c r="C2" s="3"/>
      <c r="D2" s="3"/>
      <c r="E2" s="3"/>
      <c r="F2" s="3"/>
      <c r="G2" s="3"/>
      <c r="H2" s="3"/>
      <c r="I2" s="61"/>
      <c r="J2" s="61"/>
    </row>
    <row r="3" spans="1:24" ht="29.25" customHeight="1" x14ac:dyDescent="0.2">
      <c r="A3" s="65"/>
      <c r="B3" s="1279" t="s">
        <v>746</v>
      </c>
      <c r="C3" s="189"/>
      <c r="D3" s="189"/>
      <c r="E3" s="189"/>
      <c r="F3" s="189"/>
      <c r="G3" s="189"/>
      <c r="H3" s="189"/>
      <c r="I3" s="190"/>
      <c r="J3" s="4756" t="str">
        <f>IF(AND(N1=0,M11&gt;0),"Page 2 does not indicate that deductions are being claimed!",IF(AND(N1=1,M11=0),"Deductions are being claimed according to response on page 2!",""))</f>
        <v/>
      </c>
      <c r="K3" s="28">
        <f>IF(J3="",0,1)</f>
      </c>
    </row>
    <row r="4" spans="1:24" ht="18" x14ac:dyDescent="0.25">
      <c r="A4" s="65"/>
      <c r="B4" s="807" t="s">
        <v>747</v>
      </c>
      <c r="C4" s="180"/>
      <c r="D4" s="180"/>
      <c r="E4" s="180"/>
      <c r="F4" s="180"/>
      <c r="G4" s="180"/>
      <c r="H4" s="180"/>
      <c r="I4" s="181"/>
      <c r="J4" s="4756"/>
    </row>
    <row r="5" spans="1:24" x14ac:dyDescent="0.2">
      <c r="A5" s="65"/>
      <c r="B5" s="3"/>
      <c r="C5" s="3"/>
      <c r="D5" s="3"/>
      <c r="E5" s="3"/>
      <c r="F5" s="3"/>
      <c r="G5" s="3"/>
      <c r="H5" s="3"/>
      <c r="I5" s="61"/>
      <c r="J5" s="61"/>
    </row>
    <row r="6" spans="1:24" s="66" customFormat="1" ht="36" x14ac:dyDescent="0.2">
      <c r="A6" s="65"/>
      <c r="B6" s="5058" t="s">
        <v>748</v>
      </c>
      <c r="C6" s="5059"/>
      <c r="D6" s="5059"/>
      <c r="E6" s="5059"/>
      <c r="F6" s="5059"/>
      <c r="G6" s="5060"/>
      <c r="H6" s="741" t="s">
        <v>749</v>
      </c>
      <c r="I6" s="400" t="s">
        <v>750</v>
      </c>
      <c r="J6" s="61"/>
      <c r="K6" s="28"/>
      <c r="L6" s="28"/>
      <c r="P6" s="28"/>
      <c r="Q6" s="28"/>
      <c r="R6" s="28"/>
      <c r="S6" s="28"/>
      <c r="T6" s="28"/>
      <c r="U6" s="28"/>
      <c r="V6" s="28"/>
      <c r="W6" s="66">
        <v>5000</v>
      </c>
      <c r="X6" s="66">
        <v>7050</v>
      </c>
    </row>
    <row r="7" spans="1:24" s="66" customFormat="1" ht="6.75" hidden="1" customHeight="1" x14ac:dyDescent="0.2">
      <c r="A7" s="61"/>
      <c r="B7" s="61"/>
      <c r="C7" s="61"/>
      <c r="D7" s="61"/>
      <c r="E7" s="61"/>
      <c r="F7" s="61"/>
      <c r="G7" s="61"/>
      <c r="H7" s="61"/>
      <c r="I7" s="61"/>
      <c r="J7" s="61"/>
      <c r="K7" s="28"/>
      <c r="L7" s="28"/>
      <c r="P7" s="28"/>
      <c r="Q7" s="28"/>
      <c r="R7" s="28"/>
      <c r="S7" s="28"/>
      <c r="T7" s="28"/>
      <c r="U7" s="28"/>
      <c r="V7" s="28"/>
    </row>
    <row r="8" spans="1:24" s="66" customFormat="1" x14ac:dyDescent="0.2">
      <c r="A8" s="65"/>
      <c r="B8" s="5061" t="s">
        <v>751</v>
      </c>
      <c r="C8" s="5062"/>
      <c r="D8" s="5062"/>
      <c r="E8" s="5062"/>
      <c r="F8" s="5063"/>
      <c r="G8" s="339"/>
      <c r="H8" s="331"/>
      <c r="I8" s="1280">
        <f>IF(H8=y,G8,0)</f>
      </c>
      <c r="J8" s="283" t="str">
        <f>IF(AND(N1=1,M8&lt;&gt;2)," All details required!","")</f>
        <v/>
      </c>
      <c r="K8" s="28">
        <f>IF(J8="",0,1)</f>
      </c>
      <c r="L8" s="28"/>
      <c r="M8" s="66">
        <f>COUNTA(G8:H8)</f>
      </c>
      <c r="P8" s="28"/>
      <c r="Q8" s="28"/>
      <c r="R8" s="28"/>
      <c r="S8" s="28"/>
      <c r="T8" s="28"/>
      <c r="U8" s="28"/>
      <c r="V8" s="28"/>
      <c r="W8" s="66">
        <f>IF(H8&lt;$W$6,0,G8)</f>
      </c>
    </row>
    <row r="9" spans="1:24" s="66" customFormat="1" x14ac:dyDescent="0.2">
      <c r="A9" s="65"/>
      <c r="B9" s="5061" t="s">
        <v>752</v>
      </c>
      <c r="C9" s="5062"/>
      <c r="D9" s="5062"/>
      <c r="E9" s="5062"/>
      <c r="F9" s="5063"/>
      <c r="G9" s="339"/>
      <c r="H9" s="331"/>
      <c r="I9" s="1280">
        <f>IF(H9=y,G9,0)</f>
      </c>
      <c r="J9" s="283" t="str">
        <f>IF(M9=0,"",IF(M9&lt;&gt;2," All details required!",""))</f>
        <v/>
      </c>
      <c r="K9" s="28">
        <f>IF(J9="",0,1)</f>
      </c>
      <c r="L9" s="28"/>
      <c r="M9" s="66">
        <f>COUNTA(G9:H9)</f>
      </c>
      <c r="P9" s="28"/>
      <c r="Q9" s="28"/>
      <c r="R9" s="28"/>
      <c r="S9" s="28"/>
      <c r="T9" s="28"/>
      <c r="U9" s="28"/>
      <c r="V9" s="28"/>
    </row>
    <row r="10" spans="1:24" s="66" customFormat="1" x14ac:dyDescent="0.2">
      <c r="A10" s="65"/>
      <c r="B10" s="5061" t="s">
        <v>753</v>
      </c>
      <c r="C10" s="5062"/>
      <c r="D10" s="5062"/>
      <c r="E10" s="5062"/>
      <c r="F10" s="5063"/>
      <c r="G10" s="339"/>
      <c r="H10" s="331"/>
      <c r="I10" s="1280">
        <f>IF(H10=y,G10,0)</f>
      </c>
      <c r="J10" s="283" t="str">
        <f>IF(M10=0,"",IF(M10&lt;&gt;2," All details required!",""))</f>
        <v/>
      </c>
      <c r="K10" s="28">
        <f>IF(J10="",0,1)</f>
      </c>
      <c r="L10" s="28"/>
      <c r="M10" s="66">
        <f>COUNTA(G10:H10)</f>
      </c>
      <c r="P10" s="28"/>
      <c r="Q10" s="28"/>
      <c r="R10" s="28"/>
      <c r="S10" s="28"/>
      <c r="T10" s="28"/>
      <c r="U10" s="28"/>
      <c r="V10" s="28"/>
    </row>
    <row r="11" spans="1:24" s="66" customFormat="1" x14ac:dyDescent="0.2">
      <c r="A11" s="61"/>
      <c r="B11" s="5055" t="s">
        <v>5590</v>
      </c>
      <c r="C11" s="5056"/>
      <c r="D11" s="5056"/>
      <c r="E11" s="5056"/>
      <c r="F11" s="5057"/>
      <c r="G11" s="1280">
        <f>SUM(G8:G10)</f>
      </c>
      <c r="H11" s="61"/>
      <c r="I11" s="1280">
        <f>SUM(I8:I10)</f>
      </c>
      <c r="J11" s="61"/>
      <c r="K11" s="28"/>
      <c r="L11" s="28"/>
      <c r="M11" s="66">
        <f>SUM(M8:M10)</f>
      </c>
      <c r="P11" s="28"/>
      <c r="Q11" s="28"/>
      <c r="R11" s="28"/>
      <c r="S11" s="28"/>
      <c r="T11" s="28"/>
      <c r="U11" s="28"/>
      <c r="V11" s="28"/>
    </row>
    <row r="12" spans="1:24" s="66" customFormat="1" x14ac:dyDescent="0.2">
      <c r="A12" s="61"/>
      <c r="B12" s="61"/>
      <c r="C12" s="61"/>
      <c r="D12" s="61"/>
      <c r="E12" s="61"/>
      <c r="F12" s="61"/>
      <c r="G12" s="61"/>
      <c r="H12" s="61"/>
      <c r="I12" s="61"/>
      <c r="J12" s="61"/>
      <c r="K12" s="28"/>
      <c r="L12" s="28"/>
      <c r="P12" s="28"/>
      <c r="Q12" s="28"/>
      <c r="R12" s="28"/>
      <c r="S12" s="28"/>
      <c r="T12" s="28"/>
      <c r="U12" s="28"/>
      <c r="V12" s="28"/>
    </row>
    <row r="13" spans="1:24" s="66" customFormat="1" ht="12.75" customHeight="1" x14ac:dyDescent="0.2">
      <c r="A13" s="65"/>
      <c r="B13" s="358" t="s">
        <v>6307</v>
      </c>
      <c r="C13" s="231"/>
      <c r="D13" s="231"/>
      <c r="E13" s="231"/>
      <c r="F13" s="331"/>
      <c r="G13" s="1421" t="str">
        <f>IF(AND(N$1=1,F13=""),re,"")</f>
        <v/>
      </c>
      <c r="H13" s="231"/>
      <c r="I13" s="61"/>
      <c r="J13" s="61"/>
      <c r="K13" s="28">
        <f>IF(G13="",0,1)</f>
      </c>
      <c r="L13" s="28"/>
      <c r="M13" s="66">
        <f>IF(AND(F13=y,F15=y),1,0)</f>
      </c>
      <c r="P13" s="28"/>
      <c r="Q13" s="28"/>
      <c r="R13" s="28"/>
      <c r="S13" s="28"/>
      <c r="T13" s="28"/>
      <c r="U13" s="28"/>
      <c r="V13" s="28"/>
    </row>
    <row r="14" spans="1:24" s="66" customFormat="1" x14ac:dyDescent="0.2">
      <c r="A14" s="65"/>
      <c r="B14" s="65"/>
      <c r="C14" s="65"/>
      <c r="D14" s="65"/>
      <c r="E14" s="65"/>
      <c r="F14" s="65"/>
      <c r="G14" s="64"/>
      <c r="H14" s="65"/>
      <c r="I14" s="61"/>
      <c r="J14" s="61"/>
      <c r="K14" s="28"/>
      <c r="L14" s="28"/>
    </row>
    <row r="15" spans="1:24" s="66" customFormat="1" x14ac:dyDescent="0.2">
      <c r="A15" s="65"/>
      <c r="B15" s="358" t="s">
        <v>754</v>
      </c>
      <c r="C15" s="65"/>
      <c r="D15" s="65"/>
      <c r="E15" s="65"/>
      <c r="F15" s="331"/>
      <c r="G15" s="1421" t="str">
        <f>IF(AND(N$1=1,F15=""),re,"")</f>
        <v/>
      </c>
      <c r="H15" s="65"/>
      <c r="I15" s="61"/>
      <c r="J15" s="61"/>
      <c r="K15" s="28">
        <f>IF(G15="",0,1)</f>
      </c>
      <c r="L15" s="28"/>
    </row>
    <row r="16" spans="1:24" s="66" customFormat="1" x14ac:dyDescent="0.2">
      <c r="A16" s="65"/>
      <c r="B16" s="358"/>
      <c r="C16" s="65"/>
      <c r="D16" s="65"/>
      <c r="E16" s="65"/>
      <c r="F16" s="65"/>
      <c r="G16" s="65"/>
      <c r="H16" s="65"/>
      <c r="I16" s="61"/>
      <c r="J16" s="61"/>
      <c r="K16" s="28"/>
      <c r="L16" s="28"/>
    </row>
    <row r="17" spans="1:19" s="66" customFormat="1" ht="23.25" customHeight="1" x14ac:dyDescent="0.2">
      <c r="A17" s="65"/>
      <c r="B17" s="5064" t="s">
        <v>755</v>
      </c>
      <c r="C17" s="5064"/>
      <c r="D17" s="5064"/>
      <c r="E17" s="5064"/>
      <c r="F17" s="5064"/>
      <c r="G17" s="65"/>
      <c r="H17" s="65"/>
      <c r="I17" s="61"/>
      <c r="J17" s="61"/>
      <c r="K17" s="28"/>
      <c r="L17" s="28"/>
    </row>
    <row r="18" spans="1:19" s="1283" customFormat="1" ht="36" customHeight="1" x14ac:dyDescent="0.2">
      <c r="A18" s="65"/>
      <c r="B18" s="4905" t="s">
        <v>3350</v>
      </c>
      <c r="C18" s="4906"/>
      <c r="D18" s="1422" t="s">
        <v>657</v>
      </c>
      <c r="E18" s="5065" t="s">
        <v>756</v>
      </c>
      <c r="F18" s="5065"/>
      <c r="G18" s="1281" t="str">
        <f>IF(AND(M13=0,M18&gt;0)," Delete irrelevant data!","")</f>
        <v/>
      </c>
      <c r="H18" s="1282"/>
      <c r="I18" s="61"/>
      <c r="J18" s="61"/>
      <c r="K18" s="28">
        <f>IF(G18="",0,1)</f>
      </c>
      <c r="L18" s="28"/>
      <c r="M18" s="66">
        <f>COUNTA(B19:F26)</f>
      </c>
    </row>
    <row r="19" spans="1:19" s="66" customFormat="1" x14ac:dyDescent="0.2">
      <c r="A19" s="65"/>
      <c r="B19" s="5010"/>
      <c r="C19" s="5012"/>
      <c r="D19" s="1285"/>
      <c r="E19" s="5066"/>
      <c r="F19" s="5066"/>
      <c r="G19" s="1423" t="str">
        <f>IF(AND(M13=1,M19=0)," All details required!","")</f>
        <v/>
      </c>
      <c r="H19" s="65"/>
      <c r="I19" s="61"/>
      <c r="J19" s="61"/>
      <c r="K19" s="28">
        <f t="shared" ref="K19:K26" si="0">IF(G19="",0,1)</f>
      </c>
      <c r="L19" s="28"/>
      <c r="M19" s="66">
        <f>COUNTA(B19:F19)</f>
      </c>
    </row>
    <row r="20" spans="1:19" s="66" customFormat="1" x14ac:dyDescent="0.2">
      <c r="A20" s="65"/>
      <c r="B20" s="5010"/>
      <c r="C20" s="5012"/>
      <c r="D20" s="1285"/>
      <c r="E20" s="5066"/>
      <c r="F20" s="5066"/>
      <c r="G20" s="1423" t="str">
        <f>IF(M20=0,"",IF(M20&lt;&gt;3," All details required!",""))</f>
        <v/>
      </c>
      <c r="H20" s="65"/>
      <c r="I20" s="61"/>
      <c r="J20" s="61"/>
      <c r="K20" s="28">
        <f t="shared" si="0"/>
        <v>0</v>
      </c>
      <c r="L20" s="28"/>
      <c r="M20" s="66">
        <f t="shared" ref="M20:M26" si="1">COUNTA(B20:F20)</f>
      </c>
    </row>
    <row r="21" spans="1:19" s="66" customFormat="1" x14ac:dyDescent="0.2">
      <c r="A21" s="65"/>
      <c r="B21" s="5010"/>
      <c r="C21" s="5012"/>
      <c r="D21" s="1285"/>
      <c r="E21" s="5066"/>
      <c r="F21" s="5066"/>
      <c r="G21" s="1423" t="str">
        <f t="shared" ref="G21:G26" si="2">IF(M21=0,"",IF(M21&lt;&gt;3," All details required!",""))</f>
        <v/>
      </c>
      <c r="H21" s="65"/>
      <c r="I21" s="61"/>
      <c r="J21" s="61"/>
      <c r="K21" s="28">
        <f t="shared" si="0"/>
        <v>0</v>
      </c>
      <c r="L21" s="28"/>
      <c r="M21" s="66">
        <f t="shared" si="1"/>
        <v>0</v>
      </c>
    </row>
    <row r="22" spans="1:19" s="66" customFormat="1" x14ac:dyDescent="0.2">
      <c r="A22" s="65"/>
      <c r="B22" s="5010"/>
      <c r="C22" s="5012"/>
      <c r="D22" s="1285"/>
      <c r="E22" s="5066"/>
      <c r="F22" s="5066"/>
      <c r="G22" s="1423" t="str">
        <f t="shared" si="2"/>
        <v/>
      </c>
      <c r="H22" s="65"/>
      <c r="I22" s="61"/>
      <c r="J22" s="61"/>
      <c r="K22" s="28">
        <f t="shared" si="0"/>
        <v>0</v>
      </c>
      <c r="L22" s="28"/>
      <c r="M22" s="66">
        <f t="shared" si="1"/>
        <v>0</v>
      </c>
    </row>
    <row r="23" spans="1:19" s="66" customFormat="1" x14ac:dyDescent="0.2">
      <c r="A23" s="65"/>
      <c r="B23" s="5010"/>
      <c r="C23" s="5012"/>
      <c r="D23" s="1285"/>
      <c r="E23" s="5066"/>
      <c r="F23" s="5066"/>
      <c r="G23" s="1423" t="str">
        <f t="shared" si="2"/>
        <v/>
      </c>
      <c r="H23" s="65"/>
      <c r="I23" s="61"/>
      <c r="J23" s="61"/>
      <c r="K23" s="28">
        <f t="shared" si="0"/>
        <v>0</v>
      </c>
      <c r="L23" s="28"/>
      <c r="M23" s="66">
        <f t="shared" si="1"/>
        <v>0</v>
      </c>
    </row>
    <row r="24" spans="1:19" s="66" customFormat="1" x14ac:dyDescent="0.2">
      <c r="A24" s="65"/>
      <c r="B24" s="5010"/>
      <c r="C24" s="5012"/>
      <c r="D24" s="1285"/>
      <c r="E24" s="5066"/>
      <c r="F24" s="5066"/>
      <c r="G24" s="1423" t="str">
        <f t="shared" si="2"/>
        <v/>
      </c>
      <c r="H24" s="65"/>
      <c r="I24" s="61"/>
      <c r="J24" s="61"/>
      <c r="K24" s="28">
        <f t="shared" si="0"/>
        <v>0</v>
      </c>
      <c r="L24" s="28"/>
      <c r="M24" s="66">
        <f t="shared" si="1"/>
        <v>0</v>
      </c>
    </row>
    <row r="25" spans="1:19" s="66" customFormat="1" x14ac:dyDescent="0.2">
      <c r="A25" s="65"/>
      <c r="B25" s="5010"/>
      <c r="C25" s="5012"/>
      <c r="D25" s="1285"/>
      <c r="E25" s="5066"/>
      <c r="F25" s="5066"/>
      <c r="G25" s="1423" t="str">
        <f t="shared" si="2"/>
        <v/>
      </c>
      <c r="H25" s="65"/>
      <c r="I25" s="61"/>
      <c r="J25" s="61"/>
      <c r="K25" s="28">
        <f t="shared" si="0"/>
        <v>0</v>
      </c>
      <c r="L25" s="28"/>
      <c r="M25" s="66">
        <f t="shared" si="1"/>
        <v>0</v>
      </c>
    </row>
    <row r="26" spans="1:19" s="66" customFormat="1" x14ac:dyDescent="0.2">
      <c r="A26" s="65"/>
      <c r="B26" s="5010"/>
      <c r="C26" s="5012"/>
      <c r="D26" s="1285"/>
      <c r="E26" s="5066"/>
      <c r="F26" s="5066"/>
      <c r="G26" s="1423" t="str">
        <f t="shared" si="2"/>
        <v/>
      </c>
      <c r="H26" s="3"/>
      <c r="I26" s="61"/>
      <c r="J26" s="61"/>
      <c r="K26" s="28">
        <f t="shared" si="0"/>
        <v>0</v>
      </c>
      <c r="L26" s="28"/>
      <c r="M26" s="66">
        <f t="shared" si="1"/>
        <v>0</v>
      </c>
    </row>
    <row r="27" spans="1:19" ht="6" customHeight="1" x14ac:dyDescent="0.2">
      <c r="A27" s="65"/>
      <c r="B27" s="3"/>
      <c r="C27" s="3"/>
      <c r="D27" s="3"/>
      <c r="E27" s="3"/>
      <c r="F27" s="3"/>
      <c r="G27" s="3"/>
      <c r="H27" s="3"/>
      <c r="I27" s="61"/>
      <c r="J27" s="61"/>
    </row>
    <row r="28" spans="1:19" x14ac:dyDescent="0.2">
      <c r="A28" s="65"/>
      <c r="B28" s="860" t="s">
        <v>757</v>
      </c>
      <c r="C28" s="860"/>
      <c r="D28" s="3"/>
      <c r="E28" s="3"/>
      <c r="F28" s="331"/>
      <c r="G28" s="1424" t="str">
        <f>IF(AND(N$1=1,F28=""),re,IF(F28=n," No deductions allowed under these Rules!",""))</f>
        <v/>
      </c>
      <c r="H28" s="534"/>
      <c r="I28" s="61"/>
      <c r="J28" s="61"/>
      <c r="K28" s="28">
        <f>IF(G28="",0,1)</f>
      </c>
      <c r="N28" s="28">
        <f>IF(OR(F28&lt;&gt;y,F13&lt;&gt;y,F15&lt;&gt;y),0,9999999999)</f>
      </c>
    </row>
    <row r="29" spans="1:19" ht="7.5" customHeight="1" x14ac:dyDescent="0.2">
      <c r="A29" s="65"/>
      <c r="B29" s="860"/>
      <c r="C29" s="860"/>
      <c r="D29" s="3"/>
      <c r="E29" s="3"/>
      <c r="F29" s="3"/>
      <c r="G29" s="534"/>
      <c r="H29" s="534"/>
      <c r="I29" s="61"/>
      <c r="J29" s="61"/>
    </row>
    <row r="30" spans="1:19" x14ac:dyDescent="0.2">
      <c r="A30" s="65"/>
      <c r="B30" s="5055" t="s">
        <v>5151</v>
      </c>
      <c r="C30" s="5056"/>
      <c r="D30" s="5056"/>
      <c r="E30" s="5056"/>
      <c r="F30" s="5057"/>
      <c r="G30" s="1280">
        <f>IF(F28=n,0,G11)</f>
      </c>
      <c r="H30" s="1286" t="s">
        <v>3130</v>
      </c>
      <c r="I30" s="61"/>
      <c r="J30" s="61"/>
    </row>
    <row r="31" spans="1:19" ht="6" customHeight="1" x14ac:dyDescent="0.2">
      <c r="A31" s="231"/>
      <c r="B31" s="231"/>
      <c r="C31" s="231"/>
      <c r="D31" s="231"/>
      <c r="E31" s="231"/>
      <c r="F31" s="231"/>
      <c r="G31" s="231"/>
      <c r="H31" s="231"/>
      <c r="I31" s="61"/>
      <c r="J31" s="61"/>
    </row>
    <row r="32" spans="1:19" x14ac:dyDescent="0.2">
      <c r="A32" s="65"/>
      <c r="B32" s="5055" t="s">
        <v>6306</v>
      </c>
      <c r="C32" s="5056"/>
      <c r="D32" s="5056"/>
      <c r="E32" s="5056"/>
      <c r="F32" s="5057"/>
      <c r="G32" s="339"/>
      <c r="H32" s="1286" t="s">
        <v>3130</v>
      </c>
      <c r="I32" s="1281" t="str">
        <f>IF(AND(M13=1,N1=1,G32="",P32=0),reo,IF(AND(G32&gt;0,N32=1)," Delete! Option not exercised!",IF(AND(G32&gt;0,O32=1),"Delete! Conditions not satisfied!",IF(G32&gt;0,S32,""))))</f>
        <v/>
      </c>
      <c r="J32" s="61"/>
      <c r="K32" s="28">
        <f>IF(OR(I32="",I32=S32),0,1)</f>
      </c>
      <c r="N32" s="28">
        <f>IF(OR(F13&lt;&gt;y,F15&lt;&gt;y),1,0)</f>
      </c>
      <c r="O32" s="28">
        <f>IF(F28&lt;&gt;y,1,0)</f>
      </c>
      <c r="P32" s="28">
        <f>O32+N32</f>
      </c>
      <c r="Q32" s="1284">
        <f>IF(P32=0,G32,0)</f>
      </c>
      <c r="S32" s="28" t="s">
        <v>5147</v>
      </c>
    </row>
    <row r="33" spans="1:11" ht="5.25" customHeight="1" x14ac:dyDescent="0.2">
      <c r="A33" s="65"/>
      <c r="B33" s="65"/>
      <c r="C33" s="65"/>
      <c r="D33" s="65"/>
      <c r="E33" s="65"/>
      <c r="F33" s="65"/>
      <c r="G33" s="65"/>
      <c r="H33" s="65"/>
      <c r="I33" s="61"/>
      <c r="J33" s="61"/>
    </row>
    <row r="34" spans="1:11" x14ac:dyDescent="0.2">
      <c r="A34" s="65"/>
      <c r="B34" s="5055" t="s">
        <v>3345</v>
      </c>
      <c r="C34" s="5056"/>
      <c r="D34" s="5056"/>
      <c r="E34" s="5056"/>
      <c r="F34" s="5057"/>
      <c r="G34" s="1280">
        <f>IF(F28=n,0,I11)</f>
      </c>
      <c r="H34" s="1286" t="s">
        <v>3130</v>
      </c>
      <c r="I34" s="61"/>
      <c r="J34" s="61"/>
    </row>
    <row r="35" spans="1:11" x14ac:dyDescent="0.2">
      <c r="A35" s="61"/>
      <c r="B35" s="61"/>
      <c r="C35" s="61"/>
      <c r="D35" s="61"/>
      <c r="E35" s="61"/>
      <c r="F35" s="61"/>
      <c r="G35" s="61"/>
      <c r="H35" s="61"/>
      <c r="I35" s="61"/>
      <c r="J35" s="61"/>
    </row>
    <row r="36" spans="1:11" x14ac:dyDescent="0.2">
      <c r="A36" s="65"/>
      <c r="B36" s="1151"/>
      <c r="C36" s="1151"/>
      <c r="D36" s="3"/>
      <c r="E36" s="1182" t="s">
        <v>3346</v>
      </c>
      <c r="F36" s="331"/>
      <c r="G36" s="1421" t="str">
        <f>IF(AND(N$1=1,F36=""),re,"")</f>
        <v/>
      </c>
      <c r="H36" s="534"/>
      <c r="I36" s="61"/>
      <c r="J36" s="61"/>
      <c r="K36" s="28">
        <f>IF(G36="",0,1)</f>
      </c>
    </row>
    <row r="37" spans="1:11" ht="8.25" customHeight="1" x14ac:dyDescent="0.2">
      <c r="A37" s="65"/>
      <c r="B37" s="3"/>
      <c r="C37" s="3"/>
      <c r="D37" s="3"/>
      <c r="E37" s="3"/>
      <c r="F37" s="3"/>
      <c r="G37" s="3"/>
      <c r="H37" s="3"/>
      <c r="I37" s="61"/>
      <c r="J37" s="61"/>
      <c r="K37" s="28">
        <f>SUM(K1:K36)</f>
      </c>
    </row>
    <row r="38" spans="1:11" x14ac:dyDescent="0.2">
      <c r="A38" s="65"/>
      <c r="B38" s="65" t="str">
        <f>_xlfn.SINGLE(MTCA)</f>
      </c>
      <c r="C38" s="3"/>
      <c r="D38" s="4694" t="str">
        <f>ver</f>
        <v>TA2_e-CO_2025_Ver 1.1</v>
      </c>
      <c r="E38" s="4694"/>
      <c r="F38" s="860"/>
      <c r="G38" s="860"/>
      <c r="H38" s="3"/>
      <c r="I38" s="327" t="s">
        <v>6232</v>
      </c>
      <c r="J38" s="61"/>
      <c r="K38" s="28">
        <f>IF(AND(M11&gt;0,K37&gt;0),100,IF(N1=0,0,IF(F36&lt;&gt;y,100,IF(K37=0,1,0))))</f>
      </c>
    </row>
    <row r="39" spans="1:11" x14ac:dyDescent="0.2">
      <c r="A39" s="3"/>
      <c r="B39" s="3"/>
      <c r="C39" s="3"/>
      <c r="D39" s="3"/>
      <c r="E39" s="3"/>
      <c r="F39" s="3"/>
      <c r="G39" s="3"/>
      <c r="H39" s="3"/>
      <c r="I39" s="61"/>
      <c r="J39" s="61"/>
    </row>
    <row r="40" spans="1:11" x14ac:dyDescent="0.2">
      <c r="A40" s="65"/>
      <c r="B40" s="4636" t="s">
        <v>1700</v>
      </c>
      <c r="C40" s="4636"/>
      <c r="D40" s="4636"/>
      <c r="E40" s="3"/>
      <c r="F40" s="3"/>
      <c r="G40" s="3"/>
      <c r="H40" s="3"/>
      <c r="I40" s="61"/>
      <c r="J40" s="61"/>
    </row>
  </sheetData>
  <sheetProtection algorithmName="SHA-512" hashValue="ub6Ovs54goHI/XlA5o5EKOnB/oJO133mpkKwuwjN35O58uxBb9v29Bmpny9SGVRfcecWpCkulhu69/XMHBmQqw==" saltValue="5WyZJoyFfMC8Ts9U3MIteA==" spinCount="100000" sheet="1" objects="1" scenarios="1"/>
  <customSheetViews>
    <customSheetView guid="{99B5278F-6EA9-4B1A-8623-27A4DF4AD5E4}" hiddenRows="1">
      <selection activeCell="A5" sqref="A5"/>
      <pageMargins left="0.2" right="0.17" top="0.34" bottom="0.22" header="0.31496062992125984" footer="0.23"/>
      <pageSetup paperSize="9" orientation="landscape" r:id="rId1"/>
    </customSheetView>
  </customSheetViews>
  <mergeCells count="31">
    <mergeCell ref="B40:D40"/>
    <mergeCell ref="B32:F32"/>
    <mergeCell ref="D38:E38"/>
    <mergeCell ref="E26:F26"/>
    <mergeCell ref="B34:F34"/>
    <mergeCell ref="B30:F30"/>
    <mergeCell ref="B26:C26"/>
    <mergeCell ref="E22:F22"/>
    <mergeCell ref="B22:C22"/>
    <mergeCell ref="B23:C23"/>
    <mergeCell ref="E23:F23"/>
    <mergeCell ref="E25:F25"/>
    <mergeCell ref="B25:C25"/>
    <mergeCell ref="B24:C24"/>
    <mergeCell ref="E24:F24"/>
    <mergeCell ref="B17:F17"/>
    <mergeCell ref="E18:F18"/>
    <mergeCell ref="B21:C21"/>
    <mergeCell ref="E21:F21"/>
    <mergeCell ref="B19:C19"/>
    <mergeCell ref="E19:F19"/>
    <mergeCell ref="B20:C20"/>
    <mergeCell ref="B18:C18"/>
    <mergeCell ref="E20:F20"/>
    <mergeCell ref="B11:F11"/>
    <mergeCell ref="J3:J4"/>
    <mergeCell ref="B1:G1"/>
    <mergeCell ref="B6:G6"/>
    <mergeCell ref="B8:F8"/>
    <mergeCell ref="B10:F10"/>
    <mergeCell ref="B9:F9"/>
  </mergeCells>
  <phoneticPr fontId="143" type="noConversion"/>
  <conditionalFormatting sqref="B17:F18">
    <cfRule type="expression" dxfId="459" priority="7" stopIfTrue="1">
      <formula>$M$13=0</formula>
    </cfRule>
  </conditionalFormatting>
  <conditionalFormatting sqref="B19:F26">
    <cfRule type="expression" dxfId="458" priority="8" stopIfTrue="1">
      <formula>$M$13=0</formula>
    </cfRule>
  </conditionalFormatting>
  <conditionalFormatting sqref="B32:F32">
    <cfRule type="expression" dxfId="457" priority="3" stopIfTrue="1">
      <formula>$P$32&lt;&gt;0</formula>
    </cfRule>
    <cfRule type="expression" dxfId="456" priority="5" stopIfTrue="1">
      <formula>$M$13=0</formula>
    </cfRule>
  </conditionalFormatting>
  <conditionalFormatting sqref="G32">
    <cfRule type="expression" dxfId="455" priority="6" stopIfTrue="1">
      <formula>$P$32&lt;&gt;0</formula>
    </cfRule>
  </conditionalFormatting>
  <conditionalFormatting sqref="H32">
    <cfRule type="expression" dxfId="454" priority="2" stopIfTrue="1">
      <formula>$P$32&lt;&gt;0</formula>
    </cfRule>
    <cfRule type="expression" dxfId="453" priority="4" stopIfTrue="1">
      <formula>$M$13=0</formula>
    </cfRule>
  </conditionalFormatting>
  <conditionalFormatting sqref="I32">
    <cfRule type="expression" dxfId="452" priority="1" stopIfTrue="1">
      <formula>$I$32=$S$32</formula>
    </cfRule>
  </conditionalFormatting>
  <dataValidations count="7">
    <dataValidation type="list" showInputMessage="1" showErrorMessage="1" sqref="F36 F13 F15 F28" xr:uid="{00000000-0002-0000-3C00-000000000000}">
      <formula1>yn</formula1>
    </dataValidation>
    <dataValidation type="list" showInputMessage="1" showErrorMessage="1" promptTitle="Income Statement" prompt="Is the amount reported in the Income Statement to derive the Profit or Loss before tax? " sqref="H8:H10" xr:uid="{00000000-0002-0000-3C00-000001000000}">
      <formula1>yn</formula1>
    </dataValidation>
    <dataValidation type="whole" operator="greaterThanOrEqual" allowBlank="1" showInputMessage="1" showErrorMessage="1" errorTitle="QUALIFYING EXPENDITURE" error="Expenditure must be greater than 0! _x000a_" sqref="G8:G10 I8:I10" xr:uid="{00000000-0002-0000-3C00-000002000000}">
      <formula1>0</formula1>
    </dataValidation>
    <dataValidation type="textLength" operator="greaterThanOrEqual" allowBlank="1" showInputMessage="1" showErrorMessage="1" errorTitle="Name " error="Please enter the proper name of the of originator / assignor!_x000a__x000a_" sqref="D19:D26" xr:uid="{00000000-0002-0000-3C00-000003000000}">
      <formula1>8</formula1>
    </dataValidation>
    <dataValidation type="whole" allowBlank="1" showInputMessage="1" showErrorMessage="1" errorTitle="Further Deduction" error="Please enter a positive value!" sqref="G32" xr:uid="{00000000-0002-0000-3C00-000004000000}">
      <formula1>0</formula1>
      <formula2>N28</formula2>
    </dataValidation>
    <dataValidation type="textLength" operator="greaterThanOrEqual" allowBlank="1" showInputMessage="1" showErrorMessage="1" errorTitle="Tax Reference Number" error="Please enter the correct reference!" sqref="B19:C26" xr:uid="{00000000-0002-0000-3C00-000005000000}">
      <formula1>4</formula1>
    </dataValidation>
    <dataValidation type="textLength" operator="greaterThanOrEqual" allowBlank="1" showInputMessage="1" showErrorMessage="1" errorTitle="Management and control" error="Please indicate the proper place of the management and control!" sqref="E19:F26" xr:uid="{00000000-0002-0000-3C00-000006000000}">
      <formula1>6</formula1>
    </dataValidation>
  </dataValidations>
  <hyperlinks>
    <hyperlink ref="B40" location="Index!A1" display="BACK TO INDEX" xr:uid="{00000000-0004-0000-3C00-000000000000}"/>
    <hyperlink ref="H30" location="TRA60!F34" display="TRA 60" xr:uid="{00000000-0004-0000-3C00-000001000000}"/>
    <hyperlink ref="H34" location="TRA60!F34" display="TRA 60" xr:uid="{00000000-0004-0000-3C00-000002000000}"/>
    <hyperlink ref="H32" location="TRA60!F35" display="TRA 60" xr:uid="{00000000-0004-0000-3C00-000003000000}"/>
  </hyperlinks>
  <pageMargins left="0.19685039370078741" right="0.15748031496062992" top="0.35433070866141736" bottom="0.23622047244094491" header="0.31496062992125984" footer="0.23622047244094491"/>
  <pageSetup paperSize="9" orientation="landscape" r:id="rId2"/>
  <headerFooter>
    <oddFooter>&amp;LName&amp;CSignature&amp;RDate</oddFooter>
  </headerFooter>
  <legacy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70"/>
  <dimension ref="A2:M59"/>
  <sheetViews>
    <sheetView topLeftCell="XFD1048576" workbookViewId="0">
      <selection sqref="A1:IV65536"/>
    </sheetView>
  </sheetViews>
  <sheetFormatPr defaultColWidth="0" defaultRowHeight="12.75" zeroHeight="1" x14ac:dyDescent="0.2"/>
  <cols>
    <col min="1" max="1" width="21.7109375" style="142" hidden="1" customWidth="1"/>
    <col min="2" max="2" width="16.28515625" style="142" hidden="1" customWidth="1"/>
    <col min="3" max="3" width="5" style="142" hidden="1" customWidth="1"/>
    <col min="4" max="16384" width="9.28515625" style="142" hidden="1"/>
  </cols>
  <sheetData>
    <row r="2" spans="1:13" hidden="1" x14ac:dyDescent="0.2">
      <c r="J2" s="142" t="s">
        <v>6467</v>
      </c>
      <c r="K2" s="142">
        <f>COUNTA(Index!E7:E153)</f>
      </c>
      <c r="L2" s="142">
        <v>75</v>
      </c>
      <c r="M2" s="142">
        <f t="shared" ref="M2:M12" si="0">IF(L2&lt;&gt;K2,1,0)</f>
      </c>
    </row>
    <row r="3" spans="1:13" hidden="1" x14ac:dyDescent="0.2">
      <c r="B3" s="142" t="s">
        <v>4796</v>
      </c>
      <c r="C3" s="142">
        <v>5</v>
      </c>
      <c r="D3" s="553">
        <f>'TRA5'!M301-'TRA5'!J304</f>
      </c>
      <c r="J3" s="142" t="s">
        <v>6328</v>
      </c>
      <c r="K3" s="142">
        <f>COUNTA(B_Sheet!F1:F273,B_Sheet!D5:D263)</f>
      </c>
      <c r="L3" s="142">
        <v>4</v>
      </c>
      <c r="M3" s="142">
        <f t="shared" si="0"/>
        <v>1</v>
      </c>
    </row>
    <row r="4" spans="1:13" hidden="1" x14ac:dyDescent="0.2">
      <c r="B4" s="142" t="s">
        <v>6329</v>
      </c>
      <c r="C4" s="142">
        <v>4</v>
      </c>
      <c r="D4" s="142">
        <f>('p4'!K14+'p4'!O14+'p4'!R14)*-1</f>
      </c>
      <c r="J4" s="142" t="s">
        <v>3708</v>
      </c>
      <c r="K4" s="142">
        <f>COUNTA(Income!D6:D290)</f>
      </c>
      <c r="L4" s="142">
        <v>8</v>
      </c>
      <c r="M4" s="142">
        <f t="shared" si="0"/>
        <v>0</v>
      </c>
    </row>
    <row r="5" spans="1:13" hidden="1" x14ac:dyDescent="0.2">
      <c r="G5" s="553">
        <f>D3-D4</f>
      </c>
      <c r="J5" s="142" t="s">
        <v>1018</v>
      </c>
      <c r="K5" s="142">
        <f>COUNTA('TRA4'!K1:K102)</f>
      </c>
      <c r="L5" s="142">
        <v>32</v>
      </c>
      <c r="M5" s="142">
        <f t="shared" si="0"/>
        <v>1</v>
      </c>
    </row>
    <row r="6" spans="1:13" hidden="1" x14ac:dyDescent="0.2">
      <c r="J6" s="142" t="s">
        <v>6330</v>
      </c>
      <c r="K6" s="142">
        <f>COUNTA('TRA5'!P1:P306)+COUNTA('TRA5'!N304)</f>
      </c>
      <c r="L6" s="142">
        <v>120</v>
      </c>
      <c r="M6" s="142">
        <f t="shared" si="0"/>
        <v>1</v>
      </c>
    </row>
    <row r="7" spans="1:13" hidden="1" x14ac:dyDescent="0.2">
      <c r="A7" s="142" t="s">
        <v>519</v>
      </c>
      <c r="B7" s="142" t="s">
        <v>6352</v>
      </c>
      <c r="C7" s="142" t="s">
        <v>6351</v>
      </c>
      <c r="D7" s="142">
        <f>Income!E262*-1</f>
      </c>
      <c r="J7" s="142" t="s">
        <v>6333</v>
      </c>
      <c r="K7" s="142">
        <f>COUNTA('TRA8'!H80:L90,'TRA8'!D98,'TRA8'!F105)</f>
      </c>
      <c r="L7" s="142">
        <v>7</v>
      </c>
      <c r="M7" s="142">
        <f t="shared" si="0"/>
        <v>1</v>
      </c>
    </row>
    <row r="8" spans="1:13" hidden="1" x14ac:dyDescent="0.2">
      <c r="B8" s="142" t="s">
        <v>6329</v>
      </c>
      <c r="C8" s="142">
        <v>3</v>
      </c>
      <c r="D8" s="142">
        <f>'p3'!E6</f>
      </c>
      <c r="J8" s="142" t="s">
        <v>6334</v>
      </c>
      <c r="K8" s="142">
        <f>COUNTA(TRA9_14!G2:G151,TRA9_14!C25)</f>
      </c>
      <c r="L8" s="142">
        <v>61</v>
      </c>
      <c r="M8" s="142">
        <f t="shared" si="0"/>
        <v>1</v>
      </c>
    </row>
    <row r="9" spans="1:13" hidden="1" x14ac:dyDescent="0.2">
      <c r="G9" s="142">
        <f>D7-D8</f>
      </c>
      <c r="J9" s="142" t="s">
        <v>311</v>
      </c>
      <c r="K9" s="142">
        <f>COUNTA('TRA16'!D20,'TRA16'!D22,'TRA16'!D24,'TRA16'!I22,'TRA16'!I26,'TRA16'!G31:G57,'TRA16'!H60,'TRA16'!I60,'TRA16'!D81,'TRA16'!D83,'TRA16'!D85,'TRA16'!I83,'TRA16'!I87,'TRA16'!G92:G118,'TRA16'!H121,'TRA16'!I121,'TRA16'!D142,'TRA16'!D144,'TRA16'!F146,'TRA16'!I144,'TRA16'!I148,'TRA16'!G153:G179,'TRA16'!H182,'TRA16'!I182)</f>
      </c>
      <c r="L9" s="142">
        <v>102</v>
      </c>
      <c r="M9" s="142">
        <f t="shared" si="0"/>
        <v>0</v>
      </c>
    </row>
    <row r="10" spans="1:13" hidden="1" x14ac:dyDescent="0.2">
      <c r="J10" s="142" t="s">
        <v>312</v>
      </c>
      <c r="K10" s="142">
        <f>COUNTA('TRA17'!J3,'TRA17'!D20,'TRA17'!H22,'TRA17'!G24,'TRA17'!G26,'TRA17'!G28,'TRA17'!G30,'TRA17'!I32,'TRA17'!I34,'TRA17'!J51,'TRA17'!D68,'TRA17'!H70,'TRA17'!G72,'TRA17'!G74,'TRA17'!G76,'TRA17'!G78,'TRA17'!I80,'TRA17'!I82,'TRA17'!J99,'TRA17'!D116,'TRA17'!H118,'TRA17'!G120,'TRA17'!G122,'TRA17'!G124,'TRA17'!G126,'TRA17'!I128,'TRA17'!I130,'TRA17'!G144)</f>
      </c>
      <c r="L10" s="142">
        <v>28</v>
      </c>
      <c r="M10" s="142">
        <f t="shared" si="0"/>
        <v>0</v>
      </c>
    </row>
    <row r="11" spans="1:13" hidden="1" x14ac:dyDescent="0.2">
      <c r="B11" s="142" t="s">
        <v>6332</v>
      </c>
      <c r="G11" s="142">
        <f>B_Sheet!E261+B_Sheet!E240+B_Sheet!E174</f>
      </c>
      <c r="J11" s="142" t="s">
        <v>313</v>
      </c>
      <c r="K11" s="142">
        <f>COUNTA('TRA18'!D6,'TRA18'!D7,'TRA18'!D8,'TRA18'!D61,'TRA18'!D62,'TRA18'!F77,'TRA18'!H6,'TRA18'!H7,'TRA18'!H8,'TRA18'!H12,'TRA18'!H13,'TRA18'!H14,'TRA18'!H16,'TRA18'!H17,'TRA18'!H18,'TRA18'!H19,'TRA18'!H20,'TRA18'!H21,'TRA18'!H22,'TRA18'!H23,'TRA18'!H24,'TRA18'!H26,'TRA18'!H27,'TRA18'!H28,'TRA18'!H29,'TRA18'!H30,'TRA18'!H61,'TRA18'!H62)</f>
      </c>
      <c r="L11" s="142">
        <v>28</v>
      </c>
      <c r="M11" s="142">
        <f t="shared" si="0"/>
        <v>1</v>
      </c>
    </row>
    <row r="12" spans="1:13" hidden="1" x14ac:dyDescent="0.2">
      <c r="J12" s="142" t="s">
        <v>314</v>
      </c>
      <c r="K12" s="142">
        <f>COUNTA('TRA19'!G16:L36,'TRA19'!E36)</f>
      </c>
      <c r="L12" s="142">
        <v>84</v>
      </c>
      <c r="M12" s="142">
        <f t="shared" si="0"/>
        <v>0</v>
      </c>
    </row>
    <row r="13" spans="1:13" hidden="1" x14ac:dyDescent="0.2">
      <c r="A13" s="142" t="s">
        <v>6349</v>
      </c>
      <c r="B13" s="142" t="s">
        <v>4796</v>
      </c>
      <c r="C13" s="142">
        <v>4</v>
      </c>
      <c r="D13" s="553">
        <f>('TRA4'!J97-'TRA4'!I97)-('TRA4'!G102-'TRA4'!G100)</f>
      </c>
      <c r="J13" s="142" t="s">
        <v>315</v>
      </c>
    </row>
    <row r="14" spans="1:13" hidden="1" x14ac:dyDescent="0.2">
      <c r="B14" s="142" t="s">
        <v>6329</v>
      </c>
      <c r="C14" s="142">
        <v>4</v>
      </c>
      <c r="D14" s="142">
        <f>'p4'!K11+'p4'!O11+'p4'!R11+('p4'!K17+'p4'!O17+'p4'!R17)</f>
      </c>
      <c r="J14" s="142" t="s">
        <v>6335</v>
      </c>
    </row>
    <row r="15" spans="1:13" hidden="1" x14ac:dyDescent="0.2">
      <c r="G15" s="553">
        <f>D13-D14</f>
      </c>
      <c r="J15" s="142" t="s">
        <v>6336</v>
      </c>
    </row>
    <row r="16" spans="1:13" hidden="1" x14ac:dyDescent="0.2">
      <c r="J16" s="142" t="s">
        <v>316</v>
      </c>
    </row>
    <row r="17" spans="1:10" hidden="1" x14ac:dyDescent="0.2">
      <c r="B17" s="142" t="s">
        <v>6329</v>
      </c>
      <c r="C17" s="142">
        <v>3</v>
      </c>
      <c r="D17" s="142">
        <f>E17-F17</f>
      </c>
      <c r="E17" s="142">
        <f>SUM('p3'!E6:E51)-'p3'!E7</f>
      </c>
      <c r="F17" s="142">
        <f>SUM('p3'!E61:E93)</f>
      </c>
      <c r="J17" s="142" t="s">
        <v>6527</v>
      </c>
    </row>
    <row r="18" spans="1:10" hidden="1" x14ac:dyDescent="0.2">
      <c r="B18" s="142" t="s">
        <v>6329</v>
      </c>
      <c r="C18" s="142">
        <v>3</v>
      </c>
      <c r="D18" s="142">
        <f>'p3'!E99+'p3'!G99+'p3'!I99</f>
      </c>
      <c r="G18" s="142">
        <f>D17-D18</f>
      </c>
      <c r="J18" s="142" t="s">
        <v>6337</v>
      </c>
    </row>
    <row r="19" spans="1:10" hidden="1" x14ac:dyDescent="0.2">
      <c r="J19" s="142" t="s">
        <v>6338</v>
      </c>
    </row>
    <row r="20" spans="1:10" hidden="1" x14ac:dyDescent="0.2">
      <c r="B20" s="142" t="s">
        <v>6329</v>
      </c>
      <c r="C20" s="142">
        <v>4</v>
      </c>
      <c r="D20" s="142">
        <f>'p4'!K9+'p4'!O9+'p4'!R9</f>
      </c>
      <c r="G20" s="142">
        <f>D17-D20</f>
      </c>
      <c r="J20" s="142" t="s">
        <v>211</v>
      </c>
    </row>
    <row r="21" spans="1:10" hidden="1" x14ac:dyDescent="0.2">
      <c r="J21" s="142" t="s">
        <v>1051</v>
      </c>
    </row>
    <row r="22" spans="1:10" hidden="1" x14ac:dyDescent="0.2">
      <c r="J22" s="142" t="s">
        <v>212</v>
      </c>
    </row>
    <row r="23" spans="1:10" hidden="1" x14ac:dyDescent="0.2">
      <c r="A23" s="142" t="s">
        <v>6348</v>
      </c>
      <c r="B23" s="142" t="s">
        <v>6329</v>
      </c>
      <c r="C23" s="142">
        <v>4</v>
      </c>
      <c r="D23" s="142">
        <f>('p4'!K18+'p4'!O18+'p4'!R18)*-1</f>
      </c>
      <c r="J23" s="142" t="s">
        <v>213</v>
      </c>
    </row>
    <row r="24" spans="1:10" hidden="1" x14ac:dyDescent="0.2">
      <c r="A24" s="142" t="s">
        <v>6350</v>
      </c>
      <c r="B24" s="142" t="s">
        <v>4796</v>
      </c>
      <c r="C24" s="142">
        <v>8</v>
      </c>
      <c r="D24" s="553">
        <f>'TRA8'!D90+'TRA8'!E90+'TRA8'!F90</f>
      </c>
      <c r="J24" s="142" t="s">
        <v>214</v>
      </c>
    </row>
    <row r="25" spans="1:10" hidden="1" x14ac:dyDescent="0.2">
      <c r="B25" s="142" t="s">
        <v>4796</v>
      </c>
      <c r="C25" s="142">
        <v>9</v>
      </c>
      <c r="D25" s="142">
        <f>TRA9_14!C20+TRA9_14!D20+TRA9_14!E20</f>
      </c>
      <c r="J25" s="142" t="s">
        <v>6339</v>
      </c>
    </row>
    <row r="26" spans="1:10" hidden="1" x14ac:dyDescent="0.2">
      <c r="B26" s="142" t="s">
        <v>4796</v>
      </c>
      <c r="C26" s="142">
        <v>10</v>
      </c>
      <c r="D26" s="142">
        <f>TRA9_14!C51+TRA9_14!D51+TRA9_14!E51</f>
      </c>
      <c r="J26" s="142" t="s">
        <v>215</v>
      </c>
    </row>
    <row r="27" spans="1:10" hidden="1" x14ac:dyDescent="0.2">
      <c r="B27" s="142" t="s">
        <v>4796</v>
      </c>
      <c r="C27" s="142">
        <v>11</v>
      </c>
      <c r="D27" s="142">
        <f>TRA9_14!C75+TRA9_14!E75</f>
      </c>
      <c r="J27" s="142" t="s">
        <v>1576</v>
      </c>
    </row>
    <row r="28" spans="1:10" hidden="1" x14ac:dyDescent="0.2">
      <c r="B28" s="142" t="s">
        <v>4796</v>
      </c>
      <c r="C28" s="142">
        <v>12</v>
      </c>
      <c r="D28" s="142">
        <f>TRA9_14!C97+TRA9_14!E97</f>
      </c>
      <c r="J28" s="142" t="s">
        <v>6821</v>
      </c>
    </row>
    <row r="29" spans="1:10" hidden="1" x14ac:dyDescent="0.2">
      <c r="B29" s="142" t="s">
        <v>4796</v>
      </c>
      <c r="C29" s="142">
        <v>13</v>
      </c>
      <c r="D29" s="142">
        <f>TRA9_14!C121+TRA9_14!D121+TRA9_14!E121</f>
      </c>
      <c r="J29" s="142" t="s">
        <v>1052</v>
      </c>
    </row>
    <row r="30" spans="1:10" hidden="1" x14ac:dyDescent="0.2">
      <c r="B30" s="142" t="s">
        <v>4796</v>
      </c>
      <c r="C30" s="142">
        <v>14</v>
      </c>
      <c r="D30" s="142">
        <f>TRA9_14!C147+TRA9_14!D147+TRA9_14!E147</f>
      </c>
      <c r="J30" s="142" t="s">
        <v>1053</v>
      </c>
    </row>
    <row r="31" spans="1:10" hidden="1" x14ac:dyDescent="0.2">
      <c r="B31" s="142" t="s">
        <v>4796</v>
      </c>
      <c r="C31" s="142">
        <v>15</v>
      </c>
      <c r="D31" s="142">
        <f>'TRA15'!G89+'TRA15'!H89+'TRA15'!I89</f>
      </c>
      <c r="J31" s="142" t="s">
        <v>6340</v>
      </c>
    </row>
    <row r="32" spans="1:10" hidden="1" x14ac:dyDescent="0.2">
      <c r="B32" s="142" t="s">
        <v>4796</v>
      </c>
      <c r="C32" s="142">
        <v>19</v>
      </c>
      <c r="D32" s="553">
        <f>'TRA19'!E36</f>
      </c>
      <c r="J32" s="142" t="s">
        <v>1054</v>
      </c>
    </row>
    <row r="33" spans="1:10" hidden="1" x14ac:dyDescent="0.2">
      <c r="B33" s="142" t="s">
        <v>4796</v>
      </c>
      <c r="C33" s="142">
        <v>20</v>
      </c>
      <c r="D33" s="142">
        <f>'TRA20'!G46+'TRA20'!I46+'TRA20'!K46</f>
      </c>
      <c r="J33" s="142" t="s">
        <v>1055</v>
      </c>
    </row>
    <row r="34" spans="1:10" hidden="1" x14ac:dyDescent="0.2">
      <c r="A34" s="142" t="s">
        <v>6353</v>
      </c>
      <c r="B34" s="142" t="s">
        <v>6329</v>
      </c>
      <c r="C34" s="142">
        <v>4</v>
      </c>
      <c r="D34" s="142">
        <f>'p4'!K52+'p4'!O52+'p4'!R52</f>
      </c>
      <c r="J34" s="142" t="s">
        <v>5347</v>
      </c>
    </row>
    <row r="35" spans="1:10" hidden="1" x14ac:dyDescent="0.2">
      <c r="A35" s="142" t="s">
        <v>6354</v>
      </c>
      <c r="D35" s="142">
        <f>SUM(D20:D34)</f>
      </c>
      <c r="J35" s="142" t="s">
        <v>6042</v>
      </c>
    </row>
    <row r="36" spans="1:10" hidden="1" x14ac:dyDescent="0.2">
      <c r="J36" s="142" t="s">
        <v>6341</v>
      </c>
    </row>
    <row r="37" spans="1:10" hidden="1" x14ac:dyDescent="0.2">
      <c r="A37" s="142" t="s">
        <v>6354</v>
      </c>
      <c r="B37" s="142" t="s">
        <v>6329</v>
      </c>
      <c r="C37" s="142">
        <v>4</v>
      </c>
      <c r="D37" s="142">
        <f>'p4'!K61+'p4'!O61+'p4'!R61+'p4'!K62+'p4'!O62+'p4'!R62</f>
      </c>
      <c r="G37" s="142">
        <f>D35-D37</f>
      </c>
      <c r="J37" s="142" t="s">
        <v>6342</v>
      </c>
    </row>
    <row r="38" spans="1:10" hidden="1" x14ac:dyDescent="0.2">
      <c r="J38" s="142" t="s">
        <v>6343</v>
      </c>
    </row>
    <row r="39" spans="1:10" hidden="1" x14ac:dyDescent="0.2">
      <c r="A39" s="142" t="s">
        <v>6357</v>
      </c>
      <c r="B39" s="142" t="s">
        <v>4796</v>
      </c>
      <c r="C39" s="142">
        <v>33</v>
      </c>
      <c r="D39" s="553">
        <f>'TRA33'!E28</f>
      </c>
      <c r="J39" s="142" t="s">
        <v>6344</v>
      </c>
    </row>
    <row r="40" spans="1:10" hidden="1" x14ac:dyDescent="0.2">
      <c r="A40" s="142" t="s">
        <v>6355</v>
      </c>
      <c r="B40" s="142" t="s">
        <v>4796</v>
      </c>
      <c r="C40" s="142">
        <v>33</v>
      </c>
      <c r="D40" s="553">
        <f>'TRA33'!G28</f>
      </c>
      <c r="J40" s="142" t="s">
        <v>23</v>
      </c>
    </row>
    <row r="41" spans="1:10" hidden="1" x14ac:dyDescent="0.2">
      <c r="J41" s="142" t="s">
        <v>24</v>
      </c>
    </row>
    <row r="42" spans="1:10" hidden="1" x14ac:dyDescent="0.2">
      <c r="A42" s="142" t="s">
        <v>6358</v>
      </c>
      <c r="D42" s="553">
        <f>D37-D39</f>
      </c>
      <c r="J42" s="142" t="s">
        <v>25</v>
      </c>
    </row>
    <row r="43" spans="1:10" hidden="1" x14ac:dyDescent="0.2">
      <c r="A43" s="142" t="s">
        <v>6356</v>
      </c>
      <c r="D43" s="142">
        <f>ROUND(D42*0.35,0)</f>
      </c>
      <c r="J43" s="142" t="s">
        <v>6345</v>
      </c>
    </row>
    <row r="44" spans="1:10" hidden="1" x14ac:dyDescent="0.2">
      <c r="J44" s="142" t="s">
        <v>26</v>
      </c>
    </row>
    <row r="45" spans="1:10" hidden="1" x14ac:dyDescent="0.2">
      <c r="A45" s="142" t="s">
        <v>6359</v>
      </c>
      <c r="D45" s="553">
        <f>D40+D43</f>
      </c>
      <c r="J45" s="142" t="s">
        <v>27</v>
      </c>
    </row>
    <row r="46" spans="1:10" hidden="1" x14ac:dyDescent="0.2">
      <c r="A46" s="142" t="s">
        <v>6360</v>
      </c>
      <c r="B46" s="142" t="s">
        <v>4796</v>
      </c>
      <c r="C46" s="142">
        <v>29</v>
      </c>
      <c r="D46" s="142">
        <f>'TRA29'!E14+'TRA29'!F14</f>
      </c>
      <c r="J46" s="142" t="s">
        <v>28</v>
      </c>
    </row>
    <row r="47" spans="1:10" hidden="1" x14ac:dyDescent="0.2">
      <c r="B47" s="142" t="s">
        <v>4796</v>
      </c>
      <c r="C47" s="142">
        <v>34</v>
      </c>
      <c r="D47" s="142">
        <f>'TRA34'!F41</f>
      </c>
      <c r="J47" s="142" t="s">
        <v>2274</v>
      </c>
    </row>
    <row r="48" spans="1:10" hidden="1" x14ac:dyDescent="0.2">
      <c r="B48" s="142" t="s">
        <v>4796</v>
      </c>
      <c r="C48" s="142">
        <v>36</v>
      </c>
      <c r="D48" s="553">
        <f>'TRA36'!G57</f>
      </c>
      <c r="J48" s="142" t="s">
        <v>6466</v>
      </c>
    </row>
    <row r="49" spans="1:13" hidden="1" x14ac:dyDescent="0.2">
      <c r="B49" s="142" t="s">
        <v>4796</v>
      </c>
      <c r="C49" s="66">
        <v>42</v>
      </c>
      <c r="D49" s="553">
        <f>'TRA42'!J54*-1</f>
      </c>
      <c r="J49" s="142" t="s">
        <v>5048</v>
      </c>
    </row>
    <row r="50" spans="1:13" hidden="1" x14ac:dyDescent="0.2">
      <c r="B50" s="142" t="s">
        <v>4796</v>
      </c>
      <c r="C50" s="66">
        <v>47</v>
      </c>
      <c r="D50" s="553" t="e">
        <f>#REF!*-1</f>
      </c>
      <c r="J50" s="142" t="s">
        <v>5049</v>
      </c>
    </row>
    <row r="51" spans="1:13" hidden="1" x14ac:dyDescent="0.2">
      <c r="B51" s="142" t="s">
        <v>4796</v>
      </c>
      <c r="C51" s="66">
        <v>48</v>
      </c>
      <c r="D51" s="553" t="e">
        <f>#REF!*-1</f>
      </c>
      <c r="J51" s="142" t="s">
        <v>5050</v>
      </c>
    </row>
    <row r="52" spans="1:13" hidden="1" x14ac:dyDescent="0.2">
      <c r="B52" s="142" t="s">
        <v>4796</v>
      </c>
      <c r="C52" s="66">
        <v>49</v>
      </c>
      <c r="D52" s="553">
        <f>'TRA49'!I169*-1</f>
      </c>
      <c r="J52" s="142" t="s">
        <v>6346</v>
      </c>
    </row>
    <row r="53" spans="1:13" hidden="1" x14ac:dyDescent="0.2">
      <c r="B53" s="142" t="s">
        <v>4796</v>
      </c>
      <c r="C53" s="66">
        <v>51</v>
      </c>
      <c r="D53" s="142" t="e">
        <f>#REF!*-1</f>
      </c>
      <c r="J53" s="142" t="s">
        <v>5139</v>
      </c>
    </row>
    <row r="54" spans="1:13" hidden="1" x14ac:dyDescent="0.2">
      <c r="B54" s="142" t="s">
        <v>4796</v>
      </c>
      <c r="C54" s="66">
        <v>54</v>
      </c>
      <c r="D54" s="142">
        <f>'TRA54'!D36*-1</f>
      </c>
      <c r="J54" s="142" t="s">
        <v>4250</v>
      </c>
      <c r="K54" s="142">
        <f>COUNTA(TRA61_FTA!J4:K51)</f>
      </c>
      <c r="L54" s="142">
        <v>15</v>
      </c>
      <c r="M54" s="142">
        <f>IF(L54&lt;&gt;K54,1,0)</f>
      </c>
    </row>
    <row r="55" spans="1:13" hidden="1" x14ac:dyDescent="0.2">
      <c r="B55" s="142" t="s">
        <v>4796</v>
      </c>
      <c r="C55" s="66">
        <v>65</v>
      </c>
      <c r="D55" s="142">
        <f>'TRA65'!F44</f>
      </c>
      <c r="J55" s="142" t="s">
        <v>4251</v>
      </c>
      <c r="K55" s="142">
        <f>COUNTA(TRA62_IPA!H3:H86)</f>
      </c>
      <c r="L55" s="142">
        <v>47</v>
      </c>
      <c r="M55" s="142">
        <f>IF(L55&lt;&gt;K55,1,0)</f>
      </c>
    </row>
    <row r="56" spans="1:13" hidden="1" x14ac:dyDescent="0.2">
      <c r="B56" s="142" t="s">
        <v>4796</v>
      </c>
      <c r="C56" s="66">
        <v>71</v>
      </c>
      <c r="D56" s="142">
        <f>'TRA71'!C26*-1</f>
      </c>
      <c r="J56" s="142" t="s">
        <v>6331</v>
      </c>
      <c r="K56" s="142">
        <f>COUNTA(TRA62A_IPA!E7,TRA62A_IPA!E13,TRA62A_IPA!E15,TRA62A_IPA!D19,TRA62A_IPA!D20,TRA62A_IPA!D26,TRA62A_IPA!D27,TRA62A_IPA!D29,TRA62A_IPA!E45,TRA62A_IPA!E49,TRA62A_IPA!E53,TRA62A_IPA!D59,TRA62A_IPA!D61,TRA62A_IPA!D63,TRA62A_IPA!E66,TRA62A_IPA!E70,TRA62A_IPA!E76:E82,TRA62A_IPA!D85:D88,TRA62A_IPA!D90)</f>
      </c>
      <c r="L56" s="142">
        <v>28</v>
      </c>
      <c r="M56" s="142">
        <f>IF(L56&lt;&gt;K56,1,0)</f>
      </c>
    </row>
    <row r="57" spans="1:13" hidden="1" x14ac:dyDescent="0.2">
      <c r="B57" s="142" t="s">
        <v>4796</v>
      </c>
      <c r="C57" s="66">
        <v>72</v>
      </c>
      <c r="D57" s="142">
        <f>'TRA72'!C26*-1</f>
      </c>
      <c r="J57" s="142" t="s">
        <v>4252</v>
      </c>
      <c r="K57" s="142">
        <f>COUNTA(TRA63_MTA_FIA!Q15:Q47)</f>
      </c>
      <c r="L57" s="142">
        <v>24</v>
      </c>
      <c r="M57" s="142">
        <f>IF(L57&lt;&gt;K57,1,0)</f>
      </c>
    </row>
    <row r="58" spans="1:13" hidden="1" x14ac:dyDescent="0.2">
      <c r="A58" s="142" t="s">
        <v>6361</v>
      </c>
      <c r="D58" s="553" t="e">
        <f>SUM(D45:D57)</f>
      </c>
      <c r="J58" s="142" t="s">
        <v>6347</v>
      </c>
    </row>
    <row r="59" spans="1:13" hidden="1" x14ac:dyDescent="0.2">
      <c r="B59" s="142" t="s">
        <v>6329</v>
      </c>
      <c r="C59" s="142">
        <v>5</v>
      </c>
      <c r="D59" s="142">
        <f>'p5'!D28</f>
      </c>
      <c r="G59" s="553" t="e">
        <f>D58-D59</f>
      </c>
      <c r="J59" s="142" t="s">
        <v>5051</v>
      </c>
    </row>
  </sheetData>
  <phoneticPr fontId="143" type="noConversion"/>
  <hyperlinks>
    <hyperlink ref="C49" location="TRA42!B2" display="TRA 42" xr:uid="{00000000-0004-0000-3D00-000000000000}"/>
    <hyperlink ref="C50" location="TRA47!B2" display="TRA 47" xr:uid="{00000000-0004-0000-3D00-000001000000}"/>
    <hyperlink ref="C51" location="TRA48!A1" display="TRA 48" xr:uid="{00000000-0004-0000-3D00-000002000000}"/>
    <hyperlink ref="C52" location="TRA43_49!B2" display="TRA 49" xr:uid="{00000000-0004-0000-3D00-000003000000}"/>
    <hyperlink ref="C53" location="TRA51!B3" display="TRA 51" xr:uid="{00000000-0004-0000-3D00-000004000000}"/>
    <hyperlink ref="C54" location="TRA54!A1" display="TRA 54" xr:uid="{00000000-0004-0000-3D00-000005000000}"/>
    <hyperlink ref="C55" location="TRA65!A1" display="TRA 65" xr:uid="{00000000-0004-0000-3D00-000006000000}"/>
    <hyperlink ref="C56" location="TRA71!A1" display="TRA 71" xr:uid="{00000000-0004-0000-3D00-000007000000}"/>
    <hyperlink ref="C57" location="TRA72!A1" display="TRA 72" xr:uid="{00000000-0004-0000-3D00-000008000000}"/>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71"/>
  <dimension ref="A1:P49"/>
  <sheetViews>
    <sheetView workbookViewId="0">
      <selection activeCell="D39" sqref="D39"/>
    </sheetView>
  </sheetViews>
  <sheetFormatPr defaultColWidth="0" defaultRowHeight="14.25" zeroHeight="1" x14ac:dyDescent="0.2"/>
  <cols>
    <col min="1" max="1" width="5.42578125" style="1458" customWidth="1"/>
    <col min="2" max="2" width="12" style="1458" customWidth="1"/>
    <col min="3" max="3" width="52.7109375" style="1458" customWidth="1"/>
    <col min="4" max="4" width="13.42578125" style="1458" customWidth="1"/>
    <col min="5" max="5" width="13.5703125" style="1458" customWidth="1"/>
    <col min="6" max="6" width="16.7109375" style="1458" customWidth="1"/>
    <col min="7" max="16384" width="9.28515625" style="1458" hidden="1"/>
  </cols>
  <sheetData>
    <row r="1" spans="1:16" x14ac:dyDescent="0.2">
      <c r="A1" s="1457"/>
      <c r="B1" s="5067" t="str">
        <f>_ref1</f>
      </c>
      <c r="C1" s="5067"/>
      <c r="D1" s="1457"/>
      <c r="E1" s="1457"/>
      <c r="F1" s="1469" t="str">
        <f>_YA1</f>
      </c>
      <c r="K1" s="1458" t="s">
        <v>9964</v>
      </c>
      <c r="L1" s="1458" t="str">
        <f>'p2'!G36</f>
      </c>
    </row>
    <row r="2" spans="1:16" ht="6" customHeight="1" x14ac:dyDescent="0.2">
      <c r="A2" s="1457"/>
      <c r="B2" s="1457"/>
      <c r="C2" s="1457"/>
      <c r="D2" s="1457"/>
      <c r="E2" s="1457"/>
      <c r="F2" s="1457"/>
    </row>
    <row r="3" spans="1:16" ht="23.25" x14ac:dyDescent="0.35">
      <c r="A3" s="1457"/>
      <c r="B3" s="5068" t="s">
        <v>4158</v>
      </c>
      <c r="C3" s="5069"/>
      <c r="D3" s="1487"/>
      <c r="E3" s="1488"/>
      <c r="F3" s="1457"/>
    </row>
    <row r="4" spans="1:16" ht="21.75" customHeight="1" x14ac:dyDescent="0.2">
      <c r="A4" s="1457"/>
      <c r="B4" s="5070" t="s">
        <v>4159</v>
      </c>
      <c r="C4" s="5071"/>
      <c r="D4" s="5071"/>
      <c r="E4" s="5072"/>
      <c r="F4" s="1457"/>
    </row>
    <row r="5" spans="1:16" ht="6" customHeight="1" x14ac:dyDescent="0.2">
      <c r="A5" s="1457"/>
      <c r="B5" s="1457"/>
      <c r="C5" s="1457"/>
      <c r="D5" s="1457"/>
      <c r="E5" s="1457"/>
      <c r="F5" s="1457"/>
    </row>
    <row r="6" spans="1:16" ht="3.75" customHeight="1" x14ac:dyDescent="0.2">
      <c r="A6" s="1457"/>
      <c r="B6" s="1457"/>
      <c r="C6" s="1457"/>
      <c r="D6" s="1457"/>
      <c r="E6" s="1457"/>
      <c r="F6" s="1457"/>
    </row>
    <row r="7" spans="1:16" ht="0.75" customHeight="1" x14ac:dyDescent="0.2">
      <c r="A7" s="1457"/>
      <c r="B7" s="1457"/>
      <c r="C7" s="1457"/>
      <c r="D7" s="1457"/>
      <c r="E7" s="1457"/>
      <c r="F7" s="1457"/>
    </row>
    <row r="8" spans="1:16" ht="48" x14ac:dyDescent="0.2">
      <c r="A8" s="1457"/>
      <c r="B8" s="1494" t="s">
        <v>9965</v>
      </c>
      <c r="C8" s="1493" t="s">
        <v>4160</v>
      </c>
      <c r="D8" s="1494" t="s">
        <v>4161</v>
      </c>
      <c r="E8" s="1494" t="s">
        <v>2757</v>
      </c>
      <c r="F8" s="1459"/>
    </row>
    <row r="9" spans="1:16" x14ac:dyDescent="0.2">
      <c r="A9" s="1457"/>
      <c r="B9" s="1471"/>
      <c r="C9" s="1470"/>
      <c r="D9" s="1460"/>
      <c r="E9" s="1460"/>
      <c r="F9" s="1463" t="str">
        <f>IF(AND(L9=0,B9&lt;&gt;"",$L$1="n"),"Check details!",IF(AND($L$1="y",L9&gt;0,L9&lt;&gt;4)," All details required!",IF(AND($L$1="n",L9&gt;0,L9&lt;&gt;3)," All details required!",IF(AND($L$1="n",B9&lt;&gt;""),"Not fiscal unit - Pg 2 Q30",""))))</f>
        <v/>
      </c>
      <c r="I9" s="1458">
        <f t="shared" ref="I9:I14" si="0">IF(F9="",0,1)</f>
      </c>
      <c r="L9" s="1458">
        <f>IF($L$1="y",COUNTA(B9:E9),COUNTA(C9:E9))</f>
      </c>
      <c r="N9" s="1458">
        <f t="shared" ref="N9:N14" si="1">ROUND(D9*5%,0)</f>
      </c>
      <c r="O9" s="1458">
        <f t="shared" ref="O9:O14" si="2">N9-1</f>
      </c>
      <c r="P9" s="1458">
        <f t="shared" ref="P9:P14" si="3">N9+1</f>
      </c>
    </row>
    <row r="10" spans="1:16" x14ac:dyDescent="0.2">
      <c r="A10" s="1457"/>
      <c r="B10" s="1471"/>
      <c r="C10" s="1470"/>
      <c r="D10" s="1460"/>
      <c r="E10" s="1460"/>
      <c r="F10" s="1463" t="str">
        <f t="shared" ref="F10:F38" si="4">IF(AND(L10=0,B10&lt;&gt;"",$L$1="n"),"Check details!",IF(AND($L$1="y",L10&gt;0,L10&lt;&gt;4)," All details required!",IF(AND($L$1="n",L10&gt;0,L10&lt;&gt;3)," All details required!",IF(AND($L$1="n",B10&lt;&gt;""),"Not fiscal unit - Pg 2 Q30",""))))</f>
        <v/>
      </c>
      <c r="I10" s="1458">
        <f t="shared" si="0"/>
        <v>0</v>
      </c>
      <c r="L10" s="1458">
        <f t="shared" ref="L10:L38" si="5">IF($L$1="y",COUNTA(B10:E10),COUNTA(C10:E10))</f>
      </c>
      <c r="N10" s="1458">
        <f t="shared" si="1"/>
        <v>0</v>
      </c>
      <c r="O10" s="1458">
        <f t="shared" si="2"/>
        <v>-1</v>
      </c>
      <c r="P10" s="1458">
        <f t="shared" si="3"/>
        <v>1</v>
      </c>
    </row>
    <row r="11" spans="1:16" x14ac:dyDescent="0.2">
      <c r="A11" s="1457"/>
      <c r="B11" s="1471"/>
      <c r="C11" s="1470"/>
      <c r="D11" s="1460"/>
      <c r="E11" s="1460"/>
      <c r="F11" s="1463" t="str">
        <f t="shared" si="4"/>
        <v/>
      </c>
      <c r="I11" s="1458">
        <f t="shared" si="0"/>
        <v>0</v>
      </c>
      <c r="L11" s="1458">
        <f t="shared" si="5"/>
        <v>0</v>
      </c>
      <c r="N11" s="1458">
        <f t="shared" si="1"/>
        <v>0</v>
      </c>
      <c r="O11" s="1458">
        <f t="shared" si="2"/>
        <v>-1</v>
      </c>
      <c r="P11" s="1458">
        <f t="shared" si="3"/>
        <v>1</v>
      </c>
    </row>
    <row r="12" spans="1:16" x14ac:dyDescent="0.2">
      <c r="A12" s="1457"/>
      <c r="B12" s="1471"/>
      <c r="C12" s="1470"/>
      <c r="D12" s="1460"/>
      <c r="E12" s="1460"/>
      <c r="F12" s="1463" t="str">
        <f t="shared" si="4"/>
        <v/>
      </c>
      <c r="I12" s="1458">
        <f t="shared" si="0"/>
        <v>0</v>
      </c>
      <c r="L12" s="1458">
        <f t="shared" si="5"/>
        <v>0</v>
      </c>
      <c r="N12" s="1458">
        <f t="shared" si="1"/>
        <v>0</v>
      </c>
      <c r="O12" s="1458">
        <f t="shared" si="2"/>
        <v>-1</v>
      </c>
      <c r="P12" s="1458">
        <f t="shared" si="3"/>
        <v>1</v>
      </c>
    </row>
    <row r="13" spans="1:16" x14ac:dyDescent="0.2">
      <c r="A13" s="1457"/>
      <c r="B13" s="1471"/>
      <c r="C13" s="1470"/>
      <c r="D13" s="1460"/>
      <c r="E13" s="1460"/>
      <c r="F13" s="1463" t="str">
        <f t="shared" si="4"/>
        <v/>
      </c>
      <c r="I13" s="1458">
        <f t="shared" si="0"/>
        <v>0</v>
      </c>
      <c r="L13" s="1458">
        <f t="shared" si="5"/>
        <v>0</v>
      </c>
      <c r="N13" s="1458">
        <f t="shared" si="1"/>
        <v>0</v>
      </c>
      <c r="O13" s="1458">
        <f t="shared" si="2"/>
        <v>-1</v>
      </c>
      <c r="P13" s="1458">
        <f t="shared" si="3"/>
        <v>1</v>
      </c>
    </row>
    <row r="14" spans="1:16" x14ac:dyDescent="0.2">
      <c r="A14" s="1457"/>
      <c r="B14" s="1471"/>
      <c r="C14" s="1470"/>
      <c r="D14" s="1460"/>
      <c r="E14" s="1460"/>
      <c r="F14" s="1463" t="str">
        <f t="shared" si="4"/>
        <v/>
      </c>
      <c r="I14" s="1458">
        <f t="shared" si="0"/>
        <v>0</v>
      </c>
      <c r="L14" s="1458">
        <f t="shared" si="5"/>
        <v>0</v>
      </c>
      <c r="N14" s="1458">
        <f t="shared" si="1"/>
        <v>0</v>
      </c>
      <c r="O14" s="1458">
        <f t="shared" si="2"/>
        <v>-1</v>
      </c>
      <c r="P14" s="1458">
        <f t="shared" si="3"/>
        <v>1</v>
      </c>
    </row>
    <row r="15" spans="1:16" x14ac:dyDescent="0.2">
      <c r="A15" s="1457"/>
      <c r="B15" s="1471"/>
      <c r="C15" s="1470"/>
      <c r="D15" s="1460"/>
      <c r="E15" s="1460"/>
      <c r="F15" s="1463" t="str">
        <f t="shared" si="4"/>
        <v/>
      </c>
      <c r="I15" s="1458">
        <f t="shared" ref="I15:I34" si="6">IF(F15="",0,1)</f>
      </c>
      <c r="L15" s="1458">
        <f t="shared" si="5"/>
        <v>0</v>
      </c>
      <c r="N15" s="1458">
        <f t="shared" ref="N15:N34" si="7">ROUND(D15*5%,0)</f>
      </c>
      <c r="O15" s="1458">
        <f t="shared" ref="O15:O34" si="8">N15-1</f>
      </c>
      <c r="P15" s="1458">
        <f t="shared" ref="P15:P34" si="9">N15+1</f>
      </c>
    </row>
    <row r="16" spans="1:16" x14ac:dyDescent="0.2">
      <c r="A16" s="1457"/>
      <c r="B16" s="1471"/>
      <c r="C16" s="1470"/>
      <c r="D16" s="1460"/>
      <c r="E16" s="1460"/>
      <c r="F16" s="1463" t="str">
        <f t="shared" si="4"/>
        <v/>
      </c>
      <c r="I16" s="1458">
        <f t="shared" si="6"/>
        <v>0</v>
      </c>
      <c r="L16" s="1458">
        <f t="shared" si="5"/>
        <v>0</v>
      </c>
      <c r="N16" s="1458">
        <f t="shared" si="7"/>
        <v>0</v>
      </c>
      <c r="O16" s="1458">
        <f t="shared" si="8"/>
        <v>-1</v>
      </c>
      <c r="P16" s="1458">
        <f t="shared" si="9"/>
        <v>1</v>
      </c>
    </row>
    <row r="17" spans="1:16" x14ac:dyDescent="0.2">
      <c r="A17" s="1457"/>
      <c r="B17" s="1471"/>
      <c r="C17" s="1470"/>
      <c r="D17" s="1460"/>
      <c r="E17" s="1460"/>
      <c r="F17" s="1463" t="str">
        <f t="shared" si="4"/>
        <v/>
      </c>
      <c r="I17" s="1458">
        <f t="shared" si="6"/>
        <v>0</v>
      </c>
      <c r="L17" s="1458">
        <f t="shared" si="5"/>
        <v>0</v>
      </c>
      <c r="N17" s="1458">
        <f t="shared" si="7"/>
        <v>0</v>
      </c>
      <c r="O17" s="1458">
        <f t="shared" si="8"/>
        <v>-1</v>
      </c>
      <c r="P17" s="1458">
        <f t="shared" si="9"/>
        <v>1</v>
      </c>
    </row>
    <row r="18" spans="1:16" x14ac:dyDescent="0.2">
      <c r="A18" s="1457"/>
      <c r="B18" s="1471"/>
      <c r="C18" s="1470"/>
      <c r="D18" s="1460"/>
      <c r="E18" s="1460"/>
      <c r="F18" s="1463" t="str">
        <f t="shared" si="4"/>
        <v/>
      </c>
      <c r="I18" s="1458">
        <f t="shared" si="6"/>
        <v>0</v>
      </c>
      <c r="L18" s="1458">
        <f t="shared" si="5"/>
        <v>0</v>
      </c>
      <c r="N18" s="1458">
        <f t="shared" si="7"/>
        <v>0</v>
      </c>
      <c r="O18" s="1458">
        <f t="shared" si="8"/>
        <v>-1</v>
      </c>
      <c r="P18" s="1458">
        <f t="shared" si="9"/>
        <v>1</v>
      </c>
    </row>
    <row r="19" spans="1:16" x14ac:dyDescent="0.2">
      <c r="A19" s="1457"/>
      <c r="B19" s="1471"/>
      <c r="C19" s="1470"/>
      <c r="D19" s="1460"/>
      <c r="E19" s="1460"/>
      <c r="F19" s="1463" t="str">
        <f t="shared" si="4"/>
        <v/>
      </c>
      <c r="I19" s="1458">
        <f t="shared" si="6"/>
        <v>0</v>
      </c>
      <c r="L19" s="1458">
        <f t="shared" si="5"/>
        <v>0</v>
      </c>
      <c r="N19" s="1458">
        <f t="shared" si="7"/>
        <v>0</v>
      </c>
      <c r="O19" s="1458">
        <f t="shared" si="8"/>
        <v>-1</v>
      </c>
      <c r="P19" s="1458">
        <f t="shared" si="9"/>
        <v>1</v>
      </c>
    </row>
    <row r="20" spans="1:16" hidden="1" x14ac:dyDescent="0.2">
      <c r="A20" s="1457"/>
      <c r="B20" s="1471"/>
      <c r="C20" s="1470"/>
      <c r="D20" s="1460"/>
      <c r="E20" s="1460"/>
      <c r="F20" s="1463" t="str">
        <f t="shared" si="4"/>
        <v/>
      </c>
      <c r="I20" s="1458">
        <f t="shared" si="6"/>
        <v>0</v>
      </c>
      <c r="L20" s="1458">
        <f t="shared" si="5"/>
        <v>0</v>
      </c>
      <c r="N20" s="1458">
        <f t="shared" si="7"/>
        <v>0</v>
      </c>
      <c r="O20" s="1458">
        <f t="shared" si="8"/>
        <v>-1</v>
      </c>
      <c r="P20" s="1458">
        <f t="shared" si="9"/>
        <v>1</v>
      </c>
    </row>
    <row r="21" spans="1:16" hidden="1" x14ac:dyDescent="0.2">
      <c r="A21" s="1457"/>
      <c r="B21" s="1471"/>
      <c r="C21" s="1470"/>
      <c r="D21" s="1460"/>
      <c r="E21" s="1460"/>
      <c r="F21" s="1463" t="str">
        <f t="shared" si="4"/>
        <v/>
      </c>
      <c r="I21" s="1458">
        <f t="shared" si="6"/>
        <v>0</v>
      </c>
      <c r="L21" s="1458">
        <f t="shared" si="5"/>
        <v>0</v>
      </c>
      <c r="N21" s="1458">
        <f t="shared" si="7"/>
        <v>0</v>
      </c>
      <c r="O21" s="1458">
        <f t="shared" si="8"/>
        <v>-1</v>
      </c>
      <c r="P21" s="1458">
        <f t="shared" si="9"/>
        <v>1</v>
      </c>
    </row>
    <row r="22" spans="1:16" hidden="1" x14ac:dyDescent="0.2">
      <c r="A22" s="1457"/>
      <c r="B22" s="1471"/>
      <c r="C22" s="1470"/>
      <c r="D22" s="1460"/>
      <c r="E22" s="1460"/>
      <c r="F22" s="1463" t="str">
        <f t="shared" si="4"/>
        <v/>
      </c>
      <c r="I22" s="1458">
        <f t="shared" si="6"/>
        <v>0</v>
      </c>
      <c r="L22" s="1458">
        <f t="shared" si="5"/>
        <v>0</v>
      </c>
      <c r="N22" s="1458">
        <f t="shared" si="7"/>
        <v>0</v>
      </c>
      <c r="O22" s="1458">
        <f t="shared" si="8"/>
        <v>-1</v>
      </c>
      <c r="P22" s="1458">
        <f t="shared" si="9"/>
        <v>1</v>
      </c>
    </row>
    <row r="23" spans="1:16" hidden="1" x14ac:dyDescent="0.2">
      <c r="A23" s="1457"/>
      <c r="B23" s="1471"/>
      <c r="C23" s="1470"/>
      <c r="D23" s="1460"/>
      <c r="E23" s="1460"/>
      <c r="F23" s="1463" t="str">
        <f t="shared" si="4"/>
        <v/>
      </c>
      <c r="I23" s="1458">
        <f t="shared" si="6"/>
        <v>0</v>
      </c>
      <c r="L23" s="1458">
        <f t="shared" si="5"/>
        <v>0</v>
      </c>
      <c r="N23" s="1458">
        <f t="shared" si="7"/>
        <v>0</v>
      </c>
      <c r="O23" s="1458">
        <f t="shared" si="8"/>
        <v>-1</v>
      </c>
      <c r="P23" s="1458">
        <f t="shared" si="9"/>
        <v>1</v>
      </c>
    </row>
    <row r="24" spans="1:16" hidden="1" x14ac:dyDescent="0.2">
      <c r="A24" s="1457"/>
      <c r="B24" s="1471"/>
      <c r="C24" s="1470"/>
      <c r="D24" s="1460"/>
      <c r="E24" s="1460"/>
      <c r="F24" s="1463" t="str">
        <f t="shared" si="4"/>
        <v/>
      </c>
      <c r="I24" s="1458">
        <f t="shared" si="6"/>
        <v>0</v>
      </c>
      <c r="L24" s="1458">
        <f t="shared" si="5"/>
        <v>0</v>
      </c>
      <c r="N24" s="1458">
        <f t="shared" si="7"/>
        <v>0</v>
      </c>
      <c r="O24" s="1458">
        <f t="shared" si="8"/>
        <v>-1</v>
      </c>
      <c r="P24" s="1458">
        <f t="shared" si="9"/>
        <v>1</v>
      </c>
    </row>
    <row r="25" spans="1:16" hidden="1" x14ac:dyDescent="0.2">
      <c r="A25" s="1457"/>
      <c r="B25" s="1471"/>
      <c r="C25" s="1470"/>
      <c r="D25" s="1460"/>
      <c r="E25" s="1460"/>
      <c r="F25" s="1463" t="str">
        <f t="shared" si="4"/>
        <v/>
      </c>
      <c r="I25" s="1458">
        <f t="shared" si="6"/>
        <v>0</v>
      </c>
      <c r="L25" s="1458">
        <f t="shared" si="5"/>
        <v>0</v>
      </c>
      <c r="N25" s="1458">
        <f t="shared" si="7"/>
        <v>0</v>
      </c>
      <c r="O25" s="1458">
        <f t="shared" si="8"/>
        <v>-1</v>
      </c>
      <c r="P25" s="1458">
        <f t="shared" si="9"/>
        <v>1</v>
      </c>
    </row>
    <row r="26" spans="1:16" hidden="1" x14ac:dyDescent="0.2">
      <c r="A26" s="1457"/>
      <c r="B26" s="1471"/>
      <c r="C26" s="1470"/>
      <c r="D26" s="1460"/>
      <c r="E26" s="1460"/>
      <c r="F26" s="1463" t="str">
        <f t="shared" si="4"/>
        <v/>
      </c>
      <c r="I26" s="1458">
        <f t="shared" si="6"/>
        <v>0</v>
      </c>
      <c r="L26" s="1458">
        <f t="shared" si="5"/>
        <v>0</v>
      </c>
      <c r="N26" s="1458">
        <f t="shared" si="7"/>
        <v>0</v>
      </c>
      <c r="O26" s="1458">
        <f t="shared" si="8"/>
        <v>-1</v>
      </c>
      <c r="P26" s="1458">
        <f t="shared" si="9"/>
        <v>1</v>
      </c>
    </row>
    <row r="27" spans="1:16" hidden="1" x14ac:dyDescent="0.2">
      <c r="A27" s="1457"/>
      <c r="B27" s="1471"/>
      <c r="C27" s="1470"/>
      <c r="D27" s="1460"/>
      <c r="E27" s="1460"/>
      <c r="F27" s="1463" t="str">
        <f t="shared" si="4"/>
        <v/>
      </c>
      <c r="I27" s="1458">
        <f t="shared" si="6"/>
        <v>0</v>
      </c>
      <c r="L27" s="1458">
        <f t="shared" si="5"/>
        <v>0</v>
      </c>
      <c r="N27" s="1458">
        <f t="shared" si="7"/>
        <v>0</v>
      </c>
      <c r="O27" s="1458">
        <f t="shared" si="8"/>
        <v>-1</v>
      </c>
      <c r="P27" s="1458">
        <f t="shared" si="9"/>
        <v>1</v>
      </c>
    </row>
    <row r="28" spans="1:16" hidden="1" x14ac:dyDescent="0.2">
      <c r="A28" s="1457"/>
      <c r="B28" s="1471"/>
      <c r="C28" s="1470"/>
      <c r="D28" s="1460"/>
      <c r="E28" s="1460"/>
      <c r="F28" s="1463" t="str">
        <f t="shared" si="4"/>
        <v/>
      </c>
      <c r="I28" s="1458">
        <f t="shared" si="6"/>
        <v>0</v>
      </c>
      <c r="L28" s="1458">
        <f t="shared" si="5"/>
        <v>0</v>
      </c>
      <c r="N28" s="1458">
        <f t="shared" si="7"/>
        <v>0</v>
      </c>
      <c r="O28" s="1458">
        <f t="shared" si="8"/>
        <v>-1</v>
      </c>
      <c r="P28" s="1458">
        <f t="shared" si="9"/>
        <v>1</v>
      </c>
    </row>
    <row r="29" spans="1:16" hidden="1" x14ac:dyDescent="0.2">
      <c r="A29" s="1457"/>
      <c r="B29" s="1471"/>
      <c r="C29" s="1470"/>
      <c r="D29" s="1460"/>
      <c r="E29" s="1460"/>
      <c r="F29" s="1463" t="str">
        <f t="shared" si="4"/>
        <v/>
      </c>
      <c r="I29" s="1458">
        <f t="shared" si="6"/>
        <v>0</v>
      </c>
      <c r="L29" s="1458">
        <f t="shared" si="5"/>
        <v>0</v>
      </c>
      <c r="N29" s="1458">
        <f t="shared" si="7"/>
        <v>0</v>
      </c>
      <c r="O29" s="1458">
        <f t="shared" si="8"/>
        <v>-1</v>
      </c>
      <c r="P29" s="1458">
        <f t="shared" si="9"/>
        <v>1</v>
      </c>
    </row>
    <row r="30" spans="1:16" x14ac:dyDescent="0.2">
      <c r="A30" s="1457"/>
      <c r="B30" s="1471"/>
      <c r="C30" s="1470"/>
      <c r="D30" s="1460"/>
      <c r="E30" s="1460"/>
      <c r="F30" s="1463" t="str">
        <f t="shared" si="4"/>
        <v/>
      </c>
      <c r="I30" s="1458">
        <f t="shared" si="6"/>
        <v>0</v>
      </c>
      <c r="L30" s="1458">
        <f t="shared" si="5"/>
        <v>0</v>
      </c>
      <c r="N30" s="1458">
        <f t="shared" si="7"/>
        <v>0</v>
      </c>
      <c r="O30" s="1458">
        <f t="shared" si="8"/>
        <v>-1</v>
      </c>
      <c r="P30" s="1458">
        <f t="shared" si="9"/>
        <v>1</v>
      </c>
    </row>
    <row r="31" spans="1:16" x14ac:dyDescent="0.2">
      <c r="A31" s="1457"/>
      <c r="B31" s="1471"/>
      <c r="C31" s="1470"/>
      <c r="D31" s="1460"/>
      <c r="E31" s="1460"/>
      <c r="F31" s="1463" t="str">
        <f t="shared" si="4"/>
        <v/>
      </c>
      <c r="I31" s="1458">
        <f t="shared" si="6"/>
        <v>0</v>
      </c>
      <c r="L31" s="1458">
        <f t="shared" si="5"/>
        <v>0</v>
      </c>
      <c r="N31" s="1458">
        <f t="shared" si="7"/>
        <v>0</v>
      </c>
      <c r="O31" s="1458">
        <f t="shared" si="8"/>
        <v>-1</v>
      </c>
      <c r="P31" s="1458">
        <f t="shared" si="9"/>
        <v>1</v>
      </c>
    </row>
    <row r="32" spans="1:16" x14ac:dyDescent="0.2">
      <c r="A32" s="1457"/>
      <c r="B32" s="1471"/>
      <c r="C32" s="1470"/>
      <c r="D32" s="1460"/>
      <c r="E32" s="1460"/>
      <c r="F32" s="1463" t="str">
        <f t="shared" si="4"/>
        <v/>
      </c>
      <c r="I32" s="1458">
        <f t="shared" si="6"/>
        <v>0</v>
      </c>
      <c r="L32" s="1458">
        <f t="shared" si="5"/>
        <v>0</v>
      </c>
      <c r="N32" s="1458">
        <f t="shared" si="7"/>
        <v>0</v>
      </c>
      <c r="O32" s="1458">
        <f t="shared" si="8"/>
        <v>-1</v>
      </c>
      <c r="P32" s="1458">
        <f t="shared" si="9"/>
        <v>1</v>
      </c>
    </row>
    <row r="33" spans="1:16" x14ac:dyDescent="0.2">
      <c r="A33" s="1457"/>
      <c r="B33" s="1471"/>
      <c r="C33" s="1470"/>
      <c r="D33" s="1460"/>
      <c r="E33" s="1460"/>
      <c r="F33" s="1463" t="str">
        <f t="shared" si="4"/>
        <v/>
      </c>
      <c r="I33" s="1458">
        <f t="shared" si="6"/>
        <v>0</v>
      </c>
      <c r="L33" s="1458">
        <f t="shared" si="5"/>
        <v>0</v>
      </c>
      <c r="N33" s="1458">
        <f t="shared" si="7"/>
        <v>0</v>
      </c>
      <c r="O33" s="1458">
        <f t="shared" si="8"/>
        <v>-1</v>
      </c>
      <c r="P33" s="1458">
        <f t="shared" si="9"/>
        <v>1</v>
      </c>
    </row>
    <row r="34" spans="1:16" x14ac:dyDescent="0.2">
      <c r="A34" s="1457"/>
      <c r="B34" s="1471"/>
      <c r="C34" s="1470"/>
      <c r="D34" s="1460"/>
      <c r="E34" s="1460"/>
      <c r="F34" s="1463" t="str">
        <f t="shared" si="4"/>
        <v/>
      </c>
      <c r="I34" s="1458">
        <f t="shared" si="6"/>
        <v>0</v>
      </c>
      <c r="L34" s="1458">
        <f t="shared" si="5"/>
        <v>0</v>
      </c>
      <c r="N34" s="1458">
        <f t="shared" si="7"/>
        <v>0</v>
      </c>
      <c r="O34" s="1458">
        <f t="shared" si="8"/>
        <v>-1</v>
      </c>
      <c r="P34" s="1458">
        <f t="shared" si="9"/>
        <v>1</v>
      </c>
    </row>
    <row r="35" spans="1:16" x14ac:dyDescent="0.2">
      <c r="A35" s="1457"/>
      <c r="B35" s="1471"/>
      <c r="C35" s="1470"/>
      <c r="D35" s="1460"/>
      <c r="E35" s="1460"/>
      <c r="F35" s="1463" t="str">
        <f t="shared" si="4"/>
        <v/>
      </c>
      <c r="I35" s="1458">
        <f>IF(F35="",0,1)</f>
      </c>
      <c r="L35" s="1458">
        <f t="shared" si="5"/>
        <v>0</v>
      </c>
      <c r="N35" s="1458">
        <f>ROUND(D35*5%,0)</f>
      </c>
      <c r="O35" s="1458">
        <f>N35-1</f>
      </c>
      <c r="P35" s="1458">
        <f>N35+1</f>
      </c>
    </row>
    <row r="36" spans="1:16" x14ac:dyDescent="0.2">
      <c r="A36" s="1457"/>
      <c r="B36" s="1471"/>
      <c r="C36" s="1470"/>
      <c r="D36" s="1460"/>
      <c r="E36" s="1460"/>
      <c r="F36" s="1463" t="str">
        <f t="shared" si="4"/>
        <v/>
      </c>
      <c r="I36" s="1458">
        <f>IF(F36="",0,1)</f>
      </c>
      <c r="L36" s="1458">
        <f t="shared" si="5"/>
        <v>0</v>
      </c>
      <c r="N36" s="1458">
        <f>ROUND(D36*5%,0)</f>
      </c>
      <c r="O36" s="1458">
        <f>N36-1</f>
      </c>
      <c r="P36" s="1458">
        <f>N36+1</f>
      </c>
    </row>
    <row r="37" spans="1:16" x14ac:dyDescent="0.2">
      <c r="A37" s="1457"/>
      <c r="B37" s="1471"/>
      <c r="C37" s="1470"/>
      <c r="D37" s="1460"/>
      <c r="E37" s="1460"/>
      <c r="F37" s="1463" t="str">
        <f t="shared" si="4"/>
        <v/>
      </c>
      <c r="I37" s="1458">
        <f>IF(F37="",0,1)</f>
      </c>
      <c r="L37" s="1458">
        <f t="shared" si="5"/>
        <v>0</v>
      </c>
      <c r="N37" s="1458">
        <f>ROUND(D37*5%,0)</f>
      </c>
      <c r="O37" s="1458">
        <f>N37-1</f>
      </c>
      <c r="P37" s="1458">
        <f>N37+1</f>
      </c>
    </row>
    <row r="38" spans="1:16" x14ac:dyDescent="0.2">
      <c r="A38" s="1457"/>
      <c r="B38" s="1471"/>
      <c r="C38" s="1470"/>
      <c r="D38" s="1460"/>
      <c r="E38" s="1460"/>
      <c r="F38" s="1463" t="str">
        <f t="shared" si="4"/>
        <v/>
      </c>
      <c r="I38" s="1458">
        <f>IF(F38="",0,1)</f>
      </c>
      <c r="L38" s="1458">
        <f t="shared" si="5"/>
        <v>0</v>
      </c>
      <c r="N38" s="1458">
        <f>ROUND(D38*5%,0)</f>
      </c>
      <c r="O38" s="1458">
        <f>N38-1</f>
      </c>
      <c r="P38" s="1458">
        <f>N38+1</f>
      </c>
    </row>
    <row r="39" spans="1:16" x14ac:dyDescent="0.2">
      <c r="A39" s="1457"/>
      <c r="B39" s="1457"/>
      <c r="C39" s="1501" t="s">
        <v>5590</v>
      </c>
      <c r="D39" s="1502">
        <f>SUM(D9:D38)</f>
      </c>
      <c r="E39" s="1502">
        <f>SUM(E9:E38)</f>
      </c>
      <c r="F39" s="1464"/>
      <c r="L39" s="1458">
        <f>SUM(L9:L38)</f>
      </c>
    </row>
    <row r="40" spans="1:16" ht="20.25" customHeight="1" x14ac:dyDescent="0.2">
      <c r="A40" s="1457"/>
      <c r="B40" s="1457"/>
      <c r="C40" s="1464"/>
      <c r="D40" s="1504" t="s">
        <v>5657</v>
      </c>
      <c r="E40" s="1464"/>
      <c r="F40" s="1464"/>
    </row>
    <row r="41" spans="1:16" x14ac:dyDescent="0.2">
      <c r="A41" s="1457"/>
      <c r="B41" s="1457"/>
      <c r="C41" s="1501" t="s">
        <v>4797</v>
      </c>
      <c r="D41" s="1502">
        <f>IF(D39-E39&lt;0,0,D39-E39)</f>
      </c>
      <c r="E41" s="1503" t="s">
        <v>2758</v>
      </c>
      <c r="F41" s="1464"/>
    </row>
    <row r="42" spans="1:16" x14ac:dyDescent="0.2">
      <c r="A42" s="1457"/>
      <c r="B42" s="1457"/>
      <c r="C42" s="1464"/>
      <c r="D42" s="1464"/>
      <c r="E42" s="1464"/>
      <c r="F42" s="1464"/>
    </row>
    <row r="43" spans="1:16" x14ac:dyDescent="0.2">
      <c r="A43" s="1457"/>
      <c r="B43" s="1457"/>
      <c r="C43" s="1467" t="s">
        <v>2759</v>
      </c>
      <c r="D43" s="1471"/>
      <c r="E43" s="1463" t="str">
        <f>IF(L39=0,"",IF(D43="",re,IF(D43="No"," No entitlement!","")))</f>
        <v/>
      </c>
      <c r="F43" s="1464"/>
      <c r="I43" s="1458">
        <f>IF(E43="",0,1)</f>
      </c>
    </row>
    <row r="44" spans="1:16" x14ac:dyDescent="0.2">
      <c r="A44" s="1457"/>
      <c r="B44" s="1457"/>
      <c r="C44" s="1467"/>
      <c r="D44" s="1464"/>
      <c r="E44" s="1464"/>
      <c r="F44" s="1464"/>
      <c r="J44" s="1458" t="s">
        <v>1736</v>
      </c>
    </row>
    <row r="45" spans="1:16" x14ac:dyDescent="0.2">
      <c r="A45" s="1457"/>
      <c r="B45" s="1457"/>
      <c r="C45" s="1467" t="s">
        <v>2760</v>
      </c>
      <c r="D45" s="1471"/>
      <c r="E45" s="1463" t="str">
        <f>IF(L39=0,"",IF(D45="",re,""))</f>
        <v/>
      </c>
      <c r="F45" s="1464"/>
      <c r="I45" s="1458">
        <f>IF(E45="",0,1)</f>
      </c>
      <c r="J45" s="1458" t="s">
        <v>4457</v>
      </c>
    </row>
    <row r="46" spans="1:16" ht="15" x14ac:dyDescent="0.25">
      <c r="A46" s="1457"/>
      <c r="B46" s="1457"/>
      <c r="C46" s="1465"/>
      <c r="D46" s="1466"/>
      <c r="E46" s="1466"/>
      <c r="F46" s="1457"/>
      <c r="I46" s="1458">
        <f>SUM(I9:I45)</f>
      </c>
    </row>
    <row r="47" spans="1:16" ht="15" x14ac:dyDescent="0.25">
      <c r="A47" s="1464" t="str">
        <f>_xlfn.SINGLE(MTCA)</f>
      </c>
      <c r="B47" s="1464"/>
      <c r="C47" s="1465"/>
      <c r="D47" s="1467" t="str">
        <f>ver&amp;"                  "</f>
        <v xml:space="preserve">TA2_e-CO_2025_Ver 1.1                  </v>
      </c>
      <c r="E47" s="1463"/>
      <c r="F47" s="1467" t="s">
        <v>2761</v>
      </c>
      <c r="I47" s="1458">
        <f>IF(L39=0,0,IF(I46&lt;&gt;0,100,IF(D45="No",100,1)))</f>
      </c>
    </row>
    <row r="48" spans="1:16" x14ac:dyDescent="0.2">
      <c r="A48" s="1457"/>
      <c r="B48" s="1457"/>
      <c r="C48" s="1468" t="s">
        <v>365</v>
      </c>
      <c r="D48" s="1457"/>
      <c r="E48" s="1457"/>
      <c r="F48" s="1457"/>
    </row>
    <row r="49" spans="1:6" ht="8.25" customHeight="1" x14ac:dyDescent="0.2">
      <c r="A49" s="1457"/>
      <c r="B49" s="1457"/>
      <c r="C49" s="1457"/>
      <c r="D49" s="1457"/>
      <c r="E49" s="1457"/>
      <c r="F49" s="1457"/>
    </row>
  </sheetData>
  <sheetProtection algorithmName="SHA-512" hashValue="jSYsev13guM0nDLonYL3agrZf20IeEw/uS/PaEiwccQrxHDSVnEq3NjT1/7tj1nx8cg7QcWPXILo3A95igcJGg==" saltValue="DXZsWw86zcwsq5CaxFLxZw==" spinCount="100000" sheet="1" objects="1" scenarios="1"/>
  <mergeCells count="3">
    <mergeCell ref="B1:C1"/>
    <mergeCell ref="B3:C3"/>
    <mergeCell ref="B4:E4"/>
  </mergeCells>
  <phoneticPr fontId="164" type="noConversion"/>
  <conditionalFormatting sqref="B9:B38">
    <cfRule type="expression" dxfId="451" priority="1">
      <formula>$L$1="n"</formula>
    </cfRule>
  </conditionalFormatting>
  <dataValidations count="5">
    <dataValidation type="whole" allowBlank="1" showInputMessage="1" showErrorMessage="1" errorTitle="Final Tax deducted" error="Please enter a positive value that represents 5% of tax deducted!" sqref="E9:E38" xr:uid="{00000000-0002-0000-3E00-000000000000}">
      <formula1>O9</formula1>
      <formula2>P9</formula2>
    </dataValidation>
    <dataValidation type="list" showInputMessage="1" showErrorMessage="1" sqref="D45 D43" xr:uid="{00000000-0002-0000-3E00-000001000000}">
      <formula1>yn</formula1>
    </dataValidation>
    <dataValidation type="textLength" operator="greaterThan" allowBlank="1" showInputMessage="1" showErrorMessage="1" errorTitle="Address" error="Please enter the correct address!" sqref="C9:C38" xr:uid="{00000000-0002-0000-3E00-000002000000}">
      <formula1>10</formula1>
    </dataValidation>
    <dataValidation type="whole" operator="greaterThanOrEqual" allowBlank="1" showInputMessage="1" showErrorMessage="1" errorTitle="Rental Income" error="Please enter a positive value!" sqref="D9:D38" xr:uid="{00000000-0002-0000-3E00-000003000000}">
      <formula1>0</formula1>
    </dataValidation>
    <dataValidation type="list" allowBlank="1" showInputMessage="1" showErrorMessage="1" sqref="B9:B38" xr:uid="{00000000-0002-0000-3E00-000004000000}">
      <formula1>FU</formula1>
    </dataValidation>
  </dataValidations>
  <hyperlinks>
    <hyperlink ref="C48" location="Index!A1" display="Back to Index" xr:uid="{00000000-0004-0000-3E00-000000000000}"/>
    <hyperlink ref="D40" location="TRA60!A1" display="TRA 60  " xr:uid="{00000000-0004-0000-3E00-000001000000}"/>
    <hyperlink ref="E41" location="TRA61_FTA!A1" display="  TRA 61" xr:uid="{00000000-0004-0000-3E00-000002000000}"/>
  </hyperlinks>
  <pageMargins left="0.23622047244094491" right="0.15748031496062992" top="0.74803149606299213" bottom="0.74803149606299213" header="0.31496062992125984" footer="0.31496062992125984"/>
  <pageSetup paperSize="9" orientation="landscape" r:id="rId1"/>
  <headerFooter>
    <oddFooter>&amp;LName&amp;CSignature
&amp;RDate</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2"/>
  <dimension ref="A1:P49"/>
  <sheetViews>
    <sheetView workbookViewId="0">
      <selection activeCell="C18" sqref="C18"/>
    </sheetView>
  </sheetViews>
  <sheetFormatPr defaultColWidth="0" defaultRowHeight="14.25" customHeight="1" x14ac:dyDescent="0.2"/>
  <cols>
    <col min="1" max="1" width="5.42578125" style="1458" customWidth="1"/>
    <col min="2" max="2" width="13.28515625" style="1458" customWidth="1"/>
    <col min="3" max="3" width="52.7109375" style="1458" customWidth="1"/>
    <col min="4" max="4" width="13.42578125" style="1458" customWidth="1"/>
    <col min="5" max="5" width="13.5703125" style="1458" customWidth="1"/>
    <col min="6" max="6" width="16.7109375" style="1458" customWidth="1"/>
    <col min="7" max="16384" width="9.28515625" style="1458" hidden="1"/>
  </cols>
  <sheetData>
    <row r="1" spans="1:16" x14ac:dyDescent="0.2">
      <c r="A1" s="1457"/>
      <c r="B1" s="5075" t="str">
        <f>_ref1</f>
      </c>
      <c r="C1" s="5075"/>
      <c r="D1" s="1457"/>
      <c r="E1" s="1457"/>
      <c r="F1" s="1469" t="str">
        <f>_YA1</f>
      </c>
      <c r="K1" s="1458" t="s">
        <v>9964</v>
      </c>
      <c r="L1" s="1458" t="str">
        <f>'p2'!G36</f>
      </c>
    </row>
    <row r="2" spans="1:16" ht="6" customHeight="1" x14ac:dyDescent="0.2">
      <c r="A2" s="1457"/>
      <c r="B2" s="1457"/>
      <c r="C2" s="1457"/>
      <c r="D2" s="1457"/>
      <c r="E2" s="1457"/>
      <c r="F2" s="1457"/>
    </row>
    <row r="3" spans="1:16" ht="23.25" x14ac:dyDescent="0.35">
      <c r="A3" s="1457"/>
      <c r="B3" s="5073" t="s">
        <v>2766</v>
      </c>
      <c r="C3" s="5074"/>
      <c r="D3" s="1487"/>
      <c r="E3" s="1488"/>
      <c r="F3" s="1457"/>
    </row>
    <row r="4" spans="1:16" ht="21.75" customHeight="1" x14ac:dyDescent="0.2">
      <c r="A4" s="1457"/>
      <c r="B4" s="1489" t="s">
        <v>2767</v>
      </c>
      <c r="C4" s="1490"/>
      <c r="D4" s="1491"/>
      <c r="E4" s="1492"/>
      <c r="F4" s="1457"/>
    </row>
    <row r="5" spans="1:16" ht="6" customHeight="1" x14ac:dyDescent="0.2">
      <c r="A5" s="1457"/>
      <c r="B5" s="1457"/>
      <c r="C5" s="1457"/>
      <c r="D5" s="1457"/>
      <c r="E5" s="1457"/>
      <c r="F5" s="1457"/>
    </row>
    <row r="6" spans="1:16" ht="3.75" customHeight="1" x14ac:dyDescent="0.2">
      <c r="A6" s="1457"/>
      <c r="B6" s="1457"/>
      <c r="C6" s="1457"/>
      <c r="D6" s="1457"/>
      <c r="E6" s="1457"/>
      <c r="F6" s="1457"/>
    </row>
    <row r="7" spans="1:16" ht="0.75" customHeight="1" x14ac:dyDescent="0.2">
      <c r="A7" s="1457"/>
      <c r="B7" s="1457"/>
      <c r="C7" s="1457"/>
      <c r="D7" s="1457"/>
      <c r="E7" s="1457"/>
      <c r="F7" s="1457"/>
    </row>
    <row r="8" spans="1:16" ht="48" x14ac:dyDescent="0.2">
      <c r="A8" s="1457"/>
      <c r="B8" s="1494" t="s">
        <v>9965</v>
      </c>
      <c r="C8" s="1493" t="s">
        <v>4160</v>
      </c>
      <c r="D8" s="1494" t="s">
        <v>4161</v>
      </c>
      <c r="E8" s="1494" t="s">
        <v>2768</v>
      </c>
      <c r="F8" s="1459"/>
    </row>
    <row r="9" spans="1:16" x14ac:dyDescent="0.2">
      <c r="A9" s="1457"/>
      <c r="B9" s="1471"/>
      <c r="C9" s="1470"/>
      <c r="D9" s="1460"/>
      <c r="E9" s="1460"/>
      <c r="F9" s="1463" t="str">
        <f>IF(AND(L9=0,B9&lt;&gt;"",$L$1="n"),"Check details!",IF(AND($L$1="y",L9&gt;0,L9&lt;&gt;4)," All details required!",IF(AND($L$1="n",L9&gt;0,L9&lt;&gt;3)," All details required!",IF(AND($L$1="n",B9&lt;&gt;""),"Not fiscal unit - Pg 2 Q30",""))))</f>
        <v/>
      </c>
      <c r="I9" s="1458">
        <f t="shared" ref="I9:I14" si="0">IF(F9="",0,1)</f>
      </c>
      <c r="L9" s="1458">
        <f>IF($L$1="y",COUNTA(B9:E9),COUNTA(C9:E9))</f>
      </c>
      <c r="N9" s="1458">
        <f t="shared" ref="N9:N14" si="1">ROUND(D9*10%,0)</f>
      </c>
      <c r="O9" s="1458">
        <f t="shared" ref="O9:O14" si="2">N9-1</f>
      </c>
      <c r="P9" s="1458">
        <f t="shared" ref="P9:P14" si="3">N9+1</f>
      </c>
    </row>
    <row r="10" spans="1:16" x14ac:dyDescent="0.2">
      <c r="A10" s="1457"/>
      <c r="B10" s="1471"/>
      <c r="C10" s="1470"/>
      <c r="D10" s="1460"/>
      <c r="E10" s="1460"/>
      <c r="F10" s="1463" t="str">
        <f t="shared" ref="F10:F38" si="4">IF(AND(L10=0,B10&lt;&gt;"",$L$1="n"),"Check details!",IF(AND($L$1="y",L10&gt;0,L10&lt;&gt;4)," All details required!",IF(AND($L$1="n",L10&gt;0,L10&lt;&gt;3)," All details required!",IF(AND($L$1="n",B10&lt;&gt;""),"Not fiscal unit - Pg 2 Q30",""))))</f>
        <v/>
      </c>
      <c r="I10" s="1458">
        <f t="shared" si="0"/>
        <v>0</v>
      </c>
      <c r="L10" s="1458">
        <f t="shared" ref="L10:L38" si="5">IF($L$1="y",COUNTA(B10:E10),COUNTA(C10:E10))</f>
      </c>
      <c r="N10" s="1458">
        <f t="shared" si="1"/>
        <v>0</v>
      </c>
      <c r="O10" s="1458">
        <f t="shared" si="2"/>
        <v>-1</v>
      </c>
      <c r="P10" s="1458">
        <f t="shared" si="3"/>
        <v>1</v>
      </c>
    </row>
    <row r="11" spans="1:16" x14ac:dyDescent="0.2">
      <c r="A11" s="1457"/>
      <c r="B11" s="1471"/>
      <c r="C11" s="1470"/>
      <c r="D11" s="1460"/>
      <c r="E11" s="1460"/>
      <c r="F11" s="1463" t="str">
        <f t="shared" si="4"/>
        <v/>
      </c>
      <c r="I11" s="1458">
        <f t="shared" si="0"/>
        <v>0</v>
      </c>
      <c r="L11" s="1458">
        <f t="shared" si="5"/>
        <v>0</v>
      </c>
      <c r="N11" s="1458">
        <f t="shared" si="1"/>
        <v>0</v>
      </c>
      <c r="O11" s="1458">
        <f t="shared" si="2"/>
        <v>-1</v>
      </c>
      <c r="P11" s="1458">
        <f t="shared" si="3"/>
        <v>1</v>
      </c>
    </row>
    <row r="12" spans="1:16" x14ac:dyDescent="0.2">
      <c r="A12" s="1457"/>
      <c r="B12" s="1471"/>
      <c r="C12" s="1470"/>
      <c r="D12" s="1460"/>
      <c r="E12" s="1460"/>
      <c r="F12" s="1463" t="str">
        <f t="shared" si="4"/>
        <v/>
      </c>
      <c r="I12" s="1458">
        <f t="shared" si="0"/>
        <v>0</v>
      </c>
      <c r="L12" s="1458">
        <f t="shared" si="5"/>
        <v>0</v>
      </c>
      <c r="N12" s="1458">
        <f t="shared" si="1"/>
        <v>0</v>
      </c>
      <c r="O12" s="1458">
        <f t="shared" si="2"/>
        <v>-1</v>
      </c>
      <c r="P12" s="1458">
        <f t="shared" si="3"/>
        <v>1</v>
      </c>
    </row>
    <row r="13" spans="1:16" x14ac:dyDescent="0.2">
      <c r="A13" s="1457"/>
      <c r="B13" s="1471"/>
      <c r="C13" s="1470"/>
      <c r="D13" s="1460"/>
      <c r="E13" s="1460"/>
      <c r="F13" s="1463" t="str">
        <f t="shared" si="4"/>
        <v/>
      </c>
      <c r="I13" s="1458">
        <f t="shared" si="0"/>
        <v>0</v>
      </c>
      <c r="L13" s="1458">
        <f t="shared" si="5"/>
        <v>0</v>
      </c>
      <c r="N13" s="1458">
        <f t="shared" si="1"/>
        <v>0</v>
      </c>
      <c r="O13" s="1458">
        <f t="shared" si="2"/>
        <v>-1</v>
      </c>
      <c r="P13" s="1458">
        <f t="shared" si="3"/>
        <v>1</v>
      </c>
    </row>
    <row r="14" spans="1:16" x14ac:dyDescent="0.2">
      <c r="A14" s="1457"/>
      <c r="B14" s="1471"/>
      <c r="C14" s="1470"/>
      <c r="D14" s="1460"/>
      <c r="E14" s="1460"/>
      <c r="F14" s="1463" t="str">
        <f t="shared" si="4"/>
        <v/>
      </c>
      <c r="I14" s="1458">
        <f t="shared" si="0"/>
        <v>0</v>
      </c>
      <c r="L14" s="1458">
        <f t="shared" si="5"/>
        <v>0</v>
      </c>
      <c r="N14" s="1458">
        <f t="shared" si="1"/>
        <v>0</v>
      </c>
      <c r="O14" s="1458">
        <f t="shared" si="2"/>
        <v>-1</v>
      </c>
      <c r="P14" s="1458">
        <f t="shared" si="3"/>
        <v>1</v>
      </c>
    </row>
    <row r="15" spans="1:16" x14ac:dyDescent="0.2">
      <c r="A15" s="1457"/>
      <c r="B15" s="1471"/>
      <c r="C15" s="1470"/>
      <c r="D15" s="1460"/>
      <c r="E15" s="1460"/>
      <c r="F15" s="1463" t="str">
        <f t="shared" si="4"/>
        <v/>
      </c>
      <c r="I15" s="1458">
        <f t="shared" ref="I15:I34" si="6">IF(F15="",0,1)</f>
      </c>
      <c r="L15" s="1458">
        <f t="shared" si="5"/>
        <v>0</v>
      </c>
      <c r="N15" s="1458">
        <f t="shared" ref="N15:N34" si="7">ROUND(D15*10%,0)</f>
      </c>
      <c r="O15" s="1458">
        <f t="shared" ref="O15:O34" si="8">N15-1</f>
      </c>
      <c r="P15" s="1458">
        <f t="shared" ref="P15:P34" si="9">N15+1</f>
      </c>
    </row>
    <row r="16" spans="1:16" x14ac:dyDescent="0.2">
      <c r="A16" s="1457"/>
      <c r="B16" s="1471"/>
      <c r="C16" s="1470"/>
      <c r="D16" s="1460"/>
      <c r="E16" s="1460"/>
      <c r="F16" s="1463" t="str">
        <f t="shared" si="4"/>
        <v/>
      </c>
      <c r="I16" s="1458">
        <f t="shared" si="6"/>
        <v>0</v>
      </c>
      <c r="L16" s="1458">
        <f t="shared" si="5"/>
        <v>0</v>
      </c>
      <c r="N16" s="1458">
        <f t="shared" si="7"/>
        <v>0</v>
      </c>
      <c r="O16" s="1458">
        <f t="shared" si="8"/>
        <v>-1</v>
      </c>
      <c r="P16" s="1458">
        <f t="shared" si="9"/>
        <v>1</v>
      </c>
    </row>
    <row r="17" spans="1:16" x14ac:dyDescent="0.2">
      <c r="A17" s="1457"/>
      <c r="B17" s="1471"/>
      <c r="C17" s="1470"/>
      <c r="D17" s="1460"/>
      <c r="E17" s="1460"/>
      <c r="F17" s="1463" t="str">
        <f t="shared" si="4"/>
        <v/>
      </c>
      <c r="I17" s="1458">
        <f t="shared" si="6"/>
        <v>0</v>
      </c>
      <c r="L17" s="1458">
        <f t="shared" si="5"/>
        <v>0</v>
      </c>
      <c r="N17" s="1458">
        <f t="shared" si="7"/>
        <v>0</v>
      </c>
      <c r="O17" s="1458">
        <f t="shared" si="8"/>
        <v>-1</v>
      </c>
      <c r="P17" s="1458">
        <f t="shared" si="9"/>
        <v>1</v>
      </c>
    </row>
    <row r="18" spans="1:16" x14ac:dyDescent="0.2">
      <c r="A18" s="1457"/>
      <c r="B18" s="1471"/>
      <c r="C18" s="1470"/>
      <c r="D18" s="1460"/>
      <c r="E18" s="1460"/>
      <c r="F18" s="1463" t="str">
        <f t="shared" si="4"/>
        <v/>
      </c>
      <c r="I18" s="1458">
        <f t="shared" si="6"/>
        <v>0</v>
      </c>
      <c r="L18" s="1458">
        <f t="shared" si="5"/>
        <v>0</v>
      </c>
      <c r="N18" s="1458">
        <f t="shared" si="7"/>
        <v>0</v>
      </c>
      <c r="O18" s="1458">
        <f t="shared" si="8"/>
        <v>-1</v>
      </c>
      <c r="P18" s="1458">
        <f t="shared" si="9"/>
        <v>1</v>
      </c>
    </row>
    <row r="19" spans="1:16" x14ac:dyDescent="0.2">
      <c r="A19" s="1457"/>
      <c r="B19" s="1471"/>
      <c r="C19" s="1470"/>
      <c r="D19" s="1460"/>
      <c r="E19" s="1460"/>
      <c r="F19" s="1463" t="str">
        <f t="shared" si="4"/>
        <v/>
      </c>
      <c r="I19" s="1458">
        <f t="shared" si="6"/>
        <v>0</v>
      </c>
      <c r="L19" s="1458">
        <f t="shared" si="5"/>
        <v>0</v>
      </c>
      <c r="N19" s="1458">
        <f t="shared" si="7"/>
        <v>0</v>
      </c>
      <c r="O19" s="1458">
        <f t="shared" si="8"/>
        <v>-1</v>
      </c>
      <c r="P19" s="1458">
        <f t="shared" si="9"/>
        <v>1</v>
      </c>
    </row>
    <row r="20" spans="1:16" hidden="1" x14ac:dyDescent="0.2">
      <c r="A20" s="1457"/>
      <c r="B20" s="1471"/>
      <c r="C20" s="1470"/>
      <c r="D20" s="1460"/>
      <c r="E20" s="1460"/>
      <c r="F20" s="1463" t="str">
        <f t="shared" si="4"/>
        <v/>
      </c>
      <c r="I20" s="1458">
        <f t="shared" si="6"/>
        <v>0</v>
      </c>
      <c r="L20" s="1458">
        <f t="shared" si="5"/>
        <v>0</v>
      </c>
      <c r="N20" s="1458">
        <f t="shared" si="7"/>
        <v>0</v>
      </c>
      <c r="O20" s="1458">
        <f t="shared" si="8"/>
        <v>-1</v>
      </c>
      <c r="P20" s="1458">
        <f t="shared" si="9"/>
        <v>1</v>
      </c>
    </row>
    <row r="21" spans="1:16" hidden="1" x14ac:dyDescent="0.2">
      <c r="A21" s="1457"/>
      <c r="B21" s="1471"/>
      <c r="C21" s="1470"/>
      <c r="D21" s="1460"/>
      <c r="E21" s="1460"/>
      <c r="F21" s="1463" t="str">
        <f t="shared" si="4"/>
        <v/>
      </c>
      <c r="I21" s="1458">
        <f t="shared" si="6"/>
        <v>0</v>
      </c>
      <c r="L21" s="1458">
        <f t="shared" si="5"/>
        <v>0</v>
      </c>
      <c r="N21" s="1458">
        <f t="shared" si="7"/>
        <v>0</v>
      </c>
      <c r="O21" s="1458">
        <f t="shared" si="8"/>
        <v>-1</v>
      </c>
      <c r="P21" s="1458">
        <f t="shared" si="9"/>
        <v>1</v>
      </c>
    </row>
    <row r="22" spans="1:16" hidden="1" x14ac:dyDescent="0.2">
      <c r="A22" s="1457"/>
      <c r="B22" s="1471"/>
      <c r="C22" s="1470"/>
      <c r="D22" s="1460"/>
      <c r="E22" s="1460"/>
      <c r="F22" s="1463" t="str">
        <f t="shared" si="4"/>
        <v/>
      </c>
      <c r="I22" s="1458">
        <f t="shared" si="6"/>
        <v>0</v>
      </c>
      <c r="L22" s="1458">
        <f t="shared" si="5"/>
        <v>0</v>
      </c>
      <c r="N22" s="1458">
        <f t="shared" si="7"/>
        <v>0</v>
      </c>
      <c r="O22" s="1458">
        <f t="shared" si="8"/>
        <v>-1</v>
      </c>
      <c r="P22" s="1458">
        <f t="shared" si="9"/>
        <v>1</v>
      </c>
    </row>
    <row r="23" spans="1:16" hidden="1" x14ac:dyDescent="0.2">
      <c r="A23" s="1457"/>
      <c r="B23" s="1471"/>
      <c r="C23" s="1470"/>
      <c r="D23" s="1460"/>
      <c r="E23" s="1460"/>
      <c r="F23" s="1463" t="str">
        <f t="shared" si="4"/>
        <v/>
      </c>
      <c r="I23" s="1458">
        <f t="shared" si="6"/>
        <v>0</v>
      </c>
      <c r="L23" s="1458">
        <f t="shared" si="5"/>
        <v>0</v>
      </c>
      <c r="N23" s="1458">
        <f t="shared" si="7"/>
        <v>0</v>
      </c>
      <c r="O23" s="1458">
        <f t="shared" si="8"/>
        <v>-1</v>
      </c>
      <c r="P23" s="1458">
        <f t="shared" si="9"/>
        <v>1</v>
      </c>
    </row>
    <row r="24" spans="1:16" hidden="1" x14ac:dyDescent="0.2">
      <c r="A24" s="1457"/>
      <c r="B24" s="1471"/>
      <c r="C24" s="1470"/>
      <c r="D24" s="1460"/>
      <c r="E24" s="1460"/>
      <c r="F24" s="1463" t="str">
        <f t="shared" si="4"/>
        <v/>
      </c>
      <c r="I24" s="1458">
        <f t="shared" si="6"/>
        <v>0</v>
      </c>
      <c r="L24" s="1458">
        <f t="shared" si="5"/>
        <v>0</v>
      </c>
      <c r="N24" s="1458">
        <f t="shared" si="7"/>
        <v>0</v>
      </c>
      <c r="O24" s="1458">
        <f t="shared" si="8"/>
        <v>-1</v>
      </c>
      <c r="P24" s="1458">
        <f t="shared" si="9"/>
        <v>1</v>
      </c>
    </row>
    <row r="25" spans="1:16" hidden="1" x14ac:dyDescent="0.2">
      <c r="A25" s="1457"/>
      <c r="B25" s="1471"/>
      <c r="C25" s="1470"/>
      <c r="D25" s="1460"/>
      <c r="E25" s="1460"/>
      <c r="F25" s="1463" t="str">
        <f t="shared" si="4"/>
        <v/>
      </c>
      <c r="I25" s="1458">
        <f t="shared" si="6"/>
        <v>0</v>
      </c>
      <c r="L25" s="1458">
        <f t="shared" si="5"/>
        <v>0</v>
      </c>
      <c r="N25" s="1458">
        <f t="shared" si="7"/>
        <v>0</v>
      </c>
      <c r="O25" s="1458">
        <f t="shared" si="8"/>
        <v>-1</v>
      </c>
      <c r="P25" s="1458">
        <f t="shared" si="9"/>
        <v>1</v>
      </c>
    </row>
    <row r="26" spans="1:16" hidden="1" x14ac:dyDescent="0.2">
      <c r="A26" s="1457"/>
      <c r="B26" s="1471"/>
      <c r="C26" s="1470"/>
      <c r="D26" s="1460"/>
      <c r="E26" s="1460"/>
      <c r="F26" s="1463" t="str">
        <f t="shared" si="4"/>
        <v/>
      </c>
      <c r="I26" s="1458">
        <f t="shared" si="6"/>
        <v>0</v>
      </c>
      <c r="L26" s="1458">
        <f t="shared" si="5"/>
        <v>0</v>
      </c>
      <c r="N26" s="1458">
        <f t="shared" si="7"/>
        <v>0</v>
      </c>
      <c r="O26" s="1458">
        <f t="shared" si="8"/>
        <v>-1</v>
      </c>
      <c r="P26" s="1458">
        <f t="shared" si="9"/>
        <v>1</v>
      </c>
    </row>
    <row r="27" spans="1:16" hidden="1" x14ac:dyDescent="0.2">
      <c r="A27" s="1457"/>
      <c r="B27" s="1471"/>
      <c r="C27" s="1470"/>
      <c r="D27" s="1460"/>
      <c r="E27" s="1460"/>
      <c r="F27" s="1463" t="str">
        <f t="shared" si="4"/>
        <v/>
      </c>
      <c r="I27" s="1458">
        <f t="shared" si="6"/>
        <v>0</v>
      </c>
      <c r="L27" s="1458">
        <f t="shared" si="5"/>
        <v>0</v>
      </c>
      <c r="N27" s="1458">
        <f t="shared" si="7"/>
        <v>0</v>
      </c>
      <c r="O27" s="1458">
        <f t="shared" si="8"/>
        <v>-1</v>
      </c>
      <c r="P27" s="1458">
        <f t="shared" si="9"/>
        <v>1</v>
      </c>
    </row>
    <row r="28" spans="1:16" hidden="1" x14ac:dyDescent="0.2">
      <c r="A28" s="1457"/>
      <c r="B28" s="1471"/>
      <c r="C28" s="1470"/>
      <c r="D28" s="1460"/>
      <c r="E28" s="1460"/>
      <c r="F28" s="1463" t="str">
        <f t="shared" si="4"/>
        <v/>
      </c>
      <c r="I28" s="1458">
        <f t="shared" si="6"/>
        <v>0</v>
      </c>
      <c r="L28" s="1458">
        <f t="shared" si="5"/>
        <v>0</v>
      </c>
      <c r="N28" s="1458">
        <f t="shared" si="7"/>
        <v>0</v>
      </c>
      <c r="O28" s="1458">
        <f t="shared" si="8"/>
        <v>-1</v>
      </c>
      <c r="P28" s="1458">
        <f t="shared" si="9"/>
        <v>1</v>
      </c>
    </row>
    <row r="29" spans="1:16" hidden="1" x14ac:dyDescent="0.2">
      <c r="A29" s="1457"/>
      <c r="B29" s="1471"/>
      <c r="C29" s="1470"/>
      <c r="D29" s="1460"/>
      <c r="E29" s="1460"/>
      <c r="F29" s="1463" t="str">
        <f t="shared" si="4"/>
        <v/>
      </c>
      <c r="I29" s="1458">
        <f t="shared" si="6"/>
        <v>0</v>
      </c>
      <c r="L29" s="1458">
        <f t="shared" si="5"/>
        <v>0</v>
      </c>
      <c r="N29" s="1458">
        <f t="shared" si="7"/>
        <v>0</v>
      </c>
      <c r="O29" s="1458">
        <f t="shared" si="8"/>
        <v>-1</v>
      </c>
      <c r="P29" s="1458">
        <f t="shared" si="9"/>
        <v>1</v>
      </c>
    </row>
    <row r="30" spans="1:16" x14ac:dyDescent="0.2">
      <c r="A30" s="1457"/>
      <c r="B30" s="1471"/>
      <c r="C30" s="1470"/>
      <c r="D30" s="1460"/>
      <c r="E30" s="1460"/>
      <c r="F30" s="1463" t="str">
        <f t="shared" si="4"/>
        <v/>
      </c>
      <c r="I30" s="1458">
        <f t="shared" si="6"/>
        <v>0</v>
      </c>
      <c r="L30" s="1458">
        <f t="shared" si="5"/>
        <v>0</v>
      </c>
      <c r="N30" s="1458">
        <f t="shared" si="7"/>
        <v>0</v>
      </c>
      <c r="O30" s="1458">
        <f t="shared" si="8"/>
        <v>-1</v>
      </c>
      <c r="P30" s="1458">
        <f t="shared" si="9"/>
        <v>1</v>
      </c>
    </row>
    <row r="31" spans="1:16" x14ac:dyDescent="0.2">
      <c r="A31" s="1457"/>
      <c r="B31" s="1471"/>
      <c r="C31" s="1470"/>
      <c r="D31" s="1460"/>
      <c r="E31" s="1460"/>
      <c r="F31" s="1463" t="str">
        <f t="shared" si="4"/>
        <v/>
      </c>
      <c r="I31" s="1458">
        <f t="shared" si="6"/>
        <v>0</v>
      </c>
      <c r="L31" s="1458">
        <f t="shared" si="5"/>
        <v>0</v>
      </c>
      <c r="N31" s="1458">
        <f t="shared" si="7"/>
        <v>0</v>
      </c>
      <c r="O31" s="1458">
        <f t="shared" si="8"/>
        <v>-1</v>
      </c>
      <c r="P31" s="1458">
        <f t="shared" si="9"/>
        <v>1</v>
      </c>
    </row>
    <row r="32" spans="1:16" x14ac:dyDescent="0.2">
      <c r="A32" s="1457"/>
      <c r="B32" s="1471"/>
      <c r="C32" s="1470"/>
      <c r="D32" s="1460"/>
      <c r="E32" s="1460"/>
      <c r="F32" s="1463" t="str">
        <f t="shared" si="4"/>
        <v/>
      </c>
      <c r="I32" s="1458">
        <f t="shared" si="6"/>
        <v>0</v>
      </c>
      <c r="L32" s="1458">
        <f t="shared" si="5"/>
        <v>0</v>
      </c>
      <c r="N32" s="1458">
        <f t="shared" si="7"/>
        <v>0</v>
      </c>
      <c r="O32" s="1458">
        <f t="shared" si="8"/>
        <v>-1</v>
      </c>
      <c r="P32" s="1458">
        <f t="shared" si="9"/>
        <v>1</v>
      </c>
    </row>
    <row r="33" spans="1:16" x14ac:dyDescent="0.2">
      <c r="A33" s="1457"/>
      <c r="B33" s="1471"/>
      <c r="C33" s="1470"/>
      <c r="D33" s="1460"/>
      <c r="E33" s="1460"/>
      <c r="F33" s="1463" t="str">
        <f t="shared" si="4"/>
        <v/>
      </c>
      <c r="I33" s="1458">
        <f t="shared" si="6"/>
        <v>0</v>
      </c>
      <c r="L33" s="1458">
        <f t="shared" si="5"/>
        <v>0</v>
      </c>
      <c r="N33" s="1458">
        <f t="shared" si="7"/>
        <v>0</v>
      </c>
      <c r="O33" s="1458">
        <f t="shared" si="8"/>
        <v>-1</v>
      </c>
      <c r="P33" s="1458">
        <f t="shared" si="9"/>
        <v>1</v>
      </c>
    </row>
    <row r="34" spans="1:16" x14ac:dyDescent="0.2">
      <c r="A34" s="1457"/>
      <c r="B34" s="1471"/>
      <c r="C34" s="1470"/>
      <c r="D34" s="1460"/>
      <c r="E34" s="1460"/>
      <c r="F34" s="1463" t="str">
        <f t="shared" si="4"/>
        <v/>
      </c>
      <c r="I34" s="1458">
        <f t="shared" si="6"/>
        <v>0</v>
      </c>
      <c r="L34" s="1458">
        <f t="shared" si="5"/>
        <v>0</v>
      </c>
      <c r="N34" s="1458">
        <f t="shared" si="7"/>
        <v>0</v>
      </c>
      <c r="O34" s="1458">
        <f t="shared" si="8"/>
        <v>-1</v>
      </c>
      <c r="P34" s="1458">
        <f t="shared" si="9"/>
        <v>1</v>
      </c>
    </row>
    <row r="35" spans="1:16" x14ac:dyDescent="0.2">
      <c r="A35" s="1457"/>
      <c r="B35" s="1471"/>
      <c r="C35" s="1470"/>
      <c r="D35" s="1460"/>
      <c r="E35" s="1460"/>
      <c r="F35" s="1463" t="str">
        <f t="shared" si="4"/>
        <v/>
      </c>
      <c r="I35" s="1458">
        <f>IF(F35="",0,1)</f>
      </c>
      <c r="L35" s="1458">
        <f t="shared" si="5"/>
        <v>0</v>
      </c>
      <c r="N35" s="1458">
        <f>ROUND(D35*10%,0)</f>
      </c>
      <c r="O35" s="1458">
        <f>N35-1</f>
      </c>
      <c r="P35" s="1458">
        <f>N35+1</f>
      </c>
    </row>
    <row r="36" spans="1:16" x14ac:dyDescent="0.2">
      <c r="A36" s="1457"/>
      <c r="B36" s="1471"/>
      <c r="C36" s="1470"/>
      <c r="D36" s="1460"/>
      <c r="E36" s="1460"/>
      <c r="F36" s="1463" t="str">
        <f t="shared" si="4"/>
        <v/>
      </c>
      <c r="I36" s="1458">
        <f>IF(F36="",0,1)</f>
      </c>
      <c r="L36" s="1458">
        <f t="shared" si="5"/>
        <v>0</v>
      </c>
      <c r="N36" s="1458">
        <f>ROUND(D36*10%,0)</f>
      </c>
      <c r="O36" s="1458">
        <f>N36-1</f>
      </c>
      <c r="P36" s="1458">
        <f>N36+1</f>
      </c>
    </row>
    <row r="37" spans="1:16" x14ac:dyDescent="0.2">
      <c r="A37" s="1457"/>
      <c r="B37" s="1471"/>
      <c r="C37" s="1470"/>
      <c r="D37" s="1460"/>
      <c r="E37" s="1460"/>
      <c r="F37" s="1463" t="str">
        <f t="shared" si="4"/>
        <v/>
      </c>
      <c r="I37" s="1458">
        <f>IF(F37="",0,1)</f>
      </c>
      <c r="L37" s="1458">
        <f t="shared" si="5"/>
        <v>0</v>
      </c>
      <c r="N37" s="1458">
        <f>ROUND(D37*10%,0)</f>
      </c>
      <c r="O37" s="1458">
        <f>N37-1</f>
      </c>
      <c r="P37" s="1458">
        <f>N37+1</f>
      </c>
    </row>
    <row r="38" spans="1:16" x14ac:dyDescent="0.2">
      <c r="A38" s="1457"/>
      <c r="B38" s="1471"/>
      <c r="C38" s="1470"/>
      <c r="D38" s="1460"/>
      <c r="E38" s="1460"/>
      <c r="F38" s="1463" t="str">
        <f t="shared" si="4"/>
        <v/>
      </c>
      <c r="I38" s="1458">
        <f>IF(F38="",0,1)</f>
      </c>
      <c r="L38" s="1458">
        <f t="shared" si="5"/>
        <v>0</v>
      </c>
      <c r="N38" s="1458">
        <f>ROUND(D38*10%,0)</f>
      </c>
      <c r="O38" s="1458">
        <f>N38-1</f>
      </c>
      <c r="P38" s="1458">
        <f>N38+1</f>
      </c>
    </row>
    <row r="39" spans="1:16" x14ac:dyDescent="0.2">
      <c r="A39" s="1457"/>
      <c r="B39" s="1457"/>
      <c r="C39" s="1501" t="s">
        <v>5590</v>
      </c>
      <c r="D39" s="1502">
        <f>SUM(D9:D38)</f>
      </c>
      <c r="E39" s="1502">
        <f>SUM(E9:E38)</f>
      </c>
      <c r="F39" s="1464"/>
      <c r="L39" s="1458">
        <f>SUM(L9:L38)</f>
      </c>
    </row>
    <row r="40" spans="1:16" ht="20.25" customHeight="1" x14ac:dyDescent="0.2">
      <c r="A40" s="1457"/>
      <c r="B40" s="1457"/>
      <c r="C40" s="1464"/>
      <c r="D40" s="1504" t="s">
        <v>5657</v>
      </c>
      <c r="E40" s="1464"/>
      <c r="F40" s="1464"/>
    </row>
    <row r="41" spans="1:16" x14ac:dyDescent="0.2">
      <c r="A41" s="1457"/>
      <c r="B41" s="1457"/>
      <c r="C41" s="1501" t="s">
        <v>4797</v>
      </c>
      <c r="D41" s="1502">
        <f>IF(D39-E39&lt;0,0,D39-E39)</f>
      </c>
      <c r="E41" s="1503" t="s">
        <v>2758</v>
      </c>
      <c r="F41" s="1464"/>
    </row>
    <row r="42" spans="1:16" x14ac:dyDescent="0.2">
      <c r="A42" s="1457"/>
      <c r="B42" s="1457"/>
      <c r="C42" s="1464"/>
      <c r="D42" s="1464"/>
      <c r="E42" s="1464"/>
      <c r="F42" s="1464"/>
    </row>
    <row r="43" spans="1:16" x14ac:dyDescent="0.2">
      <c r="A43" s="1457"/>
      <c r="B43" s="1457"/>
      <c r="C43" s="1467" t="s">
        <v>2759</v>
      </c>
      <c r="D43" s="1471"/>
      <c r="E43" s="1463" t="str">
        <f>IF(L39=0,"",IF(D43="",re,IF(D43="No"," No entitlement!","")))</f>
        <v/>
      </c>
      <c r="F43" s="1464"/>
      <c r="I43" s="1458">
        <f>IF(E43="",0,1)</f>
      </c>
    </row>
    <row r="44" spans="1:16" x14ac:dyDescent="0.2">
      <c r="A44" s="1457"/>
      <c r="B44" s="1457"/>
      <c r="C44" s="1467"/>
      <c r="D44" s="1464"/>
      <c r="E44" s="1464"/>
      <c r="F44" s="1464"/>
      <c r="J44" s="1458" t="s">
        <v>1736</v>
      </c>
    </row>
    <row r="45" spans="1:16" x14ac:dyDescent="0.2">
      <c r="A45" s="1457"/>
      <c r="B45" s="1457"/>
      <c r="C45" s="1467" t="s">
        <v>2760</v>
      </c>
      <c r="D45" s="1471"/>
      <c r="E45" s="1463" t="str">
        <f>IF(L39=0,"",IF(D45="",re,""))</f>
        <v/>
      </c>
      <c r="F45" s="1464"/>
      <c r="I45" s="1458">
        <f>IF(E45="",0,1)</f>
      </c>
      <c r="J45" s="1458" t="s">
        <v>4457</v>
      </c>
    </row>
    <row r="46" spans="1:16" ht="15" x14ac:dyDescent="0.25">
      <c r="A46" s="1457"/>
      <c r="B46" s="1457"/>
      <c r="C46" s="1465"/>
      <c r="D46" s="1466"/>
      <c r="E46" s="1466"/>
      <c r="F46" s="1457"/>
      <c r="I46" s="1458">
        <f>SUM(I9:I45)</f>
      </c>
    </row>
    <row r="47" spans="1:16" ht="15" x14ac:dyDescent="0.25">
      <c r="A47" s="1464" t="str">
        <f>_xlfn.SINGLE(MTCA)</f>
      </c>
      <c r="B47" s="1464"/>
      <c r="C47" s="1465"/>
      <c r="D47" s="1467" t="str">
        <f>ver&amp;"                    "</f>
        <v xml:space="preserve">TA2_e-CO_2025_Ver 1.1                    </v>
      </c>
      <c r="E47" s="1463"/>
      <c r="F47" s="1467" t="s">
        <v>2762</v>
      </c>
      <c r="I47" s="1458">
        <f>IF(L39=0,0,IF(I46&lt;&gt;0,100,IF(D45="No",100,1)))</f>
      </c>
    </row>
    <row r="48" spans="1:16" x14ac:dyDescent="0.2">
      <c r="A48" s="1457"/>
      <c r="B48" s="1457"/>
      <c r="C48" s="1468" t="s">
        <v>365</v>
      </c>
      <c r="D48" s="1457"/>
      <c r="E48" s="1457"/>
      <c r="F48" s="1457"/>
    </row>
    <row r="49" spans="1:6" ht="8.25" customHeight="1" x14ac:dyDescent="0.2">
      <c r="A49" s="1457"/>
      <c r="B49" s="1457"/>
      <c r="C49" s="1457"/>
      <c r="D49" s="1457"/>
      <c r="E49" s="1457"/>
      <c r="F49" s="1457"/>
    </row>
  </sheetData>
  <sheetProtection algorithmName="SHA-512" hashValue="o/G9Aw7odg5HF3pohEUo9yo8s6ofTvTlt13FXkKT0p2PcNjfZT5axLv9hUos1zJgpaN+kdLbutDnWkHpnmzI7g==" saltValue="oQLCLrV7/xQgmiA5P3Q2vA==" spinCount="100000" sheet="1" objects="1" scenarios="1"/>
  <mergeCells count="2">
    <mergeCell ref="B3:C3"/>
    <mergeCell ref="B1:C1"/>
  </mergeCells>
  <phoneticPr fontId="164" type="noConversion"/>
  <conditionalFormatting sqref="B9:B38">
    <cfRule type="expression" dxfId="450" priority="1">
      <formula>$L$1="n"</formula>
    </cfRule>
  </conditionalFormatting>
  <dataValidations count="5">
    <dataValidation type="whole" operator="greaterThanOrEqual" allowBlank="1" showInputMessage="1" showErrorMessage="1" errorTitle="Rental Income" error="Please enter a positive value!" sqref="D9:D38" xr:uid="{00000000-0002-0000-3F00-000000000000}">
      <formula1>0</formula1>
    </dataValidation>
    <dataValidation type="textLength" operator="greaterThan" allowBlank="1" showInputMessage="1" showErrorMessage="1" errorTitle="Address" error="Please enter the correct address!" sqref="C9:C38" xr:uid="{00000000-0002-0000-3F00-000001000000}">
      <formula1>10</formula1>
    </dataValidation>
    <dataValidation type="list" showInputMessage="1" showErrorMessage="1" sqref="D45 D43" xr:uid="{00000000-0002-0000-3F00-000002000000}">
      <formula1>yn</formula1>
    </dataValidation>
    <dataValidation type="whole" allowBlank="1" showInputMessage="1" showErrorMessage="1" errorTitle="Final Tax deducted" error="Please enter a positive value that represents 10% of tax deducted!" sqref="E9:E38" xr:uid="{00000000-0002-0000-3F00-000003000000}">
      <formula1>O9</formula1>
      <formula2>P9</formula2>
    </dataValidation>
    <dataValidation type="list" allowBlank="1" showInputMessage="1" showErrorMessage="1" sqref="B9:B38" xr:uid="{00000000-0002-0000-3F00-000004000000}">
      <formula1>FU</formula1>
    </dataValidation>
  </dataValidations>
  <hyperlinks>
    <hyperlink ref="C48" location="Index!A1" display="Back to Index" xr:uid="{00000000-0004-0000-3F00-000000000000}"/>
    <hyperlink ref="D40" location="TRA60!A1" display="TRA 60  " xr:uid="{00000000-0004-0000-3F00-000001000000}"/>
    <hyperlink ref="E41" location="TRA61_FTA!A1" display="  TRA 61" xr:uid="{00000000-0004-0000-3F00-000002000000}"/>
  </hyperlinks>
  <pageMargins left="0.23622047244094491" right="0.15748031496062992" top="0.74803149606299213" bottom="0.74803149606299213" header="0.31496062992125984" footer="0.31496062992125984"/>
  <pageSetup paperSize="9" orientation="landscape" r:id="rId1"/>
  <headerFooter>
    <oddFooter>&amp;LName&amp;CSignature&amp;RDate</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3"/>
  <dimension ref="A1:AH57"/>
  <sheetViews>
    <sheetView topLeftCell="A36" workbookViewId="0"/>
  </sheetViews>
  <sheetFormatPr defaultColWidth="0" defaultRowHeight="14.25" zeroHeight="1" x14ac:dyDescent="0.2"/>
  <cols>
    <col min="1" max="1" width="1.42578125" style="1458" customWidth="1"/>
    <col min="2" max="2" width="11.7109375" style="1458" customWidth="1"/>
    <col min="3" max="3" width="44.5703125" style="1458" customWidth="1"/>
    <col min="4" max="4" width="11" style="1458" customWidth="1"/>
    <col min="5" max="6" width="10.28515625" style="1458" customWidth="1"/>
    <col min="7" max="7" width="11.5703125" style="1458" customWidth="1"/>
    <col min="8" max="8" width="12" style="1458" customWidth="1"/>
    <col min="9" max="9" width="6.28515625" style="1458" customWidth="1"/>
    <col min="10" max="10" width="10.7109375" style="1458" customWidth="1"/>
    <col min="11" max="11" width="8.7109375" style="1458" customWidth="1"/>
    <col min="12" max="12" width="10.42578125" style="1458" customWidth="1"/>
    <col min="13" max="13" width="10.5703125" style="1458" customWidth="1"/>
    <col min="14" max="14" width="16.5703125" style="1458" bestFit="1" customWidth="1"/>
    <col min="15" max="15" width="0.7109375" style="1458" customWidth="1"/>
    <col min="16" max="16" width="3.28515625" style="1458" customWidth="1"/>
    <col min="17" max="29" width="3.28515625" style="1458" hidden="1" customWidth="1"/>
    <col min="30" max="33" width="11.28515625" style="1458" hidden="1" customWidth="1"/>
    <col min="34" max="16384" width="9.28515625" style="1458" hidden="1"/>
  </cols>
  <sheetData>
    <row r="1" spans="1:34" x14ac:dyDescent="0.2">
      <c r="A1" s="1457"/>
      <c r="B1" s="5076" t="str">
        <f>_ref1</f>
      </c>
      <c r="C1" s="5076"/>
      <c r="D1" s="1457"/>
      <c r="E1" s="1457"/>
      <c r="F1" s="1457"/>
      <c r="G1" s="1457"/>
      <c r="H1" s="1457"/>
      <c r="I1" s="1457"/>
      <c r="J1" s="1457"/>
      <c r="K1" s="1457"/>
      <c r="L1" s="1457"/>
      <c r="M1" s="1457" t="str">
        <f>_YA1</f>
      </c>
      <c r="N1" s="1457"/>
      <c r="O1" s="1457"/>
      <c r="P1" s="1457"/>
      <c r="AD1" s="1458" t="s">
        <v>9964</v>
      </c>
      <c r="AE1" s="1458" t="str">
        <f>'p2'!G36</f>
      </c>
    </row>
    <row r="2" spans="1:34" ht="15" x14ac:dyDescent="0.2">
      <c r="A2" s="1457"/>
      <c r="B2" s="1457"/>
      <c r="C2" s="1457"/>
      <c r="D2" s="1457"/>
      <c r="E2" s="1457"/>
      <c r="F2" s="1457"/>
      <c r="G2" s="1457"/>
      <c r="H2" s="1457"/>
      <c r="I2" s="1457"/>
      <c r="J2" s="1457"/>
      <c r="K2" s="1457"/>
      <c r="L2" s="1457"/>
      <c r="M2" s="1457"/>
      <c r="N2" s="1457"/>
      <c r="O2" s="1457"/>
      <c r="P2" s="1457"/>
      <c r="AA2" s="1458" t="s">
        <v>2770</v>
      </c>
      <c r="AB2" s="1473" t="s">
        <v>2771</v>
      </c>
      <c r="AH2" s="1458" t="s">
        <v>2772</v>
      </c>
    </row>
    <row r="3" spans="1:34" ht="23.25" x14ac:dyDescent="0.35">
      <c r="A3" s="1457"/>
      <c r="B3" s="5068" t="s">
        <v>2773</v>
      </c>
      <c r="C3" s="5069"/>
      <c r="D3" s="1486"/>
      <c r="E3" s="1486"/>
      <c r="F3" s="1486"/>
      <c r="G3" s="1486"/>
      <c r="H3" s="1486"/>
      <c r="I3" s="1486"/>
      <c r="J3" s="1487"/>
      <c r="K3" s="1487"/>
      <c r="L3" s="1487"/>
      <c r="M3" s="1488"/>
      <c r="N3" s="1457"/>
      <c r="O3" s="1457"/>
      <c r="P3" s="1457"/>
    </row>
    <row r="4" spans="1:34" ht="18" x14ac:dyDescent="0.2">
      <c r="A4" s="1457"/>
      <c r="B4" s="5077" t="s">
        <v>5511</v>
      </c>
      <c r="C4" s="5078"/>
      <c r="D4" s="1490"/>
      <c r="E4" s="1490"/>
      <c r="F4" s="1490"/>
      <c r="G4" s="1490"/>
      <c r="H4" s="1490"/>
      <c r="I4" s="1490"/>
      <c r="J4" s="1491"/>
      <c r="K4" s="1491"/>
      <c r="L4" s="1491"/>
      <c r="M4" s="1492"/>
      <c r="N4" s="1457"/>
      <c r="O4" s="1457"/>
      <c r="P4" s="1457"/>
    </row>
    <row r="5" spans="1:34" ht="6.75" customHeight="1" x14ac:dyDescent="0.2">
      <c r="A5" s="1457"/>
      <c r="B5" s="1457"/>
      <c r="C5" s="1457"/>
      <c r="D5" s="1457"/>
      <c r="E5" s="1457"/>
      <c r="F5" s="1457"/>
      <c r="G5" s="1457"/>
      <c r="H5" s="1457"/>
      <c r="I5" s="1457"/>
      <c r="J5" s="1457"/>
      <c r="K5" s="1457"/>
      <c r="L5" s="1457"/>
      <c r="M5" s="1457"/>
      <c r="N5" s="1457"/>
      <c r="O5" s="1457"/>
      <c r="P5" s="1457"/>
    </row>
    <row r="6" spans="1:34" ht="6.75" customHeight="1" x14ac:dyDescent="0.2">
      <c r="A6" s="1457"/>
      <c r="B6" s="1457"/>
      <c r="C6" s="1457"/>
      <c r="D6" s="1457"/>
      <c r="E6" s="1457"/>
      <c r="F6" s="1457"/>
      <c r="G6" s="1457"/>
      <c r="H6" s="1457"/>
      <c r="I6" s="1457"/>
      <c r="J6" s="1457"/>
      <c r="K6" s="1457"/>
      <c r="L6" s="1457"/>
      <c r="M6" s="1457"/>
      <c r="N6" s="1457"/>
      <c r="O6" s="1457"/>
      <c r="P6" s="1457"/>
    </row>
    <row r="7" spans="1:34" ht="3" customHeight="1" x14ac:dyDescent="0.2">
      <c r="A7" s="1457"/>
      <c r="B7" s="1457"/>
      <c r="C7" s="1457"/>
      <c r="D7" s="1457"/>
      <c r="E7" s="1457"/>
      <c r="F7" s="1457"/>
      <c r="G7" s="1457"/>
      <c r="H7" s="1457"/>
      <c r="I7" s="1457"/>
      <c r="J7" s="1457"/>
      <c r="K7" s="1457"/>
      <c r="L7" s="1457"/>
      <c r="M7" s="1457"/>
      <c r="N7" s="1457"/>
      <c r="O7" s="1457"/>
      <c r="P7" s="1457"/>
    </row>
    <row r="8" spans="1:34" ht="60" x14ac:dyDescent="0.2">
      <c r="A8" s="1457"/>
      <c r="B8" s="1494" t="s">
        <v>9966</v>
      </c>
      <c r="C8" s="1493" t="s">
        <v>4160</v>
      </c>
      <c r="D8" s="1494" t="s">
        <v>5512</v>
      </c>
      <c r="E8" s="1494" t="s">
        <v>5513</v>
      </c>
      <c r="F8" s="1494" t="s">
        <v>5514</v>
      </c>
      <c r="G8" s="1494" t="s">
        <v>5515</v>
      </c>
      <c r="H8" s="1494" t="s">
        <v>5516</v>
      </c>
      <c r="I8" s="1494" t="s">
        <v>5517</v>
      </c>
      <c r="J8" s="1494" t="s">
        <v>4161</v>
      </c>
      <c r="K8" s="1494" t="s">
        <v>5518</v>
      </c>
      <c r="L8" s="1494" t="s">
        <v>5519</v>
      </c>
      <c r="M8" s="1494" t="s">
        <v>5914</v>
      </c>
      <c r="N8" s="1459"/>
      <c r="O8" s="1459"/>
      <c r="P8" s="1459"/>
      <c r="AC8" s="1474">
        <v>41263</v>
      </c>
      <c r="AD8" s="1474">
        <f ca="1">TODAY()</f>
      </c>
      <c r="AE8" s="1474">
        <v>42004</v>
      </c>
      <c r="AF8" s="1475">
        <f>ya-1</f>
      </c>
    </row>
    <row r="9" spans="1:34" x14ac:dyDescent="0.2">
      <c r="A9" s="1457"/>
      <c r="B9" s="1507"/>
      <c r="C9" s="1470"/>
      <c r="D9" s="1507"/>
      <c r="E9" s="1476"/>
      <c r="F9" s="1477"/>
      <c r="G9" s="1478"/>
      <c r="H9" s="1471"/>
      <c r="I9" s="1500" t="str">
        <f t="shared" ref="I9:I38" si="0">IF(H9="","",IF(H9=$R$56,$S$56,IF(H9=$R$57,$S$57,"")))</f>
        <v/>
      </c>
      <c r="J9" s="1460"/>
      <c r="K9" s="1496" t="str">
        <f t="shared" ref="K9:K38" si="1">IF(OR(J9="",I9=""),"",ROUND(J9*I9,0))</f>
        <v/>
      </c>
      <c r="L9" s="1478"/>
      <c r="M9" s="1477"/>
      <c r="N9" s="1463" t="str">
        <f>IF(AND(L9=0,B9&lt;&gt;"",$AE$1="n"),"Check details!",IF(T9=0,"",IF(AND($AE$1="y",T9&lt;&gt;10)," All details required!",IF(AND($AE$1="n",T9&lt;&gt;9)," All details required!",IF(AND($AE$1="n",B9&lt;&gt;""),"Not fiscal unit - Pg 2 Q30","")))))</f>
        <v/>
      </c>
      <c r="O9" s="1457"/>
      <c r="P9" s="1457"/>
      <c r="Q9" s="1458">
        <f>IF(N9="",0,1)</f>
      </c>
      <c r="T9" s="1458">
        <f>IF($AE$1="y",COUNTA(B9:H9,J9,L9,M9),COUNTA(C9:H9,J9,L9,M9))</f>
      </c>
      <c r="AF9" s="1474">
        <f>DATE(2012,12,20)</f>
      </c>
      <c r="AG9" s="1474">
        <f ca="1">IF(AD8&lt;AE8,AD8,AE8)</f>
      </c>
    </row>
    <row r="10" spans="1:34" x14ac:dyDescent="0.2">
      <c r="A10" s="1457"/>
      <c r="B10" s="1507"/>
      <c r="C10" s="1470"/>
      <c r="D10" s="1507"/>
      <c r="E10" s="1476"/>
      <c r="F10" s="1477"/>
      <c r="G10" s="1478"/>
      <c r="H10" s="1471"/>
      <c r="I10" s="1500" t="str">
        <f t="shared" si="0"/>
        <v/>
      </c>
      <c r="J10" s="1460"/>
      <c r="K10" s="1496" t="str">
        <f t="shared" si="1"/>
        <v/>
      </c>
      <c r="L10" s="1478"/>
      <c r="M10" s="1477"/>
      <c r="N10" s="1463" t="str">
        <f t="shared" ref="N10:N38" si="2">IF(AND(L10=0,B10&lt;&gt;"",$AE$1="n"),"Check details!",IF(T10=0,"",IF(AND($AE$1="y",T10&lt;&gt;10)," All details required!",IF(AND($AE$1="n",T10&lt;&gt;9)," All details required!",IF(AND($AE$1="n",B10&lt;&gt;""),"Not fiscal unit - Pg 2 Q30","")))))</f>
        <v/>
      </c>
      <c r="O10" s="1457"/>
      <c r="P10" s="1457"/>
      <c r="Q10" s="1458">
        <f t="shared" ref="Q10:Q38" si="3">IF(N10="",0,1)</f>
      </c>
      <c r="T10" s="1458">
        <f t="shared" ref="T10:T38" si="4">IF($AE$1="y",COUNTA(B10:H10,J10,L10,M10),COUNTA(C10:H10,J10,L10,M10))</f>
      </c>
    </row>
    <row r="11" spans="1:34" x14ac:dyDescent="0.2">
      <c r="A11" s="1457"/>
      <c r="B11" s="1507"/>
      <c r="C11" s="1470"/>
      <c r="D11" s="1507"/>
      <c r="E11" s="1476"/>
      <c r="F11" s="1477"/>
      <c r="G11" s="1478"/>
      <c r="H11" s="1471"/>
      <c r="I11" s="1500" t="str">
        <f t="shared" si="0"/>
        <v/>
      </c>
      <c r="J11" s="1460"/>
      <c r="K11" s="1496" t="str">
        <f t="shared" si="1"/>
        <v/>
      </c>
      <c r="L11" s="1478"/>
      <c r="M11" s="1477"/>
      <c r="N11" s="1463" t="str">
        <f t="shared" si="2"/>
        <v/>
      </c>
      <c r="O11" s="1457"/>
      <c r="P11" s="1457"/>
      <c r="Q11" s="1458">
        <f t="shared" si="3"/>
        <v>0</v>
      </c>
      <c r="T11" s="1458">
        <f t="shared" si="4"/>
        <v>0</v>
      </c>
    </row>
    <row r="12" spans="1:34" x14ac:dyDescent="0.2">
      <c r="A12" s="1457"/>
      <c r="B12" s="1507"/>
      <c r="C12" s="1470"/>
      <c r="D12" s="1507"/>
      <c r="E12" s="1476"/>
      <c r="F12" s="1477"/>
      <c r="G12" s="1478"/>
      <c r="H12" s="1471"/>
      <c r="I12" s="1500" t="str">
        <f t="shared" si="0"/>
        <v/>
      </c>
      <c r="J12" s="1460"/>
      <c r="K12" s="1496" t="str">
        <f t="shared" si="1"/>
        <v/>
      </c>
      <c r="L12" s="1478"/>
      <c r="M12" s="1477"/>
      <c r="N12" s="1463" t="str">
        <f t="shared" si="2"/>
        <v/>
      </c>
      <c r="O12" s="1457"/>
      <c r="P12" s="1457"/>
      <c r="Q12" s="1458">
        <f t="shared" si="3"/>
        <v>0</v>
      </c>
      <c r="T12" s="1458">
        <f t="shared" si="4"/>
        <v>0</v>
      </c>
    </row>
    <row r="13" spans="1:34" x14ac:dyDescent="0.2">
      <c r="A13" s="1457"/>
      <c r="B13" s="1507"/>
      <c r="C13" s="1470"/>
      <c r="D13" s="1507"/>
      <c r="E13" s="1476"/>
      <c r="F13" s="1477"/>
      <c r="G13" s="1478"/>
      <c r="H13" s="1471"/>
      <c r="I13" s="1500" t="str">
        <f t="shared" si="0"/>
        <v/>
      </c>
      <c r="J13" s="1460"/>
      <c r="K13" s="1496" t="str">
        <f t="shared" si="1"/>
        <v/>
      </c>
      <c r="L13" s="1478"/>
      <c r="M13" s="1477"/>
      <c r="N13" s="1463" t="str">
        <f t="shared" si="2"/>
        <v/>
      </c>
      <c r="O13" s="1457"/>
      <c r="P13" s="1457"/>
      <c r="Q13" s="1458">
        <f t="shared" si="3"/>
        <v>0</v>
      </c>
      <c r="T13" s="1458">
        <f t="shared" si="4"/>
        <v>0</v>
      </c>
    </row>
    <row r="14" spans="1:34" x14ac:dyDescent="0.2">
      <c r="A14" s="1457"/>
      <c r="B14" s="1507"/>
      <c r="C14" s="1470"/>
      <c r="D14" s="1507"/>
      <c r="E14" s="1476"/>
      <c r="F14" s="1477"/>
      <c r="G14" s="1478"/>
      <c r="H14" s="1471"/>
      <c r="I14" s="1500" t="str">
        <f t="shared" si="0"/>
        <v/>
      </c>
      <c r="J14" s="1460"/>
      <c r="K14" s="1496" t="str">
        <f t="shared" si="1"/>
        <v/>
      </c>
      <c r="L14" s="1478"/>
      <c r="M14" s="1477"/>
      <c r="N14" s="1463" t="str">
        <f t="shared" si="2"/>
        <v/>
      </c>
      <c r="O14" s="1457"/>
      <c r="P14" s="1457"/>
      <c r="Q14" s="1458">
        <f t="shared" si="3"/>
        <v>0</v>
      </c>
      <c r="T14" s="1458">
        <f t="shared" si="4"/>
        <v>0</v>
      </c>
    </row>
    <row r="15" spans="1:34" x14ac:dyDescent="0.2">
      <c r="A15" s="1457"/>
      <c r="B15" s="1507"/>
      <c r="C15" s="1470"/>
      <c r="D15" s="1507"/>
      <c r="E15" s="1476"/>
      <c r="F15" s="1477"/>
      <c r="G15" s="1478"/>
      <c r="H15" s="1471"/>
      <c r="I15" s="1500" t="str">
        <f t="shared" si="0"/>
        <v/>
      </c>
      <c r="J15" s="1460"/>
      <c r="K15" s="1496" t="str">
        <f t="shared" si="1"/>
        <v/>
      </c>
      <c r="L15" s="1478"/>
      <c r="M15" s="1477"/>
      <c r="N15" s="1463" t="str">
        <f t="shared" si="2"/>
        <v/>
      </c>
      <c r="O15" s="1457"/>
      <c r="P15" s="1457"/>
      <c r="Q15" s="1458">
        <f t="shared" si="3"/>
        <v>0</v>
      </c>
      <c r="T15" s="1458">
        <f t="shared" si="4"/>
        <v>0</v>
      </c>
    </row>
    <row r="16" spans="1:34" x14ac:dyDescent="0.2">
      <c r="A16" s="1457"/>
      <c r="B16" s="1507"/>
      <c r="C16" s="1470"/>
      <c r="D16" s="1507"/>
      <c r="E16" s="1476"/>
      <c r="F16" s="1477"/>
      <c r="G16" s="1478"/>
      <c r="H16" s="1471"/>
      <c r="I16" s="1500" t="str">
        <f t="shared" si="0"/>
        <v/>
      </c>
      <c r="J16" s="1460"/>
      <c r="K16" s="1496" t="str">
        <f t="shared" si="1"/>
        <v/>
      </c>
      <c r="L16" s="1478"/>
      <c r="M16" s="1477"/>
      <c r="N16" s="1463" t="str">
        <f t="shared" si="2"/>
        <v/>
      </c>
      <c r="O16" s="1457"/>
      <c r="P16" s="1457"/>
      <c r="Q16" s="1458">
        <f t="shared" si="3"/>
        <v>0</v>
      </c>
      <c r="T16" s="1458">
        <f t="shared" si="4"/>
        <v>0</v>
      </c>
    </row>
    <row r="17" spans="1:20" x14ac:dyDescent="0.2">
      <c r="A17" s="1457"/>
      <c r="B17" s="1507"/>
      <c r="C17" s="1470"/>
      <c r="D17" s="1507"/>
      <c r="E17" s="1476"/>
      <c r="F17" s="1477"/>
      <c r="G17" s="1478"/>
      <c r="H17" s="1471"/>
      <c r="I17" s="1500" t="str">
        <f t="shared" si="0"/>
        <v/>
      </c>
      <c r="J17" s="1460"/>
      <c r="K17" s="1496" t="str">
        <f t="shared" si="1"/>
        <v/>
      </c>
      <c r="L17" s="1478"/>
      <c r="M17" s="1477"/>
      <c r="N17" s="1463" t="str">
        <f t="shared" si="2"/>
        <v/>
      </c>
      <c r="O17" s="1457"/>
      <c r="P17" s="1457"/>
      <c r="Q17" s="1458">
        <f t="shared" si="3"/>
        <v>0</v>
      </c>
      <c r="T17" s="1458">
        <f t="shared" si="4"/>
        <v>0</v>
      </c>
    </row>
    <row r="18" spans="1:20" x14ac:dyDescent="0.2">
      <c r="A18" s="1457"/>
      <c r="B18" s="1507"/>
      <c r="C18" s="1470"/>
      <c r="D18" s="1507"/>
      <c r="E18" s="1476"/>
      <c r="F18" s="1477"/>
      <c r="G18" s="1478"/>
      <c r="H18" s="1471"/>
      <c r="I18" s="1500" t="str">
        <f t="shared" si="0"/>
        <v/>
      </c>
      <c r="J18" s="1460"/>
      <c r="K18" s="1496" t="str">
        <f t="shared" si="1"/>
        <v/>
      </c>
      <c r="L18" s="1478"/>
      <c r="M18" s="1477"/>
      <c r="N18" s="1463" t="str">
        <f t="shared" si="2"/>
        <v/>
      </c>
      <c r="O18" s="1457"/>
      <c r="P18" s="1457"/>
      <c r="Q18" s="1458">
        <f t="shared" si="3"/>
        <v>0</v>
      </c>
      <c r="T18" s="1458">
        <f t="shared" si="4"/>
        <v>0</v>
      </c>
    </row>
    <row r="19" spans="1:20" hidden="1" x14ac:dyDescent="0.2">
      <c r="A19" s="1457"/>
      <c r="B19" s="1507"/>
      <c r="C19" s="1470"/>
      <c r="D19" s="1507"/>
      <c r="E19" s="1476"/>
      <c r="F19" s="1477"/>
      <c r="G19" s="1478"/>
      <c r="H19" s="1471"/>
      <c r="I19" s="1500" t="str">
        <f t="shared" si="0"/>
        <v/>
      </c>
      <c r="J19" s="1460"/>
      <c r="K19" s="1496" t="str">
        <f t="shared" si="1"/>
        <v/>
      </c>
      <c r="L19" s="1478"/>
      <c r="M19" s="1477"/>
      <c r="N19" s="1463"/>
      <c r="O19" s="1457"/>
      <c r="P19" s="1457"/>
      <c r="Q19" s="1458">
        <f t="shared" si="3"/>
        <v>0</v>
      </c>
      <c r="T19" s="1458">
        <f t="shared" si="4"/>
        <v>0</v>
      </c>
    </row>
    <row r="20" spans="1:20" hidden="1" x14ac:dyDescent="0.2">
      <c r="A20" s="1457"/>
      <c r="B20" s="1507"/>
      <c r="C20" s="1470"/>
      <c r="D20" s="1507"/>
      <c r="E20" s="1476"/>
      <c r="F20" s="1477"/>
      <c r="G20" s="1478"/>
      <c r="H20" s="1471"/>
      <c r="I20" s="1500" t="str">
        <f t="shared" si="0"/>
        <v/>
      </c>
      <c r="J20" s="1460"/>
      <c r="K20" s="1496" t="str">
        <f t="shared" si="1"/>
        <v/>
      </c>
      <c r="L20" s="1478"/>
      <c r="M20" s="1477"/>
      <c r="N20" s="1463"/>
      <c r="O20" s="1457"/>
      <c r="P20" s="1457"/>
      <c r="Q20" s="1458">
        <f t="shared" si="3"/>
        <v>0</v>
      </c>
      <c r="T20" s="1458">
        <f t="shared" si="4"/>
        <v>0</v>
      </c>
    </row>
    <row r="21" spans="1:20" hidden="1" x14ac:dyDescent="0.2">
      <c r="A21" s="1457"/>
      <c r="B21" s="1507"/>
      <c r="C21" s="1470"/>
      <c r="D21" s="1507"/>
      <c r="E21" s="1476"/>
      <c r="F21" s="1477"/>
      <c r="G21" s="1478"/>
      <c r="H21" s="1471"/>
      <c r="I21" s="1500" t="str">
        <f t="shared" si="0"/>
        <v/>
      </c>
      <c r="J21" s="1460"/>
      <c r="K21" s="1496" t="str">
        <f t="shared" si="1"/>
        <v/>
      </c>
      <c r="L21" s="1478"/>
      <c r="M21" s="1477"/>
      <c r="N21" s="1463"/>
      <c r="O21" s="1457"/>
      <c r="P21" s="1457"/>
      <c r="Q21" s="1458">
        <f t="shared" si="3"/>
        <v>0</v>
      </c>
      <c r="T21" s="1458">
        <f t="shared" si="4"/>
        <v>0</v>
      </c>
    </row>
    <row r="22" spans="1:20" hidden="1" x14ac:dyDescent="0.2">
      <c r="A22" s="1457"/>
      <c r="B22" s="1507"/>
      <c r="C22" s="1470"/>
      <c r="D22" s="1507"/>
      <c r="E22" s="1476"/>
      <c r="F22" s="1477"/>
      <c r="G22" s="1478"/>
      <c r="H22" s="1471"/>
      <c r="I22" s="1500" t="str">
        <f t="shared" si="0"/>
        <v/>
      </c>
      <c r="J22" s="1460"/>
      <c r="K22" s="1496" t="str">
        <f t="shared" si="1"/>
        <v/>
      </c>
      <c r="L22" s="1478"/>
      <c r="M22" s="1477"/>
      <c r="N22" s="1463"/>
      <c r="O22" s="1457"/>
      <c r="P22" s="1457"/>
      <c r="Q22" s="1458">
        <f t="shared" si="3"/>
        <v>0</v>
      </c>
      <c r="T22" s="1458">
        <f t="shared" si="4"/>
        <v>0</v>
      </c>
    </row>
    <row r="23" spans="1:20" hidden="1" x14ac:dyDescent="0.2">
      <c r="A23" s="1457"/>
      <c r="B23" s="1507"/>
      <c r="C23" s="1470"/>
      <c r="D23" s="1507"/>
      <c r="E23" s="1476"/>
      <c r="F23" s="1477"/>
      <c r="G23" s="1478"/>
      <c r="H23" s="1471"/>
      <c r="I23" s="1500" t="str">
        <f t="shared" si="0"/>
        <v/>
      </c>
      <c r="J23" s="1460"/>
      <c r="K23" s="1496" t="str">
        <f t="shared" si="1"/>
        <v/>
      </c>
      <c r="L23" s="1478"/>
      <c r="M23" s="1477"/>
      <c r="N23" s="1463"/>
      <c r="O23" s="1457"/>
      <c r="P23" s="1457"/>
      <c r="Q23" s="1458">
        <f t="shared" si="3"/>
        <v>0</v>
      </c>
      <c r="T23" s="1458">
        <f t="shared" si="4"/>
        <v>0</v>
      </c>
    </row>
    <row r="24" spans="1:20" hidden="1" x14ac:dyDescent="0.2">
      <c r="A24" s="1457"/>
      <c r="B24" s="1507"/>
      <c r="C24" s="1470"/>
      <c r="D24" s="1507"/>
      <c r="E24" s="1476"/>
      <c r="F24" s="1477"/>
      <c r="G24" s="1478"/>
      <c r="H24" s="1471"/>
      <c r="I24" s="1500" t="str">
        <f t="shared" si="0"/>
        <v/>
      </c>
      <c r="J24" s="1460"/>
      <c r="K24" s="1496" t="str">
        <f t="shared" si="1"/>
        <v/>
      </c>
      <c r="L24" s="1478"/>
      <c r="M24" s="1477"/>
      <c r="N24" s="1463"/>
      <c r="O24" s="1457"/>
      <c r="P24" s="1457"/>
      <c r="Q24" s="1458">
        <f t="shared" si="3"/>
        <v>0</v>
      </c>
      <c r="T24" s="1458">
        <f t="shared" si="4"/>
        <v>0</v>
      </c>
    </row>
    <row r="25" spans="1:20" hidden="1" x14ac:dyDescent="0.2">
      <c r="A25" s="1457"/>
      <c r="B25" s="1507"/>
      <c r="C25" s="1470"/>
      <c r="D25" s="1507"/>
      <c r="E25" s="1476"/>
      <c r="F25" s="1477"/>
      <c r="G25" s="1478"/>
      <c r="H25" s="1471"/>
      <c r="I25" s="1500" t="str">
        <f t="shared" si="0"/>
        <v/>
      </c>
      <c r="J25" s="1460"/>
      <c r="K25" s="1496" t="str">
        <f t="shared" si="1"/>
        <v/>
      </c>
      <c r="L25" s="1478"/>
      <c r="M25" s="1477"/>
      <c r="N25" s="1463"/>
      <c r="O25" s="1457"/>
      <c r="P25" s="1457"/>
      <c r="Q25" s="1458">
        <f t="shared" si="3"/>
        <v>0</v>
      </c>
      <c r="T25" s="1458">
        <f t="shared" si="4"/>
        <v>0</v>
      </c>
    </row>
    <row r="26" spans="1:20" hidden="1" x14ac:dyDescent="0.2">
      <c r="A26" s="1457"/>
      <c r="B26" s="1507"/>
      <c r="C26" s="1470"/>
      <c r="D26" s="1507"/>
      <c r="E26" s="1476"/>
      <c r="F26" s="1477"/>
      <c r="G26" s="1478"/>
      <c r="H26" s="1471"/>
      <c r="I26" s="1500" t="str">
        <f t="shared" si="0"/>
        <v/>
      </c>
      <c r="J26" s="1460"/>
      <c r="K26" s="1496" t="str">
        <f t="shared" si="1"/>
        <v/>
      </c>
      <c r="L26" s="1478"/>
      <c r="M26" s="1477"/>
      <c r="N26" s="1463"/>
      <c r="O26" s="1457"/>
      <c r="P26" s="1457"/>
      <c r="Q26" s="1458">
        <f t="shared" si="3"/>
        <v>0</v>
      </c>
      <c r="T26" s="1458">
        <f t="shared" si="4"/>
        <v>0</v>
      </c>
    </row>
    <row r="27" spans="1:20" hidden="1" x14ac:dyDescent="0.2">
      <c r="A27" s="1457"/>
      <c r="B27" s="1507"/>
      <c r="C27" s="1470"/>
      <c r="D27" s="1507"/>
      <c r="E27" s="1476"/>
      <c r="F27" s="1477"/>
      <c r="G27" s="1478"/>
      <c r="H27" s="1471"/>
      <c r="I27" s="1500" t="str">
        <f t="shared" si="0"/>
        <v/>
      </c>
      <c r="J27" s="1460"/>
      <c r="K27" s="1496" t="str">
        <f t="shared" si="1"/>
        <v/>
      </c>
      <c r="L27" s="1478"/>
      <c r="M27" s="1477"/>
      <c r="N27" s="1463"/>
      <c r="O27" s="1457"/>
      <c r="P27" s="1457"/>
      <c r="Q27" s="1458">
        <f t="shared" si="3"/>
        <v>0</v>
      </c>
      <c r="T27" s="1458">
        <f t="shared" si="4"/>
        <v>0</v>
      </c>
    </row>
    <row r="28" spans="1:20" hidden="1" x14ac:dyDescent="0.2">
      <c r="A28" s="1457"/>
      <c r="B28" s="1507"/>
      <c r="C28" s="1470"/>
      <c r="D28" s="1507"/>
      <c r="E28" s="1476"/>
      <c r="F28" s="1477"/>
      <c r="G28" s="1478"/>
      <c r="H28" s="1471"/>
      <c r="I28" s="1500" t="str">
        <f t="shared" si="0"/>
        <v/>
      </c>
      <c r="J28" s="1460"/>
      <c r="K28" s="1496" t="str">
        <f t="shared" si="1"/>
        <v/>
      </c>
      <c r="L28" s="1478"/>
      <c r="M28" s="1477"/>
      <c r="N28" s="1463"/>
      <c r="O28" s="1457"/>
      <c r="P28" s="1457"/>
      <c r="Q28" s="1458">
        <f t="shared" si="3"/>
        <v>0</v>
      </c>
      <c r="T28" s="1458">
        <f t="shared" si="4"/>
        <v>0</v>
      </c>
    </row>
    <row r="29" spans="1:20" hidden="1" x14ac:dyDescent="0.2">
      <c r="A29" s="1457"/>
      <c r="B29" s="1507"/>
      <c r="C29" s="1470"/>
      <c r="D29" s="1507"/>
      <c r="E29" s="1476"/>
      <c r="F29" s="1477"/>
      <c r="G29" s="1478"/>
      <c r="H29" s="1471"/>
      <c r="I29" s="1500" t="str">
        <f t="shared" si="0"/>
        <v/>
      </c>
      <c r="J29" s="1460"/>
      <c r="K29" s="1496" t="str">
        <f t="shared" si="1"/>
        <v/>
      </c>
      <c r="L29" s="1478"/>
      <c r="M29" s="1477"/>
      <c r="N29" s="1463"/>
      <c r="O29" s="1457"/>
      <c r="P29" s="1457"/>
      <c r="Q29" s="1458">
        <f t="shared" si="3"/>
        <v>0</v>
      </c>
      <c r="T29" s="1458">
        <f t="shared" si="4"/>
        <v>0</v>
      </c>
    </row>
    <row r="30" spans="1:20" x14ac:dyDescent="0.2">
      <c r="A30" s="1457"/>
      <c r="B30" s="1507"/>
      <c r="C30" s="1470"/>
      <c r="D30" s="1507"/>
      <c r="E30" s="1476"/>
      <c r="F30" s="1477"/>
      <c r="G30" s="1478"/>
      <c r="H30" s="1471"/>
      <c r="I30" s="1500" t="str">
        <f t="shared" si="0"/>
        <v/>
      </c>
      <c r="J30" s="1460"/>
      <c r="K30" s="1496" t="str">
        <f t="shared" si="1"/>
        <v/>
      </c>
      <c r="L30" s="1478"/>
      <c r="M30" s="1477"/>
      <c r="N30" s="1463" t="str">
        <f t="shared" si="2"/>
        <v/>
      </c>
      <c r="O30" s="1457"/>
      <c r="P30" s="1457"/>
      <c r="Q30" s="1458">
        <f t="shared" si="3"/>
        <v>0</v>
      </c>
      <c r="T30" s="1458">
        <f t="shared" si="4"/>
        <v>0</v>
      </c>
    </row>
    <row r="31" spans="1:20" x14ac:dyDescent="0.2">
      <c r="A31" s="1457"/>
      <c r="B31" s="1507"/>
      <c r="C31" s="1470"/>
      <c r="D31" s="1507"/>
      <c r="E31" s="1476"/>
      <c r="F31" s="1477"/>
      <c r="G31" s="1478"/>
      <c r="H31" s="1471"/>
      <c r="I31" s="1500" t="str">
        <f t="shared" si="0"/>
        <v/>
      </c>
      <c r="J31" s="1460"/>
      <c r="K31" s="1496" t="str">
        <f t="shared" si="1"/>
        <v/>
      </c>
      <c r="L31" s="1478"/>
      <c r="M31" s="1477"/>
      <c r="N31" s="1463" t="str">
        <f t="shared" si="2"/>
        <v/>
      </c>
      <c r="O31" s="1457"/>
      <c r="P31" s="1457"/>
      <c r="Q31" s="1458">
        <f t="shared" si="3"/>
        <v>0</v>
      </c>
      <c r="T31" s="1458">
        <f t="shared" si="4"/>
        <v>0</v>
      </c>
    </row>
    <row r="32" spans="1:20" x14ac:dyDescent="0.2">
      <c r="A32" s="1457"/>
      <c r="B32" s="1507"/>
      <c r="C32" s="1470"/>
      <c r="D32" s="1507"/>
      <c r="E32" s="1476"/>
      <c r="F32" s="1477"/>
      <c r="G32" s="1478"/>
      <c r="H32" s="1471"/>
      <c r="I32" s="1500" t="str">
        <f t="shared" si="0"/>
        <v/>
      </c>
      <c r="J32" s="1460"/>
      <c r="K32" s="1496" t="str">
        <f t="shared" si="1"/>
        <v/>
      </c>
      <c r="L32" s="1478"/>
      <c r="M32" s="1477"/>
      <c r="N32" s="1463" t="str">
        <f t="shared" si="2"/>
        <v/>
      </c>
      <c r="O32" s="1457"/>
      <c r="P32" s="1457"/>
      <c r="Q32" s="1458">
        <f t="shared" si="3"/>
        <v>0</v>
      </c>
      <c r="T32" s="1458">
        <f t="shared" si="4"/>
        <v>0</v>
      </c>
    </row>
    <row r="33" spans="1:24" x14ac:dyDescent="0.2">
      <c r="A33" s="1457"/>
      <c r="B33" s="1507"/>
      <c r="C33" s="1470"/>
      <c r="D33" s="1507"/>
      <c r="E33" s="1476"/>
      <c r="F33" s="1477"/>
      <c r="G33" s="1478"/>
      <c r="H33" s="1471"/>
      <c r="I33" s="1500" t="str">
        <f t="shared" si="0"/>
        <v/>
      </c>
      <c r="J33" s="1460"/>
      <c r="K33" s="1496" t="str">
        <f t="shared" si="1"/>
        <v/>
      </c>
      <c r="L33" s="1478"/>
      <c r="M33" s="1477"/>
      <c r="N33" s="1463" t="str">
        <f t="shared" si="2"/>
        <v/>
      </c>
      <c r="O33" s="1457"/>
      <c r="P33" s="1457"/>
      <c r="Q33" s="1458">
        <f t="shared" si="3"/>
        <v>0</v>
      </c>
      <c r="T33" s="1458">
        <f t="shared" si="4"/>
        <v>0</v>
      </c>
    </row>
    <row r="34" spans="1:24" x14ac:dyDescent="0.2">
      <c r="A34" s="1457"/>
      <c r="B34" s="1507"/>
      <c r="C34" s="1470"/>
      <c r="D34" s="1507"/>
      <c r="E34" s="1476"/>
      <c r="F34" s="1477"/>
      <c r="G34" s="1478"/>
      <c r="H34" s="1471"/>
      <c r="I34" s="1500" t="str">
        <f t="shared" si="0"/>
        <v/>
      </c>
      <c r="J34" s="1460"/>
      <c r="K34" s="1496" t="str">
        <f t="shared" si="1"/>
        <v/>
      </c>
      <c r="L34" s="1478"/>
      <c r="M34" s="1477"/>
      <c r="N34" s="1463" t="str">
        <f t="shared" si="2"/>
        <v/>
      </c>
      <c r="O34" s="1457"/>
      <c r="P34" s="1457"/>
      <c r="Q34" s="1458">
        <f t="shared" si="3"/>
        <v>0</v>
      </c>
      <c r="T34" s="1458">
        <f t="shared" si="4"/>
        <v>0</v>
      </c>
    </row>
    <row r="35" spans="1:24" x14ac:dyDescent="0.2">
      <c r="A35" s="1457"/>
      <c r="B35" s="1507"/>
      <c r="C35" s="1470"/>
      <c r="D35" s="1507"/>
      <c r="E35" s="1476"/>
      <c r="F35" s="1477"/>
      <c r="G35" s="1478"/>
      <c r="H35" s="1471"/>
      <c r="I35" s="1500" t="str">
        <f t="shared" si="0"/>
        <v/>
      </c>
      <c r="J35" s="1460"/>
      <c r="K35" s="1496" t="str">
        <f t="shared" si="1"/>
        <v/>
      </c>
      <c r="L35" s="1478"/>
      <c r="M35" s="1477"/>
      <c r="N35" s="1463" t="str">
        <f t="shared" si="2"/>
        <v/>
      </c>
      <c r="O35" s="1457"/>
      <c r="P35" s="1457"/>
      <c r="Q35" s="1458">
        <f t="shared" si="3"/>
        <v>0</v>
      </c>
      <c r="T35" s="1458">
        <f t="shared" si="4"/>
        <v>0</v>
      </c>
    </row>
    <row r="36" spans="1:24" x14ac:dyDescent="0.2">
      <c r="A36" s="1457"/>
      <c r="B36" s="1507"/>
      <c r="C36" s="1470"/>
      <c r="D36" s="1507"/>
      <c r="E36" s="1476"/>
      <c r="F36" s="1477"/>
      <c r="G36" s="1478"/>
      <c r="H36" s="1471"/>
      <c r="I36" s="1500" t="str">
        <f t="shared" si="0"/>
        <v/>
      </c>
      <c r="J36" s="1460"/>
      <c r="K36" s="1496" t="str">
        <f t="shared" si="1"/>
        <v/>
      </c>
      <c r="L36" s="1478"/>
      <c r="M36" s="1477"/>
      <c r="N36" s="1463" t="str">
        <f t="shared" si="2"/>
        <v/>
      </c>
      <c r="O36" s="1457"/>
      <c r="P36" s="1457"/>
      <c r="Q36" s="1458">
        <f>IF(N36="",0,1)</f>
      </c>
      <c r="T36" s="1458">
        <f t="shared" si="4"/>
        <v>0</v>
      </c>
    </row>
    <row r="37" spans="1:24" x14ac:dyDescent="0.2">
      <c r="A37" s="1457"/>
      <c r="B37" s="1507"/>
      <c r="C37" s="1470"/>
      <c r="D37" s="1507"/>
      <c r="E37" s="1476"/>
      <c r="F37" s="1477"/>
      <c r="G37" s="1478"/>
      <c r="H37" s="1471"/>
      <c r="I37" s="1500" t="str">
        <f t="shared" si="0"/>
        <v/>
      </c>
      <c r="J37" s="1460"/>
      <c r="K37" s="1496" t="str">
        <f t="shared" si="1"/>
        <v/>
      </c>
      <c r="L37" s="1478"/>
      <c r="M37" s="1477"/>
      <c r="N37" s="1463" t="str">
        <f t="shared" si="2"/>
        <v/>
      </c>
      <c r="O37" s="1457"/>
      <c r="P37" s="1457"/>
      <c r="Q37" s="1458">
        <f t="shared" si="3"/>
        <v>0</v>
      </c>
      <c r="T37" s="1458">
        <f t="shared" si="4"/>
        <v>0</v>
      </c>
    </row>
    <row r="38" spans="1:24" x14ac:dyDescent="0.2">
      <c r="A38" s="1457"/>
      <c r="B38" s="1507"/>
      <c r="C38" s="1470"/>
      <c r="D38" s="1507"/>
      <c r="E38" s="1476"/>
      <c r="F38" s="1477"/>
      <c r="G38" s="1478"/>
      <c r="H38" s="1471"/>
      <c r="I38" s="1500" t="str">
        <f t="shared" si="0"/>
        <v/>
      </c>
      <c r="J38" s="1460"/>
      <c r="K38" s="1496" t="str">
        <f t="shared" si="1"/>
        <v/>
      </c>
      <c r="L38" s="1478"/>
      <c r="M38" s="1477"/>
      <c r="N38" s="1463" t="str">
        <f t="shared" si="2"/>
        <v/>
      </c>
      <c r="O38" s="1457"/>
      <c r="P38" s="1457"/>
      <c r="Q38" s="1458">
        <f t="shared" si="3"/>
        <v>0</v>
      </c>
      <c r="T38" s="1458">
        <f t="shared" si="4"/>
        <v>0</v>
      </c>
    </row>
    <row r="39" spans="1:24" ht="15" x14ac:dyDescent="0.25">
      <c r="A39" s="1457"/>
      <c r="B39" s="1457"/>
      <c r="C39" s="1495" t="s">
        <v>5590</v>
      </c>
      <c r="D39" s="1457"/>
      <c r="E39" s="1457"/>
      <c r="F39" s="1457"/>
      <c r="G39" s="1457"/>
      <c r="H39" s="1457"/>
      <c r="I39" s="1457"/>
      <c r="J39" s="1496">
        <f>SUM(J9:J38)</f>
      </c>
      <c r="K39" s="1496">
        <f>SUM(K9:K38)</f>
      </c>
      <c r="L39" s="1457"/>
      <c r="M39" s="1457"/>
      <c r="N39" s="1457"/>
      <c r="O39" s="1457"/>
      <c r="P39" s="1457"/>
      <c r="T39" s="1458">
        <f>SUM(T9:T38)</f>
      </c>
    </row>
    <row r="40" spans="1:24" ht="19.5" customHeight="1" x14ac:dyDescent="0.2">
      <c r="A40" s="1457"/>
      <c r="B40" s="1457"/>
      <c r="C40" s="1457"/>
      <c r="D40" s="1457"/>
      <c r="E40" s="1457"/>
      <c r="F40" s="1457"/>
      <c r="G40" s="1457"/>
      <c r="H40" s="1457"/>
      <c r="I40" s="1457"/>
      <c r="J40" s="1504" t="s">
        <v>5657</v>
      </c>
      <c r="K40" s="1457"/>
      <c r="L40" s="1457"/>
      <c r="M40" s="1457"/>
      <c r="N40" s="1457"/>
      <c r="O40" s="1457"/>
      <c r="P40" s="1457"/>
    </row>
    <row r="41" spans="1:24" ht="15" x14ac:dyDescent="0.25">
      <c r="A41" s="1457"/>
      <c r="B41" s="1457"/>
      <c r="C41" s="1457"/>
      <c r="D41" s="1495" t="s">
        <v>4797</v>
      </c>
      <c r="E41" s="3560"/>
      <c r="F41" s="3560"/>
      <c r="G41" s="1498"/>
      <c r="H41" s="1498"/>
      <c r="I41" s="1499"/>
      <c r="J41" s="1497">
        <f>IF(J39-K39&lt;0,0,J39-K39)</f>
      </c>
      <c r="K41" s="1505" t="s">
        <v>2758</v>
      </c>
      <c r="L41" s="1457"/>
      <c r="M41" s="1457"/>
      <c r="N41" s="1457"/>
      <c r="O41" s="1457"/>
      <c r="P41" s="1457"/>
    </row>
    <row r="42" spans="1:24" ht="15" customHeight="1" x14ac:dyDescent="0.2">
      <c r="A42" s="1457"/>
      <c r="B42" s="5079" t="s">
        <v>4216</v>
      </c>
      <c r="C42" s="5079"/>
      <c r="D42" s="5079"/>
      <c r="E42" s="5079"/>
      <c r="F42" s="5079"/>
      <c r="G42" s="5079"/>
      <c r="H42" s="5079"/>
      <c r="I42" s="5079"/>
      <c r="J42" s="5079"/>
      <c r="K42" s="5079"/>
      <c r="L42" s="5079"/>
      <c r="M42" s="5079"/>
      <c r="N42" s="1457"/>
      <c r="O42" s="1457"/>
      <c r="P42" s="1457"/>
    </row>
    <row r="43" spans="1:24" ht="14.25" customHeight="1" x14ac:dyDescent="0.2">
      <c r="A43" s="1457"/>
      <c r="B43" s="5079"/>
      <c r="C43" s="5079"/>
      <c r="D43" s="5079"/>
      <c r="E43" s="5079"/>
      <c r="F43" s="5079"/>
      <c r="G43" s="5079"/>
      <c r="H43" s="5079"/>
      <c r="I43" s="5079"/>
      <c r="J43" s="5079"/>
      <c r="K43" s="5079"/>
      <c r="L43" s="5079"/>
      <c r="M43" s="5079"/>
      <c r="N43" s="1457"/>
      <c r="O43" s="1457"/>
      <c r="P43" s="1457"/>
      <c r="X43" s="1458" t="s">
        <v>2085</v>
      </c>
    </row>
    <row r="44" spans="1:24" ht="14.25" customHeight="1" x14ac:dyDescent="0.2">
      <c r="A44" s="1457"/>
      <c r="B44" s="5079"/>
      <c r="C44" s="5079"/>
      <c r="D44" s="5079"/>
      <c r="E44" s="5079"/>
      <c r="F44" s="5079"/>
      <c r="G44" s="5079"/>
      <c r="H44" s="5079"/>
      <c r="I44" s="5079"/>
      <c r="J44" s="5079"/>
      <c r="K44" s="5079"/>
      <c r="L44" s="5079"/>
      <c r="M44" s="5079"/>
      <c r="N44" s="1457"/>
      <c r="O44" s="1457"/>
      <c r="P44" s="1457"/>
      <c r="X44" s="1458" t="s">
        <v>5520</v>
      </c>
    </row>
    <row r="45" spans="1:24" ht="14.25" customHeight="1" x14ac:dyDescent="0.2">
      <c r="A45" s="1457"/>
      <c r="B45" s="5079"/>
      <c r="C45" s="5079"/>
      <c r="D45" s="5079"/>
      <c r="E45" s="5079"/>
      <c r="F45" s="5079"/>
      <c r="G45" s="5079"/>
      <c r="H45" s="5079"/>
      <c r="I45" s="5079"/>
      <c r="J45" s="5079"/>
      <c r="K45" s="5079"/>
      <c r="L45" s="5079"/>
      <c r="M45" s="5079"/>
      <c r="N45" s="1457"/>
      <c r="O45" s="1457"/>
      <c r="P45" s="1457"/>
    </row>
    <row r="46" spans="1:24" x14ac:dyDescent="0.2">
      <c r="A46" s="1457"/>
      <c r="B46" s="5079"/>
      <c r="C46" s="5079"/>
      <c r="D46" s="5079"/>
      <c r="E46" s="5079"/>
      <c r="F46" s="5079"/>
      <c r="G46" s="5079"/>
      <c r="H46" s="5079"/>
      <c r="I46" s="5079"/>
      <c r="J46" s="5079"/>
      <c r="K46" s="5079"/>
      <c r="L46" s="5079"/>
      <c r="M46" s="5079"/>
      <c r="N46" s="1457"/>
      <c r="O46" s="1457"/>
      <c r="P46" s="1457"/>
    </row>
    <row r="47" spans="1:24" ht="15" x14ac:dyDescent="0.25">
      <c r="A47" s="1457"/>
      <c r="B47" s="1457"/>
      <c r="C47" s="1465"/>
      <c r="D47" s="1465"/>
      <c r="E47" s="1461"/>
      <c r="F47" s="1461"/>
      <c r="G47" s="1461"/>
      <c r="H47" s="1461" t="s">
        <v>2759</v>
      </c>
      <c r="I47" s="1461"/>
      <c r="J47" s="1462"/>
      <c r="K47" s="1479" t="str">
        <f>IF(T39=0,"",IF(J47="",re,IF(J47="No"," No entitlement!","")))</f>
        <v/>
      </c>
      <c r="L47" s="1466"/>
      <c r="M47" s="1466"/>
      <c r="N47" s="1457"/>
      <c r="O47" s="1457"/>
      <c r="P47" s="1457"/>
      <c r="Q47" s="1458">
        <f>IF(K47="",0,1)</f>
      </c>
    </row>
    <row r="48" spans="1:24" ht="15" x14ac:dyDescent="0.25">
      <c r="A48" s="1457"/>
      <c r="B48" s="1457"/>
      <c r="C48" s="1465"/>
      <c r="D48" s="1465"/>
      <c r="E48" s="1461"/>
      <c r="F48" s="1461"/>
      <c r="G48" s="1461"/>
      <c r="H48" s="1461"/>
      <c r="I48" s="1461"/>
      <c r="J48" s="1457"/>
      <c r="K48" s="1480"/>
      <c r="L48" s="1457"/>
      <c r="M48" s="1457"/>
      <c r="N48" s="1457"/>
      <c r="O48" s="1457"/>
      <c r="P48" s="1457"/>
      <c r="R48" s="1458" t="s">
        <v>1736</v>
      </c>
    </row>
    <row r="49" spans="1:19" ht="15" x14ac:dyDescent="0.25">
      <c r="A49" s="1457"/>
      <c r="B49" s="1457"/>
      <c r="C49" s="1465"/>
      <c r="D49" s="1465"/>
      <c r="E49" s="1461"/>
      <c r="F49" s="1461"/>
      <c r="G49" s="1461"/>
      <c r="H49" s="1461" t="s">
        <v>2760</v>
      </c>
      <c r="I49" s="1461"/>
      <c r="J49" s="1462"/>
      <c r="K49" s="1479" t="str">
        <f>IF(T39=0,"",IF(J49="",re,""))</f>
        <v/>
      </c>
      <c r="L49" s="1466"/>
      <c r="M49" s="1466"/>
      <c r="N49" s="1457"/>
      <c r="O49" s="1457"/>
      <c r="P49" s="1457"/>
      <c r="Q49" s="1458">
        <f>IF(K49="",0,1)</f>
      </c>
      <c r="R49" s="1458" t="s">
        <v>4457</v>
      </c>
    </row>
    <row r="50" spans="1:19" ht="15" x14ac:dyDescent="0.25">
      <c r="A50" s="1457"/>
      <c r="B50" s="1457"/>
      <c r="C50" s="1465"/>
      <c r="D50" s="1465"/>
      <c r="E50" s="1465"/>
      <c r="F50" s="1465"/>
      <c r="G50" s="1465"/>
      <c r="H50" s="1465"/>
      <c r="I50" s="1465"/>
      <c r="J50" s="1466"/>
      <c r="K50" s="1466"/>
      <c r="L50" s="1466"/>
      <c r="M50" s="1466"/>
      <c r="N50" s="1457"/>
      <c r="O50" s="1457"/>
      <c r="P50" s="1457"/>
      <c r="Q50" s="1458">
        <f>SUM(Q8:Q49)</f>
      </c>
    </row>
    <row r="51" spans="1:19" ht="15" x14ac:dyDescent="0.25">
      <c r="A51" s="1464"/>
      <c r="B51" s="1464" t="str">
        <f>_xlfn.SINGLE(MTCA)</f>
      </c>
      <c r="C51" s="1465"/>
      <c r="D51" s="1464"/>
      <c r="E51" s="1481"/>
      <c r="F51" s="1481"/>
      <c r="G51" s="1481"/>
      <c r="H51" s="1482" t="str">
        <f>ver</f>
        <v>TA2_e-CO_2025_Ver 1.1</v>
      </c>
      <c r="I51" s="1482"/>
      <c r="J51" s="1463"/>
      <c r="K51" s="1463"/>
      <c r="L51" s="1463"/>
      <c r="M51" s="1463"/>
      <c r="N51" s="1464" t="s">
        <v>2763</v>
      </c>
      <c r="O51" s="1457"/>
      <c r="P51" s="1457"/>
      <c r="Q51" s="1458">
        <f>IF(T39=0,0,IF(Q50&lt;&gt;0,100,IF(J49="No",100,1)))</f>
      </c>
    </row>
    <row r="52" spans="1:19" ht="15.75" x14ac:dyDescent="0.25">
      <c r="A52" s="1457"/>
      <c r="B52" s="1484" t="s">
        <v>365</v>
      </c>
      <c r="C52" s="1465"/>
      <c r="D52" s="1457"/>
      <c r="E52" s="1457"/>
      <c r="F52" s="1457"/>
      <c r="G52" s="1457"/>
      <c r="H52" s="1457"/>
      <c r="I52" s="1457"/>
      <c r="J52" s="1457"/>
      <c r="K52" s="1457"/>
      <c r="L52" s="1457"/>
      <c r="M52" s="1457"/>
      <c r="N52" s="1457"/>
      <c r="O52" s="1457"/>
      <c r="P52" s="1457"/>
    </row>
    <row r="53" spans="1:19" ht="8.25" customHeight="1" x14ac:dyDescent="0.2">
      <c r="A53" s="1457"/>
      <c r="B53" s="1457"/>
      <c r="C53" s="1457"/>
      <c r="D53" s="1457"/>
      <c r="E53" s="1457"/>
      <c r="F53" s="1457"/>
      <c r="G53" s="1457"/>
      <c r="H53" s="1457"/>
      <c r="I53" s="1457"/>
      <c r="J53" s="1457"/>
      <c r="K53" s="1457"/>
      <c r="L53" s="1457"/>
      <c r="M53" s="1457"/>
      <c r="N53" s="1457"/>
      <c r="O53" s="1457"/>
      <c r="P53" s="1457"/>
    </row>
    <row r="56" spans="1:19" hidden="1" x14ac:dyDescent="0.2">
      <c r="R56" s="1458" t="s">
        <v>4217</v>
      </c>
      <c r="S56" s="1483">
        <v>0.1</v>
      </c>
    </row>
    <row r="57" spans="1:19" hidden="1" x14ac:dyDescent="0.2">
      <c r="R57" s="1458" t="s">
        <v>5521</v>
      </c>
      <c r="S57" s="1483">
        <v>0.15</v>
      </c>
    </row>
  </sheetData>
  <sheetProtection algorithmName="SHA-512" hashValue="v3RS3ozzIjYkGIzPuSUzH5ZtiOcCyPeqx+6Ia9S3dKxU9Y/G4RHm/Gv/wnlGBTcUwejmximPMX3V8s0/Zq0vgA==" saltValue="yL/CEsIrrig0aGIwlwsrSA==" spinCount="100000" sheet="1" objects="1" scenarios="1"/>
  <mergeCells count="4">
    <mergeCell ref="B1:C1"/>
    <mergeCell ref="B3:C3"/>
    <mergeCell ref="B4:C4"/>
    <mergeCell ref="B42:M46"/>
  </mergeCells>
  <phoneticPr fontId="164" type="noConversion"/>
  <conditionalFormatting sqref="B9:B38">
    <cfRule type="expression" dxfId="449" priority="1">
      <formula>$AE$1="n"</formula>
    </cfRule>
  </conditionalFormatting>
  <dataValidations count="13">
    <dataValidation type="list" operator="greaterThan" showInputMessage="1" showErrorMessage="1" errorTitle="Address" error="Please enter the correct address!" sqref="D9:D38" xr:uid="{00000000-0002-0000-4000-000000000000}">
      <formula1>$X$42:$X$44</formula1>
    </dataValidation>
    <dataValidation type="list" operator="greaterThan" showInputMessage="1" showErrorMessage="1" errorTitle="Address" error="Please enter the correct address!" sqref="H9:H38" xr:uid="{00000000-0002-0000-4000-000001000000}">
      <formula1>$R$55:$R$57</formula1>
    </dataValidation>
    <dataValidation type="date" allowBlank="1" showInputMessage="1" showErrorMessage="1" errorTitle="Date" error="Please enter the correct date!" sqref="F9:F38" xr:uid="{00000000-0002-0000-4000-000002000000}">
      <formula1>$AF$9</formula1>
      <formula2>$AG$9</formula2>
    </dataValidation>
    <dataValidation type="textLength" operator="greaterThan" allowBlank="1" showInputMessage="1" showErrorMessage="1" errorTitle="Certification" error="Please enter the correct certification reference!" sqref="E9:E38" xr:uid="{00000000-0002-0000-4000-000003000000}">
      <formula1>4</formula1>
    </dataValidation>
    <dataValidation type="list" showInputMessage="1" showErrorMessage="1" sqref="J49 J47" xr:uid="{00000000-0002-0000-4000-000004000000}">
      <formula1>yn</formula1>
    </dataValidation>
    <dataValidation type="textLength" operator="greaterThan" allowBlank="1" showInputMessage="1" showErrorMessage="1" errorTitle="Address" error="Please enter the correct address!" sqref="C9:C38" xr:uid="{00000000-0002-0000-4000-000005000000}">
      <formula1>10</formula1>
    </dataValidation>
    <dataValidation type="whole" operator="greaterThanOrEqual" allowBlank="1" showInputMessage="1" showErrorMessage="1" errorTitle="Rental Income" error="Please enter a positive value!" sqref="J9:J38" xr:uid="{00000000-0002-0000-4000-000006000000}">
      <formula1>0</formula1>
    </dataValidation>
    <dataValidation operator="greaterThanOrEqual" allowBlank="1" showInputMessage="1" showErrorMessage="1" errorTitle="Rental Income" error="Please enter a positive value!" sqref="I9:I38" xr:uid="{00000000-0002-0000-4000-000007000000}"/>
    <dataValidation type="date" allowBlank="1" showInputMessage="1" showErrorMessage="1" errorTitle="Receipt Date" error="Please enter a valid receipt date!" sqref="M9:M38" xr:uid="{00000000-0002-0000-4000-000008000000}">
      <formula1>$AF$9</formula1>
      <formula2>$AG$9</formula2>
    </dataValidation>
    <dataValidation operator="greaterThanOrEqual" allowBlank="1" showInputMessage="1" showErrorMessage="1" errorTitle="Receipt Number" error="Please enter the correct receipt number!" sqref="K9:K38" xr:uid="{00000000-0002-0000-4000-000009000000}"/>
    <dataValidation type="textLength" operator="greaterThanOrEqual" allowBlank="1" showInputMessage="1" showErrorMessage="1" errorTitle="Receipt Number" error="Please enter the correct receipt number!" sqref="L9:L38" xr:uid="{00000000-0002-0000-4000-00000A000000}">
      <formula1>6</formula1>
    </dataValidation>
    <dataValidation type="whole" operator="greaterThanOrEqual" allowBlank="1" showInputMessage="1" showErrorMessage="1" errorTitle="Approved eligible costs" error="Please enter the correct amount!" sqref="G9:G38" xr:uid="{00000000-0002-0000-4000-00000B000000}">
      <formula1>0</formula1>
    </dataValidation>
    <dataValidation type="list" allowBlank="1" showInputMessage="1" showErrorMessage="1" sqref="B9:B38" xr:uid="{00000000-0002-0000-4000-00000C000000}">
      <formula1>FU</formula1>
    </dataValidation>
  </dataValidations>
  <hyperlinks>
    <hyperlink ref="B52" location="Index!A1" display="Back to Index" xr:uid="{00000000-0004-0000-4000-000000000000}"/>
    <hyperlink ref="J40" location="TRA60!A1" display="TRA 60  " xr:uid="{00000000-0004-0000-4000-000001000000}"/>
    <hyperlink ref="K41" location="TRA61_FTA!A1" display="  TRA 61" xr:uid="{00000000-0004-0000-4000-000002000000}"/>
  </hyperlinks>
  <pageMargins left="0.15748031496062992" right="0.15748031496062992" top="0.43307086614173229" bottom="0.74803149606299213" header="0.31496062992125984" footer="0.31496062992125984"/>
  <pageSetup paperSize="9" scale="85" orientation="landscape" r:id="rId1"/>
  <headerFooter>
    <oddFooter>&amp;LName&amp;CSignature&amp;RDate</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4"/>
  <dimension ref="A1:V130"/>
  <sheetViews>
    <sheetView showGridLines="0" topLeftCell="XFD1048576" workbookViewId="0">
      <selection sqref="A1:XFD1048576"/>
    </sheetView>
  </sheetViews>
  <sheetFormatPr defaultColWidth="0" defaultRowHeight="11.25" customHeight="1" zeroHeight="1" x14ac:dyDescent="0.2"/>
  <cols>
    <col min="1" max="1" width="3.28515625" style="46" hidden="1" customWidth="1"/>
    <col min="2" max="2" width="63.5703125" style="46" hidden="1" customWidth="1"/>
    <col min="3" max="3" width="14.7109375" style="46" hidden="1" customWidth="1"/>
    <col min="4" max="4" width="9.28515625" style="46" hidden="1" customWidth="1"/>
    <col min="5" max="6" width="10.7109375" style="46" hidden="1" customWidth="1"/>
    <col min="7" max="7" width="17.5703125" style="46" hidden="1" customWidth="1"/>
    <col min="8" max="8" width="20.5703125" style="46" hidden="1" customWidth="1"/>
    <col min="9" max="16384" width="0" style="1634" hidden="1"/>
  </cols>
  <sheetData>
    <row r="1" spans="2:22" ht="12.75" hidden="1" x14ac:dyDescent="0.2">
      <c r="B1" s="5080" t="str">
        <f>_ref1</f>
      </c>
      <c r="C1" s="5080"/>
      <c r="D1" s="5080"/>
      <c r="E1" s="5080"/>
      <c r="F1" s="5080"/>
      <c r="G1" s="66" t="str">
        <f>_YA1</f>
      </c>
      <c r="K1" s="1634">
        <f>COUNTA(C10,C11,E15,E16,E17,E21,F23,F25,E31)</f>
      </c>
    </row>
    <row r="2" spans="2:22" ht="12.75" hidden="1" x14ac:dyDescent="0.2">
      <c r="B2" s="142"/>
      <c r="C2" s="142"/>
      <c r="D2" s="142"/>
      <c r="E2" s="142"/>
      <c r="F2" s="142"/>
      <c r="G2" s="142"/>
      <c r="H2" s="66"/>
    </row>
    <row r="3" spans="2:22" ht="12.75" hidden="1" x14ac:dyDescent="0.2">
      <c r="B3" s="1635" t="s">
        <v>3452</v>
      </c>
      <c r="C3" s="1520"/>
      <c r="D3" s="1520"/>
      <c r="E3" s="1520"/>
      <c r="F3" s="1520"/>
      <c r="G3" s="1694"/>
      <c r="H3" s="66"/>
    </row>
    <row r="4" spans="2:22" ht="12.75" hidden="1" x14ac:dyDescent="0.2">
      <c r="B4" s="1636" t="s">
        <v>5562</v>
      </c>
      <c r="C4" s="1521"/>
      <c r="D4" s="1521"/>
      <c r="E4" s="1522"/>
      <c r="F4" s="1521"/>
      <c r="G4" s="1694"/>
      <c r="H4" s="66"/>
    </row>
    <row r="5" spans="2:22" ht="12.75" hidden="1" x14ac:dyDescent="0.2">
      <c r="B5" s="1202"/>
      <c r="C5" s="1202"/>
      <c r="D5" s="1202"/>
      <c r="E5" s="1202"/>
      <c r="F5" s="1179"/>
      <c r="G5" s="66"/>
      <c r="H5" s="66"/>
    </row>
    <row r="6" spans="2:22" ht="40.5" hidden="1" customHeight="1" x14ac:dyDescent="0.2">
      <c r="B6" s="5084" t="s">
        <v>3195</v>
      </c>
      <c r="C6" s="5084"/>
      <c r="D6" s="1722"/>
      <c r="E6" s="1722"/>
      <c r="F6" s="1722"/>
      <c r="G6" s="1723"/>
      <c r="H6" s="66"/>
    </row>
    <row r="7" spans="2:22" ht="15" hidden="1" x14ac:dyDescent="0.2">
      <c r="B7" s="1523"/>
      <c r="C7" s="1179"/>
      <c r="D7" s="1179"/>
      <c r="E7" s="1202"/>
      <c r="F7" s="1179"/>
      <c r="G7" s="66"/>
      <c r="H7" s="66"/>
      <c r="V7" s="1634">
        <v>41912</v>
      </c>
    </row>
    <row r="8" spans="2:22" ht="12.75" hidden="1" x14ac:dyDescent="0.2">
      <c r="B8" s="1637" t="s">
        <v>5563</v>
      </c>
      <c r="C8" s="1179"/>
      <c r="D8" s="1179"/>
      <c r="E8" s="1202"/>
      <c r="F8" s="1179"/>
      <c r="G8" s="66"/>
      <c r="H8" s="66"/>
      <c r="V8" s="1634">
        <f ca="1">TODAY()</f>
      </c>
    </row>
    <row r="9" spans="2:22" ht="9.75" hidden="1" customHeight="1" x14ac:dyDescent="0.2">
      <c r="B9" s="1524"/>
      <c r="C9" s="1179"/>
      <c r="D9" s="1179"/>
      <c r="E9" s="1202"/>
      <c r="F9" s="1179"/>
      <c r="G9" s="66"/>
      <c r="H9" s="66"/>
    </row>
    <row r="10" spans="2:22" ht="12.75" hidden="1" x14ac:dyDescent="0.2">
      <c r="B10" s="1525" t="s">
        <v>5564</v>
      </c>
      <c r="C10" s="632"/>
      <c r="D10" s="1526" t="str">
        <f>IF($K$1=0,"",IF(C10="",re,""))</f>
        <v/>
      </c>
      <c r="E10" s="1202"/>
      <c r="F10" s="1179"/>
      <c r="G10" s="66"/>
      <c r="H10" s="66"/>
      <c r="I10" s="1634">
        <f>IF(D10="",0,1)</f>
      </c>
    </row>
    <row r="11" spans="2:22" ht="12.75" hidden="1" x14ac:dyDescent="0.2">
      <c r="B11" s="861" t="s">
        <v>5565</v>
      </c>
      <c r="C11" s="575"/>
      <c r="D11" s="1527" t="str">
        <f>IF($K$1=0,"",IF(C11="",re,""))</f>
        <v/>
      </c>
      <c r="E11" s="1202"/>
      <c r="F11" s="1179"/>
      <c r="G11" s="66"/>
      <c r="H11" s="66"/>
      <c r="I11" s="1634">
        <f>IF(D11="",0,1)</f>
      </c>
      <c r="U11" s="1634">
        <v>40909</v>
      </c>
      <c r="V11" s="1634">
        <f ca="1">IF(V8&lt;V7,V8,V7)</f>
      </c>
    </row>
    <row r="12" spans="2:22" ht="12.75" hidden="1" x14ac:dyDescent="0.2">
      <c r="B12" s="1179"/>
      <c r="C12" s="1179"/>
      <c r="D12" s="1179"/>
      <c r="E12" s="1202"/>
      <c r="F12" s="1179"/>
      <c r="G12" s="66"/>
      <c r="H12" s="66"/>
    </row>
    <row r="13" spans="2:22" ht="12" hidden="1" customHeight="1" x14ac:dyDescent="0.2">
      <c r="B13" s="860" t="s">
        <v>5566</v>
      </c>
      <c r="C13" s="860"/>
      <c r="D13" s="1179"/>
      <c r="E13" s="5081" t="s">
        <v>5567</v>
      </c>
      <c r="F13" s="5081" t="s">
        <v>4718</v>
      </c>
      <c r="G13" s="66"/>
      <c r="H13" s="66"/>
    </row>
    <row r="14" spans="2:22" ht="28.5" hidden="1" customHeight="1" x14ac:dyDescent="0.2">
      <c r="B14" s="860"/>
      <c r="C14" s="860"/>
      <c r="D14" s="1179"/>
      <c r="E14" s="5082"/>
      <c r="F14" s="5082"/>
      <c r="G14" s="66"/>
      <c r="H14" s="66"/>
    </row>
    <row r="15" spans="2:22" ht="12.75" hidden="1" x14ac:dyDescent="0.2">
      <c r="B15" s="860" t="s">
        <v>5568</v>
      </c>
      <c r="C15" s="860"/>
      <c r="D15" s="1528" t="str">
        <f>IF(K1=0,"",IF(E15="",reo&amp;" ",""))</f>
        <v/>
      </c>
      <c r="E15" s="339"/>
      <c r="F15" s="340">
        <f>ROUND(E15*1.5,0)</f>
      </c>
      <c r="G15" s="66"/>
      <c r="H15" s="66"/>
      <c r="I15" s="1634">
        <f>IF(D15="",0,1)</f>
      </c>
    </row>
    <row r="16" spans="2:22" ht="12.75" hidden="1" x14ac:dyDescent="0.2">
      <c r="B16" s="860" t="s">
        <v>5569</v>
      </c>
      <c r="C16" s="860"/>
      <c r="D16" s="1528" t="str">
        <f>IF(K1=0,"",IF(E16="",reo&amp;" ",""))</f>
        <v/>
      </c>
      <c r="E16" s="339"/>
      <c r="F16" s="340">
        <f>ROUND(E16*1.5,0)</f>
      </c>
      <c r="G16" s="66"/>
      <c r="H16" s="66"/>
      <c r="I16" s="1634">
        <f>IF(D16="",0,1)</f>
      </c>
    </row>
    <row r="17" spans="2:20" ht="12.75" hidden="1" x14ac:dyDescent="0.2">
      <c r="B17" s="860" t="s">
        <v>5570</v>
      </c>
      <c r="C17" s="860"/>
      <c r="D17" s="1528" t="str">
        <f>IF(K1=0,"",IF(E17="",reo&amp;" ",""))</f>
        <v/>
      </c>
      <c r="E17" s="339"/>
      <c r="F17" s="340">
        <f>ROUND(E17*1.5,0)</f>
      </c>
      <c r="G17" s="66"/>
      <c r="H17" s="66"/>
      <c r="I17" s="1634">
        <f>IF(D17="",0,1)</f>
      </c>
    </row>
    <row r="18" spans="2:20" ht="12.75" hidden="1" x14ac:dyDescent="0.2">
      <c r="B18" s="860"/>
      <c r="C18" s="860"/>
      <c r="D18" s="1179"/>
      <c r="E18" s="1202"/>
      <c r="F18" s="1179"/>
      <c r="G18" s="66"/>
      <c r="H18" s="66"/>
    </row>
    <row r="19" spans="2:20" ht="12.75" hidden="1" x14ac:dyDescent="0.2">
      <c r="B19" s="860" t="s">
        <v>5571</v>
      </c>
      <c r="C19" s="860"/>
      <c r="D19" s="1179"/>
      <c r="E19" s="340">
        <f>SUM(E15:E17)</f>
      </c>
      <c r="F19" s="340">
        <f>SUM(F15:F17)</f>
      </c>
      <c r="G19" s="66"/>
      <c r="H19" s="66"/>
    </row>
    <row r="20" spans="2:20" ht="12.75" hidden="1" x14ac:dyDescent="0.2">
      <c r="B20" s="1545"/>
      <c r="C20" s="28"/>
      <c r="D20" s="66"/>
      <c r="E20" s="1546"/>
      <c r="F20" s="66"/>
      <c r="G20" s="66"/>
      <c r="H20" s="66"/>
    </row>
    <row r="21" spans="2:20" ht="12.75" hidden="1" x14ac:dyDescent="0.2">
      <c r="B21" s="1515"/>
      <c r="C21" s="1515"/>
      <c r="D21" s="1515"/>
      <c r="E21" s="1515"/>
      <c r="F21" s="1515"/>
      <c r="G21" s="1515"/>
      <c r="H21" s="66"/>
      <c r="I21" s="1634">
        <f>IF(AND(D21="",G21=""),0,1)</f>
      </c>
      <c r="T21" s="1634">
        <f>IF(ya=2013,E19,IF(AND(ya=2014,cur="Euro Currency"),20000,999999999))</f>
      </c>
    </row>
    <row r="22" spans="2:20" ht="12.75" hidden="1" x14ac:dyDescent="0.2">
      <c r="B22" s="28"/>
      <c r="C22" s="28"/>
      <c r="D22" s="66"/>
      <c r="E22" s="1515"/>
      <c r="F22" s="1515"/>
      <c r="G22" s="66"/>
      <c r="H22" s="66"/>
    </row>
    <row r="23" spans="2:20" ht="12.75" hidden="1" x14ac:dyDescent="0.2">
      <c r="B23" s="1547"/>
      <c r="C23" s="1547"/>
      <c r="D23" s="1547"/>
      <c r="E23" s="1547"/>
      <c r="F23" s="1547"/>
      <c r="G23" s="1547"/>
      <c r="H23" s="66"/>
      <c r="I23" s="1634">
        <f>IF(G23="",0,1)</f>
      </c>
      <c r="N23" s="1634">
        <f>IF(E21="",0,F21-F19)</f>
      </c>
    </row>
    <row r="24" spans="2:20" ht="12.75" hidden="1" x14ac:dyDescent="0.2">
      <c r="B24" s="860"/>
      <c r="C24" s="860"/>
      <c r="D24" s="1179"/>
      <c r="E24" s="1529"/>
      <c r="F24" s="1179"/>
      <c r="G24" s="66"/>
      <c r="H24" s="66"/>
    </row>
    <row r="25" spans="2:20" ht="12.75" hidden="1" x14ac:dyDescent="0.2">
      <c r="B25" s="860" t="s">
        <v>4719</v>
      </c>
      <c r="C25" s="860"/>
      <c r="D25" s="1528"/>
      <c r="E25" s="1530"/>
      <c r="F25" s="339"/>
      <c r="G25" s="1515" t="str">
        <f>IF(K1=0,"",IF(F25=""," "&amp;reo,""))</f>
        <v/>
      </c>
      <c r="H25" s="66"/>
      <c r="I25" s="1634">
        <f>IF(D25="",0,1)</f>
      </c>
      <c r="N25" s="1634">
        <f>F19</f>
      </c>
    </row>
    <row r="26" spans="2:20" ht="12.75" hidden="1" x14ac:dyDescent="0.2">
      <c r="B26" s="860"/>
      <c r="C26" s="860"/>
      <c r="D26" s="1179"/>
      <c r="E26" s="1529"/>
      <c r="F26" s="1179"/>
      <c r="G26" s="66"/>
      <c r="H26" s="66"/>
    </row>
    <row r="27" spans="2:20" ht="12.75" hidden="1" x14ac:dyDescent="0.2">
      <c r="B27" s="1179"/>
      <c r="C27" s="1179"/>
      <c r="D27" s="1179"/>
      <c r="E27" s="1179"/>
      <c r="F27" s="1179"/>
      <c r="G27" s="66"/>
      <c r="H27" s="66"/>
      <c r="M27" s="1634" t="s">
        <v>5573</v>
      </c>
      <c r="N27" s="1634" t="s">
        <v>5572</v>
      </c>
    </row>
    <row r="28" spans="2:20" ht="12.75" hidden="1" x14ac:dyDescent="0.2">
      <c r="B28" s="860"/>
      <c r="C28" s="860"/>
      <c r="D28" s="1179"/>
      <c r="E28" s="1202"/>
      <c r="F28" s="1179"/>
      <c r="G28" s="66"/>
      <c r="H28" s="66"/>
    </row>
    <row r="29" spans="2:20" ht="6.75" hidden="1" customHeight="1" x14ac:dyDescent="0.2">
      <c r="B29" s="1179"/>
      <c r="C29" s="1179"/>
      <c r="D29" s="1182"/>
      <c r="E29" s="1179"/>
      <c r="F29" s="1179"/>
      <c r="G29" s="66"/>
      <c r="H29" s="1060"/>
    </row>
    <row r="30" spans="2:20" ht="12.75" hidden="1" x14ac:dyDescent="0.2">
      <c r="B30" s="860"/>
      <c r="C30" s="860"/>
      <c r="D30" s="1179"/>
      <c r="E30" s="1202"/>
      <c r="F30" s="1179"/>
      <c r="G30" s="66"/>
      <c r="H30" s="66"/>
    </row>
    <row r="31" spans="2:20" ht="12.75" hidden="1" x14ac:dyDescent="0.2">
      <c r="B31" s="860"/>
      <c r="C31" s="861" t="s">
        <v>6457</v>
      </c>
      <c r="D31" s="1179"/>
      <c r="E31" s="1407"/>
      <c r="F31" s="1152" t="str">
        <f>IF($K$1=0,"",IF(E31="",re,IF(E31="No"," No deduction!","")))</f>
        <v/>
      </c>
      <c r="G31" s="66"/>
      <c r="H31" s="66"/>
      <c r="I31" s="1634">
        <f>IF(F31="",0,1)</f>
      </c>
    </row>
    <row r="32" spans="2:20" ht="12.75" hidden="1" x14ac:dyDescent="0.2">
      <c r="B32" s="860"/>
      <c r="C32" s="860"/>
      <c r="D32" s="1179"/>
      <c r="E32" s="1202"/>
      <c r="F32" s="1179"/>
      <c r="G32" s="66"/>
      <c r="H32" s="66"/>
    </row>
    <row r="33" spans="1:9" ht="12.75" hidden="1" x14ac:dyDescent="0.2">
      <c r="B33" s="860"/>
      <c r="C33" s="860"/>
      <c r="D33" s="1179"/>
      <c r="E33" s="1202"/>
      <c r="F33" s="1179"/>
      <c r="G33" s="66"/>
      <c r="H33" s="66"/>
    </row>
    <row r="34" spans="1:9" ht="12.75" hidden="1" x14ac:dyDescent="0.2">
      <c r="B34" s="5083" t="s">
        <v>4456</v>
      </c>
      <c r="C34" s="5083"/>
      <c r="D34" s="66"/>
      <c r="E34" s="1407"/>
      <c r="F34" s="1515" t="str">
        <f>IF($K$1=0,"",IF(E34="",re,""))</f>
        <v/>
      </c>
      <c r="G34" s="66"/>
      <c r="H34" s="66"/>
      <c r="I34" s="1634">
        <f>IF(F34="",0,1)</f>
      </c>
    </row>
    <row r="35" spans="1:9" ht="12.75" hidden="1" x14ac:dyDescent="0.2">
      <c r="B35" s="66"/>
      <c r="C35" s="66"/>
      <c r="D35" s="66"/>
      <c r="E35" s="1408"/>
      <c r="F35" s="66"/>
      <c r="G35" s="66"/>
      <c r="H35" s="66"/>
    </row>
    <row r="36" spans="1:9" ht="12.75" hidden="1" x14ac:dyDescent="0.2">
      <c r="A36" s="46" t="s">
        <v>10574</v>
      </c>
      <c r="B36" s="66"/>
      <c r="C36" s="66" t="str">
        <f>ver</f>
        <v>TA2_e-CO_2025_Ver 1.1</v>
      </c>
      <c r="D36" s="66"/>
      <c r="E36" s="1408"/>
      <c r="F36" s="66"/>
      <c r="G36" s="1060" t="s">
        <v>2764</v>
      </c>
      <c r="I36" s="1634">
        <f>SUM(I1:I35)</f>
      </c>
    </row>
    <row r="37" spans="1:9" ht="19.5" hidden="1" customHeight="1" x14ac:dyDescent="0.2">
      <c r="B37" s="1516"/>
      <c r="C37" s="66"/>
      <c r="D37" s="66"/>
      <c r="E37" s="1408"/>
      <c r="F37" s="66"/>
      <c r="G37" s="66"/>
      <c r="H37" s="66"/>
    </row>
    <row r="38" spans="1:9" ht="7.5" hidden="1" customHeight="1" x14ac:dyDescent="0.2">
      <c r="E38" s="31"/>
      <c r="I38" s="1634">
        <f>IF(K1=0,0,IF(I36&lt;&gt;0,100,IF(E34=y,1,100)))</f>
      </c>
    </row>
    <row r="39" spans="1:9" ht="12.75" hidden="1" x14ac:dyDescent="0.2">
      <c r="E39" s="31"/>
    </row>
    <row r="40" spans="1:9" ht="12.75" hidden="1" x14ac:dyDescent="0.2"/>
    <row r="41" spans="1:9" ht="12.75" hidden="1" x14ac:dyDescent="0.2"/>
    <row r="42" spans="1:9" ht="12.75" hidden="1" x14ac:dyDescent="0.2"/>
    <row r="43" spans="1:9" ht="12.75" hidden="1" x14ac:dyDescent="0.2"/>
    <row r="44" spans="1:9" ht="12.75" hidden="1" x14ac:dyDescent="0.2"/>
    <row r="45" spans="1:9" ht="12.75" hidden="1" x14ac:dyDescent="0.2"/>
    <row r="46" spans="1:9" ht="12.75" hidden="1" x14ac:dyDescent="0.2"/>
    <row r="47" spans="1:9" ht="12.75" hidden="1" x14ac:dyDescent="0.2"/>
    <row r="48" spans="1:9" ht="12.75" hidden="1" x14ac:dyDescent="0.2"/>
    <row r="49" ht="12.75" hidden="1" x14ac:dyDescent="0.2"/>
    <row r="50" ht="12.75" hidden="1" x14ac:dyDescent="0.2"/>
    <row r="51" ht="12.75" hidden="1" x14ac:dyDescent="0.2"/>
    <row r="52" ht="12.75" hidden="1" x14ac:dyDescent="0.2"/>
    <row r="53" ht="12.75" hidden="1" x14ac:dyDescent="0.2"/>
    <row r="54" ht="12.75" hidden="1" x14ac:dyDescent="0.2"/>
    <row r="55" ht="12.75" hidden="1" x14ac:dyDescent="0.2"/>
    <row r="56" ht="12.75" hidden="1" x14ac:dyDescent="0.2"/>
    <row r="57" ht="12.75" hidden="1" x14ac:dyDescent="0.2"/>
    <row r="58" ht="12.75" hidden="1" x14ac:dyDescent="0.2"/>
    <row r="59" ht="12.75" hidden="1" x14ac:dyDescent="0.2"/>
    <row r="60" ht="12.75" hidden="1" x14ac:dyDescent="0.2"/>
    <row r="61" ht="12.75" hidden="1" x14ac:dyDescent="0.2"/>
    <row r="62" ht="12.75" hidden="1" x14ac:dyDescent="0.2"/>
    <row r="63" ht="12.75" hidden="1" x14ac:dyDescent="0.2"/>
    <row r="64" ht="12.75" hidden="1" x14ac:dyDescent="0.2"/>
    <row r="65" ht="12.75" hidden="1" x14ac:dyDescent="0.2"/>
    <row r="66" ht="12.75" hidden="1" x14ac:dyDescent="0.2"/>
    <row r="67" ht="12.75" hidden="1" x14ac:dyDescent="0.2"/>
    <row r="68" ht="12.75" hidden="1" x14ac:dyDescent="0.2"/>
    <row r="69" ht="12.75" hidden="1" x14ac:dyDescent="0.2"/>
    <row r="70" ht="12.75" hidden="1" x14ac:dyDescent="0.2"/>
    <row r="71" ht="12.75" hidden="1" x14ac:dyDescent="0.2"/>
    <row r="72" ht="12.75" hidden="1" x14ac:dyDescent="0.2"/>
    <row r="73" ht="12.75" hidden="1" x14ac:dyDescent="0.2"/>
    <row r="74" ht="12.75" hidden="1" x14ac:dyDescent="0.2"/>
    <row r="75" ht="12.75" hidden="1" x14ac:dyDescent="0.2"/>
    <row r="76" ht="12.75" hidden="1" x14ac:dyDescent="0.2"/>
    <row r="77" ht="12.75" hidden="1" x14ac:dyDescent="0.2"/>
    <row r="78" ht="12.75" hidden="1" x14ac:dyDescent="0.2"/>
    <row r="79" ht="12.75" hidden="1" x14ac:dyDescent="0.2"/>
    <row r="80" ht="12.75" hidden="1" x14ac:dyDescent="0.2"/>
    <row r="81" ht="12.75" hidden="1" x14ac:dyDescent="0.2"/>
    <row r="82" ht="12.75" hidden="1" x14ac:dyDescent="0.2"/>
    <row r="83" ht="12.75" hidden="1" x14ac:dyDescent="0.2"/>
    <row r="84" ht="12.75" hidden="1" x14ac:dyDescent="0.2"/>
    <row r="85" ht="12.75" hidden="1" x14ac:dyDescent="0.2"/>
    <row r="86" ht="12.75" hidden="1" x14ac:dyDescent="0.2"/>
    <row r="87" ht="12.75" hidden="1" x14ac:dyDescent="0.2"/>
    <row r="88" ht="12.75" hidden="1" x14ac:dyDescent="0.2"/>
    <row r="89" ht="12.75" hidden="1" x14ac:dyDescent="0.2"/>
    <row r="90" ht="12.75" hidden="1" x14ac:dyDescent="0.2"/>
    <row r="91" ht="12.75" hidden="1" x14ac:dyDescent="0.2"/>
    <row r="92" ht="12.75" hidden="1" x14ac:dyDescent="0.2"/>
    <row r="93" ht="12.75" hidden="1" x14ac:dyDescent="0.2"/>
    <row r="94" ht="12.75" hidden="1" x14ac:dyDescent="0.2"/>
    <row r="95" ht="12.75" hidden="1" x14ac:dyDescent="0.2"/>
    <row r="96" ht="12.75" hidden="1" x14ac:dyDescent="0.2"/>
    <row r="97" spans="2:3" ht="12.75" hidden="1" x14ac:dyDescent="0.2"/>
    <row r="98" spans="2:3" ht="12.75" hidden="1" x14ac:dyDescent="0.2"/>
    <row r="99" spans="2:3" ht="12.75" hidden="1" x14ac:dyDescent="0.2"/>
    <row r="100" spans="2:3" ht="12.75" hidden="1" x14ac:dyDescent="0.2">
      <c r="B100" s="1485"/>
      <c r="C100" s="1485"/>
    </row>
    <row r="101" spans="2:3" ht="12.75" hidden="1" x14ac:dyDescent="0.2">
      <c r="B101" s="1485"/>
      <c r="C101" s="1485"/>
    </row>
    <row r="102" spans="2:3" ht="12.75" hidden="1" x14ac:dyDescent="0.2">
      <c r="B102" s="1485"/>
      <c r="C102" s="1485"/>
    </row>
    <row r="103" spans="2:3" ht="12.75" hidden="1" x14ac:dyDescent="0.2">
      <c r="B103" s="1485"/>
      <c r="C103" s="1485"/>
    </row>
    <row r="104" spans="2:3" ht="12.75" hidden="1" x14ac:dyDescent="0.2">
      <c r="B104" s="1485"/>
      <c r="C104" s="1485"/>
    </row>
    <row r="105" spans="2:3" ht="12.75" hidden="1" x14ac:dyDescent="0.2">
      <c r="B105" s="1485"/>
      <c r="C105" s="1485"/>
    </row>
    <row r="106" spans="2:3" ht="12.75" hidden="1" x14ac:dyDescent="0.2">
      <c r="B106" s="1485"/>
      <c r="C106" s="1485"/>
    </row>
    <row r="107" spans="2:3" ht="12.75" hidden="1" x14ac:dyDescent="0.2">
      <c r="B107" s="1485"/>
      <c r="C107" s="1485"/>
    </row>
    <row r="108" spans="2:3" ht="12.75" hidden="1" x14ac:dyDescent="0.2">
      <c r="B108" s="1485"/>
      <c r="C108" s="1485"/>
    </row>
    <row r="109" spans="2:3" ht="12.75" hidden="1" x14ac:dyDescent="0.2">
      <c r="B109" s="1485"/>
      <c r="C109" s="1485"/>
    </row>
    <row r="110" spans="2:3" ht="12.75" hidden="1" x14ac:dyDescent="0.2">
      <c r="B110" s="1485"/>
      <c r="C110" s="1485"/>
    </row>
    <row r="111" spans="2:3" ht="12.75" hidden="1" x14ac:dyDescent="0.2">
      <c r="B111" s="1485"/>
      <c r="C111" s="1485"/>
    </row>
    <row r="112" spans="2:3" ht="12.75" hidden="1" x14ac:dyDescent="0.2">
      <c r="B112" s="1485"/>
      <c r="C112" s="1485"/>
    </row>
    <row r="113" spans="2:3" ht="12.75" hidden="1" x14ac:dyDescent="0.2">
      <c r="B113" s="1485"/>
      <c r="C113" s="1485"/>
    </row>
    <row r="114" spans="2:3" ht="12.75" hidden="1" x14ac:dyDescent="0.2">
      <c r="B114" s="1485"/>
      <c r="C114" s="1485"/>
    </row>
    <row r="115" spans="2:3" ht="12.75" hidden="1" x14ac:dyDescent="0.2">
      <c r="B115" s="1485"/>
      <c r="C115" s="1485"/>
    </row>
    <row r="116" spans="2:3" ht="12.75" hidden="1" x14ac:dyDescent="0.2">
      <c r="B116" s="1485"/>
      <c r="C116" s="1485"/>
    </row>
    <row r="117" spans="2:3" ht="12.75" hidden="1" x14ac:dyDescent="0.2">
      <c r="B117" s="1485"/>
      <c r="C117" s="1485"/>
    </row>
    <row r="118" spans="2:3" ht="12.75" hidden="1" x14ac:dyDescent="0.2">
      <c r="B118" s="1485"/>
      <c r="C118" s="1485"/>
    </row>
    <row r="119" spans="2:3" ht="12.75" hidden="1" x14ac:dyDescent="0.2">
      <c r="B119" s="1485"/>
      <c r="C119" s="1485"/>
    </row>
    <row r="120" spans="2:3" ht="12.75" hidden="1" x14ac:dyDescent="0.2">
      <c r="B120" s="1485"/>
      <c r="C120" s="1485"/>
    </row>
    <row r="121" spans="2:3" ht="12.75" hidden="1" x14ac:dyDescent="0.2">
      <c r="B121" s="1485"/>
      <c r="C121" s="1485"/>
    </row>
    <row r="122" spans="2:3" ht="12.75" hidden="1" x14ac:dyDescent="0.2">
      <c r="B122" s="1485"/>
      <c r="C122" s="1485"/>
    </row>
    <row r="123" spans="2:3" ht="12.75" hidden="1" x14ac:dyDescent="0.2">
      <c r="B123" s="1485"/>
      <c r="C123" s="1485"/>
    </row>
    <row r="124" spans="2:3" ht="12.75" hidden="1" x14ac:dyDescent="0.2">
      <c r="B124" s="1485"/>
      <c r="C124" s="1485"/>
    </row>
    <row r="125" spans="2:3" ht="12.75" hidden="1" x14ac:dyDescent="0.2">
      <c r="B125" s="1485"/>
      <c r="C125" s="1485"/>
    </row>
    <row r="126" spans="2:3" ht="12.75" hidden="1" x14ac:dyDescent="0.2">
      <c r="B126" s="1485"/>
      <c r="C126" s="1485"/>
    </row>
    <row r="127" spans="2:3" ht="12.75" hidden="1" x14ac:dyDescent="0.2">
      <c r="B127" s="1485"/>
      <c r="C127" s="1485"/>
    </row>
    <row r="128" spans="2:3" ht="12.75" hidden="1" x14ac:dyDescent="0.2">
      <c r="B128" s="1485"/>
      <c r="C128" s="1485"/>
    </row>
    <row r="129" spans="2:3" ht="12.75" hidden="1" x14ac:dyDescent="0.2">
      <c r="B129" s="1485"/>
      <c r="C129" s="1485"/>
    </row>
    <row r="130" spans="2:3" ht="12.75" hidden="1" x14ac:dyDescent="0.2">
      <c r="B130" s="1485"/>
      <c r="C130" s="1485"/>
    </row>
  </sheetData>
  <sheetProtection algorithmName="SHA-512" hashValue="bYU0WVoSz40+csRdeqMah6hrct00xxgGKeS8ww41h5/xIUWPn/+CKB+aJpkqIHNK/DBiztn8tuSmJLo8WVpSgA==" saltValue="yqpwlRHlnHD7vyqVWK5a3g==" spinCount="100000" sheet="1" objects="1" scenarios="1"/>
  <mergeCells count="5">
    <mergeCell ref="B1:F1"/>
    <mergeCell ref="E13:E14"/>
    <mergeCell ref="F13:F14"/>
    <mergeCell ref="B34:C34"/>
    <mergeCell ref="B6:C6"/>
  </mergeCells>
  <phoneticPr fontId="164" type="noConversion"/>
  <dataValidations count="5">
    <dataValidation type="whole" allowBlank="1" showInputMessage="1" showErrorMessage="1" errorTitle="Additional 150% current y/a" error="Please enter a valid positive value that does not exceed the inflated amount!" sqref="F25" xr:uid="{00000000-0002-0000-4100-000000000000}">
      <formula1>0</formula1>
      <formula2>F19</formula2>
    </dataValidation>
    <dataValidation type="date" allowBlank="1" showInputMessage="1" showErrorMessage="1" errorTitle="Date" error="Pl enter the correct date!" sqref="C11" xr:uid="{00000000-0002-0000-4100-000001000000}">
      <formula1>U11</formula1>
      <formula2>V11</formula2>
    </dataValidation>
    <dataValidation type="textLength" allowBlank="1" showInputMessage="1" showErrorMessage="1" errorTitle="Certificate Number" error="Please enter the correct certificate number as issued by the Malta Enterprise!" sqref="C10" xr:uid="{00000000-0002-0000-4100-000002000000}">
      <formula1>3</formula1>
      <formula2>20</formula2>
    </dataValidation>
    <dataValidation type="whole" operator="greaterThanOrEqual" allowBlank="1" showInputMessage="1" showErrorMessage="1" sqref="E15:E17" xr:uid="{00000000-0002-0000-4100-000003000000}">
      <formula1>0</formula1>
    </dataValidation>
    <dataValidation type="list" allowBlank="1" showInputMessage="1" showErrorMessage="1" sqref="E31 E34" xr:uid="{00000000-0002-0000-4100-000004000000}">
      <formula1>yn</formula1>
    </dataValidation>
  </dataValidations>
  <pageMargins left="0.7" right="0.7" top="0.75" bottom="0.75" header="0.3" footer="0.3"/>
  <pageSetup paperSize="9" orientation="landscape" horizontalDpi="4294967293"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2"/>
  <dimension ref="A2:S42"/>
  <sheetViews>
    <sheetView showGridLines="0" topLeftCell="B2" workbookViewId="0">
      <selection activeCell="G18" sqref="G18"/>
    </sheetView>
  </sheetViews>
  <sheetFormatPr defaultColWidth="0" defaultRowHeight="12.75" customHeight="1" zeroHeight="1" x14ac:dyDescent="0.2"/>
  <cols>
    <col min="1" max="1" width="8" style="28" hidden="1" customWidth="1"/>
    <col min="2" max="2" width="1.42578125" style="28" customWidth="1"/>
    <col min="3" max="3" width="20.7109375" style="28" customWidth="1"/>
    <col min="4" max="4" width="28.5703125" style="28" customWidth="1"/>
    <col min="5" max="5" width="12.28515625" style="28" customWidth="1"/>
    <col min="6" max="8" width="11.7109375" style="28" customWidth="1"/>
    <col min="9" max="9" width="12.7109375" style="28" customWidth="1"/>
    <col min="10" max="10" width="19.28515625" style="28" customWidth="1"/>
    <col min="11" max="11" width="2.7109375" style="28" hidden="1" customWidth="1"/>
    <col min="12" max="12" width="4" style="142" hidden="1" customWidth="1"/>
    <col min="13" max="14" width="3.7109375" style="142" hidden="1" customWidth="1"/>
    <col min="15" max="15" width="2" style="142" hidden="1" customWidth="1"/>
    <col min="16" max="16384" width="10.5703125" style="142" hidden="1"/>
  </cols>
  <sheetData>
    <row r="2" spans="3:19" x14ac:dyDescent="0.2">
      <c r="C2" s="5080" t="str">
        <f>_ref1</f>
      </c>
      <c r="D2" s="5080"/>
      <c r="E2" s="5080"/>
      <c r="F2" s="5080"/>
      <c r="G2" s="5080"/>
      <c r="H2" s="5080"/>
      <c r="I2" s="1517" t="str">
        <f>_YA1</f>
      </c>
      <c r="J2" s="1518"/>
      <c r="K2" s="1518"/>
    </row>
    <row r="3" spans="3:19" x14ac:dyDescent="0.2">
      <c r="K3" s="1518"/>
      <c r="Q3" s="142" t="s">
        <v>3196</v>
      </c>
    </row>
    <row r="4" spans="3:19" ht="15" x14ac:dyDescent="0.2">
      <c r="C4" s="1632" t="s">
        <v>3197</v>
      </c>
      <c r="D4" s="1534"/>
      <c r="E4" s="1534"/>
      <c r="F4" s="1534"/>
      <c r="G4" s="1534"/>
      <c r="H4" s="1534"/>
      <c r="I4" s="1535"/>
      <c r="J4" s="30"/>
      <c r="K4" s="1518"/>
      <c r="Q4" s="142" t="s">
        <v>3198</v>
      </c>
    </row>
    <row r="5" spans="3:19" ht="15" x14ac:dyDescent="0.2">
      <c r="C5" s="1633" t="s">
        <v>3199</v>
      </c>
      <c r="D5" s="1536"/>
      <c r="E5" s="1536"/>
      <c r="F5" s="1536"/>
      <c r="G5" s="1536"/>
      <c r="H5" s="1536"/>
      <c r="I5" s="1537"/>
      <c r="J5" s="30"/>
      <c r="K5" s="1518"/>
      <c r="Q5" s="142" t="s">
        <v>3200</v>
      </c>
    </row>
    <row r="6" spans="3:19" ht="3" customHeight="1" x14ac:dyDescent="0.2">
      <c r="J6" s="30"/>
      <c r="K6" s="1518"/>
    </row>
    <row r="7" spans="3:19" ht="15" x14ac:dyDescent="0.2">
      <c r="C7" s="559" t="s">
        <v>18</v>
      </c>
      <c r="D7" s="1538"/>
      <c r="E7" s="1538"/>
      <c r="F7" s="1538"/>
      <c r="G7" s="1538"/>
      <c r="H7" s="1538"/>
      <c r="I7" s="1539"/>
      <c r="J7" s="30"/>
      <c r="K7" s="1518"/>
      <c r="L7" s="142">
        <f>IF(J7="",0,1)</f>
      </c>
    </row>
    <row r="8" spans="3:19" ht="3" customHeight="1" x14ac:dyDescent="0.2">
      <c r="C8" s="860"/>
      <c r="D8" s="860"/>
      <c r="E8" s="860"/>
      <c r="F8" s="860"/>
      <c r="G8" s="860"/>
      <c r="H8" s="860"/>
      <c r="I8" s="860"/>
      <c r="K8" s="1518"/>
    </row>
    <row r="9" spans="3:19" x14ac:dyDescent="0.2">
      <c r="C9" s="5088" t="s">
        <v>3201</v>
      </c>
      <c r="D9" s="5088"/>
      <c r="E9" s="5088"/>
      <c r="F9" s="5088"/>
      <c r="G9" s="5088"/>
      <c r="H9" s="1540"/>
      <c r="I9" s="288"/>
      <c r="J9" s="30" t="str">
        <f>IF(N11=0,"",IF(ISBLANK(I9),re,IF(O21=0,"",IF(O21&lt;&gt;I9,"Check!",""))))</f>
        <v/>
      </c>
      <c r="K9" s="1518"/>
      <c r="L9" s="142">
        <f>IF(J9="",0,1)</f>
      </c>
      <c r="M9" s="142">
        <f>COUNTA(I9,I11)</f>
      </c>
      <c r="R9" s="142">
        <v>150</v>
      </c>
      <c r="S9" s="142">
        <v>100000</v>
      </c>
    </row>
    <row r="10" spans="3:19" ht="3" customHeight="1" x14ac:dyDescent="0.2">
      <c r="C10" s="1540"/>
      <c r="D10" s="1540"/>
      <c r="E10" s="1540"/>
      <c r="F10" s="1540"/>
      <c r="G10" s="1540"/>
      <c r="H10" s="1540"/>
      <c r="I10" s="1540"/>
      <c r="J10" s="30"/>
      <c r="K10" s="1518"/>
    </row>
    <row r="11" spans="3:19" x14ac:dyDescent="0.2">
      <c r="C11" s="1212" t="s">
        <v>2206</v>
      </c>
      <c r="D11" s="1212"/>
      <c r="E11" s="1212"/>
      <c r="F11" s="1212"/>
      <c r="G11" s="1212"/>
      <c r="H11" s="1212"/>
      <c r="I11" s="331"/>
      <c r="J11" s="1541" t="str">
        <f>IF(I9="","",IF(ISBLANK(I11),re,IF(I11=S$14,"No deduction!","")))</f>
        <v/>
      </c>
      <c r="K11" s="1518"/>
      <c r="L11" s="142">
        <f>IF(J11=re,1,0)</f>
      </c>
      <c r="N11" s="142">
        <f>COUNTA(C14:H21)</f>
      </c>
      <c r="P11" s="142">
        <f>M9+N11</f>
      </c>
    </row>
    <row r="12" spans="3:19" ht="3" customHeight="1" x14ac:dyDescent="0.2">
      <c r="C12" s="860"/>
      <c r="D12" s="860"/>
      <c r="E12" s="860"/>
      <c r="F12" s="860"/>
      <c r="G12" s="860"/>
      <c r="H12" s="860"/>
      <c r="I12" s="860"/>
      <c r="K12" s="1518"/>
    </row>
    <row r="13" spans="3:19" ht="63.75" x14ac:dyDescent="0.2">
      <c r="C13" s="5089" t="s">
        <v>3202</v>
      </c>
      <c r="D13" s="5090"/>
      <c r="E13" s="752" t="s">
        <v>4736</v>
      </c>
      <c r="F13" s="752" t="s">
        <v>6933</v>
      </c>
      <c r="G13" s="752" t="s">
        <v>3203</v>
      </c>
      <c r="H13" s="752" t="s">
        <v>3204</v>
      </c>
      <c r="I13" s="752" t="s">
        <v>3205</v>
      </c>
      <c r="K13" s="1518"/>
      <c r="Q13" s="142" t="s">
        <v>3206</v>
      </c>
      <c r="S13" s="142" t="s">
        <v>4457</v>
      </c>
    </row>
    <row r="14" spans="3:19" ht="12.75" customHeight="1" x14ac:dyDescent="0.2">
      <c r="C14" s="5087"/>
      <c r="D14" s="5087"/>
      <c r="E14" s="201"/>
      <c r="F14" s="202"/>
      <c r="G14" s="339"/>
      <c r="H14" s="1542"/>
      <c r="I14" s="1543" t="str">
        <f t="shared" ref="I14:I21" si="0">IF(G14="","",IF(G14&lt;min,0,IF(AND(G14&gt;=min,G14&lt;=_max1),G14,IF(G14&gt;_max1,_max1))))</f>
        <v/>
      </c>
      <c r="J14" s="30" t="str">
        <f t="shared" ref="J14:J21" si="1">IF($I$9&lt;Q14,"",IF(AND($I$9&gt;=Q14,M14=0),re,IF(M14&lt;&gt;4,"&lt;All data!",IF(P14=0,reo,""))))</f>
        <v/>
      </c>
      <c r="K14" s="1518"/>
      <c r="L14" s="142">
        <f t="shared" ref="L14:L21" si="2">IF(J14="",0,1)</f>
      </c>
      <c r="M14" s="142">
        <f>COUNTA(C14:G14)</f>
      </c>
      <c r="N14" s="142">
        <f>IF(M14=0,0,1)</f>
      </c>
      <c r="P14" s="142">
        <f>COUNT(H14)</f>
      </c>
      <c r="Q14" s="142">
        <v>1</v>
      </c>
      <c r="S14" s="142" t="s">
        <v>1736</v>
      </c>
    </row>
    <row r="15" spans="3:19" ht="12.75" customHeight="1" x14ac:dyDescent="0.2">
      <c r="C15" s="5087"/>
      <c r="D15" s="5087"/>
      <c r="E15" s="201"/>
      <c r="F15" s="202"/>
      <c r="G15" s="339"/>
      <c r="H15" s="1542"/>
      <c r="I15" s="1543" t="str">
        <f t="shared" si="0"/>
        <v/>
      </c>
      <c r="J15" s="30" t="str">
        <f t="shared" si="1"/>
        <v/>
      </c>
      <c r="K15" s="1518"/>
      <c r="L15" s="142">
        <f t="shared" si="2"/>
        <v>0</v>
      </c>
      <c r="M15" s="142">
        <f t="shared" ref="M15:M21" si="3">COUNTA(C15:G15)</f>
      </c>
      <c r="N15" s="142">
        <f t="shared" ref="N15:N21" si="4">IF(M15=0,0,1)</f>
      </c>
      <c r="P15" s="142">
        <f t="shared" ref="P15:P21" si="5">COUNT(H15)</f>
      </c>
      <c r="Q15" s="142">
        <v>2</v>
      </c>
    </row>
    <row r="16" spans="3:19" ht="12.75" customHeight="1" x14ac:dyDescent="0.2">
      <c r="C16" s="5087"/>
      <c r="D16" s="5087"/>
      <c r="E16" s="201"/>
      <c r="F16" s="202"/>
      <c r="G16" s="339"/>
      <c r="H16" s="1542"/>
      <c r="I16" s="1543" t="str">
        <f t="shared" si="0"/>
        <v/>
      </c>
      <c r="J16" s="30" t="str">
        <f t="shared" si="1"/>
        <v/>
      </c>
      <c r="K16" s="1518"/>
      <c r="L16" s="142">
        <f t="shared" si="2"/>
        <v>0</v>
      </c>
      <c r="M16" s="142">
        <f t="shared" si="3"/>
        <v>0</v>
      </c>
      <c r="N16" s="142">
        <f t="shared" si="4"/>
        <v>0</v>
      </c>
      <c r="P16" s="142">
        <f t="shared" si="5"/>
        <v>0</v>
      </c>
      <c r="Q16" s="142">
        <v>3</v>
      </c>
    </row>
    <row r="17" spans="3:17" ht="12.75" customHeight="1" x14ac:dyDescent="0.2">
      <c r="C17" s="5087"/>
      <c r="D17" s="5087"/>
      <c r="E17" s="201"/>
      <c r="F17" s="202"/>
      <c r="G17" s="339"/>
      <c r="H17" s="1542"/>
      <c r="I17" s="1543" t="str">
        <f t="shared" si="0"/>
        <v/>
      </c>
      <c r="J17" s="30" t="str">
        <f t="shared" si="1"/>
        <v/>
      </c>
      <c r="K17" s="1518"/>
      <c r="L17" s="142">
        <f t="shared" si="2"/>
        <v>0</v>
      </c>
      <c r="M17" s="142">
        <f t="shared" si="3"/>
        <v>0</v>
      </c>
      <c r="N17" s="142">
        <f t="shared" si="4"/>
        <v>0</v>
      </c>
      <c r="P17" s="142">
        <f t="shared" si="5"/>
        <v>0</v>
      </c>
      <c r="Q17" s="142">
        <v>4</v>
      </c>
    </row>
    <row r="18" spans="3:17" ht="12.75" customHeight="1" x14ac:dyDescent="0.2">
      <c r="C18" s="5087"/>
      <c r="D18" s="5087"/>
      <c r="E18" s="201"/>
      <c r="F18" s="202"/>
      <c r="G18" s="339"/>
      <c r="H18" s="1542"/>
      <c r="I18" s="1543" t="str">
        <f t="shared" si="0"/>
        <v/>
      </c>
      <c r="J18" s="30" t="str">
        <f t="shared" si="1"/>
        <v/>
      </c>
      <c r="K18" s="1518"/>
      <c r="L18" s="142">
        <f t="shared" si="2"/>
        <v>0</v>
      </c>
      <c r="M18" s="142">
        <f t="shared" si="3"/>
        <v>0</v>
      </c>
      <c r="N18" s="142">
        <f t="shared" si="4"/>
        <v>0</v>
      </c>
      <c r="P18" s="142">
        <f t="shared" si="5"/>
        <v>0</v>
      </c>
      <c r="Q18" s="142">
        <v>5</v>
      </c>
    </row>
    <row r="19" spans="3:17" ht="12.75" customHeight="1" x14ac:dyDescent="0.2">
      <c r="C19" s="5087"/>
      <c r="D19" s="5087"/>
      <c r="E19" s="201"/>
      <c r="F19" s="202"/>
      <c r="G19" s="339"/>
      <c r="H19" s="1542"/>
      <c r="I19" s="1543" t="str">
        <f t="shared" si="0"/>
        <v/>
      </c>
      <c r="J19" s="30" t="str">
        <f t="shared" si="1"/>
        <v/>
      </c>
      <c r="K19" s="1518"/>
      <c r="L19" s="142">
        <f t="shared" si="2"/>
        <v>0</v>
      </c>
      <c r="M19" s="142">
        <f t="shared" si="3"/>
        <v>0</v>
      </c>
      <c r="N19" s="142">
        <f t="shared" si="4"/>
        <v>0</v>
      </c>
      <c r="P19" s="142">
        <f t="shared" si="5"/>
        <v>0</v>
      </c>
      <c r="Q19" s="142">
        <v>6</v>
      </c>
    </row>
    <row r="20" spans="3:17" ht="12.75" customHeight="1" x14ac:dyDescent="0.2">
      <c r="C20" s="5087"/>
      <c r="D20" s="5087"/>
      <c r="E20" s="201"/>
      <c r="F20" s="202"/>
      <c r="G20" s="339"/>
      <c r="H20" s="1542"/>
      <c r="I20" s="1543" t="str">
        <f t="shared" si="0"/>
        <v/>
      </c>
      <c r="J20" s="30" t="str">
        <f t="shared" si="1"/>
        <v/>
      </c>
      <c r="K20" s="1518"/>
      <c r="L20" s="142">
        <f t="shared" si="2"/>
        <v>0</v>
      </c>
      <c r="M20" s="142">
        <f t="shared" si="3"/>
        <v>0</v>
      </c>
      <c r="N20" s="142">
        <f t="shared" si="4"/>
        <v>0</v>
      </c>
      <c r="P20" s="142">
        <f t="shared" si="5"/>
        <v>0</v>
      </c>
      <c r="Q20" s="142">
        <v>7</v>
      </c>
    </row>
    <row r="21" spans="3:17" x14ac:dyDescent="0.2">
      <c r="C21" s="5087"/>
      <c r="D21" s="5087"/>
      <c r="E21" s="201"/>
      <c r="F21" s="202"/>
      <c r="G21" s="339"/>
      <c r="H21" s="1542"/>
      <c r="I21" s="1543" t="str">
        <f t="shared" si="0"/>
        <v/>
      </c>
      <c r="J21" s="30" t="str">
        <f t="shared" si="1"/>
        <v/>
      </c>
      <c r="K21" s="1518"/>
      <c r="L21" s="142">
        <f t="shared" si="2"/>
        <v>0</v>
      </c>
      <c r="M21" s="142">
        <f t="shared" si="3"/>
        <v>0</v>
      </c>
      <c r="N21" s="142">
        <f t="shared" si="4"/>
        <v>0</v>
      </c>
      <c r="O21" s="142">
        <f>SUM(N14:N21)</f>
      </c>
      <c r="P21" s="142">
        <f t="shared" si="5"/>
        <v>0</v>
      </c>
      <c r="Q21" s="142">
        <v>8</v>
      </c>
    </row>
    <row r="22" spans="3:17" x14ac:dyDescent="0.2">
      <c r="C22" s="559" t="s">
        <v>1013</v>
      </c>
      <c r="D22" s="128"/>
      <c r="E22" s="1544"/>
      <c r="F22" s="5085" t="str">
        <f>IF(O21&lt;&gt;I9,"Check number of donations!  ","")</f>
        <v/>
      </c>
      <c r="G22" s="5086"/>
      <c r="H22" s="340">
        <f>SUM(H14:H21)</f>
      </c>
      <c r="I22" s="340">
        <f>IF(M22=1,0,IF(L25&lt;&gt;0,0,SUM(I14:I21)))</f>
      </c>
      <c r="J22" s="1519" t="s">
        <v>3130</v>
      </c>
      <c r="K22" s="1518"/>
      <c r="L22" s="142">
        <f>IF(F22="",0,1)</f>
      </c>
      <c r="M22" s="142">
        <f>IF(I11=S14,1,0)</f>
      </c>
    </row>
    <row r="23" spans="3:17" x14ac:dyDescent="0.2">
      <c r="K23" s="1518"/>
    </row>
    <row r="24" spans="3:17" ht="6" customHeight="1" x14ac:dyDescent="0.2">
      <c r="K24" s="1518"/>
    </row>
    <row r="25" spans="3:17" x14ac:dyDescent="0.2">
      <c r="C25" s="66" t="str">
        <f>_xlfn.SINGLE(MTCA)</f>
      </c>
      <c r="E25" s="66" t="str">
        <f>ver</f>
        <v>TA2_e-CO_2025_Ver 1.1</v>
      </c>
      <c r="I25" s="1517" t="s">
        <v>3207</v>
      </c>
      <c r="K25" s="1518"/>
      <c r="L25" s="142">
        <f>SUM(L14:L21)</f>
      </c>
      <c r="M25" s="142">
        <f>IF(I11=S14,1,0)</f>
      </c>
    </row>
    <row r="26" spans="3:17" ht="7.5" customHeight="1" x14ac:dyDescent="0.2">
      <c r="K26" s="1518"/>
    </row>
    <row r="27" spans="3:17" x14ac:dyDescent="0.2">
      <c r="E27" s="418" t="str">
        <f>COM</f>
      </c>
      <c r="F27" s="331"/>
      <c r="G27" s="30" t="str">
        <f>IF(P11=0,"",IF(F27="",re,""))</f>
        <v/>
      </c>
      <c r="K27" s="1518"/>
      <c r="L27" s="142">
        <f>IF(G27="",0,1)</f>
      </c>
    </row>
    <row r="28" spans="3:17" ht="4.5" customHeight="1" x14ac:dyDescent="0.2">
      <c r="K28" s="1518"/>
    </row>
    <row r="29" spans="3:17" x14ac:dyDescent="0.2">
      <c r="C29" s="4418" t="s">
        <v>1700</v>
      </c>
      <c r="D29" s="4418"/>
      <c r="K29" s="1518"/>
      <c r="L29" s="142">
        <f>SUM(L7:L27)</f>
      </c>
    </row>
    <row r="30" spans="3:17" x14ac:dyDescent="0.2">
      <c r="K30" s="1518"/>
      <c r="L30" s="142">
        <f>IF(P11=0,0,IF(L29&gt;0,100,1))</f>
      </c>
    </row>
    <row r="32" spans="3:17" ht="3.75" hidden="1" customHeight="1" x14ac:dyDescent="0.2"/>
    <row r="38" ht="3" hidden="1" customHeight="1" x14ac:dyDescent="0.2"/>
    <row r="40" ht="57" hidden="1" customHeight="1" x14ac:dyDescent="0.2"/>
    <row r="42" ht="14.25" hidden="1" customHeight="1" x14ac:dyDescent="0.2"/>
  </sheetData>
  <sheetProtection algorithmName="SHA-512" hashValue="0+yeR3ZeD03cGMxAgN/VXHH1rcm8GdGPcXpAd2SqppCBDfVb5xK/lRsONkqQgBGn+jAwqHyRlOlnx77+UJJ79w==" saltValue="4/hZHmmdMJ6JsRlqCH5XsQ==" spinCount="100000" sheet="1" objects="1" scenarios="1"/>
  <mergeCells count="13">
    <mergeCell ref="C17:D17"/>
    <mergeCell ref="C2:H2"/>
    <mergeCell ref="C9:G9"/>
    <mergeCell ref="C13:D13"/>
    <mergeCell ref="C14:D14"/>
    <mergeCell ref="C15:D15"/>
    <mergeCell ref="C16:D16"/>
    <mergeCell ref="F22:G22"/>
    <mergeCell ref="C29:D29"/>
    <mergeCell ref="C18:D18"/>
    <mergeCell ref="C19:D19"/>
    <mergeCell ref="C20:D20"/>
    <mergeCell ref="C21:D21"/>
  </mergeCells>
  <phoneticPr fontId="170" type="noConversion"/>
  <conditionalFormatting sqref="J11">
    <cfRule type="cellIs" dxfId="448" priority="1" stopIfTrue="1" operator="equal">
      <formula>re</formula>
    </cfRule>
  </conditionalFormatting>
  <dataValidations count="7">
    <dataValidation type="whole" operator="greaterThan" allowBlank="1" showInputMessage="1" showErrorMessage="1" errorTitle="Number of entities" error="Please enter a positive whole number!" sqref="I9" xr:uid="{00000000-0002-0000-4200-000000000000}">
      <formula1>0</formula1>
    </dataValidation>
    <dataValidation operator="greaterThanOrEqual" allowBlank="1" showInputMessage="1" showErrorMessage="1" errorTitle="Amount of donation under Rule 3" error="Please enter a positive whole number! _x000a_OR_x000a_Cannot be less than Lm1,000!" sqref="G14:I21" xr:uid="{00000000-0002-0000-4200-000001000000}"/>
    <dataValidation type="list" allowBlank="1" showInputMessage="1" showErrorMessage="1" sqref="C14:D21" xr:uid="{00000000-0002-0000-4200-000002000000}">
      <formula1>$Q$2:$Q$5</formula1>
    </dataValidation>
    <dataValidation type="textLength" errorStyle="warning" operator="greaterThanOrEqual" allowBlank="1" showInputMessage="1" showErrorMessage="1" errorTitle="Certificate Reference" error="Please enter the correct reference!" sqref="E14:E21" xr:uid="{00000000-0002-0000-4200-000003000000}">
      <formula1>4</formula1>
    </dataValidation>
    <dataValidation type="list" allowBlank="1" showInputMessage="1" showErrorMessage="1" sqref="F27" xr:uid="{00000000-0002-0000-4200-000004000000}">
      <formula1>$S$12:$S$14</formula1>
    </dataValidation>
    <dataValidation type="list" allowBlank="1" showInputMessage="1" showErrorMessage="1" sqref="I11" xr:uid="{00000000-0002-0000-4200-000005000000}">
      <formula1>yn</formula1>
    </dataValidation>
    <dataValidation type="date" allowBlank="1" showInputMessage="1" showErrorMessage="1" errorTitle="Date" error="Date that must be within the current year of assessment!" promptTitle="Date format" prompt="dd/mm/yyyy" sqref="F14:F21" xr:uid="{00000000-0002-0000-4200-000006000000}">
      <formula1>DATE(ya-2,1,1)</formula1>
      <formula2>DATE(ya-1,12,31)</formula2>
    </dataValidation>
  </dataValidations>
  <hyperlinks>
    <hyperlink ref="C29" location="Index!A1" display="BACK TO INDEX" xr:uid="{00000000-0004-0000-4200-000000000000}"/>
    <hyperlink ref="J22" location="TRA60!C45" display="TRA 60" xr:uid="{00000000-0004-0000-4200-000001000000}"/>
  </hyperlinks>
  <pageMargins left="0.70866141732283472" right="0.70866141732283472" top="0.74803149606299213" bottom="0.74803149606299213" header="0.31496062992125984" footer="0.31496062992125984"/>
  <pageSetup paperSize="9" orientation="landscape" r:id="rId1"/>
  <headerFooter>
    <oddFooter>&amp;LName&amp;CSignature&amp;RDate</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6"/>
  <dimension ref="A1:AI43"/>
  <sheetViews>
    <sheetView showGridLines="0" topLeftCell="XFD1048576" workbookViewId="0">
      <selection activeCell="A11" sqref="A1:XFD1048576"/>
    </sheetView>
  </sheetViews>
  <sheetFormatPr defaultColWidth="0" defaultRowHeight="12.75" zeroHeight="1" x14ac:dyDescent="0.2"/>
  <cols>
    <col min="1" max="1" width="4.28515625" style="28" hidden="1" customWidth="1"/>
    <col min="2" max="2" width="31.28515625" style="28" hidden="1" customWidth="1"/>
    <col min="3" max="3" width="4.28515625" style="28" hidden="1" customWidth="1"/>
    <col min="4" max="4" width="10.28515625" style="28" hidden="1" customWidth="1"/>
    <col min="5" max="8" width="10.7109375" style="28" hidden="1" customWidth="1"/>
    <col min="9" max="9" width="0.5703125" style="28" hidden="1" customWidth="1"/>
    <col min="10" max="10" width="17.5703125" style="28" hidden="1" customWidth="1"/>
    <col min="11" max="12" width="3" style="1650" hidden="1" customWidth="1"/>
    <col min="13" max="14" width="4.7109375" style="1650" hidden="1" customWidth="1"/>
    <col min="15" max="15" width="8.7109375" style="1650" hidden="1" customWidth="1"/>
    <col min="16" max="16" width="5.7109375" style="1650" hidden="1" customWidth="1"/>
    <col min="17" max="17" width="9.7109375" style="1650" hidden="1" customWidth="1"/>
    <col min="18" max="18" width="10.42578125" style="1650" hidden="1" customWidth="1"/>
    <col min="19" max="19" width="10.28515625" style="1650" hidden="1" customWidth="1"/>
    <col min="20" max="20" width="12" style="1650" hidden="1" customWidth="1"/>
    <col min="21" max="21" width="8.42578125" style="1650" hidden="1" customWidth="1"/>
    <col min="22" max="22" width="10.28515625" style="1650" hidden="1" customWidth="1"/>
    <col min="23" max="23" width="11.7109375" style="1650" hidden="1" customWidth="1"/>
    <col min="24" max="16384" width="0" style="1650" hidden="1"/>
  </cols>
  <sheetData>
    <row r="1" spans="1:35" hidden="1" x14ac:dyDescent="0.2">
      <c r="A1" s="5080" t="str">
        <f>_ref1</f>
      </c>
      <c r="B1" s="5080"/>
      <c r="C1" s="5080"/>
      <c r="D1" s="5080"/>
      <c r="E1" s="5080"/>
      <c r="F1" s="5080"/>
      <c r="G1" s="5080"/>
      <c r="H1" s="1517" t="str">
        <f>_YA1</f>
      </c>
      <c r="I1" s="69"/>
      <c r="J1" s="1517"/>
      <c r="R1" s="1650" t="s">
        <v>3989</v>
      </c>
    </row>
    <row r="2" spans="1:35" hidden="1" x14ac:dyDescent="0.2">
      <c r="R2" s="1650" t="s">
        <v>3445</v>
      </c>
      <c r="S2" s="1650" t="s">
        <v>3990</v>
      </c>
      <c r="T2" s="1650" t="s">
        <v>3991</v>
      </c>
      <c r="V2" s="1650" t="s">
        <v>3992</v>
      </c>
    </row>
    <row r="3" spans="1:35" hidden="1" x14ac:dyDescent="0.2">
      <c r="A3" s="28" t="s">
        <v>3447</v>
      </c>
      <c r="B3" s="28" t="s">
        <v>3448</v>
      </c>
      <c r="D3" s="32">
        <v>500000</v>
      </c>
      <c r="R3" s="1650" t="s">
        <v>3449</v>
      </c>
      <c r="S3" s="1650" t="s">
        <v>3993</v>
      </c>
    </row>
    <row r="4" spans="1:35" hidden="1" x14ac:dyDescent="0.2">
      <c r="B4" s="139" t="s">
        <v>3451</v>
      </c>
      <c r="C4" s="139"/>
      <c r="D4" s="32">
        <v>25000</v>
      </c>
    </row>
    <row r="6" spans="1:35" ht="14.25" hidden="1" x14ac:dyDescent="0.2">
      <c r="B6" s="1635" t="s">
        <v>3452</v>
      </c>
      <c r="C6" s="1658"/>
      <c r="D6" s="1658"/>
      <c r="E6" s="1658"/>
      <c r="F6" s="1658"/>
      <c r="G6" s="1658"/>
      <c r="H6" s="1659"/>
      <c r="P6" s="1650" t="s">
        <v>3994</v>
      </c>
      <c r="Q6" s="1650">
        <f>ya</f>
      </c>
    </row>
    <row r="7" spans="1:35" ht="14.25" hidden="1" x14ac:dyDescent="0.2">
      <c r="B7" s="1660" t="s">
        <v>3995</v>
      </c>
      <c r="C7" s="1661"/>
      <c r="D7" s="1661"/>
      <c r="E7" s="1661"/>
      <c r="F7" s="1661"/>
      <c r="G7" s="1661"/>
      <c r="H7" s="1662"/>
    </row>
    <row r="8" spans="1:35" ht="14.25" hidden="1" x14ac:dyDescent="0.2">
      <c r="B8" s="1636" t="s">
        <v>3996</v>
      </c>
      <c r="C8" s="1663"/>
      <c r="D8" s="1663"/>
      <c r="E8" s="1663"/>
      <c r="F8" s="1663"/>
      <c r="G8" s="1663"/>
      <c r="H8" s="1664"/>
    </row>
    <row r="9" spans="1:35" hidden="1" x14ac:dyDescent="0.2">
      <c r="R9" s="1650" t="s">
        <v>3997</v>
      </c>
    </row>
    <row r="10" spans="1:35" ht="24" hidden="1" customHeight="1" x14ac:dyDescent="0.2">
      <c r="B10" s="1651" t="s">
        <v>3998</v>
      </c>
      <c r="C10" s="1651"/>
      <c r="D10" s="5091"/>
      <c r="E10" s="5091"/>
      <c r="F10" s="5091"/>
      <c r="G10" s="5091"/>
      <c r="H10" s="5091"/>
      <c r="J10" s="1652" t="str">
        <f>IF($O$10=0,"",IF(D10="",re,""))</f>
        <v/>
      </c>
      <c r="L10" s="1650">
        <f>IF(J10&lt;&gt;"",1,0)</f>
      </c>
      <c r="M10" s="1650">
        <f>IF(D10="",0,1)</f>
      </c>
      <c r="O10" s="1650">
        <f>COUNTA(D10,E12,E13,E16:G19,H25,H29,H34)</f>
      </c>
      <c r="R10" s="1650" t="s">
        <v>3999</v>
      </c>
      <c r="T10" s="1650" t="str">
        <f>IF(ISBLANK(D10)=TRUE,"",IF(D10="Buildings falling within an UCA", 0,1))</f>
        <v/>
      </c>
    </row>
    <row r="12" spans="1:35" hidden="1" x14ac:dyDescent="0.2">
      <c r="B12" s="139"/>
      <c r="C12" s="139"/>
      <c r="D12" s="139" t="s">
        <v>4000</v>
      </c>
      <c r="E12" s="288"/>
      <c r="F12" s="1653" t="str">
        <f>IF($O$10=0,"",IF(E12="",re,""))</f>
        <v/>
      </c>
      <c r="L12" s="1650">
        <f>IF(F12&lt;&gt;"",1,0)</f>
      </c>
      <c r="M12" s="1650">
        <f>IF(E12="",0,1)</f>
      </c>
    </row>
    <row r="13" spans="1:35" hidden="1" x14ac:dyDescent="0.2">
      <c r="B13" s="139"/>
      <c r="C13" s="139"/>
      <c r="D13" s="139" t="s">
        <v>4001</v>
      </c>
      <c r="E13" s="202"/>
      <c r="F13" s="1547" t="str">
        <f>IF($O$10=0,"",IF(E13="",re,""))</f>
        <v/>
      </c>
      <c r="L13" s="1650">
        <f>IF(F13&lt;&gt;"",1,0)</f>
      </c>
      <c r="M13" s="1650">
        <f>IF(E13="",0,1)</f>
      </c>
      <c r="R13" s="1650">
        <v>40909</v>
      </c>
      <c r="S13" s="1650">
        <f>DATE(ya-1,12,31)</f>
      </c>
    </row>
    <row r="14" spans="1:35" hidden="1" x14ac:dyDescent="0.2">
      <c r="B14" s="139"/>
      <c r="C14" s="139"/>
      <c r="J14" s="1652"/>
    </row>
    <row r="15" spans="1:35" ht="36" hidden="1" x14ac:dyDescent="0.2">
      <c r="B15" s="139"/>
      <c r="C15" s="139"/>
      <c r="E15" s="1418" t="s">
        <v>4002</v>
      </c>
      <c r="F15" s="1418" t="s">
        <v>4003</v>
      </c>
      <c r="G15" s="1418" t="s">
        <v>4004</v>
      </c>
      <c r="H15" s="1418" t="s">
        <v>6940</v>
      </c>
      <c r="J15" s="1652"/>
      <c r="M15" s="1650">
        <v>2014</v>
      </c>
      <c r="N15" s="1650">
        <v>2015</v>
      </c>
      <c r="O15" s="1650">
        <v>2016</v>
      </c>
      <c r="Q15" s="1650" t="s">
        <v>4005</v>
      </c>
      <c r="R15" s="1650" t="s">
        <v>4006</v>
      </c>
      <c r="S15" s="1650" t="s">
        <v>4007</v>
      </c>
      <c r="T15" s="1650" t="s">
        <v>6940</v>
      </c>
      <c r="AC15" s="1650">
        <v>2014</v>
      </c>
      <c r="AD15" s="1650">
        <v>2015</v>
      </c>
      <c r="AE15" s="1650">
        <v>2016</v>
      </c>
    </row>
    <row r="16" spans="1:35" hidden="1" x14ac:dyDescent="0.2">
      <c r="B16" s="62" t="s">
        <v>4008</v>
      </c>
      <c r="C16" s="139"/>
      <c r="E16" s="334"/>
      <c r="F16" s="334"/>
      <c r="G16" s="334"/>
      <c r="H16" s="346">
        <f>IF(J16&lt;&gt;"",0,T16)</f>
      </c>
      <c r="J16" s="1653" t="str">
        <f>IF($O$10=0,"",IF(AND($Q$6=2014,M16=0),reo,IF(AND($Q$6=2015,SUM(M16:N16)&lt;&gt;2),reo,IF(AND($Q$6&gt;=2016,SUM(M16:O16)&lt;&gt;3),reo,IF(AF16&lt;&gt;0,"Delete!","")))))</f>
        <v/>
      </c>
      <c r="L16" s="1650">
        <f>IF(J16&lt;&gt;"",1,0)</f>
      </c>
      <c r="M16" s="1650">
        <f t="shared" ref="M16:O19" si="0">IF(E16="",0,1)</f>
      </c>
      <c r="N16" s="1650">
        <f t="shared" si="0"/>
        <v>0</v>
      </c>
      <c r="O16" s="1650">
        <f t="shared" si="0"/>
        <v>0</v>
      </c>
      <c r="P16" s="1650">
        <f>SUM(M16:O16)</f>
      </c>
      <c r="Q16" s="1650">
        <f t="shared" ref="Q16:S19" si="1">E16</f>
      </c>
      <c r="R16" s="1650">
        <f t="shared" si="1"/>
        <v>0</v>
      </c>
      <c r="S16" s="1650">
        <f t="shared" si="1"/>
        <v>0</v>
      </c>
      <c r="T16" s="1650">
        <f>SUM(Q16:S16)</f>
      </c>
      <c r="AC16" s="1650">
        <f t="shared" ref="AC16:AE19" si="2">IF(AC$15&lt;=ya,1,0)</f>
      </c>
      <c r="AD16" s="1650">
        <f t="shared" si="2"/>
        <v>1</v>
      </c>
      <c r="AE16" s="1650">
        <f t="shared" si="2"/>
        <v>1</v>
      </c>
      <c r="AF16" s="1650">
        <f>SUM(AG16:AI16)</f>
      </c>
      <c r="AG16" s="1650">
        <f t="shared" ref="AG16:AI19" si="3">AC16-M16</f>
      </c>
      <c r="AH16" s="1650">
        <f t="shared" si="3"/>
        <v>1</v>
      </c>
      <c r="AI16" s="1650">
        <f t="shared" si="3"/>
        <v>1</v>
      </c>
    </row>
    <row r="17" spans="2:35" hidden="1" x14ac:dyDescent="0.2">
      <c r="B17" s="62" t="s">
        <v>4009</v>
      </c>
      <c r="C17" s="139"/>
      <c r="E17" s="334"/>
      <c r="F17" s="334"/>
      <c r="G17" s="334"/>
      <c r="H17" s="346">
        <f>IF(J17&lt;&gt;"",0,T17)</f>
      </c>
      <c r="J17" s="1653" t="str">
        <f>IF($O$10=0,"",IF(AND($Q$6=2014,M17=0),reo,IF(AND($Q$6=2015,SUM(M17:N17)&lt;&gt;2),reo,IF(AND($Q$6&gt;=2016,SUM(M17:O17)&lt;&gt;3),reo,IF(AF17&lt;&gt;0,"Delete!","")))))</f>
        <v/>
      </c>
      <c r="L17" s="1650">
        <f>IF(J17&lt;&gt;"",1,0)</f>
      </c>
      <c r="M17" s="1650">
        <f t="shared" si="0"/>
        <v>0</v>
      </c>
      <c r="N17" s="1650">
        <f t="shared" si="0"/>
        <v>0</v>
      </c>
      <c r="O17" s="1650">
        <f t="shared" si="0"/>
        <v>0</v>
      </c>
      <c r="P17" s="1650">
        <f>SUM(M17:O17)</f>
      </c>
      <c r="Q17" s="1650">
        <f t="shared" si="1"/>
        <v>0</v>
      </c>
      <c r="R17" s="1650">
        <f t="shared" si="1"/>
        <v>0</v>
      </c>
      <c r="S17" s="1650">
        <f t="shared" si="1"/>
        <v>0</v>
      </c>
      <c r="T17" s="1650">
        <f>SUM(Q17:S17)</f>
      </c>
      <c r="AC17" s="1650">
        <f t="shared" si="2"/>
        <v>1</v>
      </c>
      <c r="AD17" s="1650">
        <f t="shared" si="2"/>
        <v>1</v>
      </c>
      <c r="AE17" s="1650">
        <f t="shared" si="2"/>
        <v>1</v>
      </c>
      <c r="AF17" s="1650">
        <f>SUM(AG17:AI17)</f>
      </c>
      <c r="AG17" s="1650">
        <f t="shared" si="3"/>
        <v>1</v>
      </c>
      <c r="AH17" s="1650">
        <f t="shared" si="3"/>
        <v>1</v>
      </c>
      <c r="AI17" s="1650">
        <f t="shared" si="3"/>
        <v>1</v>
      </c>
    </row>
    <row r="18" spans="2:35" hidden="1" x14ac:dyDescent="0.2">
      <c r="B18" s="62" t="s">
        <v>4010</v>
      </c>
      <c r="C18" s="139"/>
      <c r="E18" s="334"/>
      <c r="F18" s="334"/>
      <c r="G18" s="334"/>
      <c r="H18" s="346">
        <f>IF(J18&lt;&gt;"",0,T18)</f>
      </c>
      <c r="J18" s="1653" t="str">
        <f>IF($O$10=0,"",IF(AND($Q$6=2014,M18=0),reo,IF(AND($Q$6=2015,SUM(M18:N18)&lt;&gt;2),reo,IF(AND($Q$6&gt;=2016,SUM(M18:O18)&lt;&gt;3),reo,IF(AF18&lt;&gt;0,"Delete!","")))))</f>
        <v/>
      </c>
      <c r="L18" s="1650">
        <f>IF(J18&lt;&gt;"",1,0)</f>
      </c>
      <c r="M18" s="1650">
        <f t="shared" si="0"/>
        <v>0</v>
      </c>
      <c r="N18" s="1650">
        <f t="shared" si="0"/>
        <v>0</v>
      </c>
      <c r="O18" s="1650">
        <f t="shared" si="0"/>
        <v>0</v>
      </c>
      <c r="P18" s="1650">
        <f>SUM(M18:O18)</f>
      </c>
      <c r="Q18" s="1650">
        <f t="shared" si="1"/>
        <v>0</v>
      </c>
      <c r="R18" s="1650">
        <f t="shared" si="1"/>
        <v>0</v>
      </c>
      <c r="S18" s="1650">
        <f t="shared" si="1"/>
        <v>0</v>
      </c>
      <c r="T18" s="1650">
        <f>SUM(Q18:S18)</f>
      </c>
      <c r="AC18" s="1650">
        <f t="shared" si="2"/>
        <v>1</v>
      </c>
      <c r="AD18" s="1650">
        <f t="shared" si="2"/>
        <v>1</v>
      </c>
      <c r="AE18" s="1650">
        <f t="shared" si="2"/>
        <v>1</v>
      </c>
      <c r="AF18" s="1650">
        <f>SUM(AG18:AI18)</f>
      </c>
      <c r="AG18" s="1650">
        <f t="shared" si="3"/>
        <v>1</v>
      </c>
      <c r="AH18" s="1650">
        <f t="shared" si="3"/>
        <v>1</v>
      </c>
      <c r="AI18" s="1650">
        <f t="shared" si="3"/>
        <v>1</v>
      </c>
    </row>
    <row r="19" spans="2:35" hidden="1" x14ac:dyDescent="0.2">
      <c r="B19" s="62" t="s">
        <v>3186</v>
      </c>
      <c r="C19" s="139"/>
      <c r="E19" s="334"/>
      <c r="F19" s="334"/>
      <c r="G19" s="334"/>
      <c r="H19" s="346">
        <f>IF(J19&lt;&gt;"",0,T19)</f>
      </c>
      <c r="J19" s="1653" t="str">
        <f>IF($O$10=0,"",IF(AND($Q$6=2014,M19=0),reo,IF(AND($Q$6=2015,SUM(M19:N19)&lt;&gt;2),reo,IF(AND($Q$6&gt;=2016,SUM(M19:O19)&lt;&gt;3),reo,IF(AF19&lt;&gt;0,"Delete!","")))))</f>
        <v/>
      </c>
      <c r="L19" s="1650">
        <f>IF(J19&lt;&gt;"",1,0)</f>
      </c>
      <c r="M19" s="1650">
        <f t="shared" si="0"/>
        <v>0</v>
      </c>
      <c r="N19" s="1650">
        <f t="shared" si="0"/>
        <v>0</v>
      </c>
      <c r="O19" s="1650">
        <f t="shared" si="0"/>
        <v>0</v>
      </c>
      <c r="P19" s="1650">
        <f>SUM(M19:O19)</f>
      </c>
      <c r="Q19" s="1650">
        <f t="shared" si="1"/>
        <v>0</v>
      </c>
      <c r="R19" s="1650">
        <f t="shared" si="1"/>
        <v>0</v>
      </c>
      <c r="S19" s="1650">
        <f t="shared" si="1"/>
        <v>0</v>
      </c>
      <c r="T19" s="1650">
        <f>SUM(Q19:S19)</f>
      </c>
      <c r="U19" s="1650">
        <f>SUM(T16:T18)*5%</f>
      </c>
      <c r="V19" s="1650" t="s">
        <v>4528</v>
      </c>
      <c r="AC19" s="1650">
        <f t="shared" si="2"/>
        <v>1</v>
      </c>
      <c r="AD19" s="1650">
        <f t="shared" si="2"/>
        <v>1</v>
      </c>
      <c r="AE19" s="1650">
        <f t="shared" si="2"/>
        <v>1</v>
      </c>
      <c r="AF19" s="1650">
        <f>SUM(AG19:AI19)</f>
      </c>
      <c r="AG19" s="1650">
        <f t="shared" si="3"/>
        <v>1</v>
      </c>
      <c r="AH19" s="1650">
        <f t="shared" si="3"/>
        <v>1</v>
      </c>
      <c r="AI19" s="1650">
        <f t="shared" si="3"/>
        <v>1</v>
      </c>
    </row>
    <row r="20" spans="2:35" ht="9.75" hidden="1" customHeight="1" x14ac:dyDescent="0.2">
      <c r="B20" s="62"/>
      <c r="C20" s="139"/>
      <c r="J20" s="1652"/>
      <c r="V20" s="1650" t="s">
        <v>4011</v>
      </c>
      <c r="W20" s="1650" t="s">
        <v>4012</v>
      </c>
      <c r="X20" s="1650" t="s">
        <v>4013</v>
      </c>
      <c r="Z20" s="1650">
        <f>SUM(E16:E18)</f>
      </c>
      <c r="AA20" s="1650">
        <f>Z20*5%</f>
      </c>
    </row>
    <row r="21" spans="2:35" hidden="1" x14ac:dyDescent="0.2">
      <c r="B21" s="62" t="s">
        <v>4014</v>
      </c>
      <c r="C21" s="139"/>
      <c r="E21" s="346">
        <f>SUM(E16:E19)</f>
      </c>
      <c r="F21" s="346">
        <f>SUM(F16:F19)</f>
      </c>
      <c r="G21" s="346">
        <f>SUM(G16:G19)</f>
      </c>
      <c r="H21" s="346">
        <f>SUM(H16:H19)</f>
      </c>
      <c r="J21" s="1652"/>
      <c r="Q21" s="1650">
        <f>SUM(Q16:Q19)</f>
      </c>
      <c r="R21" s="1650">
        <f>SUM(R16:R19)</f>
      </c>
      <c r="S21" s="1650">
        <f>SUM(S16:S19)</f>
      </c>
      <c r="T21" s="1650">
        <f>SUM(T16:T19)</f>
      </c>
      <c r="V21" s="1650">
        <f>IF($T$10="",0,IF(T10=0,T21*20%,IF(T10=1,T21*30%)))</f>
      </c>
      <c r="W21" s="1650">
        <f>IF(T10="",0,IF($T$10=0,20000,30000))</f>
      </c>
      <c r="X21" s="1650">
        <f>MIN(V21:W21)</f>
      </c>
    </row>
    <row r="22" spans="2:35" hidden="1" x14ac:dyDescent="0.2">
      <c r="B22" s="139"/>
      <c r="C22" s="139"/>
      <c r="H22" s="112"/>
      <c r="J22" s="1652"/>
    </row>
    <row r="23" spans="2:35" hidden="1" x14ac:dyDescent="0.2">
      <c r="B23" s="62" t="s">
        <v>4015</v>
      </c>
      <c r="C23" s="139"/>
      <c r="H23" s="346">
        <f>T23</f>
      </c>
      <c r="J23" s="1652"/>
      <c r="T23" s="1650">
        <f>X21</f>
      </c>
    </row>
    <row r="24" spans="2:35" hidden="1" x14ac:dyDescent="0.2">
      <c r="B24" s="139"/>
      <c r="C24" s="139"/>
      <c r="H24" s="112"/>
      <c r="J24" s="1652"/>
    </row>
    <row r="25" spans="2:35" hidden="1" x14ac:dyDescent="0.2">
      <c r="B25" s="62" t="s">
        <v>4016</v>
      </c>
      <c r="C25" s="139"/>
      <c r="E25" s="1654"/>
      <c r="F25" s="1654"/>
      <c r="H25" s="334"/>
      <c r="J25" s="1652" t="str">
        <f>IF($O$10=0,"",IF(AND(Q6=2014,H25&lt;&gt;""),"Delete!",IF(AND(Q6&gt;2014,H25=""),reo,IF(AND(Q6&gt;2014,H25&gt;H23),"Excessive!",""))))</f>
        <v/>
      </c>
      <c r="L25" s="1650">
        <f>IF(J25&lt;&gt;"",1,0)</f>
      </c>
      <c r="M25" s="1650">
        <f>IF(H25="",0,1)</f>
      </c>
      <c r="R25" s="1650" t="str">
        <f>IF($O$10=0,"",IF(T25="",re,""))</f>
        <v/>
      </c>
      <c r="T25" s="1650">
        <f>IF(Q6=2014,0,H25)</f>
      </c>
    </row>
    <row r="26" spans="2:35" hidden="1" x14ac:dyDescent="0.2">
      <c r="B26" s="139"/>
      <c r="C26" s="139"/>
      <c r="H26" s="112"/>
      <c r="J26" s="1652"/>
    </row>
    <row r="27" spans="2:35" hidden="1" x14ac:dyDescent="0.2">
      <c r="B27" s="62" t="s">
        <v>4017</v>
      </c>
      <c r="C27" s="139"/>
      <c r="E27" s="1654"/>
      <c r="F27" s="1654" t="str">
        <f>IF($O$10=0,"",IF(H27="",re,""))</f>
        <v/>
      </c>
      <c r="H27" s="346">
        <f>T27</f>
      </c>
      <c r="J27" s="1652"/>
      <c r="T27" s="1650">
        <f>IF(H25&gt;H23,0,T23-T25)</f>
      </c>
    </row>
    <row r="28" spans="2:35" hidden="1" x14ac:dyDescent="0.2">
      <c r="B28" s="139"/>
      <c r="C28" s="139"/>
      <c r="H28" s="112"/>
      <c r="J28" s="1652"/>
    </row>
    <row r="29" spans="2:35" hidden="1" x14ac:dyDescent="0.2">
      <c r="B29" s="62" t="s">
        <v>4018</v>
      </c>
      <c r="C29" s="139"/>
      <c r="G29" s="1655"/>
      <c r="H29" s="334"/>
      <c r="J29" s="1652" t="str">
        <f>IF($O$10=0,"",IF(H29="",reo,IF(H29&gt;H27,"Excessive!","")))</f>
        <v/>
      </c>
      <c r="L29" s="1650">
        <f>IF(J29&lt;&gt;"",1,0)</f>
      </c>
      <c r="M29" s="1650">
        <f>IF(H29="",0,1)</f>
      </c>
      <c r="T29" s="1650">
        <f>H29</f>
      </c>
    </row>
    <row r="30" spans="2:35" hidden="1" x14ac:dyDescent="0.2">
      <c r="B30" s="139"/>
      <c r="C30" s="139"/>
      <c r="J30" s="1652"/>
      <c r="N30" s="1650">
        <f>SUM(M10:M13)+SUM(M16:O19)+SUM(M25:M29)</f>
      </c>
    </row>
    <row r="31" spans="2:35" hidden="1" x14ac:dyDescent="0.2">
      <c r="B31" s="62" t="s">
        <v>4019</v>
      </c>
      <c r="C31" s="139"/>
      <c r="H31" s="346">
        <f>T31</f>
      </c>
      <c r="J31" s="1652"/>
      <c r="T31" s="1650">
        <f>IF(H29&gt;H27,0,T27-T29)</f>
      </c>
    </row>
    <row r="32" spans="2:35" hidden="1" x14ac:dyDescent="0.2">
      <c r="B32" s="139"/>
      <c r="C32" s="139"/>
      <c r="J32" s="1652"/>
    </row>
    <row r="33" spans="1:24" hidden="1" x14ac:dyDescent="0.2">
      <c r="E33" s="62"/>
      <c r="F33" s="235"/>
      <c r="J33" s="1652"/>
    </row>
    <row r="34" spans="1:24" hidden="1" x14ac:dyDescent="0.2">
      <c r="B34" s="5092" t="s">
        <v>5708</v>
      </c>
      <c r="C34" s="5093"/>
      <c r="D34" s="5093"/>
      <c r="E34" s="5093"/>
      <c r="F34" s="5093"/>
      <c r="G34" s="1665"/>
      <c r="H34" s="1542"/>
      <c r="J34" s="1652" t="str">
        <f>IF($O$10=0,"",IF(H34="",re,""))</f>
        <v/>
      </c>
      <c r="L34" s="1650">
        <f>IF(J34&lt;&gt;"",1,0)</f>
      </c>
    </row>
    <row r="35" spans="1:24" hidden="1" x14ac:dyDescent="0.2">
      <c r="F35" s="235"/>
      <c r="G35" s="1656"/>
      <c r="H35" s="1657" t="str">
        <f>IF(H34="","",IF(OR(H34&gt;W35,H34&lt;X35),"Check!",""))</f>
        <v/>
      </c>
      <c r="J35" s="1652"/>
      <c r="W35" s="1650">
        <f>ROUND(T29/0.05,0)</f>
      </c>
      <c r="X35" s="1650">
        <f>ROUND(T29/0.35,0)</f>
      </c>
    </row>
    <row r="36" spans="1:24" hidden="1" x14ac:dyDescent="0.2">
      <c r="B36" s="28" t="s">
        <v>2007</v>
      </c>
      <c r="F36" s="235"/>
      <c r="G36" s="1656"/>
      <c r="H36" s="331"/>
      <c r="J36" s="1656" t="str">
        <f>IF(N30=0,"",IF(H36="",re,IF(AND(O36="n",T29&gt;0),"No benefit!","")))</f>
        <v/>
      </c>
      <c r="L36" s="1650">
        <f>IF(J36&lt;&gt;"",1,0)</f>
      </c>
      <c r="M36" s="1650">
        <f>IF(J36="",0,1)</f>
      </c>
      <c r="O36" s="1650" t="str">
        <f>IF(H36="yes","Y","n")</f>
      </c>
    </row>
    <row r="37" spans="1:24" hidden="1" x14ac:dyDescent="0.2">
      <c r="F37" s="235"/>
      <c r="G37" s="1656"/>
      <c r="H37" s="1656"/>
    </row>
    <row r="38" spans="1:24" hidden="1" x14ac:dyDescent="0.2">
      <c r="B38" s="5094" t="str">
        <f>COM</f>
      </c>
      <c r="C38" s="5094"/>
      <c r="D38" s="5094"/>
      <c r="F38" s="235"/>
      <c r="G38" s="1656"/>
      <c r="H38" s="331"/>
      <c r="J38" s="1656" t="str">
        <f>IF((N30+M34)=0,"",IF(H38="",re,""))</f>
        <v/>
      </c>
      <c r="L38" s="1650">
        <f>IF(J38&lt;&gt;"",1,0)</f>
      </c>
      <c r="M38" s="1650">
        <f>IF(J38="",0,1)</f>
      </c>
      <c r="O38" s="1650" t="str">
        <f>IF(H38="yes","Y","n")</f>
      </c>
    </row>
    <row r="39" spans="1:24" hidden="1" x14ac:dyDescent="0.2">
      <c r="F39" s="235"/>
      <c r="M39" s="1650">
        <f>SUM(M8:M14)+SUM(M16:M38)</f>
      </c>
    </row>
    <row r="40" spans="1:24" hidden="1" x14ac:dyDescent="0.2">
      <c r="F40" s="235"/>
      <c r="L40" s="1650">
        <f>SUM(L8:L38)</f>
      </c>
    </row>
    <row r="41" spans="1:24" hidden="1" x14ac:dyDescent="0.2">
      <c r="A41" s="66" t="s">
        <v>10574</v>
      </c>
      <c r="C41" s="69" t="str">
        <f>ver</f>
        <v>TA2_e-CO_2025_Ver 1.1</v>
      </c>
      <c r="F41" s="235"/>
      <c r="J41" s="66" t="s">
        <v>759</v>
      </c>
    </row>
    <row r="43" spans="1:24" hidden="1" x14ac:dyDescent="0.2">
      <c r="B43" s="493"/>
      <c r="C43" s="493"/>
      <c r="L43" s="1650">
        <f>IF(O10=0,0,IF(L40&lt;&gt;0,100,IF(O38="Y",1,100)))</f>
      </c>
    </row>
  </sheetData>
  <sheetProtection algorithmName="SHA-512" hashValue="Wp4r6jcFYD2Bb8t0IESWQfBHJ2EQWLU7v6RJ17RGuOBzsaczamTziZwNlWqZAwCEGTcV9MD6qOpPNoUXNbM3hw==" saltValue="B919KaaApoN9in3t+cZCsA==" spinCount="100000" sheet="1" objects="1" scenarios="1"/>
  <mergeCells count="4">
    <mergeCell ref="A1:G1"/>
    <mergeCell ref="D10:H10"/>
    <mergeCell ref="B34:F34"/>
    <mergeCell ref="B38:D38"/>
  </mergeCells>
  <phoneticPr fontId="170" type="noConversion"/>
  <conditionalFormatting sqref="B25">
    <cfRule type="expression" dxfId="447" priority="1" stopIfTrue="1">
      <formula>$Q$6=2014</formula>
    </cfRule>
  </conditionalFormatting>
  <conditionalFormatting sqref="F15">
    <cfRule type="expression" dxfId="446" priority="9" stopIfTrue="1">
      <formula>ya&lt;2015</formula>
    </cfRule>
  </conditionalFormatting>
  <conditionalFormatting sqref="F16:F19">
    <cfRule type="expression" dxfId="445" priority="2" stopIfTrue="1">
      <formula>$Q$6&lt;2015</formula>
    </cfRule>
  </conditionalFormatting>
  <conditionalFormatting sqref="G15">
    <cfRule type="expression" dxfId="444" priority="10" stopIfTrue="1">
      <formula>ya&lt;2016</formula>
    </cfRule>
  </conditionalFormatting>
  <conditionalFormatting sqref="G16:G19">
    <cfRule type="expression" dxfId="443" priority="3" stopIfTrue="1">
      <formula>$Q$6&lt;2016</formula>
    </cfRule>
  </conditionalFormatting>
  <conditionalFormatting sqref="H25">
    <cfRule type="expression" dxfId="442" priority="4" stopIfTrue="1">
      <formula>$Q$6=2014</formula>
    </cfRule>
  </conditionalFormatting>
  <dataValidations count="10">
    <dataValidation operator="greaterThan" allowBlank="1" showInputMessage="1" showErrorMessage="1" errorTitle="Value" error="Please a positive amount!" sqref="T25" xr:uid="{00000000-0002-0000-4300-000000000000}"/>
    <dataValidation type="whole" operator="greaterThanOrEqual" allowBlank="1" showInputMessage="1" showErrorMessage="1" errorTitle="Value" error="Please a positive amount!" sqref="E16:G19" xr:uid="{00000000-0002-0000-4300-000001000000}">
      <formula1>0</formula1>
    </dataValidation>
    <dataValidation type="list" allowBlank="1" showInputMessage="1" showErrorMessage="1" sqref="D10:H10" xr:uid="{00000000-0002-0000-4300-000002000000}">
      <formula1>$R$8:$R$10</formula1>
    </dataValidation>
    <dataValidation type="textLength" operator="greaterThanOrEqual" allowBlank="1" showInputMessage="1" showErrorMessage="1" errorTitle="Certificate number" error="Please enter the correct reference!" sqref="E12" xr:uid="{00000000-0002-0000-4300-000003000000}">
      <formula1>4</formula1>
    </dataValidation>
    <dataValidation type="whole" operator="greaterThan" allowBlank="1" showInputMessage="1" showErrorMessage="1" errorTitle="Value" error="Please a positive amount!" sqref="Q16:T19" xr:uid="{00000000-0002-0000-4300-000004000000}">
      <formula1>0</formula1>
    </dataValidation>
    <dataValidation allowBlank="1" showInputMessage="1" showErrorMessage="1" errorTitle="Total Eligible Costs" error="Total eligible costs cannot be more than €20,000 or equivalent!" sqref="H31" xr:uid="{00000000-0002-0000-4300-000005000000}"/>
    <dataValidation type="list" allowBlank="1" showInputMessage="1" showErrorMessage="1" sqref="H38 H36" xr:uid="{00000000-0002-0000-4300-000006000000}">
      <formula1>yn</formula1>
    </dataValidation>
    <dataValidation type="whole" allowBlank="1" showInputMessage="1" showErrorMessage="1" errorTitle="Value" error="Please a positive amount!" sqref="H29" xr:uid="{00000000-0002-0000-4300-000007000000}">
      <formula1>0</formula1>
      <formula2>H27</formula2>
    </dataValidation>
    <dataValidation type="date" allowBlank="1" showInputMessage="1" showErrorMessage="1" errorTitle="Date of approval" error="Please enter the correct date!" promptTitle="Date format" prompt="dd/mm/yyyy" sqref="E13" xr:uid="{00000000-0002-0000-4300-000008000000}">
      <formula1>R13</formula1>
      <formula2>S13</formula2>
    </dataValidation>
    <dataValidation type="whole" allowBlank="1" showInputMessage="1" showErrorMessage="1" errorTitle="Income on which tax relieved" error="Please enter the correct amount!" sqref="H34" xr:uid="{00000000-0002-0000-4300-000009000000}">
      <formula1>X35</formula1>
      <formula2>W35</formula2>
    </dataValidation>
  </dataValidation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7"/>
  <dimension ref="A1:X35"/>
  <sheetViews>
    <sheetView showGridLines="0" workbookViewId="0">
      <selection activeCell="E12" sqref="E12"/>
    </sheetView>
  </sheetViews>
  <sheetFormatPr defaultColWidth="0" defaultRowHeight="12.75" zeroHeight="1" x14ac:dyDescent="0.2"/>
  <cols>
    <col min="1" max="1" width="2.7109375" customWidth="1"/>
    <col min="2" max="2" width="26" customWidth="1"/>
    <col min="3" max="3" width="2.5703125" customWidth="1"/>
    <col min="4" max="4" width="6.42578125" customWidth="1"/>
    <col min="5" max="5" width="11.28515625" customWidth="1"/>
    <col min="6" max="6" width="10.7109375" customWidth="1"/>
    <col min="7" max="7" width="10.42578125" customWidth="1"/>
    <col min="8" max="8" width="11.7109375" customWidth="1"/>
    <col min="9" max="9" width="1.42578125" customWidth="1"/>
    <col min="10" max="10" width="18.5703125" customWidth="1"/>
    <col min="11" max="11" width="0.7109375" hidden="1" customWidth="1"/>
    <col min="12" max="12" width="2" hidden="1" customWidth="1"/>
    <col min="13" max="14" width="4.7109375" hidden="1" customWidth="1"/>
    <col min="15" max="15" width="8.7109375" hidden="1" customWidth="1"/>
    <col min="16" max="16" width="5.7109375" hidden="1" customWidth="1"/>
    <col min="17" max="17" width="9.7109375" hidden="1" customWidth="1"/>
    <col min="18" max="18" width="10.42578125" hidden="1" customWidth="1"/>
    <col min="19" max="19" width="10.28515625" hidden="1" customWidth="1"/>
    <col min="20" max="20" width="12" hidden="1" customWidth="1"/>
    <col min="21" max="21" width="11.5703125" hidden="1" customWidth="1"/>
    <col min="22" max="24" width="0" hidden="1" customWidth="1"/>
    <col min="25" max="16384" width="8.7109375" hidden="1"/>
  </cols>
  <sheetData>
    <row r="1" spans="1:24" x14ac:dyDescent="0.2">
      <c r="A1" s="5095" t="str">
        <f>_ref1</f>
      </c>
      <c r="B1" s="5095"/>
      <c r="C1" s="5095"/>
      <c r="D1" s="5095"/>
      <c r="E1" s="5095"/>
      <c r="F1" s="5095"/>
      <c r="G1" s="5095"/>
      <c r="H1" s="1666" t="str">
        <f>_YA1</f>
      </c>
      <c r="P1" t="s">
        <v>4162</v>
      </c>
    </row>
    <row r="2" spans="1:24" x14ac:dyDescent="0.2">
      <c r="R2" t="s">
        <v>3445</v>
      </c>
      <c r="S2" t="s">
        <v>3990</v>
      </c>
    </row>
    <row r="3" spans="1:24" hidden="1" x14ac:dyDescent="0.2">
      <c r="A3" t="s">
        <v>3447</v>
      </c>
      <c r="B3" t="s">
        <v>3448</v>
      </c>
      <c r="D3">
        <v>500000</v>
      </c>
      <c r="R3" t="s">
        <v>3449</v>
      </c>
      <c r="S3" t="s">
        <v>3993</v>
      </c>
    </row>
    <row r="4" spans="1:24" hidden="1" x14ac:dyDescent="0.2">
      <c r="B4" t="s">
        <v>3451</v>
      </c>
      <c r="D4">
        <v>25000</v>
      </c>
    </row>
    <row r="6" spans="1:24" x14ac:dyDescent="0.2">
      <c r="B6" s="1672" t="s">
        <v>3452</v>
      </c>
      <c r="C6" s="1673"/>
      <c r="D6" s="1673"/>
      <c r="E6" s="1673"/>
      <c r="F6" s="1673"/>
      <c r="G6" s="1673"/>
      <c r="H6" s="1674"/>
      <c r="P6" t="s">
        <v>3994</v>
      </c>
      <c r="Q6">
        <f>ya</f>
      </c>
    </row>
    <row r="7" spans="1:24" x14ac:dyDescent="0.2">
      <c r="B7" s="1675" t="s">
        <v>3995</v>
      </c>
      <c r="C7" s="1676"/>
      <c r="D7" s="1676"/>
      <c r="E7" s="1676"/>
      <c r="F7" s="1676"/>
      <c r="G7" s="1676"/>
      <c r="H7" s="1677"/>
    </row>
    <row r="8" spans="1:24" x14ac:dyDescent="0.2">
      <c r="B8" s="1678" t="s">
        <v>4163</v>
      </c>
      <c r="C8" s="1679"/>
      <c r="D8" s="1679"/>
      <c r="E8" s="1679"/>
      <c r="F8" s="1679"/>
      <c r="G8" s="1679"/>
      <c r="H8" s="1680"/>
    </row>
    <row r="9" spans="1:24" x14ac:dyDescent="0.2"/>
    <row r="10" spans="1:24" x14ac:dyDescent="0.2">
      <c r="B10" t="s">
        <v>4164</v>
      </c>
    </row>
    <row r="11" spans="1:24" x14ac:dyDescent="0.2"/>
    <row r="12" spans="1:24" x14ac:dyDescent="0.2">
      <c r="D12" s="1666" t="s">
        <v>1569</v>
      </c>
      <c r="E12" s="1700"/>
      <c r="F12" s="1713" t="str">
        <f>IF($N$22=0,"",IF(E12="",re,""))</f>
        <v/>
      </c>
      <c r="L12">
        <f>IF(F12&lt;&gt;"",1,0)</f>
      </c>
      <c r="M12">
        <f>IF(E12="",0,1)</f>
      </c>
      <c r="O12">
        <f>COUNTA(E12:E13,H15,H19,H21,H26)</f>
      </c>
    </row>
    <row r="13" spans="1:24" x14ac:dyDescent="0.2">
      <c r="D13" s="1666" t="s">
        <v>1570</v>
      </c>
      <c r="E13" s="1715"/>
      <c r="F13" s="1713" t="str">
        <f>IF($N$22=0,"",IF(E13="",re,""))</f>
        <v/>
      </c>
      <c r="L13">
        <f>IF(F13&lt;&gt;"",1,0)</f>
      </c>
      <c r="M13">
        <f>IF(E13="",0,1)</f>
      </c>
      <c r="R13" s="1970">
        <v>40909</v>
      </c>
      <c r="S13" s="1970">
        <f>DATE(ya,12,31)</f>
      </c>
    </row>
    <row r="14" spans="1:24" x14ac:dyDescent="0.2">
      <c r="V14" t="s">
        <v>4528</v>
      </c>
    </row>
    <row r="15" spans="1:24" x14ac:dyDescent="0.2">
      <c r="B15" t="s">
        <v>4165</v>
      </c>
      <c r="H15" s="1711"/>
      <c r="J15" s="1713" t="str">
        <f>IF($N$22=0,"",IF(Q6&gt;2014,"",IF(H15="",reo,"")))</f>
        <v/>
      </c>
      <c r="L15">
        <f>IF(J15&lt;&gt;"",1,0)</f>
      </c>
      <c r="M15">
        <f>IF(H15="",0,1)</f>
      </c>
      <c r="P15" t="s">
        <v>4165</v>
      </c>
      <c r="T15">
        <f>H15</f>
      </c>
      <c r="V15">
        <f>T15*100%</f>
      </c>
      <c r="W15">
        <v>15000</v>
      </c>
      <c r="X15">
        <f>MIN(V15:W15)</f>
      </c>
    </row>
    <row r="16" spans="1:24" x14ac:dyDescent="0.2"/>
    <row r="17" spans="2:24" x14ac:dyDescent="0.2">
      <c r="B17" t="s">
        <v>4015</v>
      </c>
      <c r="H17" s="1971">
        <f>IF(M15=0,0,T17)</f>
      </c>
      <c r="P17" t="s">
        <v>4015</v>
      </c>
      <c r="T17">
        <f>X15</f>
      </c>
    </row>
    <row r="18" spans="2:24" x14ac:dyDescent="0.2">
      <c r="B18" t="s">
        <v>1567</v>
      </c>
      <c r="E18" s="1711"/>
      <c r="F18" s="1713" t="str">
        <f>IF($N$22=0,"",IF(AND(Q6=2014,E18&lt;&gt;""),"Delete!",IF(AND(Q6&gt;2014,E18=""),reo,"")))</f>
        <v/>
      </c>
      <c r="L18">
        <f>IF(F18&lt;&gt;"",1,0)</f>
      </c>
    </row>
    <row r="19" spans="2:24" x14ac:dyDescent="0.2">
      <c r="B19" t="s">
        <v>1568</v>
      </c>
      <c r="H19" s="1711"/>
      <c r="J19" s="1713" t="str">
        <f>IF($N$22=0,"",IF(AND(Q6=2014,H19&lt;&gt;""),"Delete!",IF(AND(Q6&gt;2014,H19=""),reo,IF(H19&gt;W15,"Excessive!",""))))</f>
        <v/>
      </c>
      <c r="L19">
        <f>IF(J19&lt;&gt;"",1,0)</f>
      </c>
      <c r="M19">
        <f>IF(H19="",0,1)</f>
      </c>
      <c r="P19" t="s">
        <v>4166</v>
      </c>
      <c r="T19">
        <f>IF(Q6=2014,0,H19)</f>
      </c>
    </row>
    <row r="20" spans="2:24" x14ac:dyDescent="0.2"/>
    <row r="21" spans="2:24" x14ac:dyDescent="0.2">
      <c r="B21" t="s">
        <v>4018</v>
      </c>
      <c r="G21" t="s">
        <v>951</v>
      </c>
      <c r="H21" s="1711"/>
      <c r="J21" s="1713" t="str">
        <f>IF($N$22=0,"",IF(H21="",reo,IF(AND(Q6&gt;2014,H21&gt;H19+H17),"Excessive!",IF(AND(Q6=2014,H21&gt;H17),"Excessive!",""))))</f>
        <v/>
      </c>
      <c r="L21">
        <f>IF(J21&lt;&gt;"",1,0)</f>
      </c>
      <c r="M21">
        <f>IF(H21="",0,1)</f>
      </c>
      <c r="O21" s="1717">
        <f>H19+H17</f>
      </c>
      <c r="P21" t="s">
        <v>4018</v>
      </c>
      <c r="T21">
        <f>H21</f>
      </c>
    </row>
    <row r="22" spans="2:24" x14ac:dyDescent="0.2">
      <c r="N22">
        <f>SUM(M12:M15)+SUM(M19:M21)</f>
      </c>
    </row>
    <row r="23" spans="2:24" x14ac:dyDescent="0.2">
      <c r="B23" t="s">
        <v>4167</v>
      </c>
      <c r="H23" s="1971" t="str">
        <f>IF(M21=0,"",T23)</f>
        <v/>
      </c>
      <c r="P23" t="s">
        <v>4167</v>
      </c>
      <c r="T23">
        <f>IF(AND(Q6=2014,T21&gt;T17),0,IF(AND(Q6=2014,T17&gt;T21),T17-T21,IF(T21&gt;SUM(T17:T19),0,SUM(T17:T19)-T21)))</f>
      </c>
    </row>
    <row r="24" spans="2:24" x14ac:dyDescent="0.2">
      <c r="B24" s="1718" t="str">
        <f>IF(AND(P26=1,Q24&gt;15000),"Maximum benefit cannot exceed 15,000 euro!","")</f>
        <v/>
      </c>
      <c r="P24" t="str">
        <f>cur</f>
      </c>
      <c r="Q24" s="1717">
        <f>H17+E18+H19</f>
      </c>
    </row>
    <row r="25" spans="2:24" x14ac:dyDescent="0.2">
      <c r="P25" t="s">
        <v>4591</v>
      </c>
    </row>
    <row r="26" spans="2:24" x14ac:dyDescent="0.2">
      <c r="B26" s="1667" t="s">
        <v>5708</v>
      </c>
      <c r="C26" s="1668"/>
      <c r="D26" s="1668"/>
      <c r="E26" s="1668"/>
      <c r="F26" s="1668"/>
      <c r="G26" s="1669" t="s">
        <v>951</v>
      </c>
      <c r="H26" s="1711"/>
      <c r="J26" s="1713" t="str">
        <f>IF($N$22=0,"",IF(H26="",re,""))</f>
        <v/>
      </c>
      <c r="L26">
        <f>IF(J26&lt;&gt;"",1,0)</f>
      </c>
      <c r="M26">
        <f>IF(H26="",0,1)</f>
      </c>
      <c r="P26">
        <f>IF(P25=P24,1,0)</f>
      </c>
    </row>
    <row r="27" spans="2:24" x14ac:dyDescent="0.2">
      <c r="H27" s="1716" t="str">
        <f>IF(H26="","",IF(OR(H26&gt;W27,H26&lt;X27),"Check!",""))</f>
        <v/>
      </c>
      <c r="W27">
        <f>ROUND(T21/0.05,0)</f>
      </c>
      <c r="X27">
        <f>ROUND(T21/0.35,0)</f>
      </c>
    </row>
    <row r="28" spans="2:24" x14ac:dyDescent="0.2">
      <c r="B28" t="s">
        <v>2007</v>
      </c>
      <c r="H28" s="1698"/>
      <c r="J28" s="1713" t="str">
        <f>IF(N22=0,"",IF(H28="",re,IF(AND(O28="n",T21&gt;0),"No benefit!","")))</f>
        <v/>
      </c>
      <c r="L28">
        <f>IF(J28&lt;&gt;"",1,0)</f>
      </c>
      <c r="M28">
        <f>IF(J28="",0,1)</f>
      </c>
      <c r="O28" t="str">
        <f>IF(H28="yes","Y","n")</f>
      </c>
    </row>
    <row r="29" spans="2:24" x14ac:dyDescent="0.2"/>
    <row r="30" spans="2:24" x14ac:dyDescent="0.2">
      <c r="G30" s="1670" t="s">
        <v>4802</v>
      </c>
      <c r="H30" s="1698"/>
      <c r="J30" s="1713" t="str">
        <f>IF((N22+M26)=0,"",IF(H30="",re,""))</f>
        <v/>
      </c>
      <c r="L30">
        <f>IF(J30&lt;&gt;"",1,0)</f>
      </c>
      <c r="M30">
        <f>IF(J30="",0,1)</f>
      </c>
      <c r="O30" t="str">
        <f>IF(H30="yes","Y","n")</f>
      </c>
    </row>
    <row r="31" spans="2:24" x14ac:dyDescent="0.2">
      <c r="M31">
        <f>SUM(M8:M30)</f>
      </c>
    </row>
    <row r="32" spans="2:24" x14ac:dyDescent="0.2">
      <c r="L32">
        <f>SUM(L11:L30)</f>
      </c>
    </row>
    <row r="33" spans="1:13" x14ac:dyDescent="0.2">
      <c r="A33" t="s">
        <v>10574</v>
      </c>
      <c r="D33" t="str">
        <f>ver</f>
        <v>TA2_e-CO_2025_Ver 1.1</v>
      </c>
      <c r="J33" t="s">
        <v>760</v>
      </c>
      <c r="M33">
        <f>IF(O12=0,0,IF(L32&lt;&gt;0,100,IF(O30="Y",1,100)))</f>
      </c>
    </row>
    <row r="34" spans="1:13" x14ac:dyDescent="0.2"/>
    <row r="35" spans="1:13" x14ac:dyDescent="0.2">
      <c r="B35" s="1671" t="s">
        <v>6290</v>
      </c>
    </row>
  </sheetData>
  <sheetProtection algorithmName="SHA-512" hashValue="D8V3Arp8svfcOth4AQVME8ijpLZr54DDT1Ou/7kF/5J8wVQiNll2F8ssDXtRsoeIlQFQNT5UM28QE4OEvSRh1Q==" saltValue="TSxMIpS2A1zN2k1U+qtHFQ==" spinCount="100000" sheet="1" objects="1" scenarios="1"/>
  <mergeCells count="1">
    <mergeCell ref="A1:G1"/>
  </mergeCells>
  <phoneticPr fontId="170" type="noConversion"/>
  <conditionalFormatting sqref="B18:B19">
    <cfRule type="expression" dxfId="441" priority="2" stopIfTrue="1">
      <formula>ya=2014</formula>
    </cfRule>
  </conditionalFormatting>
  <conditionalFormatting sqref="E18 H19">
    <cfRule type="expression" dxfId="440" priority="1" stopIfTrue="1">
      <formula>ya=2014</formula>
    </cfRule>
  </conditionalFormatting>
  <dataValidations count="9">
    <dataValidation type="whole" allowBlank="1" showInputMessage="1" showErrorMessage="1" errorTitle="Income the tax on which relieved" error="Please enter the correct amount!" sqref="H26" xr:uid="{00000000-0002-0000-4400-000000000000}">
      <formula1>X27</formula1>
      <formula2>W27</formula2>
    </dataValidation>
    <dataValidation type="date" allowBlank="1" showInputMessage="1" showErrorMessage="1" errorTitle="Date of approval" error="Please enter the correct date!" promptTitle="Date format" prompt="dd/mm/yyyy" sqref="E13" xr:uid="{00000000-0002-0000-4400-000001000000}">
      <formula1>R13</formula1>
      <formula2>S13</formula2>
    </dataValidation>
    <dataValidation type="textLength" operator="greaterThanOrEqual" allowBlank="1" showInputMessage="1" showErrorMessage="1" errorTitle="Certificate number" error="Please enter the correct reference!" sqref="E12" xr:uid="{00000000-0002-0000-4400-000002000000}">
      <formula1>4</formula1>
    </dataValidation>
    <dataValidation allowBlank="1" showInputMessage="1" showErrorMessage="1" errorTitle="Total Eligible Costs" error="Total eligible costs cannot be more than €20,000 or equivalent!" sqref="H23" xr:uid="{00000000-0002-0000-4400-000003000000}"/>
    <dataValidation type="whole" operator="greaterThanOrEqual" allowBlank="1" showInputMessage="1" showErrorMessage="1" errorTitle="Value" error="Please a positive amount!" sqref="H21" xr:uid="{00000000-0002-0000-4400-000004000000}">
      <formula1>0</formula1>
    </dataValidation>
    <dataValidation operator="greaterThan" allowBlank="1" showInputMessage="1" showErrorMessage="1" errorTitle="Value" error="Please a positive amount!" sqref="T21" xr:uid="{00000000-0002-0000-4400-000005000000}"/>
    <dataValidation type="list" allowBlank="1" showInputMessage="1" showErrorMessage="1" sqref="H30 H28" xr:uid="{00000000-0002-0000-4400-000006000000}">
      <formula1>yn</formula1>
    </dataValidation>
    <dataValidation type="whole" operator="greaterThanOrEqual" allowBlank="1" showInputMessage="1" showErrorMessage="1" errorTitle="Qualifying costs" error="Please enter a positive amount!" sqref="H15" xr:uid="{00000000-0002-0000-4400-000007000000}">
      <formula1>0</formula1>
    </dataValidation>
    <dataValidation type="whole" operator="greaterThanOrEqual" allowBlank="1" showInputMessage="1" showErrorMessage="1" errorTitle="Tax credit b/fwd" error="Please enter a positive amount!" sqref="H19" xr:uid="{00000000-0002-0000-4400-000008000000}">
      <formula1>0</formula1>
    </dataValidation>
  </dataValidations>
  <hyperlinks>
    <hyperlink ref="B35" location="Index!B77" display="B A C K   T O   I N D E X" xr:uid="{00000000-0004-0000-4400-000000000000}"/>
    <hyperlink ref="G26" location="TRA35!A1" display="TRA 35" xr:uid="{00000000-0004-0000-4400-000001000000}"/>
    <hyperlink ref="G21" location="TRA35!A1" display="TRA 35" xr:uid="{00000000-0004-0000-4400-000002000000}"/>
  </hyperlinks>
  <pageMargins left="0.19685039370078741" right="0.19685039370078741" top="0.74803149606299213" bottom="1.21" header="0.31496062992125984" footer="0.31496062992125984"/>
  <pageSetup paperSize="9" orientation="landscape" horizontalDpi="4294967293" r:id="rId1"/>
  <headerFooter>
    <oddFooter>&amp;LName&amp;CSignature&amp;RDate</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8"/>
  <dimension ref="A1:AO10791"/>
  <sheetViews>
    <sheetView showGridLines="0" topLeftCell="A45" zoomScaleNormal="120" workbookViewId="0">
      <selection activeCell="F65" sqref="F65"/>
    </sheetView>
  </sheetViews>
  <sheetFormatPr defaultColWidth="0" defaultRowHeight="12.75" zeroHeight="1" x14ac:dyDescent="0.2"/>
  <cols>
    <col min="1" max="1" width="14.42578125" customWidth="1"/>
    <col min="2" max="2" width="13.5703125" customWidth="1"/>
    <col min="3" max="3" width="10.5703125" customWidth="1"/>
    <col min="4" max="4" width="12.7109375" customWidth="1"/>
    <col min="5" max="5" width="13" customWidth="1"/>
    <col min="6" max="6" width="13.5703125" customWidth="1"/>
    <col min="7" max="7" width="12.7109375" customWidth="1"/>
    <col min="8" max="8" width="34.28515625" customWidth="1"/>
    <col min="9" max="9" width="13.42578125" customWidth="1"/>
    <col min="10" max="10" width="14.7109375" customWidth="1"/>
    <col min="11" max="11" width="37.7109375" customWidth="1"/>
    <col min="12" max="14" width="9.28515625" hidden="1" customWidth="1"/>
    <col min="15" max="15" width="8.5703125" hidden="1" customWidth="1"/>
    <col min="16" max="27" width="3.42578125" hidden="1" customWidth="1"/>
    <col min="28" max="28" width="4.7109375" hidden="1" customWidth="1"/>
    <col min="29" max="35" width="3.42578125" hidden="1" customWidth="1"/>
    <col min="36" max="36" width="7" hidden="1" customWidth="1"/>
    <col min="37" max="37" width="3.42578125" hidden="1" customWidth="1"/>
    <col min="38" max="41" width="8.5703125" hidden="1" customWidth="1"/>
    <col min="42" max="16384" width="3.42578125" hidden="1"/>
  </cols>
  <sheetData>
    <row r="1" spans="1:16" x14ac:dyDescent="0.2">
      <c r="A1" t="str">
        <f>_ref1</f>
      </c>
      <c r="I1" s="1666" t="str">
        <f>_YA1</f>
      </c>
      <c r="M1">
        <f xml:space="preserve"> R24+R44+T786+N19</f>
      </c>
      <c r="N1">
        <f>'p2'!P62</f>
      </c>
    </row>
    <row r="2" spans="1:16" ht="5.25" customHeight="1" x14ac:dyDescent="0.2"/>
    <row r="3" spans="1:16" ht="14.25" x14ac:dyDescent="0.2">
      <c r="A3" s="1686" t="s">
        <v>4168</v>
      </c>
      <c r="B3" s="1687"/>
      <c r="C3" s="1687"/>
      <c r="D3" s="1687"/>
      <c r="E3" s="1687"/>
      <c r="F3" s="1687"/>
      <c r="G3" s="1687"/>
      <c r="H3" s="1668"/>
      <c r="I3" s="1669"/>
      <c r="O3" s="1707">
        <f>'p2'!G60</f>
      </c>
      <c r="P3" t="s">
        <v>4169</v>
      </c>
    </row>
    <row r="4" spans="1:16" ht="51" x14ac:dyDescent="0.2">
      <c r="A4" s="1688" t="s">
        <v>4170</v>
      </c>
      <c r="B4" s="5097" t="str">
        <f>IF('p2'!G36="y","Not required to fill in this TRA","")</f>
        <v/>
      </c>
      <c r="C4" s="5097"/>
      <c r="D4" s="5097"/>
      <c r="E4" s="5097"/>
      <c r="F4" s="5097"/>
      <c r="G4" s="5097"/>
      <c r="H4" s="5098"/>
      <c r="I4" s="1685" t="s">
        <v>1328</v>
      </c>
      <c r="O4" s="1708">
        <f>Income!BA125</f>
      </c>
      <c r="P4" t="s">
        <v>6728</v>
      </c>
    </row>
    <row r="5" spans="1:16" ht="5.25" customHeight="1" x14ac:dyDescent="0.2">
      <c r="O5" s="1458"/>
    </row>
    <row r="6" spans="1:16" ht="14.25" x14ac:dyDescent="0.2">
      <c r="A6" t="s">
        <v>1329</v>
      </c>
      <c r="I6" s="1714">
        <f>H25+I25</f>
      </c>
      <c r="O6" s="1709">
        <f>'p7'!Y118+'p7'!V118+'p7'!S118</f>
      </c>
      <c r="P6" t="s">
        <v>1330</v>
      </c>
    </row>
    <row r="7" spans="1:16" x14ac:dyDescent="0.2">
      <c r="A7" t="s">
        <v>1331</v>
      </c>
      <c r="I7" s="1684"/>
      <c r="O7">
        <f xml:space="preserve"> IF(AND(N1=0,M1=0),0,SUM(O3:O6))</f>
      </c>
    </row>
    <row r="8" spans="1:16" ht="14.25" customHeight="1" x14ac:dyDescent="0.2">
      <c r="E8" t="s">
        <v>1332</v>
      </c>
      <c r="I8" s="1714">
        <f>H49+I49</f>
      </c>
    </row>
    <row r="9" spans="1:16" x14ac:dyDescent="0.2">
      <c r="E9" t="s">
        <v>1333</v>
      </c>
      <c r="I9" s="1714">
        <f>I786+J786</f>
      </c>
    </row>
    <row r="10" spans="1:16" x14ac:dyDescent="0.2">
      <c r="H10" s="1696" t="s">
        <v>6940</v>
      </c>
      <c r="I10" s="1714">
        <f>SUM(I6:I9)</f>
      </c>
    </row>
    <row r="16" spans="1:16" ht="3" customHeight="1" x14ac:dyDescent="0.2"/>
    <row r="17" spans="1:41" ht="16.5" customHeight="1" x14ac:dyDescent="0.2">
      <c r="A17" s="1697" t="s">
        <v>1329</v>
      </c>
      <c r="B17" s="1682"/>
      <c r="C17" s="1682"/>
      <c r="D17" s="1682"/>
      <c r="E17" s="1682"/>
      <c r="F17" s="1682"/>
      <c r="G17" s="1683"/>
      <c r="AK17" t="s">
        <v>3368</v>
      </c>
    </row>
    <row r="18" spans="1:41" ht="2.25" customHeight="1" x14ac:dyDescent="0.2"/>
    <row r="19" spans="1:41" x14ac:dyDescent="0.2">
      <c r="A19" t="s">
        <v>1334</v>
      </c>
      <c r="H19" s="1698"/>
      <c r="I19" s="1713" t="str">
        <f>IF('p2'!G36="y","",IF(AND($O$7&gt;0,H19=""),re,""))</f>
        <v/>
      </c>
      <c r="L19">
        <f>IF(I19="",0,1)</f>
      </c>
      <c r="N19">
        <f xml:space="preserve"> COUNTA(H19,H31,F47,G56)</f>
      </c>
    </row>
    <row r="20" spans="1:41" ht="3" customHeight="1" x14ac:dyDescent="0.2"/>
    <row r="21" spans="1:41" ht="50.25" customHeight="1" x14ac:dyDescent="0.2">
      <c r="A21" s="5102" t="s">
        <v>1335</v>
      </c>
      <c r="B21" s="5103"/>
      <c r="C21" s="5103"/>
      <c r="D21" s="5104"/>
      <c r="E21" s="1690" t="s">
        <v>1336</v>
      </c>
      <c r="F21" s="1689" t="s">
        <v>1337</v>
      </c>
      <c r="G21" s="1689" t="s">
        <v>1338</v>
      </c>
      <c r="H21" s="1689" t="s">
        <v>6508</v>
      </c>
      <c r="I21" s="1689" t="s">
        <v>6207</v>
      </c>
      <c r="S21" t="s">
        <v>1339</v>
      </c>
      <c r="AK21" t="s">
        <v>4494</v>
      </c>
    </row>
    <row r="22" spans="1:41" ht="15" customHeight="1" x14ac:dyDescent="0.2">
      <c r="A22" s="5105" t="s">
        <v>3171</v>
      </c>
      <c r="B22" s="5106"/>
      <c r="C22" s="5106"/>
      <c r="D22" s="5107"/>
      <c r="E22" s="1699"/>
      <c r="F22" s="1699"/>
      <c r="G22" s="1699"/>
      <c r="H22" s="1706"/>
      <c r="I22" s="1706"/>
      <c r="J22" s="1713" t="str">
        <f>IF($O$7=0,"",IF(AND($H$19="Yes",S22=0),"All details required!",IF(AND(E22="",S22&gt;0),"PE number!",IF(AND(E22&lt;&gt;"",S22&lt;&gt;5),reo,""))))</f>
        <v/>
      </c>
      <c r="K22" s="1713"/>
      <c r="L22">
        <f>IF(J22="",0,1)</f>
      </c>
      <c r="S22">
        <f>COUNT(E22:I22)</f>
      </c>
      <c r="AJ22">
        <f>LEN(E22)</f>
      </c>
      <c r="AK22" t="e">
        <f>IF(OR(AJ22&lt;&gt;6,E22&lt;&gt;AN22),1,0)</f>
      </c>
      <c r="AL22" t="str">
        <f>LEFT(E22,5)</f>
        <v/>
      </c>
      <c r="AM22" t="e">
        <f>CONCATENATE(AL22,9-MOD((SUM((MID(AL22,1,1)*1),(MID(AL22,2,1)*3),(MID(AL22,3,1)*7),(MID(AL22,4,1)*1),(MID(AL22,5,1)*3))),9))</f>
      </c>
      <c r="AN22" t="e">
        <f>ROUND(AM22,0)</f>
      </c>
      <c r="AO22" t="e">
        <f>IF(E22&lt;&gt;AN22,1,0)</f>
      </c>
    </row>
    <row r="23" spans="1:41" x14ac:dyDescent="0.2">
      <c r="A23" s="5105"/>
      <c r="B23" s="5106"/>
      <c r="C23" s="5106"/>
      <c r="D23" s="5107"/>
      <c r="E23" s="1699"/>
      <c r="F23" s="1699"/>
      <c r="G23" s="1699"/>
      <c r="H23" s="1706"/>
      <c r="I23" s="1706"/>
      <c r="J23" s="1713" t="str">
        <f>IF($O$7=0,"",IF(AND($H$19="Yes",E23="",S23&gt;0),"PE number!",IF(AND(E23&lt;&gt;"",S23&lt;&gt;5),reo,"")))</f>
        <v/>
      </c>
      <c r="K23" s="1713"/>
      <c r="L23">
        <f>IF(J23="",0,1)</f>
      </c>
      <c r="S23">
        <f>COUNT(E23:I23)</f>
      </c>
      <c r="AJ23">
        <f>LEN(E23)</f>
      </c>
      <c r="AK23" t="e">
        <f>IF(OR(AJ23&lt;&gt;6,E23&lt;&gt;AN23),1,0)</f>
      </c>
      <c r="AL23" t="str">
        <f>LEFT(E23,5)</f>
        <v/>
      </c>
      <c r="AM23" t="e">
        <f>CONCATENATE(AL23,9-MOD((SUM((MID(AL23,1,1)*1),(MID(AL23,2,1)*3),(MID(AL23,3,1)*7),(MID(AL23,4,1)*1),(MID(AL23,5,1)*3))),9))</f>
      </c>
      <c r="AN23" t="e">
        <f>ROUND(AM23,0)</f>
      </c>
      <c r="AO23" t="e">
        <f>IF(E23&lt;&gt;AN23,1,0)</f>
      </c>
    </row>
    <row r="24" spans="1:41" x14ac:dyDescent="0.2">
      <c r="A24" s="1694"/>
      <c r="D24" s="1695"/>
      <c r="E24" s="1699"/>
      <c r="F24" s="1699"/>
      <c r="G24" s="1699"/>
      <c r="H24" s="1706"/>
      <c r="I24" s="1706"/>
      <c r="J24" s="1713" t="str">
        <f>IF($O$7=0,"",IF(AND($H$19="Yes",E24="",S24&gt;0),"PE number!",IF(AND(E24&lt;&gt;"",S24&lt;&gt;5),reo,"")))</f>
        <v/>
      </c>
      <c r="K24" s="1713"/>
      <c r="L24">
        <f>IF(J24="",0,1)</f>
      </c>
      <c r="R24">
        <f>SUM(S22:S24)</f>
      </c>
      <c r="S24">
        <f>COUNT(E24:I24)</f>
      </c>
      <c r="AJ24">
        <f>LEN(E24)</f>
      </c>
      <c r="AK24" t="e">
        <f>IF(OR(AJ24&lt;&gt;6,E24&lt;&gt;AN24),1,0)</f>
      </c>
      <c r="AL24" t="str">
        <f>LEFT(E24,5)</f>
        <v/>
      </c>
      <c r="AM24" t="e">
        <f>CONCATENATE(AL24,9-MOD((SUM((MID(AL24,1,1)*1),(MID(AL24,2,1)*3),(MID(AL24,3,1)*7),(MID(AL24,4,1)*1),(MID(AL24,5,1)*3))),9))</f>
      </c>
      <c r="AN24" t="e">
        <f>ROUND(AM24,0)</f>
      </c>
      <c r="AO24" t="e">
        <f>IF(E24&lt;&gt;AN24,1,0)</f>
      </c>
    </row>
    <row r="25" spans="1:41" x14ac:dyDescent="0.2">
      <c r="A25" s="1691"/>
      <c r="B25" s="1692"/>
      <c r="C25" s="1692"/>
      <c r="D25" s="1693"/>
      <c r="E25" s="1696" t="s">
        <v>5590</v>
      </c>
      <c r="F25" s="1714">
        <f>SUM(F22:F24)</f>
      </c>
      <c r="G25" s="1714">
        <f>SUM(G22:G24)</f>
      </c>
      <c r="H25" s="1714">
        <f>SUM(H22:H24)</f>
      </c>
      <c r="I25" s="1714">
        <f>SUM(I22:I24)</f>
      </c>
    </row>
    <row r="26" spans="1:41" ht="3" customHeight="1" x14ac:dyDescent="0.2"/>
    <row r="27" spans="1:41" x14ac:dyDescent="0.2">
      <c r="A27" s="1626" t="s">
        <v>2853</v>
      </c>
      <c r="B27" s="1626"/>
      <c r="C27" s="1626"/>
      <c r="D27" s="1626"/>
      <c r="E27" s="1626"/>
      <c r="F27" s="1700"/>
      <c r="G27" s="1700"/>
      <c r="H27" s="1700"/>
      <c r="I27" s="1700"/>
      <c r="AJ27" t="e">
        <f>IF(OR(AJ29&lt;&gt;6,F27&lt;&gt;AJ33),1,0)</f>
      </c>
      <c r="AK27" t="e">
        <f>IF(OR(AK29&lt;&gt;6,G27&lt;&gt;AK33),1,0)</f>
      </c>
      <c r="AL27" t="e">
        <f>IF(OR(AL29&lt;&gt;6,H27&lt;&gt;AL33),1,0)</f>
      </c>
      <c r="AM27" t="e">
        <f>IF(OR(AM29&lt;&gt;6,I27&lt;&gt;AM33),1,0)</f>
      </c>
    </row>
    <row r="28" spans="1:41" ht="4.5" customHeight="1" x14ac:dyDescent="0.2"/>
    <row r="29" spans="1:41" ht="18" customHeight="1" x14ac:dyDescent="0.2">
      <c r="A29" s="1697" t="s">
        <v>2854</v>
      </c>
      <c r="B29" s="1682"/>
      <c r="C29" s="1682"/>
      <c r="D29" s="1682"/>
      <c r="E29" s="1682"/>
      <c r="F29" s="1682"/>
      <c r="G29" s="1683"/>
      <c r="AJ29">
        <f>LEN(F27)</f>
      </c>
      <c r="AK29">
        <f>LEN(G27)</f>
      </c>
      <c r="AL29">
        <f>LEN(H27)</f>
      </c>
      <c r="AM29">
        <f>LEN(I27)</f>
      </c>
    </row>
    <row r="30" spans="1:41" ht="2.25" customHeight="1" x14ac:dyDescent="0.2"/>
    <row r="31" spans="1:41" x14ac:dyDescent="0.2">
      <c r="A31" s="1702" t="s">
        <v>2855</v>
      </c>
      <c r="B31" s="1703"/>
      <c r="C31" s="1703"/>
      <c r="D31" s="1703"/>
      <c r="E31" s="1703"/>
      <c r="F31" s="1703"/>
      <c r="G31" s="1703"/>
      <c r="H31" s="1698"/>
      <c r="I31" s="1713" t="str">
        <f>IF('p2'!G36="y","",IF(AND($O$7&gt;0,H31=""),re,""))</f>
        <v/>
      </c>
      <c r="L31">
        <f>IF(I31="",0,1)</f>
      </c>
      <c r="AJ31" t="str">
        <f>LEFT(F27,5)</f>
        <v/>
      </c>
      <c r="AK31" t="str">
        <f>LEFT(G27,5)</f>
        <v/>
      </c>
      <c r="AL31" t="str">
        <f>LEFT(H27,5)</f>
        <v/>
      </c>
      <c r="AM31" t="str">
        <f>LEFT(I27,5)</f>
        <v/>
      </c>
    </row>
    <row r="32" spans="1:41" ht="2.25" customHeight="1" x14ac:dyDescent="0.2">
      <c r="I32" s="1681"/>
      <c r="AJ32" t="e">
        <f>CONCATENATE(AJ31,9-MOD((SUM((MID(AJ31,1,1)*1),(MID(AJ31,2,1)*3),(MID(AJ31,3,1)*7),(MID(AJ31,4,1)*1),(MID(AJ31,5,1)*3))),9))</f>
      </c>
      <c r="AK32" t="e">
        <f>CONCATENATE(AK31,9-MOD((SUM((MID(AK31,1,1)*1),(MID(AK31,2,1)*3),(MID(AK31,3,1)*7),(MID(AK31,4,1)*1),(MID(AK31,5,1)*3))),9))</f>
      </c>
      <c r="AL32" t="e">
        <f>CONCATENATE(AL31,9-MOD((SUM((MID(AL31,1,1)*1),(MID(AL31,2,1)*3),(MID(AL31,3,1)*7),(MID(AL31,4,1)*1),(MID(AL31,5,1)*3))),9))</f>
      </c>
      <c r="AM32" t="e">
        <f>CONCATENATE(AM31,9-MOD((SUM((MID(AM31,1,1)*1),(MID(AM31,2,1)*3),(MID(AM31,3,1)*7),(MID(AM31,4,1)*1),(MID(AM31,5,1)*3))),9))</f>
      </c>
    </row>
    <row r="33" spans="1:39" ht="25.5" x14ac:dyDescent="0.2">
      <c r="A33" s="1689" t="s">
        <v>2856</v>
      </c>
      <c r="B33" s="1689" t="s">
        <v>2857</v>
      </c>
      <c r="F33" s="1689" t="s">
        <v>4449</v>
      </c>
      <c r="G33" s="1689" t="s">
        <v>657</v>
      </c>
      <c r="H33" s="1689" t="s">
        <v>6508</v>
      </c>
      <c r="I33" s="1681"/>
      <c r="AJ33" t="e">
        <f>ROUND(AJ32,0)</f>
      </c>
      <c r="AK33" t="e">
        <f>ROUND(AK32,0)</f>
      </c>
      <c r="AL33" t="e">
        <f>ROUND(AL32,0)</f>
      </c>
      <c r="AM33" t="e">
        <f>ROUND(AM32,0)</f>
      </c>
    </row>
    <row r="34" spans="1:39" ht="12.75" customHeight="1" x14ac:dyDescent="0.2">
      <c r="A34" s="1700"/>
      <c r="B34" s="1710"/>
      <c r="C34" s="1713" t="str">
        <f>IF(AND($O$7=0,H31="No"),"",IF(AND($H$31="Yes",T34&lt;&gt;2),re,""))</f>
        <v/>
      </c>
      <c r="F34" s="1700"/>
      <c r="G34" s="1699"/>
      <c r="H34" s="1706"/>
      <c r="I34" s="1713" t="str">
        <f>IF(AND(H31="Yes",S34&lt;&gt;3),re,"")</f>
        <v/>
      </c>
      <c r="L34">
        <f t="shared" ref="L34:L40" si="0">IF(AND(C34="",I34=""),0,1)</f>
      </c>
      <c r="R34">
        <f>SUM(S34:T34)</f>
      </c>
      <c r="S34">
        <f>COUNTA(F34:H34)</f>
      </c>
      <c r="T34">
        <f>COUNTA(A34:B34)</f>
      </c>
    </row>
    <row r="35" spans="1:39" ht="12.75" customHeight="1" x14ac:dyDescent="0.2">
      <c r="A35" s="1700"/>
      <c r="B35" s="1710"/>
      <c r="C35" s="1713" t="str">
        <f t="shared" ref="C35:C40" si="1">IF(AND($H$31="Yes",R35&gt;0,T35&lt;&gt;2),re,"")</f>
        <v/>
      </c>
      <c r="F35" s="1700"/>
      <c r="G35" s="1699"/>
      <c r="H35" s="1706"/>
      <c r="I35" s="1713" t="str">
        <f t="shared" ref="I35:I40" si="2">IF(AND($H$31="Yes",R35&gt;0,S35&lt;&gt;3),re,"")</f>
        <v/>
      </c>
      <c r="L35">
        <f t="shared" si="0"/>
        <v>0</v>
      </c>
      <c r="R35">
        <f t="shared" ref="R35:R40" si="3">SUM(S35:T35)</f>
      </c>
      <c r="S35">
        <f t="shared" ref="S35:S40" si="4">COUNTA(F35:H35)</f>
      </c>
      <c r="T35">
        <f t="shared" ref="T35:T40" si="5">COUNTA(A35:B35)</f>
      </c>
    </row>
    <row r="36" spans="1:39" ht="12.75" customHeight="1" x14ac:dyDescent="0.2">
      <c r="A36" s="1700"/>
      <c r="B36" s="1710"/>
      <c r="C36" s="1713" t="str">
        <f t="shared" si="1"/>
        <v/>
      </c>
      <c r="F36" s="1700"/>
      <c r="G36" s="1699"/>
      <c r="H36" s="1706"/>
      <c r="I36" s="1713" t="str">
        <f t="shared" si="2"/>
        <v/>
      </c>
      <c r="L36">
        <f t="shared" si="0"/>
        <v>0</v>
      </c>
      <c r="R36">
        <f t="shared" si="3"/>
        <v>0</v>
      </c>
      <c r="S36">
        <f t="shared" si="4"/>
        <v>0</v>
      </c>
      <c r="T36">
        <f t="shared" si="5"/>
        <v>0</v>
      </c>
    </row>
    <row r="37" spans="1:39" ht="12.75" customHeight="1" x14ac:dyDescent="0.2">
      <c r="A37" s="1700"/>
      <c r="B37" s="1710"/>
      <c r="C37" s="1713" t="str">
        <f t="shared" si="1"/>
        <v/>
      </c>
      <c r="F37" s="1700"/>
      <c r="G37" s="1699"/>
      <c r="H37" s="1706"/>
      <c r="I37" s="1713" t="str">
        <f t="shared" si="2"/>
        <v/>
      </c>
      <c r="L37">
        <f t="shared" si="0"/>
        <v>0</v>
      </c>
      <c r="R37">
        <f t="shared" si="3"/>
        <v>0</v>
      </c>
      <c r="S37">
        <f t="shared" si="4"/>
        <v>0</v>
      </c>
      <c r="T37">
        <f t="shared" si="5"/>
        <v>0</v>
      </c>
    </row>
    <row r="38" spans="1:39" ht="12.75" customHeight="1" x14ac:dyDescent="0.2">
      <c r="A38" s="1700"/>
      <c r="B38" s="1710"/>
      <c r="C38" s="1713" t="str">
        <f t="shared" si="1"/>
        <v/>
      </c>
      <c r="F38" s="1700"/>
      <c r="G38" s="1699"/>
      <c r="H38" s="1706"/>
      <c r="I38" s="1713" t="str">
        <f t="shared" si="2"/>
        <v/>
      </c>
      <c r="L38">
        <f t="shared" si="0"/>
        <v>0</v>
      </c>
      <c r="R38">
        <f t="shared" si="3"/>
        <v>0</v>
      </c>
      <c r="S38">
        <f t="shared" si="4"/>
        <v>0</v>
      </c>
      <c r="T38">
        <f t="shared" si="5"/>
        <v>0</v>
      </c>
    </row>
    <row r="39" spans="1:39" ht="12.75" customHeight="1" x14ac:dyDescent="0.2">
      <c r="A39" s="1700"/>
      <c r="B39" s="1710"/>
      <c r="C39" s="1713" t="str">
        <f t="shared" si="1"/>
        <v/>
      </c>
      <c r="F39" s="1700"/>
      <c r="G39" s="1699"/>
      <c r="H39" s="1706"/>
      <c r="I39" s="1713" t="str">
        <f t="shared" si="2"/>
        <v/>
      </c>
      <c r="L39">
        <f t="shared" si="0"/>
        <v>0</v>
      </c>
      <c r="R39">
        <f t="shared" si="3"/>
        <v>0</v>
      </c>
      <c r="S39">
        <f t="shared" si="4"/>
        <v>0</v>
      </c>
      <c r="T39">
        <f t="shared" si="5"/>
        <v>0</v>
      </c>
    </row>
    <row r="40" spans="1:39" ht="12.75" customHeight="1" x14ac:dyDescent="0.2">
      <c r="A40" s="1700"/>
      <c r="B40" s="1710"/>
      <c r="C40" s="1713" t="str">
        <f t="shared" si="1"/>
        <v/>
      </c>
      <c r="F40" s="1700"/>
      <c r="G40" s="1699"/>
      <c r="H40" s="1706"/>
      <c r="I40" s="1713" t="str">
        <f t="shared" si="2"/>
        <v/>
      </c>
      <c r="L40">
        <f t="shared" si="0"/>
        <v>0</v>
      </c>
      <c r="R40">
        <f t="shared" si="3"/>
        <v>0</v>
      </c>
      <c r="S40">
        <f t="shared" si="4"/>
        <v>0</v>
      </c>
      <c r="T40">
        <f t="shared" si="5"/>
        <v>0</v>
      </c>
    </row>
    <row r="41" spans="1:39" ht="13.5" hidden="1" customHeight="1" x14ac:dyDescent="0.2"/>
    <row r="42" spans="1:39" ht="12.75" hidden="1" customHeight="1" x14ac:dyDescent="0.2"/>
    <row r="43" spans="1:39" ht="12.75" hidden="1" customHeight="1" x14ac:dyDescent="0.2"/>
    <row r="44" spans="1:39" ht="6.75" customHeight="1" x14ac:dyDescent="0.2">
      <c r="R44">
        <f>SUM(R34:R43)</f>
      </c>
    </row>
    <row r="45" spans="1:39" x14ac:dyDescent="0.2">
      <c r="A45" s="1701" t="s">
        <v>5553</v>
      </c>
      <c r="B45" s="1682"/>
      <c r="C45" s="1682"/>
      <c r="D45" s="1682"/>
      <c r="E45" s="1683"/>
    </row>
    <row r="46" spans="1:39" ht="5.25" customHeight="1" x14ac:dyDescent="0.2"/>
    <row r="47" spans="1:39" x14ac:dyDescent="0.2">
      <c r="A47" t="s">
        <v>5554</v>
      </c>
      <c r="F47" s="1698"/>
      <c r="G47" s="1713" t="str">
        <f>IF('p2'!G36="y","",IF(AND($O$7&lt;&gt;0,F47=""),re,IF(F47="No"," Fill page 7!","")))</f>
        <v/>
      </c>
      <c r="H47" s="1711"/>
      <c r="I47" s="1713" t="str">
        <f>IF(F47="","",IF(H47="","Remuneration!",""))</f>
        <v/>
      </c>
      <c r="L47">
        <f>IF(G47="",0,1)</f>
      </c>
    </row>
    <row r="48" spans="1:39" ht="6" customHeight="1" x14ac:dyDescent="0.2"/>
    <row r="49" spans="1:38" x14ac:dyDescent="0.2">
      <c r="G49" s="1696" t="s">
        <v>5590</v>
      </c>
      <c r="H49" s="1714">
        <f>SUM(H34:H47)</f>
      </c>
    </row>
    <row r="50" spans="1:38" ht="18" hidden="1" customHeight="1" x14ac:dyDescent="0.2"/>
    <row r="51" spans="1:38" s="2287" customFormat="1" ht="17.25" customHeight="1" x14ac:dyDescent="0.2">
      <c r="A51" s="2287" t="str">
        <f>_xlfn.SINGLE(MTCA)</f>
      </c>
      <c r="E51" s="2287" t="str">
        <f>ver</f>
        <v>TA2_e-CO_2025_Ver 1.1</v>
      </c>
      <c r="I51" s="2287" t="s">
        <v>5555</v>
      </c>
    </row>
    <row r="52" spans="1:38" ht="15" customHeight="1" x14ac:dyDescent="0.2">
      <c r="A52" t="str">
        <f>A1</f>
      </c>
      <c r="I52" t="str">
        <f>I1</f>
      </c>
    </row>
    <row r="53" spans="1:38" x14ac:dyDescent="0.2">
      <c r="A53" s="1697" t="s">
        <v>5556</v>
      </c>
      <c r="B53" s="1682"/>
      <c r="C53" s="1682"/>
      <c r="D53" s="1682"/>
      <c r="E53" s="1682"/>
      <c r="F53" s="1682"/>
      <c r="G53" s="1683"/>
    </row>
    <row r="54" spans="1:38" ht="3" customHeight="1" x14ac:dyDescent="0.2"/>
    <row r="55" spans="1:38" ht="15" customHeight="1" x14ac:dyDescent="0.2">
      <c r="A55" t="s">
        <v>366</v>
      </c>
    </row>
    <row r="56" spans="1:38" x14ac:dyDescent="0.2">
      <c r="F56" s="1666" t="s">
        <v>6067</v>
      </c>
      <c r="G56" s="1698"/>
      <c r="H56" s="1713" t="str">
        <f>IF('p2'!G36="y","",IF(AND(O7&lt;&gt;0,G56=""),re,IF(AND(G56="No",T786&lt;&gt;0),"Check entries below!","")))</f>
        <v/>
      </c>
      <c r="L56">
        <f>IF(H56="",0,1)</f>
      </c>
    </row>
    <row r="57" spans="1:38" ht="5.25" customHeight="1" x14ac:dyDescent="0.2"/>
    <row r="58" spans="1:38" ht="14.25" customHeight="1" x14ac:dyDescent="0.2">
      <c r="A58" t="s">
        <v>5557</v>
      </c>
    </row>
    <row r="59" spans="1:38" ht="12.75" customHeight="1" x14ac:dyDescent="0.2">
      <c r="A59" s="5099" t="s">
        <v>6318</v>
      </c>
      <c r="B59" s="5099" t="s">
        <v>6311</v>
      </c>
      <c r="C59" s="5100" t="s">
        <v>6324</v>
      </c>
      <c r="D59" s="5100"/>
      <c r="E59" s="5100"/>
      <c r="F59" s="5099" t="s">
        <v>4449</v>
      </c>
      <c r="G59" s="5099" t="s">
        <v>657</v>
      </c>
      <c r="H59" s="5108" t="s">
        <v>10504</v>
      </c>
      <c r="I59" s="5099" t="s">
        <v>6508</v>
      </c>
      <c r="J59" s="5099" t="s">
        <v>6207</v>
      </c>
      <c r="K59" s="5096" t="s">
        <v>10452</v>
      </c>
      <c r="L59" s="4021"/>
      <c r="S59" t="s">
        <v>5558</v>
      </c>
      <c r="AL59" t="s">
        <v>10501</v>
      </c>
    </row>
    <row r="60" spans="1:38" ht="16.5" customHeight="1" x14ac:dyDescent="0.2">
      <c r="A60" s="5099"/>
      <c r="B60" s="5099"/>
      <c r="C60" s="5101" t="s">
        <v>6319</v>
      </c>
      <c r="D60" s="5101" t="s">
        <v>6322</v>
      </c>
      <c r="E60" s="5101" t="s">
        <v>6323</v>
      </c>
      <c r="F60" s="5099"/>
      <c r="G60" s="5099"/>
      <c r="H60" s="5109"/>
      <c r="I60" s="5099"/>
      <c r="J60" s="5099"/>
      <c r="K60" s="5096"/>
      <c r="L60" s="4021"/>
      <c r="AL60" s="142" t="s">
        <v>479</v>
      </c>
    </row>
    <row r="61" spans="1:38" ht="25.5" customHeight="1" x14ac:dyDescent="0.2">
      <c r="A61" s="5099"/>
      <c r="B61" s="5099"/>
      <c r="C61" s="5101"/>
      <c r="D61" s="5101"/>
      <c r="E61" s="5101"/>
      <c r="F61" s="5099"/>
      <c r="G61" s="5099"/>
      <c r="H61" s="5110"/>
      <c r="I61" s="5099"/>
      <c r="J61" s="5099"/>
      <c r="K61" s="5096"/>
      <c r="L61" s="4021"/>
      <c r="AA61" t="s">
        <v>10502</v>
      </c>
      <c r="AL61" s="142" t="s">
        <v>480</v>
      </c>
    </row>
    <row r="62" spans="1:38" x14ac:dyDescent="0.2">
      <c r="A62" s="1981"/>
      <c r="B62" s="1698"/>
      <c r="C62" s="1712"/>
      <c r="D62" s="1963"/>
      <c r="E62" s="1963"/>
      <c r="F62" s="1963"/>
      <c r="G62" s="1963"/>
      <c r="H62" s="1963"/>
      <c r="I62" s="1706"/>
      <c r="J62" s="1706"/>
      <c r="K62" s="1713" t="str">
        <f>IF(AND(AA62=1,A62=$S$59),"TIN required!",IF(Q62&gt;R62," All details required!",""))</f>
        <v/>
      </c>
      <c r="L62">
        <f t="shared" ref="L62:L89" si="6">IF(K62="",0,1)</f>
      </c>
      <c r="Q62">
        <f>IF(AND(G56="Yes",R62=0),7,IF(S62=0,0,IF(A62=$S$59,10,7)))</f>
      </c>
      <c r="R62">
        <f t="shared" ref="R62:R89" si="7">IF(AND(AA62=0,A62=$S$59),T62+U62+V62,T62+V62)</f>
      </c>
      <c r="S62">
        <f t="shared" ref="S62:S83" si="8">SUM(T62:V62)</f>
      </c>
      <c r="T62">
        <f t="shared" ref="T62:T89" si="9">COUNTA(A62:B62)</f>
      </c>
      <c r="U62">
        <f t="shared" ref="U62:U89" si="10">COUNTA(C62:E62)</f>
      </c>
      <c r="V62">
        <f t="shared" ref="V62:V89" si="11">COUNTA(F62:J62)</f>
      </c>
      <c r="AA62">
        <f t="shared" ref="AA62:AA280" si="12">IF(ISERROR(VLOOKUP($B62,eu_countries,1,FALSE))=TRUE,0,1)</f>
      </c>
      <c r="AL62" s="142" t="s">
        <v>481</v>
      </c>
    </row>
    <row r="63" spans="1:38" x14ac:dyDescent="0.2">
      <c r="A63" s="1700"/>
      <c r="B63" s="1698"/>
      <c r="C63" s="1712"/>
      <c r="D63" s="1699"/>
      <c r="E63" s="1699"/>
      <c r="F63" s="1699"/>
      <c r="G63" s="1699"/>
      <c r="H63" s="1699"/>
      <c r="I63" s="1706"/>
      <c r="J63" s="1706"/>
      <c r="K63" s="1713" t="str">
        <f t="shared" ref="K63:K89" si="13">IF(AND(AA63=1,A63=$S$59),"TIN required!",IF(Q63&gt;R63," All details required!",""))</f>
        <v/>
      </c>
      <c r="L63">
        <f t="shared" si="6"/>
        <v>0</v>
      </c>
      <c r="Q63">
        <f t="shared" ref="Q63:Q89" si="14">IF(AND(G57="Yes",R63=0),7,IF(S63=0,0,IF(A63=$S$59,10,7)))</f>
      </c>
      <c r="R63">
        <f t="shared" si="7"/>
        <v>0</v>
      </c>
      <c r="S63">
        <f t="shared" si="8"/>
        <v>0</v>
      </c>
      <c r="T63">
        <f t="shared" si="9"/>
        <v>0</v>
      </c>
      <c r="U63">
        <f t="shared" si="10"/>
        <v>0</v>
      </c>
      <c r="V63">
        <f t="shared" si="11"/>
        <v>0</v>
      </c>
      <c r="AA63">
        <f t="shared" si="12"/>
        <v>0</v>
      </c>
      <c r="AL63" s="142" t="s">
        <v>3357</v>
      </c>
    </row>
    <row r="64" spans="1:38" x14ac:dyDescent="0.2">
      <c r="A64" s="1700"/>
      <c r="B64" s="1698"/>
      <c r="C64" s="1712"/>
      <c r="D64" s="1699"/>
      <c r="E64" s="1699"/>
      <c r="F64" s="1699"/>
      <c r="G64" s="1699"/>
      <c r="H64" s="1699"/>
      <c r="I64" s="1706"/>
      <c r="J64" s="1706"/>
      <c r="K64" s="1713" t="str">
        <f t="shared" si="13"/>
        <v/>
      </c>
      <c r="L64">
        <f t="shared" si="6"/>
        <v>0</v>
      </c>
      <c r="Q64">
        <f t="shared" si="14"/>
        <v>0</v>
      </c>
      <c r="R64">
        <f t="shared" si="7"/>
        <v>0</v>
      </c>
      <c r="S64">
        <f t="shared" si="8"/>
        <v>0</v>
      </c>
      <c r="T64">
        <f t="shared" si="9"/>
        <v>0</v>
      </c>
      <c r="U64">
        <f t="shared" si="10"/>
        <v>0</v>
      </c>
      <c r="V64">
        <f t="shared" si="11"/>
        <v>0</v>
      </c>
      <c r="AA64">
        <f t="shared" si="12"/>
        <v>0</v>
      </c>
      <c r="AL64" s="142" t="s">
        <v>482</v>
      </c>
    </row>
    <row r="65" spans="1:38" ht="12.75" customHeight="1" x14ac:dyDescent="0.2">
      <c r="A65" s="1700"/>
      <c r="B65" s="1698"/>
      <c r="C65" s="1712"/>
      <c r="D65" s="1699"/>
      <c r="E65" s="1699"/>
      <c r="F65" s="1699"/>
      <c r="G65" s="1699"/>
      <c r="H65" s="1699"/>
      <c r="I65" s="1706"/>
      <c r="J65" s="1706"/>
      <c r="K65" s="1713" t="str">
        <f t="shared" si="13"/>
        <v/>
      </c>
      <c r="L65">
        <f t="shared" si="6"/>
        <v>0</v>
      </c>
      <c r="Q65">
        <f t="shared" si="14"/>
        <v>0</v>
      </c>
      <c r="R65">
        <f t="shared" si="7"/>
        <v>0</v>
      </c>
      <c r="S65">
        <f t="shared" si="8"/>
        <v>0</v>
      </c>
      <c r="T65">
        <f t="shared" si="9"/>
        <v>0</v>
      </c>
      <c r="U65">
        <f t="shared" si="10"/>
        <v>0</v>
      </c>
      <c r="V65">
        <f t="shared" si="11"/>
        <v>0</v>
      </c>
      <c r="AA65">
        <f t="shared" si="12"/>
        <v>0</v>
      </c>
      <c r="AL65" s="142" t="s">
        <v>483</v>
      </c>
    </row>
    <row r="66" spans="1:38" x14ac:dyDescent="0.2">
      <c r="A66" s="1700"/>
      <c r="B66" s="1698"/>
      <c r="C66" s="1712"/>
      <c r="D66" s="1699"/>
      <c r="E66" s="1699"/>
      <c r="F66" s="1699"/>
      <c r="G66" s="1699"/>
      <c r="H66" s="1699"/>
      <c r="I66" s="1706"/>
      <c r="J66" s="1706"/>
      <c r="K66" s="1713" t="str">
        <f t="shared" si="13"/>
        <v/>
      </c>
      <c r="L66">
        <f t="shared" si="6"/>
        <v>0</v>
      </c>
      <c r="Q66">
        <f t="shared" ref="Q66:Q71" si="15">IF(AND(G60="Yes",R66=0),7,IF(S66=0,0,IF(A66=$S$59,10,7)))</f>
      </c>
      <c r="R66">
        <f t="shared" si="7"/>
        <v>0</v>
      </c>
      <c r="S66">
        <f t="shared" si="8"/>
        <v>0</v>
      </c>
      <c r="T66">
        <f t="shared" si="9"/>
        <v>0</v>
      </c>
      <c r="U66">
        <f t="shared" si="10"/>
        <v>0</v>
      </c>
      <c r="V66">
        <f t="shared" si="11"/>
        <v>0</v>
      </c>
      <c r="AA66">
        <f t="shared" si="12"/>
        <v>0</v>
      </c>
      <c r="AL66" s="142" t="s">
        <v>484</v>
      </c>
    </row>
    <row r="67" spans="1:38" x14ac:dyDescent="0.2">
      <c r="A67" s="1700"/>
      <c r="B67" s="1698"/>
      <c r="C67" s="1712"/>
      <c r="D67" s="1699"/>
      <c r="E67" s="1699"/>
      <c r="F67" s="1699"/>
      <c r="G67" s="1699"/>
      <c r="H67" s="1699"/>
      <c r="I67" s="1706"/>
      <c r="J67" s="1706"/>
      <c r="K67" s="1713" t="str">
        <f t="shared" si="13"/>
        <v/>
      </c>
      <c r="L67">
        <f t="shared" si="6"/>
        <v>0</v>
      </c>
      <c r="Q67">
        <f t="shared" si="15"/>
        <v>0</v>
      </c>
      <c r="R67">
        <f t="shared" si="7"/>
        <v>0</v>
      </c>
      <c r="S67">
        <f t="shared" si="8"/>
        <v>0</v>
      </c>
      <c r="T67">
        <f t="shared" si="9"/>
        <v>0</v>
      </c>
      <c r="U67">
        <f t="shared" si="10"/>
        <v>0</v>
      </c>
      <c r="V67">
        <f t="shared" si="11"/>
        <v>0</v>
      </c>
      <c r="AA67">
        <f t="shared" si="12"/>
        <v>0</v>
      </c>
      <c r="AL67" s="142" t="s">
        <v>485</v>
      </c>
    </row>
    <row r="68" spans="1:38" x14ac:dyDescent="0.2">
      <c r="A68" s="1700"/>
      <c r="B68" s="1698"/>
      <c r="C68" s="1712"/>
      <c r="D68" s="1699"/>
      <c r="E68" s="1699"/>
      <c r="F68" s="1699"/>
      <c r="G68" s="1699"/>
      <c r="H68" s="1699"/>
      <c r="I68" s="1706"/>
      <c r="J68" s="1706"/>
      <c r="K68" s="1713" t="str">
        <f t="shared" si="13"/>
        <v/>
      </c>
      <c r="L68">
        <f t="shared" si="6"/>
        <v>0</v>
      </c>
      <c r="Q68">
        <f t="shared" si="15"/>
        <v>0</v>
      </c>
      <c r="R68">
        <f t="shared" si="7"/>
        <v>0</v>
      </c>
      <c r="S68">
        <f t="shared" si="8"/>
        <v>0</v>
      </c>
      <c r="T68">
        <f t="shared" si="9"/>
        <v>0</v>
      </c>
      <c r="U68">
        <f t="shared" si="10"/>
        <v>0</v>
      </c>
      <c r="V68">
        <f t="shared" si="11"/>
        <v>0</v>
      </c>
      <c r="AA68">
        <f t="shared" si="12"/>
        <v>0</v>
      </c>
      <c r="AL68" s="142" t="s">
        <v>486</v>
      </c>
    </row>
    <row r="69" spans="1:38" x14ac:dyDescent="0.2">
      <c r="A69" s="1700"/>
      <c r="B69" s="1698"/>
      <c r="C69" s="1712"/>
      <c r="D69" s="1699"/>
      <c r="E69" s="1699"/>
      <c r="F69" s="1699"/>
      <c r="G69" s="1699"/>
      <c r="H69" s="1699"/>
      <c r="I69" s="1706"/>
      <c r="J69" s="1706"/>
      <c r="K69" s="1713" t="str">
        <f t="shared" si="13"/>
        <v/>
      </c>
      <c r="L69">
        <f t="shared" si="6"/>
        <v>0</v>
      </c>
      <c r="Q69">
        <f t="shared" si="15"/>
        <v>0</v>
      </c>
      <c r="R69">
        <f t="shared" si="7"/>
        <v>0</v>
      </c>
      <c r="S69">
        <f t="shared" si="8"/>
        <v>0</v>
      </c>
      <c r="T69">
        <f t="shared" si="9"/>
        <v>0</v>
      </c>
      <c r="U69">
        <f t="shared" si="10"/>
        <v>0</v>
      </c>
      <c r="V69">
        <f t="shared" si="11"/>
        <v>0</v>
      </c>
      <c r="AA69">
        <f t="shared" si="12"/>
        <v>0</v>
      </c>
      <c r="AL69" s="142" t="s">
        <v>487</v>
      </c>
    </row>
    <row r="70" spans="1:38" x14ac:dyDescent="0.2">
      <c r="A70" s="1700"/>
      <c r="B70" s="1698"/>
      <c r="C70" s="1712"/>
      <c r="D70" s="1699"/>
      <c r="E70" s="1699"/>
      <c r="F70" s="1699"/>
      <c r="G70" s="1699"/>
      <c r="H70" s="1699"/>
      <c r="I70" s="1706"/>
      <c r="J70" s="1706"/>
      <c r="K70" s="1713" t="str">
        <f t="shared" si="13"/>
        <v/>
      </c>
      <c r="L70">
        <f t="shared" si="6"/>
        <v>0</v>
      </c>
      <c r="Q70">
        <f t="shared" si="15"/>
        <v>0</v>
      </c>
      <c r="R70">
        <f t="shared" si="7"/>
        <v>0</v>
      </c>
      <c r="S70">
        <f t="shared" si="8"/>
        <v>0</v>
      </c>
      <c r="T70">
        <f t="shared" si="9"/>
        <v>0</v>
      </c>
      <c r="U70">
        <f t="shared" si="10"/>
        <v>0</v>
      </c>
      <c r="V70">
        <f t="shared" si="11"/>
        <v>0</v>
      </c>
      <c r="AA70">
        <f t="shared" si="12"/>
        <v>0</v>
      </c>
      <c r="AL70" s="142" t="s">
        <v>488</v>
      </c>
    </row>
    <row r="71" spans="1:38" x14ac:dyDescent="0.2">
      <c r="A71" s="1700"/>
      <c r="B71" s="1698"/>
      <c r="C71" s="1712"/>
      <c r="D71" s="1699"/>
      <c r="E71" s="1699"/>
      <c r="F71" s="1699"/>
      <c r="G71" s="1699"/>
      <c r="H71" s="1699"/>
      <c r="I71" s="1706"/>
      <c r="J71" s="1706"/>
      <c r="K71" s="1713" t="str">
        <f t="shared" si="13"/>
        <v/>
      </c>
      <c r="L71">
        <f t="shared" si="6"/>
        <v>0</v>
      </c>
      <c r="Q71">
        <f t="shared" si="15"/>
        <v>0</v>
      </c>
      <c r="R71">
        <f t="shared" si="7"/>
        <v>0</v>
      </c>
      <c r="S71">
        <f t="shared" si="8"/>
        <v>0</v>
      </c>
      <c r="T71">
        <f t="shared" si="9"/>
        <v>0</v>
      </c>
      <c r="U71">
        <f t="shared" si="10"/>
        <v>0</v>
      </c>
      <c r="V71">
        <f t="shared" si="11"/>
        <v>0</v>
      </c>
      <c r="AA71">
        <f t="shared" si="12"/>
        <v>0</v>
      </c>
      <c r="AL71" s="142" t="s">
        <v>489</v>
      </c>
    </row>
    <row r="72" spans="1:38" x14ac:dyDescent="0.2">
      <c r="A72" s="1700"/>
      <c r="B72" s="1698"/>
      <c r="C72" s="1712"/>
      <c r="D72" s="1699"/>
      <c r="E72" s="1699"/>
      <c r="F72" s="1699"/>
      <c r="G72" s="1699"/>
      <c r="H72" s="1699"/>
      <c r="I72" s="1706"/>
      <c r="J72" s="1706"/>
      <c r="K72" s="1713" t="str">
        <f t="shared" si="13"/>
        <v/>
      </c>
      <c r="L72">
        <f t="shared" si="6"/>
        <v>0</v>
      </c>
      <c r="Q72">
        <f t="shared" si="14"/>
        <v>0</v>
      </c>
      <c r="R72">
        <f t="shared" si="7"/>
        <v>0</v>
      </c>
      <c r="S72">
        <f t="shared" si="8"/>
        <v>0</v>
      </c>
      <c r="T72">
        <f t="shared" si="9"/>
        <v>0</v>
      </c>
      <c r="U72">
        <f t="shared" si="10"/>
        <v>0</v>
      </c>
      <c r="V72">
        <f t="shared" si="11"/>
        <v>0</v>
      </c>
      <c r="AA72">
        <f t="shared" si="12"/>
        <v>0</v>
      </c>
      <c r="AL72" s="142" t="s">
        <v>490</v>
      </c>
    </row>
    <row r="73" spans="1:38" x14ac:dyDescent="0.2">
      <c r="A73" s="1700"/>
      <c r="B73" s="1698"/>
      <c r="C73" s="1712"/>
      <c r="D73" s="1699"/>
      <c r="E73" s="1699"/>
      <c r="F73" s="1699"/>
      <c r="G73" s="1699"/>
      <c r="H73" s="1699"/>
      <c r="I73" s="1706"/>
      <c r="J73" s="1706"/>
      <c r="K73" s="1713" t="str">
        <f t="shared" si="13"/>
        <v/>
      </c>
      <c r="L73">
        <f t="shared" si="6"/>
        <v>0</v>
      </c>
      <c r="Q73">
        <f t="shared" si="14"/>
        <v>0</v>
      </c>
      <c r="R73">
        <f t="shared" si="7"/>
        <v>0</v>
      </c>
      <c r="S73">
        <f t="shared" si="8"/>
        <v>0</v>
      </c>
      <c r="T73">
        <f t="shared" si="9"/>
        <v>0</v>
      </c>
      <c r="U73">
        <f t="shared" si="10"/>
        <v>0</v>
      </c>
      <c r="V73">
        <f t="shared" si="11"/>
        <v>0</v>
      </c>
      <c r="AA73">
        <f t="shared" si="12"/>
        <v>0</v>
      </c>
      <c r="AL73" s="142" t="s">
        <v>491</v>
      </c>
    </row>
    <row r="74" spans="1:38" x14ac:dyDescent="0.2">
      <c r="A74" s="1700"/>
      <c r="B74" s="1698"/>
      <c r="C74" s="1712"/>
      <c r="D74" s="1699"/>
      <c r="E74" s="1699"/>
      <c r="F74" s="1699"/>
      <c r="G74" s="1699"/>
      <c r="H74" s="1699"/>
      <c r="I74" s="1706"/>
      <c r="J74" s="1706"/>
      <c r="K74" s="1713" t="str">
        <f t="shared" si="13"/>
        <v/>
      </c>
      <c r="L74">
        <f t="shared" si="6"/>
        <v>0</v>
      </c>
      <c r="Q74">
        <f t="shared" si="14"/>
        <v>0</v>
      </c>
      <c r="R74">
        <f t="shared" si="7"/>
        <v>0</v>
      </c>
      <c r="S74">
        <f t="shared" si="8"/>
        <v>0</v>
      </c>
      <c r="T74">
        <f t="shared" si="9"/>
        <v>0</v>
      </c>
      <c r="U74">
        <f t="shared" si="10"/>
        <v>0</v>
      </c>
      <c r="V74">
        <f t="shared" si="11"/>
        <v>0</v>
      </c>
      <c r="AA74">
        <f t="shared" si="12"/>
        <v>0</v>
      </c>
      <c r="AL74" s="142" t="s">
        <v>492</v>
      </c>
    </row>
    <row r="75" spans="1:38" x14ac:dyDescent="0.2">
      <c r="A75" s="1700"/>
      <c r="B75" s="1698"/>
      <c r="C75" s="1712"/>
      <c r="D75" s="1699"/>
      <c r="E75" s="1699"/>
      <c r="F75" s="1699"/>
      <c r="G75" s="1699"/>
      <c r="H75" s="1699"/>
      <c r="I75" s="1706"/>
      <c r="J75" s="1706"/>
      <c r="K75" s="1713" t="str">
        <f t="shared" si="13"/>
        <v/>
      </c>
      <c r="L75">
        <f t="shared" si="6"/>
        <v>0</v>
      </c>
      <c r="Q75">
        <f t="shared" si="14"/>
        <v>0</v>
      </c>
      <c r="R75">
        <f t="shared" si="7"/>
        <v>0</v>
      </c>
      <c r="S75">
        <f t="shared" si="8"/>
        <v>0</v>
      </c>
      <c r="T75">
        <f t="shared" si="9"/>
        <v>0</v>
      </c>
      <c r="U75">
        <f t="shared" si="10"/>
        <v>0</v>
      </c>
      <c r="V75">
        <f t="shared" si="11"/>
        <v>0</v>
      </c>
      <c r="AA75">
        <f t="shared" si="12"/>
        <v>0</v>
      </c>
      <c r="AL75" s="142" t="s">
        <v>493</v>
      </c>
    </row>
    <row r="76" spans="1:38" x14ac:dyDescent="0.2">
      <c r="A76" s="1700"/>
      <c r="B76" s="1698"/>
      <c r="C76" s="1712"/>
      <c r="D76" s="1699"/>
      <c r="E76" s="1699"/>
      <c r="F76" s="1699"/>
      <c r="G76" s="1699"/>
      <c r="H76" s="1699"/>
      <c r="I76" s="1706"/>
      <c r="J76" s="1706"/>
      <c r="K76" s="1713" t="str">
        <f t="shared" si="13"/>
        <v/>
      </c>
      <c r="L76">
        <f t="shared" si="6"/>
        <v>0</v>
      </c>
      <c r="Q76">
        <f t="shared" si="14"/>
        <v>0</v>
      </c>
      <c r="R76">
        <f t="shared" si="7"/>
        <v>0</v>
      </c>
      <c r="S76">
        <f t="shared" si="8"/>
        <v>0</v>
      </c>
      <c r="T76">
        <f t="shared" si="9"/>
        <v>0</v>
      </c>
      <c r="U76">
        <f t="shared" si="10"/>
        <v>0</v>
      </c>
      <c r="V76">
        <f t="shared" si="11"/>
        <v>0</v>
      </c>
      <c r="AA76">
        <f t="shared" si="12"/>
        <v>0</v>
      </c>
      <c r="AL76" s="142" t="s">
        <v>494</v>
      </c>
    </row>
    <row r="77" spans="1:38" x14ac:dyDescent="0.2">
      <c r="A77" s="1700"/>
      <c r="B77" s="1698"/>
      <c r="C77" s="1712"/>
      <c r="D77" s="1699"/>
      <c r="E77" s="1699"/>
      <c r="F77" s="1699"/>
      <c r="G77" s="1699"/>
      <c r="H77" s="1699"/>
      <c r="I77" s="1706"/>
      <c r="J77" s="1706"/>
      <c r="K77" s="1713" t="str">
        <f t="shared" si="13"/>
        <v/>
      </c>
      <c r="L77">
        <f t="shared" si="6"/>
        <v>0</v>
      </c>
      <c r="Q77">
        <f t="shared" si="14"/>
        <v>0</v>
      </c>
      <c r="R77">
        <f t="shared" si="7"/>
        <v>0</v>
      </c>
      <c r="S77">
        <f t="shared" si="8"/>
        <v>0</v>
      </c>
      <c r="T77">
        <f t="shared" si="9"/>
        <v>0</v>
      </c>
      <c r="U77">
        <f t="shared" si="10"/>
        <v>0</v>
      </c>
      <c r="V77">
        <f t="shared" si="11"/>
        <v>0</v>
      </c>
      <c r="AA77">
        <f t="shared" si="12"/>
        <v>0</v>
      </c>
      <c r="AL77" s="142" t="s">
        <v>495</v>
      </c>
    </row>
    <row r="78" spans="1:38" x14ac:dyDescent="0.2">
      <c r="A78" s="1700"/>
      <c r="B78" s="1698"/>
      <c r="C78" s="1712"/>
      <c r="D78" s="1699"/>
      <c r="E78" s="1699"/>
      <c r="F78" s="1699"/>
      <c r="G78" s="1699"/>
      <c r="H78" s="1699"/>
      <c r="I78" s="1706"/>
      <c r="J78" s="1706"/>
      <c r="K78" s="1713" t="str">
        <f t="shared" si="13"/>
        <v/>
      </c>
      <c r="L78">
        <f t="shared" si="6"/>
        <v>0</v>
      </c>
      <c r="Q78">
        <f t="shared" si="14"/>
        <v>0</v>
      </c>
      <c r="R78">
        <f t="shared" si="7"/>
        <v>0</v>
      </c>
      <c r="S78">
        <f t="shared" si="8"/>
        <v>0</v>
      </c>
      <c r="T78">
        <f t="shared" si="9"/>
        <v>0</v>
      </c>
      <c r="U78">
        <f t="shared" si="10"/>
        <v>0</v>
      </c>
      <c r="V78">
        <f t="shared" si="11"/>
        <v>0</v>
      </c>
      <c r="AA78">
        <f t="shared" si="12"/>
        <v>0</v>
      </c>
      <c r="AL78" s="142" t="s">
        <v>3348</v>
      </c>
    </row>
    <row r="79" spans="1:38" x14ac:dyDescent="0.2">
      <c r="A79" s="1700"/>
      <c r="B79" s="1698"/>
      <c r="C79" s="1712"/>
      <c r="D79" s="1699"/>
      <c r="E79" s="1699"/>
      <c r="F79" s="1699"/>
      <c r="G79" s="1699"/>
      <c r="H79" s="1699"/>
      <c r="I79" s="1706"/>
      <c r="J79" s="1706"/>
      <c r="K79" s="1713" t="str">
        <f t="shared" si="13"/>
        <v/>
      </c>
      <c r="L79">
        <f t="shared" si="6"/>
        <v>0</v>
      </c>
      <c r="Q79">
        <f t="shared" si="14"/>
        <v>0</v>
      </c>
      <c r="R79">
        <f t="shared" si="7"/>
        <v>0</v>
      </c>
      <c r="S79">
        <f t="shared" si="8"/>
        <v>0</v>
      </c>
      <c r="T79">
        <f t="shared" si="9"/>
        <v>0</v>
      </c>
      <c r="U79">
        <f t="shared" si="10"/>
        <v>0</v>
      </c>
      <c r="V79">
        <f t="shared" si="11"/>
        <v>0</v>
      </c>
      <c r="AA79">
        <f t="shared" si="12"/>
        <v>0</v>
      </c>
      <c r="AL79" s="142" t="s">
        <v>496</v>
      </c>
    </row>
    <row r="80" spans="1:38" x14ac:dyDescent="0.2">
      <c r="A80" s="1700"/>
      <c r="B80" s="1698"/>
      <c r="C80" s="1712"/>
      <c r="D80" s="1699"/>
      <c r="E80" s="1699"/>
      <c r="F80" s="1699"/>
      <c r="G80" s="1699"/>
      <c r="H80" s="1699"/>
      <c r="I80" s="1706"/>
      <c r="J80" s="1706"/>
      <c r="K80" s="1713" t="str">
        <f t="shared" si="13"/>
        <v/>
      </c>
      <c r="L80">
        <f t="shared" si="6"/>
        <v>0</v>
      </c>
      <c r="Q80">
        <f t="shared" si="14"/>
        <v>0</v>
      </c>
      <c r="R80">
        <f t="shared" si="7"/>
        <v>0</v>
      </c>
      <c r="S80">
        <f t="shared" si="8"/>
        <v>0</v>
      </c>
      <c r="T80">
        <f t="shared" si="9"/>
        <v>0</v>
      </c>
      <c r="U80">
        <f t="shared" si="10"/>
        <v>0</v>
      </c>
      <c r="V80">
        <f t="shared" si="11"/>
        <v>0</v>
      </c>
      <c r="AA80">
        <f t="shared" si="12"/>
        <v>0</v>
      </c>
      <c r="AL80" s="142" t="s">
        <v>497</v>
      </c>
    </row>
    <row r="81" spans="1:38" x14ac:dyDescent="0.2">
      <c r="A81" s="1700"/>
      <c r="B81" s="1698"/>
      <c r="C81" s="1712"/>
      <c r="D81" s="1699"/>
      <c r="E81" s="1699"/>
      <c r="F81" s="1699"/>
      <c r="G81" s="1699"/>
      <c r="H81" s="1699"/>
      <c r="I81" s="1706"/>
      <c r="J81" s="1706"/>
      <c r="K81" s="1713" t="str">
        <f t="shared" si="13"/>
        <v/>
      </c>
      <c r="L81">
        <f t="shared" si="6"/>
        <v>0</v>
      </c>
      <c r="Q81">
        <f t="shared" ref="Q81:Q86" si="16">IF(AND(G75="Yes",R81=0),7,IF(S81=0,0,IF(A81=$S$59,10,7)))</f>
      </c>
      <c r="R81">
        <f t="shared" si="7"/>
        <v>0</v>
      </c>
      <c r="S81">
        <f t="shared" si="8"/>
        <v>0</v>
      </c>
      <c r="T81">
        <f t="shared" si="9"/>
        <v>0</v>
      </c>
      <c r="U81">
        <f t="shared" si="10"/>
        <v>0</v>
      </c>
      <c r="V81">
        <f t="shared" si="11"/>
        <v>0</v>
      </c>
      <c r="AA81">
        <f t="shared" si="12"/>
        <v>0</v>
      </c>
      <c r="AL81" s="142" t="s">
        <v>498</v>
      </c>
    </row>
    <row r="82" spans="1:38" x14ac:dyDescent="0.2">
      <c r="A82" s="1700"/>
      <c r="B82" s="1698"/>
      <c r="C82" s="1712"/>
      <c r="D82" s="1699"/>
      <c r="E82" s="1699"/>
      <c r="F82" s="1699"/>
      <c r="G82" s="1699"/>
      <c r="H82" s="1699"/>
      <c r="I82" s="1706"/>
      <c r="J82" s="1706"/>
      <c r="K82" s="1713" t="str">
        <f t="shared" si="13"/>
        <v/>
      </c>
      <c r="L82">
        <f t="shared" si="6"/>
        <v>0</v>
      </c>
      <c r="Q82">
        <f t="shared" si="16"/>
        <v>0</v>
      </c>
      <c r="R82">
        <f t="shared" si="7"/>
        <v>0</v>
      </c>
      <c r="S82">
        <f t="shared" si="8"/>
        <v>0</v>
      </c>
      <c r="T82">
        <f t="shared" si="9"/>
        <v>0</v>
      </c>
      <c r="U82">
        <f t="shared" si="10"/>
        <v>0</v>
      </c>
      <c r="V82">
        <f t="shared" si="11"/>
        <v>0</v>
      </c>
      <c r="AA82">
        <f t="shared" si="12"/>
        <v>0</v>
      </c>
      <c r="AL82" s="142" t="s">
        <v>499</v>
      </c>
    </row>
    <row r="83" spans="1:38" x14ac:dyDescent="0.2">
      <c r="A83" s="1700"/>
      <c r="B83" s="1698"/>
      <c r="C83" s="1712"/>
      <c r="D83" s="1699"/>
      <c r="E83" s="1699"/>
      <c r="F83" s="1699"/>
      <c r="G83" s="1699"/>
      <c r="H83" s="1699"/>
      <c r="I83" s="1706"/>
      <c r="J83" s="1706"/>
      <c r="K83" s="1713" t="str">
        <f t="shared" si="13"/>
        <v/>
      </c>
      <c r="L83">
        <f t="shared" si="6"/>
        <v>0</v>
      </c>
      <c r="Q83">
        <f t="shared" si="16"/>
        <v>0</v>
      </c>
      <c r="R83">
        <f t="shared" si="7"/>
        <v>0</v>
      </c>
      <c r="S83">
        <f t="shared" si="8"/>
        <v>0</v>
      </c>
      <c r="T83">
        <f t="shared" si="9"/>
        <v>0</v>
      </c>
      <c r="U83">
        <f t="shared" si="10"/>
        <v>0</v>
      </c>
      <c r="V83">
        <f t="shared" si="11"/>
        <v>0</v>
      </c>
      <c r="AA83">
        <f t="shared" si="12"/>
        <v>0</v>
      </c>
      <c r="AL83" s="142" t="s">
        <v>500</v>
      </c>
    </row>
    <row r="84" spans="1:38" hidden="1" x14ac:dyDescent="0.2">
      <c r="A84" s="1700"/>
      <c r="B84" s="1698"/>
      <c r="C84" s="1712"/>
      <c r="D84" s="1699"/>
      <c r="E84" s="1699"/>
      <c r="F84" s="1699"/>
      <c r="G84" s="1699"/>
      <c r="H84" s="1699"/>
      <c r="I84" s="1706"/>
      <c r="J84" s="1706"/>
      <c r="K84" s="1713" t="str">
        <f t="shared" si="13"/>
        <v/>
      </c>
      <c r="L84">
        <f t="shared" si="6"/>
        <v>0</v>
      </c>
      <c r="Q84">
        <f t="shared" si="16"/>
        <v>0</v>
      </c>
      <c r="R84">
        <f t="shared" si="7"/>
        <v>0</v>
      </c>
      <c r="S84">
        <f t="shared" ref="S84:S89" si="17">SUM(T84:V84)</f>
      </c>
      <c r="T84">
        <f t="shared" si="9"/>
        <v>0</v>
      </c>
      <c r="U84">
        <f t="shared" si="10"/>
        <v>0</v>
      </c>
      <c r="V84">
        <f t="shared" si="11"/>
        <v>0</v>
      </c>
      <c r="AA84">
        <f t="shared" si="12"/>
        <v>0</v>
      </c>
      <c r="AL84" s="142" t="s">
        <v>501</v>
      </c>
    </row>
    <row r="85" spans="1:38" hidden="1" x14ac:dyDescent="0.2">
      <c r="A85" s="1700"/>
      <c r="B85" s="1698"/>
      <c r="C85" s="1712"/>
      <c r="D85" s="1699"/>
      <c r="E85" s="1699"/>
      <c r="F85" s="1699"/>
      <c r="G85" s="1699"/>
      <c r="H85" s="1699"/>
      <c r="I85" s="1706"/>
      <c r="J85" s="1706"/>
      <c r="K85" s="1713" t="str">
        <f t="shared" si="13"/>
        <v/>
      </c>
      <c r="L85">
        <f t="shared" si="6"/>
        <v>0</v>
      </c>
      <c r="Q85">
        <f t="shared" si="16"/>
        <v>0</v>
      </c>
      <c r="R85">
        <f t="shared" si="7"/>
        <v>0</v>
      </c>
      <c r="S85">
        <f t="shared" si="17"/>
        <v>0</v>
      </c>
      <c r="T85">
        <f t="shared" si="9"/>
        <v>0</v>
      </c>
      <c r="U85">
        <f t="shared" si="10"/>
        <v>0</v>
      </c>
      <c r="V85">
        <f t="shared" si="11"/>
        <v>0</v>
      </c>
      <c r="AA85">
        <f t="shared" si="12"/>
        <v>0</v>
      </c>
      <c r="AL85" s="142" t="s">
        <v>502</v>
      </c>
    </row>
    <row r="86" spans="1:38" hidden="1" x14ac:dyDescent="0.2">
      <c r="A86" s="1700"/>
      <c r="B86" s="1698"/>
      <c r="C86" s="1712"/>
      <c r="D86" s="1699"/>
      <c r="E86" s="1699"/>
      <c r="F86" s="1699"/>
      <c r="G86" s="1699"/>
      <c r="H86" s="1699"/>
      <c r="I86" s="1706"/>
      <c r="J86" s="1706"/>
      <c r="K86" s="1713" t="str">
        <f t="shared" si="13"/>
        <v/>
      </c>
      <c r="L86">
        <f t="shared" si="6"/>
        <v>0</v>
      </c>
      <c r="Q86">
        <f t="shared" si="16"/>
        <v>0</v>
      </c>
      <c r="R86">
        <f t="shared" si="7"/>
        <v>0</v>
      </c>
      <c r="S86">
        <f t="shared" si="17"/>
        <v>0</v>
      </c>
      <c r="T86">
        <f t="shared" si="9"/>
        <v>0</v>
      </c>
      <c r="U86">
        <f t="shared" si="10"/>
        <v>0</v>
      </c>
      <c r="V86">
        <f t="shared" si="11"/>
        <v>0</v>
      </c>
      <c r="AA86">
        <f t="shared" si="12"/>
        <v>0</v>
      </c>
      <c r="AL86" s="142" t="s">
        <v>503</v>
      </c>
    </row>
    <row r="87" spans="1:38" hidden="1" x14ac:dyDescent="0.2">
      <c r="A87" s="1700"/>
      <c r="B87" s="1698"/>
      <c r="C87" s="1712"/>
      <c r="D87" s="1699"/>
      <c r="E87" s="1699"/>
      <c r="F87" s="1699"/>
      <c r="G87" s="1699"/>
      <c r="H87" s="1699"/>
      <c r="I87" s="1706"/>
      <c r="J87" s="1706"/>
      <c r="K87" s="1713" t="str">
        <f t="shared" si="13"/>
        <v/>
      </c>
      <c r="L87">
        <f t="shared" si="6"/>
        <v>0</v>
      </c>
      <c r="Q87">
        <f t="shared" si="14"/>
        <v>0</v>
      </c>
      <c r="R87">
        <f t="shared" si="7"/>
        <v>0</v>
      </c>
      <c r="S87">
        <f t="shared" si="17"/>
        <v>0</v>
      </c>
      <c r="T87">
        <f t="shared" si="9"/>
        <v>0</v>
      </c>
      <c r="U87">
        <f t="shared" si="10"/>
        <v>0</v>
      </c>
      <c r="V87">
        <f t="shared" si="11"/>
        <v>0</v>
      </c>
      <c r="AA87">
        <f t="shared" si="12"/>
        <v>0</v>
      </c>
      <c r="AL87" s="142"/>
    </row>
    <row r="88" spans="1:38" hidden="1" x14ac:dyDescent="0.2">
      <c r="A88" s="1700"/>
      <c r="B88" s="1698"/>
      <c r="C88" s="1712"/>
      <c r="D88" s="1699"/>
      <c r="E88" s="1699"/>
      <c r="F88" s="1699"/>
      <c r="G88" s="1699"/>
      <c r="H88" s="1699"/>
      <c r="I88" s="1706"/>
      <c r="J88" s="1706"/>
      <c r="K88" s="1713" t="str">
        <f t="shared" si="13"/>
        <v/>
      </c>
      <c r="L88">
        <f t="shared" si="6"/>
        <v>0</v>
      </c>
      <c r="Q88">
        <f t="shared" si="14"/>
        <v>0</v>
      </c>
      <c r="R88">
        <f t="shared" si="7"/>
        <v>0</v>
      </c>
      <c r="S88">
        <f t="shared" si="17"/>
        <v>0</v>
      </c>
      <c r="T88">
        <f t="shared" si="9"/>
        <v>0</v>
      </c>
      <c r="U88">
        <f t="shared" si="10"/>
        <v>0</v>
      </c>
      <c r="V88">
        <f t="shared" si="11"/>
        <v>0</v>
      </c>
      <c r="AA88">
        <f t="shared" si="12"/>
        <v>0</v>
      </c>
      <c r="AL88" s="142"/>
    </row>
    <row r="89" spans="1:38" hidden="1" x14ac:dyDescent="0.2">
      <c r="A89" s="1700"/>
      <c r="B89" s="1698"/>
      <c r="C89" s="1712"/>
      <c r="D89" s="1699"/>
      <c r="E89" s="1699"/>
      <c r="F89" s="1699"/>
      <c r="G89" s="1699"/>
      <c r="H89" s="1699"/>
      <c r="I89" s="1706"/>
      <c r="J89" s="1706"/>
      <c r="K89" s="1713" t="str">
        <f t="shared" si="13"/>
        <v/>
      </c>
      <c r="L89">
        <f t="shared" si="6"/>
        <v>0</v>
      </c>
      <c r="Q89">
        <f t="shared" si="14"/>
        <v>0</v>
      </c>
      <c r="R89">
        <f t="shared" si="7"/>
        <v>0</v>
      </c>
      <c r="S89">
        <f t="shared" si="17"/>
        <v>0</v>
      </c>
      <c r="T89">
        <f t="shared" si="9"/>
        <v>0</v>
      </c>
      <c r="U89">
        <f t="shared" si="10"/>
        <v>0</v>
      </c>
      <c r="V89">
        <f t="shared" si="11"/>
        <v>0</v>
      </c>
      <c r="AA89">
        <f t="shared" si="12"/>
        <v>0</v>
      </c>
      <c r="AL89" s="142"/>
    </row>
    <row r="90" spans="1:38" hidden="1" x14ac:dyDescent="0.2">
      <c r="A90" s="1700"/>
      <c r="B90" s="1698"/>
      <c r="C90" s="1712"/>
      <c r="D90" s="1699"/>
      <c r="E90" s="1699"/>
      <c r="F90" s="1699"/>
      <c r="G90" s="1699"/>
      <c r="H90" s="1699"/>
      <c r="I90" s="1706"/>
      <c r="J90" s="1706"/>
      <c r="K90" s="1713" t="str">
        <f t="shared" ref="K90:K153" si="18">IF(AND(AA90=1,A90=$S$59),"TIN required!",IF(Q90&gt;R90," All details required!",""))</f>
        <v/>
      </c>
      <c r="L90">
        <f t="shared" ref="L90:L153" si="19">IF(K90="",0,1)</f>
      </c>
      <c r="Q90">
        <f t="shared" ref="Q90:Q153" si="20">IF(AND(G84="Yes",R90=0),7,IF(S90=0,0,IF(A90=$S$59,10,7)))</f>
      </c>
      <c r="R90">
        <f t="shared" ref="R90:R153" si="21">IF(AND(AA90=0,A90=$S$59),T90+U90+V90,T90+V90)</f>
      </c>
      <c r="S90">
        <f t="shared" ref="S90:S153" si="22">SUM(T90:V90)</f>
      </c>
      <c r="T90">
        <f t="shared" ref="T90:T153" si="23">COUNTA(A90:B90)</f>
      </c>
      <c r="U90">
        <f t="shared" ref="U90:U153" si="24">COUNTA(C90:E90)</f>
      </c>
      <c r="V90">
        <f t="shared" ref="V90:V153" si="25">COUNTA(F90:J90)</f>
      </c>
      <c r="AA90">
        <f t="shared" si="12"/>
        <v>0</v>
      </c>
      <c r="AL90" s="142"/>
    </row>
    <row r="91" spans="1:38" hidden="1" x14ac:dyDescent="0.2">
      <c r="A91" s="1700"/>
      <c r="B91" s="1698"/>
      <c r="C91" s="1712"/>
      <c r="D91" s="1699"/>
      <c r="E91" s="1699"/>
      <c r="F91" s="1699"/>
      <c r="G91" s="1699"/>
      <c r="H91" s="1699"/>
      <c r="I91" s="1706"/>
      <c r="J91" s="1706"/>
      <c r="K91" s="1713" t="str">
        <f t="shared" si="18"/>
        <v/>
      </c>
      <c r="L91">
        <f t="shared" si="19"/>
        <v>0</v>
      </c>
      <c r="Q91">
        <f t="shared" si="20"/>
        <v>0</v>
      </c>
      <c r="R91">
        <f t="shared" si="21"/>
        <v>0</v>
      </c>
      <c r="S91">
        <f t="shared" si="22"/>
        <v>0</v>
      </c>
      <c r="T91">
        <f t="shared" si="23"/>
        <v>0</v>
      </c>
      <c r="U91">
        <f t="shared" si="24"/>
        <v>0</v>
      </c>
      <c r="V91">
        <f t="shared" si="25"/>
        <v>0</v>
      </c>
      <c r="AA91">
        <f t="shared" si="12"/>
        <v>0</v>
      </c>
      <c r="AL91" s="142"/>
    </row>
    <row r="92" spans="1:38" hidden="1" x14ac:dyDescent="0.2">
      <c r="A92" s="1700"/>
      <c r="B92" s="1698"/>
      <c r="C92" s="1712"/>
      <c r="D92" s="1699"/>
      <c r="E92" s="1699"/>
      <c r="F92" s="1699"/>
      <c r="G92" s="1699"/>
      <c r="H92" s="1699"/>
      <c r="I92" s="1706"/>
      <c r="J92" s="1706"/>
      <c r="K92" s="1713" t="str">
        <f t="shared" si="18"/>
        <v/>
      </c>
      <c r="L92">
        <f t="shared" si="19"/>
        <v>0</v>
      </c>
      <c r="Q92">
        <f t="shared" si="20"/>
        <v>0</v>
      </c>
      <c r="R92">
        <f t="shared" si="21"/>
        <v>0</v>
      </c>
      <c r="S92">
        <f t="shared" si="22"/>
        <v>0</v>
      </c>
      <c r="T92">
        <f t="shared" si="23"/>
        <v>0</v>
      </c>
      <c r="U92">
        <f t="shared" si="24"/>
        <v>0</v>
      </c>
      <c r="V92">
        <f t="shared" si="25"/>
        <v>0</v>
      </c>
      <c r="AA92">
        <f t="shared" si="12"/>
        <v>0</v>
      </c>
      <c r="AL92" s="142"/>
    </row>
    <row r="93" spans="1:38" hidden="1" x14ac:dyDescent="0.2">
      <c r="A93" s="1700"/>
      <c r="B93" s="1698"/>
      <c r="C93" s="1712"/>
      <c r="D93" s="1699"/>
      <c r="E93" s="1699"/>
      <c r="F93" s="1699"/>
      <c r="G93" s="1699"/>
      <c r="H93" s="1699"/>
      <c r="I93" s="1706"/>
      <c r="J93" s="1706"/>
      <c r="K93" s="1713" t="str">
        <f t="shared" si="18"/>
        <v/>
      </c>
      <c r="L93">
        <f t="shared" si="19"/>
        <v>0</v>
      </c>
      <c r="Q93">
        <f t="shared" si="20"/>
        <v>0</v>
      </c>
      <c r="R93">
        <f t="shared" si="21"/>
        <v>0</v>
      </c>
      <c r="S93">
        <f t="shared" si="22"/>
        <v>0</v>
      </c>
      <c r="T93">
        <f t="shared" si="23"/>
        <v>0</v>
      </c>
      <c r="U93">
        <f t="shared" si="24"/>
        <v>0</v>
      </c>
      <c r="V93">
        <f t="shared" si="25"/>
        <v>0</v>
      </c>
      <c r="AA93">
        <f t="shared" si="12"/>
        <v>0</v>
      </c>
      <c r="AL93" s="142"/>
    </row>
    <row r="94" spans="1:38" hidden="1" x14ac:dyDescent="0.2">
      <c r="A94" s="1700"/>
      <c r="B94" s="1698"/>
      <c r="C94" s="1712"/>
      <c r="D94" s="1699"/>
      <c r="E94" s="1699"/>
      <c r="F94" s="1699"/>
      <c r="G94" s="1699"/>
      <c r="H94" s="1699"/>
      <c r="I94" s="1706"/>
      <c r="J94" s="1706"/>
      <c r="K94" s="1713" t="str">
        <f t="shared" si="18"/>
        <v/>
      </c>
      <c r="L94">
        <f t="shared" si="19"/>
        <v>0</v>
      </c>
      <c r="Q94">
        <f t="shared" si="20"/>
        <v>0</v>
      </c>
      <c r="R94">
        <f t="shared" si="21"/>
        <v>0</v>
      </c>
      <c r="S94">
        <f t="shared" si="22"/>
        <v>0</v>
      </c>
      <c r="T94">
        <f t="shared" si="23"/>
        <v>0</v>
      </c>
      <c r="U94">
        <f t="shared" si="24"/>
        <v>0</v>
      </c>
      <c r="V94">
        <f t="shared" si="25"/>
        <v>0</v>
      </c>
      <c r="AA94">
        <f t="shared" si="12"/>
        <v>0</v>
      </c>
      <c r="AL94" s="142"/>
    </row>
    <row r="95" spans="1:38" hidden="1" x14ac:dyDescent="0.2">
      <c r="A95" s="1700"/>
      <c r="B95" s="1698"/>
      <c r="C95" s="1712"/>
      <c r="D95" s="1699"/>
      <c r="E95" s="1699"/>
      <c r="F95" s="1699"/>
      <c r="G95" s="1699"/>
      <c r="H95" s="1699"/>
      <c r="I95" s="1706"/>
      <c r="J95" s="1706"/>
      <c r="K95" s="1713" t="str">
        <f t="shared" si="18"/>
        <v/>
      </c>
      <c r="L95">
        <f t="shared" si="19"/>
        <v>0</v>
      </c>
      <c r="Q95">
        <f t="shared" si="20"/>
        <v>0</v>
      </c>
      <c r="R95">
        <f t="shared" si="21"/>
        <v>0</v>
      </c>
      <c r="S95">
        <f t="shared" si="22"/>
        <v>0</v>
      </c>
      <c r="T95">
        <f t="shared" si="23"/>
        <v>0</v>
      </c>
      <c r="U95">
        <f t="shared" si="24"/>
        <v>0</v>
      </c>
      <c r="V95">
        <f t="shared" si="25"/>
        <v>0</v>
      </c>
      <c r="AA95">
        <f t="shared" si="12"/>
        <v>0</v>
      </c>
      <c r="AL95" s="142"/>
    </row>
    <row r="96" spans="1:38" hidden="1" x14ac:dyDescent="0.2">
      <c r="A96" s="1700"/>
      <c r="B96" s="1698"/>
      <c r="C96" s="1712"/>
      <c r="D96" s="1699"/>
      <c r="E96" s="1699"/>
      <c r="F96" s="1699"/>
      <c r="G96" s="1699"/>
      <c r="H96" s="1699"/>
      <c r="I96" s="1706"/>
      <c r="J96" s="1706"/>
      <c r="K96" s="1713" t="str">
        <f t="shared" si="18"/>
        <v/>
      </c>
      <c r="L96">
        <f t="shared" si="19"/>
        <v>0</v>
      </c>
      <c r="Q96">
        <f t="shared" si="20"/>
        <v>0</v>
      </c>
      <c r="R96">
        <f t="shared" si="21"/>
        <v>0</v>
      </c>
      <c r="S96">
        <f t="shared" si="22"/>
        <v>0</v>
      </c>
      <c r="T96">
        <f t="shared" si="23"/>
        <v>0</v>
      </c>
      <c r="U96">
        <f t="shared" si="24"/>
        <v>0</v>
      </c>
      <c r="V96">
        <f t="shared" si="25"/>
        <v>0</v>
      </c>
      <c r="AA96">
        <f t="shared" si="12"/>
        <v>0</v>
      </c>
      <c r="AL96" s="142"/>
    </row>
    <row r="97" spans="1:38" hidden="1" x14ac:dyDescent="0.2">
      <c r="A97" s="1700"/>
      <c r="B97" s="1698"/>
      <c r="C97" s="1712"/>
      <c r="D97" s="1699"/>
      <c r="E97" s="1699"/>
      <c r="F97" s="1699"/>
      <c r="G97" s="1699"/>
      <c r="H97" s="1699"/>
      <c r="I97" s="1706"/>
      <c r="J97" s="1706"/>
      <c r="K97" s="1713" t="str">
        <f t="shared" si="18"/>
        <v/>
      </c>
      <c r="L97">
        <f t="shared" si="19"/>
        <v>0</v>
      </c>
      <c r="Q97">
        <f t="shared" si="20"/>
        <v>0</v>
      </c>
      <c r="R97">
        <f t="shared" si="21"/>
        <v>0</v>
      </c>
      <c r="S97">
        <f t="shared" si="22"/>
        <v>0</v>
      </c>
      <c r="T97">
        <f t="shared" si="23"/>
        <v>0</v>
      </c>
      <c r="U97">
        <f t="shared" si="24"/>
        <v>0</v>
      </c>
      <c r="V97">
        <f t="shared" si="25"/>
        <v>0</v>
      </c>
      <c r="AA97">
        <f t="shared" si="12"/>
        <v>0</v>
      </c>
      <c r="AL97" s="142"/>
    </row>
    <row r="98" spans="1:38" hidden="1" x14ac:dyDescent="0.2">
      <c r="A98" s="1700"/>
      <c r="B98" s="1698"/>
      <c r="C98" s="1712"/>
      <c r="D98" s="1699"/>
      <c r="E98" s="1699"/>
      <c r="F98" s="1699"/>
      <c r="G98" s="1699"/>
      <c r="H98" s="1699"/>
      <c r="I98" s="1706"/>
      <c r="J98" s="1706"/>
      <c r="K98" s="1713" t="str">
        <f t="shared" si="18"/>
        <v/>
      </c>
      <c r="L98">
        <f t="shared" si="19"/>
        <v>0</v>
      </c>
      <c r="Q98">
        <f t="shared" si="20"/>
        <v>0</v>
      </c>
      <c r="R98">
        <f t="shared" si="21"/>
        <v>0</v>
      </c>
      <c r="S98">
        <f t="shared" si="22"/>
        <v>0</v>
      </c>
      <c r="T98">
        <f t="shared" si="23"/>
        <v>0</v>
      </c>
      <c r="U98">
        <f t="shared" si="24"/>
        <v>0</v>
      </c>
      <c r="V98">
        <f t="shared" si="25"/>
        <v>0</v>
      </c>
      <c r="AA98">
        <f t="shared" si="12"/>
        <v>0</v>
      </c>
      <c r="AL98" s="142"/>
    </row>
    <row r="99" spans="1:38" hidden="1" x14ac:dyDescent="0.2">
      <c r="A99" s="1700"/>
      <c r="B99" s="1698"/>
      <c r="C99" s="1712"/>
      <c r="D99" s="1699"/>
      <c r="E99" s="1699"/>
      <c r="F99" s="1699"/>
      <c r="G99" s="1699"/>
      <c r="H99" s="1699"/>
      <c r="I99" s="1706"/>
      <c r="J99" s="1706"/>
      <c r="K99" s="1713" t="str">
        <f t="shared" si="18"/>
        <v/>
      </c>
      <c r="L99">
        <f t="shared" si="19"/>
        <v>0</v>
      </c>
      <c r="Q99">
        <f t="shared" si="20"/>
        <v>0</v>
      </c>
      <c r="R99">
        <f t="shared" si="21"/>
        <v>0</v>
      </c>
      <c r="S99">
        <f t="shared" si="22"/>
        <v>0</v>
      </c>
      <c r="T99">
        <f t="shared" si="23"/>
        <v>0</v>
      </c>
      <c r="U99">
        <f t="shared" si="24"/>
        <v>0</v>
      </c>
      <c r="V99">
        <f t="shared" si="25"/>
        <v>0</v>
      </c>
      <c r="AA99">
        <f t="shared" si="12"/>
        <v>0</v>
      </c>
      <c r="AL99" s="142"/>
    </row>
    <row r="100" spans="1:38" hidden="1" x14ac:dyDescent="0.2">
      <c r="A100" s="1700"/>
      <c r="B100" s="1698"/>
      <c r="C100" s="1712"/>
      <c r="D100" s="1699"/>
      <c r="E100" s="1699"/>
      <c r="F100" s="1699"/>
      <c r="G100" s="1699"/>
      <c r="H100" s="1699"/>
      <c r="I100" s="1706"/>
      <c r="J100" s="1706"/>
      <c r="K100" s="1713" t="str">
        <f t="shared" si="18"/>
        <v/>
      </c>
      <c r="L100">
        <f t="shared" si="19"/>
        <v>0</v>
      </c>
      <c r="Q100">
        <f t="shared" si="20"/>
        <v>0</v>
      </c>
      <c r="R100">
        <f t="shared" si="21"/>
        <v>0</v>
      </c>
      <c r="S100">
        <f t="shared" si="22"/>
        <v>0</v>
      </c>
      <c r="T100">
        <f t="shared" si="23"/>
        <v>0</v>
      </c>
      <c r="U100">
        <f t="shared" si="24"/>
        <v>0</v>
      </c>
      <c r="V100">
        <f t="shared" si="25"/>
        <v>0</v>
      </c>
      <c r="AA100">
        <f t="shared" si="12"/>
        <v>0</v>
      </c>
      <c r="AL100" s="142"/>
    </row>
    <row r="101" spans="1:38" hidden="1" x14ac:dyDescent="0.2">
      <c r="A101" s="1700"/>
      <c r="B101" s="1698"/>
      <c r="C101" s="1712"/>
      <c r="D101" s="1699"/>
      <c r="E101" s="1699"/>
      <c r="F101" s="1699"/>
      <c r="G101" s="1699"/>
      <c r="H101" s="1699"/>
      <c r="I101" s="1706"/>
      <c r="J101" s="1706"/>
      <c r="K101" s="1713" t="str">
        <f t="shared" si="18"/>
        <v/>
      </c>
      <c r="L101">
        <f t="shared" si="19"/>
        <v>0</v>
      </c>
      <c r="Q101">
        <f t="shared" si="20"/>
        <v>0</v>
      </c>
      <c r="R101">
        <f t="shared" si="21"/>
        <v>0</v>
      </c>
      <c r="S101">
        <f t="shared" si="22"/>
        <v>0</v>
      </c>
      <c r="T101">
        <f t="shared" si="23"/>
        <v>0</v>
      </c>
      <c r="U101">
        <f t="shared" si="24"/>
        <v>0</v>
      </c>
      <c r="V101">
        <f t="shared" si="25"/>
        <v>0</v>
      </c>
      <c r="AA101">
        <f t="shared" si="12"/>
        <v>0</v>
      </c>
      <c r="AL101" s="142"/>
    </row>
    <row r="102" spans="1:38" hidden="1" x14ac:dyDescent="0.2">
      <c r="A102" s="1700"/>
      <c r="B102" s="1698"/>
      <c r="C102" s="1712"/>
      <c r="D102" s="1699"/>
      <c r="E102" s="1699"/>
      <c r="F102" s="1699"/>
      <c r="G102" s="1699"/>
      <c r="H102" s="1699"/>
      <c r="I102" s="1706"/>
      <c r="J102" s="1706"/>
      <c r="K102" s="1713" t="str">
        <f t="shared" si="18"/>
        <v/>
      </c>
      <c r="L102">
        <f t="shared" si="19"/>
        <v>0</v>
      </c>
      <c r="Q102">
        <f t="shared" si="20"/>
        <v>0</v>
      </c>
      <c r="R102">
        <f t="shared" si="21"/>
        <v>0</v>
      </c>
      <c r="S102">
        <f t="shared" si="22"/>
        <v>0</v>
      </c>
      <c r="T102">
        <f t="shared" si="23"/>
        <v>0</v>
      </c>
      <c r="U102">
        <f t="shared" si="24"/>
        <v>0</v>
      </c>
      <c r="V102">
        <f t="shared" si="25"/>
        <v>0</v>
      </c>
      <c r="AA102">
        <f t="shared" si="12"/>
        <v>0</v>
      </c>
      <c r="AL102" s="142"/>
    </row>
    <row r="103" spans="1:38" hidden="1" x14ac:dyDescent="0.2">
      <c r="A103" s="1700"/>
      <c r="B103" s="1698"/>
      <c r="C103" s="1712"/>
      <c r="D103" s="1699"/>
      <c r="E103" s="1699"/>
      <c r="F103" s="1699"/>
      <c r="G103" s="1699"/>
      <c r="H103" s="1699"/>
      <c r="I103" s="1706"/>
      <c r="J103" s="1706"/>
      <c r="K103" s="1713" t="str">
        <f t="shared" si="18"/>
        <v/>
      </c>
      <c r="L103">
        <f t="shared" si="19"/>
        <v>0</v>
      </c>
      <c r="Q103">
        <f t="shared" si="20"/>
        <v>0</v>
      </c>
      <c r="R103">
        <f t="shared" si="21"/>
        <v>0</v>
      </c>
      <c r="S103">
        <f t="shared" si="22"/>
        <v>0</v>
      </c>
      <c r="T103">
        <f t="shared" si="23"/>
        <v>0</v>
      </c>
      <c r="U103">
        <f t="shared" si="24"/>
        <v>0</v>
      </c>
      <c r="V103">
        <f t="shared" si="25"/>
        <v>0</v>
      </c>
      <c r="AA103">
        <f t="shared" si="12"/>
        <v>0</v>
      </c>
      <c r="AL103" s="142"/>
    </row>
    <row r="104" spans="1:38" hidden="1" x14ac:dyDescent="0.2">
      <c r="A104" s="1700"/>
      <c r="B104" s="1698"/>
      <c r="C104" s="1712"/>
      <c r="D104" s="1699"/>
      <c r="E104" s="1699"/>
      <c r="F104" s="1699"/>
      <c r="G104" s="1699"/>
      <c r="H104" s="1699"/>
      <c r="I104" s="1706"/>
      <c r="J104" s="1706"/>
      <c r="K104" s="1713" t="str">
        <f t="shared" si="18"/>
        <v/>
      </c>
      <c r="L104">
        <f t="shared" si="19"/>
        <v>0</v>
      </c>
      <c r="Q104">
        <f t="shared" si="20"/>
        <v>0</v>
      </c>
      <c r="R104">
        <f t="shared" si="21"/>
        <v>0</v>
      </c>
      <c r="S104">
        <f t="shared" si="22"/>
        <v>0</v>
      </c>
      <c r="T104">
        <f t="shared" si="23"/>
        <v>0</v>
      </c>
      <c r="U104">
        <f t="shared" si="24"/>
        <v>0</v>
      </c>
      <c r="V104">
        <f t="shared" si="25"/>
        <v>0</v>
      </c>
      <c r="AA104">
        <f t="shared" si="12"/>
        <v>0</v>
      </c>
      <c r="AL104" s="142"/>
    </row>
    <row r="105" spans="1:38" hidden="1" x14ac:dyDescent="0.2">
      <c r="A105" s="1700"/>
      <c r="B105" s="1698"/>
      <c r="C105" s="1712"/>
      <c r="D105" s="1699"/>
      <c r="E105" s="1699"/>
      <c r="F105" s="1699"/>
      <c r="G105" s="1699"/>
      <c r="H105" s="1699"/>
      <c r="I105" s="1706"/>
      <c r="J105" s="1706"/>
      <c r="K105" s="1713" t="str">
        <f t="shared" si="18"/>
        <v/>
      </c>
      <c r="L105">
        <f t="shared" si="19"/>
        <v>0</v>
      </c>
      <c r="Q105">
        <f t="shared" si="20"/>
        <v>0</v>
      </c>
      <c r="R105">
        <f t="shared" si="21"/>
        <v>0</v>
      </c>
      <c r="S105">
        <f t="shared" si="22"/>
        <v>0</v>
      </c>
      <c r="T105">
        <f t="shared" si="23"/>
        <v>0</v>
      </c>
      <c r="U105">
        <f t="shared" si="24"/>
        <v>0</v>
      </c>
      <c r="V105">
        <f t="shared" si="25"/>
        <v>0</v>
      </c>
      <c r="AA105">
        <f t="shared" si="12"/>
        <v>0</v>
      </c>
      <c r="AL105" s="142"/>
    </row>
    <row r="106" spans="1:38" hidden="1" x14ac:dyDescent="0.2">
      <c r="A106" s="1700"/>
      <c r="B106" s="1698"/>
      <c r="C106" s="1712"/>
      <c r="D106" s="1699"/>
      <c r="E106" s="1699"/>
      <c r="F106" s="1699"/>
      <c r="G106" s="1699"/>
      <c r="H106" s="1699"/>
      <c r="I106" s="1706"/>
      <c r="J106" s="1706"/>
      <c r="K106" s="1713" t="str">
        <f t="shared" si="18"/>
        <v/>
      </c>
      <c r="L106">
        <f t="shared" si="19"/>
        <v>0</v>
      </c>
      <c r="Q106">
        <f t="shared" si="20"/>
        <v>0</v>
      </c>
      <c r="R106">
        <f t="shared" si="21"/>
        <v>0</v>
      </c>
      <c r="S106">
        <f t="shared" si="22"/>
        <v>0</v>
      </c>
      <c r="T106">
        <f t="shared" si="23"/>
        <v>0</v>
      </c>
      <c r="U106">
        <f t="shared" si="24"/>
        <v>0</v>
      </c>
      <c r="V106">
        <f t="shared" si="25"/>
        <v>0</v>
      </c>
      <c r="AA106">
        <f t="shared" si="12"/>
        <v>0</v>
      </c>
      <c r="AL106" s="142"/>
    </row>
    <row r="107" spans="1:38" hidden="1" x14ac:dyDescent="0.2">
      <c r="A107" s="1700"/>
      <c r="B107" s="1698"/>
      <c r="C107" s="1712"/>
      <c r="D107" s="1699"/>
      <c r="E107" s="1699"/>
      <c r="F107" s="1699"/>
      <c r="G107" s="1699"/>
      <c r="H107" s="1699"/>
      <c r="I107" s="1706"/>
      <c r="J107" s="1706"/>
      <c r="K107" s="1713" t="str">
        <f t="shared" si="18"/>
        <v/>
      </c>
      <c r="L107">
        <f t="shared" si="19"/>
        <v>0</v>
      </c>
      <c r="Q107">
        <f t="shared" si="20"/>
        <v>0</v>
      </c>
      <c r="R107">
        <f t="shared" si="21"/>
        <v>0</v>
      </c>
      <c r="S107">
        <f t="shared" si="22"/>
        <v>0</v>
      </c>
      <c r="T107">
        <f t="shared" si="23"/>
        <v>0</v>
      </c>
      <c r="U107">
        <f t="shared" si="24"/>
        <v>0</v>
      </c>
      <c r="V107">
        <f t="shared" si="25"/>
        <v>0</v>
      </c>
      <c r="AA107">
        <f t="shared" si="12"/>
        <v>0</v>
      </c>
      <c r="AL107" s="142"/>
    </row>
    <row r="108" spans="1:38" hidden="1" x14ac:dyDescent="0.2">
      <c r="A108" s="1700"/>
      <c r="B108" s="1698"/>
      <c r="C108" s="1712"/>
      <c r="D108" s="1699"/>
      <c r="E108" s="1699"/>
      <c r="F108" s="1699"/>
      <c r="G108" s="1699"/>
      <c r="H108" s="1699"/>
      <c r="I108" s="1706"/>
      <c r="J108" s="1706"/>
      <c r="K108" s="1713" t="str">
        <f t="shared" si="18"/>
        <v/>
      </c>
      <c r="L108">
        <f t="shared" si="19"/>
        <v>0</v>
      </c>
      <c r="Q108">
        <f t="shared" si="20"/>
        <v>0</v>
      </c>
      <c r="R108">
        <f t="shared" si="21"/>
        <v>0</v>
      </c>
      <c r="S108">
        <f t="shared" si="22"/>
        <v>0</v>
      </c>
      <c r="T108">
        <f t="shared" si="23"/>
        <v>0</v>
      </c>
      <c r="U108">
        <f t="shared" si="24"/>
        <v>0</v>
      </c>
      <c r="V108">
        <f t="shared" si="25"/>
        <v>0</v>
      </c>
      <c r="AA108">
        <f t="shared" si="12"/>
        <v>0</v>
      </c>
      <c r="AL108" s="142"/>
    </row>
    <row r="109" spans="1:38" hidden="1" x14ac:dyDescent="0.2">
      <c r="A109" s="1700"/>
      <c r="B109" s="1698"/>
      <c r="C109" s="1712"/>
      <c r="D109" s="1699"/>
      <c r="E109" s="1699"/>
      <c r="F109" s="1699"/>
      <c r="G109" s="1699"/>
      <c r="H109" s="1699"/>
      <c r="I109" s="1706"/>
      <c r="J109" s="1706"/>
      <c r="K109" s="1713" t="str">
        <f t="shared" si="18"/>
        <v/>
      </c>
      <c r="L109">
        <f t="shared" si="19"/>
        <v>0</v>
      </c>
      <c r="Q109">
        <f t="shared" si="20"/>
        <v>0</v>
      </c>
      <c r="R109">
        <f t="shared" si="21"/>
        <v>0</v>
      </c>
      <c r="S109">
        <f t="shared" si="22"/>
        <v>0</v>
      </c>
      <c r="T109">
        <f t="shared" si="23"/>
        <v>0</v>
      </c>
      <c r="U109">
        <f t="shared" si="24"/>
        <v>0</v>
      </c>
      <c r="V109">
        <f t="shared" si="25"/>
        <v>0</v>
      </c>
      <c r="AA109">
        <f t="shared" si="12"/>
        <v>0</v>
      </c>
      <c r="AL109" s="142"/>
    </row>
    <row r="110" spans="1:38" hidden="1" x14ac:dyDescent="0.2">
      <c r="A110" s="1700"/>
      <c r="B110" s="1698"/>
      <c r="C110" s="1712"/>
      <c r="D110" s="1699"/>
      <c r="E110" s="1699"/>
      <c r="F110" s="1699"/>
      <c r="G110" s="1699"/>
      <c r="H110" s="1699"/>
      <c r="I110" s="1706"/>
      <c r="J110" s="1706"/>
      <c r="K110" s="1713" t="str">
        <f t="shared" si="18"/>
        <v/>
      </c>
      <c r="L110">
        <f t="shared" si="19"/>
        <v>0</v>
      </c>
      <c r="Q110">
        <f t="shared" si="20"/>
        <v>0</v>
      </c>
      <c r="R110">
        <f t="shared" si="21"/>
        <v>0</v>
      </c>
      <c r="S110">
        <f t="shared" si="22"/>
        <v>0</v>
      </c>
      <c r="T110">
        <f t="shared" si="23"/>
        <v>0</v>
      </c>
      <c r="U110">
        <f t="shared" si="24"/>
        <v>0</v>
      </c>
      <c r="V110">
        <f t="shared" si="25"/>
        <v>0</v>
      </c>
      <c r="AA110">
        <f t="shared" si="12"/>
        <v>0</v>
      </c>
      <c r="AL110" s="142"/>
    </row>
    <row r="111" spans="1:38" hidden="1" x14ac:dyDescent="0.2">
      <c r="A111" s="1700"/>
      <c r="B111" s="1698"/>
      <c r="C111" s="1712"/>
      <c r="D111" s="1699"/>
      <c r="E111" s="1699"/>
      <c r="F111" s="1699"/>
      <c r="G111" s="1699"/>
      <c r="H111" s="1699"/>
      <c r="I111" s="1706"/>
      <c r="J111" s="1706"/>
      <c r="K111" s="1713" t="str">
        <f t="shared" si="18"/>
        <v/>
      </c>
      <c r="L111">
        <f t="shared" si="19"/>
        <v>0</v>
      </c>
      <c r="Q111">
        <f t="shared" si="20"/>
        <v>0</v>
      </c>
      <c r="R111">
        <f t="shared" si="21"/>
        <v>0</v>
      </c>
      <c r="S111">
        <f t="shared" si="22"/>
        <v>0</v>
      </c>
      <c r="T111">
        <f t="shared" si="23"/>
        <v>0</v>
      </c>
      <c r="U111">
        <f t="shared" si="24"/>
        <v>0</v>
      </c>
      <c r="V111">
        <f t="shared" si="25"/>
        <v>0</v>
      </c>
      <c r="AA111">
        <f t="shared" si="12"/>
        <v>0</v>
      </c>
      <c r="AL111" s="142"/>
    </row>
    <row r="112" spans="1:38" hidden="1" x14ac:dyDescent="0.2">
      <c r="A112" s="1700"/>
      <c r="B112" s="1698"/>
      <c r="C112" s="1712"/>
      <c r="D112" s="1699"/>
      <c r="E112" s="1699"/>
      <c r="F112" s="1699"/>
      <c r="G112" s="1699"/>
      <c r="H112" s="1699"/>
      <c r="I112" s="1706"/>
      <c r="J112" s="1706"/>
      <c r="K112" s="1713" t="str">
        <f t="shared" si="18"/>
        <v/>
      </c>
      <c r="L112">
        <f t="shared" si="19"/>
        <v>0</v>
      </c>
      <c r="Q112">
        <f t="shared" si="20"/>
        <v>0</v>
      </c>
      <c r="R112">
        <f t="shared" si="21"/>
        <v>0</v>
      </c>
      <c r="S112">
        <f t="shared" si="22"/>
        <v>0</v>
      </c>
      <c r="T112">
        <f t="shared" si="23"/>
        <v>0</v>
      </c>
      <c r="U112">
        <f t="shared" si="24"/>
        <v>0</v>
      </c>
      <c r="V112">
        <f t="shared" si="25"/>
        <v>0</v>
      </c>
      <c r="AA112">
        <f t="shared" si="12"/>
        <v>0</v>
      </c>
      <c r="AL112" s="142"/>
    </row>
    <row r="113" spans="1:38" hidden="1" x14ac:dyDescent="0.2">
      <c r="A113" s="1700"/>
      <c r="B113" s="1698"/>
      <c r="C113" s="1712"/>
      <c r="D113" s="1699"/>
      <c r="E113" s="1699"/>
      <c r="F113" s="1699"/>
      <c r="G113" s="1699"/>
      <c r="H113" s="1699"/>
      <c r="I113" s="1706"/>
      <c r="J113" s="1706"/>
      <c r="K113" s="1713" t="str">
        <f t="shared" si="18"/>
        <v/>
      </c>
      <c r="L113">
        <f t="shared" si="19"/>
        <v>0</v>
      </c>
      <c r="Q113">
        <f t="shared" si="20"/>
        <v>0</v>
      </c>
      <c r="R113">
        <f t="shared" si="21"/>
        <v>0</v>
      </c>
      <c r="S113">
        <f t="shared" si="22"/>
        <v>0</v>
      </c>
      <c r="T113">
        <f t="shared" si="23"/>
        <v>0</v>
      </c>
      <c r="U113">
        <f t="shared" si="24"/>
        <v>0</v>
      </c>
      <c r="V113">
        <f t="shared" si="25"/>
        <v>0</v>
      </c>
      <c r="AA113">
        <f t="shared" si="12"/>
        <v>0</v>
      </c>
      <c r="AL113" s="142"/>
    </row>
    <row r="114" spans="1:38" hidden="1" x14ac:dyDescent="0.2">
      <c r="A114" s="1700"/>
      <c r="B114" s="1698"/>
      <c r="C114" s="1712"/>
      <c r="D114" s="1699"/>
      <c r="E114" s="1699"/>
      <c r="F114" s="1699"/>
      <c r="G114" s="1699"/>
      <c r="H114" s="1699"/>
      <c r="I114" s="1706"/>
      <c r="J114" s="1706"/>
      <c r="K114" s="1713" t="str">
        <f t="shared" si="18"/>
        <v/>
      </c>
      <c r="L114">
        <f t="shared" si="19"/>
        <v>0</v>
      </c>
      <c r="Q114">
        <f t="shared" si="20"/>
        <v>0</v>
      </c>
      <c r="R114">
        <f t="shared" si="21"/>
        <v>0</v>
      </c>
      <c r="S114">
        <f t="shared" si="22"/>
        <v>0</v>
      </c>
      <c r="T114">
        <f t="shared" si="23"/>
        <v>0</v>
      </c>
      <c r="U114">
        <f t="shared" si="24"/>
        <v>0</v>
      </c>
      <c r="V114">
        <f t="shared" si="25"/>
        <v>0</v>
      </c>
      <c r="AA114">
        <f t="shared" si="12"/>
        <v>0</v>
      </c>
      <c r="AL114" s="142"/>
    </row>
    <row r="115" spans="1:38" hidden="1" x14ac:dyDescent="0.2">
      <c r="A115" s="1700"/>
      <c r="B115" s="1698"/>
      <c r="C115" s="1712"/>
      <c r="D115" s="1699"/>
      <c r="E115" s="1699"/>
      <c r="F115" s="1699"/>
      <c r="G115" s="1699"/>
      <c r="H115" s="1699"/>
      <c r="I115" s="1706"/>
      <c r="J115" s="1706"/>
      <c r="K115" s="1713" t="str">
        <f t="shared" si="18"/>
        <v/>
      </c>
      <c r="L115">
        <f t="shared" si="19"/>
        <v>0</v>
      </c>
      <c r="Q115">
        <f t="shared" si="20"/>
        <v>0</v>
      </c>
      <c r="R115">
        <f t="shared" si="21"/>
        <v>0</v>
      </c>
      <c r="S115">
        <f t="shared" si="22"/>
        <v>0</v>
      </c>
      <c r="T115">
        <f t="shared" si="23"/>
        <v>0</v>
      </c>
      <c r="U115">
        <f t="shared" si="24"/>
        <v>0</v>
      </c>
      <c r="V115">
        <f t="shared" si="25"/>
        <v>0</v>
      </c>
      <c r="AA115">
        <f t="shared" si="12"/>
        <v>0</v>
      </c>
      <c r="AL115" s="142"/>
    </row>
    <row r="116" spans="1:38" hidden="1" x14ac:dyDescent="0.2">
      <c r="A116" s="1700"/>
      <c r="B116" s="1698"/>
      <c r="C116" s="1712"/>
      <c r="D116" s="1699"/>
      <c r="E116" s="1699"/>
      <c r="F116" s="1699"/>
      <c r="G116" s="1699"/>
      <c r="H116" s="1699"/>
      <c r="I116" s="1706"/>
      <c r="J116" s="1706"/>
      <c r="K116" s="1713" t="str">
        <f t="shared" si="18"/>
        <v/>
      </c>
      <c r="L116">
        <f t="shared" si="19"/>
        <v>0</v>
      </c>
      <c r="Q116">
        <f t="shared" si="20"/>
        <v>0</v>
      </c>
      <c r="R116">
        <f t="shared" si="21"/>
        <v>0</v>
      </c>
      <c r="S116">
        <f t="shared" si="22"/>
        <v>0</v>
      </c>
      <c r="T116">
        <f t="shared" si="23"/>
        <v>0</v>
      </c>
      <c r="U116">
        <f t="shared" si="24"/>
        <v>0</v>
      </c>
      <c r="V116">
        <f t="shared" si="25"/>
        <v>0</v>
      </c>
      <c r="AA116">
        <f t="shared" si="12"/>
        <v>0</v>
      </c>
      <c r="AL116" s="142"/>
    </row>
    <row r="117" spans="1:38" hidden="1" x14ac:dyDescent="0.2">
      <c r="A117" s="1700"/>
      <c r="B117" s="1698"/>
      <c r="C117" s="1712"/>
      <c r="D117" s="1699"/>
      <c r="E117" s="1699"/>
      <c r="F117" s="1699"/>
      <c r="G117" s="1699"/>
      <c r="H117" s="1699"/>
      <c r="I117" s="1706"/>
      <c r="J117" s="1706"/>
      <c r="K117" s="1713" t="str">
        <f t="shared" si="18"/>
        <v/>
      </c>
      <c r="L117">
        <f t="shared" si="19"/>
        <v>0</v>
      </c>
      <c r="Q117">
        <f t="shared" si="20"/>
        <v>0</v>
      </c>
      <c r="R117">
        <f t="shared" si="21"/>
        <v>0</v>
      </c>
      <c r="S117">
        <f t="shared" si="22"/>
        <v>0</v>
      </c>
      <c r="T117">
        <f t="shared" si="23"/>
        <v>0</v>
      </c>
      <c r="U117">
        <f t="shared" si="24"/>
        <v>0</v>
      </c>
      <c r="V117">
        <f t="shared" si="25"/>
        <v>0</v>
      </c>
      <c r="AA117">
        <f t="shared" si="12"/>
        <v>0</v>
      </c>
      <c r="AL117" s="142"/>
    </row>
    <row r="118" spans="1:38" hidden="1" x14ac:dyDescent="0.2">
      <c r="A118" s="1700"/>
      <c r="B118" s="1698"/>
      <c r="C118" s="1712"/>
      <c r="D118" s="1699"/>
      <c r="E118" s="1699"/>
      <c r="F118" s="1699"/>
      <c r="G118" s="1699"/>
      <c r="H118" s="1699"/>
      <c r="I118" s="1706"/>
      <c r="J118" s="1706"/>
      <c r="K118" s="1713" t="str">
        <f t="shared" si="18"/>
        <v/>
      </c>
      <c r="L118">
        <f t="shared" si="19"/>
        <v>0</v>
      </c>
      <c r="Q118">
        <f t="shared" si="20"/>
        <v>0</v>
      </c>
      <c r="R118">
        <f t="shared" si="21"/>
        <v>0</v>
      </c>
      <c r="S118">
        <f t="shared" si="22"/>
        <v>0</v>
      </c>
      <c r="T118">
        <f t="shared" si="23"/>
        <v>0</v>
      </c>
      <c r="U118">
        <f t="shared" si="24"/>
        <v>0</v>
      </c>
      <c r="V118">
        <f t="shared" si="25"/>
        <v>0</v>
      </c>
      <c r="AA118">
        <f t="shared" si="12"/>
        <v>0</v>
      </c>
      <c r="AL118" s="142"/>
    </row>
    <row r="119" spans="1:38" hidden="1" x14ac:dyDescent="0.2">
      <c r="A119" s="1700"/>
      <c r="B119" s="1698"/>
      <c r="C119" s="1712"/>
      <c r="D119" s="1699"/>
      <c r="E119" s="1699"/>
      <c r="F119" s="1699"/>
      <c r="G119" s="1699"/>
      <c r="H119" s="1699"/>
      <c r="I119" s="1706"/>
      <c r="J119" s="1706"/>
      <c r="K119" s="1713" t="str">
        <f t="shared" si="18"/>
        <v/>
      </c>
      <c r="L119">
        <f t="shared" si="19"/>
        <v>0</v>
      </c>
      <c r="Q119">
        <f t="shared" si="20"/>
        <v>0</v>
      </c>
      <c r="R119">
        <f t="shared" si="21"/>
        <v>0</v>
      </c>
      <c r="S119">
        <f t="shared" si="22"/>
        <v>0</v>
      </c>
      <c r="T119">
        <f t="shared" si="23"/>
        <v>0</v>
      </c>
      <c r="U119">
        <f t="shared" si="24"/>
        <v>0</v>
      </c>
      <c r="V119">
        <f t="shared" si="25"/>
        <v>0</v>
      </c>
      <c r="AA119">
        <f t="shared" si="12"/>
        <v>0</v>
      </c>
      <c r="AL119" s="142"/>
    </row>
    <row r="120" spans="1:38" hidden="1" x14ac:dyDescent="0.2">
      <c r="A120" s="1700"/>
      <c r="B120" s="1698"/>
      <c r="C120" s="1712"/>
      <c r="D120" s="1699"/>
      <c r="E120" s="1699"/>
      <c r="F120" s="1699"/>
      <c r="G120" s="1699"/>
      <c r="H120" s="1699"/>
      <c r="I120" s="1706"/>
      <c r="J120" s="1706"/>
      <c r="K120" s="1713" t="str">
        <f t="shared" si="18"/>
        <v/>
      </c>
      <c r="L120">
        <f t="shared" si="19"/>
        <v>0</v>
      </c>
      <c r="Q120">
        <f t="shared" si="20"/>
        <v>0</v>
      </c>
      <c r="R120">
        <f t="shared" si="21"/>
        <v>0</v>
      </c>
      <c r="S120">
        <f t="shared" si="22"/>
        <v>0</v>
      </c>
      <c r="T120">
        <f t="shared" si="23"/>
        <v>0</v>
      </c>
      <c r="U120">
        <f t="shared" si="24"/>
        <v>0</v>
      </c>
      <c r="V120">
        <f t="shared" si="25"/>
        <v>0</v>
      </c>
      <c r="AA120">
        <f t="shared" si="12"/>
        <v>0</v>
      </c>
      <c r="AL120" s="142"/>
    </row>
    <row r="121" spans="1:38" hidden="1" x14ac:dyDescent="0.2">
      <c r="A121" s="1700"/>
      <c r="B121" s="1698"/>
      <c r="C121" s="1712"/>
      <c r="D121" s="1699"/>
      <c r="E121" s="1699"/>
      <c r="F121" s="1699"/>
      <c r="G121" s="1699"/>
      <c r="H121" s="1699"/>
      <c r="I121" s="1706"/>
      <c r="J121" s="1706"/>
      <c r="K121" s="1713" t="str">
        <f t="shared" si="18"/>
        <v/>
      </c>
      <c r="L121">
        <f t="shared" si="19"/>
        <v>0</v>
      </c>
      <c r="Q121">
        <f t="shared" si="20"/>
        <v>0</v>
      </c>
      <c r="R121">
        <f t="shared" si="21"/>
        <v>0</v>
      </c>
      <c r="S121">
        <f t="shared" si="22"/>
        <v>0</v>
      </c>
      <c r="T121">
        <f t="shared" si="23"/>
        <v>0</v>
      </c>
      <c r="U121">
        <f t="shared" si="24"/>
        <v>0</v>
      </c>
      <c r="V121">
        <f t="shared" si="25"/>
        <v>0</v>
      </c>
      <c r="AA121">
        <f t="shared" si="12"/>
        <v>0</v>
      </c>
      <c r="AL121" s="142"/>
    </row>
    <row r="122" spans="1:38" hidden="1" x14ac:dyDescent="0.2">
      <c r="A122" s="1700"/>
      <c r="B122" s="1698"/>
      <c r="C122" s="1712"/>
      <c r="D122" s="1699"/>
      <c r="E122" s="1699"/>
      <c r="F122" s="1699"/>
      <c r="G122" s="1699"/>
      <c r="H122" s="1699"/>
      <c r="I122" s="1706"/>
      <c r="J122" s="1706"/>
      <c r="K122" s="1713" t="str">
        <f t="shared" si="18"/>
        <v/>
      </c>
      <c r="L122">
        <f t="shared" si="19"/>
        <v>0</v>
      </c>
      <c r="Q122">
        <f t="shared" si="20"/>
        <v>0</v>
      </c>
      <c r="R122">
        <f t="shared" si="21"/>
        <v>0</v>
      </c>
      <c r="S122">
        <f t="shared" si="22"/>
        <v>0</v>
      </c>
      <c r="T122">
        <f t="shared" si="23"/>
        <v>0</v>
      </c>
      <c r="U122">
        <f t="shared" si="24"/>
        <v>0</v>
      </c>
      <c r="V122">
        <f t="shared" si="25"/>
        <v>0</v>
      </c>
      <c r="AA122">
        <f t="shared" si="12"/>
        <v>0</v>
      </c>
      <c r="AL122" s="142"/>
    </row>
    <row r="123" spans="1:38" hidden="1" x14ac:dyDescent="0.2">
      <c r="A123" s="1700"/>
      <c r="B123" s="1698"/>
      <c r="C123" s="1712"/>
      <c r="D123" s="1699"/>
      <c r="E123" s="1699"/>
      <c r="F123" s="1699"/>
      <c r="G123" s="1699"/>
      <c r="H123" s="1699"/>
      <c r="I123" s="1706"/>
      <c r="J123" s="1706"/>
      <c r="K123" s="1713" t="str">
        <f t="shared" si="18"/>
        <v/>
      </c>
      <c r="L123">
        <f t="shared" si="19"/>
        <v>0</v>
      </c>
      <c r="Q123">
        <f t="shared" si="20"/>
        <v>0</v>
      </c>
      <c r="R123">
        <f t="shared" si="21"/>
        <v>0</v>
      </c>
      <c r="S123">
        <f t="shared" si="22"/>
        <v>0</v>
      </c>
      <c r="T123">
        <f t="shared" si="23"/>
        <v>0</v>
      </c>
      <c r="U123">
        <f t="shared" si="24"/>
        <v>0</v>
      </c>
      <c r="V123">
        <f t="shared" si="25"/>
        <v>0</v>
      </c>
      <c r="AA123">
        <f t="shared" si="12"/>
        <v>0</v>
      </c>
      <c r="AL123" s="142"/>
    </row>
    <row r="124" spans="1:38" hidden="1" x14ac:dyDescent="0.2">
      <c r="A124" s="1700"/>
      <c r="B124" s="1698"/>
      <c r="C124" s="1712"/>
      <c r="D124" s="1699"/>
      <c r="E124" s="1699"/>
      <c r="F124" s="1699"/>
      <c r="G124" s="1699"/>
      <c r="H124" s="1699"/>
      <c r="I124" s="1706"/>
      <c r="J124" s="1706"/>
      <c r="K124" s="1713" t="str">
        <f t="shared" si="18"/>
        <v/>
      </c>
      <c r="L124">
        <f t="shared" si="19"/>
        <v>0</v>
      </c>
      <c r="Q124">
        <f t="shared" si="20"/>
        <v>0</v>
      </c>
      <c r="R124">
        <f t="shared" si="21"/>
        <v>0</v>
      </c>
      <c r="S124">
        <f t="shared" si="22"/>
        <v>0</v>
      </c>
      <c r="T124">
        <f t="shared" si="23"/>
        <v>0</v>
      </c>
      <c r="U124">
        <f t="shared" si="24"/>
        <v>0</v>
      </c>
      <c r="V124">
        <f t="shared" si="25"/>
        <v>0</v>
      </c>
      <c r="AA124">
        <f t="shared" si="12"/>
        <v>0</v>
      </c>
      <c r="AL124" s="142"/>
    </row>
    <row r="125" spans="1:38" hidden="1" x14ac:dyDescent="0.2">
      <c r="A125" s="1700"/>
      <c r="B125" s="1698"/>
      <c r="C125" s="1712"/>
      <c r="D125" s="1699"/>
      <c r="E125" s="1699"/>
      <c r="F125" s="1699"/>
      <c r="G125" s="1699"/>
      <c r="H125" s="1699"/>
      <c r="I125" s="1706"/>
      <c r="J125" s="1706"/>
      <c r="K125" s="1713" t="str">
        <f t="shared" si="18"/>
        <v/>
      </c>
      <c r="L125">
        <f t="shared" si="19"/>
        <v>0</v>
      </c>
      <c r="Q125">
        <f t="shared" si="20"/>
        <v>0</v>
      </c>
      <c r="R125">
        <f t="shared" si="21"/>
        <v>0</v>
      </c>
      <c r="S125">
        <f t="shared" si="22"/>
        <v>0</v>
      </c>
      <c r="T125">
        <f t="shared" si="23"/>
        <v>0</v>
      </c>
      <c r="U125">
        <f t="shared" si="24"/>
        <v>0</v>
      </c>
      <c r="V125">
        <f t="shared" si="25"/>
        <v>0</v>
      </c>
      <c r="AA125">
        <f t="shared" si="12"/>
        <v>0</v>
      </c>
      <c r="AL125" s="142"/>
    </row>
    <row r="126" spans="1:38" hidden="1" x14ac:dyDescent="0.2">
      <c r="A126" s="1700"/>
      <c r="B126" s="1698"/>
      <c r="C126" s="1712"/>
      <c r="D126" s="1699"/>
      <c r="E126" s="1699"/>
      <c r="F126" s="1699"/>
      <c r="G126" s="1699"/>
      <c r="H126" s="1699"/>
      <c r="I126" s="1706"/>
      <c r="J126" s="1706"/>
      <c r="K126" s="1713" t="str">
        <f t="shared" si="18"/>
        <v/>
      </c>
      <c r="L126">
        <f t="shared" si="19"/>
        <v>0</v>
      </c>
      <c r="Q126">
        <f t="shared" si="20"/>
        <v>0</v>
      </c>
      <c r="R126">
        <f t="shared" si="21"/>
        <v>0</v>
      </c>
      <c r="S126">
        <f t="shared" si="22"/>
        <v>0</v>
      </c>
      <c r="T126">
        <f t="shared" si="23"/>
        <v>0</v>
      </c>
      <c r="U126">
        <f t="shared" si="24"/>
        <v>0</v>
      </c>
      <c r="V126">
        <f t="shared" si="25"/>
        <v>0</v>
      </c>
      <c r="AA126">
        <f t="shared" si="12"/>
        <v>0</v>
      </c>
      <c r="AL126" s="142"/>
    </row>
    <row r="127" spans="1:38" hidden="1" x14ac:dyDescent="0.2">
      <c r="A127" s="1700"/>
      <c r="B127" s="1698"/>
      <c r="C127" s="1712"/>
      <c r="D127" s="1699"/>
      <c r="E127" s="1699"/>
      <c r="F127" s="1699"/>
      <c r="G127" s="1699"/>
      <c r="H127" s="1699"/>
      <c r="I127" s="1706"/>
      <c r="J127" s="1706"/>
      <c r="K127" s="1713" t="str">
        <f t="shared" si="18"/>
        <v/>
      </c>
      <c r="L127">
        <f t="shared" si="19"/>
        <v>0</v>
      </c>
      <c r="Q127">
        <f t="shared" si="20"/>
        <v>0</v>
      </c>
      <c r="R127">
        <f t="shared" si="21"/>
        <v>0</v>
      </c>
      <c r="S127">
        <f t="shared" si="22"/>
        <v>0</v>
      </c>
      <c r="T127">
        <f t="shared" si="23"/>
        <v>0</v>
      </c>
      <c r="U127">
        <f t="shared" si="24"/>
        <v>0</v>
      </c>
      <c r="V127">
        <f t="shared" si="25"/>
        <v>0</v>
      </c>
      <c r="AA127">
        <f t="shared" si="12"/>
        <v>0</v>
      </c>
      <c r="AL127" s="142"/>
    </row>
    <row r="128" spans="1:38" hidden="1" x14ac:dyDescent="0.2">
      <c r="A128" s="1700"/>
      <c r="B128" s="1698"/>
      <c r="C128" s="1712"/>
      <c r="D128" s="1699"/>
      <c r="E128" s="1699"/>
      <c r="F128" s="1699"/>
      <c r="G128" s="1699"/>
      <c r="H128" s="1699"/>
      <c r="I128" s="1706"/>
      <c r="J128" s="1706"/>
      <c r="K128" s="1713" t="str">
        <f t="shared" si="18"/>
        <v/>
      </c>
      <c r="L128">
        <f t="shared" si="19"/>
        <v>0</v>
      </c>
      <c r="Q128">
        <f t="shared" si="20"/>
        <v>0</v>
      </c>
      <c r="R128">
        <f t="shared" si="21"/>
        <v>0</v>
      </c>
      <c r="S128">
        <f t="shared" si="22"/>
        <v>0</v>
      </c>
      <c r="T128">
        <f t="shared" si="23"/>
        <v>0</v>
      </c>
      <c r="U128">
        <f t="shared" si="24"/>
        <v>0</v>
      </c>
      <c r="V128">
        <f t="shared" si="25"/>
        <v>0</v>
      </c>
      <c r="AA128">
        <f t="shared" si="12"/>
        <v>0</v>
      </c>
      <c r="AL128" s="142"/>
    </row>
    <row r="129" spans="1:38" hidden="1" x14ac:dyDescent="0.2">
      <c r="A129" s="1700"/>
      <c r="B129" s="1698"/>
      <c r="C129" s="1712"/>
      <c r="D129" s="1699"/>
      <c r="E129" s="1699"/>
      <c r="F129" s="1699"/>
      <c r="G129" s="1699"/>
      <c r="H129" s="1699"/>
      <c r="I129" s="1706"/>
      <c r="J129" s="1706"/>
      <c r="K129" s="1713" t="str">
        <f t="shared" si="18"/>
        <v/>
      </c>
      <c r="L129">
        <f t="shared" si="19"/>
        <v>0</v>
      </c>
      <c r="Q129">
        <f t="shared" si="20"/>
        <v>0</v>
      </c>
      <c r="R129">
        <f t="shared" si="21"/>
        <v>0</v>
      </c>
      <c r="S129">
        <f t="shared" si="22"/>
        <v>0</v>
      </c>
      <c r="T129">
        <f t="shared" si="23"/>
        <v>0</v>
      </c>
      <c r="U129">
        <f t="shared" si="24"/>
        <v>0</v>
      </c>
      <c r="V129">
        <f t="shared" si="25"/>
        <v>0</v>
      </c>
      <c r="AA129">
        <f t="shared" si="12"/>
        <v>0</v>
      </c>
      <c r="AL129" s="142"/>
    </row>
    <row r="130" spans="1:38" hidden="1" x14ac:dyDescent="0.2">
      <c r="A130" s="1700"/>
      <c r="B130" s="1698"/>
      <c r="C130" s="1712"/>
      <c r="D130" s="1699"/>
      <c r="E130" s="1699"/>
      <c r="F130" s="1699"/>
      <c r="G130" s="1699"/>
      <c r="H130" s="1699"/>
      <c r="I130" s="1706"/>
      <c r="J130" s="1706"/>
      <c r="K130" s="1713" t="str">
        <f t="shared" si="18"/>
        <v/>
      </c>
      <c r="L130">
        <f t="shared" si="19"/>
        <v>0</v>
      </c>
      <c r="Q130">
        <f t="shared" si="20"/>
        <v>0</v>
      </c>
      <c r="R130">
        <f t="shared" si="21"/>
        <v>0</v>
      </c>
      <c r="S130">
        <f t="shared" si="22"/>
        <v>0</v>
      </c>
      <c r="T130">
        <f t="shared" si="23"/>
        <v>0</v>
      </c>
      <c r="U130">
        <f t="shared" si="24"/>
        <v>0</v>
      </c>
      <c r="V130">
        <f t="shared" si="25"/>
        <v>0</v>
      </c>
      <c r="AA130">
        <f t="shared" si="12"/>
        <v>0</v>
      </c>
      <c r="AL130" s="142"/>
    </row>
    <row r="131" spans="1:38" hidden="1" x14ac:dyDescent="0.2">
      <c r="A131" s="1700"/>
      <c r="B131" s="1698"/>
      <c r="C131" s="1712"/>
      <c r="D131" s="1699"/>
      <c r="E131" s="1699"/>
      <c r="F131" s="1699"/>
      <c r="G131" s="1699"/>
      <c r="H131" s="1699"/>
      <c r="I131" s="1706"/>
      <c r="J131" s="1706"/>
      <c r="K131" s="1713" t="str">
        <f t="shared" si="18"/>
        <v/>
      </c>
      <c r="L131">
        <f t="shared" si="19"/>
        <v>0</v>
      </c>
      <c r="Q131">
        <f t="shared" si="20"/>
        <v>0</v>
      </c>
      <c r="R131">
        <f t="shared" si="21"/>
        <v>0</v>
      </c>
      <c r="S131">
        <f t="shared" si="22"/>
        <v>0</v>
      </c>
      <c r="T131">
        <f t="shared" si="23"/>
        <v>0</v>
      </c>
      <c r="U131">
        <f t="shared" si="24"/>
        <v>0</v>
      </c>
      <c r="V131">
        <f t="shared" si="25"/>
        <v>0</v>
      </c>
      <c r="AA131">
        <f t="shared" si="12"/>
        <v>0</v>
      </c>
      <c r="AL131" s="142"/>
    </row>
    <row r="132" spans="1:38" hidden="1" x14ac:dyDescent="0.2">
      <c r="A132" s="1700"/>
      <c r="B132" s="1698"/>
      <c r="C132" s="1712"/>
      <c r="D132" s="1699"/>
      <c r="E132" s="1699"/>
      <c r="F132" s="1699"/>
      <c r="G132" s="1699"/>
      <c r="H132" s="1699"/>
      <c r="I132" s="1706"/>
      <c r="J132" s="1706"/>
      <c r="K132" s="1713" t="str">
        <f t="shared" si="18"/>
        <v/>
      </c>
      <c r="L132">
        <f t="shared" si="19"/>
        <v>0</v>
      </c>
      <c r="Q132">
        <f t="shared" si="20"/>
        <v>0</v>
      </c>
      <c r="R132">
        <f t="shared" si="21"/>
        <v>0</v>
      </c>
      <c r="S132">
        <f t="shared" si="22"/>
        <v>0</v>
      </c>
      <c r="T132">
        <f t="shared" si="23"/>
        <v>0</v>
      </c>
      <c r="U132">
        <f t="shared" si="24"/>
        <v>0</v>
      </c>
      <c r="V132">
        <f t="shared" si="25"/>
        <v>0</v>
      </c>
      <c r="AA132">
        <f t="shared" si="12"/>
        <v>0</v>
      </c>
      <c r="AL132" s="142"/>
    </row>
    <row r="133" spans="1:38" hidden="1" x14ac:dyDescent="0.2">
      <c r="A133" s="1700"/>
      <c r="B133" s="1698"/>
      <c r="C133" s="1712"/>
      <c r="D133" s="1699"/>
      <c r="E133" s="1699"/>
      <c r="F133" s="1699"/>
      <c r="G133" s="1699"/>
      <c r="H133" s="1699"/>
      <c r="I133" s="1706"/>
      <c r="J133" s="1706"/>
      <c r="K133" s="1713" t="str">
        <f t="shared" si="18"/>
        <v/>
      </c>
      <c r="L133">
        <f t="shared" si="19"/>
        <v>0</v>
      </c>
      <c r="Q133">
        <f t="shared" si="20"/>
        <v>0</v>
      </c>
      <c r="R133">
        <f t="shared" si="21"/>
        <v>0</v>
      </c>
      <c r="S133">
        <f t="shared" si="22"/>
        <v>0</v>
      </c>
      <c r="T133">
        <f t="shared" si="23"/>
        <v>0</v>
      </c>
      <c r="U133">
        <f t="shared" si="24"/>
        <v>0</v>
      </c>
      <c r="V133">
        <f t="shared" si="25"/>
        <v>0</v>
      </c>
      <c r="AA133">
        <f t="shared" si="12"/>
        <v>0</v>
      </c>
      <c r="AL133" s="142"/>
    </row>
    <row r="134" spans="1:38" hidden="1" x14ac:dyDescent="0.2">
      <c r="A134" s="1700"/>
      <c r="B134" s="1698"/>
      <c r="C134" s="1712"/>
      <c r="D134" s="1699"/>
      <c r="E134" s="1699"/>
      <c r="F134" s="1699"/>
      <c r="G134" s="1699"/>
      <c r="H134" s="1699"/>
      <c r="I134" s="1706"/>
      <c r="J134" s="1706"/>
      <c r="K134" s="1713" t="str">
        <f t="shared" si="18"/>
        <v/>
      </c>
      <c r="L134">
        <f t="shared" si="19"/>
        <v>0</v>
      </c>
      <c r="Q134">
        <f t="shared" si="20"/>
        <v>0</v>
      </c>
      <c r="R134">
        <f t="shared" si="21"/>
        <v>0</v>
      </c>
      <c r="S134">
        <f t="shared" si="22"/>
        <v>0</v>
      </c>
      <c r="T134">
        <f t="shared" si="23"/>
        <v>0</v>
      </c>
      <c r="U134">
        <f t="shared" si="24"/>
        <v>0</v>
      </c>
      <c r="V134">
        <f t="shared" si="25"/>
        <v>0</v>
      </c>
      <c r="AA134">
        <f t="shared" si="12"/>
        <v>0</v>
      </c>
      <c r="AL134" s="142"/>
    </row>
    <row r="135" spans="1:38" hidden="1" x14ac:dyDescent="0.2">
      <c r="A135" s="1700"/>
      <c r="B135" s="1698"/>
      <c r="C135" s="1712"/>
      <c r="D135" s="1699"/>
      <c r="E135" s="1699"/>
      <c r="F135" s="1699"/>
      <c r="G135" s="1699"/>
      <c r="H135" s="1699"/>
      <c r="I135" s="1706"/>
      <c r="J135" s="1706"/>
      <c r="K135" s="1713" t="str">
        <f t="shared" si="18"/>
        <v/>
      </c>
      <c r="L135">
        <f t="shared" si="19"/>
        <v>0</v>
      </c>
      <c r="Q135">
        <f t="shared" si="20"/>
        <v>0</v>
      </c>
      <c r="R135">
        <f t="shared" si="21"/>
        <v>0</v>
      </c>
      <c r="S135">
        <f t="shared" si="22"/>
        <v>0</v>
      </c>
      <c r="T135">
        <f t="shared" si="23"/>
        <v>0</v>
      </c>
      <c r="U135">
        <f t="shared" si="24"/>
        <v>0</v>
      </c>
      <c r="V135">
        <f t="shared" si="25"/>
        <v>0</v>
      </c>
      <c r="AA135">
        <f t="shared" si="12"/>
        <v>0</v>
      </c>
      <c r="AL135" s="142"/>
    </row>
    <row r="136" spans="1:38" hidden="1" x14ac:dyDescent="0.2">
      <c r="A136" s="1700"/>
      <c r="B136" s="1698"/>
      <c r="C136" s="1712"/>
      <c r="D136" s="1699"/>
      <c r="E136" s="1699"/>
      <c r="F136" s="1699"/>
      <c r="G136" s="1699"/>
      <c r="H136" s="1699"/>
      <c r="I136" s="1706"/>
      <c r="J136" s="1706"/>
      <c r="K136" s="1713" t="str">
        <f t="shared" si="18"/>
        <v/>
      </c>
      <c r="L136">
        <f t="shared" si="19"/>
        <v>0</v>
      </c>
      <c r="Q136">
        <f t="shared" si="20"/>
        <v>0</v>
      </c>
      <c r="R136">
        <f t="shared" si="21"/>
        <v>0</v>
      </c>
      <c r="S136">
        <f t="shared" si="22"/>
        <v>0</v>
      </c>
      <c r="T136">
        <f t="shared" si="23"/>
        <v>0</v>
      </c>
      <c r="U136">
        <f t="shared" si="24"/>
        <v>0</v>
      </c>
      <c r="V136">
        <f t="shared" si="25"/>
        <v>0</v>
      </c>
      <c r="AA136">
        <f t="shared" si="12"/>
        <v>0</v>
      </c>
      <c r="AL136" s="142"/>
    </row>
    <row r="137" spans="1:38" hidden="1" x14ac:dyDescent="0.2">
      <c r="A137" s="1700"/>
      <c r="B137" s="1698"/>
      <c r="C137" s="1712"/>
      <c r="D137" s="1699"/>
      <c r="E137" s="1699"/>
      <c r="F137" s="1699"/>
      <c r="G137" s="1699"/>
      <c r="H137" s="1699"/>
      <c r="I137" s="1706"/>
      <c r="J137" s="1706"/>
      <c r="K137" s="1713" t="str">
        <f t="shared" si="18"/>
        <v/>
      </c>
      <c r="L137">
        <f t="shared" si="19"/>
        <v>0</v>
      </c>
      <c r="Q137">
        <f t="shared" si="20"/>
        <v>0</v>
      </c>
      <c r="R137">
        <f t="shared" si="21"/>
        <v>0</v>
      </c>
      <c r="S137">
        <f t="shared" si="22"/>
        <v>0</v>
      </c>
      <c r="T137">
        <f t="shared" si="23"/>
        <v>0</v>
      </c>
      <c r="U137">
        <f t="shared" si="24"/>
        <v>0</v>
      </c>
      <c r="V137">
        <f t="shared" si="25"/>
        <v>0</v>
      </c>
      <c r="AA137">
        <f t="shared" si="12"/>
        <v>0</v>
      </c>
      <c r="AL137" s="142"/>
    </row>
    <row r="138" spans="1:38" hidden="1" x14ac:dyDescent="0.2">
      <c r="A138" s="1700"/>
      <c r="B138" s="1698"/>
      <c r="C138" s="1712"/>
      <c r="D138" s="1699"/>
      <c r="E138" s="1699"/>
      <c r="F138" s="1699"/>
      <c r="G138" s="1699"/>
      <c r="H138" s="1699"/>
      <c r="I138" s="1706"/>
      <c r="J138" s="1706"/>
      <c r="K138" s="1713" t="str">
        <f t="shared" si="18"/>
        <v/>
      </c>
      <c r="L138">
        <f t="shared" si="19"/>
        <v>0</v>
      </c>
      <c r="Q138">
        <f t="shared" si="20"/>
        <v>0</v>
      </c>
      <c r="R138">
        <f t="shared" si="21"/>
        <v>0</v>
      </c>
      <c r="S138">
        <f t="shared" si="22"/>
        <v>0</v>
      </c>
      <c r="T138">
        <f t="shared" si="23"/>
        <v>0</v>
      </c>
      <c r="U138">
        <f t="shared" si="24"/>
        <v>0</v>
      </c>
      <c r="V138">
        <f t="shared" si="25"/>
        <v>0</v>
      </c>
      <c r="AA138">
        <f t="shared" si="12"/>
        <v>0</v>
      </c>
      <c r="AL138" s="142"/>
    </row>
    <row r="139" spans="1:38" hidden="1" x14ac:dyDescent="0.2">
      <c r="A139" s="1700"/>
      <c r="B139" s="1698"/>
      <c r="C139" s="1712"/>
      <c r="D139" s="1699"/>
      <c r="E139" s="1699"/>
      <c r="F139" s="1699"/>
      <c r="G139" s="1699"/>
      <c r="H139" s="1699"/>
      <c r="I139" s="1706"/>
      <c r="J139" s="1706"/>
      <c r="K139" s="1713" t="str">
        <f t="shared" si="18"/>
        <v/>
      </c>
      <c r="L139">
        <f t="shared" si="19"/>
        <v>0</v>
      </c>
      <c r="Q139">
        <f t="shared" si="20"/>
        <v>0</v>
      </c>
      <c r="R139">
        <f t="shared" si="21"/>
        <v>0</v>
      </c>
      <c r="S139">
        <f t="shared" si="22"/>
        <v>0</v>
      </c>
      <c r="T139">
        <f t="shared" si="23"/>
        <v>0</v>
      </c>
      <c r="U139">
        <f t="shared" si="24"/>
        <v>0</v>
      </c>
      <c r="V139">
        <f t="shared" si="25"/>
        <v>0</v>
      </c>
      <c r="AA139">
        <f t="shared" si="12"/>
        <v>0</v>
      </c>
      <c r="AL139" s="142"/>
    </row>
    <row r="140" spans="1:38" hidden="1" x14ac:dyDescent="0.2">
      <c r="A140" s="1700"/>
      <c r="B140" s="1698"/>
      <c r="C140" s="1712"/>
      <c r="D140" s="1699"/>
      <c r="E140" s="1699"/>
      <c r="F140" s="1699"/>
      <c r="G140" s="1699"/>
      <c r="H140" s="1699"/>
      <c r="I140" s="1706"/>
      <c r="J140" s="1706"/>
      <c r="K140" s="1713" t="str">
        <f t="shared" si="18"/>
        <v/>
      </c>
      <c r="L140">
        <f t="shared" si="19"/>
        <v>0</v>
      </c>
      <c r="Q140">
        <f t="shared" si="20"/>
        <v>0</v>
      </c>
      <c r="R140">
        <f t="shared" si="21"/>
        <v>0</v>
      </c>
      <c r="S140">
        <f t="shared" si="22"/>
        <v>0</v>
      </c>
      <c r="T140">
        <f t="shared" si="23"/>
        <v>0</v>
      </c>
      <c r="U140">
        <f t="shared" si="24"/>
        <v>0</v>
      </c>
      <c r="V140">
        <f t="shared" si="25"/>
        <v>0</v>
      </c>
      <c r="AA140">
        <f t="shared" si="12"/>
        <v>0</v>
      </c>
      <c r="AL140" s="142"/>
    </row>
    <row r="141" spans="1:38" hidden="1" x14ac:dyDescent="0.2">
      <c r="A141" s="1700"/>
      <c r="B141" s="1698"/>
      <c r="C141" s="1712"/>
      <c r="D141" s="1699"/>
      <c r="E141" s="1699"/>
      <c r="F141" s="1699"/>
      <c r="G141" s="1699"/>
      <c r="H141" s="1699"/>
      <c r="I141" s="1706"/>
      <c r="J141" s="1706"/>
      <c r="K141" s="1713" t="str">
        <f t="shared" si="18"/>
        <v/>
      </c>
      <c r="L141">
        <f t="shared" si="19"/>
        <v>0</v>
      </c>
      <c r="Q141">
        <f t="shared" si="20"/>
        <v>0</v>
      </c>
      <c r="R141">
        <f t="shared" si="21"/>
        <v>0</v>
      </c>
      <c r="S141">
        <f t="shared" si="22"/>
        <v>0</v>
      </c>
      <c r="T141">
        <f t="shared" si="23"/>
        <v>0</v>
      </c>
      <c r="U141">
        <f t="shared" si="24"/>
        <v>0</v>
      </c>
      <c r="V141">
        <f t="shared" si="25"/>
        <v>0</v>
      </c>
      <c r="AA141">
        <f t="shared" si="12"/>
        <v>0</v>
      </c>
      <c r="AL141" s="142"/>
    </row>
    <row r="142" spans="1:38" hidden="1" x14ac:dyDescent="0.2">
      <c r="A142" s="1700"/>
      <c r="B142" s="1698"/>
      <c r="C142" s="1712"/>
      <c r="D142" s="1699"/>
      <c r="E142" s="1699"/>
      <c r="F142" s="1699"/>
      <c r="G142" s="1699"/>
      <c r="H142" s="1699"/>
      <c r="I142" s="1706"/>
      <c r="J142" s="1706"/>
      <c r="K142" s="1713" t="str">
        <f t="shared" si="18"/>
        <v/>
      </c>
      <c r="L142">
        <f t="shared" si="19"/>
        <v>0</v>
      </c>
      <c r="Q142">
        <f t="shared" si="20"/>
        <v>0</v>
      </c>
      <c r="R142">
        <f t="shared" si="21"/>
        <v>0</v>
      </c>
      <c r="S142">
        <f t="shared" si="22"/>
        <v>0</v>
      </c>
      <c r="T142">
        <f t="shared" si="23"/>
        <v>0</v>
      </c>
      <c r="U142">
        <f t="shared" si="24"/>
        <v>0</v>
      </c>
      <c r="V142">
        <f t="shared" si="25"/>
        <v>0</v>
      </c>
      <c r="AA142">
        <f t="shared" si="12"/>
        <v>0</v>
      </c>
      <c r="AL142" s="142"/>
    </row>
    <row r="143" spans="1:38" hidden="1" x14ac:dyDescent="0.2">
      <c r="A143" s="1700"/>
      <c r="B143" s="1698"/>
      <c r="C143" s="1712"/>
      <c r="D143" s="1699"/>
      <c r="E143" s="1699"/>
      <c r="F143" s="1699"/>
      <c r="G143" s="1699"/>
      <c r="H143" s="1699"/>
      <c r="I143" s="1706"/>
      <c r="J143" s="1706"/>
      <c r="K143" s="1713" t="str">
        <f t="shared" si="18"/>
        <v/>
      </c>
      <c r="L143">
        <f t="shared" si="19"/>
        <v>0</v>
      </c>
      <c r="Q143">
        <f t="shared" si="20"/>
        <v>0</v>
      </c>
      <c r="R143">
        <f t="shared" si="21"/>
        <v>0</v>
      </c>
      <c r="S143">
        <f t="shared" si="22"/>
        <v>0</v>
      </c>
      <c r="T143">
        <f t="shared" si="23"/>
        <v>0</v>
      </c>
      <c r="U143">
        <f t="shared" si="24"/>
        <v>0</v>
      </c>
      <c r="V143">
        <f t="shared" si="25"/>
        <v>0</v>
      </c>
      <c r="AA143">
        <f t="shared" si="12"/>
        <v>0</v>
      </c>
      <c r="AL143" s="142"/>
    </row>
    <row r="144" spans="1:38" hidden="1" x14ac:dyDescent="0.2">
      <c r="A144" s="1700"/>
      <c r="B144" s="1698"/>
      <c r="C144" s="1712"/>
      <c r="D144" s="1699"/>
      <c r="E144" s="1699"/>
      <c r="F144" s="1699"/>
      <c r="G144" s="1699"/>
      <c r="H144" s="1699"/>
      <c r="I144" s="1706"/>
      <c r="J144" s="1706"/>
      <c r="K144" s="1713" t="str">
        <f t="shared" si="18"/>
        <v/>
      </c>
      <c r="L144">
        <f t="shared" si="19"/>
        <v>0</v>
      </c>
      <c r="Q144">
        <f t="shared" si="20"/>
        <v>0</v>
      </c>
      <c r="R144">
        <f t="shared" si="21"/>
        <v>0</v>
      </c>
      <c r="S144">
        <f t="shared" si="22"/>
        <v>0</v>
      </c>
      <c r="T144">
        <f t="shared" si="23"/>
        <v>0</v>
      </c>
      <c r="U144">
        <f t="shared" si="24"/>
        <v>0</v>
      </c>
      <c r="V144">
        <f t="shared" si="25"/>
        <v>0</v>
      </c>
      <c r="AA144">
        <f t="shared" si="12"/>
        <v>0</v>
      </c>
      <c r="AL144" s="142"/>
    </row>
    <row r="145" spans="1:38" hidden="1" x14ac:dyDescent="0.2">
      <c r="A145" s="1700"/>
      <c r="B145" s="1698"/>
      <c r="C145" s="1712"/>
      <c r="D145" s="1699"/>
      <c r="E145" s="1699"/>
      <c r="F145" s="1699"/>
      <c r="G145" s="1699"/>
      <c r="H145" s="1699"/>
      <c r="I145" s="1706"/>
      <c r="J145" s="1706"/>
      <c r="K145" s="1713" t="str">
        <f t="shared" si="18"/>
        <v/>
      </c>
      <c r="L145">
        <f t="shared" si="19"/>
        <v>0</v>
      </c>
      <c r="Q145">
        <f t="shared" si="20"/>
        <v>0</v>
      </c>
      <c r="R145">
        <f t="shared" si="21"/>
        <v>0</v>
      </c>
      <c r="S145">
        <f t="shared" si="22"/>
        <v>0</v>
      </c>
      <c r="T145">
        <f t="shared" si="23"/>
        <v>0</v>
      </c>
      <c r="U145">
        <f t="shared" si="24"/>
        <v>0</v>
      </c>
      <c r="V145">
        <f t="shared" si="25"/>
        <v>0</v>
      </c>
      <c r="AA145">
        <f t="shared" si="12"/>
        <v>0</v>
      </c>
      <c r="AL145" s="142"/>
    </row>
    <row r="146" spans="1:38" hidden="1" x14ac:dyDescent="0.2">
      <c r="A146" s="1700"/>
      <c r="B146" s="1698"/>
      <c r="C146" s="1712"/>
      <c r="D146" s="1699"/>
      <c r="E146" s="1699"/>
      <c r="F146" s="1699"/>
      <c r="G146" s="1699"/>
      <c r="H146" s="1699"/>
      <c r="I146" s="1706"/>
      <c r="J146" s="1706"/>
      <c r="K146" s="1713" t="str">
        <f t="shared" si="18"/>
        <v/>
      </c>
      <c r="L146">
        <f t="shared" si="19"/>
        <v>0</v>
      </c>
      <c r="Q146">
        <f t="shared" si="20"/>
        <v>0</v>
      </c>
      <c r="R146">
        <f t="shared" si="21"/>
        <v>0</v>
      </c>
      <c r="S146">
        <f t="shared" si="22"/>
        <v>0</v>
      </c>
      <c r="T146">
        <f t="shared" si="23"/>
        <v>0</v>
      </c>
      <c r="U146">
        <f t="shared" si="24"/>
        <v>0</v>
      </c>
      <c r="V146">
        <f t="shared" si="25"/>
        <v>0</v>
      </c>
      <c r="AA146">
        <f t="shared" si="12"/>
        <v>0</v>
      </c>
      <c r="AL146" s="142"/>
    </row>
    <row r="147" spans="1:38" hidden="1" x14ac:dyDescent="0.2">
      <c r="A147" s="1700"/>
      <c r="B147" s="1698"/>
      <c r="C147" s="1712"/>
      <c r="D147" s="1699"/>
      <c r="E147" s="1699"/>
      <c r="F147" s="1699"/>
      <c r="G147" s="1699"/>
      <c r="H147" s="1699"/>
      <c r="I147" s="1706"/>
      <c r="J147" s="1706"/>
      <c r="K147" s="1713" t="str">
        <f t="shared" si="18"/>
        <v/>
      </c>
      <c r="L147">
        <f t="shared" si="19"/>
        <v>0</v>
      </c>
      <c r="Q147">
        <f t="shared" si="20"/>
        <v>0</v>
      </c>
      <c r="R147">
        <f t="shared" si="21"/>
        <v>0</v>
      </c>
      <c r="S147">
        <f t="shared" si="22"/>
        <v>0</v>
      </c>
      <c r="T147">
        <f t="shared" si="23"/>
        <v>0</v>
      </c>
      <c r="U147">
        <f t="shared" si="24"/>
        <v>0</v>
      </c>
      <c r="V147">
        <f t="shared" si="25"/>
        <v>0</v>
      </c>
      <c r="AA147">
        <f t="shared" si="12"/>
        <v>0</v>
      </c>
      <c r="AL147" s="142"/>
    </row>
    <row r="148" spans="1:38" hidden="1" x14ac:dyDescent="0.2">
      <c r="A148" s="1700"/>
      <c r="B148" s="1698"/>
      <c r="C148" s="1712"/>
      <c r="D148" s="1699"/>
      <c r="E148" s="1699"/>
      <c r="F148" s="1699"/>
      <c r="G148" s="1699"/>
      <c r="H148" s="1699"/>
      <c r="I148" s="1706"/>
      <c r="J148" s="1706"/>
      <c r="K148" s="1713" t="str">
        <f t="shared" si="18"/>
        <v/>
      </c>
      <c r="L148">
        <f t="shared" si="19"/>
        <v>0</v>
      </c>
      <c r="Q148">
        <f t="shared" si="20"/>
        <v>0</v>
      </c>
      <c r="R148">
        <f t="shared" si="21"/>
        <v>0</v>
      </c>
      <c r="S148">
        <f t="shared" si="22"/>
        <v>0</v>
      </c>
      <c r="T148">
        <f t="shared" si="23"/>
        <v>0</v>
      </c>
      <c r="U148">
        <f t="shared" si="24"/>
        <v>0</v>
      </c>
      <c r="V148">
        <f t="shared" si="25"/>
        <v>0</v>
      </c>
      <c r="AA148">
        <f t="shared" si="12"/>
        <v>0</v>
      </c>
      <c r="AL148" s="142"/>
    </row>
    <row r="149" spans="1:38" hidden="1" x14ac:dyDescent="0.2">
      <c r="A149" s="1700"/>
      <c r="B149" s="1698"/>
      <c r="C149" s="1712"/>
      <c r="D149" s="1699"/>
      <c r="E149" s="1699"/>
      <c r="F149" s="1699"/>
      <c r="G149" s="1699"/>
      <c r="H149" s="1699"/>
      <c r="I149" s="1706"/>
      <c r="J149" s="1706"/>
      <c r="K149" s="1713" t="str">
        <f t="shared" si="18"/>
        <v/>
      </c>
      <c r="L149">
        <f t="shared" si="19"/>
        <v>0</v>
      </c>
      <c r="Q149">
        <f t="shared" si="20"/>
        <v>0</v>
      </c>
      <c r="R149">
        <f t="shared" si="21"/>
        <v>0</v>
      </c>
      <c r="S149">
        <f t="shared" si="22"/>
        <v>0</v>
      </c>
      <c r="T149">
        <f t="shared" si="23"/>
        <v>0</v>
      </c>
      <c r="U149">
        <f t="shared" si="24"/>
        <v>0</v>
      </c>
      <c r="V149">
        <f t="shared" si="25"/>
        <v>0</v>
      </c>
      <c r="AA149">
        <f t="shared" si="12"/>
        <v>0</v>
      </c>
      <c r="AL149" s="142"/>
    </row>
    <row r="150" spans="1:38" hidden="1" x14ac:dyDescent="0.2">
      <c r="A150" s="1700"/>
      <c r="B150" s="1698"/>
      <c r="C150" s="1712"/>
      <c r="D150" s="1699"/>
      <c r="E150" s="1699"/>
      <c r="F150" s="1699"/>
      <c r="G150" s="1699"/>
      <c r="H150" s="1699"/>
      <c r="I150" s="1706"/>
      <c r="J150" s="1706"/>
      <c r="K150" s="1713" t="str">
        <f t="shared" si="18"/>
        <v/>
      </c>
      <c r="L150">
        <f t="shared" si="19"/>
        <v>0</v>
      </c>
      <c r="Q150">
        <f t="shared" si="20"/>
        <v>0</v>
      </c>
      <c r="R150">
        <f t="shared" si="21"/>
        <v>0</v>
      </c>
      <c r="S150">
        <f t="shared" si="22"/>
        <v>0</v>
      </c>
      <c r="T150">
        <f t="shared" si="23"/>
        <v>0</v>
      </c>
      <c r="U150">
        <f t="shared" si="24"/>
        <v>0</v>
      </c>
      <c r="V150">
        <f t="shared" si="25"/>
        <v>0</v>
      </c>
      <c r="AA150">
        <f t="shared" si="12"/>
        <v>0</v>
      </c>
      <c r="AL150" s="142"/>
    </row>
    <row r="151" spans="1:38" hidden="1" x14ac:dyDescent="0.2">
      <c r="A151" s="1700"/>
      <c r="B151" s="1698"/>
      <c r="C151" s="1712"/>
      <c r="D151" s="1699"/>
      <c r="E151" s="1699"/>
      <c r="F151" s="1699"/>
      <c r="G151" s="1699"/>
      <c r="H151" s="1699"/>
      <c r="I151" s="1706"/>
      <c r="J151" s="1706"/>
      <c r="K151" s="1713" t="str">
        <f t="shared" si="18"/>
        <v/>
      </c>
      <c r="L151">
        <f t="shared" si="19"/>
        <v>0</v>
      </c>
      <c r="Q151">
        <f t="shared" si="20"/>
        <v>0</v>
      </c>
      <c r="R151">
        <f t="shared" si="21"/>
        <v>0</v>
      </c>
      <c r="S151">
        <f t="shared" si="22"/>
        <v>0</v>
      </c>
      <c r="T151">
        <f t="shared" si="23"/>
        <v>0</v>
      </c>
      <c r="U151">
        <f t="shared" si="24"/>
        <v>0</v>
      </c>
      <c r="V151">
        <f t="shared" si="25"/>
        <v>0</v>
      </c>
      <c r="AA151">
        <f t="shared" si="12"/>
        <v>0</v>
      </c>
      <c r="AL151" s="142"/>
    </row>
    <row r="152" spans="1:38" hidden="1" x14ac:dyDescent="0.2">
      <c r="A152" s="1700"/>
      <c r="B152" s="1698"/>
      <c r="C152" s="1712"/>
      <c r="D152" s="1699"/>
      <c r="E152" s="1699"/>
      <c r="F152" s="1699"/>
      <c r="G152" s="1699"/>
      <c r="H152" s="1699"/>
      <c r="I152" s="1706"/>
      <c r="J152" s="1706"/>
      <c r="K152" s="1713" t="str">
        <f t="shared" si="18"/>
        <v/>
      </c>
      <c r="L152">
        <f t="shared" si="19"/>
        <v>0</v>
      </c>
      <c r="Q152">
        <f t="shared" si="20"/>
        <v>0</v>
      </c>
      <c r="R152">
        <f t="shared" si="21"/>
        <v>0</v>
      </c>
      <c r="S152">
        <f t="shared" si="22"/>
        <v>0</v>
      </c>
      <c r="T152">
        <f t="shared" si="23"/>
        <v>0</v>
      </c>
      <c r="U152">
        <f t="shared" si="24"/>
        <v>0</v>
      </c>
      <c r="V152">
        <f t="shared" si="25"/>
        <v>0</v>
      </c>
      <c r="AA152">
        <f t="shared" si="12"/>
        <v>0</v>
      </c>
      <c r="AL152" s="142"/>
    </row>
    <row r="153" spans="1:38" hidden="1" x14ac:dyDescent="0.2">
      <c r="A153" s="1700"/>
      <c r="B153" s="1698"/>
      <c r="C153" s="1712"/>
      <c r="D153" s="1699"/>
      <c r="E153" s="1699"/>
      <c r="F153" s="1699"/>
      <c r="G153" s="1699"/>
      <c r="H153" s="1699"/>
      <c r="I153" s="1706"/>
      <c r="J153" s="1706"/>
      <c r="K153" s="1713" t="str">
        <f t="shared" si="18"/>
        <v/>
      </c>
      <c r="L153">
        <f t="shared" si="19"/>
        <v>0</v>
      </c>
      <c r="Q153">
        <f t="shared" si="20"/>
        <v>0</v>
      </c>
      <c r="R153">
        <f t="shared" si="21"/>
        <v>0</v>
      </c>
      <c r="S153">
        <f t="shared" si="22"/>
        <v>0</v>
      </c>
      <c r="T153">
        <f t="shared" si="23"/>
        <v>0</v>
      </c>
      <c r="U153">
        <f t="shared" si="24"/>
        <v>0</v>
      </c>
      <c r="V153">
        <f t="shared" si="25"/>
        <v>0</v>
      </c>
      <c r="AA153">
        <f t="shared" si="12"/>
        <v>0</v>
      </c>
      <c r="AL153" s="142"/>
    </row>
    <row r="154" spans="1:38" hidden="1" x14ac:dyDescent="0.2">
      <c r="A154" s="1700"/>
      <c r="B154" s="1698"/>
      <c r="C154" s="1712"/>
      <c r="D154" s="1699"/>
      <c r="E154" s="1699"/>
      <c r="F154" s="1699"/>
      <c r="G154" s="1699"/>
      <c r="H154" s="1699"/>
      <c r="I154" s="1706"/>
      <c r="J154" s="1706"/>
      <c r="K154" s="1713" t="str">
        <f t="shared" ref="K154:K217" si="26">IF(AND(AA154=1,A154=$S$59),"TIN required!",IF(Q154&gt;R154," All details required!",""))</f>
        <v/>
      </c>
      <c r="L154">
        <f t="shared" ref="L154:L217" si="27">IF(K154="",0,1)</f>
      </c>
      <c r="Q154">
        <f t="shared" ref="Q154:Q217" si="28">IF(AND(G148="Yes",R154=0),7,IF(S154=0,0,IF(A154=$S$59,10,7)))</f>
      </c>
      <c r="R154">
        <f t="shared" ref="R154:R217" si="29">IF(AND(AA154=0,A154=$S$59),T154+U154+V154,T154+V154)</f>
      </c>
      <c r="S154">
        <f t="shared" ref="S154:S217" si="30">SUM(T154:V154)</f>
      </c>
      <c r="T154">
        <f t="shared" ref="T154:T217" si="31">COUNTA(A154:B154)</f>
      </c>
      <c r="U154">
        <f t="shared" ref="U154:U217" si="32">COUNTA(C154:E154)</f>
      </c>
      <c r="V154">
        <f t="shared" ref="V154:V217" si="33">COUNTA(F154:J154)</f>
      </c>
      <c r="AA154">
        <f t="shared" si="12"/>
        <v>0</v>
      </c>
      <c r="AL154" s="142"/>
    </row>
    <row r="155" spans="1:38" hidden="1" x14ac:dyDescent="0.2">
      <c r="A155" s="1700"/>
      <c r="B155" s="1698"/>
      <c r="C155" s="1712"/>
      <c r="D155" s="1699"/>
      <c r="E155" s="1699"/>
      <c r="F155" s="1699"/>
      <c r="G155" s="1699"/>
      <c r="H155" s="1699"/>
      <c r="I155" s="1706"/>
      <c r="J155" s="1706"/>
      <c r="K155" s="1713" t="str">
        <f t="shared" si="26"/>
        <v/>
      </c>
      <c r="L155">
        <f t="shared" si="27"/>
        <v>0</v>
      </c>
      <c r="Q155">
        <f t="shared" si="28"/>
        <v>0</v>
      </c>
      <c r="R155">
        <f t="shared" si="29"/>
        <v>0</v>
      </c>
      <c r="S155">
        <f t="shared" si="30"/>
        <v>0</v>
      </c>
      <c r="T155">
        <f t="shared" si="31"/>
        <v>0</v>
      </c>
      <c r="U155">
        <f t="shared" si="32"/>
        <v>0</v>
      </c>
      <c r="V155">
        <f t="shared" si="33"/>
        <v>0</v>
      </c>
      <c r="AA155">
        <f t="shared" si="12"/>
        <v>0</v>
      </c>
      <c r="AL155" s="142"/>
    </row>
    <row r="156" spans="1:38" hidden="1" x14ac:dyDescent="0.2">
      <c r="A156" s="1700"/>
      <c r="B156" s="1698"/>
      <c r="C156" s="1712"/>
      <c r="D156" s="1699"/>
      <c r="E156" s="1699"/>
      <c r="F156" s="1699"/>
      <c r="G156" s="1699"/>
      <c r="H156" s="1699"/>
      <c r="I156" s="1706"/>
      <c r="J156" s="1706"/>
      <c r="K156" s="1713" t="str">
        <f t="shared" si="26"/>
        <v/>
      </c>
      <c r="L156">
        <f t="shared" si="27"/>
        <v>0</v>
      </c>
      <c r="Q156">
        <f t="shared" si="28"/>
        <v>0</v>
      </c>
      <c r="R156">
        <f t="shared" si="29"/>
        <v>0</v>
      </c>
      <c r="S156">
        <f t="shared" si="30"/>
        <v>0</v>
      </c>
      <c r="T156">
        <f t="shared" si="31"/>
        <v>0</v>
      </c>
      <c r="U156">
        <f t="shared" si="32"/>
        <v>0</v>
      </c>
      <c r="V156">
        <f t="shared" si="33"/>
        <v>0</v>
      </c>
      <c r="AA156">
        <f t="shared" si="12"/>
        <v>0</v>
      </c>
      <c r="AL156" s="142"/>
    </row>
    <row r="157" spans="1:38" hidden="1" x14ac:dyDescent="0.2">
      <c r="A157" s="1700"/>
      <c r="B157" s="1698"/>
      <c r="C157" s="1712"/>
      <c r="D157" s="1699"/>
      <c r="E157" s="1699"/>
      <c r="F157" s="1699"/>
      <c r="G157" s="1699"/>
      <c r="H157" s="1699"/>
      <c r="I157" s="1706"/>
      <c r="J157" s="1706"/>
      <c r="K157" s="1713" t="str">
        <f t="shared" si="26"/>
        <v/>
      </c>
      <c r="L157">
        <f t="shared" si="27"/>
        <v>0</v>
      </c>
      <c r="Q157">
        <f t="shared" si="28"/>
        <v>0</v>
      </c>
      <c r="R157">
        <f t="shared" si="29"/>
        <v>0</v>
      </c>
      <c r="S157">
        <f t="shared" si="30"/>
        <v>0</v>
      </c>
      <c r="T157">
        <f t="shared" si="31"/>
        <v>0</v>
      </c>
      <c r="U157">
        <f t="shared" si="32"/>
        <v>0</v>
      </c>
      <c r="V157">
        <f t="shared" si="33"/>
        <v>0</v>
      </c>
      <c r="AA157">
        <f t="shared" si="12"/>
        <v>0</v>
      </c>
      <c r="AL157" s="142"/>
    </row>
    <row r="158" spans="1:38" hidden="1" x14ac:dyDescent="0.2">
      <c r="A158" s="1700"/>
      <c r="B158" s="1698"/>
      <c r="C158" s="1712"/>
      <c r="D158" s="1699"/>
      <c r="E158" s="1699"/>
      <c r="F158" s="1699"/>
      <c r="G158" s="1699"/>
      <c r="H158" s="1699"/>
      <c r="I158" s="1706"/>
      <c r="J158" s="1706"/>
      <c r="K158" s="1713" t="str">
        <f t="shared" si="26"/>
        <v/>
      </c>
      <c r="L158">
        <f t="shared" si="27"/>
        <v>0</v>
      </c>
      <c r="Q158">
        <f t="shared" si="28"/>
        <v>0</v>
      </c>
      <c r="R158">
        <f t="shared" si="29"/>
        <v>0</v>
      </c>
      <c r="S158">
        <f t="shared" si="30"/>
        <v>0</v>
      </c>
      <c r="T158">
        <f t="shared" si="31"/>
        <v>0</v>
      </c>
      <c r="U158">
        <f t="shared" si="32"/>
        <v>0</v>
      </c>
      <c r="V158">
        <f t="shared" si="33"/>
        <v>0</v>
      </c>
      <c r="AA158">
        <f t="shared" si="12"/>
        <v>0</v>
      </c>
      <c r="AL158" s="142"/>
    </row>
    <row r="159" spans="1:38" hidden="1" x14ac:dyDescent="0.2">
      <c r="A159" s="1700"/>
      <c r="B159" s="1698"/>
      <c r="C159" s="1712"/>
      <c r="D159" s="1699"/>
      <c r="E159" s="1699"/>
      <c r="F159" s="1699"/>
      <c r="G159" s="1699"/>
      <c r="H159" s="1699"/>
      <c r="I159" s="1706"/>
      <c r="J159" s="1706"/>
      <c r="K159" s="1713" t="str">
        <f t="shared" si="26"/>
        <v/>
      </c>
      <c r="L159">
        <f t="shared" si="27"/>
        <v>0</v>
      </c>
      <c r="Q159">
        <f t="shared" si="28"/>
        <v>0</v>
      </c>
      <c r="R159">
        <f t="shared" si="29"/>
        <v>0</v>
      </c>
      <c r="S159">
        <f t="shared" si="30"/>
        <v>0</v>
      </c>
      <c r="T159">
        <f t="shared" si="31"/>
        <v>0</v>
      </c>
      <c r="U159">
        <f t="shared" si="32"/>
        <v>0</v>
      </c>
      <c r="V159">
        <f t="shared" si="33"/>
        <v>0</v>
      </c>
      <c r="AA159">
        <f t="shared" si="12"/>
        <v>0</v>
      </c>
      <c r="AL159" s="142"/>
    </row>
    <row r="160" spans="1:38" hidden="1" x14ac:dyDescent="0.2">
      <c r="A160" s="1700"/>
      <c r="B160" s="1698"/>
      <c r="C160" s="1712"/>
      <c r="D160" s="1699"/>
      <c r="E160" s="1699"/>
      <c r="F160" s="1699"/>
      <c r="G160" s="1699"/>
      <c r="H160" s="1699"/>
      <c r="I160" s="1706"/>
      <c r="J160" s="1706"/>
      <c r="K160" s="1713" t="str">
        <f t="shared" si="26"/>
        <v/>
      </c>
      <c r="L160">
        <f t="shared" si="27"/>
        <v>0</v>
      </c>
      <c r="Q160">
        <f t="shared" si="28"/>
        <v>0</v>
      </c>
      <c r="R160">
        <f t="shared" si="29"/>
        <v>0</v>
      </c>
      <c r="S160">
        <f t="shared" si="30"/>
        <v>0</v>
      </c>
      <c r="T160">
        <f t="shared" si="31"/>
        <v>0</v>
      </c>
      <c r="U160">
        <f t="shared" si="32"/>
        <v>0</v>
      </c>
      <c r="V160">
        <f t="shared" si="33"/>
        <v>0</v>
      </c>
      <c r="AA160">
        <f t="shared" si="12"/>
        <v>0</v>
      </c>
      <c r="AL160" s="142"/>
    </row>
    <row r="161" spans="1:38" hidden="1" x14ac:dyDescent="0.2">
      <c r="A161" s="1700"/>
      <c r="B161" s="1698"/>
      <c r="C161" s="1712"/>
      <c r="D161" s="1699"/>
      <c r="E161" s="1699"/>
      <c r="F161" s="1699"/>
      <c r="G161" s="1699"/>
      <c r="H161" s="1699"/>
      <c r="I161" s="1706"/>
      <c r="J161" s="1706"/>
      <c r="K161" s="1713" t="str">
        <f t="shared" si="26"/>
        <v/>
      </c>
      <c r="L161">
        <f t="shared" si="27"/>
        <v>0</v>
      </c>
      <c r="Q161">
        <f t="shared" si="28"/>
        <v>0</v>
      </c>
      <c r="R161">
        <f t="shared" si="29"/>
        <v>0</v>
      </c>
      <c r="S161">
        <f t="shared" si="30"/>
        <v>0</v>
      </c>
      <c r="T161">
        <f t="shared" si="31"/>
        <v>0</v>
      </c>
      <c r="U161">
        <f t="shared" si="32"/>
        <v>0</v>
      </c>
      <c r="V161">
        <f t="shared" si="33"/>
        <v>0</v>
      </c>
      <c r="AA161">
        <f t="shared" si="12"/>
        <v>0</v>
      </c>
      <c r="AL161" s="142"/>
    </row>
    <row r="162" spans="1:38" hidden="1" x14ac:dyDescent="0.2">
      <c r="A162" s="1700"/>
      <c r="B162" s="1698"/>
      <c r="C162" s="1712"/>
      <c r="D162" s="1699"/>
      <c r="E162" s="1699"/>
      <c r="F162" s="1699"/>
      <c r="G162" s="1699"/>
      <c r="H162" s="1699"/>
      <c r="I162" s="1706"/>
      <c r="J162" s="1706"/>
      <c r="K162" s="1713" t="str">
        <f t="shared" si="26"/>
        <v/>
      </c>
      <c r="L162">
        <f t="shared" si="27"/>
        <v>0</v>
      </c>
      <c r="Q162">
        <f t="shared" si="28"/>
        <v>0</v>
      </c>
      <c r="R162">
        <f t="shared" si="29"/>
        <v>0</v>
      </c>
      <c r="S162">
        <f t="shared" si="30"/>
        <v>0</v>
      </c>
      <c r="T162">
        <f t="shared" si="31"/>
        <v>0</v>
      </c>
      <c r="U162">
        <f t="shared" si="32"/>
        <v>0</v>
      </c>
      <c r="V162">
        <f t="shared" si="33"/>
        <v>0</v>
      </c>
      <c r="AA162">
        <f t="shared" si="12"/>
        <v>0</v>
      </c>
      <c r="AL162" s="142"/>
    </row>
    <row r="163" spans="1:38" hidden="1" x14ac:dyDescent="0.2">
      <c r="A163" s="1700"/>
      <c r="B163" s="1698"/>
      <c r="C163" s="1712"/>
      <c r="D163" s="1699"/>
      <c r="E163" s="1699"/>
      <c r="F163" s="1699"/>
      <c r="G163" s="1699"/>
      <c r="H163" s="1699"/>
      <c r="I163" s="1706"/>
      <c r="J163" s="1706"/>
      <c r="K163" s="1713" t="str">
        <f t="shared" si="26"/>
        <v/>
      </c>
      <c r="L163">
        <f t="shared" si="27"/>
        <v>0</v>
      </c>
      <c r="Q163">
        <f t="shared" si="28"/>
        <v>0</v>
      </c>
      <c r="R163">
        <f t="shared" si="29"/>
        <v>0</v>
      </c>
      <c r="S163">
        <f t="shared" si="30"/>
        <v>0</v>
      </c>
      <c r="T163">
        <f t="shared" si="31"/>
        <v>0</v>
      </c>
      <c r="U163">
        <f t="shared" si="32"/>
        <v>0</v>
      </c>
      <c r="V163">
        <f t="shared" si="33"/>
        <v>0</v>
      </c>
      <c r="AA163">
        <f t="shared" si="12"/>
        <v>0</v>
      </c>
      <c r="AL163" s="142"/>
    </row>
    <row r="164" spans="1:38" hidden="1" x14ac:dyDescent="0.2">
      <c r="A164" s="1700"/>
      <c r="B164" s="1698"/>
      <c r="C164" s="1712"/>
      <c r="D164" s="1699"/>
      <c r="E164" s="1699"/>
      <c r="F164" s="1699"/>
      <c r="G164" s="1699"/>
      <c r="H164" s="1699"/>
      <c r="I164" s="1706"/>
      <c r="J164" s="1706"/>
      <c r="K164" s="1713" t="str">
        <f t="shared" si="26"/>
        <v/>
      </c>
      <c r="L164">
        <f t="shared" si="27"/>
        <v>0</v>
      </c>
      <c r="Q164">
        <f t="shared" si="28"/>
        <v>0</v>
      </c>
      <c r="R164">
        <f t="shared" si="29"/>
        <v>0</v>
      </c>
      <c r="S164">
        <f t="shared" si="30"/>
        <v>0</v>
      </c>
      <c r="T164">
        <f t="shared" si="31"/>
        <v>0</v>
      </c>
      <c r="U164">
        <f t="shared" si="32"/>
        <v>0</v>
      </c>
      <c r="V164">
        <f t="shared" si="33"/>
        <v>0</v>
      </c>
      <c r="AA164">
        <f t="shared" si="12"/>
        <v>0</v>
      </c>
      <c r="AL164" s="142"/>
    </row>
    <row r="165" spans="1:38" hidden="1" x14ac:dyDescent="0.2">
      <c r="A165" s="1700"/>
      <c r="B165" s="1698"/>
      <c r="C165" s="1712"/>
      <c r="D165" s="1699"/>
      <c r="E165" s="1699"/>
      <c r="F165" s="1699"/>
      <c r="G165" s="1699"/>
      <c r="H165" s="1699"/>
      <c r="I165" s="1706"/>
      <c r="J165" s="1706"/>
      <c r="K165" s="1713" t="str">
        <f t="shared" si="26"/>
        <v/>
      </c>
      <c r="L165">
        <f t="shared" si="27"/>
        <v>0</v>
      </c>
      <c r="Q165">
        <f t="shared" si="28"/>
        <v>0</v>
      </c>
      <c r="R165">
        <f t="shared" si="29"/>
        <v>0</v>
      </c>
      <c r="S165">
        <f t="shared" si="30"/>
        <v>0</v>
      </c>
      <c r="T165">
        <f t="shared" si="31"/>
        <v>0</v>
      </c>
      <c r="U165">
        <f t="shared" si="32"/>
        <v>0</v>
      </c>
      <c r="V165">
        <f t="shared" si="33"/>
        <v>0</v>
      </c>
      <c r="AA165">
        <f t="shared" si="12"/>
        <v>0</v>
      </c>
      <c r="AL165" s="142"/>
    </row>
    <row r="166" spans="1:38" hidden="1" x14ac:dyDescent="0.2">
      <c r="A166" s="1700"/>
      <c r="B166" s="1698"/>
      <c r="C166" s="1712"/>
      <c r="D166" s="1699"/>
      <c r="E166" s="1699"/>
      <c r="F166" s="1699"/>
      <c r="G166" s="1699"/>
      <c r="H166" s="1699"/>
      <c r="I166" s="1706"/>
      <c r="J166" s="1706"/>
      <c r="K166" s="1713" t="str">
        <f t="shared" si="26"/>
        <v/>
      </c>
      <c r="L166">
        <f t="shared" si="27"/>
        <v>0</v>
      </c>
      <c r="Q166">
        <f t="shared" si="28"/>
        <v>0</v>
      </c>
      <c r="R166">
        <f t="shared" si="29"/>
        <v>0</v>
      </c>
      <c r="S166">
        <f t="shared" si="30"/>
        <v>0</v>
      </c>
      <c r="T166">
        <f t="shared" si="31"/>
        <v>0</v>
      </c>
      <c r="U166">
        <f t="shared" si="32"/>
        <v>0</v>
      </c>
      <c r="V166">
        <f t="shared" si="33"/>
        <v>0</v>
      </c>
      <c r="AA166">
        <f t="shared" si="12"/>
        <v>0</v>
      </c>
      <c r="AL166" s="142"/>
    </row>
    <row r="167" spans="1:38" hidden="1" x14ac:dyDescent="0.2">
      <c r="A167" s="1700"/>
      <c r="B167" s="1698"/>
      <c r="C167" s="1712"/>
      <c r="D167" s="1699"/>
      <c r="E167" s="1699"/>
      <c r="F167" s="1699"/>
      <c r="G167" s="1699"/>
      <c r="H167" s="1699"/>
      <c r="I167" s="1706"/>
      <c r="J167" s="1706"/>
      <c r="K167" s="1713" t="str">
        <f t="shared" si="26"/>
        <v/>
      </c>
      <c r="L167">
        <f t="shared" si="27"/>
        <v>0</v>
      </c>
      <c r="Q167">
        <f t="shared" si="28"/>
        <v>0</v>
      </c>
      <c r="R167">
        <f t="shared" si="29"/>
        <v>0</v>
      </c>
      <c r="S167">
        <f t="shared" si="30"/>
        <v>0</v>
      </c>
      <c r="T167">
        <f t="shared" si="31"/>
        <v>0</v>
      </c>
      <c r="U167">
        <f t="shared" si="32"/>
        <v>0</v>
      </c>
      <c r="V167">
        <f t="shared" si="33"/>
        <v>0</v>
      </c>
      <c r="AA167">
        <f t="shared" si="12"/>
        <v>0</v>
      </c>
      <c r="AL167" s="142"/>
    </row>
    <row r="168" spans="1:38" hidden="1" x14ac:dyDescent="0.2">
      <c r="A168" s="1700"/>
      <c r="B168" s="1698"/>
      <c r="C168" s="1712"/>
      <c r="D168" s="1699"/>
      <c r="E168" s="1699"/>
      <c r="F168" s="1699"/>
      <c r="G168" s="1699"/>
      <c r="H168" s="1699"/>
      <c r="I168" s="1706"/>
      <c r="J168" s="1706"/>
      <c r="K168" s="1713" t="str">
        <f t="shared" si="26"/>
        <v/>
      </c>
      <c r="L168">
        <f t="shared" si="27"/>
        <v>0</v>
      </c>
      <c r="Q168">
        <f t="shared" si="28"/>
        <v>0</v>
      </c>
      <c r="R168">
        <f t="shared" si="29"/>
        <v>0</v>
      </c>
      <c r="S168">
        <f t="shared" si="30"/>
        <v>0</v>
      </c>
      <c r="T168">
        <f t="shared" si="31"/>
        <v>0</v>
      </c>
      <c r="U168">
        <f t="shared" si="32"/>
        <v>0</v>
      </c>
      <c r="V168">
        <f t="shared" si="33"/>
        <v>0</v>
      </c>
      <c r="AA168">
        <f t="shared" si="12"/>
        <v>0</v>
      </c>
      <c r="AL168" s="142"/>
    </row>
    <row r="169" spans="1:38" hidden="1" x14ac:dyDescent="0.2">
      <c r="A169" s="1700"/>
      <c r="B169" s="1698"/>
      <c r="C169" s="1712"/>
      <c r="D169" s="1699"/>
      <c r="E169" s="1699"/>
      <c r="F169" s="1699"/>
      <c r="G169" s="1699"/>
      <c r="H169" s="1699"/>
      <c r="I169" s="1706"/>
      <c r="J169" s="1706"/>
      <c r="K169" s="1713" t="str">
        <f t="shared" si="26"/>
        <v/>
      </c>
      <c r="L169">
        <f t="shared" si="27"/>
        <v>0</v>
      </c>
      <c r="Q169">
        <f t="shared" si="28"/>
        <v>0</v>
      </c>
      <c r="R169">
        <f t="shared" si="29"/>
        <v>0</v>
      </c>
      <c r="S169">
        <f t="shared" si="30"/>
        <v>0</v>
      </c>
      <c r="T169">
        <f t="shared" si="31"/>
        <v>0</v>
      </c>
      <c r="U169">
        <f t="shared" si="32"/>
        <v>0</v>
      </c>
      <c r="V169">
        <f t="shared" si="33"/>
        <v>0</v>
      </c>
      <c r="AA169">
        <f t="shared" si="12"/>
        <v>0</v>
      </c>
      <c r="AL169" s="142"/>
    </row>
    <row r="170" spans="1:38" hidden="1" x14ac:dyDescent="0.2">
      <c r="A170" s="1700"/>
      <c r="B170" s="1698"/>
      <c r="C170" s="1712"/>
      <c r="D170" s="1699"/>
      <c r="E170" s="1699"/>
      <c r="F170" s="1699"/>
      <c r="G170" s="1699"/>
      <c r="H170" s="1699"/>
      <c r="I170" s="1706"/>
      <c r="J170" s="1706"/>
      <c r="K170" s="1713" t="str">
        <f t="shared" si="26"/>
        <v/>
      </c>
      <c r="L170">
        <f t="shared" si="27"/>
        <v>0</v>
      </c>
      <c r="Q170">
        <f t="shared" si="28"/>
        <v>0</v>
      </c>
      <c r="R170">
        <f t="shared" si="29"/>
        <v>0</v>
      </c>
      <c r="S170">
        <f t="shared" si="30"/>
        <v>0</v>
      </c>
      <c r="T170">
        <f t="shared" si="31"/>
        <v>0</v>
      </c>
      <c r="U170">
        <f t="shared" si="32"/>
        <v>0</v>
      </c>
      <c r="V170">
        <f t="shared" si="33"/>
        <v>0</v>
      </c>
      <c r="AA170">
        <f t="shared" si="12"/>
        <v>0</v>
      </c>
      <c r="AL170" s="142"/>
    </row>
    <row r="171" spans="1:38" hidden="1" x14ac:dyDescent="0.2">
      <c r="A171" s="1700"/>
      <c r="B171" s="1698"/>
      <c r="C171" s="1712"/>
      <c r="D171" s="1699"/>
      <c r="E171" s="1699"/>
      <c r="F171" s="1699"/>
      <c r="G171" s="1699"/>
      <c r="H171" s="1699"/>
      <c r="I171" s="1706"/>
      <c r="J171" s="1706"/>
      <c r="K171" s="1713" t="str">
        <f t="shared" si="26"/>
        <v/>
      </c>
      <c r="L171">
        <f t="shared" si="27"/>
        <v>0</v>
      </c>
      <c r="Q171">
        <f t="shared" si="28"/>
        <v>0</v>
      </c>
      <c r="R171">
        <f t="shared" si="29"/>
        <v>0</v>
      </c>
      <c r="S171">
        <f t="shared" si="30"/>
        <v>0</v>
      </c>
      <c r="T171">
        <f t="shared" si="31"/>
        <v>0</v>
      </c>
      <c r="U171">
        <f t="shared" si="32"/>
        <v>0</v>
      </c>
      <c r="V171">
        <f t="shared" si="33"/>
        <v>0</v>
      </c>
      <c r="AA171">
        <f t="shared" si="12"/>
        <v>0</v>
      </c>
      <c r="AL171" s="142"/>
    </row>
    <row r="172" spans="1:38" hidden="1" x14ac:dyDescent="0.2">
      <c r="A172" s="1700"/>
      <c r="B172" s="1698"/>
      <c r="C172" s="1712"/>
      <c r="D172" s="1699"/>
      <c r="E172" s="1699"/>
      <c r="F172" s="1699"/>
      <c r="G172" s="1699"/>
      <c r="H172" s="1699"/>
      <c r="I172" s="1706"/>
      <c r="J172" s="1706"/>
      <c r="K172" s="1713" t="str">
        <f t="shared" si="26"/>
        <v/>
      </c>
      <c r="L172">
        <f t="shared" si="27"/>
        <v>0</v>
      </c>
      <c r="Q172">
        <f t="shared" si="28"/>
        <v>0</v>
      </c>
      <c r="R172">
        <f t="shared" si="29"/>
        <v>0</v>
      </c>
      <c r="S172">
        <f t="shared" si="30"/>
        <v>0</v>
      </c>
      <c r="T172">
        <f t="shared" si="31"/>
        <v>0</v>
      </c>
      <c r="U172">
        <f t="shared" si="32"/>
        <v>0</v>
      </c>
      <c r="V172">
        <f t="shared" si="33"/>
        <v>0</v>
      </c>
      <c r="AA172">
        <f t="shared" si="12"/>
        <v>0</v>
      </c>
      <c r="AL172" s="142"/>
    </row>
    <row r="173" spans="1:38" hidden="1" x14ac:dyDescent="0.2">
      <c r="A173" s="1700"/>
      <c r="B173" s="1698"/>
      <c r="C173" s="1712"/>
      <c r="D173" s="1699"/>
      <c r="E173" s="1699"/>
      <c r="F173" s="1699"/>
      <c r="G173" s="1699"/>
      <c r="H173" s="1699"/>
      <c r="I173" s="1706"/>
      <c r="J173" s="1706"/>
      <c r="K173" s="1713" t="str">
        <f t="shared" si="26"/>
        <v/>
      </c>
      <c r="L173">
        <f t="shared" si="27"/>
        <v>0</v>
      </c>
      <c r="Q173">
        <f t="shared" si="28"/>
        <v>0</v>
      </c>
      <c r="R173">
        <f t="shared" si="29"/>
        <v>0</v>
      </c>
      <c r="S173">
        <f t="shared" si="30"/>
        <v>0</v>
      </c>
      <c r="T173">
        <f t="shared" si="31"/>
        <v>0</v>
      </c>
      <c r="U173">
        <f t="shared" si="32"/>
        <v>0</v>
      </c>
      <c r="V173">
        <f t="shared" si="33"/>
        <v>0</v>
      </c>
      <c r="AA173">
        <f t="shared" si="12"/>
        <v>0</v>
      </c>
      <c r="AL173" s="142"/>
    </row>
    <row r="174" spans="1:38" hidden="1" x14ac:dyDescent="0.2">
      <c r="A174" s="1700"/>
      <c r="B174" s="1698"/>
      <c r="C174" s="1712"/>
      <c r="D174" s="1699"/>
      <c r="E174" s="1699"/>
      <c r="F174" s="1699"/>
      <c r="G174" s="1699"/>
      <c r="H174" s="1699"/>
      <c r="I174" s="1706"/>
      <c r="J174" s="1706"/>
      <c r="K174" s="1713" t="str">
        <f t="shared" si="26"/>
        <v/>
      </c>
      <c r="L174">
        <f t="shared" si="27"/>
        <v>0</v>
      </c>
      <c r="Q174">
        <f t="shared" si="28"/>
        <v>0</v>
      </c>
      <c r="R174">
        <f t="shared" si="29"/>
        <v>0</v>
      </c>
      <c r="S174">
        <f t="shared" si="30"/>
        <v>0</v>
      </c>
      <c r="T174">
        <f t="shared" si="31"/>
        <v>0</v>
      </c>
      <c r="U174">
        <f t="shared" si="32"/>
        <v>0</v>
      </c>
      <c r="V174">
        <f t="shared" si="33"/>
        <v>0</v>
      </c>
      <c r="AA174">
        <f t="shared" si="12"/>
        <v>0</v>
      </c>
      <c r="AL174" s="142"/>
    </row>
    <row r="175" spans="1:38" hidden="1" x14ac:dyDescent="0.2">
      <c r="A175" s="1700"/>
      <c r="B175" s="1698"/>
      <c r="C175" s="1712"/>
      <c r="D175" s="1699"/>
      <c r="E175" s="1699"/>
      <c r="F175" s="1699"/>
      <c r="G175" s="1699"/>
      <c r="H175" s="1699"/>
      <c r="I175" s="1706"/>
      <c r="J175" s="1706"/>
      <c r="K175" s="1713" t="str">
        <f t="shared" si="26"/>
        <v/>
      </c>
      <c r="L175">
        <f t="shared" si="27"/>
        <v>0</v>
      </c>
      <c r="Q175">
        <f t="shared" si="28"/>
        <v>0</v>
      </c>
      <c r="R175">
        <f t="shared" si="29"/>
        <v>0</v>
      </c>
      <c r="S175">
        <f t="shared" si="30"/>
        <v>0</v>
      </c>
      <c r="T175">
        <f t="shared" si="31"/>
        <v>0</v>
      </c>
      <c r="U175">
        <f t="shared" si="32"/>
        <v>0</v>
      </c>
      <c r="V175">
        <f t="shared" si="33"/>
        <v>0</v>
      </c>
      <c r="AA175">
        <f t="shared" si="12"/>
        <v>0</v>
      </c>
      <c r="AL175" s="142"/>
    </row>
    <row r="176" spans="1:38" hidden="1" x14ac:dyDescent="0.2">
      <c r="A176" s="1700"/>
      <c r="B176" s="1698"/>
      <c r="C176" s="1712"/>
      <c r="D176" s="1699"/>
      <c r="E176" s="1699"/>
      <c r="F176" s="1699"/>
      <c r="G176" s="1699"/>
      <c r="H176" s="1699"/>
      <c r="I176" s="1706"/>
      <c r="J176" s="1706"/>
      <c r="K176" s="1713" t="str">
        <f t="shared" si="26"/>
        <v/>
      </c>
      <c r="L176">
        <f t="shared" si="27"/>
        <v>0</v>
      </c>
      <c r="Q176">
        <f t="shared" si="28"/>
        <v>0</v>
      </c>
      <c r="R176">
        <f t="shared" si="29"/>
        <v>0</v>
      </c>
      <c r="S176">
        <f t="shared" si="30"/>
        <v>0</v>
      </c>
      <c r="T176">
        <f t="shared" si="31"/>
        <v>0</v>
      </c>
      <c r="U176">
        <f t="shared" si="32"/>
        <v>0</v>
      </c>
      <c r="V176">
        <f t="shared" si="33"/>
        <v>0</v>
      </c>
      <c r="AA176">
        <f t="shared" si="12"/>
        <v>0</v>
      </c>
      <c r="AL176" s="142"/>
    </row>
    <row r="177" spans="1:38" hidden="1" x14ac:dyDescent="0.2">
      <c r="A177" s="1700"/>
      <c r="B177" s="1698"/>
      <c r="C177" s="1712"/>
      <c r="D177" s="1699"/>
      <c r="E177" s="1699"/>
      <c r="F177" s="1699"/>
      <c r="G177" s="1699"/>
      <c r="H177" s="1699"/>
      <c r="I177" s="1706"/>
      <c r="J177" s="1706"/>
      <c r="K177" s="1713" t="str">
        <f t="shared" si="26"/>
        <v/>
      </c>
      <c r="L177">
        <f t="shared" si="27"/>
        <v>0</v>
      </c>
      <c r="Q177">
        <f t="shared" si="28"/>
        <v>0</v>
      </c>
      <c r="R177">
        <f t="shared" si="29"/>
        <v>0</v>
      </c>
      <c r="S177">
        <f t="shared" si="30"/>
        <v>0</v>
      </c>
      <c r="T177">
        <f t="shared" si="31"/>
        <v>0</v>
      </c>
      <c r="U177">
        <f t="shared" si="32"/>
        <v>0</v>
      </c>
      <c r="V177">
        <f t="shared" si="33"/>
        <v>0</v>
      </c>
      <c r="AA177">
        <f t="shared" si="12"/>
        <v>0</v>
      </c>
      <c r="AL177" s="142"/>
    </row>
    <row r="178" spans="1:38" hidden="1" x14ac:dyDescent="0.2">
      <c r="A178" s="1700"/>
      <c r="B178" s="1698"/>
      <c r="C178" s="1712"/>
      <c r="D178" s="1699"/>
      <c r="E178" s="1699"/>
      <c r="F178" s="1699"/>
      <c r="G178" s="1699"/>
      <c r="H178" s="1699"/>
      <c r="I178" s="1706"/>
      <c r="J178" s="1706"/>
      <c r="K178" s="1713" t="str">
        <f t="shared" si="26"/>
        <v/>
      </c>
      <c r="L178">
        <f t="shared" si="27"/>
        <v>0</v>
      </c>
      <c r="Q178">
        <f t="shared" si="28"/>
        <v>0</v>
      </c>
      <c r="R178">
        <f t="shared" si="29"/>
        <v>0</v>
      </c>
      <c r="S178">
        <f t="shared" si="30"/>
        <v>0</v>
      </c>
      <c r="T178">
        <f t="shared" si="31"/>
        <v>0</v>
      </c>
      <c r="U178">
        <f t="shared" si="32"/>
        <v>0</v>
      </c>
      <c r="V178">
        <f t="shared" si="33"/>
        <v>0</v>
      </c>
      <c r="AA178">
        <f t="shared" si="12"/>
        <v>0</v>
      </c>
      <c r="AL178" s="142"/>
    </row>
    <row r="179" spans="1:38" hidden="1" x14ac:dyDescent="0.2">
      <c r="A179" s="1700"/>
      <c r="B179" s="1698"/>
      <c r="C179" s="1712"/>
      <c r="D179" s="1699"/>
      <c r="E179" s="1699"/>
      <c r="F179" s="1699"/>
      <c r="G179" s="1699"/>
      <c r="H179" s="1699"/>
      <c r="I179" s="1706"/>
      <c r="J179" s="1706"/>
      <c r="K179" s="1713" t="str">
        <f t="shared" si="26"/>
        <v/>
      </c>
      <c r="L179">
        <f t="shared" si="27"/>
        <v>0</v>
      </c>
      <c r="Q179">
        <f t="shared" si="28"/>
        <v>0</v>
      </c>
      <c r="R179">
        <f t="shared" si="29"/>
        <v>0</v>
      </c>
      <c r="S179">
        <f t="shared" si="30"/>
        <v>0</v>
      </c>
      <c r="T179">
        <f t="shared" si="31"/>
        <v>0</v>
      </c>
      <c r="U179">
        <f t="shared" si="32"/>
        <v>0</v>
      </c>
      <c r="V179">
        <f t="shared" si="33"/>
        <v>0</v>
      </c>
      <c r="AA179">
        <f t="shared" si="12"/>
        <v>0</v>
      </c>
      <c r="AL179" s="142"/>
    </row>
    <row r="180" spans="1:38" hidden="1" x14ac:dyDescent="0.2">
      <c r="A180" s="1700"/>
      <c r="B180" s="1698"/>
      <c r="C180" s="1712"/>
      <c r="D180" s="1699"/>
      <c r="E180" s="1699"/>
      <c r="F180" s="1699"/>
      <c r="G180" s="1699"/>
      <c r="H180" s="1699"/>
      <c r="I180" s="1706"/>
      <c r="J180" s="1706"/>
      <c r="K180" s="1713" t="str">
        <f t="shared" si="26"/>
        <v/>
      </c>
      <c r="L180">
        <f t="shared" si="27"/>
        <v>0</v>
      </c>
      <c r="Q180">
        <f t="shared" si="28"/>
        <v>0</v>
      </c>
      <c r="R180">
        <f t="shared" si="29"/>
        <v>0</v>
      </c>
      <c r="S180">
        <f t="shared" si="30"/>
        <v>0</v>
      </c>
      <c r="T180">
        <f t="shared" si="31"/>
        <v>0</v>
      </c>
      <c r="U180">
        <f t="shared" si="32"/>
        <v>0</v>
      </c>
      <c r="V180">
        <f t="shared" si="33"/>
        <v>0</v>
      </c>
      <c r="AA180">
        <f t="shared" si="12"/>
        <v>0</v>
      </c>
      <c r="AL180" s="142"/>
    </row>
    <row r="181" spans="1:38" hidden="1" x14ac:dyDescent="0.2">
      <c r="A181" s="1700"/>
      <c r="B181" s="1698"/>
      <c r="C181" s="1712"/>
      <c r="D181" s="1699"/>
      <c r="E181" s="1699"/>
      <c r="F181" s="1699"/>
      <c r="G181" s="1699"/>
      <c r="H181" s="1699"/>
      <c r="I181" s="1706"/>
      <c r="J181" s="1706"/>
      <c r="K181" s="1713" t="str">
        <f t="shared" si="26"/>
        <v/>
      </c>
      <c r="L181">
        <f t="shared" si="27"/>
        <v>0</v>
      </c>
      <c r="Q181">
        <f t="shared" si="28"/>
        <v>0</v>
      </c>
      <c r="R181">
        <f t="shared" si="29"/>
        <v>0</v>
      </c>
      <c r="S181">
        <f t="shared" si="30"/>
        <v>0</v>
      </c>
      <c r="T181">
        <f t="shared" si="31"/>
        <v>0</v>
      </c>
      <c r="U181">
        <f t="shared" si="32"/>
        <v>0</v>
      </c>
      <c r="V181">
        <f t="shared" si="33"/>
        <v>0</v>
      </c>
      <c r="AA181">
        <f t="shared" si="12"/>
        <v>0</v>
      </c>
      <c r="AL181" s="142"/>
    </row>
    <row r="182" spans="1:38" hidden="1" x14ac:dyDescent="0.2">
      <c r="A182" s="1700"/>
      <c r="B182" s="1698"/>
      <c r="C182" s="1712"/>
      <c r="D182" s="1699"/>
      <c r="E182" s="1699"/>
      <c r="F182" s="1699"/>
      <c r="G182" s="1699"/>
      <c r="H182" s="1699"/>
      <c r="I182" s="1706"/>
      <c r="J182" s="1706"/>
      <c r="K182" s="1713" t="str">
        <f t="shared" si="26"/>
        <v/>
      </c>
      <c r="L182">
        <f t="shared" si="27"/>
        <v>0</v>
      </c>
      <c r="Q182">
        <f t="shared" si="28"/>
        <v>0</v>
      </c>
      <c r="R182">
        <f t="shared" si="29"/>
        <v>0</v>
      </c>
      <c r="S182">
        <f t="shared" si="30"/>
        <v>0</v>
      </c>
      <c r="T182">
        <f t="shared" si="31"/>
        <v>0</v>
      </c>
      <c r="U182">
        <f t="shared" si="32"/>
        <v>0</v>
      </c>
      <c r="V182">
        <f t="shared" si="33"/>
        <v>0</v>
      </c>
      <c r="AA182">
        <f t="shared" si="12"/>
        <v>0</v>
      </c>
      <c r="AL182" s="142"/>
    </row>
    <row r="183" spans="1:38" hidden="1" x14ac:dyDescent="0.2">
      <c r="A183" s="1700"/>
      <c r="B183" s="1698"/>
      <c r="C183" s="1712"/>
      <c r="D183" s="1699"/>
      <c r="E183" s="1699"/>
      <c r="F183" s="1699"/>
      <c r="G183" s="1699"/>
      <c r="H183" s="1699"/>
      <c r="I183" s="1706"/>
      <c r="J183" s="1706"/>
      <c r="K183" s="1713" t="str">
        <f t="shared" si="26"/>
        <v/>
      </c>
      <c r="L183">
        <f t="shared" si="27"/>
        <v>0</v>
      </c>
      <c r="Q183">
        <f t="shared" si="28"/>
        <v>0</v>
      </c>
      <c r="R183">
        <f t="shared" si="29"/>
        <v>0</v>
      </c>
      <c r="S183">
        <f t="shared" si="30"/>
        <v>0</v>
      </c>
      <c r="T183">
        <f t="shared" si="31"/>
        <v>0</v>
      </c>
      <c r="U183">
        <f t="shared" si="32"/>
        <v>0</v>
      </c>
      <c r="V183">
        <f t="shared" si="33"/>
        <v>0</v>
      </c>
      <c r="AA183">
        <f t="shared" si="12"/>
        <v>0</v>
      </c>
      <c r="AL183" s="142"/>
    </row>
    <row r="184" spans="1:38" hidden="1" x14ac:dyDescent="0.2">
      <c r="A184" s="1700"/>
      <c r="B184" s="1698"/>
      <c r="C184" s="1712"/>
      <c r="D184" s="1699"/>
      <c r="E184" s="1699"/>
      <c r="F184" s="1699"/>
      <c r="G184" s="1699"/>
      <c r="H184" s="1699"/>
      <c r="I184" s="1706"/>
      <c r="J184" s="1706"/>
      <c r="K184" s="1713" t="str">
        <f t="shared" si="26"/>
        <v/>
      </c>
      <c r="L184">
        <f t="shared" si="27"/>
        <v>0</v>
      </c>
      <c r="Q184">
        <f t="shared" si="28"/>
        <v>0</v>
      </c>
      <c r="R184">
        <f t="shared" si="29"/>
        <v>0</v>
      </c>
      <c r="S184">
        <f t="shared" si="30"/>
        <v>0</v>
      </c>
      <c r="T184">
        <f t="shared" si="31"/>
        <v>0</v>
      </c>
      <c r="U184">
        <f t="shared" si="32"/>
        <v>0</v>
      </c>
      <c r="V184">
        <f t="shared" si="33"/>
        <v>0</v>
      </c>
      <c r="AA184">
        <f t="shared" si="12"/>
        <v>0</v>
      </c>
      <c r="AL184" s="142"/>
    </row>
    <row r="185" spans="1:38" hidden="1" x14ac:dyDescent="0.2">
      <c r="A185" s="1700"/>
      <c r="B185" s="1698"/>
      <c r="C185" s="1712"/>
      <c r="D185" s="1699"/>
      <c r="E185" s="1699"/>
      <c r="F185" s="1699"/>
      <c r="G185" s="1699"/>
      <c r="H185" s="1699"/>
      <c r="I185" s="1706"/>
      <c r="J185" s="1706"/>
      <c r="K185" s="1713" t="str">
        <f t="shared" si="26"/>
        <v/>
      </c>
      <c r="L185">
        <f t="shared" si="27"/>
        <v>0</v>
      </c>
      <c r="Q185">
        <f t="shared" si="28"/>
        <v>0</v>
      </c>
      <c r="R185">
        <f t="shared" si="29"/>
        <v>0</v>
      </c>
      <c r="S185">
        <f t="shared" si="30"/>
        <v>0</v>
      </c>
      <c r="T185">
        <f t="shared" si="31"/>
        <v>0</v>
      </c>
      <c r="U185">
        <f t="shared" si="32"/>
        <v>0</v>
      </c>
      <c r="V185">
        <f t="shared" si="33"/>
        <v>0</v>
      </c>
      <c r="AA185">
        <f t="shared" si="12"/>
        <v>0</v>
      </c>
      <c r="AL185" s="142"/>
    </row>
    <row r="186" spans="1:38" hidden="1" x14ac:dyDescent="0.2">
      <c r="A186" s="1700"/>
      <c r="B186" s="1698"/>
      <c r="C186" s="1712"/>
      <c r="D186" s="1699"/>
      <c r="E186" s="1699"/>
      <c r="F186" s="1699"/>
      <c r="G186" s="1699"/>
      <c r="H186" s="1699"/>
      <c r="I186" s="1706"/>
      <c r="J186" s="1706"/>
      <c r="K186" s="1713" t="str">
        <f t="shared" si="26"/>
        <v/>
      </c>
      <c r="L186">
        <f t="shared" si="27"/>
        <v>0</v>
      </c>
      <c r="Q186">
        <f t="shared" si="28"/>
        <v>0</v>
      </c>
      <c r="R186">
        <f t="shared" si="29"/>
        <v>0</v>
      </c>
      <c r="S186">
        <f t="shared" si="30"/>
        <v>0</v>
      </c>
      <c r="T186">
        <f t="shared" si="31"/>
        <v>0</v>
      </c>
      <c r="U186">
        <f t="shared" si="32"/>
        <v>0</v>
      </c>
      <c r="V186">
        <f t="shared" si="33"/>
        <v>0</v>
      </c>
      <c r="AA186">
        <f t="shared" si="12"/>
        <v>0</v>
      </c>
      <c r="AL186" s="142"/>
    </row>
    <row r="187" spans="1:38" hidden="1" x14ac:dyDescent="0.2">
      <c r="A187" s="1700"/>
      <c r="B187" s="1698"/>
      <c r="C187" s="1712"/>
      <c r="D187" s="1699"/>
      <c r="E187" s="1699"/>
      <c r="F187" s="1699"/>
      <c r="G187" s="1699"/>
      <c r="H187" s="1699"/>
      <c r="I187" s="1706"/>
      <c r="J187" s="1706"/>
      <c r="K187" s="1713" t="str">
        <f t="shared" si="26"/>
        <v/>
      </c>
      <c r="L187">
        <f t="shared" si="27"/>
        <v>0</v>
      </c>
      <c r="Q187">
        <f t="shared" si="28"/>
        <v>0</v>
      </c>
      <c r="R187">
        <f t="shared" si="29"/>
        <v>0</v>
      </c>
      <c r="S187">
        <f t="shared" si="30"/>
        <v>0</v>
      </c>
      <c r="T187">
        <f t="shared" si="31"/>
        <v>0</v>
      </c>
      <c r="U187">
        <f t="shared" si="32"/>
        <v>0</v>
      </c>
      <c r="V187">
        <f t="shared" si="33"/>
        <v>0</v>
      </c>
      <c r="AA187">
        <f t="shared" si="12"/>
        <v>0</v>
      </c>
      <c r="AL187" s="142"/>
    </row>
    <row r="188" spans="1:38" hidden="1" x14ac:dyDescent="0.2">
      <c r="A188" s="1700"/>
      <c r="B188" s="1698"/>
      <c r="C188" s="1712"/>
      <c r="D188" s="1699"/>
      <c r="E188" s="1699"/>
      <c r="F188" s="1699"/>
      <c r="G188" s="1699"/>
      <c r="H188" s="1699"/>
      <c r="I188" s="1706"/>
      <c r="J188" s="1706"/>
      <c r="K188" s="1713" t="str">
        <f t="shared" si="26"/>
        <v/>
      </c>
      <c r="L188">
        <f t="shared" si="27"/>
        <v>0</v>
      </c>
      <c r="Q188">
        <f t="shared" si="28"/>
        <v>0</v>
      </c>
      <c r="R188">
        <f t="shared" si="29"/>
        <v>0</v>
      </c>
      <c r="S188">
        <f t="shared" si="30"/>
        <v>0</v>
      </c>
      <c r="T188">
        <f t="shared" si="31"/>
        <v>0</v>
      </c>
      <c r="U188">
        <f t="shared" si="32"/>
        <v>0</v>
      </c>
      <c r="V188">
        <f t="shared" si="33"/>
        <v>0</v>
      </c>
      <c r="AA188">
        <f t="shared" si="12"/>
        <v>0</v>
      </c>
      <c r="AL188" s="142"/>
    </row>
    <row r="189" spans="1:38" hidden="1" x14ac:dyDescent="0.2">
      <c r="A189" s="1700"/>
      <c r="B189" s="1698"/>
      <c r="C189" s="1712"/>
      <c r="D189" s="1699"/>
      <c r="E189" s="1699"/>
      <c r="F189" s="1699"/>
      <c r="G189" s="1699"/>
      <c r="H189" s="1699"/>
      <c r="I189" s="1706"/>
      <c r="J189" s="1706"/>
      <c r="K189" s="1713" t="str">
        <f t="shared" si="26"/>
        <v/>
      </c>
      <c r="L189">
        <f t="shared" si="27"/>
        <v>0</v>
      </c>
      <c r="Q189">
        <f t="shared" si="28"/>
        <v>0</v>
      </c>
      <c r="R189">
        <f t="shared" si="29"/>
        <v>0</v>
      </c>
      <c r="S189">
        <f t="shared" si="30"/>
        <v>0</v>
      </c>
      <c r="T189">
        <f t="shared" si="31"/>
        <v>0</v>
      </c>
      <c r="U189">
        <f t="shared" si="32"/>
        <v>0</v>
      </c>
      <c r="V189">
        <f t="shared" si="33"/>
        <v>0</v>
      </c>
      <c r="AA189">
        <f t="shared" si="12"/>
        <v>0</v>
      </c>
      <c r="AL189" s="142"/>
    </row>
    <row r="190" spans="1:38" hidden="1" x14ac:dyDescent="0.2">
      <c r="A190" s="1700"/>
      <c r="B190" s="1698"/>
      <c r="C190" s="1712"/>
      <c r="D190" s="1699"/>
      <c r="E190" s="1699"/>
      <c r="F190" s="1699"/>
      <c r="G190" s="1699"/>
      <c r="H190" s="1699"/>
      <c r="I190" s="1706"/>
      <c r="J190" s="1706"/>
      <c r="K190" s="1713" t="str">
        <f t="shared" si="26"/>
        <v/>
      </c>
      <c r="L190">
        <f t="shared" si="27"/>
        <v>0</v>
      </c>
      <c r="Q190">
        <f t="shared" si="28"/>
        <v>0</v>
      </c>
      <c r="R190">
        <f t="shared" si="29"/>
        <v>0</v>
      </c>
      <c r="S190">
        <f t="shared" si="30"/>
        <v>0</v>
      </c>
      <c r="T190">
        <f t="shared" si="31"/>
        <v>0</v>
      </c>
      <c r="U190">
        <f t="shared" si="32"/>
        <v>0</v>
      </c>
      <c r="V190">
        <f t="shared" si="33"/>
        <v>0</v>
      </c>
      <c r="AA190">
        <f t="shared" si="12"/>
        <v>0</v>
      </c>
      <c r="AL190" s="142"/>
    </row>
    <row r="191" spans="1:38" hidden="1" x14ac:dyDescent="0.2">
      <c r="A191" s="1700"/>
      <c r="B191" s="1698"/>
      <c r="C191" s="1712"/>
      <c r="D191" s="1699"/>
      <c r="E191" s="1699"/>
      <c r="F191" s="1699"/>
      <c r="G191" s="1699"/>
      <c r="H191" s="1699"/>
      <c r="I191" s="1706"/>
      <c r="J191" s="1706"/>
      <c r="K191" s="1713" t="str">
        <f t="shared" si="26"/>
        <v/>
      </c>
      <c r="L191">
        <f t="shared" si="27"/>
        <v>0</v>
      </c>
      <c r="Q191">
        <f t="shared" si="28"/>
        <v>0</v>
      </c>
      <c r="R191">
        <f t="shared" si="29"/>
        <v>0</v>
      </c>
      <c r="S191">
        <f t="shared" si="30"/>
        <v>0</v>
      </c>
      <c r="T191">
        <f t="shared" si="31"/>
        <v>0</v>
      </c>
      <c r="U191">
        <f t="shared" si="32"/>
        <v>0</v>
      </c>
      <c r="V191">
        <f t="shared" si="33"/>
        <v>0</v>
      </c>
      <c r="AA191">
        <f t="shared" si="12"/>
        <v>0</v>
      </c>
      <c r="AL191" s="142"/>
    </row>
    <row r="192" spans="1:38" hidden="1" x14ac:dyDescent="0.2">
      <c r="A192" s="1700"/>
      <c r="B192" s="1698"/>
      <c r="C192" s="1712"/>
      <c r="D192" s="1699"/>
      <c r="E192" s="1699"/>
      <c r="F192" s="1699"/>
      <c r="G192" s="1699"/>
      <c r="H192" s="1699"/>
      <c r="I192" s="1706"/>
      <c r="J192" s="1706"/>
      <c r="K192" s="1713" t="str">
        <f t="shared" si="26"/>
        <v/>
      </c>
      <c r="L192">
        <f t="shared" si="27"/>
        <v>0</v>
      </c>
      <c r="Q192">
        <f t="shared" si="28"/>
        <v>0</v>
      </c>
      <c r="R192">
        <f t="shared" si="29"/>
        <v>0</v>
      </c>
      <c r="S192">
        <f t="shared" si="30"/>
        <v>0</v>
      </c>
      <c r="T192">
        <f t="shared" si="31"/>
        <v>0</v>
      </c>
      <c r="U192">
        <f t="shared" si="32"/>
        <v>0</v>
      </c>
      <c r="V192">
        <f t="shared" si="33"/>
        <v>0</v>
      </c>
      <c r="AA192">
        <f t="shared" si="12"/>
        <v>0</v>
      </c>
      <c r="AL192" s="142"/>
    </row>
    <row r="193" spans="1:38" hidden="1" x14ac:dyDescent="0.2">
      <c r="A193" s="1700"/>
      <c r="B193" s="1698"/>
      <c r="C193" s="1712"/>
      <c r="D193" s="1699"/>
      <c r="E193" s="1699"/>
      <c r="F193" s="1699"/>
      <c r="G193" s="1699"/>
      <c r="H193" s="1699"/>
      <c r="I193" s="1706"/>
      <c r="J193" s="1706"/>
      <c r="K193" s="1713" t="str">
        <f t="shared" si="26"/>
        <v/>
      </c>
      <c r="L193">
        <f t="shared" si="27"/>
        <v>0</v>
      </c>
      <c r="Q193">
        <f t="shared" si="28"/>
        <v>0</v>
      </c>
      <c r="R193">
        <f t="shared" si="29"/>
        <v>0</v>
      </c>
      <c r="S193">
        <f t="shared" si="30"/>
        <v>0</v>
      </c>
      <c r="T193">
        <f t="shared" si="31"/>
        <v>0</v>
      </c>
      <c r="U193">
        <f t="shared" si="32"/>
        <v>0</v>
      </c>
      <c r="V193">
        <f t="shared" si="33"/>
        <v>0</v>
      </c>
      <c r="AA193">
        <f t="shared" si="12"/>
        <v>0</v>
      </c>
      <c r="AL193" s="142"/>
    </row>
    <row r="194" spans="1:38" hidden="1" x14ac:dyDescent="0.2">
      <c r="A194" s="1700"/>
      <c r="B194" s="1698"/>
      <c r="C194" s="1712"/>
      <c r="D194" s="1699"/>
      <c r="E194" s="1699"/>
      <c r="F194" s="1699"/>
      <c r="G194" s="1699"/>
      <c r="H194" s="1699"/>
      <c r="I194" s="1706"/>
      <c r="J194" s="1706"/>
      <c r="K194" s="1713" t="str">
        <f t="shared" si="26"/>
        <v/>
      </c>
      <c r="L194">
        <f t="shared" si="27"/>
        <v>0</v>
      </c>
      <c r="Q194">
        <f t="shared" si="28"/>
        <v>0</v>
      </c>
      <c r="R194">
        <f t="shared" si="29"/>
        <v>0</v>
      </c>
      <c r="S194">
        <f t="shared" si="30"/>
        <v>0</v>
      </c>
      <c r="T194">
        <f t="shared" si="31"/>
        <v>0</v>
      </c>
      <c r="U194">
        <f t="shared" si="32"/>
        <v>0</v>
      </c>
      <c r="V194">
        <f t="shared" si="33"/>
        <v>0</v>
      </c>
      <c r="AA194">
        <f t="shared" si="12"/>
        <v>0</v>
      </c>
      <c r="AL194" s="142"/>
    </row>
    <row r="195" spans="1:38" hidden="1" x14ac:dyDescent="0.2">
      <c r="A195" s="1700"/>
      <c r="B195" s="1698"/>
      <c r="C195" s="1712"/>
      <c r="D195" s="1699"/>
      <c r="E195" s="1699"/>
      <c r="F195" s="1699"/>
      <c r="G195" s="1699"/>
      <c r="H195" s="1699"/>
      <c r="I195" s="1706"/>
      <c r="J195" s="1706"/>
      <c r="K195" s="1713" t="str">
        <f t="shared" si="26"/>
        <v/>
      </c>
      <c r="L195">
        <f t="shared" si="27"/>
        <v>0</v>
      </c>
      <c r="Q195">
        <f t="shared" si="28"/>
        <v>0</v>
      </c>
      <c r="R195">
        <f t="shared" si="29"/>
        <v>0</v>
      </c>
      <c r="S195">
        <f t="shared" si="30"/>
        <v>0</v>
      </c>
      <c r="T195">
        <f t="shared" si="31"/>
        <v>0</v>
      </c>
      <c r="U195">
        <f t="shared" si="32"/>
        <v>0</v>
      </c>
      <c r="V195">
        <f t="shared" si="33"/>
        <v>0</v>
      </c>
      <c r="AA195">
        <f t="shared" si="12"/>
        <v>0</v>
      </c>
      <c r="AL195" s="142"/>
    </row>
    <row r="196" spans="1:38" hidden="1" x14ac:dyDescent="0.2">
      <c r="A196" s="1700"/>
      <c r="B196" s="1698"/>
      <c r="C196" s="1712"/>
      <c r="D196" s="1699"/>
      <c r="E196" s="1699"/>
      <c r="F196" s="1699"/>
      <c r="G196" s="1699"/>
      <c r="H196" s="1699"/>
      <c r="I196" s="1706"/>
      <c r="J196" s="1706"/>
      <c r="K196" s="1713" t="str">
        <f t="shared" si="26"/>
        <v/>
      </c>
      <c r="L196">
        <f t="shared" si="27"/>
        <v>0</v>
      </c>
      <c r="Q196">
        <f t="shared" si="28"/>
        <v>0</v>
      </c>
      <c r="R196">
        <f t="shared" si="29"/>
        <v>0</v>
      </c>
      <c r="S196">
        <f t="shared" si="30"/>
        <v>0</v>
      </c>
      <c r="T196">
        <f t="shared" si="31"/>
        <v>0</v>
      </c>
      <c r="U196">
        <f t="shared" si="32"/>
        <v>0</v>
      </c>
      <c r="V196">
        <f t="shared" si="33"/>
        <v>0</v>
      </c>
      <c r="AA196">
        <f t="shared" si="12"/>
        <v>0</v>
      </c>
      <c r="AL196" s="142"/>
    </row>
    <row r="197" spans="1:38" hidden="1" x14ac:dyDescent="0.2">
      <c r="A197" s="1700"/>
      <c r="B197" s="1698"/>
      <c r="C197" s="1712"/>
      <c r="D197" s="1699"/>
      <c r="E197" s="1699"/>
      <c r="F197" s="1699"/>
      <c r="G197" s="1699"/>
      <c r="H197" s="1699"/>
      <c r="I197" s="1706"/>
      <c r="J197" s="1706"/>
      <c r="K197" s="1713" t="str">
        <f t="shared" si="26"/>
        <v/>
      </c>
      <c r="L197">
        <f t="shared" si="27"/>
        <v>0</v>
      </c>
      <c r="Q197">
        <f t="shared" si="28"/>
        <v>0</v>
      </c>
      <c r="R197">
        <f t="shared" si="29"/>
        <v>0</v>
      </c>
      <c r="S197">
        <f t="shared" si="30"/>
        <v>0</v>
      </c>
      <c r="T197">
        <f t="shared" si="31"/>
        <v>0</v>
      </c>
      <c r="U197">
        <f t="shared" si="32"/>
        <v>0</v>
      </c>
      <c r="V197">
        <f t="shared" si="33"/>
        <v>0</v>
      </c>
      <c r="AA197">
        <f t="shared" si="12"/>
        <v>0</v>
      </c>
      <c r="AL197" s="142"/>
    </row>
    <row r="198" spans="1:38" hidden="1" x14ac:dyDescent="0.2">
      <c r="A198" s="1700"/>
      <c r="B198" s="1698"/>
      <c r="C198" s="1712"/>
      <c r="D198" s="1699"/>
      <c r="E198" s="1699"/>
      <c r="F198" s="1699"/>
      <c r="G198" s="1699"/>
      <c r="H198" s="1699"/>
      <c r="I198" s="1706"/>
      <c r="J198" s="1706"/>
      <c r="K198" s="1713" t="str">
        <f t="shared" si="26"/>
        <v/>
      </c>
      <c r="L198">
        <f t="shared" si="27"/>
        <v>0</v>
      </c>
      <c r="Q198">
        <f t="shared" si="28"/>
        <v>0</v>
      </c>
      <c r="R198">
        <f t="shared" si="29"/>
        <v>0</v>
      </c>
      <c r="S198">
        <f t="shared" si="30"/>
        <v>0</v>
      </c>
      <c r="T198">
        <f t="shared" si="31"/>
        <v>0</v>
      </c>
      <c r="U198">
        <f t="shared" si="32"/>
        <v>0</v>
      </c>
      <c r="V198">
        <f t="shared" si="33"/>
        <v>0</v>
      </c>
      <c r="AA198">
        <f t="shared" si="12"/>
        <v>0</v>
      </c>
      <c r="AL198" s="142"/>
    </row>
    <row r="199" spans="1:38" hidden="1" x14ac:dyDescent="0.2">
      <c r="A199" s="1700"/>
      <c r="B199" s="1698"/>
      <c r="C199" s="1712"/>
      <c r="D199" s="1699"/>
      <c r="E199" s="1699"/>
      <c r="F199" s="1699"/>
      <c r="G199" s="1699"/>
      <c r="H199" s="1699"/>
      <c r="I199" s="1706"/>
      <c r="J199" s="1706"/>
      <c r="K199" s="1713" t="str">
        <f t="shared" si="26"/>
        <v/>
      </c>
      <c r="L199">
        <f t="shared" si="27"/>
        <v>0</v>
      </c>
      <c r="Q199">
        <f t="shared" si="28"/>
        <v>0</v>
      </c>
      <c r="R199">
        <f t="shared" si="29"/>
        <v>0</v>
      </c>
      <c r="S199">
        <f t="shared" si="30"/>
        <v>0</v>
      </c>
      <c r="T199">
        <f t="shared" si="31"/>
        <v>0</v>
      </c>
      <c r="U199">
        <f t="shared" si="32"/>
        <v>0</v>
      </c>
      <c r="V199">
        <f t="shared" si="33"/>
        <v>0</v>
      </c>
      <c r="AA199">
        <f t="shared" si="12"/>
        <v>0</v>
      </c>
      <c r="AL199" s="142"/>
    </row>
    <row r="200" spans="1:38" hidden="1" x14ac:dyDescent="0.2">
      <c r="A200" s="1700"/>
      <c r="B200" s="1698"/>
      <c r="C200" s="1712"/>
      <c r="D200" s="1699"/>
      <c r="E200" s="1699"/>
      <c r="F200" s="1699"/>
      <c r="G200" s="1699"/>
      <c r="H200" s="1699"/>
      <c r="I200" s="1706"/>
      <c r="J200" s="1706"/>
      <c r="K200" s="1713" t="str">
        <f t="shared" si="26"/>
        <v/>
      </c>
      <c r="L200">
        <f t="shared" si="27"/>
        <v>0</v>
      </c>
      <c r="Q200">
        <f t="shared" si="28"/>
        <v>0</v>
      </c>
      <c r="R200">
        <f t="shared" si="29"/>
        <v>0</v>
      </c>
      <c r="S200">
        <f t="shared" si="30"/>
        <v>0</v>
      </c>
      <c r="T200">
        <f t="shared" si="31"/>
        <v>0</v>
      </c>
      <c r="U200">
        <f t="shared" si="32"/>
        <v>0</v>
      </c>
      <c r="V200">
        <f t="shared" si="33"/>
        <v>0</v>
      </c>
      <c r="AA200">
        <f t="shared" si="12"/>
        <v>0</v>
      </c>
      <c r="AL200" s="142"/>
    </row>
    <row r="201" spans="1:38" hidden="1" x14ac:dyDescent="0.2">
      <c r="A201" s="1700"/>
      <c r="B201" s="1698"/>
      <c r="C201" s="1712"/>
      <c r="D201" s="1699"/>
      <c r="E201" s="1699"/>
      <c r="F201" s="1699"/>
      <c r="G201" s="1699"/>
      <c r="H201" s="1699"/>
      <c r="I201" s="1706"/>
      <c r="J201" s="1706"/>
      <c r="K201" s="1713" t="str">
        <f t="shared" si="26"/>
        <v/>
      </c>
      <c r="L201">
        <f t="shared" si="27"/>
        <v>0</v>
      </c>
      <c r="Q201">
        <f t="shared" si="28"/>
        <v>0</v>
      </c>
      <c r="R201">
        <f t="shared" si="29"/>
        <v>0</v>
      </c>
      <c r="S201">
        <f t="shared" si="30"/>
        <v>0</v>
      </c>
      <c r="T201">
        <f t="shared" si="31"/>
        <v>0</v>
      </c>
      <c r="U201">
        <f t="shared" si="32"/>
        <v>0</v>
      </c>
      <c r="V201">
        <f t="shared" si="33"/>
        <v>0</v>
      </c>
      <c r="AA201">
        <f t="shared" si="12"/>
        <v>0</v>
      </c>
      <c r="AL201" s="142"/>
    </row>
    <row r="202" spans="1:38" hidden="1" x14ac:dyDescent="0.2">
      <c r="A202" s="1700"/>
      <c r="B202" s="1698"/>
      <c r="C202" s="1712"/>
      <c r="D202" s="1699"/>
      <c r="E202" s="1699"/>
      <c r="F202" s="1699"/>
      <c r="G202" s="1699"/>
      <c r="H202" s="1699"/>
      <c r="I202" s="1706"/>
      <c r="J202" s="1706"/>
      <c r="K202" s="1713" t="str">
        <f t="shared" si="26"/>
        <v/>
      </c>
      <c r="L202">
        <f t="shared" si="27"/>
        <v>0</v>
      </c>
      <c r="Q202">
        <f t="shared" si="28"/>
        <v>0</v>
      </c>
      <c r="R202">
        <f t="shared" si="29"/>
        <v>0</v>
      </c>
      <c r="S202">
        <f t="shared" si="30"/>
        <v>0</v>
      </c>
      <c r="T202">
        <f t="shared" si="31"/>
        <v>0</v>
      </c>
      <c r="U202">
        <f t="shared" si="32"/>
        <v>0</v>
      </c>
      <c r="V202">
        <f t="shared" si="33"/>
        <v>0</v>
      </c>
      <c r="AA202">
        <f t="shared" si="12"/>
        <v>0</v>
      </c>
      <c r="AL202" s="142"/>
    </row>
    <row r="203" spans="1:38" hidden="1" x14ac:dyDescent="0.2">
      <c r="A203" s="1700"/>
      <c r="B203" s="1698"/>
      <c r="C203" s="1712"/>
      <c r="D203" s="1699"/>
      <c r="E203" s="1699"/>
      <c r="F203" s="1699"/>
      <c r="G203" s="1699"/>
      <c r="H203" s="1699"/>
      <c r="I203" s="1706"/>
      <c r="J203" s="1706"/>
      <c r="K203" s="1713" t="str">
        <f t="shared" si="26"/>
        <v/>
      </c>
      <c r="L203">
        <f t="shared" si="27"/>
        <v>0</v>
      </c>
      <c r="Q203">
        <f t="shared" si="28"/>
        <v>0</v>
      </c>
      <c r="R203">
        <f t="shared" si="29"/>
        <v>0</v>
      </c>
      <c r="S203">
        <f t="shared" si="30"/>
        <v>0</v>
      </c>
      <c r="T203">
        <f t="shared" si="31"/>
        <v>0</v>
      </c>
      <c r="U203">
        <f t="shared" si="32"/>
        <v>0</v>
      </c>
      <c r="V203">
        <f t="shared" si="33"/>
        <v>0</v>
      </c>
      <c r="AA203">
        <f t="shared" si="12"/>
        <v>0</v>
      </c>
      <c r="AL203" s="142"/>
    </row>
    <row r="204" spans="1:38" hidden="1" x14ac:dyDescent="0.2">
      <c r="A204" s="1700"/>
      <c r="B204" s="1698"/>
      <c r="C204" s="1712"/>
      <c r="D204" s="1699"/>
      <c r="E204" s="1699"/>
      <c r="F204" s="1699"/>
      <c r="G204" s="1699"/>
      <c r="H204" s="1699"/>
      <c r="I204" s="1706"/>
      <c r="J204" s="1706"/>
      <c r="K204" s="1713" t="str">
        <f t="shared" si="26"/>
        <v/>
      </c>
      <c r="L204">
        <f t="shared" si="27"/>
        <v>0</v>
      </c>
      <c r="Q204">
        <f t="shared" si="28"/>
        <v>0</v>
      </c>
      <c r="R204">
        <f t="shared" si="29"/>
        <v>0</v>
      </c>
      <c r="S204">
        <f t="shared" si="30"/>
        <v>0</v>
      </c>
      <c r="T204">
        <f t="shared" si="31"/>
        <v>0</v>
      </c>
      <c r="U204">
        <f t="shared" si="32"/>
        <v>0</v>
      </c>
      <c r="V204">
        <f t="shared" si="33"/>
        <v>0</v>
      </c>
      <c r="AA204">
        <f t="shared" si="12"/>
        <v>0</v>
      </c>
      <c r="AL204" s="142"/>
    </row>
    <row r="205" spans="1:38" hidden="1" x14ac:dyDescent="0.2">
      <c r="A205" s="1700"/>
      <c r="B205" s="1698"/>
      <c r="C205" s="1712"/>
      <c r="D205" s="1699"/>
      <c r="E205" s="1699"/>
      <c r="F205" s="1699"/>
      <c r="G205" s="1699"/>
      <c r="H205" s="1699"/>
      <c r="I205" s="1706"/>
      <c r="J205" s="1706"/>
      <c r="K205" s="1713" t="str">
        <f t="shared" si="26"/>
        <v/>
      </c>
      <c r="L205">
        <f t="shared" si="27"/>
        <v>0</v>
      </c>
      <c r="Q205">
        <f t="shared" si="28"/>
        <v>0</v>
      </c>
      <c r="R205">
        <f t="shared" si="29"/>
        <v>0</v>
      </c>
      <c r="S205">
        <f t="shared" si="30"/>
        <v>0</v>
      </c>
      <c r="T205">
        <f t="shared" si="31"/>
        <v>0</v>
      </c>
      <c r="U205">
        <f t="shared" si="32"/>
        <v>0</v>
      </c>
      <c r="V205">
        <f t="shared" si="33"/>
        <v>0</v>
      </c>
      <c r="AA205">
        <f t="shared" si="12"/>
        <v>0</v>
      </c>
      <c r="AL205" s="142"/>
    </row>
    <row r="206" spans="1:38" hidden="1" x14ac:dyDescent="0.2">
      <c r="A206" s="1700"/>
      <c r="B206" s="1698"/>
      <c r="C206" s="1712"/>
      <c r="D206" s="1699"/>
      <c r="E206" s="1699"/>
      <c r="F206" s="1699"/>
      <c r="G206" s="1699"/>
      <c r="H206" s="1699"/>
      <c r="I206" s="1706"/>
      <c r="J206" s="1706"/>
      <c r="K206" s="1713" t="str">
        <f t="shared" si="26"/>
        <v/>
      </c>
      <c r="L206">
        <f t="shared" si="27"/>
        <v>0</v>
      </c>
      <c r="Q206">
        <f t="shared" si="28"/>
        <v>0</v>
      </c>
      <c r="R206">
        <f t="shared" si="29"/>
        <v>0</v>
      </c>
      <c r="S206">
        <f t="shared" si="30"/>
        <v>0</v>
      </c>
      <c r="T206">
        <f t="shared" si="31"/>
        <v>0</v>
      </c>
      <c r="U206">
        <f t="shared" si="32"/>
        <v>0</v>
      </c>
      <c r="V206">
        <f t="shared" si="33"/>
        <v>0</v>
      </c>
      <c r="AA206">
        <f t="shared" si="12"/>
        <v>0</v>
      </c>
      <c r="AL206" s="142"/>
    </row>
    <row r="207" spans="1:38" hidden="1" x14ac:dyDescent="0.2">
      <c r="A207" s="1700"/>
      <c r="B207" s="1698"/>
      <c r="C207" s="1712"/>
      <c r="D207" s="1699"/>
      <c r="E207" s="1699"/>
      <c r="F207" s="1699"/>
      <c r="G207" s="1699"/>
      <c r="H207" s="1699"/>
      <c r="I207" s="1706"/>
      <c r="J207" s="1706"/>
      <c r="K207" s="1713" t="str">
        <f t="shared" si="26"/>
        <v/>
      </c>
      <c r="L207">
        <f t="shared" si="27"/>
        <v>0</v>
      </c>
      <c r="Q207">
        <f t="shared" si="28"/>
        <v>0</v>
      </c>
      <c r="R207">
        <f t="shared" si="29"/>
        <v>0</v>
      </c>
      <c r="S207">
        <f t="shared" si="30"/>
        <v>0</v>
      </c>
      <c r="T207">
        <f t="shared" si="31"/>
        <v>0</v>
      </c>
      <c r="U207">
        <f t="shared" si="32"/>
        <v>0</v>
      </c>
      <c r="V207">
        <f t="shared" si="33"/>
        <v>0</v>
      </c>
      <c r="AA207">
        <f t="shared" si="12"/>
        <v>0</v>
      </c>
      <c r="AL207" s="142"/>
    </row>
    <row r="208" spans="1:38" hidden="1" x14ac:dyDescent="0.2">
      <c r="A208" s="1700"/>
      <c r="B208" s="1698"/>
      <c r="C208" s="1712"/>
      <c r="D208" s="1699"/>
      <c r="E208" s="1699"/>
      <c r="F208" s="1699"/>
      <c r="G208" s="1699"/>
      <c r="H208" s="1699"/>
      <c r="I208" s="1706"/>
      <c r="J208" s="1706"/>
      <c r="K208" s="1713" t="str">
        <f t="shared" si="26"/>
        <v/>
      </c>
      <c r="L208">
        <f t="shared" si="27"/>
        <v>0</v>
      </c>
      <c r="Q208">
        <f t="shared" si="28"/>
        <v>0</v>
      </c>
      <c r="R208">
        <f t="shared" si="29"/>
        <v>0</v>
      </c>
      <c r="S208">
        <f t="shared" si="30"/>
        <v>0</v>
      </c>
      <c r="T208">
        <f t="shared" si="31"/>
        <v>0</v>
      </c>
      <c r="U208">
        <f t="shared" si="32"/>
        <v>0</v>
      </c>
      <c r="V208">
        <f t="shared" si="33"/>
        <v>0</v>
      </c>
      <c r="AA208">
        <f t="shared" si="12"/>
        <v>0</v>
      </c>
      <c r="AL208" s="142"/>
    </row>
    <row r="209" spans="1:38" hidden="1" x14ac:dyDescent="0.2">
      <c r="A209" s="1700"/>
      <c r="B209" s="1698"/>
      <c r="C209" s="1712"/>
      <c r="D209" s="1699"/>
      <c r="E209" s="1699"/>
      <c r="F209" s="1699"/>
      <c r="G209" s="1699"/>
      <c r="H209" s="1699"/>
      <c r="I209" s="1706"/>
      <c r="J209" s="1706"/>
      <c r="K209" s="1713" t="str">
        <f t="shared" si="26"/>
        <v/>
      </c>
      <c r="L209">
        <f t="shared" si="27"/>
        <v>0</v>
      </c>
      <c r="Q209">
        <f t="shared" si="28"/>
        <v>0</v>
      </c>
      <c r="R209">
        <f t="shared" si="29"/>
        <v>0</v>
      </c>
      <c r="S209">
        <f t="shared" si="30"/>
        <v>0</v>
      </c>
      <c r="T209">
        <f t="shared" si="31"/>
        <v>0</v>
      </c>
      <c r="U209">
        <f t="shared" si="32"/>
        <v>0</v>
      </c>
      <c r="V209">
        <f t="shared" si="33"/>
        <v>0</v>
      </c>
      <c r="AA209">
        <f t="shared" si="12"/>
        <v>0</v>
      </c>
      <c r="AL209" s="142"/>
    </row>
    <row r="210" spans="1:38" hidden="1" x14ac:dyDescent="0.2">
      <c r="A210" s="1700"/>
      <c r="B210" s="1698"/>
      <c r="C210" s="1712"/>
      <c r="D210" s="1699"/>
      <c r="E210" s="1699"/>
      <c r="F210" s="1699"/>
      <c r="G210" s="1699"/>
      <c r="H210" s="1699"/>
      <c r="I210" s="1706"/>
      <c r="J210" s="1706"/>
      <c r="K210" s="1713" t="str">
        <f t="shared" si="26"/>
        <v/>
      </c>
      <c r="L210">
        <f t="shared" si="27"/>
        <v>0</v>
      </c>
      <c r="Q210">
        <f t="shared" si="28"/>
        <v>0</v>
      </c>
      <c r="R210">
        <f t="shared" si="29"/>
        <v>0</v>
      </c>
      <c r="S210">
        <f t="shared" si="30"/>
        <v>0</v>
      </c>
      <c r="T210">
        <f t="shared" si="31"/>
        <v>0</v>
      </c>
      <c r="U210">
        <f t="shared" si="32"/>
        <v>0</v>
      </c>
      <c r="V210">
        <f t="shared" si="33"/>
        <v>0</v>
      </c>
      <c r="AA210">
        <f t="shared" si="12"/>
        <v>0</v>
      </c>
      <c r="AL210" s="142"/>
    </row>
    <row r="211" spans="1:38" hidden="1" x14ac:dyDescent="0.2">
      <c r="A211" s="1700"/>
      <c r="B211" s="1698"/>
      <c r="C211" s="1712"/>
      <c r="D211" s="1699"/>
      <c r="E211" s="1699"/>
      <c r="F211" s="1699"/>
      <c r="G211" s="1699"/>
      <c r="H211" s="1699"/>
      <c r="I211" s="1706"/>
      <c r="J211" s="1706"/>
      <c r="K211" s="1713" t="str">
        <f t="shared" si="26"/>
        <v/>
      </c>
      <c r="L211">
        <f t="shared" si="27"/>
        <v>0</v>
      </c>
      <c r="Q211">
        <f t="shared" si="28"/>
        <v>0</v>
      </c>
      <c r="R211">
        <f t="shared" si="29"/>
        <v>0</v>
      </c>
      <c r="S211">
        <f t="shared" si="30"/>
        <v>0</v>
      </c>
      <c r="T211">
        <f t="shared" si="31"/>
        <v>0</v>
      </c>
      <c r="U211">
        <f t="shared" si="32"/>
        <v>0</v>
      </c>
      <c r="V211">
        <f t="shared" si="33"/>
        <v>0</v>
      </c>
      <c r="AA211">
        <f t="shared" si="12"/>
        <v>0</v>
      </c>
      <c r="AL211" s="142"/>
    </row>
    <row r="212" spans="1:38" hidden="1" x14ac:dyDescent="0.2">
      <c r="A212" s="1700"/>
      <c r="B212" s="1698"/>
      <c r="C212" s="1712"/>
      <c r="D212" s="1699"/>
      <c r="E212" s="1699"/>
      <c r="F212" s="1699"/>
      <c r="G212" s="1699"/>
      <c r="H212" s="1699"/>
      <c r="I212" s="1706"/>
      <c r="J212" s="1706"/>
      <c r="K212" s="1713" t="str">
        <f t="shared" si="26"/>
        <v/>
      </c>
      <c r="L212">
        <f t="shared" si="27"/>
        <v>0</v>
      </c>
      <c r="Q212">
        <f t="shared" si="28"/>
        <v>0</v>
      </c>
      <c r="R212">
        <f t="shared" si="29"/>
        <v>0</v>
      </c>
      <c r="S212">
        <f t="shared" si="30"/>
        <v>0</v>
      </c>
      <c r="T212">
        <f t="shared" si="31"/>
        <v>0</v>
      </c>
      <c r="U212">
        <f t="shared" si="32"/>
        <v>0</v>
      </c>
      <c r="V212">
        <f t="shared" si="33"/>
        <v>0</v>
      </c>
      <c r="AA212">
        <f t="shared" si="12"/>
        <v>0</v>
      </c>
      <c r="AL212" s="142"/>
    </row>
    <row r="213" spans="1:38" hidden="1" x14ac:dyDescent="0.2">
      <c r="A213" s="1700"/>
      <c r="B213" s="1698"/>
      <c r="C213" s="1712"/>
      <c r="D213" s="1699"/>
      <c r="E213" s="1699"/>
      <c r="F213" s="1699"/>
      <c r="G213" s="1699"/>
      <c r="H213" s="1699"/>
      <c r="I213" s="1706"/>
      <c r="J213" s="1706"/>
      <c r="K213" s="1713" t="str">
        <f t="shared" si="26"/>
        <v/>
      </c>
      <c r="L213">
        <f t="shared" si="27"/>
        <v>0</v>
      </c>
      <c r="Q213">
        <f t="shared" si="28"/>
        <v>0</v>
      </c>
      <c r="R213">
        <f t="shared" si="29"/>
        <v>0</v>
      </c>
      <c r="S213">
        <f t="shared" si="30"/>
        <v>0</v>
      </c>
      <c r="T213">
        <f t="shared" si="31"/>
        <v>0</v>
      </c>
      <c r="U213">
        <f t="shared" si="32"/>
        <v>0</v>
      </c>
      <c r="V213">
        <f t="shared" si="33"/>
        <v>0</v>
      </c>
      <c r="AA213">
        <f t="shared" si="12"/>
        <v>0</v>
      </c>
      <c r="AL213" s="142"/>
    </row>
    <row r="214" spans="1:38" hidden="1" x14ac:dyDescent="0.2">
      <c r="A214" s="1700"/>
      <c r="B214" s="1698"/>
      <c r="C214" s="1712"/>
      <c r="D214" s="1699"/>
      <c r="E214" s="1699"/>
      <c r="F214" s="1699"/>
      <c r="G214" s="1699"/>
      <c r="H214" s="1699"/>
      <c r="I214" s="1706"/>
      <c r="J214" s="1706"/>
      <c r="K214" s="1713" t="str">
        <f t="shared" si="26"/>
        <v/>
      </c>
      <c r="L214">
        <f t="shared" si="27"/>
        <v>0</v>
      </c>
      <c r="Q214">
        <f t="shared" si="28"/>
        <v>0</v>
      </c>
      <c r="R214">
        <f t="shared" si="29"/>
        <v>0</v>
      </c>
      <c r="S214">
        <f t="shared" si="30"/>
        <v>0</v>
      </c>
      <c r="T214">
        <f t="shared" si="31"/>
        <v>0</v>
      </c>
      <c r="U214">
        <f t="shared" si="32"/>
        <v>0</v>
      </c>
      <c r="V214">
        <f t="shared" si="33"/>
        <v>0</v>
      </c>
      <c r="AA214">
        <f t="shared" si="12"/>
        <v>0</v>
      </c>
      <c r="AL214" s="142"/>
    </row>
    <row r="215" spans="1:38" hidden="1" x14ac:dyDescent="0.2">
      <c r="A215" s="1700"/>
      <c r="B215" s="1698"/>
      <c r="C215" s="1712"/>
      <c r="D215" s="1699"/>
      <c r="E215" s="1699"/>
      <c r="F215" s="1699"/>
      <c r="G215" s="1699"/>
      <c r="H215" s="1699"/>
      <c r="I215" s="1706"/>
      <c r="J215" s="1706"/>
      <c r="K215" s="1713" t="str">
        <f t="shared" si="26"/>
        <v/>
      </c>
      <c r="L215">
        <f t="shared" si="27"/>
        <v>0</v>
      </c>
      <c r="Q215">
        <f t="shared" si="28"/>
        <v>0</v>
      </c>
      <c r="R215">
        <f t="shared" si="29"/>
        <v>0</v>
      </c>
      <c r="S215">
        <f t="shared" si="30"/>
        <v>0</v>
      </c>
      <c r="T215">
        <f t="shared" si="31"/>
        <v>0</v>
      </c>
      <c r="U215">
        <f t="shared" si="32"/>
        <v>0</v>
      </c>
      <c r="V215">
        <f t="shared" si="33"/>
        <v>0</v>
      </c>
      <c r="AA215">
        <f t="shared" si="12"/>
        <v>0</v>
      </c>
      <c r="AL215" s="142"/>
    </row>
    <row r="216" spans="1:38" hidden="1" x14ac:dyDescent="0.2">
      <c r="A216" s="1700"/>
      <c r="B216" s="1698"/>
      <c r="C216" s="1712"/>
      <c r="D216" s="1699"/>
      <c r="E216" s="1699"/>
      <c r="F216" s="1699"/>
      <c r="G216" s="1699"/>
      <c r="H216" s="1699"/>
      <c r="I216" s="1706"/>
      <c r="J216" s="1706"/>
      <c r="K216" s="1713" t="str">
        <f t="shared" si="26"/>
        <v/>
      </c>
      <c r="L216">
        <f t="shared" si="27"/>
        <v>0</v>
      </c>
      <c r="Q216">
        <f t="shared" si="28"/>
        <v>0</v>
      </c>
      <c r="R216">
        <f t="shared" si="29"/>
        <v>0</v>
      </c>
      <c r="S216">
        <f t="shared" si="30"/>
        <v>0</v>
      </c>
      <c r="T216">
        <f t="shared" si="31"/>
        <v>0</v>
      </c>
      <c r="U216">
        <f t="shared" si="32"/>
        <v>0</v>
      </c>
      <c r="V216">
        <f t="shared" si="33"/>
        <v>0</v>
      </c>
      <c r="AA216">
        <f t="shared" si="12"/>
        <v>0</v>
      </c>
      <c r="AL216" s="142"/>
    </row>
    <row r="217" spans="1:38" hidden="1" x14ac:dyDescent="0.2">
      <c r="A217" s="1700"/>
      <c r="B217" s="1698"/>
      <c r="C217" s="1712"/>
      <c r="D217" s="1699"/>
      <c r="E217" s="1699"/>
      <c r="F217" s="1699"/>
      <c r="G217" s="1699"/>
      <c r="H217" s="1699"/>
      <c r="I217" s="1706"/>
      <c r="J217" s="1706"/>
      <c r="K217" s="1713" t="str">
        <f t="shared" si="26"/>
        <v/>
      </c>
      <c r="L217">
        <f t="shared" si="27"/>
        <v>0</v>
      </c>
      <c r="Q217">
        <f t="shared" si="28"/>
        <v>0</v>
      </c>
      <c r="R217">
        <f t="shared" si="29"/>
        <v>0</v>
      </c>
      <c r="S217">
        <f t="shared" si="30"/>
        <v>0</v>
      </c>
      <c r="T217">
        <f t="shared" si="31"/>
        <v>0</v>
      </c>
      <c r="U217">
        <f t="shared" si="32"/>
        <v>0</v>
      </c>
      <c r="V217">
        <f t="shared" si="33"/>
        <v>0</v>
      </c>
      <c r="AA217">
        <f t="shared" si="12"/>
        <v>0</v>
      </c>
      <c r="AL217" s="142"/>
    </row>
    <row r="218" spans="1:38" hidden="1" x14ac:dyDescent="0.2">
      <c r="A218" s="1700"/>
      <c r="B218" s="1698"/>
      <c r="C218" s="1712"/>
      <c r="D218" s="1699"/>
      <c r="E218" s="1699"/>
      <c r="F218" s="1699"/>
      <c r="G218" s="1699"/>
      <c r="H218" s="1699"/>
      <c r="I218" s="1706"/>
      <c r="J218" s="1706"/>
      <c r="K218" s="1713" t="str">
        <f t="shared" ref="K218:K281" si="34">IF(AND(AA218=1,A218=$S$59),"TIN required!",IF(Q218&gt;R218," All details required!",""))</f>
        <v/>
      </c>
      <c r="L218">
        <f t="shared" ref="L218:L281" si="35">IF(K218="",0,1)</f>
      </c>
      <c r="Q218">
        <f t="shared" ref="Q218:Q281" si="36">IF(AND(G212="Yes",R218=0),7,IF(S218=0,0,IF(A218=$S$59,10,7)))</f>
      </c>
      <c r="R218">
        <f t="shared" ref="R218:R281" si="37">IF(AND(AA218=0,A218=$S$59),T218+U218+V218,T218+V218)</f>
      </c>
      <c r="S218">
        <f t="shared" ref="S218:S281" si="38">SUM(T218:V218)</f>
      </c>
      <c r="T218">
        <f t="shared" ref="T218:T281" si="39">COUNTA(A218:B218)</f>
      </c>
      <c r="U218">
        <f t="shared" ref="U218:U281" si="40">COUNTA(C218:E218)</f>
      </c>
      <c r="V218">
        <f t="shared" ref="V218:V281" si="41">COUNTA(F218:J218)</f>
      </c>
      <c r="AA218">
        <f t="shared" si="12"/>
        <v>0</v>
      </c>
      <c r="AL218" s="142"/>
    </row>
    <row r="219" spans="1:38" hidden="1" x14ac:dyDescent="0.2">
      <c r="A219" s="1700"/>
      <c r="B219" s="1698"/>
      <c r="C219" s="1712"/>
      <c r="D219" s="1699"/>
      <c r="E219" s="1699"/>
      <c r="F219" s="1699"/>
      <c r="G219" s="1699"/>
      <c r="H219" s="1699"/>
      <c r="I219" s="1706"/>
      <c r="J219" s="1706"/>
      <c r="K219" s="1713" t="str">
        <f t="shared" si="34"/>
        <v/>
      </c>
      <c r="L219">
        <f t="shared" si="35"/>
        <v>0</v>
      </c>
      <c r="Q219">
        <f t="shared" si="36"/>
        <v>0</v>
      </c>
      <c r="R219">
        <f t="shared" si="37"/>
        <v>0</v>
      </c>
      <c r="S219">
        <f t="shared" si="38"/>
        <v>0</v>
      </c>
      <c r="T219">
        <f t="shared" si="39"/>
        <v>0</v>
      </c>
      <c r="U219">
        <f t="shared" si="40"/>
        <v>0</v>
      </c>
      <c r="V219">
        <f t="shared" si="41"/>
        <v>0</v>
      </c>
      <c r="AA219">
        <f t="shared" si="12"/>
        <v>0</v>
      </c>
      <c r="AL219" s="142"/>
    </row>
    <row r="220" spans="1:38" hidden="1" x14ac:dyDescent="0.2">
      <c r="A220" s="1700"/>
      <c r="B220" s="1698"/>
      <c r="C220" s="1712"/>
      <c r="D220" s="1699"/>
      <c r="E220" s="1699"/>
      <c r="F220" s="1699"/>
      <c r="G220" s="1699"/>
      <c r="H220" s="1699"/>
      <c r="I220" s="1706"/>
      <c r="J220" s="1706"/>
      <c r="K220" s="1713" t="str">
        <f t="shared" si="34"/>
        <v/>
      </c>
      <c r="L220">
        <f t="shared" si="35"/>
        <v>0</v>
      </c>
      <c r="Q220">
        <f t="shared" si="36"/>
        <v>0</v>
      </c>
      <c r="R220">
        <f t="shared" si="37"/>
        <v>0</v>
      </c>
      <c r="S220">
        <f t="shared" si="38"/>
        <v>0</v>
      </c>
      <c r="T220">
        <f t="shared" si="39"/>
        <v>0</v>
      </c>
      <c r="U220">
        <f t="shared" si="40"/>
        <v>0</v>
      </c>
      <c r="V220">
        <f t="shared" si="41"/>
        <v>0</v>
      </c>
      <c r="AA220">
        <f t="shared" si="12"/>
        <v>0</v>
      </c>
      <c r="AL220" s="142"/>
    </row>
    <row r="221" spans="1:38" hidden="1" x14ac:dyDescent="0.2">
      <c r="A221" s="1700"/>
      <c r="B221" s="1698"/>
      <c r="C221" s="1712"/>
      <c r="D221" s="1699"/>
      <c r="E221" s="1699"/>
      <c r="F221" s="1699"/>
      <c r="G221" s="1699"/>
      <c r="H221" s="1699"/>
      <c r="I221" s="1706"/>
      <c r="J221" s="1706"/>
      <c r="K221" s="1713" t="str">
        <f t="shared" si="34"/>
        <v/>
      </c>
      <c r="L221">
        <f t="shared" si="35"/>
        <v>0</v>
      </c>
      <c r="Q221">
        <f t="shared" si="36"/>
        <v>0</v>
      </c>
      <c r="R221">
        <f t="shared" si="37"/>
        <v>0</v>
      </c>
      <c r="S221">
        <f t="shared" si="38"/>
        <v>0</v>
      </c>
      <c r="T221">
        <f t="shared" si="39"/>
        <v>0</v>
      </c>
      <c r="U221">
        <f t="shared" si="40"/>
        <v>0</v>
      </c>
      <c r="V221">
        <f t="shared" si="41"/>
        <v>0</v>
      </c>
      <c r="AA221">
        <f t="shared" si="12"/>
        <v>0</v>
      </c>
      <c r="AL221" s="142"/>
    </row>
    <row r="222" spans="1:38" hidden="1" x14ac:dyDescent="0.2">
      <c r="A222" s="1700"/>
      <c r="B222" s="1698"/>
      <c r="C222" s="1712"/>
      <c r="D222" s="1699"/>
      <c r="E222" s="1699"/>
      <c r="F222" s="1699"/>
      <c r="G222" s="1699"/>
      <c r="H222" s="1699"/>
      <c r="I222" s="1706"/>
      <c r="J222" s="1706"/>
      <c r="K222" s="1713" t="str">
        <f t="shared" si="34"/>
        <v/>
      </c>
      <c r="L222">
        <f t="shared" si="35"/>
        <v>0</v>
      </c>
      <c r="Q222">
        <f t="shared" si="36"/>
        <v>0</v>
      </c>
      <c r="R222">
        <f t="shared" si="37"/>
        <v>0</v>
      </c>
      <c r="S222">
        <f t="shared" si="38"/>
        <v>0</v>
      </c>
      <c r="T222">
        <f t="shared" si="39"/>
        <v>0</v>
      </c>
      <c r="U222">
        <f t="shared" si="40"/>
        <v>0</v>
      </c>
      <c r="V222">
        <f t="shared" si="41"/>
        <v>0</v>
      </c>
      <c r="AA222">
        <f t="shared" si="12"/>
        <v>0</v>
      </c>
      <c r="AL222" s="142"/>
    </row>
    <row r="223" spans="1:38" hidden="1" x14ac:dyDescent="0.2">
      <c r="A223" s="1700"/>
      <c r="B223" s="1698"/>
      <c r="C223" s="1712"/>
      <c r="D223" s="1699"/>
      <c r="E223" s="1699"/>
      <c r="F223" s="1699"/>
      <c r="G223" s="1699"/>
      <c r="H223" s="1699"/>
      <c r="I223" s="1706"/>
      <c r="J223" s="1706"/>
      <c r="K223" s="1713" t="str">
        <f t="shared" si="34"/>
        <v/>
      </c>
      <c r="L223">
        <f t="shared" si="35"/>
        <v>0</v>
      </c>
      <c r="Q223">
        <f t="shared" si="36"/>
        <v>0</v>
      </c>
      <c r="R223">
        <f t="shared" si="37"/>
        <v>0</v>
      </c>
      <c r="S223">
        <f t="shared" si="38"/>
        <v>0</v>
      </c>
      <c r="T223">
        <f t="shared" si="39"/>
        <v>0</v>
      </c>
      <c r="U223">
        <f t="shared" si="40"/>
        <v>0</v>
      </c>
      <c r="V223">
        <f t="shared" si="41"/>
        <v>0</v>
      </c>
      <c r="AA223">
        <f t="shared" si="12"/>
        <v>0</v>
      </c>
      <c r="AL223" s="142"/>
    </row>
    <row r="224" spans="1:38" hidden="1" x14ac:dyDescent="0.2">
      <c r="A224" s="1700"/>
      <c r="B224" s="1698"/>
      <c r="C224" s="1712"/>
      <c r="D224" s="1699"/>
      <c r="E224" s="1699"/>
      <c r="F224" s="1699"/>
      <c r="G224" s="1699"/>
      <c r="H224" s="1699"/>
      <c r="I224" s="1706"/>
      <c r="J224" s="1706"/>
      <c r="K224" s="1713" t="str">
        <f t="shared" si="34"/>
        <v/>
      </c>
      <c r="L224">
        <f t="shared" si="35"/>
        <v>0</v>
      </c>
      <c r="Q224">
        <f t="shared" si="36"/>
        <v>0</v>
      </c>
      <c r="R224">
        <f t="shared" si="37"/>
        <v>0</v>
      </c>
      <c r="S224">
        <f t="shared" si="38"/>
        <v>0</v>
      </c>
      <c r="T224">
        <f t="shared" si="39"/>
        <v>0</v>
      </c>
      <c r="U224">
        <f t="shared" si="40"/>
        <v>0</v>
      </c>
      <c r="V224">
        <f t="shared" si="41"/>
        <v>0</v>
      </c>
      <c r="AA224">
        <f t="shared" si="12"/>
        <v>0</v>
      </c>
      <c r="AL224" s="142"/>
    </row>
    <row r="225" spans="1:38" hidden="1" x14ac:dyDescent="0.2">
      <c r="A225" s="1700"/>
      <c r="B225" s="1698"/>
      <c r="C225" s="1712"/>
      <c r="D225" s="1699"/>
      <c r="E225" s="1699"/>
      <c r="F225" s="1699"/>
      <c r="G225" s="1699"/>
      <c r="H225" s="1699"/>
      <c r="I225" s="1706"/>
      <c r="J225" s="1706"/>
      <c r="K225" s="1713" t="str">
        <f t="shared" si="34"/>
        <v/>
      </c>
      <c r="L225">
        <f t="shared" si="35"/>
        <v>0</v>
      </c>
      <c r="Q225">
        <f t="shared" si="36"/>
        <v>0</v>
      </c>
      <c r="R225">
        <f t="shared" si="37"/>
        <v>0</v>
      </c>
      <c r="S225">
        <f t="shared" si="38"/>
        <v>0</v>
      </c>
      <c r="T225">
        <f t="shared" si="39"/>
        <v>0</v>
      </c>
      <c r="U225">
        <f t="shared" si="40"/>
        <v>0</v>
      </c>
      <c r="V225">
        <f t="shared" si="41"/>
        <v>0</v>
      </c>
      <c r="AA225">
        <f t="shared" si="12"/>
        <v>0</v>
      </c>
      <c r="AL225" s="142"/>
    </row>
    <row r="226" spans="1:38" hidden="1" x14ac:dyDescent="0.2">
      <c r="A226" s="1700"/>
      <c r="B226" s="1698"/>
      <c r="C226" s="1712"/>
      <c r="D226" s="1699"/>
      <c r="E226" s="1699"/>
      <c r="F226" s="1699"/>
      <c r="G226" s="1699"/>
      <c r="H226" s="1699"/>
      <c r="I226" s="1706"/>
      <c r="J226" s="1706"/>
      <c r="K226" s="1713" t="str">
        <f t="shared" si="34"/>
        <v/>
      </c>
      <c r="L226">
        <f t="shared" si="35"/>
        <v>0</v>
      </c>
      <c r="Q226">
        <f t="shared" si="36"/>
        <v>0</v>
      </c>
      <c r="R226">
        <f t="shared" si="37"/>
        <v>0</v>
      </c>
      <c r="S226">
        <f t="shared" si="38"/>
        <v>0</v>
      </c>
      <c r="T226">
        <f t="shared" si="39"/>
        <v>0</v>
      </c>
      <c r="U226">
        <f t="shared" si="40"/>
        <v>0</v>
      </c>
      <c r="V226">
        <f t="shared" si="41"/>
        <v>0</v>
      </c>
      <c r="AA226">
        <f t="shared" si="12"/>
        <v>0</v>
      </c>
      <c r="AL226" s="142"/>
    </row>
    <row r="227" spans="1:38" hidden="1" x14ac:dyDescent="0.2">
      <c r="A227" s="1700"/>
      <c r="B227" s="1698"/>
      <c r="C227" s="1712"/>
      <c r="D227" s="1699"/>
      <c r="E227" s="1699"/>
      <c r="F227" s="1699"/>
      <c r="G227" s="1699"/>
      <c r="H227" s="1699"/>
      <c r="I227" s="1706"/>
      <c r="J227" s="1706"/>
      <c r="K227" s="1713" t="str">
        <f t="shared" si="34"/>
        <v/>
      </c>
      <c r="L227">
        <f t="shared" si="35"/>
        <v>0</v>
      </c>
      <c r="Q227">
        <f t="shared" si="36"/>
        <v>0</v>
      </c>
      <c r="R227">
        <f t="shared" si="37"/>
        <v>0</v>
      </c>
      <c r="S227">
        <f t="shared" si="38"/>
        <v>0</v>
      </c>
      <c r="T227">
        <f t="shared" si="39"/>
        <v>0</v>
      </c>
      <c r="U227">
        <f t="shared" si="40"/>
        <v>0</v>
      </c>
      <c r="V227">
        <f t="shared" si="41"/>
        <v>0</v>
      </c>
      <c r="AA227">
        <f t="shared" si="12"/>
        <v>0</v>
      </c>
      <c r="AL227" s="142"/>
    </row>
    <row r="228" spans="1:38" hidden="1" x14ac:dyDescent="0.2">
      <c r="A228" s="1700"/>
      <c r="B228" s="1698"/>
      <c r="C228" s="1712"/>
      <c r="D228" s="1699"/>
      <c r="E228" s="1699"/>
      <c r="F228" s="1699"/>
      <c r="G228" s="1699"/>
      <c r="H228" s="1699"/>
      <c r="I228" s="1706"/>
      <c r="J228" s="1706"/>
      <c r="K228" s="1713" t="str">
        <f t="shared" si="34"/>
        <v/>
      </c>
      <c r="L228">
        <f t="shared" si="35"/>
        <v>0</v>
      </c>
      <c r="Q228">
        <f t="shared" si="36"/>
        <v>0</v>
      </c>
      <c r="R228">
        <f t="shared" si="37"/>
        <v>0</v>
      </c>
      <c r="S228">
        <f t="shared" si="38"/>
        <v>0</v>
      </c>
      <c r="T228">
        <f t="shared" si="39"/>
        <v>0</v>
      </c>
      <c r="U228">
        <f t="shared" si="40"/>
        <v>0</v>
      </c>
      <c r="V228">
        <f t="shared" si="41"/>
        <v>0</v>
      </c>
      <c r="AA228">
        <f t="shared" si="12"/>
        <v>0</v>
      </c>
      <c r="AL228" s="142"/>
    </row>
    <row r="229" spans="1:38" hidden="1" x14ac:dyDescent="0.2">
      <c r="A229" s="1700"/>
      <c r="B229" s="1698"/>
      <c r="C229" s="1712"/>
      <c r="D229" s="1699"/>
      <c r="E229" s="1699"/>
      <c r="F229" s="1699"/>
      <c r="G229" s="1699"/>
      <c r="H229" s="1699"/>
      <c r="I229" s="1706"/>
      <c r="J229" s="1706"/>
      <c r="K229" s="1713" t="str">
        <f t="shared" si="34"/>
        <v/>
      </c>
      <c r="L229">
        <f t="shared" si="35"/>
        <v>0</v>
      </c>
      <c r="Q229">
        <f t="shared" si="36"/>
        <v>0</v>
      </c>
      <c r="R229">
        <f t="shared" si="37"/>
        <v>0</v>
      </c>
      <c r="S229">
        <f t="shared" si="38"/>
        <v>0</v>
      </c>
      <c r="T229">
        <f t="shared" si="39"/>
        <v>0</v>
      </c>
      <c r="U229">
        <f t="shared" si="40"/>
        <v>0</v>
      </c>
      <c r="V229">
        <f t="shared" si="41"/>
        <v>0</v>
      </c>
      <c r="AA229">
        <f t="shared" si="12"/>
        <v>0</v>
      </c>
      <c r="AL229" s="142"/>
    </row>
    <row r="230" spans="1:38" hidden="1" x14ac:dyDescent="0.2">
      <c r="A230" s="1700"/>
      <c r="B230" s="1698"/>
      <c r="C230" s="1712"/>
      <c r="D230" s="1699"/>
      <c r="E230" s="1699"/>
      <c r="F230" s="1699"/>
      <c r="G230" s="1699"/>
      <c r="H230" s="1699"/>
      <c r="I230" s="1706"/>
      <c r="J230" s="1706"/>
      <c r="K230" s="1713" t="str">
        <f t="shared" si="34"/>
        <v/>
      </c>
      <c r="L230">
        <f t="shared" si="35"/>
        <v>0</v>
      </c>
      <c r="Q230">
        <f t="shared" si="36"/>
        <v>0</v>
      </c>
      <c r="R230">
        <f t="shared" si="37"/>
        <v>0</v>
      </c>
      <c r="S230">
        <f t="shared" si="38"/>
        <v>0</v>
      </c>
      <c r="T230">
        <f t="shared" si="39"/>
        <v>0</v>
      </c>
      <c r="U230">
        <f t="shared" si="40"/>
        <v>0</v>
      </c>
      <c r="V230">
        <f t="shared" si="41"/>
        <v>0</v>
      </c>
      <c r="AA230">
        <f t="shared" si="12"/>
        <v>0</v>
      </c>
      <c r="AL230" s="142"/>
    </row>
    <row r="231" spans="1:38" hidden="1" x14ac:dyDescent="0.2">
      <c r="A231" s="1700"/>
      <c r="B231" s="1698"/>
      <c r="C231" s="1712"/>
      <c r="D231" s="1699"/>
      <c r="E231" s="1699"/>
      <c r="F231" s="1699"/>
      <c r="G231" s="1699"/>
      <c r="H231" s="1699"/>
      <c r="I231" s="1706"/>
      <c r="J231" s="1706"/>
      <c r="K231" s="1713" t="str">
        <f t="shared" si="34"/>
        <v/>
      </c>
      <c r="L231">
        <f t="shared" si="35"/>
        <v>0</v>
      </c>
      <c r="Q231">
        <f t="shared" si="36"/>
        <v>0</v>
      </c>
      <c r="R231">
        <f t="shared" si="37"/>
        <v>0</v>
      </c>
      <c r="S231">
        <f t="shared" si="38"/>
        <v>0</v>
      </c>
      <c r="T231">
        <f t="shared" si="39"/>
        <v>0</v>
      </c>
      <c r="U231">
        <f t="shared" si="40"/>
        <v>0</v>
      </c>
      <c r="V231">
        <f t="shared" si="41"/>
        <v>0</v>
      </c>
      <c r="AA231">
        <f t="shared" si="12"/>
        <v>0</v>
      </c>
      <c r="AL231" s="142"/>
    </row>
    <row r="232" spans="1:38" hidden="1" x14ac:dyDescent="0.2">
      <c r="A232" s="1700"/>
      <c r="B232" s="1698"/>
      <c r="C232" s="1712"/>
      <c r="D232" s="1699"/>
      <c r="E232" s="1699"/>
      <c r="F232" s="1699"/>
      <c r="G232" s="1699"/>
      <c r="H232" s="1699"/>
      <c r="I232" s="1706"/>
      <c r="J232" s="1706"/>
      <c r="K232" s="1713" t="str">
        <f t="shared" si="34"/>
        <v/>
      </c>
      <c r="L232">
        <f t="shared" si="35"/>
        <v>0</v>
      </c>
      <c r="Q232">
        <f t="shared" si="36"/>
        <v>0</v>
      </c>
      <c r="R232">
        <f t="shared" si="37"/>
        <v>0</v>
      </c>
      <c r="S232">
        <f t="shared" si="38"/>
        <v>0</v>
      </c>
      <c r="T232">
        <f t="shared" si="39"/>
        <v>0</v>
      </c>
      <c r="U232">
        <f t="shared" si="40"/>
        <v>0</v>
      </c>
      <c r="V232">
        <f t="shared" si="41"/>
        <v>0</v>
      </c>
      <c r="AA232">
        <f t="shared" si="12"/>
        <v>0</v>
      </c>
      <c r="AL232" s="142"/>
    </row>
    <row r="233" spans="1:38" hidden="1" x14ac:dyDescent="0.2">
      <c r="A233" s="1700"/>
      <c r="B233" s="1698"/>
      <c r="C233" s="1712"/>
      <c r="D233" s="1699"/>
      <c r="E233" s="1699"/>
      <c r="F233" s="1699"/>
      <c r="G233" s="1699"/>
      <c r="H233" s="1699"/>
      <c r="I233" s="1706"/>
      <c r="J233" s="1706"/>
      <c r="K233" s="1713" t="str">
        <f t="shared" si="34"/>
        <v/>
      </c>
      <c r="L233">
        <f t="shared" si="35"/>
        <v>0</v>
      </c>
      <c r="Q233">
        <f t="shared" si="36"/>
        <v>0</v>
      </c>
      <c r="R233">
        <f t="shared" si="37"/>
        <v>0</v>
      </c>
      <c r="S233">
        <f t="shared" si="38"/>
        <v>0</v>
      </c>
      <c r="T233">
        <f t="shared" si="39"/>
        <v>0</v>
      </c>
      <c r="U233">
        <f t="shared" si="40"/>
        <v>0</v>
      </c>
      <c r="V233">
        <f t="shared" si="41"/>
        <v>0</v>
      </c>
      <c r="AA233">
        <f t="shared" si="12"/>
        <v>0</v>
      </c>
      <c r="AL233" s="142"/>
    </row>
    <row r="234" spans="1:38" hidden="1" x14ac:dyDescent="0.2">
      <c r="A234" s="1700"/>
      <c r="B234" s="1698"/>
      <c r="C234" s="1712"/>
      <c r="D234" s="1699"/>
      <c r="E234" s="1699"/>
      <c r="F234" s="1699"/>
      <c r="G234" s="1699"/>
      <c r="H234" s="1699"/>
      <c r="I234" s="1706"/>
      <c r="J234" s="1706"/>
      <c r="K234" s="1713" t="str">
        <f t="shared" si="34"/>
        <v/>
      </c>
      <c r="L234">
        <f t="shared" si="35"/>
        <v>0</v>
      </c>
      <c r="Q234">
        <f t="shared" si="36"/>
        <v>0</v>
      </c>
      <c r="R234">
        <f t="shared" si="37"/>
        <v>0</v>
      </c>
      <c r="S234">
        <f t="shared" si="38"/>
        <v>0</v>
      </c>
      <c r="T234">
        <f t="shared" si="39"/>
        <v>0</v>
      </c>
      <c r="U234">
        <f t="shared" si="40"/>
        <v>0</v>
      </c>
      <c r="V234">
        <f t="shared" si="41"/>
        <v>0</v>
      </c>
      <c r="AA234">
        <f t="shared" si="12"/>
        <v>0</v>
      </c>
      <c r="AL234" s="142"/>
    </row>
    <row r="235" spans="1:38" hidden="1" x14ac:dyDescent="0.2">
      <c r="A235" s="1700"/>
      <c r="B235" s="1698"/>
      <c r="C235" s="1712"/>
      <c r="D235" s="1699"/>
      <c r="E235" s="1699"/>
      <c r="F235" s="1699"/>
      <c r="G235" s="1699"/>
      <c r="H235" s="1699"/>
      <c r="I235" s="1706"/>
      <c r="J235" s="1706"/>
      <c r="K235" s="1713" t="str">
        <f t="shared" si="34"/>
        <v/>
      </c>
      <c r="L235">
        <f t="shared" si="35"/>
        <v>0</v>
      </c>
      <c r="Q235">
        <f t="shared" si="36"/>
        <v>0</v>
      </c>
      <c r="R235">
        <f t="shared" si="37"/>
        <v>0</v>
      </c>
      <c r="S235">
        <f t="shared" si="38"/>
        <v>0</v>
      </c>
      <c r="T235">
        <f t="shared" si="39"/>
        <v>0</v>
      </c>
      <c r="U235">
        <f t="shared" si="40"/>
        <v>0</v>
      </c>
      <c r="V235">
        <f t="shared" si="41"/>
        <v>0</v>
      </c>
      <c r="AA235">
        <f t="shared" si="12"/>
        <v>0</v>
      </c>
      <c r="AL235" s="142"/>
    </row>
    <row r="236" spans="1:38" hidden="1" x14ac:dyDescent="0.2">
      <c r="A236" s="1700"/>
      <c r="B236" s="1698"/>
      <c r="C236" s="1712"/>
      <c r="D236" s="1699"/>
      <c r="E236" s="1699"/>
      <c r="F236" s="1699"/>
      <c r="G236" s="1699"/>
      <c r="H236" s="1699"/>
      <c r="I236" s="1706"/>
      <c r="J236" s="1706"/>
      <c r="K236" s="1713" t="str">
        <f t="shared" si="34"/>
        <v/>
      </c>
      <c r="L236">
        <f t="shared" si="35"/>
        <v>0</v>
      </c>
      <c r="Q236">
        <f t="shared" si="36"/>
        <v>0</v>
      </c>
      <c r="R236">
        <f t="shared" si="37"/>
        <v>0</v>
      </c>
      <c r="S236">
        <f t="shared" si="38"/>
        <v>0</v>
      </c>
      <c r="T236">
        <f t="shared" si="39"/>
        <v>0</v>
      </c>
      <c r="U236">
        <f t="shared" si="40"/>
        <v>0</v>
      </c>
      <c r="V236">
        <f t="shared" si="41"/>
        <v>0</v>
      </c>
      <c r="AA236">
        <f t="shared" si="12"/>
        <v>0</v>
      </c>
      <c r="AL236" s="142"/>
    </row>
    <row r="237" spans="1:38" hidden="1" x14ac:dyDescent="0.2">
      <c r="A237" s="1700"/>
      <c r="B237" s="1698"/>
      <c r="C237" s="1712"/>
      <c r="D237" s="1699"/>
      <c r="E237" s="1699"/>
      <c r="F237" s="1699"/>
      <c r="G237" s="1699"/>
      <c r="H237" s="1699"/>
      <c r="I237" s="1706"/>
      <c r="J237" s="1706"/>
      <c r="K237" s="1713" t="str">
        <f t="shared" si="34"/>
        <v/>
      </c>
      <c r="L237">
        <f t="shared" si="35"/>
        <v>0</v>
      </c>
      <c r="Q237">
        <f t="shared" si="36"/>
        <v>0</v>
      </c>
      <c r="R237">
        <f t="shared" si="37"/>
        <v>0</v>
      </c>
      <c r="S237">
        <f t="shared" si="38"/>
        <v>0</v>
      </c>
      <c r="T237">
        <f t="shared" si="39"/>
        <v>0</v>
      </c>
      <c r="U237">
        <f t="shared" si="40"/>
        <v>0</v>
      </c>
      <c r="V237">
        <f t="shared" si="41"/>
        <v>0</v>
      </c>
      <c r="AA237">
        <f t="shared" si="12"/>
        <v>0</v>
      </c>
      <c r="AL237" s="142"/>
    </row>
    <row r="238" spans="1:38" hidden="1" x14ac:dyDescent="0.2">
      <c r="A238" s="1700"/>
      <c r="B238" s="1698"/>
      <c r="C238" s="1712"/>
      <c r="D238" s="1699"/>
      <c r="E238" s="1699"/>
      <c r="F238" s="1699"/>
      <c r="G238" s="1699"/>
      <c r="H238" s="1699"/>
      <c r="I238" s="1706"/>
      <c r="J238" s="1706"/>
      <c r="K238" s="1713" t="str">
        <f t="shared" si="34"/>
        <v/>
      </c>
      <c r="L238">
        <f t="shared" si="35"/>
        <v>0</v>
      </c>
      <c r="Q238">
        <f t="shared" si="36"/>
        <v>0</v>
      </c>
      <c r="R238">
        <f t="shared" si="37"/>
        <v>0</v>
      </c>
      <c r="S238">
        <f t="shared" si="38"/>
        <v>0</v>
      </c>
      <c r="T238">
        <f t="shared" si="39"/>
        <v>0</v>
      </c>
      <c r="U238">
        <f t="shared" si="40"/>
        <v>0</v>
      </c>
      <c r="V238">
        <f t="shared" si="41"/>
        <v>0</v>
      </c>
      <c r="AA238">
        <f t="shared" si="12"/>
        <v>0</v>
      </c>
      <c r="AL238" s="142"/>
    </row>
    <row r="239" spans="1:38" hidden="1" x14ac:dyDescent="0.2">
      <c r="A239" s="1700"/>
      <c r="B239" s="1698"/>
      <c r="C239" s="1712"/>
      <c r="D239" s="1699"/>
      <c r="E239" s="1699"/>
      <c r="F239" s="1699"/>
      <c r="G239" s="1699"/>
      <c r="H239" s="1699"/>
      <c r="I239" s="1706"/>
      <c r="J239" s="1706"/>
      <c r="K239" s="1713" t="str">
        <f t="shared" si="34"/>
        <v/>
      </c>
      <c r="L239">
        <f t="shared" si="35"/>
        <v>0</v>
      </c>
      <c r="Q239">
        <f t="shared" si="36"/>
        <v>0</v>
      </c>
      <c r="R239">
        <f t="shared" si="37"/>
        <v>0</v>
      </c>
      <c r="S239">
        <f t="shared" si="38"/>
        <v>0</v>
      </c>
      <c r="T239">
        <f t="shared" si="39"/>
        <v>0</v>
      </c>
      <c r="U239">
        <f t="shared" si="40"/>
        <v>0</v>
      </c>
      <c r="V239">
        <f t="shared" si="41"/>
        <v>0</v>
      </c>
      <c r="AA239">
        <f t="shared" si="12"/>
        <v>0</v>
      </c>
      <c r="AL239" s="142"/>
    </row>
    <row r="240" spans="1:38" hidden="1" x14ac:dyDescent="0.2">
      <c r="A240" s="1700"/>
      <c r="B240" s="1698"/>
      <c r="C240" s="1712"/>
      <c r="D240" s="1699"/>
      <c r="E240" s="1699"/>
      <c r="F240" s="1699"/>
      <c r="G240" s="1699"/>
      <c r="H240" s="1699"/>
      <c r="I240" s="1706"/>
      <c r="J240" s="1706"/>
      <c r="K240" s="1713" t="str">
        <f t="shared" si="34"/>
        <v/>
      </c>
      <c r="L240">
        <f t="shared" si="35"/>
        <v>0</v>
      </c>
      <c r="Q240">
        <f t="shared" si="36"/>
        <v>0</v>
      </c>
      <c r="R240">
        <f t="shared" si="37"/>
        <v>0</v>
      </c>
      <c r="S240">
        <f t="shared" si="38"/>
        <v>0</v>
      </c>
      <c r="T240">
        <f t="shared" si="39"/>
        <v>0</v>
      </c>
      <c r="U240">
        <f t="shared" si="40"/>
        <v>0</v>
      </c>
      <c r="V240">
        <f t="shared" si="41"/>
        <v>0</v>
      </c>
      <c r="AA240">
        <f t="shared" si="12"/>
        <v>0</v>
      </c>
      <c r="AL240" s="142"/>
    </row>
    <row r="241" spans="1:38" hidden="1" x14ac:dyDescent="0.2">
      <c r="A241" s="1700"/>
      <c r="B241" s="1698"/>
      <c r="C241" s="1712"/>
      <c r="D241" s="1699"/>
      <c r="E241" s="1699"/>
      <c r="F241" s="1699"/>
      <c r="G241" s="1699"/>
      <c r="H241" s="1699"/>
      <c r="I241" s="1706"/>
      <c r="J241" s="1706"/>
      <c r="K241" s="1713" t="str">
        <f t="shared" si="34"/>
        <v/>
      </c>
      <c r="L241">
        <f t="shared" si="35"/>
        <v>0</v>
      </c>
      <c r="Q241">
        <f t="shared" si="36"/>
        <v>0</v>
      </c>
      <c r="R241">
        <f t="shared" si="37"/>
        <v>0</v>
      </c>
      <c r="S241">
        <f t="shared" si="38"/>
        <v>0</v>
      </c>
      <c r="T241">
        <f t="shared" si="39"/>
        <v>0</v>
      </c>
      <c r="U241">
        <f t="shared" si="40"/>
        <v>0</v>
      </c>
      <c r="V241">
        <f t="shared" si="41"/>
        <v>0</v>
      </c>
      <c r="AA241">
        <f t="shared" si="12"/>
        <v>0</v>
      </c>
      <c r="AL241" s="142"/>
    </row>
    <row r="242" spans="1:38" hidden="1" x14ac:dyDescent="0.2">
      <c r="A242" s="1700"/>
      <c r="B242" s="1698"/>
      <c r="C242" s="1712"/>
      <c r="D242" s="1699"/>
      <c r="E242" s="1699"/>
      <c r="F242" s="1699"/>
      <c r="G242" s="1699"/>
      <c r="H242" s="1699"/>
      <c r="I242" s="1706"/>
      <c r="J242" s="1706"/>
      <c r="K242" s="1713" t="str">
        <f t="shared" si="34"/>
        <v/>
      </c>
      <c r="L242">
        <f t="shared" si="35"/>
        <v>0</v>
      </c>
      <c r="Q242">
        <f t="shared" si="36"/>
        <v>0</v>
      </c>
      <c r="R242">
        <f t="shared" si="37"/>
        <v>0</v>
      </c>
      <c r="S242">
        <f t="shared" si="38"/>
        <v>0</v>
      </c>
      <c r="T242">
        <f t="shared" si="39"/>
        <v>0</v>
      </c>
      <c r="U242">
        <f t="shared" si="40"/>
        <v>0</v>
      </c>
      <c r="V242">
        <f t="shared" si="41"/>
        <v>0</v>
      </c>
      <c r="AA242">
        <f t="shared" si="12"/>
        <v>0</v>
      </c>
      <c r="AL242" s="142"/>
    </row>
    <row r="243" spans="1:38" hidden="1" x14ac:dyDescent="0.2">
      <c r="A243" s="1700"/>
      <c r="B243" s="1698"/>
      <c r="C243" s="1712"/>
      <c r="D243" s="1699"/>
      <c r="E243" s="1699"/>
      <c r="F243" s="1699"/>
      <c r="G243" s="1699"/>
      <c r="H243" s="1699"/>
      <c r="I243" s="1706"/>
      <c r="J243" s="1706"/>
      <c r="K243" s="1713" t="str">
        <f t="shared" si="34"/>
        <v/>
      </c>
      <c r="L243">
        <f t="shared" si="35"/>
        <v>0</v>
      </c>
      <c r="Q243">
        <f t="shared" si="36"/>
        <v>0</v>
      </c>
      <c r="R243">
        <f t="shared" si="37"/>
        <v>0</v>
      </c>
      <c r="S243">
        <f t="shared" si="38"/>
        <v>0</v>
      </c>
      <c r="T243">
        <f t="shared" si="39"/>
        <v>0</v>
      </c>
      <c r="U243">
        <f t="shared" si="40"/>
        <v>0</v>
      </c>
      <c r="V243">
        <f t="shared" si="41"/>
        <v>0</v>
      </c>
      <c r="AA243">
        <f t="shared" si="12"/>
        <v>0</v>
      </c>
      <c r="AL243" s="142"/>
    </row>
    <row r="244" spans="1:38" hidden="1" x14ac:dyDescent="0.2">
      <c r="A244" s="1700"/>
      <c r="B244" s="1698"/>
      <c r="C244" s="1712"/>
      <c r="D244" s="1699"/>
      <c r="E244" s="1699"/>
      <c r="F244" s="1699"/>
      <c r="G244" s="1699"/>
      <c r="H244" s="1699"/>
      <c r="I244" s="1706"/>
      <c r="J244" s="1706"/>
      <c r="K244" s="1713" t="str">
        <f t="shared" si="34"/>
        <v/>
      </c>
      <c r="L244">
        <f t="shared" si="35"/>
        <v>0</v>
      </c>
      <c r="Q244">
        <f t="shared" si="36"/>
        <v>0</v>
      </c>
      <c r="R244">
        <f t="shared" si="37"/>
        <v>0</v>
      </c>
      <c r="S244">
        <f t="shared" si="38"/>
        <v>0</v>
      </c>
      <c r="T244">
        <f t="shared" si="39"/>
        <v>0</v>
      </c>
      <c r="U244">
        <f t="shared" si="40"/>
        <v>0</v>
      </c>
      <c r="V244">
        <f t="shared" si="41"/>
        <v>0</v>
      </c>
      <c r="AA244">
        <f t="shared" si="12"/>
        <v>0</v>
      </c>
      <c r="AL244" s="142"/>
    </row>
    <row r="245" spans="1:38" hidden="1" x14ac:dyDescent="0.2">
      <c r="A245" s="1700"/>
      <c r="B245" s="1698"/>
      <c r="C245" s="1712"/>
      <c r="D245" s="1699"/>
      <c r="E245" s="1699"/>
      <c r="F245" s="1699"/>
      <c r="G245" s="1699"/>
      <c r="H245" s="1699"/>
      <c r="I245" s="1706"/>
      <c r="J245" s="1706"/>
      <c r="K245" s="1713" t="str">
        <f t="shared" si="34"/>
        <v/>
      </c>
      <c r="L245">
        <f t="shared" si="35"/>
        <v>0</v>
      </c>
      <c r="Q245">
        <f t="shared" si="36"/>
        <v>0</v>
      </c>
      <c r="R245">
        <f t="shared" si="37"/>
        <v>0</v>
      </c>
      <c r="S245">
        <f t="shared" si="38"/>
        <v>0</v>
      </c>
      <c r="T245">
        <f t="shared" si="39"/>
        <v>0</v>
      </c>
      <c r="U245">
        <f t="shared" si="40"/>
        <v>0</v>
      </c>
      <c r="V245">
        <f t="shared" si="41"/>
        <v>0</v>
      </c>
      <c r="AA245">
        <f t="shared" si="12"/>
        <v>0</v>
      </c>
      <c r="AL245" s="142"/>
    </row>
    <row r="246" spans="1:38" hidden="1" x14ac:dyDescent="0.2">
      <c r="A246" s="1700"/>
      <c r="B246" s="1698"/>
      <c r="C246" s="1712"/>
      <c r="D246" s="1699"/>
      <c r="E246" s="1699"/>
      <c r="F246" s="1699"/>
      <c r="G246" s="1699"/>
      <c r="H246" s="1699"/>
      <c r="I246" s="1706"/>
      <c r="J246" s="1706"/>
      <c r="K246" s="1713" t="str">
        <f t="shared" si="34"/>
        <v/>
      </c>
      <c r="L246">
        <f t="shared" si="35"/>
        <v>0</v>
      </c>
      <c r="Q246">
        <f t="shared" si="36"/>
        <v>0</v>
      </c>
      <c r="R246">
        <f t="shared" si="37"/>
        <v>0</v>
      </c>
      <c r="S246">
        <f t="shared" si="38"/>
        <v>0</v>
      </c>
      <c r="T246">
        <f t="shared" si="39"/>
        <v>0</v>
      </c>
      <c r="U246">
        <f t="shared" si="40"/>
        <v>0</v>
      </c>
      <c r="V246">
        <f t="shared" si="41"/>
        <v>0</v>
      </c>
      <c r="AA246">
        <f t="shared" si="12"/>
        <v>0</v>
      </c>
      <c r="AL246" s="142"/>
    </row>
    <row r="247" spans="1:38" hidden="1" x14ac:dyDescent="0.2">
      <c r="A247" s="1700"/>
      <c r="B247" s="1698"/>
      <c r="C247" s="1712"/>
      <c r="D247" s="1699"/>
      <c r="E247" s="1699"/>
      <c r="F247" s="1699"/>
      <c r="G247" s="1699"/>
      <c r="H247" s="1699"/>
      <c r="I247" s="1706"/>
      <c r="J247" s="1706"/>
      <c r="K247" s="1713" t="str">
        <f t="shared" si="34"/>
        <v/>
      </c>
      <c r="L247">
        <f t="shared" si="35"/>
        <v>0</v>
      </c>
      <c r="Q247">
        <f t="shared" si="36"/>
        <v>0</v>
      </c>
      <c r="R247">
        <f t="shared" si="37"/>
        <v>0</v>
      </c>
      <c r="S247">
        <f t="shared" si="38"/>
        <v>0</v>
      </c>
      <c r="T247">
        <f t="shared" si="39"/>
        <v>0</v>
      </c>
      <c r="U247">
        <f t="shared" si="40"/>
        <v>0</v>
      </c>
      <c r="V247">
        <f t="shared" si="41"/>
        <v>0</v>
      </c>
      <c r="AA247">
        <f t="shared" si="12"/>
        <v>0</v>
      </c>
      <c r="AL247" s="142"/>
    </row>
    <row r="248" spans="1:38" hidden="1" x14ac:dyDescent="0.2">
      <c r="A248" s="1700"/>
      <c r="B248" s="1698"/>
      <c r="C248" s="1712"/>
      <c r="D248" s="1699"/>
      <c r="E248" s="1699"/>
      <c r="F248" s="1699"/>
      <c r="G248" s="1699"/>
      <c r="H248" s="1699"/>
      <c r="I248" s="1706"/>
      <c r="J248" s="1706"/>
      <c r="K248" s="1713" t="str">
        <f t="shared" si="34"/>
        <v/>
      </c>
      <c r="L248">
        <f t="shared" si="35"/>
        <v>0</v>
      </c>
      <c r="Q248">
        <f t="shared" si="36"/>
        <v>0</v>
      </c>
      <c r="R248">
        <f t="shared" si="37"/>
        <v>0</v>
      </c>
      <c r="S248">
        <f t="shared" si="38"/>
        <v>0</v>
      </c>
      <c r="T248">
        <f t="shared" si="39"/>
        <v>0</v>
      </c>
      <c r="U248">
        <f t="shared" si="40"/>
        <v>0</v>
      </c>
      <c r="V248">
        <f t="shared" si="41"/>
        <v>0</v>
      </c>
      <c r="AA248">
        <f t="shared" si="12"/>
        <v>0</v>
      </c>
      <c r="AL248" s="142"/>
    </row>
    <row r="249" spans="1:38" hidden="1" x14ac:dyDescent="0.2">
      <c r="A249" s="1700"/>
      <c r="B249" s="1698"/>
      <c r="C249" s="1712"/>
      <c r="D249" s="1699"/>
      <c r="E249" s="1699"/>
      <c r="F249" s="1699"/>
      <c r="G249" s="1699"/>
      <c r="H249" s="1699"/>
      <c r="I249" s="1706"/>
      <c r="J249" s="1706"/>
      <c r="K249" s="1713" t="str">
        <f t="shared" si="34"/>
        <v/>
      </c>
      <c r="L249">
        <f t="shared" si="35"/>
        <v>0</v>
      </c>
      <c r="Q249">
        <f t="shared" si="36"/>
        <v>0</v>
      </c>
      <c r="R249">
        <f t="shared" si="37"/>
        <v>0</v>
      </c>
      <c r="S249">
        <f t="shared" si="38"/>
        <v>0</v>
      </c>
      <c r="T249">
        <f t="shared" si="39"/>
        <v>0</v>
      </c>
      <c r="U249">
        <f t="shared" si="40"/>
        <v>0</v>
      </c>
      <c r="V249">
        <f t="shared" si="41"/>
        <v>0</v>
      </c>
      <c r="AA249">
        <f t="shared" si="12"/>
        <v>0</v>
      </c>
      <c r="AL249" s="142"/>
    </row>
    <row r="250" spans="1:38" hidden="1" x14ac:dyDescent="0.2">
      <c r="A250" s="1700"/>
      <c r="B250" s="1698"/>
      <c r="C250" s="1712"/>
      <c r="D250" s="1699"/>
      <c r="E250" s="1699"/>
      <c r="F250" s="1699"/>
      <c r="G250" s="1699"/>
      <c r="H250" s="1699"/>
      <c r="I250" s="1706"/>
      <c r="J250" s="1706"/>
      <c r="K250" s="1713" t="str">
        <f t="shared" si="34"/>
        <v/>
      </c>
      <c r="L250">
        <f t="shared" si="35"/>
        <v>0</v>
      </c>
      <c r="Q250">
        <f t="shared" si="36"/>
        <v>0</v>
      </c>
      <c r="R250">
        <f t="shared" si="37"/>
        <v>0</v>
      </c>
      <c r="S250">
        <f t="shared" si="38"/>
        <v>0</v>
      </c>
      <c r="T250">
        <f t="shared" si="39"/>
        <v>0</v>
      </c>
      <c r="U250">
        <f t="shared" si="40"/>
        <v>0</v>
      </c>
      <c r="V250">
        <f t="shared" si="41"/>
        <v>0</v>
      </c>
      <c r="AA250">
        <f t="shared" si="12"/>
        <v>0</v>
      </c>
      <c r="AL250" s="142"/>
    </row>
    <row r="251" spans="1:38" hidden="1" x14ac:dyDescent="0.2">
      <c r="A251" s="1700"/>
      <c r="B251" s="1698"/>
      <c r="C251" s="1712"/>
      <c r="D251" s="1699"/>
      <c r="E251" s="1699"/>
      <c r="F251" s="1699"/>
      <c r="G251" s="1699"/>
      <c r="H251" s="1699"/>
      <c r="I251" s="1706"/>
      <c r="J251" s="1706"/>
      <c r="K251" s="1713" t="str">
        <f t="shared" si="34"/>
        <v/>
      </c>
      <c r="L251">
        <f t="shared" si="35"/>
        <v>0</v>
      </c>
      <c r="Q251">
        <f t="shared" si="36"/>
        <v>0</v>
      </c>
      <c r="R251">
        <f t="shared" si="37"/>
        <v>0</v>
      </c>
      <c r="S251">
        <f t="shared" si="38"/>
        <v>0</v>
      </c>
      <c r="T251">
        <f t="shared" si="39"/>
        <v>0</v>
      </c>
      <c r="U251">
        <f t="shared" si="40"/>
        <v>0</v>
      </c>
      <c r="V251">
        <f t="shared" si="41"/>
        <v>0</v>
      </c>
      <c r="AA251">
        <f t="shared" si="12"/>
        <v>0</v>
      </c>
      <c r="AL251" s="142"/>
    </row>
    <row r="252" spans="1:38" hidden="1" x14ac:dyDescent="0.2">
      <c r="A252" s="1700"/>
      <c r="B252" s="1698"/>
      <c r="C252" s="1712"/>
      <c r="D252" s="1699"/>
      <c r="E252" s="1699"/>
      <c r="F252" s="1699"/>
      <c r="G252" s="1699"/>
      <c r="H252" s="1699"/>
      <c r="I252" s="1706"/>
      <c r="J252" s="1706"/>
      <c r="K252" s="1713" t="str">
        <f t="shared" si="34"/>
        <v/>
      </c>
      <c r="L252">
        <f t="shared" si="35"/>
        <v>0</v>
      </c>
      <c r="Q252">
        <f t="shared" si="36"/>
        <v>0</v>
      </c>
      <c r="R252">
        <f t="shared" si="37"/>
        <v>0</v>
      </c>
      <c r="S252">
        <f t="shared" si="38"/>
        <v>0</v>
      </c>
      <c r="T252">
        <f t="shared" si="39"/>
        <v>0</v>
      </c>
      <c r="U252">
        <f t="shared" si="40"/>
        <v>0</v>
      </c>
      <c r="V252">
        <f t="shared" si="41"/>
        <v>0</v>
      </c>
      <c r="AA252">
        <f t="shared" si="12"/>
        <v>0</v>
      </c>
      <c r="AL252" s="142"/>
    </row>
    <row r="253" spans="1:38" hidden="1" x14ac:dyDescent="0.2">
      <c r="A253" s="1700"/>
      <c r="B253" s="1698"/>
      <c r="C253" s="1712"/>
      <c r="D253" s="1699"/>
      <c r="E253" s="1699"/>
      <c r="F253" s="1699"/>
      <c r="G253" s="1699"/>
      <c r="H253" s="1699"/>
      <c r="I253" s="1706"/>
      <c r="J253" s="1706"/>
      <c r="K253" s="1713" t="str">
        <f t="shared" si="34"/>
        <v/>
      </c>
      <c r="L253">
        <f t="shared" si="35"/>
        <v>0</v>
      </c>
      <c r="Q253">
        <f t="shared" si="36"/>
        <v>0</v>
      </c>
      <c r="R253">
        <f t="shared" si="37"/>
        <v>0</v>
      </c>
      <c r="S253">
        <f t="shared" si="38"/>
        <v>0</v>
      </c>
      <c r="T253">
        <f t="shared" si="39"/>
        <v>0</v>
      </c>
      <c r="U253">
        <f t="shared" si="40"/>
        <v>0</v>
      </c>
      <c r="V253">
        <f t="shared" si="41"/>
        <v>0</v>
      </c>
      <c r="AA253">
        <f t="shared" si="12"/>
        <v>0</v>
      </c>
      <c r="AL253" s="142"/>
    </row>
    <row r="254" spans="1:38" hidden="1" x14ac:dyDescent="0.2">
      <c r="A254" s="1700"/>
      <c r="B254" s="1698"/>
      <c r="C254" s="1712"/>
      <c r="D254" s="1699"/>
      <c r="E254" s="1699"/>
      <c r="F254" s="1699"/>
      <c r="G254" s="1699"/>
      <c r="H254" s="1699"/>
      <c r="I254" s="1706"/>
      <c r="J254" s="1706"/>
      <c r="K254" s="1713" t="str">
        <f t="shared" si="34"/>
        <v/>
      </c>
      <c r="L254">
        <f t="shared" si="35"/>
        <v>0</v>
      </c>
      <c r="Q254">
        <f t="shared" si="36"/>
        <v>0</v>
      </c>
      <c r="R254">
        <f t="shared" si="37"/>
        <v>0</v>
      </c>
      <c r="S254">
        <f t="shared" si="38"/>
        <v>0</v>
      </c>
      <c r="T254">
        <f t="shared" si="39"/>
        <v>0</v>
      </c>
      <c r="U254">
        <f t="shared" si="40"/>
        <v>0</v>
      </c>
      <c r="V254">
        <f t="shared" si="41"/>
        <v>0</v>
      </c>
      <c r="AA254">
        <f t="shared" si="12"/>
        <v>0</v>
      </c>
      <c r="AL254" s="142"/>
    </row>
    <row r="255" spans="1:38" hidden="1" x14ac:dyDescent="0.2">
      <c r="A255" s="1700"/>
      <c r="B255" s="1698"/>
      <c r="C255" s="1712"/>
      <c r="D255" s="1699"/>
      <c r="E255" s="1699"/>
      <c r="F255" s="1699"/>
      <c r="G255" s="1699"/>
      <c r="H255" s="1699"/>
      <c r="I255" s="1706"/>
      <c r="J255" s="1706"/>
      <c r="K255" s="1713" t="str">
        <f t="shared" si="34"/>
        <v/>
      </c>
      <c r="L255">
        <f t="shared" si="35"/>
        <v>0</v>
      </c>
      <c r="Q255">
        <f t="shared" si="36"/>
        <v>0</v>
      </c>
      <c r="R255">
        <f t="shared" si="37"/>
        <v>0</v>
      </c>
      <c r="S255">
        <f t="shared" si="38"/>
        <v>0</v>
      </c>
      <c r="T255">
        <f t="shared" si="39"/>
        <v>0</v>
      </c>
      <c r="U255">
        <f t="shared" si="40"/>
        <v>0</v>
      </c>
      <c r="V255">
        <f t="shared" si="41"/>
        <v>0</v>
      </c>
      <c r="AA255">
        <f t="shared" si="12"/>
        <v>0</v>
      </c>
      <c r="AL255" s="142"/>
    </row>
    <row r="256" spans="1:38" hidden="1" x14ac:dyDescent="0.2">
      <c r="A256" s="1700"/>
      <c r="B256" s="1698"/>
      <c r="C256" s="1712"/>
      <c r="D256" s="1699"/>
      <c r="E256" s="1699"/>
      <c r="F256" s="1699"/>
      <c r="G256" s="1699"/>
      <c r="H256" s="1699"/>
      <c r="I256" s="1706"/>
      <c r="J256" s="1706"/>
      <c r="K256" s="1713" t="str">
        <f t="shared" si="34"/>
        <v/>
      </c>
      <c r="L256">
        <f t="shared" si="35"/>
        <v>0</v>
      </c>
      <c r="Q256">
        <f t="shared" si="36"/>
        <v>0</v>
      </c>
      <c r="R256">
        <f t="shared" si="37"/>
        <v>0</v>
      </c>
      <c r="S256">
        <f t="shared" si="38"/>
        <v>0</v>
      </c>
      <c r="T256">
        <f t="shared" si="39"/>
        <v>0</v>
      </c>
      <c r="U256">
        <f t="shared" si="40"/>
        <v>0</v>
      </c>
      <c r="V256">
        <f t="shared" si="41"/>
        <v>0</v>
      </c>
      <c r="AA256">
        <f t="shared" si="12"/>
        <v>0</v>
      </c>
      <c r="AL256" s="142"/>
    </row>
    <row r="257" spans="1:38" hidden="1" x14ac:dyDescent="0.2">
      <c r="A257" s="1700"/>
      <c r="B257" s="1698"/>
      <c r="C257" s="1712"/>
      <c r="D257" s="1699"/>
      <c r="E257" s="1699"/>
      <c r="F257" s="1699"/>
      <c r="G257" s="1699"/>
      <c r="H257" s="1699"/>
      <c r="I257" s="1706"/>
      <c r="J257" s="1706"/>
      <c r="K257" s="1713" t="str">
        <f t="shared" si="34"/>
        <v/>
      </c>
      <c r="L257">
        <f t="shared" si="35"/>
        <v>0</v>
      </c>
      <c r="Q257">
        <f t="shared" si="36"/>
        <v>0</v>
      </c>
      <c r="R257">
        <f t="shared" si="37"/>
        <v>0</v>
      </c>
      <c r="S257">
        <f t="shared" si="38"/>
        <v>0</v>
      </c>
      <c r="T257">
        <f t="shared" si="39"/>
        <v>0</v>
      </c>
      <c r="U257">
        <f t="shared" si="40"/>
        <v>0</v>
      </c>
      <c r="V257">
        <f t="shared" si="41"/>
        <v>0</v>
      </c>
      <c r="AA257">
        <f t="shared" si="12"/>
        <v>0</v>
      </c>
      <c r="AL257" s="142"/>
    </row>
    <row r="258" spans="1:38" hidden="1" x14ac:dyDescent="0.2">
      <c r="A258" s="1700"/>
      <c r="B258" s="1698"/>
      <c r="C258" s="1712"/>
      <c r="D258" s="1699"/>
      <c r="E258" s="1699"/>
      <c r="F258" s="1699"/>
      <c r="G258" s="1699"/>
      <c r="H258" s="1699"/>
      <c r="I258" s="1706"/>
      <c r="J258" s="1706"/>
      <c r="K258" s="1713" t="str">
        <f t="shared" si="34"/>
        <v/>
      </c>
      <c r="L258">
        <f t="shared" si="35"/>
        <v>0</v>
      </c>
      <c r="Q258">
        <f t="shared" si="36"/>
        <v>0</v>
      </c>
      <c r="R258">
        <f t="shared" si="37"/>
        <v>0</v>
      </c>
      <c r="S258">
        <f t="shared" si="38"/>
        <v>0</v>
      </c>
      <c r="T258">
        <f t="shared" si="39"/>
        <v>0</v>
      </c>
      <c r="U258">
        <f t="shared" si="40"/>
        <v>0</v>
      </c>
      <c r="V258">
        <f t="shared" si="41"/>
        <v>0</v>
      </c>
      <c r="AA258">
        <f t="shared" si="12"/>
        <v>0</v>
      </c>
      <c r="AL258" s="142"/>
    </row>
    <row r="259" spans="1:38" hidden="1" x14ac:dyDescent="0.2">
      <c r="A259" s="1700"/>
      <c r="B259" s="1698"/>
      <c r="C259" s="1712"/>
      <c r="D259" s="1699"/>
      <c r="E259" s="1699"/>
      <c r="F259" s="1699"/>
      <c r="G259" s="1699"/>
      <c r="H259" s="1699"/>
      <c r="I259" s="1706"/>
      <c r="J259" s="1706"/>
      <c r="K259" s="1713" t="str">
        <f t="shared" si="34"/>
        <v/>
      </c>
      <c r="L259">
        <f t="shared" si="35"/>
        <v>0</v>
      </c>
      <c r="Q259">
        <f t="shared" si="36"/>
        <v>0</v>
      </c>
      <c r="R259">
        <f t="shared" si="37"/>
        <v>0</v>
      </c>
      <c r="S259">
        <f t="shared" si="38"/>
        <v>0</v>
      </c>
      <c r="T259">
        <f t="shared" si="39"/>
        <v>0</v>
      </c>
      <c r="U259">
        <f t="shared" si="40"/>
        <v>0</v>
      </c>
      <c r="V259">
        <f t="shared" si="41"/>
        <v>0</v>
      </c>
      <c r="AA259">
        <f t="shared" si="12"/>
        <v>0</v>
      </c>
      <c r="AL259" s="142"/>
    </row>
    <row r="260" spans="1:38" hidden="1" x14ac:dyDescent="0.2">
      <c r="A260" s="1700"/>
      <c r="B260" s="1698"/>
      <c r="C260" s="1712"/>
      <c r="D260" s="1699"/>
      <c r="E260" s="1699"/>
      <c r="F260" s="1699"/>
      <c r="G260" s="1699"/>
      <c r="H260" s="1699"/>
      <c r="I260" s="1706"/>
      <c r="J260" s="1706"/>
      <c r="K260" s="1713" t="str">
        <f t="shared" si="34"/>
        <v/>
      </c>
      <c r="L260">
        <f t="shared" si="35"/>
        <v>0</v>
      </c>
      <c r="Q260">
        <f t="shared" si="36"/>
        <v>0</v>
      </c>
      <c r="R260">
        <f t="shared" si="37"/>
        <v>0</v>
      </c>
      <c r="S260">
        <f t="shared" si="38"/>
        <v>0</v>
      </c>
      <c r="T260">
        <f t="shared" si="39"/>
        <v>0</v>
      </c>
      <c r="U260">
        <f t="shared" si="40"/>
        <v>0</v>
      </c>
      <c r="V260">
        <f t="shared" si="41"/>
        <v>0</v>
      </c>
      <c r="AA260">
        <f t="shared" si="12"/>
        <v>0</v>
      </c>
      <c r="AL260" s="142"/>
    </row>
    <row r="261" spans="1:38" hidden="1" x14ac:dyDescent="0.2">
      <c r="A261" s="1700"/>
      <c r="B261" s="1698"/>
      <c r="C261" s="1712"/>
      <c r="D261" s="1699"/>
      <c r="E261" s="1699"/>
      <c r="F261" s="1699"/>
      <c r="G261" s="1699"/>
      <c r="H261" s="1699"/>
      <c r="I261" s="1706"/>
      <c r="J261" s="1706"/>
      <c r="K261" s="1713" t="str">
        <f t="shared" si="34"/>
        <v/>
      </c>
      <c r="L261">
        <f t="shared" si="35"/>
        <v>0</v>
      </c>
      <c r="Q261">
        <f t="shared" si="36"/>
        <v>0</v>
      </c>
      <c r="R261">
        <f t="shared" si="37"/>
        <v>0</v>
      </c>
      <c r="S261">
        <f t="shared" si="38"/>
        <v>0</v>
      </c>
      <c r="T261">
        <f t="shared" si="39"/>
        <v>0</v>
      </c>
      <c r="U261">
        <f t="shared" si="40"/>
        <v>0</v>
      </c>
      <c r="V261">
        <f t="shared" si="41"/>
        <v>0</v>
      </c>
      <c r="AA261">
        <f t="shared" si="12"/>
        <v>0</v>
      </c>
      <c r="AL261" s="142"/>
    </row>
    <row r="262" spans="1:38" hidden="1" x14ac:dyDescent="0.2">
      <c r="A262" s="1700"/>
      <c r="B262" s="1698"/>
      <c r="C262" s="1712"/>
      <c r="D262" s="1699"/>
      <c r="E262" s="1699"/>
      <c r="F262" s="1699"/>
      <c r="G262" s="1699"/>
      <c r="H262" s="1699"/>
      <c r="I262" s="1706"/>
      <c r="J262" s="1706"/>
      <c r="K262" s="1713" t="str">
        <f t="shared" si="34"/>
        <v/>
      </c>
      <c r="L262">
        <f t="shared" si="35"/>
        <v>0</v>
      </c>
      <c r="Q262">
        <f t="shared" si="36"/>
        <v>0</v>
      </c>
      <c r="R262">
        <f t="shared" si="37"/>
        <v>0</v>
      </c>
      <c r="S262">
        <f t="shared" si="38"/>
        <v>0</v>
      </c>
      <c r="T262">
        <f t="shared" si="39"/>
        <v>0</v>
      </c>
      <c r="U262">
        <f t="shared" si="40"/>
        <v>0</v>
      </c>
      <c r="V262">
        <f t="shared" si="41"/>
        <v>0</v>
      </c>
      <c r="AA262">
        <f t="shared" si="12"/>
        <v>0</v>
      </c>
      <c r="AL262" s="142"/>
    </row>
    <row r="263" spans="1:38" hidden="1" x14ac:dyDescent="0.2">
      <c r="A263" s="1700"/>
      <c r="B263" s="1698"/>
      <c r="C263" s="1712"/>
      <c r="D263" s="1699"/>
      <c r="E263" s="1699"/>
      <c r="F263" s="1699"/>
      <c r="G263" s="1699"/>
      <c r="H263" s="1699"/>
      <c r="I263" s="1706"/>
      <c r="J263" s="1706"/>
      <c r="K263" s="1713" t="str">
        <f t="shared" si="34"/>
        <v/>
      </c>
      <c r="L263">
        <f t="shared" si="35"/>
        <v>0</v>
      </c>
      <c r="Q263">
        <f t="shared" si="36"/>
        <v>0</v>
      </c>
      <c r="R263">
        <f t="shared" si="37"/>
        <v>0</v>
      </c>
      <c r="S263">
        <f t="shared" si="38"/>
        <v>0</v>
      </c>
      <c r="T263">
        <f t="shared" si="39"/>
        <v>0</v>
      </c>
      <c r="U263">
        <f t="shared" si="40"/>
        <v>0</v>
      </c>
      <c r="V263">
        <f t="shared" si="41"/>
        <v>0</v>
      </c>
      <c r="AA263">
        <f t="shared" si="12"/>
        <v>0</v>
      </c>
      <c r="AL263" s="142"/>
    </row>
    <row r="264" spans="1:38" hidden="1" x14ac:dyDescent="0.2">
      <c r="A264" s="1700"/>
      <c r="B264" s="1698"/>
      <c r="C264" s="1712"/>
      <c r="D264" s="1699"/>
      <c r="E264" s="1699"/>
      <c r="F264" s="1699"/>
      <c r="G264" s="1699"/>
      <c r="H264" s="1699"/>
      <c r="I264" s="1706"/>
      <c r="J264" s="1706"/>
      <c r="K264" s="1713" t="str">
        <f t="shared" si="34"/>
        <v/>
      </c>
      <c r="L264">
        <f t="shared" si="35"/>
        <v>0</v>
      </c>
      <c r="Q264">
        <f t="shared" si="36"/>
        <v>0</v>
      </c>
      <c r="R264">
        <f t="shared" si="37"/>
        <v>0</v>
      </c>
      <c r="S264">
        <f t="shared" si="38"/>
        <v>0</v>
      </c>
      <c r="T264">
        <f t="shared" si="39"/>
        <v>0</v>
      </c>
      <c r="U264">
        <f t="shared" si="40"/>
        <v>0</v>
      </c>
      <c r="V264">
        <f t="shared" si="41"/>
        <v>0</v>
      </c>
      <c r="AA264">
        <f t="shared" si="12"/>
        <v>0</v>
      </c>
      <c r="AL264" s="142"/>
    </row>
    <row r="265" spans="1:38" hidden="1" x14ac:dyDescent="0.2">
      <c r="A265" s="1700"/>
      <c r="B265" s="1698"/>
      <c r="C265" s="1712"/>
      <c r="D265" s="1699"/>
      <c r="E265" s="1699"/>
      <c r="F265" s="1699"/>
      <c r="G265" s="1699"/>
      <c r="H265" s="1699"/>
      <c r="I265" s="1706"/>
      <c r="J265" s="1706"/>
      <c r="K265" s="1713" t="str">
        <f t="shared" si="34"/>
        <v/>
      </c>
      <c r="L265">
        <f t="shared" si="35"/>
        <v>0</v>
      </c>
      <c r="Q265">
        <f t="shared" si="36"/>
        <v>0</v>
      </c>
      <c r="R265">
        <f t="shared" si="37"/>
        <v>0</v>
      </c>
      <c r="S265">
        <f t="shared" si="38"/>
        <v>0</v>
      </c>
      <c r="T265">
        <f t="shared" si="39"/>
        <v>0</v>
      </c>
      <c r="U265">
        <f t="shared" si="40"/>
        <v>0</v>
      </c>
      <c r="V265">
        <f t="shared" si="41"/>
        <v>0</v>
      </c>
      <c r="AA265">
        <f t="shared" si="12"/>
        <v>0</v>
      </c>
      <c r="AL265" s="142"/>
    </row>
    <row r="266" spans="1:38" hidden="1" x14ac:dyDescent="0.2">
      <c r="A266" s="1700"/>
      <c r="B266" s="1698"/>
      <c r="C266" s="1712"/>
      <c r="D266" s="1699"/>
      <c r="E266" s="1699"/>
      <c r="F266" s="1699"/>
      <c r="G266" s="1699"/>
      <c r="H266" s="1699"/>
      <c r="I266" s="1706"/>
      <c r="J266" s="1706"/>
      <c r="K266" s="1713" t="str">
        <f t="shared" si="34"/>
        <v/>
      </c>
      <c r="L266">
        <f t="shared" si="35"/>
        <v>0</v>
      </c>
      <c r="Q266">
        <f t="shared" si="36"/>
        <v>0</v>
      </c>
      <c r="R266">
        <f t="shared" si="37"/>
        <v>0</v>
      </c>
      <c r="S266">
        <f t="shared" si="38"/>
        <v>0</v>
      </c>
      <c r="T266">
        <f t="shared" si="39"/>
        <v>0</v>
      </c>
      <c r="U266">
        <f t="shared" si="40"/>
        <v>0</v>
      </c>
      <c r="V266">
        <f t="shared" si="41"/>
        <v>0</v>
      </c>
      <c r="AA266">
        <f t="shared" si="12"/>
        <v>0</v>
      </c>
      <c r="AL266" s="142"/>
    </row>
    <row r="267" spans="1:38" hidden="1" x14ac:dyDescent="0.2">
      <c r="A267" s="1700"/>
      <c r="B267" s="1698"/>
      <c r="C267" s="1712"/>
      <c r="D267" s="1699"/>
      <c r="E267" s="1699"/>
      <c r="F267" s="1699"/>
      <c r="G267" s="1699"/>
      <c r="H267" s="1699"/>
      <c r="I267" s="1706"/>
      <c r="J267" s="1706"/>
      <c r="K267" s="1713" t="str">
        <f t="shared" si="34"/>
        <v/>
      </c>
      <c r="L267">
        <f t="shared" si="35"/>
        <v>0</v>
      </c>
      <c r="Q267">
        <f t="shared" si="36"/>
        <v>0</v>
      </c>
      <c r="R267">
        <f t="shared" si="37"/>
        <v>0</v>
      </c>
      <c r="S267">
        <f t="shared" si="38"/>
        <v>0</v>
      </c>
      <c r="T267">
        <f t="shared" si="39"/>
        <v>0</v>
      </c>
      <c r="U267">
        <f t="shared" si="40"/>
        <v>0</v>
      </c>
      <c r="V267">
        <f t="shared" si="41"/>
        <v>0</v>
      </c>
      <c r="AA267">
        <f t="shared" si="12"/>
        <v>0</v>
      </c>
      <c r="AL267" s="142"/>
    </row>
    <row r="268" spans="1:38" hidden="1" x14ac:dyDescent="0.2">
      <c r="A268" s="1700"/>
      <c r="B268" s="1698"/>
      <c r="C268" s="1712"/>
      <c r="D268" s="1699"/>
      <c r="E268" s="1699"/>
      <c r="F268" s="1699"/>
      <c r="G268" s="1699"/>
      <c r="H268" s="1699"/>
      <c r="I268" s="1706"/>
      <c r="J268" s="1706"/>
      <c r="K268" s="1713" t="str">
        <f t="shared" si="34"/>
        <v/>
      </c>
      <c r="L268">
        <f t="shared" si="35"/>
        <v>0</v>
      </c>
      <c r="Q268">
        <f t="shared" si="36"/>
        <v>0</v>
      </c>
      <c r="R268">
        <f t="shared" si="37"/>
        <v>0</v>
      </c>
      <c r="S268">
        <f t="shared" si="38"/>
        <v>0</v>
      </c>
      <c r="T268">
        <f t="shared" si="39"/>
        <v>0</v>
      </c>
      <c r="U268">
        <f t="shared" si="40"/>
        <v>0</v>
      </c>
      <c r="V268">
        <f t="shared" si="41"/>
        <v>0</v>
      </c>
      <c r="AA268">
        <f t="shared" si="12"/>
        <v>0</v>
      </c>
      <c r="AL268" s="142"/>
    </row>
    <row r="269" spans="1:38" hidden="1" x14ac:dyDescent="0.2">
      <c r="A269" s="1700"/>
      <c r="B269" s="1698"/>
      <c r="C269" s="1712"/>
      <c r="D269" s="1699"/>
      <c r="E269" s="1699"/>
      <c r="F269" s="1699"/>
      <c r="G269" s="1699"/>
      <c r="H269" s="1699"/>
      <c r="I269" s="1706"/>
      <c r="J269" s="1706"/>
      <c r="K269" s="1713" t="str">
        <f t="shared" si="34"/>
        <v/>
      </c>
      <c r="L269">
        <f t="shared" si="35"/>
        <v>0</v>
      </c>
      <c r="Q269">
        <f t="shared" si="36"/>
        <v>0</v>
      </c>
      <c r="R269">
        <f t="shared" si="37"/>
        <v>0</v>
      </c>
      <c r="S269">
        <f t="shared" si="38"/>
        <v>0</v>
      </c>
      <c r="T269">
        <f t="shared" si="39"/>
        <v>0</v>
      </c>
      <c r="U269">
        <f t="shared" si="40"/>
        <v>0</v>
      </c>
      <c r="V269">
        <f t="shared" si="41"/>
        <v>0</v>
      </c>
      <c r="AA269">
        <f t="shared" si="12"/>
        <v>0</v>
      </c>
      <c r="AL269" s="142"/>
    </row>
    <row r="270" spans="1:38" hidden="1" x14ac:dyDescent="0.2">
      <c r="A270" s="1700"/>
      <c r="B270" s="1698"/>
      <c r="C270" s="1712"/>
      <c r="D270" s="1699"/>
      <c r="E270" s="1699"/>
      <c r="F270" s="1699"/>
      <c r="G270" s="1699"/>
      <c r="H270" s="1699"/>
      <c r="I270" s="1706"/>
      <c r="J270" s="1706"/>
      <c r="K270" s="1713" t="str">
        <f t="shared" si="34"/>
        <v/>
      </c>
      <c r="L270">
        <f t="shared" si="35"/>
        <v>0</v>
      </c>
      <c r="Q270">
        <f t="shared" si="36"/>
        <v>0</v>
      </c>
      <c r="R270">
        <f t="shared" si="37"/>
        <v>0</v>
      </c>
      <c r="S270">
        <f t="shared" si="38"/>
        <v>0</v>
      </c>
      <c r="T270">
        <f t="shared" si="39"/>
        <v>0</v>
      </c>
      <c r="U270">
        <f t="shared" si="40"/>
        <v>0</v>
      </c>
      <c r="V270">
        <f t="shared" si="41"/>
        <v>0</v>
      </c>
      <c r="AA270">
        <f t="shared" si="12"/>
        <v>0</v>
      </c>
      <c r="AL270" s="142"/>
    </row>
    <row r="271" spans="1:38" hidden="1" x14ac:dyDescent="0.2">
      <c r="A271" s="1700"/>
      <c r="B271" s="1698"/>
      <c r="C271" s="1712"/>
      <c r="D271" s="1699"/>
      <c r="E271" s="1699"/>
      <c r="F271" s="1699"/>
      <c r="G271" s="1699"/>
      <c r="H271" s="1699"/>
      <c r="I271" s="1706"/>
      <c r="J271" s="1706"/>
      <c r="K271" s="1713" t="str">
        <f t="shared" si="34"/>
        <v/>
      </c>
      <c r="L271">
        <f t="shared" si="35"/>
        <v>0</v>
      </c>
      <c r="Q271">
        <f t="shared" si="36"/>
        <v>0</v>
      </c>
      <c r="R271">
        <f t="shared" si="37"/>
        <v>0</v>
      </c>
      <c r="S271">
        <f t="shared" si="38"/>
        <v>0</v>
      </c>
      <c r="T271">
        <f t="shared" si="39"/>
        <v>0</v>
      </c>
      <c r="U271">
        <f t="shared" si="40"/>
        <v>0</v>
      </c>
      <c r="V271">
        <f t="shared" si="41"/>
        <v>0</v>
      </c>
      <c r="AA271">
        <f t="shared" si="12"/>
        <v>0</v>
      </c>
      <c r="AL271" s="142"/>
    </row>
    <row r="272" spans="1:38" hidden="1" x14ac:dyDescent="0.2">
      <c r="A272" s="1700"/>
      <c r="B272" s="1698"/>
      <c r="C272" s="1712"/>
      <c r="D272" s="1699"/>
      <c r="E272" s="1699"/>
      <c r="F272" s="1699"/>
      <c r="G272" s="1699"/>
      <c r="H272" s="1699"/>
      <c r="I272" s="1706"/>
      <c r="J272" s="1706"/>
      <c r="K272" s="1713" t="str">
        <f t="shared" si="34"/>
        <v/>
      </c>
      <c r="L272">
        <f t="shared" si="35"/>
        <v>0</v>
      </c>
      <c r="Q272">
        <f t="shared" si="36"/>
        <v>0</v>
      </c>
      <c r="R272">
        <f t="shared" si="37"/>
        <v>0</v>
      </c>
      <c r="S272">
        <f t="shared" si="38"/>
        <v>0</v>
      </c>
      <c r="T272">
        <f t="shared" si="39"/>
        <v>0</v>
      </c>
      <c r="U272">
        <f t="shared" si="40"/>
        <v>0</v>
      </c>
      <c r="V272">
        <f t="shared" si="41"/>
        <v>0</v>
      </c>
      <c r="AA272">
        <f t="shared" si="12"/>
        <v>0</v>
      </c>
      <c r="AL272" s="142"/>
    </row>
    <row r="273" spans="1:38" hidden="1" x14ac:dyDescent="0.2">
      <c r="A273" s="1700"/>
      <c r="B273" s="1698"/>
      <c r="C273" s="1712"/>
      <c r="D273" s="1699"/>
      <c r="E273" s="1699"/>
      <c r="F273" s="1699"/>
      <c r="G273" s="1699"/>
      <c r="H273" s="1699"/>
      <c r="I273" s="1706"/>
      <c r="J273" s="1706"/>
      <c r="K273" s="1713" t="str">
        <f t="shared" si="34"/>
        <v/>
      </c>
      <c r="L273">
        <f t="shared" si="35"/>
        <v>0</v>
      </c>
      <c r="Q273">
        <f t="shared" si="36"/>
        <v>0</v>
      </c>
      <c r="R273">
        <f t="shared" si="37"/>
        <v>0</v>
      </c>
      <c r="S273">
        <f t="shared" si="38"/>
        <v>0</v>
      </c>
      <c r="T273">
        <f t="shared" si="39"/>
        <v>0</v>
      </c>
      <c r="U273">
        <f t="shared" si="40"/>
        <v>0</v>
      </c>
      <c r="V273">
        <f t="shared" si="41"/>
        <v>0</v>
      </c>
      <c r="AA273">
        <f t="shared" si="12"/>
        <v>0</v>
      </c>
      <c r="AL273" s="142"/>
    </row>
    <row r="274" spans="1:38" hidden="1" x14ac:dyDescent="0.2">
      <c r="A274" s="1700"/>
      <c r="B274" s="1698"/>
      <c r="C274" s="1712"/>
      <c r="D274" s="1699"/>
      <c r="E274" s="1699"/>
      <c r="F274" s="1699"/>
      <c r="G274" s="1699"/>
      <c r="H274" s="1699"/>
      <c r="I274" s="1706"/>
      <c r="J274" s="1706"/>
      <c r="K274" s="1713" t="str">
        <f t="shared" si="34"/>
        <v/>
      </c>
      <c r="L274">
        <f t="shared" si="35"/>
        <v>0</v>
      </c>
      <c r="Q274">
        <f t="shared" si="36"/>
        <v>0</v>
      </c>
      <c r="R274">
        <f t="shared" si="37"/>
        <v>0</v>
      </c>
      <c r="S274">
        <f t="shared" si="38"/>
        <v>0</v>
      </c>
      <c r="T274">
        <f t="shared" si="39"/>
        <v>0</v>
      </c>
      <c r="U274">
        <f t="shared" si="40"/>
        <v>0</v>
      </c>
      <c r="V274">
        <f t="shared" si="41"/>
        <v>0</v>
      </c>
      <c r="AA274">
        <f t="shared" si="12"/>
        <v>0</v>
      </c>
      <c r="AL274" s="142"/>
    </row>
    <row r="275" spans="1:38" hidden="1" x14ac:dyDescent="0.2">
      <c r="A275" s="1700"/>
      <c r="B275" s="1698"/>
      <c r="C275" s="1712"/>
      <c r="D275" s="1699"/>
      <c r="E275" s="1699"/>
      <c r="F275" s="1699"/>
      <c r="G275" s="1699"/>
      <c r="H275" s="1699"/>
      <c r="I275" s="1706"/>
      <c r="J275" s="1706"/>
      <c r="K275" s="1713" t="str">
        <f t="shared" si="34"/>
        <v/>
      </c>
      <c r="L275">
        <f t="shared" si="35"/>
        <v>0</v>
      </c>
      <c r="Q275">
        <f t="shared" si="36"/>
        <v>0</v>
      </c>
      <c r="R275">
        <f t="shared" si="37"/>
        <v>0</v>
      </c>
      <c r="S275">
        <f t="shared" si="38"/>
        <v>0</v>
      </c>
      <c r="T275">
        <f t="shared" si="39"/>
        <v>0</v>
      </c>
      <c r="U275">
        <f t="shared" si="40"/>
        <v>0</v>
      </c>
      <c r="V275">
        <f t="shared" si="41"/>
        <v>0</v>
      </c>
      <c r="AA275">
        <f t="shared" si="12"/>
        <v>0</v>
      </c>
      <c r="AL275" s="142"/>
    </row>
    <row r="276" spans="1:38" hidden="1" x14ac:dyDescent="0.2">
      <c r="A276" s="1700"/>
      <c r="B276" s="1698"/>
      <c r="C276" s="1712"/>
      <c r="D276" s="1699"/>
      <c r="E276" s="1699"/>
      <c r="F276" s="1699"/>
      <c r="G276" s="1699"/>
      <c r="H276" s="1699"/>
      <c r="I276" s="1706"/>
      <c r="J276" s="1706"/>
      <c r="K276" s="1713" t="str">
        <f t="shared" si="34"/>
        <v/>
      </c>
      <c r="L276">
        <f t="shared" si="35"/>
        <v>0</v>
      </c>
      <c r="Q276">
        <f t="shared" si="36"/>
        <v>0</v>
      </c>
      <c r="R276">
        <f t="shared" si="37"/>
        <v>0</v>
      </c>
      <c r="S276">
        <f t="shared" si="38"/>
        <v>0</v>
      </c>
      <c r="T276">
        <f t="shared" si="39"/>
        <v>0</v>
      </c>
      <c r="U276">
        <f t="shared" si="40"/>
        <v>0</v>
      </c>
      <c r="V276">
        <f t="shared" si="41"/>
        <v>0</v>
      </c>
      <c r="AA276">
        <f t="shared" si="12"/>
        <v>0</v>
      </c>
      <c r="AL276" s="142"/>
    </row>
    <row r="277" spans="1:38" hidden="1" x14ac:dyDescent="0.2">
      <c r="A277" s="1700"/>
      <c r="B277" s="1698"/>
      <c r="C277" s="1712"/>
      <c r="D277" s="1699"/>
      <c r="E277" s="1699"/>
      <c r="F277" s="1699"/>
      <c r="G277" s="1699"/>
      <c r="H277" s="1699"/>
      <c r="I277" s="1706"/>
      <c r="J277" s="1706"/>
      <c r="K277" s="1713" t="str">
        <f t="shared" si="34"/>
        <v/>
      </c>
      <c r="L277">
        <f t="shared" si="35"/>
        <v>0</v>
      </c>
      <c r="Q277">
        <f t="shared" si="36"/>
        <v>0</v>
      </c>
      <c r="R277">
        <f t="shared" si="37"/>
        <v>0</v>
      </c>
      <c r="S277">
        <f t="shared" si="38"/>
        <v>0</v>
      </c>
      <c r="T277">
        <f t="shared" si="39"/>
        <v>0</v>
      </c>
      <c r="U277">
        <f t="shared" si="40"/>
        <v>0</v>
      </c>
      <c r="V277">
        <f t="shared" si="41"/>
        <v>0</v>
      </c>
      <c r="AA277">
        <f t="shared" si="12"/>
        <v>0</v>
      </c>
      <c r="AL277" s="142"/>
    </row>
    <row r="278" spans="1:38" hidden="1" x14ac:dyDescent="0.2">
      <c r="A278" s="1700"/>
      <c r="B278" s="1698"/>
      <c r="C278" s="1712"/>
      <c r="D278" s="1699"/>
      <c r="E278" s="1699"/>
      <c r="F278" s="1699"/>
      <c r="G278" s="1699"/>
      <c r="H278" s="1699"/>
      <c r="I278" s="1706"/>
      <c r="J278" s="1706"/>
      <c r="K278" s="1713" t="str">
        <f t="shared" si="34"/>
        <v/>
      </c>
      <c r="L278">
        <f t="shared" si="35"/>
        <v>0</v>
      </c>
      <c r="Q278">
        <f t="shared" si="36"/>
        <v>0</v>
      </c>
      <c r="R278">
        <f t="shared" si="37"/>
        <v>0</v>
      </c>
      <c r="S278">
        <f t="shared" si="38"/>
        <v>0</v>
      </c>
      <c r="T278">
        <f t="shared" si="39"/>
        <v>0</v>
      </c>
      <c r="U278">
        <f t="shared" si="40"/>
        <v>0</v>
      </c>
      <c r="V278">
        <f t="shared" si="41"/>
        <v>0</v>
      </c>
      <c r="AA278">
        <f t="shared" si="12"/>
        <v>0</v>
      </c>
      <c r="AL278" s="142"/>
    </row>
    <row r="279" spans="1:38" hidden="1" x14ac:dyDescent="0.2">
      <c r="A279" s="1700"/>
      <c r="B279" s="1698"/>
      <c r="C279" s="1712"/>
      <c r="D279" s="1699"/>
      <c r="E279" s="1699"/>
      <c r="F279" s="1699"/>
      <c r="G279" s="1699"/>
      <c r="H279" s="1699"/>
      <c r="I279" s="1706"/>
      <c r="J279" s="1706"/>
      <c r="K279" s="1713" t="str">
        <f t="shared" si="34"/>
        <v/>
      </c>
      <c r="L279">
        <f t="shared" si="35"/>
        <v>0</v>
      </c>
      <c r="Q279">
        <f t="shared" si="36"/>
        <v>0</v>
      </c>
      <c r="R279">
        <f t="shared" si="37"/>
        <v>0</v>
      </c>
      <c r="S279">
        <f t="shared" si="38"/>
        <v>0</v>
      </c>
      <c r="T279">
        <f t="shared" si="39"/>
        <v>0</v>
      </c>
      <c r="U279">
        <f t="shared" si="40"/>
        <v>0</v>
      </c>
      <c r="V279">
        <f t="shared" si="41"/>
        <v>0</v>
      </c>
      <c r="AA279">
        <f t="shared" si="12"/>
        <v>0</v>
      </c>
      <c r="AL279" s="142"/>
    </row>
    <row r="280" spans="1:38" hidden="1" x14ac:dyDescent="0.2">
      <c r="A280" s="1700"/>
      <c r="B280" s="1698"/>
      <c r="C280" s="1712"/>
      <c r="D280" s="1699"/>
      <c r="E280" s="1699"/>
      <c r="F280" s="1699"/>
      <c r="G280" s="1699"/>
      <c r="H280" s="1699"/>
      <c r="I280" s="1706"/>
      <c r="J280" s="1706"/>
      <c r="K280" s="1713" t="str">
        <f t="shared" si="34"/>
        <v/>
      </c>
      <c r="L280">
        <f t="shared" si="35"/>
        <v>0</v>
      </c>
      <c r="Q280">
        <f t="shared" si="36"/>
        <v>0</v>
      </c>
      <c r="R280">
        <f t="shared" si="37"/>
        <v>0</v>
      </c>
      <c r="S280">
        <f t="shared" si="38"/>
        <v>0</v>
      </c>
      <c r="T280">
        <f t="shared" si="39"/>
        <v>0</v>
      </c>
      <c r="U280">
        <f t="shared" si="40"/>
        <v>0</v>
      </c>
      <c r="V280">
        <f t="shared" si="41"/>
        <v>0</v>
      </c>
      <c r="AA280">
        <f t="shared" si="12"/>
        <v>0</v>
      </c>
      <c r="AL280" s="142"/>
    </row>
    <row r="281" spans="1:38" hidden="1" x14ac:dyDescent="0.2">
      <c r="A281" s="1700"/>
      <c r="B281" s="1698"/>
      <c r="C281" s="1712"/>
      <c r="D281" s="1699"/>
      <c r="E281" s="1699"/>
      <c r="F281" s="1699"/>
      <c r="G281" s="1699"/>
      <c r="H281" s="1699"/>
      <c r="I281" s="1706"/>
      <c r="J281" s="1706"/>
      <c r="K281" s="1713" t="str">
        <f t="shared" si="34"/>
        <v/>
      </c>
      <c r="L281">
        <f t="shared" si="35"/>
        <v>0</v>
      </c>
      <c r="Q281">
        <f t="shared" si="36"/>
        <v>0</v>
      </c>
      <c r="R281">
        <f t="shared" si="37"/>
        <v>0</v>
      </c>
      <c r="S281">
        <f t="shared" si="38"/>
        <v>0</v>
      </c>
      <c r="T281">
        <f t="shared" si="39"/>
        <v>0</v>
      </c>
      <c r="U281">
        <f t="shared" si="40"/>
        <v>0</v>
      </c>
      <c r="V281">
        <f t="shared" si="41"/>
        <v>0</v>
      </c>
      <c r="AA281">
        <f t="shared" ref="AA281:AA344" si="42">IF(ISERROR(VLOOKUP($B281,eu_countries,1,FALSE))=TRUE,0,1)</f>
      </c>
      <c r="AL281" s="142"/>
    </row>
    <row r="282" spans="1:38" hidden="1" x14ac:dyDescent="0.2">
      <c r="A282" s="1700"/>
      <c r="B282" s="1698"/>
      <c r="C282" s="1712"/>
      <c r="D282" s="1699"/>
      <c r="E282" s="1699"/>
      <c r="F282" s="1699"/>
      <c r="G282" s="1699"/>
      <c r="H282" s="1699"/>
      <c r="I282" s="1706"/>
      <c r="J282" s="1706"/>
      <c r="K282" s="1713" t="str">
        <f t="shared" ref="K282:K345" si="43">IF(AND(AA282=1,A282=$S$59),"TIN required!",IF(Q282&gt;R282," All details required!",""))</f>
        <v/>
      </c>
      <c r="L282">
        <f t="shared" ref="L282:L345" si="44">IF(K282="",0,1)</f>
      </c>
      <c r="Q282">
        <f t="shared" ref="Q282:Q345" si="45">IF(AND(G276="Yes",R282=0),7,IF(S282=0,0,IF(A282=$S$59,10,7)))</f>
      </c>
      <c r="R282">
        <f t="shared" ref="R282:R345" si="46">IF(AND(AA282=0,A282=$S$59),T282+U282+V282,T282+V282)</f>
      </c>
      <c r="S282">
        <f t="shared" ref="S282:S345" si="47">SUM(T282:V282)</f>
      </c>
      <c r="T282">
        <f t="shared" ref="T282:T345" si="48">COUNTA(A282:B282)</f>
      </c>
      <c r="U282">
        <f t="shared" ref="U282:U345" si="49">COUNTA(C282:E282)</f>
      </c>
      <c r="V282">
        <f t="shared" ref="V282:V345" si="50">COUNTA(F282:J282)</f>
      </c>
      <c r="AA282">
        <f t="shared" si="42"/>
        <v>0</v>
      </c>
      <c r="AL282" s="142"/>
    </row>
    <row r="283" spans="1:38" hidden="1" x14ac:dyDescent="0.2">
      <c r="A283" s="1700"/>
      <c r="B283" s="1698"/>
      <c r="C283" s="1712"/>
      <c r="D283" s="1699"/>
      <c r="E283" s="1699"/>
      <c r="F283" s="1699"/>
      <c r="G283" s="1699"/>
      <c r="H283" s="1699"/>
      <c r="I283" s="1706"/>
      <c r="J283" s="1706"/>
      <c r="K283" s="1713" t="str">
        <f t="shared" si="43"/>
        <v/>
      </c>
      <c r="L283">
        <f t="shared" si="44"/>
        <v>0</v>
      </c>
      <c r="Q283">
        <f t="shared" si="45"/>
        <v>0</v>
      </c>
      <c r="R283">
        <f t="shared" si="46"/>
        <v>0</v>
      </c>
      <c r="S283">
        <f t="shared" si="47"/>
        <v>0</v>
      </c>
      <c r="T283">
        <f t="shared" si="48"/>
        <v>0</v>
      </c>
      <c r="U283">
        <f t="shared" si="49"/>
        <v>0</v>
      </c>
      <c r="V283">
        <f t="shared" si="50"/>
        <v>0</v>
      </c>
      <c r="AA283">
        <f t="shared" si="42"/>
        <v>0</v>
      </c>
      <c r="AL283" s="142"/>
    </row>
    <row r="284" spans="1:38" hidden="1" x14ac:dyDescent="0.2">
      <c r="A284" s="1700"/>
      <c r="B284" s="1698"/>
      <c r="C284" s="1712"/>
      <c r="D284" s="1699"/>
      <c r="E284" s="1699"/>
      <c r="F284" s="1699"/>
      <c r="G284" s="1699"/>
      <c r="H284" s="1699"/>
      <c r="I284" s="1706"/>
      <c r="J284" s="1706"/>
      <c r="K284" s="1713" t="str">
        <f t="shared" si="43"/>
        <v/>
      </c>
      <c r="L284">
        <f t="shared" si="44"/>
        <v>0</v>
      </c>
      <c r="Q284">
        <f t="shared" si="45"/>
        <v>0</v>
      </c>
      <c r="R284">
        <f t="shared" si="46"/>
        <v>0</v>
      </c>
      <c r="S284">
        <f t="shared" si="47"/>
        <v>0</v>
      </c>
      <c r="T284">
        <f t="shared" si="48"/>
        <v>0</v>
      </c>
      <c r="U284">
        <f t="shared" si="49"/>
        <v>0</v>
      </c>
      <c r="V284">
        <f t="shared" si="50"/>
        <v>0</v>
      </c>
      <c r="AA284">
        <f t="shared" si="42"/>
        <v>0</v>
      </c>
      <c r="AL284" s="142"/>
    </row>
    <row r="285" spans="1:38" hidden="1" x14ac:dyDescent="0.2">
      <c r="A285" s="1700"/>
      <c r="B285" s="1698"/>
      <c r="C285" s="1712"/>
      <c r="D285" s="1699"/>
      <c r="E285" s="1699"/>
      <c r="F285" s="1699"/>
      <c r="G285" s="1699"/>
      <c r="H285" s="1699"/>
      <c r="I285" s="1706"/>
      <c r="J285" s="1706"/>
      <c r="K285" s="1713" t="str">
        <f t="shared" si="43"/>
        <v/>
      </c>
      <c r="L285">
        <f t="shared" si="44"/>
        <v>0</v>
      </c>
      <c r="Q285">
        <f t="shared" si="45"/>
        <v>0</v>
      </c>
      <c r="R285">
        <f t="shared" si="46"/>
        <v>0</v>
      </c>
      <c r="S285">
        <f t="shared" si="47"/>
        <v>0</v>
      </c>
      <c r="T285">
        <f t="shared" si="48"/>
        <v>0</v>
      </c>
      <c r="U285">
        <f t="shared" si="49"/>
        <v>0</v>
      </c>
      <c r="V285">
        <f t="shared" si="50"/>
        <v>0</v>
      </c>
      <c r="AA285">
        <f t="shared" si="42"/>
        <v>0</v>
      </c>
      <c r="AL285" s="142"/>
    </row>
    <row r="286" spans="1:38" hidden="1" x14ac:dyDescent="0.2">
      <c r="A286" s="1700"/>
      <c r="B286" s="1698"/>
      <c r="C286" s="1712"/>
      <c r="D286" s="1699"/>
      <c r="E286" s="1699"/>
      <c r="F286" s="1699"/>
      <c r="G286" s="1699"/>
      <c r="H286" s="1699"/>
      <c r="I286" s="1706"/>
      <c r="J286" s="1706"/>
      <c r="K286" s="1713" t="str">
        <f t="shared" si="43"/>
        <v/>
      </c>
      <c r="L286">
        <f t="shared" si="44"/>
        <v>0</v>
      </c>
      <c r="Q286">
        <f t="shared" si="45"/>
        <v>0</v>
      </c>
      <c r="R286">
        <f t="shared" si="46"/>
        <v>0</v>
      </c>
      <c r="S286">
        <f t="shared" si="47"/>
        <v>0</v>
      </c>
      <c r="T286">
        <f t="shared" si="48"/>
        <v>0</v>
      </c>
      <c r="U286">
        <f t="shared" si="49"/>
        <v>0</v>
      </c>
      <c r="V286">
        <f t="shared" si="50"/>
        <v>0</v>
      </c>
      <c r="AA286">
        <f t="shared" si="42"/>
        <v>0</v>
      </c>
      <c r="AL286" s="142"/>
    </row>
    <row r="287" spans="1:38" hidden="1" x14ac:dyDescent="0.2">
      <c r="A287" s="1700"/>
      <c r="B287" s="1698"/>
      <c r="C287" s="1712"/>
      <c r="D287" s="1699"/>
      <c r="E287" s="1699"/>
      <c r="F287" s="1699"/>
      <c r="G287" s="1699"/>
      <c r="H287" s="1699"/>
      <c r="I287" s="1706"/>
      <c r="J287" s="1706"/>
      <c r="K287" s="1713" t="str">
        <f t="shared" si="43"/>
        <v/>
      </c>
      <c r="L287">
        <f t="shared" si="44"/>
        <v>0</v>
      </c>
      <c r="Q287">
        <f t="shared" si="45"/>
        <v>0</v>
      </c>
      <c r="R287">
        <f t="shared" si="46"/>
        <v>0</v>
      </c>
      <c r="S287">
        <f t="shared" si="47"/>
        <v>0</v>
      </c>
      <c r="T287">
        <f t="shared" si="48"/>
        <v>0</v>
      </c>
      <c r="U287">
        <f t="shared" si="49"/>
        <v>0</v>
      </c>
      <c r="V287">
        <f t="shared" si="50"/>
        <v>0</v>
      </c>
      <c r="AA287">
        <f t="shared" si="42"/>
        <v>0</v>
      </c>
      <c r="AL287" s="142"/>
    </row>
    <row r="288" spans="1:38" hidden="1" x14ac:dyDescent="0.2">
      <c r="A288" s="1700"/>
      <c r="B288" s="1698"/>
      <c r="C288" s="1712"/>
      <c r="D288" s="1699"/>
      <c r="E288" s="1699"/>
      <c r="F288" s="1699"/>
      <c r="G288" s="1699"/>
      <c r="H288" s="1699"/>
      <c r="I288" s="1706"/>
      <c r="J288" s="1706"/>
      <c r="K288" s="1713" t="str">
        <f t="shared" si="43"/>
        <v/>
      </c>
      <c r="L288">
        <f t="shared" si="44"/>
        <v>0</v>
      </c>
      <c r="Q288">
        <f t="shared" si="45"/>
        <v>0</v>
      </c>
      <c r="R288">
        <f t="shared" si="46"/>
        <v>0</v>
      </c>
      <c r="S288">
        <f t="shared" si="47"/>
        <v>0</v>
      </c>
      <c r="T288">
        <f t="shared" si="48"/>
        <v>0</v>
      </c>
      <c r="U288">
        <f t="shared" si="49"/>
        <v>0</v>
      </c>
      <c r="V288">
        <f t="shared" si="50"/>
        <v>0</v>
      </c>
      <c r="AA288">
        <f t="shared" si="42"/>
        <v>0</v>
      </c>
      <c r="AL288" s="142"/>
    </row>
    <row r="289" spans="1:38" hidden="1" x14ac:dyDescent="0.2">
      <c r="A289" s="1700"/>
      <c r="B289" s="1698"/>
      <c r="C289" s="1712"/>
      <c r="D289" s="1699"/>
      <c r="E289" s="1699"/>
      <c r="F289" s="1699"/>
      <c r="G289" s="1699"/>
      <c r="H289" s="1699"/>
      <c r="I289" s="1706"/>
      <c r="J289" s="1706"/>
      <c r="K289" s="1713" t="str">
        <f t="shared" si="43"/>
        <v/>
      </c>
      <c r="L289">
        <f t="shared" si="44"/>
        <v>0</v>
      </c>
      <c r="Q289">
        <f t="shared" si="45"/>
        <v>0</v>
      </c>
      <c r="R289">
        <f t="shared" si="46"/>
        <v>0</v>
      </c>
      <c r="S289">
        <f t="shared" si="47"/>
        <v>0</v>
      </c>
      <c r="T289">
        <f t="shared" si="48"/>
        <v>0</v>
      </c>
      <c r="U289">
        <f t="shared" si="49"/>
        <v>0</v>
      </c>
      <c r="V289">
        <f t="shared" si="50"/>
        <v>0</v>
      </c>
      <c r="AA289">
        <f t="shared" si="42"/>
        <v>0</v>
      </c>
      <c r="AL289" s="142"/>
    </row>
    <row r="290" spans="1:38" hidden="1" x14ac:dyDescent="0.2">
      <c r="A290" s="1700"/>
      <c r="B290" s="1698"/>
      <c r="C290" s="1712"/>
      <c r="D290" s="1699"/>
      <c r="E290" s="1699"/>
      <c r="F290" s="1699"/>
      <c r="G290" s="1699"/>
      <c r="H290" s="1699"/>
      <c r="I290" s="1706"/>
      <c r="J290" s="1706"/>
      <c r="K290" s="1713" t="str">
        <f t="shared" si="43"/>
        <v/>
      </c>
      <c r="L290">
        <f t="shared" si="44"/>
        <v>0</v>
      </c>
      <c r="Q290">
        <f t="shared" si="45"/>
        <v>0</v>
      </c>
      <c r="R290">
        <f t="shared" si="46"/>
        <v>0</v>
      </c>
      <c r="S290">
        <f t="shared" si="47"/>
        <v>0</v>
      </c>
      <c r="T290">
        <f t="shared" si="48"/>
        <v>0</v>
      </c>
      <c r="U290">
        <f t="shared" si="49"/>
        <v>0</v>
      </c>
      <c r="V290">
        <f t="shared" si="50"/>
        <v>0</v>
      </c>
      <c r="AA290">
        <f t="shared" si="42"/>
        <v>0</v>
      </c>
      <c r="AL290" s="142"/>
    </row>
    <row r="291" spans="1:38" hidden="1" x14ac:dyDescent="0.2">
      <c r="A291" s="1700"/>
      <c r="B291" s="1698"/>
      <c r="C291" s="1712"/>
      <c r="D291" s="1699"/>
      <c r="E291" s="1699"/>
      <c r="F291" s="1699"/>
      <c r="G291" s="1699"/>
      <c r="H291" s="1699"/>
      <c r="I291" s="1706"/>
      <c r="J291" s="1706"/>
      <c r="K291" s="1713" t="str">
        <f t="shared" si="43"/>
        <v/>
      </c>
      <c r="L291">
        <f t="shared" si="44"/>
        <v>0</v>
      </c>
      <c r="Q291">
        <f t="shared" si="45"/>
        <v>0</v>
      </c>
      <c r="R291">
        <f t="shared" si="46"/>
        <v>0</v>
      </c>
      <c r="S291">
        <f t="shared" si="47"/>
        <v>0</v>
      </c>
      <c r="T291">
        <f t="shared" si="48"/>
        <v>0</v>
      </c>
      <c r="U291">
        <f t="shared" si="49"/>
        <v>0</v>
      </c>
      <c r="V291">
        <f t="shared" si="50"/>
        <v>0</v>
      </c>
      <c r="AA291">
        <f t="shared" si="42"/>
        <v>0</v>
      </c>
      <c r="AL291" s="142"/>
    </row>
    <row r="292" spans="1:38" hidden="1" x14ac:dyDescent="0.2">
      <c r="A292" s="1700"/>
      <c r="B292" s="1698"/>
      <c r="C292" s="1712"/>
      <c r="D292" s="1699"/>
      <c r="E292" s="1699"/>
      <c r="F292" s="1699"/>
      <c r="G292" s="1699"/>
      <c r="H292" s="1699"/>
      <c r="I292" s="1706"/>
      <c r="J292" s="1706"/>
      <c r="K292" s="1713" t="str">
        <f t="shared" si="43"/>
        <v/>
      </c>
      <c r="L292">
        <f t="shared" si="44"/>
        <v>0</v>
      </c>
      <c r="Q292">
        <f t="shared" si="45"/>
        <v>0</v>
      </c>
      <c r="R292">
        <f t="shared" si="46"/>
        <v>0</v>
      </c>
      <c r="S292">
        <f t="shared" si="47"/>
        <v>0</v>
      </c>
      <c r="T292">
        <f t="shared" si="48"/>
        <v>0</v>
      </c>
      <c r="U292">
        <f t="shared" si="49"/>
        <v>0</v>
      </c>
      <c r="V292">
        <f t="shared" si="50"/>
        <v>0</v>
      </c>
      <c r="AA292">
        <f t="shared" si="42"/>
        <v>0</v>
      </c>
      <c r="AL292" s="142"/>
    </row>
    <row r="293" spans="1:38" hidden="1" x14ac:dyDescent="0.2">
      <c r="A293" s="1700"/>
      <c r="B293" s="1698"/>
      <c r="C293" s="1712"/>
      <c r="D293" s="1699"/>
      <c r="E293" s="1699"/>
      <c r="F293" s="1699"/>
      <c r="G293" s="1699"/>
      <c r="H293" s="1699"/>
      <c r="I293" s="1706"/>
      <c r="J293" s="1706"/>
      <c r="K293" s="1713" t="str">
        <f t="shared" si="43"/>
        <v/>
      </c>
      <c r="L293">
        <f t="shared" si="44"/>
        <v>0</v>
      </c>
      <c r="Q293">
        <f t="shared" si="45"/>
        <v>0</v>
      </c>
      <c r="R293">
        <f t="shared" si="46"/>
        <v>0</v>
      </c>
      <c r="S293">
        <f t="shared" si="47"/>
        <v>0</v>
      </c>
      <c r="T293">
        <f t="shared" si="48"/>
        <v>0</v>
      </c>
      <c r="U293">
        <f t="shared" si="49"/>
        <v>0</v>
      </c>
      <c r="V293">
        <f t="shared" si="50"/>
        <v>0</v>
      </c>
      <c r="AA293">
        <f t="shared" si="42"/>
        <v>0</v>
      </c>
      <c r="AL293" s="142"/>
    </row>
    <row r="294" spans="1:38" hidden="1" x14ac:dyDescent="0.2">
      <c r="A294" s="1700"/>
      <c r="B294" s="1698"/>
      <c r="C294" s="1712"/>
      <c r="D294" s="1699"/>
      <c r="E294" s="1699"/>
      <c r="F294" s="1699"/>
      <c r="G294" s="1699"/>
      <c r="H294" s="1699"/>
      <c r="I294" s="1706"/>
      <c r="J294" s="1706"/>
      <c r="K294" s="1713" t="str">
        <f t="shared" si="43"/>
        <v/>
      </c>
      <c r="L294">
        <f t="shared" si="44"/>
        <v>0</v>
      </c>
      <c r="Q294">
        <f t="shared" si="45"/>
        <v>0</v>
      </c>
      <c r="R294">
        <f t="shared" si="46"/>
        <v>0</v>
      </c>
      <c r="S294">
        <f t="shared" si="47"/>
        <v>0</v>
      </c>
      <c r="T294">
        <f t="shared" si="48"/>
        <v>0</v>
      </c>
      <c r="U294">
        <f t="shared" si="49"/>
        <v>0</v>
      </c>
      <c r="V294">
        <f t="shared" si="50"/>
        <v>0</v>
      </c>
      <c r="AA294">
        <f t="shared" si="42"/>
        <v>0</v>
      </c>
      <c r="AL294" s="142"/>
    </row>
    <row r="295" spans="1:38" hidden="1" x14ac:dyDescent="0.2">
      <c r="A295" s="1700"/>
      <c r="B295" s="1698"/>
      <c r="C295" s="1712"/>
      <c r="D295" s="1699"/>
      <c r="E295" s="1699"/>
      <c r="F295" s="1699"/>
      <c r="G295" s="1699"/>
      <c r="H295" s="1699"/>
      <c r="I295" s="1706"/>
      <c r="J295" s="1706"/>
      <c r="K295" s="1713" t="str">
        <f t="shared" si="43"/>
        <v/>
      </c>
      <c r="L295">
        <f t="shared" si="44"/>
        <v>0</v>
      </c>
      <c r="Q295">
        <f t="shared" si="45"/>
        <v>0</v>
      </c>
      <c r="R295">
        <f t="shared" si="46"/>
        <v>0</v>
      </c>
      <c r="S295">
        <f t="shared" si="47"/>
        <v>0</v>
      </c>
      <c r="T295">
        <f t="shared" si="48"/>
        <v>0</v>
      </c>
      <c r="U295">
        <f t="shared" si="49"/>
        <v>0</v>
      </c>
      <c r="V295">
        <f t="shared" si="50"/>
        <v>0</v>
      </c>
      <c r="AA295">
        <f t="shared" si="42"/>
        <v>0</v>
      </c>
      <c r="AL295" s="142"/>
    </row>
    <row r="296" spans="1:38" hidden="1" x14ac:dyDescent="0.2">
      <c r="A296" s="1700"/>
      <c r="B296" s="1698"/>
      <c r="C296" s="1712"/>
      <c r="D296" s="1699"/>
      <c r="E296" s="1699"/>
      <c r="F296" s="1699"/>
      <c r="G296" s="1699"/>
      <c r="H296" s="1699"/>
      <c r="I296" s="1706"/>
      <c r="J296" s="1706"/>
      <c r="K296" s="1713" t="str">
        <f t="shared" si="43"/>
        <v/>
      </c>
      <c r="L296">
        <f t="shared" si="44"/>
        <v>0</v>
      </c>
      <c r="Q296">
        <f t="shared" si="45"/>
        <v>0</v>
      </c>
      <c r="R296">
        <f t="shared" si="46"/>
        <v>0</v>
      </c>
      <c r="S296">
        <f t="shared" si="47"/>
        <v>0</v>
      </c>
      <c r="T296">
        <f t="shared" si="48"/>
        <v>0</v>
      </c>
      <c r="U296">
        <f t="shared" si="49"/>
        <v>0</v>
      </c>
      <c r="V296">
        <f t="shared" si="50"/>
        <v>0</v>
      </c>
      <c r="AA296">
        <f t="shared" si="42"/>
        <v>0</v>
      </c>
      <c r="AL296" s="142"/>
    </row>
    <row r="297" spans="1:38" hidden="1" x14ac:dyDescent="0.2">
      <c r="A297" s="1700"/>
      <c r="B297" s="1698"/>
      <c r="C297" s="1712"/>
      <c r="D297" s="1699"/>
      <c r="E297" s="1699"/>
      <c r="F297" s="1699"/>
      <c r="G297" s="1699"/>
      <c r="H297" s="1699"/>
      <c r="I297" s="1706"/>
      <c r="J297" s="1706"/>
      <c r="K297" s="1713" t="str">
        <f t="shared" si="43"/>
        <v/>
      </c>
      <c r="L297">
        <f t="shared" si="44"/>
        <v>0</v>
      </c>
      <c r="Q297">
        <f t="shared" si="45"/>
        <v>0</v>
      </c>
      <c r="R297">
        <f t="shared" si="46"/>
        <v>0</v>
      </c>
      <c r="S297">
        <f t="shared" si="47"/>
        <v>0</v>
      </c>
      <c r="T297">
        <f t="shared" si="48"/>
        <v>0</v>
      </c>
      <c r="U297">
        <f t="shared" si="49"/>
        <v>0</v>
      </c>
      <c r="V297">
        <f t="shared" si="50"/>
        <v>0</v>
      </c>
      <c r="AA297">
        <f t="shared" si="42"/>
        <v>0</v>
      </c>
      <c r="AL297" s="142"/>
    </row>
    <row r="298" spans="1:38" hidden="1" x14ac:dyDescent="0.2">
      <c r="A298" s="1700"/>
      <c r="B298" s="1698"/>
      <c r="C298" s="1712"/>
      <c r="D298" s="1699"/>
      <c r="E298" s="1699"/>
      <c r="F298" s="1699"/>
      <c r="G298" s="1699"/>
      <c r="H298" s="1699"/>
      <c r="I298" s="1706"/>
      <c r="J298" s="1706"/>
      <c r="K298" s="1713" t="str">
        <f t="shared" si="43"/>
        <v/>
      </c>
      <c r="L298">
        <f t="shared" si="44"/>
        <v>0</v>
      </c>
      <c r="Q298">
        <f t="shared" si="45"/>
        <v>0</v>
      </c>
      <c r="R298">
        <f t="shared" si="46"/>
        <v>0</v>
      </c>
      <c r="S298">
        <f t="shared" si="47"/>
        <v>0</v>
      </c>
      <c r="T298">
        <f t="shared" si="48"/>
        <v>0</v>
      </c>
      <c r="U298">
        <f t="shared" si="49"/>
        <v>0</v>
      </c>
      <c r="V298">
        <f t="shared" si="50"/>
        <v>0</v>
      </c>
      <c r="AA298">
        <f t="shared" si="42"/>
        <v>0</v>
      </c>
      <c r="AL298" s="142"/>
    </row>
    <row r="299" spans="1:38" hidden="1" x14ac:dyDescent="0.2">
      <c r="A299" s="1700"/>
      <c r="B299" s="1698"/>
      <c r="C299" s="1712"/>
      <c r="D299" s="1699"/>
      <c r="E299" s="1699"/>
      <c r="F299" s="1699"/>
      <c r="G299" s="1699"/>
      <c r="H299" s="1699"/>
      <c r="I299" s="1706"/>
      <c r="J299" s="1706"/>
      <c r="K299" s="1713" t="str">
        <f t="shared" si="43"/>
        <v/>
      </c>
      <c r="L299">
        <f t="shared" si="44"/>
        <v>0</v>
      </c>
      <c r="Q299">
        <f t="shared" si="45"/>
        <v>0</v>
      </c>
      <c r="R299">
        <f t="shared" si="46"/>
        <v>0</v>
      </c>
      <c r="S299">
        <f t="shared" si="47"/>
        <v>0</v>
      </c>
      <c r="T299">
        <f t="shared" si="48"/>
        <v>0</v>
      </c>
      <c r="U299">
        <f t="shared" si="49"/>
        <v>0</v>
      </c>
      <c r="V299">
        <f t="shared" si="50"/>
        <v>0</v>
      </c>
      <c r="AA299">
        <f t="shared" si="42"/>
        <v>0</v>
      </c>
      <c r="AL299" s="142"/>
    </row>
    <row r="300" spans="1:38" hidden="1" x14ac:dyDescent="0.2">
      <c r="A300" s="1700"/>
      <c r="B300" s="1698"/>
      <c r="C300" s="1712"/>
      <c r="D300" s="1699"/>
      <c r="E300" s="1699"/>
      <c r="F300" s="1699"/>
      <c r="G300" s="1699"/>
      <c r="H300" s="1699"/>
      <c r="I300" s="1706"/>
      <c r="J300" s="1706"/>
      <c r="K300" s="1713" t="str">
        <f t="shared" si="43"/>
        <v/>
      </c>
      <c r="L300">
        <f t="shared" si="44"/>
        <v>0</v>
      </c>
      <c r="Q300">
        <f t="shared" si="45"/>
        <v>0</v>
      </c>
      <c r="R300">
        <f t="shared" si="46"/>
        <v>0</v>
      </c>
      <c r="S300">
        <f t="shared" si="47"/>
        <v>0</v>
      </c>
      <c r="T300">
        <f t="shared" si="48"/>
        <v>0</v>
      </c>
      <c r="U300">
        <f t="shared" si="49"/>
        <v>0</v>
      </c>
      <c r="V300">
        <f t="shared" si="50"/>
        <v>0</v>
      </c>
      <c r="AA300">
        <f t="shared" si="42"/>
        <v>0</v>
      </c>
      <c r="AL300" s="142"/>
    </row>
    <row r="301" spans="1:38" hidden="1" x14ac:dyDescent="0.2">
      <c r="A301" s="1700"/>
      <c r="B301" s="1698"/>
      <c r="C301" s="1712"/>
      <c r="D301" s="1699"/>
      <c r="E301" s="1699"/>
      <c r="F301" s="1699"/>
      <c r="G301" s="1699"/>
      <c r="H301" s="1699"/>
      <c r="I301" s="1706"/>
      <c r="J301" s="1706"/>
      <c r="K301" s="1713" t="str">
        <f t="shared" si="43"/>
        <v/>
      </c>
      <c r="L301">
        <f t="shared" si="44"/>
        <v>0</v>
      </c>
      <c r="Q301">
        <f t="shared" si="45"/>
        <v>0</v>
      </c>
      <c r="R301">
        <f t="shared" si="46"/>
        <v>0</v>
      </c>
      <c r="S301">
        <f t="shared" si="47"/>
        <v>0</v>
      </c>
      <c r="T301">
        <f t="shared" si="48"/>
        <v>0</v>
      </c>
      <c r="U301">
        <f t="shared" si="49"/>
        <v>0</v>
      </c>
      <c r="V301">
        <f t="shared" si="50"/>
        <v>0</v>
      </c>
      <c r="AA301">
        <f t="shared" si="42"/>
        <v>0</v>
      </c>
      <c r="AL301" s="142"/>
    </row>
    <row r="302" spans="1:38" hidden="1" x14ac:dyDescent="0.2">
      <c r="A302" s="1700"/>
      <c r="B302" s="1698"/>
      <c r="C302" s="1712"/>
      <c r="D302" s="1699"/>
      <c r="E302" s="1699"/>
      <c r="F302" s="1699"/>
      <c r="G302" s="1699"/>
      <c r="H302" s="1699"/>
      <c r="I302" s="1706"/>
      <c r="J302" s="1706"/>
      <c r="K302" s="1713" t="str">
        <f t="shared" si="43"/>
        <v/>
      </c>
      <c r="L302">
        <f t="shared" si="44"/>
        <v>0</v>
      </c>
      <c r="Q302">
        <f t="shared" si="45"/>
        <v>0</v>
      </c>
      <c r="R302">
        <f t="shared" si="46"/>
        <v>0</v>
      </c>
      <c r="S302">
        <f t="shared" si="47"/>
        <v>0</v>
      </c>
      <c r="T302">
        <f t="shared" si="48"/>
        <v>0</v>
      </c>
      <c r="U302">
        <f t="shared" si="49"/>
        <v>0</v>
      </c>
      <c r="V302">
        <f t="shared" si="50"/>
        <v>0</v>
      </c>
      <c r="AA302">
        <f t="shared" si="42"/>
        <v>0</v>
      </c>
      <c r="AL302" s="142"/>
    </row>
    <row r="303" spans="1:38" hidden="1" x14ac:dyDescent="0.2">
      <c r="A303" s="1700"/>
      <c r="B303" s="1698"/>
      <c r="C303" s="1712"/>
      <c r="D303" s="1699"/>
      <c r="E303" s="1699"/>
      <c r="F303" s="1699"/>
      <c r="G303" s="1699"/>
      <c r="H303" s="1699"/>
      <c r="I303" s="1706"/>
      <c r="J303" s="1706"/>
      <c r="K303" s="1713" t="str">
        <f t="shared" si="43"/>
        <v/>
      </c>
      <c r="L303">
        <f t="shared" si="44"/>
        <v>0</v>
      </c>
      <c r="Q303">
        <f t="shared" si="45"/>
        <v>0</v>
      </c>
      <c r="R303">
        <f t="shared" si="46"/>
        <v>0</v>
      </c>
      <c r="S303">
        <f t="shared" si="47"/>
        <v>0</v>
      </c>
      <c r="T303">
        <f t="shared" si="48"/>
        <v>0</v>
      </c>
      <c r="U303">
        <f t="shared" si="49"/>
        <v>0</v>
      </c>
      <c r="V303">
        <f t="shared" si="50"/>
        <v>0</v>
      </c>
      <c r="AA303">
        <f t="shared" si="42"/>
        <v>0</v>
      </c>
      <c r="AL303" s="142"/>
    </row>
    <row r="304" spans="1:38" hidden="1" x14ac:dyDescent="0.2">
      <c r="A304" s="1700"/>
      <c r="B304" s="1698"/>
      <c r="C304" s="1712"/>
      <c r="D304" s="1699"/>
      <c r="E304" s="1699"/>
      <c r="F304" s="1699"/>
      <c r="G304" s="1699"/>
      <c r="H304" s="1699"/>
      <c r="I304" s="1706"/>
      <c r="J304" s="1706"/>
      <c r="K304" s="1713" t="str">
        <f t="shared" si="43"/>
        <v/>
      </c>
      <c r="L304">
        <f t="shared" si="44"/>
        <v>0</v>
      </c>
      <c r="Q304">
        <f t="shared" si="45"/>
        <v>0</v>
      </c>
      <c r="R304">
        <f t="shared" si="46"/>
        <v>0</v>
      </c>
      <c r="S304">
        <f t="shared" si="47"/>
        <v>0</v>
      </c>
      <c r="T304">
        <f t="shared" si="48"/>
        <v>0</v>
      </c>
      <c r="U304">
        <f t="shared" si="49"/>
        <v>0</v>
      </c>
      <c r="V304">
        <f t="shared" si="50"/>
        <v>0</v>
      </c>
      <c r="AA304">
        <f t="shared" si="42"/>
        <v>0</v>
      </c>
      <c r="AL304" s="142"/>
    </row>
    <row r="305" spans="1:38" hidden="1" x14ac:dyDescent="0.2">
      <c r="A305" s="1700"/>
      <c r="B305" s="1698"/>
      <c r="C305" s="1712"/>
      <c r="D305" s="1699"/>
      <c r="E305" s="1699"/>
      <c r="F305" s="1699"/>
      <c r="G305" s="1699"/>
      <c r="H305" s="1699"/>
      <c r="I305" s="1706"/>
      <c r="J305" s="1706"/>
      <c r="K305" s="1713" t="str">
        <f t="shared" si="43"/>
        <v/>
      </c>
      <c r="L305">
        <f t="shared" si="44"/>
        <v>0</v>
      </c>
      <c r="Q305">
        <f t="shared" si="45"/>
        <v>0</v>
      </c>
      <c r="R305">
        <f t="shared" si="46"/>
        <v>0</v>
      </c>
      <c r="S305">
        <f t="shared" si="47"/>
        <v>0</v>
      </c>
      <c r="T305">
        <f t="shared" si="48"/>
        <v>0</v>
      </c>
      <c r="U305">
        <f t="shared" si="49"/>
        <v>0</v>
      </c>
      <c r="V305">
        <f t="shared" si="50"/>
        <v>0</v>
      </c>
      <c r="AA305">
        <f t="shared" si="42"/>
        <v>0</v>
      </c>
      <c r="AL305" s="142"/>
    </row>
    <row r="306" spans="1:38" hidden="1" x14ac:dyDescent="0.2">
      <c r="A306" s="1700"/>
      <c r="B306" s="1698"/>
      <c r="C306" s="1712"/>
      <c r="D306" s="1699"/>
      <c r="E306" s="1699"/>
      <c r="F306" s="1699"/>
      <c r="G306" s="1699"/>
      <c r="H306" s="1699"/>
      <c r="I306" s="1706"/>
      <c r="J306" s="1706"/>
      <c r="K306" s="1713" t="str">
        <f t="shared" si="43"/>
        <v/>
      </c>
      <c r="L306">
        <f t="shared" si="44"/>
        <v>0</v>
      </c>
      <c r="Q306">
        <f t="shared" si="45"/>
        <v>0</v>
      </c>
      <c r="R306">
        <f t="shared" si="46"/>
        <v>0</v>
      </c>
      <c r="S306">
        <f t="shared" si="47"/>
        <v>0</v>
      </c>
      <c r="T306">
        <f t="shared" si="48"/>
        <v>0</v>
      </c>
      <c r="U306">
        <f t="shared" si="49"/>
        <v>0</v>
      </c>
      <c r="V306">
        <f t="shared" si="50"/>
        <v>0</v>
      </c>
      <c r="AA306">
        <f t="shared" si="42"/>
        <v>0</v>
      </c>
      <c r="AL306" s="142"/>
    </row>
    <row r="307" spans="1:38" hidden="1" x14ac:dyDescent="0.2">
      <c r="A307" s="1700"/>
      <c r="B307" s="1698"/>
      <c r="C307" s="1712"/>
      <c r="D307" s="1699"/>
      <c r="E307" s="1699"/>
      <c r="F307" s="1699"/>
      <c r="G307" s="1699"/>
      <c r="H307" s="1699"/>
      <c r="I307" s="1706"/>
      <c r="J307" s="1706"/>
      <c r="K307" s="1713" t="str">
        <f t="shared" si="43"/>
        <v/>
      </c>
      <c r="L307">
        <f t="shared" si="44"/>
        <v>0</v>
      </c>
      <c r="Q307">
        <f t="shared" si="45"/>
        <v>0</v>
      </c>
      <c r="R307">
        <f t="shared" si="46"/>
        <v>0</v>
      </c>
      <c r="S307">
        <f t="shared" si="47"/>
        <v>0</v>
      </c>
      <c r="T307">
        <f t="shared" si="48"/>
        <v>0</v>
      </c>
      <c r="U307">
        <f t="shared" si="49"/>
        <v>0</v>
      </c>
      <c r="V307">
        <f t="shared" si="50"/>
        <v>0</v>
      </c>
      <c r="AA307">
        <f t="shared" si="42"/>
        <v>0</v>
      </c>
      <c r="AL307" s="142"/>
    </row>
    <row r="308" spans="1:38" hidden="1" x14ac:dyDescent="0.2">
      <c r="A308" s="1700"/>
      <c r="B308" s="1698"/>
      <c r="C308" s="1712"/>
      <c r="D308" s="1699"/>
      <c r="E308" s="1699"/>
      <c r="F308" s="1699"/>
      <c r="G308" s="1699"/>
      <c r="H308" s="1699"/>
      <c r="I308" s="1706"/>
      <c r="J308" s="1706"/>
      <c r="K308" s="1713" t="str">
        <f t="shared" si="43"/>
        <v/>
      </c>
      <c r="L308">
        <f t="shared" si="44"/>
        <v>0</v>
      </c>
      <c r="Q308">
        <f t="shared" si="45"/>
        <v>0</v>
      </c>
      <c r="R308">
        <f t="shared" si="46"/>
        <v>0</v>
      </c>
      <c r="S308">
        <f t="shared" si="47"/>
        <v>0</v>
      </c>
      <c r="T308">
        <f t="shared" si="48"/>
        <v>0</v>
      </c>
      <c r="U308">
        <f t="shared" si="49"/>
        <v>0</v>
      </c>
      <c r="V308">
        <f t="shared" si="50"/>
        <v>0</v>
      </c>
      <c r="AA308">
        <f t="shared" si="42"/>
        <v>0</v>
      </c>
      <c r="AL308" s="142"/>
    </row>
    <row r="309" spans="1:38" hidden="1" x14ac:dyDescent="0.2">
      <c r="A309" s="1700"/>
      <c r="B309" s="1698"/>
      <c r="C309" s="1712"/>
      <c r="D309" s="1699"/>
      <c r="E309" s="1699"/>
      <c r="F309" s="1699"/>
      <c r="G309" s="1699"/>
      <c r="H309" s="1699"/>
      <c r="I309" s="1706"/>
      <c r="J309" s="1706"/>
      <c r="K309" s="1713" t="str">
        <f t="shared" si="43"/>
        <v/>
      </c>
      <c r="L309">
        <f t="shared" si="44"/>
        <v>0</v>
      </c>
      <c r="Q309">
        <f t="shared" si="45"/>
        <v>0</v>
      </c>
      <c r="R309">
        <f t="shared" si="46"/>
        <v>0</v>
      </c>
      <c r="S309">
        <f t="shared" si="47"/>
        <v>0</v>
      </c>
      <c r="T309">
        <f t="shared" si="48"/>
        <v>0</v>
      </c>
      <c r="U309">
        <f t="shared" si="49"/>
        <v>0</v>
      </c>
      <c r="V309">
        <f t="shared" si="50"/>
        <v>0</v>
      </c>
      <c r="AA309">
        <f t="shared" si="42"/>
        <v>0</v>
      </c>
      <c r="AL309" s="142"/>
    </row>
    <row r="310" spans="1:38" hidden="1" x14ac:dyDescent="0.2">
      <c r="A310" s="1700"/>
      <c r="B310" s="1698"/>
      <c r="C310" s="1712"/>
      <c r="D310" s="1699"/>
      <c r="E310" s="1699"/>
      <c r="F310" s="1699"/>
      <c r="G310" s="1699"/>
      <c r="H310" s="1699"/>
      <c r="I310" s="1706"/>
      <c r="J310" s="1706"/>
      <c r="K310" s="1713" t="str">
        <f t="shared" si="43"/>
        <v/>
      </c>
      <c r="L310">
        <f t="shared" si="44"/>
        <v>0</v>
      </c>
      <c r="Q310">
        <f t="shared" si="45"/>
        <v>0</v>
      </c>
      <c r="R310">
        <f t="shared" si="46"/>
        <v>0</v>
      </c>
      <c r="S310">
        <f t="shared" si="47"/>
        <v>0</v>
      </c>
      <c r="T310">
        <f t="shared" si="48"/>
        <v>0</v>
      </c>
      <c r="U310">
        <f t="shared" si="49"/>
        <v>0</v>
      </c>
      <c r="V310">
        <f t="shared" si="50"/>
        <v>0</v>
      </c>
      <c r="AA310">
        <f t="shared" si="42"/>
        <v>0</v>
      </c>
      <c r="AL310" s="142"/>
    </row>
    <row r="311" spans="1:38" hidden="1" x14ac:dyDescent="0.2">
      <c r="A311" s="1700"/>
      <c r="B311" s="1698"/>
      <c r="C311" s="1712"/>
      <c r="D311" s="1699"/>
      <c r="E311" s="1699"/>
      <c r="F311" s="1699"/>
      <c r="G311" s="1699"/>
      <c r="H311" s="1699"/>
      <c r="I311" s="1706"/>
      <c r="J311" s="1706"/>
      <c r="K311" s="1713" t="str">
        <f t="shared" si="43"/>
        <v/>
      </c>
      <c r="L311">
        <f t="shared" si="44"/>
        <v>0</v>
      </c>
      <c r="Q311">
        <f t="shared" si="45"/>
        <v>0</v>
      </c>
      <c r="R311">
        <f t="shared" si="46"/>
        <v>0</v>
      </c>
      <c r="S311">
        <f t="shared" si="47"/>
        <v>0</v>
      </c>
      <c r="T311">
        <f t="shared" si="48"/>
        <v>0</v>
      </c>
      <c r="U311">
        <f t="shared" si="49"/>
        <v>0</v>
      </c>
      <c r="V311">
        <f t="shared" si="50"/>
        <v>0</v>
      </c>
      <c r="AA311">
        <f t="shared" si="42"/>
        <v>0</v>
      </c>
      <c r="AL311" s="142"/>
    </row>
    <row r="312" spans="1:38" hidden="1" x14ac:dyDescent="0.2">
      <c r="A312" s="1700"/>
      <c r="B312" s="1698"/>
      <c r="C312" s="1712"/>
      <c r="D312" s="1699"/>
      <c r="E312" s="1699"/>
      <c r="F312" s="1699"/>
      <c r="G312" s="1699"/>
      <c r="H312" s="1699"/>
      <c r="I312" s="1706"/>
      <c r="J312" s="1706"/>
      <c r="K312" s="1713" t="str">
        <f t="shared" si="43"/>
        <v/>
      </c>
      <c r="L312">
        <f t="shared" si="44"/>
        <v>0</v>
      </c>
      <c r="Q312">
        <f t="shared" si="45"/>
        <v>0</v>
      </c>
      <c r="R312">
        <f t="shared" si="46"/>
        <v>0</v>
      </c>
      <c r="S312">
        <f t="shared" si="47"/>
        <v>0</v>
      </c>
      <c r="T312">
        <f t="shared" si="48"/>
        <v>0</v>
      </c>
      <c r="U312">
        <f t="shared" si="49"/>
        <v>0</v>
      </c>
      <c r="V312">
        <f t="shared" si="50"/>
        <v>0</v>
      </c>
      <c r="AA312">
        <f t="shared" si="42"/>
        <v>0</v>
      </c>
      <c r="AL312" s="142"/>
    </row>
    <row r="313" spans="1:38" hidden="1" x14ac:dyDescent="0.2">
      <c r="A313" s="1700"/>
      <c r="B313" s="1698"/>
      <c r="C313" s="1712"/>
      <c r="D313" s="1699"/>
      <c r="E313" s="1699"/>
      <c r="F313" s="1699"/>
      <c r="G313" s="1699"/>
      <c r="H313" s="1699"/>
      <c r="I313" s="1706"/>
      <c r="J313" s="1706"/>
      <c r="K313" s="1713" t="str">
        <f t="shared" si="43"/>
        <v/>
      </c>
      <c r="L313">
        <f t="shared" si="44"/>
        <v>0</v>
      </c>
      <c r="Q313">
        <f t="shared" si="45"/>
        <v>0</v>
      </c>
      <c r="R313">
        <f t="shared" si="46"/>
        <v>0</v>
      </c>
      <c r="S313">
        <f t="shared" si="47"/>
        <v>0</v>
      </c>
      <c r="T313">
        <f t="shared" si="48"/>
        <v>0</v>
      </c>
      <c r="U313">
        <f t="shared" si="49"/>
        <v>0</v>
      </c>
      <c r="V313">
        <f t="shared" si="50"/>
        <v>0</v>
      </c>
      <c r="AA313">
        <f t="shared" si="42"/>
        <v>0</v>
      </c>
      <c r="AL313" s="142"/>
    </row>
    <row r="314" spans="1:38" hidden="1" x14ac:dyDescent="0.2">
      <c r="A314" s="1700"/>
      <c r="B314" s="1698"/>
      <c r="C314" s="1712"/>
      <c r="D314" s="1699"/>
      <c r="E314" s="1699"/>
      <c r="F314" s="1699"/>
      <c r="G314" s="1699"/>
      <c r="H314" s="1699"/>
      <c r="I314" s="1706"/>
      <c r="J314" s="1706"/>
      <c r="K314" s="1713" t="str">
        <f t="shared" si="43"/>
        <v/>
      </c>
      <c r="L314">
        <f t="shared" si="44"/>
        <v>0</v>
      </c>
      <c r="Q314">
        <f t="shared" si="45"/>
        <v>0</v>
      </c>
      <c r="R314">
        <f t="shared" si="46"/>
        <v>0</v>
      </c>
      <c r="S314">
        <f t="shared" si="47"/>
        <v>0</v>
      </c>
      <c r="T314">
        <f t="shared" si="48"/>
        <v>0</v>
      </c>
      <c r="U314">
        <f t="shared" si="49"/>
        <v>0</v>
      </c>
      <c r="V314">
        <f t="shared" si="50"/>
        <v>0</v>
      </c>
      <c r="AA314">
        <f t="shared" si="42"/>
        <v>0</v>
      </c>
      <c r="AL314" s="142"/>
    </row>
    <row r="315" spans="1:38" hidden="1" x14ac:dyDescent="0.2">
      <c r="A315" s="1700"/>
      <c r="B315" s="1698"/>
      <c r="C315" s="1712"/>
      <c r="D315" s="1699"/>
      <c r="E315" s="1699"/>
      <c r="F315" s="1699"/>
      <c r="G315" s="1699"/>
      <c r="H315" s="1699"/>
      <c r="I315" s="1706"/>
      <c r="J315" s="1706"/>
      <c r="K315" s="1713" t="str">
        <f t="shared" si="43"/>
        <v/>
      </c>
      <c r="L315">
        <f t="shared" si="44"/>
        <v>0</v>
      </c>
      <c r="Q315">
        <f t="shared" si="45"/>
        <v>0</v>
      </c>
      <c r="R315">
        <f t="shared" si="46"/>
        <v>0</v>
      </c>
      <c r="S315">
        <f t="shared" si="47"/>
        <v>0</v>
      </c>
      <c r="T315">
        <f t="shared" si="48"/>
        <v>0</v>
      </c>
      <c r="U315">
        <f t="shared" si="49"/>
        <v>0</v>
      </c>
      <c r="V315">
        <f t="shared" si="50"/>
        <v>0</v>
      </c>
      <c r="AA315">
        <f t="shared" si="42"/>
        <v>0</v>
      </c>
      <c r="AL315" s="142"/>
    </row>
    <row r="316" spans="1:38" hidden="1" x14ac:dyDescent="0.2">
      <c r="A316" s="1700"/>
      <c r="B316" s="1698"/>
      <c r="C316" s="1712"/>
      <c r="D316" s="1699"/>
      <c r="E316" s="1699"/>
      <c r="F316" s="1699"/>
      <c r="G316" s="1699"/>
      <c r="H316" s="1699"/>
      <c r="I316" s="1706"/>
      <c r="J316" s="1706"/>
      <c r="K316" s="1713" t="str">
        <f t="shared" si="43"/>
        <v/>
      </c>
      <c r="L316">
        <f t="shared" si="44"/>
        <v>0</v>
      </c>
      <c r="Q316">
        <f t="shared" si="45"/>
        <v>0</v>
      </c>
      <c r="R316">
        <f t="shared" si="46"/>
        <v>0</v>
      </c>
      <c r="S316">
        <f t="shared" si="47"/>
        <v>0</v>
      </c>
      <c r="T316">
        <f t="shared" si="48"/>
        <v>0</v>
      </c>
      <c r="U316">
        <f t="shared" si="49"/>
        <v>0</v>
      </c>
      <c r="V316">
        <f t="shared" si="50"/>
        <v>0</v>
      </c>
      <c r="AA316">
        <f t="shared" si="42"/>
        <v>0</v>
      </c>
      <c r="AL316" s="142"/>
    </row>
    <row r="317" spans="1:38" hidden="1" x14ac:dyDescent="0.2">
      <c r="A317" s="1700"/>
      <c r="B317" s="1698"/>
      <c r="C317" s="1712"/>
      <c r="D317" s="1699"/>
      <c r="E317" s="1699"/>
      <c r="F317" s="1699"/>
      <c r="G317" s="1699"/>
      <c r="H317" s="1699"/>
      <c r="I317" s="1706"/>
      <c r="J317" s="1706"/>
      <c r="K317" s="1713" t="str">
        <f t="shared" si="43"/>
        <v/>
      </c>
      <c r="L317">
        <f t="shared" si="44"/>
        <v>0</v>
      </c>
      <c r="Q317">
        <f t="shared" si="45"/>
        <v>0</v>
      </c>
      <c r="R317">
        <f t="shared" si="46"/>
        <v>0</v>
      </c>
      <c r="S317">
        <f t="shared" si="47"/>
        <v>0</v>
      </c>
      <c r="T317">
        <f t="shared" si="48"/>
        <v>0</v>
      </c>
      <c r="U317">
        <f t="shared" si="49"/>
        <v>0</v>
      </c>
      <c r="V317">
        <f t="shared" si="50"/>
        <v>0</v>
      </c>
      <c r="AA317">
        <f t="shared" si="42"/>
        <v>0</v>
      </c>
      <c r="AL317" s="142"/>
    </row>
    <row r="318" spans="1:38" hidden="1" x14ac:dyDescent="0.2">
      <c r="A318" s="1700"/>
      <c r="B318" s="1698"/>
      <c r="C318" s="1712"/>
      <c r="D318" s="1699"/>
      <c r="E318" s="1699"/>
      <c r="F318" s="1699"/>
      <c r="G318" s="1699"/>
      <c r="H318" s="1699"/>
      <c r="I318" s="1706"/>
      <c r="J318" s="1706"/>
      <c r="K318" s="1713" t="str">
        <f t="shared" si="43"/>
        <v/>
      </c>
      <c r="L318">
        <f t="shared" si="44"/>
        <v>0</v>
      </c>
      <c r="Q318">
        <f t="shared" si="45"/>
        <v>0</v>
      </c>
      <c r="R318">
        <f t="shared" si="46"/>
        <v>0</v>
      </c>
      <c r="S318">
        <f t="shared" si="47"/>
        <v>0</v>
      </c>
      <c r="T318">
        <f t="shared" si="48"/>
        <v>0</v>
      </c>
      <c r="U318">
        <f t="shared" si="49"/>
        <v>0</v>
      </c>
      <c r="V318">
        <f t="shared" si="50"/>
        <v>0</v>
      </c>
      <c r="AA318">
        <f t="shared" si="42"/>
        <v>0</v>
      </c>
      <c r="AL318" s="142"/>
    </row>
    <row r="319" spans="1:38" hidden="1" x14ac:dyDescent="0.2">
      <c r="A319" s="1700"/>
      <c r="B319" s="1698"/>
      <c r="C319" s="1712"/>
      <c r="D319" s="1699"/>
      <c r="E319" s="1699"/>
      <c r="F319" s="1699"/>
      <c r="G319" s="1699"/>
      <c r="H319" s="1699"/>
      <c r="I319" s="1706"/>
      <c r="J319" s="1706"/>
      <c r="K319" s="1713" t="str">
        <f t="shared" si="43"/>
        <v/>
      </c>
      <c r="L319">
        <f t="shared" si="44"/>
        <v>0</v>
      </c>
      <c r="Q319">
        <f t="shared" si="45"/>
        <v>0</v>
      </c>
      <c r="R319">
        <f t="shared" si="46"/>
        <v>0</v>
      </c>
      <c r="S319">
        <f t="shared" si="47"/>
        <v>0</v>
      </c>
      <c r="T319">
        <f t="shared" si="48"/>
        <v>0</v>
      </c>
      <c r="U319">
        <f t="shared" si="49"/>
        <v>0</v>
      </c>
      <c r="V319">
        <f t="shared" si="50"/>
        <v>0</v>
      </c>
      <c r="AA319">
        <f t="shared" si="42"/>
        <v>0</v>
      </c>
      <c r="AL319" s="142"/>
    </row>
    <row r="320" spans="1:38" hidden="1" x14ac:dyDescent="0.2">
      <c r="A320" s="1700"/>
      <c r="B320" s="1698"/>
      <c r="C320" s="1712"/>
      <c r="D320" s="1699"/>
      <c r="E320" s="1699"/>
      <c r="F320" s="1699"/>
      <c r="G320" s="1699"/>
      <c r="H320" s="1699"/>
      <c r="I320" s="1706"/>
      <c r="J320" s="1706"/>
      <c r="K320" s="1713" t="str">
        <f t="shared" si="43"/>
        <v/>
      </c>
      <c r="L320">
        <f t="shared" si="44"/>
        <v>0</v>
      </c>
      <c r="Q320">
        <f t="shared" si="45"/>
        <v>0</v>
      </c>
      <c r="R320">
        <f t="shared" si="46"/>
        <v>0</v>
      </c>
      <c r="S320">
        <f t="shared" si="47"/>
        <v>0</v>
      </c>
      <c r="T320">
        <f t="shared" si="48"/>
        <v>0</v>
      </c>
      <c r="U320">
        <f t="shared" si="49"/>
        <v>0</v>
      </c>
      <c r="V320">
        <f t="shared" si="50"/>
        <v>0</v>
      </c>
      <c r="AA320">
        <f t="shared" si="42"/>
        <v>0</v>
      </c>
      <c r="AL320" s="142"/>
    </row>
    <row r="321" spans="1:38" hidden="1" x14ac:dyDescent="0.2">
      <c r="A321" s="1700"/>
      <c r="B321" s="1698"/>
      <c r="C321" s="1712"/>
      <c r="D321" s="1699"/>
      <c r="E321" s="1699"/>
      <c r="F321" s="1699"/>
      <c r="G321" s="1699"/>
      <c r="H321" s="1699"/>
      <c r="I321" s="1706"/>
      <c r="J321" s="1706"/>
      <c r="K321" s="1713" t="str">
        <f t="shared" si="43"/>
        <v/>
      </c>
      <c r="L321">
        <f t="shared" si="44"/>
        <v>0</v>
      </c>
      <c r="Q321">
        <f t="shared" si="45"/>
        <v>0</v>
      </c>
      <c r="R321">
        <f t="shared" si="46"/>
        <v>0</v>
      </c>
      <c r="S321">
        <f t="shared" si="47"/>
        <v>0</v>
      </c>
      <c r="T321">
        <f t="shared" si="48"/>
        <v>0</v>
      </c>
      <c r="U321">
        <f t="shared" si="49"/>
        <v>0</v>
      </c>
      <c r="V321">
        <f t="shared" si="50"/>
        <v>0</v>
      </c>
      <c r="AA321">
        <f t="shared" si="42"/>
        <v>0</v>
      </c>
      <c r="AL321" s="142"/>
    </row>
    <row r="322" spans="1:38" hidden="1" x14ac:dyDescent="0.2">
      <c r="A322" s="1700"/>
      <c r="B322" s="1698"/>
      <c r="C322" s="1712"/>
      <c r="D322" s="1699"/>
      <c r="E322" s="1699"/>
      <c r="F322" s="1699"/>
      <c r="G322" s="1699"/>
      <c r="H322" s="1699"/>
      <c r="I322" s="1706"/>
      <c r="J322" s="1706"/>
      <c r="K322" s="1713" t="str">
        <f t="shared" si="43"/>
        <v/>
      </c>
      <c r="L322">
        <f t="shared" si="44"/>
        <v>0</v>
      </c>
      <c r="Q322">
        <f t="shared" si="45"/>
        <v>0</v>
      </c>
      <c r="R322">
        <f t="shared" si="46"/>
        <v>0</v>
      </c>
      <c r="S322">
        <f t="shared" si="47"/>
        <v>0</v>
      </c>
      <c r="T322">
        <f t="shared" si="48"/>
        <v>0</v>
      </c>
      <c r="U322">
        <f t="shared" si="49"/>
        <v>0</v>
      </c>
      <c r="V322">
        <f t="shared" si="50"/>
        <v>0</v>
      </c>
      <c r="AA322">
        <f t="shared" si="42"/>
        <v>0</v>
      </c>
      <c r="AL322" s="142"/>
    </row>
    <row r="323" spans="1:38" hidden="1" x14ac:dyDescent="0.2">
      <c r="A323" s="1700"/>
      <c r="B323" s="1698"/>
      <c r="C323" s="1712"/>
      <c r="D323" s="1699"/>
      <c r="E323" s="1699"/>
      <c r="F323" s="1699"/>
      <c r="G323" s="1699"/>
      <c r="H323" s="1699"/>
      <c r="I323" s="1706"/>
      <c r="J323" s="1706"/>
      <c r="K323" s="1713" t="str">
        <f t="shared" si="43"/>
        <v/>
      </c>
      <c r="L323">
        <f t="shared" si="44"/>
        <v>0</v>
      </c>
      <c r="Q323">
        <f t="shared" si="45"/>
        <v>0</v>
      </c>
      <c r="R323">
        <f t="shared" si="46"/>
        <v>0</v>
      </c>
      <c r="S323">
        <f t="shared" si="47"/>
        <v>0</v>
      </c>
      <c r="T323">
        <f t="shared" si="48"/>
        <v>0</v>
      </c>
      <c r="U323">
        <f t="shared" si="49"/>
        <v>0</v>
      </c>
      <c r="V323">
        <f t="shared" si="50"/>
        <v>0</v>
      </c>
      <c r="AA323">
        <f t="shared" si="42"/>
        <v>0</v>
      </c>
      <c r="AL323" s="142"/>
    </row>
    <row r="324" spans="1:38" hidden="1" x14ac:dyDescent="0.2">
      <c r="A324" s="1700"/>
      <c r="B324" s="1698"/>
      <c r="C324" s="1712"/>
      <c r="D324" s="1699"/>
      <c r="E324" s="1699"/>
      <c r="F324" s="1699"/>
      <c r="G324" s="1699"/>
      <c r="H324" s="1699"/>
      <c r="I324" s="1706"/>
      <c r="J324" s="1706"/>
      <c r="K324" s="1713" t="str">
        <f t="shared" si="43"/>
        <v/>
      </c>
      <c r="L324">
        <f t="shared" si="44"/>
        <v>0</v>
      </c>
      <c r="Q324">
        <f t="shared" si="45"/>
        <v>0</v>
      </c>
      <c r="R324">
        <f t="shared" si="46"/>
        <v>0</v>
      </c>
      <c r="S324">
        <f t="shared" si="47"/>
        <v>0</v>
      </c>
      <c r="T324">
        <f t="shared" si="48"/>
        <v>0</v>
      </c>
      <c r="U324">
        <f t="shared" si="49"/>
        <v>0</v>
      </c>
      <c r="V324">
        <f t="shared" si="50"/>
        <v>0</v>
      </c>
      <c r="AA324">
        <f t="shared" si="42"/>
        <v>0</v>
      </c>
      <c r="AL324" s="142"/>
    </row>
    <row r="325" spans="1:38" hidden="1" x14ac:dyDescent="0.2">
      <c r="A325" s="1700"/>
      <c r="B325" s="1698"/>
      <c r="C325" s="1712"/>
      <c r="D325" s="1699"/>
      <c r="E325" s="1699"/>
      <c r="F325" s="1699"/>
      <c r="G325" s="1699"/>
      <c r="H325" s="1699"/>
      <c r="I325" s="1706"/>
      <c r="J325" s="1706"/>
      <c r="K325" s="1713" t="str">
        <f t="shared" si="43"/>
        <v/>
      </c>
      <c r="L325">
        <f t="shared" si="44"/>
        <v>0</v>
      </c>
      <c r="Q325">
        <f t="shared" si="45"/>
        <v>0</v>
      </c>
      <c r="R325">
        <f t="shared" si="46"/>
        <v>0</v>
      </c>
      <c r="S325">
        <f t="shared" si="47"/>
        <v>0</v>
      </c>
      <c r="T325">
        <f t="shared" si="48"/>
        <v>0</v>
      </c>
      <c r="U325">
        <f t="shared" si="49"/>
        <v>0</v>
      </c>
      <c r="V325">
        <f t="shared" si="50"/>
        <v>0</v>
      </c>
      <c r="AA325">
        <f t="shared" si="42"/>
        <v>0</v>
      </c>
      <c r="AL325" s="142"/>
    </row>
    <row r="326" spans="1:38" hidden="1" x14ac:dyDescent="0.2">
      <c r="A326" s="1700"/>
      <c r="B326" s="1698"/>
      <c r="C326" s="1712"/>
      <c r="D326" s="1699"/>
      <c r="E326" s="1699"/>
      <c r="F326" s="1699"/>
      <c r="G326" s="1699"/>
      <c r="H326" s="1699"/>
      <c r="I326" s="1706"/>
      <c r="J326" s="1706"/>
      <c r="K326" s="1713" t="str">
        <f t="shared" si="43"/>
        <v/>
      </c>
      <c r="L326">
        <f t="shared" si="44"/>
        <v>0</v>
      </c>
      <c r="Q326">
        <f t="shared" si="45"/>
        <v>0</v>
      </c>
      <c r="R326">
        <f t="shared" si="46"/>
        <v>0</v>
      </c>
      <c r="S326">
        <f t="shared" si="47"/>
        <v>0</v>
      </c>
      <c r="T326">
        <f t="shared" si="48"/>
        <v>0</v>
      </c>
      <c r="U326">
        <f t="shared" si="49"/>
        <v>0</v>
      </c>
      <c r="V326">
        <f t="shared" si="50"/>
        <v>0</v>
      </c>
      <c r="AA326">
        <f t="shared" si="42"/>
        <v>0</v>
      </c>
      <c r="AL326" s="142"/>
    </row>
    <row r="327" spans="1:38" hidden="1" x14ac:dyDescent="0.2">
      <c r="A327" s="1700"/>
      <c r="B327" s="1698"/>
      <c r="C327" s="1712"/>
      <c r="D327" s="1699"/>
      <c r="E327" s="1699"/>
      <c r="F327" s="1699"/>
      <c r="G327" s="1699"/>
      <c r="H327" s="1699"/>
      <c r="I327" s="1706"/>
      <c r="J327" s="1706"/>
      <c r="K327" s="1713" t="str">
        <f t="shared" si="43"/>
        <v/>
      </c>
      <c r="L327">
        <f t="shared" si="44"/>
        <v>0</v>
      </c>
      <c r="Q327">
        <f t="shared" si="45"/>
        <v>0</v>
      </c>
      <c r="R327">
        <f t="shared" si="46"/>
        <v>0</v>
      </c>
      <c r="S327">
        <f t="shared" si="47"/>
        <v>0</v>
      </c>
      <c r="T327">
        <f t="shared" si="48"/>
        <v>0</v>
      </c>
      <c r="U327">
        <f t="shared" si="49"/>
        <v>0</v>
      </c>
      <c r="V327">
        <f t="shared" si="50"/>
        <v>0</v>
      </c>
      <c r="AA327">
        <f t="shared" si="42"/>
        <v>0</v>
      </c>
      <c r="AL327" s="142"/>
    </row>
    <row r="328" spans="1:38" hidden="1" x14ac:dyDescent="0.2">
      <c r="A328" s="1700"/>
      <c r="B328" s="1698"/>
      <c r="C328" s="1712"/>
      <c r="D328" s="1699"/>
      <c r="E328" s="1699"/>
      <c r="F328" s="1699"/>
      <c r="G328" s="1699"/>
      <c r="H328" s="1699"/>
      <c r="I328" s="1706"/>
      <c r="J328" s="1706"/>
      <c r="K328" s="1713" t="str">
        <f t="shared" si="43"/>
        <v/>
      </c>
      <c r="L328">
        <f t="shared" si="44"/>
        <v>0</v>
      </c>
      <c r="Q328">
        <f t="shared" si="45"/>
        <v>0</v>
      </c>
      <c r="R328">
        <f t="shared" si="46"/>
        <v>0</v>
      </c>
      <c r="S328">
        <f t="shared" si="47"/>
        <v>0</v>
      </c>
      <c r="T328">
        <f t="shared" si="48"/>
        <v>0</v>
      </c>
      <c r="U328">
        <f t="shared" si="49"/>
        <v>0</v>
      </c>
      <c r="V328">
        <f t="shared" si="50"/>
        <v>0</v>
      </c>
      <c r="AA328">
        <f t="shared" si="42"/>
        <v>0</v>
      </c>
      <c r="AL328" s="142"/>
    </row>
    <row r="329" spans="1:38" hidden="1" x14ac:dyDescent="0.2">
      <c r="A329" s="1700"/>
      <c r="B329" s="1698"/>
      <c r="C329" s="1712"/>
      <c r="D329" s="1699"/>
      <c r="E329" s="1699"/>
      <c r="F329" s="1699"/>
      <c r="G329" s="1699"/>
      <c r="H329" s="1699"/>
      <c r="I329" s="1706"/>
      <c r="J329" s="1706"/>
      <c r="K329" s="1713" t="str">
        <f t="shared" si="43"/>
        <v/>
      </c>
      <c r="L329">
        <f t="shared" si="44"/>
        <v>0</v>
      </c>
      <c r="Q329">
        <f t="shared" si="45"/>
        <v>0</v>
      </c>
      <c r="R329">
        <f t="shared" si="46"/>
        <v>0</v>
      </c>
      <c r="S329">
        <f t="shared" si="47"/>
        <v>0</v>
      </c>
      <c r="T329">
        <f t="shared" si="48"/>
        <v>0</v>
      </c>
      <c r="U329">
        <f t="shared" si="49"/>
        <v>0</v>
      </c>
      <c r="V329">
        <f t="shared" si="50"/>
        <v>0</v>
      </c>
      <c r="AA329">
        <f t="shared" si="42"/>
        <v>0</v>
      </c>
      <c r="AL329" s="142"/>
    </row>
    <row r="330" spans="1:38" hidden="1" x14ac:dyDescent="0.2">
      <c r="A330" s="1700"/>
      <c r="B330" s="1698"/>
      <c r="C330" s="1712"/>
      <c r="D330" s="1699"/>
      <c r="E330" s="1699"/>
      <c r="F330" s="1699"/>
      <c r="G330" s="1699"/>
      <c r="H330" s="1699"/>
      <c r="I330" s="1706"/>
      <c r="J330" s="1706"/>
      <c r="K330" s="1713" t="str">
        <f t="shared" si="43"/>
        <v/>
      </c>
      <c r="L330">
        <f t="shared" si="44"/>
        <v>0</v>
      </c>
      <c r="Q330">
        <f t="shared" si="45"/>
        <v>0</v>
      </c>
      <c r="R330">
        <f t="shared" si="46"/>
        <v>0</v>
      </c>
      <c r="S330">
        <f t="shared" si="47"/>
        <v>0</v>
      </c>
      <c r="T330">
        <f t="shared" si="48"/>
        <v>0</v>
      </c>
      <c r="U330">
        <f t="shared" si="49"/>
        <v>0</v>
      </c>
      <c r="V330">
        <f t="shared" si="50"/>
        <v>0</v>
      </c>
      <c r="AA330">
        <f t="shared" si="42"/>
        <v>0</v>
      </c>
      <c r="AL330" s="142"/>
    </row>
    <row r="331" spans="1:38" hidden="1" x14ac:dyDescent="0.2">
      <c r="A331" s="1700"/>
      <c r="B331" s="1698"/>
      <c r="C331" s="1712"/>
      <c r="D331" s="1699"/>
      <c r="E331" s="1699"/>
      <c r="F331" s="1699"/>
      <c r="G331" s="1699"/>
      <c r="H331" s="1699"/>
      <c r="I331" s="1706"/>
      <c r="J331" s="1706"/>
      <c r="K331" s="1713" t="str">
        <f t="shared" si="43"/>
        <v/>
      </c>
      <c r="L331">
        <f t="shared" si="44"/>
        <v>0</v>
      </c>
      <c r="Q331">
        <f t="shared" si="45"/>
        <v>0</v>
      </c>
      <c r="R331">
        <f t="shared" si="46"/>
        <v>0</v>
      </c>
      <c r="S331">
        <f t="shared" si="47"/>
        <v>0</v>
      </c>
      <c r="T331">
        <f t="shared" si="48"/>
        <v>0</v>
      </c>
      <c r="U331">
        <f t="shared" si="49"/>
        <v>0</v>
      </c>
      <c r="V331">
        <f t="shared" si="50"/>
        <v>0</v>
      </c>
      <c r="AA331">
        <f t="shared" si="42"/>
        <v>0</v>
      </c>
      <c r="AL331" s="142"/>
    </row>
    <row r="332" spans="1:38" hidden="1" x14ac:dyDescent="0.2">
      <c r="A332" s="1700"/>
      <c r="B332" s="1698"/>
      <c r="C332" s="1712"/>
      <c r="D332" s="1699"/>
      <c r="E332" s="1699"/>
      <c r="F332" s="1699"/>
      <c r="G332" s="1699"/>
      <c r="H332" s="1699"/>
      <c r="I332" s="1706"/>
      <c r="J332" s="1706"/>
      <c r="K332" s="1713" t="str">
        <f t="shared" si="43"/>
        <v/>
      </c>
      <c r="L332">
        <f t="shared" si="44"/>
        <v>0</v>
      </c>
      <c r="Q332">
        <f t="shared" si="45"/>
        <v>0</v>
      </c>
      <c r="R332">
        <f t="shared" si="46"/>
        <v>0</v>
      </c>
      <c r="S332">
        <f t="shared" si="47"/>
        <v>0</v>
      </c>
      <c r="T332">
        <f t="shared" si="48"/>
        <v>0</v>
      </c>
      <c r="U332">
        <f t="shared" si="49"/>
        <v>0</v>
      </c>
      <c r="V332">
        <f t="shared" si="50"/>
        <v>0</v>
      </c>
      <c r="AA332">
        <f t="shared" si="42"/>
        <v>0</v>
      </c>
      <c r="AL332" s="142"/>
    </row>
    <row r="333" spans="1:38" hidden="1" x14ac:dyDescent="0.2">
      <c r="A333" s="1700"/>
      <c r="B333" s="1698"/>
      <c r="C333" s="1712"/>
      <c r="D333" s="1699"/>
      <c r="E333" s="1699"/>
      <c r="F333" s="1699"/>
      <c r="G333" s="1699"/>
      <c r="H333" s="1699"/>
      <c r="I333" s="1706"/>
      <c r="J333" s="1706"/>
      <c r="K333" s="1713" t="str">
        <f t="shared" si="43"/>
        <v/>
      </c>
      <c r="L333">
        <f t="shared" si="44"/>
        <v>0</v>
      </c>
      <c r="Q333">
        <f t="shared" si="45"/>
        <v>0</v>
      </c>
      <c r="R333">
        <f t="shared" si="46"/>
        <v>0</v>
      </c>
      <c r="S333">
        <f t="shared" si="47"/>
        <v>0</v>
      </c>
      <c r="T333">
        <f t="shared" si="48"/>
        <v>0</v>
      </c>
      <c r="U333">
        <f t="shared" si="49"/>
        <v>0</v>
      </c>
      <c r="V333">
        <f t="shared" si="50"/>
        <v>0</v>
      </c>
      <c r="AA333">
        <f t="shared" si="42"/>
        <v>0</v>
      </c>
      <c r="AL333" s="142"/>
    </row>
    <row r="334" spans="1:38" hidden="1" x14ac:dyDescent="0.2">
      <c r="A334" s="1700"/>
      <c r="B334" s="1698"/>
      <c r="C334" s="1712"/>
      <c r="D334" s="1699"/>
      <c r="E334" s="1699"/>
      <c r="F334" s="1699"/>
      <c r="G334" s="1699"/>
      <c r="H334" s="1699"/>
      <c r="I334" s="1706"/>
      <c r="J334" s="1706"/>
      <c r="K334" s="1713" t="str">
        <f t="shared" si="43"/>
        <v/>
      </c>
      <c r="L334">
        <f t="shared" si="44"/>
        <v>0</v>
      </c>
      <c r="Q334">
        <f t="shared" si="45"/>
        <v>0</v>
      </c>
      <c r="R334">
        <f t="shared" si="46"/>
        <v>0</v>
      </c>
      <c r="S334">
        <f t="shared" si="47"/>
        <v>0</v>
      </c>
      <c r="T334">
        <f t="shared" si="48"/>
        <v>0</v>
      </c>
      <c r="U334">
        <f t="shared" si="49"/>
        <v>0</v>
      </c>
      <c r="V334">
        <f t="shared" si="50"/>
        <v>0</v>
      </c>
      <c r="AA334">
        <f t="shared" si="42"/>
        <v>0</v>
      </c>
      <c r="AL334" s="142"/>
    </row>
    <row r="335" spans="1:38" hidden="1" x14ac:dyDescent="0.2">
      <c r="A335" s="1700"/>
      <c r="B335" s="1698"/>
      <c r="C335" s="1712"/>
      <c r="D335" s="1699"/>
      <c r="E335" s="1699"/>
      <c r="F335" s="1699"/>
      <c r="G335" s="1699"/>
      <c r="H335" s="1699"/>
      <c r="I335" s="1706"/>
      <c r="J335" s="1706"/>
      <c r="K335" s="1713" t="str">
        <f t="shared" si="43"/>
        <v/>
      </c>
      <c r="L335">
        <f t="shared" si="44"/>
        <v>0</v>
      </c>
      <c r="Q335">
        <f t="shared" si="45"/>
        <v>0</v>
      </c>
      <c r="R335">
        <f t="shared" si="46"/>
        <v>0</v>
      </c>
      <c r="S335">
        <f t="shared" si="47"/>
        <v>0</v>
      </c>
      <c r="T335">
        <f t="shared" si="48"/>
        <v>0</v>
      </c>
      <c r="U335">
        <f t="shared" si="49"/>
        <v>0</v>
      </c>
      <c r="V335">
        <f t="shared" si="50"/>
        <v>0</v>
      </c>
      <c r="AA335">
        <f t="shared" si="42"/>
        <v>0</v>
      </c>
      <c r="AL335" s="142"/>
    </row>
    <row r="336" spans="1:38" hidden="1" x14ac:dyDescent="0.2">
      <c r="A336" s="1700"/>
      <c r="B336" s="1698"/>
      <c r="C336" s="1712"/>
      <c r="D336" s="1699"/>
      <c r="E336" s="1699"/>
      <c r="F336" s="1699"/>
      <c r="G336" s="1699"/>
      <c r="H336" s="1699"/>
      <c r="I336" s="1706"/>
      <c r="J336" s="1706"/>
      <c r="K336" s="1713" t="str">
        <f t="shared" si="43"/>
        <v/>
      </c>
      <c r="L336">
        <f t="shared" si="44"/>
        <v>0</v>
      </c>
      <c r="Q336">
        <f t="shared" si="45"/>
        <v>0</v>
      </c>
      <c r="R336">
        <f t="shared" si="46"/>
        <v>0</v>
      </c>
      <c r="S336">
        <f t="shared" si="47"/>
        <v>0</v>
      </c>
      <c r="T336">
        <f t="shared" si="48"/>
        <v>0</v>
      </c>
      <c r="U336">
        <f t="shared" si="49"/>
        <v>0</v>
      </c>
      <c r="V336">
        <f t="shared" si="50"/>
        <v>0</v>
      </c>
      <c r="AA336">
        <f t="shared" si="42"/>
        <v>0</v>
      </c>
      <c r="AL336" s="142"/>
    </row>
    <row r="337" spans="1:38" hidden="1" x14ac:dyDescent="0.2">
      <c r="A337" s="1700"/>
      <c r="B337" s="1698"/>
      <c r="C337" s="1712"/>
      <c r="D337" s="1699"/>
      <c r="E337" s="1699"/>
      <c r="F337" s="1699"/>
      <c r="G337" s="1699"/>
      <c r="H337" s="1699"/>
      <c r="I337" s="1706"/>
      <c r="J337" s="1706"/>
      <c r="K337" s="1713" t="str">
        <f t="shared" si="43"/>
        <v/>
      </c>
      <c r="L337">
        <f t="shared" si="44"/>
        <v>0</v>
      </c>
      <c r="Q337">
        <f t="shared" si="45"/>
        <v>0</v>
      </c>
      <c r="R337">
        <f t="shared" si="46"/>
        <v>0</v>
      </c>
      <c r="S337">
        <f t="shared" si="47"/>
        <v>0</v>
      </c>
      <c r="T337">
        <f t="shared" si="48"/>
        <v>0</v>
      </c>
      <c r="U337">
        <f t="shared" si="49"/>
        <v>0</v>
      </c>
      <c r="V337">
        <f t="shared" si="50"/>
        <v>0</v>
      </c>
      <c r="AA337">
        <f t="shared" si="42"/>
        <v>0</v>
      </c>
      <c r="AL337" s="142"/>
    </row>
    <row r="338" spans="1:38" hidden="1" x14ac:dyDescent="0.2">
      <c r="A338" s="1700"/>
      <c r="B338" s="1698"/>
      <c r="C338" s="1712"/>
      <c r="D338" s="1699"/>
      <c r="E338" s="1699"/>
      <c r="F338" s="1699"/>
      <c r="G338" s="1699"/>
      <c r="H338" s="1699"/>
      <c r="I338" s="1706"/>
      <c r="J338" s="1706"/>
      <c r="K338" s="1713" t="str">
        <f t="shared" si="43"/>
        <v/>
      </c>
      <c r="L338">
        <f t="shared" si="44"/>
        <v>0</v>
      </c>
      <c r="Q338">
        <f t="shared" si="45"/>
        <v>0</v>
      </c>
      <c r="R338">
        <f t="shared" si="46"/>
        <v>0</v>
      </c>
      <c r="S338">
        <f t="shared" si="47"/>
        <v>0</v>
      </c>
      <c r="T338">
        <f t="shared" si="48"/>
        <v>0</v>
      </c>
      <c r="U338">
        <f t="shared" si="49"/>
        <v>0</v>
      </c>
      <c r="V338">
        <f t="shared" si="50"/>
        <v>0</v>
      </c>
      <c r="AA338">
        <f t="shared" si="42"/>
        <v>0</v>
      </c>
      <c r="AL338" s="142"/>
    </row>
    <row r="339" spans="1:38" hidden="1" x14ac:dyDescent="0.2">
      <c r="A339" s="1700"/>
      <c r="B339" s="1698"/>
      <c r="C339" s="1712"/>
      <c r="D339" s="1699"/>
      <c r="E339" s="1699"/>
      <c r="F339" s="1699"/>
      <c r="G339" s="1699"/>
      <c r="H339" s="1699"/>
      <c r="I339" s="1706"/>
      <c r="J339" s="1706"/>
      <c r="K339" s="1713" t="str">
        <f t="shared" si="43"/>
        <v/>
      </c>
      <c r="L339">
        <f t="shared" si="44"/>
        <v>0</v>
      </c>
      <c r="Q339">
        <f t="shared" si="45"/>
        <v>0</v>
      </c>
      <c r="R339">
        <f t="shared" si="46"/>
        <v>0</v>
      </c>
      <c r="S339">
        <f t="shared" si="47"/>
        <v>0</v>
      </c>
      <c r="T339">
        <f t="shared" si="48"/>
        <v>0</v>
      </c>
      <c r="U339">
        <f t="shared" si="49"/>
        <v>0</v>
      </c>
      <c r="V339">
        <f t="shared" si="50"/>
        <v>0</v>
      </c>
      <c r="AA339">
        <f t="shared" si="42"/>
        <v>0</v>
      </c>
      <c r="AL339" s="142"/>
    </row>
    <row r="340" spans="1:38" hidden="1" x14ac:dyDescent="0.2">
      <c r="A340" s="1700"/>
      <c r="B340" s="1698"/>
      <c r="C340" s="1712"/>
      <c r="D340" s="1699"/>
      <c r="E340" s="1699"/>
      <c r="F340" s="1699"/>
      <c r="G340" s="1699"/>
      <c r="H340" s="1699"/>
      <c r="I340" s="1706"/>
      <c r="J340" s="1706"/>
      <c r="K340" s="1713" t="str">
        <f t="shared" si="43"/>
        <v/>
      </c>
      <c r="L340">
        <f t="shared" si="44"/>
        <v>0</v>
      </c>
      <c r="Q340">
        <f t="shared" si="45"/>
        <v>0</v>
      </c>
      <c r="R340">
        <f t="shared" si="46"/>
        <v>0</v>
      </c>
      <c r="S340">
        <f t="shared" si="47"/>
        <v>0</v>
      </c>
      <c r="T340">
        <f t="shared" si="48"/>
        <v>0</v>
      </c>
      <c r="U340">
        <f t="shared" si="49"/>
        <v>0</v>
      </c>
      <c r="V340">
        <f t="shared" si="50"/>
        <v>0</v>
      </c>
      <c r="AA340">
        <f t="shared" si="42"/>
        <v>0</v>
      </c>
      <c r="AL340" s="142"/>
    </row>
    <row r="341" spans="1:38" hidden="1" x14ac:dyDescent="0.2">
      <c r="A341" s="1700"/>
      <c r="B341" s="1698"/>
      <c r="C341" s="1712"/>
      <c r="D341" s="1699"/>
      <c r="E341" s="1699"/>
      <c r="F341" s="1699"/>
      <c r="G341" s="1699"/>
      <c r="H341" s="1699"/>
      <c r="I341" s="1706"/>
      <c r="J341" s="1706"/>
      <c r="K341" s="1713" t="str">
        <f t="shared" si="43"/>
        <v/>
      </c>
      <c r="L341">
        <f t="shared" si="44"/>
        <v>0</v>
      </c>
      <c r="Q341">
        <f t="shared" si="45"/>
        <v>0</v>
      </c>
      <c r="R341">
        <f t="shared" si="46"/>
        <v>0</v>
      </c>
      <c r="S341">
        <f t="shared" si="47"/>
        <v>0</v>
      </c>
      <c r="T341">
        <f t="shared" si="48"/>
        <v>0</v>
      </c>
      <c r="U341">
        <f t="shared" si="49"/>
        <v>0</v>
      </c>
      <c r="V341">
        <f t="shared" si="50"/>
        <v>0</v>
      </c>
      <c r="AA341">
        <f t="shared" si="42"/>
        <v>0</v>
      </c>
      <c r="AL341" s="142"/>
    </row>
    <row r="342" spans="1:38" hidden="1" x14ac:dyDescent="0.2">
      <c r="A342" s="1700"/>
      <c r="B342" s="1698"/>
      <c r="C342" s="1712"/>
      <c r="D342" s="1699"/>
      <c r="E342" s="1699"/>
      <c r="F342" s="1699"/>
      <c r="G342" s="1699"/>
      <c r="H342" s="1699"/>
      <c r="I342" s="1706"/>
      <c r="J342" s="1706"/>
      <c r="K342" s="1713" t="str">
        <f t="shared" si="43"/>
        <v/>
      </c>
      <c r="L342">
        <f t="shared" si="44"/>
        <v>0</v>
      </c>
      <c r="Q342">
        <f t="shared" si="45"/>
        <v>0</v>
      </c>
      <c r="R342">
        <f t="shared" si="46"/>
        <v>0</v>
      </c>
      <c r="S342">
        <f t="shared" si="47"/>
        <v>0</v>
      </c>
      <c r="T342">
        <f t="shared" si="48"/>
        <v>0</v>
      </c>
      <c r="U342">
        <f t="shared" si="49"/>
        <v>0</v>
      </c>
      <c r="V342">
        <f t="shared" si="50"/>
        <v>0</v>
      </c>
      <c r="AA342">
        <f t="shared" si="42"/>
        <v>0</v>
      </c>
      <c r="AL342" s="142"/>
    </row>
    <row r="343" spans="1:38" hidden="1" x14ac:dyDescent="0.2">
      <c r="A343" s="1700"/>
      <c r="B343" s="1698"/>
      <c r="C343" s="1712"/>
      <c r="D343" s="1699"/>
      <c r="E343" s="1699"/>
      <c r="F343" s="1699"/>
      <c r="G343" s="1699"/>
      <c r="H343" s="1699"/>
      <c r="I343" s="1706"/>
      <c r="J343" s="1706"/>
      <c r="K343" s="1713" t="str">
        <f t="shared" si="43"/>
        <v/>
      </c>
      <c r="L343">
        <f t="shared" si="44"/>
        <v>0</v>
      </c>
      <c r="Q343">
        <f t="shared" si="45"/>
        <v>0</v>
      </c>
      <c r="R343">
        <f t="shared" si="46"/>
        <v>0</v>
      </c>
      <c r="S343">
        <f t="shared" si="47"/>
        <v>0</v>
      </c>
      <c r="T343">
        <f t="shared" si="48"/>
        <v>0</v>
      </c>
      <c r="U343">
        <f t="shared" si="49"/>
        <v>0</v>
      </c>
      <c r="V343">
        <f t="shared" si="50"/>
        <v>0</v>
      </c>
      <c r="AA343">
        <f t="shared" si="42"/>
        <v>0</v>
      </c>
      <c r="AL343" s="142"/>
    </row>
    <row r="344" spans="1:38" hidden="1" x14ac:dyDescent="0.2">
      <c r="A344" s="1700"/>
      <c r="B344" s="1698"/>
      <c r="C344" s="1712"/>
      <c r="D344" s="1699"/>
      <c r="E344" s="1699"/>
      <c r="F344" s="1699"/>
      <c r="G344" s="1699"/>
      <c r="H344" s="1699"/>
      <c r="I344" s="1706"/>
      <c r="J344" s="1706"/>
      <c r="K344" s="1713" t="str">
        <f t="shared" si="43"/>
        <v/>
      </c>
      <c r="L344">
        <f t="shared" si="44"/>
        <v>0</v>
      </c>
      <c r="Q344">
        <f t="shared" si="45"/>
        <v>0</v>
      </c>
      <c r="R344">
        <f t="shared" si="46"/>
        <v>0</v>
      </c>
      <c r="S344">
        <f t="shared" si="47"/>
        <v>0</v>
      </c>
      <c r="T344">
        <f t="shared" si="48"/>
        <v>0</v>
      </c>
      <c r="U344">
        <f t="shared" si="49"/>
        <v>0</v>
      </c>
      <c r="V344">
        <f t="shared" si="50"/>
        <v>0</v>
      </c>
      <c r="AA344">
        <f t="shared" si="42"/>
        <v>0</v>
      </c>
      <c r="AL344" s="142"/>
    </row>
    <row r="345" spans="1:38" hidden="1" x14ac:dyDescent="0.2">
      <c r="A345" s="1700"/>
      <c r="B345" s="1698"/>
      <c r="C345" s="1712"/>
      <c r="D345" s="1699"/>
      <c r="E345" s="1699"/>
      <c r="F345" s="1699"/>
      <c r="G345" s="1699"/>
      <c r="H345" s="1699"/>
      <c r="I345" s="1706"/>
      <c r="J345" s="1706"/>
      <c r="K345" s="1713" t="str">
        <f t="shared" si="43"/>
        <v/>
      </c>
      <c r="L345">
        <f t="shared" si="44"/>
        <v>0</v>
      </c>
      <c r="Q345">
        <f t="shared" si="45"/>
        <v>0</v>
      </c>
      <c r="R345">
        <f t="shared" si="46"/>
        <v>0</v>
      </c>
      <c r="S345">
        <f t="shared" si="47"/>
        <v>0</v>
      </c>
      <c r="T345">
        <f t="shared" si="48"/>
        <v>0</v>
      </c>
      <c r="U345">
        <f t="shared" si="49"/>
        <v>0</v>
      </c>
      <c r="V345">
        <f t="shared" si="50"/>
        <v>0</v>
      </c>
      <c r="AA345">
        <f t="shared" ref="AA345:AA408" si="51">IF(ISERROR(VLOOKUP($B345,eu_countries,1,FALSE))=TRUE,0,1)</f>
      </c>
      <c r="AL345" s="142"/>
    </row>
    <row r="346" spans="1:38" hidden="1" x14ac:dyDescent="0.2">
      <c r="A346" s="1700"/>
      <c r="B346" s="1698"/>
      <c r="C346" s="1712"/>
      <c r="D346" s="1699"/>
      <c r="E346" s="1699"/>
      <c r="F346" s="1699"/>
      <c r="G346" s="1699"/>
      <c r="H346" s="1699"/>
      <c r="I346" s="1706"/>
      <c r="J346" s="1706"/>
      <c r="K346" s="1713" t="str">
        <f t="shared" ref="K346:K409" si="52">IF(AND(AA346=1,A346=$S$59),"TIN required!",IF(Q346&gt;R346," All details required!",""))</f>
        <v/>
      </c>
      <c r="L346">
        <f t="shared" ref="L346:L409" si="53">IF(K346="",0,1)</f>
      </c>
      <c r="Q346">
        <f t="shared" ref="Q346:Q409" si="54">IF(AND(G340="Yes",R346=0),7,IF(S346=0,0,IF(A346=$S$59,10,7)))</f>
      </c>
      <c r="R346">
        <f t="shared" ref="R346:R409" si="55">IF(AND(AA346=0,A346=$S$59),T346+U346+V346,T346+V346)</f>
      </c>
      <c r="S346">
        <f t="shared" ref="S346:S409" si="56">SUM(T346:V346)</f>
      </c>
      <c r="T346">
        <f t="shared" ref="T346:T409" si="57">COUNTA(A346:B346)</f>
      </c>
      <c r="U346">
        <f t="shared" ref="U346:U409" si="58">COUNTA(C346:E346)</f>
      </c>
      <c r="V346">
        <f t="shared" ref="V346:V409" si="59">COUNTA(F346:J346)</f>
      </c>
      <c r="AA346">
        <f t="shared" si="51"/>
        <v>0</v>
      </c>
      <c r="AL346" s="142"/>
    </row>
    <row r="347" spans="1:38" hidden="1" x14ac:dyDescent="0.2">
      <c r="A347" s="1700"/>
      <c r="B347" s="1698"/>
      <c r="C347" s="1712"/>
      <c r="D347" s="1699"/>
      <c r="E347" s="1699"/>
      <c r="F347" s="1699"/>
      <c r="G347" s="1699"/>
      <c r="H347" s="1699"/>
      <c r="I347" s="1706"/>
      <c r="J347" s="1706"/>
      <c r="K347" s="1713" t="str">
        <f t="shared" si="52"/>
        <v/>
      </c>
      <c r="L347">
        <f t="shared" si="53"/>
        <v>0</v>
      </c>
      <c r="Q347">
        <f t="shared" si="54"/>
        <v>0</v>
      </c>
      <c r="R347">
        <f t="shared" si="55"/>
        <v>0</v>
      </c>
      <c r="S347">
        <f t="shared" si="56"/>
        <v>0</v>
      </c>
      <c r="T347">
        <f t="shared" si="57"/>
        <v>0</v>
      </c>
      <c r="U347">
        <f t="shared" si="58"/>
        <v>0</v>
      </c>
      <c r="V347">
        <f t="shared" si="59"/>
        <v>0</v>
      </c>
      <c r="AA347">
        <f t="shared" si="51"/>
        <v>0</v>
      </c>
      <c r="AL347" s="142"/>
    </row>
    <row r="348" spans="1:38" hidden="1" x14ac:dyDescent="0.2">
      <c r="A348" s="1700"/>
      <c r="B348" s="1698"/>
      <c r="C348" s="1712"/>
      <c r="D348" s="1699"/>
      <c r="E348" s="1699"/>
      <c r="F348" s="1699"/>
      <c r="G348" s="1699"/>
      <c r="H348" s="1699"/>
      <c r="I348" s="1706"/>
      <c r="J348" s="1706"/>
      <c r="K348" s="1713" t="str">
        <f t="shared" si="52"/>
        <v/>
      </c>
      <c r="L348">
        <f t="shared" si="53"/>
        <v>0</v>
      </c>
      <c r="Q348">
        <f t="shared" si="54"/>
        <v>0</v>
      </c>
      <c r="R348">
        <f t="shared" si="55"/>
        <v>0</v>
      </c>
      <c r="S348">
        <f t="shared" si="56"/>
        <v>0</v>
      </c>
      <c r="T348">
        <f t="shared" si="57"/>
        <v>0</v>
      </c>
      <c r="U348">
        <f t="shared" si="58"/>
        <v>0</v>
      </c>
      <c r="V348">
        <f t="shared" si="59"/>
        <v>0</v>
      </c>
      <c r="AA348">
        <f t="shared" si="51"/>
        <v>0</v>
      </c>
      <c r="AL348" s="142"/>
    </row>
    <row r="349" spans="1:38" hidden="1" x14ac:dyDescent="0.2">
      <c r="A349" s="1700"/>
      <c r="B349" s="1698"/>
      <c r="C349" s="1712"/>
      <c r="D349" s="1699"/>
      <c r="E349" s="1699"/>
      <c r="F349" s="1699"/>
      <c r="G349" s="1699"/>
      <c r="H349" s="1699"/>
      <c r="I349" s="1706"/>
      <c r="J349" s="1706"/>
      <c r="K349" s="1713" t="str">
        <f t="shared" si="52"/>
        <v/>
      </c>
      <c r="L349">
        <f t="shared" si="53"/>
        <v>0</v>
      </c>
      <c r="Q349">
        <f t="shared" si="54"/>
        <v>0</v>
      </c>
      <c r="R349">
        <f t="shared" si="55"/>
        <v>0</v>
      </c>
      <c r="S349">
        <f t="shared" si="56"/>
        <v>0</v>
      </c>
      <c r="T349">
        <f t="shared" si="57"/>
        <v>0</v>
      </c>
      <c r="U349">
        <f t="shared" si="58"/>
        <v>0</v>
      </c>
      <c r="V349">
        <f t="shared" si="59"/>
        <v>0</v>
      </c>
      <c r="AA349">
        <f t="shared" si="51"/>
        <v>0</v>
      </c>
      <c r="AL349" s="142"/>
    </row>
    <row r="350" spans="1:38" hidden="1" x14ac:dyDescent="0.2">
      <c r="A350" s="1700"/>
      <c r="B350" s="1698"/>
      <c r="C350" s="1712"/>
      <c r="D350" s="1699"/>
      <c r="E350" s="1699"/>
      <c r="F350" s="1699"/>
      <c r="G350" s="1699"/>
      <c r="H350" s="1699"/>
      <c r="I350" s="1706"/>
      <c r="J350" s="1706"/>
      <c r="K350" s="1713" t="str">
        <f t="shared" si="52"/>
        <v/>
      </c>
      <c r="L350">
        <f t="shared" si="53"/>
        <v>0</v>
      </c>
      <c r="Q350">
        <f t="shared" si="54"/>
        <v>0</v>
      </c>
      <c r="R350">
        <f t="shared" si="55"/>
        <v>0</v>
      </c>
      <c r="S350">
        <f t="shared" si="56"/>
        <v>0</v>
      </c>
      <c r="T350">
        <f t="shared" si="57"/>
        <v>0</v>
      </c>
      <c r="U350">
        <f t="shared" si="58"/>
        <v>0</v>
      </c>
      <c r="V350">
        <f t="shared" si="59"/>
        <v>0</v>
      </c>
      <c r="AA350">
        <f t="shared" si="51"/>
        <v>0</v>
      </c>
      <c r="AL350" s="142"/>
    </row>
    <row r="351" spans="1:38" hidden="1" x14ac:dyDescent="0.2">
      <c r="A351" s="1700"/>
      <c r="B351" s="1698"/>
      <c r="C351" s="1712"/>
      <c r="D351" s="1699"/>
      <c r="E351" s="1699"/>
      <c r="F351" s="1699"/>
      <c r="G351" s="1699"/>
      <c r="H351" s="1699"/>
      <c r="I351" s="1706"/>
      <c r="J351" s="1706"/>
      <c r="K351" s="1713" t="str">
        <f t="shared" si="52"/>
        <v/>
      </c>
      <c r="L351">
        <f t="shared" si="53"/>
        <v>0</v>
      </c>
      <c r="Q351">
        <f t="shared" si="54"/>
        <v>0</v>
      </c>
      <c r="R351">
        <f t="shared" si="55"/>
        <v>0</v>
      </c>
      <c r="S351">
        <f t="shared" si="56"/>
        <v>0</v>
      </c>
      <c r="T351">
        <f t="shared" si="57"/>
        <v>0</v>
      </c>
      <c r="U351">
        <f t="shared" si="58"/>
        <v>0</v>
      </c>
      <c r="V351">
        <f t="shared" si="59"/>
        <v>0</v>
      </c>
      <c r="AA351">
        <f t="shared" si="51"/>
        <v>0</v>
      </c>
      <c r="AL351" s="142"/>
    </row>
    <row r="352" spans="1:38" hidden="1" x14ac:dyDescent="0.2">
      <c r="A352" s="1700"/>
      <c r="B352" s="1698"/>
      <c r="C352" s="1712"/>
      <c r="D352" s="1699"/>
      <c r="E352" s="1699"/>
      <c r="F352" s="1699"/>
      <c r="G352" s="1699"/>
      <c r="H352" s="1699"/>
      <c r="I352" s="1706"/>
      <c r="J352" s="1706"/>
      <c r="K352" s="1713" t="str">
        <f t="shared" si="52"/>
        <v/>
      </c>
      <c r="L352">
        <f t="shared" si="53"/>
        <v>0</v>
      </c>
      <c r="Q352">
        <f t="shared" si="54"/>
        <v>0</v>
      </c>
      <c r="R352">
        <f t="shared" si="55"/>
        <v>0</v>
      </c>
      <c r="S352">
        <f t="shared" si="56"/>
        <v>0</v>
      </c>
      <c r="T352">
        <f t="shared" si="57"/>
        <v>0</v>
      </c>
      <c r="U352">
        <f t="shared" si="58"/>
        <v>0</v>
      </c>
      <c r="V352">
        <f t="shared" si="59"/>
        <v>0</v>
      </c>
      <c r="AA352">
        <f t="shared" si="51"/>
        <v>0</v>
      </c>
      <c r="AL352" s="142"/>
    </row>
    <row r="353" spans="1:38" hidden="1" x14ac:dyDescent="0.2">
      <c r="A353" s="1700"/>
      <c r="B353" s="1698"/>
      <c r="C353" s="1712"/>
      <c r="D353" s="1699"/>
      <c r="E353" s="1699"/>
      <c r="F353" s="1699"/>
      <c r="G353" s="1699"/>
      <c r="H353" s="1699"/>
      <c r="I353" s="1706"/>
      <c r="J353" s="1706"/>
      <c r="K353" s="1713" t="str">
        <f t="shared" si="52"/>
        <v/>
      </c>
      <c r="L353">
        <f t="shared" si="53"/>
        <v>0</v>
      </c>
      <c r="Q353">
        <f t="shared" si="54"/>
        <v>0</v>
      </c>
      <c r="R353">
        <f t="shared" si="55"/>
        <v>0</v>
      </c>
      <c r="S353">
        <f t="shared" si="56"/>
        <v>0</v>
      </c>
      <c r="T353">
        <f t="shared" si="57"/>
        <v>0</v>
      </c>
      <c r="U353">
        <f t="shared" si="58"/>
        <v>0</v>
      </c>
      <c r="V353">
        <f t="shared" si="59"/>
        <v>0</v>
      </c>
      <c r="AA353">
        <f t="shared" si="51"/>
        <v>0</v>
      </c>
      <c r="AL353" s="142"/>
    </row>
    <row r="354" spans="1:38" hidden="1" x14ac:dyDescent="0.2">
      <c r="A354" s="1700"/>
      <c r="B354" s="1698"/>
      <c r="C354" s="1712"/>
      <c r="D354" s="1699"/>
      <c r="E354" s="1699"/>
      <c r="F354" s="1699"/>
      <c r="G354" s="1699"/>
      <c r="H354" s="1699"/>
      <c r="I354" s="1706"/>
      <c r="J354" s="1706"/>
      <c r="K354" s="1713" t="str">
        <f t="shared" si="52"/>
        <v/>
      </c>
      <c r="L354">
        <f t="shared" si="53"/>
        <v>0</v>
      </c>
      <c r="Q354">
        <f t="shared" si="54"/>
        <v>0</v>
      </c>
      <c r="R354">
        <f t="shared" si="55"/>
        <v>0</v>
      </c>
      <c r="S354">
        <f t="shared" si="56"/>
        <v>0</v>
      </c>
      <c r="T354">
        <f t="shared" si="57"/>
        <v>0</v>
      </c>
      <c r="U354">
        <f t="shared" si="58"/>
        <v>0</v>
      </c>
      <c r="V354">
        <f t="shared" si="59"/>
        <v>0</v>
      </c>
      <c r="AA354">
        <f t="shared" si="51"/>
        <v>0</v>
      </c>
      <c r="AL354" s="142"/>
    </row>
    <row r="355" spans="1:38" hidden="1" x14ac:dyDescent="0.2">
      <c r="A355" s="1700"/>
      <c r="B355" s="1698"/>
      <c r="C355" s="1712"/>
      <c r="D355" s="1699"/>
      <c r="E355" s="1699"/>
      <c r="F355" s="1699"/>
      <c r="G355" s="1699"/>
      <c r="H355" s="1699"/>
      <c r="I355" s="1706"/>
      <c r="J355" s="1706"/>
      <c r="K355" s="1713" t="str">
        <f t="shared" si="52"/>
        <v/>
      </c>
      <c r="L355">
        <f t="shared" si="53"/>
        <v>0</v>
      </c>
      <c r="Q355">
        <f t="shared" si="54"/>
        <v>0</v>
      </c>
      <c r="R355">
        <f t="shared" si="55"/>
        <v>0</v>
      </c>
      <c r="S355">
        <f t="shared" si="56"/>
        <v>0</v>
      </c>
      <c r="T355">
        <f t="shared" si="57"/>
        <v>0</v>
      </c>
      <c r="U355">
        <f t="shared" si="58"/>
        <v>0</v>
      </c>
      <c r="V355">
        <f t="shared" si="59"/>
        <v>0</v>
      </c>
      <c r="AA355">
        <f t="shared" si="51"/>
        <v>0</v>
      </c>
      <c r="AL355" s="142"/>
    </row>
    <row r="356" spans="1:38" hidden="1" x14ac:dyDescent="0.2">
      <c r="A356" s="1700"/>
      <c r="B356" s="1698"/>
      <c r="C356" s="1712"/>
      <c r="D356" s="1699"/>
      <c r="E356" s="1699"/>
      <c r="F356" s="1699"/>
      <c r="G356" s="1699"/>
      <c r="H356" s="1699"/>
      <c r="I356" s="1706"/>
      <c r="J356" s="1706"/>
      <c r="K356" s="1713" t="str">
        <f t="shared" si="52"/>
        <v/>
      </c>
      <c r="L356">
        <f t="shared" si="53"/>
        <v>0</v>
      </c>
      <c r="Q356">
        <f t="shared" si="54"/>
        <v>0</v>
      </c>
      <c r="R356">
        <f t="shared" si="55"/>
        <v>0</v>
      </c>
      <c r="S356">
        <f t="shared" si="56"/>
        <v>0</v>
      </c>
      <c r="T356">
        <f t="shared" si="57"/>
        <v>0</v>
      </c>
      <c r="U356">
        <f t="shared" si="58"/>
        <v>0</v>
      </c>
      <c r="V356">
        <f t="shared" si="59"/>
        <v>0</v>
      </c>
      <c r="AA356">
        <f t="shared" si="51"/>
        <v>0</v>
      </c>
      <c r="AL356" s="142"/>
    </row>
    <row r="357" spans="1:38" hidden="1" x14ac:dyDescent="0.2">
      <c r="A357" s="1700"/>
      <c r="B357" s="1698"/>
      <c r="C357" s="1712"/>
      <c r="D357" s="1699"/>
      <c r="E357" s="1699"/>
      <c r="F357" s="1699"/>
      <c r="G357" s="1699"/>
      <c r="H357" s="1699"/>
      <c r="I357" s="1706"/>
      <c r="J357" s="1706"/>
      <c r="K357" s="1713" t="str">
        <f t="shared" si="52"/>
        <v/>
      </c>
      <c r="L357">
        <f t="shared" si="53"/>
        <v>0</v>
      </c>
      <c r="Q357">
        <f t="shared" si="54"/>
        <v>0</v>
      </c>
      <c r="R357">
        <f t="shared" si="55"/>
        <v>0</v>
      </c>
      <c r="S357">
        <f t="shared" si="56"/>
        <v>0</v>
      </c>
      <c r="T357">
        <f t="shared" si="57"/>
        <v>0</v>
      </c>
      <c r="U357">
        <f t="shared" si="58"/>
        <v>0</v>
      </c>
      <c r="V357">
        <f t="shared" si="59"/>
        <v>0</v>
      </c>
      <c r="AA357">
        <f t="shared" si="51"/>
        <v>0</v>
      </c>
      <c r="AL357" s="142"/>
    </row>
    <row r="358" spans="1:38" hidden="1" x14ac:dyDescent="0.2">
      <c r="A358" s="1700"/>
      <c r="B358" s="1698"/>
      <c r="C358" s="1712"/>
      <c r="D358" s="1699"/>
      <c r="E358" s="1699"/>
      <c r="F358" s="1699"/>
      <c r="G358" s="1699"/>
      <c r="H358" s="1699"/>
      <c r="I358" s="1706"/>
      <c r="J358" s="1706"/>
      <c r="K358" s="1713" t="str">
        <f t="shared" si="52"/>
        <v/>
      </c>
      <c r="L358">
        <f t="shared" si="53"/>
        <v>0</v>
      </c>
      <c r="Q358">
        <f t="shared" si="54"/>
        <v>0</v>
      </c>
      <c r="R358">
        <f t="shared" si="55"/>
        <v>0</v>
      </c>
      <c r="S358">
        <f t="shared" si="56"/>
        <v>0</v>
      </c>
      <c r="T358">
        <f t="shared" si="57"/>
        <v>0</v>
      </c>
      <c r="U358">
        <f t="shared" si="58"/>
        <v>0</v>
      </c>
      <c r="V358">
        <f t="shared" si="59"/>
        <v>0</v>
      </c>
      <c r="AA358">
        <f t="shared" si="51"/>
        <v>0</v>
      </c>
      <c r="AL358" s="142"/>
    </row>
    <row r="359" spans="1:38" hidden="1" x14ac:dyDescent="0.2">
      <c r="A359" s="1700"/>
      <c r="B359" s="1698"/>
      <c r="C359" s="1712"/>
      <c r="D359" s="1699"/>
      <c r="E359" s="1699"/>
      <c r="F359" s="1699"/>
      <c r="G359" s="1699"/>
      <c r="H359" s="1699"/>
      <c r="I359" s="1706"/>
      <c r="J359" s="1706"/>
      <c r="K359" s="1713" t="str">
        <f t="shared" si="52"/>
        <v/>
      </c>
      <c r="L359">
        <f t="shared" si="53"/>
        <v>0</v>
      </c>
      <c r="Q359">
        <f t="shared" si="54"/>
        <v>0</v>
      </c>
      <c r="R359">
        <f t="shared" si="55"/>
        <v>0</v>
      </c>
      <c r="S359">
        <f t="shared" si="56"/>
        <v>0</v>
      </c>
      <c r="T359">
        <f t="shared" si="57"/>
        <v>0</v>
      </c>
      <c r="U359">
        <f t="shared" si="58"/>
        <v>0</v>
      </c>
      <c r="V359">
        <f t="shared" si="59"/>
        <v>0</v>
      </c>
      <c r="AA359">
        <f t="shared" si="51"/>
        <v>0</v>
      </c>
      <c r="AL359" s="142"/>
    </row>
    <row r="360" spans="1:38" hidden="1" x14ac:dyDescent="0.2">
      <c r="A360" s="1700"/>
      <c r="B360" s="1698"/>
      <c r="C360" s="1712"/>
      <c r="D360" s="1699"/>
      <c r="E360" s="1699"/>
      <c r="F360" s="1699"/>
      <c r="G360" s="1699"/>
      <c r="H360" s="1699"/>
      <c r="I360" s="1706"/>
      <c r="J360" s="1706"/>
      <c r="K360" s="1713" t="str">
        <f t="shared" si="52"/>
        <v/>
      </c>
      <c r="L360">
        <f t="shared" si="53"/>
        <v>0</v>
      </c>
      <c r="Q360">
        <f t="shared" si="54"/>
        <v>0</v>
      </c>
      <c r="R360">
        <f t="shared" si="55"/>
        <v>0</v>
      </c>
      <c r="S360">
        <f t="shared" si="56"/>
        <v>0</v>
      </c>
      <c r="T360">
        <f t="shared" si="57"/>
        <v>0</v>
      </c>
      <c r="U360">
        <f t="shared" si="58"/>
        <v>0</v>
      </c>
      <c r="V360">
        <f t="shared" si="59"/>
        <v>0</v>
      </c>
      <c r="AA360">
        <f t="shared" si="51"/>
        <v>0</v>
      </c>
      <c r="AL360" s="142"/>
    </row>
    <row r="361" spans="1:38" hidden="1" x14ac:dyDescent="0.2">
      <c r="A361" s="1700"/>
      <c r="B361" s="1698"/>
      <c r="C361" s="1712"/>
      <c r="D361" s="1699"/>
      <c r="E361" s="1699"/>
      <c r="F361" s="1699"/>
      <c r="G361" s="1699"/>
      <c r="H361" s="1699"/>
      <c r="I361" s="1706"/>
      <c r="J361" s="1706"/>
      <c r="K361" s="1713" t="str">
        <f t="shared" si="52"/>
        <v/>
      </c>
      <c r="L361">
        <f t="shared" si="53"/>
        <v>0</v>
      </c>
      <c r="Q361">
        <f t="shared" si="54"/>
        <v>0</v>
      </c>
      <c r="R361">
        <f t="shared" si="55"/>
        <v>0</v>
      </c>
      <c r="S361">
        <f t="shared" si="56"/>
        <v>0</v>
      </c>
      <c r="T361">
        <f t="shared" si="57"/>
        <v>0</v>
      </c>
      <c r="U361">
        <f t="shared" si="58"/>
        <v>0</v>
      </c>
      <c r="V361">
        <f t="shared" si="59"/>
        <v>0</v>
      </c>
      <c r="AA361">
        <f t="shared" si="51"/>
        <v>0</v>
      </c>
      <c r="AL361" s="142"/>
    </row>
    <row r="362" spans="1:38" hidden="1" x14ac:dyDescent="0.2">
      <c r="A362" s="1700"/>
      <c r="B362" s="1698"/>
      <c r="C362" s="1712"/>
      <c r="D362" s="1699"/>
      <c r="E362" s="1699"/>
      <c r="F362" s="1699"/>
      <c r="G362" s="1699"/>
      <c r="H362" s="1699"/>
      <c r="I362" s="1706"/>
      <c r="J362" s="1706"/>
      <c r="K362" s="1713" t="str">
        <f t="shared" si="52"/>
        <v/>
      </c>
      <c r="L362">
        <f t="shared" si="53"/>
        <v>0</v>
      </c>
      <c r="Q362">
        <f t="shared" si="54"/>
        <v>0</v>
      </c>
      <c r="R362">
        <f t="shared" si="55"/>
        <v>0</v>
      </c>
      <c r="S362">
        <f t="shared" si="56"/>
        <v>0</v>
      </c>
      <c r="T362">
        <f t="shared" si="57"/>
        <v>0</v>
      </c>
      <c r="U362">
        <f t="shared" si="58"/>
        <v>0</v>
      </c>
      <c r="V362">
        <f t="shared" si="59"/>
        <v>0</v>
      </c>
      <c r="AA362">
        <f t="shared" si="51"/>
        <v>0</v>
      </c>
      <c r="AL362" s="142"/>
    </row>
    <row r="363" spans="1:38" hidden="1" x14ac:dyDescent="0.2">
      <c r="A363" s="1700"/>
      <c r="B363" s="1698"/>
      <c r="C363" s="1712"/>
      <c r="D363" s="1699"/>
      <c r="E363" s="1699"/>
      <c r="F363" s="1699"/>
      <c r="G363" s="1699"/>
      <c r="H363" s="1699"/>
      <c r="I363" s="1706"/>
      <c r="J363" s="1706"/>
      <c r="K363" s="1713" t="str">
        <f t="shared" si="52"/>
        <v/>
      </c>
      <c r="L363">
        <f t="shared" si="53"/>
        <v>0</v>
      </c>
      <c r="Q363">
        <f t="shared" si="54"/>
        <v>0</v>
      </c>
      <c r="R363">
        <f t="shared" si="55"/>
        <v>0</v>
      </c>
      <c r="S363">
        <f t="shared" si="56"/>
        <v>0</v>
      </c>
      <c r="T363">
        <f t="shared" si="57"/>
        <v>0</v>
      </c>
      <c r="U363">
        <f t="shared" si="58"/>
        <v>0</v>
      </c>
      <c r="V363">
        <f t="shared" si="59"/>
        <v>0</v>
      </c>
      <c r="AA363">
        <f t="shared" si="51"/>
        <v>0</v>
      </c>
      <c r="AL363" s="142"/>
    </row>
    <row r="364" spans="1:38" hidden="1" x14ac:dyDescent="0.2">
      <c r="A364" s="1700"/>
      <c r="B364" s="1698"/>
      <c r="C364" s="1712"/>
      <c r="D364" s="1699"/>
      <c r="E364" s="1699"/>
      <c r="F364" s="1699"/>
      <c r="G364" s="1699"/>
      <c r="H364" s="1699"/>
      <c r="I364" s="1706"/>
      <c r="J364" s="1706"/>
      <c r="K364" s="1713" t="str">
        <f t="shared" si="52"/>
        <v/>
      </c>
      <c r="L364">
        <f t="shared" si="53"/>
        <v>0</v>
      </c>
      <c r="Q364">
        <f t="shared" si="54"/>
        <v>0</v>
      </c>
      <c r="R364">
        <f t="shared" si="55"/>
        <v>0</v>
      </c>
      <c r="S364">
        <f t="shared" si="56"/>
        <v>0</v>
      </c>
      <c r="T364">
        <f t="shared" si="57"/>
        <v>0</v>
      </c>
      <c r="U364">
        <f t="shared" si="58"/>
        <v>0</v>
      </c>
      <c r="V364">
        <f t="shared" si="59"/>
        <v>0</v>
      </c>
      <c r="AA364">
        <f t="shared" si="51"/>
        <v>0</v>
      </c>
      <c r="AL364" s="142"/>
    </row>
    <row r="365" spans="1:38" hidden="1" x14ac:dyDescent="0.2">
      <c r="A365" s="1700"/>
      <c r="B365" s="1698"/>
      <c r="C365" s="1712"/>
      <c r="D365" s="1699"/>
      <c r="E365" s="1699"/>
      <c r="F365" s="1699"/>
      <c r="G365" s="1699"/>
      <c r="H365" s="1699"/>
      <c r="I365" s="1706"/>
      <c r="J365" s="1706"/>
      <c r="K365" s="1713" t="str">
        <f t="shared" si="52"/>
        <v/>
      </c>
      <c r="L365">
        <f t="shared" si="53"/>
        <v>0</v>
      </c>
      <c r="Q365">
        <f t="shared" si="54"/>
        <v>0</v>
      </c>
      <c r="R365">
        <f t="shared" si="55"/>
        <v>0</v>
      </c>
      <c r="S365">
        <f t="shared" si="56"/>
        <v>0</v>
      </c>
      <c r="T365">
        <f t="shared" si="57"/>
        <v>0</v>
      </c>
      <c r="U365">
        <f t="shared" si="58"/>
        <v>0</v>
      </c>
      <c r="V365">
        <f t="shared" si="59"/>
        <v>0</v>
      </c>
      <c r="AA365">
        <f t="shared" si="51"/>
        <v>0</v>
      </c>
      <c r="AL365" s="142"/>
    </row>
    <row r="366" spans="1:38" hidden="1" x14ac:dyDescent="0.2">
      <c r="A366" s="1700"/>
      <c r="B366" s="1698"/>
      <c r="C366" s="1712"/>
      <c r="D366" s="1699"/>
      <c r="E366" s="1699"/>
      <c r="F366" s="1699"/>
      <c r="G366" s="1699"/>
      <c r="H366" s="1699"/>
      <c r="I366" s="1706"/>
      <c r="J366" s="1706"/>
      <c r="K366" s="1713" t="str">
        <f t="shared" si="52"/>
        <v/>
      </c>
      <c r="L366">
        <f t="shared" si="53"/>
        <v>0</v>
      </c>
      <c r="Q366">
        <f t="shared" si="54"/>
        <v>0</v>
      </c>
      <c r="R366">
        <f t="shared" si="55"/>
        <v>0</v>
      </c>
      <c r="S366">
        <f t="shared" si="56"/>
        <v>0</v>
      </c>
      <c r="T366">
        <f t="shared" si="57"/>
        <v>0</v>
      </c>
      <c r="U366">
        <f t="shared" si="58"/>
        <v>0</v>
      </c>
      <c r="V366">
        <f t="shared" si="59"/>
        <v>0</v>
      </c>
      <c r="AA366">
        <f t="shared" si="51"/>
        <v>0</v>
      </c>
      <c r="AL366" s="142"/>
    </row>
    <row r="367" spans="1:38" hidden="1" x14ac:dyDescent="0.2">
      <c r="A367" s="1700"/>
      <c r="B367" s="1698"/>
      <c r="C367" s="1712"/>
      <c r="D367" s="1699"/>
      <c r="E367" s="1699"/>
      <c r="F367" s="1699"/>
      <c r="G367" s="1699"/>
      <c r="H367" s="1699"/>
      <c r="I367" s="1706"/>
      <c r="J367" s="1706"/>
      <c r="K367" s="1713" t="str">
        <f t="shared" si="52"/>
        <v/>
      </c>
      <c r="L367">
        <f t="shared" si="53"/>
        <v>0</v>
      </c>
      <c r="Q367">
        <f t="shared" si="54"/>
        <v>0</v>
      </c>
      <c r="R367">
        <f t="shared" si="55"/>
        <v>0</v>
      </c>
      <c r="S367">
        <f t="shared" si="56"/>
        <v>0</v>
      </c>
      <c r="T367">
        <f t="shared" si="57"/>
        <v>0</v>
      </c>
      <c r="U367">
        <f t="shared" si="58"/>
        <v>0</v>
      </c>
      <c r="V367">
        <f t="shared" si="59"/>
        <v>0</v>
      </c>
      <c r="AA367">
        <f t="shared" si="51"/>
        <v>0</v>
      </c>
      <c r="AL367" s="142"/>
    </row>
    <row r="368" spans="1:38" hidden="1" x14ac:dyDescent="0.2">
      <c r="A368" s="1700"/>
      <c r="B368" s="1698"/>
      <c r="C368" s="1712"/>
      <c r="D368" s="1699"/>
      <c r="E368" s="1699"/>
      <c r="F368" s="1699"/>
      <c r="G368" s="1699"/>
      <c r="H368" s="1699"/>
      <c r="I368" s="1706"/>
      <c r="J368" s="1706"/>
      <c r="K368" s="1713" t="str">
        <f t="shared" si="52"/>
        <v/>
      </c>
      <c r="L368">
        <f t="shared" si="53"/>
        <v>0</v>
      </c>
      <c r="Q368">
        <f t="shared" si="54"/>
        <v>0</v>
      </c>
      <c r="R368">
        <f t="shared" si="55"/>
        <v>0</v>
      </c>
      <c r="S368">
        <f t="shared" si="56"/>
        <v>0</v>
      </c>
      <c r="T368">
        <f t="shared" si="57"/>
        <v>0</v>
      </c>
      <c r="U368">
        <f t="shared" si="58"/>
        <v>0</v>
      </c>
      <c r="V368">
        <f t="shared" si="59"/>
        <v>0</v>
      </c>
      <c r="AA368">
        <f t="shared" si="51"/>
        <v>0</v>
      </c>
      <c r="AL368" s="142"/>
    </row>
    <row r="369" spans="1:38" hidden="1" x14ac:dyDescent="0.2">
      <c r="A369" s="1700"/>
      <c r="B369" s="1698"/>
      <c r="C369" s="1712"/>
      <c r="D369" s="1699"/>
      <c r="E369" s="1699"/>
      <c r="F369" s="1699"/>
      <c r="G369" s="1699"/>
      <c r="H369" s="1699"/>
      <c r="I369" s="1706"/>
      <c r="J369" s="1706"/>
      <c r="K369" s="1713" t="str">
        <f t="shared" si="52"/>
        <v/>
      </c>
      <c r="L369">
        <f t="shared" si="53"/>
        <v>0</v>
      </c>
      <c r="Q369">
        <f t="shared" si="54"/>
        <v>0</v>
      </c>
      <c r="R369">
        <f t="shared" si="55"/>
        <v>0</v>
      </c>
      <c r="S369">
        <f t="shared" si="56"/>
        <v>0</v>
      </c>
      <c r="T369">
        <f t="shared" si="57"/>
        <v>0</v>
      </c>
      <c r="U369">
        <f t="shared" si="58"/>
        <v>0</v>
      </c>
      <c r="V369">
        <f t="shared" si="59"/>
        <v>0</v>
      </c>
      <c r="AA369">
        <f t="shared" si="51"/>
        <v>0</v>
      </c>
      <c r="AL369" s="142"/>
    </row>
    <row r="370" spans="1:38" hidden="1" x14ac:dyDescent="0.2">
      <c r="A370" s="1700"/>
      <c r="B370" s="1698"/>
      <c r="C370" s="1712"/>
      <c r="D370" s="1699"/>
      <c r="E370" s="1699"/>
      <c r="F370" s="1699"/>
      <c r="G370" s="1699"/>
      <c r="H370" s="1699"/>
      <c r="I370" s="1706"/>
      <c r="J370" s="1706"/>
      <c r="K370" s="1713" t="str">
        <f t="shared" si="52"/>
        <v/>
      </c>
      <c r="L370">
        <f t="shared" si="53"/>
        <v>0</v>
      </c>
      <c r="Q370">
        <f t="shared" si="54"/>
        <v>0</v>
      </c>
      <c r="R370">
        <f t="shared" si="55"/>
        <v>0</v>
      </c>
      <c r="S370">
        <f t="shared" si="56"/>
        <v>0</v>
      </c>
      <c r="T370">
        <f t="shared" si="57"/>
        <v>0</v>
      </c>
      <c r="U370">
        <f t="shared" si="58"/>
        <v>0</v>
      </c>
      <c r="V370">
        <f t="shared" si="59"/>
        <v>0</v>
      </c>
      <c r="AA370">
        <f t="shared" si="51"/>
        <v>0</v>
      </c>
      <c r="AL370" s="142"/>
    </row>
    <row r="371" spans="1:38" hidden="1" x14ac:dyDescent="0.2">
      <c r="A371" s="1700"/>
      <c r="B371" s="1698"/>
      <c r="C371" s="1712"/>
      <c r="D371" s="1699"/>
      <c r="E371" s="1699"/>
      <c r="F371" s="1699"/>
      <c r="G371" s="1699"/>
      <c r="H371" s="1699"/>
      <c r="I371" s="1706"/>
      <c r="J371" s="1706"/>
      <c r="K371" s="1713" t="str">
        <f t="shared" si="52"/>
        <v/>
      </c>
      <c r="L371">
        <f t="shared" si="53"/>
        <v>0</v>
      </c>
      <c r="Q371">
        <f t="shared" si="54"/>
        <v>0</v>
      </c>
      <c r="R371">
        <f t="shared" si="55"/>
        <v>0</v>
      </c>
      <c r="S371">
        <f t="shared" si="56"/>
        <v>0</v>
      </c>
      <c r="T371">
        <f t="shared" si="57"/>
        <v>0</v>
      </c>
      <c r="U371">
        <f t="shared" si="58"/>
        <v>0</v>
      </c>
      <c r="V371">
        <f t="shared" si="59"/>
        <v>0</v>
      </c>
      <c r="AA371">
        <f t="shared" si="51"/>
        <v>0</v>
      </c>
      <c r="AL371" s="142"/>
    </row>
    <row r="372" spans="1:38" hidden="1" x14ac:dyDescent="0.2">
      <c r="A372" s="1700"/>
      <c r="B372" s="1698"/>
      <c r="C372" s="1712"/>
      <c r="D372" s="1699"/>
      <c r="E372" s="1699"/>
      <c r="F372" s="1699"/>
      <c r="G372" s="1699"/>
      <c r="H372" s="1699"/>
      <c r="I372" s="1706"/>
      <c r="J372" s="1706"/>
      <c r="K372" s="1713" t="str">
        <f t="shared" si="52"/>
        <v/>
      </c>
      <c r="L372">
        <f t="shared" si="53"/>
        <v>0</v>
      </c>
      <c r="Q372">
        <f t="shared" si="54"/>
        <v>0</v>
      </c>
      <c r="R372">
        <f t="shared" si="55"/>
        <v>0</v>
      </c>
      <c r="S372">
        <f t="shared" si="56"/>
        <v>0</v>
      </c>
      <c r="T372">
        <f t="shared" si="57"/>
        <v>0</v>
      </c>
      <c r="U372">
        <f t="shared" si="58"/>
        <v>0</v>
      </c>
      <c r="V372">
        <f t="shared" si="59"/>
        <v>0</v>
      </c>
      <c r="AA372">
        <f t="shared" si="51"/>
        <v>0</v>
      </c>
      <c r="AL372" s="142"/>
    </row>
    <row r="373" spans="1:38" hidden="1" x14ac:dyDescent="0.2">
      <c r="A373" s="1700"/>
      <c r="B373" s="1698"/>
      <c r="C373" s="1712"/>
      <c r="D373" s="1699"/>
      <c r="E373" s="1699"/>
      <c r="F373" s="1699"/>
      <c r="G373" s="1699"/>
      <c r="H373" s="1699"/>
      <c r="I373" s="1706"/>
      <c r="J373" s="1706"/>
      <c r="K373" s="1713" t="str">
        <f t="shared" si="52"/>
        <v/>
      </c>
      <c r="L373">
        <f t="shared" si="53"/>
        <v>0</v>
      </c>
      <c r="Q373">
        <f t="shared" si="54"/>
        <v>0</v>
      </c>
      <c r="R373">
        <f t="shared" si="55"/>
        <v>0</v>
      </c>
      <c r="S373">
        <f t="shared" si="56"/>
        <v>0</v>
      </c>
      <c r="T373">
        <f t="shared" si="57"/>
        <v>0</v>
      </c>
      <c r="U373">
        <f t="shared" si="58"/>
        <v>0</v>
      </c>
      <c r="V373">
        <f t="shared" si="59"/>
        <v>0</v>
      </c>
      <c r="AA373">
        <f t="shared" si="51"/>
        <v>0</v>
      </c>
      <c r="AL373" s="142"/>
    </row>
    <row r="374" spans="1:38" hidden="1" x14ac:dyDescent="0.2">
      <c r="A374" s="1700"/>
      <c r="B374" s="1698"/>
      <c r="C374" s="1712"/>
      <c r="D374" s="1699"/>
      <c r="E374" s="1699"/>
      <c r="F374" s="1699"/>
      <c r="G374" s="1699"/>
      <c r="H374" s="1699"/>
      <c r="I374" s="1706"/>
      <c r="J374" s="1706"/>
      <c r="K374" s="1713" t="str">
        <f t="shared" si="52"/>
        <v/>
      </c>
      <c r="L374">
        <f t="shared" si="53"/>
        <v>0</v>
      </c>
      <c r="Q374">
        <f t="shared" si="54"/>
        <v>0</v>
      </c>
      <c r="R374">
        <f t="shared" si="55"/>
        <v>0</v>
      </c>
      <c r="S374">
        <f t="shared" si="56"/>
        <v>0</v>
      </c>
      <c r="T374">
        <f t="shared" si="57"/>
        <v>0</v>
      </c>
      <c r="U374">
        <f t="shared" si="58"/>
        <v>0</v>
      </c>
      <c r="V374">
        <f t="shared" si="59"/>
        <v>0</v>
      </c>
      <c r="AA374">
        <f t="shared" si="51"/>
        <v>0</v>
      </c>
      <c r="AL374" s="142"/>
    </row>
    <row r="375" spans="1:38" hidden="1" x14ac:dyDescent="0.2">
      <c r="A375" s="1700"/>
      <c r="B375" s="1698"/>
      <c r="C375" s="1712"/>
      <c r="D375" s="1699"/>
      <c r="E375" s="1699"/>
      <c r="F375" s="1699"/>
      <c r="G375" s="1699"/>
      <c r="H375" s="1699"/>
      <c r="I375" s="1706"/>
      <c r="J375" s="1706"/>
      <c r="K375" s="1713" t="str">
        <f t="shared" si="52"/>
        <v/>
      </c>
      <c r="L375">
        <f t="shared" si="53"/>
        <v>0</v>
      </c>
      <c r="Q375">
        <f t="shared" si="54"/>
        <v>0</v>
      </c>
      <c r="R375">
        <f t="shared" si="55"/>
        <v>0</v>
      </c>
      <c r="S375">
        <f t="shared" si="56"/>
        <v>0</v>
      </c>
      <c r="T375">
        <f t="shared" si="57"/>
        <v>0</v>
      </c>
      <c r="U375">
        <f t="shared" si="58"/>
        <v>0</v>
      </c>
      <c r="V375">
        <f t="shared" si="59"/>
        <v>0</v>
      </c>
      <c r="AA375">
        <f t="shared" si="51"/>
        <v>0</v>
      </c>
      <c r="AL375" s="142"/>
    </row>
    <row r="376" spans="1:38" hidden="1" x14ac:dyDescent="0.2">
      <c r="A376" s="1700"/>
      <c r="B376" s="1698"/>
      <c r="C376" s="1712"/>
      <c r="D376" s="1699"/>
      <c r="E376" s="1699"/>
      <c r="F376" s="1699"/>
      <c r="G376" s="1699"/>
      <c r="H376" s="1699"/>
      <c r="I376" s="1706"/>
      <c r="J376" s="1706"/>
      <c r="K376" s="1713" t="str">
        <f t="shared" si="52"/>
        <v/>
      </c>
      <c r="L376">
        <f t="shared" si="53"/>
        <v>0</v>
      </c>
      <c r="Q376">
        <f t="shared" si="54"/>
        <v>0</v>
      </c>
      <c r="R376">
        <f t="shared" si="55"/>
        <v>0</v>
      </c>
      <c r="S376">
        <f t="shared" si="56"/>
        <v>0</v>
      </c>
      <c r="T376">
        <f t="shared" si="57"/>
        <v>0</v>
      </c>
      <c r="U376">
        <f t="shared" si="58"/>
        <v>0</v>
      </c>
      <c r="V376">
        <f t="shared" si="59"/>
        <v>0</v>
      </c>
      <c r="AA376">
        <f t="shared" si="51"/>
        <v>0</v>
      </c>
      <c r="AL376" s="142"/>
    </row>
    <row r="377" spans="1:38" hidden="1" x14ac:dyDescent="0.2">
      <c r="A377" s="1700"/>
      <c r="B377" s="1698"/>
      <c r="C377" s="1712"/>
      <c r="D377" s="1699"/>
      <c r="E377" s="1699"/>
      <c r="F377" s="1699"/>
      <c r="G377" s="1699"/>
      <c r="H377" s="1699"/>
      <c r="I377" s="1706"/>
      <c r="J377" s="1706"/>
      <c r="K377" s="1713" t="str">
        <f t="shared" si="52"/>
        <v/>
      </c>
      <c r="L377">
        <f t="shared" si="53"/>
        <v>0</v>
      </c>
      <c r="Q377">
        <f t="shared" si="54"/>
        <v>0</v>
      </c>
      <c r="R377">
        <f t="shared" si="55"/>
        <v>0</v>
      </c>
      <c r="S377">
        <f t="shared" si="56"/>
        <v>0</v>
      </c>
      <c r="T377">
        <f t="shared" si="57"/>
        <v>0</v>
      </c>
      <c r="U377">
        <f t="shared" si="58"/>
        <v>0</v>
      </c>
      <c r="V377">
        <f t="shared" si="59"/>
        <v>0</v>
      </c>
      <c r="AA377">
        <f t="shared" si="51"/>
        <v>0</v>
      </c>
      <c r="AL377" s="142"/>
    </row>
    <row r="378" spans="1:38" hidden="1" x14ac:dyDescent="0.2">
      <c r="A378" s="1700"/>
      <c r="B378" s="1698"/>
      <c r="C378" s="1712"/>
      <c r="D378" s="1699"/>
      <c r="E378" s="1699"/>
      <c r="F378" s="1699"/>
      <c r="G378" s="1699"/>
      <c r="H378" s="1699"/>
      <c r="I378" s="1706"/>
      <c r="J378" s="1706"/>
      <c r="K378" s="1713" t="str">
        <f t="shared" si="52"/>
        <v/>
      </c>
      <c r="L378">
        <f t="shared" si="53"/>
        <v>0</v>
      </c>
      <c r="Q378">
        <f t="shared" si="54"/>
        <v>0</v>
      </c>
      <c r="R378">
        <f t="shared" si="55"/>
        <v>0</v>
      </c>
      <c r="S378">
        <f t="shared" si="56"/>
        <v>0</v>
      </c>
      <c r="T378">
        <f t="shared" si="57"/>
        <v>0</v>
      </c>
      <c r="U378">
        <f t="shared" si="58"/>
        <v>0</v>
      </c>
      <c r="V378">
        <f t="shared" si="59"/>
        <v>0</v>
      </c>
      <c r="AA378">
        <f t="shared" si="51"/>
        <v>0</v>
      </c>
      <c r="AL378" s="142"/>
    </row>
    <row r="379" spans="1:38" hidden="1" x14ac:dyDescent="0.2">
      <c r="A379" s="1700"/>
      <c r="B379" s="1698"/>
      <c r="C379" s="1712"/>
      <c r="D379" s="1699"/>
      <c r="E379" s="1699"/>
      <c r="F379" s="1699"/>
      <c r="G379" s="1699"/>
      <c r="H379" s="1699"/>
      <c r="I379" s="1706"/>
      <c r="J379" s="1706"/>
      <c r="K379" s="1713" t="str">
        <f t="shared" si="52"/>
        <v/>
      </c>
      <c r="L379">
        <f t="shared" si="53"/>
        <v>0</v>
      </c>
      <c r="Q379">
        <f t="shared" si="54"/>
        <v>0</v>
      </c>
      <c r="R379">
        <f t="shared" si="55"/>
        <v>0</v>
      </c>
      <c r="S379">
        <f t="shared" si="56"/>
        <v>0</v>
      </c>
      <c r="T379">
        <f t="shared" si="57"/>
        <v>0</v>
      </c>
      <c r="U379">
        <f t="shared" si="58"/>
        <v>0</v>
      </c>
      <c r="V379">
        <f t="shared" si="59"/>
        <v>0</v>
      </c>
      <c r="AA379">
        <f t="shared" si="51"/>
        <v>0</v>
      </c>
      <c r="AL379" s="142"/>
    </row>
    <row r="380" spans="1:38" hidden="1" x14ac:dyDescent="0.2">
      <c r="A380" s="1700"/>
      <c r="B380" s="1698"/>
      <c r="C380" s="1712"/>
      <c r="D380" s="1699"/>
      <c r="E380" s="1699"/>
      <c r="F380" s="1699"/>
      <c r="G380" s="1699"/>
      <c r="H380" s="1699"/>
      <c r="I380" s="1706"/>
      <c r="J380" s="1706"/>
      <c r="K380" s="1713" t="str">
        <f t="shared" si="52"/>
        <v/>
      </c>
      <c r="L380">
        <f t="shared" si="53"/>
        <v>0</v>
      </c>
      <c r="Q380">
        <f t="shared" si="54"/>
        <v>0</v>
      </c>
      <c r="R380">
        <f t="shared" si="55"/>
        <v>0</v>
      </c>
      <c r="S380">
        <f t="shared" si="56"/>
        <v>0</v>
      </c>
      <c r="T380">
        <f t="shared" si="57"/>
        <v>0</v>
      </c>
      <c r="U380">
        <f t="shared" si="58"/>
        <v>0</v>
      </c>
      <c r="V380">
        <f t="shared" si="59"/>
        <v>0</v>
      </c>
      <c r="AA380">
        <f t="shared" si="51"/>
        <v>0</v>
      </c>
      <c r="AL380" s="142"/>
    </row>
    <row r="381" spans="1:38" hidden="1" x14ac:dyDescent="0.2">
      <c r="A381" s="1700"/>
      <c r="B381" s="1698"/>
      <c r="C381" s="1712"/>
      <c r="D381" s="1699"/>
      <c r="E381" s="1699"/>
      <c r="F381" s="1699"/>
      <c r="G381" s="1699"/>
      <c r="H381" s="1699"/>
      <c r="I381" s="1706"/>
      <c r="J381" s="1706"/>
      <c r="K381" s="1713" t="str">
        <f t="shared" si="52"/>
        <v/>
      </c>
      <c r="L381">
        <f t="shared" si="53"/>
        <v>0</v>
      </c>
      <c r="Q381">
        <f t="shared" si="54"/>
        <v>0</v>
      </c>
      <c r="R381">
        <f t="shared" si="55"/>
        <v>0</v>
      </c>
      <c r="S381">
        <f t="shared" si="56"/>
        <v>0</v>
      </c>
      <c r="T381">
        <f t="shared" si="57"/>
        <v>0</v>
      </c>
      <c r="U381">
        <f t="shared" si="58"/>
        <v>0</v>
      </c>
      <c r="V381">
        <f t="shared" si="59"/>
        <v>0</v>
      </c>
      <c r="AA381">
        <f t="shared" si="51"/>
        <v>0</v>
      </c>
      <c r="AL381" s="142"/>
    </row>
    <row r="382" spans="1:38" hidden="1" x14ac:dyDescent="0.2">
      <c r="A382" s="1700"/>
      <c r="B382" s="1698"/>
      <c r="C382" s="1712"/>
      <c r="D382" s="1699"/>
      <c r="E382" s="1699"/>
      <c r="F382" s="1699"/>
      <c r="G382" s="1699"/>
      <c r="H382" s="1699"/>
      <c r="I382" s="1706"/>
      <c r="J382" s="1706"/>
      <c r="K382" s="1713" t="str">
        <f t="shared" si="52"/>
        <v/>
      </c>
      <c r="L382">
        <f t="shared" si="53"/>
        <v>0</v>
      </c>
      <c r="Q382">
        <f t="shared" si="54"/>
        <v>0</v>
      </c>
      <c r="R382">
        <f t="shared" si="55"/>
        <v>0</v>
      </c>
      <c r="S382">
        <f t="shared" si="56"/>
        <v>0</v>
      </c>
      <c r="T382">
        <f t="shared" si="57"/>
        <v>0</v>
      </c>
      <c r="U382">
        <f t="shared" si="58"/>
        <v>0</v>
      </c>
      <c r="V382">
        <f t="shared" si="59"/>
        <v>0</v>
      </c>
      <c r="AA382">
        <f t="shared" si="51"/>
        <v>0</v>
      </c>
      <c r="AL382" s="142"/>
    </row>
    <row r="383" spans="1:38" hidden="1" x14ac:dyDescent="0.2">
      <c r="A383" s="1700"/>
      <c r="B383" s="1698"/>
      <c r="C383" s="1712"/>
      <c r="D383" s="1699"/>
      <c r="E383" s="1699"/>
      <c r="F383" s="1699"/>
      <c r="G383" s="1699"/>
      <c r="H383" s="1699"/>
      <c r="I383" s="1706"/>
      <c r="J383" s="1706"/>
      <c r="K383" s="1713" t="str">
        <f t="shared" si="52"/>
        <v/>
      </c>
      <c r="L383">
        <f t="shared" si="53"/>
        <v>0</v>
      </c>
      <c r="Q383">
        <f t="shared" si="54"/>
        <v>0</v>
      </c>
      <c r="R383">
        <f t="shared" si="55"/>
        <v>0</v>
      </c>
      <c r="S383">
        <f t="shared" si="56"/>
        <v>0</v>
      </c>
      <c r="T383">
        <f t="shared" si="57"/>
        <v>0</v>
      </c>
      <c r="U383">
        <f t="shared" si="58"/>
        <v>0</v>
      </c>
      <c r="V383">
        <f t="shared" si="59"/>
        <v>0</v>
      </c>
      <c r="AA383">
        <f t="shared" si="51"/>
        <v>0</v>
      </c>
      <c r="AL383" s="142"/>
    </row>
    <row r="384" spans="1:38" hidden="1" x14ac:dyDescent="0.2">
      <c r="A384" s="1700"/>
      <c r="B384" s="1698"/>
      <c r="C384" s="1712"/>
      <c r="D384" s="1699"/>
      <c r="E384" s="1699"/>
      <c r="F384" s="1699"/>
      <c r="G384" s="1699"/>
      <c r="H384" s="1699"/>
      <c r="I384" s="1706"/>
      <c r="J384" s="1706"/>
      <c r="K384" s="1713" t="str">
        <f t="shared" si="52"/>
        <v/>
      </c>
      <c r="L384">
        <f t="shared" si="53"/>
        <v>0</v>
      </c>
      <c r="Q384">
        <f t="shared" si="54"/>
        <v>0</v>
      </c>
      <c r="R384">
        <f t="shared" si="55"/>
        <v>0</v>
      </c>
      <c r="S384">
        <f t="shared" si="56"/>
        <v>0</v>
      </c>
      <c r="T384">
        <f t="shared" si="57"/>
        <v>0</v>
      </c>
      <c r="U384">
        <f t="shared" si="58"/>
        <v>0</v>
      </c>
      <c r="V384">
        <f t="shared" si="59"/>
        <v>0</v>
      </c>
      <c r="AA384">
        <f t="shared" si="51"/>
        <v>0</v>
      </c>
      <c r="AL384" s="142"/>
    </row>
    <row r="385" spans="1:38" hidden="1" x14ac:dyDescent="0.2">
      <c r="A385" s="1700"/>
      <c r="B385" s="1698"/>
      <c r="C385" s="1712"/>
      <c r="D385" s="1699"/>
      <c r="E385" s="1699"/>
      <c r="F385" s="1699"/>
      <c r="G385" s="1699"/>
      <c r="H385" s="1699"/>
      <c r="I385" s="1706"/>
      <c r="J385" s="1706"/>
      <c r="K385" s="1713" t="str">
        <f t="shared" si="52"/>
        <v/>
      </c>
      <c r="L385">
        <f t="shared" si="53"/>
        <v>0</v>
      </c>
      <c r="Q385">
        <f t="shared" si="54"/>
        <v>0</v>
      </c>
      <c r="R385">
        <f t="shared" si="55"/>
        <v>0</v>
      </c>
      <c r="S385">
        <f t="shared" si="56"/>
        <v>0</v>
      </c>
      <c r="T385">
        <f t="shared" si="57"/>
        <v>0</v>
      </c>
      <c r="U385">
        <f t="shared" si="58"/>
        <v>0</v>
      </c>
      <c r="V385">
        <f t="shared" si="59"/>
        <v>0</v>
      </c>
      <c r="AA385">
        <f t="shared" si="51"/>
        <v>0</v>
      </c>
      <c r="AL385" s="142"/>
    </row>
    <row r="386" spans="1:38" hidden="1" x14ac:dyDescent="0.2">
      <c r="A386" s="1700"/>
      <c r="B386" s="1698"/>
      <c r="C386" s="1712"/>
      <c r="D386" s="1699"/>
      <c r="E386" s="1699"/>
      <c r="F386" s="1699"/>
      <c r="G386" s="1699"/>
      <c r="H386" s="1699"/>
      <c r="I386" s="1706"/>
      <c r="J386" s="1706"/>
      <c r="K386" s="1713" t="str">
        <f t="shared" si="52"/>
        <v/>
      </c>
      <c r="L386">
        <f t="shared" si="53"/>
        <v>0</v>
      </c>
      <c r="Q386">
        <f t="shared" si="54"/>
        <v>0</v>
      </c>
      <c r="R386">
        <f t="shared" si="55"/>
        <v>0</v>
      </c>
      <c r="S386">
        <f t="shared" si="56"/>
        <v>0</v>
      </c>
      <c r="T386">
        <f t="shared" si="57"/>
        <v>0</v>
      </c>
      <c r="U386">
        <f t="shared" si="58"/>
        <v>0</v>
      </c>
      <c r="V386">
        <f t="shared" si="59"/>
        <v>0</v>
      </c>
      <c r="AA386">
        <f t="shared" si="51"/>
        <v>0</v>
      </c>
      <c r="AL386" s="142"/>
    </row>
    <row r="387" spans="1:38" hidden="1" x14ac:dyDescent="0.2">
      <c r="A387" s="1700"/>
      <c r="B387" s="1698"/>
      <c r="C387" s="1712"/>
      <c r="D387" s="1699"/>
      <c r="E387" s="1699"/>
      <c r="F387" s="1699"/>
      <c r="G387" s="1699"/>
      <c r="H387" s="1699"/>
      <c r="I387" s="1706"/>
      <c r="J387" s="1706"/>
      <c r="K387" s="1713" t="str">
        <f t="shared" si="52"/>
        <v/>
      </c>
      <c r="L387">
        <f t="shared" si="53"/>
        <v>0</v>
      </c>
      <c r="Q387">
        <f t="shared" si="54"/>
        <v>0</v>
      </c>
      <c r="R387">
        <f t="shared" si="55"/>
        <v>0</v>
      </c>
      <c r="S387">
        <f t="shared" si="56"/>
        <v>0</v>
      </c>
      <c r="T387">
        <f t="shared" si="57"/>
        <v>0</v>
      </c>
      <c r="U387">
        <f t="shared" si="58"/>
        <v>0</v>
      </c>
      <c r="V387">
        <f t="shared" si="59"/>
        <v>0</v>
      </c>
      <c r="AA387">
        <f t="shared" si="51"/>
        <v>0</v>
      </c>
      <c r="AL387" s="142"/>
    </row>
    <row r="388" spans="1:38" hidden="1" x14ac:dyDescent="0.2">
      <c r="A388" s="1700"/>
      <c r="B388" s="1698"/>
      <c r="C388" s="1712"/>
      <c r="D388" s="1699"/>
      <c r="E388" s="1699"/>
      <c r="F388" s="1699"/>
      <c r="G388" s="1699"/>
      <c r="H388" s="1699"/>
      <c r="I388" s="1706"/>
      <c r="J388" s="1706"/>
      <c r="K388" s="1713" t="str">
        <f t="shared" si="52"/>
        <v/>
      </c>
      <c r="L388">
        <f t="shared" si="53"/>
        <v>0</v>
      </c>
      <c r="Q388">
        <f t="shared" si="54"/>
        <v>0</v>
      </c>
      <c r="R388">
        <f t="shared" si="55"/>
        <v>0</v>
      </c>
      <c r="S388">
        <f t="shared" si="56"/>
        <v>0</v>
      </c>
      <c r="T388">
        <f t="shared" si="57"/>
        <v>0</v>
      </c>
      <c r="U388">
        <f t="shared" si="58"/>
        <v>0</v>
      </c>
      <c r="V388">
        <f t="shared" si="59"/>
        <v>0</v>
      </c>
      <c r="AA388">
        <f t="shared" si="51"/>
        <v>0</v>
      </c>
      <c r="AL388" s="142"/>
    </row>
    <row r="389" spans="1:38" hidden="1" x14ac:dyDescent="0.2">
      <c r="A389" s="1700"/>
      <c r="B389" s="1698"/>
      <c r="C389" s="1712"/>
      <c r="D389" s="1699"/>
      <c r="E389" s="1699"/>
      <c r="F389" s="1699"/>
      <c r="G389" s="1699"/>
      <c r="H389" s="1699"/>
      <c r="I389" s="1706"/>
      <c r="J389" s="1706"/>
      <c r="K389" s="1713" t="str">
        <f t="shared" si="52"/>
        <v/>
      </c>
      <c r="L389">
        <f t="shared" si="53"/>
        <v>0</v>
      </c>
      <c r="Q389">
        <f t="shared" si="54"/>
        <v>0</v>
      </c>
      <c r="R389">
        <f t="shared" si="55"/>
        <v>0</v>
      </c>
      <c r="S389">
        <f t="shared" si="56"/>
        <v>0</v>
      </c>
      <c r="T389">
        <f t="shared" si="57"/>
        <v>0</v>
      </c>
      <c r="U389">
        <f t="shared" si="58"/>
        <v>0</v>
      </c>
      <c r="V389">
        <f t="shared" si="59"/>
        <v>0</v>
      </c>
      <c r="AA389">
        <f t="shared" si="51"/>
        <v>0</v>
      </c>
      <c r="AL389" s="142"/>
    </row>
    <row r="390" spans="1:38" hidden="1" x14ac:dyDescent="0.2">
      <c r="A390" s="1700"/>
      <c r="B390" s="1698"/>
      <c r="C390" s="1712"/>
      <c r="D390" s="1699"/>
      <c r="E390" s="1699"/>
      <c r="F390" s="1699"/>
      <c r="G390" s="1699"/>
      <c r="H390" s="1699"/>
      <c r="I390" s="1706"/>
      <c r="J390" s="1706"/>
      <c r="K390" s="1713" t="str">
        <f t="shared" si="52"/>
        <v/>
      </c>
      <c r="L390">
        <f t="shared" si="53"/>
        <v>0</v>
      </c>
      <c r="Q390">
        <f t="shared" si="54"/>
        <v>0</v>
      </c>
      <c r="R390">
        <f t="shared" si="55"/>
        <v>0</v>
      </c>
      <c r="S390">
        <f t="shared" si="56"/>
        <v>0</v>
      </c>
      <c r="T390">
        <f t="shared" si="57"/>
        <v>0</v>
      </c>
      <c r="U390">
        <f t="shared" si="58"/>
        <v>0</v>
      </c>
      <c r="V390">
        <f t="shared" si="59"/>
        <v>0</v>
      </c>
      <c r="AA390">
        <f t="shared" si="51"/>
        <v>0</v>
      </c>
      <c r="AL390" s="142"/>
    </row>
    <row r="391" spans="1:38" hidden="1" x14ac:dyDescent="0.2">
      <c r="A391" s="1700"/>
      <c r="B391" s="1698"/>
      <c r="C391" s="1712"/>
      <c r="D391" s="1699"/>
      <c r="E391" s="1699"/>
      <c r="F391" s="1699"/>
      <c r="G391" s="1699"/>
      <c r="H391" s="1699"/>
      <c r="I391" s="1706"/>
      <c r="J391" s="1706"/>
      <c r="K391" s="1713" t="str">
        <f t="shared" si="52"/>
        <v/>
      </c>
      <c r="L391">
        <f t="shared" si="53"/>
        <v>0</v>
      </c>
      <c r="Q391">
        <f t="shared" si="54"/>
        <v>0</v>
      </c>
      <c r="R391">
        <f t="shared" si="55"/>
        <v>0</v>
      </c>
      <c r="S391">
        <f t="shared" si="56"/>
        <v>0</v>
      </c>
      <c r="T391">
        <f t="shared" si="57"/>
        <v>0</v>
      </c>
      <c r="U391">
        <f t="shared" si="58"/>
        <v>0</v>
      </c>
      <c r="V391">
        <f t="shared" si="59"/>
        <v>0</v>
      </c>
      <c r="AA391">
        <f t="shared" si="51"/>
        <v>0</v>
      </c>
      <c r="AL391" s="142"/>
    </row>
    <row r="392" spans="1:38" hidden="1" x14ac:dyDescent="0.2">
      <c r="A392" s="1700"/>
      <c r="B392" s="1698"/>
      <c r="C392" s="1712"/>
      <c r="D392" s="1699"/>
      <c r="E392" s="1699"/>
      <c r="F392" s="1699"/>
      <c r="G392" s="1699"/>
      <c r="H392" s="1699"/>
      <c r="I392" s="1706"/>
      <c r="J392" s="1706"/>
      <c r="K392" s="1713" t="str">
        <f t="shared" si="52"/>
        <v/>
      </c>
      <c r="L392">
        <f t="shared" si="53"/>
        <v>0</v>
      </c>
      <c r="Q392">
        <f t="shared" si="54"/>
        <v>0</v>
      </c>
      <c r="R392">
        <f t="shared" si="55"/>
        <v>0</v>
      </c>
      <c r="S392">
        <f t="shared" si="56"/>
        <v>0</v>
      </c>
      <c r="T392">
        <f t="shared" si="57"/>
        <v>0</v>
      </c>
      <c r="U392">
        <f t="shared" si="58"/>
        <v>0</v>
      </c>
      <c r="V392">
        <f t="shared" si="59"/>
        <v>0</v>
      </c>
      <c r="AA392">
        <f t="shared" si="51"/>
        <v>0</v>
      </c>
      <c r="AL392" s="142"/>
    </row>
    <row r="393" spans="1:38" hidden="1" x14ac:dyDescent="0.2">
      <c r="A393" s="1700"/>
      <c r="B393" s="1698"/>
      <c r="C393" s="1712"/>
      <c r="D393" s="1699"/>
      <c r="E393" s="1699"/>
      <c r="F393" s="1699"/>
      <c r="G393" s="1699"/>
      <c r="H393" s="1699"/>
      <c r="I393" s="1706"/>
      <c r="J393" s="1706"/>
      <c r="K393" s="1713" t="str">
        <f t="shared" si="52"/>
        <v/>
      </c>
      <c r="L393">
        <f t="shared" si="53"/>
        <v>0</v>
      </c>
      <c r="Q393">
        <f t="shared" si="54"/>
        <v>0</v>
      </c>
      <c r="R393">
        <f t="shared" si="55"/>
        <v>0</v>
      </c>
      <c r="S393">
        <f t="shared" si="56"/>
        <v>0</v>
      </c>
      <c r="T393">
        <f t="shared" si="57"/>
        <v>0</v>
      </c>
      <c r="U393">
        <f t="shared" si="58"/>
        <v>0</v>
      </c>
      <c r="V393">
        <f t="shared" si="59"/>
        <v>0</v>
      </c>
      <c r="AA393">
        <f t="shared" si="51"/>
        <v>0</v>
      </c>
      <c r="AL393" s="142"/>
    </row>
    <row r="394" spans="1:38" hidden="1" x14ac:dyDescent="0.2">
      <c r="A394" s="1700"/>
      <c r="B394" s="1698"/>
      <c r="C394" s="1712"/>
      <c r="D394" s="1699"/>
      <c r="E394" s="1699"/>
      <c r="F394" s="1699"/>
      <c r="G394" s="1699"/>
      <c r="H394" s="1699"/>
      <c r="I394" s="1706"/>
      <c r="J394" s="1706"/>
      <c r="K394" s="1713" t="str">
        <f t="shared" si="52"/>
        <v/>
      </c>
      <c r="L394">
        <f t="shared" si="53"/>
        <v>0</v>
      </c>
      <c r="Q394">
        <f t="shared" si="54"/>
        <v>0</v>
      </c>
      <c r="R394">
        <f t="shared" si="55"/>
        <v>0</v>
      </c>
      <c r="S394">
        <f t="shared" si="56"/>
        <v>0</v>
      </c>
      <c r="T394">
        <f t="shared" si="57"/>
        <v>0</v>
      </c>
      <c r="U394">
        <f t="shared" si="58"/>
        <v>0</v>
      </c>
      <c r="V394">
        <f t="shared" si="59"/>
        <v>0</v>
      </c>
      <c r="AA394">
        <f t="shared" si="51"/>
        <v>0</v>
      </c>
      <c r="AL394" s="142"/>
    </row>
    <row r="395" spans="1:38" hidden="1" x14ac:dyDescent="0.2">
      <c r="A395" s="1700"/>
      <c r="B395" s="1698"/>
      <c r="C395" s="1712"/>
      <c r="D395" s="1699"/>
      <c r="E395" s="1699"/>
      <c r="F395" s="1699"/>
      <c r="G395" s="1699"/>
      <c r="H395" s="1699"/>
      <c r="I395" s="1706"/>
      <c r="J395" s="1706"/>
      <c r="K395" s="1713" t="str">
        <f t="shared" si="52"/>
        <v/>
      </c>
      <c r="L395">
        <f t="shared" si="53"/>
        <v>0</v>
      </c>
      <c r="Q395">
        <f t="shared" si="54"/>
        <v>0</v>
      </c>
      <c r="R395">
        <f t="shared" si="55"/>
        <v>0</v>
      </c>
      <c r="S395">
        <f t="shared" si="56"/>
        <v>0</v>
      </c>
      <c r="T395">
        <f t="shared" si="57"/>
        <v>0</v>
      </c>
      <c r="U395">
        <f t="shared" si="58"/>
        <v>0</v>
      </c>
      <c r="V395">
        <f t="shared" si="59"/>
        <v>0</v>
      </c>
      <c r="AA395">
        <f t="shared" si="51"/>
        <v>0</v>
      </c>
      <c r="AL395" s="142"/>
    </row>
    <row r="396" spans="1:38" hidden="1" x14ac:dyDescent="0.2">
      <c r="A396" s="1700"/>
      <c r="B396" s="1698"/>
      <c r="C396" s="1712"/>
      <c r="D396" s="1699"/>
      <c r="E396" s="1699"/>
      <c r="F396" s="1699"/>
      <c r="G396" s="1699"/>
      <c r="H396" s="1699"/>
      <c r="I396" s="1706"/>
      <c r="J396" s="1706"/>
      <c r="K396" s="1713" t="str">
        <f t="shared" si="52"/>
        <v/>
      </c>
      <c r="L396">
        <f t="shared" si="53"/>
        <v>0</v>
      </c>
      <c r="Q396">
        <f t="shared" si="54"/>
        <v>0</v>
      </c>
      <c r="R396">
        <f t="shared" si="55"/>
        <v>0</v>
      </c>
      <c r="S396">
        <f t="shared" si="56"/>
        <v>0</v>
      </c>
      <c r="T396">
        <f t="shared" si="57"/>
        <v>0</v>
      </c>
      <c r="U396">
        <f t="shared" si="58"/>
        <v>0</v>
      </c>
      <c r="V396">
        <f t="shared" si="59"/>
        <v>0</v>
      </c>
      <c r="AA396">
        <f t="shared" si="51"/>
        <v>0</v>
      </c>
      <c r="AL396" s="142"/>
    </row>
    <row r="397" spans="1:38" hidden="1" x14ac:dyDescent="0.2">
      <c r="A397" s="1700"/>
      <c r="B397" s="1698"/>
      <c r="C397" s="1712"/>
      <c r="D397" s="1699"/>
      <c r="E397" s="1699"/>
      <c r="F397" s="1699"/>
      <c r="G397" s="1699"/>
      <c r="H397" s="1699"/>
      <c r="I397" s="1706"/>
      <c r="J397" s="1706"/>
      <c r="K397" s="1713" t="str">
        <f t="shared" si="52"/>
        <v/>
      </c>
      <c r="L397">
        <f t="shared" si="53"/>
        <v>0</v>
      </c>
      <c r="Q397">
        <f t="shared" si="54"/>
        <v>0</v>
      </c>
      <c r="R397">
        <f t="shared" si="55"/>
        <v>0</v>
      </c>
      <c r="S397">
        <f t="shared" si="56"/>
        <v>0</v>
      </c>
      <c r="T397">
        <f t="shared" si="57"/>
        <v>0</v>
      </c>
      <c r="U397">
        <f t="shared" si="58"/>
        <v>0</v>
      </c>
      <c r="V397">
        <f t="shared" si="59"/>
        <v>0</v>
      </c>
      <c r="AA397">
        <f t="shared" si="51"/>
        <v>0</v>
      </c>
      <c r="AL397" s="142"/>
    </row>
    <row r="398" spans="1:38" hidden="1" x14ac:dyDescent="0.2">
      <c r="A398" s="1700"/>
      <c r="B398" s="1698"/>
      <c r="C398" s="1712"/>
      <c r="D398" s="1699"/>
      <c r="E398" s="1699"/>
      <c r="F398" s="1699"/>
      <c r="G398" s="1699"/>
      <c r="H398" s="1699"/>
      <c r="I398" s="1706"/>
      <c r="J398" s="1706"/>
      <c r="K398" s="1713" t="str">
        <f t="shared" si="52"/>
        <v/>
      </c>
      <c r="L398">
        <f t="shared" si="53"/>
        <v>0</v>
      </c>
      <c r="Q398">
        <f t="shared" si="54"/>
        <v>0</v>
      </c>
      <c r="R398">
        <f t="shared" si="55"/>
        <v>0</v>
      </c>
      <c r="S398">
        <f t="shared" si="56"/>
        <v>0</v>
      </c>
      <c r="T398">
        <f t="shared" si="57"/>
        <v>0</v>
      </c>
      <c r="U398">
        <f t="shared" si="58"/>
        <v>0</v>
      </c>
      <c r="V398">
        <f t="shared" si="59"/>
        <v>0</v>
      </c>
      <c r="AA398">
        <f t="shared" si="51"/>
        <v>0</v>
      </c>
      <c r="AL398" s="142"/>
    </row>
    <row r="399" spans="1:38" hidden="1" x14ac:dyDescent="0.2">
      <c r="A399" s="1700"/>
      <c r="B399" s="1698"/>
      <c r="C399" s="1712"/>
      <c r="D399" s="1699"/>
      <c r="E399" s="1699"/>
      <c r="F399" s="1699"/>
      <c r="G399" s="1699"/>
      <c r="H399" s="1699"/>
      <c r="I399" s="1706"/>
      <c r="J399" s="1706"/>
      <c r="K399" s="1713" t="str">
        <f t="shared" si="52"/>
        <v/>
      </c>
      <c r="L399">
        <f t="shared" si="53"/>
        <v>0</v>
      </c>
      <c r="Q399">
        <f t="shared" si="54"/>
        <v>0</v>
      </c>
      <c r="R399">
        <f t="shared" si="55"/>
        <v>0</v>
      </c>
      <c r="S399">
        <f t="shared" si="56"/>
        <v>0</v>
      </c>
      <c r="T399">
        <f t="shared" si="57"/>
        <v>0</v>
      </c>
      <c r="U399">
        <f t="shared" si="58"/>
        <v>0</v>
      </c>
      <c r="V399">
        <f t="shared" si="59"/>
        <v>0</v>
      </c>
      <c r="AA399">
        <f t="shared" si="51"/>
        <v>0</v>
      </c>
      <c r="AL399" s="142"/>
    </row>
    <row r="400" spans="1:38" hidden="1" x14ac:dyDescent="0.2">
      <c r="A400" s="1700"/>
      <c r="B400" s="1698"/>
      <c r="C400" s="1712"/>
      <c r="D400" s="1699"/>
      <c r="E400" s="1699"/>
      <c r="F400" s="1699"/>
      <c r="G400" s="1699"/>
      <c r="H400" s="1699"/>
      <c r="I400" s="1706"/>
      <c r="J400" s="1706"/>
      <c r="K400" s="1713" t="str">
        <f t="shared" si="52"/>
        <v/>
      </c>
      <c r="L400">
        <f t="shared" si="53"/>
        <v>0</v>
      </c>
      <c r="Q400">
        <f t="shared" si="54"/>
        <v>0</v>
      </c>
      <c r="R400">
        <f t="shared" si="55"/>
        <v>0</v>
      </c>
      <c r="S400">
        <f t="shared" si="56"/>
        <v>0</v>
      </c>
      <c r="T400">
        <f t="shared" si="57"/>
        <v>0</v>
      </c>
      <c r="U400">
        <f t="shared" si="58"/>
        <v>0</v>
      </c>
      <c r="V400">
        <f t="shared" si="59"/>
        <v>0</v>
      </c>
      <c r="AA400">
        <f t="shared" si="51"/>
        <v>0</v>
      </c>
      <c r="AL400" s="142"/>
    </row>
    <row r="401" spans="1:38" hidden="1" x14ac:dyDescent="0.2">
      <c r="A401" s="1700"/>
      <c r="B401" s="1698"/>
      <c r="C401" s="1712"/>
      <c r="D401" s="1699"/>
      <c r="E401" s="1699"/>
      <c r="F401" s="1699"/>
      <c r="G401" s="1699"/>
      <c r="H401" s="1699"/>
      <c r="I401" s="1706"/>
      <c r="J401" s="1706"/>
      <c r="K401" s="1713" t="str">
        <f t="shared" si="52"/>
        <v/>
      </c>
      <c r="L401">
        <f t="shared" si="53"/>
        <v>0</v>
      </c>
      <c r="Q401">
        <f t="shared" si="54"/>
        <v>0</v>
      </c>
      <c r="R401">
        <f t="shared" si="55"/>
        <v>0</v>
      </c>
      <c r="S401">
        <f t="shared" si="56"/>
        <v>0</v>
      </c>
      <c r="T401">
        <f t="shared" si="57"/>
        <v>0</v>
      </c>
      <c r="U401">
        <f t="shared" si="58"/>
        <v>0</v>
      </c>
      <c r="V401">
        <f t="shared" si="59"/>
        <v>0</v>
      </c>
      <c r="AA401">
        <f t="shared" si="51"/>
        <v>0</v>
      </c>
      <c r="AL401" s="142"/>
    </row>
    <row r="402" spans="1:38" hidden="1" x14ac:dyDescent="0.2">
      <c r="A402" s="1700"/>
      <c r="B402" s="1698"/>
      <c r="C402" s="1712"/>
      <c r="D402" s="1699"/>
      <c r="E402" s="1699"/>
      <c r="F402" s="1699"/>
      <c r="G402" s="1699"/>
      <c r="H402" s="1699"/>
      <c r="I402" s="1706"/>
      <c r="J402" s="1706"/>
      <c r="K402" s="1713" t="str">
        <f t="shared" si="52"/>
        <v/>
      </c>
      <c r="L402">
        <f t="shared" si="53"/>
        <v>0</v>
      </c>
      <c r="Q402">
        <f t="shared" si="54"/>
        <v>0</v>
      </c>
      <c r="R402">
        <f t="shared" si="55"/>
        <v>0</v>
      </c>
      <c r="S402">
        <f t="shared" si="56"/>
        <v>0</v>
      </c>
      <c r="T402">
        <f t="shared" si="57"/>
        <v>0</v>
      </c>
      <c r="U402">
        <f t="shared" si="58"/>
        <v>0</v>
      </c>
      <c r="V402">
        <f t="shared" si="59"/>
        <v>0</v>
      </c>
      <c r="AA402">
        <f t="shared" si="51"/>
        <v>0</v>
      </c>
      <c r="AL402" s="142"/>
    </row>
    <row r="403" spans="1:38" hidden="1" x14ac:dyDescent="0.2">
      <c r="A403" s="1700"/>
      <c r="B403" s="1698"/>
      <c r="C403" s="1712"/>
      <c r="D403" s="1699"/>
      <c r="E403" s="1699"/>
      <c r="F403" s="1699"/>
      <c r="G403" s="1699"/>
      <c r="H403" s="1699"/>
      <c r="I403" s="1706"/>
      <c r="J403" s="1706"/>
      <c r="K403" s="1713" t="str">
        <f t="shared" si="52"/>
        <v/>
      </c>
      <c r="L403">
        <f t="shared" si="53"/>
        <v>0</v>
      </c>
      <c r="Q403">
        <f t="shared" si="54"/>
        <v>0</v>
      </c>
      <c r="R403">
        <f t="shared" si="55"/>
        <v>0</v>
      </c>
      <c r="S403">
        <f t="shared" si="56"/>
        <v>0</v>
      </c>
      <c r="T403">
        <f t="shared" si="57"/>
        <v>0</v>
      </c>
      <c r="U403">
        <f t="shared" si="58"/>
        <v>0</v>
      </c>
      <c r="V403">
        <f t="shared" si="59"/>
        <v>0</v>
      </c>
      <c r="AA403">
        <f t="shared" si="51"/>
        <v>0</v>
      </c>
      <c r="AL403" s="142"/>
    </row>
    <row r="404" spans="1:38" hidden="1" x14ac:dyDescent="0.2">
      <c r="A404" s="1700"/>
      <c r="B404" s="1698"/>
      <c r="C404" s="1712"/>
      <c r="D404" s="1699"/>
      <c r="E404" s="1699"/>
      <c r="F404" s="1699"/>
      <c r="G404" s="1699"/>
      <c r="H404" s="1699"/>
      <c r="I404" s="1706"/>
      <c r="J404" s="1706"/>
      <c r="K404" s="1713" t="str">
        <f t="shared" si="52"/>
        <v/>
      </c>
      <c r="L404">
        <f t="shared" si="53"/>
        <v>0</v>
      </c>
      <c r="Q404">
        <f t="shared" si="54"/>
        <v>0</v>
      </c>
      <c r="R404">
        <f t="shared" si="55"/>
        <v>0</v>
      </c>
      <c r="S404">
        <f t="shared" si="56"/>
        <v>0</v>
      </c>
      <c r="T404">
        <f t="shared" si="57"/>
        <v>0</v>
      </c>
      <c r="U404">
        <f t="shared" si="58"/>
        <v>0</v>
      </c>
      <c r="V404">
        <f t="shared" si="59"/>
        <v>0</v>
      </c>
      <c r="AA404">
        <f t="shared" si="51"/>
        <v>0</v>
      </c>
      <c r="AL404" s="142"/>
    </row>
    <row r="405" spans="1:38" hidden="1" x14ac:dyDescent="0.2">
      <c r="A405" s="1700"/>
      <c r="B405" s="1698"/>
      <c r="C405" s="1712"/>
      <c r="D405" s="1699"/>
      <c r="E405" s="1699"/>
      <c r="F405" s="1699"/>
      <c r="G405" s="1699"/>
      <c r="H405" s="1699"/>
      <c r="I405" s="1706"/>
      <c r="J405" s="1706"/>
      <c r="K405" s="1713" t="str">
        <f t="shared" si="52"/>
        <v/>
      </c>
      <c r="L405">
        <f t="shared" si="53"/>
        <v>0</v>
      </c>
      <c r="Q405">
        <f t="shared" si="54"/>
        <v>0</v>
      </c>
      <c r="R405">
        <f t="shared" si="55"/>
        <v>0</v>
      </c>
      <c r="S405">
        <f t="shared" si="56"/>
        <v>0</v>
      </c>
      <c r="T405">
        <f t="shared" si="57"/>
        <v>0</v>
      </c>
      <c r="U405">
        <f t="shared" si="58"/>
        <v>0</v>
      </c>
      <c r="V405">
        <f t="shared" si="59"/>
        <v>0</v>
      </c>
      <c r="AA405">
        <f t="shared" si="51"/>
        <v>0</v>
      </c>
      <c r="AL405" s="142"/>
    </row>
    <row r="406" spans="1:38" hidden="1" x14ac:dyDescent="0.2">
      <c r="A406" s="1700"/>
      <c r="B406" s="1698"/>
      <c r="C406" s="1712"/>
      <c r="D406" s="1699"/>
      <c r="E406" s="1699"/>
      <c r="F406" s="1699"/>
      <c r="G406" s="1699"/>
      <c r="H406" s="1699"/>
      <c r="I406" s="1706"/>
      <c r="J406" s="1706"/>
      <c r="K406" s="1713" t="str">
        <f t="shared" si="52"/>
        <v/>
      </c>
      <c r="L406">
        <f t="shared" si="53"/>
        <v>0</v>
      </c>
      <c r="Q406">
        <f t="shared" si="54"/>
        <v>0</v>
      </c>
      <c r="R406">
        <f t="shared" si="55"/>
        <v>0</v>
      </c>
      <c r="S406">
        <f t="shared" si="56"/>
        <v>0</v>
      </c>
      <c r="T406">
        <f t="shared" si="57"/>
        <v>0</v>
      </c>
      <c r="U406">
        <f t="shared" si="58"/>
        <v>0</v>
      </c>
      <c r="V406">
        <f t="shared" si="59"/>
        <v>0</v>
      </c>
      <c r="AA406">
        <f t="shared" si="51"/>
        <v>0</v>
      </c>
      <c r="AL406" s="142"/>
    </row>
    <row r="407" spans="1:38" hidden="1" x14ac:dyDescent="0.2">
      <c r="A407" s="1700"/>
      <c r="B407" s="1698"/>
      <c r="C407" s="1712"/>
      <c r="D407" s="1699"/>
      <c r="E407" s="1699"/>
      <c r="F407" s="1699"/>
      <c r="G407" s="1699"/>
      <c r="H407" s="1699"/>
      <c r="I407" s="1706"/>
      <c r="J407" s="1706"/>
      <c r="K407" s="1713" t="str">
        <f t="shared" si="52"/>
        <v/>
      </c>
      <c r="L407">
        <f t="shared" si="53"/>
        <v>0</v>
      </c>
      <c r="Q407">
        <f t="shared" si="54"/>
        <v>0</v>
      </c>
      <c r="R407">
        <f t="shared" si="55"/>
        <v>0</v>
      </c>
      <c r="S407">
        <f t="shared" si="56"/>
        <v>0</v>
      </c>
      <c r="T407">
        <f t="shared" si="57"/>
        <v>0</v>
      </c>
      <c r="U407">
        <f t="shared" si="58"/>
        <v>0</v>
      </c>
      <c r="V407">
        <f t="shared" si="59"/>
        <v>0</v>
      </c>
      <c r="AA407">
        <f t="shared" si="51"/>
        <v>0</v>
      </c>
      <c r="AL407" s="142"/>
    </row>
    <row r="408" spans="1:38" hidden="1" x14ac:dyDescent="0.2">
      <c r="A408" s="1700"/>
      <c r="B408" s="1698"/>
      <c r="C408" s="1712"/>
      <c r="D408" s="1699"/>
      <c r="E408" s="1699"/>
      <c r="F408" s="1699"/>
      <c r="G408" s="1699"/>
      <c r="H408" s="1699"/>
      <c r="I408" s="1706"/>
      <c r="J408" s="1706"/>
      <c r="K408" s="1713" t="str">
        <f t="shared" si="52"/>
        <v/>
      </c>
      <c r="L408">
        <f t="shared" si="53"/>
        <v>0</v>
      </c>
      <c r="Q408">
        <f t="shared" si="54"/>
        <v>0</v>
      </c>
      <c r="R408">
        <f t="shared" si="55"/>
        <v>0</v>
      </c>
      <c r="S408">
        <f t="shared" si="56"/>
        <v>0</v>
      </c>
      <c r="T408">
        <f t="shared" si="57"/>
        <v>0</v>
      </c>
      <c r="U408">
        <f t="shared" si="58"/>
        <v>0</v>
      </c>
      <c r="V408">
        <f t="shared" si="59"/>
        <v>0</v>
      </c>
      <c r="AA408">
        <f t="shared" si="51"/>
        <v>0</v>
      </c>
      <c r="AL408" s="142"/>
    </row>
    <row r="409" spans="1:38" hidden="1" x14ac:dyDescent="0.2">
      <c r="A409" s="1700"/>
      <c r="B409" s="1698"/>
      <c r="C409" s="1712"/>
      <c r="D409" s="1699"/>
      <c r="E409" s="1699"/>
      <c r="F409" s="1699"/>
      <c r="G409" s="1699"/>
      <c r="H409" s="1699"/>
      <c r="I409" s="1706"/>
      <c r="J409" s="1706"/>
      <c r="K409" s="1713" t="str">
        <f t="shared" si="52"/>
        <v/>
      </c>
      <c r="L409">
        <f t="shared" si="53"/>
        <v>0</v>
      </c>
      <c r="Q409">
        <f t="shared" si="54"/>
        <v>0</v>
      </c>
      <c r="R409">
        <f t="shared" si="55"/>
        <v>0</v>
      </c>
      <c r="S409">
        <f t="shared" si="56"/>
        <v>0</v>
      </c>
      <c r="T409">
        <f t="shared" si="57"/>
        <v>0</v>
      </c>
      <c r="U409">
        <f t="shared" si="58"/>
        <v>0</v>
      </c>
      <c r="V409">
        <f t="shared" si="59"/>
        <v>0</v>
      </c>
      <c r="AA409">
        <f t="shared" ref="AA409:AA472" si="60">IF(ISERROR(VLOOKUP($B409,eu_countries,1,FALSE))=TRUE,0,1)</f>
      </c>
      <c r="AL409" s="142"/>
    </row>
    <row r="410" spans="1:38" hidden="1" x14ac:dyDescent="0.2">
      <c r="A410" s="1700"/>
      <c r="B410" s="1698"/>
      <c r="C410" s="1712"/>
      <c r="D410" s="1699"/>
      <c r="E410" s="1699"/>
      <c r="F410" s="1699"/>
      <c r="G410" s="1699"/>
      <c r="H410" s="1699"/>
      <c r="I410" s="1706"/>
      <c r="J410" s="1706"/>
      <c r="K410" s="1713" t="str">
        <f t="shared" ref="K410:K473" si="61">IF(AND(AA410=1,A410=$S$59),"TIN required!",IF(Q410&gt;R410," All details required!",""))</f>
        <v/>
      </c>
      <c r="L410">
        <f t="shared" ref="L410:L473" si="62">IF(K410="",0,1)</f>
      </c>
      <c r="Q410">
        <f t="shared" ref="Q410:Q473" si="63">IF(AND(G404="Yes",R410=0),7,IF(S410=0,0,IF(A410=$S$59,10,7)))</f>
      </c>
      <c r="R410">
        <f t="shared" ref="R410:R473" si="64">IF(AND(AA410=0,A410=$S$59),T410+U410+V410,T410+V410)</f>
      </c>
      <c r="S410">
        <f t="shared" ref="S410:S473" si="65">SUM(T410:V410)</f>
      </c>
      <c r="T410">
        <f t="shared" ref="T410:T473" si="66">COUNTA(A410:B410)</f>
      </c>
      <c r="U410">
        <f t="shared" ref="U410:U473" si="67">COUNTA(C410:E410)</f>
      </c>
      <c r="V410">
        <f t="shared" ref="V410:V473" si="68">COUNTA(F410:J410)</f>
      </c>
      <c r="AA410">
        <f t="shared" si="60"/>
        <v>0</v>
      </c>
      <c r="AL410" s="142"/>
    </row>
    <row r="411" spans="1:38" hidden="1" x14ac:dyDescent="0.2">
      <c r="A411" s="1700"/>
      <c r="B411" s="1698"/>
      <c r="C411" s="1712"/>
      <c r="D411" s="1699"/>
      <c r="E411" s="1699"/>
      <c r="F411" s="1699"/>
      <c r="G411" s="1699"/>
      <c r="H411" s="1699"/>
      <c r="I411" s="1706"/>
      <c r="J411" s="1706"/>
      <c r="K411" s="1713" t="str">
        <f t="shared" si="61"/>
        <v/>
      </c>
      <c r="L411">
        <f t="shared" si="62"/>
        <v>0</v>
      </c>
      <c r="Q411">
        <f t="shared" si="63"/>
        <v>0</v>
      </c>
      <c r="R411">
        <f t="shared" si="64"/>
        <v>0</v>
      </c>
      <c r="S411">
        <f t="shared" si="65"/>
        <v>0</v>
      </c>
      <c r="T411">
        <f t="shared" si="66"/>
        <v>0</v>
      </c>
      <c r="U411">
        <f t="shared" si="67"/>
        <v>0</v>
      </c>
      <c r="V411">
        <f t="shared" si="68"/>
        <v>0</v>
      </c>
      <c r="AA411">
        <f t="shared" si="60"/>
        <v>0</v>
      </c>
      <c r="AL411" s="142"/>
    </row>
    <row r="412" spans="1:38" hidden="1" x14ac:dyDescent="0.2">
      <c r="A412" s="1700"/>
      <c r="B412" s="1698"/>
      <c r="C412" s="1712"/>
      <c r="D412" s="1699"/>
      <c r="E412" s="1699"/>
      <c r="F412" s="1699"/>
      <c r="G412" s="1699"/>
      <c r="H412" s="1699"/>
      <c r="I412" s="1706"/>
      <c r="J412" s="1706"/>
      <c r="K412" s="1713" t="str">
        <f t="shared" si="61"/>
        <v/>
      </c>
      <c r="L412">
        <f t="shared" si="62"/>
        <v>0</v>
      </c>
      <c r="Q412">
        <f t="shared" si="63"/>
        <v>0</v>
      </c>
      <c r="R412">
        <f t="shared" si="64"/>
        <v>0</v>
      </c>
      <c r="S412">
        <f t="shared" si="65"/>
        <v>0</v>
      </c>
      <c r="T412">
        <f t="shared" si="66"/>
        <v>0</v>
      </c>
      <c r="U412">
        <f t="shared" si="67"/>
        <v>0</v>
      </c>
      <c r="V412">
        <f t="shared" si="68"/>
        <v>0</v>
      </c>
      <c r="AA412">
        <f t="shared" si="60"/>
        <v>0</v>
      </c>
      <c r="AL412" s="142"/>
    </row>
    <row r="413" spans="1:38" hidden="1" x14ac:dyDescent="0.2">
      <c r="A413" s="1700"/>
      <c r="B413" s="1698"/>
      <c r="C413" s="1712"/>
      <c r="D413" s="1699"/>
      <c r="E413" s="1699"/>
      <c r="F413" s="1699"/>
      <c r="G413" s="1699"/>
      <c r="H413" s="1699"/>
      <c r="I413" s="1706"/>
      <c r="J413" s="1706"/>
      <c r="K413" s="1713" t="str">
        <f t="shared" si="61"/>
        <v/>
      </c>
      <c r="L413">
        <f t="shared" si="62"/>
        <v>0</v>
      </c>
      <c r="Q413">
        <f t="shared" si="63"/>
        <v>0</v>
      </c>
      <c r="R413">
        <f t="shared" si="64"/>
        <v>0</v>
      </c>
      <c r="S413">
        <f t="shared" si="65"/>
        <v>0</v>
      </c>
      <c r="T413">
        <f t="shared" si="66"/>
        <v>0</v>
      </c>
      <c r="U413">
        <f t="shared" si="67"/>
        <v>0</v>
      </c>
      <c r="V413">
        <f t="shared" si="68"/>
        <v>0</v>
      </c>
      <c r="AA413">
        <f t="shared" si="60"/>
        <v>0</v>
      </c>
      <c r="AL413" s="142"/>
    </row>
    <row r="414" spans="1:38" hidden="1" x14ac:dyDescent="0.2">
      <c r="A414" s="1700"/>
      <c r="B414" s="1698"/>
      <c r="C414" s="1712"/>
      <c r="D414" s="1699"/>
      <c r="E414" s="1699"/>
      <c r="F414" s="1699"/>
      <c r="G414" s="1699"/>
      <c r="H414" s="1699"/>
      <c r="I414" s="1706"/>
      <c r="J414" s="1706"/>
      <c r="K414" s="1713" t="str">
        <f t="shared" si="61"/>
        <v/>
      </c>
      <c r="L414">
        <f t="shared" si="62"/>
        <v>0</v>
      </c>
      <c r="Q414">
        <f t="shared" si="63"/>
        <v>0</v>
      </c>
      <c r="R414">
        <f t="shared" si="64"/>
        <v>0</v>
      </c>
      <c r="S414">
        <f t="shared" si="65"/>
        <v>0</v>
      </c>
      <c r="T414">
        <f t="shared" si="66"/>
        <v>0</v>
      </c>
      <c r="U414">
        <f t="shared" si="67"/>
        <v>0</v>
      </c>
      <c r="V414">
        <f t="shared" si="68"/>
        <v>0</v>
      </c>
      <c r="AA414">
        <f t="shared" si="60"/>
        <v>0</v>
      </c>
      <c r="AL414" s="142"/>
    </row>
    <row r="415" spans="1:38" hidden="1" x14ac:dyDescent="0.2">
      <c r="A415" s="1700"/>
      <c r="B415" s="1698"/>
      <c r="C415" s="1712"/>
      <c r="D415" s="1699"/>
      <c r="E415" s="1699"/>
      <c r="F415" s="1699"/>
      <c r="G415" s="1699"/>
      <c r="H415" s="1699"/>
      <c r="I415" s="1706"/>
      <c r="J415" s="1706"/>
      <c r="K415" s="1713" t="str">
        <f t="shared" si="61"/>
        <v/>
      </c>
      <c r="L415">
        <f t="shared" si="62"/>
        <v>0</v>
      </c>
      <c r="Q415">
        <f t="shared" si="63"/>
        <v>0</v>
      </c>
      <c r="R415">
        <f t="shared" si="64"/>
        <v>0</v>
      </c>
      <c r="S415">
        <f t="shared" si="65"/>
        <v>0</v>
      </c>
      <c r="T415">
        <f t="shared" si="66"/>
        <v>0</v>
      </c>
      <c r="U415">
        <f t="shared" si="67"/>
        <v>0</v>
      </c>
      <c r="V415">
        <f t="shared" si="68"/>
        <v>0</v>
      </c>
      <c r="AA415">
        <f t="shared" si="60"/>
        <v>0</v>
      </c>
      <c r="AL415" s="142"/>
    </row>
    <row r="416" spans="1:38" hidden="1" x14ac:dyDescent="0.2">
      <c r="A416" s="1700"/>
      <c r="B416" s="1698"/>
      <c r="C416" s="1712"/>
      <c r="D416" s="1699"/>
      <c r="E416" s="1699"/>
      <c r="F416" s="1699"/>
      <c r="G416" s="1699"/>
      <c r="H416" s="1699"/>
      <c r="I416" s="1706"/>
      <c r="J416" s="1706"/>
      <c r="K416" s="1713" t="str">
        <f t="shared" si="61"/>
        <v/>
      </c>
      <c r="L416">
        <f t="shared" si="62"/>
        <v>0</v>
      </c>
      <c r="Q416">
        <f t="shared" si="63"/>
        <v>0</v>
      </c>
      <c r="R416">
        <f t="shared" si="64"/>
        <v>0</v>
      </c>
      <c r="S416">
        <f t="shared" si="65"/>
        <v>0</v>
      </c>
      <c r="T416">
        <f t="shared" si="66"/>
        <v>0</v>
      </c>
      <c r="U416">
        <f t="shared" si="67"/>
        <v>0</v>
      </c>
      <c r="V416">
        <f t="shared" si="68"/>
        <v>0</v>
      </c>
      <c r="AA416">
        <f t="shared" si="60"/>
        <v>0</v>
      </c>
      <c r="AL416" s="142"/>
    </row>
    <row r="417" spans="1:38" hidden="1" x14ac:dyDescent="0.2">
      <c r="A417" s="1700"/>
      <c r="B417" s="1698"/>
      <c r="C417" s="1712"/>
      <c r="D417" s="1699"/>
      <c r="E417" s="1699"/>
      <c r="F417" s="1699"/>
      <c r="G417" s="1699"/>
      <c r="H417" s="1699"/>
      <c r="I417" s="1706"/>
      <c r="J417" s="1706"/>
      <c r="K417" s="1713" t="str">
        <f t="shared" si="61"/>
        <v/>
      </c>
      <c r="L417">
        <f t="shared" si="62"/>
        <v>0</v>
      </c>
      <c r="Q417">
        <f t="shared" si="63"/>
        <v>0</v>
      </c>
      <c r="R417">
        <f t="shared" si="64"/>
        <v>0</v>
      </c>
      <c r="S417">
        <f t="shared" si="65"/>
        <v>0</v>
      </c>
      <c r="T417">
        <f t="shared" si="66"/>
        <v>0</v>
      </c>
      <c r="U417">
        <f t="shared" si="67"/>
        <v>0</v>
      </c>
      <c r="V417">
        <f t="shared" si="68"/>
        <v>0</v>
      </c>
      <c r="AA417">
        <f t="shared" si="60"/>
        <v>0</v>
      </c>
      <c r="AL417" s="142"/>
    </row>
    <row r="418" spans="1:38" hidden="1" x14ac:dyDescent="0.2">
      <c r="A418" s="1700"/>
      <c r="B418" s="1698"/>
      <c r="C418" s="1712"/>
      <c r="D418" s="1699"/>
      <c r="E418" s="1699"/>
      <c r="F418" s="1699"/>
      <c r="G418" s="1699"/>
      <c r="H418" s="1699"/>
      <c r="I418" s="1706"/>
      <c r="J418" s="1706"/>
      <c r="K418" s="1713" t="str">
        <f t="shared" si="61"/>
        <v/>
      </c>
      <c r="L418">
        <f t="shared" si="62"/>
        <v>0</v>
      </c>
      <c r="Q418">
        <f t="shared" si="63"/>
        <v>0</v>
      </c>
      <c r="R418">
        <f t="shared" si="64"/>
        <v>0</v>
      </c>
      <c r="S418">
        <f t="shared" si="65"/>
        <v>0</v>
      </c>
      <c r="T418">
        <f t="shared" si="66"/>
        <v>0</v>
      </c>
      <c r="U418">
        <f t="shared" si="67"/>
        <v>0</v>
      </c>
      <c r="V418">
        <f t="shared" si="68"/>
        <v>0</v>
      </c>
      <c r="AA418">
        <f t="shared" si="60"/>
        <v>0</v>
      </c>
      <c r="AL418" s="142"/>
    </row>
    <row r="419" spans="1:38" hidden="1" x14ac:dyDescent="0.2">
      <c r="A419" s="1700"/>
      <c r="B419" s="1698"/>
      <c r="C419" s="1712"/>
      <c r="D419" s="1699"/>
      <c r="E419" s="1699"/>
      <c r="F419" s="1699"/>
      <c r="G419" s="1699"/>
      <c r="H419" s="1699"/>
      <c r="I419" s="1706"/>
      <c r="J419" s="1706"/>
      <c r="K419" s="1713" t="str">
        <f t="shared" si="61"/>
        <v/>
      </c>
      <c r="L419">
        <f t="shared" si="62"/>
        <v>0</v>
      </c>
      <c r="Q419">
        <f t="shared" si="63"/>
        <v>0</v>
      </c>
      <c r="R419">
        <f t="shared" si="64"/>
        <v>0</v>
      </c>
      <c r="S419">
        <f t="shared" si="65"/>
        <v>0</v>
      </c>
      <c r="T419">
        <f t="shared" si="66"/>
        <v>0</v>
      </c>
      <c r="U419">
        <f t="shared" si="67"/>
        <v>0</v>
      </c>
      <c r="V419">
        <f t="shared" si="68"/>
        <v>0</v>
      </c>
      <c r="AA419">
        <f t="shared" si="60"/>
        <v>0</v>
      </c>
      <c r="AL419" s="142"/>
    </row>
    <row r="420" spans="1:38" hidden="1" x14ac:dyDescent="0.2">
      <c r="A420" s="1700"/>
      <c r="B420" s="1698"/>
      <c r="C420" s="1712"/>
      <c r="D420" s="1699"/>
      <c r="E420" s="1699"/>
      <c r="F420" s="1699"/>
      <c r="G420" s="1699"/>
      <c r="H420" s="1699"/>
      <c r="I420" s="1706"/>
      <c r="J420" s="1706"/>
      <c r="K420" s="1713" t="str">
        <f t="shared" si="61"/>
        <v/>
      </c>
      <c r="L420">
        <f t="shared" si="62"/>
        <v>0</v>
      </c>
      <c r="Q420">
        <f t="shared" si="63"/>
        <v>0</v>
      </c>
      <c r="R420">
        <f t="shared" si="64"/>
        <v>0</v>
      </c>
      <c r="S420">
        <f t="shared" si="65"/>
        <v>0</v>
      </c>
      <c r="T420">
        <f t="shared" si="66"/>
        <v>0</v>
      </c>
      <c r="U420">
        <f t="shared" si="67"/>
        <v>0</v>
      </c>
      <c r="V420">
        <f t="shared" si="68"/>
        <v>0</v>
      </c>
      <c r="AA420">
        <f t="shared" si="60"/>
        <v>0</v>
      </c>
      <c r="AL420" s="142"/>
    </row>
    <row r="421" spans="1:38" hidden="1" x14ac:dyDescent="0.2">
      <c r="A421" s="1700"/>
      <c r="B421" s="1698"/>
      <c r="C421" s="1712"/>
      <c r="D421" s="1699"/>
      <c r="E421" s="1699"/>
      <c r="F421" s="1699"/>
      <c r="G421" s="1699"/>
      <c r="H421" s="1699"/>
      <c r="I421" s="1706"/>
      <c r="J421" s="1706"/>
      <c r="K421" s="1713" t="str">
        <f t="shared" si="61"/>
        <v/>
      </c>
      <c r="L421">
        <f t="shared" si="62"/>
        <v>0</v>
      </c>
      <c r="Q421">
        <f t="shared" si="63"/>
        <v>0</v>
      </c>
      <c r="R421">
        <f t="shared" si="64"/>
        <v>0</v>
      </c>
      <c r="S421">
        <f t="shared" si="65"/>
        <v>0</v>
      </c>
      <c r="T421">
        <f t="shared" si="66"/>
        <v>0</v>
      </c>
      <c r="U421">
        <f t="shared" si="67"/>
        <v>0</v>
      </c>
      <c r="V421">
        <f t="shared" si="68"/>
        <v>0</v>
      </c>
      <c r="AA421">
        <f t="shared" si="60"/>
        <v>0</v>
      </c>
      <c r="AL421" s="142"/>
    </row>
    <row r="422" spans="1:38" hidden="1" x14ac:dyDescent="0.2">
      <c r="A422" s="1700"/>
      <c r="B422" s="1698"/>
      <c r="C422" s="1712"/>
      <c r="D422" s="1699"/>
      <c r="E422" s="1699"/>
      <c r="F422" s="1699"/>
      <c r="G422" s="1699"/>
      <c r="H422" s="1699"/>
      <c r="I422" s="1706"/>
      <c r="J422" s="1706"/>
      <c r="K422" s="1713" t="str">
        <f t="shared" si="61"/>
        <v/>
      </c>
      <c r="L422">
        <f t="shared" si="62"/>
        <v>0</v>
      </c>
      <c r="Q422">
        <f t="shared" si="63"/>
        <v>0</v>
      </c>
      <c r="R422">
        <f t="shared" si="64"/>
        <v>0</v>
      </c>
      <c r="S422">
        <f t="shared" si="65"/>
        <v>0</v>
      </c>
      <c r="T422">
        <f t="shared" si="66"/>
        <v>0</v>
      </c>
      <c r="U422">
        <f t="shared" si="67"/>
        <v>0</v>
      </c>
      <c r="V422">
        <f t="shared" si="68"/>
        <v>0</v>
      </c>
      <c r="AA422">
        <f t="shared" si="60"/>
        <v>0</v>
      </c>
      <c r="AL422" s="142"/>
    </row>
    <row r="423" spans="1:38" hidden="1" x14ac:dyDescent="0.2">
      <c r="A423" s="1700"/>
      <c r="B423" s="1698"/>
      <c r="C423" s="1712"/>
      <c r="D423" s="1699"/>
      <c r="E423" s="1699"/>
      <c r="F423" s="1699"/>
      <c r="G423" s="1699"/>
      <c r="H423" s="1699"/>
      <c r="I423" s="1706"/>
      <c r="J423" s="1706"/>
      <c r="K423" s="1713" t="str">
        <f t="shared" si="61"/>
        <v/>
      </c>
      <c r="L423">
        <f t="shared" si="62"/>
        <v>0</v>
      </c>
      <c r="Q423">
        <f t="shared" si="63"/>
        <v>0</v>
      </c>
      <c r="R423">
        <f t="shared" si="64"/>
        <v>0</v>
      </c>
      <c r="S423">
        <f t="shared" si="65"/>
        <v>0</v>
      </c>
      <c r="T423">
        <f t="shared" si="66"/>
        <v>0</v>
      </c>
      <c r="U423">
        <f t="shared" si="67"/>
        <v>0</v>
      </c>
      <c r="V423">
        <f t="shared" si="68"/>
        <v>0</v>
      </c>
      <c r="AA423">
        <f t="shared" si="60"/>
        <v>0</v>
      </c>
      <c r="AL423" s="142"/>
    </row>
    <row r="424" spans="1:38" hidden="1" x14ac:dyDescent="0.2">
      <c r="A424" s="1700"/>
      <c r="B424" s="1698"/>
      <c r="C424" s="1712"/>
      <c r="D424" s="1699"/>
      <c r="E424" s="1699"/>
      <c r="F424" s="1699"/>
      <c r="G424" s="1699"/>
      <c r="H424" s="1699"/>
      <c r="I424" s="1706"/>
      <c r="J424" s="1706"/>
      <c r="K424" s="1713" t="str">
        <f t="shared" si="61"/>
        <v/>
      </c>
      <c r="L424">
        <f t="shared" si="62"/>
        <v>0</v>
      </c>
      <c r="Q424">
        <f t="shared" si="63"/>
        <v>0</v>
      </c>
      <c r="R424">
        <f t="shared" si="64"/>
        <v>0</v>
      </c>
      <c r="S424">
        <f t="shared" si="65"/>
        <v>0</v>
      </c>
      <c r="T424">
        <f t="shared" si="66"/>
        <v>0</v>
      </c>
      <c r="U424">
        <f t="shared" si="67"/>
        <v>0</v>
      </c>
      <c r="V424">
        <f t="shared" si="68"/>
        <v>0</v>
      </c>
      <c r="AA424">
        <f t="shared" si="60"/>
        <v>0</v>
      </c>
      <c r="AL424" s="142"/>
    </row>
    <row r="425" spans="1:38" hidden="1" x14ac:dyDescent="0.2">
      <c r="A425" s="1700"/>
      <c r="B425" s="1698"/>
      <c r="C425" s="1712"/>
      <c r="D425" s="1699"/>
      <c r="E425" s="1699"/>
      <c r="F425" s="1699"/>
      <c r="G425" s="1699"/>
      <c r="H425" s="1699"/>
      <c r="I425" s="1706"/>
      <c r="J425" s="1706"/>
      <c r="K425" s="1713" t="str">
        <f t="shared" si="61"/>
        <v/>
      </c>
      <c r="L425">
        <f t="shared" si="62"/>
        <v>0</v>
      </c>
      <c r="Q425">
        <f t="shared" si="63"/>
        <v>0</v>
      </c>
      <c r="R425">
        <f t="shared" si="64"/>
        <v>0</v>
      </c>
      <c r="S425">
        <f t="shared" si="65"/>
        <v>0</v>
      </c>
      <c r="T425">
        <f t="shared" si="66"/>
        <v>0</v>
      </c>
      <c r="U425">
        <f t="shared" si="67"/>
        <v>0</v>
      </c>
      <c r="V425">
        <f t="shared" si="68"/>
        <v>0</v>
      </c>
      <c r="AA425">
        <f t="shared" si="60"/>
        <v>0</v>
      </c>
      <c r="AL425" s="142"/>
    </row>
    <row r="426" spans="1:38" hidden="1" x14ac:dyDescent="0.2">
      <c r="A426" s="1700"/>
      <c r="B426" s="1698"/>
      <c r="C426" s="1712"/>
      <c r="D426" s="1699"/>
      <c r="E426" s="1699"/>
      <c r="F426" s="1699"/>
      <c r="G426" s="1699"/>
      <c r="H426" s="1699"/>
      <c r="I426" s="1706"/>
      <c r="J426" s="1706"/>
      <c r="K426" s="1713" t="str">
        <f t="shared" si="61"/>
        <v/>
      </c>
      <c r="L426">
        <f t="shared" si="62"/>
        <v>0</v>
      </c>
      <c r="Q426">
        <f t="shared" si="63"/>
        <v>0</v>
      </c>
      <c r="R426">
        <f t="shared" si="64"/>
        <v>0</v>
      </c>
      <c r="S426">
        <f t="shared" si="65"/>
        <v>0</v>
      </c>
      <c r="T426">
        <f t="shared" si="66"/>
        <v>0</v>
      </c>
      <c r="U426">
        <f t="shared" si="67"/>
        <v>0</v>
      </c>
      <c r="V426">
        <f t="shared" si="68"/>
        <v>0</v>
      </c>
      <c r="AA426">
        <f t="shared" si="60"/>
        <v>0</v>
      </c>
      <c r="AL426" s="142"/>
    </row>
    <row r="427" spans="1:38" hidden="1" x14ac:dyDescent="0.2">
      <c r="A427" s="1700"/>
      <c r="B427" s="1698"/>
      <c r="C427" s="1712"/>
      <c r="D427" s="1699"/>
      <c r="E427" s="1699"/>
      <c r="F427" s="1699"/>
      <c r="G427" s="1699"/>
      <c r="H427" s="1699"/>
      <c r="I427" s="1706"/>
      <c r="J427" s="1706"/>
      <c r="K427" s="1713" t="str">
        <f t="shared" si="61"/>
        <v/>
      </c>
      <c r="L427">
        <f t="shared" si="62"/>
        <v>0</v>
      </c>
      <c r="Q427">
        <f t="shared" si="63"/>
        <v>0</v>
      </c>
      <c r="R427">
        <f t="shared" si="64"/>
        <v>0</v>
      </c>
      <c r="S427">
        <f t="shared" si="65"/>
        <v>0</v>
      </c>
      <c r="T427">
        <f t="shared" si="66"/>
        <v>0</v>
      </c>
      <c r="U427">
        <f t="shared" si="67"/>
        <v>0</v>
      </c>
      <c r="V427">
        <f t="shared" si="68"/>
        <v>0</v>
      </c>
      <c r="AA427">
        <f t="shared" si="60"/>
        <v>0</v>
      </c>
      <c r="AL427" s="142"/>
    </row>
    <row r="428" spans="1:38" hidden="1" x14ac:dyDescent="0.2">
      <c r="A428" s="1700"/>
      <c r="B428" s="1698"/>
      <c r="C428" s="1712"/>
      <c r="D428" s="1699"/>
      <c r="E428" s="1699"/>
      <c r="F428" s="1699"/>
      <c r="G428" s="1699"/>
      <c r="H428" s="1699"/>
      <c r="I428" s="1706"/>
      <c r="J428" s="1706"/>
      <c r="K428" s="1713" t="str">
        <f t="shared" si="61"/>
        <v/>
      </c>
      <c r="L428">
        <f t="shared" si="62"/>
        <v>0</v>
      </c>
      <c r="Q428">
        <f t="shared" si="63"/>
        <v>0</v>
      </c>
      <c r="R428">
        <f t="shared" si="64"/>
        <v>0</v>
      </c>
      <c r="S428">
        <f t="shared" si="65"/>
        <v>0</v>
      </c>
      <c r="T428">
        <f t="shared" si="66"/>
        <v>0</v>
      </c>
      <c r="U428">
        <f t="shared" si="67"/>
        <v>0</v>
      </c>
      <c r="V428">
        <f t="shared" si="68"/>
        <v>0</v>
      </c>
      <c r="AA428">
        <f t="shared" si="60"/>
        <v>0</v>
      </c>
      <c r="AL428" s="142"/>
    </row>
    <row r="429" spans="1:38" hidden="1" x14ac:dyDescent="0.2">
      <c r="A429" s="1700"/>
      <c r="B429" s="1698"/>
      <c r="C429" s="1712"/>
      <c r="D429" s="1699"/>
      <c r="E429" s="1699"/>
      <c r="F429" s="1699"/>
      <c r="G429" s="1699"/>
      <c r="H429" s="1699"/>
      <c r="I429" s="1706"/>
      <c r="J429" s="1706"/>
      <c r="K429" s="1713" t="str">
        <f t="shared" si="61"/>
        <v/>
      </c>
      <c r="L429">
        <f t="shared" si="62"/>
        <v>0</v>
      </c>
      <c r="Q429">
        <f t="shared" si="63"/>
        <v>0</v>
      </c>
      <c r="R429">
        <f t="shared" si="64"/>
        <v>0</v>
      </c>
      <c r="S429">
        <f t="shared" si="65"/>
        <v>0</v>
      </c>
      <c r="T429">
        <f t="shared" si="66"/>
        <v>0</v>
      </c>
      <c r="U429">
        <f t="shared" si="67"/>
        <v>0</v>
      </c>
      <c r="V429">
        <f t="shared" si="68"/>
        <v>0</v>
      </c>
      <c r="AA429">
        <f t="shared" si="60"/>
        <v>0</v>
      </c>
      <c r="AL429" s="142"/>
    </row>
    <row r="430" spans="1:38" hidden="1" x14ac:dyDescent="0.2">
      <c r="A430" s="1700"/>
      <c r="B430" s="1698"/>
      <c r="C430" s="1712"/>
      <c r="D430" s="1699"/>
      <c r="E430" s="1699"/>
      <c r="F430" s="1699"/>
      <c r="G430" s="1699"/>
      <c r="H430" s="1699"/>
      <c r="I430" s="1706"/>
      <c r="J430" s="1706"/>
      <c r="K430" s="1713" t="str">
        <f t="shared" si="61"/>
        <v/>
      </c>
      <c r="L430">
        <f t="shared" si="62"/>
        <v>0</v>
      </c>
      <c r="Q430">
        <f t="shared" si="63"/>
        <v>0</v>
      </c>
      <c r="R430">
        <f t="shared" si="64"/>
        <v>0</v>
      </c>
      <c r="S430">
        <f t="shared" si="65"/>
        <v>0</v>
      </c>
      <c r="T430">
        <f t="shared" si="66"/>
        <v>0</v>
      </c>
      <c r="U430">
        <f t="shared" si="67"/>
        <v>0</v>
      </c>
      <c r="V430">
        <f t="shared" si="68"/>
        <v>0</v>
      </c>
      <c r="AA430">
        <f t="shared" si="60"/>
        <v>0</v>
      </c>
      <c r="AL430" s="142"/>
    </row>
    <row r="431" spans="1:38" hidden="1" x14ac:dyDescent="0.2">
      <c r="A431" s="1700"/>
      <c r="B431" s="1698"/>
      <c r="C431" s="1712"/>
      <c r="D431" s="1699"/>
      <c r="E431" s="1699"/>
      <c r="F431" s="1699"/>
      <c r="G431" s="1699"/>
      <c r="H431" s="1699"/>
      <c r="I431" s="1706"/>
      <c r="J431" s="1706"/>
      <c r="K431" s="1713" t="str">
        <f t="shared" si="61"/>
        <v/>
      </c>
      <c r="L431">
        <f t="shared" si="62"/>
        <v>0</v>
      </c>
      <c r="Q431">
        <f t="shared" si="63"/>
        <v>0</v>
      </c>
      <c r="R431">
        <f t="shared" si="64"/>
        <v>0</v>
      </c>
      <c r="S431">
        <f t="shared" si="65"/>
        <v>0</v>
      </c>
      <c r="T431">
        <f t="shared" si="66"/>
        <v>0</v>
      </c>
      <c r="U431">
        <f t="shared" si="67"/>
        <v>0</v>
      </c>
      <c r="V431">
        <f t="shared" si="68"/>
        <v>0</v>
      </c>
      <c r="AA431">
        <f t="shared" si="60"/>
        <v>0</v>
      </c>
      <c r="AL431" s="142"/>
    </row>
    <row r="432" spans="1:38" hidden="1" x14ac:dyDescent="0.2">
      <c r="A432" s="1700"/>
      <c r="B432" s="1698"/>
      <c r="C432" s="1712"/>
      <c r="D432" s="1699"/>
      <c r="E432" s="1699"/>
      <c r="F432" s="1699"/>
      <c r="G432" s="1699"/>
      <c r="H432" s="1699"/>
      <c r="I432" s="1706"/>
      <c r="J432" s="1706"/>
      <c r="K432" s="1713" t="str">
        <f t="shared" si="61"/>
        <v/>
      </c>
      <c r="L432">
        <f t="shared" si="62"/>
        <v>0</v>
      </c>
      <c r="Q432">
        <f t="shared" si="63"/>
        <v>0</v>
      </c>
      <c r="R432">
        <f t="shared" si="64"/>
        <v>0</v>
      </c>
      <c r="S432">
        <f t="shared" si="65"/>
        <v>0</v>
      </c>
      <c r="T432">
        <f t="shared" si="66"/>
        <v>0</v>
      </c>
      <c r="U432">
        <f t="shared" si="67"/>
        <v>0</v>
      </c>
      <c r="V432">
        <f t="shared" si="68"/>
        <v>0</v>
      </c>
      <c r="AA432">
        <f t="shared" si="60"/>
        <v>0</v>
      </c>
      <c r="AL432" s="142"/>
    </row>
    <row r="433" spans="1:38" hidden="1" x14ac:dyDescent="0.2">
      <c r="A433" s="1700"/>
      <c r="B433" s="1698"/>
      <c r="C433" s="1712"/>
      <c r="D433" s="1699"/>
      <c r="E433" s="1699"/>
      <c r="F433" s="1699"/>
      <c r="G433" s="1699"/>
      <c r="H433" s="1699"/>
      <c r="I433" s="1706"/>
      <c r="J433" s="1706"/>
      <c r="K433" s="1713" t="str">
        <f t="shared" si="61"/>
        <v/>
      </c>
      <c r="L433">
        <f t="shared" si="62"/>
        <v>0</v>
      </c>
      <c r="Q433">
        <f t="shared" si="63"/>
        <v>0</v>
      </c>
      <c r="R433">
        <f t="shared" si="64"/>
        <v>0</v>
      </c>
      <c r="S433">
        <f t="shared" si="65"/>
        <v>0</v>
      </c>
      <c r="T433">
        <f t="shared" si="66"/>
        <v>0</v>
      </c>
      <c r="U433">
        <f t="shared" si="67"/>
        <v>0</v>
      </c>
      <c r="V433">
        <f t="shared" si="68"/>
        <v>0</v>
      </c>
      <c r="AA433">
        <f t="shared" si="60"/>
        <v>0</v>
      </c>
      <c r="AL433" s="142"/>
    </row>
    <row r="434" spans="1:38" hidden="1" x14ac:dyDescent="0.2">
      <c r="A434" s="1700"/>
      <c r="B434" s="1698"/>
      <c r="C434" s="1712"/>
      <c r="D434" s="1699"/>
      <c r="E434" s="1699"/>
      <c r="F434" s="1699"/>
      <c r="G434" s="1699"/>
      <c r="H434" s="1699"/>
      <c r="I434" s="1706"/>
      <c r="J434" s="1706"/>
      <c r="K434" s="1713" t="str">
        <f t="shared" si="61"/>
        <v/>
      </c>
      <c r="L434">
        <f t="shared" si="62"/>
        <v>0</v>
      </c>
      <c r="Q434">
        <f t="shared" si="63"/>
        <v>0</v>
      </c>
      <c r="R434">
        <f t="shared" si="64"/>
        <v>0</v>
      </c>
      <c r="S434">
        <f t="shared" si="65"/>
        <v>0</v>
      </c>
      <c r="T434">
        <f t="shared" si="66"/>
        <v>0</v>
      </c>
      <c r="U434">
        <f t="shared" si="67"/>
        <v>0</v>
      </c>
      <c r="V434">
        <f t="shared" si="68"/>
        <v>0</v>
      </c>
      <c r="AA434">
        <f t="shared" si="60"/>
        <v>0</v>
      </c>
      <c r="AL434" s="142"/>
    </row>
    <row r="435" spans="1:38" hidden="1" x14ac:dyDescent="0.2">
      <c r="A435" s="1700"/>
      <c r="B435" s="1698"/>
      <c r="C435" s="1712"/>
      <c r="D435" s="1699"/>
      <c r="E435" s="1699"/>
      <c r="F435" s="1699"/>
      <c r="G435" s="1699"/>
      <c r="H435" s="1699"/>
      <c r="I435" s="1706"/>
      <c r="J435" s="1706"/>
      <c r="K435" s="1713" t="str">
        <f t="shared" si="61"/>
        <v/>
      </c>
      <c r="L435">
        <f t="shared" si="62"/>
        <v>0</v>
      </c>
      <c r="Q435">
        <f t="shared" si="63"/>
        <v>0</v>
      </c>
      <c r="R435">
        <f t="shared" si="64"/>
        <v>0</v>
      </c>
      <c r="S435">
        <f t="shared" si="65"/>
        <v>0</v>
      </c>
      <c r="T435">
        <f t="shared" si="66"/>
        <v>0</v>
      </c>
      <c r="U435">
        <f t="shared" si="67"/>
        <v>0</v>
      </c>
      <c r="V435">
        <f t="shared" si="68"/>
        <v>0</v>
      </c>
      <c r="AA435">
        <f t="shared" si="60"/>
        <v>0</v>
      </c>
      <c r="AL435" s="142"/>
    </row>
    <row r="436" spans="1:38" hidden="1" x14ac:dyDescent="0.2">
      <c r="A436" s="1700"/>
      <c r="B436" s="1698"/>
      <c r="C436" s="1712"/>
      <c r="D436" s="1699"/>
      <c r="E436" s="1699"/>
      <c r="F436" s="1699"/>
      <c r="G436" s="1699"/>
      <c r="H436" s="1699"/>
      <c r="I436" s="1706"/>
      <c r="J436" s="1706"/>
      <c r="K436" s="1713" t="str">
        <f t="shared" si="61"/>
        <v/>
      </c>
      <c r="L436">
        <f t="shared" si="62"/>
        <v>0</v>
      </c>
      <c r="Q436">
        <f t="shared" si="63"/>
        <v>0</v>
      </c>
      <c r="R436">
        <f t="shared" si="64"/>
        <v>0</v>
      </c>
      <c r="S436">
        <f t="shared" si="65"/>
        <v>0</v>
      </c>
      <c r="T436">
        <f t="shared" si="66"/>
        <v>0</v>
      </c>
      <c r="U436">
        <f t="shared" si="67"/>
        <v>0</v>
      </c>
      <c r="V436">
        <f t="shared" si="68"/>
        <v>0</v>
      </c>
      <c r="AA436">
        <f t="shared" si="60"/>
        <v>0</v>
      </c>
      <c r="AL436" s="142"/>
    </row>
    <row r="437" spans="1:38" hidden="1" x14ac:dyDescent="0.2">
      <c r="A437" s="1700"/>
      <c r="B437" s="1698"/>
      <c r="C437" s="1712"/>
      <c r="D437" s="1699"/>
      <c r="E437" s="1699"/>
      <c r="F437" s="1699"/>
      <c r="G437" s="1699"/>
      <c r="H437" s="1699"/>
      <c r="I437" s="1706"/>
      <c r="J437" s="1706"/>
      <c r="K437" s="1713" t="str">
        <f t="shared" si="61"/>
        <v/>
      </c>
      <c r="L437">
        <f t="shared" si="62"/>
        <v>0</v>
      </c>
      <c r="Q437">
        <f t="shared" si="63"/>
        <v>0</v>
      </c>
      <c r="R437">
        <f t="shared" si="64"/>
        <v>0</v>
      </c>
      <c r="S437">
        <f t="shared" si="65"/>
        <v>0</v>
      </c>
      <c r="T437">
        <f t="shared" si="66"/>
        <v>0</v>
      </c>
      <c r="U437">
        <f t="shared" si="67"/>
        <v>0</v>
      </c>
      <c r="V437">
        <f t="shared" si="68"/>
        <v>0</v>
      </c>
      <c r="AA437">
        <f t="shared" si="60"/>
        <v>0</v>
      </c>
      <c r="AL437" s="142"/>
    </row>
    <row r="438" spans="1:38" hidden="1" x14ac:dyDescent="0.2">
      <c r="A438" s="1700"/>
      <c r="B438" s="1698"/>
      <c r="C438" s="1712"/>
      <c r="D438" s="1699"/>
      <c r="E438" s="1699"/>
      <c r="F438" s="1699"/>
      <c r="G438" s="1699"/>
      <c r="H438" s="1699"/>
      <c r="I438" s="1706"/>
      <c r="J438" s="1706"/>
      <c r="K438" s="1713" t="str">
        <f t="shared" si="61"/>
        <v/>
      </c>
      <c r="L438">
        <f t="shared" si="62"/>
        <v>0</v>
      </c>
      <c r="Q438">
        <f t="shared" si="63"/>
        <v>0</v>
      </c>
      <c r="R438">
        <f t="shared" si="64"/>
        <v>0</v>
      </c>
      <c r="S438">
        <f t="shared" si="65"/>
        <v>0</v>
      </c>
      <c r="T438">
        <f t="shared" si="66"/>
        <v>0</v>
      </c>
      <c r="U438">
        <f t="shared" si="67"/>
        <v>0</v>
      </c>
      <c r="V438">
        <f t="shared" si="68"/>
        <v>0</v>
      </c>
      <c r="AA438">
        <f t="shared" si="60"/>
        <v>0</v>
      </c>
      <c r="AL438" s="142"/>
    </row>
    <row r="439" spans="1:38" hidden="1" x14ac:dyDescent="0.2">
      <c r="A439" s="1700"/>
      <c r="B439" s="1698"/>
      <c r="C439" s="1712"/>
      <c r="D439" s="1699"/>
      <c r="E439" s="1699"/>
      <c r="F439" s="1699"/>
      <c r="G439" s="1699"/>
      <c r="H439" s="1699"/>
      <c r="I439" s="1706"/>
      <c r="J439" s="1706"/>
      <c r="K439" s="1713" t="str">
        <f t="shared" si="61"/>
        <v/>
      </c>
      <c r="L439">
        <f t="shared" si="62"/>
        <v>0</v>
      </c>
      <c r="Q439">
        <f t="shared" si="63"/>
        <v>0</v>
      </c>
      <c r="R439">
        <f t="shared" si="64"/>
        <v>0</v>
      </c>
      <c r="S439">
        <f t="shared" si="65"/>
        <v>0</v>
      </c>
      <c r="T439">
        <f t="shared" si="66"/>
        <v>0</v>
      </c>
      <c r="U439">
        <f t="shared" si="67"/>
        <v>0</v>
      </c>
      <c r="V439">
        <f t="shared" si="68"/>
        <v>0</v>
      </c>
      <c r="AA439">
        <f t="shared" si="60"/>
        <v>0</v>
      </c>
      <c r="AL439" s="142"/>
    </row>
    <row r="440" spans="1:38" hidden="1" x14ac:dyDescent="0.2">
      <c r="A440" s="1700"/>
      <c r="B440" s="1698"/>
      <c r="C440" s="1712"/>
      <c r="D440" s="1699"/>
      <c r="E440" s="1699"/>
      <c r="F440" s="1699"/>
      <c r="G440" s="1699"/>
      <c r="H440" s="1699"/>
      <c r="I440" s="1706"/>
      <c r="J440" s="1706"/>
      <c r="K440" s="1713" t="str">
        <f t="shared" si="61"/>
        <v/>
      </c>
      <c r="L440">
        <f t="shared" si="62"/>
        <v>0</v>
      </c>
      <c r="Q440">
        <f t="shared" si="63"/>
        <v>0</v>
      </c>
      <c r="R440">
        <f t="shared" si="64"/>
        <v>0</v>
      </c>
      <c r="S440">
        <f t="shared" si="65"/>
        <v>0</v>
      </c>
      <c r="T440">
        <f t="shared" si="66"/>
        <v>0</v>
      </c>
      <c r="U440">
        <f t="shared" si="67"/>
        <v>0</v>
      </c>
      <c r="V440">
        <f t="shared" si="68"/>
        <v>0</v>
      </c>
      <c r="AA440">
        <f t="shared" si="60"/>
        <v>0</v>
      </c>
      <c r="AL440" s="142"/>
    </row>
    <row r="441" spans="1:38" hidden="1" x14ac:dyDescent="0.2">
      <c r="A441" s="1700"/>
      <c r="B441" s="1698"/>
      <c r="C441" s="1712"/>
      <c r="D441" s="1699"/>
      <c r="E441" s="1699"/>
      <c r="F441" s="1699"/>
      <c r="G441" s="1699"/>
      <c r="H441" s="1699"/>
      <c r="I441" s="1706"/>
      <c r="J441" s="1706"/>
      <c r="K441" s="1713" t="str">
        <f t="shared" si="61"/>
        <v/>
      </c>
      <c r="L441">
        <f t="shared" si="62"/>
        <v>0</v>
      </c>
      <c r="Q441">
        <f t="shared" si="63"/>
        <v>0</v>
      </c>
      <c r="R441">
        <f t="shared" si="64"/>
        <v>0</v>
      </c>
      <c r="S441">
        <f t="shared" si="65"/>
        <v>0</v>
      </c>
      <c r="T441">
        <f t="shared" si="66"/>
        <v>0</v>
      </c>
      <c r="U441">
        <f t="shared" si="67"/>
        <v>0</v>
      </c>
      <c r="V441">
        <f t="shared" si="68"/>
        <v>0</v>
      </c>
      <c r="AA441">
        <f t="shared" si="60"/>
        <v>0</v>
      </c>
      <c r="AL441" s="142"/>
    </row>
    <row r="442" spans="1:38" hidden="1" x14ac:dyDescent="0.2">
      <c r="A442" s="1700"/>
      <c r="B442" s="1698"/>
      <c r="C442" s="1712"/>
      <c r="D442" s="1699"/>
      <c r="E442" s="1699"/>
      <c r="F442" s="1699"/>
      <c r="G442" s="1699"/>
      <c r="H442" s="1699"/>
      <c r="I442" s="1706"/>
      <c r="J442" s="1706"/>
      <c r="K442" s="1713" t="str">
        <f t="shared" si="61"/>
        <v/>
      </c>
      <c r="L442">
        <f t="shared" si="62"/>
        <v>0</v>
      </c>
      <c r="Q442">
        <f t="shared" si="63"/>
        <v>0</v>
      </c>
      <c r="R442">
        <f t="shared" si="64"/>
        <v>0</v>
      </c>
      <c r="S442">
        <f t="shared" si="65"/>
        <v>0</v>
      </c>
      <c r="T442">
        <f t="shared" si="66"/>
        <v>0</v>
      </c>
      <c r="U442">
        <f t="shared" si="67"/>
        <v>0</v>
      </c>
      <c r="V442">
        <f t="shared" si="68"/>
        <v>0</v>
      </c>
      <c r="AA442">
        <f t="shared" si="60"/>
        <v>0</v>
      </c>
      <c r="AL442" s="142"/>
    </row>
    <row r="443" spans="1:38" hidden="1" x14ac:dyDescent="0.2">
      <c r="A443" s="1700"/>
      <c r="B443" s="1698"/>
      <c r="C443" s="1712"/>
      <c r="D443" s="1699"/>
      <c r="E443" s="1699"/>
      <c r="F443" s="1699"/>
      <c r="G443" s="1699"/>
      <c r="H443" s="1699"/>
      <c r="I443" s="1706"/>
      <c r="J443" s="1706"/>
      <c r="K443" s="1713" t="str">
        <f t="shared" si="61"/>
        <v/>
      </c>
      <c r="L443">
        <f t="shared" si="62"/>
        <v>0</v>
      </c>
      <c r="Q443">
        <f t="shared" si="63"/>
        <v>0</v>
      </c>
      <c r="R443">
        <f t="shared" si="64"/>
        <v>0</v>
      </c>
      <c r="S443">
        <f t="shared" si="65"/>
        <v>0</v>
      </c>
      <c r="T443">
        <f t="shared" si="66"/>
        <v>0</v>
      </c>
      <c r="U443">
        <f t="shared" si="67"/>
        <v>0</v>
      </c>
      <c r="V443">
        <f t="shared" si="68"/>
        <v>0</v>
      </c>
      <c r="AA443">
        <f t="shared" si="60"/>
        <v>0</v>
      </c>
      <c r="AL443" s="142"/>
    </row>
    <row r="444" spans="1:38" hidden="1" x14ac:dyDescent="0.2">
      <c r="A444" s="1700"/>
      <c r="B444" s="1698"/>
      <c r="C444" s="1712"/>
      <c r="D444" s="1699"/>
      <c r="E444" s="1699"/>
      <c r="F444" s="1699"/>
      <c r="G444" s="1699"/>
      <c r="H444" s="1699"/>
      <c r="I444" s="1706"/>
      <c r="J444" s="1706"/>
      <c r="K444" s="1713" t="str">
        <f t="shared" si="61"/>
        <v/>
      </c>
      <c r="L444">
        <f t="shared" si="62"/>
        <v>0</v>
      </c>
      <c r="Q444">
        <f t="shared" si="63"/>
        <v>0</v>
      </c>
      <c r="R444">
        <f t="shared" si="64"/>
        <v>0</v>
      </c>
      <c r="S444">
        <f t="shared" si="65"/>
        <v>0</v>
      </c>
      <c r="T444">
        <f t="shared" si="66"/>
        <v>0</v>
      </c>
      <c r="U444">
        <f t="shared" si="67"/>
        <v>0</v>
      </c>
      <c r="V444">
        <f t="shared" si="68"/>
        <v>0</v>
      </c>
      <c r="AA444">
        <f t="shared" si="60"/>
        <v>0</v>
      </c>
      <c r="AL444" s="142"/>
    </row>
    <row r="445" spans="1:38" hidden="1" x14ac:dyDescent="0.2">
      <c r="A445" s="1700"/>
      <c r="B445" s="1698"/>
      <c r="C445" s="1712"/>
      <c r="D445" s="1699"/>
      <c r="E445" s="1699"/>
      <c r="F445" s="1699"/>
      <c r="G445" s="1699"/>
      <c r="H445" s="1699"/>
      <c r="I445" s="1706"/>
      <c r="J445" s="1706"/>
      <c r="K445" s="1713" t="str">
        <f t="shared" si="61"/>
        <v/>
      </c>
      <c r="L445">
        <f t="shared" si="62"/>
        <v>0</v>
      </c>
      <c r="Q445">
        <f t="shared" si="63"/>
        <v>0</v>
      </c>
      <c r="R445">
        <f t="shared" si="64"/>
        <v>0</v>
      </c>
      <c r="S445">
        <f t="shared" si="65"/>
        <v>0</v>
      </c>
      <c r="T445">
        <f t="shared" si="66"/>
        <v>0</v>
      </c>
      <c r="U445">
        <f t="shared" si="67"/>
        <v>0</v>
      </c>
      <c r="V445">
        <f t="shared" si="68"/>
        <v>0</v>
      </c>
      <c r="AA445">
        <f t="shared" si="60"/>
        <v>0</v>
      </c>
      <c r="AL445" s="142"/>
    </row>
    <row r="446" spans="1:38" hidden="1" x14ac:dyDescent="0.2">
      <c r="A446" s="1700"/>
      <c r="B446" s="1698"/>
      <c r="C446" s="1712"/>
      <c r="D446" s="1699"/>
      <c r="E446" s="1699"/>
      <c r="F446" s="1699"/>
      <c r="G446" s="1699"/>
      <c r="H446" s="1699"/>
      <c r="I446" s="1706"/>
      <c r="J446" s="1706"/>
      <c r="K446" s="1713" t="str">
        <f t="shared" si="61"/>
        <v/>
      </c>
      <c r="L446">
        <f t="shared" si="62"/>
        <v>0</v>
      </c>
      <c r="Q446">
        <f t="shared" si="63"/>
        <v>0</v>
      </c>
      <c r="R446">
        <f t="shared" si="64"/>
        <v>0</v>
      </c>
      <c r="S446">
        <f t="shared" si="65"/>
        <v>0</v>
      </c>
      <c r="T446">
        <f t="shared" si="66"/>
        <v>0</v>
      </c>
      <c r="U446">
        <f t="shared" si="67"/>
        <v>0</v>
      </c>
      <c r="V446">
        <f t="shared" si="68"/>
        <v>0</v>
      </c>
      <c r="AA446">
        <f t="shared" si="60"/>
        <v>0</v>
      </c>
      <c r="AL446" s="142"/>
    </row>
    <row r="447" spans="1:38" hidden="1" x14ac:dyDescent="0.2">
      <c r="A447" s="1700"/>
      <c r="B447" s="1698"/>
      <c r="C447" s="1712"/>
      <c r="D447" s="1699"/>
      <c r="E447" s="1699"/>
      <c r="F447" s="1699"/>
      <c r="G447" s="1699"/>
      <c r="H447" s="1699"/>
      <c r="I447" s="1706"/>
      <c r="J447" s="1706"/>
      <c r="K447" s="1713" t="str">
        <f t="shared" si="61"/>
        <v/>
      </c>
      <c r="L447">
        <f t="shared" si="62"/>
        <v>0</v>
      </c>
      <c r="Q447">
        <f t="shared" si="63"/>
        <v>0</v>
      </c>
      <c r="R447">
        <f t="shared" si="64"/>
        <v>0</v>
      </c>
      <c r="S447">
        <f t="shared" si="65"/>
        <v>0</v>
      </c>
      <c r="T447">
        <f t="shared" si="66"/>
        <v>0</v>
      </c>
      <c r="U447">
        <f t="shared" si="67"/>
        <v>0</v>
      </c>
      <c r="V447">
        <f t="shared" si="68"/>
        <v>0</v>
      </c>
      <c r="AA447">
        <f t="shared" si="60"/>
        <v>0</v>
      </c>
      <c r="AL447" s="142"/>
    </row>
    <row r="448" spans="1:38" hidden="1" x14ac:dyDescent="0.2">
      <c r="A448" s="1700"/>
      <c r="B448" s="1698"/>
      <c r="C448" s="1712"/>
      <c r="D448" s="1699"/>
      <c r="E448" s="1699"/>
      <c r="F448" s="1699"/>
      <c r="G448" s="1699"/>
      <c r="H448" s="1699"/>
      <c r="I448" s="1706"/>
      <c r="J448" s="1706"/>
      <c r="K448" s="1713" t="str">
        <f t="shared" si="61"/>
        <v/>
      </c>
      <c r="L448">
        <f t="shared" si="62"/>
        <v>0</v>
      </c>
      <c r="Q448">
        <f t="shared" si="63"/>
        <v>0</v>
      </c>
      <c r="R448">
        <f t="shared" si="64"/>
        <v>0</v>
      </c>
      <c r="S448">
        <f t="shared" si="65"/>
        <v>0</v>
      </c>
      <c r="T448">
        <f t="shared" si="66"/>
        <v>0</v>
      </c>
      <c r="U448">
        <f t="shared" si="67"/>
        <v>0</v>
      </c>
      <c r="V448">
        <f t="shared" si="68"/>
        <v>0</v>
      </c>
      <c r="AA448">
        <f t="shared" si="60"/>
        <v>0</v>
      </c>
      <c r="AL448" s="142"/>
    </row>
    <row r="449" spans="1:38" hidden="1" x14ac:dyDescent="0.2">
      <c r="A449" s="1700"/>
      <c r="B449" s="1698"/>
      <c r="C449" s="1712"/>
      <c r="D449" s="1699"/>
      <c r="E449" s="1699"/>
      <c r="F449" s="1699"/>
      <c r="G449" s="1699"/>
      <c r="H449" s="1699"/>
      <c r="I449" s="1706"/>
      <c r="J449" s="1706"/>
      <c r="K449" s="1713" t="str">
        <f t="shared" si="61"/>
        <v/>
      </c>
      <c r="L449">
        <f t="shared" si="62"/>
        <v>0</v>
      </c>
      <c r="Q449">
        <f t="shared" si="63"/>
        <v>0</v>
      </c>
      <c r="R449">
        <f t="shared" si="64"/>
        <v>0</v>
      </c>
      <c r="S449">
        <f t="shared" si="65"/>
        <v>0</v>
      </c>
      <c r="T449">
        <f t="shared" si="66"/>
        <v>0</v>
      </c>
      <c r="U449">
        <f t="shared" si="67"/>
        <v>0</v>
      </c>
      <c r="V449">
        <f t="shared" si="68"/>
        <v>0</v>
      </c>
      <c r="AA449">
        <f t="shared" si="60"/>
        <v>0</v>
      </c>
      <c r="AL449" s="142"/>
    </row>
    <row r="450" spans="1:38" hidden="1" x14ac:dyDescent="0.2">
      <c r="A450" s="1700"/>
      <c r="B450" s="1698"/>
      <c r="C450" s="1712"/>
      <c r="D450" s="1699"/>
      <c r="E450" s="1699"/>
      <c r="F450" s="1699"/>
      <c r="G450" s="1699"/>
      <c r="H450" s="1699"/>
      <c r="I450" s="1706"/>
      <c r="J450" s="1706"/>
      <c r="K450" s="1713" t="str">
        <f t="shared" si="61"/>
        <v/>
      </c>
      <c r="L450">
        <f t="shared" si="62"/>
        <v>0</v>
      </c>
      <c r="Q450">
        <f t="shared" si="63"/>
        <v>0</v>
      </c>
      <c r="R450">
        <f t="shared" si="64"/>
        <v>0</v>
      </c>
      <c r="S450">
        <f t="shared" si="65"/>
        <v>0</v>
      </c>
      <c r="T450">
        <f t="shared" si="66"/>
        <v>0</v>
      </c>
      <c r="U450">
        <f t="shared" si="67"/>
        <v>0</v>
      </c>
      <c r="V450">
        <f t="shared" si="68"/>
        <v>0</v>
      </c>
      <c r="AA450">
        <f t="shared" si="60"/>
        <v>0</v>
      </c>
      <c r="AL450" s="142"/>
    </row>
    <row r="451" spans="1:38" hidden="1" x14ac:dyDescent="0.2">
      <c r="A451" s="1700"/>
      <c r="B451" s="1698"/>
      <c r="C451" s="1712"/>
      <c r="D451" s="1699"/>
      <c r="E451" s="1699"/>
      <c r="F451" s="1699"/>
      <c r="G451" s="1699"/>
      <c r="H451" s="1699"/>
      <c r="I451" s="1706"/>
      <c r="J451" s="1706"/>
      <c r="K451" s="1713" t="str">
        <f t="shared" si="61"/>
        <v/>
      </c>
      <c r="L451">
        <f t="shared" si="62"/>
        <v>0</v>
      </c>
      <c r="Q451">
        <f t="shared" si="63"/>
        <v>0</v>
      </c>
      <c r="R451">
        <f t="shared" si="64"/>
        <v>0</v>
      </c>
      <c r="S451">
        <f t="shared" si="65"/>
        <v>0</v>
      </c>
      <c r="T451">
        <f t="shared" si="66"/>
        <v>0</v>
      </c>
      <c r="U451">
        <f t="shared" si="67"/>
        <v>0</v>
      </c>
      <c r="V451">
        <f t="shared" si="68"/>
        <v>0</v>
      </c>
      <c r="AA451">
        <f t="shared" si="60"/>
        <v>0</v>
      </c>
      <c r="AL451" s="142"/>
    </row>
    <row r="452" spans="1:38" hidden="1" x14ac:dyDescent="0.2">
      <c r="A452" s="1700"/>
      <c r="B452" s="1698"/>
      <c r="C452" s="1712"/>
      <c r="D452" s="1699"/>
      <c r="E452" s="1699"/>
      <c r="F452" s="1699"/>
      <c r="G452" s="1699"/>
      <c r="H452" s="1699"/>
      <c r="I452" s="1706"/>
      <c r="J452" s="1706"/>
      <c r="K452" s="1713" t="str">
        <f t="shared" si="61"/>
        <v/>
      </c>
      <c r="L452">
        <f t="shared" si="62"/>
        <v>0</v>
      </c>
      <c r="Q452">
        <f t="shared" si="63"/>
        <v>0</v>
      </c>
      <c r="R452">
        <f t="shared" si="64"/>
        <v>0</v>
      </c>
      <c r="S452">
        <f t="shared" si="65"/>
        <v>0</v>
      </c>
      <c r="T452">
        <f t="shared" si="66"/>
        <v>0</v>
      </c>
      <c r="U452">
        <f t="shared" si="67"/>
        <v>0</v>
      </c>
      <c r="V452">
        <f t="shared" si="68"/>
        <v>0</v>
      </c>
      <c r="AA452">
        <f t="shared" si="60"/>
        <v>0</v>
      </c>
      <c r="AL452" s="142"/>
    </row>
    <row r="453" spans="1:38" hidden="1" x14ac:dyDescent="0.2">
      <c r="A453" s="1700"/>
      <c r="B453" s="1698"/>
      <c r="C453" s="1712"/>
      <c r="D453" s="1699"/>
      <c r="E453" s="1699"/>
      <c r="F453" s="1699"/>
      <c r="G453" s="1699"/>
      <c r="H453" s="1699"/>
      <c r="I453" s="1706"/>
      <c r="J453" s="1706"/>
      <c r="K453" s="1713" t="str">
        <f t="shared" si="61"/>
        <v/>
      </c>
      <c r="L453">
        <f t="shared" si="62"/>
        <v>0</v>
      </c>
      <c r="Q453">
        <f t="shared" si="63"/>
        <v>0</v>
      </c>
      <c r="R453">
        <f t="shared" si="64"/>
        <v>0</v>
      </c>
      <c r="S453">
        <f t="shared" si="65"/>
        <v>0</v>
      </c>
      <c r="T453">
        <f t="shared" si="66"/>
        <v>0</v>
      </c>
      <c r="U453">
        <f t="shared" si="67"/>
        <v>0</v>
      </c>
      <c r="V453">
        <f t="shared" si="68"/>
        <v>0</v>
      </c>
      <c r="AA453">
        <f t="shared" si="60"/>
        <v>0</v>
      </c>
      <c r="AL453" s="142"/>
    </row>
    <row r="454" spans="1:38" hidden="1" x14ac:dyDescent="0.2">
      <c r="A454" s="1700"/>
      <c r="B454" s="1698"/>
      <c r="C454" s="1712"/>
      <c r="D454" s="1699"/>
      <c r="E454" s="1699"/>
      <c r="F454" s="1699"/>
      <c r="G454" s="1699"/>
      <c r="H454" s="1699"/>
      <c r="I454" s="1706"/>
      <c r="J454" s="1706"/>
      <c r="K454" s="1713" t="str">
        <f t="shared" si="61"/>
        <v/>
      </c>
      <c r="L454">
        <f t="shared" si="62"/>
        <v>0</v>
      </c>
      <c r="Q454">
        <f t="shared" si="63"/>
        <v>0</v>
      </c>
      <c r="R454">
        <f t="shared" si="64"/>
        <v>0</v>
      </c>
      <c r="S454">
        <f t="shared" si="65"/>
        <v>0</v>
      </c>
      <c r="T454">
        <f t="shared" si="66"/>
        <v>0</v>
      </c>
      <c r="U454">
        <f t="shared" si="67"/>
        <v>0</v>
      </c>
      <c r="V454">
        <f t="shared" si="68"/>
        <v>0</v>
      </c>
      <c r="AA454">
        <f t="shared" si="60"/>
        <v>0</v>
      </c>
      <c r="AL454" s="142"/>
    </row>
    <row r="455" spans="1:38" hidden="1" x14ac:dyDescent="0.2">
      <c r="A455" s="1700"/>
      <c r="B455" s="1698"/>
      <c r="C455" s="1712"/>
      <c r="D455" s="1699"/>
      <c r="E455" s="1699"/>
      <c r="F455" s="1699"/>
      <c r="G455" s="1699"/>
      <c r="H455" s="1699"/>
      <c r="I455" s="1706"/>
      <c r="J455" s="1706"/>
      <c r="K455" s="1713" t="str">
        <f t="shared" si="61"/>
        <v/>
      </c>
      <c r="L455">
        <f t="shared" si="62"/>
        <v>0</v>
      </c>
      <c r="Q455">
        <f t="shared" si="63"/>
        <v>0</v>
      </c>
      <c r="R455">
        <f t="shared" si="64"/>
        <v>0</v>
      </c>
      <c r="S455">
        <f t="shared" si="65"/>
        <v>0</v>
      </c>
      <c r="T455">
        <f t="shared" si="66"/>
        <v>0</v>
      </c>
      <c r="U455">
        <f t="shared" si="67"/>
        <v>0</v>
      </c>
      <c r="V455">
        <f t="shared" si="68"/>
        <v>0</v>
      </c>
      <c r="AA455">
        <f t="shared" si="60"/>
        <v>0</v>
      </c>
      <c r="AL455" s="142"/>
    </row>
    <row r="456" spans="1:38" hidden="1" x14ac:dyDescent="0.2">
      <c r="A456" s="1700"/>
      <c r="B456" s="1698"/>
      <c r="C456" s="1712"/>
      <c r="D456" s="1699"/>
      <c r="E456" s="1699"/>
      <c r="F456" s="1699"/>
      <c r="G456" s="1699"/>
      <c r="H456" s="1699"/>
      <c r="I456" s="1706"/>
      <c r="J456" s="1706"/>
      <c r="K456" s="1713" t="str">
        <f t="shared" si="61"/>
        <v/>
      </c>
      <c r="L456">
        <f t="shared" si="62"/>
        <v>0</v>
      </c>
      <c r="Q456">
        <f t="shared" si="63"/>
        <v>0</v>
      </c>
      <c r="R456">
        <f t="shared" si="64"/>
        <v>0</v>
      </c>
      <c r="S456">
        <f t="shared" si="65"/>
        <v>0</v>
      </c>
      <c r="T456">
        <f t="shared" si="66"/>
        <v>0</v>
      </c>
      <c r="U456">
        <f t="shared" si="67"/>
        <v>0</v>
      </c>
      <c r="V456">
        <f t="shared" si="68"/>
        <v>0</v>
      </c>
      <c r="AA456">
        <f t="shared" si="60"/>
        <v>0</v>
      </c>
      <c r="AL456" s="142"/>
    </row>
    <row r="457" spans="1:38" hidden="1" x14ac:dyDescent="0.2">
      <c r="A457" s="1700"/>
      <c r="B457" s="1698"/>
      <c r="C457" s="1712"/>
      <c r="D457" s="1699"/>
      <c r="E457" s="1699"/>
      <c r="F457" s="1699"/>
      <c r="G457" s="1699"/>
      <c r="H457" s="1699"/>
      <c r="I457" s="1706"/>
      <c r="J457" s="1706"/>
      <c r="K457" s="1713" t="str">
        <f t="shared" si="61"/>
        <v/>
      </c>
      <c r="L457">
        <f t="shared" si="62"/>
        <v>0</v>
      </c>
      <c r="Q457">
        <f t="shared" si="63"/>
        <v>0</v>
      </c>
      <c r="R457">
        <f t="shared" si="64"/>
        <v>0</v>
      </c>
      <c r="S457">
        <f t="shared" si="65"/>
        <v>0</v>
      </c>
      <c r="T457">
        <f t="shared" si="66"/>
        <v>0</v>
      </c>
      <c r="U457">
        <f t="shared" si="67"/>
        <v>0</v>
      </c>
      <c r="V457">
        <f t="shared" si="68"/>
        <v>0</v>
      </c>
      <c r="AA457">
        <f t="shared" si="60"/>
        <v>0</v>
      </c>
      <c r="AL457" s="142"/>
    </row>
    <row r="458" spans="1:38" hidden="1" x14ac:dyDescent="0.2">
      <c r="A458" s="1700"/>
      <c r="B458" s="1698"/>
      <c r="C458" s="1712"/>
      <c r="D458" s="1699"/>
      <c r="E458" s="1699"/>
      <c r="F458" s="1699"/>
      <c r="G458" s="1699"/>
      <c r="H458" s="1699"/>
      <c r="I458" s="1706"/>
      <c r="J458" s="1706"/>
      <c r="K458" s="1713" t="str">
        <f t="shared" si="61"/>
        <v/>
      </c>
      <c r="L458">
        <f t="shared" si="62"/>
        <v>0</v>
      </c>
      <c r="Q458">
        <f t="shared" si="63"/>
        <v>0</v>
      </c>
      <c r="R458">
        <f t="shared" si="64"/>
        <v>0</v>
      </c>
      <c r="S458">
        <f t="shared" si="65"/>
        <v>0</v>
      </c>
      <c r="T458">
        <f t="shared" si="66"/>
        <v>0</v>
      </c>
      <c r="U458">
        <f t="shared" si="67"/>
        <v>0</v>
      </c>
      <c r="V458">
        <f t="shared" si="68"/>
        <v>0</v>
      </c>
      <c r="AA458">
        <f t="shared" si="60"/>
        <v>0</v>
      </c>
      <c r="AL458" s="142"/>
    </row>
    <row r="459" spans="1:38" hidden="1" x14ac:dyDescent="0.2">
      <c r="A459" s="1700"/>
      <c r="B459" s="1698"/>
      <c r="C459" s="1712"/>
      <c r="D459" s="1699"/>
      <c r="E459" s="1699"/>
      <c r="F459" s="1699"/>
      <c r="G459" s="1699"/>
      <c r="H459" s="1699"/>
      <c r="I459" s="1706"/>
      <c r="J459" s="1706"/>
      <c r="K459" s="1713" t="str">
        <f t="shared" si="61"/>
        <v/>
      </c>
      <c r="L459">
        <f t="shared" si="62"/>
        <v>0</v>
      </c>
      <c r="Q459">
        <f t="shared" si="63"/>
        <v>0</v>
      </c>
      <c r="R459">
        <f t="shared" si="64"/>
        <v>0</v>
      </c>
      <c r="S459">
        <f t="shared" si="65"/>
        <v>0</v>
      </c>
      <c r="T459">
        <f t="shared" si="66"/>
        <v>0</v>
      </c>
      <c r="U459">
        <f t="shared" si="67"/>
        <v>0</v>
      </c>
      <c r="V459">
        <f t="shared" si="68"/>
        <v>0</v>
      </c>
      <c r="AA459">
        <f t="shared" si="60"/>
        <v>0</v>
      </c>
      <c r="AL459" s="142"/>
    </row>
    <row r="460" spans="1:38" hidden="1" x14ac:dyDescent="0.2">
      <c r="A460" s="1700"/>
      <c r="B460" s="1698"/>
      <c r="C460" s="1712"/>
      <c r="D460" s="1699"/>
      <c r="E460" s="1699"/>
      <c r="F460" s="1699"/>
      <c r="G460" s="1699"/>
      <c r="H460" s="1699"/>
      <c r="I460" s="1706"/>
      <c r="J460" s="1706"/>
      <c r="K460" s="1713" t="str">
        <f t="shared" si="61"/>
        <v/>
      </c>
      <c r="L460">
        <f t="shared" si="62"/>
        <v>0</v>
      </c>
      <c r="Q460">
        <f t="shared" si="63"/>
        <v>0</v>
      </c>
      <c r="R460">
        <f t="shared" si="64"/>
        <v>0</v>
      </c>
      <c r="S460">
        <f t="shared" si="65"/>
        <v>0</v>
      </c>
      <c r="T460">
        <f t="shared" si="66"/>
        <v>0</v>
      </c>
      <c r="U460">
        <f t="shared" si="67"/>
        <v>0</v>
      </c>
      <c r="V460">
        <f t="shared" si="68"/>
        <v>0</v>
      </c>
      <c r="AA460">
        <f t="shared" si="60"/>
        <v>0</v>
      </c>
      <c r="AL460" s="142"/>
    </row>
    <row r="461" spans="1:38" hidden="1" x14ac:dyDescent="0.2">
      <c r="A461" s="1700"/>
      <c r="B461" s="1698"/>
      <c r="C461" s="1712"/>
      <c r="D461" s="1699"/>
      <c r="E461" s="1699"/>
      <c r="F461" s="1699"/>
      <c r="G461" s="1699"/>
      <c r="H461" s="1699"/>
      <c r="I461" s="1706"/>
      <c r="J461" s="1706"/>
      <c r="K461" s="1713" t="str">
        <f t="shared" si="61"/>
        <v/>
      </c>
      <c r="L461">
        <f t="shared" si="62"/>
        <v>0</v>
      </c>
      <c r="Q461">
        <f t="shared" si="63"/>
        <v>0</v>
      </c>
      <c r="R461">
        <f t="shared" si="64"/>
        <v>0</v>
      </c>
      <c r="S461">
        <f t="shared" si="65"/>
        <v>0</v>
      </c>
      <c r="T461">
        <f t="shared" si="66"/>
        <v>0</v>
      </c>
      <c r="U461">
        <f t="shared" si="67"/>
        <v>0</v>
      </c>
      <c r="V461">
        <f t="shared" si="68"/>
        <v>0</v>
      </c>
      <c r="AA461">
        <f t="shared" si="60"/>
        <v>0</v>
      </c>
      <c r="AL461" s="142"/>
    </row>
    <row r="462" spans="1:38" hidden="1" x14ac:dyDescent="0.2">
      <c r="A462" s="1700"/>
      <c r="B462" s="1698"/>
      <c r="C462" s="1712"/>
      <c r="D462" s="1699"/>
      <c r="E462" s="1699"/>
      <c r="F462" s="1699"/>
      <c r="G462" s="1699"/>
      <c r="H462" s="1699"/>
      <c r="I462" s="1706"/>
      <c r="J462" s="1706"/>
      <c r="K462" s="1713" t="str">
        <f t="shared" si="61"/>
        <v/>
      </c>
      <c r="L462">
        <f t="shared" si="62"/>
        <v>0</v>
      </c>
      <c r="Q462">
        <f t="shared" si="63"/>
        <v>0</v>
      </c>
      <c r="R462">
        <f t="shared" si="64"/>
        <v>0</v>
      </c>
      <c r="S462">
        <f t="shared" si="65"/>
        <v>0</v>
      </c>
      <c r="T462">
        <f t="shared" si="66"/>
        <v>0</v>
      </c>
      <c r="U462">
        <f t="shared" si="67"/>
        <v>0</v>
      </c>
      <c r="V462">
        <f t="shared" si="68"/>
        <v>0</v>
      </c>
      <c r="AA462">
        <f t="shared" si="60"/>
        <v>0</v>
      </c>
      <c r="AL462" s="142"/>
    </row>
    <row r="463" spans="1:38" hidden="1" x14ac:dyDescent="0.2">
      <c r="A463" s="1700"/>
      <c r="B463" s="1698"/>
      <c r="C463" s="1712"/>
      <c r="D463" s="1699"/>
      <c r="E463" s="1699"/>
      <c r="F463" s="1699"/>
      <c r="G463" s="1699"/>
      <c r="H463" s="1699"/>
      <c r="I463" s="1706"/>
      <c r="J463" s="1706"/>
      <c r="K463" s="1713" t="str">
        <f t="shared" si="61"/>
        <v/>
      </c>
      <c r="L463">
        <f t="shared" si="62"/>
        <v>0</v>
      </c>
      <c r="Q463">
        <f t="shared" si="63"/>
        <v>0</v>
      </c>
      <c r="R463">
        <f t="shared" si="64"/>
        <v>0</v>
      </c>
      <c r="S463">
        <f t="shared" si="65"/>
        <v>0</v>
      </c>
      <c r="T463">
        <f t="shared" si="66"/>
        <v>0</v>
      </c>
      <c r="U463">
        <f t="shared" si="67"/>
        <v>0</v>
      </c>
      <c r="V463">
        <f t="shared" si="68"/>
        <v>0</v>
      </c>
      <c r="AA463">
        <f t="shared" si="60"/>
        <v>0</v>
      </c>
      <c r="AL463" s="142"/>
    </row>
    <row r="464" spans="1:38" hidden="1" x14ac:dyDescent="0.2">
      <c r="A464" s="1700"/>
      <c r="B464" s="1698"/>
      <c r="C464" s="1712"/>
      <c r="D464" s="1699"/>
      <c r="E464" s="1699"/>
      <c r="F464" s="1699"/>
      <c r="G464" s="1699"/>
      <c r="H464" s="1699"/>
      <c r="I464" s="1706"/>
      <c r="J464" s="1706"/>
      <c r="K464" s="1713" t="str">
        <f t="shared" si="61"/>
        <v/>
      </c>
      <c r="L464">
        <f t="shared" si="62"/>
        <v>0</v>
      </c>
      <c r="Q464">
        <f t="shared" si="63"/>
        <v>0</v>
      </c>
      <c r="R464">
        <f t="shared" si="64"/>
        <v>0</v>
      </c>
      <c r="S464">
        <f t="shared" si="65"/>
        <v>0</v>
      </c>
      <c r="T464">
        <f t="shared" si="66"/>
        <v>0</v>
      </c>
      <c r="U464">
        <f t="shared" si="67"/>
        <v>0</v>
      </c>
      <c r="V464">
        <f t="shared" si="68"/>
        <v>0</v>
      </c>
      <c r="AA464">
        <f t="shared" si="60"/>
        <v>0</v>
      </c>
      <c r="AL464" s="142"/>
    </row>
    <row r="465" spans="1:38" hidden="1" x14ac:dyDescent="0.2">
      <c r="A465" s="1700"/>
      <c r="B465" s="1698"/>
      <c r="C465" s="1712"/>
      <c r="D465" s="1699"/>
      <c r="E465" s="1699"/>
      <c r="F465" s="1699"/>
      <c r="G465" s="1699"/>
      <c r="H465" s="1699"/>
      <c r="I465" s="1706"/>
      <c r="J465" s="1706"/>
      <c r="K465" s="1713" t="str">
        <f t="shared" si="61"/>
        <v/>
      </c>
      <c r="L465">
        <f t="shared" si="62"/>
        <v>0</v>
      </c>
      <c r="Q465">
        <f t="shared" si="63"/>
        <v>0</v>
      </c>
      <c r="R465">
        <f t="shared" si="64"/>
        <v>0</v>
      </c>
      <c r="S465">
        <f t="shared" si="65"/>
        <v>0</v>
      </c>
      <c r="T465">
        <f t="shared" si="66"/>
        <v>0</v>
      </c>
      <c r="U465">
        <f t="shared" si="67"/>
        <v>0</v>
      </c>
      <c r="V465">
        <f t="shared" si="68"/>
        <v>0</v>
      </c>
      <c r="AA465">
        <f t="shared" si="60"/>
        <v>0</v>
      </c>
      <c r="AL465" s="142"/>
    </row>
    <row r="466" spans="1:38" hidden="1" x14ac:dyDescent="0.2">
      <c r="A466" s="1700"/>
      <c r="B466" s="1698"/>
      <c r="C466" s="1712"/>
      <c r="D466" s="1699"/>
      <c r="E466" s="1699"/>
      <c r="F466" s="1699"/>
      <c r="G466" s="1699"/>
      <c r="H466" s="1699"/>
      <c r="I466" s="1706"/>
      <c r="J466" s="1706"/>
      <c r="K466" s="1713" t="str">
        <f t="shared" si="61"/>
        <v/>
      </c>
      <c r="L466">
        <f t="shared" si="62"/>
        <v>0</v>
      </c>
      <c r="Q466">
        <f t="shared" si="63"/>
        <v>0</v>
      </c>
      <c r="R466">
        <f t="shared" si="64"/>
        <v>0</v>
      </c>
      <c r="S466">
        <f t="shared" si="65"/>
        <v>0</v>
      </c>
      <c r="T466">
        <f t="shared" si="66"/>
        <v>0</v>
      </c>
      <c r="U466">
        <f t="shared" si="67"/>
        <v>0</v>
      </c>
      <c r="V466">
        <f t="shared" si="68"/>
        <v>0</v>
      </c>
      <c r="AA466">
        <f t="shared" si="60"/>
        <v>0</v>
      </c>
      <c r="AL466" s="142"/>
    </row>
    <row r="467" spans="1:38" hidden="1" x14ac:dyDescent="0.2">
      <c r="A467" s="1700"/>
      <c r="B467" s="1698"/>
      <c r="C467" s="1712"/>
      <c r="D467" s="1699"/>
      <c r="E467" s="1699"/>
      <c r="F467" s="1699"/>
      <c r="G467" s="1699"/>
      <c r="H467" s="1699"/>
      <c r="I467" s="1706"/>
      <c r="J467" s="1706"/>
      <c r="K467" s="1713" t="str">
        <f t="shared" si="61"/>
        <v/>
      </c>
      <c r="L467">
        <f t="shared" si="62"/>
        <v>0</v>
      </c>
      <c r="Q467">
        <f t="shared" si="63"/>
        <v>0</v>
      </c>
      <c r="R467">
        <f t="shared" si="64"/>
        <v>0</v>
      </c>
      <c r="S467">
        <f t="shared" si="65"/>
        <v>0</v>
      </c>
      <c r="T467">
        <f t="shared" si="66"/>
        <v>0</v>
      </c>
      <c r="U467">
        <f t="shared" si="67"/>
        <v>0</v>
      </c>
      <c r="V467">
        <f t="shared" si="68"/>
        <v>0</v>
      </c>
      <c r="AA467">
        <f t="shared" si="60"/>
        <v>0</v>
      </c>
      <c r="AL467" s="142"/>
    </row>
    <row r="468" spans="1:38" hidden="1" x14ac:dyDescent="0.2">
      <c r="A468" s="1700"/>
      <c r="B468" s="1698"/>
      <c r="C468" s="1712"/>
      <c r="D468" s="1699"/>
      <c r="E468" s="1699"/>
      <c r="F468" s="1699"/>
      <c r="G468" s="1699"/>
      <c r="H468" s="1699"/>
      <c r="I468" s="1706"/>
      <c r="J468" s="1706"/>
      <c r="K468" s="1713" t="str">
        <f t="shared" si="61"/>
        <v/>
      </c>
      <c r="L468">
        <f t="shared" si="62"/>
        <v>0</v>
      </c>
      <c r="Q468">
        <f t="shared" si="63"/>
        <v>0</v>
      </c>
      <c r="R468">
        <f t="shared" si="64"/>
        <v>0</v>
      </c>
      <c r="S468">
        <f t="shared" si="65"/>
        <v>0</v>
      </c>
      <c r="T468">
        <f t="shared" si="66"/>
        <v>0</v>
      </c>
      <c r="U468">
        <f t="shared" si="67"/>
        <v>0</v>
      </c>
      <c r="V468">
        <f t="shared" si="68"/>
        <v>0</v>
      </c>
      <c r="AA468">
        <f t="shared" si="60"/>
        <v>0</v>
      </c>
      <c r="AL468" s="142"/>
    </row>
    <row r="469" spans="1:38" hidden="1" x14ac:dyDescent="0.2">
      <c r="A469" s="1700"/>
      <c r="B469" s="1698"/>
      <c r="C469" s="1712"/>
      <c r="D469" s="1699"/>
      <c r="E469" s="1699"/>
      <c r="F469" s="1699"/>
      <c r="G469" s="1699"/>
      <c r="H469" s="1699"/>
      <c r="I469" s="1706"/>
      <c r="J469" s="1706"/>
      <c r="K469" s="1713" t="str">
        <f t="shared" si="61"/>
        <v/>
      </c>
      <c r="L469">
        <f t="shared" si="62"/>
        <v>0</v>
      </c>
      <c r="Q469">
        <f t="shared" si="63"/>
        <v>0</v>
      </c>
      <c r="R469">
        <f t="shared" si="64"/>
        <v>0</v>
      </c>
      <c r="S469">
        <f t="shared" si="65"/>
        <v>0</v>
      </c>
      <c r="T469">
        <f t="shared" si="66"/>
        <v>0</v>
      </c>
      <c r="U469">
        <f t="shared" si="67"/>
        <v>0</v>
      </c>
      <c r="V469">
        <f t="shared" si="68"/>
        <v>0</v>
      </c>
      <c r="AA469">
        <f t="shared" si="60"/>
        <v>0</v>
      </c>
      <c r="AL469" s="142"/>
    </row>
    <row r="470" spans="1:38" hidden="1" x14ac:dyDescent="0.2">
      <c r="A470" s="1700"/>
      <c r="B470" s="1698"/>
      <c r="C470" s="1712"/>
      <c r="D470" s="1699"/>
      <c r="E470" s="1699"/>
      <c r="F470" s="1699"/>
      <c r="G470" s="1699"/>
      <c r="H470" s="1699"/>
      <c r="I470" s="1706"/>
      <c r="J470" s="1706"/>
      <c r="K470" s="1713" t="str">
        <f t="shared" si="61"/>
        <v/>
      </c>
      <c r="L470">
        <f t="shared" si="62"/>
        <v>0</v>
      </c>
      <c r="Q470">
        <f t="shared" si="63"/>
        <v>0</v>
      </c>
      <c r="R470">
        <f t="shared" si="64"/>
        <v>0</v>
      </c>
      <c r="S470">
        <f t="shared" si="65"/>
        <v>0</v>
      </c>
      <c r="T470">
        <f t="shared" si="66"/>
        <v>0</v>
      </c>
      <c r="U470">
        <f t="shared" si="67"/>
        <v>0</v>
      </c>
      <c r="V470">
        <f t="shared" si="68"/>
        <v>0</v>
      </c>
      <c r="AA470">
        <f t="shared" si="60"/>
        <v>0</v>
      </c>
      <c r="AL470" s="142"/>
    </row>
    <row r="471" spans="1:38" hidden="1" x14ac:dyDescent="0.2">
      <c r="A471" s="1700"/>
      <c r="B471" s="1698"/>
      <c r="C471" s="1712"/>
      <c r="D471" s="1699"/>
      <c r="E471" s="1699"/>
      <c r="F471" s="1699"/>
      <c r="G471" s="1699"/>
      <c r="H471" s="1699"/>
      <c r="I471" s="1706"/>
      <c r="J471" s="1706"/>
      <c r="K471" s="1713" t="str">
        <f t="shared" si="61"/>
        <v/>
      </c>
      <c r="L471">
        <f t="shared" si="62"/>
        <v>0</v>
      </c>
      <c r="Q471">
        <f t="shared" si="63"/>
        <v>0</v>
      </c>
      <c r="R471">
        <f t="shared" si="64"/>
        <v>0</v>
      </c>
      <c r="S471">
        <f t="shared" si="65"/>
        <v>0</v>
      </c>
      <c r="T471">
        <f t="shared" si="66"/>
        <v>0</v>
      </c>
      <c r="U471">
        <f t="shared" si="67"/>
        <v>0</v>
      </c>
      <c r="V471">
        <f t="shared" si="68"/>
        <v>0</v>
      </c>
      <c r="AA471">
        <f t="shared" si="60"/>
        <v>0</v>
      </c>
      <c r="AL471" s="142"/>
    </row>
    <row r="472" spans="1:38" hidden="1" x14ac:dyDescent="0.2">
      <c r="A472" s="1700"/>
      <c r="B472" s="1698"/>
      <c r="C472" s="1712"/>
      <c r="D472" s="1699"/>
      <c r="E472" s="1699"/>
      <c r="F472" s="1699"/>
      <c r="G472" s="1699"/>
      <c r="H472" s="1699"/>
      <c r="I472" s="1706"/>
      <c r="J472" s="1706"/>
      <c r="K472" s="1713" t="str">
        <f t="shared" si="61"/>
        <v/>
      </c>
      <c r="L472">
        <f t="shared" si="62"/>
        <v>0</v>
      </c>
      <c r="Q472">
        <f t="shared" si="63"/>
        <v>0</v>
      </c>
      <c r="R472">
        <f t="shared" si="64"/>
        <v>0</v>
      </c>
      <c r="S472">
        <f t="shared" si="65"/>
        <v>0</v>
      </c>
      <c r="T472">
        <f t="shared" si="66"/>
        <v>0</v>
      </c>
      <c r="U472">
        <f t="shared" si="67"/>
        <v>0</v>
      </c>
      <c r="V472">
        <f t="shared" si="68"/>
        <v>0</v>
      </c>
      <c r="AA472">
        <f t="shared" si="60"/>
        <v>0</v>
      </c>
      <c r="AL472" s="142"/>
    </row>
    <row r="473" spans="1:38" hidden="1" x14ac:dyDescent="0.2">
      <c r="A473" s="1700"/>
      <c r="B473" s="1698"/>
      <c r="C473" s="1712"/>
      <c r="D473" s="1699"/>
      <c r="E473" s="1699"/>
      <c r="F473" s="1699"/>
      <c r="G473" s="1699"/>
      <c r="H473" s="1699"/>
      <c r="I473" s="1706"/>
      <c r="J473" s="1706"/>
      <c r="K473" s="1713" t="str">
        <f t="shared" si="61"/>
        <v/>
      </c>
      <c r="L473">
        <f t="shared" si="62"/>
        <v>0</v>
      </c>
      <c r="Q473">
        <f t="shared" si="63"/>
        <v>0</v>
      </c>
      <c r="R473">
        <f t="shared" si="64"/>
        <v>0</v>
      </c>
      <c r="S473">
        <f t="shared" si="65"/>
        <v>0</v>
      </c>
      <c r="T473">
        <f t="shared" si="66"/>
        <v>0</v>
      </c>
      <c r="U473">
        <f t="shared" si="67"/>
        <v>0</v>
      </c>
      <c r="V473">
        <f t="shared" si="68"/>
        <v>0</v>
      </c>
      <c r="AA473">
        <f t="shared" ref="AA473:AA536" si="69">IF(ISERROR(VLOOKUP($B473,eu_countries,1,FALSE))=TRUE,0,1)</f>
      </c>
      <c r="AL473" s="142"/>
    </row>
    <row r="474" spans="1:38" hidden="1" x14ac:dyDescent="0.2">
      <c r="A474" s="1700"/>
      <c r="B474" s="1698"/>
      <c r="C474" s="1712"/>
      <c r="D474" s="1699"/>
      <c r="E474" s="1699"/>
      <c r="F474" s="1699"/>
      <c r="G474" s="1699"/>
      <c r="H474" s="1699"/>
      <c r="I474" s="1706"/>
      <c r="J474" s="1706"/>
      <c r="K474" s="1713" t="str">
        <f t="shared" ref="K474:K537" si="70">IF(AND(AA474=1,A474=$S$59),"TIN required!",IF(Q474&gt;R474," All details required!",""))</f>
        <v/>
      </c>
      <c r="L474">
        <f t="shared" ref="L474:L537" si="71">IF(K474="",0,1)</f>
      </c>
      <c r="Q474">
        <f t="shared" ref="Q474:Q537" si="72">IF(AND(G468="Yes",R474=0),7,IF(S474=0,0,IF(A474=$S$59,10,7)))</f>
      </c>
      <c r="R474">
        <f t="shared" ref="R474:R537" si="73">IF(AND(AA474=0,A474=$S$59),T474+U474+V474,T474+V474)</f>
      </c>
      <c r="S474">
        <f t="shared" ref="S474:S537" si="74">SUM(T474:V474)</f>
      </c>
      <c r="T474">
        <f t="shared" ref="T474:T537" si="75">COUNTA(A474:B474)</f>
      </c>
      <c r="U474">
        <f t="shared" ref="U474:U537" si="76">COUNTA(C474:E474)</f>
      </c>
      <c r="V474">
        <f t="shared" ref="V474:V537" si="77">COUNTA(F474:J474)</f>
      </c>
      <c r="AA474">
        <f t="shared" si="69"/>
        <v>0</v>
      </c>
      <c r="AL474" s="142"/>
    </row>
    <row r="475" spans="1:38" hidden="1" x14ac:dyDescent="0.2">
      <c r="A475" s="1700"/>
      <c r="B475" s="1698"/>
      <c r="C475" s="1712"/>
      <c r="D475" s="1699"/>
      <c r="E475" s="1699"/>
      <c r="F475" s="1699"/>
      <c r="G475" s="1699"/>
      <c r="H475" s="1699"/>
      <c r="I475" s="1706"/>
      <c r="J475" s="1706"/>
      <c r="K475" s="1713" t="str">
        <f t="shared" si="70"/>
        <v/>
      </c>
      <c r="L475">
        <f t="shared" si="71"/>
        <v>0</v>
      </c>
      <c r="Q475">
        <f t="shared" si="72"/>
        <v>0</v>
      </c>
      <c r="R475">
        <f t="shared" si="73"/>
        <v>0</v>
      </c>
      <c r="S475">
        <f t="shared" si="74"/>
        <v>0</v>
      </c>
      <c r="T475">
        <f t="shared" si="75"/>
        <v>0</v>
      </c>
      <c r="U475">
        <f t="shared" si="76"/>
        <v>0</v>
      </c>
      <c r="V475">
        <f t="shared" si="77"/>
        <v>0</v>
      </c>
      <c r="AA475">
        <f t="shared" si="69"/>
        <v>0</v>
      </c>
      <c r="AL475" s="142"/>
    </row>
    <row r="476" spans="1:38" hidden="1" x14ac:dyDescent="0.2">
      <c r="A476" s="1700"/>
      <c r="B476" s="1698"/>
      <c r="C476" s="1712"/>
      <c r="D476" s="1699"/>
      <c r="E476" s="1699"/>
      <c r="F476" s="1699"/>
      <c r="G476" s="1699"/>
      <c r="H476" s="1699"/>
      <c r="I476" s="1706"/>
      <c r="J476" s="1706"/>
      <c r="K476" s="1713" t="str">
        <f t="shared" si="70"/>
        <v/>
      </c>
      <c r="L476">
        <f t="shared" si="71"/>
        <v>0</v>
      </c>
      <c r="Q476">
        <f t="shared" si="72"/>
        <v>0</v>
      </c>
      <c r="R476">
        <f t="shared" si="73"/>
        <v>0</v>
      </c>
      <c r="S476">
        <f t="shared" si="74"/>
        <v>0</v>
      </c>
      <c r="T476">
        <f t="shared" si="75"/>
        <v>0</v>
      </c>
      <c r="U476">
        <f t="shared" si="76"/>
        <v>0</v>
      </c>
      <c r="V476">
        <f t="shared" si="77"/>
        <v>0</v>
      </c>
      <c r="AA476">
        <f t="shared" si="69"/>
        <v>0</v>
      </c>
      <c r="AL476" s="142"/>
    </row>
    <row r="477" spans="1:38" hidden="1" x14ac:dyDescent="0.2">
      <c r="A477" s="1700"/>
      <c r="B477" s="1698"/>
      <c r="C477" s="1712"/>
      <c r="D477" s="1699"/>
      <c r="E477" s="1699"/>
      <c r="F477" s="1699"/>
      <c r="G477" s="1699"/>
      <c r="H477" s="1699"/>
      <c r="I477" s="1706"/>
      <c r="J477" s="1706"/>
      <c r="K477" s="1713" t="str">
        <f t="shared" si="70"/>
        <v/>
      </c>
      <c r="L477">
        <f t="shared" si="71"/>
        <v>0</v>
      </c>
      <c r="Q477">
        <f t="shared" si="72"/>
        <v>0</v>
      </c>
      <c r="R477">
        <f t="shared" si="73"/>
        <v>0</v>
      </c>
      <c r="S477">
        <f t="shared" si="74"/>
        <v>0</v>
      </c>
      <c r="T477">
        <f t="shared" si="75"/>
        <v>0</v>
      </c>
      <c r="U477">
        <f t="shared" si="76"/>
        <v>0</v>
      </c>
      <c r="V477">
        <f t="shared" si="77"/>
        <v>0</v>
      </c>
      <c r="AA477">
        <f t="shared" si="69"/>
        <v>0</v>
      </c>
      <c r="AL477" s="142"/>
    </row>
    <row r="478" spans="1:38" hidden="1" x14ac:dyDescent="0.2">
      <c r="A478" s="1700"/>
      <c r="B478" s="1698"/>
      <c r="C478" s="1712"/>
      <c r="D478" s="1699"/>
      <c r="E478" s="1699"/>
      <c r="F478" s="1699"/>
      <c r="G478" s="1699"/>
      <c r="H478" s="1699"/>
      <c r="I478" s="1706"/>
      <c r="J478" s="1706"/>
      <c r="K478" s="1713" t="str">
        <f t="shared" si="70"/>
        <v/>
      </c>
      <c r="L478">
        <f t="shared" si="71"/>
        <v>0</v>
      </c>
      <c r="Q478">
        <f t="shared" si="72"/>
        <v>0</v>
      </c>
      <c r="R478">
        <f t="shared" si="73"/>
        <v>0</v>
      </c>
      <c r="S478">
        <f t="shared" si="74"/>
        <v>0</v>
      </c>
      <c r="T478">
        <f t="shared" si="75"/>
        <v>0</v>
      </c>
      <c r="U478">
        <f t="shared" si="76"/>
        <v>0</v>
      </c>
      <c r="V478">
        <f t="shared" si="77"/>
        <v>0</v>
      </c>
      <c r="AA478">
        <f t="shared" si="69"/>
        <v>0</v>
      </c>
      <c r="AL478" s="142"/>
    </row>
    <row r="479" spans="1:38" hidden="1" x14ac:dyDescent="0.2">
      <c r="A479" s="1700"/>
      <c r="B479" s="1698"/>
      <c r="C479" s="1712"/>
      <c r="D479" s="1699"/>
      <c r="E479" s="1699"/>
      <c r="F479" s="1699"/>
      <c r="G479" s="1699"/>
      <c r="H479" s="1699"/>
      <c r="I479" s="1706"/>
      <c r="J479" s="1706"/>
      <c r="K479" s="1713" t="str">
        <f t="shared" si="70"/>
        <v/>
      </c>
      <c r="L479">
        <f t="shared" si="71"/>
        <v>0</v>
      </c>
      <c r="Q479">
        <f t="shared" si="72"/>
        <v>0</v>
      </c>
      <c r="R479">
        <f t="shared" si="73"/>
        <v>0</v>
      </c>
      <c r="S479">
        <f t="shared" si="74"/>
        <v>0</v>
      </c>
      <c r="T479">
        <f t="shared" si="75"/>
        <v>0</v>
      </c>
      <c r="U479">
        <f t="shared" si="76"/>
        <v>0</v>
      </c>
      <c r="V479">
        <f t="shared" si="77"/>
        <v>0</v>
      </c>
      <c r="AA479">
        <f t="shared" si="69"/>
        <v>0</v>
      </c>
      <c r="AL479" s="142"/>
    </row>
    <row r="480" spans="1:38" hidden="1" x14ac:dyDescent="0.2">
      <c r="A480" s="1700"/>
      <c r="B480" s="1698"/>
      <c r="C480" s="1712"/>
      <c r="D480" s="1699"/>
      <c r="E480" s="1699"/>
      <c r="F480" s="1699"/>
      <c r="G480" s="1699"/>
      <c r="H480" s="1699"/>
      <c r="I480" s="1706"/>
      <c r="J480" s="1706"/>
      <c r="K480" s="1713" t="str">
        <f t="shared" si="70"/>
        <v/>
      </c>
      <c r="L480">
        <f t="shared" si="71"/>
        <v>0</v>
      </c>
      <c r="Q480">
        <f t="shared" si="72"/>
        <v>0</v>
      </c>
      <c r="R480">
        <f t="shared" si="73"/>
        <v>0</v>
      </c>
      <c r="S480">
        <f t="shared" si="74"/>
        <v>0</v>
      </c>
      <c r="T480">
        <f t="shared" si="75"/>
        <v>0</v>
      </c>
      <c r="U480">
        <f t="shared" si="76"/>
        <v>0</v>
      </c>
      <c r="V480">
        <f t="shared" si="77"/>
        <v>0</v>
      </c>
      <c r="AA480">
        <f t="shared" si="69"/>
        <v>0</v>
      </c>
      <c r="AL480" s="142"/>
    </row>
    <row r="481" spans="1:38" hidden="1" x14ac:dyDescent="0.2">
      <c r="A481" s="1700"/>
      <c r="B481" s="1698"/>
      <c r="C481" s="1712"/>
      <c r="D481" s="1699"/>
      <c r="E481" s="1699"/>
      <c r="F481" s="1699"/>
      <c r="G481" s="1699"/>
      <c r="H481" s="1699"/>
      <c r="I481" s="1706"/>
      <c r="J481" s="1706"/>
      <c r="K481" s="1713" t="str">
        <f t="shared" si="70"/>
        <v/>
      </c>
      <c r="L481">
        <f t="shared" si="71"/>
        <v>0</v>
      </c>
      <c r="Q481">
        <f t="shared" si="72"/>
        <v>0</v>
      </c>
      <c r="R481">
        <f t="shared" si="73"/>
        <v>0</v>
      </c>
      <c r="S481">
        <f t="shared" si="74"/>
        <v>0</v>
      </c>
      <c r="T481">
        <f t="shared" si="75"/>
        <v>0</v>
      </c>
      <c r="U481">
        <f t="shared" si="76"/>
        <v>0</v>
      </c>
      <c r="V481">
        <f t="shared" si="77"/>
        <v>0</v>
      </c>
      <c r="AA481">
        <f t="shared" si="69"/>
        <v>0</v>
      </c>
      <c r="AL481" s="142"/>
    </row>
    <row r="482" spans="1:38" hidden="1" x14ac:dyDescent="0.2">
      <c r="A482" s="1700"/>
      <c r="B482" s="1698"/>
      <c r="C482" s="1712"/>
      <c r="D482" s="1699"/>
      <c r="E482" s="1699"/>
      <c r="F482" s="1699"/>
      <c r="G482" s="1699"/>
      <c r="H482" s="1699"/>
      <c r="I482" s="1706"/>
      <c r="J482" s="1706"/>
      <c r="K482" s="1713" t="str">
        <f t="shared" si="70"/>
        <v/>
      </c>
      <c r="L482">
        <f t="shared" si="71"/>
        <v>0</v>
      </c>
      <c r="Q482">
        <f t="shared" si="72"/>
        <v>0</v>
      </c>
      <c r="R482">
        <f t="shared" si="73"/>
        <v>0</v>
      </c>
      <c r="S482">
        <f t="shared" si="74"/>
        <v>0</v>
      </c>
      <c r="T482">
        <f t="shared" si="75"/>
        <v>0</v>
      </c>
      <c r="U482">
        <f t="shared" si="76"/>
        <v>0</v>
      </c>
      <c r="V482">
        <f t="shared" si="77"/>
        <v>0</v>
      </c>
      <c r="AA482">
        <f t="shared" si="69"/>
        <v>0</v>
      </c>
      <c r="AL482" s="142"/>
    </row>
    <row r="483" spans="1:38" hidden="1" x14ac:dyDescent="0.2">
      <c r="A483" s="1700"/>
      <c r="B483" s="1698"/>
      <c r="C483" s="1712"/>
      <c r="D483" s="1699"/>
      <c r="E483" s="1699"/>
      <c r="F483" s="1699"/>
      <c r="G483" s="1699"/>
      <c r="H483" s="1699"/>
      <c r="I483" s="1706"/>
      <c r="J483" s="1706"/>
      <c r="K483" s="1713" t="str">
        <f t="shared" si="70"/>
        <v/>
      </c>
      <c r="L483">
        <f t="shared" si="71"/>
        <v>0</v>
      </c>
      <c r="Q483">
        <f t="shared" si="72"/>
        <v>0</v>
      </c>
      <c r="R483">
        <f t="shared" si="73"/>
        <v>0</v>
      </c>
      <c r="S483">
        <f t="shared" si="74"/>
        <v>0</v>
      </c>
      <c r="T483">
        <f t="shared" si="75"/>
        <v>0</v>
      </c>
      <c r="U483">
        <f t="shared" si="76"/>
        <v>0</v>
      </c>
      <c r="V483">
        <f t="shared" si="77"/>
        <v>0</v>
      </c>
      <c r="AA483">
        <f t="shared" si="69"/>
        <v>0</v>
      </c>
      <c r="AL483" s="142"/>
    </row>
    <row r="484" spans="1:38" hidden="1" x14ac:dyDescent="0.2">
      <c r="A484" s="1700"/>
      <c r="B484" s="1698"/>
      <c r="C484" s="1712"/>
      <c r="D484" s="1699"/>
      <c r="E484" s="1699"/>
      <c r="F484" s="1699"/>
      <c r="G484" s="1699"/>
      <c r="H484" s="1699"/>
      <c r="I484" s="1706"/>
      <c r="J484" s="1706"/>
      <c r="K484" s="1713" t="str">
        <f t="shared" si="70"/>
        <v/>
      </c>
      <c r="L484">
        <f t="shared" si="71"/>
        <v>0</v>
      </c>
      <c r="Q484">
        <f t="shared" si="72"/>
        <v>0</v>
      </c>
      <c r="R484">
        <f t="shared" si="73"/>
        <v>0</v>
      </c>
      <c r="S484">
        <f t="shared" si="74"/>
        <v>0</v>
      </c>
      <c r="T484">
        <f t="shared" si="75"/>
        <v>0</v>
      </c>
      <c r="U484">
        <f t="shared" si="76"/>
        <v>0</v>
      </c>
      <c r="V484">
        <f t="shared" si="77"/>
        <v>0</v>
      </c>
      <c r="AA484">
        <f t="shared" si="69"/>
        <v>0</v>
      </c>
      <c r="AL484" s="142"/>
    </row>
    <row r="485" spans="1:38" hidden="1" x14ac:dyDescent="0.2">
      <c r="A485" s="1700"/>
      <c r="B485" s="1698"/>
      <c r="C485" s="1712"/>
      <c r="D485" s="1699"/>
      <c r="E485" s="1699"/>
      <c r="F485" s="1699"/>
      <c r="G485" s="1699"/>
      <c r="H485" s="1699"/>
      <c r="I485" s="1706"/>
      <c r="J485" s="1706"/>
      <c r="K485" s="1713" t="str">
        <f t="shared" si="70"/>
        <v/>
      </c>
      <c r="L485">
        <f t="shared" si="71"/>
        <v>0</v>
      </c>
      <c r="Q485">
        <f t="shared" si="72"/>
        <v>0</v>
      </c>
      <c r="R485">
        <f t="shared" si="73"/>
        <v>0</v>
      </c>
      <c r="S485">
        <f t="shared" si="74"/>
        <v>0</v>
      </c>
      <c r="T485">
        <f t="shared" si="75"/>
        <v>0</v>
      </c>
      <c r="U485">
        <f t="shared" si="76"/>
        <v>0</v>
      </c>
      <c r="V485">
        <f t="shared" si="77"/>
        <v>0</v>
      </c>
      <c r="AA485">
        <f t="shared" si="69"/>
        <v>0</v>
      </c>
      <c r="AL485" s="142"/>
    </row>
    <row r="486" spans="1:38" hidden="1" x14ac:dyDescent="0.2">
      <c r="A486" s="1700"/>
      <c r="B486" s="1698"/>
      <c r="C486" s="1712"/>
      <c r="D486" s="1699"/>
      <c r="E486" s="1699"/>
      <c r="F486" s="1699"/>
      <c r="G486" s="1699"/>
      <c r="H486" s="1699"/>
      <c r="I486" s="1706"/>
      <c r="J486" s="1706"/>
      <c r="K486" s="1713" t="str">
        <f t="shared" si="70"/>
        <v/>
      </c>
      <c r="L486">
        <f t="shared" si="71"/>
        <v>0</v>
      </c>
      <c r="Q486">
        <f t="shared" si="72"/>
        <v>0</v>
      </c>
      <c r="R486">
        <f t="shared" si="73"/>
        <v>0</v>
      </c>
      <c r="S486">
        <f t="shared" si="74"/>
        <v>0</v>
      </c>
      <c r="T486">
        <f t="shared" si="75"/>
        <v>0</v>
      </c>
      <c r="U486">
        <f t="shared" si="76"/>
        <v>0</v>
      </c>
      <c r="V486">
        <f t="shared" si="77"/>
        <v>0</v>
      </c>
      <c r="AA486">
        <f t="shared" si="69"/>
        <v>0</v>
      </c>
      <c r="AL486" s="142"/>
    </row>
    <row r="487" spans="1:38" hidden="1" x14ac:dyDescent="0.2">
      <c r="A487" s="1700"/>
      <c r="B487" s="1698"/>
      <c r="C487" s="1712"/>
      <c r="D487" s="1699"/>
      <c r="E487" s="1699"/>
      <c r="F487" s="1699"/>
      <c r="G487" s="1699"/>
      <c r="H487" s="1699"/>
      <c r="I487" s="1706"/>
      <c r="J487" s="1706"/>
      <c r="K487" s="1713" t="str">
        <f t="shared" si="70"/>
        <v/>
      </c>
      <c r="L487">
        <f t="shared" si="71"/>
        <v>0</v>
      </c>
      <c r="Q487">
        <f t="shared" si="72"/>
        <v>0</v>
      </c>
      <c r="R487">
        <f t="shared" si="73"/>
        <v>0</v>
      </c>
      <c r="S487">
        <f t="shared" si="74"/>
        <v>0</v>
      </c>
      <c r="T487">
        <f t="shared" si="75"/>
        <v>0</v>
      </c>
      <c r="U487">
        <f t="shared" si="76"/>
        <v>0</v>
      </c>
      <c r="V487">
        <f t="shared" si="77"/>
        <v>0</v>
      </c>
      <c r="AA487">
        <f t="shared" si="69"/>
        <v>0</v>
      </c>
      <c r="AL487" s="142"/>
    </row>
    <row r="488" spans="1:38" hidden="1" x14ac:dyDescent="0.2">
      <c r="A488" s="1700"/>
      <c r="B488" s="1698"/>
      <c r="C488" s="1712"/>
      <c r="D488" s="1699"/>
      <c r="E488" s="1699"/>
      <c r="F488" s="1699"/>
      <c r="G488" s="1699"/>
      <c r="H488" s="1699"/>
      <c r="I488" s="1706"/>
      <c r="J488" s="1706"/>
      <c r="K488" s="1713" t="str">
        <f t="shared" si="70"/>
        <v/>
      </c>
      <c r="L488">
        <f t="shared" si="71"/>
        <v>0</v>
      </c>
      <c r="Q488">
        <f t="shared" si="72"/>
        <v>0</v>
      </c>
      <c r="R488">
        <f t="shared" si="73"/>
        <v>0</v>
      </c>
      <c r="S488">
        <f t="shared" si="74"/>
        <v>0</v>
      </c>
      <c r="T488">
        <f t="shared" si="75"/>
        <v>0</v>
      </c>
      <c r="U488">
        <f t="shared" si="76"/>
        <v>0</v>
      </c>
      <c r="V488">
        <f t="shared" si="77"/>
        <v>0</v>
      </c>
      <c r="AA488">
        <f t="shared" si="69"/>
        <v>0</v>
      </c>
      <c r="AL488" s="142"/>
    </row>
    <row r="489" spans="1:38" hidden="1" x14ac:dyDescent="0.2">
      <c r="A489" s="1700"/>
      <c r="B489" s="1698"/>
      <c r="C489" s="1712"/>
      <c r="D489" s="1699"/>
      <c r="E489" s="1699"/>
      <c r="F489" s="1699"/>
      <c r="G489" s="1699"/>
      <c r="H489" s="1699"/>
      <c r="I489" s="1706"/>
      <c r="J489" s="1706"/>
      <c r="K489" s="1713" t="str">
        <f t="shared" si="70"/>
        <v/>
      </c>
      <c r="L489">
        <f t="shared" si="71"/>
        <v>0</v>
      </c>
      <c r="Q489">
        <f t="shared" si="72"/>
        <v>0</v>
      </c>
      <c r="R489">
        <f t="shared" si="73"/>
        <v>0</v>
      </c>
      <c r="S489">
        <f t="shared" si="74"/>
        <v>0</v>
      </c>
      <c r="T489">
        <f t="shared" si="75"/>
        <v>0</v>
      </c>
      <c r="U489">
        <f t="shared" si="76"/>
        <v>0</v>
      </c>
      <c r="V489">
        <f t="shared" si="77"/>
        <v>0</v>
      </c>
      <c r="AA489">
        <f t="shared" si="69"/>
        <v>0</v>
      </c>
      <c r="AL489" s="142"/>
    </row>
    <row r="490" spans="1:38" hidden="1" x14ac:dyDescent="0.2">
      <c r="A490" s="1700"/>
      <c r="B490" s="1698"/>
      <c r="C490" s="1712"/>
      <c r="D490" s="1699"/>
      <c r="E490" s="1699"/>
      <c r="F490" s="1699"/>
      <c r="G490" s="1699"/>
      <c r="H490" s="1699"/>
      <c r="I490" s="1706"/>
      <c r="J490" s="1706"/>
      <c r="K490" s="1713" t="str">
        <f t="shared" si="70"/>
        <v/>
      </c>
      <c r="L490">
        <f t="shared" si="71"/>
        <v>0</v>
      </c>
      <c r="Q490">
        <f t="shared" si="72"/>
        <v>0</v>
      </c>
      <c r="R490">
        <f t="shared" si="73"/>
        <v>0</v>
      </c>
      <c r="S490">
        <f t="shared" si="74"/>
        <v>0</v>
      </c>
      <c r="T490">
        <f t="shared" si="75"/>
        <v>0</v>
      </c>
      <c r="U490">
        <f t="shared" si="76"/>
        <v>0</v>
      </c>
      <c r="V490">
        <f t="shared" si="77"/>
        <v>0</v>
      </c>
      <c r="AA490">
        <f t="shared" si="69"/>
        <v>0</v>
      </c>
      <c r="AL490" s="142"/>
    </row>
    <row r="491" spans="1:38" hidden="1" x14ac:dyDescent="0.2">
      <c r="A491" s="1700"/>
      <c r="B491" s="1698"/>
      <c r="C491" s="1712"/>
      <c r="D491" s="1699"/>
      <c r="E491" s="1699"/>
      <c r="F491" s="1699"/>
      <c r="G491" s="1699"/>
      <c r="H491" s="1699"/>
      <c r="I491" s="1706"/>
      <c r="J491" s="1706"/>
      <c r="K491" s="1713" t="str">
        <f t="shared" si="70"/>
        <v/>
      </c>
      <c r="L491">
        <f t="shared" si="71"/>
        <v>0</v>
      </c>
      <c r="Q491">
        <f t="shared" si="72"/>
        <v>0</v>
      </c>
      <c r="R491">
        <f t="shared" si="73"/>
        <v>0</v>
      </c>
      <c r="S491">
        <f t="shared" si="74"/>
        <v>0</v>
      </c>
      <c r="T491">
        <f t="shared" si="75"/>
        <v>0</v>
      </c>
      <c r="U491">
        <f t="shared" si="76"/>
        <v>0</v>
      </c>
      <c r="V491">
        <f t="shared" si="77"/>
        <v>0</v>
      </c>
      <c r="AA491">
        <f t="shared" si="69"/>
        <v>0</v>
      </c>
      <c r="AL491" s="142"/>
    </row>
    <row r="492" spans="1:38" hidden="1" x14ac:dyDescent="0.2">
      <c r="A492" s="1700"/>
      <c r="B492" s="1698"/>
      <c r="C492" s="1712"/>
      <c r="D492" s="1699"/>
      <c r="E492" s="1699"/>
      <c r="F492" s="1699"/>
      <c r="G492" s="1699"/>
      <c r="H492" s="1699"/>
      <c r="I492" s="1706"/>
      <c r="J492" s="1706"/>
      <c r="K492" s="1713" t="str">
        <f t="shared" si="70"/>
        <v/>
      </c>
      <c r="L492">
        <f t="shared" si="71"/>
        <v>0</v>
      </c>
      <c r="Q492">
        <f t="shared" si="72"/>
        <v>0</v>
      </c>
      <c r="R492">
        <f t="shared" si="73"/>
        <v>0</v>
      </c>
      <c r="S492">
        <f t="shared" si="74"/>
        <v>0</v>
      </c>
      <c r="T492">
        <f t="shared" si="75"/>
        <v>0</v>
      </c>
      <c r="U492">
        <f t="shared" si="76"/>
        <v>0</v>
      </c>
      <c r="V492">
        <f t="shared" si="77"/>
        <v>0</v>
      </c>
      <c r="AA492">
        <f t="shared" si="69"/>
        <v>0</v>
      </c>
      <c r="AL492" s="142"/>
    </row>
    <row r="493" spans="1:38" hidden="1" x14ac:dyDescent="0.2">
      <c r="A493" s="1700"/>
      <c r="B493" s="1698"/>
      <c r="C493" s="1712"/>
      <c r="D493" s="1699"/>
      <c r="E493" s="1699"/>
      <c r="F493" s="1699"/>
      <c r="G493" s="1699"/>
      <c r="H493" s="1699"/>
      <c r="I493" s="1706"/>
      <c r="J493" s="1706"/>
      <c r="K493" s="1713" t="str">
        <f t="shared" si="70"/>
        <v/>
      </c>
      <c r="L493">
        <f t="shared" si="71"/>
        <v>0</v>
      </c>
      <c r="Q493">
        <f t="shared" si="72"/>
        <v>0</v>
      </c>
      <c r="R493">
        <f t="shared" si="73"/>
        <v>0</v>
      </c>
      <c r="S493">
        <f t="shared" si="74"/>
        <v>0</v>
      </c>
      <c r="T493">
        <f t="shared" si="75"/>
        <v>0</v>
      </c>
      <c r="U493">
        <f t="shared" si="76"/>
        <v>0</v>
      </c>
      <c r="V493">
        <f t="shared" si="77"/>
        <v>0</v>
      </c>
      <c r="AA493">
        <f t="shared" si="69"/>
        <v>0</v>
      </c>
      <c r="AL493" s="142"/>
    </row>
    <row r="494" spans="1:38" hidden="1" x14ac:dyDescent="0.2">
      <c r="A494" s="1700"/>
      <c r="B494" s="1698"/>
      <c r="C494" s="1712"/>
      <c r="D494" s="1699"/>
      <c r="E494" s="1699"/>
      <c r="F494" s="1699"/>
      <c r="G494" s="1699"/>
      <c r="H494" s="1699"/>
      <c r="I494" s="1706"/>
      <c r="J494" s="1706"/>
      <c r="K494" s="1713" t="str">
        <f t="shared" si="70"/>
        <v/>
      </c>
      <c r="L494">
        <f t="shared" si="71"/>
        <v>0</v>
      </c>
      <c r="Q494">
        <f t="shared" si="72"/>
        <v>0</v>
      </c>
      <c r="R494">
        <f t="shared" si="73"/>
        <v>0</v>
      </c>
      <c r="S494">
        <f t="shared" si="74"/>
        <v>0</v>
      </c>
      <c r="T494">
        <f t="shared" si="75"/>
        <v>0</v>
      </c>
      <c r="U494">
        <f t="shared" si="76"/>
        <v>0</v>
      </c>
      <c r="V494">
        <f t="shared" si="77"/>
        <v>0</v>
      </c>
      <c r="AA494">
        <f t="shared" si="69"/>
        <v>0</v>
      </c>
      <c r="AL494" s="142"/>
    </row>
    <row r="495" spans="1:38" hidden="1" x14ac:dyDescent="0.2">
      <c r="A495" s="1700"/>
      <c r="B495" s="1698"/>
      <c r="C495" s="1712"/>
      <c r="D495" s="1699"/>
      <c r="E495" s="1699"/>
      <c r="F495" s="1699"/>
      <c r="G495" s="1699"/>
      <c r="H495" s="1699"/>
      <c r="I495" s="1706"/>
      <c r="J495" s="1706"/>
      <c r="K495" s="1713" t="str">
        <f t="shared" si="70"/>
        <v/>
      </c>
      <c r="L495">
        <f t="shared" si="71"/>
        <v>0</v>
      </c>
      <c r="Q495">
        <f t="shared" si="72"/>
        <v>0</v>
      </c>
      <c r="R495">
        <f t="shared" si="73"/>
        <v>0</v>
      </c>
      <c r="S495">
        <f t="shared" si="74"/>
        <v>0</v>
      </c>
      <c r="T495">
        <f t="shared" si="75"/>
        <v>0</v>
      </c>
      <c r="U495">
        <f t="shared" si="76"/>
        <v>0</v>
      </c>
      <c r="V495">
        <f t="shared" si="77"/>
        <v>0</v>
      </c>
      <c r="AA495">
        <f t="shared" si="69"/>
        <v>0</v>
      </c>
      <c r="AL495" s="142"/>
    </row>
    <row r="496" spans="1:38" hidden="1" x14ac:dyDescent="0.2">
      <c r="A496" s="1700"/>
      <c r="B496" s="1698"/>
      <c r="C496" s="1712"/>
      <c r="D496" s="1699"/>
      <c r="E496" s="1699"/>
      <c r="F496" s="1699"/>
      <c r="G496" s="1699"/>
      <c r="H496" s="1699"/>
      <c r="I496" s="1706"/>
      <c r="J496" s="1706"/>
      <c r="K496" s="1713" t="str">
        <f t="shared" si="70"/>
        <v/>
      </c>
      <c r="L496">
        <f t="shared" si="71"/>
        <v>0</v>
      </c>
      <c r="Q496">
        <f t="shared" si="72"/>
        <v>0</v>
      </c>
      <c r="R496">
        <f t="shared" si="73"/>
        <v>0</v>
      </c>
      <c r="S496">
        <f t="shared" si="74"/>
        <v>0</v>
      </c>
      <c r="T496">
        <f t="shared" si="75"/>
        <v>0</v>
      </c>
      <c r="U496">
        <f t="shared" si="76"/>
        <v>0</v>
      </c>
      <c r="V496">
        <f t="shared" si="77"/>
        <v>0</v>
      </c>
      <c r="AA496">
        <f t="shared" si="69"/>
        <v>0</v>
      </c>
      <c r="AL496" s="142"/>
    </row>
    <row r="497" spans="1:38" hidden="1" x14ac:dyDescent="0.2">
      <c r="A497" s="1700"/>
      <c r="B497" s="1698"/>
      <c r="C497" s="1712"/>
      <c r="D497" s="1699"/>
      <c r="E497" s="1699"/>
      <c r="F497" s="1699"/>
      <c r="G497" s="1699"/>
      <c r="H497" s="1699"/>
      <c r="I497" s="1706"/>
      <c r="J497" s="1706"/>
      <c r="K497" s="1713" t="str">
        <f t="shared" si="70"/>
        <v/>
      </c>
      <c r="L497">
        <f t="shared" si="71"/>
        <v>0</v>
      </c>
      <c r="Q497">
        <f t="shared" si="72"/>
        <v>0</v>
      </c>
      <c r="R497">
        <f t="shared" si="73"/>
        <v>0</v>
      </c>
      <c r="S497">
        <f t="shared" si="74"/>
        <v>0</v>
      </c>
      <c r="T497">
        <f t="shared" si="75"/>
        <v>0</v>
      </c>
      <c r="U497">
        <f t="shared" si="76"/>
        <v>0</v>
      </c>
      <c r="V497">
        <f t="shared" si="77"/>
        <v>0</v>
      </c>
      <c r="AA497">
        <f t="shared" si="69"/>
        <v>0</v>
      </c>
      <c r="AL497" s="142"/>
    </row>
    <row r="498" spans="1:38" hidden="1" x14ac:dyDescent="0.2">
      <c r="A498" s="1700"/>
      <c r="B498" s="1698"/>
      <c r="C498" s="1712"/>
      <c r="D498" s="1699"/>
      <c r="E498" s="1699"/>
      <c r="F498" s="1699"/>
      <c r="G498" s="1699"/>
      <c r="H498" s="1699"/>
      <c r="I498" s="1706"/>
      <c r="J498" s="1706"/>
      <c r="K498" s="1713" t="str">
        <f t="shared" si="70"/>
        <v/>
      </c>
      <c r="L498">
        <f t="shared" si="71"/>
        <v>0</v>
      </c>
      <c r="Q498">
        <f t="shared" si="72"/>
        <v>0</v>
      </c>
      <c r="R498">
        <f t="shared" si="73"/>
        <v>0</v>
      </c>
      <c r="S498">
        <f t="shared" si="74"/>
        <v>0</v>
      </c>
      <c r="T498">
        <f t="shared" si="75"/>
        <v>0</v>
      </c>
      <c r="U498">
        <f t="shared" si="76"/>
        <v>0</v>
      </c>
      <c r="V498">
        <f t="shared" si="77"/>
        <v>0</v>
      </c>
      <c r="AA498">
        <f t="shared" si="69"/>
        <v>0</v>
      </c>
      <c r="AL498" s="142"/>
    </row>
    <row r="499" spans="1:38" hidden="1" x14ac:dyDescent="0.2">
      <c r="A499" s="1700"/>
      <c r="B499" s="1698"/>
      <c r="C499" s="1712"/>
      <c r="D499" s="1699"/>
      <c r="E499" s="1699"/>
      <c r="F499" s="1699"/>
      <c r="G499" s="1699"/>
      <c r="H499" s="1699"/>
      <c r="I499" s="1706"/>
      <c r="J499" s="1706"/>
      <c r="K499" s="1713" t="str">
        <f t="shared" si="70"/>
        <v/>
      </c>
      <c r="L499">
        <f t="shared" si="71"/>
        <v>0</v>
      </c>
      <c r="Q499">
        <f t="shared" si="72"/>
        <v>0</v>
      </c>
      <c r="R499">
        <f t="shared" si="73"/>
        <v>0</v>
      </c>
      <c r="S499">
        <f t="shared" si="74"/>
        <v>0</v>
      </c>
      <c r="T499">
        <f t="shared" si="75"/>
        <v>0</v>
      </c>
      <c r="U499">
        <f t="shared" si="76"/>
        <v>0</v>
      </c>
      <c r="V499">
        <f t="shared" si="77"/>
        <v>0</v>
      </c>
      <c r="AA499">
        <f t="shared" si="69"/>
        <v>0</v>
      </c>
      <c r="AL499" s="142"/>
    </row>
    <row r="500" spans="1:38" hidden="1" x14ac:dyDescent="0.2">
      <c r="A500" s="1700"/>
      <c r="B500" s="1698"/>
      <c r="C500" s="1712"/>
      <c r="D500" s="1699"/>
      <c r="E500" s="1699"/>
      <c r="F500" s="1699"/>
      <c r="G500" s="1699"/>
      <c r="H500" s="1699"/>
      <c r="I500" s="1706"/>
      <c r="J500" s="1706"/>
      <c r="K500" s="1713" t="str">
        <f t="shared" si="70"/>
        <v/>
      </c>
      <c r="L500">
        <f t="shared" si="71"/>
        <v>0</v>
      </c>
      <c r="Q500">
        <f t="shared" si="72"/>
        <v>0</v>
      </c>
      <c r="R500">
        <f t="shared" si="73"/>
        <v>0</v>
      </c>
      <c r="S500">
        <f t="shared" si="74"/>
        <v>0</v>
      </c>
      <c r="T500">
        <f t="shared" si="75"/>
        <v>0</v>
      </c>
      <c r="U500">
        <f t="shared" si="76"/>
        <v>0</v>
      </c>
      <c r="V500">
        <f t="shared" si="77"/>
        <v>0</v>
      </c>
      <c r="AA500">
        <f t="shared" si="69"/>
        <v>0</v>
      </c>
      <c r="AL500" s="142"/>
    </row>
    <row r="501" spans="1:38" hidden="1" x14ac:dyDescent="0.2">
      <c r="A501" s="1700"/>
      <c r="B501" s="1698"/>
      <c r="C501" s="1712"/>
      <c r="D501" s="1699"/>
      <c r="E501" s="1699"/>
      <c r="F501" s="1699"/>
      <c r="G501" s="1699"/>
      <c r="H501" s="1699"/>
      <c r="I501" s="1706"/>
      <c r="J501" s="1706"/>
      <c r="K501" s="1713" t="str">
        <f t="shared" si="70"/>
        <v/>
      </c>
      <c r="L501">
        <f t="shared" si="71"/>
        <v>0</v>
      </c>
      <c r="Q501">
        <f t="shared" si="72"/>
        <v>0</v>
      </c>
      <c r="R501">
        <f t="shared" si="73"/>
        <v>0</v>
      </c>
      <c r="S501">
        <f t="shared" si="74"/>
        <v>0</v>
      </c>
      <c r="T501">
        <f t="shared" si="75"/>
        <v>0</v>
      </c>
      <c r="U501">
        <f t="shared" si="76"/>
        <v>0</v>
      </c>
      <c r="V501">
        <f t="shared" si="77"/>
        <v>0</v>
      </c>
      <c r="AA501">
        <f t="shared" si="69"/>
        <v>0</v>
      </c>
      <c r="AL501" s="142"/>
    </row>
    <row r="502" spans="1:38" hidden="1" x14ac:dyDescent="0.2">
      <c r="A502" s="1700"/>
      <c r="B502" s="1698"/>
      <c r="C502" s="1712"/>
      <c r="D502" s="1699"/>
      <c r="E502" s="1699"/>
      <c r="F502" s="1699"/>
      <c r="G502" s="1699"/>
      <c r="H502" s="1699"/>
      <c r="I502" s="1706"/>
      <c r="J502" s="1706"/>
      <c r="K502" s="1713" t="str">
        <f t="shared" si="70"/>
        <v/>
      </c>
      <c r="L502">
        <f t="shared" si="71"/>
        <v>0</v>
      </c>
      <c r="Q502">
        <f t="shared" si="72"/>
        <v>0</v>
      </c>
      <c r="R502">
        <f t="shared" si="73"/>
        <v>0</v>
      </c>
      <c r="S502">
        <f t="shared" si="74"/>
        <v>0</v>
      </c>
      <c r="T502">
        <f t="shared" si="75"/>
        <v>0</v>
      </c>
      <c r="U502">
        <f t="shared" si="76"/>
        <v>0</v>
      </c>
      <c r="V502">
        <f t="shared" si="77"/>
        <v>0</v>
      </c>
      <c r="AA502">
        <f t="shared" si="69"/>
        <v>0</v>
      </c>
      <c r="AL502" s="142"/>
    </row>
    <row r="503" spans="1:38" hidden="1" x14ac:dyDescent="0.2">
      <c r="A503" s="1700"/>
      <c r="B503" s="1698"/>
      <c r="C503" s="1712"/>
      <c r="D503" s="1699"/>
      <c r="E503" s="1699"/>
      <c r="F503" s="1699"/>
      <c r="G503" s="1699"/>
      <c r="H503" s="1699"/>
      <c r="I503" s="1706"/>
      <c r="J503" s="1706"/>
      <c r="K503" s="1713" t="str">
        <f t="shared" si="70"/>
        <v/>
      </c>
      <c r="L503">
        <f t="shared" si="71"/>
        <v>0</v>
      </c>
      <c r="Q503">
        <f t="shared" si="72"/>
        <v>0</v>
      </c>
      <c r="R503">
        <f t="shared" si="73"/>
        <v>0</v>
      </c>
      <c r="S503">
        <f t="shared" si="74"/>
        <v>0</v>
      </c>
      <c r="T503">
        <f t="shared" si="75"/>
        <v>0</v>
      </c>
      <c r="U503">
        <f t="shared" si="76"/>
        <v>0</v>
      </c>
      <c r="V503">
        <f t="shared" si="77"/>
        <v>0</v>
      </c>
      <c r="AA503">
        <f t="shared" si="69"/>
        <v>0</v>
      </c>
      <c r="AL503" s="142"/>
    </row>
    <row r="504" spans="1:38" hidden="1" x14ac:dyDescent="0.2">
      <c r="A504" s="1700"/>
      <c r="B504" s="1698"/>
      <c r="C504" s="1712"/>
      <c r="D504" s="1699"/>
      <c r="E504" s="1699"/>
      <c r="F504" s="1699"/>
      <c r="G504" s="1699"/>
      <c r="H504" s="1699"/>
      <c r="I504" s="1706"/>
      <c r="J504" s="1706"/>
      <c r="K504" s="1713" t="str">
        <f t="shared" si="70"/>
        <v/>
      </c>
      <c r="L504">
        <f t="shared" si="71"/>
        <v>0</v>
      </c>
      <c r="Q504">
        <f t="shared" si="72"/>
        <v>0</v>
      </c>
      <c r="R504">
        <f t="shared" si="73"/>
        <v>0</v>
      </c>
      <c r="S504">
        <f t="shared" si="74"/>
        <v>0</v>
      </c>
      <c r="T504">
        <f t="shared" si="75"/>
        <v>0</v>
      </c>
      <c r="U504">
        <f t="shared" si="76"/>
        <v>0</v>
      </c>
      <c r="V504">
        <f t="shared" si="77"/>
        <v>0</v>
      </c>
      <c r="AA504">
        <f t="shared" si="69"/>
        <v>0</v>
      </c>
      <c r="AL504" s="142"/>
    </row>
    <row r="505" spans="1:38" hidden="1" x14ac:dyDescent="0.2">
      <c r="A505" s="1700"/>
      <c r="B505" s="1698"/>
      <c r="C505" s="1712"/>
      <c r="D505" s="1699"/>
      <c r="E505" s="1699"/>
      <c r="F505" s="1699"/>
      <c r="G505" s="1699"/>
      <c r="H505" s="1699"/>
      <c r="I505" s="1706"/>
      <c r="J505" s="1706"/>
      <c r="K505" s="1713" t="str">
        <f t="shared" si="70"/>
        <v/>
      </c>
      <c r="L505">
        <f t="shared" si="71"/>
        <v>0</v>
      </c>
      <c r="Q505">
        <f t="shared" si="72"/>
        <v>0</v>
      </c>
      <c r="R505">
        <f t="shared" si="73"/>
        <v>0</v>
      </c>
      <c r="S505">
        <f t="shared" si="74"/>
        <v>0</v>
      </c>
      <c r="T505">
        <f t="shared" si="75"/>
        <v>0</v>
      </c>
      <c r="U505">
        <f t="shared" si="76"/>
        <v>0</v>
      </c>
      <c r="V505">
        <f t="shared" si="77"/>
        <v>0</v>
      </c>
      <c r="AA505">
        <f t="shared" si="69"/>
        <v>0</v>
      </c>
      <c r="AL505" s="142"/>
    </row>
    <row r="506" spans="1:38" hidden="1" x14ac:dyDescent="0.2">
      <c r="A506" s="1700"/>
      <c r="B506" s="1698"/>
      <c r="C506" s="1712"/>
      <c r="D506" s="1699"/>
      <c r="E506" s="1699"/>
      <c r="F506" s="1699"/>
      <c r="G506" s="1699"/>
      <c r="H506" s="1699"/>
      <c r="I506" s="1706"/>
      <c r="J506" s="1706"/>
      <c r="K506" s="1713" t="str">
        <f t="shared" si="70"/>
        <v/>
      </c>
      <c r="L506">
        <f t="shared" si="71"/>
        <v>0</v>
      </c>
      <c r="Q506">
        <f t="shared" si="72"/>
        <v>0</v>
      </c>
      <c r="R506">
        <f t="shared" si="73"/>
        <v>0</v>
      </c>
      <c r="S506">
        <f t="shared" si="74"/>
        <v>0</v>
      </c>
      <c r="T506">
        <f t="shared" si="75"/>
        <v>0</v>
      </c>
      <c r="U506">
        <f t="shared" si="76"/>
        <v>0</v>
      </c>
      <c r="V506">
        <f t="shared" si="77"/>
        <v>0</v>
      </c>
      <c r="AA506">
        <f t="shared" si="69"/>
        <v>0</v>
      </c>
      <c r="AL506" s="142"/>
    </row>
    <row r="507" spans="1:38" hidden="1" x14ac:dyDescent="0.2">
      <c r="A507" s="1700"/>
      <c r="B507" s="1698"/>
      <c r="C507" s="1712"/>
      <c r="D507" s="1699"/>
      <c r="E507" s="1699"/>
      <c r="F507" s="1699"/>
      <c r="G507" s="1699"/>
      <c r="H507" s="1699"/>
      <c r="I507" s="1706"/>
      <c r="J507" s="1706"/>
      <c r="K507" s="1713" t="str">
        <f t="shared" si="70"/>
        <v/>
      </c>
      <c r="L507">
        <f t="shared" si="71"/>
        <v>0</v>
      </c>
      <c r="Q507">
        <f t="shared" si="72"/>
        <v>0</v>
      </c>
      <c r="R507">
        <f t="shared" si="73"/>
        <v>0</v>
      </c>
      <c r="S507">
        <f t="shared" si="74"/>
        <v>0</v>
      </c>
      <c r="T507">
        <f t="shared" si="75"/>
        <v>0</v>
      </c>
      <c r="U507">
        <f t="shared" si="76"/>
        <v>0</v>
      </c>
      <c r="V507">
        <f t="shared" si="77"/>
        <v>0</v>
      </c>
      <c r="AA507">
        <f t="shared" si="69"/>
        <v>0</v>
      </c>
      <c r="AL507" s="142"/>
    </row>
    <row r="508" spans="1:38" hidden="1" x14ac:dyDescent="0.2">
      <c r="A508" s="1700"/>
      <c r="B508" s="1698"/>
      <c r="C508" s="1712"/>
      <c r="D508" s="1699"/>
      <c r="E508" s="1699"/>
      <c r="F508" s="1699"/>
      <c r="G508" s="1699"/>
      <c r="H508" s="1699"/>
      <c r="I508" s="1706"/>
      <c r="J508" s="1706"/>
      <c r="K508" s="1713" t="str">
        <f t="shared" si="70"/>
        <v/>
      </c>
      <c r="L508">
        <f t="shared" si="71"/>
        <v>0</v>
      </c>
      <c r="Q508">
        <f t="shared" si="72"/>
        <v>0</v>
      </c>
      <c r="R508">
        <f t="shared" si="73"/>
        <v>0</v>
      </c>
      <c r="S508">
        <f t="shared" si="74"/>
        <v>0</v>
      </c>
      <c r="T508">
        <f t="shared" si="75"/>
        <v>0</v>
      </c>
      <c r="U508">
        <f t="shared" si="76"/>
        <v>0</v>
      </c>
      <c r="V508">
        <f t="shared" si="77"/>
        <v>0</v>
      </c>
      <c r="AA508">
        <f t="shared" si="69"/>
        <v>0</v>
      </c>
      <c r="AL508" s="142"/>
    </row>
    <row r="509" spans="1:38" hidden="1" x14ac:dyDescent="0.2">
      <c r="A509" s="1700"/>
      <c r="B509" s="1698"/>
      <c r="C509" s="1712"/>
      <c r="D509" s="1699"/>
      <c r="E509" s="1699"/>
      <c r="F509" s="1699"/>
      <c r="G509" s="1699"/>
      <c r="H509" s="1699"/>
      <c r="I509" s="1706"/>
      <c r="J509" s="1706"/>
      <c r="K509" s="1713" t="str">
        <f t="shared" si="70"/>
        <v/>
      </c>
      <c r="L509">
        <f t="shared" si="71"/>
        <v>0</v>
      </c>
      <c r="Q509">
        <f t="shared" si="72"/>
        <v>0</v>
      </c>
      <c r="R509">
        <f t="shared" si="73"/>
        <v>0</v>
      </c>
      <c r="S509">
        <f t="shared" si="74"/>
        <v>0</v>
      </c>
      <c r="T509">
        <f t="shared" si="75"/>
        <v>0</v>
      </c>
      <c r="U509">
        <f t="shared" si="76"/>
        <v>0</v>
      </c>
      <c r="V509">
        <f t="shared" si="77"/>
        <v>0</v>
      </c>
      <c r="AA509">
        <f t="shared" si="69"/>
        <v>0</v>
      </c>
      <c r="AL509" s="142"/>
    </row>
    <row r="510" spans="1:38" hidden="1" x14ac:dyDescent="0.2">
      <c r="A510" s="1700"/>
      <c r="B510" s="1698"/>
      <c r="C510" s="1712"/>
      <c r="D510" s="1699"/>
      <c r="E510" s="1699"/>
      <c r="F510" s="1699"/>
      <c r="G510" s="1699"/>
      <c r="H510" s="1699"/>
      <c r="I510" s="1706"/>
      <c r="J510" s="1706"/>
      <c r="K510" s="1713" t="str">
        <f t="shared" si="70"/>
        <v/>
      </c>
      <c r="L510">
        <f t="shared" si="71"/>
        <v>0</v>
      </c>
      <c r="Q510">
        <f t="shared" si="72"/>
        <v>0</v>
      </c>
      <c r="R510">
        <f t="shared" si="73"/>
        <v>0</v>
      </c>
      <c r="S510">
        <f t="shared" si="74"/>
        <v>0</v>
      </c>
      <c r="T510">
        <f t="shared" si="75"/>
        <v>0</v>
      </c>
      <c r="U510">
        <f t="shared" si="76"/>
        <v>0</v>
      </c>
      <c r="V510">
        <f t="shared" si="77"/>
        <v>0</v>
      </c>
      <c r="AA510">
        <f t="shared" si="69"/>
        <v>0</v>
      </c>
      <c r="AL510" s="142"/>
    </row>
    <row r="511" spans="1:38" hidden="1" x14ac:dyDescent="0.2">
      <c r="A511" s="1700"/>
      <c r="B511" s="1698"/>
      <c r="C511" s="1712"/>
      <c r="D511" s="1699"/>
      <c r="E511" s="1699"/>
      <c r="F511" s="1699"/>
      <c r="G511" s="1699"/>
      <c r="H511" s="1699"/>
      <c r="I511" s="1706"/>
      <c r="J511" s="1706"/>
      <c r="K511" s="1713" t="str">
        <f t="shared" si="70"/>
        <v/>
      </c>
      <c r="L511">
        <f t="shared" si="71"/>
        <v>0</v>
      </c>
      <c r="Q511">
        <f t="shared" si="72"/>
        <v>0</v>
      </c>
      <c r="R511">
        <f t="shared" si="73"/>
        <v>0</v>
      </c>
      <c r="S511">
        <f t="shared" si="74"/>
        <v>0</v>
      </c>
      <c r="T511">
        <f t="shared" si="75"/>
        <v>0</v>
      </c>
      <c r="U511">
        <f t="shared" si="76"/>
        <v>0</v>
      </c>
      <c r="V511">
        <f t="shared" si="77"/>
        <v>0</v>
      </c>
      <c r="AA511">
        <f t="shared" si="69"/>
        <v>0</v>
      </c>
      <c r="AL511" s="142"/>
    </row>
    <row r="512" spans="1:38" hidden="1" x14ac:dyDescent="0.2">
      <c r="A512" s="1700"/>
      <c r="B512" s="1698"/>
      <c r="C512" s="1712"/>
      <c r="D512" s="1699"/>
      <c r="E512" s="1699"/>
      <c r="F512" s="1699"/>
      <c r="G512" s="1699"/>
      <c r="H512" s="1699"/>
      <c r="I512" s="1706"/>
      <c r="J512" s="1706"/>
      <c r="K512" s="1713" t="str">
        <f t="shared" si="70"/>
        <v/>
      </c>
      <c r="L512">
        <f t="shared" si="71"/>
        <v>0</v>
      </c>
      <c r="Q512">
        <f t="shared" si="72"/>
        <v>0</v>
      </c>
      <c r="R512">
        <f t="shared" si="73"/>
        <v>0</v>
      </c>
      <c r="S512">
        <f t="shared" si="74"/>
        <v>0</v>
      </c>
      <c r="T512">
        <f t="shared" si="75"/>
        <v>0</v>
      </c>
      <c r="U512">
        <f t="shared" si="76"/>
        <v>0</v>
      </c>
      <c r="V512">
        <f t="shared" si="77"/>
        <v>0</v>
      </c>
      <c r="AA512">
        <f t="shared" si="69"/>
        <v>0</v>
      </c>
      <c r="AL512" s="142"/>
    </row>
    <row r="513" spans="1:38" hidden="1" x14ac:dyDescent="0.2">
      <c r="A513" s="1700"/>
      <c r="B513" s="1698"/>
      <c r="C513" s="1712"/>
      <c r="D513" s="1699"/>
      <c r="E513" s="1699"/>
      <c r="F513" s="1699"/>
      <c r="G513" s="1699"/>
      <c r="H513" s="1699"/>
      <c r="I513" s="1706"/>
      <c r="J513" s="1706"/>
      <c r="K513" s="1713" t="str">
        <f t="shared" si="70"/>
        <v/>
      </c>
      <c r="L513">
        <f t="shared" si="71"/>
        <v>0</v>
      </c>
      <c r="Q513">
        <f t="shared" si="72"/>
        <v>0</v>
      </c>
      <c r="R513">
        <f t="shared" si="73"/>
        <v>0</v>
      </c>
      <c r="S513">
        <f t="shared" si="74"/>
        <v>0</v>
      </c>
      <c r="T513">
        <f t="shared" si="75"/>
        <v>0</v>
      </c>
      <c r="U513">
        <f t="shared" si="76"/>
        <v>0</v>
      </c>
      <c r="V513">
        <f t="shared" si="77"/>
        <v>0</v>
      </c>
      <c r="AA513">
        <f t="shared" si="69"/>
        <v>0</v>
      </c>
      <c r="AL513" s="142"/>
    </row>
    <row r="514" spans="1:38" hidden="1" x14ac:dyDescent="0.2">
      <c r="A514" s="1700"/>
      <c r="B514" s="1698"/>
      <c r="C514" s="1712"/>
      <c r="D514" s="1699"/>
      <c r="E514" s="1699"/>
      <c r="F514" s="1699"/>
      <c r="G514" s="1699"/>
      <c r="H514" s="1699"/>
      <c r="I514" s="1706"/>
      <c r="J514" s="1706"/>
      <c r="K514" s="1713" t="str">
        <f t="shared" si="70"/>
        <v/>
      </c>
      <c r="L514">
        <f t="shared" si="71"/>
        <v>0</v>
      </c>
      <c r="Q514">
        <f t="shared" si="72"/>
        <v>0</v>
      </c>
      <c r="R514">
        <f t="shared" si="73"/>
        <v>0</v>
      </c>
      <c r="S514">
        <f t="shared" si="74"/>
        <v>0</v>
      </c>
      <c r="T514">
        <f t="shared" si="75"/>
        <v>0</v>
      </c>
      <c r="U514">
        <f t="shared" si="76"/>
        <v>0</v>
      </c>
      <c r="V514">
        <f t="shared" si="77"/>
        <v>0</v>
      </c>
      <c r="AA514">
        <f t="shared" si="69"/>
        <v>0</v>
      </c>
      <c r="AL514" s="142"/>
    </row>
    <row r="515" spans="1:38" hidden="1" x14ac:dyDescent="0.2">
      <c r="A515" s="1700"/>
      <c r="B515" s="1698"/>
      <c r="C515" s="1712"/>
      <c r="D515" s="1699"/>
      <c r="E515" s="1699"/>
      <c r="F515" s="1699"/>
      <c r="G515" s="1699"/>
      <c r="H515" s="1699"/>
      <c r="I515" s="1706"/>
      <c r="J515" s="1706"/>
      <c r="K515" s="1713" t="str">
        <f t="shared" si="70"/>
        <v/>
      </c>
      <c r="L515">
        <f t="shared" si="71"/>
        <v>0</v>
      </c>
      <c r="Q515">
        <f t="shared" si="72"/>
        <v>0</v>
      </c>
      <c r="R515">
        <f t="shared" si="73"/>
        <v>0</v>
      </c>
      <c r="S515">
        <f t="shared" si="74"/>
        <v>0</v>
      </c>
      <c r="T515">
        <f t="shared" si="75"/>
        <v>0</v>
      </c>
      <c r="U515">
        <f t="shared" si="76"/>
        <v>0</v>
      </c>
      <c r="V515">
        <f t="shared" si="77"/>
        <v>0</v>
      </c>
      <c r="AA515">
        <f t="shared" si="69"/>
        <v>0</v>
      </c>
      <c r="AL515" s="142"/>
    </row>
    <row r="516" spans="1:38" hidden="1" x14ac:dyDescent="0.2">
      <c r="A516" s="1700"/>
      <c r="B516" s="1698"/>
      <c r="C516" s="1712"/>
      <c r="D516" s="1699"/>
      <c r="E516" s="1699"/>
      <c r="F516" s="1699"/>
      <c r="G516" s="1699"/>
      <c r="H516" s="1699"/>
      <c r="I516" s="1706"/>
      <c r="J516" s="1706"/>
      <c r="K516" s="1713" t="str">
        <f t="shared" si="70"/>
        <v/>
      </c>
      <c r="L516">
        <f t="shared" si="71"/>
        <v>0</v>
      </c>
      <c r="Q516">
        <f t="shared" si="72"/>
        <v>0</v>
      </c>
      <c r="R516">
        <f t="shared" si="73"/>
        <v>0</v>
      </c>
      <c r="S516">
        <f t="shared" si="74"/>
        <v>0</v>
      </c>
      <c r="T516">
        <f t="shared" si="75"/>
        <v>0</v>
      </c>
      <c r="U516">
        <f t="shared" si="76"/>
        <v>0</v>
      </c>
      <c r="V516">
        <f t="shared" si="77"/>
        <v>0</v>
      </c>
      <c r="AA516">
        <f t="shared" si="69"/>
        <v>0</v>
      </c>
      <c r="AL516" s="142"/>
    </row>
    <row r="517" spans="1:38" hidden="1" x14ac:dyDescent="0.2">
      <c r="A517" s="1700"/>
      <c r="B517" s="1698"/>
      <c r="C517" s="1712"/>
      <c r="D517" s="1699"/>
      <c r="E517" s="1699"/>
      <c r="F517" s="1699"/>
      <c r="G517" s="1699"/>
      <c r="H517" s="1699"/>
      <c r="I517" s="1706"/>
      <c r="J517" s="1706"/>
      <c r="K517" s="1713" t="str">
        <f t="shared" si="70"/>
        <v/>
      </c>
      <c r="L517">
        <f t="shared" si="71"/>
        <v>0</v>
      </c>
      <c r="Q517">
        <f t="shared" si="72"/>
        <v>0</v>
      </c>
      <c r="R517">
        <f t="shared" si="73"/>
        <v>0</v>
      </c>
      <c r="S517">
        <f t="shared" si="74"/>
        <v>0</v>
      </c>
      <c r="T517">
        <f t="shared" si="75"/>
        <v>0</v>
      </c>
      <c r="U517">
        <f t="shared" si="76"/>
        <v>0</v>
      </c>
      <c r="V517">
        <f t="shared" si="77"/>
        <v>0</v>
      </c>
      <c r="AA517">
        <f t="shared" si="69"/>
        <v>0</v>
      </c>
      <c r="AL517" s="142"/>
    </row>
    <row r="518" spans="1:38" hidden="1" x14ac:dyDescent="0.2">
      <c r="A518" s="1700"/>
      <c r="B518" s="1698"/>
      <c r="C518" s="1712"/>
      <c r="D518" s="1699"/>
      <c r="E518" s="1699"/>
      <c r="F518" s="1699"/>
      <c r="G518" s="1699"/>
      <c r="H518" s="1699"/>
      <c r="I518" s="1706"/>
      <c r="J518" s="1706"/>
      <c r="K518" s="1713" t="str">
        <f t="shared" si="70"/>
        <v/>
      </c>
      <c r="L518">
        <f t="shared" si="71"/>
        <v>0</v>
      </c>
      <c r="Q518">
        <f t="shared" si="72"/>
        <v>0</v>
      </c>
      <c r="R518">
        <f t="shared" si="73"/>
        <v>0</v>
      </c>
      <c r="S518">
        <f t="shared" si="74"/>
        <v>0</v>
      </c>
      <c r="T518">
        <f t="shared" si="75"/>
        <v>0</v>
      </c>
      <c r="U518">
        <f t="shared" si="76"/>
        <v>0</v>
      </c>
      <c r="V518">
        <f t="shared" si="77"/>
        <v>0</v>
      </c>
      <c r="AA518">
        <f t="shared" si="69"/>
        <v>0</v>
      </c>
      <c r="AL518" s="142"/>
    </row>
    <row r="519" spans="1:38" hidden="1" x14ac:dyDescent="0.2">
      <c r="A519" s="1700"/>
      <c r="B519" s="1698"/>
      <c r="C519" s="1712"/>
      <c r="D519" s="1699"/>
      <c r="E519" s="1699"/>
      <c r="F519" s="1699"/>
      <c r="G519" s="1699"/>
      <c r="H519" s="1699"/>
      <c r="I519" s="1706"/>
      <c r="J519" s="1706"/>
      <c r="K519" s="1713" t="str">
        <f t="shared" si="70"/>
        <v/>
      </c>
      <c r="L519">
        <f t="shared" si="71"/>
        <v>0</v>
      </c>
      <c r="Q519">
        <f t="shared" si="72"/>
        <v>0</v>
      </c>
      <c r="R519">
        <f t="shared" si="73"/>
        <v>0</v>
      </c>
      <c r="S519">
        <f t="shared" si="74"/>
        <v>0</v>
      </c>
      <c r="T519">
        <f t="shared" si="75"/>
        <v>0</v>
      </c>
      <c r="U519">
        <f t="shared" si="76"/>
        <v>0</v>
      </c>
      <c r="V519">
        <f t="shared" si="77"/>
        <v>0</v>
      </c>
      <c r="AA519">
        <f t="shared" si="69"/>
        <v>0</v>
      </c>
      <c r="AL519" s="142"/>
    </row>
    <row r="520" spans="1:38" hidden="1" x14ac:dyDescent="0.2">
      <c r="A520" s="1700"/>
      <c r="B520" s="1698"/>
      <c r="C520" s="1712"/>
      <c r="D520" s="1699"/>
      <c r="E520" s="1699"/>
      <c r="F520" s="1699"/>
      <c r="G520" s="1699"/>
      <c r="H520" s="1699"/>
      <c r="I520" s="1706"/>
      <c r="J520" s="1706"/>
      <c r="K520" s="1713" t="str">
        <f t="shared" si="70"/>
        <v/>
      </c>
      <c r="L520">
        <f t="shared" si="71"/>
        <v>0</v>
      </c>
      <c r="Q520">
        <f t="shared" si="72"/>
        <v>0</v>
      </c>
      <c r="R520">
        <f t="shared" si="73"/>
        <v>0</v>
      </c>
      <c r="S520">
        <f t="shared" si="74"/>
        <v>0</v>
      </c>
      <c r="T520">
        <f t="shared" si="75"/>
        <v>0</v>
      </c>
      <c r="U520">
        <f t="shared" si="76"/>
        <v>0</v>
      </c>
      <c r="V520">
        <f t="shared" si="77"/>
        <v>0</v>
      </c>
      <c r="AA520">
        <f t="shared" si="69"/>
        <v>0</v>
      </c>
      <c r="AL520" s="142"/>
    </row>
    <row r="521" spans="1:38" hidden="1" x14ac:dyDescent="0.2">
      <c r="A521" s="1700"/>
      <c r="B521" s="1698"/>
      <c r="C521" s="1712"/>
      <c r="D521" s="1699"/>
      <c r="E521" s="1699"/>
      <c r="F521" s="1699"/>
      <c r="G521" s="1699"/>
      <c r="H521" s="1699"/>
      <c r="I521" s="1706"/>
      <c r="J521" s="1706"/>
      <c r="K521" s="1713" t="str">
        <f t="shared" si="70"/>
        <v/>
      </c>
      <c r="L521">
        <f t="shared" si="71"/>
        <v>0</v>
      </c>
      <c r="Q521">
        <f t="shared" si="72"/>
        <v>0</v>
      </c>
      <c r="R521">
        <f t="shared" si="73"/>
        <v>0</v>
      </c>
      <c r="S521">
        <f t="shared" si="74"/>
        <v>0</v>
      </c>
      <c r="T521">
        <f t="shared" si="75"/>
        <v>0</v>
      </c>
      <c r="U521">
        <f t="shared" si="76"/>
        <v>0</v>
      </c>
      <c r="V521">
        <f t="shared" si="77"/>
        <v>0</v>
      </c>
      <c r="AA521">
        <f t="shared" si="69"/>
        <v>0</v>
      </c>
      <c r="AL521" s="142"/>
    </row>
    <row r="522" spans="1:38" hidden="1" x14ac:dyDescent="0.2">
      <c r="A522" s="1700"/>
      <c r="B522" s="1698"/>
      <c r="C522" s="1712"/>
      <c r="D522" s="1699"/>
      <c r="E522" s="1699"/>
      <c r="F522" s="1699"/>
      <c r="G522" s="1699"/>
      <c r="H522" s="1699"/>
      <c r="I522" s="1706"/>
      <c r="J522" s="1706"/>
      <c r="K522" s="1713" t="str">
        <f t="shared" si="70"/>
        <v/>
      </c>
      <c r="L522">
        <f t="shared" si="71"/>
        <v>0</v>
      </c>
      <c r="Q522">
        <f t="shared" si="72"/>
        <v>0</v>
      </c>
      <c r="R522">
        <f t="shared" si="73"/>
        <v>0</v>
      </c>
      <c r="S522">
        <f t="shared" si="74"/>
        <v>0</v>
      </c>
      <c r="T522">
        <f t="shared" si="75"/>
        <v>0</v>
      </c>
      <c r="U522">
        <f t="shared" si="76"/>
        <v>0</v>
      </c>
      <c r="V522">
        <f t="shared" si="77"/>
        <v>0</v>
      </c>
      <c r="AA522">
        <f t="shared" si="69"/>
        <v>0</v>
      </c>
      <c r="AL522" s="142"/>
    </row>
    <row r="523" spans="1:38" hidden="1" x14ac:dyDescent="0.2">
      <c r="A523" s="1700"/>
      <c r="B523" s="1698"/>
      <c r="C523" s="1712"/>
      <c r="D523" s="1699"/>
      <c r="E523" s="1699"/>
      <c r="F523" s="1699"/>
      <c r="G523" s="1699"/>
      <c r="H523" s="1699"/>
      <c r="I523" s="1706"/>
      <c r="J523" s="1706"/>
      <c r="K523" s="1713" t="str">
        <f t="shared" si="70"/>
        <v/>
      </c>
      <c r="L523">
        <f t="shared" si="71"/>
        <v>0</v>
      </c>
      <c r="Q523">
        <f t="shared" si="72"/>
        <v>0</v>
      </c>
      <c r="R523">
        <f t="shared" si="73"/>
        <v>0</v>
      </c>
      <c r="S523">
        <f t="shared" si="74"/>
        <v>0</v>
      </c>
      <c r="T523">
        <f t="shared" si="75"/>
        <v>0</v>
      </c>
      <c r="U523">
        <f t="shared" si="76"/>
        <v>0</v>
      </c>
      <c r="V523">
        <f t="shared" si="77"/>
        <v>0</v>
      </c>
      <c r="AA523">
        <f t="shared" si="69"/>
        <v>0</v>
      </c>
      <c r="AL523" s="142"/>
    </row>
    <row r="524" spans="1:38" hidden="1" x14ac:dyDescent="0.2">
      <c r="A524" s="1700"/>
      <c r="B524" s="1698"/>
      <c r="C524" s="1712"/>
      <c r="D524" s="1699"/>
      <c r="E524" s="1699"/>
      <c r="F524" s="1699"/>
      <c r="G524" s="1699"/>
      <c r="H524" s="1699"/>
      <c r="I524" s="1706"/>
      <c r="J524" s="1706"/>
      <c r="K524" s="1713" t="str">
        <f t="shared" si="70"/>
        <v/>
      </c>
      <c r="L524">
        <f t="shared" si="71"/>
        <v>0</v>
      </c>
      <c r="Q524">
        <f t="shared" si="72"/>
        <v>0</v>
      </c>
      <c r="R524">
        <f t="shared" si="73"/>
        <v>0</v>
      </c>
      <c r="S524">
        <f t="shared" si="74"/>
        <v>0</v>
      </c>
      <c r="T524">
        <f t="shared" si="75"/>
        <v>0</v>
      </c>
      <c r="U524">
        <f t="shared" si="76"/>
        <v>0</v>
      </c>
      <c r="V524">
        <f t="shared" si="77"/>
        <v>0</v>
      </c>
      <c r="AA524">
        <f t="shared" si="69"/>
        <v>0</v>
      </c>
      <c r="AL524" s="142"/>
    </row>
    <row r="525" spans="1:38" hidden="1" x14ac:dyDescent="0.2">
      <c r="A525" s="1700"/>
      <c r="B525" s="1698"/>
      <c r="C525" s="1712"/>
      <c r="D525" s="1699"/>
      <c r="E525" s="1699"/>
      <c r="F525" s="1699"/>
      <c r="G525" s="1699"/>
      <c r="H525" s="1699"/>
      <c r="I525" s="1706"/>
      <c r="J525" s="1706"/>
      <c r="K525" s="1713" t="str">
        <f t="shared" si="70"/>
        <v/>
      </c>
      <c r="L525">
        <f t="shared" si="71"/>
        <v>0</v>
      </c>
      <c r="Q525">
        <f t="shared" si="72"/>
        <v>0</v>
      </c>
      <c r="R525">
        <f t="shared" si="73"/>
        <v>0</v>
      </c>
      <c r="S525">
        <f t="shared" si="74"/>
        <v>0</v>
      </c>
      <c r="T525">
        <f t="shared" si="75"/>
        <v>0</v>
      </c>
      <c r="U525">
        <f t="shared" si="76"/>
        <v>0</v>
      </c>
      <c r="V525">
        <f t="shared" si="77"/>
        <v>0</v>
      </c>
      <c r="AA525">
        <f t="shared" si="69"/>
        <v>0</v>
      </c>
      <c r="AL525" s="142"/>
    </row>
    <row r="526" spans="1:38" hidden="1" x14ac:dyDescent="0.2">
      <c r="A526" s="1700"/>
      <c r="B526" s="1698"/>
      <c r="C526" s="1712"/>
      <c r="D526" s="1699"/>
      <c r="E526" s="1699"/>
      <c r="F526" s="1699"/>
      <c r="G526" s="1699"/>
      <c r="H526" s="1699"/>
      <c r="I526" s="1706"/>
      <c r="J526" s="1706"/>
      <c r="K526" s="1713" t="str">
        <f t="shared" si="70"/>
        <v/>
      </c>
      <c r="L526">
        <f t="shared" si="71"/>
        <v>0</v>
      </c>
      <c r="Q526">
        <f t="shared" si="72"/>
        <v>0</v>
      </c>
      <c r="R526">
        <f t="shared" si="73"/>
        <v>0</v>
      </c>
      <c r="S526">
        <f t="shared" si="74"/>
        <v>0</v>
      </c>
      <c r="T526">
        <f t="shared" si="75"/>
        <v>0</v>
      </c>
      <c r="U526">
        <f t="shared" si="76"/>
        <v>0</v>
      </c>
      <c r="V526">
        <f t="shared" si="77"/>
        <v>0</v>
      </c>
      <c r="AA526">
        <f t="shared" si="69"/>
        <v>0</v>
      </c>
      <c r="AL526" s="142"/>
    </row>
    <row r="527" spans="1:38" hidden="1" x14ac:dyDescent="0.2">
      <c r="A527" s="1700"/>
      <c r="B527" s="1698"/>
      <c r="C527" s="1712"/>
      <c r="D527" s="1699"/>
      <c r="E527" s="1699"/>
      <c r="F527" s="1699"/>
      <c r="G527" s="1699"/>
      <c r="H527" s="1699"/>
      <c r="I527" s="1706"/>
      <c r="J527" s="1706"/>
      <c r="K527" s="1713" t="str">
        <f t="shared" si="70"/>
        <v/>
      </c>
      <c r="L527">
        <f t="shared" si="71"/>
        <v>0</v>
      </c>
      <c r="Q527">
        <f t="shared" si="72"/>
        <v>0</v>
      </c>
      <c r="R527">
        <f t="shared" si="73"/>
        <v>0</v>
      </c>
      <c r="S527">
        <f t="shared" si="74"/>
        <v>0</v>
      </c>
      <c r="T527">
        <f t="shared" si="75"/>
        <v>0</v>
      </c>
      <c r="U527">
        <f t="shared" si="76"/>
        <v>0</v>
      </c>
      <c r="V527">
        <f t="shared" si="77"/>
        <v>0</v>
      </c>
      <c r="AA527">
        <f t="shared" si="69"/>
        <v>0</v>
      </c>
      <c r="AL527" s="142"/>
    </row>
    <row r="528" spans="1:38" hidden="1" x14ac:dyDescent="0.2">
      <c r="A528" s="1700"/>
      <c r="B528" s="1698"/>
      <c r="C528" s="1712"/>
      <c r="D528" s="1699"/>
      <c r="E528" s="1699"/>
      <c r="F528" s="1699"/>
      <c r="G528" s="1699"/>
      <c r="H528" s="1699"/>
      <c r="I528" s="1706"/>
      <c r="J528" s="1706"/>
      <c r="K528" s="1713" t="str">
        <f t="shared" si="70"/>
        <v/>
      </c>
      <c r="L528">
        <f t="shared" si="71"/>
        <v>0</v>
      </c>
      <c r="Q528">
        <f t="shared" si="72"/>
        <v>0</v>
      </c>
      <c r="R528">
        <f t="shared" si="73"/>
        <v>0</v>
      </c>
      <c r="S528">
        <f t="shared" si="74"/>
        <v>0</v>
      </c>
      <c r="T528">
        <f t="shared" si="75"/>
        <v>0</v>
      </c>
      <c r="U528">
        <f t="shared" si="76"/>
        <v>0</v>
      </c>
      <c r="V528">
        <f t="shared" si="77"/>
        <v>0</v>
      </c>
      <c r="AA528">
        <f t="shared" si="69"/>
        <v>0</v>
      </c>
      <c r="AL528" s="142"/>
    </row>
    <row r="529" spans="1:38" hidden="1" x14ac:dyDescent="0.2">
      <c r="A529" s="1700"/>
      <c r="B529" s="1698"/>
      <c r="C529" s="1712"/>
      <c r="D529" s="1699"/>
      <c r="E529" s="1699"/>
      <c r="F529" s="1699"/>
      <c r="G529" s="1699"/>
      <c r="H529" s="1699"/>
      <c r="I529" s="1706"/>
      <c r="J529" s="1706"/>
      <c r="K529" s="1713" t="str">
        <f t="shared" si="70"/>
        <v/>
      </c>
      <c r="L529">
        <f t="shared" si="71"/>
        <v>0</v>
      </c>
      <c r="Q529">
        <f t="shared" si="72"/>
        <v>0</v>
      </c>
      <c r="R529">
        <f t="shared" si="73"/>
        <v>0</v>
      </c>
      <c r="S529">
        <f t="shared" si="74"/>
        <v>0</v>
      </c>
      <c r="T529">
        <f t="shared" si="75"/>
        <v>0</v>
      </c>
      <c r="U529">
        <f t="shared" si="76"/>
        <v>0</v>
      </c>
      <c r="V529">
        <f t="shared" si="77"/>
        <v>0</v>
      </c>
      <c r="AA529">
        <f t="shared" si="69"/>
        <v>0</v>
      </c>
      <c r="AL529" s="142"/>
    </row>
    <row r="530" spans="1:38" hidden="1" x14ac:dyDescent="0.2">
      <c r="A530" s="1700"/>
      <c r="B530" s="1698"/>
      <c r="C530" s="1712"/>
      <c r="D530" s="1699"/>
      <c r="E530" s="1699"/>
      <c r="F530" s="1699"/>
      <c r="G530" s="1699"/>
      <c r="H530" s="1699"/>
      <c r="I530" s="1706"/>
      <c r="J530" s="1706"/>
      <c r="K530" s="1713" t="str">
        <f t="shared" si="70"/>
        <v/>
      </c>
      <c r="L530">
        <f t="shared" si="71"/>
        <v>0</v>
      </c>
      <c r="Q530">
        <f t="shared" si="72"/>
        <v>0</v>
      </c>
      <c r="R530">
        <f t="shared" si="73"/>
        <v>0</v>
      </c>
      <c r="S530">
        <f t="shared" si="74"/>
        <v>0</v>
      </c>
      <c r="T530">
        <f t="shared" si="75"/>
        <v>0</v>
      </c>
      <c r="U530">
        <f t="shared" si="76"/>
        <v>0</v>
      </c>
      <c r="V530">
        <f t="shared" si="77"/>
        <v>0</v>
      </c>
      <c r="AA530">
        <f t="shared" si="69"/>
        <v>0</v>
      </c>
      <c r="AL530" s="142"/>
    </row>
    <row r="531" spans="1:38" hidden="1" x14ac:dyDescent="0.2">
      <c r="A531" s="1700"/>
      <c r="B531" s="1698"/>
      <c r="C531" s="1712"/>
      <c r="D531" s="1699"/>
      <c r="E531" s="1699"/>
      <c r="F531" s="1699"/>
      <c r="G531" s="1699"/>
      <c r="H531" s="1699"/>
      <c r="I531" s="1706"/>
      <c r="J531" s="1706"/>
      <c r="K531" s="1713" t="str">
        <f t="shared" si="70"/>
        <v/>
      </c>
      <c r="L531">
        <f t="shared" si="71"/>
        <v>0</v>
      </c>
      <c r="Q531">
        <f t="shared" si="72"/>
        <v>0</v>
      </c>
      <c r="R531">
        <f t="shared" si="73"/>
        <v>0</v>
      </c>
      <c r="S531">
        <f t="shared" si="74"/>
        <v>0</v>
      </c>
      <c r="T531">
        <f t="shared" si="75"/>
        <v>0</v>
      </c>
      <c r="U531">
        <f t="shared" si="76"/>
        <v>0</v>
      </c>
      <c r="V531">
        <f t="shared" si="77"/>
        <v>0</v>
      </c>
      <c r="AA531">
        <f t="shared" si="69"/>
        <v>0</v>
      </c>
      <c r="AL531" s="142"/>
    </row>
    <row r="532" spans="1:38" hidden="1" x14ac:dyDescent="0.2">
      <c r="A532" s="1700"/>
      <c r="B532" s="1698"/>
      <c r="C532" s="1712"/>
      <c r="D532" s="1699"/>
      <c r="E532" s="1699"/>
      <c r="F532" s="1699"/>
      <c r="G532" s="1699"/>
      <c r="H532" s="1699"/>
      <c r="I532" s="1706"/>
      <c r="J532" s="1706"/>
      <c r="K532" s="1713" t="str">
        <f t="shared" si="70"/>
        <v/>
      </c>
      <c r="L532">
        <f t="shared" si="71"/>
        <v>0</v>
      </c>
      <c r="Q532">
        <f t="shared" si="72"/>
        <v>0</v>
      </c>
      <c r="R532">
        <f t="shared" si="73"/>
        <v>0</v>
      </c>
      <c r="S532">
        <f t="shared" si="74"/>
        <v>0</v>
      </c>
      <c r="T532">
        <f t="shared" si="75"/>
        <v>0</v>
      </c>
      <c r="U532">
        <f t="shared" si="76"/>
        <v>0</v>
      </c>
      <c r="V532">
        <f t="shared" si="77"/>
        <v>0</v>
      </c>
      <c r="AA532">
        <f t="shared" si="69"/>
        <v>0</v>
      </c>
      <c r="AL532" s="142"/>
    </row>
    <row r="533" spans="1:38" hidden="1" x14ac:dyDescent="0.2">
      <c r="A533" s="1700"/>
      <c r="B533" s="1698"/>
      <c r="C533" s="1712"/>
      <c r="D533" s="1699"/>
      <c r="E533" s="1699"/>
      <c r="F533" s="1699"/>
      <c r="G533" s="1699"/>
      <c r="H533" s="1699"/>
      <c r="I533" s="1706"/>
      <c r="J533" s="1706"/>
      <c r="K533" s="1713" t="str">
        <f t="shared" si="70"/>
        <v/>
      </c>
      <c r="L533">
        <f t="shared" si="71"/>
        <v>0</v>
      </c>
      <c r="Q533">
        <f t="shared" si="72"/>
        <v>0</v>
      </c>
      <c r="R533">
        <f t="shared" si="73"/>
        <v>0</v>
      </c>
      <c r="S533">
        <f t="shared" si="74"/>
        <v>0</v>
      </c>
      <c r="T533">
        <f t="shared" si="75"/>
        <v>0</v>
      </c>
      <c r="U533">
        <f t="shared" si="76"/>
        <v>0</v>
      </c>
      <c r="V533">
        <f t="shared" si="77"/>
        <v>0</v>
      </c>
      <c r="AA533">
        <f t="shared" si="69"/>
        <v>0</v>
      </c>
      <c r="AL533" s="142"/>
    </row>
    <row r="534" spans="1:38" hidden="1" x14ac:dyDescent="0.2">
      <c r="A534" s="1700"/>
      <c r="B534" s="1698"/>
      <c r="C534" s="1712"/>
      <c r="D534" s="1699"/>
      <c r="E534" s="1699"/>
      <c r="F534" s="1699"/>
      <c r="G534" s="1699"/>
      <c r="H534" s="1699"/>
      <c r="I534" s="1706"/>
      <c r="J534" s="1706"/>
      <c r="K534" s="1713" t="str">
        <f t="shared" si="70"/>
        <v/>
      </c>
      <c r="L534">
        <f t="shared" si="71"/>
        <v>0</v>
      </c>
      <c r="Q534">
        <f t="shared" si="72"/>
        <v>0</v>
      </c>
      <c r="R534">
        <f t="shared" si="73"/>
        <v>0</v>
      </c>
      <c r="S534">
        <f t="shared" si="74"/>
        <v>0</v>
      </c>
      <c r="T534">
        <f t="shared" si="75"/>
        <v>0</v>
      </c>
      <c r="U534">
        <f t="shared" si="76"/>
        <v>0</v>
      </c>
      <c r="V534">
        <f t="shared" si="77"/>
        <v>0</v>
      </c>
      <c r="AA534">
        <f t="shared" si="69"/>
        <v>0</v>
      </c>
      <c r="AL534" s="142"/>
    </row>
    <row r="535" spans="1:38" hidden="1" x14ac:dyDescent="0.2">
      <c r="A535" s="1700"/>
      <c r="B535" s="1698"/>
      <c r="C535" s="1712"/>
      <c r="D535" s="1699"/>
      <c r="E535" s="1699"/>
      <c r="F535" s="1699"/>
      <c r="G535" s="1699"/>
      <c r="H535" s="1699"/>
      <c r="I535" s="1706"/>
      <c r="J535" s="1706"/>
      <c r="K535" s="1713" t="str">
        <f t="shared" si="70"/>
        <v/>
      </c>
      <c r="L535">
        <f t="shared" si="71"/>
        <v>0</v>
      </c>
      <c r="Q535">
        <f t="shared" si="72"/>
        <v>0</v>
      </c>
      <c r="R535">
        <f t="shared" si="73"/>
        <v>0</v>
      </c>
      <c r="S535">
        <f t="shared" si="74"/>
        <v>0</v>
      </c>
      <c r="T535">
        <f t="shared" si="75"/>
        <v>0</v>
      </c>
      <c r="U535">
        <f t="shared" si="76"/>
        <v>0</v>
      </c>
      <c r="V535">
        <f t="shared" si="77"/>
        <v>0</v>
      </c>
      <c r="AA535">
        <f t="shared" si="69"/>
        <v>0</v>
      </c>
      <c r="AL535" s="142"/>
    </row>
    <row r="536" spans="1:38" hidden="1" x14ac:dyDescent="0.2">
      <c r="A536" s="1700"/>
      <c r="B536" s="1698"/>
      <c r="C536" s="1712"/>
      <c r="D536" s="1699"/>
      <c r="E536" s="1699"/>
      <c r="F536" s="1699"/>
      <c r="G536" s="1699"/>
      <c r="H536" s="1699"/>
      <c r="I536" s="1706"/>
      <c r="J536" s="1706"/>
      <c r="K536" s="1713" t="str">
        <f t="shared" si="70"/>
        <v/>
      </c>
      <c r="L536">
        <f t="shared" si="71"/>
        <v>0</v>
      </c>
      <c r="Q536">
        <f t="shared" si="72"/>
        <v>0</v>
      </c>
      <c r="R536">
        <f t="shared" si="73"/>
        <v>0</v>
      </c>
      <c r="S536">
        <f t="shared" si="74"/>
        <v>0</v>
      </c>
      <c r="T536">
        <f t="shared" si="75"/>
        <v>0</v>
      </c>
      <c r="U536">
        <f t="shared" si="76"/>
        <v>0</v>
      </c>
      <c r="V536">
        <f t="shared" si="77"/>
        <v>0</v>
      </c>
      <c r="AA536">
        <f t="shared" si="69"/>
        <v>0</v>
      </c>
      <c r="AL536" s="142"/>
    </row>
    <row r="537" spans="1:38" hidden="1" x14ac:dyDescent="0.2">
      <c r="A537" s="1700"/>
      <c r="B537" s="1698"/>
      <c r="C537" s="1712"/>
      <c r="D537" s="1699"/>
      <c r="E537" s="1699"/>
      <c r="F537" s="1699"/>
      <c r="G537" s="1699"/>
      <c r="H537" s="1699"/>
      <c r="I537" s="1706"/>
      <c r="J537" s="1706"/>
      <c r="K537" s="1713" t="str">
        <f t="shared" si="70"/>
        <v/>
      </c>
      <c r="L537">
        <f t="shared" si="71"/>
        <v>0</v>
      </c>
      <c r="Q537">
        <f t="shared" si="72"/>
        <v>0</v>
      </c>
      <c r="R537">
        <f t="shared" si="73"/>
        <v>0</v>
      </c>
      <c r="S537">
        <f t="shared" si="74"/>
        <v>0</v>
      </c>
      <c r="T537">
        <f t="shared" si="75"/>
        <v>0</v>
      </c>
      <c r="U537">
        <f t="shared" si="76"/>
        <v>0</v>
      </c>
      <c r="V537">
        <f t="shared" si="77"/>
        <v>0</v>
      </c>
      <c r="AA537">
        <f t="shared" ref="AA537:AA600" si="78">IF(ISERROR(VLOOKUP($B537,eu_countries,1,FALSE))=TRUE,0,1)</f>
      </c>
      <c r="AL537" s="142"/>
    </row>
    <row r="538" spans="1:38" hidden="1" x14ac:dyDescent="0.2">
      <c r="A538" s="1700"/>
      <c r="B538" s="1698"/>
      <c r="C538" s="1712"/>
      <c r="D538" s="1699"/>
      <c r="E538" s="1699"/>
      <c r="F538" s="1699"/>
      <c r="G538" s="1699"/>
      <c r="H538" s="1699"/>
      <c r="I538" s="1706"/>
      <c r="J538" s="1706"/>
      <c r="K538" s="1713" t="str">
        <f t="shared" ref="K538:K601" si="79">IF(AND(AA538=1,A538=$S$59),"TIN required!",IF(Q538&gt;R538," All details required!",""))</f>
        <v/>
      </c>
      <c r="L538">
        <f t="shared" ref="L538:L601" si="80">IF(K538="",0,1)</f>
      </c>
      <c r="Q538">
        <f t="shared" ref="Q538:Q601" si="81">IF(AND(G532="Yes",R538=0),7,IF(S538=0,0,IF(A538=$S$59,10,7)))</f>
      </c>
      <c r="R538">
        <f t="shared" ref="R538:R601" si="82">IF(AND(AA538=0,A538=$S$59),T538+U538+V538,T538+V538)</f>
      </c>
      <c r="S538">
        <f t="shared" ref="S538:S601" si="83">SUM(T538:V538)</f>
      </c>
      <c r="T538">
        <f t="shared" ref="T538:T601" si="84">COUNTA(A538:B538)</f>
      </c>
      <c r="U538">
        <f t="shared" ref="U538:U601" si="85">COUNTA(C538:E538)</f>
      </c>
      <c r="V538">
        <f t="shared" ref="V538:V601" si="86">COUNTA(F538:J538)</f>
      </c>
      <c r="AA538">
        <f t="shared" si="78"/>
        <v>0</v>
      </c>
      <c r="AL538" s="142"/>
    </row>
    <row r="539" spans="1:38" hidden="1" x14ac:dyDescent="0.2">
      <c r="A539" s="1700"/>
      <c r="B539" s="1698"/>
      <c r="C539" s="1712"/>
      <c r="D539" s="1699"/>
      <c r="E539" s="1699"/>
      <c r="F539" s="1699"/>
      <c r="G539" s="1699"/>
      <c r="H539" s="1699"/>
      <c r="I539" s="1706"/>
      <c r="J539" s="1706"/>
      <c r="K539" s="1713" t="str">
        <f t="shared" si="79"/>
        <v/>
      </c>
      <c r="L539">
        <f t="shared" si="80"/>
        <v>0</v>
      </c>
      <c r="Q539">
        <f t="shared" si="81"/>
        <v>0</v>
      </c>
      <c r="R539">
        <f t="shared" si="82"/>
        <v>0</v>
      </c>
      <c r="S539">
        <f t="shared" si="83"/>
        <v>0</v>
      </c>
      <c r="T539">
        <f t="shared" si="84"/>
        <v>0</v>
      </c>
      <c r="U539">
        <f t="shared" si="85"/>
        <v>0</v>
      </c>
      <c r="V539">
        <f t="shared" si="86"/>
        <v>0</v>
      </c>
      <c r="AA539">
        <f t="shared" si="78"/>
        <v>0</v>
      </c>
      <c r="AL539" s="142"/>
    </row>
    <row r="540" spans="1:38" hidden="1" x14ac:dyDescent="0.2">
      <c r="A540" s="1700"/>
      <c r="B540" s="1698"/>
      <c r="C540" s="1712"/>
      <c r="D540" s="1699"/>
      <c r="E540" s="1699"/>
      <c r="F540" s="1699"/>
      <c r="G540" s="1699"/>
      <c r="H540" s="1699"/>
      <c r="I540" s="1706"/>
      <c r="J540" s="1706"/>
      <c r="K540" s="1713" t="str">
        <f t="shared" si="79"/>
        <v/>
      </c>
      <c r="L540">
        <f t="shared" si="80"/>
        <v>0</v>
      </c>
      <c r="Q540">
        <f t="shared" si="81"/>
        <v>0</v>
      </c>
      <c r="R540">
        <f t="shared" si="82"/>
        <v>0</v>
      </c>
      <c r="S540">
        <f t="shared" si="83"/>
        <v>0</v>
      </c>
      <c r="T540">
        <f t="shared" si="84"/>
        <v>0</v>
      </c>
      <c r="U540">
        <f t="shared" si="85"/>
        <v>0</v>
      </c>
      <c r="V540">
        <f t="shared" si="86"/>
        <v>0</v>
      </c>
      <c r="AA540">
        <f t="shared" si="78"/>
        <v>0</v>
      </c>
      <c r="AL540" s="142"/>
    </row>
    <row r="541" spans="1:38" hidden="1" x14ac:dyDescent="0.2">
      <c r="A541" s="1700"/>
      <c r="B541" s="1698"/>
      <c r="C541" s="1712"/>
      <c r="D541" s="1699"/>
      <c r="E541" s="1699"/>
      <c r="F541" s="1699"/>
      <c r="G541" s="1699"/>
      <c r="H541" s="1699"/>
      <c r="I541" s="1706"/>
      <c r="J541" s="1706"/>
      <c r="K541" s="1713" t="str">
        <f t="shared" si="79"/>
        <v/>
      </c>
      <c r="L541">
        <f t="shared" si="80"/>
        <v>0</v>
      </c>
      <c r="Q541">
        <f t="shared" si="81"/>
        <v>0</v>
      </c>
      <c r="R541">
        <f t="shared" si="82"/>
        <v>0</v>
      </c>
      <c r="S541">
        <f t="shared" si="83"/>
        <v>0</v>
      </c>
      <c r="T541">
        <f t="shared" si="84"/>
        <v>0</v>
      </c>
      <c r="U541">
        <f t="shared" si="85"/>
        <v>0</v>
      </c>
      <c r="V541">
        <f t="shared" si="86"/>
        <v>0</v>
      </c>
      <c r="AA541">
        <f t="shared" si="78"/>
        <v>0</v>
      </c>
      <c r="AL541" s="142"/>
    </row>
    <row r="542" spans="1:38" hidden="1" x14ac:dyDescent="0.2">
      <c r="A542" s="1700"/>
      <c r="B542" s="1698"/>
      <c r="C542" s="1712"/>
      <c r="D542" s="1699"/>
      <c r="E542" s="1699"/>
      <c r="F542" s="1699"/>
      <c r="G542" s="1699"/>
      <c r="H542" s="1699"/>
      <c r="I542" s="1706"/>
      <c r="J542" s="1706"/>
      <c r="K542" s="1713" t="str">
        <f t="shared" si="79"/>
        <v/>
      </c>
      <c r="L542">
        <f t="shared" si="80"/>
        <v>0</v>
      </c>
      <c r="Q542">
        <f t="shared" si="81"/>
        <v>0</v>
      </c>
      <c r="R542">
        <f t="shared" si="82"/>
        <v>0</v>
      </c>
      <c r="S542">
        <f t="shared" si="83"/>
        <v>0</v>
      </c>
      <c r="T542">
        <f t="shared" si="84"/>
        <v>0</v>
      </c>
      <c r="U542">
        <f t="shared" si="85"/>
        <v>0</v>
      </c>
      <c r="V542">
        <f t="shared" si="86"/>
        <v>0</v>
      </c>
      <c r="AA542">
        <f t="shared" si="78"/>
        <v>0</v>
      </c>
      <c r="AL542" s="142"/>
    </row>
    <row r="543" spans="1:38" hidden="1" x14ac:dyDescent="0.2">
      <c r="A543" s="1700"/>
      <c r="B543" s="1698"/>
      <c r="C543" s="1712"/>
      <c r="D543" s="1699"/>
      <c r="E543" s="1699"/>
      <c r="F543" s="1699"/>
      <c r="G543" s="1699"/>
      <c r="H543" s="1699"/>
      <c r="I543" s="1706"/>
      <c r="J543" s="1706"/>
      <c r="K543" s="1713" t="str">
        <f t="shared" si="79"/>
        <v/>
      </c>
      <c r="L543">
        <f t="shared" si="80"/>
        <v>0</v>
      </c>
      <c r="Q543">
        <f t="shared" si="81"/>
        <v>0</v>
      </c>
      <c r="R543">
        <f t="shared" si="82"/>
        <v>0</v>
      </c>
      <c r="S543">
        <f t="shared" si="83"/>
        <v>0</v>
      </c>
      <c r="T543">
        <f t="shared" si="84"/>
        <v>0</v>
      </c>
      <c r="U543">
        <f t="shared" si="85"/>
        <v>0</v>
      </c>
      <c r="V543">
        <f t="shared" si="86"/>
        <v>0</v>
      </c>
      <c r="AA543">
        <f t="shared" si="78"/>
        <v>0</v>
      </c>
      <c r="AL543" s="142"/>
    </row>
    <row r="544" spans="1:38" hidden="1" x14ac:dyDescent="0.2">
      <c r="A544" s="1700"/>
      <c r="B544" s="1698"/>
      <c r="C544" s="1712"/>
      <c r="D544" s="1699"/>
      <c r="E544" s="1699"/>
      <c r="F544" s="1699"/>
      <c r="G544" s="1699"/>
      <c r="H544" s="1699"/>
      <c r="I544" s="1706"/>
      <c r="J544" s="1706"/>
      <c r="K544" s="1713" t="str">
        <f t="shared" si="79"/>
        <v/>
      </c>
      <c r="L544">
        <f t="shared" si="80"/>
        <v>0</v>
      </c>
      <c r="Q544">
        <f t="shared" si="81"/>
        <v>0</v>
      </c>
      <c r="R544">
        <f t="shared" si="82"/>
        <v>0</v>
      </c>
      <c r="S544">
        <f t="shared" si="83"/>
        <v>0</v>
      </c>
      <c r="T544">
        <f t="shared" si="84"/>
        <v>0</v>
      </c>
      <c r="U544">
        <f t="shared" si="85"/>
        <v>0</v>
      </c>
      <c r="V544">
        <f t="shared" si="86"/>
        <v>0</v>
      </c>
      <c r="AA544">
        <f t="shared" si="78"/>
        <v>0</v>
      </c>
      <c r="AL544" s="142"/>
    </row>
    <row r="545" spans="1:38" hidden="1" x14ac:dyDescent="0.2">
      <c r="A545" s="1700"/>
      <c r="B545" s="1698"/>
      <c r="C545" s="1712"/>
      <c r="D545" s="1699"/>
      <c r="E545" s="1699"/>
      <c r="F545" s="1699"/>
      <c r="G545" s="1699"/>
      <c r="H545" s="1699"/>
      <c r="I545" s="1706"/>
      <c r="J545" s="1706"/>
      <c r="K545" s="1713" t="str">
        <f t="shared" si="79"/>
        <v/>
      </c>
      <c r="L545">
        <f t="shared" si="80"/>
        <v>0</v>
      </c>
      <c r="Q545">
        <f t="shared" si="81"/>
        <v>0</v>
      </c>
      <c r="R545">
        <f t="shared" si="82"/>
        <v>0</v>
      </c>
      <c r="S545">
        <f t="shared" si="83"/>
        <v>0</v>
      </c>
      <c r="T545">
        <f t="shared" si="84"/>
        <v>0</v>
      </c>
      <c r="U545">
        <f t="shared" si="85"/>
        <v>0</v>
      </c>
      <c r="V545">
        <f t="shared" si="86"/>
        <v>0</v>
      </c>
      <c r="AA545">
        <f t="shared" si="78"/>
        <v>0</v>
      </c>
      <c r="AL545" s="142"/>
    </row>
    <row r="546" spans="1:38" hidden="1" x14ac:dyDescent="0.2">
      <c r="A546" s="1700"/>
      <c r="B546" s="1698"/>
      <c r="C546" s="1712"/>
      <c r="D546" s="1699"/>
      <c r="E546" s="1699"/>
      <c r="F546" s="1699"/>
      <c r="G546" s="1699"/>
      <c r="H546" s="1699"/>
      <c r="I546" s="1706"/>
      <c r="J546" s="1706"/>
      <c r="K546" s="1713" t="str">
        <f t="shared" si="79"/>
        <v/>
      </c>
      <c r="L546">
        <f t="shared" si="80"/>
        <v>0</v>
      </c>
      <c r="Q546">
        <f t="shared" si="81"/>
        <v>0</v>
      </c>
      <c r="R546">
        <f t="shared" si="82"/>
        <v>0</v>
      </c>
      <c r="S546">
        <f t="shared" si="83"/>
        <v>0</v>
      </c>
      <c r="T546">
        <f t="shared" si="84"/>
        <v>0</v>
      </c>
      <c r="U546">
        <f t="shared" si="85"/>
        <v>0</v>
      </c>
      <c r="V546">
        <f t="shared" si="86"/>
        <v>0</v>
      </c>
      <c r="AA546">
        <f t="shared" si="78"/>
        <v>0</v>
      </c>
      <c r="AL546" s="142"/>
    </row>
    <row r="547" spans="1:38" hidden="1" x14ac:dyDescent="0.2">
      <c r="A547" s="1700"/>
      <c r="B547" s="1698"/>
      <c r="C547" s="1712"/>
      <c r="D547" s="1699"/>
      <c r="E547" s="1699"/>
      <c r="F547" s="1699"/>
      <c r="G547" s="1699"/>
      <c r="H547" s="1699"/>
      <c r="I547" s="1706"/>
      <c r="J547" s="1706"/>
      <c r="K547" s="1713" t="str">
        <f t="shared" si="79"/>
        <v/>
      </c>
      <c r="L547">
        <f t="shared" si="80"/>
        <v>0</v>
      </c>
      <c r="Q547">
        <f t="shared" si="81"/>
        <v>0</v>
      </c>
      <c r="R547">
        <f t="shared" si="82"/>
        <v>0</v>
      </c>
      <c r="S547">
        <f t="shared" si="83"/>
        <v>0</v>
      </c>
      <c r="T547">
        <f t="shared" si="84"/>
        <v>0</v>
      </c>
      <c r="U547">
        <f t="shared" si="85"/>
        <v>0</v>
      </c>
      <c r="V547">
        <f t="shared" si="86"/>
        <v>0</v>
      </c>
      <c r="AA547">
        <f t="shared" si="78"/>
        <v>0</v>
      </c>
      <c r="AL547" s="142"/>
    </row>
    <row r="548" spans="1:38" hidden="1" x14ac:dyDescent="0.2">
      <c r="A548" s="1700"/>
      <c r="B548" s="1698"/>
      <c r="C548" s="1712"/>
      <c r="D548" s="1699"/>
      <c r="E548" s="1699"/>
      <c r="F548" s="1699"/>
      <c r="G548" s="1699"/>
      <c r="H548" s="1699"/>
      <c r="I548" s="1706"/>
      <c r="J548" s="1706"/>
      <c r="K548" s="1713" t="str">
        <f t="shared" si="79"/>
        <v/>
      </c>
      <c r="L548">
        <f t="shared" si="80"/>
        <v>0</v>
      </c>
      <c r="Q548">
        <f t="shared" si="81"/>
        <v>0</v>
      </c>
      <c r="R548">
        <f t="shared" si="82"/>
        <v>0</v>
      </c>
      <c r="S548">
        <f t="shared" si="83"/>
        <v>0</v>
      </c>
      <c r="T548">
        <f t="shared" si="84"/>
        <v>0</v>
      </c>
      <c r="U548">
        <f t="shared" si="85"/>
        <v>0</v>
      </c>
      <c r="V548">
        <f t="shared" si="86"/>
        <v>0</v>
      </c>
      <c r="AA548">
        <f t="shared" si="78"/>
        <v>0</v>
      </c>
      <c r="AL548" s="142"/>
    </row>
    <row r="549" spans="1:38" hidden="1" x14ac:dyDescent="0.2">
      <c r="A549" s="1700"/>
      <c r="B549" s="1698"/>
      <c r="C549" s="1712"/>
      <c r="D549" s="1699"/>
      <c r="E549" s="1699"/>
      <c r="F549" s="1699"/>
      <c r="G549" s="1699"/>
      <c r="H549" s="1699"/>
      <c r="I549" s="1706"/>
      <c r="J549" s="1706"/>
      <c r="K549" s="1713" t="str">
        <f t="shared" si="79"/>
        <v/>
      </c>
      <c r="L549">
        <f t="shared" si="80"/>
        <v>0</v>
      </c>
      <c r="Q549">
        <f t="shared" si="81"/>
        <v>0</v>
      </c>
      <c r="R549">
        <f t="shared" si="82"/>
        <v>0</v>
      </c>
      <c r="S549">
        <f t="shared" si="83"/>
        <v>0</v>
      </c>
      <c r="T549">
        <f t="shared" si="84"/>
        <v>0</v>
      </c>
      <c r="U549">
        <f t="shared" si="85"/>
        <v>0</v>
      </c>
      <c r="V549">
        <f t="shared" si="86"/>
        <v>0</v>
      </c>
      <c r="AA549">
        <f t="shared" si="78"/>
        <v>0</v>
      </c>
      <c r="AL549" s="142"/>
    </row>
    <row r="550" spans="1:38" hidden="1" x14ac:dyDescent="0.2">
      <c r="A550" s="1700"/>
      <c r="B550" s="1698"/>
      <c r="C550" s="1712"/>
      <c r="D550" s="1699"/>
      <c r="E550" s="1699"/>
      <c r="F550" s="1699"/>
      <c r="G550" s="1699"/>
      <c r="H550" s="1699"/>
      <c r="I550" s="1706"/>
      <c r="J550" s="1706"/>
      <c r="K550" s="1713" t="str">
        <f t="shared" si="79"/>
        <v/>
      </c>
      <c r="L550">
        <f t="shared" si="80"/>
        <v>0</v>
      </c>
      <c r="Q550">
        <f t="shared" si="81"/>
        <v>0</v>
      </c>
      <c r="R550">
        <f t="shared" si="82"/>
        <v>0</v>
      </c>
      <c r="S550">
        <f t="shared" si="83"/>
        <v>0</v>
      </c>
      <c r="T550">
        <f t="shared" si="84"/>
        <v>0</v>
      </c>
      <c r="U550">
        <f t="shared" si="85"/>
        <v>0</v>
      </c>
      <c r="V550">
        <f t="shared" si="86"/>
        <v>0</v>
      </c>
      <c r="AA550">
        <f t="shared" si="78"/>
        <v>0</v>
      </c>
      <c r="AL550" s="142"/>
    </row>
    <row r="551" spans="1:38" hidden="1" x14ac:dyDescent="0.2">
      <c r="A551" s="1700"/>
      <c r="B551" s="1698"/>
      <c r="C551" s="1712"/>
      <c r="D551" s="1699"/>
      <c r="E551" s="1699"/>
      <c r="F551" s="1699"/>
      <c r="G551" s="1699"/>
      <c r="H551" s="1699"/>
      <c r="I551" s="1706"/>
      <c r="J551" s="1706"/>
      <c r="K551" s="1713" t="str">
        <f t="shared" si="79"/>
        <v/>
      </c>
      <c r="L551">
        <f t="shared" si="80"/>
        <v>0</v>
      </c>
      <c r="Q551">
        <f t="shared" si="81"/>
        <v>0</v>
      </c>
      <c r="R551">
        <f t="shared" si="82"/>
        <v>0</v>
      </c>
      <c r="S551">
        <f t="shared" si="83"/>
        <v>0</v>
      </c>
      <c r="T551">
        <f t="shared" si="84"/>
        <v>0</v>
      </c>
      <c r="U551">
        <f t="shared" si="85"/>
        <v>0</v>
      </c>
      <c r="V551">
        <f t="shared" si="86"/>
        <v>0</v>
      </c>
      <c r="AA551">
        <f t="shared" si="78"/>
        <v>0</v>
      </c>
      <c r="AL551" s="142"/>
    </row>
    <row r="552" spans="1:38" hidden="1" x14ac:dyDescent="0.2">
      <c r="A552" s="1700"/>
      <c r="B552" s="1698"/>
      <c r="C552" s="1712"/>
      <c r="D552" s="1699"/>
      <c r="E552" s="1699"/>
      <c r="F552" s="1699"/>
      <c r="G552" s="1699"/>
      <c r="H552" s="1699"/>
      <c r="I552" s="1706"/>
      <c r="J552" s="1706"/>
      <c r="K552" s="1713" t="str">
        <f t="shared" si="79"/>
        <v/>
      </c>
      <c r="L552">
        <f t="shared" si="80"/>
        <v>0</v>
      </c>
      <c r="Q552">
        <f t="shared" si="81"/>
        <v>0</v>
      </c>
      <c r="R552">
        <f t="shared" si="82"/>
        <v>0</v>
      </c>
      <c r="S552">
        <f t="shared" si="83"/>
        <v>0</v>
      </c>
      <c r="T552">
        <f t="shared" si="84"/>
        <v>0</v>
      </c>
      <c r="U552">
        <f t="shared" si="85"/>
        <v>0</v>
      </c>
      <c r="V552">
        <f t="shared" si="86"/>
        <v>0</v>
      </c>
      <c r="AA552">
        <f t="shared" si="78"/>
        <v>0</v>
      </c>
      <c r="AL552" s="142"/>
    </row>
    <row r="553" spans="1:38" hidden="1" x14ac:dyDescent="0.2">
      <c r="A553" s="1700"/>
      <c r="B553" s="1698"/>
      <c r="C553" s="1712"/>
      <c r="D553" s="1699"/>
      <c r="E553" s="1699"/>
      <c r="F553" s="1699"/>
      <c r="G553" s="1699"/>
      <c r="H553" s="1699"/>
      <c r="I553" s="1706"/>
      <c r="J553" s="1706"/>
      <c r="K553" s="1713" t="str">
        <f t="shared" si="79"/>
        <v/>
      </c>
      <c r="L553">
        <f t="shared" si="80"/>
        <v>0</v>
      </c>
      <c r="Q553">
        <f t="shared" si="81"/>
        <v>0</v>
      </c>
      <c r="R553">
        <f t="shared" si="82"/>
        <v>0</v>
      </c>
      <c r="S553">
        <f t="shared" si="83"/>
        <v>0</v>
      </c>
      <c r="T553">
        <f t="shared" si="84"/>
        <v>0</v>
      </c>
      <c r="U553">
        <f t="shared" si="85"/>
        <v>0</v>
      </c>
      <c r="V553">
        <f t="shared" si="86"/>
        <v>0</v>
      </c>
      <c r="AA553">
        <f t="shared" si="78"/>
        <v>0</v>
      </c>
      <c r="AL553" s="142"/>
    </row>
    <row r="554" spans="1:38" hidden="1" x14ac:dyDescent="0.2">
      <c r="A554" s="1700"/>
      <c r="B554" s="1698"/>
      <c r="C554" s="1712"/>
      <c r="D554" s="1699"/>
      <c r="E554" s="1699"/>
      <c r="F554" s="1699"/>
      <c r="G554" s="1699"/>
      <c r="H554" s="1699"/>
      <c r="I554" s="1706"/>
      <c r="J554" s="1706"/>
      <c r="K554" s="1713" t="str">
        <f t="shared" si="79"/>
        <v/>
      </c>
      <c r="L554">
        <f t="shared" si="80"/>
        <v>0</v>
      </c>
      <c r="Q554">
        <f t="shared" si="81"/>
        <v>0</v>
      </c>
      <c r="R554">
        <f t="shared" si="82"/>
        <v>0</v>
      </c>
      <c r="S554">
        <f t="shared" si="83"/>
        <v>0</v>
      </c>
      <c r="T554">
        <f t="shared" si="84"/>
        <v>0</v>
      </c>
      <c r="U554">
        <f t="shared" si="85"/>
        <v>0</v>
      </c>
      <c r="V554">
        <f t="shared" si="86"/>
        <v>0</v>
      </c>
      <c r="AA554">
        <f t="shared" si="78"/>
        <v>0</v>
      </c>
      <c r="AL554" s="142"/>
    </row>
    <row r="555" spans="1:38" hidden="1" x14ac:dyDescent="0.2">
      <c r="A555" s="1700"/>
      <c r="B555" s="1698"/>
      <c r="C555" s="1712"/>
      <c r="D555" s="1699"/>
      <c r="E555" s="1699"/>
      <c r="F555" s="1699"/>
      <c r="G555" s="1699"/>
      <c r="H555" s="1699"/>
      <c r="I555" s="1706"/>
      <c r="J555" s="1706"/>
      <c r="K555" s="1713" t="str">
        <f t="shared" si="79"/>
        <v/>
      </c>
      <c r="L555">
        <f t="shared" si="80"/>
        <v>0</v>
      </c>
      <c r="Q555">
        <f t="shared" si="81"/>
        <v>0</v>
      </c>
      <c r="R555">
        <f t="shared" si="82"/>
        <v>0</v>
      </c>
      <c r="S555">
        <f t="shared" si="83"/>
        <v>0</v>
      </c>
      <c r="T555">
        <f t="shared" si="84"/>
        <v>0</v>
      </c>
      <c r="U555">
        <f t="shared" si="85"/>
        <v>0</v>
      </c>
      <c r="V555">
        <f t="shared" si="86"/>
        <v>0</v>
      </c>
      <c r="AA555">
        <f t="shared" si="78"/>
        <v>0</v>
      </c>
      <c r="AL555" s="142"/>
    </row>
    <row r="556" spans="1:38" hidden="1" x14ac:dyDescent="0.2">
      <c r="A556" s="1700"/>
      <c r="B556" s="1698"/>
      <c r="C556" s="1712"/>
      <c r="D556" s="1699"/>
      <c r="E556" s="1699"/>
      <c r="F556" s="1699"/>
      <c r="G556" s="1699"/>
      <c r="H556" s="1699"/>
      <c r="I556" s="1706"/>
      <c r="J556" s="1706"/>
      <c r="K556" s="1713" t="str">
        <f t="shared" si="79"/>
        <v/>
      </c>
      <c r="L556">
        <f t="shared" si="80"/>
        <v>0</v>
      </c>
      <c r="Q556">
        <f t="shared" si="81"/>
        <v>0</v>
      </c>
      <c r="R556">
        <f t="shared" si="82"/>
        <v>0</v>
      </c>
      <c r="S556">
        <f t="shared" si="83"/>
        <v>0</v>
      </c>
      <c r="T556">
        <f t="shared" si="84"/>
        <v>0</v>
      </c>
      <c r="U556">
        <f t="shared" si="85"/>
        <v>0</v>
      </c>
      <c r="V556">
        <f t="shared" si="86"/>
        <v>0</v>
      </c>
      <c r="AA556">
        <f t="shared" si="78"/>
        <v>0</v>
      </c>
      <c r="AL556" s="142"/>
    </row>
    <row r="557" spans="1:38" hidden="1" x14ac:dyDescent="0.2">
      <c r="A557" s="1700"/>
      <c r="B557" s="1698"/>
      <c r="C557" s="1712"/>
      <c r="D557" s="1699"/>
      <c r="E557" s="1699"/>
      <c r="F557" s="1699"/>
      <c r="G557" s="1699"/>
      <c r="H557" s="1699"/>
      <c r="I557" s="1706"/>
      <c r="J557" s="1706"/>
      <c r="K557" s="1713" t="str">
        <f t="shared" si="79"/>
        <v/>
      </c>
      <c r="L557">
        <f t="shared" si="80"/>
        <v>0</v>
      </c>
      <c r="Q557">
        <f t="shared" si="81"/>
        <v>0</v>
      </c>
      <c r="R557">
        <f t="shared" si="82"/>
        <v>0</v>
      </c>
      <c r="S557">
        <f t="shared" si="83"/>
        <v>0</v>
      </c>
      <c r="T557">
        <f t="shared" si="84"/>
        <v>0</v>
      </c>
      <c r="U557">
        <f t="shared" si="85"/>
        <v>0</v>
      </c>
      <c r="V557">
        <f t="shared" si="86"/>
        <v>0</v>
      </c>
      <c r="AA557">
        <f t="shared" si="78"/>
        <v>0</v>
      </c>
      <c r="AL557" s="142"/>
    </row>
    <row r="558" spans="1:38" hidden="1" x14ac:dyDescent="0.2">
      <c r="A558" s="1700"/>
      <c r="B558" s="1698"/>
      <c r="C558" s="1712"/>
      <c r="D558" s="1699"/>
      <c r="E558" s="1699"/>
      <c r="F558" s="1699"/>
      <c r="G558" s="1699"/>
      <c r="H558" s="1699"/>
      <c r="I558" s="1706"/>
      <c r="J558" s="1706"/>
      <c r="K558" s="1713" t="str">
        <f t="shared" si="79"/>
        <v/>
      </c>
      <c r="L558">
        <f t="shared" si="80"/>
        <v>0</v>
      </c>
      <c r="Q558">
        <f t="shared" si="81"/>
        <v>0</v>
      </c>
      <c r="R558">
        <f t="shared" si="82"/>
        <v>0</v>
      </c>
      <c r="S558">
        <f t="shared" si="83"/>
        <v>0</v>
      </c>
      <c r="T558">
        <f t="shared" si="84"/>
        <v>0</v>
      </c>
      <c r="U558">
        <f t="shared" si="85"/>
        <v>0</v>
      </c>
      <c r="V558">
        <f t="shared" si="86"/>
        <v>0</v>
      </c>
      <c r="AA558">
        <f t="shared" si="78"/>
        <v>0</v>
      </c>
      <c r="AL558" s="142"/>
    </row>
    <row r="559" spans="1:38" hidden="1" x14ac:dyDescent="0.2">
      <c r="A559" s="1700"/>
      <c r="B559" s="1698"/>
      <c r="C559" s="1712"/>
      <c r="D559" s="1699"/>
      <c r="E559" s="1699"/>
      <c r="F559" s="1699"/>
      <c r="G559" s="1699"/>
      <c r="H559" s="1699"/>
      <c r="I559" s="1706"/>
      <c r="J559" s="1706"/>
      <c r="K559" s="1713" t="str">
        <f t="shared" si="79"/>
        <v/>
      </c>
      <c r="L559">
        <f t="shared" si="80"/>
        <v>0</v>
      </c>
      <c r="Q559">
        <f t="shared" si="81"/>
        <v>0</v>
      </c>
      <c r="R559">
        <f t="shared" si="82"/>
        <v>0</v>
      </c>
      <c r="S559">
        <f t="shared" si="83"/>
        <v>0</v>
      </c>
      <c r="T559">
        <f t="shared" si="84"/>
        <v>0</v>
      </c>
      <c r="U559">
        <f t="shared" si="85"/>
        <v>0</v>
      </c>
      <c r="V559">
        <f t="shared" si="86"/>
        <v>0</v>
      </c>
      <c r="AA559">
        <f t="shared" si="78"/>
        <v>0</v>
      </c>
      <c r="AL559" s="142"/>
    </row>
    <row r="560" spans="1:38" hidden="1" x14ac:dyDescent="0.2">
      <c r="A560" s="1700"/>
      <c r="B560" s="1698"/>
      <c r="C560" s="1712"/>
      <c r="D560" s="1699"/>
      <c r="E560" s="1699"/>
      <c r="F560" s="1699"/>
      <c r="G560" s="1699"/>
      <c r="H560" s="1699"/>
      <c r="I560" s="1706"/>
      <c r="J560" s="1706"/>
      <c r="K560" s="1713" t="str">
        <f t="shared" si="79"/>
        <v/>
      </c>
      <c r="L560">
        <f t="shared" si="80"/>
        <v>0</v>
      </c>
      <c r="Q560">
        <f t="shared" si="81"/>
        <v>0</v>
      </c>
      <c r="R560">
        <f t="shared" si="82"/>
        <v>0</v>
      </c>
      <c r="S560">
        <f t="shared" si="83"/>
        <v>0</v>
      </c>
      <c r="T560">
        <f t="shared" si="84"/>
        <v>0</v>
      </c>
      <c r="U560">
        <f t="shared" si="85"/>
        <v>0</v>
      </c>
      <c r="V560">
        <f t="shared" si="86"/>
        <v>0</v>
      </c>
      <c r="AA560">
        <f t="shared" si="78"/>
        <v>0</v>
      </c>
      <c r="AL560" s="142"/>
    </row>
    <row r="561" spans="1:38" hidden="1" x14ac:dyDescent="0.2">
      <c r="A561" s="1700"/>
      <c r="B561" s="1698"/>
      <c r="C561" s="1712"/>
      <c r="D561" s="1699"/>
      <c r="E561" s="1699"/>
      <c r="F561" s="1699"/>
      <c r="G561" s="1699"/>
      <c r="H561" s="1699"/>
      <c r="I561" s="1706"/>
      <c r="J561" s="1706"/>
      <c r="K561" s="1713" t="str">
        <f t="shared" si="79"/>
        <v/>
      </c>
      <c r="L561">
        <f t="shared" si="80"/>
        <v>0</v>
      </c>
      <c r="Q561">
        <f t="shared" si="81"/>
        <v>0</v>
      </c>
      <c r="R561">
        <f t="shared" si="82"/>
        <v>0</v>
      </c>
      <c r="S561">
        <f t="shared" si="83"/>
        <v>0</v>
      </c>
      <c r="T561">
        <f t="shared" si="84"/>
        <v>0</v>
      </c>
      <c r="U561">
        <f t="shared" si="85"/>
        <v>0</v>
      </c>
      <c r="V561">
        <f t="shared" si="86"/>
        <v>0</v>
      </c>
      <c r="AA561">
        <f t="shared" si="78"/>
        <v>0</v>
      </c>
      <c r="AL561" s="142"/>
    </row>
    <row r="562" spans="1:38" hidden="1" x14ac:dyDescent="0.2">
      <c r="A562" s="1700"/>
      <c r="B562" s="1698"/>
      <c r="C562" s="1712"/>
      <c r="D562" s="1699"/>
      <c r="E562" s="1699"/>
      <c r="F562" s="1699"/>
      <c r="G562" s="1699"/>
      <c r="H562" s="1699"/>
      <c r="I562" s="1706"/>
      <c r="J562" s="1706"/>
      <c r="K562" s="1713" t="str">
        <f t="shared" si="79"/>
        <v/>
      </c>
      <c r="L562">
        <f t="shared" si="80"/>
        <v>0</v>
      </c>
      <c r="Q562">
        <f t="shared" si="81"/>
        <v>0</v>
      </c>
      <c r="R562">
        <f t="shared" si="82"/>
        <v>0</v>
      </c>
      <c r="S562">
        <f t="shared" si="83"/>
        <v>0</v>
      </c>
      <c r="T562">
        <f t="shared" si="84"/>
        <v>0</v>
      </c>
      <c r="U562">
        <f t="shared" si="85"/>
        <v>0</v>
      </c>
      <c r="V562">
        <f t="shared" si="86"/>
        <v>0</v>
      </c>
      <c r="AA562">
        <f t="shared" si="78"/>
        <v>0</v>
      </c>
      <c r="AL562" s="142"/>
    </row>
    <row r="563" spans="1:38" hidden="1" x14ac:dyDescent="0.2">
      <c r="A563" s="1700"/>
      <c r="B563" s="1698"/>
      <c r="C563" s="1712"/>
      <c r="D563" s="1699"/>
      <c r="E563" s="1699"/>
      <c r="F563" s="1699"/>
      <c r="G563" s="1699"/>
      <c r="H563" s="1699"/>
      <c r="I563" s="1706"/>
      <c r="J563" s="1706"/>
      <c r="K563" s="1713" t="str">
        <f t="shared" si="79"/>
        <v/>
      </c>
      <c r="L563">
        <f t="shared" si="80"/>
        <v>0</v>
      </c>
      <c r="Q563">
        <f t="shared" si="81"/>
        <v>0</v>
      </c>
      <c r="R563">
        <f t="shared" si="82"/>
        <v>0</v>
      </c>
      <c r="S563">
        <f t="shared" si="83"/>
        <v>0</v>
      </c>
      <c r="T563">
        <f t="shared" si="84"/>
        <v>0</v>
      </c>
      <c r="U563">
        <f t="shared" si="85"/>
        <v>0</v>
      </c>
      <c r="V563">
        <f t="shared" si="86"/>
        <v>0</v>
      </c>
      <c r="AA563">
        <f t="shared" si="78"/>
        <v>0</v>
      </c>
      <c r="AL563" s="142"/>
    </row>
    <row r="564" spans="1:38" hidden="1" x14ac:dyDescent="0.2">
      <c r="A564" s="1700"/>
      <c r="B564" s="1698"/>
      <c r="C564" s="1712"/>
      <c r="D564" s="1699"/>
      <c r="E564" s="1699"/>
      <c r="F564" s="1699"/>
      <c r="G564" s="1699"/>
      <c r="H564" s="1699"/>
      <c r="I564" s="1706"/>
      <c r="J564" s="1706"/>
      <c r="K564" s="1713" t="str">
        <f t="shared" si="79"/>
        <v/>
      </c>
      <c r="L564">
        <f t="shared" si="80"/>
        <v>0</v>
      </c>
      <c r="Q564">
        <f t="shared" si="81"/>
        <v>0</v>
      </c>
      <c r="R564">
        <f t="shared" si="82"/>
        <v>0</v>
      </c>
      <c r="S564">
        <f t="shared" si="83"/>
        <v>0</v>
      </c>
      <c r="T564">
        <f t="shared" si="84"/>
        <v>0</v>
      </c>
      <c r="U564">
        <f t="shared" si="85"/>
        <v>0</v>
      </c>
      <c r="V564">
        <f t="shared" si="86"/>
        <v>0</v>
      </c>
      <c r="AA564">
        <f t="shared" si="78"/>
        <v>0</v>
      </c>
      <c r="AL564" s="142"/>
    </row>
    <row r="565" spans="1:38" hidden="1" x14ac:dyDescent="0.2">
      <c r="A565" s="1700"/>
      <c r="B565" s="1698"/>
      <c r="C565" s="1712"/>
      <c r="D565" s="1699"/>
      <c r="E565" s="1699"/>
      <c r="F565" s="1699"/>
      <c r="G565" s="1699"/>
      <c r="H565" s="1699"/>
      <c r="I565" s="1706"/>
      <c r="J565" s="1706"/>
      <c r="K565" s="1713" t="str">
        <f t="shared" si="79"/>
        <v/>
      </c>
      <c r="L565">
        <f t="shared" si="80"/>
        <v>0</v>
      </c>
      <c r="Q565">
        <f t="shared" si="81"/>
        <v>0</v>
      </c>
      <c r="R565">
        <f t="shared" si="82"/>
        <v>0</v>
      </c>
      <c r="S565">
        <f t="shared" si="83"/>
        <v>0</v>
      </c>
      <c r="T565">
        <f t="shared" si="84"/>
        <v>0</v>
      </c>
      <c r="U565">
        <f t="shared" si="85"/>
        <v>0</v>
      </c>
      <c r="V565">
        <f t="shared" si="86"/>
        <v>0</v>
      </c>
      <c r="AA565">
        <f t="shared" si="78"/>
        <v>0</v>
      </c>
      <c r="AL565" s="142"/>
    </row>
    <row r="566" spans="1:38" hidden="1" x14ac:dyDescent="0.2">
      <c r="A566" s="1700"/>
      <c r="B566" s="1698"/>
      <c r="C566" s="1712"/>
      <c r="D566" s="1699"/>
      <c r="E566" s="1699"/>
      <c r="F566" s="1699"/>
      <c r="G566" s="1699"/>
      <c r="H566" s="1699"/>
      <c r="I566" s="1706"/>
      <c r="J566" s="1706"/>
      <c r="K566" s="1713" t="str">
        <f t="shared" si="79"/>
        <v/>
      </c>
      <c r="L566">
        <f t="shared" si="80"/>
        <v>0</v>
      </c>
      <c r="Q566">
        <f t="shared" si="81"/>
        <v>0</v>
      </c>
      <c r="R566">
        <f t="shared" si="82"/>
        <v>0</v>
      </c>
      <c r="S566">
        <f t="shared" si="83"/>
        <v>0</v>
      </c>
      <c r="T566">
        <f t="shared" si="84"/>
        <v>0</v>
      </c>
      <c r="U566">
        <f t="shared" si="85"/>
        <v>0</v>
      </c>
      <c r="V566">
        <f t="shared" si="86"/>
        <v>0</v>
      </c>
      <c r="AA566">
        <f t="shared" si="78"/>
        <v>0</v>
      </c>
      <c r="AL566" s="142"/>
    </row>
    <row r="567" spans="1:38" hidden="1" x14ac:dyDescent="0.2">
      <c r="A567" s="1700"/>
      <c r="B567" s="1698"/>
      <c r="C567" s="1712"/>
      <c r="D567" s="1699"/>
      <c r="E567" s="1699"/>
      <c r="F567" s="1699"/>
      <c r="G567" s="1699"/>
      <c r="H567" s="1699"/>
      <c r="I567" s="1706"/>
      <c r="J567" s="1706"/>
      <c r="K567" s="1713" t="str">
        <f t="shared" si="79"/>
        <v/>
      </c>
      <c r="L567">
        <f t="shared" si="80"/>
        <v>0</v>
      </c>
      <c r="Q567">
        <f t="shared" si="81"/>
        <v>0</v>
      </c>
      <c r="R567">
        <f t="shared" si="82"/>
        <v>0</v>
      </c>
      <c r="S567">
        <f t="shared" si="83"/>
        <v>0</v>
      </c>
      <c r="T567">
        <f t="shared" si="84"/>
        <v>0</v>
      </c>
      <c r="U567">
        <f t="shared" si="85"/>
        <v>0</v>
      </c>
      <c r="V567">
        <f t="shared" si="86"/>
        <v>0</v>
      </c>
      <c r="AA567">
        <f t="shared" si="78"/>
        <v>0</v>
      </c>
      <c r="AL567" s="142"/>
    </row>
    <row r="568" spans="1:38" hidden="1" x14ac:dyDescent="0.2">
      <c r="A568" s="1700"/>
      <c r="B568" s="1698"/>
      <c r="C568" s="1712"/>
      <c r="D568" s="1699"/>
      <c r="E568" s="1699"/>
      <c r="F568" s="1699"/>
      <c r="G568" s="1699"/>
      <c r="H568" s="1699"/>
      <c r="I568" s="1706"/>
      <c r="J568" s="1706"/>
      <c r="K568" s="1713" t="str">
        <f t="shared" si="79"/>
        <v/>
      </c>
      <c r="L568">
        <f t="shared" si="80"/>
        <v>0</v>
      </c>
      <c r="Q568">
        <f t="shared" si="81"/>
        <v>0</v>
      </c>
      <c r="R568">
        <f t="shared" si="82"/>
        <v>0</v>
      </c>
      <c r="S568">
        <f t="shared" si="83"/>
        <v>0</v>
      </c>
      <c r="T568">
        <f t="shared" si="84"/>
        <v>0</v>
      </c>
      <c r="U568">
        <f t="shared" si="85"/>
        <v>0</v>
      </c>
      <c r="V568">
        <f t="shared" si="86"/>
        <v>0</v>
      </c>
      <c r="AA568">
        <f t="shared" si="78"/>
        <v>0</v>
      </c>
      <c r="AL568" s="142"/>
    </row>
    <row r="569" spans="1:38" hidden="1" x14ac:dyDescent="0.2">
      <c r="A569" s="1700"/>
      <c r="B569" s="1698"/>
      <c r="C569" s="1712"/>
      <c r="D569" s="1699"/>
      <c r="E569" s="1699"/>
      <c r="F569" s="1699"/>
      <c r="G569" s="1699"/>
      <c r="H569" s="1699"/>
      <c r="I569" s="1706"/>
      <c r="J569" s="1706"/>
      <c r="K569" s="1713" t="str">
        <f t="shared" si="79"/>
        <v/>
      </c>
      <c r="L569">
        <f t="shared" si="80"/>
        <v>0</v>
      </c>
      <c r="Q569">
        <f t="shared" si="81"/>
        <v>0</v>
      </c>
      <c r="R569">
        <f t="shared" si="82"/>
        <v>0</v>
      </c>
      <c r="S569">
        <f t="shared" si="83"/>
        <v>0</v>
      </c>
      <c r="T569">
        <f t="shared" si="84"/>
        <v>0</v>
      </c>
      <c r="U569">
        <f t="shared" si="85"/>
        <v>0</v>
      </c>
      <c r="V569">
        <f t="shared" si="86"/>
        <v>0</v>
      </c>
      <c r="AA569">
        <f t="shared" si="78"/>
        <v>0</v>
      </c>
      <c r="AL569" s="142"/>
    </row>
    <row r="570" spans="1:38" hidden="1" x14ac:dyDescent="0.2">
      <c r="A570" s="1700"/>
      <c r="B570" s="1698"/>
      <c r="C570" s="1712"/>
      <c r="D570" s="1699"/>
      <c r="E570" s="1699"/>
      <c r="F570" s="1699"/>
      <c r="G570" s="1699"/>
      <c r="H570" s="1699"/>
      <c r="I570" s="1706"/>
      <c r="J570" s="1706"/>
      <c r="K570" s="1713" t="str">
        <f t="shared" si="79"/>
        <v/>
      </c>
      <c r="L570">
        <f t="shared" si="80"/>
        <v>0</v>
      </c>
      <c r="Q570">
        <f t="shared" si="81"/>
        <v>0</v>
      </c>
      <c r="R570">
        <f t="shared" si="82"/>
        <v>0</v>
      </c>
      <c r="S570">
        <f t="shared" si="83"/>
        <v>0</v>
      </c>
      <c r="T570">
        <f t="shared" si="84"/>
        <v>0</v>
      </c>
      <c r="U570">
        <f t="shared" si="85"/>
        <v>0</v>
      </c>
      <c r="V570">
        <f t="shared" si="86"/>
        <v>0</v>
      </c>
      <c r="AA570">
        <f t="shared" si="78"/>
        <v>0</v>
      </c>
      <c r="AL570" s="142"/>
    </row>
    <row r="571" spans="1:38" hidden="1" x14ac:dyDescent="0.2">
      <c r="A571" s="1700"/>
      <c r="B571" s="1698"/>
      <c r="C571" s="1712"/>
      <c r="D571" s="1699"/>
      <c r="E571" s="1699"/>
      <c r="F571" s="1699"/>
      <c r="G571" s="1699"/>
      <c r="H571" s="1699"/>
      <c r="I571" s="1706"/>
      <c r="J571" s="1706"/>
      <c r="K571" s="1713" t="str">
        <f t="shared" si="79"/>
        <v/>
      </c>
      <c r="L571">
        <f t="shared" si="80"/>
        <v>0</v>
      </c>
      <c r="Q571">
        <f t="shared" si="81"/>
        <v>0</v>
      </c>
      <c r="R571">
        <f t="shared" si="82"/>
        <v>0</v>
      </c>
      <c r="S571">
        <f t="shared" si="83"/>
        <v>0</v>
      </c>
      <c r="T571">
        <f t="shared" si="84"/>
        <v>0</v>
      </c>
      <c r="U571">
        <f t="shared" si="85"/>
        <v>0</v>
      </c>
      <c r="V571">
        <f t="shared" si="86"/>
        <v>0</v>
      </c>
      <c r="AA571">
        <f t="shared" si="78"/>
        <v>0</v>
      </c>
      <c r="AL571" s="142"/>
    </row>
    <row r="572" spans="1:38" hidden="1" x14ac:dyDescent="0.2">
      <c r="A572" s="1700"/>
      <c r="B572" s="1698"/>
      <c r="C572" s="1712"/>
      <c r="D572" s="1699"/>
      <c r="E572" s="1699"/>
      <c r="F572" s="1699"/>
      <c r="G572" s="1699"/>
      <c r="H572" s="1699"/>
      <c r="I572" s="1706"/>
      <c r="J572" s="1706"/>
      <c r="K572" s="1713" t="str">
        <f t="shared" si="79"/>
        <v/>
      </c>
      <c r="L572">
        <f t="shared" si="80"/>
        <v>0</v>
      </c>
      <c r="Q572">
        <f t="shared" si="81"/>
        <v>0</v>
      </c>
      <c r="R572">
        <f t="shared" si="82"/>
        <v>0</v>
      </c>
      <c r="S572">
        <f t="shared" si="83"/>
        <v>0</v>
      </c>
      <c r="T572">
        <f t="shared" si="84"/>
        <v>0</v>
      </c>
      <c r="U572">
        <f t="shared" si="85"/>
        <v>0</v>
      </c>
      <c r="V572">
        <f t="shared" si="86"/>
        <v>0</v>
      </c>
      <c r="AA572">
        <f t="shared" si="78"/>
        <v>0</v>
      </c>
      <c r="AL572" s="142"/>
    </row>
    <row r="573" spans="1:38" hidden="1" x14ac:dyDescent="0.2">
      <c r="A573" s="1700"/>
      <c r="B573" s="1698"/>
      <c r="C573" s="1712"/>
      <c r="D573" s="1699"/>
      <c r="E573" s="1699"/>
      <c r="F573" s="1699"/>
      <c r="G573" s="1699"/>
      <c r="H573" s="1699"/>
      <c r="I573" s="1706"/>
      <c r="J573" s="1706"/>
      <c r="K573" s="1713" t="str">
        <f t="shared" si="79"/>
        <v/>
      </c>
      <c r="L573">
        <f t="shared" si="80"/>
        <v>0</v>
      </c>
      <c r="Q573">
        <f t="shared" si="81"/>
        <v>0</v>
      </c>
      <c r="R573">
        <f t="shared" si="82"/>
        <v>0</v>
      </c>
      <c r="S573">
        <f t="shared" si="83"/>
        <v>0</v>
      </c>
      <c r="T573">
        <f t="shared" si="84"/>
        <v>0</v>
      </c>
      <c r="U573">
        <f t="shared" si="85"/>
        <v>0</v>
      </c>
      <c r="V573">
        <f t="shared" si="86"/>
        <v>0</v>
      </c>
      <c r="AA573">
        <f t="shared" si="78"/>
        <v>0</v>
      </c>
      <c r="AL573" s="142"/>
    </row>
    <row r="574" spans="1:38" hidden="1" x14ac:dyDescent="0.2">
      <c r="A574" s="1700"/>
      <c r="B574" s="1698"/>
      <c r="C574" s="1712"/>
      <c r="D574" s="1699"/>
      <c r="E574" s="1699"/>
      <c r="F574" s="1699"/>
      <c r="G574" s="1699"/>
      <c r="H574" s="1699"/>
      <c r="I574" s="1706"/>
      <c r="J574" s="1706"/>
      <c r="K574" s="1713" t="str">
        <f t="shared" si="79"/>
        <v/>
      </c>
      <c r="L574">
        <f t="shared" si="80"/>
        <v>0</v>
      </c>
      <c r="Q574">
        <f t="shared" si="81"/>
        <v>0</v>
      </c>
      <c r="R574">
        <f t="shared" si="82"/>
        <v>0</v>
      </c>
      <c r="S574">
        <f t="shared" si="83"/>
        <v>0</v>
      </c>
      <c r="T574">
        <f t="shared" si="84"/>
        <v>0</v>
      </c>
      <c r="U574">
        <f t="shared" si="85"/>
        <v>0</v>
      </c>
      <c r="V574">
        <f t="shared" si="86"/>
        <v>0</v>
      </c>
      <c r="AA574">
        <f t="shared" si="78"/>
        <v>0</v>
      </c>
      <c r="AL574" s="142"/>
    </row>
    <row r="575" spans="1:38" hidden="1" x14ac:dyDescent="0.2">
      <c r="A575" s="1700"/>
      <c r="B575" s="1698"/>
      <c r="C575" s="1712"/>
      <c r="D575" s="1699"/>
      <c r="E575" s="1699"/>
      <c r="F575" s="1699"/>
      <c r="G575" s="1699"/>
      <c r="H575" s="1699"/>
      <c r="I575" s="1706"/>
      <c r="J575" s="1706"/>
      <c r="K575" s="1713" t="str">
        <f t="shared" si="79"/>
        <v/>
      </c>
      <c r="L575">
        <f t="shared" si="80"/>
        <v>0</v>
      </c>
      <c r="Q575">
        <f t="shared" si="81"/>
        <v>0</v>
      </c>
      <c r="R575">
        <f t="shared" si="82"/>
        <v>0</v>
      </c>
      <c r="S575">
        <f t="shared" si="83"/>
        <v>0</v>
      </c>
      <c r="T575">
        <f t="shared" si="84"/>
        <v>0</v>
      </c>
      <c r="U575">
        <f t="shared" si="85"/>
        <v>0</v>
      </c>
      <c r="V575">
        <f t="shared" si="86"/>
        <v>0</v>
      </c>
      <c r="AA575">
        <f t="shared" si="78"/>
        <v>0</v>
      </c>
      <c r="AL575" s="142"/>
    </row>
    <row r="576" spans="1:38" hidden="1" x14ac:dyDescent="0.2">
      <c r="A576" s="1700"/>
      <c r="B576" s="1698"/>
      <c r="C576" s="1712"/>
      <c r="D576" s="1699"/>
      <c r="E576" s="1699"/>
      <c r="F576" s="1699"/>
      <c r="G576" s="1699"/>
      <c r="H576" s="1699"/>
      <c r="I576" s="1706"/>
      <c r="J576" s="1706"/>
      <c r="K576" s="1713" t="str">
        <f t="shared" si="79"/>
        <v/>
      </c>
      <c r="L576">
        <f t="shared" si="80"/>
        <v>0</v>
      </c>
      <c r="Q576">
        <f t="shared" si="81"/>
        <v>0</v>
      </c>
      <c r="R576">
        <f t="shared" si="82"/>
        <v>0</v>
      </c>
      <c r="S576">
        <f t="shared" si="83"/>
        <v>0</v>
      </c>
      <c r="T576">
        <f t="shared" si="84"/>
        <v>0</v>
      </c>
      <c r="U576">
        <f t="shared" si="85"/>
        <v>0</v>
      </c>
      <c r="V576">
        <f t="shared" si="86"/>
        <v>0</v>
      </c>
      <c r="AA576">
        <f t="shared" si="78"/>
        <v>0</v>
      </c>
      <c r="AL576" s="142"/>
    </row>
    <row r="577" spans="1:38" hidden="1" x14ac:dyDescent="0.2">
      <c r="A577" s="1700"/>
      <c r="B577" s="1698"/>
      <c r="C577" s="1712"/>
      <c r="D577" s="1699"/>
      <c r="E577" s="1699"/>
      <c r="F577" s="1699"/>
      <c r="G577" s="1699"/>
      <c r="H577" s="1699"/>
      <c r="I577" s="1706"/>
      <c r="J577" s="1706"/>
      <c r="K577" s="1713" t="str">
        <f t="shared" si="79"/>
        <v/>
      </c>
      <c r="L577">
        <f t="shared" si="80"/>
        <v>0</v>
      </c>
      <c r="Q577">
        <f t="shared" si="81"/>
        <v>0</v>
      </c>
      <c r="R577">
        <f t="shared" si="82"/>
        <v>0</v>
      </c>
      <c r="S577">
        <f t="shared" si="83"/>
        <v>0</v>
      </c>
      <c r="T577">
        <f t="shared" si="84"/>
        <v>0</v>
      </c>
      <c r="U577">
        <f t="shared" si="85"/>
        <v>0</v>
      </c>
      <c r="V577">
        <f t="shared" si="86"/>
        <v>0</v>
      </c>
      <c r="AA577">
        <f t="shared" si="78"/>
        <v>0</v>
      </c>
      <c r="AL577" s="142"/>
    </row>
    <row r="578" spans="1:38" hidden="1" x14ac:dyDescent="0.2">
      <c r="A578" s="1700"/>
      <c r="B578" s="1698"/>
      <c r="C578" s="1712"/>
      <c r="D578" s="1699"/>
      <c r="E578" s="1699"/>
      <c r="F578" s="1699"/>
      <c r="G578" s="1699"/>
      <c r="H578" s="1699"/>
      <c r="I578" s="1706"/>
      <c r="J578" s="1706"/>
      <c r="K578" s="1713" t="str">
        <f t="shared" si="79"/>
        <v/>
      </c>
      <c r="L578">
        <f t="shared" si="80"/>
        <v>0</v>
      </c>
      <c r="Q578">
        <f t="shared" si="81"/>
        <v>0</v>
      </c>
      <c r="R578">
        <f t="shared" si="82"/>
        <v>0</v>
      </c>
      <c r="S578">
        <f t="shared" si="83"/>
        <v>0</v>
      </c>
      <c r="T578">
        <f t="shared" si="84"/>
        <v>0</v>
      </c>
      <c r="U578">
        <f t="shared" si="85"/>
        <v>0</v>
      </c>
      <c r="V578">
        <f t="shared" si="86"/>
        <v>0</v>
      </c>
      <c r="AA578">
        <f t="shared" si="78"/>
        <v>0</v>
      </c>
      <c r="AL578" s="142"/>
    </row>
    <row r="579" spans="1:38" hidden="1" x14ac:dyDescent="0.2">
      <c r="A579" s="1700"/>
      <c r="B579" s="1698"/>
      <c r="C579" s="1712"/>
      <c r="D579" s="1699"/>
      <c r="E579" s="1699"/>
      <c r="F579" s="1699"/>
      <c r="G579" s="1699"/>
      <c r="H579" s="1699"/>
      <c r="I579" s="1706"/>
      <c r="J579" s="1706"/>
      <c r="K579" s="1713" t="str">
        <f t="shared" si="79"/>
        <v/>
      </c>
      <c r="L579">
        <f t="shared" si="80"/>
        <v>0</v>
      </c>
      <c r="Q579">
        <f t="shared" si="81"/>
        <v>0</v>
      </c>
      <c r="R579">
        <f t="shared" si="82"/>
        <v>0</v>
      </c>
      <c r="S579">
        <f t="shared" si="83"/>
        <v>0</v>
      </c>
      <c r="T579">
        <f t="shared" si="84"/>
        <v>0</v>
      </c>
      <c r="U579">
        <f t="shared" si="85"/>
        <v>0</v>
      </c>
      <c r="V579">
        <f t="shared" si="86"/>
        <v>0</v>
      </c>
      <c r="AA579">
        <f t="shared" si="78"/>
        <v>0</v>
      </c>
      <c r="AL579" s="142"/>
    </row>
    <row r="580" spans="1:38" hidden="1" x14ac:dyDescent="0.2">
      <c r="A580" s="1700"/>
      <c r="B580" s="1698"/>
      <c r="C580" s="1712"/>
      <c r="D580" s="1699"/>
      <c r="E580" s="1699"/>
      <c r="F580" s="1699"/>
      <c r="G580" s="1699"/>
      <c r="H580" s="1699"/>
      <c r="I580" s="1706"/>
      <c r="J580" s="1706"/>
      <c r="K580" s="1713" t="str">
        <f t="shared" si="79"/>
        <v/>
      </c>
      <c r="L580">
        <f t="shared" si="80"/>
        <v>0</v>
      </c>
      <c r="Q580">
        <f t="shared" si="81"/>
        <v>0</v>
      </c>
      <c r="R580">
        <f t="shared" si="82"/>
        <v>0</v>
      </c>
      <c r="S580">
        <f t="shared" si="83"/>
        <v>0</v>
      </c>
      <c r="T580">
        <f t="shared" si="84"/>
        <v>0</v>
      </c>
      <c r="U580">
        <f t="shared" si="85"/>
        <v>0</v>
      </c>
      <c r="V580">
        <f t="shared" si="86"/>
        <v>0</v>
      </c>
      <c r="AA580">
        <f t="shared" si="78"/>
        <v>0</v>
      </c>
      <c r="AL580" s="142"/>
    </row>
    <row r="581" spans="1:38" hidden="1" x14ac:dyDescent="0.2">
      <c r="A581" s="1700"/>
      <c r="B581" s="1698"/>
      <c r="C581" s="1712"/>
      <c r="D581" s="1699"/>
      <c r="E581" s="1699"/>
      <c r="F581" s="1699"/>
      <c r="G581" s="1699"/>
      <c r="H581" s="1699"/>
      <c r="I581" s="1706"/>
      <c r="J581" s="1706"/>
      <c r="K581" s="1713" t="str">
        <f t="shared" si="79"/>
        <v/>
      </c>
      <c r="L581">
        <f t="shared" si="80"/>
        <v>0</v>
      </c>
      <c r="Q581">
        <f t="shared" si="81"/>
        <v>0</v>
      </c>
      <c r="R581">
        <f t="shared" si="82"/>
        <v>0</v>
      </c>
      <c r="S581">
        <f t="shared" si="83"/>
        <v>0</v>
      </c>
      <c r="T581">
        <f t="shared" si="84"/>
        <v>0</v>
      </c>
      <c r="U581">
        <f t="shared" si="85"/>
        <v>0</v>
      </c>
      <c r="V581">
        <f t="shared" si="86"/>
        <v>0</v>
      </c>
      <c r="AA581">
        <f t="shared" si="78"/>
        <v>0</v>
      </c>
      <c r="AL581" s="142"/>
    </row>
    <row r="582" spans="1:38" hidden="1" x14ac:dyDescent="0.2">
      <c r="A582" s="1700"/>
      <c r="B582" s="1698"/>
      <c r="C582" s="1712"/>
      <c r="D582" s="1699"/>
      <c r="E582" s="1699"/>
      <c r="F582" s="1699"/>
      <c r="G582" s="1699"/>
      <c r="H582" s="1699"/>
      <c r="I582" s="1706"/>
      <c r="J582" s="1706"/>
      <c r="K582" s="1713" t="str">
        <f t="shared" si="79"/>
        <v/>
      </c>
      <c r="L582">
        <f t="shared" si="80"/>
        <v>0</v>
      </c>
      <c r="Q582">
        <f t="shared" si="81"/>
        <v>0</v>
      </c>
      <c r="R582">
        <f t="shared" si="82"/>
        <v>0</v>
      </c>
      <c r="S582">
        <f t="shared" si="83"/>
        <v>0</v>
      </c>
      <c r="T582">
        <f t="shared" si="84"/>
        <v>0</v>
      </c>
      <c r="U582">
        <f t="shared" si="85"/>
        <v>0</v>
      </c>
      <c r="V582">
        <f t="shared" si="86"/>
        <v>0</v>
      </c>
      <c r="AA582">
        <f t="shared" si="78"/>
        <v>0</v>
      </c>
      <c r="AL582" s="142"/>
    </row>
    <row r="583" spans="1:38" hidden="1" x14ac:dyDescent="0.2">
      <c r="A583" s="1700"/>
      <c r="B583" s="1698"/>
      <c r="C583" s="1712"/>
      <c r="D583" s="1699"/>
      <c r="E583" s="1699"/>
      <c r="F583" s="1699"/>
      <c r="G583" s="1699"/>
      <c r="H583" s="1699"/>
      <c r="I583" s="1706"/>
      <c r="J583" s="1706"/>
      <c r="K583" s="1713" t="str">
        <f t="shared" si="79"/>
        <v/>
      </c>
      <c r="L583">
        <f t="shared" si="80"/>
        <v>0</v>
      </c>
      <c r="Q583">
        <f t="shared" si="81"/>
        <v>0</v>
      </c>
      <c r="R583">
        <f t="shared" si="82"/>
        <v>0</v>
      </c>
      <c r="S583">
        <f t="shared" si="83"/>
        <v>0</v>
      </c>
      <c r="T583">
        <f t="shared" si="84"/>
        <v>0</v>
      </c>
      <c r="U583">
        <f t="shared" si="85"/>
        <v>0</v>
      </c>
      <c r="V583">
        <f t="shared" si="86"/>
        <v>0</v>
      </c>
      <c r="AA583">
        <f t="shared" si="78"/>
        <v>0</v>
      </c>
      <c r="AL583" s="142"/>
    </row>
    <row r="584" spans="1:38" hidden="1" x14ac:dyDescent="0.2">
      <c r="A584" s="1700"/>
      <c r="B584" s="1698"/>
      <c r="C584" s="1712"/>
      <c r="D584" s="1699"/>
      <c r="E584" s="1699"/>
      <c r="F584" s="1699"/>
      <c r="G584" s="1699"/>
      <c r="H584" s="1699"/>
      <c r="I584" s="1706"/>
      <c r="J584" s="1706"/>
      <c r="K584" s="1713" t="str">
        <f t="shared" si="79"/>
        <v/>
      </c>
      <c r="L584">
        <f t="shared" si="80"/>
        <v>0</v>
      </c>
      <c r="Q584">
        <f t="shared" si="81"/>
        <v>0</v>
      </c>
      <c r="R584">
        <f t="shared" si="82"/>
        <v>0</v>
      </c>
      <c r="S584">
        <f t="shared" si="83"/>
        <v>0</v>
      </c>
      <c r="T584">
        <f t="shared" si="84"/>
        <v>0</v>
      </c>
      <c r="U584">
        <f t="shared" si="85"/>
        <v>0</v>
      </c>
      <c r="V584">
        <f t="shared" si="86"/>
        <v>0</v>
      </c>
      <c r="AA584">
        <f t="shared" si="78"/>
        <v>0</v>
      </c>
      <c r="AL584" s="142"/>
    </row>
    <row r="585" spans="1:38" hidden="1" x14ac:dyDescent="0.2">
      <c r="A585" s="1700"/>
      <c r="B585" s="1698"/>
      <c r="C585" s="1712"/>
      <c r="D585" s="1699"/>
      <c r="E585" s="1699"/>
      <c r="F585" s="1699"/>
      <c r="G585" s="1699"/>
      <c r="H585" s="1699"/>
      <c r="I585" s="1706"/>
      <c r="J585" s="1706"/>
      <c r="K585" s="1713" t="str">
        <f t="shared" si="79"/>
        <v/>
      </c>
      <c r="L585">
        <f t="shared" si="80"/>
        <v>0</v>
      </c>
      <c r="Q585">
        <f t="shared" si="81"/>
        <v>0</v>
      </c>
      <c r="R585">
        <f t="shared" si="82"/>
        <v>0</v>
      </c>
      <c r="S585">
        <f t="shared" si="83"/>
        <v>0</v>
      </c>
      <c r="T585">
        <f t="shared" si="84"/>
        <v>0</v>
      </c>
      <c r="U585">
        <f t="shared" si="85"/>
        <v>0</v>
      </c>
      <c r="V585">
        <f t="shared" si="86"/>
        <v>0</v>
      </c>
      <c r="AA585">
        <f t="shared" si="78"/>
        <v>0</v>
      </c>
      <c r="AL585" s="142"/>
    </row>
    <row r="586" spans="1:38" hidden="1" x14ac:dyDescent="0.2">
      <c r="A586" s="1700"/>
      <c r="B586" s="1698"/>
      <c r="C586" s="1712"/>
      <c r="D586" s="1699"/>
      <c r="E586" s="1699"/>
      <c r="F586" s="1699"/>
      <c r="G586" s="1699"/>
      <c r="H586" s="1699"/>
      <c r="I586" s="1706"/>
      <c r="J586" s="1706"/>
      <c r="K586" s="1713" t="str">
        <f t="shared" si="79"/>
        <v/>
      </c>
      <c r="L586">
        <f t="shared" si="80"/>
        <v>0</v>
      </c>
      <c r="Q586">
        <f t="shared" si="81"/>
        <v>0</v>
      </c>
      <c r="R586">
        <f t="shared" si="82"/>
        <v>0</v>
      </c>
      <c r="S586">
        <f t="shared" si="83"/>
        <v>0</v>
      </c>
      <c r="T586">
        <f t="shared" si="84"/>
        <v>0</v>
      </c>
      <c r="U586">
        <f t="shared" si="85"/>
        <v>0</v>
      </c>
      <c r="V586">
        <f t="shared" si="86"/>
        <v>0</v>
      </c>
      <c r="AA586">
        <f t="shared" si="78"/>
        <v>0</v>
      </c>
      <c r="AL586" s="142"/>
    </row>
    <row r="587" spans="1:38" hidden="1" x14ac:dyDescent="0.2">
      <c r="A587" s="1700"/>
      <c r="B587" s="1698"/>
      <c r="C587" s="1712"/>
      <c r="D587" s="1699"/>
      <c r="E587" s="1699"/>
      <c r="F587" s="1699"/>
      <c r="G587" s="1699"/>
      <c r="H587" s="1699"/>
      <c r="I587" s="1706"/>
      <c r="J587" s="1706"/>
      <c r="K587" s="1713" t="str">
        <f t="shared" si="79"/>
        <v/>
      </c>
      <c r="L587">
        <f t="shared" si="80"/>
        <v>0</v>
      </c>
      <c r="Q587">
        <f t="shared" si="81"/>
        <v>0</v>
      </c>
      <c r="R587">
        <f t="shared" si="82"/>
        <v>0</v>
      </c>
      <c r="S587">
        <f t="shared" si="83"/>
        <v>0</v>
      </c>
      <c r="T587">
        <f t="shared" si="84"/>
        <v>0</v>
      </c>
      <c r="U587">
        <f t="shared" si="85"/>
        <v>0</v>
      </c>
      <c r="V587">
        <f t="shared" si="86"/>
        <v>0</v>
      </c>
      <c r="AA587">
        <f t="shared" si="78"/>
        <v>0</v>
      </c>
      <c r="AL587" s="142"/>
    </row>
    <row r="588" spans="1:38" hidden="1" x14ac:dyDescent="0.2">
      <c r="A588" s="1700"/>
      <c r="B588" s="1698"/>
      <c r="C588" s="1712"/>
      <c r="D588" s="1699"/>
      <c r="E588" s="1699"/>
      <c r="F588" s="1699"/>
      <c r="G588" s="1699"/>
      <c r="H588" s="1699"/>
      <c r="I588" s="1706"/>
      <c r="J588" s="1706"/>
      <c r="K588" s="1713" t="str">
        <f t="shared" si="79"/>
        <v/>
      </c>
      <c r="L588">
        <f t="shared" si="80"/>
        <v>0</v>
      </c>
      <c r="Q588">
        <f t="shared" si="81"/>
        <v>0</v>
      </c>
      <c r="R588">
        <f t="shared" si="82"/>
        <v>0</v>
      </c>
      <c r="S588">
        <f t="shared" si="83"/>
        <v>0</v>
      </c>
      <c r="T588">
        <f t="shared" si="84"/>
        <v>0</v>
      </c>
      <c r="U588">
        <f t="shared" si="85"/>
        <v>0</v>
      </c>
      <c r="V588">
        <f t="shared" si="86"/>
        <v>0</v>
      </c>
      <c r="AA588">
        <f t="shared" si="78"/>
        <v>0</v>
      </c>
      <c r="AL588" s="142"/>
    </row>
    <row r="589" spans="1:38" hidden="1" x14ac:dyDescent="0.2">
      <c r="A589" s="1700"/>
      <c r="B589" s="1698"/>
      <c r="C589" s="1712"/>
      <c r="D589" s="1699"/>
      <c r="E589" s="1699"/>
      <c r="F589" s="1699"/>
      <c r="G589" s="1699"/>
      <c r="H589" s="1699"/>
      <c r="I589" s="1706"/>
      <c r="J589" s="1706"/>
      <c r="K589" s="1713" t="str">
        <f t="shared" si="79"/>
        <v/>
      </c>
      <c r="L589">
        <f t="shared" si="80"/>
        <v>0</v>
      </c>
      <c r="Q589">
        <f t="shared" si="81"/>
        <v>0</v>
      </c>
      <c r="R589">
        <f t="shared" si="82"/>
        <v>0</v>
      </c>
      <c r="S589">
        <f t="shared" si="83"/>
        <v>0</v>
      </c>
      <c r="T589">
        <f t="shared" si="84"/>
        <v>0</v>
      </c>
      <c r="U589">
        <f t="shared" si="85"/>
        <v>0</v>
      </c>
      <c r="V589">
        <f t="shared" si="86"/>
        <v>0</v>
      </c>
      <c r="AA589">
        <f t="shared" si="78"/>
        <v>0</v>
      </c>
      <c r="AL589" s="142"/>
    </row>
    <row r="590" spans="1:38" hidden="1" x14ac:dyDescent="0.2">
      <c r="A590" s="1700"/>
      <c r="B590" s="1698"/>
      <c r="C590" s="1712"/>
      <c r="D590" s="1699"/>
      <c r="E590" s="1699"/>
      <c r="F590" s="1699"/>
      <c r="G590" s="1699"/>
      <c r="H590" s="1699"/>
      <c r="I590" s="1706"/>
      <c r="J590" s="1706"/>
      <c r="K590" s="1713" t="str">
        <f t="shared" si="79"/>
        <v/>
      </c>
      <c r="L590">
        <f t="shared" si="80"/>
        <v>0</v>
      </c>
      <c r="Q590">
        <f t="shared" si="81"/>
        <v>0</v>
      </c>
      <c r="R590">
        <f t="shared" si="82"/>
        <v>0</v>
      </c>
      <c r="S590">
        <f t="shared" si="83"/>
        <v>0</v>
      </c>
      <c r="T590">
        <f t="shared" si="84"/>
        <v>0</v>
      </c>
      <c r="U590">
        <f t="shared" si="85"/>
        <v>0</v>
      </c>
      <c r="V590">
        <f t="shared" si="86"/>
        <v>0</v>
      </c>
      <c r="AA590">
        <f t="shared" si="78"/>
        <v>0</v>
      </c>
      <c r="AL590" s="142"/>
    </row>
    <row r="591" spans="1:38" hidden="1" x14ac:dyDescent="0.2">
      <c r="A591" s="1700"/>
      <c r="B591" s="1698"/>
      <c r="C591" s="1712"/>
      <c r="D591" s="1699"/>
      <c r="E591" s="1699"/>
      <c r="F591" s="1699"/>
      <c r="G591" s="1699"/>
      <c r="H591" s="1699"/>
      <c r="I591" s="1706"/>
      <c r="J591" s="1706"/>
      <c r="K591" s="1713" t="str">
        <f t="shared" si="79"/>
        <v/>
      </c>
      <c r="L591">
        <f t="shared" si="80"/>
        <v>0</v>
      </c>
      <c r="Q591">
        <f t="shared" si="81"/>
        <v>0</v>
      </c>
      <c r="R591">
        <f t="shared" si="82"/>
        <v>0</v>
      </c>
      <c r="S591">
        <f t="shared" si="83"/>
        <v>0</v>
      </c>
      <c r="T591">
        <f t="shared" si="84"/>
        <v>0</v>
      </c>
      <c r="U591">
        <f t="shared" si="85"/>
        <v>0</v>
      </c>
      <c r="V591">
        <f t="shared" si="86"/>
        <v>0</v>
      </c>
      <c r="AA591">
        <f t="shared" si="78"/>
        <v>0</v>
      </c>
      <c r="AL591" s="142"/>
    </row>
    <row r="592" spans="1:38" hidden="1" x14ac:dyDescent="0.2">
      <c r="A592" s="1700"/>
      <c r="B592" s="1698"/>
      <c r="C592" s="1712"/>
      <c r="D592" s="1699"/>
      <c r="E592" s="1699"/>
      <c r="F592" s="1699"/>
      <c r="G592" s="1699"/>
      <c r="H592" s="1699"/>
      <c r="I592" s="1706"/>
      <c r="J592" s="1706"/>
      <c r="K592" s="1713" t="str">
        <f t="shared" si="79"/>
        <v/>
      </c>
      <c r="L592">
        <f t="shared" si="80"/>
        <v>0</v>
      </c>
      <c r="Q592">
        <f t="shared" si="81"/>
        <v>0</v>
      </c>
      <c r="R592">
        <f t="shared" si="82"/>
        <v>0</v>
      </c>
      <c r="S592">
        <f t="shared" si="83"/>
        <v>0</v>
      </c>
      <c r="T592">
        <f t="shared" si="84"/>
        <v>0</v>
      </c>
      <c r="U592">
        <f t="shared" si="85"/>
        <v>0</v>
      </c>
      <c r="V592">
        <f t="shared" si="86"/>
        <v>0</v>
      </c>
      <c r="AA592">
        <f t="shared" si="78"/>
        <v>0</v>
      </c>
      <c r="AL592" s="142"/>
    </row>
    <row r="593" spans="1:38" hidden="1" x14ac:dyDescent="0.2">
      <c r="A593" s="1700"/>
      <c r="B593" s="1698"/>
      <c r="C593" s="1712"/>
      <c r="D593" s="1699"/>
      <c r="E593" s="1699"/>
      <c r="F593" s="1699"/>
      <c r="G593" s="1699"/>
      <c r="H593" s="1699"/>
      <c r="I593" s="1706"/>
      <c r="J593" s="1706"/>
      <c r="K593" s="1713" t="str">
        <f t="shared" si="79"/>
        <v/>
      </c>
      <c r="L593">
        <f t="shared" si="80"/>
        <v>0</v>
      </c>
      <c r="Q593">
        <f t="shared" si="81"/>
        <v>0</v>
      </c>
      <c r="R593">
        <f t="shared" si="82"/>
        <v>0</v>
      </c>
      <c r="S593">
        <f t="shared" si="83"/>
        <v>0</v>
      </c>
      <c r="T593">
        <f t="shared" si="84"/>
        <v>0</v>
      </c>
      <c r="U593">
        <f t="shared" si="85"/>
        <v>0</v>
      </c>
      <c r="V593">
        <f t="shared" si="86"/>
        <v>0</v>
      </c>
      <c r="AA593">
        <f t="shared" si="78"/>
        <v>0</v>
      </c>
      <c r="AL593" s="142"/>
    </row>
    <row r="594" spans="1:38" hidden="1" x14ac:dyDescent="0.2">
      <c r="A594" s="1700"/>
      <c r="B594" s="1698"/>
      <c r="C594" s="1712"/>
      <c r="D594" s="1699"/>
      <c r="E594" s="1699"/>
      <c r="F594" s="1699"/>
      <c r="G594" s="1699"/>
      <c r="H594" s="1699"/>
      <c r="I594" s="1706"/>
      <c r="J594" s="1706"/>
      <c r="K594" s="1713" t="str">
        <f t="shared" si="79"/>
        <v/>
      </c>
      <c r="L594">
        <f t="shared" si="80"/>
        <v>0</v>
      </c>
      <c r="Q594">
        <f t="shared" si="81"/>
        <v>0</v>
      </c>
      <c r="R594">
        <f t="shared" si="82"/>
        <v>0</v>
      </c>
      <c r="S594">
        <f t="shared" si="83"/>
        <v>0</v>
      </c>
      <c r="T594">
        <f t="shared" si="84"/>
        <v>0</v>
      </c>
      <c r="U594">
        <f t="shared" si="85"/>
        <v>0</v>
      </c>
      <c r="V594">
        <f t="shared" si="86"/>
        <v>0</v>
      </c>
      <c r="AA594">
        <f t="shared" si="78"/>
        <v>0</v>
      </c>
      <c r="AL594" s="142"/>
    </row>
    <row r="595" spans="1:38" hidden="1" x14ac:dyDescent="0.2">
      <c r="A595" s="1700"/>
      <c r="B595" s="1698"/>
      <c r="C595" s="1712"/>
      <c r="D595" s="1699"/>
      <c r="E595" s="1699"/>
      <c r="F595" s="1699"/>
      <c r="G595" s="1699"/>
      <c r="H595" s="1699"/>
      <c r="I595" s="1706"/>
      <c r="J595" s="1706"/>
      <c r="K595" s="1713" t="str">
        <f t="shared" si="79"/>
        <v/>
      </c>
      <c r="L595">
        <f t="shared" si="80"/>
        <v>0</v>
      </c>
      <c r="Q595">
        <f t="shared" si="81"/>
        <v>0</v>
      </c>
      <c r="R595">
        <f t="shared" si="82"/>
        <v>0</v>
      </c>
      <c r="S595">
        <f t="shared" si="83"/>
        <v>0</v>
      </c>
      <c r="T595">
        <f t="shared" si="84"/>
        <v>0</v>
      </c>
      <c r="U595">
        <f t="shared" si="85"/>
        <v>0</v>
      </c>
      <c r="V595">
        <f t="shared" si="86"/>
        <v>0</v>
      </c>
      <c r="AA595">
        <f t="shared" si="78"/>
        <v>0</v>
      </c>
      <c r="AL595" s="142"/>
    </row>
    <row r="596" spans="1:38" hidden="1" x14ac:dyDescent="0.2">
      <c r="A596" s="1700"/>
      <c r="B596" s="1698"/>
      <c r="C596" s="1712"/>
      <c r="D596" s="1699"/>
      <c r="E596" s="1699"/>
      <c r="F596" s="1699"/>
      <c r="G596" s="1699"/>
      <c r="H596" s="1699"/>
      <c r="I596" s="1706"/>
      <c r="J596" s="1706"/>
      <c r="K596" s="1713" t="str">
        <f t="shared" si="79"/>
        <v/>
      </c>
      <c r="L596">
        <f t="shared" si="80"/>
        <v>0</v>
      </c>
      <c r="Q596">
        <f t="shared" si="81"/>
        <v>0</v>
      </c>
      <c r="R596">
        <f t="shared" si="82"/>
        <v>0</v>
      </c>
      <c r="S596">
        <f t="shared" si="83"/>
        <v>0</v>
      </c>
      <c r="T596">
        <f t="shared" si="84"/>
        <v>0</v>
      </c>
      <c r="U596">
        <f t="shared" si="85"/>
        <v>0</v>
      </c>
      <c r="V596">
        <f t="shared" si="86"/>
        <v>0</v>
      </c>
      <c r="AA596">
        <f t="shared" si="78"/>
        <v>0</v>
      </c>
      <c r="AL596" s="142"/>
    </row>
    <row r="597" spans="1:38" hidden="1" x14ac:dyDescent="0.2">
      <c r="A597" s="1700"/>
      <c r="B597" s="1698"/>
      <c r="C597" s="1712"/>
      <c r="D597" s="1699"/>
      <c r="E597" s="1699"/>
      <c r="F597" s="1699"/>
      <c r="G597" s="1699"/>
      <c r="H597" s="1699"/>
      <c r="I597" s="1706"/>
      <c r="J597" s="1706"/>
      <c r="K597" s="1713" t="str">
        <f t="shared" si="79"/>
        <v/>
      </c>
      <c r="L597">
        <f t="shared" si="80"/>
        <v>0</v>
      </c>
      <c r="Q597">
        <f t="shared" si="81"/>
        <v>0</v>
      </c>
      <c r="R597">
        <f t="shared" si="82"/>
        <v>0</v>
      </c>
      <c r="S597">
        <f t="shared" si="83"/>
        <v>0</v>
      </c>
      <c r="T597">
        <f t="shared" si="84"/>
        <v>0</v>
      </c>
      <c r="U597">
        <f t="shared" si="85"/>
        <v>0</v>
      </c>
      <c r="V597">
        <f t="shared" si="86"/>
        <v>0</v>
      </c>
      <c r="AA597">
        <f t="shared" si="78"/>
        <v>0</v>
      </c>
      <c r="AL597" s="142"/>
    </row>
    <row r="598" spans="1:38" hidden="1" x14ac:dyDescent="0.2">
      <c r="A598" s="1700"/>
      <c r="B598" s="1698"/>
      <c r="C598" s="1712"/>
      <c r="D598" s="1699"/>
      <c r="E598" s="1699"/>
      <c r="F598" s="1699"/>
      <c r="G598" s="1699"/>
      <c r="H598" s="1699"/>
      <c r="I598" s="1706"/>
      <c r="J598" s="1706"/>
      <c r="K598" s="1713" t="str">
        <f t="shared" si="79"/>
        <v/>
      </c>
      <c r="L598">
        <f t="shared" si="80"/>
        <v>0</v>
      </c>
      <c r="Q598">
        <f t="shared" si="81"/>
        <v>0</v>
      </c>
      <c r="R598">
        <f t="shared" si="82"/>
        <v>0</v>
      </c>
      <c r="S598">
        <f t="shared" si="83"/>
        <v>0</v>
      </c>
      <c r="T598">
        <f t="shared" si="84"/>
        <v>0</v>
      </c>
      <c r="U598">
        <f t="shared" si="85"/>
        <v>0</v>
      </c>
      <c r="V598">
        <f t="shared" si="86"/>
        <v>0</v>
      </c>
      <c r="AA598">
        <f t="shared" si="78"/>
        <v>0</v>
      </c>
      <c r="AL598" s="142"/>
    </row>
    <row r="599" spans="1:38" hidden="1" x14ac:dyDescent="0.2">
      <c r="A599" s="1700"/>
      <c r="B599" s="1698"/>
      <c r="C599" s="1712"/>
      <c r="D599" s="1699"/>
      <c r="E599" s="1699"/>
      <c r="F599" s="1699"/>
      <c r="G599" s="1699"/>
      <c r="H599" s="1699"/>
      <c r="I599" s="1706"/>
      <c r="J599" s="1706"/>
      <c r="K599" s="1713" t="str">
        <f t="shared" si="79"/>
        <v/>
      </c>
      <c r="L599">
        <f t="shared" si="80"/>
        <v>0</v>
      </c>
      <c r="Q599">
        <f t="shared" si="81"/>
        <v>0</v>
      </c>
      <c r="R599">
        <f t="shared" si="82"/>
        <v>0</v>
      </c>
      <c r="S599">
        <f t="shared" si="83"/>
        <v>0</v>
      </c>
      <c r="T599">
        <f t="shared" si="84"/>
        <v>0</v>
      </c>
      <c r="U599">
        <f t="shared" si="85"/>
        <v>0</v>
      </c>
      <c r="V599">
        <f t="shared" si="86"/>
        <v>0</v>
      </c>
      <c r="AA599">
        <f t="shared" si="78"/>
        <v>0</v>
      </c>
      <c r="AL599" s="142"/>
    </row>
    <row r="600" spans="1:38" hidden="1" x14ac:dyDescent="0.2">
      <c r="A600" s="1700"/>
      <c r="B600" s="1698"/>
      <c r="C600" s="1712"/>
      <c r="D600" s="1699"/>
      <c r="E600" s="1699"/>
      <c r="F600" s="1699"/>
      <c r="G600" s="1699"/>
      <c r="H600" s="1699"/>
      <c r="I600" s="1706"/>
      <c r="J600" s="1706"/>
      <c r="K600" s="1713" t="str">
        <f t="shared" si="79"/>
        <v/>
      </c>
      <c r="L600">
        <f t="shared" si="80"/>
        <v>0</v>
      </c>
      <c r="Q600">
        <f t="shared" si="81"/>
        <v>0</v>
      </c>
      <c r="R600">
        <f t="shared" si="82"/>
        <v>0</v>
      </c>
      <c r="S600">
        <f t="shared" si="83"/>
        <v>0</v>
      </c>
      <c r="T600">
        <f t="shared" si="84"/>
        <v>0</v>
      </c>
      <c r="U600">
        <f t="shared" si="85"/>
        <v>0</v>
      </c>
      <c r="V600">
        <f t="shared" si="86"/>
        <v>0</v>
      </c>
      <c r="AA600">
        <f t="shared" si="78"/>
        <v>0</v>
      </c>
      <c r="AL600" s="142"/>
    </row>
    <row r="601" spans="1:38" hidden="1" x14ac:dyDescent="0.2">
      <c r="A601" s="1700"/>
      <c r="B601" s="1698"/>
      <c r="C601" s="1712"/>
      <c r="D601" s="1699"/>
      <c r="E601" s="1699"/>
      <c r="F601" s="1699"/>
      <c r="G601" s="1699"/>
      <c r="H601" s="1699"/>
      <c r="I601" s="1706"/>
      <c r="J601" s="1706"/>
      <c r="K601" s="1713" t="str">
        <f t="shared" si="79"/>
        <v/>
      </c>
      <c r="L601">
        <f t="shared" si="80"/>
        <v>0</v>
      </c>
      <c r="Q601">
        <f t="shared" si="81"/>
        <v>0</v>
      </c>
      <c r="R601">
        <f t="shared" si="82"/>
        <v>0</v>
      </c>
      <c r="S601">
        <f t="shared" si="83"/>
        <v>0</v>
      </c>
      <c r="T601">
        <f t="shared" si="84"/>
        <v>0</v>
      </c>
      <c r="U601">
        <f t="shared" si="85"/>
        <v>0</v>
      </c>
      <c r="V601">
        <f t="shared" si="86"/>
        <v>0</v>
      </c>
      <c r="AA601">
        <f t="shared" ref="AA601:AA664" si="87">IF(ISERROR(VLOOKUP($B601,eu_countries,1,FALSE))=TRUE,0,1)</f>
      </c>
      <c r="AL601" s="142"/>
    </row>
    <row r="602" spans="1:38" hidden="1" x14ac:dyDescent="0.2">
      <c r="A602" s="1700"/>
      <c r="B602" s="1698"/>
      <c r="C602" s="1712"/>
      <c r="D602" s="1699"/>
      <c r="E602" s="1699"/>
      <c r="F602" s="1699"/>
      <c r="G602" s="1699"/>
      <c r="H602" s="1699"/>
      <c r="I602" s="1706"/>
      <c r="J602" s="1706"/>
      <c r="K602" s="1713" t="str">
        <f t="shared" ref="K602:K665" si="88">IF(AND(AA602=1,A602=$S$59),"TIN required!",IF(Q602&gt;R602," All details required!",""))</f>
        <v/>
      </c>
      <c r="L602">
        <f t="shared" ref="L602:L665" si="89">IF(K602="",0,1)</f>
      </c>
      <c r="Q602">
        <f t="shared" ref="Q602:Q665" si="90">IF(AND(G596="Yes",R602=0),7,IF(S602=0,0,IF(A602=$S$59,10,7)))</f>
      </c>
      <c r="R602">
        <f t="shared" ref="R602:R665" si="91">IF(AND(AA602=0,A602=$S$59),T602+U602+V602,T602+V602)</f>
      </c>
      <c r="S602">
        <f t="shared" ref="S602:S665" si="92">SUM(T602:V602)</f>
      </c>
      <c r="T602">
        <f t="shared" ref="T602:T665" si="93">COUNTA(A602:B602)</f>
      </c>
      <c r="U602">
        <f t="shared" ref="U602:U665" si="94">COUNTA(C602:E602)</f>
      </c>
      <c r="V602">
        <f t="shared" ref="V602:V665" si="95">COUNTA(F602:J602)</f>
      </c>
      <c r="AA602">
        <f t="shared" si="87"/>
        <v>0</v>
      </c>
      <c r="AL602" s="142"/>
    </row>
    <row r="603" spans="1:38" hidden="1" x14ac:dyDescent="0.2">
      <c r="A603" s="1700"/>
      <c r="B603" s="1698"/>
      <c r="C603" s="1712"/>
      <c r="D603" s="1699"/>
      <c r="E603" s="1699"/>
      <c r="F603" s="1699"/>
      <c r="G603" s="1699"/>
      <c r="H603" s="1699"/>
      <c r="I603" s="1706"/>
      <c r="J603" s="1706"/>
      <c r="K603" s="1713" t="str">
        <f t="shared" si="88"/>
        <v/>
      </c>
      <c r="L603">
        <f t="shared" si="89"/>
        <v>0</v>
      </c>
      <c r="Q603">
        <f t="shared" si="90"/>
        <v>0</v>
      </c>
      <c r="R603">
        <f t="shared" si="91"/>
        <v>0</v>
      </c>
      <c r="S603">
        <f t="shared" si="92"/>
        <v>0</v>
      </c>
      <c r="T603">
        <f t="shared" si="93"/>
        <v>0</v>
      </c>
      <c r="U603">
        <f t="shared" si="94"/>
        <v>0</v>
      </c>
      <c r="V603">
        <f t="shared" si="95"/>
        <v>0</v>
      </c>
      <c r="AA603">
        <f t="shared" si="87"/>
        <v>0</v>
      </c>
      <c r="AL603" s="142"/>
    </row>
    <row r="604" spans="1:38" hidden="1" x14ac:dyDescent="0.2">
      <c r="A604" s="1700"/>
      <c r="B604" s="1698"/>
      <c r="C604" s="1712"/>
      <c r="D604" s="1699"/>
      <c r="E604" s="1699"/>
      <c r="F604" s="1699"/>
      <c r="G604" s="1699"/>
      <c r="H604" s="1699"/>
      <c r="I604" s="1706"/>
      <c r="J604" s="1706"/>
      <c r="K604" s="1713" t="str">
        <f t="shared" si="88"/>
        <v/>
      </c>
      <c r="L604">
        <f t="shared" si="89"/>
        <v>0</v>
      </c>
      <c r="Q604">
        <f t="shared" si="90"/>
        <v>0</v>
      </c>
      <c r="R604">
        <f t="shared" si="91"/>
        <v>0</v>
      </c>
      <c r="S604">
        <f t="shared" si="92"/>
        <v>0</v>
      </c>
      <c r="T604">
        <f t="shared" si="93"/>
        <v>0</v>
      </c>
      <c r="U604">
        <f t="shared" si="94"/>
        <v>0</v>
      </c>
      <c r="V604">
        <f t="shared" si="95"/>
        <v>0</v>
      </c>
      <c r="AA604">
        <f t="shared" si="87"/>
        <v>0</v>
      </c>
      <c r="AL604" s="142"/>
    </row>
    <row r="605" spans="1:38" hidden="1" x14ac:dyDescent="0.2">
      <c r="A605" s="1700"/>
      <c r="B605" s="1698"/>
      <c r="C605" s="1712"/>
      <c r="D605" s="1699"/>
      <c r="E605" s="1699"/>
      <c r="F605" s="1699"/>
      <c r="G605" s="1699"/>
      <c r="H605" s="1699"/>
      <c r="I605" s="1706"/>
      <c r="J605" s="1706"/>
      <c r="K605" s="1713" t="str">
        <f t="shared" si="88"/>
        <v/>
      </c>
      <c r="L605">
        <f t="shared" si="89"/>
        <v>0</v>
      </c>
      <c r="Q605">
        <f t="shared" si="90"/>
        <v>0</v>
      </c>
      <c r="R605">
        <f t="shared" si="91"/>
        <v>0</v>
      </c>
      <c r="S605">
        <f t="shared" si="92"/>
        <v>0</v>
      </c>
      <c r="T605">
        <f t="shared" si="93"/>
        <v>0</v>
      </c>
      <c r="U605">
        <f t="shared" si="94"/>
        <v>0</v>
      </c>
      <c r="V605">
        <f t="shared" si="95"/>
        <v>0</v>
      </c>
      <c r="AA605">
        <f t="shared" si="87"/>
        <v>0</v>
      </c>
      <c r="AL605" s="142"/>
    </row>
    <row r="606" spans="1:38" hidden="1" x14ac:dyDescent="0.2">
      <c r="A606" s="1700"/>
      <c r="B606" s="1698"/>
      <c r="C606" s="1712"/>
      <c r="D606" s="1699"/>
      <c r="E606" s="1699"/>
      <c r="F606" s="1699"/>
      <c r="G606" s="1699"/>
      <c r="H606" s="1699"/>
      <c r="I606" s="1706"/>
      <c r="J606" s="1706"/>
      <c r="K606" s="1713" t="str">
        <f t="shared" si="88"/>
        <v/>
      </c>
      <c r="L606">
        <f t="shared" si="89"/>
        <v>0</v>
      </c>
      <c r="Q606">
        <f t="shared" si="90"/>
        <v>0</v>
      </c>
      <c r="R606">
        <f t="shared" si="91"/>
        <v>0</v>
      </c>
      <c r="S606">
        <f t="shared" si="92"/>
        <v>0</v>
      </c>
      <c r="T606">
        <f t="shared" si="93"/>
        <v>0</v>
      </c>
      <c r="U606">
        <f t="shared" si="94"/>
        <v>0</v>
      </c>
      <c r="V606">
        <f t="shared" si="95"/>
        <v>0</v>
      </c>
      <c r="AA606">
        <f t="shared" si="87"/>
        <v>0</v>
      </c>
      <c r="AL606" s="142"/>
    </row>
    <row r="607" spans="1:38" hidden="1" x14ac:dyDescent="0.2">
      <c r="A607" s="1700"/>
      <c r="B607" s="1698"/>
      <c r="C607" s="1712"/>
      <c r="D607" s="1699"/>
      <c r="E607" s="1699"/>
      <c r="F607" s="1699"/>
      <c r="G607" s="1699"/>
      <c r="H607" s="1699"/>
      <c r="I607" s="1706"/>
      <c r="J607" s="1706"/>
      <c r="K607" s="1713" t="str">
        <f t="shared" si="88"/>
        <v/>
      </c>
      <c r="L607">
        <f t="shared" si="89"/>
        <v>0</v>
      </c>
      <c r="Q607">
        <f t="shared" si="90"/>
        <v>0</v>
      </c>
      <c r="R607">
        <f t="shared" si="91"/>
        <v>0</v>
      </c>
      <c r="S607">
        <f t="shared" si="92"/>
        <v>0</v>
      </c>
      <c r="T607">
        <f t="shared" si="93"/>
        <v>0</v>
      </c>
      <c r="U607">
        <f t="shared" si="94"/>
        <v>0</v>
      </c>
      <c r="V607">
        <f t="shared" si="95"/>
        <v>0</v>
      </c>
      <c r="AA607">
        <f t="shared" si="87"/>
        <v>0</v>
      </c>
      <c r="AL607" s="142"/>
    </row>
    <row r="608" spans="1:38" hidden="1" x14ac:dyDescent="0.2">
      <c r="A608" s="1700"/>
      <c r="B608" s="1698"/>
      <c r="C608" s="1712"/>
      <c r="D608" s="1699"/>
      <c r="E608" s="1699"/>
      <c r="F608" s="1699"/>
      <c r="G608" s="1699"/>
      <c r="H608" s="1699"/>
      <c r="I608" s="1706"/>
      <c r="J608" s="1706"/>
      <c r="K608" s="1713" t="str">
        <f t="shared" si="88"/>
        <v/>
      </c>
      <c r="L608">
        <f t="shared" si="89"/>
        <v>0</v>
      </c>
      <c r="Q608">
        <f t="shared" si="90"/>
        <v>0</v>
      </c>
      <c r="R608">
        <f t="shared" si="91"/>
        <v>0</v>
      </c>
      <c r="S608">
        <f t="shared" si="92"/>
        <v>0</v>
      </c>
      <c r="T608">
        <f t="shared" si="93"/>
        <v>0</v>
      </c>
      <c r="U608">
        <f t="shared" si="94"/>
        <v>0</v>
      </c>
      <c r="V608">
        <f t="shared" si="95"/>
        <v>0</v>
      </c>
      <c r="AA608">
        <f t="shared" si="87"/>
        <v>0</v>
      </c>
      <c r="AL608" s="142"/>
    </row>
    <row r="609" spans="1:38" hidden="1" x14ac:dyDescent="0.2">
      <c r="A609" s="1700"/>
      <c r="B609" s="1698"/>
      <c r="C609" s="1712"/>
      <c r="D609" s="1699"/>
      <c r="E609" s="1699"/>
      <c r="F609" s="1699"/>
      <c r="G609" s="1699"/>
      <c r="H609" s="1699"/>
      <c r="I609" s="1706"/>
      <c r="J609" s="1706"/>
      <c r="K609" s="1713" t="str">
        <f t="shared" si="88"/>
        <v/>
      </c>
      <c r="L609">
        <f t="shared" si="89"/>
        <v>0</v>
      </c>
      <c r="Q609">
        <f t="shared" si="90"/>
        <v>0</v>
      </c>
      <c r="R609">
        <f t="shared" si="91"/>
        <v>0</v>
      </c>
      <c r="S609">
        <f t="shared" si="92"/>
        <v>0</v>
      </c>
      <c r="T609">
        <f t="shared" si="93"/>
        <v>0</v>
      </c>
      <c r="U609">
        <f t="shared" si="94"/>
        <v>0</v>
      </c>
      <c r="V609">
        <f t="shared" si="95"/>
        <v>0</v>
      </c>
      <c r="AA609">
        <f t="shared" si="87"/>
        <v>0</v>
      </c>
      <c r="AL609" s="142"/>
    </row>
    <row r="610" spans="1:38" hidden="1" x14ac:dyDescent="0.2">
      <c r="A610" s="1700"/>
      <c r="B610" s="1698"/>
      <c r="C610" s="1712"/>
      <c r="D610" s="1699"/>
      <c r="E610" s="1699"/>
      <c r="F610" s="1699"/>
      <c r="G610" s="1699"/>
      <c r="H610" s="1699"/>
      <c r="I610" s="1706"/>
      <c r="J610" s="1706"/>
      <c r="K610" s="1713" t="str">
        <f t="shared" si="88"/>
        <v/>
      </c>
      <c r="L610">
        <f t="shared" si="89"/>
        <v>0</v>
      </c>
      <c r="Q610">
        <f t="shared" si="90"/>
        <v>0</v>
      </c>
      <c r="R610">
        <f t="shared" si="91"/>
        <v>0</v>
      </c>
      <c r="S610">
        <f t="shared" si="92"/>
        <v>0</v>
      </c>
      <c r="T610">
        <f t="shared" si="93"/>
        <v>0</v>
      </c>
      <c r="U610">
        <f t="shared" si="94"/>
        <v>0</v>
      </c>
      <c r="V610">
        <f t="shared" si="95"/>
        <v>0</v>
      </c>
      <c r="AA610">
        <f t="shared" si="87"/>
        <v>0</v>
      </c>
      <c r="AL610" s="142"/>
    </row>
    <row r="611" spans="1:38" hidden="1" x14ac:dyDescent="0.2">
      <c r="A611" s="1700"/>
      <c r="B611" s="1698"/>
      <c r="C611" s="1712"/>
      <c r="D611" s="1699"/>
      <c r="E611" s="1699"/>
      <c r="F611" s="1699"/>
      <c r="G611" s="1699"/>
      <c r="H611" s="1699"/>
      <c r="I611" s="1706"/>
      <c r="J611" s="1706"/>
      <c r="K611" s="1713" t="str">
        <f t="shared" si="88"/>
        <v/>
      </c>
      <c r="L611">
        <f t="shared" si="89"/>
        <v>0</v>
      </c>
      <c r="Q611">
        <f t="shared" si="90"/>
        <v>0</v>
      </c>
      <c r="R611">
        <f t="shared" si="91"/>
        <v>0</v>
      </c>
      <c r="S611">
        <f t="shared" si="92"/>
        <v>0</v>
      </c>
      <c r="T611">
        <f t="shared" si="93"/>
        <v>0</v>
      </c>
      <c r="U611">
        <f t="shared" si="94"/>
        <v>0</v>
      </c>
      <c r="V611">
        <f t="shared" si="95"/>
        <v>0</v>
      </c>
      <c r="AA611">
        <f t="shared" si="87"/>
        <v>0</v>
      </c>
      <c r="AL611" s="142"/>
    </row>
    <row r="612" spans="1:38" hidden="1" x14ac:dyDescent="0.2">
      <c r="A612" s="1700"/>
      <c r="B612" s="1698"/>
      <c r="C612" s="1712"/>
      <c r="D612" s="1699"/>
      <c r="E612" s="1699"/>
      <c r="F612" s="1699"/>
      <c r="G612" s="1699"/>
      <c r="H612" s="1699"/>
      <c r="I612" s="1706"/>
      <c r="J612" s="1706"/>
      <c r="K612" s="1713" t="str">
        <f t="shared" si="88"/>
        <v/>
      </c>
      <c r="L612">
        <f t="shared" si="89"/>
        <v>0</v>
      </c>
      <c r="Q612">
        <f t="shared" si="90"/>
        <v>0</v>
      </c>
      <c r="R612">
        <f t="shared" si="91"/>
        <v>0</v>
      </c>
      <c r="S612">
        <f t="shared" si="92"/>
        <v>0</v>
      </c>
      <c r="T612">
        <f t="shared" si="93"/>
        <v>0</v>
      </c>
      <c r="U612">
        <f t="shared" si="94"/>
        <v>0</v>
      </c>
      <c r="V612">
        <f t="shared" si="95"/>
        <v>0</v>
      </c>
      <c r="AA612">
        <f t="shared" si="87"/>
        <v>0</v>
      </c>
      <c r="AL612" s="142"/>
    </row>
    <row r="613" spans="1:38" hidden="1" x14ac:dyDescent="0.2">
      <c r="A613" s="1700"/>
      <c r="B613" s="1698"/>
      <c r="C613" s="1712"/>
      <c r="D613" s="1699"/>
      <c r="E613" s="1699"/>
      <c r="F613" s="1699"/>
      <c r="G613" s="1699"/>
      <c r="H613" s="1699"/>
      <c r="I613" s="1706"/>
      <c r="J613" s="1706"/>
      <c r="K613" s="1713" t="str">
        <f t="shared" si="88"/>
        <v/>
      </c>
      <c r="L613">
        <f t="shared" si="89"/>
        <v>0</v>
      </c>
      <c r="Q613">
        <f t="shared" si="90"/>
        <v>0</v>
      </c>
      <c r="R613">
        <f t="shared" si="91"/>
        <v>0</v>
      </c>
      <c r="S613">
        <f t="shared" si="92"/>
        <v>0</v>
      </c>
      <c r="T613">
        <f t="shared" si="93"/>
        <v>0</v>
      </c>
      <c r="U613">
        <f t="shared" si="94"/>
        <v>0</v>
      </c>
      <c r="V613">
        <f t="shared" si="95"/>
        <v>0</v>
      </c>
      <c r="AA613">
        <f t="shared" si="87"/>
        <v>0</v>
      </c>
      <c r="AL613" s="142"/>
    </row>
    <row r="614" spans="1:38" hidden="1" x14ac:dyDescent="0.2">
      <c r="A614" s="1700"/>
      <c r="B614" s="1698"/>
      <c r="C614" s="1712"/>
      <c r="D614" s="1699"/>
      <c r="E614" s="1699"/>
      <c r="F614" s="1699"/>
      <c r="G614" s="1699"/>
      <c r="H614" s="1699"/>
      <c r="I614" s="1706"/>
      <c r="J614" s="1706"/>
      <c r="K614" s="1713" t="str">
        <f t="shared" si="88"/>
        <v/>
      </c>
      <c r="L614">
        <f t="shared" si="89"/>
        <v>0</v>
      </c>
      <c r="Q614">
        <f t="shared" si="90"/>
        <v>0</v>
      </c>
      <c r="R614">
        <f t="shared" si="91"/>
        <v>0</v>
      </c>
      <c r="S614">
        <f t="shared" si="92"/>
        <v>0</v>
      </c>
      <c r="T614">
        <f t="shared" si="93"/>
        <v>0</v>
      </c>
      <c r="U614">
        <f t="shared" si="94"/>
        <v>0</v>
      </c>
      <c r="V614">
        <f t="shared" si="95"/>
        <v>0</v>
      </c>
      <c r="AA614">
        <f t="shared" si="87"/>
        <v>0</v>
      </c>
      <c r="AL614" s="142"/>
    </row>
    <row r="615" spans="1:38" hidden="1" x14ac:dyDescent="0.2">
      <c r="A615" s="1700"/>
      <c r="B615" s="1698"/>
      <c r="C615" s="1712"/>
      <c r="D615" s="1699"/>
      <c r="E615" s="1699"/>
      <c r="F615" s="1699"/>
      <c r="G615" s="1699"/>
      <c r="H615" s="1699"/>
      <c r="I615" s="1706"/>
      <c r="J615" s="1706"/>
      <c r="K615" s="1713" t="str">
        <f t="shared" si="88"/>
        <v/>
      </c>
      <c r="L615">
        <f t="shared" si="89"/>
        <v>0</v>
      </c>
      <c r="Q615">
        <f t="shared" si="90"/>
        <v>0</v>
      </c>
      <c r="R615">
        <f t="shared" si="91"/>
        <v>0</v>
      </c>
      <c r="S615">
        <f t="shared" si="92"/>
        <v>0</v>
      </c>
      <c r="T615">
        <f t="shared" si="93"/>
        <v>0</v>
      </c>
      <c r="U615">
        <f t="shared" si="94"/>
        <v>0</v>
      </c>
      <c r="V615">
        <f t="shared" si="95"/>
        <v>0</v>
      </c>
      <c r="AA615">
        <f t="shared" si="87"/>
        <v>0</v>
      </c>
      <c r="AL615" s="142"/>
    </row>
    <row r="616" spans="1:38" hidden="1" x14ac:dyDescent="0.2">
      <c r="A616" s="1700"/>
      <c r="B616" s="1698"/>
      <c r="C616" s="1712"/>
      <c r="D616" s="1699"/>
      <c r="E616" s="1699"/>
      <c r="F616" s="1699"/>
      <c r="G616" s="1699"/>
      <c r="H616" s="1699"/>
      <c r="I616" s="1706"/>
      <c r="J616" s="1706"/>
      <c r="K616" s="1713" t="str">
        <f t="shared" si="88"/>
        <v/>
      </c>
      <c r="L616">
        <f t="shared" si="89"/>
        <v>0</v>
      </c>
      <c r="Q616">
        <f t="shared" si="90"/>
        <v>0</v>
      </c>
      <c r="R616">
        <f t="shared" si="91"/>
        <v>0</v>
      </c>
      <c r="S616">
        <f t="shared" si="92"/>
        <v>0</v>
      </c>
      <c r="T616">
        <f t="shared" si="93"/>
        <v>0</v>
      </c>
      <c r="U616">
        <f t="shared" si="94"/>
        <v>0</v>
      </c>
      <c r="V616">
        <f t="shared" si="95"/>
        <v>0</v>
      </c>
      <c r="AA616">
        <f t="shared" si="87"/>
        <v>0</v>
      </c>
      <c r="AL616" s="142"/>
    </row>
    <row r="617" spans="1:38" hidden="1" x14ac:dyDescent="0.2">
      <c r="A617" s="1700"/>
      <c r="B617" s="1698"/>
      <c r="C617" s="1712"/>
      <c r="D617" s="1699"/>
      <c r="E617" s="1699"/>
      <c r="F617" s="1699"/>
      <c r="G617" s="1699"/>
      <c r="H617" s="1699"/>
      <c r="I617" s="1706"/>
      <c r="J617" s="1706"/>
      <c r="K617" s="1713" t="str">
        <f t="shared" si="88"/>
        <v/>
      </c>
      <c r="L617">
        <f t="shared" si="89"/>
        <v>0</v>
      </c>
      <c r="Q617">
        <f t="shared" si="90"/>
        <v>0</v>
      </c>
      <c r="R617">
        <f t="shared" si="91"/>
        <v>0</v>
      </c>
      <c r="S617">
        <f t="shared" si="92"/>
        <v>0</v>
      </c>
      <c r="T617">
        <f t="shared" si="93"/>
        <v>0</v>
      </c>
      <c r="U617">
        <f t="shared" si="94"/>
        <v>0</v>
      </c>
      <c r="V617">
        <f t="shared" si="95"/>
        <v>0</v>
      </c>
      <c r="AA617">
        <f t="shared" si="87"/>
        <v>0</v>
      </c>
      <c r="AL617" s="142"/>
    </row>
    <row r="618" spans="1:38" hidden="1" x14ac:dyDescent="0.2">
      <c r="A618" s="1700"/>
      <c r="B618" s="1698"/>
      <c r="C618" s="1712"/>
      <c r="D618" s="1699"/>
      <c r="E618" s="1699"/>
      <c r="F618" s="1699"/>
      <c r="G618" s="1699"/>
      <c r="H618" s="1699"/>
      <c r="I618" s="1706"/>
      <c r="J618" s="1706"/>
      <c r="K618" s="1713" t="str">
        <f t="shared" si="88"/>
        <v/>
      </c>
      <c r="L618">
        <f t="shared" si="89"/>
        <v>0</v>
      </c>
      <c r="Q618">
        <f t="shared" si="90"/>
        <v>0</v>
      </c>
      <c r="R618">
        <f t="shared" si="91"/>
        <v>0</v>
      </c>
      <c r="S618">
        <f t="shared" si="92"/>
        <v>0</v>
      </c>
      <c r="T618">
        <f t="shared" si="93"/>
        <v>0</v>
      </c>
      <c r="U618">
        <f t="shared" si="94"/>
        <v>0</v>
      </c>
      <c r="V618">
        <f t="shared" si="95"/>
        <v>0</v>
      </c>
      <c r="AA618">
        <f t="shared" si="87"/>
        <v>0</v>
      </c>
      <c r="AL618" s="142"/>
    </row>
    <row r="619" spans="1:38" hidden="1" x14ac:dyDescent="0.2">
      <c r="A619" s="1700"/>
      <c r="B619" s="1698"/>
      <c r="C619" s="1712"/>
      <c r="D619" s="1699"/>
      <c r="E619" s="1699"/>
      <c r="F619" s="1699"/>
      <c r="G619" s="1699"/>
      <c r="H619" s="1699"/>
      <c r="I619" s="1706"/>
      <c r="J619" s="1706"/>
      <c r="K619" s="1713" t="str">
        <f t="shared" si="88"/>
        <v/>
      </c>
      <c r="L619">
        <f t="shared" si="89"/>
        <v>0</v>
      </c>
      <c r="Q619">
        <f t="shared" si="90"/>
        <v>0</v>
      </c>
      <c r="R619">
        <f t="shared" si="91"/>
        <v>0</v>
      </c>
      <c r="S619">
        <f t="shared" si="92"/>
        <v>0</v>
      </c>
      <c r="T619">
        <f t="shared" si="93"/>
        <v>0</v>
      </c>
      <c r="U619">
        <f t="shared" si="94"/>
        <v>0</v>
      </c>
      <c r="V619">
        <f t="shared" si="95"/>
        <v>0</v>
      </c>
      <c r="AA619">
        <f t="shared" si="87"/>
        <v>0</v>
      </c>
      <c r="AL619" s="142"/>
    </row>
    <row r="620" spans="1:38" hidden="1" x14ac:dyDescent="0.2">
      <c r="A620" s="1700"/>
      <c r="B620" s="1698"/>
      <c r="C620" s="1712"/>
      <c r="D620" s="1699"/>
      <c r="E620" s="1699"/>
      <c r="F620" s="1699"/>
      <c r="G620" s="1699"/>
      <c r="H620" s="1699"/>
      <c r="I620" s="1706"/>
      <c r="J620" s="1706"/>
      <c r="K620" s="1713" t="str">
        <f t="shared" si="88"/>
        <v/>
      </c>
      <c r="L620">
        <f t="shared" si="89"/>
        <v>0</v>
      </c>
      <c r="Q620">
        <f t="shared" si="90"/>
        <v>0</v>
      </c>
      <c r="R620">
        <f t="shared" si="91"/>
        <v>0</v>
      </c>
      <c r="S620">
        <f t="shared" si="92"/>
        <v>0</v>
      </c>
      <c r="T620">
        <f t="shared" si="93"/>
        <v>0</v>
      </c>
      <c r="U620">
        <f t="shared" si="94"/>
        <v>0</v>
      </c>
      <c r="V620">
        <f t="shared" si="95"/>
        <v>0</v>
      </c>
      <c r="AA620">
        <f t="shared" si="87"/>
        <v>0</v>
      </c>
      <c r="AL620" s="142"/>
    </row>
    <row r="621" spans="1:38" hidden="1" x14ac:dyDescent="0.2">
      <c r="A621" s="1700"/>
      <c r="B621" s="1698"/>
      <c r="C621" s="1712"/>
      <c r="D621" s="1699"/>
      <c r="E621" s="1699"/>
      <c r="F621" s="1699"/>
      <c r="G621" s="1699"/>
      <c r="H621" s="1699"/>
      <c r="I621" s="1706"/>
      <c r="J621" s="1706"/>
      <c r="K621" s="1713" t="str">
        <f t="shared" si="88"/>
        <v/>
      </c>
      <c r="L621">
        <f t="shared" si="89"/>
        <v>0</v>
      </c>
      <c r="Q621">
        <f t="shared" si="90"/>
        <v>0</v>
      </c>
      <c r="R621">
        <f t="shared" si="91"/>
        <v>0</v>
      </c>
      <c r="S621">
        <f t="shared" si="92"/>
        <v>0</v>
      </c>
      <c r="T621">
        <f t="shared" si="93"/>
        <v>0</v>
      </c>
      <c r="U621">
        <f t="shared" si="94"/>
        <v>0</v>
      </c>
      <c r="V621">
        <f t="shared" si="95"/>
        <v>0</v>
      </c>
      <c r="AA621">
        <f t="shared" si="87"/>
        <v>0</v>
      </c>
      <c r="AL621" s="142"/>
    </row>
    <row r="622" spans="1:38" hidden="1" x14ac:dyDescent="0.2">
      <c r="A622" s="1700"/>
      <c r="B622" s="1698"/>
      <c r="C622" s="1712"/>
      <c r="D622" s="1699"/>
      <c r="E622" s="1699"/>
      <c r="F622" s="1699"/>
      <c r="G622" s="1699"/>
      <c r="H622" s="1699"/>
      <c r="I622" s="1706"/>
      <c r="J622" s="1706"/>
      <c r="K622" s="1713" t="str">
        <f t="shared" si="88"/>
        <v/>
      </c>
      <c r="L622">
        <f t="shared" si="89"/>
        <v>0</v>
      </c>
      <c r="Q622">
        <f t="shared" si="90"/>
        <v>0</v>
      </c>
      <c r="R622">
        <f t="shared" si="91"/>
        <v>0</v>
      </c>
      <c r="S622">
        <f t="shared" si="92"/>
        <v>0</v>
      </c>
      <c r="T622">
        <f t="shared" si="93"/>
        <v>0</v>
      </c>
      <c r="U622">
        <f t="shared" si="94"/>
        <v>0</v>
      </c>
      <c r="V622">
        <f t="shared" si="95"/>
        <v>0</v>
      </c>
      <c r="AA622">
        <f t="shared" si="87"/>
        <v>0</v>
      </c>
      <c r="AL622" s="142"/>
    </row>
    <row r="623" spans="1:38" hidden="1" x14ac:dyDescent="0.2">
      <c r="A623" s="1700"/>
      <c r="B623" s="1698"/>
      <c r="C623" s="1712"/>
      <c r="D623" s="1699"/>
      <c r="E623" s="1699"/>
      <c r="F623" s="1699"/>
      <c r="G623" s="1699"/>
      <c r="H623" s="1699"/>
      <c r="I623" s="1706"/>
      <c r="J623" s="1706"/>
      <c r="K623" s="1713" t="str">
        <f t="shared" si="88"/>
        <v/>
      </c>
      <c r="L623">
        <f t="shared" si="89"/>
        <v>0</v>
      </c>
      <c r="Q623">
        <f t="shared" si="90"/>
        <v>0</v>
      </c>
      <c r="R623">
        <f t="shared" si="91"/>
        <v>0</v>
      </c>
      <c r="S623">
        <f t="shared" si="92"/>
        <v>0</v>
      </c>
      <c r="T623">
        <f t="shared" si="93"/>
        <v>0</v>
      </c>
      <c r="U623">
        <f t="shared" si="94"/>
        <v>0</v>
      </c>
      <c r="V623">
        <f t="shared" si="95"/>
        <v>0</v>
      </c>
      <c r="AA623">
        <f t="shared" si="87"/>
        <v>0</v>
      </c>
      <c r="AL623" s="142"/>
    </row>
    <row r="624" spans="1:38" hidden="1" x14ac:dyDescent="0.2">
      <c r="A624" s="1700"/>
      <c r="B624" s="1698"/>
      <c r="C624" s="1712"/>
      <c r="D624" s="1699"/>
      <c r="E624" s="1699"/>
      <c r="F624" s="1699"/>
      <c r="G624" s="1699"/>
      <c r="H624" s="1699"/>
      <c r="I624" s="1706"/>
      <c r="J624" s="1706"/>
      <c r="K624" s="1713" t="str">
        <f t="shared" si="88"/>
        <v/>
      </c>
      <c r="L624">
        <f t="shared" si="89"/>
        <v>0</v>
      </c>
      <c r="Q624">
        <f t="shared" si="90"/>
        <v>0</v>
      </c>
      <c r="R624">
        <f t="shared" si="91"/>
        <v>0</v>
      </c>
      <c r="S624">
        <f t="shared" si="92"/>
        <v>0</v>
      </c>
      <c r="T624">
        <f t="shared" si="93"/>
        <v>0</v>
      </c>
      <c r="U624">
        <f t="shared" si="94"/>
        <v>0</v>
      </c>
      <c r="V624">
        <f t="shared" si="95"/>
        <v>0</v>
      </c>
      <c r="AA624">
        <f t="shared" si="87"/>
        <v>0</v>
      </c>
      <c r="AL624" s="142"/>
    </row>
    <row r="625" spans="1:38" hidden="1" x14ac:dyDescent="0.2">
      <c r="A625" s="1700"/>
      <c r="B625" s="1698"/>
      <c r="C625" s="1712"/>
      <c r="D625" s="1699"/>
      <c r="E625" s="1699"/>
      <c r="F625" s="1699"/>
      <c r="G625" s="1699"/>
      <c r="H625" s="1699"/>
      <c r="I625" s="1706"/>
      <c r="J625" s="1706"/>
      <c r="K625" s="1713" t="str">
        <f t="shared" si="88"/>
        <v/>
      </c>
      <c r="L625">
        <f t="shared" si="89"/>
        <v>0</v>
      </c>
      <c r="Q625">
        <f t="shared" si="90"/>
        <v>0</v>
      </c>
      <c r="R625">
        <f t="shared" si="91"/>
        <v>0</v>
      </c>
      <c r="S625">
        <f t="shared" si="92"/>
        <v>0</v>
      </c>
      <c r="T625">
        <f t="shared" si="93"/>
        <v>0</v>
      </c>
      <c r="U625">
        <f t="shared" si="94"/>
        <v>0</v>
      </c>
      <c r="V625">
        <f t="shared" si="95"/>
        <v>0</v>
      </c>
      <c r="AA625">
        <f t="shared" si="87"/>
        <v>0</v>
      </c>
      <c r="AL625" s="142"/>
    </row>
    <row r="626" spans="1:38" hidden="1" x14ac:dyDescent="0.2">
      <c r="A626" s="1700"/>
      <c r="B626" s="1698"/>
      <c r="C626" s="1712"/>
      <c r="D626" s="1699"/>
      <c r="E626" s="1699"/>
      <c r="F626" s="1699"/>
      <c r="G626" s="1699"/>
      <c r="H626" s="1699"/>
      <c r="I626" s="1706"/>
      <c r="J626" s="1706"/>
      <c r="K626" s="1713" t="str">
        <f t="shared" si="88"/>
        <v/>
      </c>
      <c r="L626">
        <f t="shared" si="89"/>
        <v>0</v>
      </c>
      <c r="Q626">
        <f t="shared" si="90"/>
        <v>0</v>
      </c>
      <c r="R626">
        <f t="shared" si="91"/>
        <v>0</v>
      </c>
      <c r="S626">
        <f t="shared" si="92"/>
        <v>0</v>
      </c>
      <c r="T626">
        <f t="shared" si="93"/>
        <v>0</v>
      </c>
      <c r="U626">
        <f t="shared" si="94"/>
        <v>0</v>
      </c>
      <c r="V626">
        <f t="shared" si="95"/>
        <v>0</v>
      </c>
      <c r="AA626">
        <f t="shared" si="87"/>
        <v>0</v>
      </c>
      <c r="AL626" s="142"/>
    </row>
    <row r="627" spans="1:38" hidden="1" x14ac:dyDescent="0.2">
      <c r="A627" s="1700"/>
      <c r="B627" s="1698"/>
      <c r="C627" s="1712"/>
      <c r="D627" s="1699"/>
      <c r="E627" s="1699"/>
      <c r="F627" s="1699"/>
      <c r="G627" s="1699"/>
      <c r="H627" s="1699"/>
      <c r="I627" s="1706"/>
      <c r="J627" s="1706"/>
      <c r="K627" s="1713" t="str">
        <f t="shared" si="88"/>
        <v/>
      </c>
      <c r="L627">
        <f t="shared" si="89"/>
        <v>0</v>
      </c>
      <c r="Q627">
        <f t="shared" si="90"/>
        <v>0</v>
      </c>
      <c r="R627">
        <f t="shared" si="91"/>
        <v>0</v>
      </c>
      <c r="S627">
        <f t="shared" si="92"/>
        <v>0</v>
      </c>
      <c r="T627">
        <f t="shared" si="93"/>
        <v>0</v>
      </c>
      <c r="U627">
        <f t="shared" si="94"/>
        <v>0</v>
      </c>
      <c r="V627">
        <f t="shared" si="95"/>
        <v>0</v>
      </c>
      <c r="AA627">
        <f t="shared" si="87"/>
        <v>0</v>
      </c>
      <c r="AL627" s="142"/>
    </row>
    <row r="628" spans="1:38" hidden="1" x14ac:dyDescent="0.2">
      <c r="A628" s="1700"/>
      <c r="B628" s="1698"/>
      <c r="C628" s="1712"/>
      <c r="D628" s="1699"/>
      <c r="E628" s="1699"/>
      <c r="F628" s="1699"/>
      <c r="G628" s="1699"/>
      <c r="H628" s="1699"/>
      <c r="I628" s="1706"/>
      <c r="J628" s="1706"/>
      <c r="K628" s="1713" t="str">
        <f t="shared" si="88"/>
        <v/>
      </c>
      <c r="L628">
        <f t="shared" si="89"/>
        <v>0</v>
      </c>
      <c r="Q628">
        <f t="shared" si="90"/>
        <v>0</v>
      </c>
      <c r="R628">
        <f t="shared" si="91"/>
        <v>0</v>
      </c>
      <c r="S628">
        <f t="shared" si="92"/>
        <v>0</v>
      </c>
      <c r="T628">
        <f t="shared" si="93"/>
        <v>0</v>
      </c>
      <c r="U628">
        <f t="shared" si="94"/>
        <v>0</v>
      </c>
      <c r="V628">
        <f t="shared" si="95"/>
        <v>0</v>
      </c>
      <c r="AA628">
        <f t="shared" si="87"/>
        <v>0</v>
      </c>
      <c r="AL628" s="142"/>
    </row>
    <row r="629" spans="1:38" hidden="1" x14ac:dyDescent="0.2">
      <c r="A629" s="1700"/>
      <c r="B629" s="1698"/>
      <c r="C629" s="1712"/>
      <c r="D629" s="1699"/>
      <c r="E629" s="1699"/>
      <c r="F629" s="1699"/>
      <c r="G629" s="1699"/>
      <c r="H629" s="1699"/>
      <c r="I629" s="1706"/>
      <c r="J629" s="1706"/>
      <c r="K629" s="1713" t="str">
        <f t="shared" si="88"/>
        <v/>
      </c>
      <c r="L629">
        <f t="shared" si="89"/>
        <v>0</v>
      </c>
      <c r="Q629">
        <f t="shared" si="90"/>
        <v>0</v>
      </c>
      <c r="R629">
        <f t="shared" si="91"/>
        <v>0</v>
      </c>
      <c r="S629">
        <f t="shared" si="92"/>
        <v>0</v>
      </c>
      <c r="T629">
        <f t="shared" si="93"/>
        <v>0</v>
      </c>
      <c r="U629">
        <f t="shared" si="94"/>
        <v>0</v>
      </c>
      <c r="V629">
        <f t="shared" si="95"/>
        <v>0</v>
      </c>
      <c r="AA629">
        <f t="shared" si="87"/>
        <v>0</v>
      </c>
      <c r="AL629" s="142"/>
    </row>
    <row r="630" spans="1:38" hidden="1" x14ac:dyDescent="0.2">
      <c r="A630" s="1700"/>
      <c r="B630" s="1698"/>
      <c r="C630" s="1712"/>
      <c r="D630" s="1699"/>
      <c r="E630" s="1699"/>
      <c r="F630" s="1699"/>
      <c r="G630" s="1699"/>
      <c r="H630" s="1699"/>
      <c r="I630" s="1706"/>
      <c r="J630" s="1706"/>
      <c r="K630" s="1713" t="str">
        <f t="shared" si="88"/>
        <v/>
      </c>
      <c r="L630">
        <f t="shared" si="89"/>
        <v>0</v>
      </c>
      <c r="Q630">
        <f t="shared" si="90"/>
        <v>0</v>
      </c>
      <c r="R630">
        <f t="shared" si="91"/>
        <v>0</v>
      </c>
      <c r="S630">
        <f t="shared" si="92"/>
        <v>0</v>
      </c>
      <c r="T630">
        <f t="shared" si="93"/>
        <v>0</v>
      </c>
      <c r="U630">
        <f t="shared" si="94"/>
        <v>0</v>
      </c>
      <c r="V630">
        <f t="shared" si="95"/>
        <v>0</v>
      </c>
      <c r="AA630">
        <f t="shared" si="87"/>
        <v>0</v>
      </c>
      <c r="AL630" s="142"/>
    </row>
    <row r="631" spans="1:38" hidden="1" x14ac:dyDescent="0.2">
      <c r="A631" s="1700"/>
      <c r="B631" s="1698"/>
      <c r="C631" s="1712"/>
      <c r="D631" s="1699"/>
      <c r="E631" s="1699"/>
      <c r="F631" s="1699"/>
      <c r="G631" s="1699"/>
      <c r="H631" s="1699"/>
      <c r="I631" s="1706"/>
      <c r="J631" s="1706"/>
      <c r="K631" s="1713" t="str">
        <f t="shared" si="88"/>
        <v/>
      </c>
      <c r="L631">
        <f t="shared" si="89"/>
        <v>0</v>
      </c>
      <c r="Q631">
        <f t="shared" si="90"/>
        <v>0</v>
      </c>
      <c r="R631">
        <f t="shared" si="91"/>
        <v>0</v>
      </c>
      <c r="S631">
        <f t="shared" si="92"/>
        <v>0</v>
      </c>
      <c r="T631">
        <f t="shared" si="93"/>
        <v>0</v>
      </c>
      <c r="U631">
        <f t="shared" si="94"/>
        <v>0</v>
      </c>
      <c r="V631">
        <f t="shared" si="95"/>
        <v>0</v>
      </c>
      <c r="AA631">
        <f t="shared" si="87"/>
        <v>0</v>
      </c>
      <c r="AL631" s="142"/>
    </row>
    <row r="632" spans="1:38" hidden="1" x14ac:dyDescent="0.2">
      <c r="A632" s="1700"/>
      <c r="B632" s="1698"/>
      <c r="C632" s="1712"/>
      <c r="D632" s="1699"/>
      <c r="E632" s="1699"/>
      <c r="F632" s="1699"/>
      <c r="G632" s="1699"/>
      <c r="H632" s="1699"/>
      <c r="I632" s="1706"/>
      <c r="J632" s="1706"/>
      <c r="K632" s="1713" t="str">
        <f t="shared" si="88"/>
        <v/>
      </c>
      <c r="L632">
        <f t="shared" si="89"/>
        <v>0</v>
      </c>
      <c r="Q632">
        <f t="shared" si="90"/>
        <v>0</v>
      </c>
      <c r="R632">
        <f t="shared" si="91"/>
        <v>0</v>
      </c>
      <c r="S632">
        <f t="shared" si="92"/>
        <v>0</v>
      </c>
      <c r="T632">
        <f t="shared" si="93"/>
        <v>0</v>
      </c>
      <c r="U632">
        <f t="shared" si="94"/>
        <v>0</v>
      </c>
      <c r="V632">
        <f t="shared" si="95"/>
        <v>0</v>
      </c>
      <c r="AA632">
        <f t="shared" si="87"/>
        <v>0</v>
      </c>
      <c r="AL632" s="142"/>
    </row>
    <row r="633" spans="1:38" hidden="1" x14ac:dyDescent="0.2">
      <c r="A633" s="1700"/>
      <c r="B633" s="1698"/>
      <c r="C633" s="1712"/>
      <c r="D633" s="1699"/>
      <c r="E633" s="1699"/>
      <c r="F633" s="1699"/>
      <c r="G633" s="1699"/>
      <c r="H633" s="1699"/>
      <c r="I633" s="1706"/>
      <c r="J633" s="1706"/>
      <c r="K633" s="1713" t="str">
        <f t="shared" si="88"/>
        <v/>
      </c>
      <c r="L633">
        <f t="shared" si="89"/>
        <v>0</v>
      </c>
      <c r="Q633">
        <f t="shared" si="90"/>
        <v>0</v>
      </c>
      <c r="R633">
        <f t="shared" si="91"/>
        <v>0</v>
      </c>
      <c r="S633">
        <f t="shared" si="92"/>
        <v>0</v>
      </c>
      <c r="T633">
        <f t="shared" si="93"/>
        <v>0</v>
      </c>
      <c r="U633">
        <f t="shared" si="94"/>
        <v>0</v>
      </c>
      <c r="V633">
        <f t="shared" si="95"/>
        <v>0</v>
      </c>
      <c r="AA633">
        <f t="shared" si="87"/>
        <v>0</v>
      </c>
      <c r="AL633" s="142"/>
    </row>
    <row r="634" spans="1:38" hidden="1" x14ac:dyDescent="0.2">
      <c r="A634" s="1700"/>
      <c r="B634" s="1698"/>
      <c r="C634" s="1712"/>
      <c r="D634" s="1699"/>
      <c r="E634" s="1699"/>
      <c r="F634" s="1699"/>
      <c r="G634" s="1699"/>
      <c r="H634" s="1699"/>
      <c r="I634" s="1706"/>
      <c r="J634" s="1706"/>
      <c r="K634" s="1713" t="str">
        <f t="shared" si="88"/>
        <v/>
      </c>
      <c r="L634">
        <f t="shared" si="89"/>
        <v>0</v>
      </c>
      <c r="Q634">
        <f t="shared" si="90"/>
        <v>0</v>
      </c>
      <c r="R634">
        <f t="shared" si="91"/>
        <v>0</v>
      </c>
      <c r="S634">
        <f t="shared" si="92"/>
        <v>0</v>
      </c>
      <c r="T634">
        <f t="shared" si="93"/>
        <v>0</v>
      </c>
      <c r="U634">
        <f t="shared" si="94"/>
        <v>0</v>
      </c>
      <c r="V634">
        <f t="shared" si="95"/>
        <v>0</v>
      </c>
      <c r="AA634">
        <f t="shared" si="87"/>
        <v>0</v>
      </c>
      <c r="AL634" s="142"/>
    </row>
    <row r="635" spans="1:38" hidden="1" x14ac:dyDescent="0.2">
      <c r="A635" s="1700"/>
      <c r="B635" s="1698"/>
      <c r="C635" s="1712"/>
      <c r="D635" s="1699"/>
      <c r="E635" s="1699"/>
      <c r="F635" s="1699"/>
      <c r="G635" s="1699"/>
      <c r="H635" s="1699"/>
      <c r="I635" s="1706"/>
      <c r="J635" s="1706"/>
      <c r="K635" s="1713" t="str">
        <f t="shared" si="88"/>
        <v/>
      </c>
      <c r="L635">
        <f t="shared" si="89"/>
        <v>0</v>
      </c>
      <c r="Q635">
        <f t="shared" si="90"/>
        <v>0</v>
      </c>
      <c r="R635">
        <f t="shared" si="91"/>
        <v>0</v>
      </c>
      <c r="S635">
        <f t="shared" si="92"/>
        <v>0</v>
      </c>
      <c r="T635">
        <f t="shared" si="93"/>
        <v>0</v>
      </c>
      <c r="U635">
        <f t="shared" si="94"/>
        <v>0</v>
      </c>
      <c r="V635">
        <f t="shared" si="95"/>
        <v>0</v>
      </c>
      <c r="AA635">
        <f t="shared" si="87"/>
        <v>0</v>
      </c>
      <c r="AL635" s="142"/>
    </row>
    <row r="636" spans="1:38" hidden="1" x14ac:dyDescent="0.2">
      <c r="A636" s="1700"/>
      <c r="B636" s="1698"/>
      <c r="C636" s="1712"/>
      <c r="D636" s="1699"/>
      <c r="E636" s="1699"/>
      <c r="F636" s="1699"/>
      <c r="G636" s="1699"/>
      <c r="H636" s="1699"/>
      <c r="I636" s="1706"/>
      <c r="J636" s="1706"/>
      <c r="K636" s="1713" t="str">
        <f t="shared" si="88"/>
        <v/>
      </c>
      <c r="L636">
        <f t="shared" si="89"/>
        <v>0</v>
      </c>
      <c r="Q636">
        <f t="shared" si="90"/>
        <v>0</v>
      </c>
      <c r="R636">
        <f t="shared" si="91"/>
        <v>0</v>
      </c>
      <c r="S636">
        <f t="shared" si="92"/>
        <v>0</v>
      </c>
      <c r="T636">
        <f t="shared" si="93"/>
        <v>0</v>
      </c>
      <c r="U636">
        <f t="shared" si="94"/>
        <v>0</v>
      </c>
      <c r="V636">
        <f t="shared" si="95"/>
        <v>0</v>
      </c>
      <c r="AA636">
        <f t="shared" si="87"/>
        <v>0</v>
      </c>
      <c r="AL636" s="142"/>
    </row>
    <row r="637" spans="1:38" hidden="1" x14ac:dyDescent="0.2">
      <c r="A637" s="1700"/>
      <c r="B637" s="1698"/>
      <c r="C637" s="1712"/>
      <c r="D637" s="1699"/>
      <c r="E637" s="1699"/>
      <c r="F637" s="1699"/>
      <c r="G637" s="1699"/>
      <c r="H637" s="1699"/>
      <c r="I637" s="1706"/>
      <c r="J637" s="1706"/>
      <c r="K637" s="1713" t="str">
        <f t="shared" si="88"/>
        <v/>
      </c>
      <c r="L637">
        <f t="shared" si="89"/>
        <v>0</v>
      </c>
      <c r="Q637">
        <f t="shared" si="90"/>
        <v>0</v>
      </c>
      <c r="R637">
        <f t="shared" si="91"/>
        <v>0</v>
      </c>
      <c r="S637">
        <f t="shared" si="92"/>
        <v>0</v>
      </c>
      <c r="T637">
        <f t="shared" si="93"/>
        <v>0</v>
      </c>
      <c r="U637">
        <f t="shared" si="94"/>
        <v>0</v>
      </c>
      <c r="V637">
        <f t="shared" si="95"/>
        <v>0</v>
      </c>
      <c r="AA637">
        <f t="shared" si="87"/>
        <v>0</v>
      </c>
      <c r="AL637" s="142"/>
    </row>
    <row r="638" spans="1:38" hidden="1" x14ac:dyDescent="0.2">
      <c r="A638" s="1700"/>
      <c r="B638" s="1698"/>
      <c r="C638" s="1712"/>
      <c r="D638" s="1699"/>
      <c r="E638" s="1699"/>
      <c r="F638" s="1699"/>
      <c r="G638" s="1699"/>
      <c r="H638" s="1699"/>
      <c r="I638" s="1706"/>
      <c r="J638" s="1706"/>
      <c r="K638" s="1713" t="str">
        <f t="shared" si="88"/>
        <v/>
      </c>
      <c r="L638">
        <f t="shared" si="89"/>
        <v>0</v>
      </c>
      <c r="Q638">
        <f t="shared" si="90"/>
        <v>0</v>
      </c>
      <c r="R638">
        <f t="shared" si="91"/>
        <v>0</v>
      </c>
      <c r="S638">
        <f t="shared" si="92"/>
        <v>0</v>
      </c>
      <c r="T638">
        <f t="shared" si="93"/>
        <v>0</v>
      </c>
      <c r="U638">
        <f t="shared" si="94"/>
        <v>0</v>
      </c>
      <c r="V638">
        <f t="shared" si="95"/>
        <v>0</v>
      </c>
      <c r="AA638">
        <f t="shared" si="87"/>
        <v>0</v>
      </c>
      <c r="AL638" s="142"/>
    </row>
    <row r="639" spans="1:38" hidden="1" x14ac:dyDescent="0.2">
      <c r="A639" s="1700"/>
      <c r="B639" s="1698"/>
      <c r="C639" s="1712"/>
      <c r="D639" s="1699"/>
      <c r="E639" s="1699"/>
      <c r="F639" s="1699"/>
      <c r="G639" s="1699"/>
      <c r="H639" s="1699"/>
      <c r="I639" s="1706"/>
      <c r="J639" s="1706"/>
      <c r="K639" s="1713" t="str">
        <f t="shared" si="88"/>
        <v/>
      </c>
      <c r="L639">
        <f t="shared" si="89"/>
        <v>0</v>
      </c>
      <c r="Q639">
        <f t="shared" si="90"/>
        <v>0</v>
      </c>
      <c r="R639">
        <f t="shared" si="91"/>
        <v>0</v>
      </c>
      <c r="S639">
        <f t="shared" si="92"/>
        <v>0</v>
      </c>
      <c r="T639">
        <f t="shared" si="93"/>
        <v>0</v>
      </c>
      <c r="U639">
        <f t="shared" si="94"/>
        <v>0</v>
      </c>
      <c r="V639">
        <f t="shared" si="95"/>
        <v>0</v>
      </c>
      <c r="AA639">
        <f t="shared" si="87"/>
        <v>0</v>
      </c>
      <c r="AL639" s="142"/>
    </row>
    <row r="640" spans="1:38" hidden="1" x14ac:dyDescent="0.2">
      <c r="A640" s="1700"/>
      <c r="B640" s="1698"/>
      <c r="C640" s="1712"/>
      <c r="D640" s="1699"/>
      <c r="E640" s="1699"/>
      <c r="F640" s="1699"/>
      <c r="G640" s="1699"/>
      <c r="H640" s="1699"/>
      <c r="I640" s="1706"/>
      <c r="J640" s="1706"/>
      <c r="K640" s="1713" t="str">
        <f t="shared" si="88"/>
        <v/>
      </c>
      <c r="L640">
        <f t="shared" si="89"/>
        <v>0</v>
      </c>
      <c r="Q640">
        <f t="shared" si="90"/>
        <v>0</v>
      </c>
      <c r="R640">
        <f t="shared" si="91"/>
        <v>0</v>
      </c>
      <c r="S640">
        <f t="shared" si="92"/>
        <v>0</v>
      </c>
      <c r="T640">
        <f t="shared" si="93"/>
        <v>0</v>
      </c>
      <c r="U640">
        <f t="shared" si="94"/>
        <v>0</v>
      </c>
      <c r="V640">
        <f t="shared" si="95"/>
        <v>0</v>
      </c>
      <c r="AA640">
        <f t="shared" si="87"/>
        <v>0</v>
      </c>
      <c r="AL640" s="142"/>
    </row>
    <row r="641" spans="1:38" hidden="1" x14ac:dyDescent="0.2">
      <c r="A641" s="1700"/>
      <c r="B641" s="1698"/>
      <c r="C641" s="1712"/>
      <c r="D641" s="1699"/>
      <c r="E641" s="1699"/>
      <c r="F641" s="1699"/>
      <c r="G641" s="1699"/>
      <c r="H641" s="1699"/>
      <c r="I641" s="1706"/>
      <c r="J641" s="1706"/>
      <c r="K641" s="1713" t="str">
        <f t="shared" si="88"/>
        <v/>
      </c>
      <c r="L641">
        <f t="shared" si="89"/>
        <v>0</v>
      </c>
      <c r="Q641">
        <f t="shared" si="90"/>
        <v>0</v>
      </c>
      <c r="R641">
        <f t="shared" si="91"/>
        <v>0</v>
      </c>
      <c r="S641">
        <f t="shared" si="92"/>
        <v>0</v>
      </c>
      <c r="T641">
        <f t="shared" si="93"/>
        <v>0</v>
      </c>
      <c r="U641">
        <f t="shared" si="94"/>
        <v>0</v>
      </c>
      <c r="V641">
        <f t="shared" si="95"/>
        <v>0</v>
      </c>
      <c r="AA641">
        <f t="shared" si="87"/>
        <v>0</v>
      </c>
      <c r="AL641" s="142"/>
    </row>
    <row r="642" spans="1:38" hidden="1" x14ac:dyDescent="0.2">
      <c r="A642" s="1700"/>
      <c r="B642" s="1698"/>
      <c r="C642" s="1712"/>
      <c r="D642" s="1699"/>
      <c r="E642" s="1699"/>
      <c r="F642" s="1699"/>
      <c r="G642" s="1699"/>
      <c r="H642" s="1699"/>
      <c r="I642" s="1706"/>
      <c r="J642" s="1706"/>
      <c r="K642" s="1713" t="str">
        <f t="shared" si="88"/>
        <v/>
      </c>
      <c r="L642">
        <f t="shared" si="89"/>
        <v>0</v>
      </c>
      <c r="Q642">
        <f t="shared" si="90"/>
        <v>0</v>
      </c>
      <c r="R642">
        <f t="shared" si="91"/>
        <v>0</v>
      </c>
      <c r="S642">
        <f t="shared" si="92"/>
        <v>0</v>
      </c>
      <c r="T642">
        <f t="shared" si="93"/>
        <v>0</v>
      </c>
      <c r="U642">
        <f t="shared" si="94"/>
        <v>0</v>
      </c>
      <c r="V642">
        <f t="shared" si="95"/>
        <v>0</v>
      </c>
      <c r="AA642">
        <f t="shared" si="87"/>
        <v>0</v>
      </c>
      <c r="AL642" s="142"/>
    </row>
    <row r="643" spans="1:38" hidden="1" x14ac:dyDescent="0.2">
      <c r="A643" s="1700"/>
      <c r="B643" s="1698"/>
      <c r="C643" s="1712"/>
      <c r="D643" s="1699"/>
      <c r="E643" s="1699"/>
      <c r="F643" s="1699"/>
      <c r="G643" s="1699"/>
      <c r="H643" s="1699"/>
      <c r="I643" s="1706"/>
      <c r="J643" s="1706"/>
      <c r="K643" s="1713" t="str">
        <f t="shared" si="88"/>
        <v/>
      </c>
      <c r="L643">
        <f t="shared" si="89"/>
        <v>0</v>
      </c>
      <c r="Q643">
        <f t="shared" si="90"/>
        <v>0</v>
      </c>
      <c r="R643">
        <f t="shared" si="91"/>
        <v>0</v>
      </c>
      <c r="S643">
        <f t="shared" si="92"/>
        <v>0</v>
      </c>
      <c r="T643">
        <f t="shared" si="93"/>
        <v>0</v>
      </c>
      <c r="U643">
        <f t="shared" si="94"/>
        <v>0</v>
      </c>
      <c r="V643">
        <f t="shared" si="95"/>
        <v>0</v>
      </c>
      <c r="AA643">
        <f t="shared" si="87"/>
        <v>0</v>
      </c>
      <c r="AL643" s="142"/>
    </row>
    <row r="644" spans="1:38" hidden="1" x14ac:dyDescent="0.2">
      <c r="A644" s="1700"/>
      <c r="B644" s="1698"/>
      <c r="C644" s="1712"/>
      <c r="D644" s="1699"/>
      <c r="E644" s="1699"/>
      <c r="F644" s="1699"/>
      <c r="G644" s="1699"/>
      <c r="H644" s="1699"/>
      <c r="I644" s="1706"/>
      <c r="J644" s="1706"/>
      <c r="K644" s="1713" t="str">
        <f t="shared" si="88"/>
        <v/>
      </c>
      <c r="L644">
        <f t="shared" si="89"/>
        <v>0</v>
      </c>
      <c r="Q644">
        <f t="shared" si="90"/>
        <v>0</v>
      </c>
      <c r="R644">
        <f t="shared" si="91"/>
        <v>0</v>
      </c>
      <c r="S644">
        <f t="shared" si="92"/>
        <v>0</v>
      </c>
      <c r="T644">
        <f t="shared" si="93"/>
        <v>0</v>
      </c>
      <c r="U644">
        <f t="shared" si="94"/>
        <v>0</v>
      </c>
      <c r="V644">
        <f t="shared" si="95"/>
        <v>0</v>
      </c>
      <c r="AA644">
        <f t="shared" si="87"/>
        <v>0</v>
      </c>
      <c r="AL644" s="142"/>
    </row>
    <row r="645" spans="1:38" hidden="1" x14ac:dyDescent="0.2">
      <c r="A645" s="1700"/>
      <c r="B645" s="1698"/>
      <c r="C645" s="1712"/>
      <c r="D645" s="1699"/>
      <c r="E645" s="1699"/>
      <c r="F645" s="1699"/>
      <c r="G645" s="1699"/>
      <c r="H645" s="1699"/>
      <c r="I645" s="1706"/>
      <c r="J645" s="1706"/>
      <c r="K645" s="1713" t="str">
        <f t="shared" si="88"/>
        <v/>
      </c>
      <c r="L645">
        <f t="shared" si="89"/>
        <v>0</v>
      </c>
      <c r="Q645">
        <f t="shared" si="90"/>
        <v>0</v>
      </c>
      <c r="R645">
        <f t="shared" si="91"/>
        <v>0</v>
      </c>
      <c r="S645">
        <f t="shared" si="92"/>
        <v>0</v>
      </c>
      <c r="T645">
        <f t="shared" si="93"/>
        <v>0</v>
      </c>
      <c r="U645">
        <f t="shared" si="94"/>
        <v>0</v>
      </c>
      <c r="V645">
        <f t="shared" si="95"/>
        <v>0</v>
      </c>
      <c r="AA645">
        <f t="shared" si="87"/>
        <v>0</v>
      </c>
      <c r="AL645" s="142"/>
    </row>
    <row r="646" spans="1:38" hidden="1" x14ac:dyDescent="0.2">
      <c r="A646" s="1700"/>
      <c r="B646" s="1698"/>
      <c r="C646" s="1712"/>
      <c r="D646" s="1699"/>
      <c r="E646" s="1699"/>
      <c r="F646" s="1699"/>
      <c r="G646" s="1699"/>
      <c r="H646" s="1699"/>
      <c r="I646" s="1706"/>
      <c r="J646" s="1706"/>
      <c r="K646" s="1713" t="str">
        <f t="shared" si="88"/>
        <v/>
      </c>
      <c r="L646">
        <f t="shared" si="89"/>
        <v>0</v>
      </c>
      <c r="Q646">
        <f t="shared" si="90"/>
        <v>0</v>
      </c>
      <c r="R646">
        <f t="shared" si="91"/>
        <v>0</v>
      </c>
      <c r="S646">
        <f t="shared" si="92"/>
        <v>0</v>
      </c>
      <c r="T646">
        <f t="shared" si="93"/>
        <v>0</v>
      </c>
      <c r="U646">
        <f t="shared" si="94"/>
        <v>0</v>
      </c>
      <c r="V646">
        <f t="shared" si="95"/>
        <v>0</v>
      </c>
      <c r="AA646">
        <f t="shared" si="87"/>
        <v>0</v>
      </c>
      <c r="AL646" s="142"/>
    </row>
    <row r="647" spans="1:38" hidden="1" x14ac:dyDescent="0.2">
      <c r="A647" s="1700"/>
      <c r="B647" s="1698"/>
      <c r="C647" s="1712"/>
      <c r="D647" s="1699"/>
      <c r="E647" s="1699"/>
      <c r="F647" s="1699"/>
      <c r="G647" s="1699"/>
      <c r="H647" s="1699"/>
      <c r="I647" s="1706"/>
      <c r="J647" s="1706"/>
      <c r="K647" s="1713" t="str">
        <f t="shared" si="88"/>
        <v/>
      </c>
      <c r="L647">
        <f t="shared" si="89"/>
        <v>0</v>
      </c>
      <c r="Q647">
        <f t="shared" si="90"/>
        <v>0</v>
      </c>
      <c r="R647">
        <f t="shared" si="91"/>
        <v>0</v>
      </c>
      <c r="S647">
        <f t="shared" si="92"/>
        <v>0</v>
      </c>
      <c r="T647">
        <f t="shared" si="93"/>
        <v>0</v>
      </c>
      <c r="U647">
        <f t="shared" si="94"/>
        <v>0</v>
      </c>
      <c r="V647">
        <f t="shared" si="95"/>
        <v>0</v>
      </c>
      <c r="AA647">
        <f t="shared" si="87"/>
        <v>0</v>
      </c>
      <c r="AL647" s="142"/>
    </row>
    <row r="648" spans="1:38" hidden="1" x14ac:dyDescent="0.2">
      <c r="A648" s="1700"/>
      <c r="B648" s="1698"/>
      <c r="C648" s="1712"/>
      <c r="D648" s="1699"/>
      <c r="E648" s="1699"/>
      <c r="F648" s="1699"/>
      <c r="G648" s="1699"/>
      <c r="H648" s="1699"/>
      <c r="I648" s="1706"/>
      <c r="J648" s="1706"/>
      <c r="K648" s="1713" t="str">
        <f t="shared" si="88"/>
        <v/>
      </c>
      <c r="L648">
        <f t="shared" si="89"/>
        <v>0</v>
      </c>
      <c r="Q648">
        <f t="shared" si="90"/>
        <v>0</v>
      </c>
      <c r="R648">
        <f t="shared" si="91"/>
        <v>0</v>
      </c>
      <c r="S648">
        <f t="shared" si="92"/>
        <v>0</v>
      </c>
      <c r="T648">
        <f t="shared" si="93"/>
        <v>0</v>
      </c>
      <c r="U648">
        <f t="shared" si="94"/>
        <v>0</v>
      </c>
      <c r="V648">
        <f t="shared" si="95"/>
        <v>0</v>
      </c>
      <c r="AA648">
        <f t="shared" si="87"/>
        <v>0</v>
      </c>
      <c r="AL648" s="142"/>
    </row>
    <row r="649" spans="1:38" hidden="1" x14ac:dyDescent="0.2">
      <c r="A649" s="1700"/>
      <c r="B649" s="1698"/>
      <c r="C649" s="1712"/>
      <c r="D649" s="1699"/>
      <c r="E649" s="1699"/>
      <c r="F649" s="1699"/>
      <c r="G649" s="1699"/>
      <c r="H649" s="1699"/>
      <c r="I649" s="1706"/>
      <c r="J649" s="1706"/>
      <c r="K649" s="1713" t="str">
        <f t="shared" si="88"/>
        <v/>
      </c>
      <c r="L649">
        <f t="shared" si="89"/>
        <v>0</v>
      </c>
      <c r="Q649">
        <f t="shared" si="90"/>
        <v>0</v>
      </c>
      <c r="R649">
        <f t="shared" si="91"/>
        <v>0</v>
      </c>
      <c r="S649">
        <f t="shared" si="92"/>
        <v>0</v>
      </c>
      <c r="T649">
        <f t="shared" si="93"/>
        <v>0</v>
      </c>
      <c r="U649">
        <f t="shared" si="94"/>
        <v>0</v>
      </c>
      <c r="V649">
        <f t="shared" si="95"/>
        <v>0</v>
      </c>
      <c r="AA649">
        <f t="shared" si="87"/>
        <v>0</v>
      </c>
      <c r="AL649" s="142"/>
    </row>
    <row r="650" spans="1:38" hidden="1" x14ac:dyDescent="0.2">
      <c r="A650" s="1700"/>
      <c r="B650" s="1698"/>
      <c r="C650" s="1712"/>
      <c r="D650" s="1699"/>
      <c r="E650" s="1699"/>
      <c r="F650" s="1699"/>
      <c r="G650" s="1699"/>
      <c r="H650" s="1699"/>
      <c r="I650" s="1706"/>
      <c r="J650" s="1706"/>
      <c r="K650" s="1713" t="str">
        <f t="shared" si="88"/>
        <v/>
      </c>
      <c r="L650">
        <f t="shared" si="89"/>
        <v>0</v>
      </c>
      <c r="Q650">
        <f t="shared" si="90"/>
        <v>0</v>
      </c>
      <c r="R650">
        <f t="shared" si="91"/>
        <v>0</v>
      </c>
      <c r="S650">
        <f t="shared" si="92"/>
        <v>0</v>
      </c>
      <c r="T650">
        <f t="shared" si="93"/>
        <v>0</v>
      </c>
      <c r="U650">
        <f t="shared" si="94"/>
        <v>0</v>
      </c>
      <c r="V650">
        <f t="shared" si="95"/>
        <v>0</v>
      </c>
      <c r="AA650">
        <f t="shared" si="87"/>
        <v>0</v>
      </c>
      <c r="AL650" s="142"/>
    </row>
    <row r="651" spans="1:38" hidden="1" x14ac:dyDescent="0.2">
      <c r="A651" s="1700"/>
      <c r="B651" s="1698"/>
      <c r="C651" s="1712"/>
      <c r="D651" s="1699"/>
      <c r="E651" s="1699"/>
      <c r="F651" s="1699"/>
      <c r="G651" s="1699"/>
      <c r="H651" s="1699"/>
      <c r="I651" s="1706"/>
      <c r="J651" s="1706"/>
      <c r="K651" s="1713" t="str">
        <f t="shared" si="88"/>
        <v/>
      </c>
      <c r="L651">
        <f t="shared" si="89"/>
        <v>0</v>
      </c>
      <c r="Q651">
        <f t="shared" si="90"/>
        <v>0</v>
      </c>
      <c r="R651">
        <f t="shared" si="91"/>
        <v>0</v>
      </c>
      <c r="S651">
        <f t="shared" si="92"/>
        <v>0</v>
      </c>
      <c r="T651">
        <f t="shared" si="93"/>
        <v>0</v>
      </c>
      <c r="U651">
        <f t="shared" si="94"/>
        <v>0</v>
      </c>
      <c r="V651">
        <f t="shared" si="95"/>
        <v>0</v>
      </c>
      <c r="AA651">
        <f t="shared" si="87"/>
        <v>0</v>
      </c>
      <c r="AL651" s="142"/>
    </row>
    <row r="652" spans="1:38" hidden="1" x14ac:dyDescent="0.2">
      <c r="A652" s="1700"/>
      <c r="B652" s="1698"/>
      <c r="C652" s="1712"/>
      <c r="D652" s="1699"/>
      <c r="E652" s="1699"/>
      <c r="F652" s="1699"/>
      <c r="G652" s="1699"/>
      <c r="H652" s="1699"/>
      <c r="I652" s="1706"/>
      <c r="J652" s="1706"/>
      <c r="K652" s="1713" t="str">
        <f t="shared" si="88"/>
        <v/>
      </c>
      <c r="L652">
        <f t="shared" si="89"/>
        <v>0</v>
      </c>
      <c r="Q652">
        <f t="shared" si="90"/>
        <v>0</v>
      </c>
      <c r="R652">
        <f t="shared" si="91"/>
        <v>0</v>
      </c>
      <c r="S652">
        <f t="shared" si="92"/>
        <v>0</v>
      </c>
      <c r="T652">
        <f t="shared" si="93"/>
        <v>0</v>
      </c>
      <c r="U652">
        <f t="shared" si="94"/>
        <v>0</v>
      </c>
      <c r="V652">
        <f t="shared" si="95"/>
        <v>0</v>
      </c>
      <c r="AA652">
        <f t="shared" si="87"/>
        <v>0</v>
      </c>
      <c r="AL652" s="142"/>
    </row>
    <row r="653" spans="1:38" hidden="1" x14ac:dyDescent="0.2">
      <c r="A653" s="1700"/>
      <c r="B653" s="1698"/>
      <c r="C653" s="1712"/>
      <c r="D653" s="1699"/>
      <c r="E653" s="1699"/>
      <c r="F653" s="1699"/>
      <c r="G653" s="1699"/>
      <c r="H653" s="1699"/>
      <c r="I653" s="1706"/>
      <c r="J653" s="1706"/>
      <c r="K653" s="1713" t="str">
        <f t="shared" si="88"/>
        <v/>
      </c>
      <c r="L653">
        <f t="shared" si="89"/>
        <v>0</v>
      </c>
      <c r="Q653">
        <f t="shared" si="90"/>
        <v>0</v>
      </c>
      <c r="R653">
        <f t="shared" si="91"/>
        <v>0</v>
      </c>
      <c r="S653">
        <f t="shared" si="92"/>
        <v>0</v>
      </c>
      <c r="T653">
        <f t="shared" si="93"/>
        <v>0</v>
      </c>
      <c r="U653">
        <f t="shared" si="94"/>
        <v>0</v>
      </c>
      <c r="V653">
        <f t="shared" si="95"/>
        <v>0</v>
      </c>
      <c r="AA653">
        <f t="shared" si="87"/>
        <v>0</v>
      </c>
      <c r="AL653" s="142"/>
    </row>
    <row r="654" spans="1:38" hidden="1" x14ac:dyDescent="0.2">
      <c r="A654" s="1700"/>
      <c r="B654" s="1698"/>
      <c r="C654" s="1712"/>
      <c r="D654" s="1699"/>
      <c r="E654" s="1699"/>
      <c r="F654" s="1699"/>
      <c r="G654" s="1699"/>
      <c r="H654" s="1699"/>
      <c r="I654" s="1706"/>
      <c r="J654" s="1706"/>
      <c r="K654" s="1713" t="str">
        <f t="shared" si="88"/>
        <v/>
      </c>
      <c r="L654">
        <f t="shared" si="89"/>
        <v>0</v>
      </c>
      <c r="Q654">
        <f t="shared" si="90"/>
        <v>0</v>
      </c>
      <c r="R654">
        <f t="shared" si="91"/>
        <v>0</v>
      </c>
      <c r="S654">
        <f t="shared" si="92"/>
        <v>0</v>
      </c>
      <c r="T654">
        <f t="shared" si="93"/>
        <v>0</v>
      </c>
      <c r="U654">
        <f t="shared" si="94"/>
        <v>0</v>
      </c>
      <c r="V654">
        <f t="shared" si="95"/>
        <v>0</v>
      </c>
      <c r="AA654">
        <f t="shared" si="87"/>
        <v>0</v>
      </c>
      <c r="AL654" s="142"/>
    </row>
    <row r="655" spans="1:38" hidden="1" x14ac:dyDescent="0.2">
      <c r="A655" s="1700"/>
      <c r="B655" s="1698"/>
      <c r="C655" s="1712"/>
      <c r="D655" s="1699"/>
      <c r="E655" s="1699"/>
      <c r="F655" s="1699"/>
      <c r="G655" s="1699"/>
      <c r="H655" s="1699"/>
      <c r="I655" s="1706"/>
      <c r="J655" s="1706"/>
      <c r="K655" s="1713" t="str">
        <f t="shared" si="88"/>
        <v/>
      </c>
      <c r="L655">
        <f t="shared" si="89"/>
        <v>0</v>
      </c>
      <c r="Q655">
        <f t="shared" si="90"/>
        <v>0</v>
      </c>
      <c r="R655">
        <f t="shared" si="91"/>
        <v>0</v>
      </c>
      <c r="S655">
        <f t="shared" si="92"/>
        <v>0</v>
      </c>
      <c r="T655">
        <f t="shared" si="93"/>
        <v>0</v>
      </c>
      <c r="U655">
        <f t="shared" si="94"/>
        <v>0</v>
      </c>
      <c r="V655">
        <f t="shared" si="95"/>
        <v>0</v>
      </c>
      <c r="AA655">
        <f t="shared" si="87"/>
        <v>0</v>
      </c>
      <c r="AL655" s="142"/>
    </row>
    <row r="656" spans="1:38" hidden="1" x14ac:dyDescent="0.2">
      <c r="A656" s="1700"/>
      <c r="B656" s="1698"/>
      <c r="C656" s="1712"/>
      <c r="D656" s="1699"/>
      <c r="E656" s="1699"/>
      <c r="F656" s="1699"/>
      <c r="G656" s="1699"/>
      <c r="H656" s="1699"/>
      <c r="I656" s="1706"/>
      <c r="J656" s="1706"/>
      <c r="K656" s="1713" t="str">
        <f t="shared" si="88"/>
        <v/>
      </c>
      <c r="L656">
        <f t="shared" si="89"/>
        <v>0</v>
      </c>
      <c r="Q656">
        <f t="shared" si="90"/>
        <v>0</v>
      </c>
      <c r="R656">
        <f t="shared" si="91"/>
        <v>0</v>
      </c>
      <c r="S656">
        <f t="shared" si="92"/>
        <v>0</v>
      </c>
      <c r="T656">
        <f t="shared" si="93"/>
        <v>0</v>
      </c>
      <c r="U656">
        <f t="shared" si="94"/>
        <v>0</v>
      </c>
      <c r="V656">
        <f t="shared" si="95"/>
        <v>0</v>
      </c>
      <c r="AA656">
        <f t="shared" si="87"/>
        <v>0</v>
      </c>
      <c r="AL656" s="142"/>
    </row>
    <row r="657" spans="1:38" hidden="1" x14ac:dyDescent="0.2">
      <c r="A657" s="1700"/>
      <c r="B657" s="1698"/>
      <c r="C657" s="1712"/>
      <c r="D657" s="1699"/>
      <c r="E657" s="1699"/>
      <c r="F657" s="1699"/>
      <c r="G657" s="1699"/>
      <c r="H657" s="1699"/>
      <c r="I657" s="1706"/>
      <c r="J657" s="1706"/>
      <c r="K657" s="1713" t="str">
        <f t="shared" si="88"/>
        <v/>
      </c>
      <c r="L657">
        <f t="shared" si="89"/>
        <v>0</v>
      </c>
      <c r="Q657">
        <f t="shared" si="90"/>
        <v>0</v>
      </c>
      <c r="R657">
        <f t="shared" si="91"/>
        <v>0</v>
      </c>
      <c r="S657">
        <f t="shared" si="92"/>
        <v>0</v>
      </c>
      <c r="T657">
        <f t="shared" si="93"/>
        <v>0</v>
      </c>
      <c r="U657">
        <f t="shared" si="94"/>
        <v>0</v>
      </c>
      <c r="V657">
        <f t="shared" si="95"/>
        <v>0</v>
      </c>
      <c r="AA657">
        <f t="shared" si="87"/>
        <v>0</v>
      </c>
      <c r="AL657" s="142"/>
    </row>
    <row r="658" spans="1:38" hidden="1" x14ac:dyDescent="0.2">
      <c r="A658" s="1700"/>
      <c r="B658" s="1698"/>
      <c r="C658" s="1712"/>
      <c r="D658" s="1699"/>
      <c r="E658" s="1699"/>
      <c r="F658" s="1699"/>
      <c r="G658" s="1699"/>
      <c r="H658" s="1699"/>
      <c r="I658" s="1706"/>
      <c r="J658" s="1706"/>
      <c r="K658" s="1713" t="str">
        <f t="shared" si="88"/>
        <v/>
      </c>
      <c r="L658">
        <f t="shared" si="89"/>
        <v>0</v>
      </c>
      <c r="Q658">
        <f t="shared" si="90"/>
        <v>0</v>
      </c>
      <c r="R658">
        <f t="shared" si="91"/>
        <v>0</v>
      </c>
      <c r="S658">
        <f t="shared" si="92"/>
        <v>0</v>
      </c>
      <c r="T658">
        <f t="shared" si="93"/>
        <v>0</v>
      </c>
      <c r="U658">
        <f t="shared" si="94"/>
        <v>0</v>
      </c>
      <c r="V658">
        <f t="shared" si="95"/>
        <v>0</v>
      </c>
      <c r="AA658">
        <f t="shared" si="87"/>
        <v>0</v>
      </c>
      <c r="AL658" s="142"/>
    </row>
    <row r="659" spans="1:38" hidden="1" x14ac:dyDescent="0.2">
      <c r="A659" s="1700"/>
      <c r="B659" s="1698"/>
      <c r="C659" s="1712"/>
      <c r="D659" s="1699"/>
      <c r="E659" s="1699"/>
      <c r="F659" s="1699"/>
      <c r="G659" s="1699"/>
      <c r="H659" s="1699"/>
      <c r="I659" s="1706"/>
      <c r="J659" s="1706"/>
      <c r="K659" s="1713" t="str">
        <f t="shared" si="88"/>
        <v/>
      </c>
      <c r="L659">
        <f t="shared" si="89"/>
        <v>0</v>
      </c>
      <c r="Q659">
        <f t="shared" si="90"/>
        <v>0</v>
      </c>
      <c r="R659">
        <f t="shared" si="91"/>
        <v>0</v>
      </c>
      <c r="S659">
        <f t="shared" si="92"/>
        <v>0</v>
      </c>
      <c r="T659">
        <f t="shared" si="93"/>
        <v>0</v>
      </c>
      <c r="U659">
        <f t="shared" si="94"/>
        <v>0</v>
      </c>
      <c r="V659">
        <f t="shared" si="95"/>
        <v>0</v>
      </c>
      <c r="AA659">
        <f t="shared" si="87"/>
        <v>0</v>
      </c>
      <c r="AL659" s="142"/>
    </row>
    <row r="660" spans="1:38" hidden="1" x14ac:dyDescent="0.2">
      <c r="A660" s="1700"/>
      <c r="B660" s="1698"/>
      <c r="C660" s="1712"/>
      <c r="D660" s="1699"/>
      <c r="E660" s="1699"/>
      <c r="F660" s="1699"/>
      <c r="G660" s="1699"/>
      <c r="H660" s="1699"/>
      <c r="I660" s="1706"/>
      <c r="J660" s="1706"/>
      <c r="K660" s="1713" t="str">
        <f t="shared" si="88"/>
        <v/>
      </c>
      <c r="L660">
        <f t="shared" si="89"/>
        <v>0</v>
      </c>
      <c r="Q660">
        <f t="shared" si="90"/>
        <v>0</v>
      </c>
      <c r="R660">
        <f t="shared" si="91"/>
        <v>0</v>
      </c>
      <c r="S660">
        <f t="shared" si="92"/>
        <v>0</v>
      </c>
      <c r="T660">
        <f t="shared" si="93"/>
        <v>0</v>
      </c>
      <c r="U660">
        <f t="shared" si="94"/>
        <v>0</v>
      </c>
      <c r="V660">
        <f t="shared" si="95"/>
        <v>0</v>
      </c>
      <c r="AA660">
        <f t="shared" si="87"/>
        <v>0</v>
      </c>
      <c r="AL660" s="142"/>
    </row>
    <row r="661" spans="1:38" hidden="1" x14ac:dyDescent="0.2">
      <c r="A661" s="1700"/>
      <c r="B661" s="1698"/>
      <c r="C661" s="1712"/>
      <c r="D661" s="1699"/>
      <c r="E661" s="1699"/>
      <c r="F661" s="1699"/>
      <c r="G661" s="1699"/>
      <c r="H661" s="1699"/>
      <c r="I661" s="1706"/>
      <c r="J661" s="1706"/>
      <c r="K661" s="1713" t="str">
        <f t="shared" si="88"/>
        <v/>
      </c>
      <c r="L661">
        <f t="shared" si="89"/>
        <v>0</v>
      </c>
      <c r="Q661">
        <f t="shared" si="90"/>
        <v>0</v>
      </c>
      <c r="R661">
        <f t="shared" si="91"/>
        <v>0</v>
      </c>
      <c r="S661">
        <f t="shared" si="92"/>
        <v>0</v>
      </c>
      <c r="T661">
        <f t="shared" si="93"/>
        <v>0</v>
      </c>
      <c r="U661">
        <f t="shared" si="94"/>
        <v>0</v>
      </c>
      <c r="V661">
        <f t="shared" si="95"/>
        <v>0</v>
      </c>
      <c r="AA661">
        <f t="shared" si="87"/>
        <v>0</v>
      </c>
      <c r="AL661" s="142"/>
    </row>
    <row r="662" spans="1:38" hidden="1" x14ac:dyDescent="0.2">
      <c r="A662" s="1700"/>
      <c r="B662" s="1698"/>
      <c r="C662" s="1712"/>
      <c r="D662" s="1699"/>
      <c r="E662" s="1699"/>
      <c r="F662" s="1699"/>
      <c r="G662" s="1699"/>
      <c r="H662" s="1699"/>
      <c r="I662" s="1706"/>
      <c r="J662" s="1706"/>
      <c r="K662" s="1713" t="str">
        <f t="shared" si="88"/>
        <v/>
      </c>
      <c r="L662">
        <f t="shared" si="89"/>
        <v>0</v>
      </c>
      <c r="Q662">
        <f t="shared" si="90"/>
        <v>0</v>
      </c>
      <c r="R662">
        <f t="shared" si="91"/>
        <v>0</v>
      </c>
      <c r="S662">
        <f t="shared" si="92"/>
        <v>0</v>
      </c>
      <c r="T662">
        <f t="shared" si="93"/>
        <v>0</v>
      </c>
      <c r="U662">
        <f t="shared" si="94"/>
        <v>0</v>
      </c>
      <c r="V662">
        <f t="shared" si="95"/>
        <v>0</v>
      </c>
      <c r="AA662">
        <f t="shared" si="87"/>
        <v>0</v>
      </c>
      <c r="AL662" s="142"/>
    </row>
    <row r="663" spans="1:38" hidden="1" x14ac:dyDescent="0.2">
      <c r="A663" s="1700"/>
      <c r="B663" s="1698"/>
      <c r="C663" s="1712"/>
      <c r="D663" s="1699"/>
      <c r="E663" s="1699"/>
      <c r="F663" s="1699"/>
      <c r="G663" s="1699"/>
      <c r="H663" s="1699"/>
      <c r="I663" s="1706"/>
      <c r="J663" s="1706"/>
      <c r="K663" s="1713" t="str">
        <f t="shared" si="88"/>
        <v/>
      </c>
      <c r="L663">
        <f t="shared" si="89"/>
        <v>0</v>
      </c>
      <c r="Q663">
        <f t="shared" si="90"/>
        <v>0</v>
      </c>
      <c r="R663">
        <f t="shared" si="91"/>
        <v>0</v>
      </c>
      <c r="S663">
        <f t="shared" si="92"/>
        <v>0</v>
      </c>
      <c r="T663">
        <f t="shared" si="93"/>
        <v>0</v>
      </c>
      <c r="U663">
        <f t="shared" si="94"/>
        <v>0</v>
      </c>
      <c r="V663">
        <f t="shared" si="95"/>
        <v>0</v>
      </c>
      <c r="AA663">
        <f t="shared" si="87"/>
        <v>0</v>
      </c>
      <c r="AL663" s="142"/>
    </row>
    <row r="664" spans="1:38" hidden="1" x14ac:dyDescent="0.2">
      <c r="A664" s="1700"/>
      <c r="B664" s="1698"/>
      <c r="C664" s="1712"/>
      <c r="D664" s="1699"/>
      <c r="E664" s="1699"/>
      <c r="F664" s="1699"/>
      <c r="G664" s="1699"/>
      <c r="H664" s="1699"/>
      <c r="I664" s="1706"/>
      <c r="J664" s="1706"/>
      <c r="K664" s="1713" t="str">
        <f t="shared" si="88"/>
        <v/>
      </c>
      <c r="L664">
        <f t="shared" si="89"/>
        <v>0</v>
      </c>
      <c r="Q664">
        <f t="shared" si="90"/>
        <v>0</v>
      </c>
      <c r="R664">
        <f t="shared" si="91"/>
        <v>0</v>
      </c>
      <c r="S664">
        <f t="shared" si="92"/>
        <v>0</v>
      </c>
      <c r="T664">
        <f t="shared" si="93"/>
        <v>0</v>
      </c>
      <c r="U664">
        <f t="shared" si="94"/>
        <v>0</v>
      </c>
      <c r="V664">
        <f t="shared" si="95"/>
        <v>0</v>
      </c>
      <c r="AA664">
        <f t="shared" si="87"/>
        <v>0</v>
      </c>
      <c r="AL664" s="142"/>
    </row>
    <row r="665" spans="1:38" hidden="1" x14ac:dyDescent="0.2">
      <c r="A665" s="1700"/>
      <c r="B665" s="1698"/>
      <c r="C665" s="1712"/>
      <c r="D665" s="1699"/>
      <c r="E665" s="1699"/>
      <c r="F665" s="1699"/>
      <c r="G665" s="1699"/>
      <c r="H665" s="1699"/>
      <c r="I665" s="1706"/>
      <c r="J665" s="1706"/>
      <c r="K665" s="1713" t="str">
        <f t="shared" si="88"/>
        <v/>
      </c>
      <c r="L665">
        <f t="shared" si="89"/>
        <v>0</v>
      </c>
      <c r="Q665">
        <f t="shared" si="90"/>
        <v>0</v>
      </c>
      <c r="R665">
        <f t="shared" si="91"/>
        <v>0</v>
      </c>
      <c r="S665">
        <f t="shared" si="92"/>
        <v>0</v>
      </c>
      <c r="T665">
        <f t="shared" si="93"/>
        <v>0</v>
      </c>
      <c r="U665">
        <f t="shared" si="94"/>
        <v>0</v>
      </c>
      <c r="V665">
        <f t="shared" si="95"/>
        <v>0</v>
      </c>
      <c r="AA665">
        <f t="shared" ref="AA665:AA728" si="96">IF(ISERROR(VLOOKUP($B665,eu_countries,1,FALSE))=TRUE,0,1)</f>
      </c>
      <c r="AL665" s="142"/>
    </row>
    <row r="666" spans="1:38" hidden="1" x14ac:dyDescent="0.2">
      <c r="A666" s="1700"/>
      <c r="B666" s="1698"/>
      <c r="C666" s="1712"/>
      <c r="D666" s="1699"/>
      <c r="E666" s="1699"/>
      <c r="F666" s="1699"/>
      <c r="G666" s="1699"/>
      <c r="H666" s="1699"/>
      <c r="I666" s="1706"/>
      <c r="J666" s="1706"/>
      <c r="K666" s="1713" t="str">
        <f t="shared" ref="K666:K729" si="97">IF(AND(AA666=1,A666=$S$59),"TIN required!",IF(Q666&gt;R666," All details required!",""))</f>
        <v/>
      </c>
      <c r="L666">
        <f t="shared" ref="L666:L729" si="98">IF(K666="",0,1)</f>
      </c>
      <c r="Q666">
        <f t="shared" ref="Q666:Q729" si="99">IF(AND(G660="Yes",R666=0),7,IF(S666=0,0,IF(A666=$S$59,10,7)))</f>
      </c>
      <c r="R666">
        <f t="shared" ref="R666:R729" si="100">IF(AND(AA666=0,A666=$S$59),T666+U666+V666,T666+V666)</f>
      </c>
      <c r="S666">
        <f t="shared" ref="S666:S729" si="101">SUM(T666:V666)</f>
      </c>
      <c r="T666">
        <f t="shared" ref="T666:T729" si="102">COUNTA(A666:B666)</f>
      </c>
      <c r="U666">
        <f t="shared" ref="U666:U729" si="103">COUNTA(C666:E666)</f>
      </c>
      <c r="V666">
        <f t="shared" ref="V666:V729" si="104">COUNTA(F666:J666)</f>
      </c>
      <c r="AA666">
        <f t="shared" si="96"/>
        <v>0</v>
      </c>
      <c r="AL666" s="142"/>
    </row>
    <row r="667" spans="1:38" hidden="1" x14ac:dyDescent="0.2">
      <c r="A667" s="1700"/>
      <c r="B667" s="1698"/>
      <c r="C667" s="1712"/>
      <c r="D667" s="1699"/>
      <c r="E667" s="1699"/>
      <c r="F667" s="1699"/>
      <c r="G667" s="1699"/>
      <c r="H667" s="1699"/>
      <c r="I667" s="1706"/>
      <c r="J667" s="1706"/>
      <c r="K667" s="1713" t="str">
        <f t="shared" si="97"/>
        <v/>
      </c>
      <c r="L667">
        <f t="shared" si="98"/>
        <v>0</v>
      </c>
      <c r="Q667">
        <f t="shared" si="99"/>
        <v>0</v>
      </c>
      <c r="R667">
        <f t="shared" si="100"/>
        <v>0</v>
      </c>
      <c r="S667">
        <f t="shared" si="101"/>
        <v>0</v>
      </c>
      <c r="T667">
        <f t="shared" si="102"/>
        <v>0</v>
      </c>
      <c r="U667">
        <f t="shared" si="103"/>
        <v>0</v>
      </c>
      <c r="V667">
        <f t="shared" si="104"/>
        <v>0</v>
      </c>
      <c r="AA667">
        <f t="shared" si="96"/>
        <v>0</v>
      </c>
      <c r="AL667" s="142"/>
    </row>
    <row r="668" spans="1:38" hidden="1" x14ac:dyDescent="0.2">
      <c r="A668" s="1700"/>
      <c r="B668" s="1698"/>
      <c r="C668" s="1712"/>
      <c r="D668" s="1699"/>
      <c r="E668" s="1699"/>
      <c r="F668" s="1699"/>
      <c r="G668" s="1699"/>
      <c r="H668" s="1699"/>
      <c r="I668" s="1706"/>
      <c r="J668" s="1706"/>
      <c r="K668" s="1713" t="str">
        <f t="shared" si="97"/>
        <v/>
      </c>
      <c r="L668">
        <f t="shared" si="98"/>
        <v>0</v>
      </c>
      <c r="Q668">
        <f t="shared" si="99"/>
        <v>0</v>
      </c>
      <c r="R668">
        <f t="shared" si="100"/>
        <v>0</v>
      </c>
      <c r="S668">
        <f t="shared" si="101"/>
        <v>0</v>
      </c>
      <c r="T668">
        <f t="shared" si="102"/>
        <v>0</v>
      </c>
      <c r="U668">
        <f t="shared" si="103"/>
        <v>0</v>
      </c>
      <c r="V668">
        <f t="shared" si="104"/>
        <v>0</v>
      </c>
      <c r="AA668">
        <f t="shared" si="96"/>
        <v>0</v>
      </c>
      <c r="AL668" s="142"/>
    </row>
    <row r="669" spans="1:38" hidden="1" x14ac:dyDescent="0.2">
      <c r="A669" s="1700"/>
      <c r="B669" s="1698"/>
      <c r="C669" s="1712"/>
      <c r="D669" s="1699"/>
      <c r="E669" s="1699"/>
      <c r="F669" s="1699"/>
      <c r="G669" s="1699"/>
      <c r="H669" s="1699"/>
      <c r="I669" s="1706"/>
      <c r="J669" s="1706"/>
      <c r="K669" s="1713" t="str">
        <f t="shared" si="97"/>
        <v/>
      </c>
      <c r="L669">
        <f t="shared" si="98"/>
        <v>0</v>
      </c>
      <c r="Q669">
        <f t="shared" si="99"/>
        <v>0</v>
      </c>
      <c r="R669">
        <f t="shared" si="100"/>
        <v>0</v>
      </c>
      <c r="S669">
        <f t="shared" si="101"/>
        <v>0</v>
      </c>
      <c r="T669">
        <f t="shared" si="102"/>
        <v>0</v>
      </c>
      <c r="U669">
        <f t="shared" si="103"/>
        <v>0</v>
      </c>
      <c r="V669">
        <f t="shared" si="104"/>
        <v>0</v>
      </c>
      <c r="AA669">
        <f t="shared" si="96"/>
        <v>0</v>
      </c>
      <c r="AL669" s="142"/>
    </row>
    <row r="670" spans="1:38" hidden="1" x14ac:dyDescent="0.2">
      <c r="A670" s="1700"/>
      <c r="B670" s="1698"/>
      <c r="C670" s="1712"/>
      <c r="D670" s="1699"/>
      <c r="E670" s="1699"/>
      <c r="F670" s="1699"/>
      <c r="G670" s="1699"/>
      <c r="H670" s="1699"/>
      <c r="I670" s="1706"/>
      <c r="J670" s="1706"/>
      <c r="K670" s="1713" t="str">
        <f t="shared" si="97"/>
        <v/>
      </c>
      <c r="L670">
        <f t="shared" si="98"/>
        <v>0</v>
      </c>
      <c r="Q670">
        <f t="shared" si="99"/>
        <v>0</v>
      </c>
      <c r="R670">
        <f t="shared" si="100"/>
        <v>0</v>
      </c>
      <c r="S670">
        <f t="shared" si="101"/>
        <v>0</v>
      </c>
      <c r="T670">
        <f t="shared" si="102"/>
        <v>0</v>
      </c>
      <c r="U670">
        <f t="shared" si="103"/>
        <v>0</v>
      </c>
      <c r="V670">
        <f t="shared" si="104"/>
        <v>0</v>
      </c>
      <c r="AA670">
        <f t="shared" si="96"/>
        <v>0</v>
      </c>
      <c r="AL670" s="142"/>
    </row>
    <row r="671" spans="1:38" hidden="1" x14ac:dyDescent="0.2">
      <c r="A671" s="1700"/>
      <c r="B671" s="1698"/>
      <c r="C671" s="1712"/>
      <c r="D671" s="1699"/>
      <c r="E671" s="1699"/>
      <c r="F671" s="1699"/>
      <c r="G671" s="1699"/>
      <c r="H671" s="1699"/>
      <c r="I671" s="1706"/>
      <c r="J671" s="1706"/>
      <c r="K671" s="1713" t="str">
        <f t="shared" si="97"/>
        <v/>
      </c>
      <c r="L671">
        <f t="shared" si="98"/>
        <v>0</v>
      </c>
      <c r="Q671">
        <f t="shared" si="99"/>
        <v>0</v>
      </c>
      <c r="R671">
        <f t="shared" si="100"/>
        <v>0</v>
      </c>
      <c r="S671">
        <f t="shared" si="101"/>
        <v>0</v>
      </c>
      <c r="T671">
        <f t="shared" si="102"/>
        <v>0</v>
      </c>
      <c r="U671">
        <f t="shared" si="103"/>
        <v>0</v>
      </c>
      <c r="V671">
        <f t="shared" si="104"/>
        <v>0</v>
      </c>
      <c r="AA671">
        <f t="shared" si="96"/>
        <v>0</v>
      </c>
      <c r="AL671" s="142"/>
    </row>
    <row r="672" spans="1:38" hidden="1" x14ac:dyDescent="0.2">
      <c r="A672" s="1700"/>
      <c r="B672" s="1698"/>
      <c r="C672" s="1712"/>
      <c r="D672" s="1699"/>
      <c r="E672" s="1699"/>
      <c r="F672" s="1699"/>
      <c r="G672" s="1699"/>
      <c r="H672" s="1699"/>
      <c r="I672" s="1706"/>
      <c r="J672" s="1706"/>
      <c r="K672" s="1713" t="str">
        <f t="shared" si="97"/>
        <v/>
      </c>
      <c r="L672">
        <f t="shared" si="98"/>
        <v>0</v>
      </c>
      <c r="Q672">
        <f t="shared" si="99"/>
        <v>0</v>
      </c>
      <c r="R672">
        <f t="shared" si="100"/>
        <v>0</v>
      </c>
      <c r="S672">
        <f t="shared" si="101"/>
        <v>0</v>
      </c>
      <c r="T672">
        <f t="shared" si="102"/>
        <v>0</v>
      </c>
      <c r="U672">
        <f t="shared" si="103"/>
        <v>0</v>
      </c>
      <c r="V672">
        <f t="shared" si="104"/>
        <v>0</v>
      </c>
      <c r="AA672">
        <f t="shared" si="96"/>
        <v>0</v>
      </c>
      <c r="AL672" s="142"/>
    </row>
    <row r="673" spans="1:38" hidden="1" x14ac:dyDescent="0.2">
      <c r="A673" s="1700"/>
      <c r="B673" s="1698"/>
      <c r="C673" s="1712"/>
      <c r="D673" s="1699"/>
      <c r="E673" s="1699"/>
      <c r="F673" s="1699"/>
      <c r="G673" s="1699"/>
      <c r="H673" s="1699"/>
      <c r="I673" s="1706"/>
      <c r="J673" s="1706"/>
      <c r="K673" s="1713" t="str">
        <f t="shared" si="97"/>
        <v/>
      </c>
      <c r="L673">
        <f t="shared" si="98"/>
        <v>0</v>
      </c>
      <c r="Q673">
        <f t="shared" si="99"/>
        <v>0</v>
      </c>
      <c r="R673">
        <f t="shared" si="100"/>
        <v>0</v>
      </c>
      <c r="S673">
        <f t="shared" si="101"/>
        <v>0</v>
      </c>
      <c r="T673">
        <f t="shared" si="102"/>
        <v>0</v>
      </c>
      <c r="U673">
        <f t="shared" si="103"/>
        <v>0</v>
      </c>
      <c r="V673">
        <f t="shared" si="104"/>
        <v>0</v>
      </c>
      <c r="AA673">
        <f t="shared" si="96"/>
        <v>0</v>
      </c>
      <c r="AL673" s="142"/>
    </row>
    <row r="674" spans="1:38" hidden="1" x14ac:dyDescent="0.2">
      <c r="A674" s="1700"/>
      <c r="B674" s="1698"/>
      <c r="C674" s="1712"/>
      <c r="D674" s="1699"/>
      <c r="E674" s="1699"/>
      <c r="F674" s="1699"/>
      <c r="G674" s="1699"/>
      <c r="H674" s="1699"/>
      <c r="I674" s="1706"/>
      <c r="J674" s="1706"/>
      <c r="K674" s="1713" t="str">
        <f t="shared" si="97"/>
        <v/>
      </c>
      <c r="L674">
        <f t="shared" si="98"/>
        <v>0</v>
      </c>
      <c r="Q674">
        <f t="shared" si="99"/>
        <v>0</v>
      </c>
      <c r="R674">
        <f t="shared" si="100"/>
        <v>0</v>
      </c>
      <c r="S674">
        <f t="shared" si="101"/>
        <v>0</v>
      </c>
      <c r="T674">
        <f t="shared" si="102"/>
        <v>0</v>
      </c>
      <c r="U674">
        <f t="shared" si="103"/>
        <v>0</v>
      </c>
      <c r="V674">
        <f t="shared" si="104"/>
        <v>0</v>
      </c>
      <c r="AA674">
        <f t="shared" si="96"/>
        <v>0</v>
      </c>
      <c r="AL674" s="142"/>
    </row>
    <row r="675" spans="1:38" hidden="1" x14ac:dyDescent="0.2">
      <c r="A675" s="1700"/>
      <c r="B675" s="1698"/>
      <c r="C675" s="1712"/>
      <c r="D675" s="1699"/>
      <c r="E675" s="1699"/>
      <c r="F675" s="1699"/>
      <c r="G675" s="1699"/>
      <c r="H675" s="1699"/>
      <c r="I675" s="1706"/>
      <c r="J675" s="1706"/>
      <c r="K675" s="1713" t="str">
        <f t="shared" si="97"/>
        <v/>
      </c>
      <c r="L675">
        <f t="shared" si="98"/>
        <v>0</v>
      </c>
      <c r="Q675">
        <f t="shared" si="99"/>
        <v>0</v>
      </c>
      <c r="R675">
        <f t="shared" si="100"/>
        <v>0</v>
      </c>
      <c r="S675">
        <f t="shared" si="101"/>
        <v>0</v>
      </c>
      <c r="T675">
        <f t="shared" si="102"/>
        <v>0</v>
      </c>
      <c r="U675">
        <f t="shared" si="103"/>
        <v>0</v>
      </c>
      <c r="V675">
        <f t="shared" si="104"/>
        <v>0</v>
      </c>
      <c r="AA675">
        <f t="shared" si="96"/>
        <v>0</v>
      </c>
      <c r="AL675" s="142"/>
    </row>
    <row r="676" spans="1:38" hidden="1" x14ac:dyDescent="0.2">
      <c r="A676" s="1700"/>
      <c r="B676" s="1698"/>
      <c r="C676" s="1712"/>
      <c r="D676" s="1699"/>
      <c r="E676" s="1699"/>
      <c r="F676" s="1699"/>
      <c r="G676" s="1699"/>
      <c r="H676" s="1699"/>
      <c r="I676" s="1706"/>
      <c r="J676" s="1706"/>
      <c r="K676" s="1713" t="str">
        <f t="shared" si="97"/>
        <v/>
      </c>
      <c r="L676">
        <f t="shared" si="98"/>
        <v>0</v>
      </c>
      <c r="Q676">
        <f t="shared" si="99"/>
        <v>0</v>
      </c>
      <c r="R676">
        <f t="shared" si="100"/>
        <v>0</v>
      </c>
      <c r="S676">
        <f t="shared" si="101"/>
        <v>0</v>
      </c>
      <c r="T676">
        <f t="shared" si="102"/>
        <v>0</v>
      </c>
      <c r="U676">
        <f t="shared" si="103"/>
        <v>0</v>
      </c>
      <c r="V676">
        <f t="shared" si="104"/>
        <v>0</v>
      </c>
      <c r="AA676">
        <f t="shared" si="96"/>
        <v>0</v>
      </c>
      <c r="AL676" s="142"/>
    </row>
    <row r="677" spans="1:38" hidden="1" x14ac:dyDescent="0.2">
      <c r="A677" s="1700"/>
      <c r="B677" s="1698"/>
      <c r="C677" s="1712"/>
      <c r="D677" s="1699"/>
      <c r="E677" s="1699"/>
      <c r="F677" s="1699"/>
      <c r="G677" s="1699"/>
      <c r="H677" s="1699"/>
      <c r="I677" s="1706"/>
      <c r="J677" s="1706"/>
      <c r="K677" s="1713" t="str">
        <f t="shared" si="97"/>
        <v/>
      </c>
      <c r="L677">
        <f t="shared" si="98"/>
        <v>0</v>
      </c>
      <c r="Q677">
        <f t="shared" si="99"/>
        <v>0</v>
      </c>
      <c r="R677">
        <f t="shared" si="100"/>
        <v>0</v>
      </c>
      <c r="S677">
        <f t="shared" si="101"/>
        <v>0</v>
      </c>
      <c r="T677">
        <f t="shared" si="102"/>
        <v>0</v>
      </c>
      <c r="U677">
        <f t="shared" si="103"/>
        <v>0</v>
      </c>
      <c r="V677">
        <f t="shared" si="104"/>
        <v>0</v>
      </c>
      <c r="AA677">
        <f t="shared" si="96"/>
        <v>0</v>
      </c>
      <c r="AL677" s="142"/>
    </row>
    <row r="678" spans="1:38" hidden="1" x14ac:dyDescent="0.2">
      <c r="A678" s="1700"/>
      <c r="B678" s="1698"/>
      <c r="C678" s="1712"/>
      <c r="D678" s="1699"/>
      <c r="E678" s="1699"/>
      <c r="F678" s="1699"/>
      <c r="G678" s="1699"/>
      <c r="H678" s="1699"/>
      <c r="I678" s="1706"/>
      <c r="J678" s="1706"/>
      <c r="K678" s="1713" t="str">
        <f t="shared" si="97"/>
        <v/>
      </c>
      <c r="L678">
        <f t="shared" si="98"/>
        <v>0</v>
      </c>
      <c r="Q678">
        <f t="shared" si="99"/>
        <v>0</v>
      </c>
      <c r="R678">
        <f t="shared" si="100"/>
        <v>0</v>
      </c>
      <c r="S678">
        <f t="shared" si="101"/>
        <v>0</v>
      </c>
      <c r="T678">
        <f t="shared" si="102"/>
        <v>0</v>
      </c>
      <c r="U678">
        <f t="shared" si="103"/>
        <v>0</v>
      </c>
      <c r="V678">
        <f t="shared" si="104"/>
        <v>0</v>
      </c>
      <c r="AA678">
        <f t="shared" si="96"/>
        <v>0</v>
      </c>
      <c r="AL678" s="142"/>
    </row>
    <row r="679" spans="1:38" hidden="1" x14ac:dyDescent="0.2">
      <c r="A679" s="1700"/>
      <c r="B679" s="1698"/>
      <c r="C679" s="1712"/>
      <c r="D679" s="1699"/>
      <c r="E679" s="1699"/>
      <c r="F679" s="1699"/>
      <c r="G679" s="1699"/>
      <c r="H679" s="1699"/>
      <c r="I679" s="1706"/>
      <c r="J679" s="1706"/>
      <c r="K679" s="1713" t="str">
        <f t="shared" si="97"/>
        <v/>
      </c>
      <c r="L679">
        <f t="shared" si="98"/>
        <v>0</v>
      </c>
      <c r="Q679">
        <f t="shared" si="99"/>
        <v>0</v>
      </c>
      <c r="R679">
        <f t="shared" si="100"/>
        <v>0</v>
      </c>
      <c r="S679">
        <f t="shared" si="101"/>
        <v>0</v>
      </c>
      <c r="T679">
        <f t="shared" si="102"/>
        <v>0</v>
      </c>
      <c r="U679">
        <f t="shared" si="103"/>
        <v>0</v>
      </c>
      <c r="V679">
        <f t="shared" si="104"/>
        <v>0</v>
      </c>
      <c r="AA679">
        <f t="shared" si="96"/>
        <v>0</v>
      </c>
      <c r="AL679" s="142"/>
    </row>
    <row r="680" spans="1:38" hidden="1" x14ac:dyDescent="0.2">
      <c r="A680" s="1700"/>
      <c r="B680" s="1698"/>
      <c r="C680" s="1712"/>
      <c r="D680" s="1699"/>
      <c r="E680" s="1699"/>
      <c r="F680" s="1699"/>
      <c r="G680" s="1699"/>
      <c r="H680" s="1699"/>
      <c r="I680" s="1706"/>
      <c r="J680" s="1706"/>
      <c r="K680" s="1713" t="str">
        <f t="shared" si="97"/>
        <v/>
      </c>
      <c r="L680">
        <f t="shared" si="98"/>
        <v>0</v>
      </c>
      <c r="Q680">
        <f t="shared" si="99"/>
        <v>0</v>
      </c>
      <c r="R680">
        <f t="shared" si="100"/>
        <v>0</v>
      </c>
      <c r="S680">
        <f t="shared" si="101"/>
        <v>0</v>
      </c>
      <c r="T680">
        <f t="shared" si="102"/>
        <v>0</v>
      </c>
      <c r="U680">
        <f t="shared" si="103"/>
        <v>0</v>
      </c>
      <c r="V680">
        <f t="shared" si="104"/>
        <v>0</v>
      </c>
      <c r="AA680">
        <f t="shared" si="96"/>
        <v>0</v>
      </c>
      <c r="AL680" s="142"/>
    </row>
    <row r="681" spans="1:38" hidden="1" x14ac:dyDescent="0.2">
      <c r="A681" s="1700"/>
      <c r="B681" s="1698"/>
      <c r="C681" s="1712"/>
      <c r="D681" s="1699"/>
      <c r="E681" s="1699"/>
      <c r="F681" s="1699"/>
      <c r="G681" s="1699"/>
      <c r="H681" s="1699"/>
      <c r="I681" s="1706"/>
      <c r="J681" s="1706"/>
      <c r="K681" s="1713" t="str">
        <f t="shared" si="97"/>
        <v/>
      </c>
      <c r="L681">
        <f t="shared" si="98"/>
        <v>0</v>
      </c>
      <c r="Q681">
        <f t="shared" si="99"/>
        <v>0</v>
      </c>
      <c r="R681">
        <f t="shared" si="100"/>
        <v>0</v>
      </c>
      <c r="S681">
        <f t="shared" si="101"/>
        <v>0</v>
      </c>
      <c r="T681">
        <f t="shared" si="102"/>
        <v>0</v>
      </c>
      <c r="U681">
        <f t="shared" si="103"/>
        <v>0</v>
      </c>
      <c r="V681">
        <f t="shared" si="104"/>
        <v>0</v>
      </c>
      <c r="AA681">
        <f t="shared" si="96"/>
        <v>0</v>
      </c>
      <c r="AL681" s="142"/>
    </row>
    <row r="682" spans="1:38" hidden="1" x14ac:dyDescent="0.2">
      <c r="A682" s="1700"/>
      <c r="B682" s="1698"/>
      <c r="C682" s="1712"/>
      <c r="D682" s="1699"/>
      <c r="E682" s="1699"/>
      <c r="F682" s="1699"/>
      <c r="G682" s="1699"/>
      <c r="H682" s="1699"/>
      <c r="I682" s="1706"/>
      <c r="J682" s="1706"/>
      <c r="K682" s="1713" t="str">
        <f t="shared" si="97"/>
        <v/>
      </c>
      <c r="L682">
        <f t="shared" si="98"/>
        <v>0</v>
      </c>
      <c r="Q682">
        <f t="shared" si="99"/>
        <v>0</v>
      </c>
      <c r="R682">
        <f t="shared" si="100"/>
        <v>0</v>
      </c>
      <c r="S682">
        <f t="shared" si="101"/>
        <v>0</v>
      </c>
      <c r="T682">
        <f t="shared" si="102"/>
        <v>0</v>
      </c>
      <c r="U682">
        <f t="shared" si="103"/>
        <v>0</v>
      </c>
      <c r="V682">
        <f t="shared" si="104"/>
        <v>0</v>
      </c>
      <c r="AA682">
        <f t="shared" si="96"/>
        <v>0</v>
      </c>
      <c r="AL682" s="142"/>
    </row>
    <row r="683" spans="1:38" hidden="1" x14ac:dyDescent="0.2">
      <c r="A683" s="1700"/>
      <c r="B683" s="1698"/>
      <c r="C683" s="1712"/>
      <c r="D683" s="1699"/>
      <c r="E683" s="1699"/>
      <c r="F683" s="1699"/>
      <c r="G683" s="1699"/>
      <c r="H683" s="1699"/>
      <c r="I683" s="1706"/>
      <c r="J683" s="1706"/>
      <c r="K683" s="1713" t="str">
        <f t="shared" si="97"/>
        <v/>
      </c>
      <c r="L683">
        <f t="shared" si="98"/>
        <v>0</v>
      </c>
      <c r="Q683">
        <f t="shared" si="99"/>
        <v>0</v>
      </c>
      <c r="R683">
        <f t="shared" si="100"/>
        <v>0</v>
      </c>
      <c r="S683">
        <f t="shared" si="101"/>
        <v>0</v>
      </c>
      <c r="T683">
        <f t="shared" si="102"/>
        <v>0</v>
      </c>
      <c r="U683">
        <f t="shared" si="103"/>
        <v>0</v>
      </c>
      <c r="V683">
        <f t="shared" si="104"/>
        <v>0</v>
      </c>
      <c r="AA683">
        <f t="shared" si="96"/>
        <v>0</v>
      </c>
      <c r="AL683" s="142"/>
    </row>
    <row r="684" spans="1:38" hidden="1" x14ac:dyDescent="0.2">
      <c r="A684" s="1700"/>
      <c r="B684" s="1698"/>
      <c r="C684" s="1712"/>
      <c r="D684" s="1699"/>
      <c r="E684" s="1699"/>
      <c r="F684" s="1699"/>
      <c r="G684" s="1699"/>
      <c r="H684" s="1699"/>
      <c r="I684" s="1706"/>
      <c r="J684" s="1706"/>
      <c r="K684" s="1713" t="str">
        <f t="shared" si="97"/>
        <v/>
      </c>
      <c r="L684">
        <f t="shared" si="98"/>
        <v>0</v>
      </c>
      <c r="Q684">
        <f t="shared" si="99"/>
        <v>0</v>
      </c>
      <c r="R684">
        <f t="shared" si="100"/>
        <v>0</v>
      </c>
      <c r="S684">
        <f t="shared" si="101"/>
        <v>0</v>
      </c>
      <c r="T684">
        <f t="shared" si="102"/>
        <v>0</v>
      </c>
      <c r="U684">
        <f t="shared" si="103"/>
        <v>0</v>
      </c>
      <c r="V684">
        <f t="shared" si="104"/>
        <v>0</v>
      </c>
      <c r="AA684">
        <f t="shared" si="96"/>
        <v>0</v>
      </c>
      <c r="AL684" s="142"/>
    </row>
    <row r="685" spans="1:38" hidden="1" x14ac:dyDescent="0.2">
      <c r="A685" s="1700"/>
      <c r="B685" s="1698"/>
      <c r="C685" s="1712"/>
      <c r="D685" s="1699"/>
      <c r="E685" s="1699"/>
      <c r="F685" s="1699"/>
      <c r="G685" s="1699"/>
      <c r="H685" s="1699"/>
      <c r="I685" s="1706"/>
      <c r="J685" s="1706"/>
      <c r="K685" s="1713" t="str">
        <f t="shared" si="97"/>
        <v/>
      </c>
      <c r="L685">
        <f t="shared" si="98"/>
        <v>0</v>
      </c>
      <c r="Q685">
        <f t="shared" si="99"/>
        <v>0</v>
      </c>
      <c r="R685">
        <f t="shared" si="100"/>
        <v>0</v>
      </c>
      <c r="S685">
        <f t="shared" si="101"/>
        <v>0</v>
      </c>
      <c r="T685">
        <f t="shared" si="102"/>
        <v>0</v>
      </c>
      <c r="U685">
        <f t="shared" si="103"/>
        <v>0</v>
      </c>
      <c r="V685">
        <f t="shared" si="104"/>
        <v>0</v>
      </c>
      <c r="AA685">
        <f t="shared" si="96"/>
        <v>0</v>
      </c>
      <c r="AL685" s="142"/>
    </row>
    <row r="686" spans="1:38" hidden="1" x14ac:dyDescent="0.2">
      <c r="A686" s="1700"/>
      <c r="B686" s="1698"/>
      <c r="C686" s="1712"/>
      <c r="D686" s="1699"/>
      <c r="E686" s="1699"/>
      <c r="F686" s="1699"/>
      <c r="G686" s="1699"/>
      <c r="H686" s="1699"/>
      <c r="I686" s="1706"/>
      <c r="J686" s="1706"/>
      <c r="K686" s="1713" t="str">
        <f t="shared" si="97"/>
        <v/>
      </c>
      <c r="L686">
        <f t="shared" si="98"/>
        <v>0</v>
      </c>
      <c r="Q686">
        <f t="shared" si="99"/>
        <v>0</v>
      </c>
      <c r="R686">
        <f t="shared" si="100"/>
        <v>0</v>
      </c>
      <c r="S686">
        <f t="shared" si="101"/>
        <v>0</v>
      </c>
      <c r="T686">
        <f t="shared" si="102"/>
        <v>0</v>
      </c>
      <c r="U686">
        <f t="shared" si="103"/>
        <v>0</v>
      </c>
      <c r="V686">
        <f t="shared" si="104"/>
        <v>0</v>
      </c>
      <c r="AA686">
        <f t="shared" si="96"/>
        <v>0</v>
      </c>
      <c r="AL686" s="142"/>
    </row>
    <row r="687" spans="1:38" hidden="1" x14ac:dyDescent="0.2">
      <c r="A687" s="1700"/>
      <c r="B687" s="1698"/>
      <c r="C687" s="1712"/>
      <c r="D687" s="1699"/>
      <c r="E687" s="1699"/>
      <c r="F687" s="1699"/>
      <c r="G687" s="1699"/>
      <c r="H687" s="1699"/>
      <c r="I687" s="1706"/>
      <c r="J687" s="1706"/>
      <c r="K687" s="1713" t="str">
        <f t="shared" si="97"/>
        <v/>
      </c>
      <c r="L687">
        <f t="shared" si="98"/>
        <v>0</v>
      </c>
      <c r="Q687">
        <f t="shared" si="99"/>
        <v>0</v>
      </c>
      <c r="R687">
        <f t="shared" si="100"/>
        <v>0</v>
      </c>
      <c r="S687">
        <f t="shared" si="101"/>
        <v>0</v>
      </c>
      <c r="T687">
        <f t="shared" si="102"/>
        <v>0</v>
      </c>
      <c r="U687">
        <f t="shared" si="103"/>
        <v>0</v>
      </c>
      <c r="V687">
        <f t="shared" si="104"/>
        <v>0</v>
      </c>
      <c r="AA687">
        <f t="shared" si="96"/>
        <v>0</v>
      </c>
      <c r="AL687" s="142"/>
    </row>
    <row r="688" spans="1:38" hidden="1" x14ac:dyDescent="0.2">
      <c r="A688" s="1700"/>
      <c r="B688" s="1698"/>
      <c r="C688" s="1712"/>
      <c r="D688" s="1699"/>
      <c r="E688" s="1699"/>
      <c r="F688" s="1699"/>
      <c r="G688" s="1699"/>
      <c r="H688" s="1699"/>
      <c r="I688" s="1706"/>
      <c r="J688" s="1706"/>
      <c r="K688" s="1713" t="str">
        <f t="shared" si="97"/>
        <v/>
      </c>
      <c r="L688">
        <f t="shared" si="98"/>
        <v>0</v>
      </c>
      <c r="Q688">
        <f t="shared" si="99"/>
        <v>0</v>
      </c>
      <c r="R688">
        <f t="shared" si="100"/>
        <v>0</v>
      </c>
      <c r="S688">
        <f t="shared" si="101"/>
        <v>0</v>
      </c>
      <c r="T688">
        <f t="shared" si="102"/>
        <v>0</v>
      </c>
      <c r="U688">
        <f t="shared" si="103"/>
        <v>0</v>
      </c>
      <c r="V688">
        <f t="shared" si="104"/>
        <v>0</v>
      </c>
      <c r="AA688">
        <f t="shared" si="96"/>
        <v>0</v>
      </c>
      <c r="AL688" s="142"/>
    </row>
    <row r="689" spans="1:38" hidden="1" x14ac:dyDescent="0.2">
      <c r="A689" s="1700"/>
      <c r="B689" s="1698"/>
      <c r="C689" s="1712"/>
      <c r="D689" s="1699"/>
      <c r="E689" s="1699"/>
      <c r="F689" s="1699"/>
      <c r="G689" s="1699"/>
      <c r="H689" s="1699"/>
      <c r="I689" s="1706"/>
      <c r="J689" s="1706"/>
      <c r="K689" s="1713" t="str">
        <f t="shared" si="97"/>
        <v/>
      </c>
      <c r="L689">
        <f t="shared" si="98"/>
        <v>0</v>
      </c>
      <c r="Q689">
        <f t="shared" si="99"/>
        <v>0</v>
      </c>
      <c r="R689">
        <f t="shared" si="100"/>
        <v>0</v>
      </c>
      <c r="S689">
        <f t="shared" si="101"/>
        <v>0</v>
      </c>
      <c r="T689">
        <f t="shared" si="102"/>
        <v>0</v>
      </c>
      <c r="U689">
        <f t="shared" si="103"/>
        <v>0</v>
      </c>
      <c r="V689">
        <f t="shared" si="104"/>
        <v>0</v>
      </c>
      <c r="AA689">
        <f t="shared" si="96"/>
        <v>0</v>
      </c>
      <c r="AL689" s="142"/>
    </row>
    <row r="690" spans="1:38" hidden="1" x14ac:dyDescent="0.2">
      <c r="A690" s="1700"/>
      <c r="B690" s="1698"/>
      <c r="C690" s="1712"/>
      <c r="D690" s="1699"/>
      <c r="E690" s="1699"/>
      <c r="F690" s="1699"/>
      <c r="G690" s="1699"/>
      <c r="H690" s="1699"/>
      <c r="I690" s="1706"/>
      <c r="J690" s="1706"/>
      <c r="K690" s="1713" t="str">
        <f t="shared" si="97"/>
        <v/>
      </c>
      <c r="L690">
        <f t="shared" si="98"/>
        <v>0</v>
      </c>
      <c r="Q690">
        <f t="shared" si="99"/>
        <v>0</v>
      </c>
      <c r="R690">
        <f t="shared" si="100"/>
        <v>0</v>
      </c>
      <c r="S690">
        <f t="shared" si="101"/>
        <v>0</v>
      </c>
      <c r="T690">
        <f t="shared" si="102"/>
        <v>0</v>
      </c>
      <c r="U690">
        <f t="shared" si="103"/>
        <v>0</v>
      </c>
      <c r="V690">
        <f t="shared" si="104"/>
        <v>0</v>
      </c>
      <c r="AA690">
        <f t="shared" si="96"/>
        <v>0</v>
      </c>
      <c r="AL690" s="142"/>
    </row>
    <row r="691" spans="1:38" hidden="1" x14ac:dyDescent="0.2">
      <c r="A691" s="1700"/>
      <c r="B691" s="1698"/>
      <c r="C691" s="1712"/>
      <c r="D691" s="1699"/>
      <c r="E691" s="1699"/>
      <c r="F691" s="1699"/>
      <c r="G691" s="1699"/>
      <c r="H691" s="1699"/>
      <c r="I691" s="1706"/>
      <c r="J691" s="1706"/>
      <c r="K691" s="1713" t="str">
        <f t="shared" si="97"/>
        <v/>
      </c>
      <c r="L691">
        <f t="shared" si="98"/>
        <v>0</v>
      </c>
      <c r="Q691">
        <f t="shared" si="99"/>
        <v>0</v>
      </c>
      <c r="R691">
        <f t="shared" si="100"/>
        <v>0</v>
      </c>
      <c r="S691">
        <f t="shared" si="101"/>
        <v>0</v>
      </c>
      <c r="T691">
        <f t="shared" si="102"/>
        <v>0</v>
      </c>
      <c r="U691">
        <f t="shared" si="103"/>
        <v>0</v>
      </c>
      <c r="V691">
        <f t="shared" si="104"/>
        <v>0</v>
      </c>
      <c r="AA691">
        <f t="shared" si="96"/>
        <v>0</v>
      </c>
      <c r="AL691" s="142"/>
    </row>
    <row r="692" spans="1:38" hidden="1" x14ac:dyDescent="0.2">
      <c r="A692" s="1700"/>
      <c r="B692" s="1698"/>
      <c r="C692" s="1712"/>
      <c r="D692" s="1699"/>
      <c r="E692" s="1699"/>
      <c r="F692" s="1699"/>
      <c r="G692" s="1699"/>
      <c r="H692" s="1699"/>
      <c r="I692" s="1706"/>
      <c r="J692" s="1706"/>
      <c r="K692" s="1713" t="str">
        <f t="shared" si="97"/>
        <v/>
      </c>
      <c r="L692">
        <f t="shared" si="98"/>
        <v>0</v>
      </c>
      <c r="Q692">
        <f t="shared" si="99"/>
        <v>0</v>
      </c>
      <c r="R692">
        <f t="shared" si="100"/>
        <v>0</v>
      </c>
      <c r="S692">
        <f t="shared" si="101"/>
        <v>0</v>
      </c>
      <c r="T692">
        <f t="shared" si="102"/>
        <v>0</v>
      </c>
      <c r="U692">
        <f t="shared" si="103"/>
        <v>0</v>
      </c>
      <c r="V692">
        <f t="shared" si="104"/>
        <v>0</v>
      </c>
      <c r="AA692">
        <f t="shared" si="96"/>
        <v>0</v>
      </c>
      <c r="AL692" s="142"/>
    </row>
    <row r="693" spans="1:38" hidden="1" x14ac:dyDescent="0.2">
      <c r="A693" s="1700"/>
      <c r="B693" s="1698"/>
      <c r="C693" s="1712"/>
      <c r="D693" s="1699"/>
      <c r="E693" s="1699"/>
      <c r="F693" s="1699"/>
      <c r="G693" s="1699"/>
      <c r="H693" s="1699"/>
      <c r="I693" s="1706"/>
      <c r="J693" s="1706"/>
      <c r="K693" s="1713" t="str">
        <f t="shared" si="97"/>
        <v/>
      </c>
      <c r="L693">
        <f t="shared" si="98"/>
        <v>0</v>
      </c>
      <c r="Q693">
        <f t="shared" si="99"/>
        <v>0</v>
      </c>
      <c r="R693">
        <f t="shared" si="100"/>
        <v>0</v>
      </c>
      <c r="S693">
        <f t="shared" si="101"/>
        <v>0</v>
      </c>
      <c r="T693">
        <f t="shared" si="102"/>
        <v>0</v>
      </c>
      <c r="U693">
        <f t="shared" si="103"/>
        <v>0</v>
      </c>
      <c r="V693">
        <f t="shared" si="104"/>
        <v>0</v>
      </c>
      <c r="AA693">
        <f t="shared" si="96"/>
        <v>0</v>
      </c>
      <c r="AL693" s="142"/>
    </row>
    <row r="694" spans="1:38" hidden="1" x14ac:dyDescent="0.2">
      <c r="A694" s="1700"/>
      <c r="B694" s="1698"/>
      <c r="C694" s="1712"/>
      <c r="D694" s="1699"/>
      <c r="E694" s="1699"/>
      <c r="F694" s="1699"/>
      <c r="G694" s="1699"/>
      <c r="H694" s="1699"/>
      <c r="I694" s="1706"/>
      <c r="J694" s="1706"/>
      <c r="K694" s="1713" t="str">
        <f t="shared" si="97"/>
        <v/>
      </c>
      <c r="L694">
        <f t="shared" si="98"/>
        <v>0</v>
      </c>
      <c r="Q694">
        <f t="shared" si="99"/>
        <v>0</v>
      </c>
      <c r="R694">
        <f t="shared" si="100"/>
        <v>0</v>
      </c>
      <c r="S694">
        <f t="shared" si="101"/>
        <v>0</v>
      </c>
      <c r="T694">
        <f t="shared" si="102"/>
        <v>0</v>
      </c>
      <c r="U694">
        <f t="shared" si="103"/>
        <v>0</v>
      </c>
      <c r="V694">
        <f t="shared" si="104"/>
        <v>0</v>
      </c>
      <c r="AA694">
        <f t="shared" si="96"/>
        <v>0</v>
      </c>
      <c r="AL694" s="142"/>
    </row>
    <row r="695" spans="1:38" hidden="1" x14ac:dyDescent="0.2">
      <c r="A695" s="1700"/>
      <c r="B695" s="1698"/>
      <c r="C695" s="1712"/>
      <c r="D695" s="1699"/>
      <c r="E695" s="1699"/>
      <c r="F695" s="1699"/>
      <c r="G695" s="1699"/>
      <c r="H695" s="1699"/>
      <c r="I695" s="1706"/>
      <c r="J695" s="1706"/>
      <c r="K695" s="1713" t="str">
        <f t="shared" si="97"/>
        <v/>
      </c>
      <c r="L695">
        <f t="shared" si="98"/>
        <v>0</v>
      </c>
      <c r="Q695">
        <f t="shared" si="99"/>
        <v>0</v>
      </c>
      <c r="R695">
        <f t="shared" si="100"/>
        <v>0</v>
      </c>
      <c r="S695">
        <f t="shared" si="101"/>
        <v>0</v>
      </c>
      <c r="T695">
        <f t="shared" si="102"/>
        <v>0</v>
      </c>
      <c r="U695">
        <f t="shared" si="103"/>
        <v>0</v>
      </c>
      <c r="V695">
        <f t="shared" si="104"/>
        <v>0</v>
      </c>
      <c r="AA695">
        <f t="shared" si="96"/>
        <v>0</v>
      </c>
      <c r="AL695" s="142"/>
    </row>
    <row r="696" spans="1:38" hidden="1" x14ac:dyDescent="0.2">
      <c r="A696" s="1700"/>
      <c r="B696" s="1698"/>
      <c r="C696" s="1712"/>
      <c r="D696" s="1699"/>
      <c r="E696" s="1699"/>
      <c r="F696" s="1699"/>
      <c r="G696" s="1699"/>
      <c r="H696" s="1699"/>
      <c r="I696" s="1706"/>
      <c r="J696" s="1706"/>
      <c r="K696" s="1713" t="str">
        <f t="shared" si="97"/>
        <v/>
      </c>
      <c r="L696">
        <f t="shared" si="98"/>
        <v>0</v>
      </c>
      <c r="Q696">
        <f t="shared" si="99"/>
        <v>0</v>
      </c>
      <c r="R696">
        <f t="shared" si="100"/>
        <v>0</v>
      </c>
      <c r="S696">
        <f t="shared" si="101"/>
        <v>0</v>
      </c>
      <c r="T696">
        <f t="shared" si="102"/>
        <v>0</v>
      </c>
      <c r="U696">
        <f t="shared" si="103"/>
        <v>0</v>
      </c>
      <c r="V696">
        <f t="shared" si="104"/>
        <v>0</v>
      </c>
      <c r="AA696">
        <f t="shared" si="96"/>
        <v>0</v>
      </c>
      <c r="AL696" s="142"/>
    </row>
    <row r="697" spans="1:38" hidden="1" x14ac:dyDescent="0.2">
      <c r="A697" s="1700"/>
      <c r="B697" s="1698"/>
      <c r="C697" s="1712"/>
      <c r="D697" s="1699"/>
      <c r="E697" s="1699"/>
      <c r="F697" s="1699"/>
      <c r="G697" s="1699"/>
      <c r="H697" s="1699"/>
      <c r="I697" s="1706"/>
      <c r="J697" s="1706"/>
      <c r="K697" s="1713" t="str">
        <f t="shared" si="97"/>
        <v/>
      </c>
      <c r="L697">
        <f t="shared" si="98"/>
        <v>0</v>
      </c>
      <c r="Q697">
        <f t="shared" si="99"/>
        <v>0</v>
      </c>
      <c r="R697">
        <f t="shared" si="100"/>
        <v>0</v>
      </c>
      <c r="S697">
        <f t="shared" si="101"/>
        <v>0</v>
      </c>
      <c r="T697">
        <f t="shared" si="102"/>
        <v>0</v>
      </c>
      <c r="U697">
        <f t="shared" si="103"/>
        <v>0</v>
      </c>
      <c r="V697">
        <f t="shared" si="104"/>
        <v>0</v>
      </c>
      <c r="AA697">
        <f t="shared" si="96"/>
        <v>0</v>
      </c>
      <c r="AL697" s="142"/>
    </row>
    <row r="698" spans="1:38" hidden="1" x14ac:dyDescent="0.2">
      <c r="A698" s="1700"/>
      <c r="B698" s="1698"/>
      <c r="C698" s="1712"/>
      <c r="D698" s="1699"/>
      <c r="E698" s="1699"/>
      <c r="F698" s="1699"/>
      <c r="G698" s="1699"/>
      <c r="H698" s="1699"/>
      <c r="I698" s="1706"/>
      <c r="J698" s="1706"/>
      <c r="K698" s="1713" t="str">
        <f t="shared" si="97"/>
        <v/>
      </c>
      <c r="L698">
        <f t="shared" si="98"/>
        <v>0</v>
      </c>
      <c r="Q698">
        <f t="shared" si="99"/>
        <v>0</v>
      </c>
      <c r="R698">
        <f t="shared" si="100"/>
        <v>0</v>
      </c>
      <c r="S698">
        <f t="shared" si="101"/>
        <v>0</v>
      </c>
      <c r="T698">
        <f t="shared" si="102"/>
        <v>0</v>
      </c>
      <c r="U698">
        <f t="shared" si="103"/>
        <v>0</v>
      </c>
      <c r="V698">
        <f t="shared" si="104"/>
        <v>0</v>
      </c>
      <c r="AA698">
        <f t="shared" si="96"/>
        <v>0</v>
      </c>
      <c r="AL698" s="142"/>
    </row>
    <row r="699" spans="1:38" hidden="1" x14ac:dyDescent="0.2">
      <c r="A699" s="1700"/>
      <c r="B699" s="1698"/>
      <c r="C699" s="1712"/>
      <c r="D699" s="1699"/>
      <c r="E699" s="1699"/>
      <c r="F699" s="1699"/>
      <c r="G699" s="1699"/>
      <c r="H699" s="1699"/>
      <c r="I699" s="1706"/>
      <c r="J699" s="1706"/>
      <c r="K699" s="1713" t="str">
        <f t="shared" si="97"/>
        <v/>
      </c>
      <c r="L699">
        <f t="shared" si="98"/>
        <v>0</v>
      </c>
      <c r="Q699">
        <f t="shared" si="99"/>
        <v>0</v>
      </c>
      <c r="R699">
        <f t="shared" si="100"/>
        <v>0</v>
      </c>
      <c r="S699">
        <f t="shared" si="101"/>
        <v>0</v>
      </c>
      <c r="T699">
        <f t="shared" si="102"/>
        <v>0</v>
      </c>
      <c r="U699">
        <f t="shared" si="103"/>
        <v>0</v>
      </c>
      <c r="V699">
        <f t="shared" si="104"/>
        <v>0</v>
      </c>
      <c r="AA699">
        <f t="shared" si="96"/>
        <v>0</v>
      </c>
      <c r="AL699" s="142"/>
    </row>
    <row r="700" spans="1:38" hidden="1" x14ac:dyDescent="0.2">
      <c r="A700" s="1700"/>
      <c r="B700" s="1698"/>
      <c r="C700" s="1712"/>
      <c r="D700" s="1699"/>
      <c r="E700" s="1699"/>
      <c r="F700" s="1699"/>
      <c r="G700" s="1699"/>
      <c r="H700" s="1699"/>
      <c r="I700" s="1706"/>
      <c r="J700" s="1706"/>
      <c r="K700" s="1713" t="str">
        <f t="shared" si="97"/>
        <v/>
      </c>
      <c r="L700">
        <f t="shared" si="98"/>
        <v>0</v>
      </c>
      <c r="Q700">
        <f t="shared" si="99"/>
        <v>0</v>
      </c>
      <c r="R700">
        <f t="shared" si="100"/>
        <v>0</v>
      </c>
      <c r="S700">
        <f t="shared" si="101"/>
        <v>0</v>
      </c>
      <c r="T700">
        <f t="shared" si="102"/>
        <v>0</v>
      </c>
      <c r="U700">
        <f t="shared" si="103"/>
        <v>0</v>
      </c>
      <c r="V700">
        <f t="shared" si="104"/>
        <v>0</v>
      </c>
      <c r="AA700">
        <f t="shared" si="96"/>
        <v>0</v>
      </c>
      <c r="AL700" s="142"/>
    </row>
    <row r="701" spans="1:38" hidden="1" x14ac:dyDescent="0.2">
      <c r="A701" s="1700"/>
      <c r="B701" s="1698"/>
      <c r="C701" s="1712"/>
      <c r="D701" s="1699"/>
      <c r="E701" s="1699"/>
      <c r="F701" s="1699"/>
      <c r="G701" s="1699"/>
      <c r="H701" s="1699"/>
      <c r="I701" s="1706"/>
      <c r="J701" s="1706"/>
      <c r="K701" s="1713" t="str">
        <f t="shared" si="97"/>
        <v/>
      </c>
      <c r="L701">
        <f t="shared" si="98"/>
        <v>0</v>
      </c>
      <c r="Q701">
        <f t="shared" si="99"/>
        <v>0</v>
      </c>
      <c r="R701">
        <f t="shared" si="100"/>
        <v>0</v>
      </c>
      <c r="S701">
        <f t="shared" si="101"/>
        <v>0</v>
      </c>
      <c r="T701">
        <f t="shared" si="102"/>
        <v>0</v>
      </c>
      <c r="U701">
        <f t="shared" si="103"/>
        <v>0</v>
      </c>
      <c r="V701">
        <f t="shared" si="104"/>
        <v>0</v>
      </c>
      <c r="AA701">
        <f t="shared" si="96"/>
        <v>0</v>
      </c>
      <c r="AL701" s="142"/>
    </row>
    <row r="702" spans="1:38" hidden="1" x14ac:dyDescent="0.2">
      <c r="A702" s="1700"/>
      <c r="B702" s="1698"/>
      <c r="C702" s="1712"/>
      <c r="D702" s="1699"/>
      <c r="E702" s="1699"/>
      <c r="F702" s="1699"/>
      <c r="G702" s="1699"/>
      <c r="H702" s="1699"/>
      <c r="I702" s="1706"/>
      <c r="J702" s="1706"/>
      <c r="K702" s="1713" t="str">
        <f t="shared" si="97"/>
        <v/>
      </c>
      <c r="L702">
        <f t="shared" si="98"/>
        <v>0</v>
      </c>
      <c r="Q702">
        <f t="shared" si="99"/>
        <v>0</v>
      </c>
      <c r="R702">
        <f t="shared" si="100"/>
        <v>0</v>
      </c>
      <c r="S702">
        <f t="shared" si="101"/>
        <v>0</v>
      </c>
      <c r="T702">
        <f t="shared" si="102"/>
        <v>0</v>
      </c>
      <c r="U702">
        <f t="shared" si="103"/>
        <v>0</v>
      </c>
      <c r="V702">
        <f t="shared" si="104"/>
        <v>0</v>
      </c>
      <c r="AA702">
        <f t="shared" si="96"/>
        <v>0</v>
      </c>
      <c r="AL702" s="142"/>
    </row>
    <row r="703" spans="1:38" hidden="1" x14ac:dyDescent="0.2">
      <c r="A703" s="1700"/>
      <c r="B703" s="1698"/>
      <c r="C703" s="1712"/>
      <c r="D703" s="1699"/>
      <c r="E703" s="1699"/>
      <c r="F703" s="1699"/>
      <c r="G703" s="1699"/>
      <c r="H703" s="1699"/>
      <c r="I703" s="1706"/>
      <c r="J703" s="1706"/>
      <c r="K703" s="1713" t="str">
        <f t="shared" si="97"/>
        <v/>
      </c>
      <c r="L703">
        <f t="shared" si="98"/>
        <v>0</v>
      </c>
      <c r="Q703">
        <f t="shared" si="99"/>
        <v>0</v>
      </c>
      <c r="R703">
        <f t="shared" si="100"/>
        <v>0</v>
      </c>
      <c r="S703">
        <f t="shared" si="101"/>
        <v>0</v>
      </c>
      <c r="T703">
        <f t="shared" si="102"/>
        <v>0</v>
      </c>
      <c r="U703">
        <f t="shared" si="103"/>
        <v>0</v>
      </c>
      <c r="V703">
        <f t="shared" si="104"/>
        <v>0</v>
      </c>
      <c r="AA703">
        <f t="shared" si="96"/>
        <v>0</v>
      </c>
      <c r="AL703" s="142"/>
    </row>
    <row r="704" spans="1:38" hidden="1" x14ac:dyDescent="0.2">
      <c r="A704" s="1700"/>
      <c r="B704" s="1698"/>
      <c r="C704" s="1712"/>
      <c r="D704" s="1699"/>
      <c r="E704" s="1699"/>
      <c r="F704" s="1699"/>
      <c r="G704" s="1699"/>
      <c r="H704" s="1699"/>
      <c r="I704" s="1706"/>
      <c r="J704" s="1706"/>
      <c r="K704" s="1713" t="str">
        <f t="shared" si="97"/>
        <v/>
      </c>
      <c r="L704">
        <f t="shared" si="98"/>
        <v>0</v>
      </c>
      <c r="Q704">
        <f t="shared" si="99"/>
        <v>0</v>
      </c>
      <c r="R704">
        <f t="shared" si="100"/>
        <v>0</v>
      </c>
      <c r="S704">
        <f t="shared" si="101"/>
        <v>0</v>
      </c>
      <c r="T704">
        <f t="shared" si="102"/>
        <v>0</v>
      </c>
      <c r="U704">
        <f t="shared" si="103"/>
        <v>0</v>
      </c>
      <c r="V704">
        <f t="shared" si="104"/>
        <v>0</v>
      </c>
      <c r="AA704">
        <f t="shared" si="96"/>
        <v>0</v>
      </c>
      <c r="AL704" s="142"/>
    </row>
    <row r="705" spans="1:38" hidden="1" x14ac:dyDescent="0.2">
      <c r="A705" s="1700"/>
      <c r="B705" s="1698"/>
      <c r="C705" s="1712"/>
      <c r="D705" s="1699"/>
      <c r="E705" s="1699"/>
      <c r="F705" s="1699"/>
      <c r="G705" s="1699"/>
      <c r="H705" s="1699"/>
      <c r="I705" s="1706"/>
      <c r="J705" s="1706"/>
      <c r="K705" s="1713" t="str">
        <f t="shared" si="97"/>
        <v/>
      </c>
      <c r="L705">
        <f t="shared" si="98"/>
        <v>0</v>
      </c>
      <c r="Q705">
        <f t="shared" si="99"/>
        <v>0</v>
      </c>
      <c r="R705">
        <f t="shared" si="100"/>
        <v>0</v>
      </c>
      <c r="S705">
        <f t="shared" si="101"/>
        <v>0</v>
      </c>
      <c r="T705">
        <f t="shared" si="102"/>
        <v>0</v>
      </c>
      <c r="U705">
        <f t="shared" si="103"/>
        <v>0</v>
      </c>
      <c r="V705">
        <f t="shared" si="104"/>
        <v>0</v>
      </c>
      <c r="AA705">
        <f t="shared" si="96"/>
        <v>0</v>
      </c>
      <c r="AL705" s="142"/>
    </row>
    <row r="706" spans="1:38" hidden="1" x14ac:dyDescent="0.2">
      <c r="A706" s="1700"/>
      <c r="B706" s="1698"/>
      <c r="C706" s="1712"/>
      <c r="D706" s="1699"/>
      <c r="E706" s="1699"/>
      <c r="F706" s="1699"/>
      <c r="G706" s="1699"/>
      <c r="H706" s="1699"/>
      <c r="I706" s="1706"/>
      <c r="J706" s="1706"/>
      <c r="K706" s="1713" t="str">
        <f t="shared" si="97"/>
        <v/>
      </c>
      <c r="L706">
        <f t="shared" si="98"/>
        <v>0</v>
      </c>
      <c r="Q706">
        <f t="shared" si="99"/>
        <v>0</v>
      </c>
      <c r="R706">
        <f t="shared" si="100"/>
        <v>0</v>
      </c>
      <c r="S706">
        <f t="shared" si="101"/>
        <v>0</v>
      </c>
      <c r="T706">
        <f t="shared" si="102"/>
        <v>0</v>
      </c>
      <c r="U706">
        <f t="shared" si="103"/>
        <v>0</v>
      </c>
      <c r="V706">
        <f t="shared" si="104"/>
        <v>0</v>
      </c>
      <c r="AA706">
        <f t="shared" si="96"/>
        <v>0</v>
      </c>
      <c r="AL706" s="142"/>
    </row>
    <row r="707" spans="1:38" hidden="1" x14ac:dyDescent="0.2">
      <c r="A707" s="1700"/>
      <c r="B707" s="1698"/>
      <c r="C707" s="1712"/>
      <c r="D707" s="1699"/>
      <c r="E707" s="1699"/>
      <c r="F707" s="1699"/>
      <c r="G707" s="1699"/>
      <c r="H707" s="1699"/>
      <c r="I707" s="1706"/>
      <c r="J707" s="1706"/>
      <c r="K707" s="1713" t="str">
        <f t="shared" si="97"/>
        <v/>
      </c>
      <c r="L707">
        <f t="shared" si="98"/>
        <v>0</v>
      </c>
      <c r="Q707">
        <f t="shared" si="99"/>
        <v>0</v>
      </c>
      <c r="R707">
        <f t="shared" si="100"/>
        <v>0</v>
      </c>
      <c r="S707">
        <f t="shared" si="101"/>
        <v>0</v>
      </c>
      <c r="T707">
        <f t="shared" si="102"/>
        <v>0</v>
      </c>
      <c r="U707">
        <f t="shared" si="103"/>
        <v>0</v>
      </c>
      <c r="V707">
        <f t="shared" si="104"/>
        <v>0</v>
      </c>
      <c r="AA707">
        <f t="shared" si="96"/>
        <v>0</v>
      </c>
      <c r="AL707" s="142"/>
    </row>
    <row r="708" spans="1:38" hidden="1" x14ac:dyDescent="0.2">
      <c r="A708" s="1700"/>
      <c r="B708" s="1698"/>
      <c r="C708" s="1712"/>
      <c r="D708" s="1699"/>
      <c r="E708" s="1699"/>
      <c r="F708" s="1699"/>
      <c r="G708" s="1699"/>
      <c r="H708" s="1699"/>
      <c r="I708" s="1706"/>
      <c r="J708" s="1706"/>
      <c r="K708" s="1713" t="str">
        <f t="shared" si="97"/>
        <v/>
      </c>
      <c r="L708">
        <f t="shared" si="98"/>
        <v>0</v>
      </c>
      <c r="Q708">
        <f t="shared" si="99"/>
        <v>0</v>
      </c>
      <c r="R708">
        <f t="shared" si="100"/>
        <v>0</v>
      </c>
      <c r="S708">
        <f t="shared" si="101"/>
        <v>0</v>
      </c>
      <c r="T708">
        <f t="shared" si="102"/>
        <v>0</v>
      </c>
      <c r="U708">
        <f t="shared" si="103"/>
        <v>0</v>
      </c>
      <c r="V708">
        <f t="shared" si="104"/>
        <v>0</v>
      </c>
      <c r="AA708">
        <f t="shared" si="96"/>
        <v>0</v>
      </c>
      <c r="AL708" s="142"/>
    </row>
    <row r="709" spans="1:38" hidden="1" x14ac:dyDescent="0.2">
      <c r="A709" s="1700"/>
      <c r="B709" s="1698"/>
      <c r="C709" s="1712"/>
      <c r="D709" s="1699"/>
      <c r="E709" s="1699"/>
      <c r="F709" s="1699"/>
      <c r="G709" s="1699"/>
      <c r="H709" s="1699"/>
      <c r="I709" s="1706"/>
      <c r="J709" s="1706"/>
      <c r="K709" s="1713" t="str">
        <f t="shared" si="97"/>
        <v/>
      </c>
      <c r="L709">
        <f t="shared" si="98"/>
        <v>0</v>
      </c>
      <c r="Q709">
        <f t="shared" si="99"/>
        <v>0</v>
      </c>
      <c r="R709">
        <f t="shared" si="100"/>
        <v>0</v>
      </c>
      <c r="S709">
        <f t="shared" si="101"/>
        <v>0</v>
      </c>
      <c r="T709">
        <f t="shared" si="102"/>
        <v>0</v>
      </c>
      <c r="U709">
        <f t="shared" si="103"/>
        <v>0</v>
      </c>
      <c r="V709">
        <f t="shared" si="104"/>
        <v>0</v>
      </c>
      <c r="AA709">
        <f t="shared" si="96"/>
        <v>0</v>
      </c>
      <c r="AL709" s="142"/>
    </row>
    <row r="710" spans="1:38" hidden="1" x14ac:dyDescent="0.2">
      <c r="A710" s="1700"/>
      <c r="B710" s="1698"/>
      <c r="C710" s="1712"/>
      <c r="D710" s="1699"/>
      <c r="E710" s="1699"/>
      <c r="F710" s="1699"/>
      <c r="G710" s="1699"/>
      <c r="H710" s="1699"/>
      <c r="I710" s="1706"/>
      <c r="J710" s="1706"/>
      <c r="K710" s="1713" t="str">
        <f t="shared" si="97"/>
        <v/>
      </c>
      <c r="L710">
        <f t="shared" si="98"/>
        <v>0</v>
      </c>
      <c r="Q710">
        <f t="shared" si="99"/>
        <v>0</v>
      </c>
      <c r="R710">
        <f t="shared" si="100"/>
        <v>0</v>
      </c>
      <c r="S710">
        <f t="shared" si="101"/>
        <v>0</v>
      </c>
      <c r="T710">
        <f t="shared" si="102"/>
        <v>0</v>
      </c>
      <c r="U710">
        <f t="shared" si="103"/>
        <v>0</v>
      </c>
      <c r="V710">
        <f t="shared" si="104"/>
        <v>0</v>
      </c>
      <c r="AA710">
        <f t="shared" si="96"/>
        <v>0</v>
      </c>
      <c r="AL710" s="142"/>
    </row>
    <row r="711" spans="1:38" hidden="1" x14ac:dyDescent="0.2">
      <c r="A711" s="1700"/>
      <c r="B711" s="1698"/>
      <c r="C711" s="1712"/>
      <c r="D711" s="1699"/>
      <c r="E711" s="1699"/>
      <c r="F711" s="1699"/>
      <c r="G711" s="1699"/>
      <c r="H711" s="1699"/>
      <c r="I711" s="1706"/>
      <c r="J711" s="1706"/>
      <c r="K711" s="1713" t="str">
        <f t="shared" si="97"/>
        <v/>
      </c>
      <c r="L711">
        <f t="shared" si="98"/>
        <v>0</v>
      </c>
      <c r="Q711">
        <f t="shared" si="99"/>
        <v>0</v>
      </c>
      <c r="R711">
        <f t="shared" si="100"/>
        <v>0</v>
      </c>
      <c r="S711">
        <f t="shared" si="101"/>
        <v>0</v>
      </c>
      <c r="T711">
        <f t="shared" si="102"/>
        <v>0</v>
      </c>
      <c r="U711">
        <f t="shared" si="103"/>
        <v>0</v>
      </c>
      <c r="V711">
        <f t="shared" si="104"/>
        <v>0</v>
      </c>
      <c r="AA711">
        <f t="shared" si="96"/>
        <v>0</v>
      </c>
      <c r="AL711" s="142"/>
    </row>
    <row r="712" spans="1:38" hidden="1" x14ac:dyDescent="0.2">
      <c r="A712" s="1700"/>
      <c r="B712" s="1698"/>
      <c r="C712" s="1712"/>
      <c r="D712" s="1699"/>
      <c r="E712" s="1699"/>
      <c r="F712" s="1699"/>
      <c r="G712" s="1699"/>
      <c r="H712" s="1699"/>
      <c r="I712" s="1706"/>
      <c r="J712" s="1706"/>
      <c r="K712" s="1713" t="str">
        <f t="shared" si="97"/>
        <v/>
      </c>
      <c r="L712">
        <f t="shared" si="98"/>
        <v>0</v>
      </c>
      <c r="Q712">
        <f t="shared" si="99"/>
        <v>0</v>
      </c>
      <c r="R712">
        <f t="shared" si="100"/>
        <v>0</v>
      </c>
      <c r="S712">
        <f t="shared" si="101"/>
        <v>0</v>
      </c>
      <c r="T712">
        <f t="shared" si="102"/>
        <v>0</v>
      </c>
      <c r="U712">
        <f t="shared" si="103"/>
        <v>0</v>
      </c>
      <c r="V712">
        <f t="shared" si="104"/>
        <v>0</v>
      </c>
      <c r="AA712">
        <f t="shared" si="96"/>
        <v>0</v>
      </c>
      <c r="AL712" s="142"/>
    </row>
    <row r="713" spans="1:38" hidden="1" x14ac:dyDescent="0.2">
      <c r="A713" s="1700"/>
      <c r="B713" s="1698"/>
      <c r="C713" s="1712"/>
      <c r="D713" s="1699"/>
      <c r="E713" s="1699"/>
      <c r="F713" s="1699"/>
      <c r="G713" s="1699"/>
      <c r="H713" s="1699"/>
      <c r="I713" s="1706"/>
      <c r="J713" s="1706"/>
      <c r="K713" s="1713" t="str">
        <f t="shared" si="97"/>
        <v/>
      </c>
      <c r="L713">
        <f t="shared" si="98"/>
        <v>0</v>
      </c>
      <c r="Q713">
        <f t="shared" si="99"/>
        <v>0</v>
      </c>
      <c r="R713">
        <f t="shared" si="100"/>
        <v>0</v>
      </c>
      <c r="S713">
        <f t="shared" si="101"/>
        <v>0</v>
      </c>
      <c r="T713">
        <f t="shared" si="102"/>
        <v>0</v>
      </c>
      <c r="U713">
        <f t="shared" si="103"/>
        <v>0</v>
      </c>
      <c r="V713">
        <f t="shared" si="104"/>
        <v>0</v>
      </c>
      <c r="AA713">
        <f t="shared" si="96"/>
        <v>0</v>
      </c>
      <c r="AL713" s="142"/>
    </row>
    <row r="714" spans="1:38" hidden="1" x14ac:dyDescent="0.2">
      <c r="A714" s="1700"/>
      <c r="B714" s="1698"/>
      <c r="C714" s="1712"/>
      <c r="D714" s="1699"/>
      <c r="E714" s="1699"/>
      <c r="F714" s="1699"/>
      <c r="G714" s="1699"/>
      <c r="H714" s="1699"/>
      <c r="I714" s="1706"/>
      <c r="J714" s="1706"/>
      <c r="K714" s="1713" t="str">
        <f t="shared" si="97"/>
        <v/>
      </c>
      <c r="L714">
        <f t="shared" si="98"/>
        <v>0</v>
      </c>
      <c r="Q714">
        <f t="shared" si="99"/>
        <v>0</v>
      </c>
      <c r="R714">
        <f t="shared" si="100"/>
        <v>0</v>
      </c>
      <c r="S714">
        <f t="shared" si="101"/>
        <v>0</v>
      </c>
      <c r="T714">
        <f t="shared" si="102"/>
        <v>0</v>
      </c>
      <c r="U714">
        <f t="shared" si="103"/>
        <v>0</v>
      </c>
      <c r="V714">
        <f t="shared" si="104"/>
        <v>0</v>
      </c>
      <c r="AA714">
        <f t="shared" si="96"/>
        <v>0</v>
      </c>
      <c r="AL714" s="142"/>
    </row>
    <row r="715" spans="1:38" hidden="1" x14ac:dyDescent="0.2">
      <c r="A715" s="1700"/>
      <c r="B715" s="1698"/>
      <c r="C715" s="1712"/>
      <c r="D715" s="1699"/>
      <c r="E715" s="1699"/>
      <c r="F715" s="1699"/>
      <c r="G715" s="1699"/>
      <c r="H715" s="1699"/>
      <c r="I715" s="1706"/>
      <c r="J715" s="1706"/>
      <c r="K715" s="1713" t="str">
        <f t="shared" si="97"/>
        <v/>
      </c>
      <c r="L715">
        <f t="shared" si="98"/>
        <v>0</v>
      </c>
      <c r="Q715">
        <f t="shared" si="99"/>
        <v>0</v>
      </c>
      <c r="R715">
        <f t="shared" si="100"/>
        <v>0</v>
      </c>
      <c r="S715">
        <f t="shared" si="101"/>
        <v>0</v>
      </c>
      <c r="T715">
        <f t="shared" si="102"/>
        <v>0</v>
      </c>
      <c r="U715">
        <f t="shared" si="103"/>
        <v>0</v>
      </c>
      <c r="V715">
        <f t="shared" si="104"/>
        <v>0</v>
      </c>
      <c r="AA715">
        <f t="shared" si="96"/>
        <v>0</v>
      </c>
      <c r="AL715" s="142"/>
    </row>
    <row r="716" spans="1:38" hidden="1" x14ac:dyDescent="0.2">
      <c r="A716" s="1700"/>
      <c r="B716" s="1698"/>
      <c r="C716" s="1712"/>
      <c r="D716" s="1699"/>
      <c r="E716" s="1699"/>
      <c r="F716" s="1699"/>
      <c r="G716" s="1699"/>
      <c r="H716" s="1699"/>
      <c r="I716" s="1706"/>
      <c r="J716" s="1706"/>
      <c r="K716" s="1713" t="str">
        <f t="shared" si="97"/>
        <v/>
      </c>
      <c r="L716">
        <f t="shared" si="98"/>
        <v>0</v>
      </c>
      <c r="Q716">
        <f t="shared" si="99"/>
        <v>0</v>
      </c>
      <c r="R716">
        <f t="shared" si="100"/>
        <v>0</v>
      </c>
      <c r="S716">
        <f t="shared" si="101"/>
        <v>0</v>
      </c>
      <c r="T716">
        <f t="shared" si="102"/>
        <v>0</v>
      </c>
      <c r="U716">
        <f t="shared" si="103"/>
        <v>0</v>
      </c>
      <c r="V716">
        <f t="shared" si="104"/>
        <v>0</v>
      </c>
      <c r="AA716">
        <f t="shared" si="96"/>
        <v>0</v>
      </c>
      <c r="AL716" s="142"/>
    </row>
    <row r="717" spans="1:38" hidden="1" x14ac:dyDescent="0.2">
      <c r="A717" s="1700"/>
      <c r="B717" s="1698"/>
      <c r="C717" s="1712"/>
      <c r="D717" s="1699"/>
      <c r="E717" s="1699"/>
      <c r="F717" s="1699"/>
      <c r="G717" s="1699"/>
      <c r="H717" s="1699"/>
      <c r="I717" s="1706"/>
      <c r="J717" s="1706"/>
      <c r="K717" s="1713" t="str">
        <f t="shared" si="97"/>
        <v/>
      </c>
      <c r="L717">
        <f t="shared" si="98"/>
        <v>0</v>
      </c>
      <c r="Q717">
        <f t="shared" si="99"/>
        <v>0</v>
      </c>
      <c r="R717">
        <f t="shared" si="100"/>
        <v>0</v>
      </c>
      <c r="S717">
        <f t="shared" si="101"/>
        <v>0</v>
      </c>
      <c r="T717">
        <f t="shared" si="102"/>
        <v>0</v>
      </c>
      <c r="U717">
        <f t="shared" si="103"/>
        <v>0</v>
      </c>
      <c r="V717">
        <f t="shared" si="104"/>
        <v>0</v>
      </c>
      <c r="AA717">
        <f t="shared" si="96"/>
        <v>0</v>
      </c>
      <c r="AL717" s="142"/>
    </row>
    <row r="718" spans="1:38" hidden="1" x14ac:dyDescent="0.2">
      <c r="A718" s="1700"/>
      <c r="B718" s="1698"/>
      <c r="C718" s="1712"/>
      <c r="D718" s="1699"/>
      <c r="E718" s="1699"/>
      <c r="F718" s="1699"/>
      <c r="G718" s="1699"/>
      <c r="H718" s="1699"/>
      <c r="I718" s="1706"/>
      <c r="J718" s="1706"/>
      <c r="K718" s="1713" t="str">
        <f t="shared" si="97"/>
        <v/>
      </c>
      <c r="L718">
        <f t="shared" si="98"/>
        <v>0</v>
      </c>
      <c r="Q718">
        <f t="shared" si="99"/>
        <v>0</v>
      </c>
      <c r="R718">
        <f t="shared" si="100"/>
        <v>0</v>
      </c>
      <c r="S718">
        <f t="shared" si="101"/>
        <v>0</v>
      </c>
      <c r="T718">
        <f t="shared" si="102"/>
        <v>0</v>
      </c>
      <c r="U718">
        <f t="shared" si="103"/>
        <v>0</v>
      </c>
      <c r="V718">
        <f t="shared" si="104"/>
        <v>0</v>
      </c>
      <c r="AA718">
        <f t="shared" si="96"/>
        <v>0</v>
      </c>
      <c r="AL718" s="142"/>
    </row>
    <row r="719" spans="1:38" hidden="1" x14ac:dyDescent="0.2">
      <c r="A719" s="1700"/>
      <c r="B719" s="1698"/>
      <c r="C719" s="1712"/>
      <c r="D719" s="1699"/>
      <c r="E719" s="1699"/>
      <c r="F719" s="1699"/>
      <c r="G719" s="1699"/>
      <c r="H719" s="1699"/>
      <c r="I719" s="1706"/>
      <c r="J719" s="1706"/>
      <c r="K719" s="1713" t="str">
        <f t="shared" si="97"/>
        <v/>
      </c>
      <c r="L719">
        <f t="shared" si="98"/>
        <v>0</v>
      </c>
      <c r="Q719">
        <f t="shared" si="99"/>
        <v>0</v>
      </c>
      <c r="R719">
        <f t="shared" si="100"/>
        <v>0</v>
      </c>
      <c r="S719">
        <f t="shared" si="101"/>
        <v>0</v>
      </c>
      <c r="T719">
        <f t="shared" si="102"/>
        <v>0</v>
      </c>
      <c r="U719">
        <f t="shared" si="103"/>
        <v>0</v>
      </c>
      <c r="V719">
        <f t="shared" si="104"/>
        <v>0</v>
      </c>
      <c r="AA719">
        <f t="shared" si="96"/>
        <v>0</v>
      </c>
      <c r="AL719" s="142"/>
    </row>
    <row r="720" spans="1:38" hidden="1" x14ac:dyDescent="0.2">
      <c r="A720" s="1700"/>
      <c r="B720" s="1698"/>
      <c r="C720" s="1712"/>
      <c r="D720" s="1699"/>
      <c r="E720" s="1699"/>
      <c r="F720" s="1699"/>
      <c r="G720" s="1699"/>
      <c r="H720" s="1699"/>
      <c r="I720" s="1706"/>
      <c r="J720" s="1706"/>
      <c r="K720" s="1713" t="str">
        <f t="shared" si="97"/>
        <v/>
      </c>
      <c r="L720">
        <f t="shared" si="98"/>
        <v>0</v>
      </c>
      <c r="Q720">
        <f t="shared" si="99"/>
        <v>0</v>
      </c>
      <c r="R720">
        <f t="shared" si="100"/>
        <v>0</v>
      </c>
      <c r="S720">
        <f t="shared" si="101"/>
        <v>0</v>
      </c>
      <c r="T720">
        <f t="shared" si="102"/>
        <v>0</v>
      </c>
      <c r="U720">
        <f t="shared" si="103"/>
        <v>0</v>
      </c>
      <c r="V720">
        <f t="shared" si="104"/>
        <v>0</v>
      </c>
      <c r="AA720">
        <f t="shared" si="96"/>
        <v>0</v>
      </c>
      <c r="AL720" s="142"/>
    </row>
    <row r="721" spans="1:38" hidden="1" x14ac:dyDescent="0.2">
      <c r="A721" s="1700"/>
      <c r="B721" s="1698"/>
      <c r="C721" s="1712"/>
      <c r="D721" s="1699"/>
      <c r="E721" s="1699"/>
      <c r="F721" s="1699"/>
      <c r="G721" s="1699"/>
      <c r="H721" s="1699"/>
      <c r="I721" s="1706"/>
      <c r="J721" s="1706"/>
      <c r="K721" s="1713" t="str">
        <f t="shared" si="97"/>
        <v/>
      </c>
      <c r="L721">
        <f t="shared" si="98"/>
        <v>0</v>
      </c>
      <c r="Q721">
        <f t="shared" si="99"/>
        <v>0</v>
      </c>
      <c r="R721">
        <f t="shared" si="100"/>
        <v>0</v>
      </c>
      <c r="S721">
        <f t="shared" si="101"/>
        <v>0</v>
      </c>
      <c r="T721">
        <f t="shared" si="102"/>
        <v>0</v>
      </c>
      <c r="U721">
        <f t="shared" si="103"/>
        <v>0</v>
      </c>
      <c r="V721">
        <f t="shared" si="104"/>
        <v>0</v>
      </c>
      <c r="AA721">
        <f t="shared" si="96"/>
        <v>0</v>
      </c>
      <c r="AL721" s="142"/>
    </row>
    <row r="722" spans="1:38" hidden="1" x14ac:dyDescent="0.2">
      <c r="A722" s="1700"/>
      <c r="B722" s="1698"/>
      <c r="C722" s="1712"/>
      <c r="D722" s="1699"/>
      <c r="E722" s="1699"/>
      <c r="F722" s="1699"/>
      <c r="G722" s="1699"/>
      <c r="H722" s="1699"/>
      <c r="I722" s="1706"/>
      <c r="J722" s="1706"/>
      <c r="K722" s="1713" t="str">
        <f t="shared" si="97"/>
        <v/>
      </c>
      <c r="L722">
        <f t="shared" si="98"/>
        <v>0</v>
      </c>
      <c r="Q722">
        <f t="shared" si="99"/>
        <v>0</v>
      </c>
      <c r="R722">
        <f t="shared" si="100"/>
        <v>0</v>
      </c>
      <c r="S722">
        <f t="shared" si="101"/>
        <v>0</v>
      </c>
      <c r="T722">
        <f t="shared" si="102"/>
        <v>0</v>
      </c>
      <c r="U722">
        <f t="shared" si="103"/>
        <v>0</v>
      </c>
      <c r="V722">
        <f t="shared" si="104"/>
        <v>0</v>
      </c>
      <c r="AA722">
        <f t="shared" si="96"/>
        <v>0</v>
      </c>
      <c r="AL722" s="142"/>
    </row>
    <row r="723" spans="1:38" hidden="1" x14ac:dyDescent="0.2">
      <c r="A723" s="1700"/>
      <c r="B723" s="1698"/>
      <c r="C723" s="1712"/>
      <c r="D723" s="1699"/>
      <c r="E723" s="1699"/>
      <c r="F723" s="1699"/>
      <c r="G723" s="1699"/>
      <c r="H723" s="1699"/>
      <c r="I723" s="1706"/>
      <c r="J723" s="1706"/>
      <c r="K723" s="1713" t="str">
        <f t="shared" si="97"/>
        <v/>
      </c>
      <c r="L723">
        <f t="shared" si="98"/>
        <v>0</v>
      </c>
      <c r="Q723">
        <f t="shared" si="99"/>
        <v>0</v>
      </c>
      <c r="R723">
        <f t="shared" si="100"/>
        <v>0</v>
      </c>
      <c r="S723">
        <f t="shared" si="101"/>
        <v>0</v>
      </c>
      <c r="T723">
        <f t="shared" si="102"/>
        <v>0</v>
      </c>
      <c r="U723">
        <f t="shared" si="103"/>
        <v>0</v>
      </c>
      <c r="V723">
        <f t="shared" si="104"/>
        <v>0</v>
      </c>
      <c r="AA723">
        <f t="shared" si="96"/>
        <v>0</v>
      </c>
      <c r="AL723" s="142"/>
    </row>
    <row r="724" spans="1:38" hidden="1" x14ac:dyDescent="0.2">
      <c r="A724" s="1700"/>
      <c r="B724" s="1698"/>
      <c r="C724" s="1712"/>
      <c r="D724" s="1699"/>
      <c r="E724" s="1699"/>
      <c r="F724" s="1699"/>
      <c r="G724" s="1699"/>
      <c r="H724" s="1699"/>
      <c r="I724" s="1706"/>
      <c r="J724" s="1706"/>
      <c r="K724" s="1713" t="str">
        <f t="shared" si="97"/>
        <v/>
      </c>
      <c r="L724">
        <f t="shared" si="98"/>
        <v>0</v>
      </c>
      <c r="Q724">
        <f t="shared" si="99"/>
        <v>0</v>
      </c>
      <c r="R724">
        <f t="shared" si="100"/>
        <v>0</v>
      </c>
      <c r="S724">
        <f t="shared" si="101"/>
        <v>0</v>
      </c>
      <c r="T724">
        <f t="shared" si="102"/>
        <v>0</v>
      </c>
      <c r="U724">
        <f t="shared" si="103"/>
        <v>0</v>
      </c>
      <c r="V724">
        <f t="shared" si="104"/>
        <v>0</v>
      </c>
      <c r="AA724">
        <f t="shared" si="96"/>
        <v>0</v>
      </c>
      <c r="AL724" s="142"/>
    </row>
    <row r="725" spans="1:38" hidden="1" x14ac:dyDescent="0.2">
      <c r="A725" s="1700"/>
      <c r="B725" s="1698"/>
      <c r="C725" s="1712"/>
      <c r="D725" s="1699"/>
      <c r="E725" s="1699"/>
      <c r="F725" s="1699"/>
      <c r="G725" s="1699"/>
      <c r="H725" s="1699"/>
      <c r="I725" s="1706"/>
      <c r="J725" s="1706"/>
      <c r="K725" s="1713" t="str">
        <f t="shared" si="97"/>
        <v/>
      </c>
      <c r="L725">
        <f t="shared" si="98"/>
        <v>0</v>
      </c>
      <c r="Q725">
        <f t="shared" si="99"/>
        <v>0</v>
      </c>
      <c r="R725">
        <f t="shared" si="100"/>
        <v>0</v>
      </c>
      <c r="S725">
        <f t="shared" si="101"/>
        <v>0</v>
      </c>
      <c r="T725">
        <f t="shared" si="102"/>
        <v>0</v>
      </c>
      <c r="U725">
        <f t="shared" si="103"/>
        <v>0</v>
      </c>
      <c r="V725">
        <f t="shared" si="104"/>
        <v>0</v>
      </c>
      <c r="AA725">
        <f t="shared" si="96"/>
        <v>0</v>
      </c>
      <c r="AL725" s="142"/>
    </row>
    <row r="726" spans="1:38" hidden="1" x14ac:dyDescent="0.2">
      <c r="A726" s="1700"/>
      <c r="B726" s="1698"/>
      <c r="C726" s="1712"/>
      <c r="D726" s="1699"/>
      <c r="E726" s="1699"/>
      <c r="F726" s="1699"/>
      <c r="G726" s="1699"/>
      <c r="H726" s="1699"/>
      <c r="I726" s="1706"/>
      <c r="J726" s="1706"/>
      <c r="K726" s="1713" t="str">
        <f t="shared" si="97"/>
        <v/>
      </c>
      <c r="L726">
        <f t="shared" si="98"/>
        <v>0</v>
      </c>
      <c r="Q726">
        <f t="shared" si="99"/>
        <v>0</v>
      </c>
      <c r="R726">
        <f t="shared" si="100"/>
        <v>0</v>
      </c>
      <c r="S726">
        <f t="shared" si="101"/>
        <v>0</v>
      </c>
      <c r="T726">
        <f t="shared" si="102"/>
        <v>0</v>
      </c>
      <c r="U726">
        <f t="shared" si="103"/>
        <v>0</v>
      </c>
      <c r="V726">
        <f t="shared" si="104"/>
        <v>0</v>
      </c>
      <c r="AA726">
        <f t="shared" si="96"/>
        <v>0</v>
      </c>
      <c r="AL726" s="142"/>
    </row>
    <row r="727" spans="1:38" hidden="1" x14ac:dyDescent="0.2">
      <c r="A727" s="1700"/>
      <c r="B727" s="1698"/>
      <c r="C727" s="1712"/>
      <c r="D727" s="1699"/>
      <c r="E727" s="1699"/>
      <c r="F727" s="1699"/>
      <c r="G727" s="1699"/>
      <c r="H727" s="1699"/>
      <c r="I727" s="1706"/>
      <c r="J727" s="1706"/>
      <c r="K727" s="1713" t="str">
        <f t="shared" si="97"/>
        <v/>
      </c>
      <c r="L727">
        <f t="shared" si="98"/>
        <v>0</v>
      </c>
      <c r="Q727">
        <f t="shared" si="99"/>
        <v>0</v>
      </c>
      <c r="R727">
        <f t="shared" si="100"/>
        <v>0</v>
      </c>
      <c r="S727">
        <f t="shared" si="101"/>
        <v>0</v>
      </c>
      <c r="T727">
        <f t="shared" si="102"/>
        <v>0</v>
      </c>
      <c r="U727">
        <f t="shared" si="103"/>
        <v>0</v>
      </c>
      <c r="V727">
        <f t="shared" si="104"/>
        <v>0</v>
      </c>
      <c r="AA727">
        <f t="shared" si="96"/>
        <v>0</v>
      </c>
      <c r="AL727" s="142"/>
    </row>
    <row r="728" spans="1:38" hidden="1" x14ac:dyDescent="0.2">
      <c r="A728" s="1700"/>
      <c r="B728" s="1698"/>
      <c r="C728" s="1712"/>
      <c r="D728" s="1699"/>
      <c r="E728" s="1699"/>
      <c r="F728" s="1699"/>
      <c r="G728" s="1699"/>
      <c r="H728" s="1699"/>
      <c r="I728" s="1706"/>
      <c r="J728" s="1706"/>
      <c r="K728" s="1713" t="str">
        <f t="shared" si="97"/>
        <v/>
      </c>
      <c r="L728">
        <f t="shared" si="98"/>
        <v>0</v>
      </c>
      <c r="Q728">
        <f t="shared" si="99"/>
        <v>0</v>
      </c>
      <c r="R728">
        <f t="shared" si="100"/>
        <v>0</v>
      </c>
      <c r="S728">
        <f t="shared" si="101"/>
        <v>0</v>
      </c>
      <c r="T728">
        <f t="shared" si="102"/>
        <v>0</v>
      </c>
      <c r="U728">
        <f t="shared" si="103"/>
        <v>0</v>
      </c>
      <c r="V728">
        <f t="shared" si="104"/>
        <v>0</v>
      </c>
      <c r="AA728">
        <f t="shared" si="96"/>
        <v>0</v>
      </c>
      <c r="AL728" s="142"/>
    </row>
    <row r="729" spans="1:38" hidden="1" x14ac:dyDescent="0.2">
      <c r="A729" s="1700"/>
      <c r="B729" s="1698"/>
      <c r="C729" s="1712"/>
      <c r="D729" s="1699"/>
      <c r="E729" s="1699"/>
      <c r="F729" s="1699"/>
      <c r="G729" s="1699"/>
      <c r="H729" s="1699"/>
      <c r="I729" s="1706"/>
      <c r="J729" s="1706"/>
      <c r="K729" s="1713" t="str">
        <f t="shared" si="97"/>
        <v/>
      </c>
      <c r="L729">
        <f t="shared" si="98"/>
        <v>0</v>
      </c>
      <c r="Q729">
        <f t="shared" si="99"/>
        <v>0</v>
      </c>
      <c r="R729">
        <f t="shared" si="100"/>
        <v>0</v>
      </c>
      <c r="S729">
        <f t="shared" si="101"/>
        <v>0</v>
      </c>
      <c r="T729">
        <f t="shared" si="102"/>
        <v>0</v>
      </c>
      <c r="U729">
        <f t="shared" si="103"/>
        <v>0</v>
      </c>
      <c r="V729">
        <f t="shared" si="104"/>
        <v>0</v>
      </c>
      <c r="AA729">
        <f t="shared" ref="AA729:AA735" si="105">IF(ISERROR(VLOOKUP($B729,eu_countries,1,FALSE))=TRUE,0,1)</f>
      </c>
      <c r="AL729" s="142"/>
    </row>
    <row r="730" spans="1:38" hidden="1" x14ac:dyDescent="0.2">
      <c r="A730" s="1700"/>
      <c r="B730" s="1698"/>
      <c r="C730" s="1712"/>
      <c r="D730" s="1699"/>
      <c r="E730" s="1699"/>
      <c r="F730" s="1699"/>
      <c r="G730" s="1699"/>
      <c r="H730" s="1699"/>
      <c r="I730" s="1706"/>
      <c r="J730" s="1706"/>
      <c r="K730" s="1713" t="str">
        <f t="shared" ref="K730:K735" si="106">IF(AND(AA730=1,A730=$S$59),"TIN required!",IF(Q730&gt;R730," All details required!",""))</f>
        <v/>
      </c>
      <c r="L730">
        <f t="shared" ref="L730:L735" si="107">IF(K730="",0,1)</f>
      </c>
      <c r="Q730">
        <f t="shared" ref="Q730:Q735" si="108">IF(AND(G724="Yes",R730=0),7,IF(S730=0,0,IF(A730=$S$59,10,7)))</f>
      </c>
      <c r="R730">
        <f t="shared" ref="R730:R735" si="109">IF(AND(AA730=0,A730=$S$59),T730+U730+V730,T730+V730)</f>
      </c>
      <c r="S730">
        <f t="shared" ref="S730:S735" si="110">SUM(T730:V730)</f>
      </c>
      <c r="T730">
        <f t="shared" ref="T730:T735" si="111">COUNTA(A730:B730)</f>
      </c>
      <c r="U730">
        <f t="shared" ref="U730:U735" si="112">COUNTA(C730:E730)</f>
      </c>
      <c r="V730">
        <f t="shared" ref="V730:V735" si="113">COUNTA(F730:J730)</f>
      </c>
      <c r="AA730">
        <f t="shared" si="105"/>
        <v>0</v>
      </c>
      <c r="AL730" s="142"/>
    </row>
    <row r="731" spans="1:38" hidden="1" x14ac:dyDescent="0.2">
      <c r="A731" s="1700"/>
      <c r="B731" s="1698"/>
      <c r="C731" s="1712"/>
      <c r="D731" s="1699"/>
      <c r="E731" s="1699"/>
      <c r="F731" s="1699"/>
      <c r="G731" s="1699"/>
      <c r="H731" s="1699"/>
      <c r="I731" s="1706"/>
      <c r="J731" s="1706"/>
      <c r="K731" s="1713" t="str">
        <f t="shared" si="106"/>
        <v/>
      </c>
      <c r="L731">
        <f t="shared" si="107"/>
        <v>0</v>
      </c>
      <c r="Q731">
        <f t="shared" si="108"/>
        <v>0</v>
      </c>
      <c r="R731">
        <f t="shared" si="109"/>
        <v>0</v>
      </c>
      <c r="S731">
        <f t="shared" si="110"/>
        <v>0</v>
      </c>
      <c r="T731">
        <f t="shared" si="111"/>
        <v>0</v>
      </c>
      <c r="U731">
        <f t="shared" si="112"/>
        <v>0</v>
      </c>
      <c r="V731">
        <f t="shared" si="113"/>
        <v>0</v>
      </c>
      <c r="AA731">
        <f t="shared" si="105"/>
        <v>0</v>
      </c>
      <c r="AL731" s="142"/>
    </row>
    <row r="732" spans="1:38" hidden="1" x14ac:dyDescent="0.2">
      <c r="A732" s="1700"/>
      <c r="B732" s="1698"/>
      <c r="C732" s="1712"/>
      <c r="D732" s="1699"/>
      <c r="E732" s="1699"/>
      <c r="F732" s="1699"/>
      <c r="G732" s="1699"/>
      <c r="H732" s="1699"/>
      <c r="I732" s="1706"/>
      <c r="J732" s="1706"/>
      <c r="K732" s="1713" t="str">
        <f t="shared" si="106"/>
        <v/>
      </c>
      <c r="L732">
        <f t="shared" si="107"/>
        <v>0</v>
      </c>
      <c r="Q732">
        <f t="shared" si="108"/>
        <v>0</v>
      </c>
      <c r="R732">
        <f t="shared" si="109"/>
        <v>0</v>
      </c>
      <c r="S732">
        <f t="shared" si="110"/>
        <v>0</v>
      </c>
      <c r="T732">
        <f t="shared" si="111"/>
        <v>0</v>
      </c>
      <c r="U732">
        <f t="shared" si="112"/>
        <v>0</v>
      </c>
      <c r="V732">
        <f t="shared" si="113"/>
        <v>0</v>
      </c>
      <c r="AA732">
        <f t="shared" si="105"/>
        <v>0</v>
      </c>
      <c r="AL732" s="142"/>
    </row>
    <row r="733" spans="1:38" hidden="1" x14ac:dyDescent="0.2">
      <c r="A733" s="1700"/>
      <c r="B733" s="1698"/>
      <c r="C733" s="1712"/>
      <c r="D733" s="1699"/>
      <c r="E733" s="1699"/>
      <c r="F733" s="1699"/>
      <c r="G733" s="1699"/>
      <c r="H733" s="1699"/>
      <c r="I733" s="1706"/>
      <c r="J733" s="1706"/>
      <c r="K733" s="1713" t="str">
        <f t="shared" si="106"/>
        <v/>
      </c>
      <c r="L733">
        <f t="shared" si="107"/>
        <v>0</v>
      </c>
      <c r="Q733">
        <f t="shared" si="108"/>
        <v>0</v>
      </c>
      <c r="R733">
        <f t="shared" si="109"/>
        <v>0</v>
      </c>
      <c r="S733">
        <f t="shared" si="110"/>
        <v>0</v>
      </c>
      <c r="T733">
        <f t="shared" si="111"/>
        <v>0</v>
      </c>
      <c r="U733">
        <f t="shared" si="112"/>
        <v>0</v>
      </c>
      <c r="V733">
        <f t="shared" si="113"/>
        <v>0</v>
      </c>
      <c r="AA733">
        <f t="shared" si="105"/>
        <v>0</v>
      </c>
      <c r="AL733" s="142"/>
    </row>
    <row r="734" spans="1:38" hidden="1" x14ac:dyDescent="0.2">
      <c r="A734" s="1700"/>
      <c r="B734" s="1698"/>
      <c r="C734" s="1712"/>
      <c r="D734" s="1699"/>
      <c r="E734" s="1699"/>
      <c r="F734" s="1699"/>
      <c r="G734" s="1699"/>
      <c r="H734" s="1699"/>
      <c r="I734" s="1706"/>
      <c r="J734" s="1706"/>
      <c r="K734" s="1713" t="str">
        <f t="shared" si="106"/>
        <v/>
      </c>
      <c r="L734">
        <f t="shared" si="107"/>
        <v>0</v>
      </c>
      <c r="Q734">
        <f t="shared" si="108"/>
        <v>0</v>
      </c>
      <c r="R734">
        <f t="shared" si="109"/>
        <v>0</v>
      </c>
      <c r="S734">
        <f t="shared" si="110"/>
        <v>0</v>
      </c>
      <c r="T734">
        <f t="shared" si="111"/>
        <v>0</v>
      </c>
      <c r="U734">
        <f t="shared" si="112"/>
        <v>0</v>
      </c>
      <c r="V734">
        <f t="shared" si="113"/>
        <v>0</v>
      </c>
      <c r="AA734">
        <f t="shared" si="105"/>
        <v>0</v>
      </c>
      <c r="AL734" s="142"/>
    </row>
    <row r="735" spans="1:38" hidden="1" x14ac:dyDescent="0.2">
      <c r="A735" s="1700"/>
      <c r="B735" s="1698"/>
      <c r="C735" s="1712"/>
      <c r="D735" s="1699"/>
      <c r="E735" s="1699"/>
      <c r="F735" s="1699"/>
      <c r="G735" s="1699"/>
      <c r="H735" s="1699"/>
      <c r="I735" s="1706"/>
      <c r="J735" s="1706"/>
      <c r="K735" s="1713" t="str">
        <f t="shared" si="106"/>
        <v/>
      </c>
      <c r="L735">
        <f t="shared" si="107"/>
        <v>0</v>
      </c>
      <c r="Q735">
        <f t="shared" si="108"/>
        <v>0</v>
      </c>
      <c r="R735">
        <f t="shared" si="109"/>
        <v>0</v>
      </c>
      <c r="S735">
        <f t="shared" si="110"/>
        <v>0</v>
      </c>
      <c r="T735">
        <f t="shared" si="111"/>
        <v>0</v>
      </c>
      <c r="U735">
        <f t="shared" si="112"/>
        <v>0</v>
      </c>
      <c r="V735">
        <f t="shared" si="113"/>
        <v>0</v>
      </c>
      <c r="AA735">
        <f t="shared" si="105"/>
        <v>0</v>
      </c>
      <c r="AL735" s="142"/>
    </row>
    <row r="736" spans="1:38" hidden="1" x14ac:dyDescent="0.2">
      <c r="A736" s="1700"/>
      <c r="B736" s="1698"/>
      <c r="C736" s="1712"/>
      <c r="D736" s="1699"/>
      <c r="E736" s="1699"/>
      <c r="F736" s="1699"/>
      <c r="G736" s="1699"/>
      <c r="H736" s="1699"/>
      <c r="I736" s="1706"/>
      <c r="J736" s="1706"/>
      <c r="K736" s="1713" t="str">
        <f t="shared" ref="K736:K746" si="114">IF(AND(AA736=1,A736=$S$59),"TIN required!",IF(Q736&gt;R736," All details required!",""))</f>
        <v/>
      </c>
      <c r="L736">
        <f t="shared" ref="L736:L745" si="115">IF(K736="",0,1)</f>
      </c>
      <c r="Q736">
        <f t="shared" ref="Q736:Q746" si="116">IF(AND(G730="Yes",R736=0),7,IF(S736=0,0,IF(A736=$S$59,10,7)))</f>
      </c>
      <c r="R736">
        <f t="shared" ref="R736:R745" si="117">IF(AND(AA736=0,A736=$S$59),T736+U736+V736,T736+V736)</f>
      </c>
      <c r="S736">
        <f t="shared" ref="S736:S773" si="118">SUM(T736:V736)</f>
      </c>
      <c r="T736">
        <f t="shared" ref="T736:T745" si="119">COUNTA(A736:B736)</f>
      </c>
      <c r="U736">
        <f t="shared" ref="U736:U745" si="120">COUNTA(C736:E736)</f>
      </c>
      <c r="V736">
        <f t="shared" ref="V736:V745" si="121">COUNTA(F736:J736)</f>
      </c>
      <c r="AA736">
        <f t="shared" ref="AA736:AA745" si="122">IF(ISERROR(VLOOKUP($B736,eu_countries,1,FALSE))=TRUE,0,1)</f>
      </c>
    </row>
    <row r="737" spans="1:27" hidden="1" x14ac:dyDescent="0.2">
      <c r="A737" s="1700"/>
      <c r="B737" s="1698"/>
      <c r="C737" s="1712"/>
      <c r="D737" s="1699"/>
      <c r="E737" s="1699"/>
      <c r="F737" s="1699"/>
      <c r="G737" s="1699"/>
      <c r="H737" s="1699"/>
      <c r="I737" s="1706"/>
      <c r="J737" s="1706"/>
      <c r="K737" s="1713" t="str">
        <f t="shared" si="114"/>
        <v/>
      </c>
      <c r="L737">
        <f t="shared" si="115"/>
        <v>0</v>
      </c>
      <c r="Q737">
        <f t="shared" si="116"/>
        <v>0</v>
      </c>
      <c r="R737">
        <f t="shared" si="117"/>
        <v>0</v>
      </c>
      <c r="S737">
        <f t="shared" si="118"/>
        <v>0</v>
      </c>
      <c r="T737">
        <f t="shared" si="119"/>
        <v>0</v>
      </c>
      <c r="U737">
        <f t="shared" si="120"/>
        <v>0</v>
      </c>
      <c r="V737">
        <f t="shared" si="121"/>
        <v>0</v>
      </c>
      <c r="AA737">
        <f t="shared" si="122"/>
        <v>0</v>
      </c>
    </row>
    <row r="738" spans="1:27" hidden="1" x14ac:dyDescent="0.2">
      <c r="A738" s="1700"/>
      <c r="B738" s="1698"/>
      <c r="C738" s="1712"/>
      <c r="D738" s="1699"/>
      <c r="E738" s="1699"/>
      <c r="F738" s="1699"/>
      <c r="G738" s="1699"/>
      <c r="H738" s="1699"/>
      <c r="I738" s="1706"/>
      <c r="J738" s="1706"/>
      <c r="K738" s="1713" t="str">
        <f t="shared" si="114"/>
        <v/>
      </c>
      <c r="L738">
        <f t="shared" si="115"/>
        <v>0</v>
      </c>
      <c r="Q738">
        <f t="shared" si="116"/>
        <v>0</v>
      </c>
      <c r="R738">
        <f t="shared" si="117"/>
        <v>0</v>
      </c>
      <c r="S738">
        <f t="shared" si="118"/>
        <v>0</v>
      </c>
      <c r="T738">
        <f t="shared" si="119"/>
        <v>0</v>
      </c>
      <c r="U738">
        <f t="shared" si="120"/>
        <v>0</v>
      </c>
      <c r="V738">
        <f t="shared" si="121"/>
        <v>0</v>
      </c>
      <c r="AA738">
        <f t="shared" si="122"/>
        <v>0</v>
      </c>
    </row>
    <row r="739" spans="1:27" hidden="1" x14ac:dyDescent="0.2">
      <c r="A739" s="1700"/>
      <c r="B739" s="1698"/>
      <c r="C739" s="1712"/>
      <c r="D739" s="1699"/>
      <c r="E739" s="1699"/>
      <c r="F739" s="1699"/>
      <c r="G739" s="1699"/>
      <c r="H739" s="1699"/>
      <c r="I739" s="1706"/>
      <c r="J739" s="1706"/>
      <c r="K739" s="1713" t="str">
        <f t="shared" si="114"/>
        <v/>
      </c>
      <c r="L739">
        <f t="shared" si="115"/>
        <v>0</v>
      </c>
      <c r="Q739">
        <f t="shared" si="116"/>
        <v>0</v>
      </c>
      <c r="R739">
        <f t="shared" si="117"/>
        <v>0</v>
      </c>
      <c r="S739">
        <f t="shared" si="118"/>
        <v>0</v>
      </c>
      <c r="T739">
        <f t="shared" si="119"/>
        <v>0</v>
      </c>
      <c r="U739">
        <f t="shared" si="120"/>
        <v>0</v>
      </c>
      <c r="V739">
        <f t="shared" si="121"/>
        <v>0</v>
      </c>
      <c r="AA739">
        <f t="shared" si="122"/>
        <v>0</v>
      </c>
    </row>
    <row r="740" spans="1:27" hidden="1" x14ac:dyDescent="0.2">
      <c r="A740" s="1700"/>
      <c r="B740" s="1698"/>
      <c r="C740" s="1712"/>
      <c r="D740" s="1699"/>
      <c r="E740" s="1699"/>
      <c r="F740" s="1699"/>
      <c r="G740" s="1699"/>
      <c r="H740" s="1699"/>
      <c r="I740" s="1706"/>
      <c r="J740" s="1706"/>
      <c r="K740" s="1713" t="str">
        <f t="shared" si="114"/>
        <v/>
      </c>
      <c r="L740">
        <f t="shared" si="115"/>
        <v>0</v>
      </c>
      <c r="Q740">
        <f t="shared" si="116"/>
        <v>0</v>
      </c>
      <c r="R740">
        <f t="shared" si="117"/>
        <v>0</v>
      </c>
      <c r="S740">
        <f t="shared" si="118"/>
        <v>0</v>
      </c>
      <c r="T740">
        <f t="shared" si="119"/>
        <v>0</v>
      </c>
      <c r="U740">
        <f t="shared" si="120"/>
        <v>0</v>
      </c>
      <c r="V740">
        <f t="shared" si="121"/>
        <v>0</v>
      </c>
      <c r="AA740">
        <f t="shared" si="122"/>
        <v>0</v>
      </c>
    </row>
    <row r="741" spans="1:27" hidden="1" x14ac:dyDescent="0.2">
      <c r="A741" s="1700"/>
      <c r="B741" s="1698"/>
      <c r="C741" s="1712"/>
      <c r="D741" s="1699"/>
      <c r="E741" s="1699"/>
      <c r="F741" s="1699"/>
      <c r="G741" s="1699"/>
      <c r="H741" s="1699"/>
      <c r="I741" s="1706"/>
      <c r="J741" s="1706"/>
      <c r="K741" s="1713" t="str">
        <f t="shared" si="114"/>
        <v/>
      </c>
      <c r="L741">
        <f t="shared" si="115"/>
        <v>0</v>
      </c>
      <c r="Q741">
        <f t="shared" si="116"/>
        <v>0</v>
      </c>
      <c r="R741">
        <f t="shared" si="117"/>
        <v>0</v>
      </c>
      <c r="S741">
        <f t="shared" si="118"/>
        <v>0</v>
      </c>
      <c r="T741">
        <f t="shared" si="119"/>
        <v>0</v>
      </c>
      <c r="U741">
        <f t="shared" si="120"/>
        <v>0</v>
      </c>
      <c r="V741">
        <f t="shared" si="121"/>
        <v>0</v>
      </c>
      <c r="AA741">
        <f t="shared" si="122"/>
        <v>0</v>
      </c>
    </row>
    <row r="742" spans="1:27" hidden="1" x14ac:dyDescent="0.2">
      <c r="A742" s="1700"/>
      <c r="B742" s="1698"/>
      <c r="C742" s="1712"/>
      <c r="D742" s="1699"/>
      <c r="E742" s="1699"/>
      <c r="F742" s="1699"/>
      <c r="G742" s="1699"/>
      <c r="H742" s="1699"/>
      <c r="I742" s="1706"/>
      <c r="J742" s="1706"/>
      <c r="K742" s="1713" t="str">
        <f t="shared" si="114"/>
        <v/>
      </c>
      <c r="L742">
        <f t="shared" si="115"/>
        <v>0</v>
      </c>
      <c r="Q742">
        <f t="shared" si="116"/>
        <v>0</v>
      </c>
      <c r="R742">
        <f t="shared" si="117"/>
        <v>0</v>
      </c>
      <c r="S742">
        <f t="shared" si="118"/>
        <v>0</v>
      </c>
      <c r="T742">
        <f t="shared" si="119"/>
        <v>0</v>
      </c>
      <c r="U742">
        <f t="shared" si="120"/>
        <v>0</v>
      </c>
      <c r="V742">
        <f t="shared" si="121"/>
        <v>0</v>
      </c>
      <c r="AA742">
        <f t="shared" si="122"/>
        <v>0</v>
      </c>
    </row>
    <row r="743" spans="1:27" hidden="1" x14ac:dyDescent="0.2">
      <c r="A743" s="1700"/>
      <c r="B743" s="1698"/>
      <c r="C743" s="1712"/>
      <c r="D743" s="1699"/>
      <c r="E743" s="1699"/>
      <c r="F743" s="1699"/>
      <c r="G743" s="1699"/>
      <c r="H743" s="1699"/>
      <c r="I743" s="1706"/>
      <c r="J743" s="1706"/>
      <c r="K743" s="1713" t="str">
        <f t="shared" si="114"/>
        <v/>
      </c>
      <c r="L743">
        <f t="shared" si="115"/>
        <v>0</v>
      </c>
      <c r="Q743">
        <f t="shared" si="116"/>
        <v>0</v>
      </c>
      <c r="R743">
        <f t="shared" si="117"/>
        <v>0</v>
      </c>
      <c r="S743">
        <f t="shared" si="118"/>
        <v>0</v>
      </c>
      <c r="T743">
        <f t="shared" si="119"/>
        <v>0</v>
      </c>
      <c r="U743">
        <f t="shared" si="120"/>
        <v>0</v>
      </c>
      <c r="V743">
        <f t="shared" si="121"/>
        <v>0</v>
      </c>
      <c r="AA743">
        <f t="shared" si="122"/>
        <v>0</v>
      </c>
    </row>
    <row r="744" spans="1:27" hidden="1" x14ac:dyDescent="0.2">
      <c r="A744" s="1700"/>
      <c r="B744" s="1698"/>
      <c r="C744" s="1712"/>
      <c r="D744" s="1699"/>
      <c r="E744" s="1699"/>
      <c r="F744" s="1699"/>
      <c r="G744" s="1699"/>
      <c r="H744" s="1699"/>
      <c r="I744" s="1706"/>
      <c r="J744" s="1706"/>
      <c r="K744" s="1713" t="str">
        <f t="shared" si="114"/>
        <v/>
      </c>
      <c r="L744">
        <f t="shared" si="115"/>
        <v>0</v>
      </c>
      <c r="Q744">
        <f t="shared" si="116"/>
        <v>0</v>
      </c>
      <c r="R744">
        <f t="shared" si="117"/>
        <v>0</v>
      </c>
      <c r="S744">
        <f t="shared" si="118"/>
        <v>0</v>
      </c>
      <c r="T744">
        <f t="shared" si="119"/>
        <v>0</v>
      </c>
      <c r="U744">
        <f t="shared" si="120"/>
        <v>0</v>
      </c>
      <c r="V744">
        <f t="shared" si="121"/>
        <v>0</v>
      </c>
      <c r="AA744">
        <f t="shared" si="122"/>
        <v>0</v>
      </c>
    </row>
    <row r="745" spans="1:27" hidden="1" x14ac:dyDescent="0.2">
      <c r="A745" s="1700"/>
      <c r="B745" s="1698"/>
      <c r="C745" s="1712"/>
      <c r="D745" s="1699"/>
      <c r="E745" s="1699"/>
      <c r="F745" s="1699"/>
      <c r="G745" s="1699"/>
      <c r="H745" s="1699"/>
      <c r="I745" s="1706"/>
      <c r="J745" s="1706"/>
      <c r="K745" s="1713" t="str">
        <f t="shared" si="114"/>
        <v/>
      </c>
      <c r="L745">
        <f t="shared" si="115"/>
        <v>0</v>
      </c>
      <c r="Q745">
        <f t="shared" si="116"/>
        <v>0</v>
      </c>
      <c r="R745">
        <f t="shared" si="117"/>
        <v>0</v>
      </c>
      <c r="S745">
        <f t="shared" si="118"/>
        <v>0</v>
      </c>
      <c r="T745">
        <f t="shared" si="119"/>
        <v>0</v>
      </c>
      <c r="U745">
        <f t="shared" si="120"/>
        <v>0</v>
      </c>
      <c r="V745">
        <f t="shared" si="121"/>
        <v>0</v>
      </c>
      <c r="AA745">
        <f t="shared" si="122"/>
        <v>0</v>
      </c>
    </row>
    <row r="746" spans="1:27" hidden="1" x14ac:dyDescent="0.2">
      <c r="A746" s="1700"/>
      <c r="B746" s="1698"/>
      <c r="C746" s="1712"/>
      <c r="D746" s="1699"/>
      <c r="E746" s="1699"/>
      <c r="F746" s="1699"/>
      <c r="G746" s="1699"/>
      <c r="H746" s="1699"/>
      <c r="I746" s="1706"/>
      <c r="J746" s="1706"/>
      <c r="K746" s="1713" t="str">
        <f t="shared" si="114"/>
        <v/>
      </c>
      <c r="L746">
        <f t="shared" ref="L746:L783" si="123">IF(K746="",0,1)</f>
      </c>
      <c r="Q746">
        <f t="shared" si="116"/>
        <v>0</v>
      </c>
      <c r="R746">
        <f t="shared" ref="R746:R783" si="124">IF(AND(AA746=0,A746=$S$59),T746+U746+V746,T746+V746)</f>
      </c>
      <c r="S746">
        <f t="shared" si="118"/>
        <v>0</v>
      </c>
      <c r="T746">
        <f t="shared" ref="T746:T783" si="125">COUNTA(A746:B746)</f>
      </c>
      <c r="U746">
        <f t="shared" ref="U746:U783" si="126">COUNTA(C746:E746)</f>
      </c>
      <c r="V746">
        <f t="shared" ref="V746:V783" si="127">COUNTA(F746:J746)</f>
      </c>
      <c r="AA746">
        <f t="shared" ref="AA746:AA783" si="128">IF(ISERROR(VLOOKUP($B746,eu_countries,1,FALSE))=TRUE,0,1)</f>
      </c>
    </row>
    <row r="747" spans="1:27" hidden="1" x14ac:dyDescent="0.2">
      <c r="A747" s="1700"/>
      <c r="B747" s="1698"/>
      <c r="C747" s="1712"/>
      <c r="D747" s="1699"/>
      <c r="E747" s="1699"/>
      <c r="F747" s="1699"/>
      <c r="G747" s="1699"/>
      <c r="H747" s="1699"/>
      <c r="I747" s="1706"/>
      <c r="J747" s="1706"/>
      <c r="K747" s="1713" t="str">
        <f t="shared" ref="K747:K783" si="129">IF(AND(AA747=1,A747=$S$59),"TIN required!",IF(Q747&gt;R747," All details required!",""))</f>
        <v/>
      </c>
      <c r="L747">
        <f t="shared" si="123"/>
        <v>0</v>
      </c>
      <c r="Q747">
        <f t="shared" ref="Q747:Q783" si="130">IF(AND(G741="Yes",R747=0),7,IF(S747=0,0,IF(A747=$S$59,10,7)))</f>
      </c>
      <c r="R747">
        <f t="shared" si="124"/>
        <v>0</v>
      </c>
      <c r="S747">
        <f t="shared" si="118"/>
        <v>0</v>
      </c>
      <c r="T747">
        <f t="shared" si="125"/>
        <v>0</v>
      </c>
      <c r="U747">
        <f t="shared" si="126"/>
        <v>0</v>
      </c>
      <c r="V747">
        <f t="shared" si="127"/>
        <v>0</v>
      </c>
      <c r="AA747">
        <f t="shared" si="128"/>
        <v>0</v>
      </c>
    </row>
    <row r="748" spans="1:27" hidden="1" x14ac:dyDescent="0.2">
      <c r="A748" s="1700"/>
      <c r="B748" s="1698"/>
      <c r="C748" s="1712"/>
      <c r="D748" s="1699"/>
      <c r="E748" s="1699"/>
      <c r="F748" s="1699"/>
      <c r="G748" s="1699"/>
      <c r="H748" s="1699"/>
      <c r="I748" s="1706"/>
      <c r="J748" s="1706"/>
      <c r="K748" s="1713" t="str">
        <f t="shared" si="129"/>
        <v/>
      </c>
      <c r="L748">
        <f t="shared" si="123"/>
        <v>0</v>
      </c>
      <c r="Q748">
        <f t="shared" si="130"/>
        <v>0</v>
      </c>
      <c r="R748">
        <f t="shared" si="124"/>
        <v>0</v>
      </c>
      <c r="S748">
        <f t="shared" si="118"/>
        <v>0</v>
      </c>
      <c r="T748">
        <f t="shared" si="125"/>
        <v>0</v>
      </c>
      <c r="U748">
        <f t="shared" si="126"/>
        <v>0</v>
      </c>
      <c r="V748">
        <f t="shared" si="127"/>
        <v>0</v>
      </c>
      <c r="AA748">
        <f t="shared" si="128"/>
        <v>0</v>
      </c>
    </row>
    <row r="749" spans="1:27" hidden="1" x14ac:dyDescent="0.2">
      <c r="A749" s="1700"/>
      <c r="B749" s="1698"/>
      <c r="C749" s="1712"/>
      <c r="D749" s="1699"/>
      <c r="E749" s="1699"/>
      <c r="F749" s="1699"/>
      <c r="G749" s="1699"/>
      <c r="H749" s="1699"/>
      <c r="I749" s="1706"/>
      <c r="J749" s="1706"/>
      <c r="K749" s="1713" t="str">
        <f t="shared" si="129"/>
        <v/>
      </c>
      <c r="L749">
        <f t="shared" si="123"/>
        <v>0</v>
      </c>
      <c r="Q749">
        <f t="shared" si="130"/>
        <v>0</v>
      </c>
      <c r="R749">
        <f t="shared" si="124"/>
        <v>0</v>
      </c>
      <c r="S749">
        <f t="shared" si="118"/>
        <v>0</v>
      </c>
      <c r="T749">
        <f t="shared" si="125"/>
        <v>0</v>
      </c>
      <c r="U749">
        <f t="shared" si="126"/>
        <v>0</v>
      </c>
      <c r="V749">
        <f t="shared" si="127"/>
        <v>0</v>
      </c>
      <c r="AA749">
        <f t="shared" si="128"/>
        <v>0</v>
      </c>
    </row>
    <row r="750" spans="1:27" hidden="1" x14ac:dyDescent="0.2">
      <c r="A750" s="1700"/>
      <c r="B750" s="1698"/>
      <c r="C750" s="1712"/>
      <c r="D750" s="1699"/>
      <c r="E750" s="1699"/>
      <c r="F750" s="1699"/>
      <c r="G750" s="1699"/>
      <c r="H750" s="1699"/>
      <c r="I750" s="1706"/>
      <c r="J750" s="1706"/>
      <c r="K750" s="1713" t="str">
        <f t="shared" si="129"/>
        <v/>
      </c>
      <c r="L750">
        <f t="shared" si="123"/>
        <v>0</v>
      </c>
      <c r="Q750">
        <f t="shared" si="130"/>
        <v>0</v>
      </c>
      <c r="R750">
        <f t="shared" si="124"/>
        <v>0</v>
      </c>
      <c r="S750">
        <f t="shared" si="118"/>
        <v>0</v>
      </c>
      <c r="T750">
        <f t="shared" si="125"/>
        <v>0</v>
      </c>
      <c r="U750">
        <f t="shared" si="126"/>
        <v>0</v>
      </c>
      <c r="V750">
        <f t="shared" si="127"/>
        <v>0</v>
      </c>
      <c r="AA750">
        <f t="shared" si="128"/>
        <v>0</v>
      </c>
    </row>
    <row r="751" spans="1:27" hidden="1" x14ac:dyDescent="0.2">
      <c r="A751" s="1700"/>
      <c r="B751" s="1698"/>
      <c r="C751" s="1712"/>
      <c r="D751" s="1699"/>
      <c r="E751" s="1699"/>
      <c r="F751" s="1699"/>
      <c r="G751" s="1699"/>
      <c r="H751" s="1699"/>
      <c r="I751" s="1706"/>
      <c r="J751" s="1706"/>
      <c r="K751" s="1713" t="str">
        <f t="shared" si="129"/>
        <v/>
      </c>
      <c r="L751">
        <f t="shared" si="123"/>
        <v>0</v>
      </c>
      <c r="Q751">
        <f t="shared" si="130"/>
        <v>0</v>
      </c>
      <c r="R751">
        <f t="shared" si="124"/>
        <v>0</v>
      </c>
      <c r="S751">
        <f t="shared" si="118"/>
        <v>0</v>
      </c>
      <c r="T751">
        <f t="shared" si="125"/>
        <v>0</v>
      </c>
      <c r="U751">
        <f t="shared" si="126"/>
        <v>0</v>
      </c>
      <c r="V751">
        <f t="shared" si="127"/>
        <v>0</v>
      </c>
      <c r="AA751">
        <f t="shared" si="128"/>
        <v>0</v>
      </c>
    </row>
    <row r="752" spans="1:27" hidden="1" x14ac:dyDescent="0.2">
      <c r="A752" s="1700"/>
      <c r="B752" s="1698"/>
      <c r="C752" s="1712"/>
      <c r="D752" s="1699"/>
      <c r="E752" s="1699"/>
      <c r="F752" s="1699"/>
      <c r="G752" s="1699"/>
      <c r="H752" s="1699"/>
      <c r="I752" s="1706"/>
      <c r="J752" s="1706"/>
      <c r="K752" s="1713" t="str">
        <f t="shared" si="129"/>
        <v/>
      </c>
      <c r="L752">
        <f t="shared" si="123"/>
        <v>0</v>
      </c>
      <c r="Q752">
        <f t="shared" si="130"/>
        <v>0</v>
      </c>
      <c r="R752">
        <f t="shared" si="124"/>
        <v>0</v>
      </c>
      <c r="S752">
        <f t="shared" si="118"/>
        <v>0</v>
      </c>
      <c r="T752">
        <f t="shared" si="125"/>
        <v>0</v>
      </c>
      <c r="U752">
        <f t="shared" si="126"/>
        <v>0</v>
      </c>
      <c r="V752">
        <f t="shared" si="127"/>
        <v>0</v>
      </c>
      <c r="AA752">
        <f t="shared" si="128"/>
        <v>0</v>
      </c>
    </row>
    <row r="753" spans="1:27" hidden="1" x14ac:dyDescent="0.2">
      <c r="A753" s="1700"/>
      <c r="B753" s="1698"/>
      <c r="C753" s="1712"/>
      <c r="D753" s="1699"/>
      <c r="E753" s="1699"/>
      <c r="F753" s="1699"/>
      <c r="G753" s="1699"/>
      <c r="H753" s="1699"/>
      <c r="I753" s="1706"/>
      <c r="J753" s="1706"/>
      <c r="K753" s="1713" t="str">
        <f t="shared" si="129"/>
        <v/>
      </c>
      <c r="L753">
        <f t="shared" si="123"/>
        <v>0</v>
      </c>
      <c r="Q753">
        <f t="shared" si="130"/>
        <v>0</v>
      </c>
      <c r="R753">
        <f t="shared" si="124"/>
        <v>0</v>
      </c>
      <c r="S753">
        <f t="shared" si="118"/>
        <v>0</v>
      </c>
      <c r="T753">
        <f t="shared" si="125"/>
        <v>0</v>
      </c>
      <c r="U753">
        <f t="shared" si="126"/>
        <v>0</v>
      </c>
      <c r="V753">
        <f t="shared" si="127"/>
        <v>0</v>
      </c>
      <c r="AA753">
        <f t="shared" si="128"/>
        <v>0</v>
      </c>
    </row>
    <row r="754" spans="1:27" hidden="1" x14ac:dyDescent="0.2">
      <c r="A754" s="1700"/>
      <c r="B754" s="1698"/>
      <c r="C754" s="1712"/>
      <c r="D754" s="1699"/>
      <c r="E754" s="1699"/>
      <c r="F754" s="1699"/>
      <c r="G754" s="1699"/>
      <c r="H754" s="1699"/>
      <c r="I754" s="1706"/>
      <c r="J754" s="1706"/>
      <c r="K754" s="1713" t="str">
        <f t="shared" si="129"/>
        <v/>
      </c>
      <c r="L754">
        <f t="shared" si="123"/>
        <v>0</v>
      </c>
      <c r="Q754">
        <f t="shared" si="130"/>
        <v>0</v>
      </c>
      <c r="R754">
        <f t="shared" si="124"/>
        <v>0</v>
      </c>
      <c r="S754">
        <f t="shared" si="118"/>
        <v>0</v>
      </c>
      <c r="T754">
        <f t="shared" si="125"/>
        <v>0</v>
      </c>
      <c r="U754">
        <f t="shared" si="126"/>
        <v>0</v>
      </c>
      <c r="V754">
        <f t="shared" si="127"/>
        <v>0</v>
      </c>
      <c r="AA754">
        <f t="shared" si="128"/>
        <v>0</v>
      </c>
    </row>
    <row r="755" spans="1:27" hidden="1" x14ac:dyDescent="0.2">
      <c r="A755" s="1700"/>
      <c r="B755" s="1698"/>
      <c r="C755" s="1712"/>
      <c r="D755" s="1699"/>
      <c r="E755" s="1699"/>
      <c r="F755" s="1699"/>
      <c r="G755" s="1699"/>
      <c r="H755" s="1699"/>
      <c r="I755" s="1706"/>
      <c r="J755" s="1706"/>
      <c r="K755" s="1713" t="str">
        <f t="shared" si="129"/>
        <v/>
      </c>
      <c r="L755">
        <f t="shared" si="123"/>
        <v>0</v>
      </c>
      <c r="Q755">
        <f t="shared" si="130"/>
        <v>0</v>
      </c>
      <c r="R755">
        <f t="shared" si="124"/>
        <v>0</v>
      </c>
      <c r="S755">
        <f t="shared" si="118"/>
        <v>0</v>
      </c>
      <c r="T755">
        <f t="shared" si="125"/>
        <v>0</v>
      </c>
      <c r="U755">
        <f t="shared" si="126"/>
        <v>0</v>
      </c>
      <c r="V755">
        <f t="shared" si="127"/>
        <v>0</v>
      </c>
      <c r="AA755">
        <f t="shared" si="128"/>
        <v>0</v>
      </c>
    </row>
    <row r="756" spans="1:27" hidden="1" x14ac:dyDescent="0.2">
      <c r="A756" s="1700"/>
      <c r="B756" s="1698"/>
      <c r="C756" s="1712"/>
      <c r="D756" s="1699"/>
      <c r="E756" s="1699"/>
      <c r="F756" s="1699"/>
      <c r="G756" s="1699"/>
      <c r="H756" s="1699"/>
      <c r="I756" s="1706"/>
      <c r="J756" s="1706"/>
      <c r="K756" s="1713" t="str">
        <f t="shared" si="129"/>
        <v/>
      </c>
      <c r="L756">
        <f t="shared" si="123"/>
        <v>0</v>
      </c>
      <c r="Q756">
        <f t="shared" si="130"/>
        <v>0</v>
      </c>
      <c r="R756">
        <f t="shared" si="124"/>
        <v>0</v>
      </c>
      <c r="S756">
        <f t="shared" si="118"/>
        <v>0</v>
      </c>
      <c r="T756">
        <f t="shared" si="125"/>
        <v>0</v>
      </c>
      <c r="U756">
        <f t="shared" si="126"/>
        <v>0</v>
      </c>
      <c r="V756">
        <f t="shared" si="127"/>
        <v>0</v>
      </c>
      <c r="AA756">
        <f t="shared" si="128"/>
        <v>0</v>
      </c>
    </row>
    <row r="757" spans="1:27" hidden="1" x14ac:dyDescent="0.2">
      <c r="A757" s="1700"/>
      <c r="B757" s="1698"/>
      <c r="C757" s="1712"/>
      <c r="D757" s="1699"/>
      <c r="E757" s="1699"/>
      <c r="F757" s="1699"/>
      <c r="G757" s="1699"/>
      <c r="H757" s="1699"/>
      <c r="I757" s="1706"/>
      <c r="J757" s="1706"/>
      <c r="K757" s="1713" t="str">
        <f t="shared" si="129"/>
        <v/>
      </c>
      <c r="L757">
        <f t="shared" si="123"/>
        <v>0</v>
      </c>
      <c r="Q757">
        <f t="shared" si="130"/>
        <v>0</v>
      </c>
      <c r="R757">
        <f t="shared" si="124"/>
        <v>0</v>
      </c>
      <c r="S757">
        <f t="shared" si="118"/>
        <v>0</v>
      </c>
      <c r="T757">
        <f t="shared" si="125"/>
        <v>0</v>
      </c>
      <c r="U757">
        <f t="shared" si="126"/>
        <v>0</v>
      </c>
      <c r="V757">
        <f t="shared" si="127"/>
        <v>0</v>
      </c>
      <c r="AA757">
        <f t="shared" si="128"/>
        <v>0</v>
      </c>
    </row>
    <row r="758" spans="1:27" hidden="1" x14ac:dyDescent="0.2">
      <c r="A758" s="1700"/>
      <c r="B758" s="1698"/>
      <c r="C758" s="1712"/>
      <c r="D758" s="1699"/>
      <c r="E758" s="1699"/>
      <c r="F758" s="1699"/>
      <c r="G758" s="1699"/>
      <c r="H758" s="1699"/>
      <c r="I758" s="1706"/>
      <c r="J758" s="1706"/>
      <c r="K758" s="1713" t="str">
        <f t="shared" si="129"/>
        <v/>
      </c>
      <c r="L758">
        <f t="shared" si="123"/>
        <v>0</v>
      </c>
      <c r="Q758">
        <f t="shared" si="130"/>
        <v>0</v>
      </c>
      <c r="R758">
        <f t="shared" si="124"/>
        <v>0</v>
      </c>
      <c r="S758">
        <f t="shared" si="118"/>
        <v>0</v>
      </c>
      <c r="T758">
        <f t="shared" si="125"/>
        <v>0</v>
      </c>
      <c r="U758">
        <f t="shared" si="126"/>
        <v>0</v>
      </c>
      <c r="V758">
        <f t="shared" si="127"/>
        <v>0</v>
      </c>
      <c r="AA758">
        <f t="shared" si="128"/>
        <v>0</v>
      </c>
    </row>
    <row r="759" spans="1:27" hidden="1" x14ac:dyDescent="0.2">
      <c r="A759" s="1700"/>
      <c r="B759" s="1698"/>
      <c r="C759" s="1712"/>
      <c r="D759" s="1699"/>
      <c r="E759" s="1699"/>
      <c r="F759" s="1699"/>
      <c r="G759" s="1699"/>
      <c r="H759" s="1699"/>
      <c r="I759" s="1706"/>
      <c r="J759" s="1706"/>
      <c r="K759" s="1713" t="str">
        <f t="shared" si="129"/>
        <v/>
      </c>
      <c r="L759">
        <f t="shared" si="123"/>
        <v>0</v>
      </c>
      <c r="Q759">
        <f t="shared" si="130"/>
        <v>0</v>
      </c>
      <c r="R759">
        <f t="shared" si="124"/>
        <v>0</v>
      </c>
      <c r="S759">
        <f t="shared" si="118"/>
        <v>0</v>
      </c>
      <c r="T759">
        <f t="shared" si="125"/>
        <v>0</v>
      </c>
      <c r="U759">
        <f t="shared" si="126"/>
        <v>0</v>
      </c>
      <c r="V759">
        <f t="shared" si="127"/>
        <v>0</v>
      </c>
      <c r="AA759">
        <f t="shared" si="128"/>
        <v>0</v>
      </c>
    </row>
    <row r="760" spans="1:27" hidden="1" x14ac:dyDescent="0.2">
      <c r="A760" s="1700"/>
      <c r="B760" s="1698"/>
      <c r="C760" s="1712"/>
      <c r="D760" s="1699"/>
      <c r="E760" s="1699"/>
      <c r="F760" s="1699"/>
      <c r="G760" s="1699"/>
      <c r="H760" s="1699"/>
      <c r="I760" s="1706"/>
      <c r="J760" s="1706"/>
      <c r="K760" s="1713" t="str">
        <f t="shared" si="129"/>
        <v/>
      </c>
      <c r="L760">
        <f t="shared" si="123"/>
        <v>0</v>
      </c>
      <c r="Q760">
        <f t="shared" si="130"/>
        <v>0</v>
      </c>
      <c r="R760">
        <f t="shared" si="124"/>
        <v>0</v>
      </c>
      <c r="S760">
        <f t="shared" si="118"/>
        <v>0</v>
      </c>
      <c r="T760">
        <f t="shared" si="125"/>
        <v>0</v>
      </c>
      <c r="U760">
        <f t="shared" si="126"/>
        <v>0</v>
      </c>
      <c r="V760">
        <f t="shared" si="127"/>
        <v>0</v>
      </c>
      <c r="AA760">
        <f t="shared" si="128"/>
        <v>0</v>
      </c>
    </row>
    <row r="761" spans="1:27" hidden="1" x14ac:dyDescent="0.2">
      <c r="A761" s="1700"/>
      <c r="B761" s="1698"/>
      <c r="C761" s="1712"/>
      <c r="D761" s="1699"/>
      <c r="E761" s="1699"/>
      <c r="F761" s="1699"/>
      <c r="G761" s="1699"/>
      <c r="H761" s="1699"/>
      <c r="I761" s="1706"/>
      <c r="J761" s="1706"/>
      <c r="K761" s="1713" t="str">
        <f t="shared" si="129"/>
        <v/>
      </c>
      <c r="L761">
        <f t="shared" si="123"/>
        <v>0</v>
      </c>
      <c r="Q761">
        <f t="shared" si="130"/>
        <v>0</v>
      </c>
      <c r="R761">
        <f t="shared" si="124"/>
        <v>0</v>
      </c>
      <c r="S761">
        <f t="shared" si="118"/>
        <v>0</v>
      </c>
      <c r="T761">
        <f t="shared" si="125"/>
        <v>0</v>
      </c>
      <c r="U761">
        <f t="shared" si="126"/>
        <v>0</v>
      </c>
      <c r="V761">
        <f t="shared" si="127"/>
        <v>0</v>
      </c>
      <c r="AA761">
        <f t="shared" si="128"/>
        <v>0</v>
      </c>
    </row>
    <row r="762" spans="1:27" hidden="1" x14ac:dyDescent="0.2">
      <c r="A762" s="1700"/>
      <c r="B762" s="1698"/>
      <c r="C762" s="1712"/>
      <c r="D762" s="1699"/>
      <c r="E762" s="1699"/>
      <c r="F762" s="1699"/>
      <c r="G762" s="1699"/>
      <c r="H762" s="1699"/>
      <c r="I762" s="1706"/>
      <c r="J762" s="1706"/>
      <c r="K762" s="1713" t="str">
        <f t="shared" si="129"/>
        <v/>
      </c>
      <c r="L762">
        <f t="shared" si="123"/>
        <v>0</v>
      </c>
      <c r="Q762">
        <f t="shared" si="130"/>
        <v>0</v>
      </c>
      <c r="R762">
        <f t="shared" si="124"/>
        <v>0</v>
      </c>
      <c r="S762">
        <f t="shared" si="118"/>
        <v>0</v>
      </c>
      <c r="T762">
        <f t="shared" si="125"/>
        <v>0</v>
      </c>
      <c r="U762">
        <f t="shared" si="126"/>
        <v>0</v>
      </c>
      <c r="V762">
        <f t="shared" si="127"/>
        <v>0</v>
      </c>
      <c r="AA762">
        <f t="shared" si="128"/>
        <v>0</v>
      </c>
    </row>
    <row r="763" spans="1:27" hidden="1" x14ac:dyDescent="0.2">
      <c r="A763" s="1700"/>
      <c r="B763" s="1698"/>
      <c r="C763" s="1712"/>
      <c r="D763" s="1699"/>
      <c r="E763" s="1699"/>
      <c r="F763" s="1699"/>
      <c r="G763" s="1699"/>
      <c r="H763" s="1699"/>
      <c r="I763" s="1706"/>
      <c r="J763" s="1706"/>
      <c r="K763" s="1713" t="str">
        <f t="shared" si="129"/>
        <v/>
      </c>
      <c r="L763">
        <f t="shared" si="123"/>
        <v>0</v>
      </c>
      <c r="Q763">
        <f t="shared" si="130"/>
        <v>0</v>
      </c>
      <c r="R763">
        <f t="shared" si="124"/>
        <v>0</v>
      </c>
      <c r="S763">
        <f t="shared" si="118"/>
        <v>0</v>
      </c>
      <c r="T763">
        <f t="shared" si="125"/>
        <v>0</v>
      </c>
      <c r="U763">
        <f t="shared" si="126"/>
        <v>0</v>
      </c>
      <c r="V763">
        <f t="shared" si="127"/>
        <v>0</v>
      </c>
      <c r="AA763">
        <f t="shared" si="128"/>
        <v>0</v>
      </c>
    </row>
    <row r="764" spans="1:27" hidden="1" x14ac:dyDescent="0.2">
      <c r="A764" s="1700"/>
      <c r="B764" s="1698"/>
      <c r="C764" s="1712"/>
      <c r="D764" s="1699"/>
      <c r="E764" s="1699"/>
      <c r="F764" s="1699"/>
      <c r="G764" s="1699"/>
      <c r="H764" s="1699"/>
      <c r="I764" s="1706"/>
      <c r="J764" s="1706"/>
      <c r="K764" s="1713" t="str">
        <f t="shared" si="129"/>
        <v/>
      </c>
      <c r="L764">
        <f t="shared" si="123"/>
        <v>0</v>
      </c>
      <c r="Q764">
        <f t="shared" si="130"/>
        <v>0</v>
      </c>
      <c r="R764">
        <f t="shared" si="124"/>
        <v>0</v>
      </c>
      <c r="S764">
        <f t="shared" si="118"/>
        <v>0</v>
      </c>
      <c r="T764">
        <f t="shared" si="125"/>
        <v>0</v>
      </c>
      <c r="U764">
        <f t="shared" si="126"/>
        <v>0</v>
      </c>
      <c r="V764">
        <f t="shared" si="127"/>
        <v>0</v>
      </c>
      <c r="AA764">
        <f t="shared" si="128"/>
        <v>0</v>
      </c>
    </row>
    <row r="765" spans="1:27" hidden="1" x14ac:dyDescent="0.2">
      <c r="A765" s="1700"/>
      <c r="B765" s="1698"/>
      <c r="C765" s="1712"/>
      <c r="D765" s="1699"/>
      <c r="E765" s="1699"/>
      <c r="F765" s="1699"/>
      <c r="G765" s="1699"/>
      <c r="H765" s="1699"/>
      <c r="I765" s="1706"/>
      <c r="J765" s="1706"/>
      <c r="K765" s="1713" t="str">
        <f t="shared" si="129"/>
        <v/>
      </c>
      <c r="L765">
        <f t="shared" si="123"/>
        <v>0</v>
      </c>
      <c r="Q765">
        <f t="shared" si="130"/>
        <v>0</v>
      </c>
      <c r="R765">
        <f t="shared" si="124"/>
        <v>0</v>
      </c>
      <c r="S765">
        <f t="shared" si="118"/>
        <v>0</v>
      </c>
      <c r="T765">
        <f t="shared" si="125"/>
        <v>0</v>
      </c>
      <c r="U765">
        <f t="shared" si="126"/>
        <v>0</v>
      </c>
      <c r="V765">
        <f t="shared" si="127"/>
        <v>0</v>
      </c>
      <c r="AA765">
        <f t="shared" si="128"/>
        <v>0</v>
      </c>
    </row>
    <row r="766" spans="1:27" hidden="1" x14ac:dyDescent="0.2">
      <c r="A766" s="1700"/>
      <c r="B766" s="1698"/>
      <c r="C766" s="1712"/>
      <c r="D766" s="1699"/>
      <c r="E766" s="1699"/>
      <c r="F766" s="1699"/>
      <c r="G766" s="1699"/>
      <c r="H766" s="1699"/>
      <c r="I766" s="1706"/>
      <c r="J766" s="1706"/>
      <c r="K766" s="1713" t="str">
        <f t="shared" si="129"/>
        <v/>
      </c>
      <c r="L766">
        <f t="shared" si="123"/>
        <v>0</v>
      </c>
      <c r="Q766">
        <f t="shared" si="130"/>
        <v>0</v>
      </c>
      <c r="R766">
        <f t="shared" si="124"/>
        <v>0</v>
      </c>
      <c r="S766">
        <f t="shared" si="118"/>
        <v>0</v>
      </c>
      <c r="T766">
        <f t="shared" si="125"/>
        <v>0</v>
      </c>
      <c r="U766">
        <f t="shared" si="126"/>
        <v>0</v>
      </c>
      <c r="V766">
        <f t="shared" si="127"/>
        <v>0</v>
      </c>
      <c r="AA766">
        <f t="shared" si="128"/>
        <v>0</v>
      </c>
    </row>
    <row r="767" spans="1:27" hidden="1" x14ac:dyDescent="0.2">
      <c r="A767" s="1700"/>
      <c r="B767" s="1698"/>
      <c r="C767" s="1712"/>
      <c r="D767" s="1699"/>
      <c r="E767" s="1699"/>
      <c r="F767" s="1699"/>
      <c r="G767" s="1699"/>
      <c r="H767" s="1699"/>
      <c r="I767" s="1706"/>
      <c r="J767" s="1706"/>
      <c r="K767" s="1713" t="str">
        <f t="shared" si="129"/>
        <v/>
      </c>
      <c r="L767">
        <f t="shared" si="123"/>
        <v>0</v>
      </c>
      <c r="Q767">
        <f t="shared" si="130"/>
        <v>0</v>
      </c>
      <c r="R767">
        <f t="shared" si="124"/>
        <v>0</v>
      </c>
      <c r="S767">
        <f t="shared" si="118"/>
        <v>0</v>
      </c>
      <c r="T767">
        <f t="shared" si="125"/>
        <v>0</v>
      </c>
      <c r="U767">
        <f t="shared" si="126"/>
        <v>0</v>
      </c>
      <c r="V767">
        <f t="shared" si="127"/>
        <v>0</v>
      </c>
      <c r="AA767">
        <f t="shared" si="128"/>
        <v>0</v>
      </c>
    </row>
    <row r="768" spans="1:27" hidden="1" x14ac:dyDescent="0.2">
      <c r="A768" s="1700"/>
      <c r="B768" s="1698"/>
      <c r="C768" s="1712"/>
      <c r="D768" s="1699"/>
      <c r="E768" s="1699"/>
      <c r="F768" s="1699"/>
      <c r="G768" s="1699"/>
      <c r="H768" s="1699"/>
      <c r="I768" s="1706"/>
      <c r="J768" s="1706"/>
      <c r="K768" s="1713" t="str">
        <f t="shared" si="129"/>
        <v/>
      </c>
      <c r="L768">
        <f t="shared" si="123"/>
        <v>0</v>
      </c>
      <c r="Q768">
        <f t="shared" si="130"/>
        <v>0</v>
      </c>
      <c r="R768">
        <f t="shared" si="124"/>
        <v>0</v>
      </c>
      <c r="S768">
        <f t="shared" si="118"/>
        <v>0</v>
      </c>
      <c r="T768">
        <f t="shared" si="125"/>
        <v>0</v>
      </c>
      <c r="U768">
        <f t="shared" si="126"/>
        <v>0</v>
      </c>
      <c r="V768">
        <f t="shared" si="127"/>
        <v>0</v>
      </c>
      <c r="AA768">
        <f t="shared" si="128"/>
        <v>0</v>
      </c>
    </row>
    <row r="769" spans="1:27" hidden="1" x14ac:dyDescent="0.2">
      <c r="A769" s="1700"/>
      <c r="B769" s="1698"/>
      <c r="C769" s="1712"/>
      <c r="D769" s="1699"/>
      <c r="E769" s="1699"/>
      <c r="F769" s="1699"/>
      <c r="G769" s="1699"/>
      <c r="H769" s="1699"/>
      <c r="I769" s="1706"/>
      <c r="J769" s="1706"/>
      <c r="K769" s="1713" t="str">
        <f t="shared" si="129"/>
        <v/>
      </c>
      <c r="L769">
        <f t="shared" si="123"/>
        <v>0</v>
      </c>
      <c r="Q769">
        <f t="shared" si="130"/>
        <v>0</v>
      </c>
      <c r="R769">
        <f t="shared" si="124"/>
        <v>0</v>
      </c>
      <c r="S769">
        <f t="shared" si="118"/>
        <v>0</v>
      </c>
      <c r="T769">
        <f t="shared" si="125"/>
        <v>0</v>
      </c>
      <c r="U769">
        <f t="shared" si="126"/>
        <v>0</v>
      </c>
      <c r="V769">
        <f t="shared" si="127"/>
        <v>0</v>
      </c>
      <c r="AA769">
        <f t="shared" si="128"/>
        <v>0</v>
      </c>
    </row>
    <row r="770" spans="1:27" hidden="1" x14ac:dyDescent="0.2">
      <c r="A770" s="1700"/>
      <c r="B770" s="1698"/>
      <c r="C770" s="1712"/>
      <c r="D770" s="1699"/>
      <c r="E770" s="1699"/>
      <c r="F770" s="1699"/>
      <c r="G770" s="1699"/>
      <c r="H770" s="1699"/>
      <c r="I770" s="1706"/>
      <c r="J770" s="1706"/>
      <c r="K770" s="1713" t="str">
        <f t="shared" si="129"/>
        <v/>
      </c>
      <c r="L770">
        <f t="shared" si="123"/>
        <v>0</v>
      </c>
      <c r="Q770">
        <f t="shared" si="130"/>
        <v>0</v>
      </c>
      <c r="R770">
        <f t="shared" si="124"/>
        <v>0</v>
      </c>
      <c r="S770">
        <f t="shared" si="118"/>
        <v>0</v>
      </c>
      <c r="T770">
        <f t="shared" si="125"/>
        <v>0</v>
      </c>
      <c r="U770">
        <f t="shared" si="126"/>
        <v>0</v>
      </c>
      <c r="V770">
        <f t="shared" si="127"/>
        <v>0</v>
      </c>
      <c r="AA770">
        <f t="shared" si="128"/>
        <v>0</v>
      </c>
    </row>
    <row r="771" spans="1:27" hidden="1" x14ac:dyDescent="0.2">
      <c r="A771" s="1700"/>
      <c r="B771" s="1698"/>
      <c r="C771" s="1712"/>
      <c r="D771" s="1699"/>
      <c r="E771" s="1699"/>
      <c r="F771" s="1699"/>
      <c r="G771" s="1699"/>
      <c r="H771" s="1699"/>
      <c r="I771" s="1706"/>
      <c r="J771" s="1706"/>
      <c r="K771" s="1713" t="str">
        <f t="shared" si="129"/>
        <v/>
      </c>
      <c r="L771">
        <f t="shared" si="123"/>
        <v>0</v>
      </c>
      <c r="Q771">
        <f t="shared" si="130"/>
        <v>0</v>
      </c>
      <c r="R771">
        <f t="shared" si="124"/>
        <v>0</v>
      </c>
      <c r="S771">
        <f t="shared" si="118"/>
        <v>0</v>
      </c>
      <c r="T771">
        <f t="shared" si="125"/>
        <v>0</v>
      </c>
      <c r="U771">
        <f t="shared" si="126"/>
        <v>0</v>
      </c>
      <c r="V771">
        <f t="shared" si="127"/>
        <v>0</v>
      </c>
      <c r="AA771">
        <f t="shared" si="128"/>
        <v>0</v>
      </c>
    </row>
    <row r="772" spans="1:27" hidden="1" x14ac:dyDescent="0.2">
      <c r="A772" s="1700"/>
      <c r="B772" s="1698"/>
      <c r="C772" s="1712"/>
      <c r="D772" s="1699"/>
      <c r="E772" s="1699"/>
      <c r="F772" s="1699"/>
      <c r="G772" s="1699"/>
      <c r="H772" s="1699"/>
      <c r="I772" s="1706"/>
      <c r="J772" s="1706"/>
      <c r="K772" s="1713" t="str">
        <f t="shared" si="129"/>
        <v/>
      </c>
      <c r="L772">
        <f t="shared" si="123"/>
        <v>0</v>
      </c>
      <c r="Q772">
        <f t="shared" si="130"/>
        <v>0</v>
      </c>
      <c r="R772">
        <f t="shared" si="124"/>
        <v>0</v>
      </c>
      <c r="S772">
        <f t="shared" si="118"/>
        <v>0</v>
      </c>
      <c r="T772">
        <f t="shared" si="125"/>
        <v>0</v>
      </c>
      <c r="U772">
        <f t="shared" si="126"/>
        <v>0</v>
      </c>
      <c r="V772">
        <f t="shared" si="127"/>
        <v>0</v>
      </c>
      <c r="AA772">
        <f t="shared" si="128"/>
        <v>0</v>
      </c>
    </row>
    <row r="773" spans="1:27" hidden="1" x14ac:dyDescent="0.2">
      <c r="A773" s="1700"/>
      <c r="B773" s="1698"/>
      <c r="C773" s="1712"/>
      <c r="D773" s="1699"/>
      <c r="E773" s="1699"/>
      <c r="F773" s="1699"/>
      <c r="G773" s="1699"/>
      <c r="H773" s="1699"/>
      <c r="I773" s="1706"/>
      <c r="J773" s="1706"/>
      <c r="K773" s="1713" t="str">
        <f t="shared" si="129"/>
        <v/>
      </c>
      <c r="L773">
        <f t="shared" si="123"/>
        <v>0</v>
      </c>
      <c r="Q773">
        <f t="shared" si="130"/>
        <v>0</v>
      </c>
      <c r="R773">
        <f t="shared" si="124"/>
        <v>0</v>
      </c>
      <c r="S773">
        <f t="shared" si="118"/>
        <v>0</v>
      </c>
      <c r="T773">
        <f t="shared" si="125"/>
        <v>0</v>
      </c>
      <c r="U773">
        <f t="shared" si="126"/>
        <v>0</v>
      </c>
      <c r="V773">
        <f t="shared" si="127"/>
        <v>0</v>
      </c>
      <c r="AA773">
        <f t="shared" si="128"/>
        <v>0</v>
      </c>
    </row>
    <row r="774" spans="1:27" hidden="1" x14ac:dyDescent="0.2">
      <c r="A774" s="1700"/>
      <c r="B774" s="1698"/>
      <c r="C774" s="1712"/>
      <c r="D774" s="1699"/>
      <c r="E774" s="1699"/>
      <c r="F774" s="1699"/>
      <c r="G774" s="1699"/>
      <c r="H774" s="1699"/>
      <c r="I774" s="1706"/>
      <c r="J774" s="1706"/>
      <c r="K774" s="1713" t="str">
        <f t="shared" si="129"/>
        <v/>
      </c>
      <c r="L774">
        <f t="shared" si="123"/>
        <v>0</v>
      </c>
      <c r="Q774">
        <f t="shared" si="130"/>
        <v>0</v>
      </c>
      <c r="R774">
        <f t="shared" si="124"/>
        <v>0</v>
      </c>
      <c r="S774">
        <f t="shared" ref="S774:S781" si="131">SUM(T774:V774)</f>
      </c>
      <c r="T774">
        <f t="shared" si="125"/>
        <v>0</v>
      </c>
      <c r="U774">
        <f t="shared" si="126"/>
        <v>0</v>
      </c>
      <c r="V774">
        <f t="shared" si="127"/>
        <v>0</v>
      </c>
      <c r="AA774">
        <f t="shared" si="128"/>
        <v>0</v>
      </c>
    </row>
    <row r="775" spans="1:27" hidden="1" x14ac:dyDescent="0.2">
      <c r="A775" s="1700"/>
      <c r="B775" s="1698"/>
      <c r="C775" s="1712"/>
      <c r="D775" s="1699"/>
      <c r="E775" s="1699"/>
      <c r="F775" s="1699"/>
      <c r="G775" s="1699"/>
      <c r="H775" s="1699"/>
      <c r="I775" s="1706"/>
      <c r="J775" s="1706"/>
      <c r="K775" s="1713" t="str">
        <f t="shared" si="129"/>
        <v/>
      </c>
      <c r="L775">
        <f t="shared" si="123"/>
        <v>0</v>
      </c>
      <c r="Q775">
        <f t="shared" si="130"/>
        <v>0</v>
      </c>
      <c r="R775">
        <f t="shared" si="124"/>
        <v>0</v>
      </c>
      <c r="S775">
        <f t="shared" si="131"/>
        <v>0</v>
      </c>
      <c r="T775">
        <f t="shared" si="125"/>
        <v>0</v>
      </c>
      <c r="U775">
        <f t="shared" si="126"/>
        <v>0</v>
      </c>
      <c r="V775">
        <f t="shared" si="127"/>
        <v>0</v>
      </c>
      <c r="AA775">
        <f t="shared" si="128"/>
        <v>0</v>
      </c>
    </row>
    <row r="776" spans="1:27" hidden="1" x14ac:dyDescent="0.2">
      <c r="A776" s="1700"/>
      <c r="B776" s="1698"/>
      <c r="C776" s="1712"/>
      <c r="D776" s="1699"/>
      <c r="E776" s="1699"/>
      <c r="F776" s="1699"/>
      <c r="G776" s="1699"/>
      <c r="H776" s="1699"/>
      <c r="I776" s="1706"/>
      <c r="J776" s="1706"/>
      <c r="K776" s="1713" t="str">
        <f t="shared" si="129"/>
        <v/>
      </c>
      <c r="L776">
        <f t="shared" si="123"/>
        <v>0</v>
      </c>
      <c r="Q776">
        <f t="shared" si="130"/>
        <v>0</v>
      </c>
      <c r="R776">
        <f t="shared" si="124"/>
        <v>0</v>
      </c>
      <c r="S776">
        <f t="shared" si="131"/>
        <v>0</v>
      </c>
      <c r="T776">
        <f t="shared" si="125"/>
        <v>0</v>
      </c>
      <c r="U776">
        <f t="shared" si="126"/>
        <v>0</v>
      </c>
      <c r="V776">
        <f t="shared" si="127"/>
        <v>0</v>
      </c>
      <c r="AA776">
        <f t="shared" si="128"/>
        <v>0</v>
      </c>
    </row>
    <row r="777" spans="1:27" hidden="1" x14ac:dyDescent="0.2">
      <c r="A777" s="1700"/>
      <c r="B777" s="1698"/>
      <c r="C777" s="1712"/>
      <c r="D777" s="1699"/>
      <c r="E777" s="1699"/>
      <c r="F777" s="1699"/>
      <c r="G777" s="1699"/>
      <c r="H777" s="1699"/>
      <c r="I777" s="1706"/>
      <c r="J777" s="1706"/>
      <c r="K777" s="1713" t="str">
        <f t="shared" si="129"/>
        <v/>
      </c>
      <c r="L777">
        <f t="shared" si="123"/>
        <v>0</v>
      </c>
      <c r="Q777">
        <f t="shared" si="130"/>
        <v>0</v>
      </c>
      <c r="R777">
        <f t="shared" si="124"/>
        <v>0</v>
      </c>
      <c r="S777">
        <f t="shared" si="131"/>
        <v>0</v>
      </c>
      <c r="T777">
        <f t="shared" si="125"/>
        <v>0</v>
      </c>
      <c r="U777">
        <f t="shared" si="126"/>
        <v>0</v>
      </c>
      <c r="V777">
        <f t="shared" si="127"/>
        <v>0</v>
      </c>
      <c r="AA777">
        <f t="shared" si="128"/>
        <v>0</v>
      </c>
    </row>
    <row r="778" spans="1:27" hidden="1" x14ac:dyDescent="0.2">
      <c r="A778" s="1700"/>
      <c r="B778" s="1698"/>
      <c r="C778" s="1712"/>
      <c r="D778" s="1699"/>
      <c r="E778" s="1699"/>
      <c r="F778" s="1699"/>
      <c r="G778" s="1699"/>
      <c r="H778" s="1699"/>
      <c r="I778" s="1706"/>
      <c r="J778" s="1706"/>
      <c r="K778" s="1713" t="str">
        <f t="shared" si="129"/>
        <v/>
      </c>
      <c r="L778">
        <f t="shared" si="123"/>
        <v>0</v>
      </c>
      <c r="Q778">
        <f t="shared" si="130"/>
        <v>0</v>
      </c>
      <c r="R778">
        <f t="shared" si="124"/>
        <v>0</v>
      </c>
      <c r="S778">
        <f t="shared" si="131"/>
        <v>0</v>
      </c>
      <c r="T778">
        <f t="shared" si="125"/>
        <v>0</v>
      </c>
      <c r="U778">
        <f t="shared" si="126"/>
        <v>0</v>
      </c>
      <c r="V778">
        <f t="shared" si="127"/>
        <v>0</v>
      </c>
      <c r="AA778">
        <f t="shared" si="128"/>
        <v>0</v>
      </c>
    </row>
    <row r="779" spans="1:27" hidden="1" x14ac:dyDescent="0.2">
      <c r="A779" s="1700"/>
      <c r="B779" s="1698"/>
      <c r="C779" s="1712"/>
      <c r="D779" s="1699"/>
      <c r="E779" s="1699"/>
      <c r="F779" s="1699"/>
      <c r="G779" s="1699"/>
      <c r="H779" s="1699"/>
      <c r="I779" s="1706"/>
      <c r="J779" s="1706"/>
      <c r="K779" s="1713" t="str">
        <f t="shared" si="129"/>
        <v/>
      </c>
      <c r="L779">
        <f t="shared" si="123"/>
        <v>0</v>
      </c>
      <c r="Q779">
        <f t="shared" si="130"/>
        <v>0</v>
      </c>
      <c r="R779">
        <f t="shared" si="124"/>
        <v>0</v>
      </c>
      <c r="S779">
        <f t="shared" si="131"/>
        <v>0</v>
      </c>
      <c r="T779">
        <f t="shared" si="125"/>
        <v>0</v>
      </c>
      <c r="U779">
        <f t="shared" si="126"/>
        <v>0</v>
      </c>
      <c r="V779">
        <f t="shared" si="127"/>
        <v>0</v>
      </c>
      <c r="AA779">
        <f t="shared" si="128"/>
        <v>0</v>
      </c>
    </row>
    <row r="780" spans="1:27" hidden="1" x14ac:dyDescent="0.2">
      <c r="A780" s="1700"/>
      <c r="B780" s="1698"/>
      <c r="C780" s="1712"/>
      <c r="D780" s="1699"/>
      <c r="E780" s="1699"/>
      <c r="F780" s="1699"/>
      <c r="G780" s="1699"/>
      <c r="H780" s="1699"/>
      <c r="I780" s="1706"/>
      <c r="J780" s="1706"/>
      <c r="K780" s="1713" t="str">
        <f t="shared" si="129"/>
        <v/>
      </c>
      <c r="L780">
        <f t="shared" si="123"/>
        <v>0</v>
      </c>
      <c r="Q780">
        <f t="shared" si="130"/>
        <v>0</v>
      </c>
      <c r="R780">
        <f t="shared" si="124"/>
        <v>0</v>
      </c>
      <c r="S780">
        <f t="shared" si="131"/>
        <v>0</v>
      </c>
      <c r="T780">
        <f t="shared" si="125"/>
        <v>0</v>
      </c>
      <c r="U780">
        <f t="shared" si="126"/>
        <v>0</v>
      </c>
      <c r="V780">
        <f t="shared" si="127"/>
        <v>0</v>
      </c>
      <c r="AA780">
        <f t="shared" si="128"/>
        <v>0</v>
      </c>
    </row>
    <row r="781" spans="1:27" hidden="1" x14ac:dyDescent="0.2">
      <c r="A781" s="1700"/>
      <c r="B781" s="1698"/>
      <c r="C781" s="1712"/>
      <c r="D781" s="1699"/>
      <c r="E781" s="1699"/>
      <c r="F781" s="1699"/>
      <c r="G781" s="1699"/>
      <c r="H781" s="1699"/>
      <c r="I781" s="1706"/>
      <c r="J781" s="1706"/>
      <c r="K781" s="1713" t="str">
        <f t="shared" si="129"/>
        <v/>
      </c>
      <c r="L781">
        <f t="shared" si="123"/>
        <v>0</v>
      </c>
      <c r="Q781">
        <f t="shared" si="130"/>
        <v>0</v>
      </c>
      <c r="R781">
        <f t="shared" si="124"/>
        <v>0</v>
      </c>
      <c r="S781">
        <f t="shared" si="131"/>
        <v>0</v>
      </c>
      <c r="T781">
        <f t="shared" si="125"/>
        <v>0</v>
      </c>
      <c r="U781">
        <f t="shared" si="126"/>
        <v>0</v>
      </c>
      <c r="V781">
        <f t="shared" si="127"/>
        <v>0</v>
      </c>
      <c r="AA781">
        <f t="shared" si="128"/>
        <v>0</v>
      </c>
    </row>
    <row r="782" spans="1:27" hidden="1" x14ac:dyDescent="0.2">
      <c r="A782" s="1700"/>
      <c r="B782" s="1698"/>
      <c r="C782" s="1712"/>
      <c r="D782" s="1699"/>
      <c r="E782" s="1699"/>
      <c r="F782" s="1699"/>
      <c r="G782" s="1699"/>
      <c r="H782" s="1699"/>
      <c r="I782" s="1706"/>
      <c r="J782" s="1706"/>
      <c r="K782" s="1713" t="str">
        <f t="shared" si="129"/>
        <v/>
      </c>
      <c r="L782">
        <f t="shared" si="123"/>
        <v>0</v>
      </c>
      <c r="Q782">
        <f t="shared" si="130"/>
        <v>0</v>
      </c>
      <c r="R782">
        <f t="shared" si="124"/>
        <v>0</v>
      </c>
      <c r="S782">
        <f>SUM(T782:V782)</f>
      </c>
      <c r="T782">
        <f t="shared" si="125"/>
        <v>0</v>
      </c>
      <c r="U782">
        <f t="shared" si="126"/>
        <v>0</v>
      </c>
      <c r="V782">
        <f t="shared" si="127"/>
        <v>0</v>
      </c>
      <c r="AA782">
        <f t="shared" si="128"/>
        <v>0</v>
      </c>
    </row>
    <row r="783" spans="1:27" x14ac:dyDescent="0.2">
      <c r="A783" s="1700"/>
      <c r="B783" s="1698"/>
      <c r="C783" s="1712"/>
      <c r="D783" s="1699"/>
      <c r="E783" s="1699"/>
      <c r="F783" s="1699"/>
      <c r="G783" s="1699"/>
      <c r="H783" s="1699"/>
      <c r="I783" s="1706"/>
      <c r="J783" s="1706"/>
      <c r="K783" s="1713" t="str">
        <f t="shared" si="129"/>
        <v/>
      </c>
      <c r="L783">
        <f t="shared" si="123"/>
        <v>0</v>
      </c>
      <c r="Q783">
        <f t="shared" si="130"/>
        <v>0</v>
      </c>
      <c r="R783">
        <f t="shared" si="124"/>
        <v>0</v>
      </c>
      <c r="S783">
        <f>SUM(T783:V783)</f>
      </c>
      <c r="T783">
        <f t="shared" si="125"/>
        <v>0</v>
      </c>
      <c r="U783">
        <f t="shared" si="126"/>
        <v>0</v>
      </c>
      <c r="V783">
        <f t="shared" si="127"/>
        <v>0</v>
      </c>
      <c r="AA783">
        <f t="shared" si="128"/>
        <v>0</v>
      </c>
    </row>
    <row r="784" spans="1:27" x14ac:dyDescent="0.2">
      <c r="A784" s="1700"/>
      <c r="B784" s="1698"/>
      <c r="C784" s="1712"/>
      <c r="D784" s="1699"/>
      <c r="E784" s="1699"/>
      <c r="F784" s="1699"/>
      <c r="G784" s="1699"/>
      <c r="H784" s="1699"/>
      <c r="I784" s="1706"/>
      <c r="J784" s="1706"/>
      <c r="K784" s="1713"/>
      <c r="L784">
        <f t="shared" ref="L784:L785" si="132">IF(K784="",0,1)</f>
      </c>
      <c r="Q784">
        <f t="shared" ref="Q784:Q785" si="133">IF(AND(G778="Yes",R784=0),7,IF(S784=0,0,IF(A784=$S$59,10,7)))</f>
      </c>
      <c r="R784">
        <f t="shared" ref="R784:R785" si="134">IF(AND(AA784=0,A784=$S$59),T784+U784+V784,T784+V784)</f>
      </c>
      <c r="S784">
        <f t="shared" ref="S784:S785" si="135">SUM(T784:V784)</f>
      </c>
      <c r="T784">
        <f t="shared" ref="T784:T785" si="136">COUNTA(A784:B784)</f>
      </c>
      <c r="U784">
        <f t="shared" ref="U784:U785" si="137">COUNTA(C784:E784)</f>
      </c>
      <c r="V784">
        <f t="shared" ref="V784:V785" si="138">COUNTA(F784:J784)</f>
      </c>
    </row>
    <row r="785" spans="1:22" x14ac:dyDescent="0.2">
      <c r="A785" s="1700"/>
      <c r="B785" s="1698"/>
      <c r="C785" s="1712"/>
      <c r="D785" s="1699"/>
      <c r="E785" s="1699"/>
      <c r="F785" s="1699"/>
      <c r="G785" s="1699"/>
      <c r="H785" s="1699"/>
      <c r="I785" s="1706"/>
      <c r="J785" s="1706"/>
      <c r="K785" s="1713"/>
      <c r="L785">
        <f t="shared" si="132"/>
        <v>0</v>
      </c>
      <c r="Q785">
        <f t="shared" si="133"/>
        <v>0</v>
      </c>
      <c r="R785">
        <f t="shared" si="134"/>
        <v>0</v>
      </c>
      <c r="S785">
        <f t="shared" si="135"/>
        <v>0</v>
      </c>
      <c r="T785">
        <f t="shared" si="136"/>
        <v>0</v>
      </c>
      <c r="U785">
        <f t="shared" si="137"/>
        <v>0</v>
      </c>
      <c r="V785">
        <f t="shared" si="138"/>
        <v>0</v>
      </c>
    </row>
    <row r="786" spans="1:22" x14ac:dyDescent="0.2">
      <c r="G786" s="1696" t="s">
        <v>5590</v>
      </c>
      <c r="I786" s="1714">
        <f>SUM(I62:I785)</f>
      </c>
      <c r="J786" s="1714">
        <f>SUM(J62:J785)</f>
      </c>
      <c r="T786">
        <f>SUM(S62:S785)</f>
      </c>
    </row>
    <row r="787" spans="1:22" ht="6.75" customHeight="1" x14ac:dyDescent="0.2">
      <c r="L787">
        <f>SUM(L17:L61)</f>
      </c>
    </row>
    <row r="788" spans="1:22" x14ac:dyDescent="0.2">
      <c r="E788" s="1670" t="s">
        <v>4802</v>
      </c>
      <c r="F788" s="1698"/>
      <c r="G788" s="1713" t="str">
        <f>IF('p2'!G36="y","",IF(AND(O7&lt;&gt;0,F788=""),re,IF(F788="No","Check!","")))</f>
        <v/>
      </c>
      <c r="L788">
        <f>IF(G788="",0,1)</f>
      </c>
    </row>
    <row r="789" spans="1:22" x14ac:dyDescent="0.2">
      <c r="L789">
        <f>SUM(L786:L788)</f>
      </c>
      <c r="S789">
        <f>SUM(S22:S785)</f>
      </c>
    </row>
    <row r="790" spans="1:22" ht="21.75" customHeight="1" x14ac:dyDescent="0.2">
      <c r="A790" t="str">
        <f>_xlfn.SINGLE(MTCA)</f>
      </c>
      <c r="E790" t="str">
        <f>ver</f>
        <v>TA2_e-CO_2025_Ver 1.1</v>
      </c>
      <c r="I790" t="s">
        <v>5559</v>
      </c>
    </row>
    <row r="791" spans="1:22" x14ac:dyDescent="0.2">
      <c r="A791" s="1671" t="s">
        <v>6290</v>
      </c>
      <c r="L791">
        <f>IF('p2'!G36="y",0,IF(AND(O7=0,S789=0),0,IF(L789&gt;0,100,1)))</f>
      </c>
    </row>
    <row r="792" spans="1:22" x14ac:dyDescent="0.2"/>
    <row r="793" spans="1:22" x14ac:dyDescent="0.2"/>
    <row r="794" spans="1:22" x14ac:dyDescent="0.2"/>
    <row r="795" spans="1:22" x14ac:dyDescent="0.2"/>
    <row r="796" spans="1:22" x14ac:dyDescent="0.2"/>
    <row r="797" spans="1:22" x14ac:dyDescent="0.2"/>
    <row r="798" spans="1:22" x14ac:dyDescent="0.2"/>
    <row r="799" spans="1:22" x14ac:dyDescent="0.2"/>
    <row r="800" spans="1:22"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row r="1501" x14ac:dyDescent="0.2"/>
    <row r="1502" x14ac:dyDescent="0.2"/>
    <row r="1503" x14ac:dyDescent="0.2"/>
    <row r="1504" x14ac:dyDescent="0.2"/>
    <row r="1505" x14ac:dyDescent="0.2"/>
    <row r="1506" x14ac:dyDescent="0.2"/>
    <row r="1507" x14ac:dyDescent="0.2"/>
    <row r="1508" x14ac:dyDescent="0.2"/>
    <row r="1509" x14ac:dyDescent="0.2"/>
    <row r="1510" x14ac:dyDescent="0.2"/>
    <row r="1511" x14ac:dyDescent="0.2"/>
    <row r="1512" x14ac:dyDescent="0.2"/>
    <row r="1513" x14ac:dyDescent="0.2"/>
    <row r="1514" x14ac:dyDescent="0.2"/>
    <row r="1515" x14ac:dyDescent="0.2"/>
    <row r="1516" x14ac:dyDescent="0.2"/>
    <row r="1517" x14ac:dyDescent="0.2"/>
    <row r="1518" x14ac:dyDescent="0.2"/>
    <row r="1519" x14ac:dyDescent="0.2"/>
    <row r="1520" x14ac:dyDescent="0.2"/>
    <row r="1521" x14ac:dyDescent="0.2"/>
    <row r="1522" x14ac:dyDescent="0.2"/>
    <row r="1523" x14ac:dyDescent="0.2"/>
    <row r="1524" x14ac:dyDescent="0.2"/>
    <row r="1525" x14ac:dyDescent="0.2"/>
    <row r="1526" x14ac:dyDescent="0.2"/>
    <row r="1527" x14ac:dyDescent="0.2"/>
    <row r="1528" x14ac:dyDescent="0.2"/>
    <row r="1529" x14ac:dyDescent="0.2"/>
    <row r="1530" x14ac:dyDescent="0.2"/>
    <row r="1531" x14ac:dyDescent="0.2"/>
    <row r="1532" x14ac:dyDescent="0.2"/>
    <row r="1533" x14ac:dyDescent="0.2"/>
    <row r="1534" x14ac:dyDescent="0.2"/>
    <row r="1535" x14ac:dyDescent="0.2"/>
    <row r="1536" x14ac:dyDescent="0.2"/>
    <row r="1537" x14ac:dyDescent="0.2"/>
    <row r="1538" x14ac:dyDescent="0.2"/>
    <row r="1539" x14ac:dyDescent="0.2"/>
    <row r="1540" x14ac:dyDescent="0.2"/>
    <row r="1541" x14ac:dyDescent="0.2"/>
    <row r="1542" x14ac:dyDescent="0.2"/>
    <row r="1543" x14ac:dyDescent="0.2"/>
    <row r="1544" x14ac:dyDescent="0.2"/>
    <row r="1545" x14ac:dyDescent="0.2"/>
    <row r="1546" x14ac:dyDescent="0.2"/>
    <row r="1547" x14ac:dyDescent="0.2"/>
    <row r="1548" x14ac:dyDescent="0.2"/>
    <row r="1549" x14ac:dyDescent="0.2"/>
    <row r="1550" x14ac:dyDescent="0.2"/>
    <row r="1551" x14ac:dyDescent="0.2"/>
    <row r="1552" x14ac:dyDescent="0.2"/>
    <row r="1553" x14ac:dyDescent="0.2"/>
    <row r="1554" x14ac:dyDescent="0.2"/>
    <row r="1555" x14ac:dyDescent="0.2"/>
    <row r="1556" x14ac:dyDescent="0.2"/>
    <row r="1557" x14ac:dyDescent="0.2"/>
    <row r="1558" x14ac:dyDescent="0.2"/>
    <row r="1559" x14ac:dyDescent="0.2"/>
    <row r="1560" x14ac:dyDescent="0.2"/>
    <row r="1561" x14ac:dyDescent="0.2"/>
    <row r="1562" x14ac:dyDescent="0.2"/>
    <row r="1563" x14ac:dyDescent="0.2"/>
    <row r="1564" x14ac:dyDescent="0.2"/>
    <row r="1565" x14ac:dyDescent="0.2"/>
    <row r="1566" x14ac:dyDescent="0.2"/>
    <row r="1567" x14ac:dyDescent="0.2"/>
    <row r="1568" x14ac:dyDescent="0.2"/>
    <row r="1569" x14ac:dyDescent="0.2"/>
    <row r="1570" x14ac:dyDescent="0.2"/>
    <row r="1571" x14ac:dyDescent="0.2"/>
    <row r="1572" x14ac:dyDescent="0.2"/>
    <row r="1573" x14ac:dyDescent="0.2"/>
    <row r="1574" x14ac:dyDescent="0.2"/>
    <row r="1575" x14ac:dyDescent="0.2"/>
    <row r="1576" x14ac:dyDescent="0.2"/>
    <row r="1577" x14ac:dyDescent="0.2"/>
    <row r="1578" x14ac:dyDescent="0.2"/>
    <row r="1579" x14ac:dyDescent="0.2"/>
    <row r="1580" x14ac:dyDescent="0.2"/>
    <row r="1581" x14ac:dyDescent="0.2"/>
    <row r="1582" x14ac:dyDescent="0.2"/>
    <row r="1583" x14ac:dyDescent="0.2"/>
    <row r="1584" x14ac:dyDescent="0.2"/>
    <row r="1585" x14ac:dyDescent="0.2"/>
    <row r="1586" x14ac:dyDescent="0.2"/>
    <row r="1587" x14ac:dyDescent="0.2"/>
    <row r="1588" x14ac:dyDescent="0.2"/>
    <row r="1589" x14ac:dyDescent="0.2"/>
    <row r="1590" x14ac:dyDescent="0.2"/>
    <row r="1591" x14ac:dyDescent="0.2"/>
    <row r="1592" x14ac:dyDescent="0.2"/>
    <row r="1593" x14ac:dyDescent="0.2"/>
    <row r="1594" x14ac:dyDescent="0.2"/>
    <row r="1595" x14ac:dyDescent="0.2"/>
    <row r="1596" x14ac:dyDescent="0.2"/>
    <row r="1597" x14ac:dyDescent="0.2"/>
    <row r="1598" x14ac:dyDescent="0.2"/>
    <row r="1599" x14ac:dyDescent="0.2"/>
    <row r="1600" x14ac:dyDescent="0.2"/>
    <row r="1601" x14ac:dyDescent="0.2"/>
    <row r="1602" x14ac:dyDescent="0.2"/>
    <row r="1603" x14ac:dyDescent="0.2"/>
    <row r="1604" x14ac:dyDescent="0.2"/>
    <row r="1605" x14ac:dyDescent="0.2"/>
    <row r="1606" x14ac:dyDescent="0.2"/>
    <row r="1607" x14ac:dyDescent="0.2"/>
    <row r="1608" x14ac:dyDescent="0.2"/>
    <row r="1609" x14ac:dyDescent="0.2"/>
    <row r="1610" x14ac:dyDescent="0.2"/>
    <row r="1611" x14ac:dyDescent="0.2"/>
    <row r="1612" x14ac:dyDescent="0.2"/>
    <row r="1613" x14ac:dyDescent="0.2"/>
    <row r="1614" x14ac:dyDescent="0.2"/>
    <row r="1615" x14ac:dyDescent="0.2"/>
    <row r="1616" x14ac:dyDescent="0.2"/>
    <row r="1617" x14ac:dyDescent="0.2"/>
    <row r="1618" x14ac:dyDescent="0.2"/>
    <row r="1619" x14ac:dyDescent="0.2"/>
    <row r="1620" x14ac:dyDescent="0.2"/>
    <row r="1621" x14ac:dyDescent="0.2"/>
    <row r="1622" x14ac:dyDescent="0.2"/>
    <row r="1623" x14ac:dyDescent="0.2"/>
    <row r="1624" x14ac:dyDescent="0.2"/>
    <row r="1625" x14ac:dyDescent="0.2"/>
    <row r="1626" x14ac:dyDescent="0.2"/>
    <row r="1627" x14ac:dyDescent="0.2"/>
    <row r="1628" x14ac:dyDescent="0.2"/>
    <row r="1629" x14ac:dyDescent="0.2"/>
    <row r="1630" x14ac:dyDescent="0.2"/>
    <row r="1631" x14ac:dyDescent="0.2"/>
    <row r="1632" x14ac:dyDescent="0.2"/>
    <row r="1633" x14ac:dyDescent="0.2"/>
    <row r="1634" x14ac:dyDescent="0.2"/>
    <row r="1635" x14ac:dyDescent="0.2"/>
    <row r="1636" x14ac:dyDescent="0.2"/>
    <row r="1637" x14ac:dyDescent="0.2"/>
    <row r="1638" x14ac:dyDescent="0.2"/>
    <row r="1639" x14ac:dyDescent="0.2"/>
    <row r="1640" x14ac:dyDescent="0.2"/>
    <row r="1641" x14ac:dyDescent="0.2"/>
    <row r="1642" x14ac:dyDescent="0.2"/>
    <row r="1643" x14ac:dyDescent="0.2"/>
    <row r="1644" x14ac:dyDescent="0.2"/>
    <row r="1645" x14ac:dyDescent="0.2"/>
    <row r="1646" x14ac:dyDescent="0.2"/>
    <row r="1647" x14ac:dyDescent="0.2"/>
    <row r="1648" x14ac:dyDescent="0.2"/>
    <row r="1649" x14ac:dyDescent="0.2"/>
    <row r="1650" x14ac:dyDescent="0.2"/>
    <row r="1651" x14ac:dyDescent="0.2"/>
    <row r="1652" x14ac:dyDescent="0.2"/>
    <row r="1653" x14ac:dyDescent="0.2"/>
    <row r="1654" x14ac:dyDescent="0.2"/>
    <row r="1655" x14ac:dyDescent="0.2"/>
    <row r="1656" x14ac:dyDescent="0.2"/>
    <row r="1657" x14ac:dyDescent="0.2"/>
    <row r="1658" x14ac:dyDescent="0.2"/>
    <row r="1659" x14ac:dyDescent="0.2"/>
    <row r="1660" x14ac:dyDescent="0.2"/>
    <row r="1661" x14ac:dyDescent="0.2"/>
    <row r="1662" x14ac:dyDescent="0.2"/>
    <row r="1663" x14ac:dyDescent="0.2"/>
    <row r="1664" x14ac:dyDescent="0.2"/>
    <row r="1665" x14ac:dyDescent="0.2"/>
    <row r="1666" x14ac:dyDescent="0.2"/>
    <row r="1667" x14ac:dyDescent="0.2"/>
    <row r="1668" x14ac:dyDescent="0.2"/>
    <row r="1669" x14ac:dyDescent="0.2"/>
    <row r="1670" x14ac:dyDescent="0.2"/>
    <row r="1671" x14ac:dyDescent="0.2"/>
    <row r="1672" x14ac:dyDescent="0.2"/>
    <row r="1673" x14ac:dyDescent="0.2"/>
    <row r="1674" x14ac:dyDescent="0.2"/>
    <row r="1675" x14ac:dyDescent="0.2"/>
    <row r="1676" x14ac:dyDescent="0.2"/>
    <row r="1677" x14ac:dyDescent="0.2"/>
    <row r="1678" x14ac:dyDescent="0.2"/>
    <row r="1679" x14ac:dyDescent="0.2"/>
    <row r="1680" x14ac:dyDescent="0.2"/>
    <row r="1681" x14ac:dyDescent="0.2"/>
    <row r="1682" x14ac:dyDescent="0.2"/>
    <row r="1683" x14ac:dyDescent="0.2"/>
    <row r="1684" x14ac:dyDescent="0.2"/>
    <row r="1685" x14ac:dyDescent="0.2"/>
    <row r="1686" x14ac:dyDescent="0.2"/>
    <row r="1687" x14ac:dyDescent="0.2"/>
    <row r="1688" x14ac:dyDescent="0.2"/>
    <row r="1689" x14ac:dyDescent="0.2"/>
    <row r="1690" x14ac:dyDescent="0.2"/>
    <row r="1691" x14ac:dyDescent="0.2"/>
    <row r="1692" x14ac:dyDescent="0.2"/>
    <row r="1693" x14ac:dyDescent="0.2"/>
    <row r="1694" x14ac:dyDescent="0.2"/>
    <row r="1695" x14ac:dyDescent="0.2"/>
    <row r="1696" x14ac:dyDescent="0.2"/>
    <row r="1697" x14ac:dyDescent="0.2"/>
    <row r="1698" x14ac:dyDescent="0.2"/>
    <row r="1699" x14ac:dyDescent="0.2"/>
    <row r="1700" x14ac:dyDescent="0.2"/>
    <row r="1701" x14ac:dyDescent="0.2"/>
    <row r="1702" x14ac:dyDescent="0.2"/>
    <row r="1703" x14ac:dyDescent="0.2"/>
    <row r="1704" x14ac:dyDescent="0.2"/>
    <row r="1705" x14ac:dyDescent="0.2"/>
    <row r="1706" x14ac:dyDescent="0.2"/>
    <row r="1707" x14ac:dyDescent="0.2"/>
    <row r="1708" x14ac:dyDescent="0.2"/>
    <row r="1709" x14ac:dyDescent="0.2"/>
    <row r="1710" x14ac:dyDescent="0.2"/>
    <row r="1711" x14ac:dyDescent="0.2"/>
    <row r="1712" x14ac:dyDescent="0.2"/>
    <row r="1713" x14ac:dyDescent="0.2"/>
    <row r="1714" x14ac:dyDescent="0.2"/>
    <row r="1715" x14ac:dyDescent="0.2"/>
    <row r="1716" x14ac:dyDescent="0.2"/>
    <row r="1717" x14ac:dyDescent="0.2"/>
    <row r="1718" x14ac:dyDescent="0.2"/>
    <row r="1719" x14ac:dyDescent="0.2"/>
    <row r="1720" x14ac:dyDescent="0.2"/>
    <row r="1721" x14ac:dyDescent="0.2"/>
    <row r="1722" x14ac:dyDescent="0.2"/>
    <row r="1723" x14ac:dyDescent="0.2"/>
    <row r="1724" x14ac:dyDescent="0.2"/>
    <row r="1725" x14ac:dyDescent="0.2"/>
    <row r="1726" x14ac:dyDescent="0.2"/>
    <row r="1727" x14ac:dyDescent="0.2"/>
    <row r="1728" x14ac:dyDescent="0.2"/>
    <row r="1729" x14ac:dyDescent="0.2"/>
    <row r="1730" x14ac:dyDescent="0.2"/>
    <row r="1731" x14ac:dyDescent="0.2"/>
    <row r="1732" x14ac:dyDescent="0.2"/>
    <row r="1733" x14ac:dyDescent="0.2"/>
    <row r="1734" x14ac:dyDescent="0.2"/>
    <row r="1735" x14ac:dyDescent="0.2"/>
    <row r="1736" x14ac:dyDescent="0.2"/>
    <row r="1737" x14ac:dyDescent="0.2"/>
    <row r="1738" x14ac:dyDescent="0.2"/>
    <row r="1739" x14ac:dyDescent="0.2"/>
    <row r="1740" x14ac:dyDescent="0.2"/>
    <row r="1741" x14ac:dyDescent="0.2"/>
    <row r="1742" x14ac:dyDescent="0.2"/>
    <row r="1743" x14ac:dyDescent="0.2"/>
    <row r="1744" x14ac:dyDescent="0.2"/>
    <row r="1745" x14ac:dyDescent="0.2"/>
    <row r="1746" x14ac:dyDescent="0.2"/>
    <row r="1747" x14ac:dyDescent="0.2"/>
    <row r="1748" x14ac:dyDescent="0.2"/>
    <row r="1749" x14ac:dyDescent="0.2"/>
    <row r="1750" x14ac:dyDescent="0.2"/>
    <row r="1751" x14ac:dyDescent="0.2"/>
    <row r="1752" x14ac:dyDescent="0.2"/>
    <row r="1753" x14ac:dyDescent="0.2"/>
    <row r="1754" x14ac:dyDescent="0.2"/>
    <row r="1755" x14ac:dyDescent="0.2"/>
    <row r="1756" x14ac:dyDescent="0.2"/>
    <row r="1757" x14ac:dyDescent="0.2"/>
    <row r="1758" x14ac:dyDescent="0.2"/>
    <row r="1759" x14ac:dyDescent="0.2"/>
    <row r="1760" x14ac:dyDescent="0.2"/>
    <row r="1761" x14ac:dyDescent="0.2"/>
    <row r="1762" x14ac:dyDescent="0.2"/>
    <row r="1763" x14ac:dyDescent="0.2"/>
    <row r="1764" x14ac:dyDescent="0.2"/>
    <row r="1765" x14ac:dyDescent="0.2"/>
    <row r="1766" x14ac:dyDescent="0.2"/>
    <row r="1767" x14ac:dyDescent="0.2"/>
    <row r="1768" x14ac:dyDescent="0.2"/>
    <row r="1769" x14ac:dyDescent="0.2"/>
    <row r="1770" x14ac:dyDescent="0.2"/>
    <row r="1771" x14ac:dyDescent="0.2"/>
    <row r="1772" x14ac:dyDescent="0.2"/>
    <row r="1773" x14ac:dyDescent="0.2"/>
    <row r="1774" x14ac:dyDescent="0.2"/>
    <row r="1775" x14ac:dyDescent="0.2"/>
    <row r="1776" x14ac:dyDescent="0.2"/>
    <row r="1777" x14ac:dyDescent="0.2"/>
    <row r="1778" x14ac:dyDescent="0.2"/>
    <row r="1779" x14ac:dyDescent="0.2"/>
    <row r="1780" x14ac:dyDescent="0.2"/>
    <row r="1781" x14ac:dyDescent="0.2"/>
    <row r="1782" x14ac:dyDescent="0.2"/>
    <row r="1783" x14ac:dyDescent="0.2"/>
    <row r="1784" x14ac:dyDescent="0.2"/>
    <row r="1785" x14ac:dyDescent="0.2"/>
    <row r="1786" x14ac:dyDescent="0.2"/>
    <row r="1787" x14ac:dyDescent="0.2"/>
    <row r="1788" x14ac:dyDescent="0.2"/>
    <row r="1789" x14ac:dyDescent="0.2"/>
    <row r="1790" x14ac:dyDescent="0.2"/>
    <row r="1791" x14ac:dyDescent="0.2"/>
    <row r="1792" x14ac:dyDescent="0.2"/>
    <row r="1793" x14ac:dyDescent="0.2"/>
    <row r="1794" x14ac:dyDescent="0.2"/>
    <row r="1795" x14ac:dyDescent="0.2"/>
    <row r="1796" x14ac:dyDescent="0.2"/>
    <row r="1797" x14ac:dyDescent="0.2"/>
    <row r="1798" x14ac:dyDescent="0.2"/>
    <row r="1799" x14ac:dyDescent="0.2"/>
    <row r="1800" x14ac:dyDescent="0.2"/>
    <row r="1801" x14ac:dyDescent="0.2"/>
    <row r="1802" x14ac:dyDescent="0.2"/>
    <row r="1803" x14ac:dyDescent="0.2"/>
    <row r="1804" x14ac:dyDescent="0.2"/>
    <row r="1805" x14ac:dyDescent="0.2"/>
    <row r="1806" x14ac:dyDescent="0.2"/>
    <row r="1807" x14ac:dyDescent="0.2"/>
    <row r="1808" x14ac:dyDescent="0.2"/>
    <row r="1809" x14ac:dyDescent="0.2"/>
    <row r="1810" x14ac:dyDescent="0.2"/>
    <row r="1811" x14ac:dyDescent="0.2"/>
    <row r="1812" x14ac:dyDescent="0.2"/>
    <row r="1813" x14ac:dyDescent="0.2"/>
    <row r="1814" x14ac:dyDescent="0.2"/>
    <row r="1815" x14ac:dyDescent="0.2"/>
    <row r="1816" x14ac:dyDescent="0.2"/>
    <row r="1817" x14ac:dyDescent="0.2"/>
    <row r="1818" x14ac:dyDescent="0.2"/>
    <row r="1819" x14ac:dyDescent="0.2"/>
    <row r="1820" x14ac:dyDescent="0.2"/>
    <row r="1821" x14ac:dyDescent="0.2"/>
    <row r="1822" x14ac:dyDescent="0.2"/>
    <row r="1823" x14ac:dyDescent="0.2"/>
    <row r="1824" x14ac:dyDescent="0.2"/>
    <row r="1825" x14ac:dyDescent="0.2"/>
    <row r="1826" x14ac:dyDescent="0.2"/>
    <row r="1827" x14ac:dyDescent="0.2"/>
    <row r="1828" x14ac:dyDescent="0.2"/>
    <row r="1829" x14ac:dyDescent="0.2"/>
    <row r="1830" x14ac:dyDescent="0.2"/>
    <row r="1831" x14ac:dyDescent="0.2"/>
    <row r="1832" x14ac:dyDescent="0.2"/>
    <row r="1833" x14ac:dyDescent="0.2"/>
    <row r="1834" x14ac:dyDescent="0.2"/>
    <row r="1835" x14ac:dyDescent="0.2"/>
    <row r="1836" x14ac:dyDescent="0.2"/>
    <row r="1837" x14ac:dyDescent="0.2"/>
    <row r="1838" x14ac:dyDescent="0.2"/>
    <row r="1839" x14ac:dyDescent="0.2"/>
    <row r="1840" x14ac:dyDescent="0.2"/>
    <row r="1841" x14ac:dyDescent="0.2"/>
    <row r="1842" x14ac:dyDescent="0.2"/>
    <row r="1843" x14ac:dyDescent="0.2"/>
    <row r="1844" x14ac:dyDescent="0.2"/>
    <row r="1845" x14ac:dyDescent="0.2"/>
    <row r="1846" x14ac:dyDescent="0.2"/>
    <row r="1847" x14ac:dyDescent="0.2"/>
    <row r="1848" x14ac:dyDescent="0.2"/>
    <row r="1849" x14ac:dyDescent="0.2"/>
    <row r="1850" x14ac:dyDescent="0.2"/>
    <row r="1851" x14ac:dyDescent="0.2"/>
    <row r="1852" x14ac:dyDescent="0.2"/>
    <row r="1853" x14ac:dyDescent="0.2"/>
    <row r="1854" x14ac:dyDescent="0.2"/>
    <row r="1855" x14ac:dyDescent="0.2"/>
    <row r="1856" x14ac:dyDescent="0.2"/>
    <row r="1857" x14ac:dyDescent="0.2"/>
    <row r="1858" x14ac:dyDescent="0.2"/>
    <row r="1859" x14ac:dyDescent="0.2"/>
    <row r="1860" x14ac:dyDescent="0.2"/>
    <row r="1861" x14ac:dyDescent="0.2"/>
    <row r="1862" x14ac:dyDescent="0.2"/>
    <row r="1863" x14ac:dyDescent="0.2"/>
    <row r="1864" x14ac:dyDescent="0.2"/>
    <row r="1865" x14ac:dyDescent="0.2"/>
    <row r="1866" x14ac:dyDescent="0.2"/>
    <row r="1867" x14ac:dyDescent="0.2"/>
    <row r="1868" x14ac:dyDescent="0.2"/>
    <row r="1869" x14ac:dyDescent="0.2"/>
    <row r="1870" x14ac:dyDescent="0.2"/>
    <row r="1871" x14ac:dyDescent="0.2"/>
    <row r="1872" x14ac:dyDescent="0.2"/>
    <row r="1873" x14ac:dyDescent="0.2"/>
    <row r="1874" x14ac:dyDescent="0.2"/>
    <row r="1875" x14ac:dyDescent="0.2"/>
    <row r="1876" x14ac:dyDescent="0.2"/>
    <row r="1877" x14ac:dyDescent="0.2"/>
    <row r="1878" x14ac:dyDescent="0.2"/>
    <row r="1879" x14ac:dyDescent="0.2"/>
    <row r="1880" x14ac:dyDescent="0.2"/>
    <row r="1881" x14ac:dyDescent="0.2"/>
    <row r="1882" x14ac:dyDescent="0.2"/>
    <row r="1883" x14ac:dyDescent="0.2"/>
    <row r="1884" x14ac:dyDescent="0.2"/>
    <row r="1885" x14ac:dyDescent="0.2"/>
    <row r="1886" x14ac:dyDescent="0.2"/>
    <row r="1887" x14ac:dyDescent="0.2"/>
    <row r="1888" x14ac:dyDescent="0.2"/>
    <row r="1889" x14ac:dyDescent="0.2"/>
    <row r="1890" x14ac:dyDescent="0.2"/>
    <row r="1891" x14ac:dyDescent="0.2"/>
    <row r="1892" x14ac:dyDescent="0.2"/>
    <row r="1893" x14ac:dyDescent="0.2"/>
    <row r="1894" x14ac:dyDescent="0.2"/>
    <row r="1895" x14ac:dyDescent="0.2"/>
    <row r="1896" x14ac:dyDescent="0.2"/>
    <row r="1897" x14ac:dyDescent="0.2"/>
    <row r="1898" x14ac:dyDescent="0.2"/>
    <row r="1899" x14ac:dyDescent="0.2"/>
    <row r="1900" x14ac:dyDescent="0.2"/>
    <row r="1901" x14ac:dyDescent="0.2"/>
    <row r="1902" x14ac:dyDescent="0.2"/>
    <row r="1903" x14ac:dyDescent="0.2"/>
    <row r="1904" x14ac:dyDescent="0.2"/>
    <row r="1905" x14ac:dyDescent="0.2"/>
    <row r="1906" x14ac:dyDescent="0.2"/>
    <row r="1907" x14ac:dyDescent="0.2"/>
    <row r="1908" x14ac:dyDescent="0.2"/>
    <row r="1909" x14ac:dyDescent="0.2"/>
    <row r="1910" x14ac:dyDescent="0.2"/>
    <row r="1911" x14ac:dyDescent="0.2"/>
    <row r="1912" x14ac:dyDescent="0.2"/>
    <row r="1913" x14ac:dyDescent="0.2"/>
    <row r="1914" x14ac:dyDescent="0.2"/>
    <row r="1915" x14ac:dyDescent="0.2"/>
    <row r="1916" x14ac:dyDescent="0.2"/>
    <row r="1917" x14ac:dyDescent="0.2"/>
    <row r="1918" x14ac:dyDescent="0.2"/>
    <row r="1919" x14ac:dyDescent="0.2"/>
    <row r="1920" x14ac:dyDescent="0.2"/>
    <row r="1921" x14ac:dyDescent="0.2"/>
    <row r="1922" x14ac:dyDescent="0.2"/>
    <row r="1923" x14ac:dyDescent="0.2"/>
    <row r="1924" x14ac:dyDescent="0.2"/>
    <row r="1925" x14ac:dyDescent="0.2"/>
    <row r="1926" x14ac:dyDescent="0.2"/>
    <row r="1927" x14ac:dyDescent="0.2"/>
    <row r="1928" x14ac:dyDescent="0.2"/>
    <row r="1929" x14ac:dyDescent="0.2"/>
    <row r="1930" x14ac:dyDescent="0.2"/>
    <row r="1931" x14ac:dyDescent="0.2"/>
    <row r="1932" x14ac:dyDescent="0.2"/>
    <row r="1933" x14ac:dyDescent="0.2"/>
    <row r="1934" x14ac:dyDescent="0.2"/>
    <row r="1935" x14ac:dyDescent="0.2"/>
    <row r="1936" x14ac:dyDescent="0.2"/>
    <row r="1937" x14ac:dyDescent="0.2"/>
    <row r="1938" x14ac:dyDescent="0.2"/>
    <row r="1939" x14ac:dyDescent="0.2"/>
    <row r="1940" x14ac:dyDescent="0.2"/>
    <row r="1941" x14ac:dyDescent="0.2"/>
    <row r="1942" x14ac:dyDescent="0.2"/>
    <row r="1943" x14ac:dyDescent="0.2"/>
    <row r="1944" x14ac:dyDescent="0.2"/>
    <row r="1945" x14ac:dyDescent="0.2"/>
    <row r="1946" x14ac:dyDescent="0.2"/>
    <row r="1947" x14ac:dyDescent="0.2"/>
    <row r="1948" x14ac:dyDescent="0.2"/>
    <row r="1949" x14ac:dyDescent="0.2"/>
    <row r="1950" x14ac:dyDescent="0.2"/>
    <row r="1951" x14ac:dyDescent="0.2"/>
    <row r="1952" x14ac:dyDescent="0.2"/>
    <row r="1953" x14ac:dyDescent="0.2"/>
    <row r="1954" x14ac:dyDescent="0.2"/>
    <row r="1955" x14ac:dyDescent="0.2"/>
    <row r="1956" x14ac:dyDescent="0.2"/>
    <row r="1957" x14ac:dyDescent="0.2"/>
    <row r="1958" x14ac:dyDescent="0.2"/>
    <row r="1959" x14ac:dyDescent="0.2"/>
    <row r="1960" x14ac:dyDescent="0.2"/>
    <row r="1961" x14ac:dyDescent="0.2"/>
    <row r="1962" x14ac:dyDescent="0.2"/>
    <row r="1963" x14ac:dyDescent="0.2"/>
    <row r="1964" x14ac:dyDescent="0.2"/>
    <row r="1965" x14ac:dyDescent="0.2"/>
    <row r="1966" x14ac:dyDescent="0.2"/>
    <row r="1967" x14ac:dyDescent="0.2"/>
    <row r="1968" x14ac:dyDescent="0.2"/>
    <row r="1969" x14ac:dyDescent="0.2"/>
    <row r="1970" x14ac:dyDescent="0.2"/>
    <row r="1971" x14ac:dyDescent="0.2"/>
    <row r="1972" x14ac:dyDescent="0.2"/>
    <row r="1973" x14ac:dyDescent="0.2"/>
    <row r="1974" x14ac:dyDescent="0.2"/>
    <row r="1975" x14ac:dyDescent="0.2"/>
    <row r="1976" x14ac:dyDescent="0.2"/>
    <row r="1977" x14ac:dyDescent="0.2"/>
    <row r="1978" x14ac:dyDescent="0.2"/>
    <row r="1979" x14ac:dyDescent="0.2"/>
    <row r="1980" x14ac:dyDescent="0.2"/>
    <row r="1981" x14ac:dyDescent="0.2"/>
    <row r="1982" x14ac:dyDescent="0.2"/>
    <row r="1983" x14ac:dyDescent="0.2"/>
    <row r="1984" x14ac:dyDescent="0.2"/>
    <row r="1985" x14ac:dyDescent="0.2"/>
    <row r="1986" x14ac:dyDescent="0.2"/>
    <row r="1987" x14ac:dyDescent="0.2"/>
    <row r="1988" x14ac:dyDescent="0.2"/>
    <row r="1989" x14ac:dyDescent="0.2"/>
    <row r="1990" x14ac:dyDescent="0.2"/>
    <row r="1991" x14ac:dyDescent="0.2"/>
    <row r="1992" x14ac:dyDescent="0.2"/>
    <row r="1993" x14ac:dyDescent="0.2"/>
    <row r="1994" x14ac:dyDescent="0.2"/>
    <row r="1995" x14ac:dyDescent="0.2"/>
    <row r="1996" x14ac:dyDescent="0.2"/>
    <row r="1997" x14ac:dyDescent="0.2"/>
    <row r="1998" x14ac:dyDescent="0.2"/>
    <row r="1999" x14ac:dyDescent="0.2"/>
    <row r="2000" x14ac:dyDescent="0.2"/>
    <row r="2001" x14ac:dyDescent="0.2"/>
    <row r="2002" x14ac:dyDescent="0.2"/>
    <row r="2003" x14ac:dyDescent="0.2"/>
    <row r="2004" x14ac:dyDescent="0.2"/>
    <row r="2005" x14ac:dyDescent="0.2"/>
    <row r="2006" x14ac:dyDescent="0.2"/>
    <row r="2007" x14ac:dyDescent="0.2"/>
    <row r="2008" x14ac:dyDescent="0.2"/>
    <row r="2009" x14ac:dyDescent="0.2"/>
    <row r="2010" x14ac:dyDescent="0.2"/>
    <row r="2011" x14ac:dyDescent="0.2"/>
    <row r="2012" x14ac:dyDescent="0.2"/>
    <row r="2013" x14ac:dyDescent="0.2"/>
    <row r="2014" x14ac:dyDescent="0.2"/>
    <row r="2015" x14ac:dyDescent="0.2"/>
    <row r="2016" x14ac:dyDescent="0.2"/>
    <row r="2017" x14ac:dyDescent="0.2"/>
    <row r="2018" x14ac:dyDescent="0.2"/>
    <row r="2019" x14ac:dyDescent="0.2"/>
    <row r="2020" x14ac:dyDescent="0.2"/>
    <row r="2021" x14ac:dyDescent="0.2"/>
    <row r="2022" x14ac:dyDescent="0.2"/>
    <row r="2023" x14ac:dyDescent="0.2"/>
    <row r="2024" x14ac:dyDescent="0.2"/>
    <row r="2025" x14ac:dyDescent="0.2"/>
    <row r="2026" x14ac:dyDescent="0.2"/>
    <row r="2027" x14ac:dyDescent="0.2"/>
    <row r="2028" x14ac:dyDescent="0.2"/>
    <row r="2029" x14ac:dyDescent="0.2"/>
    <row r="2030" x14ac:dyDescent="0.2"/>
    <row r="2031" x14ac:dyDescent="0.2"/>
    <row r="2032" x14ac:dyDescent="0.2"/>
    <row r="2033" x14ac:dyDescent="0.2"/>
    <row r="2034" x14ac:dyDescent="0.2"/>
    <row r="2035" x14ac:dyDescent="0.2"/>
    <row r="2036" x14ac:dyDescent="0.2"/>
    <row r="2037" x14ac:dyDescent="0.2"/>
    <row r="2038" x14ac:dyDescent="0.2"/>
    <row r="2039" x14ac:dyDescent="0.2"/>
    <row r="2040" x14ac:dyDescent="0.2"/>
    <row r="2041" x14ac:dyDescent="0.2"/>
    <row r="2042" x14ac:dyDescent="0.2"/>
    <row r="2043" x14ac:dyDescent="0.2"/>
    <row r="2044" x14ac:dyDescent="0.2"/>
    <row r="2045" x14ac:dyDescent="0.2"/>
    <row r="2046" x14ac:dyDescent="0.2"/>
    <row r="2047" x14ac:dyDescent="0.2"/>
    <row r="2048" x14ac:dyDescent="0.2"/>
    <row r="2049" x14ac:dyDescent="0.2"/>
    <row r="2050" x14ac:dyDescent="0.2"/>
    <row r="2051" x14ac:dyDescent="0.2"/>
    <row r="2052" x14ac:dyDescent="0.2"/>
    <row r="2053" x14ac:dyDescent="0.2"/>
    <row r="2054" x14ac:dyDescent="0.2"/>
    <row r="2055" x14ac:dyDescent="0.2"/>
    <row r="2056" x14ac:dyDescent="0.2"/>
    <row r="2057" x14ac:dyDescent="0.2"/>
    <row r="2058" x14ac:dyDescent="0.2"/>
    <row r="2059" x14ac:dyDescent="0.2"/>
    <row r="2060" x14ac:dyDescent="0.2"/>
    <row r="2061" x14ac:dyDescent="0.2"/>
    <row r="2062" x14ac:dyDescent="0.2"/>
    <row r="2063" x14ac:dyDescent="0.2"/>
    <row r="2064" x14ac:dyDescent="0.2"/>
    <row r="2065" x14ac:dyDescent="0.2"/>
    <row r="2066" x14ac:dyDescent="0.2"/>
    <row r="2067" x14ac:dyDescent="0.2"/>
    <row r="2068" x14ac:dyDescent="0.2"/>
    <row r="2069" x14ac:dyDescent="0.2"/>
    <row r="2070" x14ac:dyDescent="0.2"/>
    <row r="2071" x14ac:dyDescent="0.2"/>
    <row r="2072" x14ac:dyDescent="0.2"/>
    <row r="2073" x14ac:dyDescent="0.2"/>
    <row r="2074" x14ac:dyDescent="0.2"/>
    <row r="2075" x14ac:dyDescent="0.2"/>
    <row r="2076" x14ac:dyDescent="0.2"/>
    <row r="2077" x14ac:dyDescent="0.2"/>
    <row r="2078" x14ac:dyDescent="0.2"/>
    <row r="2079" x14ac:dyDescent="0.2"/>
    <row r="2080" x14ac:dyDescent="0.2"/>
    <row r="2081" x14ac:dyDescent="0.2"/>
    <row r="2082" x14ac:dyDescent="0.2"/>
    <row r="2083" x14ac:dyDescent="0.2"/>
    <row r="2084" x14ac:dyDescent="0.2"/>
    <row r="2085" x14ac:dyDescent="0.2"/>
    <row r="2086" x14ac:dyDescent="0.2"/>
    <row r="2087" x14ac:dyDescent="0.2"/>
    <row r="2088" x14ac:dyDescent="0.2"/>
    <row r="2089" x14ac:dyDescent="0.2"/>
    <row r="2090" x14ac:dyDescent="0.2"/>
    <row r="2091" x14ac:dyDescent="0.2"/>
    <row r="2092" x14ac:dyDescent="0.2"/>
    <row r="2093" x14ac:dyDescent="0.2"/>
    <row r="2094" x14ac:dyDescent="0.2"/>
    <row r="2095" x14ac:dyDescent="0.2"/>
    <row r="2096" x14ac:dyDescent="0.2"/>
    <row r="2097" x14ac:dyDescent="0.2"/>
    <row r="2098" x14ac:dyDescent="0.2"/>
    <row r="2099" x14ac:dyDescent="0.2"/>
    <row r="2100" x14ac:dyDescent="0.2"/>
    <row r="2101" x14ac:dyDescent="0.2"/>
    <row r="2102" x14ac:dyDescent="0.2"/>
    <row r="2103" x14ac:dyDescent="0.2"/>
    <row r="2104" x14ac:dyDescent="0.2"/>
    <row r="2105" x14ac:dyDescent="0.2"/>
    <row r="2106" x14ac:dyDescent="0.2"/>
    <row r="2107" x14ac:dyDescent="0.2"/>
    <row r="2108" x14ac:dyDescent="0.2"/>
    <row r="2109" x14ac:dyDescent="0.2"/>
    <row r="2110" x14ac:dyDescent="0.2"/>
    <row r="2111" x14ac:dyDescent="0.2"/>
    <row r="2112" x14ac:dyDescent="0.2"/>
    <row r="2113" x14ac:dyDescent="0.2"/>
    <row r="2114" x14ac:dyDescent="0.2"/>
    <row r="2115" x14ac:dyDescent="0.2"/>
    <row r="2116" x14ac:dyDescent="0.2"/>
    <row r="2117" x14ac:dyDescent="0.2"/>
    <row r="2118" x14ac:dyDescent="0.2"/>
    <row r="2119" x14ac:dyDescent="0.2"/>
    <row r="2120" x14ac:dyDescent="0.2"/>
    <row r="2121" x14ac:dyDescent="0.2"/>
    <row r="2122" x14ac:dyDescent="0.2"/>
    <row r="2123" x14ac:dyDescent="0.2"/>
    <row r="2124" x14ac:dyDescent="0.2"/>
    <row r="2125" x14ac:dyDescent="0.2"/>
    <row r="2126" x14ac:dyDescent="0.2"/>
    <row r="2127" x14ac:dyDescent="0.2"/>
    <row r="2128" x14ac:dyDescent="0.2"/>
    <row r="2129" x14ac:dyDescent="0.2"/>
    <row r="2130" x14ac:dyDescent="0.2"/>
    <row r="2131" x14ac:dyDescent="0.2"/>
    <row r="2132" x14ac:dyDescent="0.2"/>
    <row r="2133" x14ac:dyDescent="0.2"/>
    <row r="2134" x14ac:dyDescent="0.2"/>
    <row r="2135" x14ac:dyDescent="0.2"/>
    <row r="2136" x14ac:dyDescent="0.2"/>
    <row r="2137" x14ac:dyDescent="0.2"/>
    <row r="2138" x14ac:dyDescent="0.2"/>
    <row r="2139" x14ac:dyDescent="0.2"/>
    <row r="2140" x14ac:dyDescent="0.2"/>
    <row r="2141" x14ac:dyDescent="0.2"/>
    <row r="2142" x14ac:dyDescent="0.2"/>
    <row r="2143" x14ac:dyDescent="0.2"/>
    <row r="2144" x14ac:dyDescent="0.2"/>
    <row r="2145" x14ac:dyDescent="0.2"/>
    <row r="2146" x14ac:dyDescent="0.2"/>
    <row r="2147" x14ac:dyDescent="0.2"/>
    <row r="2148" x14ac:dyDescent="0.2"/>
    <row r="2149" x14ac:dyDescent="0.2"/>
    <row r="2150" x14ac:dyDescent="0.2"/>
    <row r="2151" x14ac:dyDescent="0.2"/>
    <row r="2152" x14ac:dyDescent="0.2"/>
    <row r="2153" x14ac:dyDescent="0.2"/>
    <row r="2154" x14ac:dyDescent="0.2"/>
    <row r="2155" x14ac:dyDescent="0.2"/>
    <row r="2156" x14ac:dyDescent="0.2"/>
    <row r="2157" x14ac:dyDescent="0.2"/>
    <row r="2158" x14ac:dyDescent="0.2"/>
    <row r="2159" x14ac:dyDescent="0.2"/>
    <row r="2160" x14ac:dyDescent="0.2"/>
    <row r="2161" x14ac:dyDescent="0.2"/>
    <row r="2162" x14ac:dyDescent="0.2"/>
    <row r="2163" x14ac:dyDescent="0.2"/>
    <row r="2164" x14ac:dyDescent="0.2"/>
    <row r="2165" x14ac:dyDescent="0.2"/>
    <row r="2166" x14ac:dyDescent="0.2"/>
    <row r="2167" x14ac:dyDescent="0.2"/>
    <row r="2168" x14ac:dyDescent="0.2"/>
    <row r="2169" x14ac:dyDescent="0.2"/>
    <row r="2170" x14ac:dyDescent="0.2"/>
    <row r="2171" x14ac:dyDescent="0.2"/>
    <row r="2172" x14ac:dyDescent="0.2"/>
    <row r="2173" x14ac:dyDescent="0.2"/>
    <row r="2174" x14ac:dyDescent="0.2"/>
    <row r="2175" x14ac:dyDescent="0.2"/>
    <row r="2176" x14ac:dyDescent="0.2"/>
    <row r="2177" x14ac:dyDescent="0.2"/>
    <row r="2178" x14ac:dyDescent="0.2"/>
    <row r="2179" x14ac:dyDescent="0.2"/>
    <row r="2180" x14ac:dyDescent="0.2"/>
    <row r="2181" x14ac:dyDescent="0.2"/>
    <row r="2182" x14ac:dyDescent="0.2"/>
    <row r="2183" x14ac:dyDescent="0.2"/>
    <row r="2184" x14ac:dyDescent="0.2"/>
    <row r="2185" x14ac:dyDescent="0.2"/>
    <row r="2186" x14ac:dyDescent="0.2"/>
    <row r="2187" x14ac:dyDescent="0.2"/>
    <row r="2188" x14ac:dyDescent="0.2"/>
    <row r="2189" x14ac:dyDescent="0.2"/>
    <row r="2190" x14ac:dyDescent="0.2"/>
    <row r="2191" x14ac:dyDescent="0.2"/>
    <row r="2192" x14ac:dyDescent="0.2"/>
    <row r="2193" x14ac:dyDescent="0.2"/>
    <row r="2194" x14ac:dyDescent="0.2"/>
    <row r="2195" x14ac:dyDescent="0.2"/>
    <row r="2196" x14ac:dyDescent="0.2"/>
    <row r="2197" x14ac:dyDescent="0.2"/>
    <row r="2198" x14ac:dyDescent="0.2"/>
    <row r="2199" x14ac:dyDescent="0.2"/>
    <row r="2200" x14ac:dyDescent="0.2"/>
    <row r="2201" x14ac:dyDescent="0.2"/>
    <row r="2202" x14ac:dyDescent="0.2"/>
    <row r="2203" x14ac:dyDescent="0.2"/>
    <row r="2204" x14ac:dyDescent="0.2"/>
    <row r="2205" x14ac:dyDescent="0.2"/>
    <row r="2206" x14ac:dyDescent="0.2"/>
    <row r="2207" x14ac:dyDescent="0.2"/>
    <row r="2208" x14ac:dyDescent="0.2"/>
    <row r="2209" x14ac:dyDescent="0.2"/>
    <row r="2210" x14ac:dyDescent="0.2"/>
    <row r="2211" x14ac:dyDescent="0.2"/>
    <row r="2212" x14ac:dyDescent="0.2"/>
    <row r="2213" x14ac:dyDescent="0.2"/>
    <row r="2214" x14ac:dyDescent="0.2"/>
    <row r="2215" x14ac:dyDescent="0.2"/>
    <row r="2216" x14ac:dyDescent="0.2"/>
    <row r="2217" x14ac:dyDescent="0.2"/>
    <row r="2218" x14ac:dyDescent="0.2"/>
    <row r="2219" x14ac:dyDescent="0.2"/>
    <row r="2220" x14ac:dyDescent="0.2"/>
    <row r="2221" x14ac:dyDescent="0.2"/>
    <row r="2222" x14ac:dyDescent="0.2"/>
    <row r="2223" x14ac:dyDescent="0.2"/>
    <row r="2224" x14ac:dyDescent="0.2"/>
    <row r="2225" x14ac:dyDescent="0.2"/>
    <row r="2226" x14ac:dyDescent="0.2"/>
    <row r="2227" x14ac:dyDescent="0.2"/>
    <row r="2228" x14ac:dyDescent="0.2"/>
    <row r="2229" x14ac:dyDescent="0.2"/>
    <row r="2230" x14ac:dyDescent="0.2"/>
    <row r="2231" x14ac:dyDescent="0.2"/>
    <row r="2232" x14ac:dyDescent="0.2"/>
    <row r="2233" x14ac:dyDescent="0.2"/>
    <row r="2234" x14ac:dyDescent="0.2"/>
    <row r="2235" x14ac:dyDescent="0.2"/>
    <row r="2236" x14ac:dyDescent="0.2"/>
    <row r="2237" x14ac:dyDescent="0.2"/>
    <row r="2238" x14ac:dyDescent="0.2"/>
    <row r="2239" x14ac:dyDescent="0.2"/>
    <row r="2240" x14ac:dyDescent="0.2"/>
    <row r="2241" x14ac:dyDescent="0.2"/>
    <row r="2242" x14ac:dyDescent="0.2"/>
    <row r="2243" x14ac:dyDescent="0.2"/>
    <row r="2244" x14ac:dyDescent="0.2"/>
    <row r="2245" x14ac:dyDescent="0.2"/>
    <row r="2246" x14ac:dyDescent="0.2"/>
    <row r="2247" x14ac:dyDescent="0.2"/>
    <row r="2248" x14ac:dyDescent="0.2"/>
    <row r="2249" x14ac:dyDescent="0.2"/>
    <row r="2250" x14ac:dyDescent="0.2"/>
    <row r="2251" x14ac:dyDescent="0.2"/>
    <row r="2252" x14ac:dyDescent="0.2"/>
    <row r="2253" x14ac:dyDescent="0.2"/>
    <row r="2254" x14ac:dyDescent="0.2"/>
    <row r="2255" x14ac:dyDescent="0.2"/>
    <row r="2256" x14ac:dyDescent="0.2"/>
    <row r="2257" x14ac:dyDescent="0.2"/>
    <row r="2258" x14ac:dyDescent="0.2"/>
    <row r="2259" x14ac:dyDescent="0.2"/>
    <row r="2260" x14ac:dyDescent="0.2"/>
    <row r="2261" x14ac:dyDescent="0.2"/>
    <row r="2262" x14ac:dyDescent="0.2"/>
    <row r="2263" x14ac:dyDescent="0.2"/>
    <row r="2264" x14ac:dyDescent="0.2"/>
    <row r="2265" x14ac:dyDescent="0.2"/>
    <row r="2266" x14ac:dyDescent="0.2"/>
    <row r="2267" x14ac:dyDescent="0.2"/>
    <row r="2268" x14ac:dyDescent="0.2"/>
    <row r="2269" x14ac:dyDescent="0.2"/>
    <row r="2270" x14ac:dyDescent="0.2"/>
    <row r="2271" x14ac:dyDescent="0.2"/>
    <row r="2272" x14ac:dyDescent="0.2"/>
    <row r="2273" x14ac:dyDescent="0.2"/>
    <row r="2274" x14ac:dyDescent="0.2"/>
    <row r="2275" x14ac:dyDescent="0.2"/>
    <row r="2276" x14ac:dyDescent="0.2"/>
    <row r="2277" x14ac:dyDescent="0.2"/>
    <row r="2278" x14ac:dyDescent="0.2"/>
    <row r="2279" x14ac:dyDescent="0.2"/>
    <row r="2280" x14ac:dyDescent="0.2"/>
    <row r="2281" x14ac:dyDescent="0.2"/>
    <row r="2282" x14ac:dyDescent="0.2"/>
    <row r="2283" x14ac:dyDescent="0.2"/>
    <row r="2284" x14ac:dyDescent="0.2"/>
    <row r="2285" x14ac:dyDescent="0.2"/>
    <row r="2286" x14ac:dyDescent="0.2"/>
    <row r="2287" x14ac:dyDescent="0.2"/>
    <row r="2288" x14ac:dyDescent="0.2"/>
    <row r="2289" x14ac:dyDescent="0.2"/>
    <row r="2290" x14ac:dyDescent="0.2"/>
    <row r="2291" x14ac:dyDescent="0.2"/>
    <row r="2292" x14ac:dyDescent="0.2"/>
    <row r="2293" x14ac:dyDescent="0.2"/>
    <row r="2294" x14ac:dyDescent="0.2"/>
    <row r="2295" x14ac:dyDescent="0.2"/>
    <row r="2296" x14ac:dyDescent="0.2"/>
    <row r="2297" x14ac:dyDescent="0.2"/>
    <row r="2298" x14ac:dyDescent="0.2"/>
    <row r="2299" x14ac:dyDescent="0.2"/>
    <row r="2300" x14ac:dyDescent="0.2"/>
    <row r="2301" x14ac:dyDescent="0.2"/>
    <row r="2302" x14ac:dyDescent="0.2"/>
    <row r="2303" x14ac:dyDescent="0.2"/>
    <row r="2304" x14ac:dyDescent="0.2"/>
    <row r="2305" x14ac:dyDescent="0.2"/>
    <row r="2306" x14ac:dyDescent="0.2"/>
    <row r="2307" x14ac:dyDescent="0.2"/>
    <row r="2308" x14ac:dyDescent="0.2"/>
    <row r="2309" x14ac:dyDescent="0.2"/>
    <row r="2310" x14ac:dyDescent="0.2"/>
    <row r="2311" x14ac:dyDescent="0.2"/>
    <row r="2312" x14ac:dyDescent="0.2"/>
    <row r="2313" x14ac:dyDescent="0.2"/>
    <row r="2314" x14ac:dyDescent="0.2"/>
    <row r="2315" x14ac:dyDescent="0.2"/>
    <row r="2316" x14ac:dyDescent="0.2"/>
    <row r="2317" x14ac:dyDescent="0.2"/>
    <row r="2318" x14ac:dyDescent="0.2"/>
    <row r="2319" x14ac:dyDescent="0.2"/>
    <row r="2320" x14ac:dyDescent="0.2"/>
    <row r="2321" x14ac:dyDescent="0.2"/>
    <row r="2322" x14ac:dyDescent="0.2"/>
    <row r="2323" x14ac:dyDescent="0.2"/>
    <row r="2324" x14ac:dyDescent="0.2"/>
    <row r="2325" x14ac:dyDescent="0.2"/>
    <row r="2326" x14ac:dyDescent="0.2"/>
    <row r="2327" x14ac:dyDescent="0.2"/>
    <row r="2328" x14ac:dyDescent="0.2"/>
    <row r="2329" x14ac:dyDescent="0.2"/>
    <row r="2330" x14ac:dyDescent="0.2"/>
    <row r="2331" x14ac:dyDescent="0.2"/>
    <row r="2332" x14ac:dyDescent="0.2"/>
    <row r="2333" x14ac:dyDescent="0.2"/>
    <row r="2334" x14ac:dyDescent="0.2"/>
    <row r="2335" x14ac:dyDescent="0.2"/>
    <row r="2336" x14ac:dyDescent="0.2"/>
    <row r="2337" x14ac:dyDescent="0.2"/>
    <row r="2338" x14ac:dyDescent="0.2"/>
    <row r="2339" x14ac:dyDescent="0.2"/>
    <row r="2340" x14ac:dyDescent="0.2"/>
    <row r="2341" x14ac:dyDescent="0.2"/>
    <row r="2342" x14ac:dyDescent="0.2"/>
    <row r="2343" x14ac:dyDescent="0.2"/>
    <row r="2344" x14ac:dyDescent="0.2"/>
    <row r="2345" x14ac:dyDescent="0.2"/>
    <row r="2346" x14ac:dyDescent="0.2"/>
    <row r="2347" x14ac:dyDescent="0.2"/>
    <row r="2348" x14ac:dyDescent="0.2"/>
    <row r="2349" x14ac:dyDescent="0.2"/>
    <row r="2350" x14ac:dyDescent="0.2"/>
    <row r="2351" x14ac:dyDescent="0.2"/>
    <row r="2352" x14ac:dyDescent="0.2"/>
    <row r="2353" x14ac:dyDescent="0.2"/>
    <row r="2354" x14ac:dyDescent="0.2"/>
    <row r="2355" x14ac:dyDescent="0.2"/>
    <row r="2356" x14ac:dyDescent="0.2"/>
    <row r="2357" x14ac:dyDescent="0.2"/>
    <row r="2358" x14ac:dyDescent="0.2"/>
    <row r="2359" x14ac:dyDescent="0.2"/>
    <row r="2360" x14ac:dyDescent="0.2"/>
    <row r="2361" x14ac:dyDescent="0.2"/>
    <row r="2362" x14ac:dyDescent="0.2"/>
    <row r="2363" x14ac:dyDescent="0.2"/>
    <row r="2364" x14ac:dyDescent="0.2"/>
    <row r="2365" x14ac:dyDescent="0.2"/>
    <row r="2366" x14ac:dyDescent="0.2"/>
    <row r="2367" x14ac:dyDescent="0.2"/>
    <row r="2368" x14ac:dyDescent="0.2"/>
    <row r="2369" x14ac:dyDescent="0.2"/>
    <row r="2370" x14ac:dyDescent="0.2"/>
    <row r="2371" x14ac:dyDescent="0.2"/>
    <row r="2372" x14ac:dyDescent="0.2"/>
    <row r="2373" x14ac:dyDescent="0.2"/>
    <row r="2374" x14ac:dyDescent="0.2"/>
    <row r="2375" x14ac:dyDescent="0.2"/>
    <row r="2376" x14ac:dyDescent="0.2"/>
    <row r="2377" x14ac:dyDescent="0.2"/>
    <row r="2378" x14ac:dyDescent="0.2"/>
    <row r="2379" x14ac:dyDescent="0.2"/>
    <row r="2380" x14ac:dyDescent="0.2"/>
    <row r="2381" x14ac:dyDescent="0.2"/>
    <row r="2382" x14ac:dyDescent="0.2"/>
    <row r="2383" x14ac:dyDescent="0.2"/>
    <row r="2384" x14ac:dyDescent="0.2"/>
    <row r="2385" x14ac:dyDescent="0.2"/>
    <row r="2386" x14ac:dyDescent="0.2"/>
    <row r="2387" x14ac:dyDescent="0.2"/>
    <row r="2388" x14ac:dyDescent="0.2"/>
    <row r="2389" x14ac:dyDescent="0.2"/>
    <row r="2390" x14ac:dyDescent="0.2"/>
    <row r="2391" x14ac:dyDescent="0.2"/>
    <row r="2392" x14ac:dyDescent="0.2"/>
    <row r="2393" x14ac:dyDescent="0.2"/>
    <row r="2394" x14ac:dyDescent="0.2"/>
    <row r="2395" x14ac:dyDescent="0.2"/>
    <row r="2396" x14ac:dyDescent="0.2"/>
    <row r="2397" x14ac:dyDescent="0.2"/>
    <row r="2398" x14ac:dyDescent="0.2"/>
    <row r="2399" x14ac:dyDescent="0.2"/>
    <row r="2400" x14ac:dyDescent="0.2"/>
    <row r="2401" x14ac:dyDescent="0.2"/>
    <row r="2402" x14ac:dyDescent="0.2"/>
    <row r="2403" x14ac:dyDescent="0.2"/>
    <row r="2404" x14ac:dyDescent="0.2"/>
    <row r="2405" x14ac:dyDescent="0.2"/>
    <row r="2406" x14ac:dyDescent="0.2"/>
    <row r="2407" x14ac:dyDescent="0.2"/>
    <row r="2408" x14ac:dyDescent="0.2"/>
    <row r="2409" x14ac:dyDescent="0.2"/>
    <row r="2410" x14ac:dyDescent="0.2"/>
    <row r="2411" x14ac:dyDescent="0.2"/>
    <row r="2412" x14ac:dyDescent="0.2"/>
    <row r="2413" x14ac:dyDescent="0.2"/>
    <row r="2414" x14ac:dyDescent="0.2"/>
    <row r="2415" x14ac:dyDescent="0.2"/>
    <row r="2416" x14ac:dyDescent="0.2"/>
    <row r="2417" x14ac:dyDescent="0.2"/>
    <row r="2418" x14ac:dyDescent="0.2"/>
    <row r="2419" x14ac:dyDescent="0.2"/>
    <row r="2420" x14ac:dyDescent="0.2"/>
    <row r="2421" x14ac:dyDescent="0.2"/>
    <row r="2422" x14ac:dyDescent="0.2"/>
    <row r="2423" x14ac:dyDescent="0.2"/>
    <row r="2424" x14ac:dyDescent="0.2"/>
    <row r="2425" x14ac:dyDescent="0.2"/>
    <row r="2426" x14ac:dyDescent="0.2"/>
    <row r="2427" x14ac:dyDescent="0.2"/>
    <row r="2428" x14ac:dyDescent="0.2"/>
    <row r="2429" x14ac:dyDescent="0.2"/>
    <row r="2430" x14ac:dyDescent="0.2"/>
    <row r="2431" x14ac:dyDescent="0.2"/>
    <row r="2432" x14ac:dyDescent="0.2"/>
    <row r="2433" x14ac:dyDescent="0.2"/>
    <row r="2434" x14ac:dyDescent="0.2"/>
    <row r="2435" x14ac:dyDescent="0.2"/>
    <row r="2436" x14ac:dyDescent="0.2"/>
    <row r="2437" x14ac:dyDescent="0.2"/>
    <row r="2438" x14ac:dyDescent="0.2"/>
    <row r="2439" x14ac:dyDescent="0.2"/>
    <row r="2440" x14ac:dyDescent="0.2"/>
    <row r="2441" x14ac:dyDescent="0.2"/>
    <row r="2442" x14ac:dyDescent="0.2"/>
    <row r="2443" x14ac:dyDescent="0.2"/>
    <row r="2444" x14ac:dyDescent="0.2"/>
    <row r="2445" x14ac:dyDescent="0.2"/>
    <row r="2446" x14ac:dyDescent="0.2"/>
    <row r="2447" x14ac:dyDescent="0.2"/>
    <row r="2448" x14ac:dyDescent="0.2"/>
    <row r="2449" x14ac:dyDescent="0.2"/>
    <row r="2450" x14ac:dyDescent="0.2"/>
    <row r="2451" x14ac:dyDescent="0.2"/>
    <row r="2452" x14ac:dyDescent="0.2"/>
    <row r="2453" x14ac:dyDescent="0.2"/>
    <row r="2454" x14ac:dyDescent="0.2"/>
    <row r="2455" x14ac:dyDescent="0.2"/>
    <row r="2456" x14ac:dyDescent="0.2"/>
    <row r="2457" x14ac:dyDescent="0.2"/>
    <row r="2458" x14ac:dyDescent="0.2"/>
    <row r="2459" x14ac:dyDescent="0.2"/>
    <row r="2460" x14ac:dyDescent="0.2"/>
    <row r="2461" x14ac:dyDescent="0.2"/>
    <row r="2462" x14ac:dyDescent="0.2"/>
    <row r="2463" x14ac:dyDescent="0.2"/>
    <row r="2464" x14ac:dyDescent="0.2"/>
    <row r="2465" x14ac:dyDescent="0.2"/>
    <row r="2466" x14ac:dyDescent="0.2"/>
    <row r="2467" x14ac:dyDescent="0.2"/>
    <row r="2468" x14ac:dyDescent="0.2"/>
    <row r="2469" x14ac:dyDescent="0.2"/>
    <row r="2470" x14ac:dyDescent="0.2"/>
    <row r="2471" x14ac:dyDescent="0.2"/>
    <row r="2472" x14ac:dyDescent="0.2"/>
    <row r="2473" x14ac:dyDescent="0.2"/>
    <row r="2474" x14ac:dyDescent="0.2"/>
    <row r="2475" x14ac:dyDescent="0.2"/>
    <row r="2476" x14ac:dyDescent="0.2"/>
    <row r="2477" x14ac:dyDescent="0.2"/>
    <row r="2478" x14ac:dyDescent="0.2"/>
    <row r="2479" x14ac:dyDescent="0.2"/>
    <row r="2480" x14ac:dyDescent="0.2"/>
    <row r="2481" x14ac:dyDescent="0.2"/>
    <row r="2482" x14ac:dyDescent="0.2"/>
    <row r="2483" x14ac:dyDescent="0.2"/>
    <row r="2484" x14ac:dyDescent="0.2"/>
    <row r="2485" x14ac:dyDescent="0.2"/>
    <row r="2486" x14ac:dyDescent="0.2"/>
    <row r="2487" x14ac:dyDescent="0.2"/>
    <row r="2488" x14ac:dyDescent="0.2"/>
    <row r="2489" x14ac:dyDescent="0.2"/>
    <row r="2490" x14ac:dyDescent="0.2"/>
    <row r="2491" x14ac:dyDescent="0.2"/>
    <row r="2492" x14ac:dyDescent="0.2"/>
    <row r="2493" x14ac:dyDescent="0.2"/>
    <row r="2494" x14ac:dyDescent="0.2"/>
    <row r="2495" x14ac:dyDescent="0.2"/>
    <row r="2496" x14ac:dyDescent="0.2"/>
    <row r="2497" x14ac:dyDescent="0.2"/>
    <row r="2498" x14ac:dyDescent="0.2"/>
    <row r="2499" x14ac:dyDescent="0.2"/>
    <row r="2500" x14ac:dyDescent="0.2"/>
    <row r="2501" x14ac:dyDescent="0.2"/>
    <row r="2502" x14ac:dyDescent="0.2"/>
    <row r="2503" x14ac:dyDescent="0.2"/>
    <row r="2504" x14ac:dyDescent="0.2"/>
    <row r="2505" x14ac:dyDescent="0.2"/>
    <row r="2506" x14ac:dyDescent="0.2"/>
    <row r="2507" x14ac:dyDescent="0.2"/>
    <row r="2508" x14ac:dyDescent="0.2"/>
    <row r="2509" x14ac:dyDescent="0.2"/>
    <row r="2510" x14ac:dyDescent="0.2"/>
    <row r="2511" x14ac:dyDescent="0.2"/>
    <row r="2512" x14ac:dyDescent="0.2"/>
    <row r="2513" x14ac:dyDescent="0.2"/>
    <row r="2514" x14ac:dyDescent="0.2"/>
    <row r="2515" x14ac:dyDescent="0.2"/>
    <row r="2516" x14ac:dyDescent="0.2"/>
    <row r="2517" x14ac:dyDescent="0.2"/>
    <row r="2518" x14ac:dyDescent="0.2"/>
    <row r="2519" x14ac:dyDescent="0.2"/>
    <row r="2520" x14ac:dyDescent="0.2"/>
    <row r="2521" x14ac:dyDescent="0.2"/>
    <row r="2522" x14ac:dyDescent="0.2"/>
    <row r="2523" x14ac:dyDescent="0.2"/>
    <row r="2524" x14ac:dyDescent="0.2"/>
    <row r="2525" x14ac:dyDescent="0.2"/>
    <row r="2526" x14ac:dyDescent="0.2"/>
    <row r="2527" x14ac:dyDescent="0.2"/>
    <row r="2528" x14ac:dyDescent="0.2"/>
    <row r="2529" x14ac:dyDescent="0.2"/>
    <row r="2530" x14ac:dyDescent="0.2"/>
    <row r="2531" x14ac:dyDescent="0.2"/>
    <row r="2532" x14ac:dyDescent="0.2"/>
    <row r="2533" x14ac:dyDescent="0.2"/>
    <row r="2534" x14ac:dyDescent="0.2"/>
    <row r="2535" x14ac:dyDescent="0.2"/>
    <row r="2536" x14ac:dyDescent="0.2"/>
    <row r="2537" x14ac:dyDescent="0.2"/>
    <row r="2538" x14ac:dyDescent="0.2"/>
    <row r="2539" x14ac:dyDescent="0.2"/>
    <row r="2540" x14ac:dyDescent="0.2"/>
    <row r="2541" x14ac:dyDescent="0.2"/>
    <row r="2542" x14ac:dyDescent="0.2"/>
    <row r="2543" x14ac:dyDescent="0.2"/>
    <row r="2544" x14ac:dyDescent="0.2"/>
    <row r="2545" x14ac:dyDescent="0.2"/>
    <row r="2546" x14ac:dyDescent="0.2"/>
    <row r="2547" x14ac:dyDescent="0.2"/>
    <row r="2548" x14ac:dyDescent="0.2"/>
    <row r="2549" x14ac:dyDescent="0.2"/>
    <row r="2550" x14ac:dyDescent="0.2"/>
    <row r="2551" x14ac:dyDescent="0.2"/>
    <row r="2552" x14ac:dyDescent="0.2"/>
    <row r="2553" x14ac:dyDescent="0.2"/>
    <row r="2554" x14ac:dyDescent="0.2"/>
    <row r="2555" x14ac:dyDescent="0.2"/>
    <row r="2556" x14ac:dyDescent="0.2"/>
    <row r="2557" x14ac:dyDescent="0.2"/>
    <row r="2558" x14ac:dyDescent="0.2"/>
    <row r="2559" x14ac:dyDescent="0.2"/>
    <row r="2560" x14ac:dyDescent="0.2"/>
    <row r="2561" x14ac:dyDescent="0.2"/>
    <row r="2562" x14ac:dyDescent="0.2"/>
    <row r="2563" x14ac:dyDescent="0.2"/>
    <row r="2564" x14ac:dyDescent="0.2"/>
    <row r="2565" x14ac:dyDescent="0.2"/>
    <row r="2566" x14ac:dyDescent="0.2"/>
    <row r="2567" x14ac:dyDescent="0.2"/>
    <row r="2568" x14ac:dyDescent="0.2"/>
    <row r="2569" x14ac:dyDescent="0.2"/>
    <row r="2570" x14ac:dyDescent="0.2"/>
    <row r="2571" x14ac:dyDescent="0.2"/>
    <row r="2572" x14ac:dyDescent="0.2"/>
    <row r="2573" x14ac:dyDescent="0.2"/>
    <row r="2574" x14ac:dyDescent="0.2"/>
    <row r="2575" x14ac:dyDescent="0.2"/>
    <row r="2576" x14ac:dyDescent="0.2"/>
    <row r="2577" x14ac:dyDescent="0.2"/>
    <row r="2578" x14ac:dyDescent="0.2"/>
    <row r="2579" x14ac:dyDescent="0.2"/>
    <row r="2580" x14ac:dyDescent="0.2"/>
    <row r="2581" x14ac:dyDescent="0.2"/>
    <row r="2582" x14ac:dyDescent="0.2"/>
    <row r="2583" x14ac:dyDescent="0.2"/>
    <row r="2584" x14ac:dyDescent="0.2"/>
    <row r="2585" x14ac:dyDescent="0.2"/>
    <row r="2586" x14ac:dyDescent="0.2"/>
    <row r="2587" x14ac:dyDescent="0.2"/>
    <row r="2588" x14ac:dyDescent="0.2"/>
    <row r="2589" x14ac:dyDescent="0.2"/>
    <row r="2590" x14ac:dyDescent="0.2"/>
    <row r="2591" x14ac:dyDescent="0.2"/>
    <row r="2592" x14ac:dyDescent="0.2"/>
    <row r="2593" x14ac:dyDescent="0.2"/>
    <row r="2594" x14ac:dyDescent="0.2"/>
    <row r="2595" x14ac:dyDescent="0.2"/>
    <row r="2596" x14ac:dyDescent="0.2"/>
    <row r="2597" x14ac:dyDescent="0.2"/>
    <row r="2598" x14ac:dyDescent="0.2"/>
    <row r="2599" x14ac:dyDescent="0.2"/>
    <row r="2600" x14ac:dyDescent="0.2"/>
    <row r="2601" x14ac:dyDescent="0.2"/>
    <row r="2602" x14ac:dyDescent="0.2"/>
    <row r="2603" x14ac:dyDescent="0.2"/>
    <row r="2604" x14ac:dyDescent="0.2"/>
    <row r="2605" x14ac:dyDescent="0.2"/>
    <row r="2606" x14ac:dyDescent="0.2"/>
    <row r="2607" x14ac:dyDescent="0.2"/>
    <row r="2608" x14ac:dyDescent="0.2"/>
    <row r="2609" x14ac:dyDescent="0.2"/>
    <row r="2610" x14ac:dyDescent="0.2"/>
    <row r="2611" x14ac:dyDescent="0.2"/>
    <row r="2612" x14ac:dyDescent="0.2"/>
    <row r="2613" x14ac:dyDescent="0.2"/>
    <row r="2614" x14ac:dyDescent="0.2"/>
    <row r="2615" x14ac:dyDescent="0.2"/>
    <row r="2616" x14ac:dyDescent="0.2"/>
    <row r="2617" x14ac:dyDescent="0.2"/>
    <row r="2618" x14ac:dyDescent="0.2"/>
    <row r="2619" x14ac:dyDescent="0.2"/>
    <row r="2620" x14ac:dyDescent="0.2"/>
    <row r="2621" x14ac:dyDescent="0.2"/>
    <row r="2622" x14ac:dyDescent="0.2"/>
    <row r="2623" x14ac:dyDescent="0.2"/>
    <row r="2624" x14ac:dyDescent="0.2"/>
    <row r="2625" x14ac:dyDescent="0.2"/>
    <row r="2626" x14ac:dyDescent="0.2"/>
    <row r="2627" x14ac:dyDescent="0.2"/>
    <row r="2628" x14ac:dyDescent="0.2"/>
    <row r="2629" x14ac:dyDescent="0.2"/>
    <row r="2630" x14ac:dyDescent="0.2"/>
    <row r="2631" x14ac:dyDescent="0.2"/>
    <row r="2632" x14ac:dyDescent="0.2"/>
    <row r="2633" x14ac:dyDescent="0.2"/>
    <row r="2634" x14ac:dyDescent="0.2"/>
    <row r="2635" x14ac:dyDescent="0.2"/>
    <row r="2636" x14ac:dyDescent="0.2"/>
    <row r="2637" x14ac:dyDescent="0.2"/>
    <row r="2638" x14ac:dyDescent="0.2"/>
    <row r="2639" x14ac:dyDescent="0.2"/>
    <row r="2640" x14ac:dyDescent="0.2"/>
    <row r="2641" x14ac:dyDescent="0.2"/>
    <row r="2642" x14ac:dyDescent="0.2"/>
    <row r="2643" x14ac:dyDescent="0.2"/>
    <row r="2644" x14ac:dyDescent="0.2"/>
    <row r="2645" x14ac:dyDescent="0.2"/>
    <row r="2646" x14ac:dyDescent="0.2"/>
    <row r="2647" x14ac:dyDescent="0.2"/>
    <row r="2648" x14ac:dyDescent="0.2"/>
    <row r="2649" x14ac:dyDescent="0.2"/>
    <row r="2650" x14ac:dyDescent="0.2"/>
    <row r="2651" x14ac:dyDescent="0.2"/>
    <row r="2652" x14ac:dyDescent="0.2"/>
    <row r="2653" x14ac:dyDescent="0.2"/>
    <row r="2654" x14ac:dyDescent="0.2"/>
    <row r="2655" x14ac:dyDescent="0.2"/>
    <row r="2656" x14ac:dyDescent="0.2"/>
    <row r="2657" x14ac:dyDescent="0.2"/>
    <row r="2658" x14ac:dyDescent="0.2"/>
    <row r="2659" x14ac:dyDescent="0.2"/>
    <row r="2660" x14ac:dyDescent="0.2"/>
    <row r="2661" x14ac:dyDescent="0.2"/>
    <row r="2662" x14ac:dyDescent="0.2"/>
    <row r="2663" x14ac:dyDescent="0.2"/>
    <row r="2664" x14ac:dyDescent="0.2"/>
    <row r="2665" x14ac:dyDescent="0.2"/>
    <row r="2666" x14ac:dyDescent="0.2"/>
    <row r="2667" x14ac:dyDescent="0.2"/>
    <row r="2668" x14ac:dyDescent="0.2"/>
    <row r="2669" x14ac:dyDescent="0.2"/>
    <row r="2670" x14ac:dyDescent="0.2"/>
    <row r="2671" x14ac:dyDescent="0.2"/>
    <row r="2672" x14ac:dyDescent="0.2"/>
    <row r="2673" x14ac:dyDescent="0.2"/>
    <row r="2674" x14ac:dyDescent="0.2"/>
    <row r="2675" x14ac:dyDescent="0.2"/>
    <row r="2676" x14ac:dyDescent="0.2"/>
    <row r="2677" x14ac:dyDescent="0.2"/>
    <row r="2678" x14ac:dyDescent="0.2"/>
    <row r="2679" x14ac:dyDescent="0.2"/>
    <row r="2680" x14ac:dyDescent="0.2"/>
    <row r="2681" x14ac:dyDescent="0.2"/>
    <row r="2682" x14ac:dyDescent="0.2"/>
    <row r="2683" x14ac:dyDescent="0.2"/>
    <row r="2684" x14ac:dyDescent="0.2"/>
    <row r="2685" x14ac:dyDescent="0.2"/>
    <row r="2686" x14ac:dyDescent="0.2"/>
    <row r="2687" x14ac:dyDescent="0.2"/>
    <row r="2688" x14ac:dyDescent="0.2"/>
    <row r="2689" x14ac:dyDescent="0.2"/>
    <row r="2690" x14ac:dyDescent="0.2"/>
    <row r="2691" x14ac:dyDescent="0.2"/>
    <row r="2692" x14ac:dyDescent="0.2"/>
    <row r="2693" x14ac:dyDescent="0.2"/>
    <row r="2694" x14ac:dyDescent="0.2"/>
    <row r="2695" x14ac:dyDescent="0.2"/>
    <row r="2696" x14ac:dyDescent="0.2"/>
    <row r="2697" x14ac:dyDescent="0.2"/>
    <row r="2698" x14ac:dyDescent="0.2"/>
    <row r="2699" x14ac:dyDescent="0.2"/>
    <row r="2700" x14ac:dyDescent="0.2"/>
    <row r="2701" x14ac:dyDescent="0.2"/>
    <row r="2702" x14ac:dyDescent="0.2"/>
    <row r="2703" x14ac:dyDescent="0.2"/>
    <row r="2704" x14ac:dyDescent="0.2"/>
    <row r="2705" x14ac:dyDescent="0.2"/>
    <row r="2706" x14ac:dyDescent="0.2"/>
    <row r="2707" x14ac:dyDescent="0.2"/>
    <row r="2708" x14ac:dyDescent="0.2"/>
    <row r="2709" x14ac:dyDescent="0.2"/>
    <row r="2710" x14ac:dyDescent="0.2"/>
    <row r="2711" x14ac:dyDescent="0.2"/>
    <row r="2712" x14ac:dyDescent="0.2"/>
    <row r="2713" x14ac:dyDescent="0.2"/>
    <row r="2714" x14ac:dyDescent="0.2"/>
    <row r="2715" x14ac:dyDescent="0.2"/>
    <row r="2716" x14ac:dyDescent="0.2"/>
    <row r="2717" x14ac:dyDescent="0.2"/>
    <row r="2718" x14ac:dyDescent="0.2"/>
    <row r="2719" x14ac:dyDescent="0.2"/>
    <row r="2720" x14ac:dyDescent="0.2"/>
    <row r="2721" x14ac:dyDescent="0.2"/>
    <row r="2722" x14ac:dyDescent="0.2"/>
    <row r="2723" x14ac:dyDescent="0.2"/>
    <row r="2724" x14ac:dyDescent="0.2"/>
    <row r="2725" x14ac:dyDescent="0.2"/>
    <row r="2726" x14ac:dyDescent="0.2"/>
    <row r="2727" x14ac:dyDescent="0.2"/>
    <row r="2728" x14ac:dyDescent="0.2"/>
    <row r="2729" x14ac:dyDescent="0.2"/>
    <row r="2730" x14ac:dyDescent="0.2"/>
    <row r="2731" x14ac:dyDescent="0.2"/>
    <row r="2732" x14ac:dyDescent="0.2"/>
    <row r="2733" x14ac:dyDescent="0.2"/>
    <row r="2734" x14ac:dyDescent="0.2"/>
    <row r="2735" x14ac:dyDescent="0.2"/>
    <row r="2736" x14ac:dyDescent="0.2"/>
    <row r="2737" x14ac:dyDescent="0.2"/>
    <row r="2738" x14ac:dyDescent="0.2"/>
    <row r="2739" x14ac:dyDescent="0.2"/>
    <row r="2740" x14ac:dyDescent="0.2"/>
    <row r="2741" x14ac:dyDescent="0.2"/>
    <row r="2742" x14ac:dyDescent="0.2"/>
    <row r="2743" x14ac:dyDescent="0.2"/>
    <row r="2744" x14ac:dyDescent="0.2"/>
    <row r="2745" x14ac:dyDescent="0.2"/>
    <row r="2746" x14ac:dyDescent="0.2"/>
    <row r="2747" x14ac:dyDescent="0.2"/>
    <row r="2748" x14ac:dyDescent="0.2"/>
    <row r="2749" x14ac:dyDescent="0.2"/>
    <row r="2750" x14ac:dyDescent="0.2"/>
    <row r="2751" x14ac:dyDescent="0.2"/>
    <row r="2752" x14ac:dyDescent="0.2"/>
    <row r="2753" x14ac:dyDescent="0.2"/>
    <row r="2754" x14ac:dyDescent="0.2"/>
    <row r="2755" x14ac:dyDescent="0.2"/>
    <row r="2756" x14ac:dyDescent="0.2"/>
    <row r="2757" x14ac:dyDescent="0.2"/>
    <row r="2758" x14ac:dyDescent="0.2"/>
    <row r="2759" x14ac:dyDescent="0.2"/>
    <row r="2760" x14ac:dyDescent="0.2"/>
    <row r="2761" x14ac:dyDescent="0.2"/>
    <row r="2762" x14ac:dyDescent="0.2"/>
    <row r="2763" x14ac:dyDescent="0.2"/>
    <row r="2764" x14ac:dyDescent="0.2"/>
    <row r="2765" x14ac:dyDescent="0.2"/>
    <row r="2766" x14ac:dyDescent="0.2"/>
    <row r="2767" x14ac:dyDescent="0.2"/>
    <row r="2768" x14ac:dyDescent="0.2"/>
    <row r="2769" x14ac:dyDescent="0.2"/>
    <row r="2770" x14ac:dyDescent="0.2"/>
    <row r="2771" x14ac:dyDescent="0.2"/>
    <row r="2772" x14ac:dyDescent="0.2"/>
    <row r="2773" x14ac:dyDescent="0.2"/>
    <row r="2774" x14ac:dyDescent="0.2"/>
    <row r="2775" x14ac:dyDescent="0.2"/>
    <row r="2776" x14ac:dyDescent="0.2"/>
    <row r="2777" x14ac:dyDescent="0.2"/>
    <row r="2778" x14ac:dyDescent="0.2"/>
    <row r="2779" x14ac:dyDescent="0.2"/>
    <row r="2780" x14ac:dyDescent="0.2"/>
    <row r="2781" x14ac:dyDescent="0.2"/>
    <row r="2782" x14ac:dyDescent="0.2"/>
    <row r="2783" x14ac:dyDescent="0.2"/>
    <row r="2784" x14ac:dyDescent="0.2"/>
    <row r="2785" x14ac:dyDescent="0.2"/>
    <row r="2786" x14ac:dyDescent="0.2"/>
    <row r="2787" x14ac:dyDescent="0.2"/>
    <row r="2788" x14ac:dyDescent="0.2"/>
    <row r="2789" x14ac:dyDescent="0.2"/>
    <row r="2790" x14ac:dyDescent="0.2"/>
    <row r="2791" x14ac:dyDescent="0.2"/>
    <row r="2792" x14ac:dyDescent="0.2"/>
    <row r="2793" x14ac:dyDescent="0.2"/>
    <row r="2794" x14ac:dyDescent="0.2"/>
    <row r="2795" x14ac:dyDescent="0.2"/>
    <row r="2796" x14ac:dyDescent="0.2"/>
    <row r="2797" x14ac:dyDescent="0.2"/>
    <row r="2798" x14ac:dyDescent="0.2"/>
    <row r="2799" x14ac:dyDescent="0.2"/>
    <row r="2800" x14ac:dyDescent="0.2"/>
    <row r="2801" x14ac:dyDescent="0.2"/>
    <row r="2802" x14ac:dyDescent="0.2"/>
    <row r="2803" x14ac:dyDescent="0.2"/>
    <row r="2804" x14ac:dyDescent="0.2"/>
    <row r="2805" x14ac:dyDescent="0.2"/>
    <row r="2806" x14ac:dyDescent="0.2"/>
    <row r="2807" x14ac:dyDescent="0.2"/>
    <row r="2808" x14ac:dyDescent="0.2"/>
    <row r="2809" x14ac:dyDescent="0.2"/>
    <row r="2810" x14ac:dyDescent="0.2"/>
    <row r="2811" x14ac:dyDescent="0.2"/>
    <row r="2812" x14ac:dyDescent="0.2"/>
    <row r="2813" x14ac:dyDescent="0.2"/>
    <row r="2814" x14ac:dyDescent="0.2"/>
    <row r="2815" x14ac:dyDescent="0.2"/>
    <row r="2816" x14ac:dyDescent="0.2"/>
    <row r="2817" x14ac:dyDescent="0.2"/>
    <row r="2818" x14ac:dyDescent="0.2"/>
    <row r="2819" x14ac:dyDescent="0.2"/>
    <row r="2820" x14ac:dyDescent="0.2"/>
    <row r="2821" x14ac:dyDescent="0.2"/>
    <row r="2822" x14ac:dyDescent="0.2"/>
    <row r="2823" x14ac:dyDescent="0.2"/>
    <row r="2824" x14ac:dyDescent="0.2"/>
    <row r="2825" x14ac:dyDescent="0.2"/>
    <row r="2826" x14ac:dyDescent="0.2"/>
    <row r="2827" x14ac:dyDescent="0.2"/>
    <row r="2828" x14ac:dyDescent="0.2"/>
    <row r="2829" x14ac:dyDescent="0.2"/>
    <row r="2830" x14ac:dyDescent="0.2"/>
    <row r="2831" x14ac:dyDescent="0.2"/>
    <row r="2832" x14ac:dyDescent="0.2"/>
    <row r="2833" x14ac:dyDescent="0.2"/>
    <row r="2834" x14ac:dyDescent="0.2"/>
    <row r="2835" x14ac:dyDescent="0.2"/>
    <row r="2836" x14ac:dyDescent="0.2"/>
    <row r="2837" x14ac:dyDescent="0.2"/>
    <row r="2838" x14ac:dyDescent="0.2"/>
    <row r="2839" x14ac:dyDescent="0.2"/>
    <row r="2840" x14ac:dyDescent="0.2"/>
    <row r="2841" x14ac:dyDescent="0.2"/>
    <row r="2842" x14ac:dyDescent="0.2"/>
    <row r="2843" x14ac:dyDescent="0.2"/>
    <row r="2844" x14ac:dyDescent="0.2"/>
    <row r="2845" x14ac:dyDescent="0.2"/>
    <row r="2846" x14ac:dyDescent="0.2"/>
    <row r="2847" x14ac:dyDescent="0.2"/>
    <row r="2848" x14ac:dyDescent="0.2"/>
    <row r="2849" x14ac:dyDescent="0.2"/>
    <row r="2850" x14ac:dyDescent="0.2"/>
    <row r="2851" x14ac:dyDescent="0.2"/>
    <row r="2852" x14ac:dyDescent="0.2"/>
    <row r="2853" x14ac:dyDescent="0.2"/>
    <row r="2854" x14ac:dyDescent="0.2"/>
    <row r="2855" x14ac:dyDescent="0.2"/>
    <row r="2856" x14ac:dyDescent="0.2"/>
    <row r="2857" x14ac:dyDescent="0.2"/>
    <row r="2858" x14ac:dyDescent="0.2"/>
    <row r="2859" x14ac:dyDescent="0.2"/>
    <row r="2860" x14ac:dyDescent="0.2"/>
    <row r="2861" x14ac:dyDescent="0.2"/>
    <row r="2862" x14ac:dyDescent="0.2"/>
    <row r="2863" x14ac:dyDescent="0.2"/>
    <row r="2864" x14ac:dyDescent="0.2"/>
    <row r="2865" x14ac:dyDescent="0.2"/>
    <row r="2866" x14ac:dyDescent="0.2"/>
    <row r="2867" x14ac:dyDescent="0.2"/>
    <row r="2868" x14ac:dyDescent="0.2"/>
    <row r="2869" x14ac:dyDescent="0.2"/>
    <row r="2870" x14ac:dyDescent="0.2"/>
    <row r="2871" x14ac:dyDescent="0.2"/>
    <row r="2872" x14ac:dyDescent="0.2"/>
    <row r="2873" x14ac:dyDescent="0.2"/>
    <row r="2874" x14ac:dyDescent="0.2"/>
    <row r="2875" x14ac:dyDescent="0.2"/>
    <row r="2876" x14ac:dyDescent="0.2"/>
    <row r="2877" x14ac:dyDescent="0.2"/>
    <row r="2878" x14ac:dyDescent="0.2"/>
    <row r="2879" x14ac:dyDescent="0.2"/>
    <row r="2880" x14ac:dyDescent="0.2"/>
    <row r="2881" x14ac:dyDescent="0.2"/>
    <row r="2882" x14ac:dyDescent="0.2"/>
    <row r="2883" x14ac:dyDescent="0.2"/>
    <row r="2884" x14ac:dyDescent="0.2"/>
    <row r="2885" x14ac:dyDescent="0.2"/>
    <row r="2886" x14ac:dyDescent="0.2"/>
    <row r="2887" x14ac:dyDescent="0.2"/>
    <row r="2888" x14ac:dyDescent="0.2"/>
    <row r="2889" x14ac:dyDescent="0.2"/>
    <row r="2890" x14ac:dyDescent="0.2"/>
    <row r="2891" x14ac:dyDescent="0.2"/>
    <row r="2892" x14ac:dyDescent="0.2"/>
    <row r="2893" x14ac:dyDescent="0.2"/>
    <row r="2894" x14ac:dyDescent="0.2"/>
    <row r="2895" x14ac:dyDescent="0.2"/>
    <row r="2896" x14ac:dyDescent="0.2"/>
    <row r="2897" x14ac:dyDescent="0.2"/>
    <row r="2898" x14ac:dyDescent="0.2"/>
    <row r="2899" x14ac:dyDescent="0.2"/>
    <row r="2900" x14ac:dyDescent="0.2"/>
    <row r="2901" x14ac:dyDescent="0.2"/>
    <row r="2902" x14ac:dyDescent="0.2"/>
    <row r="2903" x14ac:dyDescent="0.2"/>
    <row r="2904" x14ac:dyDescent="0.2"/>
    <row r="2905" x14ac:dyDescent="0.2"/>
    <row r="2906" x14ac:dyDescent="0.2"/>
    <row r="2907" x14ac:dyDescent="0.2"/>
    <row r="2908" x14ac:dyDescent="0.2"/>
    <row r="2909" x14ac:dyDescent="0.2"/>
    <row r="2910" x14ac:dyDescent="0.2"/>
    <row r="2911" x14ac:dyDescent="0.2"/>
    <row r="2912" x14ac:dyDescent="0.2"/>
    <row r="2913" x14ac:dyDescent="0.2"/>
    <row r="2914" x14ac:dyDescent="0.2"/>
    <row r="2915" x14ac:dyDescent="0.2"/>
    <row r="2916" x14ac:dyDescent="0.2"/>
    <row r="2917" x14ac:dyDescent="0.2"/>
    <row r="2918" x14ac:dyDescent="0.2"/>
    <row r="2919" x14ac:dyDescent="0.2"/>
    <row r="2920" x14ac:dyDescent="0.2"/>
    <row r="2921" x14ac:dyDescent="0.2"/>
    <row r="2922" x14ac:dyDescent="0.2"/>
    <row r="2923" x14ac:dyDescent="0.2"/>
    <row r="2924" x14ac:dyDescent="0.2"/>
    <row r="2925" x14ac:dyDescent="0.2"/>
    <row r="2926" x14ac:dyDescent="0.2"/>
    <row r="2927" x14ac:dyDescent="0.2"/>
    <row r="2928" x14ac:dyDescent="0.2"/>
    <row r="2929" x14ac:dyDescent="0.2"/>
    <row r="2930" x14ac:dyDescent="0.2"/>
    <row r="2931" x14ac:dyDescent="0.2"/>
    <row r="2932" x14ac:dyDescent="0.2"/>
    <row r="2933" x14ac:dyDescent="0.2"/>
    <row r="2934" x14ac:dyDescent="0.2"/>
    <row r="2935" x14ac:dyDescent="0.2"/>
    <row r="2936" x14ac:dyDescent="0.2"/>
    <row r="2937" x14ac:dyDescent="0.2"/>
    <row r="2938" x14ac:dyDescent="0.2"/>
    <row r="2939" x14ac:dyDescent="0.2"/>
    <row r="2940" x14ac:dyDescent="0.2"/>
    <row r="2941" x14ac:dyDescent="0.2"/>
    <row r="2942" x14ac:dyDescent="0.2"/>
    <row r="2943" x14ac:dyDescent="0.2"/>
    <row r="2944" x14ac:dyDescent="0.2"/>
    <row r="2945" x14ac:dyDescent="0.2"/>
    <row r="2946" x14ac:dyDescent="0.2"/>
    <row r="2947" x14ac:dyDescent="0.2"/>
    <row r="2948" x14ac:dyDescent="0.2"/>
    <row r="2949" x14ac:dyDescent="0.2"/>
    <row r="2950" x14ac:dyDescent="0.2"/>
    <row r="2951" x14ac:dyDescent="0.2"/>
    <row r="2952" x14ac:dyDescent="0.2"/>
    <row r="2953" x14ac:dyDescent="0.2"/>
    <row r="2954" x14ac:dyDescent="0.2"/>
    <row r="2955" x14ac:dyDescent="0.2"/>
    <row r="2956" x14ac:dyDescent="0.2"/>
    <row r="2957" x14ac:dyDescent="0.2"/>
    <row r="2958" x14ac:dyDescent="0.2"/>
    <row r="2959" x14ac:dyDescent="0.2"/>
    <row r="2960" x14ac:dyDescent="0.2"/>
    <row r="2961" x14ac:dyDescent="0.2"/>
    <row r="2962" x14ac:dyDescent="0.2"/>
    <row r="2963" x14ac:dyDescent="0.2"/>
    <row r="2964" x14ac:dyDescent="0.2"/>
    <row r="2965" x14ac:dyDescent="0.2"/>
    <row r="2966" x14ac:dyDescent="0.2"/>
    <row r="2967" x14ac:dyDescent="0.2"/>
    <row r="2968" x14ac:dyDescent="0.2"/>
    <row r="2969" x14ac:dyDescent="0.2"/>
    <row r="2970" x14ac:dyDescent="0.2"/>
    <row r="2971" x14ac:dyDescent="0.2"/>
    <row r="2972" x14ac:dyDescent="0.2"/>
    <row r="2973" x14ac:dyDescent="0.2"/>
    <row r="2974" x14ac:dyDescent="0.2"/>
    <row r="2975" x14ac:dyDescent="0.2"/>
    <row r="2976" x14ac:dyDescent="0.2"/>
    <row r="2977" x14ac:dyDescent="0.2"/>
    <row r="2978" x14ac:dyDescent="0.2"/>
    <row r="2979" x14ac:dyDescent="0.2"/>
    <row r="2980" x14ac:dyDescent="0.2"/>
    <row r="2981" x14ac:dyDescent="0.2"/>
    <row r="2982" x14ac:dyDescent="0.2"/>
    <row r="2983" x14ac:dyDescent="0.2"/>
    <row r="2984" x14ac:dyDescent="0.2"/>
    <row r="2985" x14ac:dyDescent="0.2"/>
    <row r="2986" x14ac:dyDescent="0.2"/>
    <row r="2987" x14ac:dyDescent="0.2"/>
    <row r="2988" x14ac:dyDescent="0.2"/>
    <row r="2989" x14ac:dyDescent="0.2"/>
    <row r="2990" x14ac:dyDescent="0.2"/>
    <row r="2991" x14ac:dyDescent="0.2"/>
    <row r="2992" x14ac:dyDescent="0.2"/>
    <row r="2993" x14ac:dyDescent="0.2"/>
    <row r="2994" x14ac:dyDescent="0.2"/>
    <row r="2995" x14ac:dyDescent="0.2"/>
    <row r="2996" x14ac:dyDescent="0.2"/>
    <row r="2997" x14ac:dyDescent="0.2"/>
    <row r="2998" x14ac:dyDescent="0.2"/>
    <row r="2999" x14ac:dyDescent="0.2"/>
    <row r="3000" x14ac:dyDescent="0.2"/>
    <row r="3001" x14ac:dyDescent="0.2"/>
    <row r="3002" x14ac:dyDescent="0.2"/>
    <row r="3003" x14ac:dyDescent="0.2"/>
    <row r="3004" x14ac:dyDescent="0.2"/>
    <row r="3005" x14ac:dyDescent="0.2"/>
    <row r="3006" x14ac:dyDescent="0.2"/>
    <row r="3007" x14ac:dyDescent="0.2"/>
    <row r="3008" x14ac:dyDescent="0.2"/>
    <row r="3009" x14ac:dyDescent="0.2"/>
    <row r="3010" x14ac:dyDescent="0.2"/>
    <row r="3011" x14ac:dyDescent="0.2"/>
    <row r="3012" x14ac:dyDescent="0.2"/>
    <row r="3013" x14ac:dyDescent="0.2"/>
    <row r="3014" x14ac:dyDescent="0.2"/>
    <row r="3015" x14ac:dyDescent="0.2"/>
    <row r="3016" x14ac:dyDescent="0.2"/>
    <row r="3017" x14ac:dyDescent="0.2"/>
    <row r="3018" x14ac:dyDescent="0.2"/>
    <row r="3019" x14ac:dyDescent="0.2"/>
    <row r="3020" x14ac:dyDescent="0.2"/>
    <row r="3021" x14ac:dyDescent="0.2"/>
    <row r="3022" x14ac:dyDescent="0.2"/>
    <row r="3023" x14ac:dyDescent="0.2"/>
    <row r="3024" x14ac:dyDescent="0.2"/>
    <row r="3025" x14ac:dyDescent="0.2"/>
    <row r="3026" x14ac:dyDescent="0.2"/>
    <row r="3027" x14ac:dyDescent="0.2"/>
    <row r="3028" x14ac:dyDescent="0.2"/>
    <row r="3029" x14ac:dyDescent="0.2"/>
    <row r="3030" x14ac:dyDescent="0.2"/>
    <row r="3031" x14ac:dyDescent="0.2"/>
    <row r="3032" x14ac:dyDescent="0.2"/>
    <row r="3033" x14ac:dyDescent="0.2"/>
    <row r="3034" x14ac:dyDescent="0.2"/>
    <row r="3035" x14ac:dyDescent="0.2"/>
    <row r="3036" x14ac:dyDescent="0.2"/>
    <row r="3037" x14ac:dyDescent="0.2"/>
    <row r="3038" x14ac:dyDescent="0.2"/>
    <row r="3039" x14ac:dyDescent="0.2"/>
    <row r="3040" x14ac:dyDescent="0.2"/>
    <row r="3041" x14ac:dyDescent="0.2"/>
    <row r="3042" x14ac:dyDescent="0.2"/>
    <row r="3043" x14ac:dyDescent="0.2"/>
    <row r="3044" x14ac:dyDescent="0.2"/>
    <row r="3045" x14ac:dyDescent="0.2"/>
    <row r="3046" x14ac:dyDescent="0.2"/>
    <row r="3047" x14ac:dyDescent="0.2"/>
    <row r="3048" x14ac:dyDescent="0.2"/>
    <row r="3049" x14ac:dyDescent="0.2"/>
    <row r="3050" x14ac:dyDescent="0.2"/>
    <row r="3051" x14ac:dyDescent="0.2"/>
    <row r="3052" x14ac:dyDescent="0.2"/>
    <row r="3053" x14ac:dyDescent="0.2"/>
    <row r="3054" x14ac:dyDescent="0.2"/>
    <row r="3055" x14ac:dyDescent="0.2"/>
    <row r="3056" x14ac:dyDescent="0.2"/>
    <row r="3057" x14ac:dyDescent="0.2"/>
    <row r="3058" x14ac:dyDescent="0.2"/>
    <row r="3059" x14ac:dyDescent="0.2"/>
    <row r="3060" x14ac:dyDescent="0.2"/>
    <row r="3061" x14ac:dyDescent="0.2"/>
    <row r="3062" x14ac:dyDescent="0.2"/>
    <row r="3063" x14ac:dyDescent="0.2"/>
    <row r="3064" x14ac:dyDescent="0.2"/>
    <row r="3065" x14ac:dyDescent="0.2"/>
    <row r="3066" x14ac:dyDescent="0.2"/>
    <row r="3067" x14ac:dyDescent="0.2"/>
    <row r="3068" x14ac:dyDescent="0.2"/>
    <row r="3069" x14ac:dyDescent="0.2"/>
    <row r="3070" x14ac:dyDescent="0.2"/>
    <row r="3071" x14ac:dyDescent="0.2"/>
    <row r="3072" x14ac:dyDescent="0.2"/>
    <row r="3073" x14ac:dyDescent="0.2"/>
    <row r="3074" x14ac:dyDescent="0.2"/>
    <row r="3075" x14ac:dyDescent="0.2"/>
    <row r="3076" x14ac:dyDescent="0.2"/>
    <row r="3077" x14ac:dyDescent="0.2"/>
    <row r="3078" x14ac:dyDescent="0.2"/>
    <row r="3079" x14ac:dyDescent="0.2"/>
    <row r="3080" x14ac:dyDescent="0.2"/>
    <row r="3081" x14ac:dyDescent="0.2"/>
    <row r="3082" x14ac:dyDescent="0.2"/>
    <row r="3083" x14ac:dyDescent="0.2"/>
    <row r="3084" x14ac:dyDescent="0.2"/>
    <row r="3085" x14ac:dyDescent="0.2"/>
    <row r="3086" x14ac:dyDescent="0.2"/>
    <row r="3087" x14ac:dyDescent="0.2"/>
    <row r="3088" x14ac:dyDescent="0.2"/>
    <row r="3089" x14ac:dyDescent="0.2"/>
    <row r="3090" x14ac:dyDescent="0.2"/>
    <row r="3091" x14ac:dyDescent="0.2"/>
    <row r="3092" x14ac:dyDescent="0.2"/>
    <row r="3093" x14ac:dyDescent="0.2"/>
    <row r="3094" x14ac:dyDescent="0.2"/>
    <row r="3095" x14ac:dyDescent="0.2"/>
    <row r="3096" x14ac:dyDescent="0.2"/>
    <row r="3097" x14ac:dyDescent="0.2"/>
    <row r="3098" x14ac:dyDescent="0.2"/>
    <row r="3099" x14ac:dyDescent="0.2"/>
    <row r="3100" x14ac:dyDescent="0.2"/>
    <row r="3101" x14ac:dyDescent="0.2"/>
    <row r="3102" x14ac:dyDescent="0.2"/>
    <row r="3103" x14ac:dyDescent="0.2"/>
    <row r="3104" x14ac:dyDescent="0.2"/>
    <row r="3105" x14ac:dyDescent="0.2"/>
    <row r="3106" x14ac:dyDescent="0.2"/>
    <row r="3107" x14ac:dyDescent="0.2"/>
    <row r="3108" x14ac:dyDescent="0.2"/>
    <row r="3109" x14ac:dyDescent="0.2"/>
    <row r="3110" x14ac:dyDescent="0.2"/>
    <row r="3111" x14ac:dyDescent="0.2"/>
    <row r="3112" x14ac:dyDescent="0.2"/>
    <row r="3113" x14ac:dyDescent="0.2"/>
    <row r="3114" x14ac:dyDescent="0.2"/>
    <row r="3115" x14ac:dyDescent="0.2"/>
    <row r="3116" x14ac:dyDescent="0.2"/>
    <row r="3117" x14ac:dyDescent="0.2"/>
    <row r="3118" x14ac:dyDescent="0.2"/>
    <row r="3119" x14ac:dyDescent="0.2"/>
    <row r="3120" x14ac:dyDescent="0.2"/>
    <row r="3121" x14ac:dyDescent="0.2"/>
    <row r="3122" x14ac:dyDescent="0.2"/>
    <row r="3123" x14ac:dyDescent="0.2"/>
    <row r="3124" x14ac:dyDescent="0.2"/>
    <row r="3125" x14ac:dyDescent="0.2"/>
    <row r="3126" x14ac:dyDescent="0.2"/>
    <row r="3127" x14ac:dyDescent="0.2"/>
    <row r="3128" x14ac:dyDescent="0.2"/>
    <row r="3129" x14ac:dyDescent="0.2"/>
    <row r="3130" x14ac:dyDescent="0.2"/>
    <row r="3131" x14ac:dyDescent="0.2"/>
    <row r="3132" x14ac:dyDescent="0.2"/>
    <row r="3133" x14ac:dyDescent="0.2"/>
    <row r="3134" x14ac:dyDescent="0.2"/>
    <row r="3135" x14ac:dyDescent="0.2"/>
    <row r="3136" x14ac:dyDescent="0.2"/>
    <row r="3137" x14ac:dyDescent="0.2"/>
    <row r="3138" x14ac:dyDescent="0.2"/>
    <row r="3139" x14ac:dyDescent="0.2"/>
    <row r="3140" x14ac:dyDescent="0.2"/>
    <row r="3141" x14ac:dyDescent="0.2"/>
    <row r="3142" x14ac:dyDescent="0.2"/>
    <row r="3143" x14ac:dyDescent="0.2"/>
    <row r="3144" x14ac:dyDescent="0.2"/>
    <row r="3145" x14ac:dyDescent="0.2"/>
    <row r="3146" x14ac:dyDescent="0.2"/>
    <row r="3147" x14ac:dyDescent="0.2"/>
    <row r="3148" x14ac:dyDescent="0.2"/>
    <row r="3149" x14ac:dyDescent="0.2"/>
    <row r="3150" x14ac:dyDescent="0.2"/>
    <row r="3151" x14ac:dyDescent="0.2"/>
    <row r="3152" x14ac:dyDescent="0.2"/>
    <row r="3153" x14ac:dyDescent="0.2"/>
    <row r="3154" x14ac:dyDescent="0.2"/>
    <row r="3155" x14ac:dyDescent="0.2"/>
    <row r="3156" x14ac:dyDescent="0.2"/>
    <row r="3157" x14ac:dyDescent="0.2"/>
    <row r="3158" x14ac:dyDescent="0.2"/>
    <row r="3159" x14ac:dyDescent="0.2"/>
    <row r="3160" x14ac:dyDescent="0.2"/>
    <row r="3161" x14ac:dyDescent="0.2"/>
    <row r="3162" x14ac:dyDescent="0.2"/>
    <row r="3163" x14ac:dyDescent="0.2"/>
    <row r="3164" x14ac:dyDescent="0.2"/>
    <row r="3165" x14ac:dyDescent="0.2"/>
    <row r="3166" x14ac:dyDescent="0.2"/>
    <row r="3167" x14ac:dyDescent="0.2"/>
    <row r="3168" x14ac:dyDescent="0.2"/>
    <row r="3169" x14ac:dyDescent="0.2"/>
    <row r="3170" x14ac:dyDescent="0.2"/>
    <row r="3171" x14ac:dyDescent="0.2"/>
    <row r="3172" x14ac:dyDescent="0.2"/>
    <row r="3173" x14ac:dyDescent="0.2"/>
    <row r="3174" x14ac:dyDescent="0.2"/>
    <row r="3175" x14ac:dyDescent="0.2"/>
    <row r="3176" x14ac:dyDescent="0.2"/>
    <row r="3177" x14ac:dyDescent="0.2"/>
    <row r="3178" x14ac:dyDescent="0.2"/>
    <row r="3179" x14ac:dyDescent="0.2"/>
    <row r="3180" x14ac:dyDescent="0.2"/>
    <row r="3181" x14ac:dyDescent="0.2"/>
    <row r="3182" x14ac:dyDescent="0.2"/>
    <row r="3183" x14ac:dyDescent="0.2"/>
    <row r="3184" x14ac:dyDescent="0.2"/>
    <row r="3185" x14ac:dyDescent="0.2"/>
    <row r="3186" x14ac:dyDescent="0.2"/>
    <row r="3187" x14ac:dyDescent="0.2"/>
    <row r="3188" x14ac:dyDescent="0.2"/>
    <row r="3189" x14ac:dyDescent="0.2"/>
    <row r="3190" x14ac:dyDescent="0.2"/>
    <row r="3191" x14ac:dyDescent="0.2"/>
    <row r="3192" x14ac:dyDescent="0.2"/>
    <row r="3193" x14ac:dyDescent="0.2"/>
    <row r="3194" x14ac:dyDescent="0.2"/>
    <row r="3195" x14ac:dyDescent="0.2"/>
    <row r="3196" x14ac:dyDescent="0.2"/>
    <row r="3197" x14ac:dyDescent="0.2"/>
    <row r="3198" x14ac:dyDescent="0.2"/>
    <row r="3199" x14ac:dyDescent="0.2"/>
    <row r="3200" x14ac:dyDescent="0.2"/>
    <row r="3201" x14ac:dyDescent="0.2"/>
    <row r="3202" x14ac:dyDescent="0.2"/>
    <row r="3203" x14ac:dyDescent="0.2"/>
    <row r="3204" x14ac:dyDescent="0.2"/>
    <row r="3205" x14ac:dyDescent="0.2"/>
    <row r="3206" x14ac:dyDescent="0.2"/>
    <row r="3207" x14ac:dyDescent="0.2"/>
    <row r="3208" x14ac:dyDescent="0.2"/>
    <row r="3209" x14ac:dyDescent="0.2"/>
    <row r="3210" x14ac:dyDescent="0.2"/>
    <row r="3211" x14ac:dyDescent="0.2"/>
    <row r="3212" x14ac:dyDescent="0.2"/>
    <row r="3213" x14ac:dyDescent="0.2"/>
    <row r="3214" x14ac:dyDescent="0.2"/>
    <row r="3215" x14ac:dyDescent="0.2"/>
    <row r="3216" x14ac:dyDescent="0.2"/>
    <row r="3217" x14ac:dyDescent="0.2"/>
    <row r="3218" x14ac:dyDescent="0.2"/>
    <row r="3219" x14ac:dyDescent="0.2"/>
    <row r="3220" x14ac:dyDescent="0.2"/>
    <row r="3221" x14ac:dyDescent="0.2"/>
    <row r="3222" x14ac:dyDescent="0.2"/>
    <row r="3223" x14ac:dyDescent="0.2"/>
    <row r="3224" x14ac:dyDescent="0.2"/>
    <row r="3225" x14ac:dyDescent="0.2"/>
    <row r="3226" x14ac:dyDescent="0.2"/>
    <row r="3227" x14ac:dyDescent="0.2"/>
    <row r="3228" x14ac:dyDescent="0.2"/>
    <row r="3229" x14ac:dyDescent="0.2"/>
    <row r="3230" x14ac:dyDescent="0.2"/>
    <row r="3231" x14ac:dyDescent="0.2"/>
    <row r="3232" x14ac:dyDescent="0.2"/>
    <row r="3233" x14ac:dyDescent="0.2"/>
    <row r="3234" x14ac:dyDescent="0.2"/>
    <row r="3235" x14ac:dyDescent="0.2"/>
    <row r="3236" x14ac:dyDescent="0.2"/>
    <row r="3237" x14ac:dyDescent="0.2"/>
    <row r="3238" x14ac:dyDescent="0.2"/>
    <row r="3239" x14ac:dyDescent="0.2"/>
    <row r="3240" x14ac:dyDescent="0.2"/>
    <row r="3241" x14ac:dyDescent="0.2"/>
    <row r="3242" x14ac:dyDescent="0.2"/>
    <row r="3243" x14ac:dyDescent="0.2"/>
    <row r="3244" x14ac:dyDescent="0.2"/>
    <row r="3245" x14ac:dyDescent="0.2"/>
    <row r="3246" x14ac:dyDescent="0.2"/>
    <row r="3247" x14ac:dyDescent="0.2"/>
    <row r="3248" x14ac:dyDescent="0.2"/>
    <row r="3249" x14ac:dyDescent="0.2"/>
    <row r="3250" x14ac:dyDescent="0.2"/>
    <row r="3251" x14ac:dyDescent="0.2"/>
    <row r="3252" x14ac:dyDescent="0.2"/>
    <row r="3253" x14ac:dyDescent="0.2"/>
    <row r="3254" x14ac:dyDescent="0.2"/>
    <row r="3255" x14ac:dyDescent="0.2"/>
    <row r="3256" x14ac:dyDescent="0.2"/>
    <row r="3257" x14ac:dyDescent="0.2"/>
    <row r="3258" x14ac:dyDescent="0.2"/>
    <row r="3259" x14ac:dyDescent="0.2"/>
    <row r="3260" x14ac:dyDescent="0.2"/>
    <row r="3261" x14ac:dyDescent="0.2"/>
    <row r="3262" x14ac:dyDescent="0.2"/>
    <row r="3263" x14ac:dyDescent="0.2"/>
    <row r="3264" x14ac:dyDescent="0.2"/>
    <row r="3265" x14ac:dyDescent="0.2"/>
    <row r="3266" x14ac:dyDescent="0.2"/>
    <row r="3267" x14ac:dyDescent="0.2"/>
    <row r="3268" x14ac:dyDescent="0.2"/>
    <row r="3269" x14ac:dyDescent="0.2"/>
    <row r="3270" x14ac:dyDescent="0.2"/>
    <row r="3271" x14ac:dyDescent="0.2"/>
    <row r="3272" x14ac:dyDescent="0.2"/>
    <row r="3273" x14ac:dyDescent="0.2"/>
    <row r="3274" x14ac:dyDescent="0.2"/>
    <row r="3275" x14ac:dyDescent="0.2"/>
    <row r="3276" x14ac:dyDescent="0.2"/>
    <row r="3277" x14ac:dyDescent="0.2"/>
    <row r="3278" x14ac:dyDescent="0.2"/>
    <row r="3279" x14ac:dyDescent="0.2"/>
    <row r="3280" x14ac:dyDescent="0.2"/>
    <row r="3281" x14ac:dyDescent="0.2"/>
    <row r="3282" x14ac:dyDescent="0.2"/>
    <row r="3283" x14ac:dyDescent="0.2"/>
    <row r="3284" x14ac:dyDescent="0.2"/>
    <row r="3285" x14ac:dyDescent="0.2"/>
    <row r="3286" x14ac:dyDescent="0.2"/>
    <row r="3287" x14ac:dyDescent="0.2"/>
    <row r="3288" x14ac:dyDescent="0.2"/>
    <row r="3289" x14ac:dyDescent="0.2"/>
    <row r="3290" x14ac:dyDescent="0.2"/>
    <row r="3291" x14ac:dyDescent="0.2"/>
    <row r="3292" x14ac:dyDescent="0.2"/>
    <row r="3293" x14ac:dyDescent="0.2"/>
    <row r="3294" x14ac:dyDescent="0.2"/>
    <row r="3295" x14ac:dyDescent="0.2"/>
    <row r="3296" x14ac:dyDescent="0.2"/>
    <row r="3297" x14ac:dyDescent="0.2"/>
    <row r="3298" x14ac:dyDescent="0.2"/>
    <row r="3299" x14ac:dyDescent="0.2"/>
    <row r="3300" x14ac:dyDescent="0.2"/>
    <row r="3301" x14ac:dyDescent="0.2"/>
    <row r="3302" x14ac:dyDescent="0.2"/>
    <row r="3303" x14ac:dyDescent="0.2"/>
    <row r="3304" x14ac:dyDescent="0.2"/>
    <row r="3305" x14ac:dyDescent="0.2"/>
    <row r="3306" x14ac:dyDescent="0.2"/>
    <row r="3307" x14ac:dyDescent="0.2"/>
    <row r="3308" x14ac:dyDescent="0.2"/>
    <row r="3309" x14ac:dyDescent="0.2"/>
    <row r="3310" x14ac:dyDescent="0.2"/>
    <row r="3311" x14ac:dyDescent="0.2"/>
    <row r="3312" x14ac:dyDescent="0.2"/>
    <row r="3313" x14ac:dyDescent="0.2"/>
    <row r="3314" x14ac:dyDescent="0.2"/>
    <row r="3315" x14ac:dyDescent="0.2"/>
    <row r="3316" x14ac:dyDescent="0.2"/>
    <row r="3317" x14ac:dyDescent="0.2"/>
    <row r="3318" x14ac:dyDescent="0.2"/>
    <row r="3319" x14ac:dyDescent="0.2"/>
    <row r="3320" x14ac:dyDescent="0.2"/>
    <row r="3321" x14ac:dyDescent="0.2"/>
    <row r="3322" x14ac:dyDescent="0.2"/>
    <row r="3323" x14ac:dyDescent="0.2"/>
    <row r="3324" x14ac:dyDescent="0.2"/>
    <row r="3325" x14ac:dyDescent="0.2"/>
    <row r="3326" x14ac:dyDescent="0.2"/>
    <row r="3327" x14ac:dyDescent="0.2"/>
    <row r="3328" x14ac:dyDescent="0.2"/>
    <row r="3329" x14ac:dyDescent="0.2"/>
    <row r="3330" x14ac:dyDescent="0.2"/>
    <row r="3331" x14ac:dyDescent="0.2"/>
    <row r="3332" x14ac:dyDescent="0.2"/>
    <row r="3333" x14ac:dyDescent="0.2"/>
    <row r="3334" x14ac:dyDescent="0.2"/>
    <row r="3335" x14ac:dyDescent="0.2"/>
    <row r="3336" x14ac:dyDescent="0.2"/>
    <row r="3337" x14ac:dyDescent="0.2"/>
    <row r="3338" x14ac:dyDescent="0.2"/>
    <row r="3339" x14ac:dyDescent="0.2"/>
    <row r="3340" x14ac:dyDescent="0.2"/>
    <row r="3341" x14ac:dyDescent="0.2"/>
    <row r="3342" x14ac:dyDescent="0.2"/>
    <row r="3343" x14ac:dyDescent="0.2"/>
    <row r="3344" x14ac:dyDescent="0.2"/>
    <row r="3345" x14ac:dyDescent="0.2"/>
    <row r="3346" x14ac:dyDescent="0.2"/>
    <row r="3347" x14ac:dyDescent="0.2"/>
    <row r="3348" x14ac:dyDescent="0.2"/>
    <row r="3349" x14ac:dyDescent="0.2"/>
    <row r="3350" x14ac:dyDescent="0.2"/>
    <row r="3351" x14ac:dyDescent="0.2"/>
    <row r="3352" x14ac:dyDescent="0.2"/>
    <row r="3353" x14ac:dyDescent="0.2"/>
    <row r="3354" x14ac:dyDescent="0.2"/>
    <row r="3355" x14ac:dyDescent="0.2"/>
    <row r="3356" x14ac:dyDescent="0.2"/>
    <row r="3357" x14ac:dyDescent="0.2"/>
    <row r="3358" x14ac:dyDescent="0.2"/>
    <row r="3359" x14ac:dyDescent="0.2"/>
    <row r="3360" x14ac:dyDescent="0.2"/>
    <row r="3361" x14ac:dyDescent="0.2"/>
    <row r="3362" x14ac:dyDescent="0.2"/>
    <row r="3363" x14ac:dyDescent="0.2"/>
    <row r="3364" x14ac:dyDescent="0.2"/>
    <row r="3365" x14ac:dyDescent="0.2"/>
    <row r="3366" x14ac:dyDescent="0.2"/>
    <row r="3367" x14ac:dyDescent="0.2"/>
    <row r="3368" x14ac:dyDescent="0.2"/>
    <row r="3369" x14ac:dyDescent="0.2"/>
    <row r="3370" x14ac:dyDescent="0.2"/>
    <row r="3371" x14ac:dyDescent="0.2"/>
    <row r="3372" x14ac:dyDescent="0.2"/>
    <row r="3373" x14ac:dyDescent="0.2"/>
    <row r="3374" x14ac:dyDescent="0.2"/>
    <row r="3375" x14ac:dyDescent="0.2"/>
    <row r="3376" x14ac:dyDescent="0.2"/>
    <row r="3377" x14ac:dyDescent="0.2"/>
    <row r="3378" x14ac:dyDescent="0.2"/>
    <row r="3379" x14ac:dyDescent="0.2"/>
    <row r="3380" x14ac:dyDescent="0.2"/>
    <row r="3381" x14ac:dyDescent="0.2"/>
    <row r="3382" x14ac:dyDescent="0.2"/>
    <row r="3383" x14ac:dyDescent="0.2"/>
    <row r="3384" x14ac:dyDescent="0.2"/>
    <row r="3385" x14ac:dyDescent="0.2"/>
    <row r="3386" x14ac:dyDescent="0.2"/>
    <row r="3387" x14ac:dyDescent="0.2"/>
    <row r="3388" x14ac:dyDescent="0.2"/>
    <row r="3389" x14ac:dyDescent="0.2"/>
    <row r="3390" x14ac:dyDescent="0.2"/>
    <row r="3391" x14ac:dyDescent="0.2"/>
    <row r="3392" x14ac:dyDescent="0.2"/>
    <row r="3393" x14ac:dyDescent="0.2"/>
    <row r="3394" x14ac:dyDescent="0.2"/>
    <row r="3395" x14ac:dyDescent="0.2"/>
    <row r="3396" x14ac:dyDescent="0.2"/>
    <row r="3397" x14ac:dyDescent="0.2"/>
    <row r="3398" x14ac:dyDescent="0.2"/>
    <row r="3399" x14ac:dyDescent="0.2"/>
    <row r="3400" x14ac:dyDescent="0.2"/>
    <row r="3401" x14ac:dyDescent="0.2"/>
    <row r="3402" x14ac:dyDescent="0.2"/>
    <row r="3403" x14ac:dyDescent="0.2"/>
    <row r="3404" x14ac:dyDescent="0.2"/>
    <row r="3405" x14ac:dyDescent="0.2"/>
    <row r="3406" x14ac:dyDescent="0.2"/>
    <row r="3407" x14ac:dyDescent="0.2"/>
    <row r="3408" x14ac:dyDescent="0.2"/>
    <row r="3409" x14ac:dyDescent="0.2"/>
    <row r="3410" x14ac:dyDescent="0.2"/>
    <row r="3411" x14ac:dyDescent="0.2"/>
    <row r="3412" x14ac:dyDescent="0.2"/>
    <row r="3413" x14ac:dyDescent="0.2"/>
    <row r="3414" x14ac:dyDescent="0.2"/>
    <row r="3415" x14ac:dyDescent="0.2"/>
    <row r="3416" x14ac:dyDescent="0.2"/>
    <row r="3417" x14ac:dyDescent="0.2"/>
    <row r="3418" x14ac:dyDescent="0.2"/>
    <row r="3419" x14ac:dyDescent="0.2"/>
    <row r="3420" x14ac:dyDescent="0.2"/>
    <row r="3421" x14ac:dyDescent="0.2"/>
    <row r="3422" x14ac:dyDescent="0.2"/>
    <row r="3423" x14ac:dyDescent="0.2"/>
    <row r="3424" x14ac:dyDescent="0.2"/>
    <row r="3425" x14ac:dyDescent="0.2"/>
    <row r="3426" x14ac:dyDescent="0.2"/>
    <row r="3427" x14ac:dyDescent="0.2"/>
    <row r="3428" x14ac:dyDescent="0.2"/>
    <row r="3429" x14ac:dyDescent="0.2"/>
    <row r="3430" x14ac:dyDescent="0.2"/>
    <row r="3431" x14ac:dyDescent="0.2"/>
    <row r="3432" x14ac:dyDescent="0.2"/>
    <row r="3433" x14ac:dyDescent="0.2"/>
    <row r="3434" x14ac:dyDescent="0.2"/>
    <row r="3435" x14ac:dyDescent="0.2"/>
    <row r="3436" x14ac:dyDescent="0.2"/>
    <row r="3437" x14ac:dyDescent="0.2"/>
    <row r="3438" x14ac:dyDescent="0.2"/>
    <row r="3439" x14ac:dyDescent="0.2"/>
    <row r="3440" x14ac:dyDescent="0.2"/>
    <row r="3441" x14ac:dyDescent="0.2"/>
    <row r="3442" x14ac:dyDescent="0.2"/>
    <row r="3443" x14ac:dyDescent="0.2"/>
    <row r="3444" x14ac:dyDescent="0.2"/>
    <row r="3445" x14ac:dyDescent="0.2"/>
    <row r="3446" x14ac:dyDescent="0.2"/>
    <row r="3447" x14ac:dyDescent="0.2"/>
    <row r="3448" x14ac:dyDescent="0.2"/>
    <row r="3449" x14ac:dyDescent="0.2"/>
    <row r="3450" x14ac:dyDescent="0.2"/>
    <row r="3451" x14ac:dyDescent="0.2"/>
    <row r="3452" x14ac:dyDescent="0.2"/>
    <row r="3453" x14ac:dyDescent="0.2"/>
    <row r="3454" x14ac:dyDescent="0.2"/>
    <row r="3455" x14ac:dyDescent="0.2"/>
    <row r="3456" x14ac:dyDescent="0.2"/>
    <row r="3457" x14ac:dyDescent="0.2"/>
    <row r="3458" x14ac:dyDescent="0.2"/>
    <row r="3459" x14ac:dyDescent="0.2"/>
    <row r="3460" x14ac:dyDescent="0.2"/>
    <row r="3461" x14ac:dyDescent="0.2"/>
    <row r="3462" x14ac:dyDescent="0.2"/>
    <row r="3463" x14ac:dyDescent="0.2"/>
    <row r="3464" x14ac:dyDescent="0.2"/>
    <row r="3465" x14ac:dyDescent="0.2"/>
    <row r="3466" x14ac:dyDescent="0.2"/>
    <row r="3467" x14ac:dyDescent="0.2"/>
    <row r="3468" x14ac:dyDescent="0.2"/>
    <row r="3469" x14ac:dyDescent="0.2"/>
    <row r="3470" x14ac:dyDescent="0.2"/>
    <row r="3471" x14ac:dyDescent="0.2"/>
    <row r="3472" x14ac:dyDescent="0.2"/>
    <row r="3473" x14ac:dyDescent="0.2"/>
    <row r="3474" x14ac:dyDescent="0.2"/>
    <row r="3475" x14ac:dyDescent="0.2"/>
    <row r="3476" x14ac:dyDescent="0.2"/>
    <row r="3477" x14ac:dyDescent="0.2"/>
    <row r="3478" x14ac:dyDescent="0.2"/>
    <row r="3479" x14ac:dyDescent="0.2"/>
    <row r="3480" x14ac:dyDescent="0.2"/>
    <row r="3481" x14ac:dyDescent="0.2"/>
    <row r="3482" x14ac:dyDescent="0.2"/>
    <row r="3483" x14ac:dyDescent="0.2"/>
    <row r="3484" x14ac:dyDescent="0.2"/>
    <row r="3485" x14ac:dyDescent="0.2"/>
    <row r="3486" x14ac:dyDescent="0.2"/>
    <row r="3487" x14ac:dyDescent="0.2"/>
    <row r="3488" x14ac:dyDescent="0.2"/>
    <row r="3489" x14ac:dyDescent="0.2"/>
    <row r="3490" x14ac:dyDescent="0.2"/>
    <row r="3491" x14ac:dyDescent="0.2"/>
    <row r="3492" x14ac:dyDescent="0.2"/>
    <row r="3493" x14ac:dyDescent="0.2"/>
    <row r="3494" x14ac:dyDescent="0.2"/>
    <row r="3495" x14ac:dyDescent="0.2"/>
    <row r="3496" x14ac:dyDescent="0.2"/>
    <row r="3497" x14ac:dyDescent="0.2"/>
    <row r="3498" x14ac:dyDescent="0.2"/>
    <row r="3499" x14ac:dyDescent="0.2"/>
    <row r="3500" x14ac:dyDescent="0.2"/>
    <row r="3501" x14ac:dyDescent="0.2"/>
    <row r="3502" x14ac:dyDescent="0.2"/>
    <row r="3503" x14ac:dyDescent="0.2"/>
    <row r="3504" x14ac:dyDescent="0.2"/>
    <row r="3505" x14ac:dyDescent="0.2"/>
    <row r="3506" x14ac:dyDescent="0.2"/>
    <row r="3507" x14ac:dyDescent="0.2"/>
    <row r="3508" x14ac:dyDescent="0.2"/>
    <row r="3509" x14ac:dyDescent="0.2"/>
    <row r="3510" x14ac:dyDescent="0.2"/>
    <row r="3511" x14ac:dyDescent="0.2"/>
    <row r="3512" x14ac:dyDescent="0.2"/>
    <row r="3513" x14ac:dyDescent="0.2"/>
    <row r="3514" x14ac:dyDescent="0.2"/>
    <row r="3515" x14ac:dyDescent="0.2"/>
    <row r="3516" x14ac:dyDescent="0.2"/>
    <row r="3517" x14ac:dyDescent="0.2"/>
    <row r="3518" x14ac:dyDescent="0.2"/>
    <row r="3519" x14ac:dyDescent="0.2"/>
    <row r="3520" x14ac:dyDescent="0.2"/>
    <row r="3521" x14ac:dyDescent="0.2"/>
    <row r="3522" x14ac:dyDescent="0.2"/>
    <row r="3523" x14ac:dyDescent="0.2"/>
    <row r="3524" x14ac:dyDescent="0.2"/>
    <row r="3525" x14ac:dyDescent="0.2"/>
    <row r="3526" x14ac:dyDescent="0.2"/>
    <row r="3527" x14ac:dyDescent="0.2"/>
    <row r="3528" x14ac:dyDescent="0.2"/>
    <row r="3529" x14ac:dyDescent="0.2"/>
    <row r="3530" x14ac:dyDescent="0.2"/>
    <row r="3531" x14ac:dyDescent="0.2"/>
    <row r="3532" x14ac:dyDescent="0.2"/>
    <row r="3533" x14ac:dyDescent="0.2"/>
    <row r="3534" x14ac:dyDescent="0.2"/>
    <row r="3535" x14ac:dyDescent="0.2"/>
    <row r="3536" x14ac:dyDescent="0.2"/>
    <row r="3537" x14ac:dyDescent="0.2"/>
    <row r="3538" x14ac:dyDescent="0.2"/>
    <row r="3539" x14ac:dyDescent="0.2"/>
    <row r="3540" x14ac:dyDescent="0.2"/>
    <row r="3541" x14ac:dyDescent="0.2"/>
    <row r="3542" x14ac:dyDescent="0.2"/>
    <row r="3543" x14ac:dyDescent="0.2"/>
    <row r="3544" x14ac:dyDescent="0.2"/>
    <row r="3545" x14ac:dyDescent="0.2"/>
    <row r="3546" x14ac:dyDescent="0.2"/>
    <row r="3547" x14ac:dyDescent="0.2"/>
    <row r="3548" x14ac:dyDescent="0.2"/>
    <row r="3549" x14ac:dyDescent="0.2"/>
    <row r="3550" x14ac:dyDescent="0.2"/>
    <row r="3551" x14ac:dyDescent="0.2"/>
    <row r="3552" x14ac:dyDescent="0.2"/>
    <row r="3553" x14ac:dyDescent="0.2"/>
    <row r="3554" x14ac:dyDescent="0.2"/>
    <row r="3555" x14ac:dyDescent="0.2"/>
    <row r="3556" x14ac:dyDescent="0.2"/>
    <row r="3557" x14ac:dyDescent="0.2"/>
    <row r="3558" x14ac:dyDescent="0.2"/>
    <row r="3559" x14ac:dyDescent="0.2"/>
    <row r="3560" x14ac:dyDescent="0.2"/>
    <row r="3561" x14ac:dyDescent="0.2"/>
    <row r="3562" x14ac:dyDescent="0.2"/>
    <row r="3563" x14ac:dyDescent="0.2"/>
    <row r="3564" x14ac:dyDescent="0.2"/>
    <row r="3565" x14ac:dyDescent="0.2"/>
    <row r="3566" x14ac:dyDescent="0.2"/>
    <row r="3567" x14ac:dyDescent="0.2"/>
    <row r="3568" x14ac:dyDescent="0.2"/>
    <row r="3569" x14ac:dyDescent="0.2"/>
    <row r="3570" x14ac:dyDescent="0.2"/>
    <row r="3571" x14ac:dyDescent="0.2"/>
    <row r="3572" x14ac:dyDescent="0.2"/>
    <row r="3573" x14ac:dyDescent="0.2"/>
    <row r="3574" x14ac:dyDescent="0.2"/>
    <row r="3575" x14ac:dyDescent="0.2"/>
    <row r="3576" x14ac:dyDescent="0.2"/>
    <row r="3577" x14ac:dyDescent="0.2"/>
    <row r="3578" x14ac:dyDescent="0.2"/>
    <row r="3579" x14ac:dyDescent="0.2"/>
    <row r="3580" x14ac:dyDescent="0.2"/>
    <row r="3581" x14ac:dyDescent="0.2"/>
    <row r="3582" x14ac:dyDescent="0.2"/>
    <row r="3583" x14ac:dyDescent="0.2"/>
    <row r="3584" x14ac:dyDescent="0.2"/>
    <row r="3585" x14ac:dyDescent="0.2"/>
    <row r="3586" x14ac:dyDescent="0.2"/>
    <row r="3587" x14ac:dyDescent="0.2"/>
    <row r="3588" x14ac:dyDescent="0.2"/>
    <row r="3589" x14ac:dyDescent="0.2"/>
    <row r="3590" x14ac:dyDescent="0.2"/>
    <row r="3591" x14ac:dyDescent="0.2"/>
    <row r="3592" x14ac:dyDescent="0.2"/>
    <row r="3593" x14ac:dyDescent="0.2"/>
    <row r="3594" x14ac:dyDescent="0.2"/>
    <row r="3595" x14ac:dyDescent="0.2"/>
    <row r="3596" x14ac:dyDescent="0.2"/>
    <row r="3597" x14ac:dyDescent="0.2"/>
    <row r="3598" x14ac:dyDescent="0.2"/>
    <row r="3599" x14ac:dyDescent="0.2"/>
    <row r="3600" x14ac:dyDescent="0.2"/>
    <row r="3601" x14ac:dyDescent="0.2"/>
    <row r="3602" x14ac:dyDescent="0.2"/>
    <row r="3603" x14ac:dyDescent="0.2"/>
    <row r="3604" x14ac:dyDescent="0.2"/>
    <row r="3605" x14ac:dyDescent="0.2"/>
    <row r="3606" x14ac:dyDescent="0.2"/>
    <row r="3607" x14ac:dyDescent="0.2"/>
    <row r="3608" x14ac:dyDescent="0.2"/>
    <row r="3609" x14ac:dyDescent="0.2"/>
    <row r="3610" x14ac:dyDescent="0.2"/>
    <row r="3611" x14ac:dyDescent="0.2"/>
    <row r="3612" x14ac:dyDescent="0.2"/>
    <row r="3613" x14ac:dyDescent="0.2"/>
    <row r="3614" x14ac:dyDescent="0.2"/>
    <row r="3615" x14ac:dyDescent="0.2"/>
    <row r="3616" x14ac:dyDescent="0.2"/>
    <row r="3617" x14ac:dyDescent="0.2"/>
    <row r="3618" x14ac:dyDescent="0.2"/>
    <row r="3619" x14ac:dyDescent="0.2"/>
    <row r="3620" x14ac:dyDescent="0.2"/>
    <row r="3621" x14ac:dyDescent="0.2"/>
    <row r="3622" x14ac:dyDescent="0.2"/>
    <row r="3623" x14ac:dyDescent="0.2"/>
    <row r="3624" x14ac:dyDescent="0.2"/>
    <row r="3625" x14ac:dyDescent="0.2"/>
    <row r="3626" x14ac:dyDescent="0.2"/>
    <row r="3627" x14ac:dyDescent="0.2"/>
    <row r="3628" x14ac:dyDescent="0.2"/>
    <row r="3629" x14ac:dyDescent="0.2"/>
    <row r="3630" x14ac:dyDescent="0.2"/>
    <row r="3631" x14ac:dyDescent="0.2"/>
    <row r="3632" x14ac:dyDescent="0.2"/>
    <row r="3633" x14ac:dyDescent="0.2"/>
    <row r="3634" x14ac:dyDescent="0.2"/>
    <row r="3635" x14ac:dyDescent="0.2"/>
    <row r="3636" x14ac:dyDescent="0.2"/>
    <row r="3637" x14ac:dyDescent="0.2"/>
    <row r="3638" x14ac:dyDescent="0.2"/>
    <row r="3639" x14ac:dyDescent="0.2"/>
    <row r="3640" x14ac:dyDescent="0.2"/>
    <row r="3641" x14ac:dyDescent="0.2"/>
    <row r="3642" x14ac:dyDescent="0.2"/>
    <row r="3643" x14ac:dyDescent="0.2"/>
    <row r="3644" x14ac:dyDescent="0.2"/>
    <row r="3645" x14ac:dyDescent="0.2"/>
    <row r="3646" x14ac:dyDescent="0.2"/>
    <row r="3647" x14ac:dyDescent="0.2"/>
    <row r="3648" x14ac:dyDescent="0.2"/>
    <row r="3649" x14ac:dyDescent="0.2"/>
    <row r="3650" x14ac:dyDescent="0.2"/>
    <row r="3651" x14ac:dyDescent="0.2"/>
    <row r="3652" x14ac:dyDescent="0.2"/>
    <row r="3653" x14ac:dyDescent="0.2"/>
    <row r="3654" x14ac:dyDescent="0.2"/>
    <row r="3655" x14ac:dyDescent="0.2"/>
    <row r="3656" x14ac:dyDescent="0.2"/>
    <row r="3657" x14ac:dyDescent="0.2"/>
    <row r="3658" x14ac:dyDescent="0.2"/>
    <row r="3659" x14ac:dyDescent="0.2"/>
    <row r="3660" x14ac:dyDescent="0.2"/>
    <row r="3661" x14ac:dyDescent="0.2"/>
    <row r="3662" x14ac:dyDescent="0.2"/>
    <row r="3663" x14ac:dyDescent="0.2"/>
    <row r="3664" x14ac:dyDescent="0.2"/>
    <row r="3665" x14ac:dyDescent="0.2"/>
    <row r="3666" x14ac:dyDescent="0.2"/>
    <row r="3667" x14ac:dyDescent="0.2"/>
    <row r="3668" x14ac:dyDescent="0.2"/>
    <row r="3669" x14ac:dyDescent="0.2"/>
    <row r="3670" x14ac:dyDescent="0.2"/>
    <row r="3671" x14ac:dyDescent="0.2"/>
    <row r="3672" x14ac:dyDescent="0.2"/>
    <row r="3673" x14ac:dyDescent="0.2"/>
    <row r="3674" x14ac:dyDescent="0.2"/>
    <row r="3675" x14ac:dyDescent="0.2"/>
    <row r="3676" x14ac:dyDescent="0.2"/>
    <row r="3677" x14ac:dyDescent="0.2"/>
    <row r="3678" x14ac:dyDescent="0.2"/>
    <row r="3679" x14ac:dyDescent="0.2"/>
    <row r="3680" x14ac:dyDescent="0.2"/>
    <row r="3681" x14ac:dyDescent="0.2"/>
    <row r="3682" x14ac:dyDescent="0.2"/>
    <row r="3683" x14ac:dyDescent="0.2"/>
    <row r="3684" x14ac:dyDescent="0.2"/>
    <row r="3685" x14ac:dyDescent="0.2"/>
    <row r="3686" x14ac:dyDescent="0.2"/>
    <row r="3687" x14ac:dyDescent="0.2"/>
    <row r="3688" x14ac:dyDescent="0.2"/>
    <row r="3689" x14ac:dyDescent="0.2"/>
    <row r="3690" x14ac:dyDescent="0.2"/>
    <row r="3691" x14ac:dyDescent="0.2"/>
    <row r="3692" x14ac:dyDescent="0.2"/>
    <row r="3693" x14ac:dyDescent="0.2"/>
    <row r="3694" x14ac:dyDescent="0.2"/>
    <row r="3695" x14ac:dyDescent="0.2"/>
    <row r="3696" x14ac:dyDescent="0.2"/>
    <row r="3697" x14ac:dyDescent="0.2"/>
    <row r="3698" x14ac:dyDescent="0.2"/>
    <row r="3699" x14ac:dyDescent="0.2"/>
    <row r="3700" x14ac:dyDescent="0.2"/>
    <row r="3701" x14ac:dyDescent="0.2"/>
    <row r="3702" x14ac:dyDescent="0.2"/>
    <row r="3703" x14ac:dyDescent="0.2"/>
    <row r="3704" x14ac:dyDescent="0.2"/>
    <row r="3705" x14ac:dyDescent="0.2"/>
    <row r="3706" x14ac:dyDescent="0.2"/>
    <row r="3707" x14ac:dyDescent="0.2"/>
    <row r="3708" x14ac:dyDescent="0.2"/>
    <row r="3709" x14ac:dyDescent="0.2"/>
    <row r="3710" x14ac:dyDescent="0.2"/>
    <row r="3711" x14ac:dyDescent="0.2"/>
    <row r="3712" x14ac:dyDescent="0.2"/>
    <row r="3713" x14ac:dyDescent="0.2"/>
    <row r="3714" x14ac:dyDescent="0.2"/>
    <row r="3715" x14ac:dyDescent="0.2"/>
    <row r="3716" x14ac:dyDescent="0.2"/>
    <row r="3717" x14ac:dyDescent="0.2"/>
    <row r="3718" x14ac:dyDescent="0.2"/>
    <row r="3719" x14ac:dyDescent="0.2"/>
    <row r="3720" x14ac:dyDescent="0.2"/>
    <row r="3721" x14ac:dyDescent="0.2"/>
    <row r="3722" x14ac:dyDescent="0.2"/>
    <row r="3723" x14ac:dyDescent="0.2"/>
    <row r="3724" x14ac:dyDescent="0.2"/>
    <row r="3725" x14ac:dyDescent="0.2"/>
    <row r="3726" x14ac:dyDescent="0.2"/>
    <row r="3727" x14ac:dyDescent="0.2"/>
    <row r="3728" x14ac:dyDescent="0.2"/>
    <row r="3729" x14ac:dyDescent="0.2"/>
    <row r="3730" x14ac:dyDescent="0.2"/>
    <row r="3731" x14ac:dyDescent="0.2"/>
    <row r="3732" x14ac:dyDescent="0.2"/>
    <row r="3733" x14ac:dyDescent="0.2"/>
    <row r="3734" x14ac:dyDescent="0.2"/>
    <row r="3735" x14ac:dyDescent="0.2"/>
    <row r="3736" x14ac:dyDescent="0.2"/>
    <row r="3737" x14ac:dyDescent="0.2"/>
    <row r="3738" x14ac:dyDescent="0.2"/>
    <row r="3739" x14ac:dyDescent="0.2"/>
    <row r="3740" x14ac:dyDescent="0.2"/>
    <row r="3741" x14ac:dyDescent="0.2"/>
    <row r="3742" x14ac:dyDescent="0.2"/>
    <row r="3743" x14ac:dyDescent="0.2"/>
    <row r="3744" x14ac:dyDescent="0.2"/>
    <row r="3745" x14ac:dyDescent="0.2"/>
    <row r="3746" x14ac:dyDescent="0.2"/>
    <row r="3747" x14ac:dyDescent="0.2"/>
    <row r="3748" x14ac:dyDescent="0.2"/>
    <row r="3749" x14ac:dyDescent="0.2"/>
    <row r="3750" x14ac:dyDescent="0.2"/>
    <row r="3751" x14ac:dyDescent="0.2"/>
    <row r="3752" x14ac:dyDescent="0.2"/>
    <row r="3753" x14ac:dyDescent="0.2"/>
    <row r="3754" x14ac:dyDescent="0.2"/>
    <row r="3755" x14ac:dyDescent="0.2"/>
    <row r="3756" x14ac:dyDescent="0.2"/>
    <row r="3757" x14ac:dyDescent="0.2"/>
    <row r="3758" x14ac:dyDescent="0.2"/>
    <row r="3759" x14ac:dyDescent="0.2"/>
    <row r="3760" x14ac:dyDescent="0.2"/>
    <row r="3761" x14ac:dyDescent="0.2"/>
    <row r="3762" x14ac:dyDescent="0.2"/>
    <row r="3763" x14ac:dyDescent="0.2"/>
    <row r="3764" x14ac:dyDescent="0.2"/>
    <row r="3765" x14ac:dyDescent="0.2"/>
    <row r="3766" x14ac:dyDescent="0.2"/>
    <row r="3767" x14ac:dyDescent="0.2"/>
    <row r="3768" x14ac:dyDescent="0.2"/>
    <row r="3769" x14ac:dyDescent="0.2"/>
    <row r="3770" x14ac:dyDescent="0.2"/>
    <row r="3771" x14ac:dyDescent="0.2"/>
    <row r="3772" x14ac:dyDescent="0.2"/>
    <row r="3773" x14ac:dyDescent="0.2"/>
    <row r="3774" x14ac:dyDescent="0.2"/>
    <row r="3775" x14ac:dyDescent="0.2"/>
    <row r="3776" x14ac:dyDescent="0.2"/>
    <row r="3777" x14ac:dyDescent="0.2"/>
    <row r="3778" x14ac:dyDescent="0.2"/>
    <row r="3779" x14ac:dyDescent="0.2"/>
    <row r="3780" x14ac:dyDescent="0.2"/>
    <row r="3781" x14ac:dyDescent="0.2"/>
    <row r="3782" x14ac:dyDescent="0.2"/>
    <row r="3783" x14ac:dyDescent="0.2"/>
    <row r="3784" x14ac:dyDescent="0.2"/>
    <row r="3785" x14ac:dyDescent="0.2"/>
    <row r="3786" x14ac:dyDescent="0.2"/>
    <row r="3787" x14ac:dyDescent="0.2"/>
    <row r="3788" x14ac:dyDescent="0.2"/>
    <row r="3789" x14ac:dyDescent="0.2"/>
    <row r="3790" x14ac:dyDescent="0.2"/>
    <row r="3791" x14ac:dyDescent="0.2"/>
    <row r="3792" x14ac:dyDescent="0.2"/>
    <row r="3793" x14ac:dyDescent="0.2"/>
    <row r="3794" x14ac:dyDescent="0.2"/>
    <row r="3795" x14ac:dyDescent="0.2"/>
    <row r="3796" x14ac:dyDescent="0.2"/>
    <row r="3797" x14ac:dyDescent="0.2"/>
    <row r="3798" x14ac:dyDescent="0.2"/>
    <row r="3799" x14ac:dyDescent="0.2"/>
    <row r="3800" x14ac:dyDescent="0.2"/>
    <row r="3801" x14ac:dyDescent="0.2"/>
    <row r="3802" x14ac:dyDescent="0.2"/>
    <row r="3803" x14ac:dyDescent="0.2"/>
    <row r="3804" x14ac:dyDescent="0.2"/>
    <row r="3805" x14ac:dyDescent="0.2"/>
    <row r="3806" x14ac:dyDescent="0.2"/>
    <row r="3807" x14ac:dyDescent="0.2"/>
    <row r="3808" x14ac:dyDescent="0.2"/>
    <row r="3809" x14ac:dyDescent="0.2"/>
    <row r="3810" x14ac:dyDescent="0.2"/>
    <row r="3811" x14ac:dyDescent="0.2"/>
    <row r="3812" x14ac:dyDescent="0.2"/>
    <row r="3813" x14ac:dyDescent="0.2"/>
    <row r="3814" x14ac:dyDescent="0.2"/>
    <row r="3815" x14ac:dyDescent="0.2"/>
    <row r="3816" x14ac:dyDescent="0.2"/>
    <row r="3817" x14ac:dyDescent="0.2"/>
    <row r="3818" x14ac:dyDescent="0.2"/>
    <row r="3819" x14ac:dyDescent="0.2"/>
    <row r="3820" x14ac:dyDescent="0.2"/>
    <row r="3821" x14ac:dyDescent="0.2"/>
    <row r="3822" x14ac:dyDescent="0.2"/>
    <row r="3823" x14ac:dyDescent="0.2"/>
    <row r="3824" x14ac:dyDescent="0.2"/>
    <row r="3825" x14ac:dyDescent="0.2"/>
    <row r="3826" x14ac:dyDescent="0.2"/>
    <row r="3827" x14ac:dyDescent="0.2"/>
    <row r="3828" x14ac:dyDescent="0.2"/>
    <row r="3829" x14ac:dyDescent="0.2"/>
    <row r="3830" x14ac:dyDescent="0.2"/>
    <row r="3831" x14ac:dyDescent="0.2"/>
    <row r="3832" x14ac:dyDescent="0.2"/>
    <row r="3833" x14ac:dyDescent="0.2"/>
    <row r="3834" x14ac:dyDescent="0.2"/>
    <row r="3835" x14ac:dyDescent="0.2"/>
    <row r="3836" x14ac:dyDescent="0.2"/>
    <row r="3837" x14ac:dyDescent="0.2"/>
    <row r="3838" x14ac:dyDescent="0.2"/>
    <row r="3839" x14ac:dyDescent="0.2"/>
    <row r="3840" x14ac:dyDescent="0.2"/>
    <row r="3841" x14ac:dyDescent="0.2"/>
    <row r="3842" x14ac:dyDescent="0.2"/>
    <row r="3843" x14ac:dyDescent="0.2"/>
    <row r="3844" x14ac:dyDescent="0.2"/>
    <row r="3845" x14ac:dyDescent="0.2"/>
    <row r="3846" x14ac:dyDescent="0.2"/>
    <row r="3847" x14ac:dyDescent="0.2"/>
    <row r="3848" x14ac:dyDescent="0.2"/>
    <row r="3849" x14ac:dyDescent="0.2"/>
    <row r="3850" x14ac:dyDescent="0.2"/>
    <row r="3851" x14ac:dyDescent="0.2"/>
    <row r="3852" x14ac:dyDescent="0.2"/>
    <row r="3853" x14ac:dyDescent="0.2"/>
    <row r="3854" x14ac:dyDescent="0.2"/>
    <row r="3855" x14ac:dyDescent="0.2"/>
    <row r="3856" x14ac:dyDescent="0.2"/>
    <row r="3857" x14ac:dyDescent="0.2"/>
    <row r="3858" x14ac:dyDescent="0.2"/>
    <row r="3859" x14ac:dyDescent="0.2"/>
    <row r="3860" x14ac:dyDescent="0.2"/>
    <row r="3861" x14ac:dyDescent="0.2"/>
    <row r="3862" x14ac:dyDescent="0.2"/>
    <row r="3863" x14ac:dyDescent="0.2"/>
    <row r="3864" x14ac:dyDescent="0.2"/>
    <row r="3865" x14ac:dyDescent="0.2"/>
    <row r="3866" x14ac:dyDescent="0.2"/>
    <row r="3867" x14ac:dyDescent="0.2"/>
    <row r="3868" x14ac:dyDescent="0.2"/>
    <row r="3869" x14ac:dyDescent="0.2"/>
    <row r="3870" x14ac:dyDescent="0.2"/>
    <row r="3871" x14ac:dyDescent="0.2"/>
    <row r="3872" x14ac:dyDescent="0.2"/>
    <row r="3873" x14ac:dyDescent="0.2"/>
    <row r="3874" x14ac:dyDescent="0.2"/>
    <row r="3875" x14ac:dyDescent="0.2"/>
    <row r="3876" x14ac:dyDescent="0.2"/>
    <row r="3877" x14ac:dyDescent="0.2"/>
    <row r="3878" x14ac:dyDescent="0.2"/>
    <row r="3879" x14ac:dyDescent="0.2"/>
    <row r="3880" x14ac:dyDescent="0.2"/>
    <row r="3881" x14ac:dyDescent="0.2"/>
    <row r="3882" x14ac:dyDescent="0.2"/>
    <row r="3883" x14ac:dyDescent="0.2"/>
    <row r="3884" x14ac:dyDescent="0.2"/>
    <row r="3885" x14ac:dyDescent="0.2"/>
    <row r="3886" x14ac:dyDescent="0.2"/>
    <row r="3887" x14ac:dyDescent="0.2"/>
    <row r="3888" x14ac:dyDescent="0.2"/>
    <row r="3889" x14ac:dyDescent="0.2"/>
    <row r="3890" x14ac:dyDescent="0.2"/>
    <row r="3891" x14ac:dyDescent="0.2"/>
    <row r="3892" x14ac:dyDescent="0.2"/>
    <row r="3893" x14ac:dyDescent="0.2"/>
    <row r="3894" x14ac:dyDescent="0.2"/>
    <row r="3895" x14ac:dyDescent="0.2"/>
    <row r="3896" x14ac:dyDescent="0.2"/>
    <row r="3897" x14ac:dyDescent="0.2"/>
    <row r="3898" x14ac:dyDescent="0.2"/>
    <row r="3899" x14ac:dyDescent="0.2"/>
    <row r="3900" x14ac:dyDescent="0.2"/>
    <row r="3901" x14ac:dyDescent="0.2"/>
    <row r="3902" x14ac:dyDescent="0.2"/>
    <row r="3903" x14ac:dyDescent="0.2"/>
    <row r="3904" x14ac:dyDescent="0.2"/>
    <row r="3905" x14ac:dyDescent="0.2"/>
    <row r="3906" x14ac:dyDescent="0.2"/>
    <row r="3907" x14ac:dyDescent="0.2"/>
    <row r="3908" x14ac:dyDescent="0.2"/>
    <row r="3909" x14ac:dyDescent="0.2"/>
    <row r="3910" x14ac:dyDescent="0.2"/>
    <row r="3911" x14ac:dyDescent="0.2"/>
    <row r="3912" x14ac:dyDescent="0.2"/>
    <row r="3913" x14ac:dyDescent="0.2"/>
    <row r="3914" x14ac:dyDescent="0.2"/>
    <row r="3915" x14ac:dyDescent="0.2"/>
    <row r="3916" x14ac:dyDescent="0.2"/>
    <row r="3917" x14ac:dyDescent="0.2"/>
    <row r="3918" x14ac:dyDescent="0.2"/>
    <row r="3919" x14ac:dyDescent="0.2"/>
    <row r="3920" x14ac:dyDescent="0.2"/>
    <row r="3921" x14ac:dyDescent="0.2"/>
    <row r="3922" x14ac:dyDescent="0.2"/>
    <row r="3923" x14ac:dyDescent="0.2"/>
    <row r="3924" x14ac:dyDescent="0.2"/>
    <row r="3925" x14ac:dyDescent="0.2"/>
    <row r="3926" x14ac:dyDescent="0.2"/>
    <row r="3927" x14ac:dyDescent="0.2"/>
    <row r="3928" x14ac:dyDescent="0.2"/>
    <row r="3929" x14ac:dyDescent="0.2"/>
    <row r="3930" x14ac:dyDescent="0.2"/>
    <row r="3931" x14ac:dyDescent="0.2"/>
    <row r="3932" x14ac:dyDescent="0.2"/>
    <row r="3933" x14ac:dyDescent="0.2"/>
    <row r="3934" x14ac:dyDescent="0.2"/>
    <row r="3935" x14ac:dyDescent="0.2"/>
    <row r="3936" x14ac:dyDescent="0.2"/>
    <row r="3937" x14ac:dyDescent="0.2"/>
    <row r="3938" x14ac:dyDescent="0.2"/>
    <row r="3939" x14ac:dyDescent="0.2"/>
    <row r="3940" x14ac:dyDescent="0.2"/>
    <row r="3941" x14ac:dyDescent="0.2"/>
    <row r="3942" x14ac:dyDescent="0.2"/>
    <row r="3943" x14ac:dyDescent="0.2"/>
    <row r="3944" x14ac:dyDescent="0.2"/>
    <row r="3945" x14ac:dyDescent="0.2"/>
    <row r="3946" x14ac:dyDescent="0.2"/>
    <row r="3947" x14ac:dyDescent="0.2"/>
    <row r="3948" x14ac:dyDescent="0.2"/>
    <row r="3949" x14ac:dyDescent="0.2"/>
    <row r="3950" x14ac:dyDescent="0.2"/>
    <row r="3951" x14ac:dyDescent="0.2"/>
    <row r="3952" x14ac:dyDescent="0.2"/>
    <row r="3953" x14ac:dyDescent="0.2"/>
    <row r="3954" x14ac:dyDescent="0.2"/>
    <row r="3955" x14ac:dyDescent="0.2"/>
    <row r="3956" x14ac:dyDescent="0.2"/>
    <row r="3957" x14ac:dyDescent="0.2"/>
    <row r="3958" x14ac:dyDescent="0.2"/>
    <row r="3959" x14ac:dyDescent="0.2"/>
    <row r="3960" x14ac:dyDescent="0.2"/>
    <row r="3961" x14ac:dyDescent="0.2"/>
    <row r="3962" x14ac:dyDescent="0.2"/>
    <row r="3963" x14ac:dyDescent="0.2"/>
    <row r="3964" x14ac:dyDescent="0.2"/>
    <row r="3965" x14ac:dyDescent="0.2"/>
    <row r="3966" x14ac:dyDescent="0.2"/>
    <row r="3967" x14ac:dyDescent="0.2"/>
    <row r="3968" x14ac:dyDescent="0.2"/>
    <row r="3969" x14ac:dyDescent="0.2"/>
    <row r="3970" x14ac:dyDescent="0.2"/>
    <row r="3971" x14ac:dyDescent="0.2"/>
    <row r="3972" x14ac:dyDescent="0.2"/>
    <row r="3973" x14ac:dyDescent="0.2"/>
    <row r="3974" x14ac:dyDescent="0.2"/>
    <row r="3975" x14ac:dyDescent="0.2"/>
    <row r="3976" x14ac:dyDescent="0.2"/>
    <row r="3977" x14ac:dyDescent="0.2"/>
    <row r="3978" x14ac:dyDescent="0.2"/>
    <row r="3979" x14ac:dyDescent="0.2"/>
    <row r="3980" x14ac:dyDescent="0.2"/>
    <row r="3981" x14ac:dyDescent="0.2"/>
    <row r="3982" x14ac:dyDescent="0.2"/>
    <row r="3983" x14ac:dyDescent="0.2"/>
    <row r="3984" x14ac:dyDescent="0.2"/>
    <row r="3985" x14ac:dyDescent="0.2"/>
    <row r="3986" x14ac:dyDescent="0.2"/>
    <row r="3987" x14ac:dyDescent="0.2"/>
    <row r="3988" x14ac:dyDescent="0.2"/>
    <row r="3989" x14ac:dyDescent="0.2"/>
    <row r="3990" x14ac:dyDescent="0.2"/>
    <row r="3991" x14ac:dyDescent="0.2"/>
    <row r="3992" x14ac:dyDescent="0.2"/>
    <row r="3993" x14ac:dyDescent="0.2"/>
    <row r="3994" x14ac:dyDescent="0.2"/>
    <row r="3995" x14ac:dyDescent="0.2"/>
    <row r="3996" x14ac:dyDescent="0.2"/>
    <row r="3997" x14ac:dyDescent="0.2"/>
    <row r="3998" x14ac:dyDescent="0.2"/>
    <row r="3999" x14ac:dyDescent="0.2"/>
    <row r="4000" x14ac:dyDescent="0.2"/>
    <row r="4001" x14ac:dyDescent="0.2"/>
    <row r="4002" x14ac:dyDescent="0.2"/>
    <row r="4003" x14ac:dyDescent="0.2"/>
    <row r="4004" x14ac:dyDescent="0.2"/>
    <row r="4005" x14ac:dyDescent="0.2"/>
    <row r="4006" x14ac:dyDescent="0.2"/>
    <row r="4007" x14ac:dyDescent="0.2"/>
    <row r="4008" x14ac:dyDescent="0.2"/>
    <row r="4009" x14ac:dyDescent="0.2"/>
    <row r="4010" x14ac:dyDescent="0.2"/>
    <row r="4011" x14ac:dyDescent="0.2"/>
    <row r="4012" x14ac:dyDescent="0.2"/>
    <row r="4013" x14ac:dyDescent="0.2"/>
    <row r="4014" x14ac:dyDescent="0.2"/>
    <row r="4015" x14ac:dyDescent="0.2"/>
    <row r="4016" x14ac:dyDescent="0.2"/>
    <row r="4017" x14ac:dyDescent="0.2"/>
    <row r="4018" x14ac:dyDescent="0.2"/>
    <row r="4019" x14ac:dyDescent="0.2"/>
    <row r="4020" x14ac:dyDescent="0.2"/>
    <row r="4021" x14ac:dyDescent="0.2"/>
    <row r="4022" x14ac:dyDescent="0.2"/>
    <row r="4023" x14ac:dyDescent="0.2"/>
    <row r="4024" x14ac:dyDescent="0.2"/>
    <row r="4025" x14ac:dyDescent="0.2"/>
    <row r="4026" x14ac:dyDescent="0.2"/>
    <row r="4027" x14ac:dyDescent="0.2"/>
    <row r="4028" x14ac:dyDescent="0.2"/>
    <row r="4029" x14ac:dyDescent="0.2"/>
    <row r="4030" x14ac:dyDescent="0.2"/>
    <row r="4031" x14ac:dyDescent="0.2"/>
    <row r="4032" x14ac:dyDescent="0.2"/>
    <row r="4033" x14ac:dyDescent="0.2"/>
    <row r="4034" x14ac:dyDescent="0.2"/>
    <row r="4035" x14ac:dyDescent="0.2"/>
    <row r="4036" x14ac:dyDescent="0.2"/>
    <row r="4037" x14ac:dyDescent="0.2"/>
    <row r="4038" x14ac:dyDescent="0.2"/>
    <row r="4039" x14ac:dyDescent="0.2"/>
    <row r="4040" x14ac:dyDescent="0.2"/>
    <row r="4041" x14ac:dyDescent="0.2"/>
    <row r="4042" x14ac:dyDescent="0.2"/>
    <row r="4043" x14ac:dyDescent="0.2"/>
    <row r="4044" x14ac:dyDescent="0.2"/>
    <row r="4045" x14ac:dyDescent="0.2"/>
    <row r="4046" x14ac:dyDescent="0.2"/>
    <row r="4047" x14ac:dyDescent="0.2"/>
    <row r="4048" x14ac:dyDescent="0.2"/>
    <row r="4049" x14ac:dyDescent="0.2"/>
    <row r="4050" x14ac:dyDescent="0.2"/>
    <row r="4051" x14ac:dyDescent="0.2"/>
    <row r="4052" x14ac:dyDescent="0.2"/>
    <row r="4053" x14ac:dyDescent="0.2"/>
    <row r="4054" x14ac:dyDescent="0.2"/>
    <row r="4055" x14ac:dyDescent="0.2"/>
    <row r="4056" x14ac:dyDescent="0.2"/>
    <row r="4057" x14ac:dyDescent="0.2"/>
    <row r="4058" x14ac:dyDescent="0.2"/>
    <row r="4059" x14ac:dyDescent="0.2"/>
    <row r="4060" x14ac:dyDescent="0.2"/>
    <row r="4061" x14ac:dyDescent="0.2"/>
    <row r="4062" x14ac:dyDescent="0.2"/>
    <row r="4063" x14ac:dyDescent="0.2"/>
    <row r="4064" x14ac:dyDescent="0.2"/>
    <row r="4065" x14ac:dyDescent="0.2"/>
    <row r="4066" x14ac:dyDescent="0.2"/>
    <row r="4067" x14ac:dyDescent="0.2"/>
    <row r="4068" x14ac:dyDescent="0.2"/>
    <row r="4069" x14ac:dyDescent="0.2"/>
    <row r="4070" x14ac:dyDescent="0.2"/>
    <row r="4071" x14ac:dyDescent="0.2"/>
    <row r="4072" x14ac:dyDescent="0.2"/>
    <row r="4073" x14ac:dyDescent="0.2"/>
    <row r="4074" x14ac:dyDescent="0.2"/>
    <row r="4075" x14ac:dyDescent="0.2"/>
    <row r="4076" x14ac:dyDescent="0.2"/>
    <row r="4077" x14ac:dyDescent="0.2"/>
    <row r="4078" x14ac:dyDescent="0.2"/>
    <row r="4079" x14ac:dyDescent="0.2"/>
    <row r="4080" x14ac:dyDescent="0.2"/>
    <row r="4081" x14ac:dyDescent="0.2"/>
    <row r="4082" x14ac:dyDescent="0.2"/>
    <row r="4083" x14ac:dyDescent="0.2"/>
    <row r="4084" x14ac:dyDescent="0.2"/>
    <row r="4085" x14ac:dyDescent="0.2"/>
    <row r="4086" x14ac:dyDescent="0.2"/>
    <row r="4087" x14ac:dyDescent="0.2"/>
    <row r="4088" x14ac:dyDescent="0.2"/>
    <row r="4089" x14ac:dyDescent="0.2"/>
    <row r="4090" x14ac:dyDescent="0.2"/>
    <row r="4091" x14ac:dyDescent="0.2"/>
    <row r="4092" x14ac:dyDescent="0.2"/>
    <row r="4093" x14ac:dyDescent="0.2"/>
    <row r="4094" x14ac:dyDescent="0.2"/>
    <row r="4095" x14ac:dyDescent="0.2"/>
    <row r="4096" x14ac:dyDescent="0.2"/>
    <row r="4097" x14ac:dyDescent="0.2"/>
    <row r="4098" x14ac:dyDescent="0.2"/>
    <row r="4099" x14ac:dyDescent="0.2"/>
    <row r="4100" x14ac:dyDescent="0.2"/>
    <row r="4101" x14ac:dyDescent="0.2"/>
    <row r="4102" x14ac:dyDescent="0.2"/>
    <row r="4103" x14ac:dyDescent="0.2"/>
    <row r="4104" x14ac:dyDescent="0.2"/>
    <row r="4105" x14ac:dyDescent="0.2"/>
    <row r="4106" x14ac:dyDescent="0.2"/>
    <row r="4107" x14ac:dyDescent="0.2"/>
    <row r="4108" x14ac:dyDescent="0.2"/>
    <row r="4109" x14ac:dyDescent="0.2"/>
    <row r="4110" x14ac:dyDescent="0.2"/>
    <row r="4111" x14ac:dyDescent="0.2"/>
    <row r="4112" x14ac:dyDescent="0.2"/>
    <row r="4113" x14ac:dyDescent="0.2"/>
    <row r="4114" x14ac:dyDescent="0.2"/>
    <row r="4115" x14ac:dyDescent="0.2"/>
    <row r="4116" x14ac:dyDescent="0.2"/>
    <row r="4117" x14ac:dyDescent="0.2"/>
    <row r="4118" x14ac:dyDescent="0.2"/>
    <row r="4119" x14ac:dyDescent="0.2"/>
    <row r="4120" x14ac:dyDescent="0.2"/>
    <row r="4121" x14ac:dyDescent="0.2"/>
    <row r="4122" x14ac:dyDescent="0.2"/>
    <row r="4123" x14ac:dyDescent="0.2"/>
    <row r="4124" x14ac:dyDescent="0.2"/>
    <row r="4125" x14ac:dyDescent="0.2"/>
    <row r="4126" x14ac:dyDescent="0.2"/>
    <row r="4127" x14ac:dyDescent="0.2"/>
    <row r="4128" x14ac:dyDescent="0.2"/>
    <row r="4129" x14ac:dyDescent="0.2"/>
    <row r="4130" x14ac:dyDescent="0.2"/>
    <row r="4131" x14ac:dyDescent="0.2"/>
    <row r="4132" x14ac:dyDescent="0.2"/>
    <row r="4133" x14ac:dyDescent="0.2"/>
    <row r="4134" x14ac:dyDescent="0.2"/>
    <row r="4135" x14ac:dyDescent="0.2"/>
    <row r="4136" x14ac:dyDescent="0.2"/>
    <row r="4137" x14ac:dyDescent="0.2"/>
    <row r="4138" x14ac:dyDescent="0.2"/>
    <row r="4139" x14ac:dyDescent="0.2"/>
    <row r="4140" x14ac:dyDescent="0.2"/>
    <row r="4141" x14ac:dyDescent="0.2"/>
    <row r="4142" x14ac:dyDescent="0.2"/>
    <row r="4143" x14ac:dyDescent="0.2"/>
    <row r="4144" x14ac:dyDescent="0.2"/>
    <row r="4145" x14ac:dyDescent="0.2"/>
    <row r="4146" x14ac:dyDescent="0.2"/>
    <row r="4147" x14ac:dyDescent="0.2"/>
    <row r="4148" x14ac:dyDescent="0.2"/>
    <row r="4149" x14ac:dyDescent="0.2"/>
    <row r="4150" x14ac:dyDescent="0.2"/>
    <row r="4151" x14ac:dyDescent="0.2"/>
    <row r="4152" x14ac:dyDescent="0.2"/>
    <row r="4153" x14ac:dyDescent="0.2"/>
    <row r="4154" x14ac:dyDescent="0.2"/>
    <row r="4155" x14ac:dyDescent="0.2"/>
    <row r="4156" x14ac:dyDescent="0.2"/>
    <row r="4157" x14ac:dyDescent="0.2"/>
    <row r="4158" x14ac:dyDescent="0.2"/>
    <row r="4159" x14ac:dyDescent="0.2"/>
    <row r="4160" x14ac:dyDescent="0.2"/>
    <row r="4161" x14ac:dyDescent="0.2"/>
    <row r="4162" x14ac:dyDescent="0.2"/>
    <row r="4163" x14ac:dyDescent="0.2"/>
    <row r="4164" x14ac:dyDescent="0.2"/>
    <row r="4165" x14ac:dyDescent="0.2"/>
    <row r="4166" x14ac:dyDescent="0.2"/>
    <row r="4167" x14ac:dyDescent="0.2"/>
    <row r="4168" x14ac:dyDescent="0.2"/>
    <row r="4169" x14ac:dyDescent="0.2"/>
    <row r="4170" x14ac:dyDescent="0.2"/>
    <row r="4171" x14ac:dyDescent="0.2"/>
    <row r="4172" x14ac:dyDescent="0.2"/>
    <row r="4173" x14ac:dyDescent="0.2"/>
    <row r="4174" x14ac:dyDescent="0.2"/>
    <row r="4175" x14ac:dyDescent="0.2"/>
    <row r="4176" x14ac:dyDescent="0.2"/>
    <row r="4177" x14ac:dyDescent="0.2"/>
    <row r="4178" x14ac:dyDescent="0.2"/>
    <row r="4179" x14ac:dyDescent="0.2"/>
    <row r="4180" x14ac:dyDescent="0.2"/>
    <row r="4181" x14ac:dyDescent="0.2"/>
    <row r="4182" x14ac:dyDescent="0.2"/>
    <row r="4183" x14ac:dyDescent="0.2"/>
    <row r="4184" x14ac:dyDescent="0.2"/>
    <row r="4185" x14ac:dyDescent="0.2"/>
    <row r="4186" x14ac:dyDescent="0.2"/>
    <row r="4187" x14ac:dyDescent="0.2"/>
    <row r="4188" x14ac:dyDescent="0.2"/>
    <row r="4189" x14ac:dyDescent="0.2"/>
    <row r="4190" x14ac:dyDescent="0.2"/>
    <row r="4191" x14ac:dyDescent="0.2"/>
    <row r="4192" x14ac:dyDescent="0.2"/>
    <row r="4193" x14ac:dyDescent="0.2"/>
    <row r="4194" x14ac:dyDescent="0.2"/>
    <row r="4195" x14ac:dyDescent="0.2"/>
    <row r="4196" x14ac:dyDescent="0.2"/>
    <row r="4197" x14ac:dyDescent="0.2"/>
    <row r="4198" x14ac:dyDescent="0.2"/>
    <row r="4199" x14ac:dyDescent="0.2"/>
    <row r="4200" x14ac:dyDescent="0.2"/>
    <row r="4201" x14ac:dyDescent="0.2"/>
    <row r="4202" x14ac:dyDescent="0.2"/>
    <row r="4203" x14ac:dyDescent="0.2"/>
    <row r="4204" x14ac:dyDescent="0.2"/>
    <row r="4205" x14ac:dyDescent="0.2"/>
    <row r="4206" x14ac:dyDescent="0.2"/>
    <row r="4207" x14ac:dyDescent="0.2"/>
    <row r="4208" x14ac:dyDescent="0.2"/>
    <row r="4209" x14ac:dyDescent="0.2"/>
    <row r="4210" x14ac:dyDescent="0.2"/>
    <row r="4211" x14ac:dyDescent="0.2"/>
    <row r="4212" x14ac:dyDescent="0.2"/>
    <row r="4213" x14ac:dyDescent="0.2"/>
    <row r="4214" x14ac:dyDescent="0.2"/>
    <row r="4215" x14ac:dyDescent="0.2"/>
    <row r="4216" x14ac:dyDescent="0.2"/>
    <row r="4217" x14ac:dyDescent="0.2"/>
    <row r="4218" x14ac:dyDescent="0.2"/>
    <row r="4219" x14ac:dyDescent="0.2"/>
    <row r="4220" x14ac:dyDescent="0.2"/>
    <row r="4221" x14ac:dyDescent="0.2"/>
    <row r="4222" x14ac:dyDescent="0.2"/>
    <row r="4223" x14ac:dyDescent="0.2"/>
    <row r="4224" x14ac:dyDescent="0.2"/>
    <row r="4225" x14ac:dyDescent="0.2"/>
    <row r="4226" x14ac:dyDescent="0.2"/>
    <row r="4227" x14ac:dyDescent="0.2"/>
    <row r="4228" x14ac:dyDescent="0.2"/>
    <row r="4229" x14ac:dyDescent="0.2"/>
    <row r="4230" x14ac:dyDescent="0.2"/>
    <row r="4231" x14ac:dyDescent="0.2"/>
    <row r="4232" x14ac:dyDescent="0.2"/>
    <row r="4233" x14ac:dyDescent="0.2"/>
    <row r="4234" x14ac:dyDescent="0.2"/>
    <row r="4235" x14ac:dyDescent="0.2"/>
    <row r="4236" x14ac:dyDescent="0.2"/>
    <row r="4237" x14ac:dyDescent="0.2"/>
    <row r="4238" x14ac:dyDescent="0.2"/>
    <row r="4239" x14ac:dyDescent="0.2"/>
    <row r="4240" x14ac:dyDescent="0.2"/>
    <row r="4241" x14ac:dyDescent="0.2"/>
    <row r="4242" x14ac:dyDescent="0.2"/>
    <row r="4243" x14ac:dyDescent="0.2"/>
    <row r="4244" x14ac:dyDescent="0.2"/>
    <row r="4245" x14ac:dyDescent="0.2"/>
    <row r="4246" x14ac:dyDescent="0.2"/>
    <row r="4247" x14ac:dyDescent="0.2"/>
    <row r="4248" x14ac:dyDescent="0.2"/>
    <row r="4249" x14ac:dyDescent="0.2"/>
    <row r="4250" x14ac:dyDescent="0.2"/>
    <row r="4251" x14ac:dyDescent="0.2"/>
    <row r="4252" x14ac:dyDescent="0.2"/>
    <row r="4253" x14ac:dyDescent="0.2"/>
    <row r="4254" x14ac:dyDescent="0.2"/>
    <row r="4255" x14ac:dyDescent="0.2"/>
    <row r="4256" x14ac:dyDescent="0.2"/>
    <row r="4257" x14ac:dyDescent="0.2"/>
    <row r="4258" x14ac:dyDescent="0.2"/>
    <row r="4259" x14ac:dyDescent="0.2"/>
    <row r="4260" x14ac:dyDescent="0.2"/>
    <row r="4261" x14ac:dyDescent="0.2"/>
    <row r="4262" x14ac:dyDescent="0.2"/>
    <row r="4263" x14ac:dyDescent="0.2"/>
    <row r="4264" x14ac:dyDescent="0.2"/>
    <row r="4265" x14ac:dyDescent="0.2"/>
    <row r="4266" x14ac:dyDescent="0.2"/>
    <row r="4267" x14ac:dyDescent="0.2"/>
    <row r="4268" x14ac:dyDescent="0.2"/>
    <row r="4269" x14ac:dyDescent="0.2"/>
    <row r="4270" x14ac:dyDescent="0.2"/>
    <row r="4271" x14ac:dyDescent="0.2"/>
    <row r="4272" x14ac:dyDescent="0.2"/>
    <row r="4273" x14ac:dyDescent="0.2"/>
    <row r="4274" x14ac:dyDescent="0.2"/>
    <row r="4275" x14ac:dyDescent="0.2"/>
    <row r="4276" x14ac:dyDescent="0.2"/>
    <row r="4277" x14ac:dyDescent="0.2"/>
    <row r="4278" x14ac:dyDescent="0.2"/>
    <row r="4279" x14ac:dyDescent="0.2"/>
    <row r="4280" x14ac:dyDescent="0.2"/>
    <row r="4281" x14ac:dyDescent="0.2"/>
    <row r="4282" x14ac:dyDescent="0.2"/>
    <row r="4283" x14ac:dyDescent="0.2"/>
    <row r="4284" x14ac:dyDescent="0.2"/>
    <row r="4285" x14ac:dyDescent="0.2"/>
    <row r="4286" x14ac:dyDescent="0.2"/>
    <row r="4287" x14ac:dyDescent="0.2"/>
    <row r="4288" x14ac:dyDescent="0.2"/>
    <row r="4289" x14ac:dyDescent="0.2"/>
    <row r="4290" x14ac:dyDescent="0.2"/>
    <row r="4291" x14ac:dyDescent="0.2"/>
    <row r="4292" x14ac:dyDescent="0.2"/>
    <row r="4293" x14ac:dyDescent="0.2"/>
    <row r="4294" x14ac:dyDescent="0.2"/>
    <row r="4295" x14ac:dyDescent="0.2"/>
    <row r="4296" x14ac:dyDescent="0.2"/>
    <row r="4297" x14ac:dyDescent="0.2"/>
    <row r="4298" x14ac:dyDescent="0.2"/>
    <row r="4299" x14ac:dyDescent="0.2"/>
    <row r="4300" x14ac:dyDescent="0.2"/>
    <row r="4301" x14ac:dyDescent="0.2"/>
    <row r="4302" x14ac:dyDescent="0.2"/>
    <row r="4303" x14ac:dyDescent="0.2"/>
    <row r="4304" x14ac:dyDescent="0.2"/>
    <row r="4305" x14ac:dyDescent="0.2"/>
    <row r="4306" x14ac:dyDescent="0.2"/>
    <row r="4307" x14ac:dyDescent="0.2"/>
    <row r="4308" x14ac:dyDescent="0.2"/>
    <row r="4309" x14ac:dyDescent="0.2"/>
    <row r="4310" x14ac:dyDescent="0.2"/>
    <row r="4311" x14ac:dyDescent="0.2"/>
    <row r="4312" x14ac:dyDescent="0.2"/>
    <row r="4313" x14ac:dyDescent="0.2"/>
    <row r="4314" x14ac:dyDescent="0.2"/>
    <row r="4315" x14ac:dyDescent="0.2"/>
    <row r="4316" x14ac:dyDescent="0.2"/>
    <row r="4317" x14ac:dyDescent="0.2"/>
    <row r="4318" x14ac:dyDescent="0.2"/>
    <row r="4319" x14ac:dyDescent="0.2"/>
    <row r="4320" x14ac:dyDescent="0.2"/>
    <row r="4321" x14ac:dyDescent="0.2"/>
    <row r="4322" x14ac:dyDescent="0.2"/>
    <row r="4323" x14ac:dyDescent="0.2"/>
    <row r="4324" x14ac:dyDescent="0.2"/>
    <row r="4325" x14ac:dyDescent="0.2"/>
    <row r="4326" x14ac:dyDescent="0.2"/>
    <row r="4327" x14ac:dyDescent="0.2"/>
    <row r="4328" x14ac:dyDescent="0.2"/>
    <row r="4329" x14ac:dyDescent="0.2"/>
    <row r="4330" x14ac:dyDescent="0.2"/>
    <row r="4331" x14ac:dyDescent="0.2"/>
    <row r="4332" x14ac:dyDescent="0.2"/>
    <row r="4333" x14ac:dyDescent="0.2"/>
    <row r="4334" x14ac:dyDescent="0.2"/>
    <row r="4335" x14ac:dyDescent="0.2"/>
    <row r="4336" x14ac:dyDescent="0.2"/>
    <row r="4337" x14ac:dyDescent="0.2"/>
    <row r="4338" x14ac:dyDescent="0.2"/>
    <row r="4339" x14ac:dyDescent="0.2"/>
    <row r="4340" x14ac:dyDescent="0.2"/>
    <row r="4341" x14ac:dyDescent="0.2"/>
    <row r="4342" x14ac:dyDescent="0.2"/>
    <row r="4343" x14ac:dyDescent="0.2"/>
    <row r="4344" x14ac:dyDescent="0.2"/>
    <row r="4345" x14ac:dyDescent="0.2"/>
    <row r="4346" x14ac:dyDescent="0.2"/>
    <row r="4347" x14ac:dyDescent="0.2"/>
    <row r="4348" x14ac:dyDescent="0.2"/>
    <row r="4349" x14ac:dyDescent="0.2"/>
    <row r="4350" x14ac:dyDescent="0.2"/>
    <row r="4351" x14ac:dyDescent="0.2"/>
    <row r="4352" x14ac:dyDescent="0.2"/>
    <row r="4353" x14ac:dyDescent="0.2"/>
    <row r="4354" x14ac:dyDescent="0.2"/>
    <row r="4355" x14ac:dyDescent="0.2"/>
    <row r="4356" x14ac:dyDescent="0.2"/>
    <row r="4357" x14ac:dyDescent="0.2"/>
    <row r="4358" x14ac:dyDescent="0.2"/>
    <row r="4359" x14ac:dyDescent="0.2"/>
    <row r="4360" x14ac:dyDescent="0.2"/>
    <row r="4361" x14ac:dyDescent="0.2"/>
    <row r="4362" x14ac:dyDescent="0.2"/>
    <row r="4363" x14ac:dyDescent="0.2"/>
    <row r="4364" x14ac:dyDescent="0.2"/>
    <row r="4365" x14ac:dyDescent="0.2"/>
    <row r="4366" x14ac:dyDescent="0.2"/>
    <row r="4367" x14ac:dyDescent="0.2"/>
    <row r="4368" x14ac:dyDescent="0.2"/>
    <row r="4369" x14ac:dyDescent="0.2"/>
    <row r="4370" x14ac:dyDescent="0.2"/>
    <row r="4371" x14ac:dyDescent="0.2"/>
    <row r="4372" x14ac:dyDescent="0.2"/>
    <row r="4373" x14ac:dyDescent="0.2"/>
    <row r="4374" x14ac:dyDescent="0.2"/>
    <row r="4375" x14ac:dyDescent="0.2"/>
    <row r="4376" x14ac:dyDescent="0.2"/>
    <row r="4377" x14ac:dyDescent="0.2"/>
    <row r="4378" x14ac:dyDescent="0.2"/>
    <row r="4379" x14ac:dyDescent="0.2"/>
    <row r="4380" x14ac:dyDescent="0.2"/>
    <row r="4381" x14ac:dyDescent="0.2"/>
    <row r="4382" x14ac:dyDescent="0.2"/>
    <row r="4383" x14ac:dyDescent="0.2"/>
    <row r="4384" x14ac:dyDescent="0.2"/>
    <row r="4385" x14ac:dyDescent="0.2"/>
    <row r="4386" x14ac:dyDescent="0.2"/>
    <row r="4387" x14ac:dyDescent="0.2"/>
    <row r="4388" x14ac:dyDescent="0.2"/>
    <row r="4389" x14ac:dyDescent="0.2"/>
    <row r="4390" x14ac:dyDescent="0.2"/>
    <row r="4391" x14ac:dyDescent="0.2"/>
    <row r="4392" x14ac:dyDescent="0.2"/>
    <row r="4393" x14ac:dyDescent="0.2"/>
    <row r="4394" x14ac:dyDescent="0.2"/>
    <row r="4395" x14ac:dyDescent="0.2"/>
    <row r="4396" x14ac:dyDescent="0.2"/>
    <row r="4397" x14ac:dyDescent="0.2"/>
    <row r="4398" x14ac:dyDescent="0.2"/>
    <row r="4399" x14ac:dyDescent="0.2"/>
    <row r="4400" x14ac:dyDescent="0.2"/>
    <row r="4401" x14ac:dyDescent="0.2"/>
    <row r="4402" x14ac:dyDescent="0.2"/>
    <row r="4403" x14ac:dyDescent="0.2"/>
    <row r="4404" x14ac:dyDescent="0.2"/>
    <row r="4405" x14ac:dyDescent="0.2"/>
    <row r="4406" x14ac:dyDescent="0.2"/>
    <row r="4407" x14ac:dyDescent="0.2"/>
    <row r="4408" x14ac:dyDescent="0.2"/>
    <row r="4409" x14ac:dyDescent="0.2"/>
    <row r="4410" x14ac:dyDescent="0.2"/>
    <row r="4411" x14ac:dyDescent="0.2"/>
    <row r="4412" x14ac:dyDescent="0.2"/>
    <row r="4413" x14ac:dyDescent="0.2"/>
    <row r="4414" x14ac:dyDescent="0.2"/>
    <row r="4415" x14ac:dyDescent="0.2"/>
    <row r="4416" x14ac:dyDescent="0.2"/>
    <row r="4417" x14ac:dyDescent="0.2"/>
    <row r="4418" x14ac:dyDescent="0.2"/>
    <row r="4419" x14ac:dyDescent="0.2"/>
    <row r="4420" x14ac:dyDescent="0.2"/>
    <row r="4421" x14ac:dyDescent="0.2"/>
    <row r="4422" x14ac:dyDescent="0.2"/>
    <row r="4423" x14ac:dyDescent="0.2"/>
    <row r="4424" x14ac:dyDescent="0.2"/>
    <row r="4425" x14ac:dyDescent="0.2"/>
    <row r="4426" x14ac:dyDescent="0.2"/>
    <row r="4427" x14ac:dyDescent="0.2"/>
    <row r="4428" x14ac:dyDescent="0.2"/>
    <row r="4429" x14ac:dyDescent="0.2"/>
    <row r="4430" x14ac:dyDescent="0.2"/>
    <row r="4431" x14ac:dyDescent="0.2"/>
    <row r="4432" x14ac:dyDescent="0.2"/>
    <row r="4433" x14ac:dyDescent="0.2"/>
    <row r="4434" x14ac:dyDescent="0.2"/>
    <row r="4435" x14ac:dyDescent="0.2"/>
    <row r="4436" x14ac:dyDescent="0.2"/>
    <row r="4437" x14ac:dyDescent="0.2"/>
    <row r="4438" x14ac:dyDescent="0.2"/>
    <row r="4439" x14ac:dyDescent="0.2"/>
    <row r="4440" x14ac:dyDescent="0.2"/>
    <row r="4441" x14ac:dyDescent="0.2"/>
    <row r="4442" x14ac:dyDescent="0.2"/>
    <row r="4443" x14ac:dyDescent="0.2"/>
    <row r="4444" x14ac:dyDescent="0.2"/>
    <row r="4445" x14ac:dyDescent="0.2"/>
    <row r="4446" x14ac:dyDescent="0.2"/>
    <row r="4447" x14ac:dyDescent="0.2"/>
    <row r="4448" x14ac:dyDescent="0.2"/>
    <row r="4449" x14ac:dyDescent="0.2"/>
    <row r="4450" x14ac:dyDescent="0.2"/>
    <row r="4451" x14ac:dyDescent="0.2"/>
    <row r="4452" x14ac:dyDescent="0.2"/>
    <row r="4453" x14ac:dyDescent="0.2"/>
    <row r="4454" x14ac:dyDescent="0.2"/>
    <row r="4455" x14ac:dyDescent="0.2"/>
    <row r="4456" x14ac:dyDescent="0.2"/>
    <row r="4457" x14ac:dyDescent="0.2"/>
    <row r="4458" x14ac:dyDescent="0.2"/>
    <row r="4459" x14ac:dyDescent="0.2"/>
    <row r="4460" x14ac:dyDescent="0.2"/>
    <row r="4461" x14ac:dyDescent="0.2"/>
    <row r="4462" x14ac:dyDescent="0.2"/>
    <row r="4463" x14ac:dyDescent="0.2"/>
    <row r="4464" x14ac:dyDescent="0.2"/>
    <row r="4465" x14ac:dyDescent="0.2"/>
    <row r="4466" x14ac:dyDescent="0.2"/>
    <row r="4467" x14ac:dyDescent="0.2"/>
    <row r="4468" x14ac:dyDescent="0.2"/>
    <row r="4469" x14ac:dyDescent="0.2"/>
    <row r="4470" x14ac:dyDescent="0.2"/>
    <row r="4471" x14ac:dyDescent="0.2"/>
    <row r="4472" x14ac:dyDescent="0.2"/>
    <row r="4473" x14ac:dyDescent="0.2"/>
    <row r="4474" x14ac:dyDescent="0.2"/>
    <row r="4475" x14ac:dyDescent="0.2"/>
    <row r="4476" x14ac:dyDescent="0.2"/>
    <row r="4477" x14ac:dyDescent="0.2"/>
    <row r="4478" x14ac:dyDescent="0.2"/>
    <row r="4479" x14ac:dyDescent="0.2"/>
    <row r="4480" x14ac:dyDescent="0.2"/>
    <row r="4481" x14ac:dyDescent="0.2"/>
    <row r="4482" x14ac:dyDescent="0.2"/>
    <row r="4483" x14ac:dyDescent="0.2"/>
    <row r="4484" x14ac:dyDescent="0.2"/>
    <row r="4485" x14ac:dyDescent="0.2"/>
    <row r="4486" x14ac:dyDescent="0.2"/>
    <row r="4487" x14ac:dyDescent="0.2"/>
    <row r="4488" x14ac:dyDescent="0.2"/>
    <row r="4489" x14ac:dyDescent="0.2"/>
    <row r="4490" x14ac:dyDescent="0.2"/>
    <row r="4491" x14ac:dyDescent="0.2"/>
    <row r="4492" x14ac:dyDescent="0.2"/>
    <row r="4493" x14ac:dyDescent="0.2"/>
    <row r="4494" x14ac:dyDescent="0.2"/>
    <row r="4495" x14ac:dyDescent="0.2"/>
    <row r="4496" x14ac:dyDescent="0.2"/>
    <row r="4497" x14ac:dyDescent="0.2"/>
    <row r="4498" x14ac:dyDescent="0.2"/>
    <row r="4499" x14ac:dyDescent="0.2"/>
    <row r="4500" x14ac:dyDescent="0.2"/>
    <row r="4501" x14ac:dyDescent="0.2"/>
    <row r="4502" x14ac:dyDescent="0.2"/>
    <row r="4503" x14ac:dyDescent="0.2"/>
    <row r="4504" x14ac:dyDescent="0.2"/>
    <row r="4505" x14ac:dyDescent="0.2"/>
    <row r="4506" x14ac:dyDescent="0.2"/>
    <row r="4507" x14ac:dyDescent="0.2"/>
    <row r="4508" x14ac:dyDescent="0.2"/>
    <row r="4509" x14ac:dyDescent="0.2"/>
    <row r="4510" x14ac:dyDescent="0.2"/>
    <row r="4511" x14ac:dyDescent="0.2"/>
    <row r="4512" x14ac:dyDescent="0.2"/>
    <row r="4513" x14ac:dyDescent="0.2"/>
    <row r="4514" x14ac:dyDescent="0.2"/>
    <row r="4515" x14ac:dyDescent="0.2"/>
    <row r="4516" x14ac:dyDescent="0.2"/>
    <row r="4517" x14ac:dyDescent="0.2"/>
    <row r="4518" x14ac:dyDescent="0.2"/>
    <row r="4519" x14ac:dyDescent="0.2"/>
    <row r="4520" x14ac:dyDescent="0.2"/>
    <row r="4521" x14ac:dyDescent="0.2"/>
    <row r="4522" x14ac:dyDescent="0.2"/>
    <row r="4523" x14ac:dyDescent="0.2"/>
    <row r="4524" x14ac:dyDescent="0.2"/>
    <row r="4525" x14ac:dyDescent="0.2"/>
    <row r="4526" x14ac:dyDescent="0.2"/>
    <row r="4527" x14ac:dyDescent="0.2"/>
    <row r="4528" x14ac:dyDescent="0.2"/>
    <row r="4529" x14ac:dyDescent="0.2"/>
    <row r="4530" x14ac:dyDescent="0.2"/>
    <row r="4531" x14ac:dyDescent="0.2"/>
    <row r="4532" x14ac:dyDescent="0.2"/>
    <row r="4533" x14ac:dyDescent="0.2"/>
    <row r="4534" x14ac:dyDescent="0.2"/>
    <row r="4535" x14ac:dyDescent="0.2"/>
    <row r="4536" x14ac:dyDescent="0.2"/>
    <row r="4537" x14ac:dyDescent="0.2"/>
    <row r="4538" x14ac:dyDescent="0.2"/>
    <row r="4539" x14ac:dyDescent="0.2"/>
    <row r="4540" x14ac:dyDescent="0.2"/>
    <row r="4541" x14ac:dyDescent="0.2"/>
    <row r="4542" x14ac:dyDescent="0.2"/>
    <row r="4543" x14ac:dyDescent="0.2"/>
    <row r="4544" x14ac:dyDescent="0.2"/>
    <row r="4545" x14ac:dyDescent="0.2"/>
    <row r="4546" x14ac:dyDescent="0.2"/>
    <row r="4547" x14ac:dyDescent="0.2"/>
    <row r="4548" x14ac:dyDescent="0.2"/>
    <row r="4549" x14ac:dyDescent="0.2"/>
    <row r="4550" x14ac:dyDescent="0.2"/>
    <row r="4551" x14ac:dyDescent="0.2"/>
    <row r="4552" x14ac:dyDescent="0.2"/>
    <row r="4553" x14ac:dyDescent="0.2"/>
    <row r="4554" x14ac:dyDescent="0.2"/>
    <row r="4555" x14ac:dyDescent="0.2"/>
    <row r="4556" x14ac:dyDescent="0.2"/>
    <row r="4557" x14ac:dyDescent="0.2"/>
    <row r="4558" x14ac:dyDescent="0.2"/>
    <row r="4559" x14ac:dyDescent="0.2"/>
    <row r="4560" x14ac:dyDescent="0.2"/>
    <row r="4561" x14ac:dyDescent="0.2"/>
    <row r="4562" x14ac:dyDescent="0.2"/>
    <row r="4563" x14ac:dyDescent="0.2"/>
    <row r="4564" x14ac:dyDescent="0.2"/>
    <row r="4565" x14ac:dyDescent="0.2"/>
    <row r="4566" x14ac:dyDescent="0.2"/>
    <row r="4567" x14ac:dyDescent="0.2"/>
    <row r="4568" x14ac:dyDescent="0.2"/>
    <row r="4569" x14ac:dyDescent="0.2"/>
    <row r="4570" x14ac:dyDescent="0.2"/>
    <row r="4571" x14ac:dyDescent="0.2"/>
    <row r="4572" x14ac:dyDescent="0.2"/>
    <row r="4573" x14ac:dyDescent="0.2"/>
    <row r="4574" x14ac:dyDescent="0.2"/>
    <row r="4575" x14ac:dyDescent="0.2"/>
    <row r="4576" x14ac:dyDescent="0.2"/>
    <row r="4577" x14ac:dyDescent="0.2"/>
    <row r="4578" x14ac:dyDescent="0.2"/>
    <row r="4579" x14ac:dyDescent="0.2"/>
    <row r="4580" x14ac:dyDescent="0.2"/>
    <row r="4581" x14ac:dyDescent="0.2"/>
    <row r="4582" x14ac:dyDescent="0.2"/>
    <row r="4583" x14ac:dyDescent="0.2"/>
    <row r="4584" x14ac:dyDescent="0.2"/>
    <row r="4585" x14ac:dyDescent="0.2"/>
    <row r="4586" x14ac:dyDescent="0.2"/>
    <row r="4587" x14ac:dyDescent="0.2"/>
    <row r="4588" x14ac:dyDescent="0.2"/>
    <row r="4589" x14ac:dyDescent="0.2"/>
    <row r="4590" x14ac:dyDescent="0.2"/>
    <row r="4591" x14ac:dyDescent="0.2"/>
    <row r="4592" x14ac:dyDescent="0.2"/>
    <row r="4593" x14ac:dyDescent="0.2"/>
    <row r="4594" x14ac:dyDescent="0.2"/>
    <row r="4595" x14ac:dyDescent="0.2"/>
    <row r="4596" x14ac:dyDescent="0.2"/>
    <row r="4597" x14ac:dyDescent="0.2"/>
    <row r="4598" x14ac:dyDescent="0.2"/>
    <row r="4599" x14ac:dyDescent="0.2"/>
    <row r="4600" x14ac:dyDescent="0.2"/>
    <row r="4601" x14ac:dyDescent="0.2"/>
    <row r="4602" x14ac:dyDescent="0.2"/>
    <row r="4603" x14ac:dyDescent="0.2"/>
    <row r="4604" x14ac:dyDescent="0.2"/>
    <row r="4605" x14ac:dyDescent="0.2"/>
    <row r="4606" x14ac:dyDescent="0.2"/>
    <row r="4607" x14ac:dyDescent="0.2"/>
    <row r="4608" x14ac:dyDescent="0.2"/>
    <row r="4609" x14ac:dyDescent="0.2"/>
    <row r="4610" x14ac:dyDescent="0.2"/>
    <row r="4611" x14ac:dyDescent="0.2"/>
    <row r="4612" x14ac:dyDescent="0.2"/>
    <row r="4613" x14ac:dyDescent="0.2"/>
    <row r="4614" x14ac:dyDescent="0.2"/>
    <row r="4615" x14ac:dyDescent="0.2"/>
    <row r="4616" x14ac:dyDescent="0.2"/>
    <row r="4617" x14ac:dyDescent="0.2"/>
    <row r="4618" x14ac:dyDescent="0.2"/>
    <row r="4619" x14ac:dyDescent="0.2"/>
    <row r="4620" x14ac:dyDescent="0.2"/>
    <row r="4621" x14ac:dyDescent="0.2"/>
    <row r="4622" x14ac:dyDescent="0.2"/>
    <row r="4623" x14ac:dyDescent="0.2"/>
    <row r="4624" x14ac:dyDescent="0.2"/>
    <row r="4625" x14ac:dyDescent="0.2"/>
    <row r="4626" x14ac:dyDescent="0.2"/>
    <row r="4627" x14ac:dyDescent="0.2"/>
    <row r="4628" x14ac:dyDescent="0.2"/>
    <row r="4629" x14ac:dyDescent="0.2"/>
    <row r="4630" x14ac:dyDescent="0.2"/>
    <row r="4631" x14ac:dyDescent="0.2"/>
    <row r="4632" x14ac:dyDescent="0.2"/>
    <row r="4633" x14ac:dyDescent="0.2"/>
    <row r="4634" x14ac:dyDescent="0.2"/>
    <row r="4635" x14ac:dyDescent="0.2"/>
    <row r="4636" x14ac:dyDescent="0.2"/>
    <row r="4637" x14ac:dyDescent="0.2"/>
    <row r="4638" x14ac:dyDescent="0.2"/>
    <row r="4639" x14ac:dyDescent="0.2"/>
    <row r="4640" x14ac:dyDescent="0.2"/>
    <row r="4641" x14ac:dyDescent="0.2"/>
    <row r="4642" x14ac:dyDescent="0.2"/>
    <row r="4643" x14ac:dyDescent="0.2"/>
    <row r="4644" x14ac:dyDescent="0.2"/>
    <row r="4645" x14ac:dyDescent="0.2"/>
    <row r="4646" x14ac:dyDescent="0.2"/>
    <row r="4647" x14ac:dyDescent="0.2"/>
    <row r="4648" x14ac:dyDescent="0.2"/>
    <row r="4649" x14ac:dyDescent="0.2"/>
    <row r="4650" x14ac:dyDescent="0.2"/>
    <row r="4651" x14ac:dyDescent="0.2"/>
    <row r="4652" x14ac:dyDescent="0.2"/>
    <row r="4653" x14ac:dyDescent="0.2"/>
    <row r="4654" x14ac:dyDescent="0.2"/>
    <row r="4655" x14ac:dyDescent="0.2"/>
    <row r="4656" x14ac:dyDescent="0.2"/>
    <row r="4657" x14ac:dyDescent="0.2"/>
    <row r="4658" x14ac:dyDescent="0.2"/>
    <row r="4659" x14ac:dyDescent="0.2"/>
    <row r="4660" x14ac:dyDescent="0.2"/>
    <row r="4661" x14ac:dyDescent="0.2"/>
    <row r="4662" x14ac:dyDescent="0.2"/>
    <row r="4663" x14ac:dyDescent="0.2"/>
    <row r="4664" x14ac:dyDescent="0.2"/>
    <row r="4665" x14ac:dyDescent="0.2"/>
    <row r="4666" x14ac:dyDescent="0.2"/>
    <row r="4667" x14ac:dyDescent="0.2"/>
    <row r="4668" x14ac:dyDescent="0.2"/>
    <row r="4669" x14ac:dyDescent="0.2"/>
    <row r="4670" x14ac:dyDescent="0.2"/>
    <row r="4671" x14ac:dyDescent="0.2"/>
    <row r="4672" x14ac:dyDescent="0.2"/>
    <row r="4673" x14ac:dyDescent="0.2"/>
    <row r="4674" x14ac:dyDescent="0.2"/>
    <row r="4675" x14ac:dyDescent="0.2"/>
    <row r="4676" x14ac:dyDescent="0.2"/>
    <row r="4677" x14ac:dyDescent="0.2"/>
    <row r="4678" x14ac:dyDescent="0.2"/>
    <row r="4679" x14ac:dyDescent="0.2"/>
    <row r="4680" x14ac:dyDescent="0.2"/>
    <row r="4681" x14ac:dyDescent="0.2"/>
    <row r="4682" x14ac:dyDescent="0.2"/>
    <row r="4683" x14ac:dyDescent="0.2"/>
    <row r="4684" x14ac:dyDescent="0.2"/>
    <row r="4685" x14ac:dyDescent="0.2"/>
    <row r="4686" x14ac:dyDescent="0.2"/>
    <row r="4687" x14ac:dyDescent="0.2"/>
    <row r="4688" x14ac:dyDescent="0.2"/>
    <row r="4689" x14ac:dyDescent="0.2"/>
    <row r="4690" x14ac:dyDescent="0.2"/>
    <row r="4691" x14ac:dyDescent="0.2"/>
    <row r="4692" x14ac:dyDescent="0.2"/>
    <row r="4693" x14ac:dyDescent="0.2"/>
    <row r="4694" x14ac:dyDescent="0.2"/>
    <row r="4695" x14ac:dyDescent="0.2"/>
    <row r="4696" x14ac:dyDescent="0.2"/>
    <row r="4697" x14ac:dyDescent="0.2"/>
    <row r="4698" x14ac:dyDescent="0.2"/>
    <row r="4699" x14ac:dyDescent="0.2"/>
    <row r="4700" x14ac:dyDescent="0.2"/>
    <row r="4701" x14ac:dyDescent="0.2"/>
    <row r="4702" x14ac:dyDescent="0.2"/>
    <row r="4703" x14ac:dyDescent="0.2"/>
    <row r="4704" x14ac:dyDescent="0.2"/>
    <row r="4705" x14ac:dyDescent="0.2"/>
    <row r="4706" x14ac:dyDescent="0.2"/>
    <row r="4707" x14ac:dyDescent="0.2"/>
    <row r="4708" x14ac:dyDescent="0.2"/>
    <row r="4709" x14ac:dyDescent="0.2"/>
    <row r="4710" x14ac:dyDescent="0.2"/>
    <row r="4711" x14ac:dyDescent="0.2"/>
    <row r="4712" x14ac:dyDescent="0.2"/>
    <row r="4713" x14ac:dyDescent="0.2"/>
    <row r="4714" x14ac:dyDescent="0.2"/>
    <row r="4715" x14ac:dyDescent="0.2"/>
    <row r="4716" x14ac:dyDescent="0.2"/>
    <row r="4717" x14ac:dyDescent="0.2"/>
    <row r="4718" x14ac:dyDescent="0.2"/>
    <row r="4719" x14ac:dyDescent="0.2"/>
    <row r="4720" x14ac:dyDescent="0.2"/>
    <row r="4721" x14ac:dyDescent="0.2"/>
    <row r="4722" x14ac:dyDescent="0.2"/>
    <row r="4723" x14ac:dyDescent="0.2"/>
    <row r="4724" x14ac:dyDescent="0.2"/>
    <row r="4725" x14ac:dyDescent="0.2"/>
    <row r="4726" x14ac:dyDescent="0.2"/>
    <row r="4727" x14ac:dyDescent="0.2"/>
    <row r="4728" x14ac:dyDescent="0.2"/>
    <row r="4729" x14ac:dyDescent="0.2"/>
    <row r="4730" x14ac:dyDescent="0.2"/>
    <row r="4731" x14ac:dyDescent="0.2"/>
    <row r="4732" x14ac:dyDescent="0.2"/>
    <row r="4733" x14ac:dyDescent="0.2"/>
    <row r="4734" x14ac:dyDescent="0.2"/>
    <row r="4735" x14ac:dyDescent="0.2"/>
    <row r="4736" x14ac:dyDescent="0.2"/>
    <row r="4737" x14ac:dyDescent="0.2"/>
    <row r="4738" x14ac:dyDescent="0.2"/>
    <row r="4739" x14ac:dyDescent="0.2"/>
    <row r="4740" x14ac:dyDescent="0.2"/>
    <row r="4741" x14ac:dyDescent="0.2"/>
    <row r="4742" x14ac:dyDescent="0.2"/>
    <row r="4743" x14ac:dyDescent="0.2"/>
    <row r="4744" x14ac:dyDescent="0.2"/>
    <row r="4745" x14ac:dyDescent="0.2"/>
    <row r="4746" x14ac:dyDescent="0.2"/>
    <row r="4747" x14ac:dyDescent="0.2"/>
    <row r="4748" x14ac:dyDescent="0.2"/>
    <row r="4749" x14ac:dyDescent="0.2"/>
    <row r="4750" x14ac:dyDescent="0.2"/>
    <row r="4751" x14ac:dyDescent="0.2"/>
    <row r="4752" x14ac:dyDescent="0.2"/>
    <row r="4753" x14ac:dyDescent="0.2"/>
    <row r="4754" x14ac:dyDescent="0.2"/>
    <row r="4755" x14ac:dyDescent="0.2"/>
    <row r="4756" x14ac:dyDescent="0.2"/>
    <row r="4757" x14ac:dyDescent="0.2"/>
    <row r="4758" x14ac:dyDescent="0.2"/>
    <row r="4759" x14ac:dyDescent="0.2"/>
    <row r="4760" x14ac:dyDescent="0.2"/>
    <row r="4761" x14ac:dyDescent="0.2"/>
    <row r="4762" x14ac:dyDescent="0.2"/>
    <row r="4763" x14ac:dyDescent="0.2"/>
    <row r="4764" x14ac:dyDescent="0.2"/>
    <row r="4765" x14ac:dyDescent="0.2"/>
    <row r="4766" x14ac:dyDescent="0.2"/>
    <row r="4767" x14ac:dyDescent="0.2"/>
    <row r="4768" x14ac:dyDescent="0.2"/>
    <row r="4769" x14ac:dyDescent="0.2"/>
    <row r="4770" x14ac:dyDescent="0.2"/>
    <row r="4771" x14ac:dyDescent="0.2"/>
    <row r="4772" x14ac:dyDescent="0.2"/>
    <row r="4773" x14ac:dyDescent="0.2"/>
    <row r="4774" x14ac:dyDescent="0.2"/>
    <row r="4775" x14ac:dyDescent="0.2"/>
    <row r="4776" x14ac:dyDescent="0.2"/>
    <row r="4777" x14ac:dyDescent="0.2"/>
    <row r="4778" x14ac:dyDescent="0.2"/>
    <row r="4779" x14ac:dyDescent="0.2"/>
    <row r="4780" x14ac:dyDescent="0.2"/>
    <row r="4781" x14ac:dyDescent="0.2"/>
    <row r="4782" x14ac:dyDescent="0.2"/>
    <row r="4783" x14ac:dyDescent="0.2"/>
    <row r="4784" x14ac:dyDescent="0.2"/>
    <row r="4785" x14ac:dyDescent="0.2"/>
    <row r="4786" x14ac:dyDescent="0.2"/>
    <row r="4787" x14ac:dyDescent="0.2"/>
    <row r="4788" x14ac:dyDescent="0.2"/>
    <row r="4789" x14ac:dyDescent="0.2"/>
    <row r="4790" x14ac:dyDescent="0.2"/>
    <row r="4791" x14ac:dyDescent="0.2"/>
    <row r="4792" x14ac:dyDescent="0.2"/>
    <row r="4793" x14ac:dyDescent="0.2"/>
    <row r="4794" x14ac:dyDescent="0.2"/>
    <row r="4795" x14ac:dyDescent="0.2"/>
    <row r="4796" x14ac:dyDescent="0.2"/>
    <row r="4797" x14ac:dyDescent="0.2"/>
    <row r="4798" x14ac:dyDescent="0.2"/>
    <row r="4799" x14ac:dyDescent="0.2"/>
    <row r="4800" x14ac:dyDescent="0.2"/>
    <row r="4801" x14ac:dyDescent="0.2"/>
    <row r="4802" x14ac:dyDescent="0.2"/>
    <row r="4803" x14ac:dyDescent="0.2"/>
    <row r="4804" x14ac:dyDescent="0.2"/>
    <row r="4805" x14ac:dyDescent="0.2"/>
    <row r="4806" x14ac:dyDescent="0.2"/>
    <row r="4807" x14ac:dyDescent="0.2"/>
    <row r="4808" x14ac:dyDescent="0.2"/>
    <row r="4809" x14ac:dyDescent="0.2"/>
    <row r="4810" x14ac:dyDescent="0.2"/>
    <row r="4811" x14ac:dyDescent="0.2"/>
    <row r="4812" x14ac:dyDescent="0.2"/>
    <row r="4813" x14ac:dyDescent="0.2"/>
    <row r="4814" x14ac:dyDescent="0.2"/>
    <row r="4815" x14ac:dyDescent="0.2"/>
    <row r="4816" x14ac:dyDescent="0.2"/>
    <row r="4817" x14ac:dyDescent="0.2"/>
    <row r="4818" x14ac:dyDescent="0.2"/>
    <row r="4819" x14ac:dyDescent="0.2"/>
    <row r="4820" x14ac:dyDescent="0.2"/>
    <row r="4821" x14ac:dyDescent="0.2"/>
    <row r="4822" x14ac:dyDescent="0.2"/>
    <row r="4823" x14ac:dyDescent="0.2"/>
    <row r="4824" x14ac:dyDescent="0.2"/>
    <row r="4825" x14ac:dyDescent="0.2"/>
    <row r="4826" x14ac:dyDescent="0.2"/>
    <row r="4827" x14ac:dyDescent="0.2"/>
    <row r="4828" x14ac:dyDescent="0.2"/>
    <row r="4829" x14ac:dyDescent="0.2"/>
    <row r="4830" x14ac:dyDescent="0.2"/>
    <row r="4831" x14ac:dyDescent="0.2"/>
    <row r="4832" x14ac:dyDescent="0.2"/>
    <row r="4833" x14ac:dyDescent="0.2"/>
    <row r="4834" x14ac:dyDescent="0.2"/>
    <row r="4835" x14ac:dyDescent="0.2"/>
    <row r="4836" x14ac:dyDescent="0.2"/>
    <row r="4837" x14ac:dyDescent="0.2"/>
    <row r="4838" x14ac:dyDescent="0.2"/>
    <row r="4839" x14ac:dyDescent="0.2"/>
    <row r="4840" x14ac:dyDescent="0.2"/>
    <row r="4841" x14ac:dyDescent="0.2"/>
    <row r="4842" x14ac:dyDescent="0.2"/>
    <row r="4843" x14ac:dyDescent="0.2"/>
    <row r="4844" x14ac:dyDescent="0.2"/>
    <row r="4845" x14ac:dyDescent="0.2"/>
    <row r="4846" x14ac:dyDescent="0.2"/>
    <row r="4847" x14ac:dyDescent="0.2"/>
    <row r="4848" x14ac:dyDescent="0.2"/>
    <row r="4849" x14ac:dyDescent="0.2"/>
    <row r="4850" x14ac:dyDescent="0.2"/>
    <row r="4851" x14ac:dyDescent="0.2"/>
    <row r="4852" x14ac:dyDescent="0.2"/>
    <row r="4853" x14ac:dyDescent="0.2"/>
    <row r="4854" x14ac:dyDescent="0.2"/>
    <row r="4855" x14ac:dyDescent="0.2"/>
    <row r="4856" x14ac:dyDescent="0.2"/>
    <row r="4857" x14ac:dyDescent="0.2"/>
    <row r="4858" x14ac:dyDescent="0.2"/>
    <row r="4859" x14ac:dyDescent="0.2"/>
    <row r="4860" x14ac:dyDescent="0.2"/>
    <row r="4861" x14ac:dyDescent="0.2"/>
    <row r="4862" x14ac:dyDescent="0.2"/>
    <row r="4863" x14ac:dyDescent="0.2"/>
    <row r="4864" x14ac:dyDescent="0.2"/>
    <row r="4865" x14ac:dyDescent="0.2"/>
    <row r="4866" x14ac:dyDescent="0.2"/>
    <row r="4867" x14ac:dyDescent="0.2"/>
    <row r="4868" x14ac:dyDescent="0.2"/>
    <row r="4869" x14ac:dyDescent="0.2"/>
    <row r="4870" x14ac:dyDescent="0.2"/>
    <row r="4871" x14ac:dyDescent="0.2"/>
    <row r="4872" x14ac:dyDescent="0.2"/>
    <row r="4873" x14ac:dyDescent="0.2"/>
    <row r="4874" x14ac:dyDescent="0.2"/>
    <row r="4875" x14ac:dyDescent="0.2"/>
    <row r="4876" x14ac:dyDescent="0.2"/>
    <row r="4877" x14ac:dyDescent="0.2"/>
    <row r="4878" x14ac:dyDescent="0.2"/>
    <row r="4879" x14ac:dyDescent="0.2"/>
    <row r="4880" x14ac:dyDescent="0.2"/>
    <row r="4881" x14ac:dyDescent="0.2"/>
    <row r="4882" x14ac:dyDescent="0.2"/>
    <row r="4883" x14ac:dyDescent="0.2"/>
    <row r="4884" x14ac:dyDescent="0.2"/>
    <row r="4885" x14ac:dyDescent="0.2"/>
    <row r="4886" x14ac:dyDescent="0.2"/>
    <row r="4887" x14ac:dyDescent="0.2"/>
    <row r="4888" x14ac:dyDescent="0.2"/>
    <row r="4889" x14ac:dyDescent="0.2"/>
    <row r="4890" x14ac:dyDescent="0.2"/>
    <row r="4891" x14ac:dyDescent="0.2"/>
    <row r="4892" x14ac:dyDescent="0.2"/>
    <row r="4893" x14ac:dyDescent="0.2"/>
    <row r="4894" x14ac:dyDescent="0.2"/>
    <row r="4895" x14ac:dyDescent="0.2"/>
    <row r="4896" x14ac:dyDescent="0.2"/>
    <row r="4897" x14ac:dyDescent="0.2"/>
    <row r="4898" x14ac:dyDescent="0.2"/>
    <row r="4899" x14ac:dyDescent="0.2"/>
    <row r="4900" x14ac:dyDescent="0.2"/>
    <row r="4901" x14ac:dyDescent="0.2"/>
    <row r="4902" x14ac:dyDescent="0.2"/>
    <row r="4903" x14ac:dyDescent="0.2"/>
    <row r="4904" x14ac:dyDescent="0.2"/>
    <row r="4905" x14ac:dyDescent="0.2"/>
    <row r="4906" x14ac:dyDescent="0.2"/>
    <row r="4907" x14ac:dyDescent="0.2"/>
    <row r="4908" x14ac:dyDescent="0.2"/>
    <row r="4909" x14ac:dyDescent="0.2"/>
    <row r="4910" x14ac:dyDescent="0.2"/>
    <row r="4911" x14ac:dyDescent="0.2"/>
    <row r="4912" x14ac:dyDescent="0.2"/>
    <row r="4913" x14ac:dyDescent="0.2"/>
    <row r="4914" x14ac:dyDescent="0.2"/>
    <row r="4915" x14ac:dyDescent="0.2"/>
    <row r="4916" x14ac:dyDescent="0.2"/>
    <row r="4917" x14ac:dyDescent="0.2"/>
    <row r="4918" x14ac:dyDescent="0.2"/>
    <row r="4919" x14ac:dyDescent="0.2"/>
    <row r="4920" x14ac:dyDescent="0.2"/>
    <row r="4921" x14ac:dyDescent="0.2"/>
    <row r="4922" x14ac:dyDescent="0.2"/>
    <row r="4923" x14ac:dyDescent="0.2"/>
    <row r="4924" x14ac:dyDescent="0.2"/>
    <row r="4925" x14ac:dyDescent="0.2"/>
    <row r="4926" x14ac:dyDescent="0.2"/>
    <row r="4927" x14ac:dyDescent="0.2"/>
    <row r="4928" x14ac:dyDescent="0.2"/>
    <row r="4929" x14ac:dyDescent="0.2"/>
    <row r="4930" x14ac:dyDescent="0.2"/>
    <row r="4931" x14ac:dyDescent="0.2"/>
    <row r="4932" x14ac:dyDescent="0.2"/>
    <row r="4933" x14ac:dyDescent="0.2"/>
    <row r="4934" x14ac:dyDescent="0.2"/>
    <row r="4935" x14ac:dyDescent="0.2"/>
    <row r="4936" x14ac:dyDescent="0.2"/>
    <row r="4937" x14ac:dyDescent="0.2"/>
    <row r="4938" x14ac:dyDescent="0.2"/>
    <row r="4939" x14ac:dyDescent="0.2"/>
    <row r="4940" x14ac:dyDescent="0.2"/>
    <row r="4941" x14ac:dyDescent="0.2"/>
    <row r="4942" x14ac:dyDescent="0.2"/>
    <row r="4943" x14ac:dyDescent="0.2"/>
    <row r="4944" x14ac:dyDescent="0.2"/>
    <row r="4945" x14ac:dyDescent="0.2"/>
    <row r="4946" x14ac:dyDescent="0.2"/>
    <row r="4947" x14ac:dyDescent="0.2"/>
    <row r="4948" x14ac:dyDescent="0.2"/>
    <row r="4949" x14ac:dyDescent="0.2"/>
    <row r="4950" x14ac:dyDescent="0.2"/>
    <row r="4951" x14ac:dyDescent="0.2"/>
    <row r="4952" x14ac:dyDescent="0.2"/>
    <row r="4953" x14ac:dyDescent="0.2"/>
    <row r="4954" x14ac:dyDescent="0.2"/>
    <row r="4955" x14ac:dyDescent="0.2"/>
    <row r="4956" x14ac:dyDescent="0.2"/>
    <row r="4957" x14ac:dyDescent="0.2"/>
    <row r="4958" x14ac:dyDescent="0.2"/>
    <row r="4959" x14ac:dyDescent="0.2"/>
    <row r="4960" x14ac:dyDescent="0.2"/>
    <row r="4961" x14ac:dyDescent="0.2"/>
    <row r="4962" x14ac:dyDescent="0.2"/>
    <row r="4963" x14ac:dyDescent="0.2"/>
    <row r="4964" x14ac:dyDescent="0.2"/>
    <row r="4965" x14ac:dyDescent="0.2"/>
    <row r="4966" x14ac:dyDescent="0.2"/>
    <row r="4967" x14ac:dyDescent="0.2"/>
    <row r="4968" x14ac:dyDescent="0.2"/>
    <row r="4969" x14ac:dyDescent="0.2"/>
    <row r="4970" x14ac:dyDescent="0.2"/>
    <row r="4971" x14ac:dyDescent="0.2"/>
    <row r="4972" x14ac:dyDescent="0.2"/>
    <row r="4973" x14ac:dyDescent="0.2"/>
    <row r="4974" x14ac:dyDescent="0.2"/>
    <row r="4975" x14ac:dyDescent="0.2"/>
    <row r="4976" x14ac:dyDescent="0.2"/>
    <row r="4977" x14ac:dyDescent="0.2"/>
    <row r="4978" x14ac:dyDescent="0.2"/>
    <row r="4979" x14ac:dyDescent="0.2"/>
    <row r="4980" x14ac:dyDescent="0.2"/>
    <row r="4981" x14ac:dyDescent="0.2"/>
    <row r="4982" x14ac:dyDescent="0.2"/>
    <row r="4983" x14ac:dyDescent="0.2"/>
    <row r="4984" x14ac:dyDescent="0.2"/>
    <row r="4985" x14ac:dyDescent="0.2"/>
    <row r="4986" x14ac:dyDescent="0.2"/>
    <row r="4987" x14ac:dyDescent="0.2"/>
    <row r="4988" x14ac:dyDescent="0.2"/>
    <row r="4989" x14ac:dyDescent="0.2"/>
    <row r="4990" x14ac:dyDescent="0.2"/>
    <row r="4991" x14ac:dyDescent="0.2"/>
    <row r="4992" x14ac:dyDescent="0.2"/>
    <row r="4993" x14ac:dyDescent="0.2"/>
    <row r="4994" x14ac:dyDescent="0.2"/>
    <row r="4995" x14ac:dyDescent="0.2"/>
    <row r="4996" x14ac:dyDescent="0.2"/>
    <row r="4997" x14ac:dyDescent="0.2"/>
    <row r="4998" x14ac:dyDescent="0.2"/>
    <row r="4999" x14ac:dyDescent="0.2"/>
    <row r="5000" x14ac:dyDescent="0.2"/>
    <row r="5001" x14ac:dyDescent="0.2"/>
    <row r="5002" x14ac:dyDescent="0.2"/>
    <row r="5003" x14ac:dyDescent="0.2"/>
    <row r="5004" x14ac:dyDescent="0.2"/>
    <row r="5005" x14ac:dyDescent="0.2"/>
    <row r="5006" x14ac:dyDescent="0.2"/>
    <row r="5007" x14ac:dyDescent="0.2"/>
    <row r="5008" x14ac:dyDescent="0.2"/>
    <row r="5009" x14ac:dyDescent="0.2"/>
    <row r="5010" x14ac:dyDescent="0.2"/>
    <row r="5011" x14ac:dyDescent="0.2"/>
    <row r="5012" x14ac:dyDescent="0.2"/>
    <row r="5013" x14ac:dyDescent="0.2"/>
    <row r="5014" x14ac:dyDescent="0.2"/>
    <row r="5015" x14ac:dyDescent="0.2"/>
    <row r="5016" x14ac:dyDescent="0.2"/>
    <row r="5017" x14ac:dyDescent="0.2"/>
    <row r="5018" x14ac:dyDescent="0.2"/>
    <row r="5019" x14ac:dyDescent="0.2"/>
    <row r="5020" x14ac:dyDescent="0.2"/>
    <row r="5021" x14ac:dyDescent="0.2"/>
    <row r="5022" x14ac:dyDescent="0.2"/>
    <row r="5023" x14ac:dyDescent="0.2"/>
    <row r="5024" x14ac:dyDescent="0.2"/>
    <row r="5025" x14ac:dyDescent="0.2"/>
    <row r="5026" x14ac:dyDescent="0.2"/>
    <row r="5027" x14ac:dyDescent="0.2"/>
    <row r="5028" x14ac:dyDescent="0.2"/>
    <row r="5029" x14ac:dyDescent="0.2"/>
    <row r="5030" x14ac:dyDescent="0.2"/>
    <row r="5031" x14ac:dyDescent="0.2"/>
    <row r="5032" x14ac:dyDescent="0.2"/>
    <row r="5033" x14ac:dyDescent="0.2"/>
    <row r="5034" x14ac:dyDescent="0.2"/>
    <row r="5035" x14ac:dyDescent="0.2"/>
    <row r="5036" x14ac:dyDescent="0.2"/>
    <row r="5037" x14ac:dyDescent="0.2"/>
    <row r="5038" x14ac:dyDescent="0.2"/>
    <row r="5039" x14ac:dyDescent="0.2"/>
    <row r="5040" x14ac:dyDescent="0.2"/>
    <row r="5041" x14ac:dyDescent="0.2"/>
    <row r="5042" x14ac:dyDescent="0.2"/>
    <row r="5043" x14ac:dyDescent="0.2"/>
    <row r="5044" x14ac:dyDescent="0.2"/>
    <row r="5045" x14ac:dyDescent="0.2"/>
    <row r="5046" x14ac:dyDescent="0.2"/>
    <row r="5047" x14ac:dyDescent="0.2"/>
    <row r="5048" x14ac:dyDescent="0.2"/>
    <row r="5049" x14ac:dyDescent="0.2"/>
    <row r="5050" x14ac:dyDescent="0.2"/>
    <row r="5051" x14ac:dyDescent="0.2"/>
    <row r="5052" x14ac:dyDescent="0.2"/>
    <row r="5053" x14ac:dyDescent="0.2"/>
    <row r="5054" x14ac:dyDescent="0.2"/>
    <row r="5055" x14ac:dyDescent="0.2"/>
    <row r="5056" x14ac:dyDescent="0.2"/>
    <row r="5057" x14ac:dyDescent="0.2"/>
    <row r="5058" x14ac:dyDescent="0.2"/>
    <row r="5059" x14ac:dyDescent="0.2"/>
    <row r="5060" x14ac:dyDescent="0.2"/>
    <row r="5061" x14ac:dyDescent="0.2"/>
    <row r="5062" x14ac:dyDescent="0.2"/>
    <row r="5063" x14ac:dyDescent="0.2"/>
    <row r="5064" x14ac:dyDescent="0.2"/>
    <row r="5065" x14ac:dyDescent="0.2"/>
    <row r="5066" x14ac:dyDescent="0.2"/>
    <row r="5067" x14ac:dyDescent="0.2"/>
    <row r="5068" x14ac:dyDescent="0.2"/>
    <row r="5069" x14ac:dyDescent="0.2"/>
    <row r="5070" x14ac:dyDescent="0.2"/>
    <row r="5071" x14ac:dyDescent="0.2"/>
    <row r="5072" x14ac:dyDescent="0.2"/>
    <row r="5073" x14ac:dyDescent="0.2"/>
    <row r="5074" x14ac:dyDescent="0.2"/>
    <row r="5075" x14ac:dyDescent="0.2"/>
    <row r="5076" x14ac:dyDescent="0.2"/>
    <row r="5077" x14ac:dyDescent="0.2"/>
    <row r="5078" x14ac:dyDescent="0.2"/>
    <row r="5079" x14ac:dyDescent="0.2"/>
    <row r="5080" x14ac:dyDescent="0.2"/>
    <row r="5081" x14ac:dyDescent="0.2"/>
    <row r="5082" x14ac:dyDescent="0.2"/>
    <row r="5083" x14ac:dyDescent="0.2"/>
    <row r="5084" x14ac:dyDescent="0.2"/>
    <row r="5085" x14ac:dyDescent="0.2"/>
    <row r="5086" x14ac:dyDescent="0.2"/>
    <row r="5087" x14ac:dyDescent="0.2"/>
    <row r="5088" x14ac:dyDescent="0.2"/>
    <row r="5089" x14ac:dyDescent="0.2"/>
    <row r="5090" x14ac:dyDescent="0.2"/>
    <row r="5091" x14ac:dyDescent="0.2"/>
    <row r="5092" x14ac:dyDescent="0.2"/>
    <row r="5093" x14ac:dyDescent="0.2"/>
    <row r="5094" x14ac:dyDescent="0.2"/>
    <row r="5095" x14ac:dyDescent="0.2"/>
    <row r="5096" x14ac:dyDescent="0.2"/>
    <row r="5097" x14ac:dyDescent="0.2"/>
    <row r="5098" x14ac:dyDescent="0.2"/>
    <row r="5099" x14ac:dyDescent="0.2"/>
    <row r="5100" x14ac:dyDescent="0.2"/>
    <row r="5101" x14ac:dyDescent="0.2"/>
    <row r="5102" x14ac:dyDescent="0.2"/>
    <row r="5103" x14ac:dyDescent="0.2"/>
    <row r="5104" x14ac:dyDescent="0.2"/>
    <row r="5105" x14ac:dyDescent="0.2"/>
    <row r="5106" x14ac:dyDescent="0.2"/>
    <row r="5107" x14ac:dyDescent="0.2"/>
    <row r="5108" x14ac:dyDescent="0.2"/>
    <row r="5109" x14ac:dyDescent="0.2"/>
    <row r="5110" x14ac:dyDescent="0.2"/>
    <row r="5111" x14ac:dyDescent="0.2"/>
    <row r="5112" x14ac:dyDescent="0.2"/>
    <row r="5113" x14ac:dyDescent="0.2"/>
    <row r="5114" x14ac:dyDescent="0.2"/>
    <row r="5115" x14ac:dyDescent="0.2"/>
    <row r="5116" x14ac:dyDescent="0.2"/>
    <row r="5117" x14ac:dyDescent="0.2"/>
    <row r="5118" x14ac:dyDescent="0.2"/>
    <row r="5119" x14ac:dyDescent="0.2"/>
    <row r="5120" x14ac:dyDescent="0.2"/>
    <row r="5121" x14ac:dyDescent="0.2"/>
    <row r="5122" x14ac:dyDescent="0.2"/>
    <row r="5123" x14ac:dyDescent="0.2"/>
    <row r="5124" x14ac:dyDescent="0.2"/>
    <row r="5125" x14ac:dyDescent="0.2"/>
    <row r="5126" x14ac:dyDescent="0.2"/>
    <row r="5127" x14ac:dyDescent="0.2"/>
    <row r="5128" x14ac:dyDescent="0.2"/>
    <row r="5129" x14ac:dyDescent="0.2"/>
    <row r="5130" x14ac:dyDescent="0.2"/>
    <row r="5131" x14ac:dyDescent="0.2"/>
    <row r="5132" x14ac:dyDescent="0.2"/>
    <row r="5133" x14ac:dyDescent="0.2"/>
    <row r="5134" x14ac:dyDescent="0.2"/>
    <row r="5135" x14ac:dyDescent="0.2"/>
    <row r="5136" x14ac:dyDescent="0.2"/>
    <row r="5137" x14ac:dyDescent="0.2"/>
    <row r="5138" x14ac:dyDescent="0.2"/>
    <row r="5139" x14ac:dyDescent="0.2"/>
    <row r="5140" x14ac:dyDescent="0.2"/>
    <row r="5141" x14ac:dyDescent="0.2"/>
    <row r="5142" x14ac:dyDescent="0.2"/>
    <row r="5143" x14ac:dyDescent="0.2"/>
    <row r="5144" x14ac:dyDescent="0.2"/>
    <row r="5145" x14ac:dyDescent="0.2"/>
    <row r="5146" x14ac:dyDescent="0.2"/>
    <row r="5147" x14ac:dyDescent="0.2"/>
    <row r="5148" x14ac:dyDescent="0.2"/>
    <row r="5149" x14ac:dyDescent="0.2"/>
    <row r="5150" x14ac:dyDescent="0.2"/>
    <row r="5151" x14ac:dyDescent="0.2"/>
    <row r="5152" x14ac:dyDescent="0.2"/>
    <row r="5153" x14ac:dyDescent="0.2"/>
    <row r="5154" x14ac:dyDescent="0.2"/>
    <row r="5155" x14ac:dyDescent="0.2"/>
    <row r="5156" x14ac:dyDescent="0.2"/>
    <row r="5157" x14ac:dyDescent="0.2"/>
    <row r="5158" x14ac:dyDescent="0.2"/>
    <row r="5159" x14ac:dyDescent="0.2"/>
    <row r="5160" x14ac:dyDescent="0.2"/>
    <row r="5161" x14ac:dyDescent="0.2"/>
    <row r="5162" x14ac:dyDescent="0.2"/>
    <row r="5163" x14ac:dyDescent="0.2"/>
    <row r="5164" x14ac:dyDescent="0.2"/>
    <row r="5165" x14ac:dyDescent="0.2"/>
    <row r="5166" x14ac:dyDescent="0.2"/>
    <row r="5167" x14ac:dyDescent="0.2"/>
    <row r="5168" x14ac:dyDescent="0.2"/>
    <row r="5169" x14ac:dyDescent="0.2"/>
    <row r="5170" x14ac:dyDescent="0.2"/>
    <row r="5171" x14ac:dyDescent="0.2"/>
    <row r="5172" x14ac:dyDescent="0.2"/>
    <row r="5173" x14ac:dyDescent="0.2"/>
    <row r="5174" x14ac:dyDescent="0.2"/>
    <row r="5175" x14ac:dyDescent="0.2"/>
    <row r="5176" x14ac:dyDescent="0.2"/>
    <row r="5177" x14ac:dyDescent="0.2"/>
    <row r="5178" x14ac:dyDescent="0.2"/>
    <row r="5179" x14ac:dyDescent="0.2"/>
    <row r="5180" x14ac:dyDescent="0.2"/>
    <row r="5181" x14ac:dyDescent="0.2"/>
    <row r="5182" x14ac:dyDescent="0.2"/>
    <row r="5183" x14ac:dyDescent="0.2"/>
    <row r="5184" x14ac:dyDescent="0.2"/>
    <row r="5185" x14ac:dyDescent="0.2"/>
    <row r="5186" x14ac:dyDescent="0.2"/>
    <row r="5187" x14ac:dyDescent="0.2"/>
    <row r="5188" x14ac:dyDescent="0.2"/>
    <row r="5189" x14ac:dyDescent="0.2"/>
    <row r="5190" x14ac:dyDescent="0.2"/>
    <row r="5191" x14ac:dyDescent="0.2"/>
    <row r="5192" x14ac:dyDescent="0.2"/>
    <row r="5193" x14ac:dyDescent="0.2"/>
    <row r="5194" x14ac:dyDescent="0.2"/>
    <row r="5195" x14ac:dyDescent="0.2"/>
    <row r="5196" x14ac:dyDescent="0.2"/>
    <row r="5197" x14ac:dyDescent="0.2"/>
    <row r="5198" x14ac:dyDescent="0.2"/>
    <row r="5199" x14ac:dyDescent="0.2"/>
    <row r="5200" x14ac:dyDescent="0.2"/>
    <row r="5201" x14ac:dyDescent="0.2"/>
    <row r="5202" x14ac:dyDescent="0.2"/>
    <row r="5203" x14ac:dyDescent="0.2"/>
    <row r="5204" x14ac:dyDescent="0.2"/>
    <row r="5205" x14ac:dyDescent="0.2"/>
    <row r="5206" x14ac:dyDescent="0.2"/>
    <row r="5207" x14ac:dyDescent="0.2"/>
    <row r="5208" x14ac:dyDescent="0.2"/>
    <row r="5209" x14ac:dyDescent="0.2"/>
    <row r="5210" x14ac:dyDescent="0.2"/>
    <row r="5211" x14ac:dyDescent="0.2"/>
    <row r="5212" x14ac:dyDescent="0.2"/>
    <row r="5213" x14ac:dyDescent="0.2"/>
    <row r="5214" x14ac:dyDescent="0.2"/>
    <row r="5215" x14ac:dyDescent="0.2"/>
    <row r="5216" x14ac:dyDescent="0.2"/>
    <row r="5217" x14ac:dyDescent="0.2"/>
    <row r="5218" x14ac:dyDescent="0.2"/>
    <row r="5219" x14ac:dyDescent="0.2"/>
    <row r="5220" x14ac:dyDescent="0.2"/>
    <row r="5221" x14ac:dyDescent="0.2"/>
    <row r="5222" x14ac:dyDescent="0.2"/>
    <row r="5223" x14ac:dyDescent="0.2"/>
    <row r="5224" x14ac:dyDescent="0.2"/>
    <row r="5225" x14ac:dyDescent="0.2"/>
    <row r="5226" x14ac:dyDescent="0.2"/>
    <row r="5227" x14ac:dyDescent="0.2"/>
    <row r="5228" x14ac:dyDescent="0.2"/>
    <row r="5229" x14ac:dyDescent="0.2"/>
    <row r="5230" x14ac:dyDescent="0.2"/>
    <row r="5231" x14ac:dyDescent="0.2"/>
    <row r="5232" x14ac:dyDescent="0.2"/>
    <row r="5233" x14ac:dyDescent="0.2"/>
    <row r="5234" x14ac:dyDescent="0.2"/>
    <row r="5235" x14ac:dyDescent="0.2"/>
    <row r="5236" x14ac:dyDescent="0.2"/>
    <row r="5237" x14ac:dyDescent="0.2"/>
    <row r="5238" x14ac:dyDescent="0.2"/>
    <row r="5239" x14ac:dyDescent="0.2"/>
    <row r="5240" x14ac:dyDescent="0.2"/>
    <row r="5241" x14ac:dyDescent="0.2"/>
    <row r="5242" x14ac:dyDescent="0.2"/>
    <row r="5243" x14ac:dyDescent="0.2"/>
    <row r="5244" x14ac:dyDescent="0.2"/>
    <row r="5245" x14ac:dyDescent="0.2"/>
    <row r="5246" x14ac:dyDescent="0.2"/>
    <row r="5247" x14ac:dyDescent="0.2"/>
    <row r="5248" x14ac:dyDescent="0.2"/>
    <row r="5249" x14ac:dyDescent="0.2"/>
    <row r="5250" x14ac:dyDescent="0.2"/>
    <row r="5251" x14ac:dyDescent="0.2"/>
    <row r="5252" x14ac:dyDescent="0.2"/>
    <row r="5253" x14ac:dyDescent="0.2"/>
    <row r="5254" x14ac:dyDescent="0.2"/>
    <row r="5255" x14ac:dyDescent="0.2"/>
    <row r="5256" x14ac:dyDescent="0.2"/>
    <row r="5257" x14ac:dyDescent="0.2"/>
    <row r="5258" x14ac:dyDescent="0.2"/>
    <row r="5259" x14ac:dyDescent="0.2"/>
    <row r="5260" x14ac:dyDescent="0.2"/>
    <row r="5261" x14ac:dyDescent="0.2"/>
    <row r="5262" x14ac:dyDescent="0.2"/>
    <row r="5263" x14ac:dyDescent="0.2"/>
    <row r="5264" x14ac:dyDescent="0.2"/>
    <row r="5265" x14ac:dyDescent="0.2"/>
    <row r="5266" x14ac:dyDescent="0.2"/>
    <row r="5267" x14ac:dyDescent="0.2"/>
    <row r="5268" x14ac:dyDescent="0.2"/>
    <row r="5269" x14ac:dyDescent="0.2"/>
    <row r="5270" x14ac:dyDescent="0.2"/>
    <row r="5271" x14ac:dyDescent="0.2"/>
    <row r="5272" x14ac:dyDescent="0.2"/>
    <row r="5273" x14ac:dyDescent="0.2"/>
    <row r="5274" x14ac:dyDescent="0.2"/>
    <row r="5275" x14ac:dyDescent="0.2"/>
    <row r="5276" x14ac:dyDescent="0.2"/>
    <row r="5277" x14ac:dyDescent="0.2"/>
    <row r="5278" x14ac:dyDescent="0.2"/>
    <row r="5279" x14ac:dyDescent="0.2"/>
    <row r="5280" x14ac:dyDescent="0.2"/>
    <row r="5281" x14ac:dyDescent="0.2"/>
    <row r="5282" x14ac:dyDescent="0.2"/>
    <row r="5283" x14ac:dyDescent="0.2"/>
    <row r="5284" x14ac:dyDescent="0.2"/>
    <row r="5285" x14ac:dyDescent="0.2"/>
    <row r="5286" x14ac:dyDescent="0.2"/>
    <row r="5287" x14ac:dyDescent="0.2"/>
    <row r="5288" x14ac:dyDescent="0.2"/>
    <row r="5289" x14ac:dyDescent="0.2"/>
    <row r="5290" x14ac:dyDescent="0.2"/>
    <row r="5291" x14ac:dyDescent="0.2"/>
    <row r="5292" x14ac:dyDescent="0.2"/>
    <row r="5293" x14ac:dyDescent="0.2"/>
    <row r="5294" x14ac:dyDescent="0.2"/>
    <row r="5295" x14ac:dyDescent="0.2"/>
    <row r="5296" x14ac:dyDescent="0.2"/>
    <row r="5297" x14ac:dyDescent="0.2"/>
    <row r="5298" x14ac:dyDescent="0.2"/>
    <row r="5299" x14ac:dyDescent="0.2"/>
    <row r="5300" x14ac:dyDescent="0.2"/>
    <row r="5301" x14ac:dyDescent="0.2"/>
    <row r="5302" x14ac:dyDescent="0.2"/>
    <row r="5303" x14ac:dyDescent="0.2"/>
    <row r="5304" x14ac:dyDescent="0.2"/>
    <row r="5305" x14ac:dyDescent="0.2"/>
    <row r="5306" x14ac:dyDescent="0.2"/>
    <row r="5307" x14ac:dyDescent="0.2"/>
    <row r="5308" x14ac:dyDescent="0.2"/>
    <row r="5309" x14ac:dyDescent="0.2"/>
    <row r="5310" x14ac:dyDescent="0.2"/>
    <row r="5311" x14ac:dyDescent="0.2"/>
    <row r="5312" x14ac:dyDescent="0.2"/>
    <row r="5313" x14ac:dyDescent="0.2"/>
    <row r="5314" x14ac:dyDescent="0.2"/>
    <row r="5315" x14ac:dyDescent="0.2"/>
    <row r="5316" x14ac:dyDescent="0.2"/>
    <row r="5317" x14ac:dyDescent="0.2"/>
    <row r="5318" x14ac:dyDescent="0.2"/>
    <row r="5319" x14ac:dyDescent="0.2"/>
    <row r="5320" x14ac:dyDescent="0.2"/>
    <row r="5321" x14ac:dyDescent="0.2"/>
    <row r="5322" x14ac:dyDescent="0.2"/>
    <row r="5323" x14ac:dyDescent="0.2"/>
    <row r="5324" x14ac:dyDescent="0.2"/>
    <row r="5325" x14ac:dyDescent="0.2"/>
    <row r="5326" x14ac:dyDescent="0.2"/>
    <row r="5327" x14ac:dyDescent="0.2"/>
    <row r="5328" x14ac:dyDescent="0.2"/>
    <row r="5329" x14ac:dyDescent="0.2"/>
    <row r="5330" x14ac:dyDescent="0.2"/>
    <row r="5331" x14ac:dyDescent="0.2"/>
    <row r="5332" x14ac:dyDescent="0.2"/>
    <row r="5333" x14ac:dyDescent="0.2"/>
    <row r="5334" x14ac:dyDescent="0.2"/>
    <row r="5335" x14ac:dyDescent="0.2"/>
    <row r="5336" x14ac:dyDescent="0.2"/>
    <row r="5337" x14ac:dyDescent="0.2"/>
    <row r="5338" x14ac:dyDescent="0.2"/>
    <row r="5339" x14ac:dyDescent="0.2"/>
    <row r="5340" x14ac:dyDescent="0.2"/>
    <row r="5341" x14ac:dyDescent="0.2"/>
    <row r="5342" x14ac:dyDescent="0.2"/>
    <row r="5343" x14ac:dyDescent="0.2"/>
    <row r="5344" x14ac:dyDescent="0.2"/>
    <row r="5345" x14ac:dyDescent="0.2"/>
    <row r="5346" x14ac:dyDescent="0.2"/>
    <row r="5347" x14ac:dyDescent="0.2"/>
    <row r="5348" x14ac:dyDescent="0.2"/>
    <row r="5349" x14ac:dyDescent="0.2"/>
    <row r="5350" x14ac:dyDescent="0.2"/>
    <row r="5351" x14ac:dyDescent="0.2"/>
    <row r="5352" x14ac:dyDescent="0.2"/>
    <row r="5353" x14ac:dyDescent="0.2"/>
    <row r="5354" x14ac:dyDescent="0.2"/>
    <row r="5355" x14ac:dyDescent="0.2"/>
    <row r="5356" x14ac:dyDescent="0.2"/>
    <row r="5357" x14ac:dyDescent="0.2"/>
    <row r="5358" x14ac:dyDescent="0.2"/>
    <row r="5359" x14ac:dyDescent="0.2"/>
    <row r="5360" x14ac:dyDescent="0.2"/>
    <row r="5361" x14ac:dyDescent="0.2"/>
    <row r="5362" x14ac:dyDescent="0.2"/>
    <row r="5363" x14ac:dyDescent="0.2"/>
    <row r="5364" x14ac:dyDescent="0.2"/>
    <row r="5365" x14ac:dyDescent="0.2"/>
    <row r="5366" x14ac:dyDescent="0.2"/>
    <row r="5367" x14ac:dyDescent="0.2"/>
    <row r="5368" x14ac:dyDescent="0.2"/>
    <row r="5369" x14ac:dyDescent="0.2"/>
    <row r="5370" x14ac:dyDescent="0.2"/>
    <row r="5371" x14ac:dyDescent="0.2"/>
    <row r="5372" x14ac:dyDescent="0.2"/>
    <row r="5373" x14ac:dyDescent="0.2"/>
    <row r="5374" x14ac:dyDescent="0.2"/>
    <row r="5375" x14ac:dyDescent="0.2"/>
    <row r="5376" x14ac:dyDescent="0.2"/>
    <row r="5377" x14ac:dyDescent="0.2"/>
    <row r="5378" x14ac:dyDescent="0.2"/>
    <row r="5379" x14ac:dyDescent="0.2"/>
    <row r="5380" x14ac:dyDescent="0.2"/>
    <row r="5381" x14ac:dyDescent="0.2"/>
    <row r="5382" x14ac:dyDescent="0.2"/>
    <row r="5383" x14ac:dyDescent="0.2"/>
    <row r="5384" x14ac:dyDescent="0.2"/>
    <row r="5385" x14ac:dyDescent="0.2"/>
    <row r="5386" x14ac:dyDescent="0.2"/>
    <row r="5387" x14ac:dyDescent="0.2"/>
    <row r="5388" x14ac:dyDescent="0.2"/>
    <row r="5389" x14ac:dyDescent="0.2"/>
    <row r="5390" x14ac:dyDescent="0.2"/>
    <row r="5391" x14ac:dyDescent="0.2"/>
    <row r="5392" x14ac:dyDescent="0.2"/>
    <row r="5393" x14ac:dyDescent="0.2"/>
    <row r="5394" x14ac:dyDescent="0.2"/>
    <row r="5395" x14ac:dyDescent="0.2"/>
    <row r="5396" x14ac:dyDescent="0.2"/>
    <row r="5397" x14ac:dyDescent="0.2"/>
    <row r="5398" x14ac:dyDescent="0.2"/>
    <row r="5399" x14ac:dyDescent="0.2"/>
    <row r="5400" x14ac:dyDescent="0.2"/>
    <row r="5401" x14ac:dyDescent="0.2"/>
    <row r="5402" x14ac:dyDescent="0.2"/>
    <row r="5403" x14ac:dyDescent="0.2"/>
    <row r="5404" x14ac:dyDescent="0.2"/>
    <row r="5405" x14ac:dyDescent="0.2"/>
    <row r="5406" x14ac:dyDescent="0.2"/>
    <row r="5407" x14ac:dyDescent="0.2"/>
    <row r="5408" x14ac:dyDescent="0.2"/>
    <row r="5409" x14ac:dyDescent="0.2"/>
    <row r="5410" x14ac:dyDescent="0.2"/>
    <row r="5411" x14ac:dyDescent="0.2"/>
    <row r="5412" x14ac:dyDescent="0.2"/>
    <row r="5413" x14ac:dyDescent="0.2"/>
    <row r="5414" x14ac:dyDescent="0.2"/>
    <row r="5415" x14ac:dyDescent="0.2"/>
    <row r="5416" x14ac:dyDescent="0.2"/>
    <row r="5417" x14ac:dyDescent="0.2"/>
    <row r="5418" x14ac:dyDescent="0.2"/>
    <row r="5419" x14ac:dyDescent="0.2"/>
    <row r="5420" x14ac:dyDescent="0.2"/>
    <row r="5421" x14ac:dyDescent="0.2"/>
    <row r="5422" x14ac:dyDescent="0.2"/>
    <row r="5423" x14ac:dyDescent="0.2"/>
    <row r="5424" x14ac:dyDescent="0.2"/>
    <row r="5425" x14ac:dyDescent="0.2"/>
    <row r="5426" x14ac:dyDescent="0.2"/>
    <row r="5427" x14ac:dyDescent="0.2"/>
    <row r="5428" x14ac:dyDescent="0.2"/>
    <row r="5429" x14ac:dyDescent="0.2"/>
    <row r="5430" x14ac:dyDescent="0.2"/>
    <row r="5431" x14ac:dyDescent="0.2"/>
    <row r="5432" x14ac:dyDescent="0.2"/>
    <row r="5433" x14ac:dyDescent="0.2"/>
    <row r="5434" x14ac:dyDescent="0.2"/>
    <row r="5435" x14ac:dyDescent="0.2"/>
    <row r="5436" x14ac:dyDescent="0.2"/>
    <row r="5437" x14ac:dyDescent="0.2"/>
    <row r="5438" x14ac:dyDescent="0.2"/>
    <row r="5439" x14ac:dyDescent="0.2"/>
    <row r="5440" x14ac:dyDescent="0.2"/>
    <row r="5441" x14ac:dyDescent="0.2"/>
    <row r="5442" x14ac:dyDescent="0.2"/>
    <row r="5443" x14ac:dyDescent="0.2"/>
    <row r="5444" x14ac:dyDescent="0.2"/>
    <row r="5445" x14ac:dyDescent="0.2"/>
    <row r="5446" x14ac:dyDescent="0.2"/>
    <row r="5447" x14ac:dyDescent="0.2"/>
    <row r="5448" x14ac:dyDescent="0.2"/>
    <row r="5449" x14ac:dyDescent="0.2"/>
    <row r="5450" x14ac:dyDescent="0.2"/>
    <row r="5451" x14ac:dyDescent="0.2"/>
    <row r="5452" x14ac:dyDescent="0.2"/>
    <row r="5453" x14ac:dyDescent="0.2"/>
    <row r="5454" x14ac:dyDescent="0.2"/>
    <row r="5455" x14ac:dyDescent="0.2"/>
    <row r="5456" x14ac:dyDescent="0.2"/>
    <row r="5457" x14ac:dyDescent="0.2"/>
    <row r="5458" x14ac:dyDescent="0.2"/>
    <row r="5459" x14ac:dyDescent="0.2"/>
    <row r="5460" x14ac:dyDescent="0.2"/>
    <row r="5461" x14ac:dyDescent="0.2"/>
    <row r="5462" x14ac:dyDescent="0.2"/>
    <row r="5463" x14ac:dyDescent="0.2"/>
    <row r="5464" x14ac:dyDescent="0.2"/>
    <row r="5465" x14ac:dyDescent="0.2"/>
    <row r="5466" x14ac:dyDescent="0.2"/>
    <row r="5467" x14ac:dyDescent="0.2"/>
    <row r="5468" x14ac:dyDescent="0.2"/>
    <row r="5469" x14ac:dyDescent="0.2"/>
    <row r="5470" x14ac:dyDescent="0.2"/>
    <row r="5471" x14ac:dyDescent="0.2"/>
    <row r="5472" x14ac:dyDescent="0.2"/>
    <row r="5473" x14ac:dyDescent="0.2"/>
    <row r="5474" x14ac:dyDescent="0.2"/>
    <row r="5475" x14ac:dyDescent="0.2"/>
    <row r="5476" x14ac:dyDescent="0.2"/>
    <row r="5477" x14ac:dyDescent="0.2"/>
    <row r="5478" x14ac:dyDescent="0.2"/>
    <row r="5479" x14ac:dyDescent="0.2"/>
    <row r="5480" x14ac:dyDescent="0.2"/>
    <row r="5481" x14ac:dyDescent="0.2"/>
    <row r="5482" x14ac:dyDescent="0.2"/>
    <row r="5483" x14ac:dyDescent="0.2"/>
    <row r="5484" x14ac:dyDescent="0.2"/>
    <row r="5485" x14ac:dyDescent="0.2"/>
    <row r="5486" x14ac:dyDescent="0.2"/>
    <row r="5487" x14ac:dyDescent="0.2"/>
    <row r="5488" x14ac:dyDescent="0.2"/>
    <row r="5489" x14ac:dyDescent="0.2"/>
    <row r="5490" x14ac:dyDescent="0.2"/>
    <row r="5491" x14ac:dyDescent="0.2"/>
    <row r="5492" x14ac:dyDescent="0.2"/>
    <row r="5493" x14ac:dyDescent="0.2"/>
    <row r="5494" x14ac:dyDescent="0.2"/>
    <row r="5495" x14ac:dyDescent="0.2"/>
    <row r="5496" x14ac:dyDescent="0.2"/>
    <row r="5497" x14ac:dyDescent="0.2"/>
    <row r="5498" x14ac:dyDescent="0.2"/>
    <row r="5499" x14ac:dyDescent="0.2"/>
    <row r="5500" x14ac:dyDescent="0.2"/>
    <row r="5501" x14ac:dyDescent="0.2"/>
    <row r="5502" x14ac:dyDescent="0.2"/>
    <row r="5503" x14ac:dyDescent="0.2"/>
    <row r="5504"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row r="8401" x14ac:dyDescent="0.2"/>
    <row r="8402" x14ac:dyDescent="0.2"/>
    <row r="8403" x14ac:dyDescent="0.2"/>
    <row r="8404" x14ac:dyDescent="0.2"/>
    <row r="8405" x14ac:dyDescent="0.2"/>
    <row r="8406" x14ac:dyDescent="0.2"/>
    <row r="8407" x14ac:dyDescent="0.2"/>
    <row r="8408" x14ac:dyDescent="0.2"/>
    <row r="8409" x14ac:dyDescent="0.2"/>
    <row r="8410" x14ac:dyDescent="0.2"/>
    <row r="8411" x14ac:dyDescent="0.2"/>
    <row r="8412" x14ac:dyDescent="0.2"/>
    <row r="8413" x14ac:dyDescent="0.2"/>
    <row r="8414" x14ac:dyDescent="0.2"/>
    <row r="8415" x14ac:dyDescent="0.2"/>
    <row r="8416" x14ac:dyDescent="0.2"/>
    <row r="8417" x14ac:dyDescent="0.2"/>
    <row r="8418" x14ac:dyDescent="0.2"/>
    <row r="8419" x14ac:dyDescent="0.2"/>
    <row r="8420" x14ac:dyDescent="0.2"/>
    <row r="8421" x14ac:dyDescent="0.2"/>
    <row r="8422" x14ac:dyDescent="0.2"/>
    <row r="8423" x14ac:dyDescent="0.2"/>
    <row r="8424" x14ac:dyDescent="0.2"/>
    <row r="8425" x14ac:dyDescent="0.2"/>
    <row r="8426" x14ac:dyDescent="0.2"/>
    <row r="8427" x14ac:dyDescent="0.2"/>
    <row r="8428" x14ac:dyDescent="0.2"/>
    <row r="8429" x14ac:dyDescent="0.2"/>
    <row r="8430" x14ac:dyDescent="0.2"/>
    <row r="8431" x14ac:dyDescent="0.2"/>
    <row r="8432" x14ac:dyDescent="0.2"/>
    <row r="8433" x14ac:dyDescent="0.2"/>
    <row r="8434" x14ac:dyDescent="0.2"/>
    <row r="8435" x14ac:dyDescent="0.2"/>
    <row r="8436" x14ac:dyDescent="0.2"/>
    <row r="8437" x14ac:dyDescent="0.2"/>
    <row r="8438" x14ac:dyDescent="0.2"/>
    <row r="8439" x14ac:dyDescent="0.2"/>
    <row r="8440" x14ac:dyDescent="0.2"/>
    <row r="8441" x14ac:dyDescent="0.2"/>
    <row r="8442" x14ac:dyDescent="0.2"/>
    <row r="8443" x14ac:dyDescent="0.2"/>
    <row r="8444" x14ac:dyDescent="0.2"/>
    <row r="8445" x14ac:dyDescent="0.2"/>
    <row r="8446" x14ac:dyDescent="0.2"/>
    <row r="8447" x14ac:dyDescent="0.2"/>
    <row r="8448" x14ac:dyDescent="0.2"/>
    <row r="8449" x14ac:dyDescent="0.2"/>
    <row r="8450" x14ac:dyDescent="0.2"/>
    <row r="8451" x14ac:dyDescent="0.2"/>
    <row r="8452" x14ac:dyDescent="0.2"/>
    <row r="8453" x14ac:dyDescent="0.2"/>
    <row r="8454" x14ac:dyDescent="0.2"/>
    <row r="8455" x14ac:dyDescent="0.2"/>
    <row r="8456" x14ac:dyDescent="0.2"/>
    <row r="8457" x14ac:dyDescent="0.2"/>
    <row r="8458" x14ac:dyDescent="0.2"/>
    <row r="8459" x14ac:dyDescent="0.2"/>
    <row r="8460" x14ac:dyDescent="0.2"/>
    <row r="8461" x14ac:dyDescent="0.2"/>
    <row r="8462" x14ac:dyDescent="0.2"/>
    <row r="8463" x14ac:dyDescent="0.2"/>
    <row r="8464" x14ac:dyDescent="0.2"/>
    <row r="8465" x14ac:dyDescent="0.2"/>
    <row r="8466" x14ac:dyDescent="0.2"/>
    <row r="8467" x14ac:dyDescent="0.2"/>
    <row r="8468" x14ac:dyDescent="0.2"/>
    <row r="8469" x14ac:dyDescent="0.2"/>
    <row r="8470" x14ac:dyDescent="0.2"/>
    <row r="8471" x14ac:dyDescent="0.2"/>
    <row r="8472" x14ac:dyDescent="0.2"/>
    <row r="8473" x14ac:dyDescent="0.2"/>
    <row r="8474" x14ac:dyDescent="0.2"/>
    <row r="8475" x14ac:dyDescent="0.2"/>
    <row r="8476" x14ac:dyDescent="0.2"/>
    <row r="8477" x14ac:dyDescent="0.2"/>
    <row r="8478" x14ac:dyDescent="0.2"/>
    <row r="8479" x14ac:dyDescent="0.2"/>
    <row r="8480" x14ac:dyDescent="0.2"/>
    <row r="8481" x14ac:dyDescent="0.2"/>
    <row r="8482" x14ac:dyDescent="0.2"/>
    <row r="8483" x14ac:dyDescent="0.2"/>
    <row r="8484" x14ac:dyDescent="0.2"/>
    <row r="8485" x14ac:dyDescent="0.2"/>
    <row r="8486" x14ac:dyDescent="0.2"/>
    <row r="8487" x14ac:dyDescent="0.2"/>
    <row r="8488" x14ac:dyDescent="0.2"/>
    <row r="8489" x14ac:dyDescent="0.2"/>
    <row r="8490" x14ac:dyDescent="0.2"/>
    <row r="8491" x14ac:dyDescent="0.2"/>
    <row r="8492" x14ac:dyDescent="0.2"/>
    <row r="8493" x14ac:dyDescent="0.2"/>
    <row r="8494" x14ac:dyDescent="0.2"/>
    <row r="8495" x14ac:dyDescent="0.2"/>
    <row r="8496" x14ac:dyDescent="0.2"/>
    <row r="8497" x14ac:dyDescent="0.2"/>
    <row r="8498" x14ac:dyDescent="0.2"/>
    <row r="8499" x14ac:dyDescent="0.2"/>
    <row r="8500" x14ac:dyDescent="0.2"/>
    <row r="8501" x14ac:dyDescent="0.2"/>
    <row r="8502" x14ac:dyDescent="0.2"/>
    <row r="8503" x14ac:dyDescent="0.2"/>
    <row r="8504" x14ac:dyDescent="0.2"/>
    <row r="8505" x14ac:dyDescent="0.2"/>
    <row r="8506" x14ac:dyDescent="0.2"/>
    <row r="8507" x14ac:dyDescent="0.2"/>
    <row r="8508" x14ac:dyDescent="0.2"/>
    <row r="8509" x14ac:dyDescent="0.2"/>
    <row r="8510" x14ac:dyDescent="0.2"/>
    <row r="8511" x14ac:dyDescent="0.2"/>
    <row r="8512" x14ac:dyDescent="0.2"/>
    <row r="8513" x14ac:dyDescent="0.2"/>
    <row r="8514" x14ac:dyDescent="0.2"/>
    <row r="8515" x14ac:dyDescent="0.2"/>
    <row r="8516" x14ac:dyDescent="0.2"/>
    <row r="8517" x14ac:dyDescent="0.2"/>
    <row r="8518" x14ac:dyDescent="0.2"/>
    <row r="8519" x14ac:dyDescent="0.2"/>
    <row r="8520" x14ac:dyDescent="0.2"/>
    <row r="8521" x14ac:dyDescent="0.2"/>
    <row r="8522" x14ac:dyDescent="0.2"/>
    <row r="8523" x14ac:dyDescent="0.2"/>
    <row r="8524" x14ac:dyDescent="0.2"/>
    <row r="8525" x14ac:dyDescent="0.2"/>
    <row r="8526" x14ac:dyDescent="0.2"/>
    <row r="8527" x14ac:dyDescent="0.2"/>
    <row r="8528" x14ac:dyDescent="0.2"/>
    <row r="8529" x14ac:dyDescent="0.2"/>
    <row r="8530" x14ac:dyDescent="0.2"/>
    <row r="8531" x14ac:dyDescent="0.2"/>
    <row r="8532" x14ac:dyDescent="0.2"/>
    <row r="8533" x14ac:dyDescent="0.2"/>
    <row r="8534" x14ac:dyDescent="0.2"/>
    <row r="8535" x14ac:dyDescent="0.2"/>
    <row r="8536" x14ac:dyDescent="0.2"/>
    <row r="8537" x14ac:dyDescent="0.2"/>
    <row r="8538" x14ac:dyDescent="0.2"/>
    <row r="8539" x14ac:dyDescent="0.2"/>
    <row r="8540" x14ac:dyDescent="0.2"/>
    <row r="8541" x14ac:dyDescent="0.2"/>
    <row r="8542" x14ac:dyDescent="0.2"/>
    <row r="8543" x14ac:dyDescent="0.2"/>
    <row r="8544" x14ac:dyDescent="0.2"/>
    <row r="8545" x14ac:dyDescent="0.2"/>
    <row r="8546" x14ac:dyDescent="0.2"/>
    <row r="8547" x14ac:dyDescent="0.2"/>
    <row r="8548" x14ac:dyDescent="0.2"/>
    <row r="8549" x14ac:dyDescent="0.2"/>
    <row r="8550" x14ac:dyDescent="0.2"/>
    <row r="8551" x14ac:dyDescent="0.2"/>
    <row r="8552" x14ac:dyDescent="0.2"/>
    <row r="8553" x14ac:dyDescent="0.2"/>
    <row r="8554" x14ac:dyDescent="0.2"/>
    <row r="8555" x14ac:dyDescent="0.2"/>
    <row r="8556" x14ac:dyDescent="0.2"/>
    <row r="8557" x14ac:dyDescent="0.2"/>
    <row r="8558" x14ac:dyDescent="0.2"/>
    <row r="8559" x14ac:dyDescent="0.2"/>
    <row r="8560" x14ac:dyDescent="0.2"/>
    <row r="8561" x14ac:dyDescent="0.2"/>
    <row r="8562" x14ac:dyDescent="0.2"/>
    <row r="8563" x14ac:dyDescent="0.2"/>
    <row r="8564" x14ac:dyDescent="0.2"/>
    <row r="8565" x14ac:dyDescent="0.2"/>
    <row r="8566" x14ac:dyDescent="0.2"/>
    <row r="8567" x14ac:dyDescent="0.2"/>
    <row r="8568" x14ac:dyDescent="0.2"/>
    <row r="8569" x14ac:dyDescent="0.2"/>
    <row r="8570" x14ac:dyDescent="0.2"/>
    <row r="8571" x14ac:dyDescent="0.2"/>
    <row r="8572" x14ac:dyDescent="0.2"/>
    <row r="8573" x14ac:dyDescent="0.2"/>
    <row r="8574" x14ac:dyDescent="0.2"/>
    <row r="8575" x14ac:dyDescent="0.2"/>
    <row r="8576" x14ac:dyDescent="0.2"/>
    <row r="8577" x14ac:dyDescent="0.2"/>
    <row r="8578" x14ac:dyDescent="0.2"/>
    <row r="8579" x14ac:dyDescent="0.2"/>
    <row r="8580" x14ac:dyDescent="0.2"/>
    <row r="8581" x14ac:dyDescent="0.2"/>
    <row r="8582" x14ac:dyDescent="0.2"/>
    <row r="8583" x14ac:dyDescent="0.2"/>
    <row r="8584" x14ac:dyDescent="0.2"/>
    <row r="8585" x14ac:dyDescent="0.2"/>
    <row r="8586" x14ac:dyDescent="0.2"/>
    <row r="8587" x14ac:dyDescent="0.2"/>
    <row r="8588" x14ac:dyDescent="0.2"/>
    <row r="8589" x14ac:dyDescent="0.2"/>
    <row r="8590" x14ac:dyDescent="0.2"/>
    <row r="8591" x14ac:dyDescent="0.2"/>
    <row r="8592" x14ac:dyDescent="0.2"/>
    <row r="8593" x14ac:dyDescent="0.2"/>
    <row r="8594" x14ac:dyDescent="0.2"/>
    <row r="8595" x14ac:dyDescent="0.2"/>
    <row r="8596" x14ac:dyDescent="0.2"/>
    <row r="8597" x14ac:dyDescent="0.2"/>
    <row r="8598" x14ac:dyDescent="0.2"/>
    <row r="8599" x14ac:dyDescent="0.2"/>
    <row r="8600" x14ac:dyDescent="0.2"/>
    <row r="8601" x14ac:dyDescent="0.2"/>
    <row r="8602" x14ac:dyDescent="0.2"/>
    <row r="8603" x14ac:dyDescent="0.2"/>
    <row r="8604" x14ac:dyDescent="0.2"/>
    <row r="8605" x14ac:dyDescent="0.2"/>
    <row r="8606" x14ac:dyDescent="0.2"/>
    <row r="8607" x14ac:dyDescent="0.2"/>
    <row r="8608" x14ac:dyDescent="0.2"/>
    <row r="8609" x14ac:dyDescent="0.2"/>
    <row r="8610" x14ac:dyDescent="0.2"/>
    <row r="8611" x14ac:dyDescent="0.2"/>
    <row r="8612" x14ac:dyDescent="0.2"/>
    <row r="8613" x14ac:dyDescent="0.2"/>
    <row r="8614" x14ac:dyDescent="0.2"/>
    <row r="8615" x14ac:dyDescent="0.2"/>
    <row r="8616" x14ac:dyDescent="0.2"/>
    <row r="8617" x14ac:dyDescent="0.2"/>
    <row r="8618" x14ac:dyDescent="0.2"/>
    <row r="8619" x14ac:dyDescent="0.2"/>
    <row r="8620" x14ac:dyDescent="0.2"/>
    <row r="8621" x14ac:dyDescent="0.2"/>
    <row r="8622" x14ac:dyDescent="0.2"/>
    <row r="8623" x14ac:dyDescent="0.2"/>
    <row r="8624" x14ac:dyDescent="0.2"/>
    <row r="8625" x14ac:dyDescent="0.2"/>
    <row r="8626" x14ac:dyDescent="0.2"/>
    <row r="8627" x14ac:dyDescent="0.2"/>
    <row r="8628" x14ac:dyDescent="0.2"/>
    <row r="8629" x14ac:dyDescent="0.2"/>
    <row r="8630" x14ac:dyDescent="0.2"/>
    <row r="8631" x14ac:dyDescent="0.2"/>
    <row r="8632" x14ac:dyDescent="0.2"/>
    <row r="8633" x14ac:dyDescent="0.2"/>
    <row r="8634" x14ac:dyDescent="0.2"/>
    <row r="8635" x14ac:dyDescent="0.2"/>
    <row r="8636" x14ac:dyDescent="0.2"/>
    <row r="8637" x14ac:dyDescent="0.2"/>
    <row r="8638" x14ac:dyDescent="0.2"/>
    <row r="8639" x14ac:dyDescent="0.2"/>
    <row r="8640" x14ac:dyDescent="0.2"/>
    <row r="8641" x14ac:dyDescent="0.2"/>
    <row r="8642" x14ac:dyDescent="0.2"/>
    <row r="8643" x14ac:dyDescent="0.2"/>
    <row r="8644" x14ac:dyDescent="0.2"/>
    <row r="8645" x14ac:dyDescent="0.2"/>
    <row r="8646" x14ac:dyDescent="0.2"/>
    <row r="8647" x14ac:dyDescent="0.2"/>
    <row r="8648" x14ac:dyDescent="0.2"/>
    <row r="8649" x14ac:dyDescent="0.2"/>
    <row r="8650" x14ac:dyDescent="0.2"/>
    <row r="8651" x14ac:dyDescent="0.2"/>
    <row r="8652" x14ac:dyDescent="0.2"/>
    <row r="8653" x14ac:dyDescent="0.2"/>
    <row r="8654" x14ac:dyDescent="0.2"/>
    <row r="8655" x14ac:dyDescent="0.2"/>
    <row r="8656" x14ac:dyDescent="0.2"/>
    <row r="8657" x14ac:dyDescent="0.2"/>
    <row r="8658" x14ac:dyDescent="0.2"/>
    <row r="8659" x14ac:dyDescent="0.2"/>
    <row r="8660" x14ac:dyDescent="0.2"/>
    <row r="8661" x14ac:dyDescent="0.2"/>
    <row r="8662" x14ac:dyDescent="0.2"/>
    <row r="8663" x14ac:dyDescent="0.2"/>
    <row r="8664" x14ac:dyDescent="0.2"/>
    <row r="8665" x14ac:dyDescent="0.2"/>
    <row r="8666" x14ac:dyDescent="0.2"/>
    <row r="8667" x14ac:dyDescent="0.2"/>
    <row r="8668" x14ac:dyDescent="0.2"/>
    <row r="8669" x14ac:dyDescent="0.2"/>
    <row r="8670" x14ac:dyDescent="0.2"/>
    <row r="8671" x14ac:dyDescent="0.2"/>
    <row r="8672" x14ac:dyDescent="0.2"/>
    <row r="8673" x14ac:dyDescent="0.2"/>
    <row r="8674" x14ac:dyDescent="0.2"/>
    <row r="8675" x14ac:dyDescent="0.2"/>
    <row r="8676" x14ac:dyDescent="0.2"/>
    <row r="8677" x14ac:dyDescent="0.2"/>
    <row r="8678" x14ac:dyDescent="0.2"/>
    <row r="8679" x14ac:dyDescent="0.2"/>
    <row r="8680" x14ac:dyDescent="0.2"/>
    <row r="8681" x14ac:dyDescent="0.2"/>
    <row r="8682" x14ac:dyDescent="0.2"/>
    <row r="8683" x14ac:dyDescent="0.2"/>
    <row r="8684" x14ac:dyDescent="0.2"/>
    <row r="8685" x14ac:dyDescent="0.2"/>
    <row r="8686" x14ac:dyDescent="0.2"/>
    <row r="8687" x14ac:dyDescent="0.2"/>
    <row r="8688" x14ac:dyDescent="0.2"/>
    <row r="8689" x14ac:dyDescent="0.2"/>
    <row r="8690" x14ac:dyDescent="0.2"/>
    <row r="8691" x14ac:dyDescent="0.2"/>
    <row r="8692" x14ac:dyDescent="0.2"/>
    <row r="8693" x14ac:dyDescent="0.2"/>
    <row r="8694" x14ac:dyDescent="0.2"/>
    <row r="8695" x14ac:dyDescent="0.2"/>
    <row r="8696" x14ac:dyDescent="0.2"/>
    <row r="8697" x14ac:dyDescent="0.2"/>
    <row r="8698" x14ac:dyDescent="0.2"/>
    <row r="8699" x14ac:dyDescent="0.2"/>
    <row r="8700" x14ac:dyDescent="0.2"/>
    <row r="8701" x14ac:dyDescent="0.2"/>
    <row r="8702" x14ac:dyDescent="0.2"/>
    <row r="8703" x14ac:dyDescent="0.2"/>
    <row r="8704" x14ac:dyDescent="0.2"/>
    <row r="8705" x14ac:dyDescent="0.2"/>
    <row r="8706" x14ac:dyDescent="0.2"/>
    <row r="8707" x14ac:dyDescent="0.2"/>
    <row r="8708" x14ac:dyDescent="0.2"/>
    <row r="8709" x14ac:dyDescent="0.2"/>
    <row r="8710" x14ac:dyDescent="0.2"/>
    <row r="8711" x14ac:dyDescent="0.2"/>
    <row r="8712" x14ac:dyDescent="0.2"/>
    <row r="8713" x14ac:dyDescent="0.2"/>
    <row r="8714" x14ac:dyDescent="0.2"/>
    <row r="8715" x14ac:dyDescent="0.2"/>
    <row r="8716" x14ac:dyDescent="0.2"/>
    <row r="8717" x14ac:dyDescent="0.2"/>
    <row r="8718" x14ac:dyDescent="0.2"/>
    <row r="8719" x14ac:dyDescent="0.2"/>
    <row r="8720" x14ac:dyDescent="0.2"/>
    <row r="8721" x14ac:dyDescent="0.2"/>
    <row r="8722" x14ac:dyDescent="0.2"/>
    <row r="8723" x14ac:dyDescent="0.2"/>
    <row r="8724" x14ac:dyDescent="0.2"/>
    <row r="8725" x14ac:dyDescent="0.2"/>
    <row r="8726" x14ac:dyDescent="0.2"/>
    <row r="8727" x14ac:dyDescent="0.2"/>
    <row r="8728" x14ac:dyDescent="0.2"/>
    <row r="8729" x14ac:dyDescent="0.2"/>
    <row r="8730" x14ac:dyDescent="0.2"/>
    <row r="8731" x14ac:dyDescent="0.2"/>
    <row r="8732" x14ac:dyDescent="0.2"/>
    <row r="8733" x14ac:dyDescent="0.2"/>
    <row r="8734" x14ac:dyDescent="0.2"/>
    <row r="8735" x14ac:dyDescent="0.2"/>
    <row r="8736" x14ac:dyDescent="0.2"/>
    <row r="8737" x14ac:dyDescent="0.2"/>
    <row r="8738" x14ac:dyDescent="0.2"/>
    <row r="8739" x14ac:dyDescent="0.2"/>
    <row r="8740" x14ac:dyDescent="0.2"/>
    <row r="8741" x14ac:dyDescent="0.2"/>
    <row r="8742" x14ac:dyDescent="0.2"/>
    <row r="8743" x14ac:dyDescent="0.2"/>
    <row r="8744" x14ac:dyDescent="0.2"/>
    <row r="8745" x14ac:dyDescent="0.2"/>
    <row r="8746" x14ac:dyDescent="0.2"/>
    <row r="8747" x14ac:dyDescent="0.2"/>
    <row r="8748" x14ac:dyDescent="0.2"/>
    <row r="8749" x14ac:dyDescent="0.2"/>
    <row r="8750" x14ac:dyDescent="0.2"/>
    <row r="8751" x14ac:dyDescent="0.2"/>
    <row r="8752" x14ac:dyDescent="0.2"/>
    <row r="8753" x14ac:dyDescent="0.2"/>
    <row r="8754" x14ac:dyDescent="0.2"/>
    <row r="8755" x14ac:dyDescent="0.2"/>
    <row r="8756" x14ac:dyDescent="0.2"/>
    <row r="8757" x14ac:dyDescent="0.2"/>
    <row r="8758" x14ac:dyDescent="0.2"/>
    <row r="8759" x14ac:dyDescent="0.2"/>
    <row r="8760" x14ac:dyDescent="0.2"/>
    <row r="8761" x14ac:dyDescent="0.2"/>
    <row r="8762" x14ac:dyDescent="0.2"/>
    <row r="8763" x14ac:dyDescent="0.2"/>
    <row r="8764" x14ac:dyDescent="0.2"/>
    <row r="8765" x14ac:dyDescent="0.2"/>
    <row r="8766" x14ac:dyDescent="0.2"/>
    <row r="8767" x14ac:dyDescent="0.2"/>
    <row r="8768" x14ac:dyDescent="0.2"/>
    <row r="8769" x14ac:dyDescent="0.2"/>
    <row r="8770" x14ac:dyDescent="0.2"/>
    <row r="8771" x14ac:dyDescent="0.2"/>
    <row r="8772" x14ac:dyDescent="0.2"/>
    <row r="8773" x14ac:dyDescent="0.2"/>
    <row r="8774" x14ac:dyDescent="0.2"/>
    <row r="8775" x14ac:dyDescent="0.2"/>
    <row r="8776" x14ac:dyDescent="0.2"/>
    <row r="8777" x14ac:dyDescent="0.2"/>
    <row r="8778" x14ac:dyDescent="0.2"/>
    <row r="8779" x14ac:dyDescent="0.2"/>
    <row r="8780" x14ac:dyDescent="0.2"/>
    <row r="8781" x14ac:dyDescent="0.2"/>
    <row r="8782" x14ac:dyDescent="0.2"/>
    <row r="8783" x14ac:dyDescent="0.2"/>
    <row r="8784" x14ac:dyDescent="0.2"/>
    <row r="8785" x14ac:dyDescent="0.2"/>
    <row r="8786" x14ac:dyDescent="0.2"/>
    <row r="8787" x14ac:dyDescent="0.2"/>
    <row r="8788" x14ac:dyDescent="0.2"/>
    <row r="8789" x14ac:dyDescent="0.2"/>
    <row r="8790" x14ac:dyDescent="0.2"/>
    <row r="8791" x14ac:dyDescent="0.2"/>
    <row r="8792" x14ac:dyDescent="0.2"/>
    <row r="8793" x14ac:dyDescent="0.2"/>
    <row r="8794" x14ac:dyDescent="0.2"/>
    <row r="8795" x14ac:dyDescent="0.2"/>
    <row r="8796" x14ac:dyDescent="0.2"/>
    <row r="8797" x14ac:dyDescent="0.2"/>
    <row r="8798" x14ac:dyDescent="0.2"/>
    <row r="8799" x14ac:dyDescent="0.2"/>
    <row r="8800" x14ac:dyDescent="0.2"/>
    <row r="8801" x14ac:dyDescent="0.2"/>
    <row r="8802" x14ac:dyDescent="0.2"/>
    <row r="8803" x14ac:dyDescent="0.2"/>
    <row r="8804" x14ac:dyDescent="0.2"/>
    <row r="8805" x14ac:dyDescent="0.2"/>
    <row r="8806" x14ac:dyDescent="0.2"/>
    <row r="8807" x14ac:dyDescent="0.2"/>
    <row r="8808" x14ac:dyDescent="0.2"/>
    <row r="8809" x14ac:dyDescent="0.2"/>
    <row r="8810" x14ac:dyDescent="0.2"/>
    <row r="8811" x14ac:dyDescent="0.2"/>
    <row r="8812" x14ac:dyDescent="0.2"/>
    <row r="8813" x14ac:dyDescent="0.2"/>
    <row r="8814" x14ac:dyDescent="0.2"/>
    <row r="8815" x14ac:dyDescent="0.2"/>
    <row r="8816" x14ac:dyDescent="0.2"/>
    <row r="8817" x14ac:dyDescent="0.2"/>
    <row r="8818" x14ac:dyDescent="0.2"/>
    <row r="8819" x14ac:dyDescent="0.2"/>
    <row r="8820" x14ac:dyDescent="0.2"/>
    <row r="8821" x14ac:dyDescent="0.2"/>
    <row r="8822" x14ac:dyDescent="0.2"/>
    <row r="8823" x14ac:dyDescent="0.2"/>
    <row r="8824" x14ac:dyDescent="0.2"/>
    <row r="8825" x14ac:dyDescent="0.2"/>
    <row r="8826" x14ac:dyDescent="0.2"/>
    <row r="8827" x14ac:dyDescent="0.2"/>
    <row r="8828" x14ac:dyDescent="0.2"/>
    <row r="8829" x14ac:dyDescent="0.2"/>
    <row r="8830" x14ac:dyDescent="0.2"/>
    <row r="8831" x14ac:dyDescent="0.2"/>
    <row r="8832" x14ac:dyDescent="0.2"/>
    <row r="8833" x14ac:dyDescent="0.2"/>
    <row r="8834" x14ac:dyDescent="0.2"/>
    <row r="8835" x14ac:dyDescent="0.2"/>
    <row r="8836" x14ac:dyDescent="0.2"/>
    <row r="8837" x14ac:dyDescent="0.2"/>
    <row r="8838" x14ac:dyDescent="0.2"/>
    <row r="8839" x14ac:dyDescent="0.2"/>
    <row r="8840" x14ac:dyDescent="0.2"/>
    <row r="8841" x14ac:dyDescent="0.2"/>
    <row r="8842" x14ac:dyDescent="0.2"/>
    <row r="8843" x14ac:dyDescent="0.2"/>
    <row r="8844" x14ac:dyDescent="0.2"/>
    <row r="8845" x14ac:dyDescent="0.2"/>
    <row r="8846" x14ac:dyDescent="0.2"/>
    <row r="8847" x14ac:dyDescent="0.2"/>
    <row r="8848" x14ac:dyDescent="0.2"/>
    <row r="8849" x14ac:dyDescent="0.2"/>
    <row r="8850" x14ac:dyDescent="0.2"/>
    <row r="8851" x14ac:dyDescent="0.2"/>
    <row r="8852" x14ac:dyDescent="0.2"/>
    <row r="8853" x14ac:dyDescent="0.2"/>
    <row r="8854" x14ac:dyDescent="0.2"/>
    <row r="8855" x14ac:dyDescent="0.2"/>
    <row r="8856" x14ac:dyDescent="0.2"/>
    <row r="8857" x14ac:dyDescent="0.2"/>
    <row r="8858" x14ac:dyDescent="0.2"/>
    <row r="8859" x14ac:dyDescent="0.2"/>
    <row r="8860" x14ac:dyDescent="0.2"/>
    <row r="8861" x14ac:dyDescent="0.2"/>
    <row r="8862" x14ac:dyDescent="0.2"/>
    <row r="8863" x14ac:dyDescent="0.2"/>
    <row r="8864" x14ac:dyDescent="0.2"/>
    <row r="8865" x14ac:dyDescent="0.2"/>
    <row r="8866" x14ac:dyDescent="0.2"/>
    <row r="8867" x14ac:dyDescent="0.2"/>
    <row r="8868" x14ac:dyDescent="0.2"/>
    <row r="8869" x14ac:dyDescent="0.2"/>
    <row r="8870" x14ac:dyDescent="0.2"/>
    <row r="8871" x14ac:dyDescent="0.2"/>
    <row r="8872" x14ac:dyDescent="0.2"/>
    <row r="8873" x14ac:dyDescent="0.2"/>
    <row r="8874" x14ac:dyDescent="0.2"/>
    <row r="8875" x14ac:dyDescent="0.2"/>
    <row r="8876" x14ac:dyDescent="0.2"/>
    <row r="8877" x14ac:dyDescent="0.2"/>
    <row r="8878" x14ac:dyDescent="0.2"/>
    <row r="8879" x14ac:dyDescent="0.2"/>
    <row r="8880" x14ac:dyDescent="0.2"/>
    <row r="8881" x14ac:dyDescent="0.2"/>
    <row r="8882" x14ac:dyDescent="0.2"/>
    <row r="8883" x14ac:dyDescent="0.2"/>
    <row r="8884" x14ac:dyDescent="0.2"/>
    <row r="8885" x14ac:dyDescent="0.2"/>
    <row r="8886" x14ac:dyDescent="0.2"/>
    <row r="8887" x14ac:dyDescent="0.2"/>
    <row r="8888" x14ac:dyDescent="0.2"/>
    <row r="8889" x14ac:dyDescent="0.2"/>
    <row r="8890" x14ac:dyDescent="0.2"/>
    <row r="8891" x14ac:dyDescent="0.2"/>
    <row r="8892" x14ac:dyDescent="0.2"/>
    <row r="8893" x14ac:dyDescent="0.2"/>
    <row r="8894" x14ac:dyDescent="0.2"/>
    <row r="8895" x14ac:dyDescent="0.2"/>
    <row r="8896" x14ac:dyDescent="0.2"/>
    <row r="8897" x14ac:dyDescent="0.2"/>
    <row r="8898" x14ac:dyDescent="0.2"/>
    <row r="8899" x14ac:dyDescent="0.2"/>
    <row r="8900" x14ac:dyDescent="0.2"/>
    <row r="8901" x14ac:dyDescent="0.2"/>
    <row r="8902" x14ac:dyDescent="0.2"/>
    <row r="8903" x14ac:dyDescent="0.2"/>
    <row r="8904" x14ac:dyDescent="0.2"/>
    <row r="8905" x14ac:dyDescent="0.2"/>
    <row r="8906" x14ac:dyDescent="0.2"/>
    <row r="8907" x14ac:dyDescent="0.2"/>
    <row r="8908" x14ac:dyDescent="0.2"/>
    <row r="8909" x14ac:dyDescent="0.2"/>
    <row r="8910" x14ac:dyDescent="0.2"/>
    <row r="8911" x14ac:dyDescent="0.2"/>
    <row r="8912" x14ac:dyDescent="0.2"/>
    <row r="8913" x14ac:dyDescent="0.2"/>
    <row r="8914" x14ac:dyDescent="0.2"/>
    <row r="8915" x14ac:dyDescent="0.2"/>
    <row r="8916" x14ac:dyDescent="0.2"/>
    <row r="8917" x14ac:dyDescent="0.2"/>
    <row r="8918" x14ac:dyDescent="0.2"/>
    <row r="8919" x14ac:dyDescent="0.2"/>
    <row r="8920" x14ac:dyDescent="0.2"/>
    <row r="8921" x14ac:dyDescent="0.2"/>
    <row r="8922" x14ac:dyDescent="0.2"/>
    <row r="8923" x14ac:dyDescent="0.2"/>
    <row r="8924" x14ac:dyDescent="0.2"/>
    <row r="8925" x14ac:dyDescent="0.2"/>
    <row r="8926" x14ac:dyDescent="0.2"/>
    <row r="8927" x14ac:dyDescent="0.2"/>
    <row r="8928" x14ac:dyDescent="0.2"/>
    <row r="8929" x14ac:dyDescent="0.2"/>
    <row r="8930" x14ac:dyDescent="0.2"/>
    <row r="8931" x14ac:dyDescent="0.2"/>
    <row r="8932" x14ac:dyDescent="0.2"/>
    <row r="8933" x14ac:dyDescent="0.2"/>
    <row r="8934" x14ac:dyDescent="0.2"/>
    <row r="8935" x14ac:dyDescent="0.2"/>
    <row r="8936" x14ac:dyDescent="0.2"/>
    <row r="8937" x14ac:dyDescent="0.2"/>
    <row r="8938" x14ac:dyDescent="0.2"/>
    <row r="8939" x14ac:dyDescent="0.2"/>
    <row r="8940" x14ac:dyDescent="0.2"/>
    <row r="8941" x14ac:dyDescent="0.2"/>
    <row r="8942" x14ac:dyDescent="0.2"/>
    <row r="8943" x14ac:dyDescent="0.2"/>
    <row r="8944" x14ac:dyDescent="0.2"/>
    <row r="8945" x14ac:dyDescent="0.2"/>
    <row r="8946" x14ac:dyDescent="0.2"/>
    <row r="8947" x14ac:dyDescent="0.2"/>
    <row r="8948" x14ac:dyDescent="0.2"/>
    <row r="8949" x14ac:dyDescent="0.2"/>
    <row r="8950" x14ac:dyDescent="0.2"/>
    <row r="8951" x14ac:dyDescent="0.2"/>
    <row r="8952" x14ac:dyDescent="0.2"/>
    <row r="8953" x14ac:dyDescent="0.2"/>
    <row r="8954" x14ac:dyDescent="0.2"/>
    <row r="8955" x14ac:dyDescent="0.2"/>
    <row r="8956" x14ac:dyDescent="0.2"/>
    <row r="8957" x14ac:dyDescent="0.2"/>
    <row r="8958" x14ac:dyDescent="0.2"/>
    <row r="8959" x14ac:dyDescent="0.2"/>
    <row r="8960" x14ac:dyDescent="0.2"/>
    <row r="8961" x14ac:dyDescent="0.2"/>
    <row r="8962" x14ac:dyDescent="0.2"/>
    <row r="8963" x14ac:dyDescent="0.2"/>
    <row r="8964" x14ac:dyDescent="0.2"/>
    <row r="8965" x14ac:dyDescent="0.2"/>
    <row r="8966" x14ac:dyDescent="0.2"/>
    <row r="8967" x14ac:dyDescent="0.2"/>
    <row r="8968" x14ac:dyDescent="0.2"/>
    <row r="8969" x14ac:dyDescent="0.2"/>
    <row r="8970" x14ac:dyDescent="0.2"/>
    <row r="8971" x14ac:dyDescent="0.2"/>
    <row r="8972" x14ac:dyDescent="0.2"/>
    <row r="8973" x14ac:dyDescent="0.2"/>
    <row r="8974" x14ac:dyDescent="0.2"/>
    <row r="8975" x14ac:dyDescent="0.2"/>
    <row r="8976" x14ac:dyDescent="0.2"/>
    <row r="8977" x14ac:dyDescent="0.2"/>
    <row r="8978" x14ac:dyDescent="0.2"/>
    <row r="8979" x14ac:dyDescent="0.2"/>
    <row r="8980" x14ac:dyDescent="0.2"/>
    <row r="8981" x14ac:dyDescent="0.2"/>
    <row r="8982" x14ac:dyDescent="0.2"/>
    <row r="8983" x14ac:dyDescent="0.2"/>
    <row r="8984" x14ac:dyDescent="0.2"/>
    <row r="8985" x14ac:dyDescent="0.2"/>
    <row r="8986" x14ac:dyDescent="0.2"/>
    <row r="8987" x14ac:dyDescent="0.2"/>
    <row r="8988" x14ac:dyDescent="0.2"/>
    <row r="8989" x14ac:dyDescent="0.2"/>
    <row r="8990" x14ac:dyDescent="0.2"/>
    <row r="8991" x14ac:dyDescent="0.2"/>
    <row r="8992" x14ac:dyDescent="0.2"/>
    <row r="8993" x14ac:dyDescent="0.2"/>
    <row r="8994" x14ac:dyDescent="0.2"/>
    <row r="8995" x14ac:dyDescent="0.2"/>
    <row r="8996" x14ac:dyDescent="0.2"/>
    <row r="8997" x14ac:dyDescent="0.2"/>
    <row r="8998" x14ac:dyDescent="0.2"/>
    <row r="8999" x14ac:dyDescent="0.2"/>
    <row r="9000" x14ac:dyDescent="0.2"/>
    <row r="9001" x14ac:dyDescent="0.2"/>
    <row r="9002" x14ac:dyDescent="0.2"/>
    <row r="9003" x14ac:dyDescent="0.2"/>
    <row r="9004" x14ac:dyDescent="0.2"/>
    <row r="9005" x14ac:dyDescent="0.2"/>
    <row r="9006" x14ac:dyDescent="0.2"/>
    <row r="9007" x14ac:dyDescent="0.2"/>
    <row r="9008" x14ac:dyDescent="0.2"/>
    <row r="9009" x14ac:dyDescent="0.2"/>
    <row r="9010" x14ac:dyDescent="0.2"/>
    <row r="9011" x14ac:dyDescent="0.2"/>
    <row r="9012" x14ac:dyDescent="0.2"/>
    <row r="9013" x14ac:dyDescent="0.2"/>
    <row r="9014" x14ac:dyDescent="0.2"/>
    <row r="9015" x14ac:dyDescent="0.2"/>
    <row r="9016" x14ac:dyDescent="0.2"/>
    <row r="9017" x14ac:dyDescent="0.2"/>
    <row r="9018" x14ac:dyDescent="0.2"/>
    <row r="9019" x14ac:dyDescent="0.2"/>
    <row r="9020" x14ac:dyDescent="0.2"/>
    <row r="9021" x14ac:dyDescent="0.2"/>
    <row r="9022" x14ac:dyDescent="0.2"/>
    <row r="9023" x14ac:dyDescent="0.2"/>
    <row r="9024" x14ac:dyDescent="0.2"/>
    <row r="9025" x14ac:dyDescent="0.2"/>
    <row r="9026" x14ac:dyDescent="0.2"/>
    <row r="9027" x14ac:dyDescent="0.2"/>
    <row r="9028" x14ac:dyDescent="0.2"/>
    <row r="9029" x14ac:dyDescent="0.2"/>
    <row r="9030" x14ac:dyDescent="0.2"/>
    <row r="9031" x14ac:dyDescent="0.2"/>
    <row r="9032" x14ac:dyDescent="0.2"/>
    <row r="9033" x14ac:dyDescent="0.2"/>
    <row r="9034" x14ac:dyDescent="0.2"/>
    <row r="9035" x14ac:dyDescent="0.2"/>
    <row r="9036" x14ac:dyDescent="0.2"/>
    <row r="9037" x14ac:dyDescent="0.2"/>
    <row r="9038" x14ac:dyDescent="0.2"/>
    <row r="9039" x14ac:dyDescent="0.2"/>
    <row r="9040" x14ac:dyDescent="0.2"/>
    <row r="9041" x14ac:dyDescent="0.2"/>
    <row r="9042" x14ac:dyDescent="0.2"/>
    <row r="9043" x14ac:dyDescent="0.2"/>
    <row r="9044" x14ac:dyDescent="0.2"/>
    <row r="9045" x14ac:dyDescent="0.2"/>
    <row r="9046" x14ac:dyDescent="0.2"/>
    <row r="9047" x14ac:dyDescent="0.2"/>
    <row r="9048" x14ac:dyDescent="0.2"/>
    <row r="9049" x14ac:dyDescent="0.2"/>
    <row r="9050" x14ac:dyDescent="0.2"/>
    <row r="9051" x14ac:dyDescent="0.2"/>
    <row r="9052" x14ac:dyDescent="0.2"/>
    <row r="9053" x14ac:dyDescent="0.2"/>
    <row r="9054" x14ac:dyDescent="0.2"/>
    <row r="9055" x14ac:dyDescent="0.2"/>
    <row r="9056" x14ac:dyDescent="0.2"/>
    <row r="9057" x14ac:dyDescent="0.2"/>
    <row r="9058" x14ac:dyDescent="0.2"/>
    <row r="9059" x14ac:dyDescent="0.2"/>
    <row r="9060" x14ac:dyDescent="0.2"/>
    <row r="9061" x14ac:dyDescent="0.2"/>
    <row r="9062" x14ac:dyDescent="0.2"/>
    <row r="9063" x14ac:dyDescent="0.2"/>
    <row r="9064" x14ac:dyDescent="0.2"/>
    <row r="9065" x14ac:dyDescent="0.2"/>
    <row r="9066" x14ac:dyDescent="0.2"/>
    <row r="9067" x14ac:dyDescent="0.2"/>
    <row r="9068" x14ac:dyDescent="0.2"/>
    <row r="9069" x14ac:dyDescent="0.2"/>
    <row r="9070" x14ac:dyDescent="0.2"/>
    <row r="9071" x14ac:dyDescent="0.2"/>
    <row r="9072" x14ac:dyDescent="0.2"/>
    <row r="9073" x14ac:dyDescent="0.2"/>
    <row r="9074" x14ac:dyDescent="0.2"/>
    <row r="9075" x14ac:dyDescent="0.2"/>
    <row r="9076" x14ac:dyDescent="0.2"/>
    <row r="9077" x14ac:dyDescent="0.2"/>
    <row r="9078" x14ac:dyDescent="0.2"/>
    <row r="9079" x14ac:dyDescent="0.2"/>
    <row r="9080" x14ac:dyDescent="0.2"/>
    <row r="9081" x14ac:dyDescent="0.2"/>
    <row r="9082" x14ac:dyDescent="0.2"/>
    <row r="9083" x14ac:dyDescent="0.2"/>
    <row r="9084" x14ac:dyDescent="0.2"/>
    <row r="9085" x14ac:dyDescent="0.2"/>
    <row r="9086" x14ac:dyDescent="0.2"/>
    <row r="9087" x14ac:dyDescent="0.2"/>
    <row r="9088" x14ac:dyDescent="0.2"/>
    <row r="9089" x14ac:dyDescent="0.2"/>
    <row r="9090" x14ac:dyDescent="0.2"/>
    <row r="9091" x14ac:dyDescent="0.2"/>
    <row r="9092" x14ac:dyDescent="0.2"/>
    <row r="9093" x14ac:dyDescent="0.2"/>
    <row r="9094" x14ac:dyDescent="0.2"/>
    <row r="9095" x14ac:dyDescent="0.2"/>
    <row r="9096" x14ac:dyDescent="0.2"/>
    <row r="9097" x14ac:dyDescent="0.2"/>
    <row r="9098" x14ac:dyDescent="0.2"/>
    <row r="9099" x14ac:dyDescent="0.2"/>
    <row r="9100" x14ac:dyDescent="0.2"/>
    <row r="9101" x14ac:dyDescent="0.2"/>
    <row r="9102" x14ac:dyDescent="0.2"/>
    <row r="9103" x14ac:dyDescent="0.2"/>
    <row r="9104" x14ac:dyDescent="0.2"/>
    <row r="9105" x14ac:dyDescent="0.2"/>
    <row r="9106" x14ac:dyDescent="0.2"/>
    <row r="9107" x14ac:dyDescent="0.2"/>
    <row r="9108" x14ac:dyDescent="0.2"/>
    <row r="9109" x14ac:dyDescent="0.2"/>
    <row r="9110" x14ac:dyDescent="0.2"/>
    <row r="9111" x14ac:dyDescent="0.2"/>
    <row r="9112" x14ac:dyDescent="0.2"/>
    <row r="9113" x14ac:dyDescent="0.2"/>
    <row r="9114" x14ac:dyDescent="0.2"/>
    <row r="9115" x14ac:dyDescent="0.2"/>
    <row r="9116" x14ac:dyDescent="0.2"/>
    <row r="9117" x14ac:dyDescent="0.2"/>
    <row r="9118" x14ac:dyDescent="0.2"/>
    <row r="9119" x14ac:dyDescent="0.2"/>
    <row r="9120" x14ac:dyDescent="0.2"/>
    <row r="9121" x14ac:dyDescent="0.2"/>
    <row r="9122" x14ac:dyDescent="0.2"/>
    <row r="9123" x14ac:dyDescent="0.2"/>
    <row r="9124" x14ac:dyDescent="0.2"/>
    <row r="9125" x14ac:dyDescent="0.2"/>
    <row r="9126" x14ac:dyDescent="0.2"/>
    <row r="9127" x14ac:dyDescent="0.2"/>
    <row r="9128" x14ac:dyDescent="0.2"/>
    <row r="9129" x14ac:dyDescent="0.2"/>
    <row r="9130" x14ac:dyDescent="0.2"/>
    <row r="9131" x14ac:dyDescent="0.2"/>
    <row r="9132" x14ac:dyDescent="0.2"/>
    <row r="9133" x14ac:dyDescent="0.2"/>
    <row r="9134" x14ac:dyDescent="0.2"/>
    <row r="9135" x14ac:dyDescent="0.2"/>
    <row r="9136" x14ac:dyDescent="0.2"/>
    <row r="9137" x14ac:dyDescent="0.2"/>
    <row r="9138" x14ac:dyDescent="0.2"/>
    <row r="9139" x14ac:dyDescent="0.2"/>
    <row r="9140" x14ac:dyDescent="0.2"/>
    <row r="9141" x14ac:dyDescent="0.2"/>
    <row r="9142" x14ac:dyDescent="0.2"/>
    <row r="9143" x14ac:dyDescent="0.2"/>
    <row r="9144" x14ac:dyDescent="0.2"/>
    <row r="9145" x14ac:dyDescent="0.2"/>
    <row r="9146" x14ac:dyDescent="0.2"/>
    <row r="9147" x14ac:dyDescent="0.2"/>
    <row r="9148" x14ac:dyDescent="0.2"/>
    <row r="9149" x14ac:dyDescent="0.2"/>
    <row r="9150" x14ac:dyDescent="0.2"/>
    <row r="9151" x14ac:dyDescent="0.2"/>
    <row r="9152" x14ac:dyDescent="0.2"/>
    <row r="9153" x14ac:dyDescent="0.2"/>
    <row r="9154" x14ac:dyDescent="0.2"/>
    <row r="9155" x14ac:dyDescent="0.2"/>
    <row r="9156" x14ac:dyDescent="0.2"/>
    <row r="9157" x14ac:dyDescent="0.2"/>
    <row r="9158" x14ac:dyDescent="0.2"/>
    <row r="9159" x14ac:dyDescent="0.2"/>
    <row r="9160" x14ac:dyDescent="0.2"/>
    <row r="9161" x14ac:dyDescent="0.2"/>
    <row r="9162" x14ac:dyDescent="0.2"/>
    <row r="9163" x14ac:dyDescent="0.2"/>
    <row r="9164" x14ac:dyDescent="0.2"/>
    <row r="9165" x14ac:dyDescent="0.2"/>
    <row r="9166" x14ac:dyDescent="0.2"/>
    <row r="9167" x14ac:dyDescent="0.2"/>
    <row r="9168" x14ac:dyDescent="0.2"/>
    <row r="9169" x14ac:dyDescent="0.2"/>
    <row r="9170" x14ac:dyDescent="0.2"/>
    <row r="9171" x14ac:dyDescent="0.2"/>
    <row r="9172" x14ac:dyDescent="0.2"/>
    <row r="9173" x14ac:dyDescent="0.2"/>
    <row r="9174" x14ac:dyDescent="0.2"/>
    <row r="9175" x14ac:dyDescent="0.2"/>
    <row r="9176" x14ac:dyDescent="0.2"/>
    <row r="9177" x14ac:dyDescent="0.2"/>
    <row r="9178" x14ac:dyDescent="0.2"/>
    <row r="9179" x14ac:dyDescent="0.2"/>
    <row r="9180" x14ac:dyDescent="0.2"/>
    <row r="9181" x14ac:dyDescent="0.2"/>
    <row r="9182" x14ac:dyDescent="0.2"/>
    <row r="9183" x14ac:dyDescent="0.2"/>
    <row r="9184" x14ac:dyDescent="0.2"/>
    <row r="9185" x14ac:dyDescent="0.2"/>
    <row r="9186" x14ac:dyDescent="0.2"/>
    <row r="9187" x14ac:dyDescent="0.2"/>
    <row r="9188" x14ac:dyDescent="0.2"/>
    <row r="9189" x14ac:dyDescent="0.2"/>
    <row r="9190" x14ac:dyDescent="0.2"/>
    <row r="9191" x14ac:dyDescent="0.2"/>
    <row r="9192" x14ac:dyDescent="0.2"/>
    <row r="9193" x14ac:dyDescent="0.2"/>
    <row r="9194" x14ac:dyDescent="0.2"/>
    <row r="9195" x14ac:dyDescent="0.2"/>
    <row r="9196" x14ac:dyDescent="0.2"/>
    <row r="9197" x14ac:dyDescent="0.2"/>
    <row r="9198" x14ac:dyDescent="0.2"/>
    <row r="9199" x14ac:dyDescent="0.2"/>
    <row r="9200" x14ac:dyDescent="0.2"/>
    <row r="9201" x14ac:dyDescent="0.2"/>
    <row r="9202" x14ac:dyDescent="0.2"/>
    <row r="9203" x14ac:dyDescent="0.2"/>
    <row r="9204" x14ac:dyDescent="0.2"/>
    <row r="9205" x14ac:dyDescent="0.2"/>
    <row r="9206" x14ac:dyDescent="0.2"/>
    <row r="9207" x14ac:dyDescent="0.2"/>
    <row r="9208" x14ac:dyDescent="0.2"/>
    <row r="9209" x14ac:dyDescent="0.2"/>
    <row r="9210" x14ac:dyDescent="0.2"/>
    <row r="9211" x14ac:dyDescent="0.2"/>
    <row r="9212" x14ac:dyDescent="0.2"/>
    <row r="9213" x14ac:dyDescent="0.2"/>
    <row r="9214" x14ac:dyDescent="0.2"/>
    <row r="9215" x14ac:dyDescent="0.2"/>
    <row r="9216" x14ac:dyDescent="0.2"/>
    <row r="9217" x14ac:dyDescent="0.2"/>
    <row r="9218" x14ac:dyDescent="0.2"/>
    <row r="9219" x14ac:dyDescent="0.2"/>
    <row r="9220" x14ac:dyDescent="0.2"/>
    <row r="9221" x14ac:dyDescent="0.2"/>
    <row r="9222" x14ac:dyDescent="0.2"/>
    <row r="9223" x14ac:dyDescent="0.2"/>
    <row r="9224" x14ac:dyDescent="0.2"/>
    <row r="9225" x14ac:dyDescent="0.2"/>
    <row r="9226" x14ac:dyDescent="0.2"/>
    <row r="9227" x14ac:dyDescent="0.2"/>
    <row r="9228" x14ac:dyDescent="0.2"/>
    <row r="9229" x14ac:dyDescent="0.2"/>
    <row r="9230" x14ac:dyDescent="0.2"/>
    <row r="9231" x14ac:dyDescent="0.2"/>
    <row r="9232" x14ac:dyDescent="0.2"/>
    <row r="9233" x14ac:dyDescent="0.2"/>
    <row r="9234" x14ac:dyDescent="0.2"/>
    <row r="9235" x14ac:dyDescent="0.2"/>
    <row r="9236" x14ac:dyDescent="0.2"/>
    <row r="9237" x14ac:dyDescent="0.2"/>
    <row r="9238" x14ac:dyDescent="0.2"/>
    <row r="9239" x14ac:dyDescent="0.2"/>
    <row r="9240" x14ac:dyDescent="0.2"/>
    <row r="9241" x14ac:dyDescent="0.2"/>
    <row r="9242" x14ac:dyDescent="0.2"/>
    <row r="9243" x14ac:dyDescent="0.2"/>
    <row r="9244" x14ac:dyDescent="0.2"/>
    <row r="9245" x14ac:dyDescent="0.2"/>
    <row r="9246" x14ac:dyDescent="0.2"/>
    <row r="9247" x14ac:dyDescent="0.2"/>
    <row r="9248" x14ac:dyDescent="0.2"/>
    <row r="9249" x14ac:dyDescent="0.2"/>
    <row r="9250" x14ac:dyDescent="0.2"/>
    <row r="9251" x14ac:dyDescent="0.2"/>
    <row r="9252" x14ac:dyDescent="0.2"/>
    <row r="9253" x14ac:dyDescent="0.2"/>
    <row r="9254" x14ac:dyDescent="0.2"/>
    <row r="9255" x14ac:dyDescent="0.2"/>
    <row r="9256" x14ac:dyDescent="0.2"/>
    <row r="9257" x14ac:dyDescent="0.2"/>
    <row r="9258" x14ac:dyDescent="0.2"/>
    <row r="9259" x14ac:dyDescent="0.2"/>
    <row r="9260" x14ac:dyDescent="0.2"/>
    <row r="9261" x14ac:dyDescent="0.2"/>
    <row r="9262" x14ac:dyDescent="0.2"/>
    <row r="9263" x14ac:dyDescent="0.2"/>
    <row r="9264" x14ac:dyDescent="0.2"/>
    <row r="9265" x14ac:dyDescent="0.2"/>
    <row r="9266" x14ac:dyDescent="0.2"/>
    <row r="9267" x14ac:dyDescent="0.2"/>
    <row r="9268" x14ac:dyDescent="0.2"/>
    <row r="9269" x14ac:dyDescent="0.2"/>
    <row r="9270" x14ac:dyDescent="0.2"/>
    <row r="9271" x14ac:dyDescent="0.2"/>
    <row r="9272" x14ac:dyDescent="0.2"/>
    <row r="9273" x14ac:dyDescent="0.2"/>
    <row r="9274" x14ac:dyDescent="0.2"/>
    <row r="9275" x14ac:dyDescent="0.2"/>
    <row r="9276" x14ac:dyDescent="0.2"/>
    <row r="9277" x14ac:dyDescent="0.2"/>
    <row r="9278" x14ac:dyDescent="0.2"/>
    <row r="9279" x14ac:dyDescent="0.2"/>
    <row r="9280" x14ac:dyDescent="0.2"/>
    <row r="9281" x14ac:dyDescent="0.2"/>
    <row r="9282" x14ac:dyDescent="0.2"/>
    <row r="9283" x14ac:dyDescent="0.2"/>
    <row r="9284" x14ac:dyDescent="0.2"/>
    <row r="9285" x14ac:dyDescent="0.2"/>
    <row r="9286" x14ac:dyDescent="0.2"/>
    <row r="9287" x14ac:dyDescent="0.2"/>
    <row r="9288" x14ac:dyDescent="0.2"/>
    <row r="9289" x14ac:dyDescent="0.2"/>
    <row r="9290" x14ac:dyDescent="0.2"/>
    <row r="9291" x14ac:dyDescent="0.2"/>
    <row r="9292" x14ac:dyDescent="0.2"/>
    <row r="9293" x14ac:dyDescent="0.2"/>
    <row r="9294" x14ac:dyDescent="0.2"/>
    <row r="9295" x14ac:dyDescent="0.2"/>
    <row r="9296" x14ac:dyDescent="0.2"/>
    <row r="9297" x14ac:dyDescent="0.2"/>
    <row r="9298" x14ac:dyDescent="0.2"/>
    <row r="9299" x14ac:dyDescent="0.2"/>
    <row r="9300" x14ac:dyDescent="0.2"/>
    <row r="9301" x14ac:dyDescent="0.2"/>
    <row r="9302" x14ac:dyDescent="0.2"/>
    <row r="9303" x14ac:dyDescent="0.2"/>
    <row r="9304" x14ac:dyDescent="0.2"/>
    <row r="9305" x14ac:dyDescent="0.2"/>
    <row r="9306" x14ac:dyDescent="0.2"/>
    <row r="9307" x14ac:dyDescent="0.2"/>
    <row r="9308" x14ac:dyDescent="0.2"/>
    <row r="9309" x14ac:dyDescent="0.2"/>
    <row r="9310" x14ac:dyDescent="0.2"/>
    <row r="9311" x14ac:dyDescent="0.2"/>
    <row r="9312" x14ac:dyDescent="0.2"/>
    <row r="9313" x14ac:dyDescent="0.2"/>
    <row r="9314" x14ac:dyDescent="0.2"/>
    <row r="9315" x14ac:dyDescent="0.2"/>
    <row r="9316" x14ac:dyDescent="0.2"/>
    <row r="9317" x14ac:dyDescent="0.2"/>
    <row r="9318" x14ac:dyDescent="0.2"/>
    <row r="9319" x14ac:dyDescent="0.2"/>
    <row r="9320" x14ac:dyDescent="0.2"/>
    <row r="9321" x14ac:dyDescent="0.2"/>
    <row r="9322" x14ac:dyDescent="0.2"/>
    <row r="9323" x14ac:dyDescent="0.2"/>
    <row r="9324" x14ac:dyDescent="0.2"/>
    <row r="9325" x14ac:dyDescent="0.2"/>
    <row r="9326" x14ac:dyDescent="0.2"/>
    <row r="9327" x14ac:dyDescent="0.2"/>
    <row r="9328" x14ac:dyDescent="0.2"/>
    <row r="9329" x14ac:dyDescent="0.2"/>
    <row r="9330" x14ac:dyDescent="0.2"/>
    <row r="9331" x14ac:dyDescent="0.2"/>
    <row r="9332" x14ac:dyDescent="0.2"/>
    <row r="9333" x14ac:dyDescent="0.2"/>
    <row r="9334" x14ac:dyDescent="0.2"/>
    <row r="9335" x14ac:dyDescent="0.2"/>
    <row r="9336" x14ac:dyDescent="0.2"/>
    <row r="9337" x14ac:dyDescent="0.2"/>
    <row r="9338" x14ac:dyDescent="0.2"/>
    <row r="9339" x14ac:dyDescent="0.2"/>
    <row r="9340" x14ac:dyDescent="0.2"/>
    <row r="9341" x14ac:dyDescent="0.2"/>
    <row r="9342" x14ac:dyDescent="0.2"/>
    <row r="9343" x14ac:dyDescent="0.2"/>
    <row r="9344" x14ac:dyDescent="0.2"/>
    <row r="9345" x14ac:dyDescent="0.2"/>
    <row r="9346" x14ac:dyDescent="0.2"/>
    <row r="9347" x14ac:dyDescent="0.2"/>
    <row r="9348" x14ac:dyDescent="0.2"/>
    <row r="9349" x14ac:dyDescent="0.2"/>
    <row r="9350" x14ac:dyDescent="0.2"/>
    <row r="9351" x14ac:dyDescent="0.2"/>
    <row r="9352" x14ac:dyDescent="0.2"/>
    <row r="9353" x14ac:dyDescent="0.2"/>
    <row r="9354" x14ac:dyDescent="0.2"/>
    <row r="9355" x14ac:dyDescent="0.2"/>
    <row r="9356" x14ac:dyDescent="0.2"/>
    <row r="9357" x14ac:dyDescent="0.2"/>
    <row r="9358" x14ac:dyDescent="0.2"/>
    <row r="9359" x14ac:dyDescent="0.2"/>
    <row r="9360" x14ac:dyDescent="0.2"/>
    <row r="9361" x14ac:dyDescent="0.2"/>
    <row r="9362" x14ac:dyDescent="0.2"/>
    <row r="9363" x14ac:dyDescent="0.2"/>
    <row r="9364" x14ac:dyDescent="0.2"/>
    <row r="9365" x14ac:dyDescent="0.2"/>
    <row r="9366" x14ac:dyDescent="0.2"/>
    <row r="9367" x14ac:dyDescent="0.2"/>
    <row r="9368" x14ac:dyDescent="0.2"/>
    <row r="9369" x14ac:dyDescent="0.2"/>
    <row r="9370" x14ac:dyDescent="0.2"/>
    <row r="9371" x14ac:dyDescent="0.2"/>
    <row r="9372" x14ac:dyDescent="0.2"/>
    <row r="9373" x14ac:dyDescent="0.2"/>
    <row r="9374" x14ac:dyDescent="0.2"/>
    <row r="9375" x14ac:dyDescent="0.2"/>
    <row r="9376" x14ac:dyDescent="0.2"/>
    <row r="9377" x14ac:dyDescent="0.2"/>
    <row r="9378" x14ac:dyDescent="0.2"/>
    <row r="9379" x14ac:dyDescent="0.2"/>
    <row r="9380" x14ac:dyDescent="0.2"/>
    <row r="9381" x14ac:dyDescent="0.2"/>
    <row r="9382" x14ac:dyDescent="0.2"/>
    <row r="9383" x14ac:dyDescent="0.2"/>
    <row r="9384" x14ac:dyDescent="0.2"/>
    <row r="9385" x14ac:dyDescent="0.2"/>
    <row r="9386" x14ac:dyDescent="0.2"/>
    <row r="9387" x14ac:dyDescent="0.2"/>
    <row r="9388" x14ac:dyDescent="0.2"/>
    <row r="9389" x14ac:dyDescent="0.2"/>
    <row r="9390" x14ac:dyDescent="0.2"/>
    <row r="9391" x14ac:dyDescent="0.2"/>
    <row r="9392" x14ac:dyDescent="0.2"/>
    <row r="9393" x14ac:dyDescent="0.2"/>
    <row r="9394" x14ac:dyDescent="0.2"/>
    <row r="9395" x14ac:dyDescent="0.2"/>
    <row r="9396" x14ac:dyDescent="0.2"/>
    <row r="9397" x14ac:dyDescent="0.2"/>
    <row r="9398" x14ac:dyDescent="0.2"/>
    <row r="9399" x14ac:dyDescent="0.2"/>
    <row r="9400" x14ac:dyDescent="0.2"/>
    <row r="9401" x14ac:dyDescent="0.2"/>
    <row r="9402" x14ac:dyDescent="0.2"/>
    <row r="9403" x14ac:dyDescent="0.2"/>
    <row r="9404" x14ac:dyDescent="0.2"/>
    <row r="9405" x14ac:dyDescent="0.2"/>
    <row r="9406" x14ac:dyDescent="0.2"/>
    <row r="9407" x14ac:dyDescent="0.2"/>
    <row r="9408" x14ac:dyDescent="0.2"/>
    <row r="9409" x14ac:dyDescent="0.2"/>
    <row r="9410" x14ac:dyDescent="0.2"/>
    <row r="9411" x14ac:dyDescent="0.2"/>
    <row r="9412" x14ac:dyDescent="0.2"/>
    <row r="9413" x14ac:dyDescent="0.2"/>
    <row r="9414" x14ac:dyDescent="0.2"/>
    <row r="9415" x14ac:dyDescent="0.2"/>
    <row r="9416" x14ac:dyDescent="0.2"/>
    <row r="9417" x14ac:dyDescent="0.2"/>
    <row r="9418" x14ac:dyDescent="0.2"/>
    <row r="9419" x14ac:dyDescent="0.2"/>
    <row r="9420" x14ac:dyDescent="0.2"/>
    <row r="9421" x14ac:dyDescent="0.2"/>
    <row r="9422" x14ac:dyDescent="0.2"/>
    <row r="9423" x14ac:dyDescent="0.2"/>
    <row r="9424" x14ac:dyDescent="0.2"/>
    <row r="9425" x14ac:dyDescent="0.2"/>
    <row r="9426" x14ac:dyDescent="0.2"/>
    <row r="9427" x14ac:dyDescent="0.2"/>
    <row r="9428" x14ac:dyDescent="0.2"/>
    <row r="9429" x14ac:dyDescent="0.2"/>
    <row r="9430" x14ac:dyDescent="0.2"/>
    <row r="9431" x14ac:dyDescent="0.2"/>
    <row r="9432" x14ac:dyDescent="0.2"/>
    <row r="9433" x14ac:dyDescent="0.2"/>
    <row r="9434" x14ac:dyDescent="0.2"/>
    <row r="9435" x14ac:dyDescent="0.2"/>
    <row r="9436" x14ac:dyDescent="0.2"/>
    <row r="9437" x14ac:dyDescent="0.2"/>
    <row r="9438" x14ac:dyDescent="0.2"/>
    <row r="9439" x14ac:dyDescent="0.2"/>
    <row r="9440" x14ac:dyDescent="0.2"/>
    <row r="9441" x14ac:dyDescent="0.2"/>
    <row r="9442" x14ac:dyDescent="0.2"/>
    <row r="9443" x14ac:dyDescent="0.2"/>
    <row r="9444" x14ac:dyDescent="0.2"/>
    <row r="9445" x14ac:dyDescent="0.2"/>
    <row r="9446" x14ac:dyDescent="0.2"/>
    <row r="9447" x14ac:dyDescent="0.2"/>
    <row r="9448" x14ac:dyDescent="0.2"/>
    <row r="9449" x14ac:dyDescent="0.2"/>
    <row r="9450" x14ac:dyDescent="0.2"/>
    <row r="9451" x14ac:dyDescent="0.2"/>
    <row r="9452" x14ac:dyDescent="0.2"/>
    <row r="9453" x14ac:dyDescent="0.2"/>
    <row r="9454" x14ac:dyDescent="0.2"/>
    <row r="9455" x14ac:dyDescent="0.2"/>
    <row r="9456" x14ac:dyDescent="0.2"/>
    <row r="9457" x14ac:dyDescent="0.2"/>
    <row r="9458" x14ac:dyDescent="0.2"/>
    <row r="9459" x14ac:dyDescent="0.2"/>
    <row r="9460" x14ac:dyDescent="0.2"/>
    <row r="9461" x14ac:dyDescent="0.2"/>
    <row r="9462" x14ac:dyDescent="0.2"/>
    <row r="9463" x14ac:dyDescent="0.2"/>
    <row r="9464" x14ac:dyDescent="0.2"/>
    <row r="9465" x14ac:dyDescent="0.2"/>
    <row r="9466" x14ac:dyDescent="0.2"/>
    <row r="9467" x14ac:dyDescent="0.2"/>
    <row r="9468" x14ac:dyDescent="0.2"/>
    <row r="9469" x14ac:dyDescent="0.2"/>
    <row r="9470" x14ac:dyDescent="0.2"/>
    <row r="9471" x14ac:dyDescent="0.2"/>
    <row r="9472" x14ac:dyDescent="0.2"/>
    <row r="9473" x14ac:dyDescent="0.2"/>
    <row r="9474" x14ac:dyDescent="0.2"/>
    <row r="9475" x14ac:dyDescent="0.2"/>
    <row r="9476" x14ac:dyDescent="0.2"/>
    <row r="9477" x14ac:dyDescent="0.2"/>
    <row r="9478" x14ac:dyDescent="0.2"/>
    <row r="9479" x14ac:dyDescent="0.2"/>
    <row r="9480" x14ac:dyDescent="0.2"/>
    <row r="9481" x14ac:dyDescent="0.2"/>
    <row r="9482" x14ac:dyDescent="0.2"/>
    <row r="9483" x14ac:dyDescent="0.2"/>
    <row r="9484" x14ac:dyDescent="0.2"/>
    <row r="9485" x14ac:dyDescent="0.2"/>
    <row r="9486" x14ac:dyDescent="0.2"/>
    <row r="9487" x14ac:dyDescent="0.2"/>
    <row r="9488" x14ac:dyDescent="0.2"/>
    <row r="9489" x14ac:dyDescent="0.2"/>
    <row r="9490" x14ac:dyDescent="0.2"/>
    <row r="9491" x14ac:dyDescent="0.2"/>
    <row r="9492" x14ac:dyDescent="0.2"/>
    <row r="9493" x14ac:dyDescent="0.2"/>
    <row r="9494" x14ac:dyDescent="0.2"/>
    <row r="9495" x14ac:dyDescent="0.2"/>
    <row r="9496" x14ac:dyDescent="0.2"/>
    <row r="9497" x14ac:dyDescent="0.2"/>
    <row r="9498" x14ac:dyDescent="0.2"/>
    <row r="9499" x14ac:dyDescent="0.2"/>
    <row r="9500" x14ac:dyDescent="0.2"/>
    <row r="9501" x14ac:dyDescent="0.2"/>
    <row r="9502" x14ac:dyDescent="0.2"/>
    <row r="9503" x14ac:dyDescent="0.2"/>
    <row r="9504" x14ac:dyDescent="0.2"/>
    <row r="9505" x14ac:dyDescent="0.2"/>
    <row r="9506" x14ac:dyDescent="0.2"/>
    <row r="9507" x14ac:dyDescent="0.2"/>
    <row r="9508" x14ac:dyDescent="0.2"/>
    <row r="9509" x14ac:dyDescent="0.2"/>
    <row r="9510" x14ac:dyDescent="0.2"/>
    <row r="9511" x14ac:dyDescent="0.2"/>
    <row r="9512" x14ac:dyDescent="0.2"/>
    <row r="9513" x14ac:dyDescent="0.2"/>
    <row r="9514" x14ac:dyDescent="0.2"/>
    <row r="9515" x14ac:dyDescent="0.2"/>
    <row r="9516" x14ac:dyDescent="0.2"/>
    <row r="9517" x14ac:dyDescent="0.2"/>
    <row r="9518" x14ac:dyDescent="0.2"/>
    <row r="9519" x14ac:dyDescent="0.2"/>
    <row r="9520" x14ac:dyDescent="0.2"/>
    <row r="9521" x14ac:dyDescent="0.2"/>
    <row r="9522" x14ac:dyDescent="0.2"/>
    <row r="9523" x14ac:dyDescent="0.2"/>
    <row r="9524" x14ac:dyDescent="0.2"/>
    <row r="9525" x14ac:dyDescent="0.2"/>
    <row r="9526" x14ac:dyDescent="0.2"/>
    <row r="9527" x14ac:dyDescent="0.2"/>
    <row r="9528" x14ac:dyDescent="0.2"/>
    <row r="9529" x14ac:dyDescent="0.2"/>
    <row r="9530" x14ac:dyDescent="0.2"/>
    <row r="9531" x14ac:dyDescent="0.2"/>
    <row r="9532" x14ac:dyDescent="0.2"/>
    <row r="9533" x14ac:dyDescent="0.2"/>
    <row r="9534" x14ac:dyDescent="0.2"/>
    <row r="9535" x14ac:dyDescent="0.2"/>
    <row r="9536" x14ac:dyDescent="0.2"/>
    <row r="9537" x14ac:dyDescent="0.2"/>
    <row r="9538" x14ac:dyDescent="0.2"/>
    <row r="9539" x14ac:dyDescent="0.2"/>
    <row r="9540" x14ac:dyDescent="0.2"/>
    <row r="9541" x14ac:dyDescent="0.2"/>
    <row r="9542" x14ac:dyDescent="0.2"/>
    <row r="9543" x14ac:dyDescent="0.2"/>
    <row r="9544" x14ac:dyDescent="0.2"/>
    <row r="9545" x14ac:dyDescent="0.2"/>
    <row r="9546" x14ac:dyDescent="0.2"/>
    <row r="9547" x14ac:dyDescent="0.2"/>
    <row r="9548" x14ac:dyDescent="0.2"/>
    <row r="9549" x14ac:dyDescent="0.2"/>
    <row r="9550" x14ac:dyDescent="0.2"/>
    <row r="9551" x14ac:dyDescent="0.2"/>
    <row r="9552" x14ac:dyDescent="0.2"/>
    <row r="9553" x14ac:dyDescent="0.2"/>
    <row r="9554" x14ac:dyDescent="0.2"/>
    <row r="9555" x14ac:dyDescent="0.2"/>
    <row r="9556" x14ac:dyDescent="0.2"/>
    <row r="9557" x14ac:dyDescent="0.2"/>
    <row r="9558" x14ac:dyDescent="0.2"/>
    <row r="9559" x14ac:dyDescent="0.2"/>
    <row r="9560" x14ac:dyDescent="0.2"/>
    <row r="9561" x14ac:dyDescent="0.2"/>
    <row r="9562" x14ac:dyDescent="0.2"/>
    <row r="9563" x14ac:dyDescent="0.2"/>
    <row r="9564" x14ac:dyDescent="0.2"/>
    <row r="9565" x14ac:dyDescent="0.2"/>
    <row r="9566" x14ac:dyDescent="0.2"/>
    <row r="9567" x14ac:dyDescent="0.2"/>
    <row r="9568" x14ac:dyDescent="0.2"/>
    <row r="9569" x14ac:dyDescent="0.2"/>
    <row r="9570" x14ac:dyDescent="0.2"/>
    <row r="9571" x14ac:dyDescent="0.2"/>
    <row r="9572" x14ac:dyDescent="0.2"/>
    <row r="9573" x14ac:dyDescent="0.2"/>
    <row r="9574" x14ac:dyDescent="0.2"/>
    <row r="9575" x14ac:dyDescent="0.2"/>
    <row r="9576" x14ac:dyDescent="0.2"/>
    <row r="9577" x14ac:dyDescent="0.2"/>
    <row r="9578" x14ac:dyDescent="0.2"/>
    <row r="9579" x14ac:dyDescent="0.2"/>
    <row r="9580" x14ac:dyDescent="0.2"/>
    <row r="9581" x14ac:dyDescent="0.2"/>
    <row r="9582" x14ac:dyDescent="0.2"/>
    <row r="9583" x14ac:dyDescent="0.2"/>
    <row r="9584" x14ac:dyDescent="0.2"/>
    <row r="9585" x14ac:dyDescent="0.2"/>
    <row r="9586" x14ac:dyDescent="0.2"/>
    <row r="9587" x14ac:dyDescent="0.2"/>
    <row r="9588" x14ac:dyDescent="0.2"/>
    <row r="9589" x14ac:dyDescent="0.2"/>
    <row r="9590" x14ac:dyDescent="0.2"/>
    <row r="9591" x14ac:dyDescent="0.2"/>
    <row r="9592" x14ac:dyDescent="0.2"/>
    <row r="9593" x14ac:dyDescent="0.2"/>
    <row r="9594" x14ac:dyDescent="0.2"/>
    <row r="9595" x14ac:dyDescent="0.2"/>
    <row r="9596" x14ac:dyDescent="0.2"/>
    <row r="9597" x14ac:dyDescent="0.2"/>
    <row r="9598" x14ac:dyDescent="0.2"/>
    <row r="9599" x14ac:dyDescent="0.2"/>
    <row r="9600" x14ac:dyDescent="0.2"/>
    <row r="9601" x14ac:dyDescent="0.2"/>
    <row r="9602" x14ac:dyDescent="0.2"/>
    <row r="9603" x14ac:dyDescent="0.2"/>
    <row r="9604" x14ac:dyDescent="0.2"/>
    <row r="9605" x14ac:dyDescent="0.2"/>
    <row r="9606" x14ac:dyDescent="0.2"/>
    <row r="9607" x14ac:dyDescent="0.2"/>
    <row r="9608" x14ac:dyDescent="0.2"/>
    <row r="9609" x14ac:dyDescent="0.2"/>
    <row r="9610" x14ac:dyDescent="0.2"/>
    <row r="9611" x14ac:dyDescent="0.2"/>
    <row r="9612" x14ac:dyDescent="0.2"/>
    <row r="9613" x14ac:dyDescent="0.2"/>
    <row r="9614" x14ac:dyDescent="0.2"/>
    <row r="9615" x14ac:dyDescent="0.2"/>
    <row r="9616" x14ac:dyDescent="0.2"/>
    <row r="9617" x14ac:dyDescent="0.2"/>
    <row r="9618" x14ac:dyDescent="0.2"/>
    <row r="9619" x14ac:dyDescent="0.2"/>
    <row r="9620" x14ac:dyDescent="0.2"/>
    <row r="9621" x14ac:dyDescent="0.2"/>
    <row r="9622" x14ac:dyDescent="0.2"/>
    <row r="9623" x14ac:dyDescent="0.2"/>
    <row r="9624" x14ac:dyDescent="0.2"/>
    <row r="9625" x14ac:dyDescent="0.2"/>
    <row r="9626" x14ac:dyDescent="0.2"/>
    <row r="9627" x14ac:dyDescent="0.2"/>
    <row r="9628" x14ac:dyDescent="0.2"/>
    <row r="9629" x14ac:dyDescent="0.2"/>
    <row r="9630" x14ac:dyDescent="0.2"/>
    <row r="9631" x14ac:dyDescent="0.2"/>
    <row r="9632" x14ac:dyDescent="0.2"/>
    <row r="9633" x14ac:dyDescent="0.2"/>
    <row r="9634" x14ac:dyDescent="0.2"/>
    <row r="9635" x14ac:dyDescent="0.2"/>
    <row r="9636" x14ac:dyDescent="0.2"/>
    <row r="9637" x14ac:dyDescent="0.2"/>
    <row r="9638" x14ac:dyDescent="0.2"/>
    <row r="9639" x14ac:dyDescent="0.2"/>
    <row r="9640" x14ac:dyDescent="0.2"/>
    <row r="9641" x14ac:dyDescent="0.2"/>
    <row r="9642" x14ac:dyDescent="0.2"/>
    <row r="9643" x14ac:dyDescent="0.2"/>
    <row r="9644" x14ac:dyDescent="0.2"/>
    <row r="9645" x14ac:dyDescent="0.2"/>
    <row r="9646" x14ac:dyDescent="0.2"/>
    <row r="9647" x14ac:dyDescent="0.2"/>
    <row r="9648" x14ac:dyDescent="0.2"/>
    <row r="9649" x14ac:dyDescent="0.2"/>
    <row r="9650" x14ac:dyDescent="0.2"/>
    <row r="9651" x14ac:dyDescent="0.2"/>
    <row r="9652" x14ac:dyDescent="0.2"/>
    <row r="9653" x14ac:dyDescent="0.2"/>
    <row r="9654" x14ac:dyDescent="0.2"/>
    <row r="9655" x14ac:dyDescent="0.2"/>
    <row r="9656" x14ac:dyDescent="0.2"/>
    <row r="9657" x14ac:dyDescent="0.2"/>
    <row r="9658" x14ac:dyDescent="0.2"/>
    <row r="9659" x14ac:dyDescent="0.2"/>
    <row r="9660" x14ac:dyDescent="0.2"/>
    <row r="9661" x14ac:dyDescent="0.2"/>
    <row r="9662" x14ac:dyDescent="0.2"/>
    <row r="9663" x14ac:dyDescent="0.2"/>
    <row r="9664" x14ac:dyDescent="0.2"/>
    <row r="9665" x14ac:dyDescent="0.2"/>
    <row r="9666" x14ac:dyDescent="0.2"/>
    <row r="9667" x14ac:dyDescent="0.2"/>
    <row r="9668" x14ac:dyDescent="0.2"/>
    <row r="9669" x14ac:dyDescent="0.2"/>
    <row r="9670" x14ac:dyDescent="0.2"/>
    <row r="9671" x14ac:dyDescent="0.2"/>
    <row r="9672" x14ac:dyDescent="0.2"/>
    <row r="9673" x14ac:dyDescent="0.2"/>
    <row r="9674" x14ac:dyDescent="0.2"/>
    <row r="9675" x14ac:dyDescent="0.2"/>
    <row r="9676" x14ac:dyDescent="0.2"/>
    <row r="9677" x14ac:dyDescent="0.2"/>
    <row r="9678" x14ac:dyDescent="0.2"/>
    <row r="9679" x14ac:dyDescent="0.2"/>
    <row r="9680" x14ac:dyDescent="0.2"/>
    <row r="9681" x14ac:dyDescent="0.2"/>
    <row r="9682" x14ac:dyDescent="0.2"/>
    <row r="9683" x14ac:dyDescent="0.2"/>
    <row r="9684" x14ac:dyDescent="0.2"/>
    <row r="9685" x14ac:dyDescent="0.2"/>
    <row r="9686" x14ac:dyDescent="0.2"/>
    <row r="9687" x14ac:dyDescent="0.2"/>
    <row r="9688" x14ac:dyDescent="0.2"/>
    <row r="9689" x14ac:dyDescent="0.2"/>
    <row r="9690" x14ac:dyDescent="0.2"/>
    <row r="9691" x14ac:dyDescent="0.2"/>
    <row r="9692" x14ac:dyDescent="0.2"/>
    <row r="9693" x14ac:dyDescent="0.2"/>
    <row r="9694" x14ac:dyDescent="0.2"/>
    <row r="9695" x14ac:dyDescent="0.2"/>
    <row r="9696" x14ac:dyDescent="0.2"/>
    <row r="9697" x14ac:dyDescent="0.2"/>
    <row r="9698" x14ac:dyDescent="0.2"/>
    <row r="9699" x14ac:dyDescent="0.2"/>
    <row r="9700" x14ac:dyDescent="0.2"/>
    <row r="9701" x14ac:dyDescent="0.2"/>
    <row r="9702" x14ac:dyDescent="0.2"/>
    <row r="9703" x14ac:dyDescent="0.2"/>
    <row r="9704" x14ac:dyDescent="0.2"/>
    <row r="9705" x14ac:dyDescent="0.2"/>
    <row r="9706" x14ac:dyDescent="0.2"/>
    <row r="9707" x14ac:dyDescent="0.2"/>
    <row r="9708" x14ac:dyDescent="0.2"/>
    <row r="9709" x14ac:dyDescent="0.2"/>
    <row r="9710" x14ac:dyDescent="0.2"/>
    <row r="9711" x14ac:dyDescent="0.2"/>
    <row r="9712" x14ac:dyDescent="0.2"/>
    <row r="9713" x14ac:dyDescent="0.2"/>
    <row r="9714" x14ac:dyDescent="0.2"/>
    <row r="9715" x14ac:dyDescent="0.2"/>
    <row r="9716" x14ac:dyDescent="0.2"/>
    <row r="9717" x14ac:dyDescent="0.2"/>
    <row r="9718" x14ac:dyDescent="0.2"/>
    <row r="9719" x14ac:dyDescent="0.2"/>
    <row r="9720" x14ac:dyDescent="0.2"/>
    <row r="9721" x14ac:dyDescent="0.2"/>
    <row r="9722" x14ac:dyDescent="0.2"/>
    <row r="9723" x14ac:dyDescent="0.2"/>
    <row r="9724" x14ac:dyDescent="0.2"/>
    <row r="9725" x14ac:dyDescent="0.2"/>
    <row r="9726" x14ac:dyDescent="0.2"/>
    <row r="9727" x14ac:dyDescent="0.2"/>
    <row r="9728" x14ac:dyDescent="0.2"/>
    <row r="9729" x14ac:dyDescent="0.2"/>
    <row r="9730" x14ac:dyDescent="0.2"/>
    <row r="9731" x14ac:dyDescent="0.2"/>
    <row r="9732" x14ac:dyDescent="0.2"/>
    <row r="9733" x14ac:dyDescent="0.2"/>
    <row r="9734" x14ac:dyDescent="0.2"/>
    <row r="9735" x14ac:dyDescent="0.2"/>
    <row r="9736" x14ac:dyDescent="0.2"/>
    <row r="9737" x14ac:dyDescent="0.2"/>
    <row r="9738" x14ac:dyDescent="0.2"/>
    <row r="9739" x14ac:dyDescent="0.2"/>
    <row r="9740" x14ac:dyDescent="0.2"/>
    <row r="9741" x14ac:dyDescent="0.2"/>
    <row r="9742" x14ac:dyDescent="0.2"/>
    <row r="9743" x14ac:dyDescent="0.2"/>
    <row r="9744" x14ac:dyDescent="0.2"/>
    <row r="9745" x14ac:dyDescent="0.2"/>
    <row r="9746" x14ac:dyDescent="0.2"/>
    <row r="9747" x14ac:dyDescent="0.2"/>
    <row r="9748" x14ac:dyDescent="0.2"/>
    <row r="9749" x14ac:dyDescent="0.2"/>
    <row r="9750" x14ac:dyDescent="0.2"/>
    <row r="9751" x14ac:dyDescent="0.2"/>
    <row r="9752" x14ac:dyDescent="0.2"/>
    <row r="9753" x14ac:dyDescent="0.2"/>
    <row r="9754" x14ac:dyDescent="0.2"/>
    <row r="9755" x14ac:dyDescent="0.2"/>
    <row r="9756" x14ac:dyDescent="0.2"/>
    <row r="9757" x14ac:dyDescent="0.2"/>
    <row r="9758" x14ac:dyDescent="0.2"/>
    <row r="9759" x14ac:dyDescent="0.2"/>
    <row r="9760" x14ac:dyDescent="0.2"/>
    <row r="9761" x14ac:dyDescent="0.2"/>
    <row r="9762" x14ac:dyDescent="0.2"/>
    <row r="9763" x14ac:dyDescent="0.2"/>
    <row r="9764" x14ac:dyDescent="0.2"/>
    <row r="9765" x14ac:dyDescent="0.2"/>
    <row r="9766" x14ac:dyDescent="0.2"/>
    <row r="9767" x14ac:dyDescent="0.2"/>
    <row r="9768" x14ac:dyDescent="0.2"/>
    <row r="9769" x14ac:dyDescent="0.2"/>
    <row r="9770" x14ac:dyDescent="0.2"/>
    <row r="9771" x14ac:dyDescent="0.2"/>
    <row r="9772" x14ac:dyDescent="0.2"/>
    <row r="9773" x14ac:dyDescent="0.2"/>
    <row r="9774" x14ac:dyDescent="0.2"/>
    <row r="9775" x14ac:dyDescent="0.2"/>
    <row r="9776" x14ac:dyDescent="0.2"/>
    <row r="9777" x14ac:dyDescent="0.2"/>
    <row r="9778" x14ac:dyDescent="0.2"/>
    <row r="9779" x14ac:dyDescent="0.2"/>
    <row r="9780" x14ac:dyDescent="0.2"/>
    <row r="9781" x14ac:dyDescent="0.2"/>
    <row r="9782" x14ac:dyDescent="0.2"/>
    <row r="9783" x14ac:dyDescent="0.2"/>
    <row r="9784" x14ac:dyDescent="0.2"/>
    <row r="9785" x14ac:dyDescent="0.2"/>
    <row r="9786" x14ac:dyDescent="0.2"/>
    <row r="9787" x14ac:dyDescent="0.2"/>
    <row r="9788" x14ac:dyDescent="0.2"/>
    <row r="9789" x14ac:dyDescent="0.2"/>
    <row r="9790" x14ac:dyDescent="0.2"/>
    <row r="9791" x14ac:dyDescent="0.2"/>
    <row r="9792" x14ac:dyDescent="0.2"/>
    <row r="9793" x14ac:dyDescent="0.2"/>
    <row r="9794" x14ac:dyDescent="0.2"/>
    <row r="9795" x14ac:dyDescent="0.2"/>
    <row r="9796" x14ac:dyDescent="0.2"/>
    <row r="9797" x14ac:dyDescent="0.2"/>
    <row r="9798" x14ac:dyDescent="0.2"/>
    <row r="9799" x14ac:dyDescent="0.2"/>
    <row r="9800" x14ac:dyDescent="0.2"/>
    <row r="9801" x14ac:dyDescent="0.2"/>
    <row r="9802" x14ac:dyDescent="0.2"/>
    <row r="9803" x14ac:dyDescent="0.2"/>
    <row r="9804" x14ac:dyDescent="0.2"/>
    <row r="9805" x14ac:dyDescent="0.2"/>
    <row r="9806" x14ac:dyDescent="0.2"/>
    <row r="9807" x14ac:dyDescent="0.2"/>
    <row r="9808" x14ac:dyDescent="0.2"/>
    <row r="9809" x14ac:dyDescent="0.2"/>
    <row r="9810" x14ac:dyDescent="0.2"/>
    <row r="9811" x14ac:dyDescent="0.2"/>
    <row r="9812" x14ac:dyDescent="0.2"/>
    <row r="9813" x14ac:dyDescent="0.2"/>
    <row r="9814" x14ac:dyDescent="0.2"/>
    <row r="9815" x14ac:dyDescent="0.2"/>
    <row r="9816" x14ac:dyDescent="0.2"/>
    <row r="9817" x14ac:dyDescent="0.2"/>
    <row r="9818" x14ac:dyDescent="0.2"/>
    <row r="9819" x14ac:dyDescent="0.2"/>
    <row r="9820" x14ac:dyDescent="0.2"/>
    <row r="9821" x14ac:dyDescent="0.2"/>
    <row r="9822" x14ac:dyDescent="0.2"/>
    <row r="9823" x14ac:dyDescent="0.2"/>
    <row r="9824" x14ac:dyDescent="0.2"/>
    <row r="9825" x14ac:dyDescent="0.2"/>
    <row r="9826" x14ac:dyDescent="0.2"/>
    <row r="9827" x14ac:dyDescent="0.2"/>
    <row r="9828" x14ac:dyDescent="0.2"/>
    <row r="9829" x14ac:dyDescent="0.2"/>
    <row r="9830" x14ac:dyDescent="0.2"/>
    <row r="9831" x14ac:dyDescent="0.2"/>
    <row r="9832" x14ac:dyDescent="0.2"/>
    <row r="9833" x14ac:dyDescent="0.2"/>
    <row r="9834" x14ac:dyDescent="0.2"/>
    <row r="9835" x14ac:dyDescent="0.2"/>
    <row r="9836" x14ac:dyDescent="0.2"/>
    <row r="9837" x14ac:dyDescent="0.2"/>
    <row r="9838" x14ac:dyDescent="0.2"/>
    <row r="9839" x14ac:dyDescent="0.2"/>
    <row r="9840" x14ac:dyDescent="0.2"/>
    <row r="9841" x14ac:dyDescent="0.2"/>
    <row r="9842" x14ac:dyDescent="0.2"/>
    <row r="9843" x14ac:dyDescent="0.2"/>
    <row r="9844" x14ac:dyDescent="0.2"/>
    <row r="9845" x14ac:dyDescent="0.2"/>
    <row r="9846" x14ac:dyDescent="0.2"/>
    <row r="9847" x14ac:dyDescent="0.2"/>
    <row r="9848" x14ac:dyDescent="0.2"/>
    <row r="9849" x14ac:dyDescent="0.2"/>
    <row r="9850" x14ac:dyDescent="0.2"/>
    <row r="9851" x14ac:dyDescent="0.2"/>
    <row r="9852" x14ac:dyDescent="0.2"/>
    <row r="9853" x14ac:dyDescent="0.2"/>
    <row r="9854" x14ac:dyDescent="0.2"/>
    <row r="9855" x14ac:dyDescent="0.2"/>
    <row r="9856" x14ac:dyDescent="0.2"/>
    <row r="9857" x14ac:dyDescent="0.2"/>
    <row r="9858" x14ac:dyDescent="0.2"/>
    <row r="9859" x14ac:dyDescent="0.2"/>
    <row r="9860" x14ac:dyDescent="0.2"/>
    <row r="9861" x14ac:dyDescent="0.2"/>
    <row r="9862" x14ac:dyDescent="0.2"/>
    <row r="9863" x14ac:dyDescent="0.2"/>
    <row r="9864" x14ac:dyDescent="0.2"/>
    <row r="9865" x14ac:dyDescent="0.2"/>
    <row r="9866" x14ac:dyDescent="0.2"/>
    <row r="9867" x14ac:dyDescent="0.2"/>
    <row r="9868" x14ac:dyDescent="0.2"/>
    <row r="9869" x14ac:dyDescent="0.2"/>
    <row r="9870" x14ac:dyDescent="0.2"/>
    <row r="9871" x14ac:dyDescent="0.2"/>
    <row r="9872" x14ac:dyDescent="0.2"/>
    <row r="9873" x14ac:dyDescent="0.2"/>
    <row r="9874" x14ac:dyDescent="0.2"/>
    <row r="9875" x14ac:dyDescent="0.2"/>
    <row r="9876" x14ac:dyDescent="0.2"/>
    <row r="9877" x14ac:dyDescent="0.2"/>
    <row r="9878" x14ac:dyDescent="0.2"/>
    <row r="9879" x14ac:dyDescent="0.2"/>
    <row r="9880" x14ac:dyDescent="0.2"/>
    <row r="9881" x14ac:dyDescent="0.2"/>
    <row r="9882" x14ac:dyDescent="0.2"/>
    <row r="9883" x14ac:dyDescent="0.2"/>
    <row r="9884" x14ac:dyDescent="0.2"/>
    <row r="9885" x14ac:dyDescent="0.2"/>
    <row r="9886" x14ac:dyDescent="0.2"/>
    <row r="9887" x14ac:dyDescent="0.2"/>
    <row r="9888" x14ac:dyDescent="0.2"/>
    <row r="9889" x14ac:dyDescent="0.2"/>
    <row r="9890" x14ac:dyDescent="0.2"/>
    <row r="9891" x14ac:dyDescent="0.2"/>
    <row r="9892" x14ac:dyDescent="0.2"/>
    <row r="9893" x14ac:dyDescent="0.2"/>
    <row r="9894" x14ac:dyDescent="0.2"/>
    <row r="9895" x14ac:dyDescent="0.2"/>
    <row r="9896" x14ac:dyDescent="0.2"/>
    <row r="9897" x14ac:dyDescent="0.2"/>
    <row r="9898" x14ac:dyDescent="0.2"/>
    <row r="9899" x14ac:dyDescent="0.2"/>
    <row r="9900" x14ac:dyDescent="0.2"/>
    <row r="9901" x14ac:dyDescent="0.2"/>
    <row r="9902" x14ac:dyDescent="0.2"/>
    <row r="9903" x14ac:dyDescent="0.2"/>
    <row r="9904" x14ac:dyDescent="0.2"/>
    <row r="9905" x14ac:dyDescent="0.2"/>
    <row r="9906" x14ac:dyDescent="0.2"/>
    <row r="9907" x14ac:dyDescent="0.2"/>
    <row r="9908" x14ac:dyDescent="0.2"/>
    <row r="9909" x14ac:dyDescent="0.2"/>
    <row r="9910" x14ac:dyDescent="0.2"/>
    <row r="9911" x14ac:dyDescent="0.2"/>
    <row r="9912" x14ac:dyDescent="0.2"/>
    <row r="9913" x14ac:dyDescent="0.2"/>
    <row r="9914" x14ac:dyDescent="0.2"/>
    <row r="9915" x14ac:dyDescent="0.2"/>
    <row r="9916" x14ac:dyDescent="0.2"/>
    <row r="9917" x14ac:dyDescent="0.2"/>
    <row r="9918" x14ac:dyDescent="0.2"/>
    <row r="9919" x14ac:dyDescent="0.2"/>
    <row r="9920" x14ac:dyDescent="0.2"/>
    <row r="9921" x14ac:dyDescent="0.2"/>
    <row r="9922" x14ac:dyDescent="0.2"/>
    <row r="9923" x14ac:dyDescent="0.2"/>
    <row r="9924" x14ac:dyDescent="0.2"/>
    <row r="9925" x14ac:dyDescent="0.2"/>
    <row r="9926" x14ac:dyDescent="0.2"/>
    <row r="9927" x14ac:dyDescent="0.2"/>
    <row r="9928" x14ac:dyDescent="0.2"/>
    <row r="9929" x14ac:dyDescent="0.2"/>
    <row r="9930" x14ac:dyDescent="0.2"/>
    <row r="9931" x14ac:dyDescent="0.2"/>
    <row r="9932" x14ac:dyDescent="0.2"/>
    <row r="9933" x14ac:dyDescent="0.2"/>
    <row r="9934" x14ac:dyDescent="0.2"/>
    <row r="9935" x14ac:dyDescent="0.2"/>
    <row r="9936" x14ac:dyDescent="0.2"/>
    <row r="9937" x14ac:dyDescent="0.2"/>
    <row r="9938" x14ac:dyDescent="0.2"/>
    <row r="9939" x14ac:dyDescent="0.2"/>
    <row r="9940" x14ac:dyDescent="0.2"/>
    <row r="9941" x14ac:dyDescent="0.2"/>
    <row r="9942" x14ac:dyDescent="0.2"/>
    <row r="9943" x14ac:dyDescent="0.2"/>
    <row r="9944" x14ac:dyDescent="0.2"/>
    <row r="9945" x14ac:dyDescent="0.2"/>
    <row r="9946" x14ac:dyDescent="0.2"/>
    <row r="9947" x14ac:dyDescent="0.2"/>
    <row r="9948" x14ac:dyDescent="0.2"/>
    <row r="9949" x14ac:dyDescent="0.2"/>
    <row r="9950" x14ac:dyDescent="0.2"/>
    <row r="9951" x14ac:dyDescent="0.2"/>
    <row r="9952" x14ac:dyDescent="0.2"/>
    <row r="9953" x14ac:dyDescent="0.2"/>
    <row r="9954" x14ac:dyDescent="0.2"/>
    <row r="9955" x14ac:dyDescent="0.2"/>
    <row r="9956" x14ac:dyDescent="0.2"/>
    <row r="9957" x14ac:dyDescent="0.2"/>
    <row r="9958" x14ac:dyDescent="0.2"/>
    <row r="9959" x14ac:dyDescent="0.2"/>
    <row r="9960" x14ac:dyDescent="0.2"/>
    <row r="9961" x14ac:dyDescent="0.2"/>
    <row r="9962" x14ac:dyDescent="0.2"/>
    <row r="9963" x14ac:dyDescent="0.2"/>
    <row r="9964" x14ac:dyDescent="0.2"/>
    <row r="9965" x14ac:dyDescent="0.2"/>
    <row r="9966" x14ac:dyDescent="0.2"/>
    <row r="9967" x14ac:dyDescent="0.2"/>
    <row r="9968" x14ac:dyDescent="0.2"/>
    <row r="9969" x14ac:dyDescent="0.2"/>
    <row r="9970" x14ac:dyDescent="0.2"/>
    <row r="9971" x14ac:dyDescent="0.2"/>
    <row r="9972" x14ac:dyDescent="0.2"/>
    <row r="9973" x14ac:dyDescent="0.2"/>
    <row r="9974" x14ac:dyDescent="0.2"/>
    <row r="9975" x14ac:dyDescent="0.2"/>
    <row r="9976" x14ac:dyDescent="0.2"/>
    <row r="9977" x14ac:dyDescent="0.2"/>
    <row r="9978" x14ac:dyDescent="0.2"/>
    <row r="9979" x14ac:dyDescent="0.2"/>
    <row r="9980" x14ac:dyDescent="0.2"/>
    <row r="9981" x14ac:dyDescent="0.2"/>
    <row r="9982" x14ac:dyDescent="0.2"/>
    <row r="9983" x14ac:dyDescent="0.2"/>
    <row r="9984" x14ac:dyDescent="0.2"/>
    <row r="9985" x14ac:dyDescent="0.2"/>
    <row r="9986" x14ac:dyDescent="0.2"/>
    <row r="9987" x14ac:dyDescent="0.2"/>
    <row r="9988" x14ac:dyDescent="0.2"/>
    <row r="9989" x14ac:dyDescent="0.2"/>
    <row r="9990" x14ac:dyDescent="0.2"/>
    <row r="9991" x14ac:dyDescent="0.2"/>
    <row r="9992" x14ac:dyDescent="0.2"/>
    <row r="9993" x14ac:dyDescent="0.2"/>
    <row r="9994" x14ac:dyDescent="0.2"/>
    <row r="9995" x14ac:dyDescent="0.2"/>
    <row r="9996" x14ac:dyDescent="0.2"/>
    <row r="9997" x14ac:dyDescent="0.2"/>
    <row r="9998" x14ac:dyDescent="0.2"/>
    <row r="9999" x14ac:dyDescent="0.2"/>
    <row r="10000" x14ac:dyDescent="0.2"/>
    <row r="10001" x14ac:dyDescent="0.2"/>
    <row r="10002" x14ac:dyDescent="0.2"/>
    <row r="10003" x14ac:dyDescent="0.2"/>
    <row r="10004" x14ac:dyDescent="0.2"/>
    <row r="10005" x14ac:dyDescent="0.2"/>
    <row r="10006" x14ac:dyDescent="0.2"/>
    <row r="10007" x14ac:dyDescent="0.2"/>
    <row r="10008" x14ac:dyDescent="0.2"/>
    <row r="10009" x14ac:dyDescent="0.2"/>
    <row r="10010" x14ac:dyDescent="0.2"/>
    <row r="10011" x14ac:dyDescent="0.2"/>
    <row r="10012" x14ac:dyDescent="0.2"/>
    <row r="10013" x14ac:dyDescent="0.2"/>
    <row r="10014" x14ac:dyDescent="0.2"/>
    <row r="10015" x14ac:dyDescent="0.2"/>
    <row r="10016" x14ac:dyDescent="0.2"/>
    <row r="10017" x14ac:dyDescent="0.2"/>
    <row r="10018" x14ac:dyDescent="0.2"/>
    <row r="10019" x14ac:dyDescent="0.2"/>
    <row r="10020" x14ac:dyDescent="0.2"/>
    <row r="10021" x14ac:dyDescent="0.2"/>
    <row r="10022" x14ac:dyDescent="0.2"/>
    <row r="10023" x14ac:dyDescent="0.2"/>
    <row r="10024" x14ac:dyDescent="0.2"/>
    <row r="10025" x14ac:dyDescent="0.2"/>
    <row r="10026" x14ac:dyDescent="0.2"/>
    <row r="10027" x14ac:dyDescent="0.2"/>
    <row r="10028" x14ac:dyDescent="0.2"/>
    <row r="10029" x14ac:dyDescent="0.2"/>
    <row r="10030" x14ac:dyDescent="0.2"/>
    <row r="10031" x14ac:dyDescent="0.2"/>
    <row r="10032" x14ac:dyDescent="0.2"/>
    <row r="10033" x14ac:dyDescent="0.2"/>
    <row r="10034" x14ac:dyDescent="0.2"/>
    <row r="10035" x14ac:dyDescent="0.2"/>
    <row r="10036" x14ac:dyDescent="0.2"/>
    <row r="10037" x14ac:dyDescent="0.2"/>
    <row r="10038" x14ac:dyDescent="0.2"/>
    <row r="10039" x14ac:dyDescent="0.2"/>
    <row r="10040" x14ac:dyDescent="0.2"/>
    <row r="10041" x14ac:dyDescent="0.2"/>
    <row r="10042" x14ac:dyDescent="0.2"/>
    <row r="10043" x14ac:dyDescent="0.2"/>
    <row r="10044" x14ac:dyDescent="0.2"/>
    <row r="10045" x14ac:dyDescent="0.2"/>
    <row r="10046" x14ac:dyDescent="0.2"/>
    <row r="10047" x14ac:dyDescent="0.2"/>
    <row r="10048" x14ac:dyDescent="0.2"/>
    <row r="10049" x14ac:dyDescent="0.2"/>
    <row r="10050" x14ac:dyDescent="0.2"/>
    <row r="10051" x14ac:dyDescent="0.2"/>
    <row r="10052" x14ac:dyDescent="0.2"/>
    <row r="10053" x14ac:dyDescent="0.2"/>
    <row r="10054" x14ac:dyDescent="0.2"/>
    <row r="10055" x14ac:dyDescent="0.2"/>
    <row r="10056" x14ac:dyDescent="0.2"/>
    <row r="10057" x14ac:dyDescent="0.2"/>
    <row r="10058" x14ac:dyDescent="0.2"/>
    <row r="10059" x14ac:dyDescent="0.2"/>
    <row r="10060" x14ac:dyDescent="0.2"/>
    <row r="10061" x14ac:dyDescent="0.2"/>
    <row r="10062" x14ac:dyDescent="0.2"/>
    <row r="10063" x14ac:dyDescent="0.2"/>
    <row r="10064" x14ac:dyDescent="0.2"/>
    <row r="10065" x14ac:dyDescent="0.2"/>
    <row r="10066" x14ac:dyDescent="0.2"/>
    <row r="10067" x14ac:dyDescent="0.2"/>
    <row r="10068" x14ac:dyDescent="0.2"/>
    <row r="10069" x14ac:dyDescent="0.2"/>
    <row r="10070" x14ac:dyDescent="0.2"/>
    <row r="10071" x14ac:dyDescent="0.2"/>
    <row r="10072" x14ac:dyDescent="0.2"/>
    <row r="10073" x14ac:dyDescent="0.2"/>
    <row r="10074" x14ac:dyDescent="0.2"/>
    <row r="10075" x14ac:dyDescent="0.2"/>
    <row r="10076" x14ac:dyDescent="0.2"/>
    <row r="10077" x14ac:dyDescent="0.2"/>
    <row r="10078" x14ac:dyDescent="0.2"/>
    <row r="10079" x14ac:dyDescent="0.2"/>
    <row r="10080" x14ac:dyDescent="0.2"/>
    <row r="10081" x14ac:dyDescent="0.2"/>
    <row r="10082" x14ac:dyDescent="0.2"/>
    <row r="10083" x14ac:dyDescent="0.2"/>
    <row r="10084" x14ac:dyDescent="0.2"/>
    <row r="10085" x14ac:dyDescent="0.2"/>
    <row r="10086" x14ac:dyDescent="0.2"/>
    <row r="10087" x14ac:dyDescent="0.2"/>
    <row r="10088" x14ac:dyDescent="0.2"/>
    <row r="10089" x14ac:dyDescent="0.2"/>
    <row r="10090" x14ac:dyDescent="0.2"/>
    <row r="10091" x14ac:dyDescent="0.2"/>
    <row r="10092" x14ac:dyDescent="0.2"/>
    <row r="10093" x14ac:dyDescent="0.2"/>
    <row r="10094" x14ac:dyDescent="0.2"/>
    <row r="10095" x14ac:dyDescent="0.2"/>
    <row r="10096" x14ac:dyDescent="0.2"/>
    <row r="10097" x14ac:dyDescent="0.2"/>
    <row r="10098" x14ac:dyDescent="0.2"/>
    <row r="10099" x14ac:dyDescent="0.2"/>
    <row r="10100" x14ac:dyDescent="0.2"/>
    <row r="10101" x14ac:dyDescent="0.2"/>
    <row r="10102" x14ac:dyDescent="0.2"/>
    <row r="10103" x14ac:dyDescent="0.2"/>
    <row r="10104" x14ac:dyDescent="0.2"/>
    <row r="10105" x14ac:dyDescent="0.2"/>
    <row r="10106" x14ac:dyDescent="0.2"/>
    <row r="10107" x14ac:dyDescent="0.2"/>
    <row r="10108" x14ac:dyDescent="0.2"/>
    <row r="10109" x14ac:dyDescent="0.2"/>
    <row r="10110" x14ac:dyDescent="0.2"/>
    <row r="10111" x14ac:dyDescent="0.2"/>
    <row r="10112" x14ac:dyDescent="0.2"/>
    <row r="10113" x14ac:dyDescent="0.2"/>
    <row r="10114" x14ac:dyDescent="0.2"/>
    <row r="10115" x14ac:dyDescent="0.2"/>
    <row r="10116" x14ac:dyDescent="0.2"/>
    <row r="10117" x14ac:dyDescent="0.2"/>
    <row r="10118" x14ac:dyDescent="0.2"/>
    <row r="10119" x14ac:dyDescent="0.2"/>
    <row r="10120" x14ac:dyDescent="0.2"/>
    <row r="10121" x14ac:dyDescent="0.2"/>
    <row r="10122" x14ac:dyDescent="0.2"/>
    <row r="10123" x14ac:dyDescent="0.2"/>
    <row r="10124" x14ac:dyDescent="0.2"/>
    <row r="10125" x14ac:dyDescent="0.2"/>
    <row r="10126" x14ac:dyDescent="0.2"/>
    <row r="10127" x14ac:dyDescent="0.2"/>
    <row r="10128" x14ac:dyDescent="0.2"/>
    <row r="10129" x14ac:dyDescent="0.2"/>
    <row r="10130" x14ac:dyDescent="0.2"/>
    <row r="10131" x14ac:dyDescent="0.2"/>
    <row r="10132" x14ac:dyDescent="0.2"/>
    <row r="10133" x14ac:dyDescent="0.2"/>
    <row r="10134" x14ac:dyDescent="0.2"/>
    <row r="10135" x14ac:dyDescent="0.2"/>
    <row r="10136" x14ac:dyDescent="0.2"/>
    <row r="10137" x14ac:dyDescent="0.2"/>
    <row r="10138" x14ac:dyDescent="0.2"/>
    <row r="10139" x14ac:dyDescent="0.2"/>
    <row r="10140" x14ac:dyDescent="0.2"/>
    <row r="10141" x14ac:dyDescent="0.2"/>
    <row r="10142" x14ac:dyDescent="0.2"/>
    <row r="10143" x14ac:dyDescent="0.2"/>
    <row r="10144" x14ac:dyDescent="0.2"/>
    <row r="10145" x14ac:dyDescent="0.2"/>
    <row r="10146" x14ac:dyDescent="0.2"/>
    <row r="10147" x14ac:dyDescent="0.2"/>
    <row r="10148" x14ac:dyDescent="0.2"/>
    <row r="10149" x14ac:dyDescent="0.2"/>
    <row r="10150" x14ac:dyDescent="0.2"/>
    <row r="10151" x14ac:dyDescent="0.2"/>
    <row r="10152" x14ac:dyDescent="0.2"/>
    <row r="10153" x14ac:dyDescent="0.2"/>
    <row r="10154" x14ac:dyDescent="0.2"/>
    <row r="10155" x14ac:dyDescent="0.2"/>
    <row r="10156" x14ac:dyDescent="0.2"/>
    <row r="10157" x14ac:dyDescent="0.2"/>
    <row r="10158" x14ac:dyDescent="0.2"/>
    <row r="10159" x14ac:dyDescent="0.2"/>
    <row r="10160" x14ac:dyDescent="0.2"/>
    <row r="10161" x14ac:dyDescent="0.2"/>
    <row r="10162" x14ac:dyDescent="0.2"/>
    <row r="10163" x14ac:dyDescent="0.2"/>
    <row r="10164" x14ac:dyDescent="0.2"/>
    <row r="10165" x14ac:dyDescent="0.2"/>
    <row r="10166" x14ac:dyDescent="0.2"/>
    <row r="10167" x14ac:dyDescent="0.2"/>
    <row r="10168" x14ac:dyDescent="0.2"/>
    <row r="10169" x14ac:dyDescent="0.2"/>
    <row r="10170" x14ac:dyDescent="0.2"/>
    <row r="10171" x14ac:dyDescent="0.2"/>
    <row r="10172" x14ac:dyDescent="0.2"/>
    <row r="10173" x14ac:dyDescent="0.2"/>
    <row r="10174" x14ac:dyDescent="0.2"/>
    <row r="10175" x14ac:dyDescent="0.2"/>
    <row r="10176" x14ac:dyDescent="0.2"/>
    <row r="10177" x14ac:dyDescent="0.2"/>
    <row r="10178" x14ac:dyDescent="0.2"/>
    <row r="10179" x14ac:dyDescent="0.2"/>
    <row r="10180" x14ac:dyDescent="0.2"/>
    <row r="10181" x14ac:dyDescent="0.2"/>
    <row r="10182" x14ac:dyDescent="0.2"/>
    <row r="10183" x14ac:dyDescent="0.2"/>
    <row r="10184" x14ac:dyDescent="0.2"/>
    <row r="10185" x14ac:dyDescent="0.2"/>
    <row r="10186" x14ac:dyDescent="0.2"/>
    <row r="10187" x14ac:dyDescent="0.2"/>
    <row r="10188" x14ac:dyDescent="0.2"/>
    <row r="10189" x14ac:dyDescent="0.2"/>
    <row r="10190" x14ac:dyDescent="0.2"/>
    <row r="10191" x14ac:dyDescent="0.2"/>
    <row r="10192" x14ac:dyDescent="0.2"/>
    <row r="10193" x14ac:dyDescent="0.2"/>
    <row r="10194" x14ac:dyDescent="0.2"/>
    <row r="10195" x14ac:dyDescent="0.2"/>
    <row r="10196" x14ac:dyDescent="0.2"/>
    <row r="10197" x14ac:dyDescent="0.2"/>
    <row r="10198" x14ac:dyDescent="0.2"/>
    <row r="10199" x14ac:dyDescent="0.2"/>
    <row r="10200" x14ac:dyDescent="0.2"/>
    <row r="10201" x14ac:dyDescent="0.2"/>
    <row r="10202" x14ac:dyDescent="0.2"/>
    <row r="10203" x14ac:dyDescent="0.2"/>
    <row r="10204" x14ac:dyDescent="0.2"/>
    <row r="10205" x14ac:dyDescent="0.2"/>
    <row r="10206" x14ac:dyDescent="0.2"/>
    <row r="10207" x14ac:dyDescent="0.2"/>
    <row r="10208" x14ac:dyDescent="0.2"/>
    <row r="10209" x14ac:dyDescent="0.2"/>
    <row r="10210" x14ac:dyDescent="0.2"/>
    <row r="10211" x14ac:dyDescent="0.2"/>
    <row r="10212" x14ac:dyDescent="0.2"/>
    <row r="10213" x14ac:dyDescent="0.2"/>
    <row r="10214" x14ac:dyDescent="0.2"/>
    <row r="10215" x14ac:dyDescent="0.2"/>
    <row r="10216" x14ac:dyDescent="0.2"/>
    <row r="10217" x14ac:dyDescent="0.2"/>
    <row r="10218" x14ac:dyDescent="0.2"/>
    <row r="10219" x14ac:dyDescent="0.2"/>
    <row r="10220" x14ac:dyDescent="0.2"/>
    <row r="10221" x14ac:dyDescent="0.2"/>
    <row r="10222" x14ac:dyDescent="0.2"/>
    <row r="10223" x14ac:dyDescent="0.2"/>
    <row r="10224" x14ac:dyDescent="0.2"/>
    <row r="10225" x14ac:dyDescent="0.2"/>
    <row r="10226" x14ac:dyDescent="0.2"/>
    <row r="10227" x14ac:dyDescent="0.2"/>
    <row r="10228" x14ac:dyDescent="0.2"/>
    <row r="10229" x14ac:dyDescent="0.2"/>
    <row r="10230" x14ac:dyDescent="0.2"/>
    <row r="10231" x14ac:dyDescent="0.2"/>
    <row r="10232" x14ac:dyDescent="0.2"/>
    <row r="10233" x14ac:dyDescent="0.2"/>
    <row r="10234" x14ac:dyDescent="0.2"/>
    <row r="10235" x14ac:dyDescent="0.2"/>
    <row r="10236" x14ac:dyDescent="0.2"/>
    <row r="10237" x14ac:dyDescent="0.2"/>
    <row r="10238" x14ac:dyDescent="0.2"/>
    <row r="10239" x14ac:dyDescent="0.2"/>
    <row r="10240" x14ac:dyDescent="0.2"/>
    <row r="10241" x14ac:dyDescent="0.2"/>
    <row r="10242" x14ac:dyDescent="0.2"/>
    <row r="10243" x14ac:dyDescent="0.2"/>
    <row r="10244" x14ac:dyDescent="0.2"/>
    <row r="10245" x14ac:dyDescent="0.2"/>
    <row r="10246" x14ac:dyDescent="0.2"/>
    <row r="10247" x14ac:dyDescent="0.2"/>
    <row r="10248" x14ac:dyDescent="0.2"/>
    <row r="10249" x14ac:dyDescent="0.2"/>
    <row r="10250" x14ac:dyDescent="0.2"/>
    <row r="10251" x14ac:dyDescent="0.2"/>
    <row r="10252" x14ac:dyDescent="0.2"/>
    <row r="10253" x14ac:dyDescent="0.2"/>
    <row r="10254" x14ac:dyDescent="0.2"/>
    <row r="10255" x14ac:dyDescent="0.2"/>
    <row r="10256" x14ac:dyDescent="0.2"/>
    <row r="10257" x14ac:dyDescent="0.2"/>
    <row r="10258" x14ac:dyDescent="0.2"/>
    <row r="10259" x14ac:dyDescent="0.2"/>
    <row r="10260" x14ac:dyDescent="0.2"/>
    <row r="10261" x14ac:dyDescent="0.2"/>
    <row r="10262" x14ac:dyDescent="0.2"/>
    <row r="10263" x14ac:dyDescent="0.2"/>
    <row r="10264" x14ac:dyDescent="0.2"/>
    <row r="10265" x14ac:dyDescent="0.2"/>
    <row r="10266" x14ac:dyDescent="0.2"/>
    <row r="10267" x14ac:dyDescent="0.2"/>
    <row r="10268" x14ac:dyDescent="0.2"/>
    <row r="10269" x14ac:dyDescent="0.2"/>
    <row r="10270" x14ac:dyDescent="0.2"/>
    <row r="10271" x14ac:dyDescent="0.2"/>
    <row r="10272" x14ac:dyDescent="0.2"/>
    <row r="10273" x14ac:dyDescent="0.2"/>
    <row r="10274" x14ac:dyDescent="0.2"/>
    <row r="10275" x14ac:dyDescent="0.2"/>
    <row r="10276" x14ac:dyDescent="0.2"/>
    <row r="10277" x14ac:dyDescent="0.2"/>
    <row r="10278" x14ac:dyDescent="0.2"/>
    <row r="10279" x14ac:dyDescent="0.2"/>
    <row r="10280" x14ac:dyDescent="0.2"/>
    <row r="10281" x14ac:dyDescent="0.2"/>
    <row r="10282" x14ac:dyDescent="0.2"/>
    <row r="10283" x14ac:dyDescent="0.2"/>
    <row r="10284" x14ac:dyDescent="0.2"/>
    <row r="10285" x14ac:dyDescent="0.2"/>
    <row r="10286" x14ac:dyDescent="0.2"/>
    <row r="10287" x14ac:dyDescent="0.2"/>
    <row r="10288" x14ac:dyDescent="0.2"/>
    <row r="10289" x14ac:dyDescent="0.2"/>
    <row r="10290" x14ac:dyDescent="0.2"/>
    <row r="10291" x14ac:dyDescent="0.2"/>
    <row r="10292" x14ac:dyDescent="0.2"/>
    <row r="10293" x14ac:dyDescent="0.2"/>
    <row r="10294" x14ac:dyDescent="0.2"/>
    <row r="10295" x14ac:dyDescent="0.2"/>
    <row r="10296" x14ac:dyDescent="0.2"/>
    <row r="10297" x14ac:dyDescent="0.2"/>
    <row r="10298" x14ac:dyDescent="0.2"/>
    <row r="10299" x14ac:dyDescent="0.2"/>
    <row r="10300" x14ac:dyDescent="0.2"/>
    <row r="10301" x14ac:dyDescent="0.2"/>
    <row r="10302" x14ac:dyDescent="0.2"/>
    <row r="10303" x14ac:dyDescent="0.2"/>
    <row r="10304" x14ac:dyDescent="0.2"/>
    <row r="10305" x14ac:dyDescent="0.2"/>
    <row r="10306" x14ac:dyDescent="0.2"/>
    <row r="10307" x14ac:dyDescent="0.2"/>
    <row r="10308" x14ac:dyDescent="0.2"/>
    <row r="10309" x14ac:dyDescent="0.2"/>
    <row r="10310" x14ac:dyDescent="0.2"/>
    <row r="10311" x14ac:dyDescent="0.2"/>
    <row r="10312" x14ac:dyDescent="0.2"/>
    <row r="10313" x14ac:dyDescent="0.2"/>
    <row r="10314" x14ac:dyDescent="0.2"/>
    <row r="10315" x14ac:dyDescent="0.2"/>
    <row r="10316" x14ac:dyDescent="0.2"/>
    <row r="10317" x14ac:dyDescent="0.2"/>
    <row r="10318" x14ac:dyDescent="0.2"/>
    <row r="10319" x14ac:dyDescent="0.2"/>
    <row r="10320" x14ac:dyDescent="0.2"/>
    <row r="10321" x14ac:dyDescent="0.2"/>
    <row r="10322" x14ac:dyDescent="0.2"/>
    <row r="10323" x14ac:dyDescent="0.2"/>
    <row r="10324" x14ac:dyDescent="0.2"/>
    <row r="10325" x14ac:dyDescent="0.2"/>
    <row r="10326" x14ac:dyDescent="0.2"/>
    <row r="10327" x14ac:dyDescent="0.2"/>
    <row r="10328" x14ac:dyDescent="0.2"/>
    <row r="10329" x14ac:dyDescent="0.2"/>
    <row r="10330" x14ac:dyDescent="0.2"/>
    <row r="10331" x14ac:dyDescent="0.2"/>
    <row r="10332" x14ac:dyDescent="0.2"/>
    <row r="10333" x14ac:dyDescent="0.2"/>
    <row r="10334" x14ac:dyDescent="0.2"/>
    <row r="10335" x14ac:dyDescent="0.2"/>
    <row r="10336" x14ac:dyDescent="0.2"/>
    <row r="10337" x14ac:dyDescent="0.2"/>
    <row r="10338" x14ac:dyDescent="0.2"/>
    <row r="10339" x14ac:dyDescent="0.2"/>
    <row r="10340" x14ac:dyDescent="0.2"/>
    <row r="10341" x14ac:dyDescent="0.2"/>
    <row r="10342" x14ac:dyDescent="0.2"/>
    <row r="10343" x14ac:dyDescent="0.2"/>
    <row r="10344" x14ac:dyDescent="0.2"/>
    <row r="10345" x14ac:dyDescent="0.2"/>
    <row r="10346" x14ac:dyDescent="0.2"/>
    <row r="10347" x14ac:dyDescent="0.2"/>
    <row r="10348" x14ac:dyDescent="0.2"/>
    <row r="10349" x14ac:dyDescent="0.2"/>
    <row r="10350" x14ac:dyDescent="0.2"/>
    <row r="10351" x14ac:dyDescent="0.2"/>
    <row r="10352" x14ac:dyDescent="0.2"/>
    <row r="10353" x14ac:dyDescent="0.2"/>
    <row r="10354" x14ac:dyDescent="0.2"/>
    <row r="10355" x14ac:dyDescent="0.2"/>
    <row r="10356" x14ac:dyDescent="0.2"/>
    <row r="10357" x14ac:dyDescent="0.2"/>
    <row r="10358" x14ac:dyDescent="0.2"/>
    <row r="10359" x14ac:dyDescent="0.2"/>
    <row r="10360" x14ac:dyDescent="0.2"/>
    <row r="10361" x14ac:dyDescent="0.2"/>
    <row r="10362" x14ac:dyDescent="0.2"/>
    <row r="10363" x14ac:dyDescent="0.2"/>
    <row r="10364" x14ac:dyDescent="0.2"/>
    <row r="10365" x14ac:dyDescent="0.2"/>
    <row r="10366" x14ac:dyDescent="0.2"/>
    <row r="10367" x14ac:dyDescent="0.2"/>
    <row r="10368" x14ac:dyDescent="0.2"/>
    <row r="10369" x14ac:dyDescent="0.2"/>
    <row r="10370" x14ac:dyDescent="0.2"/>
    <row r="10371" x14ac:dyDescent="0.2"/>
    <row r="10372" x14ac:dyDescent="0.2"/>
    <row r="10373" x14ac:dyDescent="0.2"/>
    <row r="10374" x14ac:dyDescent="0.2"/>
    <row r="10375" x14ac:dyDescent="0.2"/>
    <row r="10376" x14ac:dyDescent="0.2"/>
    <row r="10377" x14ac:dyDescent="0.2"/>
    <row r="10378" x14ac:dyDescent="0.2"/>
    <row r="10379" x14ac:dyDescent="0.2"/>
    <row r="10380" x14ac:dyDescent="0.2"/>
    <row r="10381" x14ac:dyDescent="0.2"/>
    <row r="10382" x14ac:dyDescent="0.2"/>
    <row r="10383" x14ac:dyDescent="0.2"/>
    <row r="10384" x14ac:dyDescent="0.2"/>
    <row r="10385" x14ac:dyDescent="0.2"/>
    <row r="10386" x14ac:dyDescent="0.2"/>
    <row r="10387" x14ac:dyDescent="0.2"/>
    <row r="10388" x14ac:dyDescent="0.2"/>
    <row r="10389" x14ac:dyDescent="0.2"/>
    <row r="10390" x14ac:dyDescent="0.2"/>
    <row r="10391" x14ac:dyDescent="0.2"/>
    <row r="10392" x14ac:dyDescent="0.2"/>
    <row r="10393" x14ac:dyDescent="0.2"/>
    <row r="10394" x14ac:dyDescent="0.2"/>
    <row r="10395" x14ac:dyDescent="0.2"/>
    <row r="10396" x14ac:dyDescent="0.2"/>
    <row r="10397" x14ac:dyDescent="0.2"/>
    <row r="10398" x14ac:dyDescent="0.2"/>
    <row r="10399" x14ac:dyDescent="0.2"/>
    <row r="10400" x14ac:dyDescent="0.2"/>
    <row r="10401" x14ac:dyDescent="0.2"/>
    <row r="10402" x14ac:dyDescent="0.2"/>
    <row r="10403" x14ac:dyDescent="0.2"/>
    <row r="10404" x14ac:dyDescent="0.2"/>
    <row r="10405" x14ac:dyDescent="0.2"/>
    <row r="10406" x14ac:dyDescent="0.2"/>
    <row r="10407" x14ac:dyDescent="0.2"/>
    <row r="10408" x14ac:dyDescent="0.2"/>
    <row r="10409" x14ac:dyDescent="0.2"/>
    <row r="10410" x14ac:dyDescent="0.2"/>
    <row r="10411" x14ac:dyDescent="0.2"/>
    <row r="10412" x14ac:dyDescent="0.2"/>
    <row r="10413" x14ac:dyDescent="0.2"/>
    <row r="10414" x14ac:dyDescent="0.2"/>
    <row r="10415" x14ac:dyDescent="0.2"/>
    <row r="10416" x14ac:dyDescent="0.2"/>
    <row r="10417" x14ac:dyDescent="0.2"/>
    <row r="10418" x14ac:dyDescent="0.2"/>
    <row r="10419" x14ac:dyDescent="0.2"/>
    <row r="10420" x14ac:dyDescent="0.2"/>
    <row r="10421" x14ac:dyDescent="0.2"/>
    <row r="10422" x14ac:dyDescent="0.2"/>
    <row r="10423" x14ac:dyDescent="0.2"/>
    <row r="10424" x14ac:dyDescent="0.2"/>
    <row r="10425" x14ac:dyDescent="0.2"/>
    <row r="10426" x14ac:dyDescent="0.2"/>
    <row r="10427" x14ac:dyDescent="0.2"/>
    <row r="10428" x14ac:dyDescent="0.2"/>
    <row r="10429" x14ac:dyDescent="0.2"/>
    <row r="10430" x14ac:dyDescent="0.2"/>
    <row r="10431" x14ac:dyDescent="0.2"/>
    <row r="10432" x14ac:dyDescent="0.2"/>
    <row r="10433" x14ac:dyDescent="0.2"/>
    <row r="10434" x14ac:dyDescent="0.2"/>
    <row r="10435" x14ac:dyDescent="0.2"/>
    <row r="10436" x14ac:dyDescent="0.2"/>
    <row r="10437" x14ac:dyDescent="0.2"/>
    <row r="10438" x14ac:dyDescent="0.2"/>
    <row r="10439" x14ac:dyDescent="0.2"/>
    <row r="10440" x14ac:dyDescent="0.2"/>
    <row r="10441" x14ac:dyDescent="0.2"/>
    <row r="10442" x14ac:dyDescent="0.2"/>
    <row r="10443" x14ac:dyDescent="0.2"/>
    <row r="10444" x14ac:dyDescent="0.2"/>
    <row r="10445" x14ac:dyDescent="0.2"/>
    <row r="10446" x14ac:dyDescent="0.2"/>
    <row r="10447" x14ac:dyDescent="0.2"/>
    <row r="10448" x14ac:dyDescent="0.2"/>
    <row r="10449" x14ac:dyDescent="0.2"/>
    <row r="10450" x14ac:dyDescent="0.2"/>
    <row r="10451" x14ac:dyDescent="0.2"/>
    <row r="10452" x14ac:dyDescent="0.2"/>
    <row r="10453" x14ac:dyDescent="0.2"/>
    <row r="10454" x14ac:dyDescent="0.2"/>
    <row r="10455" x14ac:dyDescent="0.2"/>
    <row r="10456" x14ac:dyDescent="0.2"/>
    <row r="10457" x14ac:dyDescent="0.2"/>
    <row r="10458" x14ac:dyDescent="0.2"/>
    <row r="10459" x14ac:dyDescent="0.2"/>
    <row r="10460" x14ac:dyDescent="0.2"/>
    <row r="10461" x14ac:dyDescent="0.2"/>
    <row r="10462" x14ac:dyDescent="0.2"/>
    <row r="10463" x14ac:dyDescent="0.2"/>
    <row r="10464" x14ac:dyDescent="0.2"/>
    <row r="10465" x14ac:dyDescent="0.2"/>
    <row r="10466" x14ac:dyDescent="0.2"/>
    <row r="10467" x14ac:dyDescent="0.2"/>
    <row r="10468" x14ac:dyDescent="0.2"/>
    <row r="10469" x14ac:dyDescent="0.2"/>
    <row r="10470" x14ac:dyDescent="0.2"/>
    <row r="10471" x14ac:dyDescent="0.2"/>
    <row r="10472" x14ac:dyDescent="0.2"/>
    <row r="10473" x14ac:dyDescent="0.2"/>
    <row r="10474" x14ac:dyDescent="0.2"/>
    <row r="10475" x14ac:dyDescent="0.2"/>
    <row r="10476" x14ac:dyDescent="0.2"/>
    <row r="10477" x14ac:dyDescent="0.2"/>
    <row r="10478" x14ac:dyDescent="0.2"/>
    <row r="10479" x14ac:dyDescent="0.2"/>
    <row r="10480" x14ac:dyDescent="0.2"/>
    <row r="10481" x14ac:dyDescent="0.2"/>
    <row r="10482" x14ac:dyDescent="0.2"/>
    <row r="10483" x14ac:dyDescent="0.2"/>
    <row r="10484" x14ac:dyDescent="0.2"/>
    <row r="10485" x14ac:dyDescent="0.2"/>
    <row r="10486" x14ac:dyDescent="0.2"/>
    <row r="10487" x14ac:dyDescent="0.2"/>
    <row r="10488" x14ac:dyDescent="0.2"/>
    <row r="10489" x14ac:dyDescent="0.2"/>
    <row r="10490" x14ac:dyDescent="0.2"/>
    <row r="10491" x14ac:dyDescent="0.2"/>
    <row r="10492" x14ac:dyDescent="0.2"/>
    <row r="10493" x14ac:dyDescent="0.2"/>
    <row r="10494" x14ac:dyDescent="0.2"/>
    <row r="10495" x14ac:dyDescent="0.2"/>
    <row r="10496" x14ac:dyDescent="0.2"/>
    <row r="10497" x14ac:dyDescent="0.2"/>
    <row r="10498" x14ac:dyDescent="0.2"/>
    <row r="10499" x14ac:dyDescent="0.2"/>
    <row r="10500" x14ac:dyDescent="0.2"/>
    <row r="10501" x14ac:dyDescent="0.2"/>
    <row r="10502" x14ac:dyDescent="0.2"/>
    <row r="10503" x14ac:dyDescent="0.2"/>
    <row r="10504" x14ac:dyDescent="0.2"/>
    <row r="10505" x14ac:dyDescent="0.2"/>
    <row r="10506" x14ac:dyDescent="0.2"/>
    <row r="10507" x14ac:dyDescent="0.2"/>
    <row r="10508" x14ac:dyDescent="0.2"/>
    <row r="10509" x14ac:dyDescent="0.2"/>
    <row r="10510" x14ac:dyDescent="0.2"/>
    <row r="10511" x14ac:dyDescent="0.2"/>
    <row r="10512" x14ac:dyDescent="0.2"/>
    <row r="10513" x14ac:dyDescent="0.2"/>
    <row r="10514" x14ac:dyDescent="0.2"/>
    <row r="10515" x14ac:dyDescent="0.2"/>
    <row r="10516" x14ac:dyDescent="0.2"/>
    <row r="10517" x14ac:dyDescent="0.2"/>
    <row r="10518" x14ac:dyDescent="0.2"/>
    <row r="10519" x14ac:dyDescent="0.2"/>
    <row r="10520" x14ac:dyDescent="0.2"/>
    <row r="10521" x14ac:dyDescent="0.2"/>
    <row r="10522" x14ac:dyDescent="0.2"/>
    <row r="10523" x14ac:dyDescent="0.2"/>
    <row r="10524" x14ac:dyDescent="0.2"/>
    <row r="10525" x14ac:dyDescent="0.2"/>
    <row r="10526" x14ac:dyDescent="0.2"/>
    <row r="10527" x14ac:dyDescent="0.2"/>
    <row r="10528" x14ac:dyDescent="0.2"/>
    <row r="10529" x14ac:dyDescent="0.2"/>
    <row r="10530" x14ac:dyDescent="0.2"/>
    <row r="10531" x14ac:dyDescent="0.2"/>
    <row r="10532" x14ac:dyDescent="0.2"/>
    <row r="10533" x14ac:dyDescent="0.2"/>
    <row r="10534" x14ac:dyDescent="0.2"/>
    <row r="10535" x14ac:dyDescent="0.2"/>
    <row r="10536" x14ac:dyDescent="0.2"/>
    <row r="10537" x14ac:dyDescent="0.2"/>
    <row r="10538" x14ac:dyDescent="0.2"/>
    <row r="10539" x14ac:dyDescent="0.2"/>
    <row r="10540" x14ac:dyDescent="0.2"/>
    <row r="10541" x14ac:dyDescent="0.2"/>
    <row r="10542" x14ac:dyDescent="0.2"/>
    <row r="10543" x14ac:dyDescent="0.2"/>
    <row r="10544" x14ac:dyDescent="0.2"/>
    <row r="10545" x14ac:dyDescent="0.2"/>
    <row r="10546" x14ac:dyDescent="0.2"/>
    <row r="10547" x14ac:dyDescent="0.2"/>
    <row r="10548" x14ac:dyDescent="0.2"/>
    <row r="10549" x14ac:dyDescent="0.2"/>
    <row r="10550" x14ac:dyDescent="0.2"/>
    <row r="10551" x14ac:dyDescent="0.2"/>
    <row r="10552" x14ac:dyDescent="0.2"/>
    <row r="10553" x14ac:dyDescent="0.2"/>
    <row r="10554" x14ac:dyDescent="0.2"/>
    <row r="10555" x14ac:dyDescent="0.2"/>
    <row r="10556" x14ac:dyDescent="0.2"/>
    <row r="10557" x14ac:dyDescent="0.2"/>
    <row r="10558" x14ac:dyDescent="0.2"/>
    <row r="10559" x14ac:dyDescent="0.2"/>
    <row r="10560" x14ac:dyDescent="0.2"/>
    <row r="10561" x14ac:dyDescent="0.2"/>
    <row r="10562" x14ac:dyDescent="0.2"/>
    <row r="10563" x14ac:dyDescent="0.2"/>
    <row r="10564" x14ac:dyDescent="0.2"/>
    <row r="10565" x14ac:dyDescent="0.2"/>
    <row r="10566" x14ac:dyDescent="0.2"/>
    <row r="10567" x14ac:dyDescent="0.2"/>
    <row r="10568" x14ac:dyDescent="0.2"/>
    <row r="10569" x14ac:dyDescent="0.2"/>
    <row r="10570" x14ac:dyDescent="0.2"/>
    <row r="10571" x14ac:dyDescent="0.2"/>
    <row r="10572" x14ac:dyDescent="0.2"/>
    <row r="10573" x14ac:dyDescent="0.2"/>
    <row r="10574" x14ac:dyDescent="0.2"/>
    <row r="10575" x14ac:dyDescent="0.2"/>
    <row r="10576" x14ac:dyDescent="0.2"/>
    <row r="10577" x14ac:dyDescent="0.2"/>
    <row r="10578" x14ac:dyDescent="0.2"/>
    <row r="10579" x14ac:dyDescent="0.2"/>
    <row r="10580" x14ac:dyDescent="0.2"/>
    <row r="10581" x14ac:dyDescent="0.2"/>
    <row r="10582" x14ac:dyDescent="0.2"/>
    <row r="10583" x14ac:dyDescent="0.2"/>
    <row r="10584" x14ac:dyDescent="0.2"/>
    <row r="10585" x14ac:dyDescent="0.2"/>
    <row r="10586" x14ac:dyDescent="0.2"/>
    <row r="10587" x14ac:dyDescent="0.2"/>
    <row r="10588" x14ac:dyDescent="0.2"/>
    <row r="10589" x14ac:dyDescent="0.2"/>
    <row r="10590" x14ac:dyDescent="0.2"/>
    <row r="10591" x14ac:dyDescent="0.2"/>
    <row r="10592" x14ac:dyDescent="0.2"/>
    <row r="10593" x14ac:dyDescent="0.2"/>
    <row r="10594" x14ac:dyDescent="0.2"/>
    <row r="10595" x14ac:dyDescent="0.2"/>
    <row r="10596" x14ac:dyDescent="0.2"/>
    <row r="10597" x14ac:dyDescent="0.2"/>
    <row r="10598" x14ac:dyDescent="0.2"/>
    <row r="10599" x14ac:dyDescent="0.2"/>
    <row r="10600" x14ac:dyDescent="0.2"/>
    <row r="10601" x14ac:dyDescent="0.2"/>
    <row r="10602" x14ac:dyDescent="0.2"/>
    <row r="10603" x14ac:dyDescent="0.2"/>
    <row r="10604" x14ac:dyDescent="0.2"/>
    <row r="10605" x14ac:dyDescent="0.2"/>
    <row r="10606" x14ac:dyDescent="0.2"/>
    <row r="10607" x14ac:dyDescent="0.2"/>
    <row r="10608" x14ac:dyDescent="0.2"/>
    <row r="10609" x14ac:dyDescent="0.2"/>
    <row r="10610" x14ac:dyDescent="0.2"/>
    <row r="10611" x14ac:dyDescent="0.2"/>
    <row r="10612" x14ac:dyDescent="0.2"/>
    <row r="10613" x14ac:dyDescent="0.2"/>
    <row r="10614" x14ac:dyDescent="0.2"/>
    <row r="10615" x14ac:dyDescent="0.2"/>
    <row r="10616" x14ac:dyDescent="0.2"/>
    <row r="10617" x14ac:dyDescent="0.2"/>
    <row r="10618" x14ac:dyDescent="0.2"/>
    <row r="10619" x14ac:dyDescent="0.2"/>
    <row r="10620" x14ac:dyDescent="0.2"/>
    <row r="10621" x14ac:dyDescent="0.2"/>
    <row r="10622" x14ac:dyDescent="0.2"/>
    <row r="10623" x14ac:dyDescent="0.2"/>
    <row r="10624" x14ac:dyDescent="0.2"/>
    <row r="10625" x14ac:dyDescent="0.2"/>
    <row r="10626" x14ac:dyDescent="0.2"/>
    <row r="10627" x14ac:dyDescent="0.2"/>
    <row r="10628" x14ac:dyDescent="0.2"/>
    <row r="10629" x14ac:dyDescent="0.2"/>
    <row r="10630" x14ac:dyDescent="0.2"/>
    <row r="10631" x14ac:dyDescent="0.2"/>
    <row r="10632" x14ac:dyDescent="0.2"/>
    <row r="10633" x14ac:dyDescent="0.2"/>
    <row r="10634" x14ac:dyDescent="0.2"/>
    <row r="10635" x14ac:dyDescent="0.2"/>
    <row r="10636" x14ac:dyDescent="0.2"/>
    <row r="10637" x14ac:dyDescent="0.2"/>
    <row r="10638" x14ac:dyDescent="0.2"/>
    <row r="10639" x14ac:dyDescent="0.2"/>
    <row r="10640" x14ac:dyDescent="0.2"/>
    <row r="10641" x14ac:dyDescent="0.2"/>
    <row r="10642" x14ac:dyDescent="0.2"/>
    <row r="10643" x14ac:dyDescent="0.2"/>
    <row r="10644" x14ac:dyDescent="0.2"/>
    <row r="10645" x14ac:dyDescent="0.2"/>
    <row r="10646" x14ac:dyDescent="0.2"/>
    <row r="10647" x14ac:dyDescent="0.2"/>
    <row r="10648" x14ac:dyDescent="0.2"/>
    <row r="10649" x14ac:dyDescent="0.2"/>
    <row r="10650" x14ac:dyDescent="0.2"/>
    <row r="10651" x14ac:dyDescent="0.2"/>
    <row r="10652" x14ac:dyDescent="0.2"/>
    <row r="10653" x14ac:dyDescent="0.2"/>
    <row r="10654" x14ac:dyDescent="0.2"/>
    <row r="10655" x14ac:dyDescent="0.2"/>
    <row r="10656" x14ac:dyDescent="0.2"/>
    <row r="10657" x14ac:dyDescent="0.2"/>
    <row r="10658" x14ac:dyDescent="0.2"/>
    <row r="10659" x14ac:dyDescent="0.2"/>
    <row r="10660" x14ac:dyDescent="0.2"/>
    <row r="10661" x14ac:dyDescent="0.2"/>
    <row r="10662" x14ac:dyDescent="0.2"/>
    <row r="10663" x14ac:dyDescent="0.2"/>
    <row r="10664" x14ac:dyDescent="0.2"/>
    <row r="10665" x14ac:dyDescent="0.2"/>
    <row r="10666" x14ac:dyDescent="0.2"/>
    <row r="10667" x14ac:dyDescent="0.2"/>
    <row r="10668" x14ac:dyDescent="0.2"/>
    <row r="10669" x14ac:dyDescent="0.2"/>
    <row r="10670" x14ac:dyDescent="0.2"/>
    <row r="10671" x14ac:dyDescent="0.2"/>
    <row r="10672" x14ac:dyDescent="0.2"/>
    <row r="10673" x14ac:dyDescent="0.2"/>
    <row r="10674" x14ac:dyDescent="0.2"/>
    <row r="10675" x14ac:dyDescent="0.2"/>
    <row r="10676" x14ac:dyDescent="0.2"/>
    <row r="10677" x14ac:dyDescent="0.2"/>
    <row r="10678" x14ac:dyDescent="0.2"/>
    <row r="10679" x14ac:dyDescent="0.2"/>
    <row r="10680" x14ac:dyDescent="0.2"/>
    <row r="10681" x14ac:dyDescent="0.2"/>
    <row r="10682" x14ac:dyDescent="0.2"/>
    <row r="10683" x14ac:dyDescent="0.2"/>
    <row r="10684" x14ac:dyDescent="0.2"/>
    <row r="10685" x14ac:dyDescent="0.2"/>
    <row r="10686" x14ac:dyDescent="0.2"/>
    <row r="10687" x14ac:dyDescent="0.2"/>
    <row r="10688" x14ac:dyDescent="0.2"/>
    <row r="10689" x14ac:dyDescent="0.2"/>
    <row r="10690" x14ac:dyDescent="0.2"/>
    <row r="10691" x14ac:dyDescent="0.2"/>
    <row r="10692" x14ac:dyDescent="0.2"/>
    <row r="10693" x14ac:dyDescent="0.2"/>
    <row r="10694" x14ac:dyDescent="0.2"/>
    <row r="10695" x14ac:dyDescent="0.2"/>
    <row r="10696" x14ac:dyDescent="0.2"/>
    <row r="10697" x14ac:dyDescent="0.2"/>
    <row r="10698" x14ac:dyDescent="0.2"/>
    <row r="10699" x14ac:dyDescent="0.2"/>
    <row r="10700" x14ac:dyDescent="0.2"/>
    <row r="10701" x14ac:dyDescent="0.2"/>
    <row r="10702" x14ac:dyDescent="0.2"/>
    <row r="10703" x14ac:dyDescent="0.2"/>
    <row r="10704" x14ac:dyDescent="0.2"/>
    <row r="10705" x14ac:dyDescent="0.2"/>
    <row r="10706" x14ac:dyDescent="0.2"/>
    <row r="10707" x14ac:dyDescent="0.2"/>
    <row r="10708" x14ac:dyDescent="0.2"/>
    <row r="10709" x14ac:dyDescent="0.2"/>
    <row r="10710" x14ac:dyDescent="0.2"/>
    <row r="10711" x14ac:dyDescent="0.2"/>
    <row r="10712" x14ac:dyDescent="0.2"/>
    <row r="10713" x14ac:dyDescent="0.2"/>
    <row r="10714" x14ac:dyDescent="0.2"/>
    <row r="10715" x14ac:dyDescent="0.2"/>
    <row r="10716" x14ac:dyDescent="0.2"/>
    <row r="10717" x14ac:dyDescent="0.2"/>
    <row r="10718" x14ac:dyDescent="0.2"/>
    <row r="10719" x14ac:dyDescent="0.2"/>
    <row r="10720" x14ac:dyDescent="0.2"/>
    <row r="10721" x14ac:dyDescent="0.2"/>
    <row r="10722" x14ac:dyDescent="0.2"/>
    <row r="10723" x14ac:dyDescent="0.2"/>
    <row r="10724" x14ac:dyDescent="0.2"/>
    <row r="10725" x14ac:dyDescent="0.2"/>
    <row r="10726" x14ac:dyDescent="0.2"/>
    <row r="10727" x14ac:dyDescent="0.2"/>
    <row r="10728" x14ac:dyDescent="0.2"/>
    <row r="10729" x14ac:dyDescent="0.2"/>
    <row r="10730" x14ac:dyDescent="0.2"/>
    <row r="10731" x14ac:dyDescent="0.2"/>
    <row r="10732" x14ac:dyDescent="0.2"/>
    <row r="10733" x14ac:dyDescent="0.2"/>
    <row r="10734" x14ac:dyDescent="0.2"/>
    <row r="10735" x14ac:dyDescent="0.2"/>
    <row r="10736" x14ac:dyDescent="0.2"/>
    <row r="10737" x14ac:dyDescent="0.2"/>
    <row r="10738" x14ac:dyDescent="0.2"/>
    <row r="10739" x14ac:dyDescent="0.2"/>
    <row r="10740" x14ac:dyDescent="0.2"/>
    <row r="10741" x14ac:dyDescent="0.2"/>
    <row r="10742" x14ac:dyDescent="0.2"/>
    <row r="10743" x14ac:dyDescent="0.2"/>
    <row r="10744" x14ac:dyDescent="0.2"/>
    <row r="10745" x14ac:dyDescent="0.2"/>
    <row r="10746" x14ac:dyDescent="0.2"/>
    <row r="10747" x14ac:dyDescent="0.2"/>
    <row r="10748" x14ac:dyDescent="0.2"/>
    <row r="10749" x14ac:dyDescent="0.2"/>
    <row r="10750" x14ac:dyDescent="0.2"/>
    <row r="10751" x14ac:dyDescent="0.2"/>
    <row r="10752" x14ac:dyDescent="0.2"/>
    <row r="10753" x14ac:dyDescent="0.2"/>
    <row r="10754" x14ac:dyDescent="0.2"/>
    <row r="10755" x14ac:dyDescent="0.2"/>
    <row r="10756" x14ac:dyDescent="0.2"/>
    <row r="10757" x14ac:dyDescent="0.2"/>
    <row r="10758" x14ac:dyDescent="0.2"/>
    <row r="10759" x14ac:dyDescent="0.2"/>
    <row r="10760" x14ac:dyDescent="0.2"/>
    <row r="10761" x14ac:dyDescent="0.2"/>
    <row r="10762" x14ac:dyDescent="0.2"/>
    <row r="10763" x14ac:dyDescent="0.2"/>
    <row r="10764" x14ac:dyDescent="0.2"/>
    <row r="10765" x14ac:dyDescent="0.2"/>
    <row r="10766" x14ac:dyDescent="0.2"/>
    <row r="10767" x14ac:dyDescent="0.2"/>
    <row r="10768" x14ac:dyDescent="0.2"/>
    <row r="10769" x14ac:dyDescent="0.2"/>
    <row r="10770" x14ac:dyDescent="0.2"/>
    <row r="10771" x14ac:dyDescent="0.2"/>
    <row r="10772" x14ac:dyDescent="0.2"/>
    <row r="10773" x14ac:dyDescent="0.2"/>
    <row r="10774" x14ac:dyDescent="0.2"/>
    <row r="10775" x14ac:dyDescent="0.2"/>
    <row r="10776" x14ac:dyDescent="0.2"/>
    <row r="10777" x14ac:dyDescent="0.2"/>
    <row r="10778" x14ac:dyDescent="0.2"/>
    <row r="10779" x14ac:dyDescent="0.2"/>
    <row r="10780" x14ac:dyDescent="0.2"/>
    <row r="10781" x14ac:dyDescent="0.2"/>
    <row r="10782" x14ac:dyDescent="0.2"/>
    <row r="10783" x14ac:dyDescent="0.2"/>
    <row r="10784" x14ac:dyDescent="0.2"/>
    <row r="10785" x14ac:dyDescent="0.2"/>
    <row r="10786" x14ac:dyDescent="0.2"/>
    <row r="10787" x14ac:dyDescent="0.2"/>
    <row r="10788" x14ac:dyDescent="0.2"/>
    <row r="10789" x14ac:dyDescent="0.2"/>
    <row r="10790" x14ac:dyDescent="0.2"/>
    <row r="10791" x14ac:dyDescent="0.2"/>
  </sheetData>
  <sheetProtection algorithmName="SHA-512" hashValue="OJm8vB3FS4fe6fPrpb/peeg65v+aV8gLhUm4ui6E5NlRsqDK57qnIXXiA2msDGiWJY5BfCmvsapBmqsm6uZgwA==" saltValue="Z7c2srw1zJGs48DbRi+j3Q==" spinCount="100000" sheet="1" objects="1" scenarios="1"/>
  <mergeCells count="15">
    <mergeCell ref="K59:K61"/>
    <mergeCell ref="B4:H4"/>
    <mergeCell ref="J59:J61"/>
    <mergeCell ref="C59:E59"/>
    <mergeCell ref="E60:E61"/>
    <mergeCell ref="F59:F61"/>
    <mergeCell ref="G59:G61"/>
    <mergeCell ref="I59:I61"/>
    <mergeCell ref="A21:D21"/>
    <mergeCell ref="A22:D23"/>
    <mergeCell ref="A59:A61"/>
    <mergeCell ref="B59:B61"/>
    <mergeCell ref="C60:C61"/>
    <mergeCell ref="D60:D61"/>
    <mergeCell ref="H59:H61"/>
  </mergeCells>
  <phoneticPr fontId="170" type="noConversion"/>
  <dataValidations count="20">
    <dataValidation type="custom" allowBlank="1" showInputMessage="1" showErrorMessage="1" errorTitle="PE Number" error="Please enter the correct employer number!" sqref="E22:E24" xr:uid="{00000000-0002-0000-4500-000000000000}">
      <formula1>AK22=0</formula1>
    </dataValidation>
    <dataValidation type="list" allowBlank="1" showInputMessage="1" showErrorMessage="1" sqref="H31 H19 F47 F788 G56" xr:uid="{00000000-0002-0000-4500-000001000000}">
      <formula1>yn</formula1>
    </dataValidation>
    <dataValidation type="list" allowBlank="1" showInputMessage="1" showErrorMessage="1" sqref="B34:B40 B62:B785" xr:uid="{00000000-0002-0000-4500-000002000000}">
      <formula1>ms</formula1>
    </dataValidation>
    <dataValidation type="list" allowBlank="1" showInputMessage="1" showErrorMessage="1" sqref="P21:P22" xr:uid="{00000000-0002-0000-4500-000003000000}">
      <formula1>$P$21:$P$22</formula1>
    </dataValidation>
    <dataValidation type="whole" operator="greaterThanOrEqual" allowBlank="1" showInputMessage="1" showErrorMessage="1" errorTitle="Number of employees" error="Please enter a positive value or 0!" sqref="F22:F24" xr:uid="{00000000-0002-0000-4500-000004000000}">
      <formula1>0</formula1>
    </dataValidation>
    <dataValidation type="whole" operator="greaterThanOrEqual" allowBlank="1" showInputMessage="1" showErrorMessage="1" errorTitle="Number of directors" error="Please enter a positive value or 0!" sqref="G22:G24" xr:uid="{00000000-0002-0000-4500-000005000000}">
      <formula1>0</formula1>
    </dataValidation>
    <dataValidation type="whole" operator="greaterThanOrEqual" allowBlank="1" showInputMessage="1" showErrorMessage="1" errorTitle="Wages and Salaries" error="Please enter a positive value or 0!" sqref="H22:H24 H47" xr:uid="{00000000-0002-0000-4500-000006000000}">
      <formula1>0</formula1>
    </dataValidation>
    <dataValidation type="whole" operator="greaterThanOrEqual" allowBlank="1" showInputMessage="1" showErrorMessage="1" errorTitle="Employer's share of SSC" error="Please enter a positive value or 0!" sqref="I22:I24 J62:J785" xr:uid="{00000000-0002-0000-4500-000007000000}">
      <formula1>0</formula1>
    </dataValidation>
    <dataValidation type="textLength" allowBlank="1" showInputMessage="1" showErrorMessage="1" errorTitle="Tax (ID) number" error="Please enter the correct number!" sqref="A34:A40" xr:uid="{00000000-0002-0000-4500-000008000000}">
      <formula1>4</formula1>
      <formula2>9</formula2>
    </dataValidation>
    <dataValidation type="list" allowBlank="1" showInputMessage="1" showErrorMessage="1" sqref="A62:A785" xr:uid="{00000000-0002-0000-4500-000009000000}">
      <formula1>noav</formula1>
    </dataValidation>
    <dataValidation type="textLength" operator="greaterThanOrEqual" allowBlank="1" showInputMessage="1" showErrorMessage="1" errorTitle="Surname" error="Please enter the correct details!" sqref="F34:F40" xr:uid="{00000000-0002-0000-4500-00000A000000}">
      <formula1>4</formula1>
    </dataValidation>
    <dataValidation type="textLength" operator="greaterThanOrEqual" allowBlank="1" showInputMessage="1" showErrorMessage="1" errorTitle="Name" error="Please enter the correct details!" sqref="G34:G40 H62:H785" xr:uid="{00000000-0002-0000-4500-00000B000000}">
      <formula1>4</formula1>
    </dataValidation>
    <dataValidation type="whole" operator="greaterThanOrEqual" allowBlank="1" showInputMessage="1" showErrorMessage="1" errorTitle="Wages" error="Please enter a positive value!" sqref="I63:I785" xr:uid="{00000000-0002-0000-4500-00000C000000}">
      <formula1>0</formula1>
    </dataValidation>
    <dataValidation type="textLength" operator="greaterThanOrEqual" allowBlank="1" showInputMessage="1" showErrorMessage="1" errorTitle="City of Birth" error="Please enter the correct details!" sqref="D62:D785" xr:uid="{00000000-0002-0000-4500-00000D000000}">
      <formula1>2</formula1>
    </dataValidation>
    <dataValidation type="textLength" operator="greaterThanOrEqual" allowBlank="1" showInputMessage="1" showErrorMessage="1" errorTitle="Country of Birth" error="Please enter the correct details!" sqref="E62:E785" xr:uid="{00000000-0002-0000-4500-00000E000000}">
      <formula1>2</formula1>
    </dataValidation>
    <dataValidation type="custom" allowBlank="1" showInputMessage="1" showErrorMessage="1" errorTitle="PE Number" error="Please enter the correct employer number!" sqref="F27:I27" xr:uid="{00000000-0002-0000-4500-00000F000000}">
      <formula1>AJ27=0</formula1>
    </dataValidation>
    <dataValidation type="whole" operator="greaterThan" allowBlank="1" showInputMessage="1" showErrorMessage="1" errorTitle="Wages and Salaries" error="Please enter a positive value!" sqref="H34:H40 I62" xr:uid="{00000000-0002-0000-4500-000010000000}">
      <formula1>0</formula1>
    </dataValidation>
    <dataValidation type="date" allowBlank="1" showInputMessage="1" showErrorMessage="1" errorTitle="Date of Birth" error="Please enter the correct date of birth!" promptTitle="Date Format" prompt="dd/mm/yyyy" sqref="C62:C785" xr:uid="{00000000-0002-0000-4500-000011000000}">
      <formula1>7306</formula1>
      <formula2>DATE(ya-14,1,1)</formula2>
    </dataValidation>
    <dataValidation type="textLength" operator="greaterThanOrEqual" allowBlank="1" showInputMessage="1" showErrorMessage="1" errorTitle="Name" error="Please enter the correct details!" sqref="G62:G785" xr:uid="{B3F5F86F-4C2F-41E1-AF25-D1E1BAE93F22}">
      <formula1>1</formula1>
    </dataValidation>
    <dataValidation type="textLength" operator="greaterThanOrEqual" allowBlank="1" showInputMessage="1" showErrorMessage="1" errorTitle="Surname" error="Please enter the correct details!" sqref="F62:F785" xr:uid="{27B92C3B-13F1-42A0-B700-6FFB945E89EF}">
      <formula1>1</formula1>
    </dataValidation>
  </dataValidations>
  <hyperlinks>
    <hyperlink ref="A791" location="Index!B77" display="B A C K   T O   I N D E X" xr:uid="{00000000-0004-0000-4500-000000000000}"/>
  </hyperlinks>
  <pageMargins left="0.9055118110236221" right="0.11811023622047245" top="0.15748031496062992" bottom="0.46" header="0.17" footer="0.17"/>
  <pageSetup paperSize="9" orientation="landscape" r:id="rId1"/>
  <headerFooter>
    <oddFooter>&amp;LName&amp;CSignature&amp;RDate</oddFooter>
  </headerFooter>
  <rowBreaks count="1" manualBreakCount="1">
    <brk id="51" max="9" man="1"/>
  </rowBreaks>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9"/>
  <dimension ref="A1:AD112"/>
  <sheetViews>
    <sheetView showGridLines="0" topLeftCell="A63" zoomScale="115" zoomScaleNormal="115" workbookViewId="0">
      <selection activeCell="F93" sqref="F93"/>
    </sheetView>
  </sheetViews>
  <sheetFormatPr defaultColWidth="0" defaultRowHeight="0" customHeight="1" zeroHeight="1" x14ac:dyDescent="0.2"/>
  <cols>
    <col min="1" max="1" width="0.7109375" style="1458" customWidth="1"/>
    <col min="2" max="2" width="12" style="1458" customWidth="1"/>
    <col min="3" max="3" width="9.5703125" style="1458" customWidth="1"/>
    <col min="4" max="4" width="15.28515625" style="1458" customWidth="1"/>
    <col min="5" max="5" width="39.28515625" style="1458" customWidth="1"/>
    <col min="6" max="6" width="12.28515625" style="1458" customWidth="1"/>
    <col min="7" max="7" width="10.7109375" style="1458" customWidth="1"/>
    <col min="8" max="8" width="14.28515625" style="2167" customWidth="1"/>
    <col min="9" max="9" width="1" style="1726" customWidth="1"/>
    <col min="10" max="10" width="4" style="1726" hidden="1" customWidth="1"/>
    <col min="11" max="11" width="3.28515625" style="1726" hidden="1" customWidth="1"/>
    <col min="12" max="12" width="2.28515625" style="1726" hidden="1" customWidth="1"/>
    <col min="13" max="13" width="8" style="1726" hidden="1" customWidth="1"/>
    <col min="14" max="14" width="8.7109375" style="1726" hidden="1" customWidth="1"/>
    <col min="15" max="15" width="11.42578125" style="1726" hidden="1" customWidth="1"/>
    <col min="16" max="16" width="11" style="1726" hidden="1" customWidth="1"/>
    <col min="17" max="17" width="9.7109375" style="1726" hidden="1" customWidth="1"/>
    <col min="18" max="18" width="8.28515625" style="1726" hidden="1" customWidth="1"/>
    <col min="19" max="19" width="12.42578125" style="1726" hidden="1" customWidth="1"/>
    <col min="20" max="20" width="9.28515625" style="1485" hidden="1" customWidth="1"/>
    <col min="21" max="21" width="6.42578125" style="1726" hidden="1" customWidth="1"/>
    <col min="22" max="22" width="3.28515625" style="1726" hidden="1" customWidth="1"/>
    <col min="23" max="24" width="2.28515625" style="1726" hidden="1" customWidth="1"/>
    <col min="25" max="29" width="11.28515625" style="1726" hidden="1" customWidth="1"/>
    <col min="30" max="30" width="9.28515625" style="1726" hidden="1" customWidth="1"/>
    <col min="31" max="16384" width="3.28515625" style="1458" hidden="1"/>
  </cols>
  <sheetData>
    <row r="1" spans="1:30" s="1960" customFormat="1" ht="12.75" x14ac:dyDescent="0.2">
      <c r="A1" s="1958"/>
      <c r="B1" s="1958" t="str">
        <f>_ref1</f>
      </c>
      <c r="C1" s="1958"/>
      <c r="D1" s="1958"/>
      <c r="E1" s="1958"/>
      <c r="F1" s="1958"/>
      <c r="G1" s="1959" t="str">
        <f>_YA1</f>
      </c>
      <c r="H1" s="2161"/>
      <c r="I1" s="2161"/>
      <c r="O1" s="1960" t="s">
        <v>9962</v>
      </c>
      <c r="P1" s="1960" t="str">
        <f>'p2'!G36</f>
      </c>
    </row>
    <row r="2" spans="1:30" ht="14.25" x14ac:dyDescent="0.2">
      <c r="A2" s="1921"/>
      <c r="B2" s="1921"/>
      <c r="C2" s="1921"/>
      <c r="D2" s="1921"/>
      <c r="E2" s="1921"/>
      <c r="F2" s="1921"/>
      <c r="G2" s="1921"/>
      <c r="H2" s="2161"/>
      <c r="I2" s="2161"/>
      <c r="O2" s="1726" t="str">
        <f>P2&amp;" - "&amp;P3</f>
      </c>
      <c r="P2" s="1726" t="str">
        <f>B3</f>
      </c>
      <c r="AB2" s="1726" t="s">
        <v>4217</v>
      </c>
      <c r="AD2" s="1726" t="s">
        <v>2772</v>
      </c>
    </row>
    <row r="3" spans="1:30" ht="23.25" x14ac:dyDescent="0.35">
      <c r="A3" s="1920"/>
      <c r="B3" s="3561" t="s">
        <v>6975</v>
      </c>
      <c r="C3" s="3562"/>
      <c r="D3" s="1816"/>
      <c r="E3" s="1816"/>
      <c r="F3" s="1816"/>
      <c r="G3" s="1816"/>
      <c r="H3" s="2162"/>
      <c r="I3" s="2161"/>
      <c r="P3" s="1726" t="str">
        <f>B4</f>
      </c>
      <c r="AB3" s="1726" t="s">
        <v>5521</v>
      </c>
    </row>
    <row r="4" spans="1:30" ht="18" x14ac:dyDescent="0.2">
      <c r="A4" s="1921"/>
      <c r="B4" s="1817" t="s">
        <v>7728</v>
      </c>
      <c r="C4" s="3563"/>
      <c r="D4" s="1818"/>
      <c r="E4" s="1818"/>
      <c r="F4" s="1818"/>
      <c r="G4" s="1818"/>
      <c r="H4" s="2163"/>
      <c r="I4" s="2161"/>
      <c r="M4" s="1726" t="s">
        <v>6976</v>
      </c>
      <c r="N4" s="1726" t="s">
        <v>6977</v>
      </c>
    </row>
    <row r="5" spans="1:30" ht="4.5" customHeight="1" x14ac:dyDescent="0.2">
      <c r="A5" s="1920"/>
      <c r="B5" s="1920"/>
      <c r="C5" s="1922"/>
      <c r="D5" s="1922"/>
      <c r="E5" s="1922"/>
      <c r="F5" s="1922"/>
      <c r="G5" s="1922"/>
      <c r="H5" s="2164"/>
      <c r="I5" s="2161"/>
    </row>
    <row r="6" spans="1:30" ht="5.25" customHeight="1" x14ac:dyDescent="0.2">
      <c r="A6" s="1921"/>
      <c r="B6" s="1921"/>
      <c r="C6" s="1922"/>
      <c r="D6" s="1922"/>
      <c r="E6" s="1922"/>
      <c r="F6" s="1922"/>
      <c r="G6" s="1922" t="s">
        <v>7135</v>
      </c>
      <c r="H6" s="2164"/>
      <c r="I6" s="2161"/>
    </row>
    <row r="7" spans="1:30" s="1726" customFormat="1" ht="15" x14ac:dyDescent="0.25">
      <c r="A7" s="1920"/>
      <c r="B7" s="1923" t="s">
        <v>7715</v>
      </c>
      <c r="C7" s="1922"/>
      <c r="D7" s="1922"/>
      <c r="E7" s="1922"/>
      <c r="F7" s="1922"/>
      <c r="G7" s="1932"/>
      <c r="H7" s="2165" t="str">
        <f>IF(AND(G7="",N98&gt;0),re,"")</f>
        <v/>
      </c>
      <c r="I7" s="2161"/>
      <c r="K7" s="1464"/>
      <c r="M7" s="1726">
        <f>IF(H7="",0,1)</f>
      </c>
      <c r="N7" s="1726">
        <f>COUNT(G7)</f>
      </c>
      <c r="P7" s="3575" t="s">
        <v>9967</v>
      </c>
    </row>
    <row r="8" spans="1:30" s="1726" customFormat="1" ht="3.75" customHeight="1" x14ac:dyDescent="0.2">
      <c r="A8" s="1920"/>
      <c r="B8" s="1920"/>
      <c r="C8" s="1922"/>
      <c r="D8" s="1922"/>
      <c r="E8" s="1922"/>
      <c r="F8" s="1922"/>
      <c r="G8" s="1922"/>
      <c r="H8" s="2164"/>
      <c r="I8" s="2161"/>
      <c r="K8" s="1464"/>
    </row>
    <row r="9" spans="1:30" ht="4.5" customHeight="1" x14ac:dyDescent="0.2">
      <c r="A9" s="1921"/>
      <c r="B9" s="1921"/>
      <c r="C9" s="1922"/>
      <c r="D9" s="1922"/>
      <c r="E9" s="1922"/>
      <c r="F9" s="1922"/>
      <c r="G9" s="1922"/>
      <c r="H9" s="2164"/>
      <c r="I9" s="2161"/>
      <c r="K9" s="1464"/>
    </row>
    <row r="10" spans="1:30" ht="48" x14ac:dyDescent="0.2">
      <c r="A10" s="1921"/>
      <c r="B10" s="1815" t="s">
        <v>9965</v>
      </c>
      <c r="C10" s="1814" t="s">
        <v>7713</v>
      </c>
      <c r="D10" s="1814" t="s">
        <v>7714</v>
      </c>
      <c r="E10" s="1814" t="s">
        <v>6978</v>
      </c>
      <c r="F10" s="1814" t="s">
        <v>6979</v>
      </c>
      <c r="G10" s="1815" t="s">
        <v>4161</v>
      </c>
      <c r="H10" s="2164"/>
      <c r="I10" s="2161"/>
      <c r="J10" s="1727"/>
      <c r="O10" s="1726" t="s">
        <v>6980</v>
      </c>
      <c r="P10" s="1283" t="s">
        <v>6981</v>
      </c>
      <c r="Q10" s="1726" t="s">
        <v>6982</v>
      </c>
      <c r="R10" s="1283" t="s">
        <v>6983</v>
      </c>
      <c r="S10" s="1726" t="s">
        <v>1908</v>
      </c>
      <c r="U10" s="1283" t="s">
        <v>6984</v>
      </c>
      <c r="X10" s="1728"/>
      <c r="Y10" s="1728"/>
      <c r="Z10" s="1728"/>
      <c r="AA10" s="1729"/>
    </row>
    <row r="11" spans="1:30" ht="14.25" x14ac:dyDescent="0.2">
      <c r="A11" s="1921"/>
      <c r="B11" s="2168"/>
      <c r="C11" s="2168"/>
      <c r="D11" s="1470"/>
      <c r="E11" s="1470"/>
      <c r="F11" s="1470"/>
      <c r="G11" s="1460"/>
      <c r="H11" s="2165" t="str">
        <f t="shared" ref="H11:H70" si="0">IF(U11=1,"Check no. of tenements!",IF(AND(R11=0,O11=0),"",IF(AND($G$7&gt;=Q11,O11=0),re,IF(AND($P$1="y",O11&lt;&gt;6),md,IF(AND($P$1="n",O11&lt;&gt;5),md,IF(AND($P$1="n",B11&lt;&gt;""),"Not fiscal unit - Pg 2 Q30",""))))))</f>
        <v/>
      </c>
      <c r="I11" s="2161"/>
      <c r="J11" s="1727"/>
      <c r="M11" s="1726">
        <f t="shared" ref="M11:M74" si="1">IF(H11="",0,1)</f>
      </c>
      <c r="N11" s="66">
        <f t="shared" ref="N11:N74" si="2">IF(O11=0,0,1)</f>
      </c>
      <c r="O11" s="1730">
        <f>IF($P$1="y",COUNTA(B11:G11),COUNTA(C11:G11))</f>
      </c>
      <c r="P11" s="66">
        <v>1</v>
      </c>
      <c r="Q11" s="1726">
        <f t="shared" ref="Q11:Q20" si="3">P11</f>
      </c>
      <c r="R11" s="1726">
        <f t="shared" ref="R11:R86" si="4">IF($G$7&gt;=Q11,1,0)</f>
      </c>
      <c r="S11" s="1731">
        <f t="shared" ref="S11:S74" si="5">IF(AND(M11=0,R11=1),G11,0)</f>
      </c>
      <c r="U11" s="1726">
        <f>IF(AND(R11=0,O11&gt;0),1,0)</f>
      </c>
      <c r="X11" s="1728"/>
      <c r="Y11" s="1728"/>
      <c r="Z11" s="1728"/>
      <c r="AA11" s="1729"/>
    </row>
    <row r="12" spans="1:30" ht="14.25" x14ac:dyDescent="0.2">
      <c r="A12" s="1921"/>
      <c r="B12" s="2168"/>
      <c r="C12" s="2168"/>
      <c r="D12" s="1470"/>
      <c r="E12" s="1470"/>
      <c r="F12" s="1470"/>
      <c r="G12" s="1460"/>
      <c r="H12" s="2165" t="str">
        <f t="shared" si="0"/>
        <v/>
      </c>
      <c r="I12" s="2161"/>
      <c r="J12" s="1727"/>
      <c r="M12" s="1726">
        <f t="shared" si="1"/>
        <v>0</v>
      </c>
      <c r="N12" s="66">
        <f t="shared" si="2"/>
        <v>0</v>
      </c>
      <c r="O12" s="1730">
        <f t="shared" ref="O12:O75" si="6">IF($P$1="y",COUNTA(B12:G12),COUNTA(C12:G12))</f>
      </c>
      <c r="P12" s="66">
        <v>2</v>
      </c>
      <c r="Q12" s="1726">
        <f t="shared" si="3"/>
        <v>2</v>
      </c>
      <c r="R12" s="1726">
        <f t="shared" si="4"/>
        <v>0</v>
      </c>
      <c r="S12" s="1731">
        <f t="shared" si="5"/>
        <v>0</v>
      </c>
      <c r="U12" s="1726">
        <f t="shared" ref="U12:U74" si="7">IF(AND(R12=0,O12&gt;0),1,0)</f>
      </c>
      <c r="X12" s="1728"/>
      <c r="Y12" s="1728"/>
      <c r="Z12" s="1728"/>
      <c r="AA12" s="1729"/>
    </row>
    <row r="13" spans="1:30" ht="14.25" x14ac:dyDescent="0.2">
      <c r="A13" s="1921"/>
      <c r="B13" s="2168"/>
      <c r="C13" s="2168"/>
      <c r="D13" s="1470"/>
      <c r="E13" s="1470"/>
      <c r="F13" s="1470"/>
      <c r="G13" s="1460"/>
      <c r="H13" s="2165" t="str">
        <f t="shared" si="0"/>
        <v/>
      </c>
      <c r="I13" s="2161"/>
      <c r="J13" s="1727"/>
      <c r="M13" s="1726">
        <f t="shared" si="1"/>
        <v>0</v>
      </c>
      <c r="N13" s="66">
        <f t="shared" si="2"/>
        <v>0</v>
      </c>
      <c r="O13" s="1730">
        <f t="shared" si="6"/>
        <v>0</v>
      </c>
      <c r="P13" s="66">
        <v>3</v>
      </c>
      <c r="Q13" s="1726">
        <f t="shared" si="3"/>
        <v>3</v>
      </c>
      <c r="R13" s="1726">
        <f t="shared" si="4"/>
        <v>0</v>
      </c>
      <c r="S13" s="1731">
        <f t="shared" si="5"/>
        <v>0</v>
      </c>
      <c r="U13" s="1726">
        <f t="shared" si="7"/>
        <v>0</v>
      </c>
      <c r="X13" s="1728"/>
      <c r="Y13" s="1728"/>
      <c r="Z13" s="1728"/>
      <c r="AA13" s="1729"/>
    </row>
    <row r="14" spans="1:30" ht="14.25" x14ac:dyDescent="0.2">
      <c r="A14" s="1921"/>
      <c r="B14" s="2168"/>
      <c r="C14" s="2168"/>
      <c r="D14" s="1470"/>
      <c r="E14" s="1470"/>
      <c r="F14" s="1470"/>
      <c r="G14" s="1460"/>
      <c r="H14" s="2165" t="str">
        <f t="shared" si="0"/>
        <v/>
      </c>
      <c r="I14" s="2161"/>
      <c r="J14" s="1727"/>
      <c r="M14" s="1726">
        <f t="shared" si="1"/>
        <v>0</v>
      </c>
      <c r="N14" s="66">
        <f t="shared" si="2"/>
        <v>0</v>
      </c>
      <c r="O14" s="1730">
        <f t="shared" si="6"/>
        <v>0</v>
      </c>
      <c r="P14" s="66">
        <v>4</v>
      </c>
      <c r="Q14" s="1726">
        <f t="shared" si="3"/>
        <v>4</v>
      </c>
      <c r="R14" s="1726">
        <f t="shared" si="4"/>
        <v>0</v>
      </c>
      <c r="S14" s="1731">
        <f t="shared" si="5"/>
        <v>0</v>
      </c>
      <c r="U14" s="1726">
        <f t="shared" si="7"/>
        <v>0</v>
      </c>
      <c r="X14" s="1728"/>
      <c r="Y14" s="1728"/>
      <c r="Z14" s="1728"/>
      <c r="AA14" s="1729"/>
    </row>
    <row r="15" spans="1:30" ht="14.25" x14ac:dyDescent="0.2">
      <c r="A15" s="1921"/>
      <c r="B15" s="2168"/>
      <c r="C15" s="2168"/>
      <c r="D15" s="1470"/>
      <c r="E15" s="1470"/>
      <c r="F15" s="1470"/>
      <c r="G15" s="1460"/>
      <c r="H15" s="2165" t="str">
        <f t="shared" si="0"/>
        <v/>
      </c>
      <c r="I15" s="2161"/>
      <c r="J15" s="1727"/>
      <c r="M15" s="1726">
        <f t="shared" si="1"/>
        <v>0</v>
      </c>
      <c r="N15" s="66">
        <f t="shared" si="2"/>
        <v>0</v>
      </c>
      <c r="O15" s="1730">
        <f t="shared" si="6"/>
        <v>0</v>
      </c>
      <c r="P15" s="66">
        <v>5</v>
      </c>
      <c r="Q15" s="1726">
        <f t="shared" si="3"/>
        <v>5</v>
      </c>
      <c r="R15" s="1726">
        <f t="shared" si="4"/>
        <v>0</v>
      </c>
      <c r="S15" s="1731">
        <f t="shared" si="5"/>
        <v>0</v>
      </c>
      <c r="U15" s="1726">
        <f t="shared" si="7"/>
        <v>0</v>
      </c>
      <c r="X15" s="1728"/>
      <c r="Y15" s="1728"/>
      <c r="Z15" s="1728"/>
      <c r="AA15" s="1729"/>
    </row>
    <row r="16" spans="1:30" ht="14.25" x14ac:dyDescent="0.2">
      <c r="A16" s="1921"/>
      <c r="B16" s="2168"/>
      <c r="C16" s="2168"/>
      <c r="D16" s="1470"/>
      <c r="E16" s="1470"/>
      <c r="F16" s="1470"/>
      <c r="G16" s="1460"/>
      <c r="H16" s="2165" t="str">
        <f t="shared" si="0"/>
        <v/>
      </c>
      <c r="I16" s="2161"/>
      <c r="J16" s="1727"/>
      <c r="M16" s="1726">
        <f t="shared" si="1"/>
        <v>0</v>
      </c>
      <c r="N16" s="66">
        <f t="shared" si="2"/>
        <v>0</v>
      </c>
      <c r="O16" s="1730">
        <f t="shared" si="6"/>
        <v>0</v>
      </c>
      <c r="P16" s="66">
        <v>6</v>
      </c>
      <c r="Q16" s="1726">
        <f t="shared" si="3"/>
        <v>6</v>
      </c>
      <c r="R16" s="1726">
        <f t="shared" si="4"/>
        <v>0</v>
      </c>
      <c r="S16" s="1731">
        <f t="shared" si="5"/>
        <v>0</v>
      </c>
      <c r="U16" s="1726">
        <f t="shared" si="7"/>
        <v>0</v>
      </c>
      <c r="X16" s="1728"/>
      <c r="Y16" s="1728"/>
      <c r="Z16" s="1728"/>
      <c r="AA16" s="1729"/>
    </row>
    <row r="17" spans="1:27" ht="14.25" x14ac:dyDescent="0.2">
      <c r="A17" s="1921"/>
      <c r="B17" s="2168"/>
      <c r="C17" s="2168"/>
      <c r="D17" s="1470"/>
      <c r="E17" s="1470"/>
      <c r="F17" s="1470"/>
      <c r="G17" s="1460"/>
      <c r="H17" s="2165" t="str">
        <f t="shared" si="0"/>
        <v/>
      </c>
      <c r="I17" s="2161"/>
      <c r="J17" s="1727"/>
      <c r="M17" s="1726">
        <f t="shared" si="1"/>
        <v>0</v>
      </c>
      <c r="N17" s="66">
        <f t="shared" si="2"/>
        <v>0</v>
      </c>
      <c r="O17" s="1730">
        <f t="shared" si="6"/>
        <v>0</v>
      </c>
      <c r="P17" s="66">
        <v>7</v>
      </c>
      <c r="Q17" s="1726">
        <f t="shared" si="3"/>
        <v>7</v>
      </c>
      <c r="R17" s="1726">
        <f t="shared" si="4"/>
        <v>0</v>
      </c>
      <c r="S17" s="1731">
        <f t="shared" si="5"/>
        <v>0</v>
      </c>
      <c r="U17" s="1726">
        <f t="shared" si="7"/>
        <v>0</v>
      </c>
      <c r="X17" s="1728"/>
      <c r="Y17" s="1728"/>
      <c r="Z17" s="1728"/>
      <c r="AA17" s="1729"/>
    </row>
    <row r="18" spans="1:27" ht="14.25" x14ac:dyDescent="0.2">
      <c r="A18" s="1921"/>
      <c r="B18" s="2168"/>
      <c r="C18" s="2168"/>
      <c r="D18" s="1470"/>
      <c r="E18" s="1470"/>
      <c r="F18" s="1470"/>
      <c r="G18" s="1460"/>
      <c r="H18" s="2165" t="str">
        <f t="shared" si="0"/>
        <v/>
      </c>
      <c r="I18" s="2161"/>
      <c r="J18" s="1727"/>
      <c r="M18" s="1726">
        <f t="shared" si="1"/>
        <v>0</v>
      </c>
      <c r="N18" s="66">
        <f t="shared" si="2"/>
        <v>0</v>
      </c>
      <c r="O18" s="1730">
        <f t="shared" si="6"/>
        <v>0</v>
      </c>
      <c r="P18" s="66">
        <v>8</v>
      </c>
      <c r="Q18" s="1726">
        <f t="shared" si="3"/>
        <v>8</v>
      </c>
      <c r="R18" s="1726">
        <f t="shared" si="4"/>
        <v>0</v>
      </c>
      <c r="S18" s="1731">
        <f t="shared" si="5"/>
        <v>0</v>
      </c>
      <c r="U18" s="1726">
        <f t="shared" si="7"/>
        <v>0</v>
      </c>
      <c r="X18" s="1728"/>
      <c r="Y18" s="1728"/>
      <c r="Z18" s="1728"/>
      <c r="AA18" s="1729"/>
    </row>
    <row r="19" spans="1:27" ht="14.25" x14ac:dyDescent="0.2">
      <c r="A19" s="1921"/>
      <c r="B19" s="2168"/>
      <c r="C19" s="2168"/>
      <c r="D19" s="1470"/>
      <c r="E19" s="1470"/>
      <c r="F19" s="1470"/>
      <c r="G19" s="1460"/>
      <c r="H19" s="2165" t="str">
        <f t="shared" si="0"/>
        <v/>
      </c>
      <c r="I19" s="2161"/>
      <c r="J19" s="1727"/>
      <c r="M19" s="1726">
        <f t="shared" si="1"/>
        <v>0</v>
      </c>
      <c r="N19" s="66">
        <f t="shared" si="2"/>
        <v>0</v>
      </c>
      <c r="O19" s="1730">
        <f t="shared" si="6"/>
        <v>0</v>
      </c>
      <c r="P19" s="66">
        <v>9</v>
      </c>
      <c r="Q19" s="1726">
        <f t="shared" si="3"/>
        <v>9</v>
      </c>
      <c r="R19" s="1726">
        <f t="shared" si="4"/>
        <v>0</v>
      </c>
      <c r="S19" s="1731">
        <f t="shared" si="5"/>
        <v>0</v>
      </c>
      <c r="U19" s="1726">
        <f t="shared" si="7"/>
        <v>0</v>
      </c>
      <c r="X19" s="1728"/>
      <c r="Y19" s="1728"/>
      <c r="Z19" s="1728"/>
      <c r="AA19" s="1729"/>
    </row>
    <row r="20" spans="1:27" ht="14.25" x14ac:dyDescent="0.2">
      <c r="A20" s="1921"/>
      <c r="B20" s="2168"/>
      <c r="C20" s="2168"/>
      <c r="D20" s="1470"/>
      <c r="E20" s="1470"/>
      <c r="F20" s="1470"/>
      <c r="G20" s="1460"/>
      <c r="H20" s="2165" t="str">
        <f t="shared" si="0"/>
        <v/>
      </c>
      <c r="I20" s="2161"/>
      <c r="J20" s="1727"/>
      <c r="M20" s="1726">
        <f t="shared" si="1"/>
        <v>0</v>
      </c>
      <c r="N20" s="66">
        <f t="shared" si="2"/>
        <v>0</v>
      </c>
      <c r="O20" s="1730">
        <f t="shared" si="6"/>
        <v>0</v>
      </c>
      <c r="P20" s="66">
        <v>10</v>
      </c>
      <c r="Q20" s="1726">
        <f t="shared" si="3"/>
        <v>10</v>
      </c>
      <c r="R20" s="1726">
        <f t="shared" si="4"/>
        <v>0</v>
      </c>
      <c r="S20" s="1731">
        <f t="shared" si="5"/>
        <v>0</v>
      </c>
      <c r="U20" s="1726">
        <f t="shared" si="7"/>
        <v>0</v>
      </c>
      <c r="X20" s="1728"/>
      <c r="Y20" s="1728"/>
      <c r="Z20" s="1728"/>
      <c r="AA20" s="1729"/>
    </row>
    <row r="21" spans="1:27" ht="14.25" x14ac:dyDescent="0.2">
      <c r="A21" s="1921"/>
      <c r="B21" s="2168"/>
      <c r="C21" s="2168"/>
      <c r="D21" s="1470"/>
      <c r="E21" s="1470"/>
      <c r="F21" s="1470"/>
      <c r="G21" s="1460"/>
      <c r="H21" s="2165" t="str">
        <f t="shared" si="0"/>
        <v/>
      </c>
      <c r="I21" s="2161"/>
      <c r="J21" s="1727"/>
      <c r="M21" s="1726">
        <f t="shared" si="1"/>
        <v>0</v>
      </c>
      <c r="N21" s="66">
        <f t="shared" si="2"/>
        <v>0</v>
      </c>
      <c r="O21" s="1730">
        <f t="shared" si="6"/>
        <v>0</v>
      </c>
      <c r="P21" s="66">
        <v>11</v>
      </c>
      <c r="Q21" s="1726">
        <f t="shared" ref="Q21:Q41" si="8">P21</f>
      </c>
      <c r="R21" s="1726">
        <f t="shared" si="4"/>
        <v>0</v>
      </c>
      <c r="S21" s="1731">
        <f t="shared" si="5"/>
        <v>0</v>
      </c>
      <c r="U21" s="1726">
        <f t="shared" si="7"/>
        <v>0</v>
      </c>
      <c r="X21" s="1728"/>
      <c r="Y21" s="1728"/>
      <c r="Z21" s="1728"/>
      <c r="AA21" s="1729"/>
    </row>
    <row r="22" spans="1:27" ht="14.25" x14ac:dyDescent="0.2">
      <c r="A22" s="1921"/>
      <c r="B22" s="2168"/>
      <c r="C22" s="2168"/>
      <c r="D22" s="1470"/>
      <c r="E22" s="1470"/>
      <c r="F22" s="1470"/>
      <c r="G22" s="1460"/>
      <c r="H22" s="2165" t="str">
        <f t="shared" si="0"/>
        <v/>
      </c>
      <c r="I22" s="2161"/>
      <c r="J22" s="1727"/>
      <c r="M22" s="1726">
        <f t="shared" si="1"/>
        <v>0</v>
      </c>
      <c r="N22" s="66">
        <f t="shared" si="2"/>
        <v>0</v>
      </c>
      <c r="O22" s="1730">
        <f t="shared" si="6"/>
        <v>0</v>
      </c>
      <c r="P22" s="66">
        <v>12</v>
      </c>
      <c r="Q22" s="1726">
        <f t="shared" si="8"/>
        <v>12</v>
      </c>
      <c r="R22" s="1726">
        <f t="shared" si="4"/>
        <v>0</v>
      </c>
      <c r="S22" s="1731">
        <f t="shared" si="5"/>
        <v>0</v>
      </c>
      <c r="U22" s="1726">
        <f t="shared" si="7"/>
        <v>0</v>
      </c>
      <c r="X22" s="1728"/>
      <c r="Y22" s="1728"/>
      <c r="Z22" s="1728"/>
      <c r="AA22" s="1729"/>
    </row>
    <row r="23" spans="1:27" ht="14.25" x14ac:dyDescent="0.2">
      <c r="A23" s="1921"/>
      <c r="B23" s="2168"/>
      <c r="C23" s="2168"/>
      <c r="D23" s="1470"/>
      <c r="E23" s="1470"/>
      <c r="F23" s="1470"/>
      <c r="G23" s="1460"/>
      <c r="H23" s="2165" t="str">
        <f t="shared" si="0"/>
        <v/>
      </c>
      <c r="I23" s="2161"/>
      <c r="J23" s="1727"/>
      <c r="M23" s="1726">
        <f t="shared" si="1"/>
        <v>0</v>
      </c>
      <c r="N23" s="66">
        <f t="shared" si="2"/>
        <v>0</v>
      </c>
      <c r="O23" s="1730">
        <f t="shared" si="6"/>
        <v>0</v>
      </c>
      <c r="P23" s="66">
        <v>13</v>
      </c>
      <c r="Q23" s="1726">
        <f t="shared" si="8"/>
        <v>13</v>
      </c>
      <c r="R23" s="1726">
        <f t="shared" si="4"/>
        <v>0</v>
      </c>
      <c r="S23" s="1731">
        <f t="shared" si="5"/>
        <v>0</v>
      </c>
      <c r="U23" s="1726">
        <f t="shared" si="7"/>
        <v>0</v>
      </c>
      <c r="X23" s="1728"/>
      <c r="Y23" s="1728"/>
      <c r="Z23" s="1728"/>
      <c r="AA23" s="1729"/>
    </row>
    <row r="24" spans="1:27" ht="14.25" x14ac:dyDescent="0.2">
      <c r="A24" s="1921"/>
      <c r="B24" s="2168"/>
      <c r="C24" s="2168"/>
      <c r="D24" s="1470"/>
      <c r="E24" s="1470"/>
      <c r="F24" s="1470"/>
      <c r="G24" s="1460"/>
      <c r="H24" s="2165" t="str">
        <f t="shared" si="0"/>
        <v/>
      </c>
      <c r="I24" s="2161"/>
      <c r="J24" s="1727"/>
      <c r="M24" s="1726">
        <f t="shared" si="1"/>
        <v>0</v>
      </c>
      <c r="N24" s="66">
        <f t="shared" si="2"/>
        <v>0</v>
      </c>
      <c r="O24" s="1730">
        <f t="shared" si="6"/>
        <v>0</v>
      </c>
      <c r="P24" s="66">
        <v>14</v>
      </c>
      <c r="Q24" s="1726">
        <f t="shared" si="8"/>
        <v>14</v>
      </c>
      <c r="R24" s="1726">
        <f t="shared" si="4"/>
        <v>0</v>
      </c>
      <c r="S24" s="1731">
        <f t="shared" si="5"/>
        <v>0</v>
      </c>
      <c r="U24" s="1726">
        <f t="shared" si="7"/>
        <v>0</v>
      </c>
      <c r="X24" s="1728"/>
      <c r="Y24" s="1728"/>
      <c r="Z24" s="1728"/>
      <c r="AA24" s="1729"/>
    </row>
    <row r="25" spans="1:27" ht="14.25" x14ac:dyDescent="0.2">
      <c r="A25" s="1921"/>
      <c r="B25" s="2168"/>
      <c r="C25" s="2168"/>
      <c r="D25" s="1470"/>
      <c r="E25" s="1470"/>
      <c r="F25" s="1470"/>
      <c r="G25" s="1460"/>
      <c r="H25" s="2165" t="str">
        <f t="shared" si="0"/>
        <v/>
      </c>
      <c r="I25" s="2161"/>
      <c r="J25" s="1727"/>
      <c r="M25" s="1726">
        <f t="shared" si="1"/>
        <v>0</v>
      </c>
      <c r="N25" s="66">
        <f t="shared" si="2"/>
        <v>0</v>
      </c>
      <c r="O25" s="1730">
        <f t="shared" si="6"/>
        <v>0</v>
      </c>
      <c r="P25" s="66">
        <v>15</v>
      </c>
      <c r="Q25" s="1726">
        <f t="shared" si="8"/>
        <v>15</v>
      </c>
      <c r="R25" s="1726">
        <f t="shared" si="4"/>
        <v>0</v>
      </c>
      <c r="S25" s="1731">
        <f t="shared" si="5"/>
        <v>0</v>
      </c>
      <c r="U25" s="1726">
        <f t="shared" si="7"/>
        <v>0</v>
      </c>
      <c r="X25" s="1728"/>
      <c r="Y25" s="1728"/>
      <c r="Z25" s="1728"/>
      <c r="AA25" s="1729"/>
    </row>
    <row r="26" spans="1:27" ht="14.25" x14ac:dyDescent="0.2">
      <c r="A26" s="1921"/>
      <c r="B26" s="2168"/>
      <c r="C26" s="2168"/>
      <c r="D26" s="1470"/>
      <c r="E26" s="1470"/>
      <c r="F26" s="1470"/>
      <c r="G26" s="1460"/>
      <c r="H26" s="2165" t="str">
        <f t="shared" si="0"/>
        <v/>
      </c>
      <c r="I26" s="2161"/>
      <c r="J26" s="1727"/>
      <c r="M26" s="1726">
        <f t="shared" si="1"/>
        <v>0</v>
      </c>
      <c r="N26" s="66">
        <f t="shared" si="2"/>
        <v>0</v>
      </c>
      <c r="O26" s="1730">
        <f t="shared" si="6"/>
        <v>0</v>
      </c>
      <c r="P26" s="66">
        <v>16</v>
      </c>
      <c r="Q26" s="1726">
        <f t="shared" si="8"/>
        <v>16</v>
      </c>
      <c r="R26" s="1726">
        <f t="shared" si="4"/>
        <v>0</v>
      </c>
      <c r="S26" s="1731">
        <f t="shared" si="5"/>
        <v>0</v>
      </c>
      <c r="U26" s="1726">
        <f t="shared" si="7"/>
        <v>0</v>
      </c>
      <c r="X26" s="1728"/>
      <c r="Y26" s="1728"/>
      <c r="Z26" s="1728"/>
      <c r="AA26" s="1729"/>
    </row>
    <row r="27" spans="1:27" ht="14.25" x14ac:dyDescent="0.2">
      <c r="A27" s="1921"/>
      <c r="B27" s="2168"/>
      <c r="C27" s="2168"/>
      <c r="D27" s="1470"/>
      <c r="E27" s="1470"/>
      <c r="F27" s="1470"/>
      <c r="G27" s="1460"/>
      <c r="H27" s="2165" t="str">
        <f t="shared" si="0"/>
        <v/>
      </c>
      <c r="I27" s="2161"/>
      <c r="J27" s="1727"/>
      <c r="M27" s="1726">
        <f t="shared" si="1"/>
        <v>0</v>
      </c>
      <c r="N27" s="66">
        <f t="shared" si="2"/>
        <v>0</v>
      </c>
      <c r="O27" s="1730">
        <f t="shared" si="6"/>
        <v>0</v>
      </c>
      <c r="P27" s="66">
        <v>17</v>
      </c>
      <c r="Q27" s="1726">
        <f t="shared" si="8"/>
        <v>17</v>
      </c>
      <c r="R27" s="1726">
        <f t="shared" si="4"/>
        <v>0</v>
      </c>
      <c r="S27" s="1731">
        <f t="shared" si="5"/>
        <v>0</v>
      </c>
      <c r="U27" s="1726">
        <f t="shared" si="7"/>
        <v>0</v>
      </c>
      <c r="X27" s="1728"/>
      <c r="Y27" s="1728"/>
      <c r="Z27" s="1728"/>
      <c r="AA27" s="1729"/>
    </row>
    <row r="28" spans="1:27" ht="14.25" x14ac:dyDescent="0.2">
      <c r="A28" s="1921"/>
      <c r="B28" s="2168"/>
      <c r="C28" s="2168"/>
      <c r="D28" s="1470"/>
      <c r="E28" s="1470"/>
      <c r="F28" s="1470"/>
      <c r="G28" s="1460"/>
      <c r="H28" s="2165" t="str">
        <f t="shared" si="0"/>
        <v/>
      </c>
      <c r="I28" s="2161"/>
      <c r="J28" s="1727"/>
      <c r="M28" s="1726">
        <f t="shared" si="1"/>
        <v>0</v>
      </c>
      <c r="N28" s="66">
        <f t="shared" si="2"/>
        <v>0</v>
      </c>
      <c r="O28" s="1730">
        <f t="shared" si="6"/>
        <v>0</v>
      </c>
      <c r="P28" s="66">
        <v>18</v>
      </c>
      <c r="Q28" s="1726">
        <f t="shared" si="8"/>
        <v>18</v>
      </c>
      <c r="R28" s="1726">
        <f t="shared" si="4"/>
        <v>0</v>
      </c>
      <c r="S28" s="1731">
        <f t="shared" si="5"/>
        <v>0</v>
      </c>
      <c r="U28" s="1726">
        <f t="shared" si="7"/>
        <v>0</v>
      </c>
      <c r="X28" s="1728"/>
      <c r="Y28" s="1728"/>
      <c r="Z28" s="1728"/>
      <c r="AA28" s="1729"/>
    </row>
    <row r="29" spans="1:27" ht="14.25" x14ac:dyDescent="0.2">
      <c r="A29" s="1921"/>
      <c r="B29" s="2168"/>
      <c r="C29" s="2168"/>
      <c r="D29" s="1470"/>
      <c r="E29" s="1470"/>
      <c r="F29" s="1470"/>
      <c r="G29" s="1460"/>
      <c r="H29" s="2165" t="str">
        <f t="shared" si="0"/>
        <v/>
      </c>
      <c r="I29" s="2161"/>
      <c r="J29" s="1727"/>
      <c r="M29" s="1726">
        <f t="shared" si="1"/>
        <v>0</v>
      </c>
      <c r="N29" s="66">
        <f t="shared" si="2"/>
        <v>0</v>
      </c>
      <c r="O29" s="1730">
        <f t="shared" si="6"/>
        <v>0</v>
      </c>
      <c r="P29" s="66">
        <v>19</v>
      </c>
      <c r="Q29" s="1726">
        <f t="shared" si="8"/>
        <v>19</v>
      </c>
      <c r="R29" s="1726">
        <f t="shared" si="4"/>
        <v>0</v>
      </c>
      <c r="S29" s="1731">
        <f t="shared" si="5"/>
        <v>0</v>
      </c>
      <c r="U29" s="1726">
        <f t="shared" si="7"/>
        <v>0</v>
      </c>
      <c r="X29" s="1728"/>
      <c r="Y29" s="1728"/>
      <c r="Z29" s="1728"/>
      <c r="AA29" s="1729"/>
    </row>
    <row r="30" spans="1:27" ht="14.25" x14ac:dyDescent="0.2">
      <c r="A30" s="1921"/>
      <c r="B30" s="2168"/>
      <c r="C30" s="2168"/>
      <c r="D30" s="1470"/>
      <c r="E30" s="1470"/>
      <c r="F30" s="1470"/>
      <c r="G30" s="1460"/>
      <c r="H30" s="2165" t="str">
        <f t="shared" si="0"/>
        <v/>
      </c>
      <c r="I30" s="2161"/>
      <c r="J30" s="1727"/>
      <c r="M30" s="1726">
        <f t="shared" si="1"/>
        <v>0</v>
      </c>
      <c r="N30" s="66">
        <f t="shared" si="2"/>
        <v>0</v>
      </c>
      <c r="O30" s="1730">
        <f t="shared" si="6"/>
        <v>0</v>
      </c>
      <c r="P30" s="66">
        <v>20</v>
      </c>
      <c r="Q30" s="1726">
        <f t="shared" si="8"/>
        <v>20</v>
      </c>
      <c r="R30" s="1726">
        <f t="shared" si="4"/>
        <v>0</v>
      </c>
      <c r="S30" s="1731">
        <f t="shared" si="5"/>
        <v>0</v>
      </c>
      <c r="U30" s="1726">
        <f t="shared" si="7"/>
        <v>0</v>
      </c>
      <c r="X30" s="1728"/>
      <c r="Y30" s="1728"/>
      <c r="Z30" s="1728"/>
      <c r="AA30" s="1729"/>
    </row>
    <row r="31" spans="1:27" ht="14.25" x14ac:dyDescent="0.2">
      <c r="A31" s="1921"/>
      <c r="B31" s="2168"/>
      <c r="C31" s="2168"/>
      <c r="D31" s="1470"/>
      <c r="E31" s="1470"/>
      <c r="F31" s="1470"/>
      <c r="G31" s="1460"/>
      <c r="H31" s="2165" t="str">
        <f t="shared" si="0"/>
        <v/>
      </c>
      <c r="I31" s="2161"/>
      <c r="J31" s="1727"/>
      <c r="M31" s="1726">
        <f t="shared" si="1"/>
        <v>0</v>
      </c>
      <c r="N31" s="66">
        <f t="shared" si="2"/>
        <v>0</v>
      </c>
      <c r="O31" s="1730">
        <f t="shared" si="6"/>
        <v>0</v>
      </c>
      <c r="P31" s="66">
        <v>21</v>
      </c>
      <c r="Q31" s="1726">
        <f t="shared" si="8"/>
        <v>21</v>
      </c>
      <c r="R31" s="1726">
        <f t="shared" si="4"/>
        <v>0</v>
      </c>
      <c r="S31" s="1731">
        <f t="shared" si="5"/>
        <v>0</v>
      </c>
      <c r="U31" s="1726">
        <f t="shared" si="7"/>
        <v>0</v>
      </c>
      <c r="X31" s="1728"/>
      <c r="Y31" s="1728"/>
      <c r="Z31" s="1728"/>
      <c r="AA31" s="1729"/>
    </row>
    <row r="32" spans="1:27" ht="14.25" x14ac:dyDescent="0.2">
      <c r="A32" s="1921"/>
      <c r="B32" s="2168"/>
      <c r="C32" s="2168"/>
      <c r="D32" s="1470"/>
      <c r="E32" s="1470"/>
      <c r="F32" s="1470"/>
      <c r="G32" s="1460"/>
      <c r="H32" s="2165" t="str">
        <f t="shared" si="0"/>
        <v/>
      </c>
      <c r="I32" s="2161"/>
      <c r="J32" s="1727"/>
      <c r="M32" s="1726">
        <f t="shared" si="1"/>
        <v>0</v>
      </c>
      <c r="N32" s="66">
        <f t="shared" si="2"/>
        <v>0</v>
      </c>
      <c r="O32" s="1730">
        <f t="shared" si="6"/>
        <v>0</v>
      </c>
      <c r="P32" s="66">
        <v>22</v>
      </c>
      <c r="Q32" s="1726">
        <f t="shared" si="8"/>
        <v>22</v>
      </c>
      <c r="R32" s="1726">
        <f t="shared" si="4"/>
        <v>0</v>
      </c>
      <c r="S32" s="1731">
        <f t="shared" si="5"/>
        <v>0</v>
      </c>
      <c r="U32" s="1726">
        <f t="shared" si="7"/>
        <v>0</v>
      </c>
      <c r="X32" s="1728"/>
      <c r="Y32" s="1728"/>
      <c r="Z32" s="1728"/>
      <c r="AA32" s="1729"/>
    </row>
    <row r="33" spans="1:27" ht="14.25" x14ac:dyDescent="0.2">
      <c r="A33" s="1921"/>
      <c r="B33" s="2168"/>
      <c r="C33" s="2168"/>
      <c r="D33" s="1470"/>
      <c r="E33" s="1470"/>
      <c r="F33" s="1470"/>
      <c r="G33" s="1460"/>
      <c r="H33" s="2165" t="str">
        <f t="shared" si="0"/>
        <v/>
      </c>
      <c r="I33" s="2161"/>
      <c r="J33" s="1727"/>
      <c r="M33" s="1726">
        <f t="shared" si="1"/>
        <v>0</v>
      </c>
      <c r="N33" s="66">
        <f t="shared" si="2"/>
        <v>0</v>
      </c>
      <c r="O33" s="1730">
        <f t="shared" si="6"/>
        <v>0</v>
      </c>
      <c r="P33" s="66">
        <v>23</v>
      </c>
      <c r="Q33" s="1726">
        <f t="shared" si="8"/>
        <v>23</v>
      </c>
      <c r="R33" s="1726">
        <f t="shared" si="4"/>
        <v>0</v>
      </c>
      <c r="S33" s="1731">
        <f t="shared" si="5"/>
        <v>0</v>
      </c>
      <c r="U33" s="1726">
        <f t="shared" si="7"/>
        <v>0</v>
      </c>
      <c r="X33" s="1728"/>
      <c r="Y33" s="1728"/>
      <c r="Z33" s="1728"/>
      <c r="AA33" s="1729"/>
    </row>
    <row r="34" spans="1:27" ht="14.25" x14ac:dyDescent="0.2">
      <c r="A34" s="1921"/>
      <c r="B34" s="2168"/>
      <c r="C34" s="2168"/>
      <c r="D34" s="1470"/>
      <c r="E34" s="1470"/>
      <c r="F34" s="1470"/>
      <c r="G34" s="1460"/>
      <c r="H34" s="2165" t="str">
        <f t="shared" si="0"/>
        <v/>
      </c>
      <c r="I34" s="2161"/>
      <c r="J34" s="1727"/>
      <c r="M34" s="1726">
        <f t="shared" si="1"/>
        <v>0</v>
      </c>
      <c r="N34" s="66">
        <f t="shared" si="2"/>
        <v>0</v>
      </c>
      <c r="O34" s="1730">
        <f t="shared" si="6"/>
        <v>0</v>
      </c>
      <c r="P34" s="66">
        <v>24</v>
      </c>
      <c r="Q34" s="1726">
        <f t="shared" si="8"/>
        <v>24</v>
      </c>
      <c r="R34" s="1726">
        <f t="shared" si="4"/>
        <v>0</v>
      </c>
      <c r="S34" s="1731">
        <f t="shared" si="5"/>
        <v>0</v>
      </c>
      <c r="U34" s="1726">
        <f t="shared" si="7"/>
        <v>0</v>
      </c>
      <c r="X34" s="1728"/>
      <c r="Y34" s="1728"/>
      <c r="Z34" s="1728"/>
      <c r="AA34" s="1729"/>
    </row>
    <row r="35" spans="1:27" ht="14.25" x14ac:dyDescent="0.2">
      <c r="A35" s="1921"/>
      <c r="B35" s="2168"/>
      <c r="C35" s="2168"/>
      <c r="D35" s="1470"/>
      <c r="E35" s="1470"/>
      <c r="F35" s="1470"/>
      <c r="G35" s="1460"/>
      <c r="H35" s="2165" t="str">
        <f t="shared" si="0"/>
        <v/>
      </c>
      <c r="I35" s="2161"/>
      <c r="J35" s="1727"/>
      <c r="M35" s="1726">
        <f t="shared" si="1"/>
        <v>0</v>
      </c>
      <c r="N35" s="66">
        <f t="shared" si="2"/>
        <v>0</v>
      </c>
      <c r="O35" s="1730">
        <f t="shared" si="6"/>
        <v>0</v>
      </c>
      <c r="P35" s="66">
        <v>25</v>
      </c>
      <c r="Q35" s="1726">
        <f t="shared" si="8"/>
        <v>25</v>
      </c>
      <c r="R35" s="1726">
        <f t="shared" si="4"/>
        <v>0</v>
      </c>
      <c r="S35" s="1731">
        <f t="shared" si="5"/>
        <v>0</v>
      </c>
      <c r="U35" s="1726">
        <f t="shared" si="7"/>
        <v>0</v>
      </c>
      <c r="X35" s="1728"/>
      <c r="Y35" s="1728"/>
      <c r="Z35" s="1728"/>
      <c r="AA35" s="1729"/>
    </row>
    <row r="36" spans="1:27" ht="14.25" x14ac:dyDescent="0.2">
      <c r="A36" s="1921"/>
      <c r="B36" s="2168"/>
      <c r="C36" s="2168"/>
      <c r="D36" s="1470"/>
      <c r="E36" s="1470"/>
      <c r="F36" s="1470"/>
      <c r="G36" s="1460"/>
      <c r="H36" s="2165" t="str">
        <f t="shared" si="0"/>
        <v/>
      </c>
      <c r="I36" s="2161"/>
      <c r="J36" s="1727"/>
      <c r="M36" s="1726">
        <f t="shared" si="1"/>
        <v>0</v>
      </c>
      <c r="N36" s="66">
        <f t="shared" si="2"/>
        <v>0</v>
      </c>
      <c r="O36" s="1730">
        <f t="shared" si="6"/>
        <v>0</v>
      </c>
      <c r="P36" s="66">
        <v>26</v>
      </c>
      <c r="Q36" s="1726">
        <f t="shared" si="8"/>
        <v>26</v>
      </c>
      <c r="R36" s="1726">
        <f t="shared" si="4"/>
        <v>0</v>
      </c>
      <c r="S36" s="1731">
        <f t="shared" si="5"/>
        <v>0</v>
      </c>
      <c r="U36" s="1726">
        <f t="shared" si="7"/>
        <v>0</v>
      </c>
      <c r="X36" s="1728"/>
      <c r="Y36" s="1728"/>
      <c r="Z36" s="1728"/>
      <c r="AA36" s="1729"/>
    </row>
    <row r="37" spans="1:27" ht="14.25" x14ac:dyDescent="0.2">
      <c r="A37" s="1921"/>
      <c r="B37" s="2168"/>
      <c r="C37" s="2168"/>
      <c r="D37" s="1470"/>
      <c r="E37" s="1470"/>
      <c r="F37" s="1470"/>
      <c r="G37" s="1460"/>
      <c r="H37" s="2165" t="str">
        <f t="shared" si="0"/>
        <v/>
      </c>
      <c r="I37" s="2161"/>
      <c r="J37" s="1727"/>
      <c r="M37" s="1726">
        <f t="shared" si="1"/>
        <v>0</v>
      </c>
      <c r="N37" s="66">
        <f t="shared" si="2"/>
        <v>0</v>
      </c>
      <c r="O37" s="1730">
        <f t="shared" si="6"/>
        <v>0</v>
      </c>
      <c r="P37" s="66">
        <v>27</v>
      </c>
      <c r="Q37" s="1726">
        <f t="shared" si="8"/>
        <v>27</v>
      </c>
      <c r="R37" s="1726">
        <f t="shared" si="4"/>
        <v>0</v>
      </c>
      <c r="S37" s="1731">
        <f t="shared" si="5"/>
        <v>0</v>
      </c>
      <c r="U37" s="1726">
        <f t="shared" si="7"/>
        <v>0</v>
      </c>
      <c r="X37" s="1728"/>
      <c r="Y37" s="1728"/>
      <c r="Z37" s="1728"/>
      <c r="AA37" s="1729"/>
    </row>
    <row r="38" spans="1:27" ht="14.25" x14ac:dyDescent="0.2">
      <c r="A38" s="1921"/>
      <c r="B38" s="2168"/>
      <c r="C38" s="2168"/>
      <c r="D38" s="1470"/>
      <c r="E38" s="1470"/>
      <c r="F38" s="1470"/>
      <c r="G38" s="1460"/>
      <c r="H38" s="2165" t="str">
        <f t="shared" si="0"/>
        <v/>
      </c>
      <c r="I38" s="2161"/>
      <c r="J38" s="1727"/>
      <c r="M38" s="1726">
        <f t="shared" si="1"/>
        <v>0</v>
      </c>
      <c r="N38" s="66">
        <f t="shared" si="2"/>
        <v>0</v>
      </c>
      <c r="O38" s="1730">
        <f t="shared" si="6"/>
        <v>0</v>
      </c>
      <c r="P38" s="66">
        <v>28</v>
      </c>
      <c r="Q38" s="1726">
        <f t="shared" si="8"/>
        <v>28</v>
      </c>
      <c r="R38" s="1726">
        <f t="shared" si="4"/>
        <v>0</v>
      </c>
      <c r="S38" s="1731">
        <f t="shared" si="5"/>
        <v>0</v>
      </c>
      <c r="U38" s="1726">
        <f t="shared" si="7"/>
        <v>0</v>
      </c>
      <c r="X38" s="1728"/>
      <c r="Y38" s="1728"/>
      <c r="Z38" s="1728"/>
      <c r="AA38" s="1729"/>
    </row>
    <row r="39" spans="1:27" ht="14.25" x14ac:dyDescent="0.2">
      <c r="A39" s="1921"/>
      <c r="B39" s="2168"/>
      <c r="C39" s="2168"/>
      <c r="D39" s="1470"/>
      <c r="E39" s="1470"/>
      <c r="F39" s="1470"/>
      <c r="G39" s="1460"/>
      <c r="H39" s="2165" t="str">
        <f t="shared" si="0"/>
        <v/>
      </c>
      <c r="I39" s="2161"/>
      <c r="J39" s="1727"/>
      <c r="M39" s="1726">
        <f t="shared" si="1"/>
        <v>0</v>
      </c>
      <c r="N39" s="66">
        <f t="shared" si="2"/>
        <v>0</v>
      </c>
      <c r="O39" s="1730">
        <f t="shared" si="6"/>
        <v>0</v>
      </c>
      <c r="P39" s="66">
        <v>29</v>
      </c>
      <c r="Q39" s="1726">
        <f t="shared" si="8"/>
        <v>29</v>
      </c>
      <c r="R39" s="1726">
        <f t="shared" si="4"/>
        <v>0</v>
      </c>
      <c r="S39" s="1731">
        <f t="shared" si="5"/>
        <v>0</v>
      </c>
      <c r="U39" s="1726">
        <f t="shared" si="7"/>
        <v>0</v>
      </c>
      <c r="X39" s="1728"/>
      <c r="Y39" s="1728"/>
      <c r="Z39" s="1728"/>
      <c r="AA39" s="1729"/>
    </row>
    <row r="40" spans="1:27" ht="14.25" x14ac:dyDescent="0.2">
      <c r="A40" s="1921"/>
      <c r="B40" s="2168"/>
      <c r="C40" s="2168"/>
      <c r="D40" s="1470"/>
      <c r="E40" s="1470"/>
      <c r="F40" s="1470"/>
      <c r="G40" s="1460"/>
      <c r="H40" s="2165" t="str">
        <f t="shared" si="0"/>
        <v/>
      </c>
      <c r="I40" s="2161"/>
      <c r="J40" s="1727"/>
      <c r="M40" s="1726">
        <f t="shared" si="1"/>
        <v>0</v>
      </c>
      <c r="N40" s="66">
        <f t="shared" si="2"/>
        <v>0</v>
      </c>
      <c r="O40" s="1730">
        <f t="shared" si="6"/>
        <v>0</v>
      </c>
      <c r="P40" s="66">
        <v>30</v>
      </c>
      <c r="Q40" s="1726">
        <f t="shared" si="8"/>
        <v>30</v>
      </c>
      <c r="R40" s="1726">
        <f t="shared" si="4"/>
        <v>0</v>
      </c>
      <c r="S40" s="1731">
        <f t="shared" si="5"/>
        <v>0</v>
      </c>
      <c r="U40" s="1726">
        <f t="shared" si="7"/>
        <v>0</v>
      </c>
      <c r="X40" s="1728"/>
      <c r="Y40" s="1728"/>
      <c r="Z40" s="1728"/>
      <c r="AA40" s="1729"/>
    </row>
    <row r="41" spans="1:27" ht="14.25" x14ac:dyDescent="0.2">
      <c r="A41" s="1921"/>
      <c r="B41" s="2168"/>
      <c r="C41" s="2168"/>
      <c r="D41" s="1470"/>
      <c r="E41" s="1470"/>
      <c r="F41" s="1470"/>
      <c r="G41" s="1460"/>
      <c r="H41" s="2165" t="str">
        <f t="shared" si="0"/>
        <v/>
      </c>
      <c r="I41" s="2161"/>
      <c r="J41" s="1727"/>
      <c r="M41" s="1726">
        <f t="shared" si="1"/>
        <v>0</v>
      </c>
      <c r="N41" s="66">
        <f t="shared" si="2"/>
        <v>0</v>
      </c>
      <c r="O41" s="1730">
        <f t="shared" si="6"/>
        <v>0</v>
      </c>
      <c r="P41" s="66">
        <v>31</v>
      </c>
      <c r="Q41" s="1726">
        <f t="shared" si="8"/>
        <v>31</v>
      </c>
      <c r="R41" s="1726">
        <f t="shared" si="4"/>
        <v>0</v>
      </c>
      <c r="S41" s="1731">
        <f t="shared" si="5"/>
        <v>0</v>
      </c>
      <c r="U41" s="1726">
        <f t="shared" si="7"/>
        <v>0</v>
      </c>
      <c r="X41" s="1728"/>
      <c r="Y41" s="1728"/>
      <c r="Z41" s="1728"/>
      <c r="AA41" s="1729"/>
    </row>
    <row r="42" spans="1:27" ht="14.25" x14ac:dyDescent="0.2">
      <c r="A42" s="1921"/>
      <c r="B42" s="2168"/>
      <c r="C42" s="2168"/>
      <c r="D42" s="1470"/>
      <c r="E42" s="1470"/>
      <c r="F42" s="1470"/>
      <c r="G42" s="1460"/>
      <c r="H42" s="2165" t="str">
        <f t="shared" si="0"/>
        <v/>
      </c>
      <c r="I42" s="2161"/>
      <c r="J42" s="1727"/>
      <c r="M42" s="1726">
        <f t="shared" si="1"/>
        <v>0</v>
      </c>
      <c r="N42" s="66">
        <f t="shared" si="2"/>
        <v>0</v>
      </c>
      <c r="O42" s="1730">
        <f t="shared" si="6"/>
        <v>0</v>
      </c>
      <c r="P42" s="66">
        <v>32</v>
      </c>
      <c r="Q42" s="1726">
        <f t="shared" ref="Q42:Q86" si="9">P42</f>
      </c>
      <c r="R42" s="1726">
        <f t="shared" si="4"/>
        <v>0</v>
      </c>
      <c r="S42" s="1731">
        <f t="shared" si="5"/>
        <v>0</v>
      </c>
      <c r="U42" s="1726">
        <f t="shared" si="7"/>
        <v>0</v>
      </c>
      <c r="X42" s="1728"/>
      <c r="Y42" s="1728"/>
      <c r="Z42" s="1728"/>
      <c r="AA42" s="1729"/>
    </row>
    <row r="43" spans="1:27" ht="14.25" x14ac:dyDescent="0.2">
      <c r="A43" s="1921"/>
      <c r="B43" s="2168"/>
      <c r="C43" s="2168"/>
      <c r="D43" s="1470"/>
      <c r="E43" s="1470"/>
      <c r="F43" s="1470"/>
      <c r="G43" s="1460"/>
      <c r="H43" s="2165" t="str">
        <f t="shared" si="0"/>
        <v/>
      </c>
      <c r="I43" s="2161"/>
      <c r="J43" s="1727"/>
      <c r="M43" s="1726">
        <f t="shared" si="1"/>
        <v>0</v>
      </c>
      <c r="N43" s="66">
        <f t="shared" si="2"/>
        <v>0</v>
      </c>
      <c r="O43" s="1730">
        <f t="shared" si="6"/>
        <v>0</v>
      </c>
      <c r="P43" s="66">
        <v>33</v>
      </c>
      <c r="Q43" s="1726">
        <f t="shared" si="9"/>
        <v>33</v>
      </c>
      <c r="R43" s="1726">
        <f t="shared" si="4"/>
        <v>0</v>
      </c>
      <c r="S43" s="1731">
        <f t="shared" si="5"/>
        <v>0</v>
      </c>
      <c r="U43" s="1726">
        <f t="shared" si="7"/>
        <v>0</v>
      </c>
      <c r="X43" s="1728"/>
      <c r="Y43" s="1728"/>
      <c r="Z43" s="1728"/>
      <c r="AA43" s="1729"/>
    </row>
    <row r="44" spans="1:27" ht="14.25" x14ac:dyDescent="0.2">
      <c r="A44" s="1921"/>
      <c r="B44" s="2168"/>
      <c r="C44" s="2168"/>
      <c r="D44" s="1470"/>
      <c r="E44" s="1470"/>
      <c r="F44" s="1470"/>
      <c r="G44" s="1460"/>
      <c r="H44" s="2165" t="str">
        <f t="shared" si="0"/>
        <v/>
      </c>
      <c r="I44" s="2161"/>
      <c r="J44" s="1727"/>
      <c r="M44" s="1726">
        <f t="shared" si="1"/>
        <v>0</v>
      </c>
      <c r="N44" s="66">
        <f t="shared" si="2"/>
        <v>0</v>
      </c>
      <c r="O44" s="1730">
        <f t="shared" si="6"/>
        <v>0</v>
      </c>
      <c r="P44" s="66">
        <v>34</v>
      </c>
      <c r="Q44" s="1726">
        <f t="shared" si="9"/>
        <v>34</v>
      </c>
      <c r="R44" s="1726">
        <f t="shared" si="4"/>
        <v>0</v>
      </c>
      <c r="S44" s="1731">
        <f t="shared" si="5"/>
        <v>0</v>
      </c>
      <c r="U44" s="1726">
        <f t="shared" si="7"/>
        <v>0</v>
      </c>
      <c r="X44" s="1728"/>
      <c r="Y44" s="1728"/>
      <c r="Z44" s="1728"/>
      <c r="AA44" s="1729"/>
    </row>
    <row r="45" spans="1:27" ht="14.25" x14ac:dyDescent="0.2">
      <c r="A45" s="1921"/>
      <c r="B45" s="2168"/>
      <c r="C45" s="2168"/>
      <c r="D45" s="1470"/>
      <c r="E45" s="1470"/>
      <c r="F45" s="1470"/>
      <c r="G45" s="1460"/>
      <c r="H45" s="2165" t="str">
        <f t="shared" si="0"/>
        <v/>
      </c>
      <c r="I45" s="2161"/>
      <c r="J45" s="1727"/>
      <c r="M45" s="1726">
        <f t="shared" si="1"/>
        <v>0</v>
      </c>
      <c r="N45" s="66">
        <f t="shared" si="2"/>
        <v>0</v>
      </c>
      <c r="O45" s="1730">
        <f t="shared" si="6"/>
        <v>0</v>
      </c>
      <c r="P45" s="66">
        <v>35</v>
      </c>
      <c r="Q45" s="1726">
        <f t="shared" si="9"/>
        <v>35</v>
      </c>
      <c r="R45" s="1726">
        <f t="shared" si="4"/>
        <v>0</v>
      </c>
      <c r="S45" s="1731">
        <f t="shared" si="5"/>
        <v>0</v>
      </c>
      <c r="U45" s="1726">
        <f t="shared" si="7"/>
        <v>0</v>
      </c>
      <c r="X45" s="1728"/>
      <c r="Y45" s="1728"/>
      <c r="Z45" s="1728"/>
      <c r="AA45" s="1729"/>
    </row>
    <row r="46" spans="1:27" ht="14.25" x14ac:dyDescent="0.2">
      <c r="A46" s="1921"/>
      <c r="B46" s="2168"/>
      <c r="C46" s="2168"/>
      <c r="D46" s="1470"/>
      <c r="E46" s="1470"/>
      <c r="F46" s="1470"/>
      <c r="G46" s="1460"/>
      <c r="H46" s="2165" t="str">
        <f t="shared" si="0"/>
        <v/>
      </c>
      <c r="I46" s="2161"/>
      <c r="J46" s="1727"/>
      <c r="M46" s="1726">
        <f t="shared" si="1"/>
        <v>0</v>
      </c>
      <c r="N46" s="66">
        <f t="shared" si="2"/>
        <v>0</v>
      </c>
      <c r="O46" s="1730">
        <f t="shared" si="6"/>
        <v>0</v>
      </c>
      <c r="P46" s="66">
        <v>36</v>
      </c>
      <c r="Q46" s="1726">
        <f t="shared" si="9"/>
        <v>36</v>
      </c>
      <c r="R46" s="1726">
        <f t="shared" si="4"/>
        <v>0</v>
      </c>
      <c r="S46" s="1731">
        <f t="shared" si="5"/>
        <v>0</v>
      </c>
      <c r="U46" s="1726">
        <f t="shared" si="7"/>
        <v>0</v>
      </c>
      <c r="X46" s="1728"/>
      <c r="Y46" s="1728"/>
      <c r="Z46" s="1728"/>
      <c r="AA46" s="1729"/>
    </row>
    <row r="47" spans="1:27" ht="14.25" x14ac:dyDescent="0.2">
      <c r="A47" s="1921"/>
      <c r="B47" s="2168"/>
      <c r="C47" s="2168"/>
      <c r="D47" s="1470"/>
      <c r="E47" s="1470"/>
      <c r="F47" s="1470"/>
      <c r="G47" s="1460"/>
      <c r="H47" s="2165" t="str">
        <f t="shared" si="0"/>
        <v/>
      </c>
      <c r="I47" s="2161"/>
      <c r="J47" s="1727"/>
      <c r="M47" s="1726">
        <f t="shared" si="1"/>
        <v>0</v>
      </c>
      <c r="N47" s="66">
        <f t="shared" si="2"/>
        <v>0</v>
      </c>
      <c r="O47" s="1730">
        <f t="shared" si="6"/>
        <v>0</v>
      </c>
      <c r="P47" s="66">
        <v>37</v>
      </c>
      <c r="Q47" s="1726">
        <f t="shared" si="9"/>
        <v>37</v>
      </c>
      <c r="R47" s="1726">
        <f t="shared" si="4"/>
        <v>0</v>
      </c>
      <c r="S47" s="1731">
        <f t="shared" si="5"/>
        <v>0</v>
      </c>
      <c r="U47" s="1726">
        <f t="shared" si="7"/>
        <v>0</v>
      </c>
      <c r="X47" s="1728"/>
      <c r="Y47" s="1728"/>
      <c r="Z47" s="1728"/>
      <c r="AA47" s="1729"/>
    </row>
    <row r="48" spans="1:27" ht="14.25" x14ac:dyDescent="0.2">
      <c r="A48" s="1921"/>
      <c r="B48" s="2168"/>
      <c r="C48" s="2168"/>
      <c r="D48" s="1470"/>
      <c r="E48" s="1470"/>
      <c r="F48" s="1470"/>
      <c r="G48" s="1460"/>
      <c r="H48" s="2165" t="str">
        <f t="shared" si="0"/>
        <v/>
      </c>
      <c r="I48" s="2161"/>
      <c r="J48" s="1727"/>
      <c r="M48" s="1726">
        <f t="shared" si="1"/>
        <v>0</v>
      </c>
      <c r="N48" s="66">
        <f t="shared" si="2"/>
        <v>0</v>
      </c>
      <c r="O48" s="1730">
        <f t="shared" si="6"/>
        <v>0</v>
      </c>
      <c r="P48" s="66">
        <v>38</v>
      </c>
      <c r="Q48" s="1726">
        <f t="shared" si="9"/>
        <v>38</v>
      </c>
      <c r="R48" s="1726">
        <f t="shared" si="4"/>
        <v>0</v>
      </c>
      <c r="S48" s="1731">
        <f t="shared" si="5"/>
        <v>0</v>
      </c>
      <c r="U48" s="1726">
        <f t="shared" si="7"/>
        <v>0</v>
      </c>
      <c r="X48" s="1728"/>
      <c r="Y48" s="1728"/>
      <c r="Z48" s="1728"/>
      <c r="AA48" s="1729"/>
    </row>
    <row r="49" spans="1:27" ht="14.25" x14ac:dyDescent="0.2">
      <c r="A49" s="1921"/>
      <c r="B49" s="2168"/>
      <c r="C49" s="2168"/>
      <c r="D49" s="1470"/>
      <c r="E49" s="1470"/>
      <c r="F49" s="1470"/>
      <c r="G49" s="1460"/>
      <c r="H49" s="2165" t="str">
        <f t="shared" si="0"/>
        <v/>
      </c>
      <c r="I49" s="2161"/>
      <c r="J49" s="1727"/>
      <c r="M49" s="1726">
        <f t="shared" si="1"/>
        <v>0</v>
      </c>
      <c r="N49" s="66">
        <f t="shared" si="2"/>
        <v>0</v>
      </c>
      <c r="O49" s="1730">
        <f t="shared" si="6"/>
        <v>0</v>
      </c>
      <c r="P49" s="66">
        <v>39</v>
      </c>
      <c r="Q49" s="1726">
        <f t="shared" si="9"/>
        <v>39</v>
      </c>
      <c r="R49" s="1726">
        <f t="shared" si="4"/>
        <v>0</v>
      </c>
      <c r="S49" s="1731">
        <f t="shared" si="5"/>
        <v>0</v>
      </c>
      <c r="U49" s="1726">
        <f t="shared" si="7"/>
        <v>0</v>
      </c>
      <c r="X49" s="1728"/>
      <c r="Y49" s="1728"/>
      <c r="Z49" s="1728"/>
      <c r="AA49" s="1729"/>
    </row>
    <row r="50" spans="1:27" ht="14.25" x14ac:dyDescent="0.2">
      <c r="A50" s="1921"/>
      <c r="B50" s="2168"/>
      <c r="C50" s="2168"/>
      <c r="D50" s="1470"/>
      <c r="E50" s="1470"/>
      <c r="F50" s="1470"/>
      <c r="G50" s="1460"/>
      <c r="H50" s="2165" t="str">
        <f t="shared" si="0"/>
        <v/>
      </c>
      <c r="I50" s="2161"/>
      <c r="J50" s="1727"/>
      <c r="M50" s="1726">
        <f t="shared" si="1"/>
        <v>0</v>
      </c>
      <c r="N50" s="66">
        <f t="shared" si="2"/>
        <v>0</v>
      </c>
      <c r="O50" s="1730">
        <f t="shared" si="6"/>
        <v>0</v>
      </c>
      <c r="P50" s="66">
        <v>40</v>
      </c>
      <c r="Q50" s="1726">
        <f t="shared" si="9"/>
        <v>40</v>
      </c>
      <c r="R50" s="1726">
        <f t="shared" si="4"/>
        <v>0</v>
      </c>
      <c r="S50" s="1731">
        <f t="shared" si="5"/>
        <v>0</v>
      </c>
      <c r="U50" s="1726">
        <f t="shared" si="7"/>
        <v>0</v>
      </c>
      <c r="X50" s="1728"/>
      <c r="Y50" s="1728"/>
      <c r="Z50" s="1728"/>
      <c r="AA50" s="1729"/>
    </row>
    <row r="51" spans="1:27" ht="14.25" x14ac:dyDescent="0.2">
      <c r="A51" s="1921"/>
      <c r="B51" s="2168"/>
      <c r="C51" s="2168"/>
      <c r="D51" s="1470"/>
      <c r="E51" s="1470"/>
      <c r="F51" s="1470"/>
      <c r="G51" s="1460"/>
      <c r="H51" s="2165" t="str">
        <f t="shared" si="0"/>
        <v/>
      </c>
      <c r="I51" s="2161"/>
      <c r="J51" s="1727"/>
      <c r="M51" s="1726">
        <f t="shared" si="1"/>
        <v>0</v>
      </c>
      <c r="N51" s="66">
        <f t="shared" si="2"/>
        <v>0</v>
      </c>
      <c r="O51" s="1730">
        <f t="shared" si="6"/>
        <v>0</v>
      </c>
      <c r="P51" s="66">
        <v>41</v>
      </c>
      <c r="Q51" s="1726">
        <f t="shared" si="9"/>
        <v>41</v>
      </c>
      <c r="R51" s="1726">
        <f t="shared" si="4"/>
        <v>0</v>
      </c>
      <c r="S51" s="1731">
        <f t="shared" si="5"/>
        <v>0</v>
      </c>
      <c r="U51" s="1726">
        <f t="shared" si="7"/>
        <v>0</v>
      </c>
      <c r="X51" s="1728"/>
      <c r="Y51" s="1728"/>
      <c r="Z51" s="1728"/>
      <c r="AA51" s="1729"/>
    </row>
    <row r="52" spans="1:27" ht="14.25" x14ac:dyDescent="0.2">
      <c r="A52" s="1921"/>
      <c r="B52" s="2168"/>
      <c r="C52" s="2168"/>
      <c r="D52" s="1470"/>
      <c r="E52" s="1470"/>
      <c r="F52" s="1470"/>
      <c r="G52" s="1460"/>
      <c r="H52" s="2165" t="str">
        <f t="shared" si="0"/>
        <v/>
      </c>
      <c r="I52" s="2161"/>
      <c r="J52" s="1727"/>
      <c r="M52" s="1726">
        <f t="shared" si="1"/>
        <v>0</v>
      </c>
      <c r="N52" s="66">
        <f t="shared" si="2"/>
        <v>0</v>
      </c>
      <c r="O52" s="1730">
        <f t="shared" si="6"/>
        <v>0</v>
      </c>
      <c r="P52" s="66">
        <v>42</v>
      </c>
      <c r="Q52" s="1726">
        <f t="shared" si="9"/>
        <v>42</v>
      </c>
      <c r="R52" s="1726">
        <f t="shared" si="4"/>
        <v>0</v>
      </c>
      <c r="S52" s="1731">
        <f t="shared" si="5"/>
        <v>0</v>
      </c>
      <c r="U52" s="1726">
        <f t="shared" si="7"/>
        <v>0</v>
      </c>
      <c r="X52" s="1728"/>
      <c r="Y52" s="1728"/>
      <c r="Z52" s="1728"/>
      <c r="AA52" s="1729"/>
    </row>
    <row r="53" spans="1:27" ht="14.25" x14ac:dyDescent="0.2">
      <c r="A53" s="1921"/>
      <c r="B53" s="2168"/>
      <c r="C53" s="2168"/>
      <c r="D53" s="1470"/>
      <c r="E53" s="1470"/>
      <c r="F53" s="1470"/>
      <c r="G53" s="1460"/>
      <c r="H53" s="2165" t="str">
        <f t="shared" si="0"/>
        <v/>
      </c>
      <c r="I53" s="2161"/>
      <c r="J53" s="1727"/>
      <c r="M53" s="1726">
        <f t="shared" si="1"/>
        <v>0</v>
      </c>
      <c r="N53" s="66">
        <f t="shared" si="2"/>
        <v>0</v>
      </c>
      <c r="O53" s="1730">
        <f t="shared" si="6"/>
        <v>0</v>
      </c>
      <c r="P53" s="66">
        <v>43</v>
      </c>
      <c r="Q53" s="1726">
        <f t="shared" si="9"/>
        <v>43</v>
      </c>
      <c r="R53" s="1726">
        <f t="shared" si="4"/>
        <v>0</v>
      </c>
      <c r="S53" s="1731">
        <f t="shared" si="5"/>
        <v>0</v>
      </c>
      <c r="U53" s="1726">
        <f t="shared" si="7"/>
        <v>0</v>
      </c>
      <c r="X53" s="1728"/>
      <c r="Y53" s="1728"/>
      <c r="Z53" s="1728"/>
      <c r="AA53" s="1729"/>
    </row>
    <row r="54" spans="1:27" ht="14.25" x14ac:dyDescent="0.2">
      <c r="A54" s="1921"/>
      <c r="B54" s="2168"/>
      <c r="C54" s="2168"/>
      <c r="D54" s="1470"/>
      <c r="E54" s="1470"/>
      <c r="F54" s="1470"/>
      <c r="G54" s="1460"/>
      <c r="H54" s="2165" t="str">
        <f t="shared" si="0"/>
        <v/>
      </c>
      <c r="I54" s="2161"/>
      <c r="J54" s="1727"/>
      <c r="M54" s="1726">
        <f t="shared" si="1"/>
        <v>0</v>
      </c>
      <c r="N54" s="66">
        <f t="shared" si="2"/>
        <v>0</v>
      </c>
      <c r="O54" s="1730">
        <f t="shared" si="6"/>
        <v>0</v>
      </c>
      <c r="P54" s="66">
        <v>44</v>
      </c>
      <c r="Q54" s="1726">
        <f t="shared" si="9"/>
        <v>44</v>
      </c>
      <c r="R54" s="1726">
        <f t="shared" si="4"/>
        <v>0</v>
      </c>
      <c r="S54" s="1731">
        <f t="shared" si="5"/>
        <v>0</v>
      </c>
      <c r="U54" s="1726">
        <f t="shared" si="7"/>
        <v>0</v>
      </c>
      <c r="X54" s="1728"/>
      <c r="Y54" s="1728"/>
      <c r="Z54" s="1728"/>
      <c r="AA54" s="1729"/>
    </row>
    <row r="55" spans="1:27" ht="14.25" x14ac:dyDescent="0.2">
      <c r="A55" s="1921"/>
      <c r="B55" s="2168"/>
      <c r="C55" s="2168"/>
      <c r="D55" s="1470"/>
      <c r="E55" s="1470"/>
      <c r="F55" s="1470"/>
      <c r="G55" s="1460"/>
      <c r="H55" s="2165" t="str">
        <f t="shared" si="0"/>
        <v/>
      </c>
      <c r="I55" s="2161"/>
      <c r="J55" s="1727"/>
      <c r="M55" s="1726">
        <f t="shared" si="1"/>
        <v>0</v>
      </c>
      <c r="N55" s="66">
        <f t="shared" si="2"/>
        <v>0</v>
      </c>
      <c r="O55" s="1730">
        <f t="shared" si="6"/>
        <v>0</v>
      </c>
      <c r="P55" s="66">
        <v>45</v>
      </c>
      <c r="Q55" s="1726">
        <f t="shared" si="9"/>
        <v>45</v>
      </c>
      <c r="R55" s="1726">
        <f t="shared" si="4"/>
        <v>0</v>
      </c>
      <c r="S55" s="1731">
        <f t="shared" si="5"/>
        <v>0</v>
      </c>
      <c r="U55" s="1726">
        <f t="shared" si="7"/>
        <v>0</v>
      </c>
      <c r="X55" s="1728"/>
      <c r="Y55" s="1728"/>
      <c r="Z55" s="1728"/>
      <c r="AA55" s="1729"/>
    </row>
    <row r="56" spans="1:27" ht="14.25" x14ac:dyDescent="0.2">
      <c r="A56" s="1921"/>
      <c r="B56" s="2168"/>
      <c r="C56" s="2168"/>
      <c r="D56" s="1470"/>
      <c r="E56" s="1470"/>
      <c r="F56" s="1470"/>
      <c r="G56" s="1460"/>
      <c r="H56" s="2165" t="str">
        <f t="shared" si="0"/>
        <v/>
      </c>
      <c r="I56" s="2161"/>
      <c r="J56" s="1727"/>
      <c r="M56" s="1726">
        <f t="shared" si="1"/>
        <v>0</v>
      </c>
      <c r="N56" s="66">
        <f t="shared" si="2"/>
        <v>0</v>
      </c>
      <c r="O56" s="1730">
        <f t="shared" si="6"/>
        <v>0</v>
      </c>
      <c r="P56" s="66">
        <v>46</v>
      </c>
      <c r="Q56" s="1726">
        <f t="shared" si="9"/>
        <v>46</v>
      </c>
      <c r="R56" s="1726">
        <f t="shared" si="4"/>
        <v>0</v>
      </c>
      <c r="S56" s="1731">
        <f t="shared" si="5"/>
        <v>0</v>
      </c>
      <c r="U56" s="1726">
        <f t="shared" si="7"/>
        <v>0</v>
      </c>
      <c r="X56" s="1728"/>
      <c r="Y56" s="1728"/>
      <c r="Z56" s="1728"/>
      <c r="AA56" s="1729"/>
    </row>
    <row r="57" spans="1:27" ht="14.25" x14ac:dyDescent="0.2">
      <c r="A57" s="1921"/>
      <c r="B57" s="2168"/>
      <c r="C57" s="2168"/>
      <c r="D57" s="1470"/>
      <c r="E57" s="1470"/>
      <c r="F57" s="1470"/>
      <c r="G57" s="1460"/>
      <c r="H57" s="2165" t="str">
        <f t="shared" si="0"/>
        <v/>
      </c>
      <c r="I57" s="2161"/>
      <c r="J57" s="1727"/>
      <c r="M57" s="1726">
        <f t="shared" si="1"/>
        <v>0</v>
      </c>
      <c r="N57" s="66">
        <f t="shared" si="2"/>
        <v>0</v>
      </c>
      <c r="O57" s="1730">
        <f t="shared" si="6"/>
        <v>0</v>
      </c>
      <c r="P57" s="66">
        <v>47</v>
      </c>
      <c r="Q57" s="1726">
        <f t="shared" si="9"/>
        <v>47</v>
      </c>
      <c r="R57" s="1726">
        <f t="shared" si="4"/>
        <v>0</v>
      </c>
      <c r="S57" s="1731">
        <f t="shared" si="5"/>
        <v>0</v>
      </c>
      <c r="U57" s="1726">
        <f t="shared" si="7"/>
        <v>0</v>
      </c>
      <c r="X57" s="1728"/>
      <c r="Y57" s="1728"/>
      <c r="Z57" s="1728"/>
      <c r="AA57" s="1729"/>
    </row>
    <row r="58" spans="1:27" ht="14.25" x14ac:dyDescent="0.2">
      <c r="A58" s="1921"/>
      <c r="B58" s="2168"/>
      <c r="C58" s="2168"/>
      <c r="D58" s="1470"/>
      <c r="E58" s="1470"/>
      <c r="F58" s="1470"/>
      <c r="G58" s="1460"/>
      <c r="H58" s="2165" t="str">
        <f t="shared" si="0"/>
        <v/>
      </c>
      <c r="I58" s="2161"/>
      <c r="J58" s="1727"/>
      <c r="M58" s="1726">
        <f t="shared" si="1"/>
        <v>0</v>
      </c>
      <c r="N58" s="66">
        <f t="shared" si="2"/>
        <v>0</v>
      </c>
      <c r="O58" s="1730">
        <f t="shared" si="6"/>
        <v>0</v>
      </c>
      <c r="P58" s="66">
        <v>48</v>
      </c>
      <c r="Q58" s="1726">
        <f t="shared" si="9"/>
        <v>48</v>
      </c>
      <c r="R58" s="1726">
        <f t="shared" si="4"/>
        <v>0</v>
      </c>
      <c r="S58" s="1731">
        <f t="shared" si="5"/>
        <v>0</v>
      </c>
      <c r="U58" s="1726">
        <f t="shared" si="7"/>
        <v>0</v>
      </c>
      <c r="X58" s="1728"/>
      <c r="Y58" s="1728"/>
      <c r="Z58" s="1728"/>
      <c r="AA58" s="1729"/>
    </row>
    <row r="59" spans="1:27" ht="14.25" x14ac:dyDescent="0.2">
      <c r="A59" s="1921"/>
      <c r="B59" s="2168"/>
      <c r="C59" s="2168"/>
      <c r="D59" s="1470"/>
      <c r="E59" s="1470"/>
      <c r="F59" s="1470"/>
      <c r="G59" s="1460"/>
      <c r="H59" s="2165" t="str">
        <f t="shared" si="0"/>
        <v/>
      </c>
      <c r="I59" s="2161"/>
      <c r="J59" s="1727"/>
      <c r="M59" s="1726">
        <f t="shared" si="1"/>
        <v>0</v>
      </c>
      <c r="N59" s="66">
        <f t="shared" si="2"/>
        <v>0</v>
      </c>
      <c r="O59" s="1730">
        <f t="shared" si="6"/>
        <v>0</v>
      </c>
      <c r="P59" s="66">
        <v>49</v>
      </c>
      <c r="Q59" s="1726">
        <f t="shared" si="9"/>
        <v>49</v>
      </c>
      <c r="R59" s="1726">
        <f t="shared" si="4"/>
        <v>0</v>
      </c>
      <c r="S59" s="1731">
        <f t="shared" si="5"/>
        <v>0</v>
      </c>
      <c r="U59" s="1726">
        <f t="shared" si="7"/>
        <v>0</v>
      </c>
      <c r="X59" s="1728"/>
      <c r="Y59" s="1728"/>
      <c r="Z59" s="1728"/>
      <c r="AA59" s="1729"/>
    </row>
    <row r="60" spans="1:27" ht="14.25" x14ac:dyDescent="0.2">
      <c r="A60" s="1921"/>
      <c r="B60" s="2168"/>
      <c r="C60" s="2168"/>
      <c r="D60" s="1470"/>
      <c r="E60" s="1470"/>
      <c r="F60" s="1470"/>
      <c r="G60" s="1460"/>
      <c r="H60" s="2165" t="str">
        <f t="shared" si="0"/>
        <v/>
      </c>
      <c r="I60" s="2161"/>
      <c r="J60" s="1727"/>
      <c r="M60" s="1726">
        <f t="shared" si="1"/>
        <v>0</v>
      </c>
      <c r="N60" s="66">
        <f t="shared" si="2"/>
        <v>0</v>
      </c>
      <c r="O60" s="1730">
        <f t="shared" si="6"/>
        <v>0</v>
      </c>
      <c r="P60" s="66">
        <v>50</v>
      </c>
      <c r="Q60" s="1726">
        <f t="shared" si="9"/>
        <v>50</v>
      </c>
      <c r="R60" s="1726">
        <f t="shared" si="4"/>
        <v>0</v>
      </c>
      <c r="S60" s="1731">
        <f t="shared" si="5"/>
        <v>0</v>
      </c>
      <c r="U60" s="1726">
        <f t="shared" si="7"/>
        <v>0</v>
      </c>
      <c r="X60" s="1728"/>
      <c r="Y60" s="1728"/>
      <c r="Z60" s="1728"/>
      <c r="AA60" s="1729"/>
    </row>
    <row r="61" spans="1:27" ht="14.25" x14ac:dyDescent="0.2">
      <c r="A61" s="1921"/>
      <c r="B61" s="2168"/>
      <c r="C61" s="2168"/>
      <c r="D61" s="1470"/>
      <c r="E61" s="1470"/>
      <c r="F61" s="1470"/>
      <c r="G61" s="1460"/>
      <c r="H61" s="2165" t="str">
        <f t="shared" si="0"/>
        <v/>
      </c>
      <c r="I61" s="2161"/>
      <c r="J61" s="1727"/>
      <c r="M61" s="1726">
        <f t="shared" si="1"/>
        <v>0</v>
      </c>
      <c r="N61" s="66">
        <f t="shared" si="2"/>
        <v>0</v>
      </c>
      <c r="O61" s="1730">
        <f t="shared" si="6"/>
        <v>0</v>
      </c>
      <c r="P61" s="66">
        <v>51</v>
      </c>
      <c r="Q61" s="1726">
        <f t="shared" si="9"/>
        <v>51</v>
      </c>
      <c r="R61" s="1726">
        <f t="shared" si="4"/>
        <v>0</v>
      </c>
      <c r="S61" s="1731">
        <f t="shared" si="5"/>
        <v>0</v>
      </c>
      <c r="U61" s="1726">
        <f t="shared" si="7"/>
        <v>0</v>
      </c>
      <c r="X61" s="1728"/>
      <c r="Y61" s="1728"/>
      <c r="Z61" s="1728"/>
      <c r="AA61" s="1729"/>
    </row>
    <row r="62" spans="1:27" ht="14.25" x14ac:dyDescent="0.2">
      <c r="A62" s="1921"/>
      <c r="B62" s="2168"/>
      <c r="C62" s="2168"/>
      <c r="D62" s="1470"/>
      <c r="E62" s="1470"/>
      <c r="F62" s="1470"/>
      <c r="G62" s="1460"/>
      <c r="H62" s="2165" t="str">
        <f t="shared" si="0"/>
        <v/>
      </c>
      <c r="I62" s="2161"/>
      <c r="J62" s="1727"/>
      <c r="M62" s="1726">
        <f t="shared" si="1"/>
        <v>0</v>
      </c>
      <c r="N62" s="66">
        <f t="shared" si="2"/>
        <v>0</v>
      </c>
      <c r="O62" s="1730">
        <f t="shared" si="6"/>
        <v>0</v>
      </c>
      <c r="P62" s="66">
        <v>52</v>
      </c>
      <c r="Q62" s="1726">
        <f t="shared" si="9"/>
        <v>52</v>
      </c>
      <c r="R62" s="1726">
        <f t="shared" si="4"/>
        <v>0</v>
      </c>
      <c r="S62" s="1731">
        <f t="shared" si="5"/>
        <v>0</v>
      </c>
      <c r="U62" s="1726">
        <f t="shared" si="7"/>
        <v>0</v>
      </c>
      <c r="X62" s="1728"/>
      <c r="Y62" s="1728"/>
      <c r="Z62" s="1728"/>
      <c r="AA62" s="1729"/>
    </row>
    <row r="63" spans="1:27" ht="14.25" x14ac:dyDescent="0.2">
      <c r="A63" s="1921"/>
      <c r="B63" s="2168"/>
      <c r="C63" s="2168"/>
      <c r="D63" s="1470"/>
      <c r="E63" s="1470"/>
      <c r="F63" s="1470"/>
      <c r="G63" s="1460"/>
      <c r="H63" s="2165" t="str">
        <f t="shared" si="0"/>
        <v/>
      </c>
      <c r="I63" s="2161"/>
      <c r="J63" s="1727"/>
      <c r="M63" s="1726">
        <f t="shared" si="1"/>
        <v>0</v>
      </c>
      <c r="N63" s="66">
        <f t="shared" si="2"/>
        <v>0</v>
      </c>
      <c r="O63" s="1730">
        <f t="shared" si="6"/>
        <v>0</v>
      </c>
      <c r="P63" s="66">
        <v>53</v>
      </c>
      <c r="Q63" s="1726">
        <f t="shared" si="9"/>
        <v>53</v>
      </c>
      <c r="R63" s="1726">
        <f t="shared" si="4"/>
        <v>0</v>
      </c>
      <c r="S63" s="1731">
        <f t="shared" si="5"/>
        <v>0</v>
      </c>
      <c r="U63" s="1726">
        <f t="shared" si="7"/>
        <v>0</v>
      </c>
      <c r="X63" s="1728"/>
      <c r="Y63" s="1728"/>
      <c r="Z63" s="1728"/>
      <c r="AA63" s="1729"/>
    </row>
    <row r="64" spans="1:27" ht="14.25" x14ac:dyDescent="0.2">
      <c r="A64" s="1921"/>
      <c r="B64" s="2168"/>
      <c r="C64" s="2168"/>
      <c r="D64" s="1470"/>
      <c r="E64" s="1470"/>
      <c r="F64" s="1470"/>
      <c r="G64" s="1460"/>
      <c r="H64" s="2165" t="str">
        <f t="shared" si="0"/>
        <v/>
      </c>
      <c r="I64" s="2161"/>
      <c r="J64" s="1727"/>
      <c r="M64" s="1726">
        <f t="shared" si="1"/>
        <v>0</v>
      </c>
      <c r="N64" s="66">
        <f t="shared" si="2"/>
        <v>0</v>
      </c>
      <c r="O64" s="1730">
        <f t="shared" si="6"/>
        <v>0</v>
      </c>
      <c r="P64" s="66">
        <v>54</v>
      </c>
      <c r="Q64" s="1726">
        <f t="shared" si="9"/>
        <v>54</v>
      </c>
      <c r="R64" s="1726">
        <f t="shared" si="4"/>
        <v>0</v>
      </c>
      <c r="S64" s="1731">
        <f t="shared" si="5"/>
        <v>0</v>
      </c>
      <c r="U64" s="1726">
        <f t="shared" si="7"/>
        <v>0</v>
      </c>
      <c r="X64" s="1728"/>
      <c r="Y64" s="1728"/>
      <c r="Z64" s="1728"/>
      <c r="AA64" s="1729"/>
    </row>
    <row r="65" spans="1:28" ht="14.25" x14ac:dyDescent="0.2">
      <c r="A65" s="1921"/>
      <c r="B65" s="2168"/>
      <c r="C65" s="2168"/>
      <c r="D65" s="1470"/>
      <c r="E65" s="1470"/>
      <c r="F65" s="1470"/>
      <c r="G65" s="1460"/>
      <c r="H65" s="2165" t="str">
        <f t="shared" si="0"/>
        <v/>
      </c>
      <c r="I65" s="2161"/>
      <c r="J65" s="1727"/>
      <c r="M65" s="1726">
        <f t="shared" si="1"/>
        <v>0</v>
      </c>
      <c r="N65" s="66">
        <f t="shared" si="2"/>
        <v>0</v>
      </c>
      <c r="O65" s="1730">
        <f t="shared" si="6"/>
        <v>0</v>
      </c>
      <c r="P65" s="66">
        <v>55</v>
      </c>
      <c r="Q65" s="1726">
        <f t="shared" si="9"/>
        <v>55</v>
      </c>
      <c r="R65" s="1726">
        <f t="shared" si="4"/>
        <v>0</v>
      </c>
      <c r="S65" s="1731">
        <f t="shared" si="5"/>
        <v>0</v>
      </c>
      <c r="U65" s="1726">
        <f t="shared" si="7"/>
        <v>0</v>
      </c>
      <c r="X65" s="1728"/>
      <c r="Y65" s="1728"/>
      <c r="Z65" s="1728"/>
      <c r="AA65" s="1729"/>
    </row>
    <row r="66" spans="1:28" ht="14.25" x14ac:dyDescent="0.2">
      <c r="A66" s="1921"/>
      <c r="B66" s="2168"/>
      <c r="C66" s="2168"/>
      <c r="D66" s="1470"/>
      <c r="E66" s="1470"/>
      <c r="F66" s="1470"/>
      <c r="G66" s="1460"/>
      <c r="H66" s="2165" t="str">
        <f t="shared" si="0"/>
        <v/>
      </c>
      <c r="I66" s="2161"/>
      <c r="J66" s="1727"/>
      <c r="M66" s="1726">
        <f t="shared" si="1"/>
        <v>0</v>
      </c>
      <c r="N66" s="66">
        <f t="shared" si="2"/>
        <v>0</v>
      </c>
      <c r="O66" s="1730">
        <f t="shared" si="6"/>
        <v>0</v>
      </c>
      <c r="P66" s="66">
        <v>56</v>
      </c>
      <c r="Q66" s="1726">
        <f t="shared" si="9"/>
        <v>56</v>
      </c>
      <c r="R66" s="1726">
        <f t="shared" si="4"/>
        <v>0</v>
      </c>
      <c r="S66" s="1731">
        <f t="shared" si="5"/>
        <v>0</v>
      </c>
      <c r="U66" s="1726">
        <f t="shared" si="7"/>
        <v>0</v>
      </c>
      <c r="X66" s="1728"/>
      <c r="Y66" s="1728"/>
      <c r="Z66" s="1728"/>
      <c r="AA66" s="1729"/>
    </row>
    <row r="67" spans="1:28" ht="14.25" x14ac:dyDescent="0.2">
      <c r="A67" s="1921"/>
      <c r="B67" s="2168"/>
      <c r="C67" s="2168"/>
      <c r="D67" s="1470"/>
      <c r="E67" s="1470"/>
      <c r="F67" s="1470"/>
      <c r="G67" s="1460"/>
      <c r="H67" s="2165" t="str">
        <f t="shared" si="0"/>
        <v/>
      </c>
      <c r="I67" s="2161"/>
      <c r="J67" s="1727"/>
      <c r="M67" s="1726">
        <f t="shared" si="1"/>
        <v>0</v>
      </c>
      <c r="N67" s="66">
        <f t="shared" si="2"/>
        <v>0</v>
      </c>
      <c r="O67" s="1730">
        <f t="shared" si="6"/>
        <v>0</v>
      </c>
      <c r="P67" s="66">
        <v>57</v>
      </c>
      <c r="Q67" s="1726">
        <f t="shared" si="9"/>
        <v>57</v>
      </c>
      <c r="R67" s="1726">
        <f t="shared" si="4"/>
        <v>0</v>
      </c>
      <c r="S67" s="1731">
        <f t="shared" si="5"/>
        <v>0</v>
      </c>
      <c r="U67" s="1726">
        <f t="shared" si="7"/>
        <v>0</v>
      </c>
      <c r="X67" s="1728"/>
      <c r="Y67" s="1728"/>
      <c r="Z67" s="1728"/>
      <c r="AA67" s="1729"/>
    </row>
    <row r="68" spans="1:28" ht="14.25" x14ac:dyDescent="0.2">
      <c r="A68" s="1921"/>
      <c r="B68" s="2168"/>
      <c r="C68" s="2168"/>
      <c r="D68" s="1470"/>
      <c r="E68" s="1470"/>
      <c r="F68" s="1470"/>
      <c r="G68" s="1460"/>
      <c r="H68" s="2165" t="str">
        <f t="shared" si="0"/>
        <v/>
      </c>
      <c r="I68" s="2161"/>
      <c r="J68" s="1727"/>
      <c r="M68" s="1726">
        <f t="shared" si="1"/>
        <v>0</v>
      </c>
      <c r="N68" s="66">
        <f t="shared" si="2"/>
        <v>0</v>
      </c>
      <c r="O68" s="1730">
        <f t="shared" si="6"/>
        <v>0</v>
      </c>
      <c r="P68" s="66">
        <v>58</v>
      </c>
      <c r="Q68" s="1726">
        <f t="shared" si="9"/>
        <v>58</v>
      </c>
      <c r="R68" s="1726">
        <f t="shared" si="4"/>
        <v>0</v>
      </c>
      <c r="S68" s="1731">
        <f t="shared" si="5"/>
        <v>0</v>
      </c>
      <c r="U68" s="1726">
        <f t="shared" si="7"/>
        <v>0</v>
      </c>
      <c r="X68" s="1728"/>
      <c r="Y68" s="1728"/>
      <c r="Z68" s="1728"/>
      <c r="AA68" s="1729"/>
    </row>
    <row r="69" spans="1:28" ht="14.25" x14ac:dyDescent="0.2">
      <c r="A69" s="1921"/>
      <c r="B69" s="2168"/>
      <c r="C69" s="2168"/>
      <c r="D69" s="1470"/>
      <c r="E69" s="1470"/>
      <c r="F69" s="1470"/>
      <c r="G69" s="1460"/>
      <c r="H69" s="2165" t="str">
        <f t="shared" si="0"/>
        <v/>
      </c>
      <c r="I69" s="2161"/>
      <c r="J69" s="1727"/>
      <c r="M69" s="1726">
        <f t="shared" si="1"/>
        <v>0</v>
      </c>
      <c r="N69" s="66">
        <f t="shared" si="2"/>
        <v>0</v>
      </c>
      <c r="O69" s="1730">
        <f t="shared" si="6"/>
        <v>0</v>
      </c>
      <c r="P69" s="66">
        <v>59</v>
      </c>
      <c r="Q69" s="1726">
        <f t="shared" si="9"/>
        <v>59</v>
      </c>
      <c r="R69" s="1726">
        <f t="shared" si="4"/>
        <v>0</v>
      </c>
      <c r="S69" s="1731">
        <f t="shared" si="5"/>
        <v>0</v>
      </c>
      <c r="U69" s="1726">
        <f t="shared" si="7"/>
        <v>0</v>
      </c>
      <c r="X69" s="1728"/>
      <c r="Y69" s="1728"/>
      <c r="Z69" s="1728"/>
      <c r="AA69" s="1729"/>
    </row>
    <row r="70" spans="1:28" ht="14.25" x14ac:dyDescent="0.2">
      <c r="A70" s="1921"/>
      <c r="B70" s="2168"/>
      <c r="C70" s="2168"/>
      <c r="D70" s="1470"/>
      <c r="E70" s="1470"/>
      <c r="F70" s="1470"/>
      <c r="G70" s="1460"/>
      <c r="H70" s="2165" t="str">
        <f t="shared" si="0"/>
        <v/>
      </c>
      <c r="I70" s="2161"/>
      <c r="J70" s="1727"/>
      <c r="M70" s="1726">
        <f t="shared" si="1"/>
        <v>0</v>
      </c>
      <c r="N70" s="66">
        <f t="shared" si="2"/>
        <v>0</v>
      </c>
      <c r="O70" s="1730">
        <f t="shared" si="6"/>
        <v>0</v>
      </c>
      <c r="P70" s="66">
        <v>60</v>
      </c>
      <c r="Q70" s="1726">
        <f t="shared" si="9"/>
        <v>60</v>
      </c>
      <c r="R70" s="1726">
        <f t="shared" si="4"/>
        <v>0</v>
      </c>
      <c r="S70" s="1731">
        <f t="shared" si="5"/>
        <v>0</v>
      </c>
      <c r="U70" s="1726">
        <f t="shared" si="7"/>
        <v>0</v>
      </c>
      <c r="X70" s="1728"/>
      <c r="Y70" s="1728"/>
      <c r="Z70" s="1728"/>
      <c r="AA70" s="1729"/>
    </row>
    <row r="71" spans="1:28" ht="14.25" hidden="1" x14ac:dyDescent="0.2">
      <c r="A71" s="1921"/>
      <c r="B71" s="2168"/>
      <c r="C71" s="2168"/>
      <c r="D71" s="1470"/>
      <c r="E71" s="1470"/>
      <c r="F71" s="1470"/>
      <c r="G71" s="1460"/>
      <c r="H71" s="2165" t="str">
        <f t="shared" ref="H71:H86" si="10">IF(U71=1,"Check no. of tenements!",IF(AND(R71=0,O71=0),"",IF(AND($G$7&gt;=Q71,O71=0),re,IF(AND($P$1="y",O71&lt;&gt;6),md,IF(AND($P$1="n",O71&lt;&gt;5),md,IF(AND($P$1="n",B71&lt;&gt;""),"Not fiscal unit - Pg 2 Q30",""))))))</f>
        <v/>
      </c>
      <c r="I71" s="2161"/>
      <c r="J71" s="1727"/>
      <c r="M71" s="1726">
        <f t="shared" si="1"/>
        <v>0</v>
      </c>
      <c r="N71" s="66">
        <f t="shared" si="2"/>
        <v>0</v>
      </c>
      <c r="O71" s="1730">
        <f t="shared" si="6"/>
        <v>0</v>
      </c>
      <c r="P71" s="66">
        <v>61</v>
      </c>
      <c r="Q71" s="1726">
        <f t="shared" si="9"/>
        <v>61</v>
      </c>
      <c r="R71" s="1726">
        <f t="shared" si="4"/>
        <v>0</v>
      </c>
      <c r="S71" s="1731">
        <f t="shared" si="5"/>
        <v>0</v>
      </c>
      <c r="U71" s="1726">
        <f t="shared" si="7"/>
        <v>0</v>
      </c>
      <c r="X71" s="1728"/>
      <c r="Y71" s="1728"/>
      <c r="Z71" s="1728"/>
      <c r="AA71" s="1729"/>
    </row>
    <row r="72" spans="1:28" ht="14.25" hidden="1" x14ac:dyDescent="0.2">
      <c r="A72" s="1921"/>
      <c r="B72" s="2168"/>
      <c r="C72" s="2168"/>
      <c r="D72" s="1470"/>
      <c r="E72" s="1470"/>
      <c r="F72" s="1470"/>
      <c r="G72" s="1460"/>
      <c r="H72" s="2165" t="str">
        <f t="shared" si="10"/>
        <v/>
      </c>
      <c r="I72" s="2161"/>
      <c r="J72" s="1727"/>
      <c r="M72" s="1726">
        <f t="shared" si="1"/>
        <v>0</v>
      </c>
      <c r="N72" s="66">
        <f t="shared" si="2"/>
        <v>0</v>
      </c>
      <c r="O72" s="1730">
        <f t="shared" si="6"/>
        <v>0</v>
      </c>
      <c r="P72" s="66">
        <v>62</v>
      </c>
      <c r="Q72" s="1726">
        <f t="shared" si="9"/>
        <v>62</v>
      </c>
      <c r="R72" s="1726">
        <f t="shared" si="4"/>
        <v>0</v>
      </c>
      <c r="S72" s="1731">
        <f t="shared" si="5"/>
        <v>0</v>
      </c>
      <c r="U72" s="1726">
        <f t="shared" si="7"/>
        <v>0</v>
      </c>
      <c r="X72" s="1728"/>
      <c r="Y72" s="1728"/>
      <c r="Z72" s="1728"/>
      <c r="AA72" s="1729"/>
    </row>
    <row r="73" spans="1:28" ht="14.25" hidden="1" x14ac:dyDescent="0.2">
      <c r="A73" s="1921"/>
      <c r="B73" s="2168"/>
      <c r="C73" s="2168"/>
      <c r="D73" s="1470"/>
      <c r="E73" s="1470"/>
      <c r="F73" s="1470"/>
      <c r="G73" s="1460"/>
      <c r="H73" s="2165" t="str">
        <f t="shared" si="10"/>
        <v/>
      </c>
      <c r="I73" s="2161"/>
      <c r="J73" s="1727"/>
      <c r="M73" s="1726">
        <f t="shared" si="1"/>
        <v>0</v>
      </c>
      <c r="N73" s="66">
        <f t="shared" si="2"/>
        <v>0</v>
      </c>
      <c r="O73" s="1730">
        <f t="shared" si="6"/>
        <v>0</v>
      </c>
      <c r="P73" s="66">
        <v>63</v>
      </c>
      <c r="Q73" s="1726">
        <f t="shared" si="9"/>
        <v>63</v>
      </c>
      <c r="R73" s="1726">
        <f t="shared" si="4"/>
        <v>0</v>
      </c>
      <c r="S73" s="1731">
        <f t="shared" si="5"/>
        <v>0</v>
      </c>
      <c r="U73" s="1726">
        <f t="shared" si="7"/>
        <v>0</v>
      </c>
      <c r="X73" s="1728"/>
      <c r="Y73" s="1728"/>
      <c r="Z73" s="1728"/>
      <c r="AA73" s="1729"/>
    </row>
    <row r="74" spans="1:28" ht="14.25" hidden="1" x14ac:dyDescent="0.2">
      <c r="A74" s="1921"/>
      <c r="B74" s="2168"/>
      <c r="C74" s="2168"/>
      <c r="D74" s="1470"/>
      <c r="E74" s="1470"/>
      <c r="F74" s="1470"/>
      <c r="G74" s="1460"/>
      <c r="H74" s="2165" t="str">
        <f t="shared" si="10"/>
        <v/>
      </c>
      <c r="I74" s="2161"/>
      <c r="J74" s="1727"/>
      <c r="M74" s="1726">
        <f t="shared" si="1"/>
        <v>0</v>
      </c>
      <c r="N74" s="66">
        <f t="shared" si="2"/>
        <v>0</v>
      </c>
      <c r="O74" s="1730">
        <f t="shared" si="6"/>
        <v>0</v>
      </c>
      <c r="P74" s="66">
        <v>64</v>
      </c>
      <c r="Q74" s="1726">
        <f t="shared" si="9"/>
        <v>64</v>
      </c>
      <c r="R74" s="1726">
        <f t="shared" si="4"/>
        <v>0</v>
      </c>
      <c r="S74" s="1731">
        <f t="shared" si="5"/>
        <v>0</v>
      </c>
      <c r="U74" s="1726">
        <f t="shared" si="7"/>
        <v>0</v>
      </c>
      <c r="X74" s="1728"/>
      <c r="Y74" s="1728"/>
      <c r="Z74" s="1728"/>
      <c r="AA74" s="1729"/>
    </row>
    <row r="75" spans="1:28" ht="14.25" hidden="1" x14ac:dyDescent="0.2">
      <c r="A75" s="1921"/>
      <c r="B75" s="2168"/>
      <c r="C75" s="2168"/>
      <c r="D75" s="1470"/>
      <c r="E75" s="1470"/>
      <c r="F75" s="1470"/>
      <c r="G75" s="1460"/>
      <c r="H75" s="2165" t="str">
        <f t="shared" si="10"/>
        <v/>
      </c>
      <c r="I75" s="2161"/>
      <c r="M75" s="1726">
        <f t="shared" ref="M75:M85" si="11">IF(H75="",0,1)</f>
      </c>
      <c r="N75" s="66">
        <f>IF(O75=0,0,1)</f>
      </c>
      <c r="O75" s="1730">
        <f t="shared" si="6"/>
        <v>0</v>
      </c>
      <c r="P75" s="66">
        <v>65</v>
      </c>
      <c r="Q75" s="1726">
        <f t="shared" si="9"/>
        <v>65</v>
      </c>
      <c r="R75" s="1726">
        <f t="shared" si="4"/>
        <v>0</v>
      </c>
      <c r="S75" s="1731">
        <f>IF(AND(M75=0,R75=1),G75,0)</f>
      </c>
      <c r="U75" s="1726">
        <f t="shared" ref="U75:U86" si="12">IF(AND(R75=0,O75&gt;0),1,0)</f>
      </c>
      <c r="AA75" s="1728"/>
      <c r="AB75" s="1728"/>
    </row>
    <row r="76" spans="1:28" ht="14.25" hidden="1" x14ac:dyDescent="0.2">
      <c r="A76" s="1921"/>
      <c r="B76" s="2168"/>
      <c r="C76" s="2168"/>
      <c r="D76" s="1470"/>
      <c r="E76" s="1470"/>
      <c r="F76" s="1470"/>
      <c r="G76" s="1460"/>
      <c r="H76" s="2165" t="str">
        <f t="shared" si="10"/>
        <v/>
      </c>
      <c r="I76" s="2161"/>
      <c r="M76" s="1726">
        <f t="shared" si="11"/>
        <v>0</v>
      </c>
      <c r="N76" s="66">
        <f t="shared" ref="N76:N86" si="13">IF(O76=0,0,1)</f>
      </c>
      <c r="O76" s="1730">
        <f t="shared" ref="O76:O86" si="14">IF($P$1="y",COUNTA(B76:G76),COUNTA(C76:G76))</f>
      </c>
      <c r="P76" s="66">
        <v>66</v>
      </c>
      <c r="Q76" s="1726">
        <f t="shared" si="9"/>
        <v>66</v>
      </c>
      <c r="R76" s="1726">
        <f t="shared" si="4"/>
        <v>0</v>
      </c>
      <c r="S76" s="1731">
        <f t="shared" ref="S76:S86" si="15">IF(AND(M76=0,R76=1),G76,0)</f>
      </c>
      <c r="U76" s="1726">
        <f t="shared" si="12"/>
        <v>0</v>
      </c>
    </row>
    <row r="77" spans="1:28" ht="14.25" hidden="1" x14ac:dyDescent="0.2">
      <c r="A77" s="1921"/>
      <c r="B77" s="2168"/>
      <c r="C77" s="2168"/>
      <c r="D77" s="1470"/>
      <c r="E77" s="1470"/>
      <c r="F77" s="1470"/>
      <c r="G77" s="1460"/>
      <c r="H77" s="2165" t="str">
        <f t="shared" si="10"/>
        <v/>
      </c>
      <c r="I77" s="2161"/>
      <c r="M77" s="1726">
        <f t="shared" si="11"/>
        <v>0</v>
      </c>
      <c r="N77" s="66">
        <f t="shared" si="13"/>
        <v>0</v>
      </c>
      <c r="O77" s="1730">
        <f t="shared" si="14"/>
        <v>0</v>
      </c>
      <c r="P77" s="66">
        <v>67</v>
      </c>
      <c r="Q77" s="1726">
        <f t="shared" si="9"/>
        <v>67</v>
      </c>
      <c r="R77" s="1726">
        <f t="shared" si="4"/>
        <v>0</v>
      </c>
      <c r="S77" s="1731">
        <f t="shared" si="15"/>
        <v>0</v>
      </c>
      <c r="U77" s="1726">
        <f t="shared" si="12"/>
        <v>0</v>
      </c>
    </row>
    <row r="78" spans="1:28" ht="14.25" hidden="1" x14ac:dyDescent="0.2">
      <c r="A78" s="1921"/>
      <c r="B78" s="2168"/>
      <c r="C78" s="2168"/>
      <c r="D78" s="1470"/>
      <c r="E78" s="1470"/>
      <c r="F78" s="1470"/>
      <c r="G78" s="1460"/>
      <c r="H78" s="2165" t="str">
        <f t="shared" si="10"/>
        <v/>
      </c>
      <c r="I78" s="2161"/>
      <c r="M78" s="1726">
        <f t="shared" si="11"/>
        <v>0</v>
      </c>
      <c r="N78" s="66">
        <f t="shared" si="13"/>
        <v>0</v>
      </c>
      <c r="O78" s="1730">
        <f t="shared" si="14"/>
        <v>0</v>
      </c>
      <c r="P78" s="66">
        <v>68</v>
      </c>
      <c r="Q78" s="1726">
        <f t="shared" si="9"/>
        <v>68</v>
      </c>
      <c r="R78" s="1726">
        <f t="shared" si="4"/>
        <v>0</v>
      </c>
      <c r="S78" s="1731">
        <f t="shared" si="15"/>
        <v>0</v>
      </c>
      <c r="U78" s="1726">
        <f t="shared" si="12"/>
        <v>0</v>
      </c>
    </row>
    <row r="79" spans="1:28" ht="14.25" hidden="1" x14ac:dyDescent="0.2">
      <c r="A79" s="1921"/>
      <c r="B79" s="2168"/>
      <c r="C79" s="2168"/>
      <c r="D79" s="1470"/>
      <c r="E79" s="1470"/>
      <c r="F79" s="1470"/>
      <c r="G79" s="1460"/>
      <c r="H79" s="2165" t="str">
        <f t="shared" si="10"/>
        <v/>
      </c>
      <c r="I79" s="2161"/>
      <c r="M79" s="1726">
        <f t="shared" si="11"/>
        <v>0</v>
      </c>
      <c r="N79" s="66">
        <f t="shared" si="13"/>
        <v>0</v>
      </c>
      <c r="O79" s="1730">
        <f t="shared" si="14"/>
        <v>0</v>
      </c>
      <c r="P79" s="66">
        <v>69</v>
      </c>
      <c r="Q79" s="1726">
        <f t="shared" si="9"/>
        <v>69</v>
      </c>
      <c r="R79" s="1726">
        <f t="shared" si="4"/>
        <v>0</v>
      </c>
      <c r="S79" s="1731">
        <f t="shared" si="15"/>
        <v>0</v>
      </c>
      <c r="U79" s="1726">
        <f t="shared" si="12"/>
        <v>0</v>
      </c>
    </row>
    <row r="80" spans="1:28" ht="14.25" hidden="1" x14ac:dyDescent="0.2">
      <c r="A80" s="1921"/>
      <c r="B80" s="2168"/>
      <c r="C80" s="2168"/>
      <c r="D80" s="1470"/>
      <c r="E80" s="1470"/>
      <c r="F80" s="1470"/>
      <c r="G80" s="1460"/>
      <c r="H80" s="2165" t="str">
        <f t="shared" si="10"/>
        <v/>
      </c>
      <c r="I80" s="2161"/>
      <c r="M80" s="1726">
        <f t="shared" si="11"/>
        <v>0</v>
      </c>
      <c r="N80" s="66">
        <f t="shared" si="13"/>
        <v>0</v>
      </c>
      <c r="O80" s="1730">
        <f t="shared" si="14"/>
        <v>0</v>
      </c>
      <c r="P80" s="66">
        <v>70</v>
      </c>
      <c r="Q80" s="1726">
        <f t="shared" si="9"/>
        <v>70</v>
      </c>
      <c r="R80" s="1726">
        <f t="shared" si="4"/>
        <v>0</v>
      </c>
      <c r="S80" s="1731">
        <f t="shared" si="15"/>
        <v>0</v>
      </c>
      <c r="U80" s="1726">
        <f t="shared" si="12"/>
        <v>0</v>
      </c>
    </row>
    <row r="81" spans="1:21" ht="14.25" hidden="1" x14ac:dyDescent="0.2">
      <c r="A81" s="1921"/>
      <c r="B81" s="2168"/>
      <c r="C81" s="2168"/>
      <c r="D81" s="1470"/>
      <c r="E81" s="1470"/>
      <c r="F81" s="1470"/>
      <c r="G81" s="1460"/>
      <c r="H81" s="2165" t="str">
        <f t="shared" si="10"/>
        <v/>
      </c>
      <c r="I81" s="2161"/>
      <c r="M81" s="1726">
        <f>IF(H81="",0,1)</f>
      </c>
      <c r="N81" s="66">
        <f t="shared" si="13"/>
        <v>0</v>
      </c>
      <c r="O81" s="1730">
        <f t="shared" si="14"/>
        <v>0</v>
      </c>
      <c r="P81" s="66">
        <v>71</v>
      </c>
      <c r="Q81" s="1726">
        <f t="shared" si="9"/>
        <v>71</v>
      </c>
      <c r="R81" s="1726">
        <f t="shared" si="4"/>
        <v>0</v>
      </c>
      <c r="S81" s="1731">
        <f t="shared" si="15"/>
        <v>0</v>
      </c>
      <c r="U81" s="1726">
        <f t="shared" si="12"/>
        <v>0</v>
      </c>
    </row>
    <row r="82" spans="1:21" ht="14.25" hidden="1" x14ac:dyDescent="0.2">
      <c r="A82" s="1921"/>
      <c r="B82" s="2168"/>
      <c r="C82" s="2168"/>
      <c r="D82" s="1470"/>
      <c r="E82" s="1470"/>
      <c r="F82" s="1470"/>
      <c r="G82" s="1460"/>
      <c r="H82" s="2165" t="str">
        <f t="shared" si="10"/>
        <v/>
      </c>
      <c r="I82" s="2161"/>
      <c r="M82" s="1726">
        <f t="shared" si="11"/>
        <v>0</v>
      </c>
      <c r="N82" s="66">
        <f t="shared" si="13"/>
        <v>0</v>
      </c>
      <c r="O82" s="1730">
        <f t="shared" si="14"/>
        <v>0</v>
      </c>
      <c r="P82" s="66">
        <v>72</v>
      </c>
      <c r="Q82" s="1726">
        <f t="shared" si="9"/>
        <v>72</v>
      </c>
      <c r="R82" s="1726">
        <f t="shared" si="4"/>
        <v>0</v>
      </c>
      <c r="S82" s="1731">
        <f t="shared" si="15"/>
        <v>0</v>
      </c>
      <c r="U82" s="1726">
        <f t="shared" si="12"/>
        <v>0</v>
      </c>
    </row>
    <row r="83" spans="1:21" ht="14.25" hidden="1" x14ac:dyDescent="0.2">
      <c r="A83" s="1921"/>
      <c r="B83" s="2168"/>
      <c r="C83" s="2168"/>
      <c r="D83" s="1470"/>
      <c r="E83" s="1470"/>
      <c r="F83" s="1470"/>
      <c r="G83" s="1460"/>
      <c r="H83" s="2165" t="str">
        <f t="shared" si="10"/>
        <v/>
      </c>
      <c r="I83" s="2161"/>
      <c r="M83" s="1726">
        <f t="shared" si="11"/>
        <v>0</v>
      </c>
      <c r="N83" s="66">
        <f t="shared" si="13"/>
        <v>0</v>
      </c>
      <c r="O83" s="1730">
        <f t="shared" si="14"/>
        <v>0</v>
      </c>
      <c r="P83" s="66">
        <v>73</v>
      </c>
      <c r="Q83" s="1726">
        <f t="shared" si="9"/>
        <v>73</v>
      </c>
      <c r="R83" s="1726">
        <f t="shared" si="4"/>
        <v>0</v>
      </c>
      <c r="S83" s="1731">
        <f t="shared" si="15"/>
        <v>0</v>
      </c>
      <c r="U83" s="1726">
        <f t="shared" si="12"/>
        <v>0</v>
      </c>
    </row>
    <row r="84" spans="1:21" ht="14.25" hidden="1" x14ac:dyDescent="0.2">
      <c r="A84" s="1921"/>
      <c r="B84" s="2168"/>
      <c r="C84" s="2168"/>
      <c r="D84" s="1470"/>
      <c r="E84" s="1470"/>
      <c r="F84" s="1470"/>
      <c r="G84" s="1460"/>
      <c r="H84" s="2165" t="str">
        <f t="shared" si="10"/>
        <v/>
      </c>
      <c r="I84" s="2161"/>
      <c r="M84" s="1726">
        <f t="shared" si="11"/>
        <v>0</v>
      </c>
      <c r="N84" s="66">
        <f t="shared" si="13"/>
        <v>0</v>
      </c>
      <c r="O84" s="1730">
        <f t="shared" si="14"/>
        <v>0</v>
      </c>
      <c r="P84" s="66">
        <v>74</v>
      </c>
      <c r="Q84" s="1726">
        <f t="shared" si="9"/>
        <v>74</v>
      </c>
      <c r="R84" s="1726">
        <f t="shared" si="4"/>
        <v>0</v>
      </c>
      <c r="S84" s="1731">
        <f t="shared" si="15"/>
        <v>0</v>
      </c>
      <c r="U84" s="1726">
        <f t="shared" si="12"/>
        <v>0</v>
      </c>
    </row>
    <row r="85" spans="1:21" ht="14.25" hidden="1" x14ac:dyDescent="0.2">
      <c r="A85" s="1921"/>
      <c r="B85" s="2168"/>
      <c r="C85" s="2168"/>
      <c r="D85" s="1470"/>
      <c r="E85" s="1470"/>
      <c r="F85" s="1470"/>
      <c r="G85" s="1460"/>
      <c r="H85" s="2165" t="str">
        <f t="shared" si="10"/>
        <v/>
      </c>
      <c r="I85" s="2161"/>
      <c r="M85" s="1726">
        <f t="shared" si="11"/>
        <v>0</v>
      </c>
      <c r="N85" s="66">
        <f t="shared" si="13"/>
        <v>0</v>
      </c>
      <c r="O85" s="1730">
        <f t="shared" si="14"/>
        <v>0</v>
      </c>
      <c r="P85" s="66">
        <v>75</v>
      </c>
      <c r="Q85" s="1726">
        <f t="shared" si="9"/>
        <v>75</v>
      </c>
      <c r="R85" s="1726">
        <f t="shared" si="4"/>
        <v>0</v>
      </c>
      <c r="S85" s="1731">
        <f t="shared" si="15"/>
        <v>0</v>
      </c>
      <c r="U85" s="1726">
        <f t="shared" si="12"/>
        <v>0</v>
      </c>
    </row>
    <row r="86" spans="1:21" ht="14.25" hidden="1" x14ac:dyDescent="0.2">
      <c r="A86" s="1921"/>
      <c r="B86" s="2168"/>
      <c r="C86" s="2168"/>
      <c r="D86" s="1470"/>
      <c r="E86" s="1470"/>
      <c r="F86" s="1470"/>
      <c r="G86" s="1460"/>
      <c r="H86" s="2165" t="str">
        <f t="shared" si="10"/>
        <v/>
      </c>
      <c r="I86" s="2161"/>
      <c r="M86" s="1726">
        <f>IF(H86="",0,1)</f>
      </c>
      <c r="N86" s="66">
        <f t="shared" si="13"/>
        <v>0</v>
      </c>
      <c r="O86" s="1730">
        <f t="shared" si="14"/>
        <v>0</v>
      </c>
      <c r="P86" s="66">
        <v>76</v>
      </c>
      <c r="Q86" s="1726">
        <f t="shared" si="9"/>
        <v>76</v>
      </c>
      <c r="R86" s="1726">
        <f t="shared" si="4"/>
        <v>0</v>
      </c>
      <c r="S86" s="1731">
        <f t="shared" si="15"/>
        <v>0</v>
      </c>
      <c r="U86" s="1726">
        <f t="shared" si="12"/>
        <v>0</v>
      </c>
    </row>
    <row r="87" spans="1:21" ht="14.25" x14ac:dyDescent="0.2">
      <c r="A87" s="1921"/>
      <c r="B87" s="1921"/>
      <c r="C87" s="1819" t="s">
        <v>6985</v>
      </c>
      <c r="D87" s="1820"/>
      <c r="E87" s="1820"/>
      <c r="F87" s="1930" t="s">
        <v>3130</v>
      </c>
      <c r="G87" s="1821">
        <f>S87</f>
      </c>
      <c r="H87" s="2166"/>
      <c r="I87" s="2161"/>
      <c r="O87" s="1730"/>
      <c r="S87" s="1731">
        <f>SUM(S11:S86)</f>
      </c>
    </row>
    <row r="88" spans="1:21" ht="6" customHeight="1" x14ac:dyDescent="0.2">
      <c r="A88" s="1921"/>
      <c r="B88" s="1921"/>
      <c r="C88" s="1920"/>
      <c r="D88" s="1920"/>
      <c r="E88" s="1920"/>
      <c r="F88" s="1920"/>
      <c r="G88" s="1920"/>
      <c r="H88" s="2166"/>
      <c r="I88" s="2161"/>
      <c r="O88" s="1732"/>
      <c r="T88" s="1458"/>
    </row>
    <row r="89" spans="1:21" ht="14.25" x14ac:dyDescent="0.2">
      <c r="A89" s="1921"/>
      <c r="B89" s="1921"/>
      <c r="C89" s="5111" t="s">
        <v>6986</v>
      </c>
      <c r="D89" s="5112"/>
      <c r="E89" s="5112"/>
      <c r="F89" s="5113"/>
      <c r="G89" s="1460"/>
      <c r="H89" s="2165" t="str">
        <f>IF(N98=0,"",IF(AND(N98&gt;0,G89=""),re,IF(G89=ROUND(G90,0),"","Check!")))</f>
        <v/>
      </c>
      <c r="I89" s="2161"/>
      <c r="M89" s="1726">
        <f>IF(H89="",0,1)</f>
      </c>
      <c r="N89" s="1726">
        <f>COUNT(G89)</f>
      </c>
      <c r="O89" s="1732"/>
      <c r="S89" s="1726">
        <f>S87*15%</f>
      </c>
      <c r="T89" s="1458"/>
    </row>
    <row r="90" spans="1:21" ht="14.25" x14ac:dyDescent="0.2">
      <c r="A90" s="1921"/>
      <c r="B90" s="1921"/>
      <c r="C90" s="1921"/>
      <c r="D90" s="1921"/>
      <c r="E90" s="1921"/>
      <c r="F90" s="1921"/>
      <c r="G90" s="1924" t="str">
        <f>IF(N98=0,"",ROUND(S89,0))</f>
        <v/>
      </c>
      <c r="H90" s="1921"/>
      <c r="I90" s="2161"/>
      <c r="O90" s="1732"/>
      <c r="T90" s="1458"/>
    </row>
    <row r="91" spans="1:21" ht="14.25" x14ac:dyDescent="0.2">
      <c r="A91" s="1921"/>
      <c r="B91" s="1921"/>
      <c r="C91" s="5111" t="s">
        <v>10139</v>
      </c>
      <c r="D91" s="5112"/>
      <c r="E91" s="5112"/>
      <c r="F91" s="5113"/>
      <c r="G91" s="811"/>
      <c r="H91" s="2165" t="str">
        <f>IF(N98=0,"",IF(AND(N98&gt;0,G91=""),reo,IF(G91&gt;G89,"Excessive!","")))</f>
        <v/>
      </c>
      <c r="I91" s="2161"/>
      <c r="M91" s="1726">
        <f>IF(H91="",0,1)</f>
      </c>
      <c r="N91" s="1726">
        <f>COUNT(G91)</f>
      </c>
      <c r="O91" s="1732"/>
      <c r="T91" s="1458"/>
    </row>
    <row r="92" spans="1:21" ht="14.25" x14ac:dyDescent="0.2">
      <c r="A92" s="1921"/>
      <c r="B92" s="1921"/>
      <c r="C92" s="1921"/>
      <c r="D92" s="1921"/>
      <c r="E92" s="1921"/>
      <c r="F92" s="1921"/>
      <c r="G92" s="2166"/>
      <c r="H92" s="2166"/>
      <c r="I92" s="2161"/>
      <c r="O92" s="1732"/>
      <c r="T92" s="1458"/>
    </row>
    <row r="93" spans="1:21" ht="15" x14ac:dyDescent="0.25">
      <c r="A93" s="1921"/>
      <c r="B93" s="1921"/>
      <c r="C93" s="1839" t="s">
        <v>4797</v>
      </c>
      <c r="D93" s="1822"/>
      <c r="E93" s="1822"/>
      <c r="F93" s="1930" t="s">
        <v>2758</v>
      </c>
      <c r="G93" s="1823">
        <f>IF(OR(N98=0,M89&gt;0),0,G87-G89+G91)</f>
      </c>
      <c r="H93" s="2166"/>
      <c r="I93" s="2161"/>
    </row>
    <row r="94" spans="1:21" ht="7.5" customHeight="1" x14ac:dyDescent="0.2">
      <c r="A94" s="1921"/>
      <c r="B94" s="1921"/>
      <c r="C94" s="1921"/>
      <c r="D94" s="1921"/>
      <c r="E94" s="1921"/>
      <c r="F94" s="1921"/>
      <c r="G94" s="1925"/>
      <c r="H94" s="2166"/>
      <c r="I94" s="2161"/>
    </row>
    <row r="95" spans="1:21" ht="14.25" x14ac:dyDescent="0.2">
      <c r="A95" s="1921"/>
      <c r="B95" s="1921"/>
      <c r="C95" s="5114" t="s">
        <v>10451</v>
      </c>
      <c r="D95" s="5114"/>
      <c r="E95" s="5114"/>
      <c r="F95" s="1921"/>
      <c r="G95" s="1925"/>
      <c r="H95" s="2166"/>
      <c r="I95" s="2161"/>
      <c r="M95" s="1726">
        <f>IF(G96="",0,1)</f>
      </c>
      <c r="N95" s="1726">
        <f>COUNTA(F96)</f>
      </c>
    </row>
    <row r="96" spans="1:21" ht="14.25" x14ac:dyDescent="0.2">
      <c r="A96" s="1921"/>
      <c r="B96" s="1921"/>
      <c r="C96" s="5114"/>
      <c r="D96" s="5114"/>
      <c r="E96" s="5114"/>
      <c r="F96" s="1471"/>
      <c r="G96" s="1928" t="str">
        <f>IF(AND(F96="",N98&gt;0),re,IF(F96="no","Cannot benefit from article 31(D)!",""))</f>
        <v/>
      </c>
      <c r="H96" s="2166"/>
      <c r="I96" s="2161"/>
    </row>
    <row r="97" spans="1:14" ht="14.25" x14ac:dyDescent="0.2">
      <c r="A97" s="1921"/>
      <c r="B97" s="1921"/>
      <c r="C97" s="1921"/>
      <c r="D97" s="1920"/>
      <c r="E97" s="1926" t="s">
        <v>6987</v>
      </c>
      <c r="F97" s="1471"/>
      <c r="G97" s="1931" t="str">
        <f>IF(N98=0,"",IF(F97="",re,""))</f>
        <v/>
      </c>
      <c r="H97" s="2166"/>
      <c r="I97" s="2161"/>
      <c r="M97" s="1726">
        <f>IF(G97="",0,1)</f>
      </c>
      <c r="N97" s="1726">
        <f>COUNTA(F97)</f>
      </c>
    </row>
    <row r="98" spans="1:14" ht="14.25" x14ac:dyDescent="0.2">
      <c r="A98" s="1921"/>
      <c r="B98" s="1921"/>
      <c r="C98" s="1921"/>
      <c r="D98" s="1920"/>
      <c r="E98" s="1920"/>
      <c r="F98" s="1927"/>
      <c r="G98" s="1929"/>
      <c r="H98" s="2166"/>
      <c r="I98" s="2161"/>
      <c r="M98" s="1733">
        <f>SUM(M6:M97)</f>
      </c>
      <c r="N98" s="1733">
        <f>SUM(N7:N97)</f>
      </c>
    </row>
    <row r="99" spans="1:14" ht="14.25" x14ac:dyDescent="0.2">
      <c r="A99" s="1726"/>
      <c r="B99" s="1726" t="str">
        <f>_xlfn.SINGLE(MTCA)</f>
      </c>
      <c r="D99" s="1726"/>
      <c r="E99" s="1511" t="str">
        <f>ver</f>
        <v>TA2_e-CO_2025_Ver 1.1</v>
      </c>
      <c r="G99" s="1726" t="s">
        <v>6988</v>
      </c>
      <c r="H99" s="2160"/>
      <c r="M99" s="1805">
        <f>IF(N98=0,0,IF(M98&lt;&gt;0,100,IF(F97="No",100,1)))</f>
      </c>
    </row>
    <row r="100" spans="1:14" ht="14.25" x14ac:dyDescent="0.2">
      <c r="A100" s="1726"/>
      <c r="B100" s="1726"/>
      <c r="C100" s="1726"/>
      <c r="D100" s="1726"/>
      <c r="E100" s="1511"/>
      <c r="H100" s="2160"/>
    </row>
    <row r="101" spans="1:14" ht="15" x14ac:dyDescent="0.2">
      <c r="B101" s="1734" t="s">
        <v>365</v>
      </c>
    </row>
    <row r="102" spans="1:14" ht="14.25" hidden="1" x14ac:dyDescent="0.2"/>
    <row r="103" spans="1:14" ht="14.25" hidden="1" x14ac:dyDescent="0.2"/>
    <row r="104" spans="1:14" ht="14.25" hidden="1" x14ac:dyDescent="0.2"/>
    <row r="105" spans="1:14" ht="14.25" hidden="1" x14ac:dyDescent="0.2">
      <c r="N105" s="1735"/>
    </row>
    <row r="106" spans="1:14" ht="14.25" hidden="1" x14ac:dyDescent="0.2">
      <c r="N106" s="1735"/>
    </row>
    <row r="107" spans="1:14" ht="14.25" hidden="1" customHeight="1" x14ac:dyDescent="0.2"/>
    <row r="108" spans="1:14" ht="14.25" hidden="1" customHeight="1" x14ac:dyDescent="0.2"/>
    <row r="109" spans="1:14" ht="14.25" hidden="1" customHeight="1" x14ac:dyDescent="0.2"/>
    <row r="110" spans="1:14" ht="14.25" hidden="1" customHeight="1" x14ac:dyDescent="0.2"/>
    <row r="111" spans="1:14" ht="14.25" hidden="1" customHeight="1" x14ac:dyDescent="0.2"/>
    <row r="112" spans="1:14" ht="14.25" hidden="1" customHeight="1" x14ac:dyDescent="0.2"/>
  </sheetData>
  <sheetProtection algorithmName="SHA-512" hashValue="cmzXO1bi3QafOhQKQyZpd3JryMCTfbdXpeXX4M40iXE0CxCy/5+LEInb63+OMUuULhHa55iRBEyHknpIuzXtOA==" saltValue="J3UoHVGC+WbzHe6MTJ/YXw==" spinCount="100000" sheet="1" objects="1" scenarios="1"/>
  <mergeCells count="3">
    <mergeCell ref="C89:F89"/>
    <mergeCell ref="C95:E96"/>
    <mergeCell ref="C91:F91"/>
  </mergeCells>
  <conditionalFormatting sqref="B11:B86">
    <cfRule type="expression" dxfId="439" priority="1">
      <formula>$P$1="n"</formula>
    </cfRule>
  </conditionalFormatting>
  <conditionalFormatting sqref="G96">
    <cfRule type="expression" dxfId="438" priority="3">
      <formula>$G$96="Cannot benefit from article 31(d)!"</formula>
    </cfRule>
  </conditionalFormatting>
  <dataValidations count="8">
    <dataValidation type="list" allowBlank="1" showInputMessage="1" showErrorMessage="1" sqref="F96:F97" xr:uid="{00000000-0002-0000-4600-000000000000}">
      <formula1>yn</formula1>
    </dataValidation>
    <dataValidation type="textLength" operator="greaterThan" allowBlank="1" showInputMessage="1" showErrorMessage="1" errorTitle="Address" error="Please enter the correct address!" sqref="F11:F86" xr:uid="{00000000-0002-0000-4600-000001000000}">
      <formula1>3</formula1>
    </dataValidation>
    <dataValidation type="textLength" operator="greaterThan" allowBlank="1" showInputMessage="1" showErrorMessage="1" errorTitle="Address" error="Please enter the correct address!" sqref="E11:E86" xr:uid="{00000000-0002-0000-4600-000002000000}">
      <formula1>10</formula1>
    </dataValidation>
    <dataValidation type="whole" operator="greaterThanOrEqual" allowBlank="1" showInputMessage="1" showErrorMessage="1" errorTitle="Rental Income" error="Please enter a whole positive value !" sqref="G11:G86" xr:uid="{00000000-0002-0000-4600-000003000000}">
      <formula1>0</formula1>
    </dataValidation>
    <dataValidation type="list" allowBlank="1" showInputMessage="1" showErrorMessage="1" error="!" sqref="C11:C86" xr:uid="{00000000-0002-0000-4600-000004000000}">
      <formula1>$AB$1:$AB$3</formula1>
    </dataValidation>
    <dataValidation type="textLength" operator="greaterThan" allowBlank="1" showInputMessage="1" showErrorMessage="1" errorTitle="Address" error="Please enter the correct address!" prompt="Number to be followed by a comma." sqref="D11:D86" xr:uid="{00000000-0002-0000-4600-000005000000}">
      <formula1>1</formula1>
    </dataValidation>
    <dataValidation type="list" allowBlank="1" showInputMessage="1" showErrorMessage="1" error="!" sqref="B11:B86" xr:uid="{00000000-0002-0000-4600-000006000000}">
      <formula1>FU</formula1>
    </dataValidation>
    <dataValidation type="whole" operator="greaterThanOrEqual" allowBlank="1" showInputMessage="1" showErrorMessage="1" errorTitle="Tax rebate" error="Insert 0 or a whole number greater than 0!" sqref="G91" xr:uid="{00000000-0002-0000-4600-000007000000}">
      <formula1>0</formula1>
    </dataValidation>
  </dataValidations>
  <hyperlinks>
    <hyperlink ref="B101" location="Index!A1" display="Back to Index" xr:uid="{00000000-0004-0000-4600-000000000000}"/>
    <hyperlink ref="F87" location="TRA60!A1" display="TRA 60  " xr:uid="{00000000-0004-0000-4600-000001000000}"/>
    <hyperlink ref="F93" location="TRA61_FTA!A1" display="  TRA 61" xr:uid="{00000000-0004-0000-4600-000002000000}"/>
  </hyperlinks>
  <pageMargins left="0.15748031496062992" right="7.874015748031496E-2" top="0.15748031496062992" bottom="0.15748031496062992" header="0.15748031496062992" footer="0.19685039370078741"/>
  <pageSetup paperSize="9" scale="95" orientation="portrait" r:id="rId1"/>
  <headerFooter>
    <oddFooter>&amp;LName&amp;CSignature&amp;RDate</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2:AA280"/>
  <sheetViews>
    <sheetView showGridLines="0" topLeftCell="B2" workbookViewId="0">
      <selection activeCell="H17" sqref="H17"/>
    </sheetView>
  </sheetViews>
  <sheetFormatPr defaultColWidth="0" defaultRowHeight="12.75" customHeight="1" zeroHeight="1" x14ac:dyDescent="0.2"/>
  <cols>
    <col min="1" max="1" width="8" style="1736" hidden="1" customWidth="1"/>
    <col min="2" max="2" width="1.42578125" style="1736" customWidth="1"/>
    <col min="3" max="3" width="20.7109375" style="1736" customWidth="1"/>
    <col min="4" max="4" width="28.5703125" style="1736" customWidth="1"/>
    <col min="5" max="5" width="12.28515625" style="1736" customWidth="1"/>
    <col min="6" max="6" width="13.5703125" style="1736" customWidth="1"/>
    <col min="7" max="7" width="11.7109375" style="1736" customWidth="1"/>
    <col min="8" max="8" width="12.7109375" style="1736" customWidth="1"/>
    <col min="9" max="9" width="17.7109375" style="1736" bestFit="1" customWidth="1"/>
    <col min="10" max="10" width="7.28515625" style="1736" hidden="1" customWidth="1"/>
    <col min="11" max="11" width="3.42578125" style="1736" hidden="1" customWidth="1"/>
    <col min="12" max="12" width="5" style="1736" hidden="1" customWidth="1"/>
    <col min="13" max="14" width="3" style="1736" hidden="1" customWidth="1"/>
    <col min="15" max="15" width="2" style="1736" hidden="1" customWidth="1"/>
    <col min="16" max="18" width="7.28515625" style="1736" hidden="1" customWidth="1"/>
    <col min="19" max="19" width="9.5703125" style="1736" hidden="1" customWidth="1"/>
    <col min="20" max="16384" width="7.28515625" style="1736" hidden="1"/>
  </cols>
  <sheetData>
    <row r="2" spans="3:27" x14ac:dyDescent="0.2">
      <c r="C2" s="5080" t="str">
        <f>_ref1</f>
      </c>
      <c r="D2" s="5080"/>
      <c r="E2" s="5080"/>
      <c r="F2" s="5080"/>
      <c r="G2" s="5080"/>
      <c r="H2" s="1517" t="str">
        <f>_YA1</f>
      </c>
      <c r="I2" s="1518"/>
      <c r="J2" s="1518"/>
      <c r="K2" s="1518"/>
      <c r="L2" s="1736">
        <f>ya</f>
      </c>
      <c r="AA2" s="1736" t="str">
        <f>CONCATENATE(C4," - ",C5)</f>
      </c>
    </row>
    <row r="3" spans="3:27" x14ac:dyDescent="0.2">
      <c r="K3" s="1518"/>
      <c r="Q3" s="1736" t="s">
        <v>6989</v>
      </c>
      <c r="U3" s="1736" t="s">
        <v>4457</v>
      </c>
    </row>
    <row r="4" spans="3:27" ht="15" x14ac:dyDescent="0.2">
      <c r="C4" s="1737" t="s">
        <v>6990</v>
      </c>
      <c r="D4" s="1534"/>
      <c r="E4" s="1534"/>
      <c r="F4" s="1534"/>
      <c r="G4" s="1534"/>
      <c r="H4" s="1534"/>
      <c r="I4" s="1535"/>
      <c r="J4" s="30"/>
      <c r="K4" s="1518"/>
      <c r="Q4" s="1736" t="s">
        <v>6991</v>
      </c>
      <c r="U4" s="1736" t="s">
        <v>1736</v>
      </c>
    </row>
    <row r="5" spans="3:27" ht="15" x14ac:dyDescent="0.2">
      <c r="C5" s="1738" t="s">
        <v>6992</v>
      </c>
      <c r="D5" s="1536"/>
      <c r="E5" s="1536"/>
      <c r="F5" s="1536"/>
      <c r="G5" s="1536"/>
      <c r="H5" s="1536"/>
      <c r="I5" s="1537"/>
      <c r="J5" s="30"/>
      <c r="K5" s="1518"/>
    </row>
    <row r="6" spans="3:27" ht="3" customHeight="1" x14ac:dyDescent="0.2">
      <c r="C6" s="1845"/>
      <c r="D6" s="1845"/>
      <c r="E6" s="1845"/>
      <c r="F6" s="1845"/>
      <c r="G6" s="1845"/>
      <c r="H6" s="1845"/>
      <c r="I6" s="1845"/>
      <c r="J6" s="30"/>
      <c r="K6" s="1518"/>
    </row>
    <row r="7" spans="3:27" ht="3" customHeight="1" x14ac:dyDescent="0.2">
      <c r="C7" s="1845"/>
      <c r="D7" s="1845"/>
      <c r="E7" s="1845"/>
      <c r="F7" s="1845"/>
      <c r="G7" s="1845"/>
      <c r="H7" s="1845"/>
      <c r="I7" s="1845"/>
      <c r="K7" s="1518"/>
    </row>
    <row r="8" spans="3:27" x14ac:dyDescent="0.2">
      <c r="C8" s="1745" t="s">
        <v>2206</v>
      </c>
      <c r="D8" s="1845"/>
      <c r="E8" s="1845"/>
      <c r="F8" s="1845"/>
      <c r="G8" s="1845"/>
      <c r="H8" s="1740"/>
      <c r="I8" s="1844" t="str">
        <f>IF(AND(M68&gt;0,H8=""),re,IF(H8=U$4,"No deduction!",""))</f>
        <v/>
      </c>
      <c r="J8" s="1541"/>
      <c r="K8" s="1518"/>
      <c r="L8" s="1736">
        <f>IF(I8=re,1,0)</f>
      </c>
      <c r="M8" s="1736">
        <f>COUNTA(H8)</f>
      </c>
      <c r="Q8" s="1736" t="s">
        <v>6991</v>
      </c>
      <c r="R8" s="1736" t="s">
        <v>6989</v>
      </c>
    </row>
    <row r="9" spans="3:27" ht="3" customHeight="1" x14ac:dyDescent="0.2">
      <c r="C9" s="1745"/>
      <c r="D9" s="1745"/>
      <c r="E9" s="1745"/>
      <c r="F9" s="1745"/>
      <c r="G9" s="1745"/>
      <c r="H9" s="1745"/>
      <c r="I9" s="1844"/>
      <c r="K9" s="1518"/>
    </row>
    <row r="10" spans="3:27" ht="3" customHeight="1" x14ac:dyDescent="0.2">
      <c r="C10" s="1845"/>
      <c r="D10" s="1845"/>
      <c r="E10" s="1845"/>
      <c r="F10" s="1845"/>
      <c r="G10" s="1845"/>
      <c r="H10" s="1845"/>
      <c r="I10" s="1849"/>
      <c r="K10" s="1518"/>
    </row>
    <row r="11" spans="3:27" ht="51" x14ac:dyDescent="0.2">
      <c r="C11" s="5115" t="s">
        <v>6993</v>
      </c>
      <c r="D11" s="5116"/>
      <c r="E11" s="1741" t="s">
        <v>6994</v>
      </c>
      <c r="F11" s="1741" t="s">
        <v>6995</v>
      </c>
      <c r="G11" s="1741" t="s">
        <v>6996</v>
      </c>
      <c r="H11" s="1741" t="s">
        <v>6997</v>
      </c>
      <c r="I11" s="1844"/>
      <c r="K11" s="1518"/>
      <c r="Q11" s="1846">
        <v>600</v>
      </c>
      <c r="R11" s="1846">
        <v>1200</v>
      </c>
      <c r="S11" s="1847" t="s">
        <v>6998</v>
      </c>
    </row>
    <row r="12" spans="3:27" ht="12.75" customHeight="1" x14ac:dyDescent="0.2">
      <c r="C12" s="5117"/>
      <c r="D12" s="5117"/>
      <c r="E12" s="201"/>
      <c r="F12" s="202"/>
      <c r="G12" s="339"/>
      <c r="H12" s="1543" t="str">
        <f t="shared" ref="H12:H16" si="0">IF(M12=0,"",IF(I12&lt;&gt;"","",S12))</f>
        <v/>
      </c>
      <c r="I12" s="1844" t="str">
        <f>IF(AND($H$8=$U$3,M12=0),"&lt;All data required!",IF(AND(C12=$Q$3,M12&lt;&gt;3),"&lt;All data required!",IF(AND(C12=$Q$4,M12&lt;&gt;4),"&lt;All data required!","")))</f>
        <v/>
      </c>
      <c r="J12" s="1742"/>
      <c r="K12" s="1518"/>
      <c r="L12" s="1736">
        <f t="shared" ref="L12:L17" si="1">IF(I12="",0,1)</f>
      </c>
      <c r="M12" s="1736">
        <f>IF(C12=$Q$3,COUNTA(C12,F12,G12),COUNTA(C12:G12))</f>
      </c>
      <c r="N12" s="1736">
        <f t="shared" ref="N12:N17" si="2">IF(M12=0,0,1)</f>
      </c>
      <c r="Q12" s="1736">
        <f t="shared" ref="Q12:Q17" si="3">IF(C12=$Q$8,1,0)</f>
      </c>
      <c r="R12" s="1736">
        <f t="shared" ref="R12:R17" si="4">IF(C12=$R$8,1,0)</f>
      </c>
      <c r="S12" s="1736">
        <f t="shared" ref="S12:S17" si="5">(Q12*$Q$11*G12)+($R$11*R12*G12)</f>
      </c>
    </row>
    <row r="13" spans="3:27" ht="12.75" customHeight="1" x14ac:dyDescent="0.2">
      <c r="C13" s="5117"/>
      <c r="D13" s="5117"/>
      <c r="E13" s="201"/>
      <c r="F13" s="202"/>
      <c r="G13" s="339"/>
      <c r="H13" s="1543" t="str">
        <f t="shared" si="0"/>
        <v/>
      </c>
      <c r="I13" s="1844" t="str">
        <f>IF(AND(C13=$Q$3,M13&lt;&gt;3),"&lt;All data required!",IF(AND(C13=$Q$4,M13&lt;&gt;4),"&lt;All data required!",""))</f>
        <v/>
      </c>
      <c r="J13" s="1742"/>
      <c r="K13" s="1518"/>
      <c r="L13" s="1736">
        <f t="shared" si="1"/>
        <v>0</v>
      </c>
      <c r="M13" s="1736">
        <f t="shared" ref="M13:M52" si="6">IF(C13=$Q$3,COUNTA(C13,F13,G13),COUNTA(C13:G13))</f>
      </c>
      <c r="N13" s="1736">
        <f t="shared" si="2"/>
        <v>0</v>
      </c>
      <c r="Q13" s="1736">
        <f t="shared" si="3"/>
        <v>0</v>
      </c>
      <c r="R13" s="1736">
        <f t="shared" si="4"/>
        <v>0</v>
      </c>
      <c r="S13" s="1736">
        <f t="shared" si="5"/>
        <v>0</v>
      </c>
    </row>
    <row r="14" spans="3:27" ht="12.75" customHeight="1" x14ac:dyDescent="0.2">
      <c r="C14" s="5117"/>
      <c r="D14" s="5117"/>
      <c r="E14" s="201"/>
      <c r="F14" s="202"/>
      <c r="G14" s="339"/>
      <c r="H14" s="1543" t="str">
        <f t="shared" si="0"/>
        <v/>
      </c>
      <c r="I14" s="1844" t="str">
        <f t="shared" ref="I14:I52" si="7">IF(AND(C14=$Q$3,M14&lt;&gt;3),"&lt;All data required!",IF(AND(C14=$Q$4,M14&lt;&gt;4),"&lt;All data required!",""))</f>
        <v/>
      </c>
      <c r="J14" s="1742"/>
      <c r="K14" s="1518"/>
      <c r="L14" s="1736">
        <f t="shared" si="1"/>
        <v>0</v>
      </c>
      <c r="M14" s="1736">
        <f t="shared" si="6"/>
        <v>0</v>
      </c>
      <c r="N14" s="1736">
        <f t="shared" si="2"/>
        <v>0</v>
      </c>
      <c r="Q14" s="1736">
        <f t="shared" si="3"/>
        <v>0</v>
      </c>
      <c r="R14" s="1736">
        <f t="shared" si="4"/>
        <v>0</v>
      </c>
      <c r="S14" s="1736">
        <f t="shared" si="5"/>
        <v>0</v>
      </c>
    </row>
    <row r="15" spans="3:27" x14ac:dyDescent="0.2">
      <c r="C15" s="5117"/>
      <c r="D15" s="5117"/>
      <c r="E15" s="201"/>
      <c r="F15" s="202"/>
      <c r="G15" s="339"/>
      <c r="H15" s="1543" t="str">
        <f t="shared" si="0"/>
        <v/>
      </c>
      <c r="I15" s="1844" t="str">
        <f t="shared" si="7"/>
        <v/>
      </c>
      <c r="J15" s="1742"/>
      <c r="K15" s="1518"/>
      <c r="L15" s="1736">
        <f t="shared" si="1"/>
        <v>0</v>
      </c>
      <c r="M15" s="1736">
        <f t="shared" si="6"/>
        <v>0</v>
      </c>
      <c r="N15" s="1736">
        <f t="shared" si="2"/>
        <v>0</v>
      </c>
      <c r="Q15" s="1736">
        <f t="shared" si="3"/>
        <v>0</v>
      </c>
      <c r="R15" s="1736">
        <f t="shared" si="4"/>
        <v>0</v>
      </c>
      <c r="S15" s="1736">
        <f t="shared" si="5"/>
        <v>0</v>
      </c>
    </row>
    <row r="16" spans="3:27" x14ac:dyDescent="0.2">
      <c r="C16" s="5117"/>
      <c r="D16" s="5117"/>
      <c r="E16" s="201"/>
      <c r="F16" s="202"/>
      <c r="G16" s="339"/>
      <c r="H16" s="1543" t="str">
        <f t="shared" si="0"/>
        <v/>
      </c>
      <c r="I16" s="1844" t="str">
        <f t="shared" si="7"/>
        <v/>
      </c>
      <c r="J16" s="1742"/>
      <c r="K16" s="1518"/>
      <c r="L16" s="1736">
        <f t="shared" si="1"/>
        <v>0</v>
      </c>
      <c r="M16" s="1736">
        <f t="shared" si="6"/>
        <v>0</v>
      </c>
      <c r="N16" s="1736">
        <f t="shared" si="2"/>
        <v>0</v>
      </c>
      <c r="Q16" s="1736">
        <f t="shared" si="3"/>
        <v>0</v>
      </c>
      <c r="R16" s="1736">
        <f t="shared" si="4"/>
        <v>0</v>
      </c>
      <c r="S16" s="1736">
        <f t="shared" si="5"/>
        <v>0</v>
      </c>
    </row>
    <row r="17" spans="3:19" x14ac:dyDescent="0.2">
      <c r="C17" s="5117"/>
      <c r="D17" s="5117"/>
      <c r="E17" s="201"/>
      <c r="F17" s="202"/>
      <c r="G17" s="339"/>
      <c r="H17" s="1543" t="str">
        <f t="shared" ref="H17:H52" si="8">IF(M17=0,"",IF(I17&lt;&gt;"","",S17))</f>
        <v/>
      </c>
      <c r="I17" s="1844" t="str">
        <f t="shared" si="7"/>
        <v/>
      </c>
      <c r="J17" s="1742"/>
      <c r="K17" s="1518"/>
      <c r="L17" s="1736">
        <f t="shared" si="1"/>
        <v>0</v>
      </c>
      <c r="M17" s="1736">
        <f t="shared" si="6"/>
        <v>0</v>
      </c>
      <c r="N17" s="1736">
        <f t="shared" si="2"/>
        <v>0</v>
      </c>
      <c r="Q17" s="1736">
        <f t="shared" si="3"/>
        <v>0</v>
      </c>
      <c r="R17" s="1736">
        <f t="shared" si="4"/>
        <v>0</v>
      </c>
      <c r="S17" s="1736">
        <f t="shared" si="5"/>
        <v>0</v>
      </c>
    </row>
    <row r="18" spans="3:19" x14ac:dyDescent="0.2">
      <c r="C18" s="5118"/>
      <c r="D18" s="5119"/>
      <c r="E18" s="201"/>
      <c r="F18" s="202"/>
      <c r="G18" s="339"/>
      <c r="H18" s="1543" t="str">
        <f t="shared" si="8"/>
        <v/>
      </c>
      <c r="I18" s="1844" t="str">
        <f t="shared" si="7"/>
        <v/>
      </c>
      <c r="J18" s="1742"/>
      <c r="K18" s="1518"/>
      <c r="L18" s="1736">
        <f t="shared" ref="L18:L50" si="9">IF(I18="",0,1)</f>
      </c>
      <c r="M18" s="1736">
        <f t="shared" si="6"/>
        <v>0</v>
      </c>
      <c r="N18" s="1736">
        <f t="shared" ref="N18:N50" si="10">IF(M18=0,0,1)</f>
      </c>
      <c r="Q18" s="1736">
        <f t="shared" ref="Q18:Q50" si="11">IF(C18=$Q$8,1,0)</f>
      </c>
      <c r="R18" s="1736">
        <f t="shared" ref="R18:R50" si="12">IF(C18=$R$8,1,0)</f>
      </c>
      <c r="S18" s="1736">
        <f t="shared" ref="S18:S50" si="13">(Q18*$Q$11*G18)+($R$11*R18*G18)</f>
      </c>
    </row>
    <row r="19" spans="3:19" x14ac:dyDescent="0.2">
      <c r="C19" s="5118"/>
      <c r="D19" s="5119"/>
      <c r="E19" s="201"/>
      <c r="F19" s="202"/>
      <c r="G19" s="339"/>
      <c r="H19" s="1543" t="str">
        <f t="shared" si="8"/>
        <v/>
      </c>
      <c r="I19" s="1844" t="str">
        <f t="shared" si="7"/>
        <v/>
      </c>
      <c r="J19" s="1742"/>
      <c r="K19" s="1518"/>
      <c r="L19" s="1736">
        <f t="shared" si="9"/>
        <v>0</v>
      </c>
      <c r="M19" s="1736">
        <f t="shared" si="6"/>
        <v>0</v>
      </c>
      <c r="N19" s="1736">
        <f t="shared" si="10"/>
        <v>0</v>
      </c>
      <c r="Q19" s="1736">
        <f t="shared" si="11"/>
        <v>0</v>
      </c>
      <c r="R19" s="1736">
        <f t="shared" si="12"/>
        <v>0</v>
      </c>
      <c r="S19" s="1736">
        <f t="shared" si="13"/>
        <v>0</v>
      </c>
    </row>
    <row r="20" spans="3:19" x14ac:dyDescent="0.2">
      <c r="C20" s="5118"/>
      <c r="D20" s="5119"/>
      <c r="E20" s="201"/>
      <c r="F20" s="202"/>
      <c r="G20" s="339"/>
      <c r="H20" s="1543" t="str">
        <f t="shared" si="8"/>
        <v/>
      </c>
      <c r="I20" s="1844" t="str">
        <f t="shared" si="7"/>
        <v/>
      </c>
      <c r="J20" s="1742"/>
      <c r="K20" s="1518"/>
      <c r="L20" s="1736">
        <f t="shared" si="9"/>
        <v>0</v>
      </c>
      <c r="M20" s="1736">
        <f t="shared" si="6"/>
        <v>0</v>
      </c>
      <c r="N20" s="1736">
        <f t="shared" si="10"/>
        <v>0</v>
      </c>
      <c r="Q20" s="1736">
        <f t="shared" si="11"/>
        <v>0</v>
      </c>
      <c r="R20" s="1736">
        <f t="shared" si="12"/>
        <v>0</v>
      </c>
      <c r="S20" s="1736">
        <f t="shared" si="13"/>
        <v>0</v>
      </c>
    </row>
    <row r="21" spans="3:19" x14ac:dyDescent="0.2">
      <c r="C21" s="5118"/>
      <c r="D21" s="5119"/>
      <c r="E21" s="201"/>
      <c r="F21" s="202"/>
      <c r="G21" s="339"/>
      <c r="H21" s="1543" t="str">
        <f t="shared" si="8"/>
        <v/>
      </c>
      <c r="I21" s="1844" t="str">
        <f t="shared" si="7"/>
        <v/>
      </c>
      <c r="J21" s="1742"/>
      <c r="K21" s="1518"/>
      <c r="L21" s="1736">
        <f t="shared" si="9"/>
        <v>0</v>
      </c>
      <c r="M21" s="1736">
        <f t="shared" si="6"/>
        <v>0</v>
      </c>
      <c r="N21" s="1736">
        <f t="shared" si="10"/>
        <v>0</v>
      </c>
      <c r="Q21" s="1736">
        <f t="shared" si="11"/>
        <v>0</v>
      </c>
      <c r="R21" s="1736">
        <f t="shared" si="12"/>
        <v>0</v>
      </c>
      <c r="S21" s="1736">
        <f t="shared" si="13"/>
        <v>0</v>
      </c>
    </row>
    <row r="22" spans="3:19" x14ac:dyDescent="0.2">
      <c r="C22" s="5118"/>
      <c r="D22" s="5119"/>
      <c r="E22" s="201"/>
      <c r="F22" s="202"/>
      <c r="G22" s="339"/>
      <c r="H22" s="1543" t="str">
        <f t="shared" si="8"/>
        <v/>
      </c>
      <c r="I22" s="1844" t="str">
        <f t="shared" si="7"/>
        <v/>
      </c>
      <c r="J22" s="1742"/>
      <c r="K22" s="1518"/>
      <c r="L22" s="1736">
        <f t="shared" si="9"/>
        <v>0</v>
      </c>
      <c r="M22" s="1736">
        <f t="shared" si="6"/>
        <v>0</v>
      </c>
      <c r="N22" s="1736">
        <f t="shared" si="10"/>
        <v>0</v>
      </c>
      <c r="Q22" s="1736">
        <f t="shared" si="11"/>
        <v>0</v>
      </c>
      <c r="R22" s="1736">
        <f t="shared" si="12"/>
        <v>0</v>
      </c>
      <c r="S22" s="1736">
        <f t="shared" si="13"/>
        <v>0</v>
      </c>
    </row>
    <row r="23" spans="3:19" x14ac:dyDescent="0.2">
      <c r="C23" s="5118"/>
      <c r="D23" s="5119"/>
      <c r="E23" s="201"/>
      <c r="F23" s="202"/>
      <c r="G23" s="339"/>
      <c r="H23" s="1543" t="str">
        <f t="shared" si="8"/>
        <v/>
      </c>
      <c r="I23" s="1844" t="str">
        <f t="shared" si="7"/>
        <v/>
      </c>
      <c r="J23" s="1742"/>
      <c r="K23" s="1518"/>
      <c r="L23" s="1736">
        <f t="shared" si="9"/>
        <v>0</v>
      </c>
      <c r="M23" s="1736">
        <f t="shared" si="6"/>
        <v>0</v>
      </c>
      <c r="N23" s="1736">
        <f t="shared" si="10"/>
        <v>0</v>
      </c>
      <c r="Q23" s="1736">
        <f t="shared" si="11"/>
        <v>0</v>
      </c>
      <c r="R23" s="1736">
        <f t="shared" si="12"/>
        <v>0</v>
      </c>
      <c r="S23" s="1736">
        <f t="shared" si="13"/>
        <v>0</v>
      </c>
    </row>
    <row r="24" spans="3:19" x14ac:dyDescent="0.2">
      <c r="C24" s="5118"/>
      <c r="D24" s="5119"/>
      <c r="E24" s="201"/>
      <c r="F24" s="202"/>
      <c r="G24" s="339"/>
      <c r="H24" s="1543" t="str">
        <f t="shared" si="8"/>
        <v/>
      </c>
      <c r="I24" s="1844" t="str">
        <f t="shared" si="7"/>
        <v/>
      </c>
      <c r="J24" s="1742"/>
      <c r="K24" s="1518"/>
      <c r="L24" s="1736">
        <f t="shared" si="9"/>
        <v>0</v>
      </c>
      <c r="M24" s="1736">
        <f t="shared" si="6"/>
        <v>0</v>
      </c>
      <c r="N24" s="1736">
        <f t="shared" si="10"/>
        <v>0</v>
      </c>
      <c r="Q24" s="1736">
        <f t="shared" si="11"/>
        <v>0</v>
      </c>
      <c r="R24" s="1736">
        <f t="shared" si="12"/>
        <v>0</v>
      </c>
      <c r="S24" s="1736">
        <f t="shared" si="13"/>
        <v>0</v>
      </c>
    </row>
    <row r="25" spans="3:19" x14ac:dyDescent="0.2">
      <c r="C25" s="5118"/>
      <c r="D25" s="5119"/>
      <c r="E25" s="201"/>
      <c r="F25" s="202"/>
      <c r="G25" s="339"/>
      <c r="H25" s="1543" t="str">
        <f t="shared" si="8"/>
        <v/>
      </c>
      <c r="I25" s="1844" t="str">
        <f t="shared" si="7"/>
        <v/>
      </c>
      <c r="J25" s="1742"/>
      <c r="K25" s="1518"/>
      <c r="L25" s="1736">
        <f t="shared" si="9"/>
        <v>0</v>
      </c>
      <c r="M25" s="1736">
        <f t="shared" si="6"/>
        <v>0</v>
      </c>
      <c r="N25" s="1736">
        <f t="shared" si="10"/>
        <v>0</v>
      </c>
      <c r="Q25" s="1736">
        <f t="shared" si="11"/>
        <v>0</v>
      </c>
      <c r="R25" s="1736">
        <f t="shared" si="12"/>
        <v>0</v>
      </c>
      <c r="S25" s="1736">
        <f t="shared" si="13"/>
        <v>0</v>
      </c>
    </row>
    <row r="26" spans="3:19" x14ac:dyDescent="0.2">
      <c r="C26" s="5118"/>
      <c r="D26" s="5119"/>
      <c r="E26" s="201"/>
      <c r="F26" s="202"/>
      <c r="G26" s="339"/>
      <c r="H26" s="1543" t="str">
        <f t="shared" si="8"/>
        <v/>
      </c>
      <c r="I26" s="1844" t="str">
        <f t="shared" si="7"/>
        <v/>
      </c>
      <c r="J26" s="1742"/>
      <c r="K26" s="1518"/>
      <c r="L26" s="1736">
        <f t="shared" si="9"/>
        <v>0</v>
      </c>
      <c r="M26" s="1736">
        <f t="shared" si="6"/>
        <v>0</v>
      </c>
      <c r="N26" s="1736">
        <f t="shared" si="10"/>
        <v>0</v>
      </c>
      <c r="Q26" s="1736">
        <f t="shared" si="11"/>
        <v>0</v>
      </c>
      <c r="R26" s="1736">
        <f t="shared" si="12"/>
        <v>0</v>
      </c>
      <c r="S26" s="1736">
        <f t="shared" si="13"/>
        <v>0</v>
      </c>
    </row>
    <row r="27" spans="3:19" x14ac:dyDescent="0.2">
      <c r="C27" s="5118"/>
      <c r="D27" s="5119"/>
      <c r="E27" s="201"/>
      <c r="F27" s="202"/>
      <c r="G27" s="339"/>
      <c r="H27" s="1543" t="str">
        <f t="shared" si="8"/>
        <v/>
      </c>
      <c r="I27" s="1844" t="str">
        <f t="shared" si="7"/>
        <v/>
      </c>
      <c r="J27" s="1742"/>
      <c r="K27" s="1518"/>
      <c r="L27" s="1736">
        <f t="shared" si="9"/>
        <v>0</v>
      </c>
      <c r="M27" s="1736">
        <f t="shared" si="6"/>
        <v>0</v>
      </c>
      <c r="N27" s="1736">
        <f t="shared" si="10"/>
        <v>0</v>
      </c>
      <c r="Q27" s="1736">
        <f t="shared" si="11"/>
        <v>0</v>
      </c>
      <c r="R27" s="1736">
        <f t="shared" si="12"/>
        <v>0</v>
      </c>
      <c r="S27" s="1736">
        <f t="shared" si="13"/>
        <v>0</v>
      </c>
    </row>
    <row r="28" spans="3:19" x14ac:dyDescent="0.2">
      <c r="C28" s="5118"/>
      <c r="D28" s="5119"/>
      <c r="E28" s="201"/>
      <c r="F28" s="202"/>
      <c r="G28" s="339"/>
      <c r="H28" s="1543" t="str">
        <f t="shared" si="8"/>
        <v/>
      </c>
      <c r="I28" s="1844" t="str">
        <f t="shared" si="7"/>
        <v/>
      </c>
      <c r="J28" s="1742"/>
      <c r="K28" s="1518"/>
      <c r="L28" s="1736">
        <f t="shared" si="9"/>
        <v>0</v>
      </c>
      <c r="M28" s="1736">
        <f t="shared" si="6"/>
        <v>0</v>
      </c>
      <c r="N28" s="1736">
        <f t="shared" si="10"/>
        <v>0</v>
      </c>
      <c r="Q28" s="1736">
        <f t="shared" si="11"/>
        <v>0</v>
      </c>
      <c r="R28" s="1736">
        <f t="shared" si="12"/>
        <v>0</v>
      </c>
      <c r="S28" s="1736">
        <f t="shared" si="13"/>
        <v>0</v>
      </c>
    </row>
    <row r="29" spans="3:19" x14ac:dyDescent="0.2">
      <c r="C29" s="5118"/>
      <c r="D29" s="5119"/>
      <c r="E29" s="201"/>
      <c r="F29" s="202"/>
      <c r="G29" s="339"/>
      <c r="H29" s="1543" t="str">
        <f t="shared" si="8"/>
        <v/>
      </c>
      <c r="I29" s="1844" t="str">
        <f t="shared" si="7"/>
        <v/>
      </c>
      <c r="J29" s="1742"/>
      <c r="K29" s="1518"/>
      <c r="L29" s="1736">
        <f t="shared" si="9"/>
        <v>0</v>
      </c>
      <c r="M29" s="1736">
        <f t="shared" si="6"/>
        <v>0</v>
      </c>
      <c r="N29" s="1736">
        <f t="shared" si="10"/>
        <v>0</v>
      </c>
      <c r="Q29" s="1736">
        <f t="shared" si="11"/>
        <v>0</v>
      </c>
      <c r="R29" s="1736">
        <f t="shared" si="12"/>
        <v>0</v>
      </c>
      <c r="S29" s="1736">
        <f t="shared" si="13"/>
        <v>0</v>
      </c>
    </row>
    <row r="30" spans="3:19" x14ac:dyDescent="0.2">
      <c r="C30" s="5118"/>
      <c r="D30" s="5119"/>
      <c r="E30" s="201"/>
      <c r="F30" s="202"/>
      <c r="G30" s="339"/>
      <c r="H30" s="1543" t="str">
        <f t="shared" si="8"/>
        <v/>
      </c>
      <c r="I30" s="1844" t="str">
        <f t="shared" si="7"/>
        <v/>
      </c>
      <c r="J30" s="1742"/>
      <c r="K30" s="1518"/>
      <c r="L30" s="1736">
        <f t="shared" si="9"/>
        <v>0</v>
      </c>
      <c r="M30" s="1736">
        <f t="shared" si="6"/>
        <v>0</v>
      </c>
      <c r="N30" s="1736">
        <f t="shared" si="10"/>
        <v>0</v>
      </c>
      <c r="Q30" s="1736">
        <f t="shared" si="11"/>
        <v>0</v>
      </c>
      <c r="R30" s="1736">
        <f t="shared" si="12"/>
        <v>0</v>
      </c>
      <c r="S30" s="1736">
        <f t="shared" si="13"/>
        <v>0</v>
      </c>
    </row>
    <row r="31" spans="3:19" x14ac:dyDescent="0.2">
      <c r="C31" s="5118"/>
      <c r="D31" s="5119"/>
      <c r="E31" s="201"/>
      <c r="F31" s="202"/>
      <c r="G31" s="339"/>
      <c r="H31" s="1543" t="str">
        <f t="shared" si="8"/>
        <v/>
      </c>
      <c r="I31" s="1844" t="str">
        <f t="shared" si="7"/>
        <v/>
      </c>
      <c r="J31" s="1742"/>
      <c r="K31" s="1518"/>
      <c r="L31" s="1736">
        <f t="shared" si="9"/>
        <v>0</v>
      </c>
      <c r="M31" s="1736">
        <f t="shared" si="6"/>
        <v>0</v>
      </c>
      <c r="N31" s="1736">
        <f t="shared" si="10"/>
        <v>0</v>
      </c>
      <c r="Q31" s="1736">
        <f t="shared" si="11"/>
        <v>0</v>
      </c>
      <c r="R31" s="1736">
        <f t="shared" si="12"/>
        <v>0</v>
      </c>
      <c r="S31" s="1736">
        <f t="shared" si="13"/>
        <v>0</v>
      </c>
    </row>
    <row r="32" spans="3:19" x14ac:dyDescent="0.2">
      <c r="C32" s="5118"/>
      <c r="D32" s="5119"/>
      <c r="E32" s="201"/>
      <c r="F32" s="202"/>
      <c r="G32" s="339"/>
      <c r="H32" s="1543" t="str">
        <f t="shared" si="8"/>
        <v/>
      </c>
      <c r="I32" s="1844" t="str">
        <f t="shared" si="7"/>
        <v/>
      </c>
      <c r="J32" s="1742"/>
      <c r="K32" s="1518"/>
      <c r="L32" s="1736">
        <f t="shared" si="9"/>
        <v>0</v>
      </c>
      <c r="M32" s="1736">
        <f t="shared" si="6"/>
        <v>0</v>
      </c>
      <c r="N32" s="1736">
        <f t="shared" si="10"/>
        <v>0</v>
      </c>
      <c r="Q32" s="1736">
        <f t="shared" si="11"/>
        <v>0</v>
      </c>
      <c r="R32" s="1736">
        <f t="shared" si="12"/>
        <v>0</v>
      </c>
      <c r="S32" s="1736">
        <f t="shared" si="13"/>
        <v>0</v>
      </c>
    </row>
    <row r="33" spans="3:19" x14ac:dyDescent="0.2">
      <c r="C33" s="5118"/>
      <c r="D33" s="5119"/>
      <c r="E33" s="201"/>
      <c r="F33" s="202"/>
      <c r="G33" s="339"/>
      <c r="H33" s="1543" t="str">
        <f t="shared" si="8"/>
        <v/>
      </c>
      <c r="I33" s="1844" t="str">
        <f t="shared" si="7"/>
        <v/>
      </c>
      <c r="J33" s="1742"/>
      <c r="K33" s="1518"/>
      <c r="L33" s="1736">
        <f t="shared" si="9"/>
        <v>0</v>
      </c>
      <c r="M33" s="1736">
        <f t="shared" si="6"/>
        <v>0</v>
      </c>
      <c r="N33" s="1736">
        <f t="shared" si="10"/>
        <v>0</v>
      </c>
      <c r="Q33" s="1736">
        <f t="shared" si="11"/>
        <v>0</v>
      </c>
      <c r="R33" s="1736">
        <f t="shared" si="12"/>
        <v>0</v>
      </c>
      <c r="S33" s="1736">
        <f t="shared" si="13"/>
        <v>0</v>
      </c>
    </row>
    <row r="34" spans="3:19" x14ac:dyDescent="0.2">
      <c r="C34" s="5118"/>
      <c r="D34" s="5119"/>
      <c r="E34" s="201"/>
      <c r="F34" s="202"/>
      <c r="G34" s="339"/>
      <c r="H34" s="1543" t="str">
        <f t="shared" si="8"/>
        <v/>
      </c>
      <c r="I34" s="1844" t="str">
        <f t="shared" si="7"/>
        <v/>
      </c>
      <c r="J34" s="1742"/>
      <c r="K34" s="1518"/>
      <c r="L34" s="1736">
        <f t="shared" si="9"/>
        <v>0</v>
      </c>
      <c r="M34" s="1736">
        <f t="shared" si="6"/>
        <v>0</v>
      </c>
      <c r="N34" s="1736">
        <f t="shared" si="10"/>
        <v>0</v>
      </c>
      <c r="Q34" s="1736">
        <f t="shared" si="11"/>
        <v>0</v>
      </c>
      <c r="R34" s="1736">
        <f t="shared" si="12"/>
        <v>0</v>
      </c>
      <c r="S34" s="1736">
        <f t="shared" si="13"/>
        <v>0</v>
      </c>
    </row>
    <row r="35" spans="3:19" x14ac:dyDescent="0.2">
      <c r="C35" s="5118"/>
      <c r="D35" s="5119"/>
      <c r="E35" s="201"/>
      <c r="F35" s="202"/>
      <c r="G35" s="339"/>
      <c r="H35" s="1543" t="str">
        <f t="shared" si="8"/>
        <v/>
      </c>
      <c r="I35" s="1844" t="str">
        <f t="shared" si="7"/>
        <v/>
      </c>
      <c r="J35" s="1742"/>
      <c r="K35" s="1518"/>
      <c r="L35" s="1736">
        <f t="shared" si="9"/>
        <v>0</v>
      </c>
      <c r="M35" s="1736">
        <f t="shared" si="6"/>
        <v>0</v>
      </c>
      <c r="N35" s="1736">
        <f t="shared" si="10"/>
        <v>0</v>
      </c>
      <c r="Q35" s="1736">
        <f t="shared" si="11"/>
        <v>0</v>
      </c>
      <c r="R35" s="1736">
        <f t="shared" si="12"/>
        <v>0</v>
      </c>
      <c r="S35" s="1736">
        <f t="shared" si="13"/>
        <v>0</v>
      </c>
    </row>
    <row r="36" spans="3:19" hidden="1" x14ac:dyDescent="0.2">
      <c r="C36" s="5118"/>
      <c r="D36" s="5119"/>
      <c r="E36" s="201"/>
      <c r="F36" s="202"/>
      <c r="G36" s="339"/>
      <c r="H36" s="1543" t="str">
        <f t="shared" si="8"/>
        <v/>
      </c>
      <c r="I36" s="1844" t="str">
        <f t="shared" si="7"/>
        <v/>
      </c>
      <c r="J36" s="1742"/>
      <c r="K36" s="1518"/>
      <c r="L36" s="1736">
        <f t="shared" si="9"/>
        <v>0</v>
      </c>
      <c r="M36" s="1736">
        <f t="shared" si="6"/>
        <v>0</v>
      </c>
      <c r="N36" s="1736">
        <f t="shared" si="10"/>
        <v>0</v>
      </c>
      <c r="Q36" s="1736">
        <f t="shared" si="11"/>
        <v>0</v>
      </c>
      <c r="R36" s="1736">
        <f t="shared" si="12"/>
        <v>0</v>
      </c>
      <c r="S36" s="1736">
        <f t="shared" si="13"/>
        <v>0</v>
      </c>
    </row>
    <row r="37" spans="3:19" hidden="1" x14ac:dyDescent="0.2">
      <c r="C37" s="5118"/>
      <c r="D37" s="5119"/>
      <c r="E37" s="201"/>
      <c r="F37" s="202"/>
      <c r="G37" s="339"/>
      <c r="H37" s="1543" t="str">
        <f t="shared" si="8"/>
        <v/>
      </c>
      <c r="I37" s="1844" t="str">
        <f t="shared" si="7"/>
        <v/>
      </c>
      <c r="J37" s="1742"/>
      <c r="K37" s="1518"/>
      <c r="L37" s="1736">
        <f t="shared" si="9"/>
        <v>0</v>
      </c>
      <c r="M37" s="1736">
        <f t="shared" si="6"/>
        <v>0</v>
      </c>
      <c r="N37" s="1736">
        <f t="shared" si="10"/>
        <v>0</v>
      </c>
      <c r="Q37" s="1736">
        <f t="shared" si="11"/>
        <v>0</v>
      </c>
      <c r="R37" s="1736">
        <f t="shared" si="12"/>
        <v>0</v>
      </c>
      <c r="S37" s="1736">
        <f t="shared" si="13"/>
        <v>0</v>
      </c>
    </row>
    <row r="38" spans="3:19" hidden="1" x14ac:dyDescent="0.2">
      <c r="C38" s="5118"/>
      <c r="D38" s="5119"/>
      <c r="E38" s="201"/>
      <c r="F38" s="202"/>
      <c r="G38" s="339"/>
      <c r="H38" s="1543" t="str">
        <f t="shared" si="8"/>
        <v/>
      </c>
      <c r="I38" s="1844" t="str">
        <f t="shared" si="7"/>
        <v/>
      </c>
      <c r="J38" s="1742"/>
      <c r="K38" s="1518"/>
      <c r="L38" s="1736">
        <f t="shared" si="9"/>
        <v>0</v>
      </c>
      <c r="M38" s="1736">
        <f t="shared" si="6"/>
        <v>0</v>
      </c>
      <c r="N38" s="1736">
        <f t="shared" si="10"/>
        <v>0</v>
      </c>
      <c r="Q38" s="1736">
        <f t="shared" si="11"/>
        <v>0</v>
      </c>
      <c r="R38" s="1736">
        <f t="shared" si="12"/>
        <v>0</v>
      </c>
      <c r="S38" s="1736">
        <f t="shared" si="13"/>
        <v>0</v>
      </c>
    </row>
    <row r="39" spans="3:19" hidden="1" x14ac:dyDescent="0.2">
      <c r="C39" s="5118"/>
      <c r="D39" s="5119"/>
      <c r="E39" s="201"/>
      <c r="F39" s="202"/>
      <c r="G39" s="339"/>
      <c r="H39" s="1543" t="str">
        <f t="shared" si="8"/>
        <v/>
      </c>
      <c r="I39" s="1844" t="str">
        <f t="shared" si="7"/>
        <v/>
      </c>
      <c r="J39" s="1742"/>
      <c r="K39" s="1518"/>
      <c r="L39" s="1736">
        <f t="shared" si="9"/>
        <v>0</v>
      </c>
      <c r="M39" s="1736">
        <f t="shared" si="6"/>
        <v>0</v>
      </c>
      <c r="N39" s="1736">
        <f t="shared" si="10"/>
        <v>0</v>
      </c>
      <c r="Q39" s="1736">
        <f t="shared" si="11"/>
        <v>0</v>
      </c>
      <c r="R39" s="1736">
        <f t="shared" si="12"/>
        <v>0</v>
      </c>
      <c r="S39" s="1736">
        <f t="shared" si="13"/>
        <v>0</v>
      </c>
    </row>
    <row r="40" spans="3:19" hidden="1" x14ac:dyDescent="0.2">
      <c r="C40" s="5118"/>
      <c r="D40" s="5119"/>
      <c r="E40" s="201"/>
      <c r="F40" s="202"/>
      <c r="G40" s="339"/>
      <c r="H40" s="1543" t="str">
        <f t="shared" si="8"/>
        <v/>
      </c>
      <c r="I40" s="1844" t="str">
        <f t="shared" si="7"/>
        <v/>
      </c>
      <c r="J40" s="1742"/>
      <c r="K40" s="1518"/>
      <c r="L40" s="1736">
        <f t="shared" si="9"/>
        <v>0</v>
      </c>
      <c r="M40" s="1736">
        <f t="shared" si="6"/>
        <v>0</v>
      </c>
      <c r="N40" s="1736">
        <f t="shared" si="10"/>
        <v>0</v>
      </c>
      <c r="Q40" s="1736">
        <f t="shared" si="11"/>
        <v>0</v>
      </c>
      <c r="R40" s="1736">
        <f t="shared" si="12"/>
        <v>0</v>
      </c>
      <c r="S40" s="1736">
        <f t="shared" si="13"/>
        <v>0</v>
      </c>
    </row>
    <row r="41" spans="3:19" hidden="1" x14ac:dyDescent="0.2">
      <c r="C41" s="5118"/>
      <c r="D41" s="5119"/>
      <c r="E41" s="201"/>
      <c r="F41" s="202"/>
      <c r="G41" s="339"/>
      <c r="H41" s="1543" t="str">
        <f t="shared" si="8"/>
        <v/>
      </c>
      <c r="I41" s="1844" t="str">
        <f t="shared" si="7"/>
        <v/>
      </c>
      <c r="J41" s="1742"/>
      <c r="K41" s="1518"/>
      <c r="L41" s="1736">
        <f t="shared" si="9"/>
        <v>0</v>
      </c>
      <c r="M41" s="1736">
        <f t="shared" si="6"/>
        <v>0</v>
      </c>
      <c r="N41" s="1736">
        <f t="shared" si="10"/>
        <v>0</v>
      </c>
      <c r="Q41" s="1736">
        <f t="shared" si="11"/>
        <v>0</v>
      </c>
      <c r="R41" s="1736">
        <f t="shared" si="12"/>
        <v>0</v>
      </c>
      <c r="S41" s="1736">
        <f t="shared" si="13"/>
        <v>0</v>
      </c>
    </row>
    <row r="42" spans="3:19" hidden="1" x14ac:dyDescent="0.2">
      <c r="C42" s="5118"/>
      <c r="D42" s="5119"/>
      <c r="E42" s="201"/>
      <c r="F42" s="202"/>
      <c r="G42" s="339"/>
      <c r="H42" s="1543" t="str">
        <f t="shared" si="8"/>
        <v/>
      </c>
      <c r="I42" s="1844" t="str">
        <f t="shared" si="7"/>
        <v/>
      </c>
      <c r="J42" s="1742"/>
      <c r="K42" s="1518"/>
      <c r="L42" s="1736">
        <f t="shared" si="9"/>
        <v>0</v>
      </c>
      <c r="M42" s="1736">
        <f t="shared" si="6"/>
        <v>0</v>
      </c>
      <c r="N42" s="1736">
        <f t="shared" si="10"/>
        <v>0</v>
      </c>
      <c r="Q42" s="1736">
        <f t="shared" si="11"/>
        <v>0</v>
      </c>
      <c r="R42" s="1736">
        <f t="shared" si="12"/>
        <v>0</v>
      </c>
      <c r="S42" s="1736">
        <f t="shared" si="13"/>
        <v>0</v>
      </c>
    </row>
    <row r="43" spans="3:19" hidden="1" x14ac:dyDescent="0.2">
      <c r="C43" s="5118"/>
      <c r="D43" s="5119"/>
      <c r="E43" s="201"/>
      <c r="F43" s="202"/>
      <c r="G43" s="339"/>
      <c r="H43" s="1543" t="str">
        <f t="shared" si="8"/>
        <v/>
      </c>
      <c r="I43" s="1844" t="str">
        <f t="shared" si="7"/>
        <v/>
      </c>
      <c r="J43" s="1742"/>
      <c r="K43" s="1518"/>
      <c r="L43" s="1736">
        <f t="shared" si="9"/>
        <v>0</v>
      </c>
      <c r="M43" s="1736">
        <f t="shared" si="6"/>
        <v>0</v>
      </c>
      <c r="N43" s="1736">
        <f t="shared" si="10"/>
        <v>0</v>
      </c>
      <c r="Q43" s="1736">
        <f t="shared" si="11"/>
        <v>0</v>
      </c>
      <c r="R43" s="1736">
        <f t="shared" si="12"/>
        <v>0</v>
      </c>
      <c r="S43" s="1736">
        <f t="shared" si="13"/>
        <v>0</v>
      </c>
    </row>
    <row r="44" spans="3:19" hidden="1" x14ac:dyDescent="0.2">
      <c r="C44" s="5118"/>
      <c r="D44" s="5119"/>
      <c r="E44" s="201"/>
      <c r="F44" s="202"/>
      <c r="G44" s="339"/>
      <c r="H44" s="1543" t="str">
        <f t="shared" si="8"/>
        <v/>
      </c>
      <c r="I44" s="1844" t="str">
        <f t="shared" si="7"/>
        <v/>
      </c>
      <c r="J44" s="1742"/>
      <c r="K44" s="1518"/>
      <c r="L44" s="1736">
        <f t="shared" si="9"/>
        <v>0</v>
      </c>
      <c r="M44" s="1736">
        <f t="shared" si="6"/>
        <v>0</v>
      </c>
      <c r="N44" s="1736">
        <f t="shared" si="10"/>
        <v>0</v>
      </c>
      <c r="Q44" s="1736">
        <f t="shared" si="11"/>
        <v>0</v>
      </c>
      <c r="R44" s="1736">
        <f t="shared" si="12"/>
        <v>0</v>
      </c>
      <c r="S44" s="1736">
        <f t="shared" si="13"/>
        <v>0</v>
      </c>
    </row>
    <row r="45" spans="3:19" hidden="1" x14ac:dyDescent="0.2">
      <c r="C45" s="5118"/>
      <c r="D45" s="5119"/>
      <c r="E45" s="201"/>
      <c r="F45" s="202"/>
      <c r="G45" s="339"/>
      <c r="H45" s="1543" t="str">
        <f t="shared" si="8"/>
        <v/>
      </c>
      <c r="I45" s="1844" t="str">
        <f t="shared" si="7"/>
        <v/>
      </c>
      <c r="J45" s="1742"/>
      <c r="K45" s="1518"/>
      <c r="L45" s="1736">
        <f t="shared" si="9"/>
        <v>0</v>
      </c>
      <c r="M45" s="1736">
        <f t="shared" si="6"/>
        <v>0</v>
      </c>
      <c r="N45" s="1736">
        <f t="shared" si="10"/>
        <v>0</v>
      </c>
      <c r="Q45" s="1736">
        <f t="shared" si="11"/>
        <v>0</v>
      </c>
      <c r="R45" s="1736">
        <f t="shared" si="12"/>
        <v>0</v>
      </c>
      <c r="S45" s="1736">
        <f t="shared" si="13"/>
        <v>0</v>
      </c>
    </row>
    <row r="46" spans="3:19" hidden="1" x14ac:dyDescent="0.2">
      <c r="C46" s="5118"/>
      <c r="D46" s="5119"/>
      <c r="E46" s="201"/>
      <c r="F46" s="202"/>
      <c r="G46" s="339"/>
      <c r="H46" s="1543" t="str">
        <f t="shared" si="8"/>
        <v/>
      </c>
      <c r="I46" s="1844" t="str">
        <f t="shared" si="7"/>
        <v/>
      </c>
      <c r="J46" s="1742"/>
      <c r="K46" s="1518"/>
      <c r="L46" s="1736">
        <f t="shared" si="9"/>
        <v>0</v>
      </c>
      <c r="M46" s="1736">
        <f t="shared" si="6"/>
        <v>0</v>
      </c>
      <c r="N46" s="1736">
        <f t="shared" si="10"/>
        <v>0</v>
      </c>
      <c r="Q46" s="1736">
        <f t="shared" si="11"/>
        <v>0</v>
      </c>
      <c r="R46" s="1736">
        <f t="shared" si="12"/>
        <v>0</v>
      </c>
      <c r="S46" s="1736">
        <f t="shared" si="13"/>
        <v>0</v>
      </c>
    </row>
    <row r="47" spans="3:19" hidden="1" x14ac:dyDescent="0.2">
      <c r="C47" s="5118"/>
      <c r="D47" s="5119"/>
      <c r="E47" s="201"/>
      <c r="F47" s="202"/>
      <c r="G47" s="339"/>
      <c r="H47" s="1543" t="str">
        <f t="shared" si="8"/>
        <v/>
      </c>
      <c r="I47" s="1844" t="str">
        <f t="shared" si="7"/>
        <v/>
      </c>
      <c r="J47" s="1742"/>
      <c r="K47" s="1518"/>
      <c r="L47" s="1736">
        <f t="shared" si="9"/>
        <v>0</v>
      </c>
      <c r="M47" s="1736">
        <f t="shared" si="6"/>
        <v>0</v>
      </c>
      <c r="N47" s="1736">
        <f t="shared" si="10"/>
        <v>0</v>
      </c>
      <c r="Q47" s="1736">
        <f t="shared" si="11"/>
        <v>0</v>
      </c>
      <c r="R47" s="1736">
        <f t="shared" si="12"/>
        <v>0</v>
      </c>
      <c r="S47" s="1736">
        <f t="shared" si="13"/>
        <v>0</v>
      </c>
    </row>
    <row r="48" spans="3:19" hidden="1" x14ac:dyDescent="0.2">
      <c r="C48" s="5118"/>
      <c r="D48" s="5119"/>
      <c r="E48" s="201"/>
      <c r="F48" s="202"/>
      <c r="G48" s="339"/>
      <c r="H48" s="1543" t="str">
        <f t="shared" si="8"/>
        <v/>
      </c>
      <c r="I48" s="1844" t="str">
        <f t="shared" si="7"/>
        <v/>
      </c>
      <c r="J48" s="1742"/>
      <c r="K48" s="1518"/>
      <c r="L48" s="1736">
        <f t="shared" si="9"/>
        <v>0</v>
      </c>
      <c r="M48" s="1736">
        <f t="shared" si="6"/>
        <v>0</v>
      </c>
      <c r="N48" s="1736">
        <f t="shared" si="10"/>
        <v>0</v>
      </c>
      <c r="Q48" s="1736">
        <f t="shared" si="11"/>
        <v>0</v>
      </c>
      <c r="R48" s="1736">
        <f t="shared" si="12"/>
        <v>0</v>
      </c>
      <c r="S48" s="1736">
        <f t="shared" si="13"/>
        <v>0</v>
      </c>
    </row>
    <row r="49" spans="3:19" hidden="1" x14ac:dyDescent="0.2">
      <c r="C49" s="5118"/>
      <c r="D49" s="5119"/>
      <c r="E49" s="201"/>
      <c r="F49" s="202"/>
      <c r="G49" s="339"/>
      <c r="H49" s="1543" t="str">
        <f t="shared" si="8"/>
        <v/>
      </c>
      <c r="I49" s="1844" t="str">
        <f t="shared" si="7"/>
        <v/>
      </c>
      <c r="J49" s="1742"/>
      <c r="K49" s="1518"/>
      <c r="L49" s="1736">
        <f t="shared" si="9"/>
        <v>0</v>
      </c>
      <c r="M49" s="1736">
        <f t="shared" si="6"/>
        <v>0</v>
      </c>
      <c r="N49" s="1736">
        <f t="shared" si="10"/>
        <v>0</v>
      </c>
      <c r="Q49" s="1736">
        <f t="shared" si="11"/>
        <v>0</v>
      </c>
      <c r="R49" s="1736">
        <f t="shared" si="12"/>
        <v>0</v>
      </c>
      <c r="S49" s="1736">
        <f t="shared" si="13"/>
        <v>0</v>
      </c>
    </row>
    <row r="50" spans="3:19" hidden="1" x14ac:dyDescent="0.2">
      <c r="C50" s="5118"/>
      <c r="D50" s="5119"/>
      <c r="E50" s="201"/>
      <c r="F50" s="202"/>
      <c r="G50" s="339"/>
      <c r="H50" s="1543" t="str">
        <f t="shared" si="8"/>
        <v/>
      </c>
      <c r="I50" s="1844" t="str">
        <f t="shared" si="7"/>
        <v/>
      </c>
      <c r="J50" s="1742"/>
      <c r="K50" s="1518"/>
      <c r="L50" s="1736">
        <f t="shared" si="9"/>
        <v>0</v>
      </c>
      <c r="M50" s="1736">
        <f t="shared" si="6"/>
        <v>0</v>
      </c>
      <c r="N50" s="1736">
        <f t="shared" si="10"/>
        <v>0</v>
      </c>
      <c r="Q50" s="1736">
        <f t="shared" si="11"/>
        <v>0</v>
      </c>
      <c r="R50" s="1736">
        <f t="shared" si="12"/>
        <v>0</v>
      </c>
      <c r="S50" s="1736">
        <f t="shared" si="13"/>
        <v>0</v>
      </c>
    </row>
    <row r="51" spans="3:19" hidden="1" x14ac:dyDescent="0.2">
      <c r="C51" s="5117"/>
      <c r="D51" s="5117"/>
      <c r="E51" s="201"/>
      <c r="F51" s="202"/>
      <c r="G51" s="339"/>
      <c r="H51" s="1543" t="str">
        <f t="shared" si="8"/>
        <v/>
      </c>
      <c r="I51" s="1844" t="str">
        <f t="shared" si="7"/>
        <v/>
      </c>
      <c r="J51" s="1742"/>
      <c r="K51" s="1518"/>
      <c r="L51" s="1736">
        <f>IF(I51="",0,1)</f>
      </c>
      <c r="M51" s="1736">
        <f t="shared" si="6"/>
        <v>0</v>
      </c>
      <c r="N51" s="1736">
        <f>IF(M51=0,0,1)</f>
      </c>
      <c r="Q51" s="1736">
        <f>IF(C51=$Q$8,1,0)</f>
      </c>
      <c r="R51" s="1736">
        <f>IF(C51=$R$8,1,0)</f>
      </c>
      <c r="S51" s="1736">
        <f>(Q51*$Q$11*G51)+($R$11*R51*G51)</f>
      </c>
    </row>
    <row r="52" spans="3:19" hidden="1" x14ac:dyDescent="0.2">
      <c r="C52" s="5117"/>
      <c r="D52" s="5117"/>
      <c r="E52" s="201"/>
      <c r="F52" s="202"/>
      <c r="G52" s="339"/>
      <c r="H52" s="1543" t="str">
        <f t="shared" si="8"/>
        <v/>
      </c>
      <c r="I52" s="1844" t="str">
        <f t="shared" si="7"/>
        <v/>
      </c>
      <c r="J52" s="1742"/>
      <c r="K52" s="1518"/>
      <c r="L52" s="1736">
        <f>IF(I52="",0,1)</f>
      </c>
      <c r="M52" s="1736">
        <f t="shared" si="6"/>
        <v>0</v>
      </c>
      <c r="N52" s="1736">
        <f>IF(M52=0,0,1)</f>
      </c>
      <c r="O52" s="1736">
        <f>SUM(N12:N52)</f>
      </c>
      <c r="Q52" s="1736">
        <f>IF(C52=$Q$8,1,0)</f>
      </c>
      <c r="R52" s="1736">
        <f>IF(C52=$R$8,1,0)</f>
      </c>
      <c r="S52" s="1736">
        <f>(Q52*$Q$11*G52)+($R$11*R52*G52)</f>
      </c>
    </row>
    <row r="53" spans="3:19" x14ac:dyDescent="0.2">
      <c r="C53" s="1743" t="s">
        <v>6999</v>
      </c>
      <c r="D53" s="1744"/>
      <c r="E53" s="1544"/>
      <c r="F53" s="5085" t="s">
        <v>1020</v>
      </c>
      <c r="G53" s="5086"/>
      <c r="H53" s="340">
        <f>SUM(H12:H52)</f>
      </c>
      <c r="I53" s="1844"/>
      <c r="K53" s="1518"/>
      <c r="L53" s="1736">
        <f>IF(F53="",0,1)</f>
      </c>
      <c r="M53" s="1736">
        <f>IF(H8=U4,1,0)</f>
      </c>
    </row>
    <row r="54" spans="3:19" x14ac:dyDescent="0.2">
      <c r="C54" s="1745"/>
      <c r="D54" s="1745"/>
      <c r="E54" s="1745"/>
      <c r="F54" s="1745"/>
      <c r="G54" s="1745"/>
      <c r="H54" s="1745"/>
      <c r="I54" s="1844"/>
      <c r="K54" s="1518"/>
    </row>
    <row r="55" spans="3:19" x14ac:dyDescent="0.2">
      <c r="C55" s="1746" t="s">
        <v>5153</v>
      </c>
      <c r="D55" s="1745"/>
      <c r="E55" s="1745"/>
      <c r="F55" s="1745"/>
      <c r="G55" s="1745"/>
      <c r="H55" s="339"/>
      <c r="I55" s="1844" t="str">
        <f>IF($H$53=0,"",IF(AND(H55="",H53&gt;0,L2&gt;2015),reo,IF(AND(L2=2015,H55&gt;0),"Delete!","")))</f>
        <v/>
      </c>
      <c r="J55" s="1742"/>
      <c r="K55" s="1518"/>
      <c r="L55" s="1736">
        <f>IF(I55="",0,1)</f>
      </c>
      <c r="M55" s="1736">
        <f>COUNT(H55)</f>
      </c>
    </row>
    <row r="56" spans="3:19" x14ac:dyDescent="0.2">
      <c r="C56" s="1745"/>
      <c r="D56" s="1745"/>
      <c r="E56" s="1745"/>
      <c r="F56" s="1745"/>
      <c r="G56" s="1745"/>
      <c r="H56" s="1745"/>
      <c r="I56" s="1844"/>
      <c r="K56" s="1518"/>
    </row>
    <row r="57" spans="3:19" x14ac:dyDescent="0.2">
      <c r="C57" s="1746" t="s">
        <v>7000</v>
      </c>
      <c r="D57" s="1745"/>
      <c r="E57" s="1745"/>
      <c r="F57" s="1745"/>
      <c r="G57" s="1745"/>
      <c r="H57" s="340">
        <f>IF(L2=2015,H53,H53+H55)</f>
      </c>
      <c r="I57" s="1844"/>
      <c r="K57" s="1518"/>
    </row>
    <row r="58" spans="3:19" x14ac:dyDescent="0.2">
      <c r="C58" s="1745"/>
      <c r="D58" s="1745"/>
      <c r="E58" s="1745"/>
      <c r="F58" s="1745"/>
      <c r="G58" s="1745"/>
      <c r="H58" s="1745"/>
      <c r="I58" s="1844"/>
      <c r="K58" s="1518"/>
    </row>
    <row r="59" spans="3:19" x14ac:dyDescent="0.2">
      <c r="C59" s="1746" t="s">
        <v>7001</v>
      </c>
      <c r="D59" s="1745"/>
      <c r="E59" s="1745"/>
      <c r="F59" s="1745"/>
      <c r="G59" s="1933" t="s">
        <v>5657</v>
      </c>
      <c r="H59" s="339"/>
      <c r="I59" s="1844" t="str">
        <f>IF($H$53="","",IF(AND(H59="",H57&gt;0),reo,IF((H59*-1)&gt;H57,"Check deductions!","")))</f>
        <v/>
      </c>
      <c r="K59" s="1518"/>
      <c r="L59" s="1736">
        <f>IF(I59="",0,1)</f>
      </c>
      <c r="M59" s="1736">
        <f>COUNT(H59)</f>
      </c>
    </row>
    <row r="60" spans="3:19" x14ac:dyDescent="0.2">
      <c r="C60" s="1745"/>
      <c r="D60" s="1745"/>
      <c r="E60" s="1745"/>
      <c r="F60" s="1745"/>
      <c r="G60" s="1745"/>
      <c r="H60" s="1745"/>
      <c r="I60" s="1844"/>
      <c r="K60" s="1518"/>
    </row>
    <row r="61" spans="3:19" x14ac:dyDescent="0.2">
      <c r="C61" s="1746" t="s">
        <v>5154</v>
      </c>
      <c r="D61" s="1745"/>
      <c r="E61" s="1745"/>
      <c r="F61" s="1745"/>
      <c r="G61" s="1745"/>
      <c r="H61" s="340">
        <f>IF(L59&lt;&gt;0,"",(ROUND((H57-H59),0)))</f>
      </c>
      <c r="I61" s="1844"/>
      <c r="K61" s="1518"/>
    </row>
    <row r="62" spans="3:19" x14ac:dyDescent="0.2">
      <c r="C62" s="1745"/>
      <c r="D62" s="1745"/>
      <c r="E62" s="1745"/>
      <c r="F62" s="1745"/>
      <c r="G62" s="1745"/>
      <c r="H62" s="1745"/>
      <c r="I62" s="1844"/>
      <c r="K62" s="1518"/>
    </row>
    <row r="63" spans="3:19" x14ac:dyDescent="0.2">
      <c r="I63" s="1742"/>
      <c r="K63" s="1518"/>
    </row>
    <row r="64" spans="3:19" x14ac:dyDescent="0.2">
      <c r="E64" s="418" t="s">
        <v>4456</v>
      </c>
      <c r="F64" s="1740"/>
      <c r="G64" s="1742" t="str">
        <f>IF(M68=0,"",IF(F64="",re,""))</f>
        <v/>
      </c>
      <c r="I64" s="1742"/>
      <c r="K64" s="1518"/>
      <c r="L64" s="1736">
        <f>IF(G64="",0,1)</f>
      </c>
      <c r="M64" s="1736">
        <f>COUNTA(F64)</f>
      </c>
    </row>
    <row r="65" spans="3:16" x14ac:dyDescent="0.2">
      <c r="I65" s="1742"/>
      <c r="K65" s="1518"/>
      <c r="P65" s="1736">
        <f>IF(H8=U4,1,0)</f>
      </c>
    </row>
    <row r="66" spans="3:16" x14ac:dyDescent="0.2">
      <c r="I66" s="1742"/>
    </row>
    <row r="67" spans="3:16" x14ac:dyDescent="0.2">
      <c r="C67" s="66" t="str">
        <f>_xlfn.SINGLE(MTCA)</f>
      </c>
      <c r="E67" s="66" t="str">
        <f>ver</f>
        <v>TA2_e-CO_2025_Ver 1.1</v>
      </c>
      <c r="H67" s="1517" t="s">
        <v>7002</v>
      </c>
      <c r="I67" s="1742"/>
      <c r="K67" s="1518"/>
    </row>
    <row r="68" spans="3:16" x14ac:dyDescent="0.2">
      <c r="C68" s="4418" t="s">
        <v>1700</v>
      </c>
      <c r="D68" s="4418"/>
      <c r="I68" s="1742"/>
      <c r="K68" s="1518"/>
      <c r="L68" s="1848">
        <f>SUM(L7:L65)</f>
      </c>
      <c r="M68" s="1848">
        <f>SUM(M8:M67)</f>
      </c>
    </row>
    <row r="69" spans="3:16" hidden="1" x14ac:dyDescent="0.2">
      <c r="I69" s="1742"/>
      <c r="K69" s="1518"/>
      <c r="L69" s="1736">
        <f>IF(M68=0,0,IF(L68&gt;0,100,IF(F64="No",100,1)))</f>
      </c>
    </row>
    <row r="70" spans="3:16" hidden="1" x14ac:dyDescent="0.2">
      <c r="I70" s="1742"/>
    </row>
    <row r="71" spans="3:16" hidden="1" x14ac:dyDescent="0.2">
      <c r="I71" s="1742"/>
    </row>
    <row r="72" spans="3:16" hidden="1" x14ac:dyDescent="0.2">
      <c r="I72" s="1742"/>
    </row>
    <row r="73" spans="3:16" hidden="1" x14ac:dyDescent="0.2">
      <c r="I73" s="1742"/>
    </row>
    <row r="74" spans="3:16" hidden="1" x14ac:dyDescent="0.2">
      <c r="I74" s="1742"/>
    </row>
    <row r="75" spans="3:16" hidden="1" x14ac:dyDescent="0.2">
      <c r="I75" s="1742"/>
    </row>
    <row r="76" spans="3:16" hidden="1" x14ac:dyDescent="0.2">
      <c r="I76" s="1742"/>
    </row>
    <row r="77" spans="3:16" hidden="1" x14ac:dyDescent="0.2">
      <c r="I77" s="1742"/>
    </row>
    <row r="78" spans="3:16" hidden="1" x14ac:dyDescent="0.2">
      <c r="I78" s="1742"/>
    </row>
    <row r="79" spans="3:16" hidden="1" x14ac:dyDescent="0.2">
      <c r="I79" s="1742"/>
    </row>
    <row r="80" spans="3:16" hidden="1" x14ac:dyDescent="0.2">
      <c r="I80" s="1742"/>
    </row>
    <row r="81" spans="9:9" hidden="1" x14ac:dyDescent="0.2">
      <c r="I81" s="1742"/>
    </row>
    <row r="82" spans="9:9" hidden="1" x14ac:dyDescent="0.2">
      <c r="I82" s="1742"/>
    </row>
    <row r="83" spans="9:9" hidden="1" x14ac:dyDescent="0.2">
      <c r="I83" s="1742"/>
    </row>
    <row r="84" spans="9:9" hidden="1" x14ac:dyDescent="0.2">
      <c r="I84" s="1742"/>
    </row>
    <row r="85" spans="9:9" hidden="1" x14ac:dyDescent="0.2">
      <c r="I85" s="1742"/>
    </row>
    <row r="86" spans="9:9" hidden="1" x14ac:dyDescent="0.2">
      <c r="I86" s="1742"/>
    </row>
    <row r="87" spans="9:9" hidden="1" x14ac:dyDescent="0.2">
      <c r="I87" s="1742"/>
    </row>
    <row r="88" spans="9:9" hidden="1" x14ac:dyDescent="0.2">
      <c r="I88" s="1742"/>
    </row>
    <row r="89" spans="9:9" hidden="1" x14ac:dyDescent="0.2">
      <c r="I89" s="1742"/>
    </row>
    <row r="90" spans="9:9" hidden="1" x14ac:dyDescent="0.2">
      <c r="I90" s="1742"/>
    </row>
    <row r="91" spans="9:9" hidden="1" x14ac:dyDescent="0.2">
      <c r="I91" s="1742"/>
    </row>
    <row r="92" spans="9:9" hidden="1" x14ac:dyDescent="0.2">
      <c r="I92" s="1742"/>
    </row>
    <row r="93" spans="9:9" hidden="1" x14ac:dyDescent="0.2">
      <c r="I93" s="1742"/>
    </row>
    <row r="94" spans="9:9" hidden="1" x14ac:dyDescent="0.2">
      <c r="I94" s="1742"/>
    </row>
    <row r="95" spans="9:9" hidden="1" x14ac:dyDescent="0.2">
      <c r="I95" s="1742"/>
    </row>
    <row r="96" spans="9:9" hidden="1" x14ac:dyDescent="0.2">
      <c r="I96" s="1742"/>
    </row>
    <row r="97" spans="9:9" hidden="1" x14ac:dyDescent="0.2">
      <c r="I97" s="1742"/>
    </row>
    <row r="98" spans="9:9" hidden="1" x14ac:dyDescent="0.2">
      <c r="I98" s="1742"/>
    </row>
    <row r="99" spans="9:9" hidden="1" x14ac:dyDescent="0.2">
      <c r="I99" s="1742"/>
    </row>
    <row r="100" spans="9:9" hidden="1" x14ac:dyDescent="0.2">
      <c r="I100" s="1742"/>
    </row>
    <row r="101" spans="9:9" hidden="1" x14ac:dyDescent="0.2">
      <c r="I101" s="1742"/>
    </row>
    <row r="102" spans="9:9" hidden="1" x14ac:dyDescent="0.2">
      <c r="I102" s="1742"/>
    </row>
    <row r="103" spans="9:9" hidden="1" x14ac:dyDescent="0.2">
      <c r="I103" s="1742"/>
    </row>
    <row r="104" spans="9:9" hidden="1" x14ac:dyDescent="0.2">
      <c r="I104" s="1742"/>
    </row>
    <row r="105" spans="9:9" hidden="1" x14ac:dyDescent="0.2">
      <c r="I105" s="1742"/>
    </row>
    <row r="106" spans="9:9" hidden="1" x14ac:dyDescent="0.2">
      <c r="I106" s="1742"/>
    </row>
    <row r="107" spans="9:9" hidden="1" x14ac:dyDescent="0.2">
      <c r="I107" s="1742"/>
    </row>
    <row r="108" spans="9:9" hidden="1" x14ac:dyDescent="0.2">
      <c r="I108" s="1742"/>
    </row>
    <row r="109" spans="9:9" hidden="1" x14ac:dyDescent="0.2">
      <c r="I109" s="1742"/>
    </row>
    <row r="110" spans="9:9" hidden="1" x14ac:dyDescent="0.2">
      <c r="I110" s="1742"/>
    </row>
    <row r="111" spans="9:9" hidden="1" x14ac:dyDescent="0.2">
      <c r="I111" s="1742"/>
    </row>
    <row r="112" spans="9:9" hidden="1" x14ac:dyDescent="0.2">
      <c r="I112" s="1742"/>
    </row>
    <row r="113" spans="9:9" hidden="1" x14ac:dyDescent="0.2">
      <c r="I113" s="1742"/>
    </row>
    <row r="114" spans="9:9" hidden="1" x14ac:dyDescent="0.2">
      <c r="I114" s="1742"/>
    </row>
    <row r="115" spans="9:9" hidden="1" x14ac:dyDescent="0.2">
      <c r="I115" s="1742"/>
    </row>
    <row r="116" spans="9:9" hidden="1" x14ac:dyDescent="0.2">
      <c r="I116" s="1742"/>
    </row>
    <row r="117" spans="9:9" hidden="1" x14ac:dyDescent="0.2">
      <c r="I117" s="1742"/>
    </row>
    <row r="118" spans="9:9" hidden="1" x14ac:dyDescent="0.2">
      <c r="I118" s="1742"/>
    </row>
    <row r="119" spans="9:9" hidden="1" x14ac:dyDescent="0.2">
      <c r="I119" s="1742"/>
    </row>
    <row r="120" spans="9:9" hidden="1" x14ac:dyDescent="0.2">
      <c r="I120" s="1742"/>
    </row>
    <row r="121" spans="9:9" hidden="1" x14ac:dyDescent="0.2">
      <c r="I121" s="1742"/>
    </row>
    <row r="122" spans="9:9" hidden="1" x14ac:dyDescent="0.2">
      <c r="I122" s="1742"/>
    </row>
    <row r="123" spans="9:9" hidden="1" x14ac:dyDescent="0.2">
      <c r="I123" s="1742"/>
    </row>
    <row r="124" spans="9:9" hidden="1" x14ac:dyDescent="0.2">
      <c r="I124" s="1742"/>
    </row>
    <row r="125" spans="9:9" hidden="1" x14ac:dyDescent="0.2">
      <c r="I125" s="1742"/>
    </row>
    <row r="126" spans="9:9" hidden="1" x14ac:dyDescent="0.2">
      <c r="I126" s="1742"/>
    </row>
    <row r="127" spans="9:9" hidden="1" x14ac:dyDescent="0.2">
      <c r="I127" s="1742"/>
    </row>
    <row r="128" spans="9:9" hidden="1" x14ac:dyDescent="0.2">
      <c r="I128" s="1742"/>
    </row>
    <row r="129" spans="9:9" hidden="1" x14ac:dyDescent="0.2">
      <c r="I129" s="1742"/>
    </row>
    <row r="130" spans="9:9" hidden="1" x14ac:dyDescent="0.2">
      <c r="I130" s="1742"/>
    </row>
    <row r="131" spans="9:9" hidden="1" x14ac:dyDescent="0.2">
      <c r="I131" s="1742"/>
    </row>
    <row r="132" spans="9:9" hidden="1" x14ac:dyDescent="0.2">
      <c r="I132" s="1742"/>
    </row>
    <row r="133" spans="9:9" hidden="1" x14ac:dyDescent="0.2">
      <c r="I133" s="1742"/>
    </row>
    <row r="134" spans="9:9" hidden="1" x14ac:dyDescent="0.2">
      <c r="I134" s="1742"/>
    </row>
    <row r="135" spans="9:9" hidden="1" x14ac:dyDescent="0.2">
      <c r="I135" s="1742"/>
    </row>
    <row r="136" spans="9:9" hidden="1" x14ac:dyDescent="0.2">
      <c r="I136" s="1742"/>
    </row>
    <row r="137" spans="9:9" hidden="1" x14ac:dyDescent="0.2">
      <c r="I137" s="1742"/>
    </row>
    <row r="138" spans="9:9" hidden="1" x14ac:dyDescent="0.2">
      <c r="I138" s="1742"/>
    </row>
    <row r="139" spans="9:9" hidden="1" x14ac:dyDescent="0.2">
      <c r="I139" s="1742"/>
    </row>
    <row r="140" spans="9:9" hidden="1" x14ac:dyDescent="0.2">
      <c r="I140" s="1742"/>
    </row>
    <row r="141" spans="9:9" hidden="1" x14ac:dyDescent="0.2">
      <c r="I141" s="1742"/>
    </row>
    <row r="142" spans="9:9" hidden="1" x14ac:dyDescent="0.2">
      <c r="I142" s="1742"/>
    </row>
    <row r="143" spans="9:9" hidden="1" x14ac:dyDescent="0.2">
      <c r="I143" s="1742"/>
    </row>
    <row r="144" spans="9:9" hidden="1" x14ac:dyDescent="0.2">
      <c r="I144" s="1742"/>
    </row>
    <row r="145" spans="9:9" hidden="1" x14ac:dyDescent="0.2">
      <c r="I145" s="1742"/>
    </row>
    <row r="146" spans="9:9" hidden="1" x14ac:dyDescent="0.2">
      <c r="I146" s="1742"/>
    </row>
    <row r="147" spans="9:9" hidden="1" x14ac:dyDescent="0.2">
      <c r="I147" s="1742"/>
    </row>
    <row r="148" spans="9:9" hidden="1" x14ac:dyDescent="0.2">
      <c r="I148" s="1742"/>
    </row>
    <row r="149" spans="9:9" hidden="1" x14ac:dyDescent="0.2">
      <c r="I149" s="1742"/>
    </row>
    <row r="150" spans="9:9" hidden="1" x14ac:dyDescent="0.2">
      <c r="I150" s="1742"/>
    </row>
    <row r="151" spans="9:9" hidden="1" x14ac:dyDescent="0.2">
      <c r="I151" s="1742"/>
    </row>
    <row r="152" spans="9:9" hidden="1" x14ac:dyDescent="0.2">
      <c r="I152" s="1742"/>
    </row>
    <row r="153" spans="9:9" hidden="1" x14ac:dyDescent="0.2">
      <c r="I153" s="1742"/>
    </row>
    <row r="154" spans="9:9" hidden="1" x14ac:dyDescent="0.2">
      <c r="I154" s="1742"/>
    </row>
    <row r="155" spans="9:9" hidden="1" x14ac:dyDescent="0.2">
      <c r="I155" s="1742"/>
    </row>
    <row r="156" spans="9:9" hidden="1" x14ac:dyDescent="0.2">
      <c r="I156" s="1742"/>
    </row>
    <row r="157" spans="9:9" hidden="1" x14ac:dyDescent="0.2">
      <c r="I157" s="1742"/>
    </row>
    <row r="158" spans="9:9" hidden="1" x14ac:dyDescent="0.2">
      <c r="I158" s="1742"/>
    </row>
    <row r="159" spans="9:9" hidden="1" x14ac:dyDescent="0.2">
      <c r="I159" s="1742"/>
    </row>
    <row r="160" spans="9:9" hidden="1" x14ac:dyDescent="0.2">
      <c r="I160" s="1742"/>
    </row>
    <row r="161" spans="9:9" hidden="1" x14ac:dyDescent="0.2">
      <c r="I161" s="1742"/>
    </row>
    <row r="162" spans="9:9" hidden="1" x14ac:dyDescent="0.2">
      <c r="I162" s="1742"/>
    </row>
    <row r="163" spans="9:9" hidden="1" x14ac:dyDescent="0.2">
      <c r="I163" s="1742"/>
    </row>
    <row r="164" spans="9:9" hidden="1" x14ac:dyDescent="0.2">
      <c r="I164" s="1742"/>
    </row>
    <row r="165" spans="9:9" hidden="1" x14ac:dyDescent="0.2">
      <c r="I165" s="1742"/>
    </row>
    <row r="166" spans="9:9" hidden="1" x14ac:dyDescent="0.2">
      <c r="I166" s="1742"/>
    </row>
    <row r="167" spans="9:9" hidden="1" x14ac:dyDescent="0.2">
      <c r="I167" s="1742"/>
    </row>
    <row r="168" spans="9:9" hidden="1" x14ac:dyDescent="0.2">
      <c r="I168" s="1742"/>
    </row>
    <row r="169" spans="9:9" hidden="1" x14ac:dyDescent="0.2">
      <c r="I169" s="1742"/>
    </row>
    <row r="170" spans="9:9" hidden="1" x14ac:dyDescent="0.2">
      <c r="I170" s="1742"/>
    </row>
    <row r="171" spans="9:9" hidden="1" x14ac:dyDescent="0.2">
      <c r="I171" s="1742"/>
    </row>
    <row r="172" spans="9:9" hidden="1" x14ac:dyDescent="0.2">
      <c r="I172" s="1742"/>
    </row>
    <row r="173" spans="9:9" hidden="1" x14ac:dyDescent="0.2">
      <c r="I173" s="1742"/>
    </row>
    <row r="174" spans="9:9" hidden="1" x14ac:dyDescent="0.2">
      <c r="I174" s="1742"/>
    </row>
    <row r="175" spans="9:9" hidden="1" x14ac:dyDescent="0.2">
      <c r="I175" s="1742"/>
    </row>
    <row r="176" spans="9:9" hidden="1" x14ac:dyDescent="0.2">
      <c r="I176" s="1742"/>
    </row>
    <row r="177" spans="9:9" hidden="1" x14ac:dyDescent="0.2">
      <c r="I177" s="1742"/>
    </row>
    <row r="178" spans="9:9" hidden="1" x14ac:dyDescent="0.2">
      <c r="I178" s="1742"/>
    </row>
    <row r="179" spans="9:9" hidden="1" x14ac:dyDescent="0.2">
      <c r="I179" s="1742"/>
    </row>
    <row r="180" spans="9:9" hidden="1" x14ac:dyDescent="0.2">
      <c r="I180" s="1742"/>
    </row>
    <row r="181" spans="9:9" hidden="1" x14ac:dyDescent="0.2">
      <c r="I181" s="1742"/>
    </row>
    <row r="182" spans="9:9" hidden="1" x14ac:dyDescent="0.2">
      <c r="I182" s="1742"/>
    </row>
    <row r="183" spans="9:9" hidden="1" x14ac:dyDescent="0.2">
      <c r="I183" s="1742"/>
    </row>
    <row r="184" spans="9:9" hidden="1" x14ac:dyDescent="0.2">
      <c r="I184" s="1742"/>
    </row>
    <row r="185" spans="9:9" hidden="1" x14ac:dyDescent="0.2">
      <c r="I185" s="1742"/>
    </row>
    <row r="186" spans="9:9" hidden="1" x14ac:dyDescent="0.2">
      <c r="I186" s="1742"/>
    </row>
    <row r="187" spans="9:9" hidden="1" x14ac:dyDescent="0.2">
      <c r="I187" s="1742"/>
    </row>
    <row r="188" spans="9:9" hidden="1" x14ac:dyDescent="0.2">
      <c r="I188" s="1742"/>
    </row>
    <row r="189" spans="9:9" hidden="1" x14ac:dyDescent="0.2">
      <c r="I189" s="1742"/>
    </row>
    <row r="190" spans="9:9" hidden="1" x14ac:dyDescent="0.2">
      <c r="I190" s="1742"/>
    </row>
    <row r="191" spans="9:9" hidden="1" x14ac:dyDescent="0.2">
      <c r="I191" s="1742"/>
    </row>
    <row r="192" spans="9:9" hidden="1" x14ac:dyDescent="0.2">
      <c r="I192" s="1742"/>
    </row>
    <row r="193" spans="9:9" hidden="1" x14ac:dyDescent="0.2">
      <c r="I193" s="1742"/>
    </row>
    <row r="194" spans="9:9" hidden="1" x14ac:dyDescent="0.2">
      <c r="I194" s="1742"/>
    </row>
    <row r="195" spans="9:9" hidden="1" x14ac:dyDescent="0.2">
      <c r="I195" s="1742"/>
    </row>
    <row r="196" spans="9:9" hidden="1" x14ac:dyDescent="0.2">
      <c r="I196" s="1742"/>
    </row>
    <row r="197" spans="9:9" hidden="1" x14ac:dyDescent="0.2">
      <c r="I197" s="1742"/>
    </row>
    <row r="198" spans="9:9" hidden="1" x14ac:dyDescent="0.2">
      <c r="I198" s="1742"/>
    </row>
    <row r="199" spans="9:9" hidden="1" x14ac:dyDescent="0.2">
      <c r="I199" s="1742"/>
    </row>
    <row r="200" spans="9:9" hidden="1" x14ac:dyDescent="0.2">
      <c r="I200" s="1742"/>
    </row>
    <row r="201" spans="9:9" hidden="1" x14ac:dyDescent="0.2">
      <c r="I201" s="1742"/>
    </row>
    <row r="202" spans="9:9" hidden="1" x14ac:dyDescent="0.2">
      <c r="I202" s="1742"/>
    </row>
    <row r="203" spans="9:9" hidden="1" x14ac:dyDescent="0.2">
      <c r="I203" s="1742"/>
    </row>
    <row r="204" spans="9:9" hidden="1" x14ac:dyDescent="0.2">
      <c r="I204" s="1742"/>
    </row>
    <row r="205" spans="9:9" hidden="1" x14ac:dyDescent="0.2">
      <c r="I205" s="1742"/>
    </row>
    <row r="206" spans="9:9" hidden="1" x14ac:dyDescent="0.2">
      <c r="I206" s="1742"/>
    </row>
    <row r="207" spans="9:9" hidden="1" x14ac:dyDescent="0.2">
      <c r="I207" s="1742"/>
    </row>
    <row r="208" spans="9:9" hidden="1" x14ac:dyDescent="0.2">
      <c r="I208" s="1742"/>
    </row>
    <row r="209" spans="9:9" hidden="1" x14ac:dyDescent="0.2">
      <c r="I209" s="1742"/>
    </row>
    <row r="210" spans="9:9" hidden="1" x14ac:dyDescent="0.2">
      <c r="I210" s="1742"/>
    </row>
    <row r="211" spans="9:9" hidden="1" x14ac:dyDescent="0.2">
      <c r="I211" s="1742"/>
    </row>
    <row r="212" spans="9:9" hidden="1" x14ac:dyDescent="0.2">
      <c r="I212" s="1742"/>
    </row>
    <row r="213" spans="9:9" hidden="1" x14ac:dyDescent="0.2">
      <c r="I213" s="1742"/>
    </row>
    <row r="214" spans="9:9" hidden="1" x14ac:dyDescent="0.2">
      <c r="I214" s="1742"/>
    </row>
    <row r="215" spans="9:9" hidden="1" x14ac:dyDescent="0.2">
      <c r="I215" s="1742"/>
    </row>
    <row r="216" spans="9:9" hidden="1" x14ac:dyDescent="0.2">
      <c r="I216" s="1742"/>
    </row>
    <row r="217" spans="9:9" hidden="1" x14ac:dyDescent="0.2">
      <c r="I217" s="1742"/>
    </row>
    <row r="218" spans="9:9" hidden="1" x14ac:dyDescent="0.2">
      <c r="I218" s="1742"/>
    </row>
    <row r="219" spans="9:9" hidden="1" x14ac:dyDescent="0.2">
      <c r="I219" s="1742"/>
    </row>
    <row r="220" spans="9:9" hidden="1" x14ac:dyDescent="0.2">
      <c r="I220" s="1742"/>
    </row>
    <row r="221" spans="9:9" hidden="1" x14ac:dyDescent="0.2">
      <c r="I221" s="1742"/>
    </row>
    <row r="222" spans="9:9" hidden="1" x14ac:dyDescent="0.2">
      <c r="I222" s="1742"/>
    </row>
    <row r="223" spans="9:9" hidden="1" x14ac:dyDescent="0.2">
      <c r="I223" s="1742"/>
    </row>
    <row r="224" spans="9:9" hidden="1" x14ac:dyDescent="0.2">
      <c r="I224" s="1742"/>
    </row>
    <row r="225" spans="9:9" hidden="1" x14ac:dyDescent="0.2">
      <c r="I225" s="1742"/>
    </row>
    <row r="226" spans="9:9" hidden="1" x14ac:dyDescent="0.2">
      <c r="I226" s="1742"/>
    </row>
    <row r="227" spans="9:9" hidden="1" x14ac:dyDescent="0.2">
      <c r="I227" s="1742"/>
    </row>
    <row r="228" spans="9:9" hidden="1" x14ac:dyDescent="0.2">
      <c r="I228" s="1742"/>
    </row>
    <row r="229" spans="9:9" hidden="1" x14ac:dyDescent="0.2">
      <c r="I229" s="1742"/>
    </row>
    <row r="230" spans="9:9" hidden="1" x14ac:dyDescent="0.2">
      <c r="I230" s="1742"/>
    </row>
    <row r="231" spans="9:9" hidden="1" x14ac:dyDescent="0.2">
      <c r="I231" s="1742"/>
    </row>
    <row r="232" spans="9:9" hidden="1" x14ac:dyDescent="0.2">
      <c r="I232" s="1742"/>
    </row>
    <row r="233" spans="9:9" hidden="1" x14ac:dyDescent="0.2">
      <c r="I233" s="1742"/>
    </row>
    <row r="234" spans="9:9" hidden="1" x14ac:dyDescent="0.2">
      <c r="I234" s="1742"/>
    </row>
    <row r="235" spans="9:9" hidden="1" x14ac:dyDescent="0.2">
      <c r="I235" s="1742"/>
    </row>
    <row r="236" spans="9:9" hidden="1" x14ac:dyDescent="0.2">
      <c r="I236" s="1742"/>
    </row>
    <row r="237" spans="9:9" hidden="1" x14ac:dyDescent="0.2">
      <c r="I237" s="1742"/>
    </row>
    <row r="238" spans="9:9" hidden="1" x14ac:dyDescent="0.2">
      <c r="I238" s="1742"/>
    </row>
    <row r="239" spans="9:9" hidden="1" x14ac:dyDescent="0.2">
      <c r="I239" s="1742"/>
    </row>
    <row r="240" spans="9:9" hidden="1" x14ac:dyDescent="0.2">
      <c r="I240" s="1742"/>
    </row>
    <row r="241" spans="9:9" hidden="1" x14ac:dyDescent="0.2">
      <c r="I241" s="1742"/>
    </row>
    <row r="242" spans="9:9" hidden="1" x14ac:dyDescent="0.2">
      <c r="I242" s="1742"/>
    </row>
    <row r="243" spans="9:9" hidden="1" x14ac:dyDescent="0.2">
      <c r="I243" s="1742"/>
    </row>
    <row r="244" spans="9:9" hidden="1" x14ac:dyDescent="0.2">
      <c r="I244" s="1742"/>
    </row>
    <row r="245" spans="9:9" hidden="1" x14ac:dyDescent="0.2">
      <c r="I245" s="1742"/>
    </row>
    <row r="246" spans="9:9" hidden="1" x14ac:dyDescent="0.2">
      <c r="I246" s="1742"/>
    </row>
    <row r="247" spans="9:9" hidden="1" x14ac:dyDescent="0.2">
      <c r="I247" s="1742"/>
    </row>
    <row r="248" spans="9:9" hidden="1" x14ac:dyDescent="0.2">
      <c r="I248" s="1742"/>
    </row>
    <row r="249" spans="9:9" hidden="1" x14ac:dyDescent="0.2">
      <c r="I249" s="1742"/>
    </row>
    <row r="250" spans="9:9" hidden="1" x14ac:dyDescent="0.2">
      <c r="I250" s="1742"/>
    </row>
    <row r="251" spans="9:9" hidden="1" x14ac:dyDescent="0.2">
      <c r="I251" s="1742"/>
    </row>
    <row r="252" spans="9:9" hidden="1" x14ac:dyDescent="0.2">
      <c r="I252" s="1742"/>
    </row>
    <row r="253" spans="9:9" hidden="1" x14ac:dyDescent="0.2">
      <c r="I253" s="1742"/>
    </row>
    <row r="254" spans="9:9" hidden="1" x14ac:dyDescent="0.2">
      <c r="I254" s="1742"/>
    </row>
    <row r="255" spans="9:9" hidden="1" x14ac:dyDescent="0.2">
      <c r="I255" s="1742"/>
    </row>
    <row r="256" spans="9:9" hidden="1" x14ac:dyDescent="0.2">
      <c r="I256" s="1742"/>
    </row>
    <row r="257" spans="9:9" hidden="1" x14ac:dyDescent="0.2">
      <c r="I257" s="1742"/>
    </row>
    <row r="258" spans="9:9" hidden="1" x14ac:dyDescent="0.2">
      <c r="I258" s="1742"/>
    </row>
    <row r="259" spans="9:9" hidden="1" x14ac:dyDescent="0.2">
      <c r="I259" s="1742"/>
    </row>
    <row r="260" spans="9:9" hidden="1" x14ac:dyDescent="0.2">
      <c r="I260" s="1742"/>
    </row>
    <row r="261" spans="9:9" hidden="1" x14ac:dyDescent="0.2">
      <c r="I261" s="1742"/>
    </row>
    <row r="262" spans="9:9" hidden="1" x14ac:dyDescent="0.2">
      <c r="I262" s="1742"/>
    </row>
    <row r="263" spans="9:9" hidden="1" x14ac:dyDescent="0.2">
      <c r="I263" s="1742"/>
    </row>
    <row r="264" spans="9:9" hidden="1" x14ac:dyDescent="0.2">
      <c r="I264" s="1742"/>
    </row>
    <row r="265" spans="9:9" hidden="1" x14ac:dyDescent="0.2">
      <c r="I265" s="1742"/>
    </row>
    <row r="266" spans="9:9" hidden="1" x14ac:dyDescent="0.2">
      <c r="I266" s="1742"/>
    </row>
    <row r="267" spans="9:9" hidden="1" x14ac:dyDescent="0.2">
      <c r="I267" s="1742"/>
    </row>
    <row r="268" spans="9:9" hidden="1" x14ac:dyDescent="0.2">
      <c r="I268" s="1742"/>
    </row>
    <row r="269" spans="9:9" hidden="1" x14ac:dyDescent="0.2">
      <c r="I269" s="1742"/>
    </row>
    <row r="270" spans="9:9" hidden="1" x14ac:dyDescent="0.2">
      <c r="I270" s="1742"/>
    </row>
    <row r="271" spans="9:9" hidden="1" x14ac:dyDescent="0.2">
      <c r="I271" s="1742"/>
    </row>
    <row r="272" spans="9:9" hidden="1" x14ac:dyDescent="0.2">
      <c r="I272" s="1742"/>
    </row>
    <row r="273" spans="9:9" hidden="1" x14ac:dyDescent="0.2">
      <c r="I273" s="1742"/>
    </row>
    <row r="274" spans="9:9" hidden="1" x14ac:dyDescent="0.2">
      <c r="I274" s="1742"/>
    </row>
    <row r="275" spans="9:9" hidden="1" x14ac:dyDescent="0.2">
      <c r="I275" s="1742"/>
    </row>
    <row r="276" spans="9:9" hidden="1" x14ac:dyDescent="0.2">
      <c r="I276" s="1742"/>
    </row>
    <row r="277" spans="9:9" hidden="1" x14ac:dyDescent="0.2">
      <c r="I277" s="1742"/>
    </row>
    <row r="278" spans="9:9" hidden="1" x14ac:dyDescent="0.2">
      <c r="I278" s="1742"/>
    </row>
    <row r="279" spans="9:9" hidden="1" x14ac:dyDescent="0.2">
      <c r="I279" s="1742"/>
    </row>
    <row r="280" spans="9:9" hidden="1" x14ac:dyDescent="0.2">
      <c r="I280" s="1742"/>
    </row>
  </sheetData>
  <sheetProtection algorithmName="SHA-512" hashValue="BmF/ciCRQUK/9N606iyi0kpi72M86TdmF/mjUNbynmXuSG9m/Yp8S2z9XzxXUJ/j6LqoHneyzuFGzKVQB0VKGQ==" saltValue="RBnvvPAGgL3ZwROg8I4Kjw==" spinCount="100000" sheet="1" objects="1" scenarios="1"/>
  <mergeCells count="45">
    <mergeCell ref="C47:D47"/>
    <mergeCell ref="C48:D48"/>
    <mergeCell ref="C49:D49"/>
    <mergeCell ref="C50:D50"/>
    <mergeCell ref="C42:D42"/>
    <mergeCell ref="C43:D43"/>
    <mergeCell ref="C44:D44"/>
    <mergeCell ref="C45:D45"/>
    <mergeCell ref="C46:D46"/>
    <mergeCell ref="C37:D37"/>
    <mergeCell ref="C38:D38"/>
    <mergeCell ref="C39:D39"/>
    <mergeCell ref="C40:D40"/>
    <mergeCell ref="C41:D41"/>
    <mergeCell ref="C32:D32"/>
    <mergeCell ref="C33:D33"/>
    <mergeCell ref="C34:D34"/>
    <mergeCell ref="C35:D35"/>
    <mergeCell ref="C36:D36"/>
    <mergeCell ref="C27:D27"/>
    <mergeCell ref="C28:D28"/>
    <mergeCell ref="C29:D29"/>
    <mergeCell ref="C30:D30"/>
    <mergeCell ref="C31:D31"/>
    <mergeCell ref="C22:D22"/>
    <mergeCell ref="C23:D23"/>
    <mergeCell ref="C24:D24"/>
    <mergeCell ref="C25:D25"/>
    <mergeCell ref="C26:D26"/>
    <mergeCell ref="C68:D68"/>
    <mergeCell ref="C2:G2"/>
    <mergeCell ref="C11:D11"/>
    <mergeCell ref="C12:D12"/>
    <mergeCell ref="C13:D13"/>
    <mergeCell ref="C14:D14"/>
    <mergeCell ref="C15:D15"/>
    <mergeCell ref="C16:D16"/>
    <mergeCell ref="C17:D17"/>
    <mergeCell ref="C51:D51"/>
    <mergeCell ref="C52:D52"/>
    <mergeCell ref="F53:G53"/>
    <mergeCell ref="C18:D18"/>
    <mergeCell ref="C19:D19"/>
    <mergeCell ref="C20:D20"/>
    <mergeCell ref="C21:D21"/>
  </mergeCells>
  <conditionalFormatting sqref="C55 C57">
    <cfRule type="expression" dxfId="437" priority="2" stopIfTrue="1">
      <formula>ya=2011</formula>
    </cfRule>
  </conditionalFormatting>
  <conditionalFormatting sqref="H55">
    <cfRule type="expression" dxfId="436" priority="1">
      <formula>$L$2=2015</formula>
    </cfRule>
  </conditionalFormatting>
  <conditionalFormatting sqref="J8">
    <cfRule type="cellIs" dxfId="435" priority="3" stopIfTrue="1" operator="equal">
      <formula>re</formula>
    </cfRule>
  </conditionalFormatting>
  <dataValidations count="11">
    <dataValidation operator="greaterThan" allowBlank="1" showInputMessage="1" showErrorMessage="1" errorTitle="Unclaimed deduction(s) b/fwd" error="Figure must be greater than 0!" sqref="H61" xr:uid="{00000000-0002-0000-4700-000000000000}"/>
    <dataValidation type="whole" operator="greaterThanOrEqual" allowBlank="1" showInputMessage="1" showErrorMessage="1" errorTitle="Unclaimed deduction(s) b/fwd" error="Figure must be greater than 0!" sqref="H55" xr:uid="{00000000-0002-0000-4700-000001000000}">
      <formula1>0</formula1>
    </dataValidation>
    <dataValidation type="whole" operator="greaterThanOrEqual" allowBlank="1" showInputMessage="1" showErrorMessage="1" errorTitle="Deductions claimed" error="Figure must be greater than 0!_x000a_" sqref="H59" xr:uid="{00000000-0002-0000-4700-000002000000}">
      <formula1>0</formula1>
    </dataValidation>
    <dataValidation type="whole" operator="greaterThan" allowBlank="1" showInputMessage="1" showErrorMessage="1" errorTitle="Unclaimed deduction(s) b/fwd" error="Figure must be greater than 0!" sqref="H57" xr:uid="{00000000-0002-0000-4700-000003000000}">
      <formula1>0</formula1>
    </dataValidation>
    <dataValidation type="date" allowBlank="1" showInputMessage="1" showErrorMessage="1" errorTitle="Date" error="Date that must be within the current year of assessment!" promptTitle="Date format" prompt="dd/mm/yyyy" sqref="F12:F52" xr:uid="{00000000-0002-0000-4700-000004000000}">
      <formula1>DATE(ya-1,1,1)</formula1>
      <formula2>DATE(ya-1,12,31)</formula2>
    </dataValidation>
    <dataValidation type="whole" operator="greaterThan" allowBlank="1" showInputMessage="1" showErrorMessage="1" errorTitle="Number of employees" error="Number of employees must be greater than 0!" sqref="G12" xr:uid="{00000000-0002-0000-4700-000005000000}">
      <formula1>0</formula1>
    </dataValidation>
    <dataValidation type="list" allowBlank="1" showInputMessage="1" showErrorMessage="1" sqref="D12:D17 C12:C52 D51:D52" xr:uid="{00000000-0002-0000-4700-000006000000}">
      <formula1>$Q$2:$Q$4</formula1>
    </dataValidation>
    <dataValidation operator="greaterThanOrEqual" allowBlank="1" showInputMessage="1" showErrorMessage="1" errorTitle="Amount of donation under Rule 3" error="Please enter a positive whole number! _x000a_OR_x000a_Cannot be less than Lm1,000!" sqref="G13:G52 H12:H52" xr:uid="{00000000-0002-0000-4700-000007000000}"/>
    <dataValidation type="textLength" errorStyle="warning" operator="greaterThanOrEqual" allowBlank="1" showInputMessage="1" showErrorMessage="1" errorTitle="Certificate Reference" error="Please enter the correct reference!" sqref="E12:E52" xr:uid="{00000000-0002-0000-4700-000008000000}">
      <formula1>4</formula1>
    </dataValidation>
    <dataValidation type="list" allowBlank="1" showInputMessage="1" showErrorMessage="1" sqref="H8" xr:uid="{00000000-0002-0000-4700-000009000000}">
      <formula1>yn</formula1>
    </dataValidation>
    <dataValidation type="list" allowBlank="1" showInputMessage="1" showErrorMessage="1" sqref="F64" xr:uid="{00000000-0002-0000-4700-00000A000000}">
      <formula1>$U$2:$U$4</formula1>
    </dataValidation>
  </dataValidations>
  <hyperlinks>
    <hyperlink ref="C68" location="Index!A1" display="BACK TO INDEX" xr:uid="{00000000-0004-0000-4700-000000000000}"/>
    <hyperlink ref="G59" location="'TRA60'!C46" display="TRA 60" xr:uid="{00000000-0004-0000-4700-000001000000}"/>
  </hyperlinks>
  <pageMargins left="0.70866141732283472" right="0.70866141732283472" top="0.74803149606299213" bottom="0.74803149606299213" header="0.31496062992125984" footer="0.31496062992125984"/>
  <pageSetup paperSize="9" orientation="landscape" r:id="rId1"/>
  <headerFooter>
    <oddFooter>&amp;LName&amp;CSignature&amp;RDate</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81">
    <pageSetUpPr fitToPage="1"/>
  </sheetPr>
  <dimension ref="A1:BD70"/>
  <sheetViews>
    <sheetView showGridLines="0" topLeftCell="B1" zoomScaleNormal="100" workbookViewId="0">
      <selection activeCell="D18" sqref="D18"/>
    </sheetView>
  </sheetViews>
  <sheetFormatPr defaultColWidth="0" defaultRowHeight="12.75" customHeight="1" zeroHeight="1" x14ac:dyDescent="0.2"/>
  <cols>
    <col min="1" max="1" width="2.5703125" style="1736" hidden="1" customWidth="1"/>
    <col min="2" max="2" width="1.7109375" style="1736" customWidth="1"/>
    <col min="3" max="3" width="9.28515625" style="1736" customWidth="1"/>
    <col min="4" max="4" width="13" style="1736" customWidth="1"/>
    <col min="5" max="5" width="20.28515625" style="1736" customWidth="1"/>
    <col min="6" max="6" width="12.28515625" style="1736" customWidth="1"/>
    <col min="7" max="9" width="13.5703125" style="1736" customWidth="1"/>
    <col min="10" max="11" width="11.7109375" style="1736" customWidth="1"/>
    <col min="12" max="12" width="12.7109375" style="1736" customWidth="1"/>
    <col min="13" max="13" width="18.5703125" style="1736" customWidth="1"/>
    <col min="14" max="14" width="1.5703125" style="1736" customWidth="1"/>
    <col min="15" max="15" width="3.42578125" style="1736" hidden="1" customWidth="1"/>
    <col min="16" max="16" width="2" style="1736" hidden="1" customWidth="1"/>
    <col min="17" max="18" width="3" style="1736" hidden="1" customWidth="1"/>
    <col min="19" max="19" width="2" style="1736" hidden="1" customWidth="1"/>
    <col min="20" max="22" width="7.28515625" style="1736" hidden="1" customWidth="1"/>
    <col min="23" max="23" width="9.5703125" style="1736" hidden="1" customWidth="1"/>
    <col min="24" max="56" width="7.28515625" style="1736" hidden="1" customWidth="1"/>
    <col min="57" max="16384" width="9.28515625" style="1736" hidden="1"/>
  </cols>
  <sheetData>
    <row r="1" spans="3:56" x14ac:dyDescent="0.2">
      <c r="AA1" s="1736" t="str">
        <f>CONCATENATE(C4," - ",C5)</f>
      </c>
      <c r="BA1" s="1736" t="str">
        <f>cur</f>
      </c>
    </row>
    <row r="2" spans="3:56" x14ac:dyDescent="0.2">
      <c r="C2" s="5120" t="str">
        <f>_ref1</f>
      </c>
      <c r="D2" s="5120"/>
      <c r="E2" s="5120"/>
      <c r="F2" s="5120"/>
      <c r="G2" s="5120"/>
      <c r="H2" s="5120"/>
      <c r="I2" s="5120"/>
      <c r="J2" s="5120"/>
      <c r="K2" s="1957"/>
      <c r="L2" s="1760" t="str">
        <f>_YA1</f>
      </c>
      <c r="M2" s="1748"/>
      <c r="N2" s="1518"/>
      <c r="T2" s="1736" t="s">
        <v>7003</v>
      </c>
      <c r="U2" s="1736">
        <f>ya</f>
      </c>
      <c r="BA2" s="1736" t="s">
        <v>4591</v>
      </c>
    </row>
    <row r="3" spans="3:56" x14ac:dyDescent="0.2">
      <c r="M3" s="1749"/>
      <c r="O3" s="1518"/>
      <c r="T3" s="1736" t="s">
        <v>7004</v>
      </c>
      <c r="U3" s="1736">
        <f>U2-1</f>
      </c>
      <c r="Y3" s="1736" t="s">
        <v>4457</v>
      </c>
    </row>
    <row r="4" spans="3:56" ht="15" x14ac:dyDescent="0.2">
      <c r="C4" s="1737" t="s">
        <v>7005</v>
      </c>
      <c r="D4" s="1750"/>
      <c r="E4" s="1534"/>
      <c r="F4" s="1534"/>
      <c r="G4" s="1534"/>
      <c r="H4" s="1534"/>
      <c r="I4" s="1534"/>
      <c r="J4" s="1534"/>
      <c r="K4" s="1534"/>
      <c r="L4" s="1534"/>
      <c r="M4" s="1535"/>
      <c r="N4" s="30"/>
      <c r="O4" s="1518"/>
      <c r="T4" s="1760" t="s">
        <v>7006</v>
      </c>
      <c r="U4" s="1736">
        <f>IF(U3=2014,2014,IF(U3=2015,2014,IF(U3=2016,2014,U3-2)))</f>
      </c>
      <c r="Y4" s="1736" t="s">
        <v>1736</v>
      </c>
    </row>
    <row r="5" spans="3:56" ht="15" x14ac:dyDescent="0.2">
      <c r="C5" s="1751" t="s">
        <v>7007</v>
      </c>
      <c r="D5" s="1752"/>
      <c r="E5" s="1536"/>
      <c r="F5" s="1536"/>
      <c r="G5" s="1536"/>
      <c r="H5" s="1536"/>
      <c r="I5" s="1536"/>
      <c r="J5" s="1536"/>
      <c r="K5" s="1536"/>
      <c r="L5" s="1536"/>
      <c r="M5" s="1537"/>
      <c r="N5" s="30"/>
      <c r="O5" s="1518"/>
      <c r="T5" s="1760"/>
    </row>
    <row r="6" spans="3:56" ht="3.75" customHeight="1" x14ac:dyDescent="0.2">
      <c r="C6" s="1753"/>
      <c r="E6" s="1583"/>
      <c r="F6" s="1583"/>
      <c r="G6" s="1583"/>
      <c r="H6" s="1583"/>
      <c r="I6" s="1583"/>
      <c r="J6" s="1583"/>
      <c r="K6" s="1583"/>
      <c r="L6" s="1583"/>
      <c r="M6" s="1754"/>
      <c r="N6" s="30"/>
      <c r="O6" s="1518"/>
      <c r="T6" s="1760"/>
    </row>
    <row r="7" spans="3:56" x14ac:dyDescent="0.2">
      <c r="C7" s="1755" t="s">
        <v>7008</v>
      </c>
      <c r="D7" s="1756"/>
      <c r="E7" s="1756"/>
      <c r="F7" s="1756"/>
      <c r="G7" s="1756"/>
      <c r="H7" s="1756"/>
      <c r="I7" s="1756"/>
      <c r="J7" s="1756"/>
      <c r="K7" s="1756"/>
      <c r="L7" s="1756"/>
      <c r="M7" s="1757"/>
      <c r="N7" s="30"/>
      <c r="O7" s="1518"/>
    </row>
    <row r="8" spans="3:56" ht="3" customHeight="1" x14ac:dyDescent="0.2">
      <c r="C8" s="1745"/>
      <c r="D8" s="1745"/>
      <c r="E8" s="1745"/>
      <c r="F8" s="1745"/>
      <c r="G8" s="1745"/>
      <c r="H8" s="1745"/>
      <c r="I8" s="1745"/>
      <c r="J8" s="1745"/>
      <c r="K8" s="1745"/>
      <c r="L8" s="1745"/>
      <c r="M8" s="1842"/>
      <c r="N8" s="30"/>
      <c r="O8" s="1518"/>
    </row>
    <row r="9" spans="3:56" ht="3" customHeight="1" x14ac:dyDescent="0.2">
      <c r="C9" s="1745"/>
      <c r="D9" s="1745"/>
      <c r="E9" s="1745"/>
      <c r="F9" s="1745"/>
      <c r="G9" s="1745"/>
      <c r="H9" s="1745"/>
      <c r="I9" s="1745"/>
      <c r="J9" s="1745"/>
      <c r="K9" s="1745"/>
      <c r="L9" s="1745"/>
      <c r="M9" s="1745"/>
      <c r="O9" s="1518"/>
    </row>
    <row r="10" spans="3:56" x14ac:dyDescent="0.2">
      <c r="C10" s="1850" t="s">
        <v>2206</v>
      </c>
      <c r="D10" s="1850"/>
      <c r="E10" s="1850"/>
      <c r="F10" s="1850"/>
      <c r="G10" s="1850"/>
      <c r="H10" s="1850"/>
      <c r="I10" s="1850"/>
      <c r="J10" s="1850"/>
      <c r="K10" s="1850"/>
      <c r="L10" s="1740"/>
      <c r="M10" s="1843" t="str">
        <f>IF(AND(Q69&gt;0,L10=""),re,IF(L10=Y$4,"No deduction!",""))</f>
        <v/>
      </c>
      <c r="N10" s="1541"/>
      <c r="O10" s="1518"/>
      <c r="P10" s="1736">
        <f>IF(M10=re,1,0)</f>
      </c>
      <c r="Q10" s="1736">
        <f>COUNTA(L10)</f>
      </c>
      <c r="R10" s="1736">
        <f>IF(Q10=0,0,1)</f>
      </c>
    </row>
    <row r="11" spans="3:56" ht="0.75" customHeight="1" x14ac:dyDescent="0.2">
      <c r="C11" s="1745"/>
      <c r="D11" s="1745"/>
      <c r="E11" s="1745"/>
      <c r="F11" s="1745"/>
      <c r="G11" s="1745"/>
      <c r="H11" s="1745"/>
      <c r="I11" s="1745"/>
      <c r="J11" s="1745"/>
      <c r="K11" s="1745"/>
      <c r="L11" s="1739"/>
      <c r="M11" s="1745"/>
      <c r="O11" s="1518"/>
    </row>
    <row r="12" spans="3:56" ht="3" customHeight="1" x14ac:dyDescent="0.2">
      <c r="C12" s="1745"/>
      <c r="D12" s="1745"/>
      <c r="E12" s="1745"/>
      <c r="F12" s="1745"/>
      <c r="G12" s="1745"/>
      <c r="H12" s="1745"/>
      <c r="I12" s="1745"/>
      <c r="J12" s="1745"/>
      <c r="K12" s="1745"/>
      <c r="L12" s="1745"/>
      <c r="M12" s="1745"/>
      <c r="O12" s="1518"/>
    </row>
    <row r="13" spans="3:56" ht="63.75" x14ac:dyDescent="0.2">
      <c r="C13" s="1758" t="s">
        <v>7009</v>
      </c>
      <c r="D13" s="1758" t="s">
        <v>7010</v>
      </c>
      <c r="E13" s="1758" t="s">
        <v>657</v>
      </c>
      <c r="F13" s="1741" t="s">
        <v>7011</v>
      </c>
      <c r="G13" s="1741" t="str">
        <f>CONCATENATE("Was training provided to qualifying employee in ",U3,"?")</f>
      </c>
      <c r="H13" s="1741" t="s">
        <v>7012</v>
      </c>
      <c r="I13" s="1741" t="s">
        <v>7013</v>
      </c>
      <c r="J13" s="1741" t="s">
        <v>7014</v>
      </c>
      <c r="K13" s="1741" t="s">
        <v>7015</v>
      </c>
      <c r="L13" s="1741" t="s">
        <v>7016</v>
      </c>
      <c r="M13" s="1745"/>
      <c r="O13" s="1518"/>
      <c r="U13" s="5121" t="s">
        <v>7017</v>
      </c>
      <c r="V13" s="5122"/>
      <c r="W13" s="5123"/>
      <c r="X13" s="1851" t="s">
        <v>6940</v>
      </c>
    </row>
    <row r="14" spans="3:56" x14ac:dyDescent="0.2">
      <c r="C14" s="201"/>
      <c r="D14" s="201"/>
      <c r="E14" s="201"/>
      <c r="F14" s="202"/>
      <c r="G14" s="1740"/>
      <c r="H14" s="1759"/>
      <c r="I14" s="1542"/>
      <c r="J14" s="1542"/>
      <c r="K14" s="1542"/>
      <c r="L14" s="1543">
        <f t="shared" ref="L14:L20" si="0">J14+K14</f>
      </c>
      <c r="M14" s="1844" t="str">
        <f>IF(AND(L10="Yes",X14=0),re,IF(X14=0,"",IF(G14="","&lt;All data!",IF(AND(G14="no",X14&lt;6),"&lt;All data!",IF(AND(G14="yes",X14&lt;8),"&lt;All data!",IF(AND(BA1=BA2,L14&gt;6200),"Excessive deduction!",""))))))</f>
        <v/>
      </c>
      <c r="N14" s="1742"/>
      <c r="O14" s="1518"/>
      <c r="P14" s="1736">
        <f t="shared" ref="P14:P20" si="1">IF(M14="",0,1)</f>
      </c>
      <c r="Q14" s="1736">
        <f t="shared" ref="Q14:Q20" si="2">IF(X14=0,0,1)</f>
      </c>
      <c r="U14" s="1852">
        <f t="shared" ref="U14:U20" si="3">COUNTA(C14:F14)</f>
      </c>
      <c r="V14" s="1736">
        <f t="shared" ref="V14:V20" si="4">IF(G14="",0,IF(G14="no",1,IF(G14="yes",COUNTA(G14:I14))))</f>
      </c>
      <c r="W14" s="1853">
        <f t="shared" ref="W14:W20" si="5">COUNTA(K14)</f>
      </c>
      <c r="X14" s="1853">
        <f t="shared" ref="X14:X20" si="6">SUM(U14:W14)</f>
      </c>
      <c r="Y14" s="1736">
        <f t="shared" ref="Y14:Y20" si="7">IF(X14=0,0,1)</f>
      </c>
      <c r="BA14" s="1949"/>
      <c r="BB14" s="1949"/>
      <c r="BD14" s="1949"/>
    </row>
    <row r="15" spans="3:56" x14ac:dyDescent="0.2">
      <c r="C15" s="201"/>
      <c r="D15" s="201"/>
      <c r="E15" s="201"/>
      <c r="F15" s="202"/>
      <c r="G15" s="1740"/>
      <c r="H15" s="1759"/>
      <c r="I15" s="1542"/>
      <c r="J15" s="1542"/>
      <c r="K15" s="1542"/>
      <c r="L15" s="1543">
        <f t="shared" si="0"/>
        <v>0</v>
      </c>
      <c r="M15" s="1844" t="str">
        <f t="shared" ref="M15:M20" si="8">IF(X15=0,"",IF(AND($L$10="Yes",X15=0),re,IF(G15="","&lt;All data!",IF(AND(G15="no",X15&lt;6),"&lt;All data!",IF(AND(G15="yes",X15&lt;8),"&lt;All data!",IF(AND($BA$1=$BA$2,L15&gt;6200),"Excessive deduction!",""))))))</f>
        <v/>
      </c>
      <c r="N15" s="1742"/>
      <c r="O15" s="1518"/>
      <c r="P15" s="1736">
        <f t="shared" si="1"/>
        <v>0</v>
      </c>
      <c r="Q15" s="1736">
        <f t="shared" si="2"/>
        <v>0</v>
      </c>
      <c r="U15" s="1852">
        <f t="shared" si="3"/>
        <v>0</v>
      </c>
      <c r="V15" s="1736">
        <f t="shared" si="4"/>
        <v>0</v>
      </c>
      <c r="W15" s="1853">
        <f t="shared" si="5"/>
        <v>0</v>
      </c>
      <c r="X15" s="1853">
        <f t="shared" si="6"/>
        <v>0</v>
      </c>
      <c r="Y15" s="1736">
        <f t="shared" si="7"/>
        <v>0</v>
      </c>
    </row>
    <row r="16" spans="3:56" x14ac:dyDescent="0.2">
      <c r="C16" s="201"/>
      <c r="D16" s="201"/>
      <c r="E16" s="201"/>
      <c r="F16" s="202"/>
      <c r="G16" s="1740"/>
      <c r="H16" s="1759"/>
      <c r="I16" s="1542"/>
      <c r="J16" s="1542"/>
      <c r="K16" s="1542"/>
      <c r="L16" s="1543">
        <f t="shared" si="0"/>
        <v>0</v>
      </c>
      <c r="M16" s="1844" t="str">
        <f t="shared" si="8"/>
        <v/>
      </c>
      <c r="N16" s="1742"/>
      <c r="O16" s="1518"/>
      <c r="P16" s="1736">
        <f t="shared" si="1"/>
        <v>0</v>
      </c>
      <c r="Q16" s="1736">
        <f t="shared" si="2"/>
        <v>0</v>
      </c>
      <c r="U16" s="1852">
        <f t="shared" si="3"/>
        <v>0</v>
      </c>
      <c r="V16" s="1736">
        <f t="shared" si="4"/>
        <v>0</v>
      </c>
      <c r="W16" s="1853">
        <f t="shared" si="5"/>
        <v>0</v>
      </c>
      <c r="X16" s="1853">
        <f t="shared" si="6"/>
        <v>0</v>
      </c>
      <c r="Y16" s="1736">
        <f t="shared" si="7"/>
        <v>0</v>
      </c>
    </row>
    <row r="17" spans="3:25" x14ac:dyDescent="0.2">
      <c r="C17" s="201"/>
      <c r="D17" s="201"/>
      <c r="E17" s="201"/>
      <c r="F17" s="202"/>
      <c r="G17" s="1740"/>
      <c r="H17" s="1759"/>
      <c r="I17" s="1542"/>
      <c r="J17" s="1542"/>
      <c r="K17" s="1542"/>
      <c r="L17" s="1543">
        <f t="shared" si="0"/>
        <v>0</v>
      </c>
      <c r="M17" s="1844" t="str">
        <f t="shared" si="8"/>
        <v/>
      </c>
      <c r="N17" s="1742"/>
      <c r="O17" s="1518"/>
      <c r="P17" s="1736">
        <f t="shared" si="1"/>
        <v>0</v>
      </c>
      <c r="Q17" s="1736">
        <f t="shared" si="2"/>
        <v>0</v>
      </c>
      <c r="U17" s="1852">
        <f t="shared" si="3"/>
        <v>0</v>
      </c>
      <c r="V17" s="1736">
        <f t="shared" si="4"/>
        <v>0</v>
      </c>
      <c r="W17" s="1853">
        <f t="shared" si="5"/>
        <v>0</v>
      </c>
      <c r="X17" s="1853">
        <f t="shared" si="6"/>
        <v>0</v>
      </c>
      <c r="Y17" s="1736">
        <f t="shared" si="7"/>
        <v>0</v>
      </c>
    </row>
    <row r="18" spans="3:25" x14ac:dyDescent="0.2">
      <c r="C18" s="201"/>
      <c r="D18" s="201"/>
      <c r="E18" s="201"/>
      <c r="F18" s="202"/>
      <c r="G18" s="1740"/>
      <c r="H18" s="1759"/>
      <c r="I18" s="1542"/>
      <c r="J18" s="1542"/>
      <c r="K18" s="1542"/>
      <c r="L18" s="1543">
        <f t="shared" si="0"/>
        <v>0</v>
      </c>
      <c r="M18" s="1844" t="str">
        <f t="shared" si="8"/>
        <v/>
      </c>
      <c r="N18" s="1742"/>
      <c r="O18" s="1518"/>
      <c r="P18" s="1736">
        <f t="shared" si="1"/>
        <v>0</v>
      </c>
      <c r="Q18" s="1736">
        <f t="shared" si="2"/>
        <v>0</v>
      </c>
      <c r="U18" s="1852">
        <f t="shared" si="3"/>
        <v>0</v>
      </c>
      <c r="V18" s="1736">
        <f t="shared" si="4"/>
        <v>0</v>
      </c>
      <c r="W18" s="1853">
        <f t="shared" si="5"/>
        <v>0</v>
      </c>
      <c r="X18" s="1853">
        <f t="shared" si="6"/>
        <v>0</v>
      </c>
      <c r="Y18" s="1736">
        <f t="shared" si="7"/>
        <v>0</v>
      </c>
    </row>
    <row r="19" spans="3:25" x14ac:dyDescent="0.2">
      <c r="C19" s="201"/>
      <c r="D19" s="201"/>
      <c r="E19" s="201"/>
      <c r="F19" s="202"/>
      <c r="G19" s="1740"/>
      <c r="H19" s="1759"/>
      <c r="I19" s="1542"/>
      <c r="J19" s="1542"/>
      <c r="K19" s="1542"/>
      <c r="L19" s="1543">
        <f t="shared" si="0"/>
        <v>0</v>
      </c>
      <c r="M19" s="1844" t="str">
        <f t="shared" si="8"/>
        <v/>
      </c>
      <c r="N19" s="1742"/>
      <c r="O19" s="1518"/>
      <c r="P19" s="1736">
        <f t="shared" si="1"/>
        <v>0</v>
      </c>
      <c r="Q19" s="1736">
        <f t="shared" si="2"/>
        <v>0</v>
      </c>
      <c r="U19" s="1852">
        <f t="shared" si="3"/>
        <v>0</v>
      </c>
      <c r="V19" s="1736">
        <f t="shared" si="4"/>
        <v>0</v>
      </c>
      <c r="W19" s="1853">
        <f t="shared" si="5"/>
        <v>0</v>
      </c>
      <c r="X19" s="1853">
        <f t="shared" si="6"/>
        <v>0</v>
      </c>
      <c r="Y19" s="1736">
        <f t="shared" si="7"/>
        <v>0</v>
      </c>
    </row>
    <row r="20" spans="3:25" x14ac:dyDescent="0.2">
      <c r="C20" s="201"/>
      <c r="D20" s="201"/>
      <c r="E20" s="201"/>
      <c r="F20" s="202"/>
      <c r="G20" s="1740"/>
      <c r="H20" s="1759"/>
      <c r="I20" s="1542"/>
      <c r="J20" s="1542"/>
      <c r="K20" s="1542"/>
      <c r="L20" s="1543">
        <f t="shared" si="0"/>
        <v>0</v>
      </c>
      <c r="M20" s="1844" t="str">
        <f t="shared" si="8"/>
        <v/>
      </c>
      <c r="N20" s="1742"/>
      <c r="O20" s="1518"/>
      <c r="P20" s="1736">
        <f t="shared" si="1"/>
        <v>0</v>
      </c>
      <c r="Q20" s="1736">
        <f t="shared" si="2"/>
        <v>0</v>
      </c>
      <c r="U20" s="1852">
        <f t="shared" si="3"/>
        <v>0</v>
      </c>
      <c r="V20" s="1736">
        <f t="shared" si="4"/>
        <v>0</v>
      </c>
      <c r="W20" s="1853">
        <f t="shared" si="5"/>
        <v>0</v>
      </c>
      <c r="X20" s="1853">
        <f t="shared" si="6"/>
        <v>0</v>
      </c>
      <c r="Y20" s="1736">
        <f t="shared" si="7"/>
        <v>0</v>
      </c>
    </row>
    <row r="21" spans="3:25" x14ac:dyDescent="0.2">
      <c r="C21" s="201"/>
      <c r="D21" s="201"/>
      <c r="E21" s="201"/>
      <c r="F21" s="202"/>
      <c r="G21" s="1740"/>
      <c r="H21" s="1759"/>
      <c r="I21" s="1542"/>
      <c r="J21" s="1542"/>
      <c r="K21" s="1542"/>
      <c r="L21" s="1543">
        <f t="shared" ref="L21:L50" si="9">J21+K21</f>
      </c>
      <c r="M21" s="1844" t="str">
        <f t="shared" ref="M21:M50" si="10">IF(X21=0,"",IF(AND($L$10="Yes",X21=0),re,IF(G21="","&lt;All data!",IF(AND(G21="no",X21&lt;6),"&lt;All data!",IF(AND(G21="yes",X21&lt;8),"&lt;All data!",IF(AND($BA$1=$BA$2,L21&gt;6200),"Excessive deduction!",""))))))</f>
        <v/>
      </c>
      <c r="N21" s="1742"/>
      <c r="O21" s="1518"/>
      <c r="P21" s="1736">
        <f t="shared" ref="P21:P50" si="11">IF(M21="",0,1)</f>
      </c>
      <c r="Q21" s="1736">
        <f t="shared" ref="Q21:Q50" si="12">IF(X21=0,0,1)</f>
      </c>
      <c r="U21" s="1852">
        <f t="shared" ref="U21:U50" si="13">COUNTA(C21:F21)</f>
      </c>
      <c r="V21" s="1736">
        <f t="shared" ref="V21:V50" si="14">IF(G21="",0,IF(G21="no",1,IF(G21="yes",COUNTA(G21:I21))))</f>
      </c>
      <c r="W21" s="1853">
        <f t="shared" ref="W21:W50" si="15">COUNTA(K21)</f>
      </c>
      <c r="X21" s="1853">
        <f t="shared" ref="X21:X50" si="16">SUM(U21:W21)</f>
      </c>
      <c r="Y21" s="1736">
        <f t="shared" ref="Y21:Y50" si="17">IF(X21=0,0,1)</f>
      </c>
    </row>
    <row r="22" spans="3:25" x14ac:dyDescent="0.2">
      <c r="C22" s="201"/>
      <c r="D22" s="201"/>
      <c r="E22" s="201"/>
      <c r="F22" s="202"/>
      <c r="G22" s="1740"/>
      <c r="H22" s="1759"/>
      <c r="I22" s="1542"/>
      <c r="J22" s="1542"/>
      <c r="K22" s="1542"/>
      <c r="L22" s="1543">
        <f t="shared" si="9"/>
        <v>0</v>
      </c>
      <c r="M22" s="1844" t="str">
        <f t="shared" si="10"/>
        <v/>
      </c>
      <c r="N22" s="1742"/>
      <c r="O22" s="1518"/>
      <c r="P22" s="1736">
        <f t="shared" si="11"/>
        <v>0</v>
      </c>
      <c r="Q22" s="1736">
        <f t="shared" si="12"/>
        <v>0</v>
      </c>
      <c r="U22" s="1852">
        <f t="shared" si="13"/>
        <v>0</v>
      </c>
      <c r="V22" s="1736">
        <f t="shared" si="14"/>
        <v>0</v>
      </c>
      <c r="W22" s="1853">
        <f t="shared" si="15"/>
        <v>0</v>
      </c>
      <c r="X22" s="1853">
        <f t="shared" si="16"/>
        <v>0</v>
      </c>
      <c r="Y22" s="1736">
        <f t="shared" si="17"/>
        <v>0</v>
      </c>
    </row>
    <row r="23" spans="3:25" x14ac:dyDescent="0.2">
      <c r="C23" s="201"/>
      <c r="D23" s="201"/>
      <c r="E23" s="201"/>
      <c r="F23" s="202"/>
      <c r="G23" s="1740"/>
      <c r="H23" s="1759"/>
      <c r="I23" s="1542"/>
      <c r="J23" s="1542"/>
      <c r="K23" s="1542"/>
      <c r="L23" s="1543">
        <f t="shared" si="9"/>
        <v>0</v>
      </c>
      <c r="M23" s="1844" t="str">
        <f t="shared" si="10"/>
        <v/>
      </c>
      <c r="N23" s="1742"/>
      <c r="O23" s="1518"/>
      <c r="P23" s="1736">
        <f t="shared" si="11"/>
        <v>0</v>
      </c>
      <c r="Q23" s="1736">
        <f t="shared" si="12"/>
        <v>0</v>
      </c>
      <c r="U23" s="1852">
        <f t="shared" si="13"/>
        <v>0</v>
      </c>
      <c r="V23" s="1736">
        <f t="shared" si="14"/>
        <v>0</v>
      </c>
      <c r="W23" s="1853">
        <f t="shared" si="15"/>
        <v>0</v>
      </c>
      <c r="X23" s="1853">
        <f t="shared" si="16"/>
        <v>0</v>
      </c>
      <c r="Y23" s="1736">
        <f t="shared" si="17"/>
        <v>0</v>
      </c>
    </row>
    <row r="24" spans="3:25" x14ac:dyDescent="0.2">
      <c r="C24" s="201"/>
      <c r="D24" s="201"/>
      <c r="E24" s="201"/>
      <c r="F24" s="202"/>
      <c r="G24" s="1740"/>
      <c r="H24" s="1759"/>
      <c r="I24" s="1542"/>
      <c r="J24" s="1542"/>
      <c r="K24" s="1542"/>
      <c r="L24" s="1543">
        <f t="shared" si="9"/>
        <v>0</v>
      </c>
      <c r="M24" s="1844" t="str">
        <f t="shared" si="10"/>
        <v/>
      </c>
      <c r="N24" s="1742"/>
      <c r="O24" s="1518"/>
      <c r="P24" s="1736">
        <f t="shared" si="11"/>
        <v>0</v>
      </c>
      <c r="Q24" s="1736">
        <f t="shared" si="12"/>
        <v>0</v>
      </c>
      <c r="U24" s="1852">
        <f t="shared" si="13"/>
        <v>0</v>
      </c>
      <c r="V24" s="1736">
        <f t="shared" si="14"/>
        <v>0</v>
      </c>
      <c r="W24" s="1853">
        <f t="shared" si="15"/>
        <v>0</v>
      </c>
      <c r="X24" s="1853">
        <f t="shared" si="16"/>
        <v>0</v>
      </c>
      <c r="Y24" s="1736">
        <f t="shared" si="17"/>
        <v>0</v>
      </c>
    </row>
    <row r="25" spans="3:25" x14ac:dyDescent="0.2">
      <c r="C25" s="201"/>
      <c r="D25" s="201"/>
      <c r="E25" s="201"/>
      <c r="F25" s="202"/>
      <c r="G25" s="1740"/>
      <c r="H25" s="1759"/>
      <c r="I25" s="1542"/>
      <c r="J25" s="1542"/>
      <c r="K25" s="1542"/>
      <c r="L25" s="1543">
        <f t="shared" si="9"/>
        <v>0</v>
      </c>
      <c r="M25" s="1844" t="str">
        <f t="shared" si="10"/>
        <v/>
      </c>
      <c r="N25" s="1742"/>
      <c r="O25" s="1518"/>
      <c r="P25" s="1736">
        <f t="shared" si="11"/>
        <v>0</v>
      </c>
      <c r="Q25" s="1736">
        <f t="shared" si="12"/>
        <v>0</v>
      </c>
      <c r="U25" s="1852">
        <f t="shared" si="13"/>
        <v>0</v>
      </c>
      <c r="V25" s="1736">
        <f t="shared" si="14"/>
        <v>0</v>
      </c>
      <c r="W25" s="1853">
        <f t="shared" si="15"/>
        <v>0</v>
      </c>
      <c r="X25" s="1853">
        <f t="shared" si="16"/>
        <v>0</v>
      </c>
      <c r="Y25" s="1736">
        <f t="shared" si="17"/>
        <v>0</v>
      </c>
    </row>
    <row r="26" spans="3:25" x14ac:dyDescent="0.2">
      <c r="C26" s="201"/>
      <c r="D26" s="201"/>
      <c r="E26" s="201"/>
      <c r="F26" s="202"/>
      <c r="G26" s="1740"/>
      <c r="H26" s="1759"/>
      <c r="I26" s="1542"/>
      <c r="J26" s="1542"/>
      <c r="K26" s="1542"/>
      <c r="L26" s="1543">
        <f t="shared" si="9"/>
        <v>0</v>
      </c>
      <c r="M26" s="1844" t="str">
        <f t="shared" si="10"/>
        <v/>
      </c>
      <c r="N26" s="1742"/>
      <c r="O26" s="1518"/>
      <c r="P26" s="1736">
        <f t="shared" si="11"/>
        <v>0</v>
      </c>
      <c r="Q26" s="1736">
        <f t="shared" si="12"/>
        <v>0</v>
      </c>
      <c r="U26" s="1852">
        <f t="shared" si="13"/>
        <v>0</v>
      </c>
      <c r="V26" s="1736">
        <f t="shared" si="14"/>
        <v>0</v>
      </c>
      <c r="W26" s="1853">
        <f t="shared" si="15"/>
        <v>0</v>
      </c>
      <c r="X26" s="1853">
        <f t="shared" si="16"/>
        <v>0</v>
      </c>
      <c r="Y26" s="1736">
        <f t="shared" si="17"/>
        <v>0</v>
      </c>
    </row>
    <row r="27" spans="3:25" x14ac:dyDescent="0.2">
      <c r="C27" s="201"/>
      <c r="D27" s="201"/>
      <c r="E27" s="201"/>
      <c r="F27" s="202"/>
      <c r="G27" s="1740"/>
      <c r="H27" s="1759"/>
      <c r="I27" s="1542"/>
      <c r="J27" s="1542"/>
      <c r="K27" s="1542"/>
      <c r="L27" s="1543">
        <f t="shared" si="9"/>
        <v>0</v>
      </c>
      <c r="M27" s="1844" t="str">
        <f t="shared" si="10"/>
        <v/>
      </c>
      <c r="N27" s="1742"/>
      <c r="O27" s="1518"/>
      <c r="P27" s="1736">
        <f t="shared" si="11"/>
        <v>0</v>
      </c>
      <c r="Q27" s="1736">
        <f t="shared" si="12"/>
        <v>0</v>
      </c>
      <c r="U27" s="1852">
        <f t="shared" si="13"/>
        <v>0</v>
      </c>
      <c r="V27" s="1736">
        <f t="shared" si="14"/>
        <v>0</v>
      </c>
      <c r="W27" s="1853">
        <f t="shared" si="15"/>
        <v>0</v>
      </c>
      <c r="X27" s="1853">
        <f t="shared" si="16"/>
        <v>0</v>
      </c>
      <c r="Y27" s="1736">
        <f t="shared" si="17"/>
        <v>0</v>
      </c>
    </row>
    <row r="28" spans="3:25" x14ac:dyDescent="0.2">
      <c r="C28" s="201"/>
      <c r="D28" s="201"/>
      <c r="E28" s="201"/>
      <c r="F28" s="202"/>
      <c r="G28" s="1740"/>
      <c r="H28" s="1759"/>
      <c r="I28" s="1542"/>
      <c r="J28" s="1542"/>
      <c r="K28" s="1542"/>
      <c r="L28" s="1543">
        <f t="shared" si="9"/>
        <v>0</v>
      </c>
      <c r="M28" s="1844" t="str">
        <f t="shared" si="10"/>
        <v/>
      </c>
      <c r="N28" s="1742"/>
      <c r="O28" s="1518"/>
      <c r="P28" s="1736">
        <f t="shared" si="11"/>
        <v>0</v>
      </c>
      <c r="Q28" s="1736">
        <f t="shared" si="12"/>
        <v>0</v>
      </c>
      <c r="U28" s="1852">
        <f t="shared" si="13"/>
        <v>0</v>
      </c>
      <c r="V28" s="1736">
        <f t="shared" si="14"/>
        <v>0</v>
      </c>
      <c r="W28" s="1853">
        <f t="shared" si="15"/>
        <v>0</v>
      </c>
      <c r="X28" s="1853">
        <f t="shared" si="16"/>
        <v>0</v>
      </c>
      <c r="Y28" s="1736">
        <f t="shared" si="17"/>
        <v>0</v>
      </c>
    </row>
    <row r="29" spans="3:25" x14ac:dyDescent="0.2">
      <c r="C29" s="201"/>
      <c r="D29" s="201"/>
      <c r="E29" s="201"/>
      <c r="F29" s="202"/>
      <c r="G29" s="1740"/>
      <c r="H29" s="1759"/>
      <c r="I29" s="1542"/>
      <c r="J29" s="1542"/>
      <c r="K29" s="1542"/>
      <c r="L29" s="1543">
        <f t="shared" si="9"/>
        <v>0</v>
      </c>
      <c r="M29" s="1844" t="str">
        <f t="shared" si="10"/>
        <v/>
      </c>
      <c r="N29" s="1742"/>
      <c r="O29" s="1518"/>
      <c r="P29" s="1736">
        <f t="shared" si="11"/>
        <v>0</v>
      </c>
      <c r="Q29" s="1736">
        <f t="shared" si="12"/>
        <v>0</v>
      </c>
      <c r="U29" s="1852">
        <f t="shared" si="13"/>
        <v>0</v>
      </c>
      <c r="V29" s="1736">
        <f t="shared" si="14"/>
        <v>0</v>
      </c>
      <c r="W29" s="1853">
        <f t="shared" si="15"/>
        <v>0</v>
      </c>
      <c r="X29" s="1853">
        <f t="shared" si="16"/>
        <v>0</v>
      </c>
      <c r="Y29" s="1736">
        <f t="shared" si="17"/>
        <v>0</v>
      </c>
    </row>
    <row r="30" spans="3:25" x14ac:dyDescent="0.2">
      <c r="C30" s="201"/>
      <c r="D30" s="201"/>
      <c r="E30" s="201"/>
      <c r="F30" s="202"/>
      <c r="G30" s="1740"/>
      <c r="H30" s="1759"/>
      <c r="I30" s="1542"/>
      <c r="J30" s="1542"/>
      <c r="K30" s="1542"/>
      <c r="L30" s="1543">
        <f t="shared" si="9"/>
        <v>0</v>
      </c>
      <c r="M30" s="1844" t="str">
        <f t="shared" si="10"/>
        <v/>
      </c>
      <c r="N30" s="1742"/>
      <c r="O30" s="1518"/>
      <c r="P30" s="1736">
        <f t="shared" si="11"/>
        <v>0</v>
      </c>
      <c r="Q30" s="1736">
        <f t="shared" si="12"/>
        <v>0</v>
      </c>
      <c r="U30" s="1852">
        <f t="shared" si="13"/>
        <v>0</v>
      </c>
      <c r="V30" s="1736">
        <f t="shared" si="14"/>
        <v>0</v>
      </c>
      <c r="W30" s="1853">
        <f t="shared" si="15"/>
        <v>0</v>
      </c>
      <c r="X30" s="1853">
        <f t="shared" si="16"/>
        <v>0</v>
      </c>
      <c r="Y30" s="1736">
        <f t="shared" si="17"/>
        <v>0</v>
      </c>
    </row>
    <row r="31" spans="3:25" x14ac:dyDescent="0.2">
      <c r="C31" s="201"/>
      <c r="D31" s="201"/>
      <c r="E31" s="201"/>
      <c r="F31" s="202"/>
      <c r="G31" s="1740"/>
      <c r="H31" s="1759"/>
      <c r="I31" s="1542"/>
      <c r="J31" s="1542"/>
      <c r="K31" s="1542"/>
      <c r="L31" s="1543">
        <f t="shared" si="9"/>
        <v>0</v>
      </c>
      <c r="M31" s="1844" t="str">
        <f t="shared" si="10"/>
        <v/>
      </c>
      <c r="N31" s="1742"/>
      <c r="O31" s="1518"/>
      <c r="P31" s="1736">
        <f t="shared" si="11"/>
        <v>0</v>
      </c>
      <c r="Q31" s="1736">
        <f t="shared" si="12"/>
        <v>0</v>
      </c>
      <c r="U31" s="1852">
        <f t="shared" si="13"/>
        <v>0</v>
      </c>
      <c r="V31" s="1736">
        <f t="shared" si="14"/>
        <v>0</v>
      </c>
      <c r="W31" s="1853">
        <f t="shared" si="15"/>
        <v>0</v>
      </c>
      <c r="X31" s="1853">
        <f t="shared" si="16"/>
        <v>0</v>
      </c>
      <c r="Y31" s="1736">
        <f t="shared" si="17"/>
        <v>0</v>
      </c>
    </row>
    <row r="32" spans="3:25" x14ac:dyDescent="0.2">
      <c r="C32" s="201"/>
      <c r="D32" s="201"/>
      <c r="E32" s="201"/>
      <c r="F32" s="202"/>
      <c r="G32" s="1740"/>
      <c r="H32" s="1759"/>
      <c r="I32" s="1542"/>
      <c r="J32" s="1542"/>
      <c r="K32" s="1542"/>
      <c r="L32" s="1543">
        <f t="shared" si="9"/>
        <v>0</v>
      </c>
      <c r="M32" s="1844" t="str">
        <f t="shared" si="10"/>
        <v/>
      </c>
      <c r="N32" s="1742"/>
      <c r="O32" s="1518"/>
      <c r="P32" s="1736">
        <f t="shared" si="11"/>
        <v>0</v>
      </c>
      <c r="Q32" s="1736">
        <f t="shared" si="12"/>
        <v>0</v>
      </c>
      <c r="U32" s="1852">
        <f t="shared" si="13"/>
        <v>0</v>
      </c>
      <c r="V32" s="1736">
        <f t="shared" si="14"/>
        <v>0</v>
      </c>
      <c r="W32" s="1853">
        <f t="shared" si="15"/>
        <v>0</v>
      </c>
      <c r="X32" s="1853">
        <f t="shared" si="16"/>
        <v>0</v>
      </c>
      <c r="Y32" s="1736">
        <f t="shared" si="17"/>
        <v>0</v>
      </c>
    </row>
    <row r="33" spans="3:25" x14ac:dyDescent="0.2">
      <c r="C33" s="201"/>
      <c r="D33" s="201"/>
      <c r="E33" s="201"/>
      <c r="F33" s="202"/>
      <c r="G33" s="1740"/>
      <c r="H33" s="1759"/>
      <c r="I33" s="1542"/>
      <c r="J33" s="1542"/>
      <c r="K33" s="1542"/>
      <c r="L33" s="1543">
        <f t="shared" si="9"/>
        <v>0</v>
      </c>
      <c r="M33" s="1844" t="str">
        <f t="shared" si="10"/>
        <v/>
      </c>
      <c r="N33" s="1742"/>
      <c r="O33" s="1518"/>
      <c r="P33" s="1736">
        <f t="shared" si="11"/>
        <v>0</v>
      </c>
      <c r="Q33" s="1736">
        <f t="shared" si="12"/>
        <v>0</v>
      </c>
      <c r="U33" s="1852">
        <f t="shared" si="13"/>
        <v>0</v>
      </c>
      <c r="V33" s="1736">
        <f t="shared" si="14"/>
        <v>0</v>
      </c>
      <c r="W33" s="1853">
        <f t="shared" si="15"/>
        <v>0</v>
      </c>
      <c r="X33" s="1853">
        <f t="shared" si="16"/>
        <v>0</v>
      </c>
      <c r="Y33" s="1736">
        <f t="shared" si="17"/>
        <v>0</v>
      </c>
    </row>
    <row r="34" spans="3:25" x14ac:dyDescent="0.2">
      <c r="C34" s="201"/>
      <c r="D34" s="201"/>
      <c r="E34" s="201"/>
      <c r="F34" s="202"/>
      <c r="G34" s="1740"/>
      <c r="H34" s="1759"/>
      <c r="I34" s="1542"/>
      <c r="J34" s="1542"/>
      <c r="K34" s="1542"/>
      <c r="L34" s="1543">
        <f t="shared" si="9"/>
        <v>0</v>
      </c>
      <c r="M34" s="1844" t="str">
        <f t="shared" si="10"/>
        <v/>
      </c>
      <c r="N34" s="1742"/>
      <c r="O34" s="1518"/>
      <c r="P34" s="1736">
        <f t="shared" si="11"/>
        <v>0</v>
      </c>
      <c r="Q34" s="1736">
        <f t="shared" si="12"/>
        <v>0</v>
      </c>
      <c r="U34" s="1852">
        <f t="shared" si="13"/>
        <v>0</v>
      </c>
      <c r="V34" s="1736">
        <f t="shared" si="14"/>
        <v>0</v>
      </c>
      <c r="W34" s="1853">
        <f t="shared" si="15"/>
        <v>0</v>
      </c>
      <c r="X34" s="1853">
        <f t="shared" si="16"/>
        <v>0</v>
      </c>
      <c r="Y34" s="1736">
        <f t="shared" si="17"/>
        <v>0</v>
      </c>
    </row>
    <row r="35" spans="3:25" x14ac:dyDescent="0.2">
      <c r="C35" s="201"/>
      <c r="D35" s="201"/>
      <c r="E35" s="201"/>
      <c r="F35" s="202"/>
      <c r="G35" s="1740"/>
      <c r="H35" s="1759"/>
      <c r="I35" s="1542"/>
      <c r="J35" s="1542"/>
      <c r="K35" s="1542"/>
      <c r="L35" s="1543">
        <f t="shared" si="9"/>
        <v>0</v>
      </c>
      <c r="M35" s="1844" t="str">
        <f t="shared" si="10"/>
        <v/>
      </c>
      <c r="N35" s="1742"/>
      <c r="O35" s="1518"/>
      <c r="P35" s="1736">
        <f t="shared" si="11"/>
        <v>0</v>
      </c>
      <c r="Q35" s="1736">
        <f t="shared" si="12"/>
        <v>0</v>
      </c>
      <c r="U35" s="1852">
        <f t="shared" si="13"/>
        <v>0</v>
      </c>
      <c r="V35" s="1736">
        <f t="shared" si="14"/>
        <v>0</v>
      </c>
      <c r="W35" s="1853">
        <f t="shared" si="15"/>
        <v>0</v>
      </c>
      <c r="X35" s="1853">
        <f t="shared" si="16"/>
        <v>0</v>
      </c>
      <c r="Y35" s="1736">
        <f t="shared" si="17"/>
        <v>0</v>
      </c>
    </row>
    <row r="36" spans="3:25" x14ac:dyDescent="0.2">
      <c r="C36" s="201"/>
      <c r="D36" s="201"/>
      <c r="E36" s="201"/>
      <c r="F36" s="202"/>
      <c r="G36" s="1740"/>
      <c r="H36" s="1759"/>
      <c r="I36" s="1542"/>
      <c r="J36" s="1542"/>
      <c r="K36" s="1542"/>
      <c r="L36" s="1543">
        <f t="shared" si="9"/>
        <v>0</v>
      </c>
      <c r="M36" s="1844" t="str">
        <f t="shared" si="10"/>
        <v/>
      </c>
      <c r="N36" s="1742"/>
      <c r="O36" s="1518"/>
      <c r="P36" s="1736">
        <f t="shared" si="11"/>
        <v>0</v>
      </c>
      <c r="Q36" s="1736">
        <f t="shared" si="12"/>
        <v>0</v>
      </c>
      <c r="U36" s="1852">
        <f t="shared" si="13"/>
        <v>0</v>
      </c>
      <c r="V36" s="1736">
        <f t="shared" si="14"/>
        <v>0</v>
      </c>
      <c r="W36" s="1853">
        <f t="shared" si="15"/>
        <v>0</v>
      </c>
      <c r="X36" s="1853">
        <f t="shared" si="16"/>
        <v>0</v>
      </c>
      <c r="Y36" s="1736">
        <f t="shared" si="17"/>
        <v>0</v>
      </c>
    </row>
    <row r="37" spans="3:25" x14ac:dyDescent="0.2">
      <c r="C37" s="201"/>
      <c r="D37" s="201"/>
      <c r="E37" s="201"/>
      <c r="F37" s="202"/>
      <c r="G37" s="1740"/>
      <c r="H37" s="1759"/>
      <c r="I37" s="1542"/>
      <c r="J37" s="1542"/>
      <c r="K37" s="1542"/>
      <c r="L37" s="1543">
        <f t="shared" si="9"/>
        <v>0</v>
      </c>
      <c r="M37" s="1844" t="str">
        <f t="shared" si="10"/>
        <v/>
      </c>
      <c r="N37" s="1742"/>
      <c r="O37" s="1518"/>
      <c r="P37" s="1736">
        <f t="shared" si="11"/>
        <v>0</v>
      </c>
      <c r="Q37" s="1736">
        <f t="shared" si="12"/>
        <v>0</v>
      </c>
      <c r="U37" s="1852">
        <f t="shared" si="13"/>
        <v>0</v>
      </c>
      <c r="V37" s="1736">
        <f t="shared" si="14"/>
        <v>0</v>
      </c>
      <c r="W37" s="1853">
        <f t="shared" si="15"/>
        <v>0</v>
      </c>
      <c r="X37" s="1853">
        <f t="shared" si="16"/>
        <v>0</v>
      </c>
      <c r="Y37" s="1736">
        <f t="shared" si="17"/>
        <v>0</v>
      </c>
    </row>
    <row r="38" spans="3:25" x14ac:dyDescent="0.2">
      <c r="C38" s="201"/>
      <c r="D38" s="201"/>
      <c r="E38" s="201"/>
      <c r="F38" s="202"/>
      <c r="G38" s="1740"/>
      <c r="H38" s="1759"/>
      <c r="I38" s="1542"/>
      <c r="J38" s="1542"/>
      <c r="K38" s="1542"/>
      <c r="L38" s="1543">
        <f t="shared" si="9"/>
        <v>0</v>
      </c>
      <c r="M38" s="1844" t="str">
        <f t="shared" si="10"/>
        <v/>
      </c>
      <c r="N38" s="1742"/>
      <c r="O38" s="1518"/>
      <c r="P38" s="1736">
        <f t="shared" si="11"/>
        <v>0</v>
      </c>
      <c r="Q38" s="1736">
        <f t="shared" si="12"/>
        <v>0</v>
      </c>
      <c r="U38" s="1852">
        <f t="shared" si="13"/>
        <v>0</v>
      </c>
      <c r="V38" s="1736">
        <f t="shared" si="14"/>
        <v>0</v>
      </c>
      <c r="W38" s="1853">
        <f t="shared" si="15"/>
        <v>0</v>
      </c>
      <c r="X38" s="1853">
        <f t="shared" si="16"/>
        <v>0</v>
      </c>
      <c r="Y38" s="1736">
        <f t="shared" si="17"/>
        <v>0</v>
      </c>
    </row>
    <row r="39" spans="3:25" x14ac:dyDescent="0.2">
      <c r="C39" s="201"/>
      <c r="D39" s="201"/>
      <c r="E39" s="201"/>
      <c r="F39" s="202"/>
      <c r="G39" s="1740"/>
      <c r="H39" s="1759"/>
      <c r="I39" s="1542"/>
      <c r="J39" s="1542"/>
      <c r="K39" s="1542"/>
      <c r="L39" s="1543">
        <f t="shared" si="9"/>
        <v>0</v>
      </c>
      <c r="M39" s="1844" t="str">
        <f t="shared" si="10"/>
        <v/>
      </c>
      <c r="N39" s="1742"/>
      <c r="O39" s="1518"/>
      <c r="P39" s="1736">
        <f t="shared" si="11"/>
        <v>0</v>
      </c>
      <c r="Q39" s="1736">
        <f t="shared" si="12"/>
        <v>0</v>
      </c>
      <c r="U39" s="1852">
        <f t="shared" si="13"/>
        <v>0</v>
      </c>
      <c r="V39" s="1736">
        <f t="shared" si="14"/>
        <v>0</v>
      </c>
      <c r="W39" s="1853">
        <f t="shared" si="15"/>
        <v>0</v>
      </c>
      <c r="X39" s="1853">
        <f t="shared" si="16"/>
        <v>0</v>
      </c>
      <c r="Y39" s="1736">
        <f t="shared" si="17"/>
        <v>0</v>
      </c>
    </row>
    <row r="40" spans="3:25" x14ac:dyDescent="0.2">
      <c r="C40" s="201"/>
      <c r="D40" s="201"/>
      <c r="E40" s="201"/>
      <c r="F40" s="202"/>
      <c r="G40" s="1740"/>
      <c r="H40" s="1759"/>
      <c r="I40" s="1542"/>
      <c r="J40" s="1542"/>
      <c r="K40" s="1542"/>
      <c r="L40" s="1543">
        <f t="shared" si="9"/>
        <v>0</v>
      </c>
      <c r="M40" s="1844" t="str">
        <f t="shared" si="10"/>
        <v/>
      </c>
      <c r="N40" s="1742"/>
      <c r="O40" s="1518"/>
      <c r="P40" s="1736">
        <f t="shared" si="11"/>
        <v>0</v>
      </c>
      <c r="Q40" s="1736">
        <f t="shared" si="12"/>
        <v>0</v>
      </c>
      <c r="U40" s="1852">
        <f t="shared" si="13"/>
        <v>0</v>
      </c>
      <c r="V40" s="1736">
        <f t="shared" si="14"/>
        <v>0</v>
      </c>
      <c r="W40" s="1853">
        <f t="shared" si="15"/>
        <v>0</v>
      </c>
      <c r="X40" s="1853">
        <f t="shared" si="16"/>
        <v>0</v>
      </c>
      <c r="Y40" s="1736">
        <f t="shared" si="17"/>
        <v>0</v>
      </c>
    </row>
    <row r="41" spans="3:25" hidden="1" x14ac:dyDescent="0.2">
      <c r="C41" s="201"/>
      <c r="D41" s="201"/>
      <c r="E41" s="201"/>
      <c r="F41" s="202"/>
      <c r="G41" s="1740"/>
      <c r="H41" s="1759"/>
      <c r="I41" s="1542"/>
      <c r="J41" s="1542"/>
      <c r="K41" s="1542"/>
      <c r="L41" s="1543">
        <f t="shared" si="9"/>
        <v>0</v>
      </c>
      <c r="M41" s="1844" t="str">
        <f t="shared" si="10"/>
        <v/>
      </c>
      <c r="N41" s="1742"/>
      <c r="O41" s="1518"/>
      <c r="P41" s="1736">
        <f t="shared" si="11"/>
        <v>0</v>
      </c>
      <c r="Q41" s="1736">
        <f t="shared" si="12"/>
        <v>0</v>
      </c>
      <c r="U41" s="1852">
        <f t="shared" si="13"/>
        <v>0</v>
      </c>
      <c r="V41" s="1736">
        <f t="shared" si="14"/>
        <v>0</v>
      </c>
      <c r="W41" s="1853">
        <f t="shared" si="15"/>
        <v>0</v>
      </c>
      <c r="X41" s="1853">
        <f t="shared" si="16"/>
        <v>0</v>
      </c>
      <c r="Y41" s="1736">
        <f t="shared" si="17"/>
        <v>0</v>
      </c>
    </row>
    <row r="42" spans="3:25" hidden="1" x14ac:dyDescent="0.2">
      <c r="C42" s="201"/>
      <c r="D42" s="201"/>
      <c r="E42" s="201"/>
      <c r="F42" s="202"/>
      <c r="G42" s="1740"/>
      <c r="H42" s="1759"/>
      <c r="I42" s="1542"/>
      <c r="J42" s="1542"/>
      <c r="K42" s="1542"/>
      <c r="L42" s="1543">
        <f t="shared" si="9"/>
        <v>0</v>
      </c>
      <c r="M42" s="1844" t="str">
        <f t="shared" si="10"/>
        <v/>
      </c>
      <c r="N42" s="1742"/>
      <c r="O42" s="1518"/>
      <c r="P42" s="1736">
        <f t="shared" si="11"/>
        <v>0</v>
      </c>
      <c r="Q42" s="1736">
        <f t="shared" si="12"/>
        <v>0</v>
      </c>
      <c r="U42" s="1852">
        <f t="shared" si="13"/>
        <v>0</v>
      </c>
      <c r="V42" s="1736">
        <f t="shared" si="14"/>
        <v>0</v>
      </c>
      <c r="W42" s="1853">
        <f t="shared" si="15"/>
        <v>0</v>
      </c>
      <c r="X42" s="1853">
        <f t="shared" si="16"/>
        <v>0</v>
      </c>
      <c r="Y42" s="1736">
        <f t="shared" si="17"/>
        <v>0</v>
      </c>
    </row>
    <row r="43" spans="3:25" hidden="1" x14ac:dyDescent="0.2">
      <c r="C43" s="201"/>
      <c r="D43" s="201"/>
      <c r="E43" s="201"/>
      <c r="F43" s="202"/>
      <c r="G43" s="1740"/>
      <c r="H43" s="1759"/>
      <c r="I43" s="1542"/>
      <c r="J43" s="1542"/>
      <c r="K43" s="1542"/>
      <c r="L43" s="1543">
        <f t="shared" si="9"/>
        <v>0</v>
      </c>
      <c r="M43" s="1844" t="str">
        <f t="shared" si="10"/>
        <v/>
      </c>
      <c r="N43" s="1742"/>
      <c r="O43" s="1518"/>
      <c r="P43" s="1736">
        <f t="shared" si="11"/>
        <v>0</v>
      </c>
      <c r="Q43" s="1736">
        <f t="shared" si="12"/>
        <v>0</v>
      </c>
      <c r="U43" s="1852">
        <f t="shared" si="13"/>
        <v>0</v>
      </c>
      <c r="V43" s="1736">
        <f t="shared" si="14"/>
        <v>0</v>
      </c>
      <c r="W43" s="1853">
        <f t="shared" si="15"/>
        <v>0</v>
      </c>
      <c r="X43" s="1853">
        <f t="shared" si="16"/>
        <v>0</v>
      </c>
      <c r="Y43" s="1736">
        <f t="shared" si="17"/>
        <v>0</v>
      </c>
    </row>
    <row r="44" spans="3:25" hidden="1" x14ac:dyDescent="0.2">
      <c r="C44" s="201"/>
      <c r="D44" s="201"/>
      <c r="E44" s="201"/>
      <c r="F44" s="202"/>
      <c r="G44" s="1740"/>
      <c r="H44" s="1759"/>
      <c r="I44" s="1542"/>
      <c r="J44" s="1542"/>
      <c r="K44" s="1542"/>
      <c r="L44" s="1543">
        <f t="shared" si="9"/>
        <v>0</v>
      </c>
      <c r="M44" s="1844" t="str">
        <f t="shared" si="10"/>
        <v/>
      </c>
      <c r="N44" s="1742"/>
      <c r="O44" s="1518"/>
      <c r="P44" s="1736">
        <f t="shared" si="11"/>
        <v>0</v>
      </c>
      <c r="Q44" s="1736">
        <f t="shared" si="12"/>
        <v>0</v>
      </c>
      <c r="U44" s="1852">
        <f t="shared" si="13"/>
        <v>0</v>
      </c>
      <c r="V44" s="1736">
        <f t="shared" si="14"/>
        <v>0</v>
      </c>
      <c r="W44" s="1853">
        <f t="shared" si="15"/>
        <v>0</v>
      </c>
      <c r="X44" s="1853">
        <f t="shared" si="16"/>
        <v>0</v>
      </c>
      <c r="Y44" s="1736">
        <f t="shared" si="17"/>
        <v>0</v>
      </c>
    </row>
    <row r="45" spans="3:25" hidden="1" x14ac:dyDescent="0.2">
      <c r="C45" s="201"/>
      <c r="D45" s="201"/>
      <c r="E45" s="201"/>
      <c r="F45" s="202"/>
      <c r="G45" s="1740"/>
      <c r="H45" s="1759"/>
      <c r="I45" s="1542"/>
      <c r="J45" s="1542"/>
      <c r="K45" s="1542"/>
      <c r="L45" s="1543">
        <f t="shared" si="9"/>
        <v>0</v>
      </c>
      <c r="M45" s="1844" t="str">
        <f t="shared" si="10"/>
        <v/>
      </c>
      <c r="N45" s="1742"/>
      <c r="O45" s="1518"/>
      <c r="P45" s="1736">
        <f t="shared" si="11"/>
        <v>0</v>
      </c>
      <c r="Q45" s="1736">
        <f t="shared" si="12"/>
        <v>0</v>
      </c>
      <c r="U45" s="1852">
        <f t="shared" si="13"/>
        <v>0</v>
      </c>
      <c r="V45" s="1736">
        <f t="shared" si="14"/>
        <v>0</v>
      </c>
      <c r="W45" s="1853">
        <f t="shared" si="15"/>
        <v>0</v>
      </c>
      <c r="X45" s="1853">
        <f t="shared" si="16"/>
        <v>0</v>
      </c>
      <c r="Y45" s="1736">
        <f t="shared" si="17"/>
        <v>0</v>
      </c>
    </row>
    <row r="46" spans="3:25" hidden="1" x14ac:dyDescent="0.2">
      <c r="C46" s="201"/>
      <c r="D46" s="201"/>
      <c r="E46" s="201"/>
      <c r="F46" s="202"/>
      <c r="G46" s="1740"/>
      <c r="H46" s="1759"/>
      <c r="I46" s="1542"/>
      <c r="J46" s="1542"/>
      <c r="K46" s="1542"/>
      <c r="L46" s="1543">
        <f t="shared" si="9"/>
        <v>0</v>
      </c>
      <c r="M46" s="1844" t="str">
        <f t="shared" si="10"/>
        <v/>
      </c>
      <c r="N46" s="1742"/>
      <c r="O46" s="1518"/>
      <c r="P46" s="1736">
        <f t="shared" si="11"/>
        <v>0</v>
      </c>
      <c r="Q46" s="1736">
        <f t="shared" si="12"/>
        <v>0</v>
      </c>
      <c r="U46" s="1852">
        <f t="shared" si="13"/>
        <v>0</v>
      </c>
      <c r="V46" s="1736">
        <f t="shared" si="14"/>
        <v>0</v>
      </c>
      <c r="W46" s="1853">
        <f t="shared" si="15"/>
        <v>0</v>
      </c>
      <c r="X46" s="1853">
        <f t="shared" si="16"/>
        <v>0</v>
      </c>
      <c r="Y46" s="1736">
        <f t="shared" si="17"/>
        <v>0</v>
      </c>
    </row>
    <row r="47" spans="3:25" hidden="1" x14ac:dyDescent="0.2">
      <c r="C47" s="201"/>
      <c r="D47" s="201"/>
      <c r="E47" s="201"/>
      <c r="F47" s="202"/>
      <c r="G47" s="1740"/>
      <c r="H47" s="1759"/>
      <c r="I47" s="1542"/>
      <c r="J47" s="1542"/>
      <c r="K47" s="1542"/>
      <c r="L47" s="1543">
        <f t="shared" si="9"/>
        <v>0</v>
      </c>
      <c r="M47" s="1844" t="str">
        <f t="shared" si="10"/>
        <v/>
      </c>
      <c r="N47" s="1742"/>
      <c r="O47" s="1518"/>
      <c r="P47" s="1736">
        <f t="shared" si="11"/>
        <v>0</v>
      </c>
      <c r="Q47" s="1736">
        <f t="shared" si="12"/>
        <v>0</v>
      </c>
      <c r="U47" s="1852">
        <f t="shared" si="13"/>
        <v>0</v>
      </c>
      <c r="V47" s="1736">
        <f t="shared" si="14"/>
        <v>0</v>
      </c>
      <c r="W47" s="1853">
        <f t="shared" si="15"/>
        <v>0</v>
      </c>
      <c r="X47" s="1853">
        <f t="shared" si="16"/>
        <v>0</v>
      </c>
      <c r="Y47" s="1736">
        <f t="shared" si="17"/>
        <v>0</v>
      </c>
    </row>
    <row r="48" spans="3:25" hidden="1" x14ac:dyDescent="0.2">
      <c r="C48" s="201"/>
      <c r="D48" s="201"/>
      <c r="E48" s="201"/>
      <c r="F48" s="202"/>
      <c r="G48" s="1740"/>
      <c r="H48" s="1759"/>
      <c r="I48" s="1542"/>
      <c r="J48" s="1542"/>
      <c r="K48" s="1542"/>
      <c r="L48" s="1543">
        <f t="shared" si="9"/>
        <v>0</v>
      </c>
      <c r="M48" s="1844" t="str">
        <f t="shared" si="10"/>
        <v/>
      </c>
      <c r="N48" s="1742"/>
      <c r="O48" s="1518"/>
      <c r="P48" s="1736">
        <f t="shared" si="11"/>
        <v>0</v>
      </c>
      <c r="Q48" s="1736">
        <f t="shared" si="12"/>
        <v>0</v>
      </c>
      <c r="U48" s="1852">
        <f t="shared" si="13"/>
        <v>0</v>
      </c>
      <c r="V48" s="1736">
        <f t="shared" si="14"/>
        <v>0</v>
      </c>
      <c r="W48" s="1853">
        <f t="shared" si="15"/>
        <v>0</v>
      </c>
      <c r="X48" s="1853">
        <f t="shared" si="16"/>
        <v>0</v>
      </c>
      <c r="Y48" s="1736">
        <f t="shared" si="17"/>
        <v>0</v>
      </c>
    </row>
    <row r="49" spans="3:26" hidden="1" x14ac:dyDescent="0.2">
      <c r="C49" s="201"/>
      <c r="D49" s="201"/>
      <c r="E49" s="201"/>
      <c r="F49" s="202"/>
      <c r="G49" s="1740"/>
      <c r="H49" s="1759"/>
      <c r="I49" s="1542"/>
      <c r="J49" s="1542"/>
      <c r="K49" s="1542"/>
      <c r="L49" s="1543">
        <f t="shared" si="9"/>
        <v>0</v>
      </c>
      <c r="M49" s="1844" t="str">
        <f t="shared" si="10"/>
        <v/>
      </c>
      <c r="N49" s="1742"/>
      <c r="O49" s="1518"/>
      <c r="P49" s="1736">
        <f t="shared" si="11"/>
        <v>0</v>
      </c>
      <c r="Q49" s="1736">
        <f t="shared" si="12"/>
        <v>0</v>
      </c>
      <c r="U49" s="1852">
        <f t="shared" si="13"/>
        <v>0</v>
      </c>
      <c r="V49" s="1736">
        <f t="shared" si="14"/>
        <v>0</v>
      </c>
      <c r="W49" s="1853">
        <f t="shared" si="15"/>
        <v>0</v>
      </c>
      <c r="X49" s="1853">
        <f t="shared" si="16"/>
        <v>0</v>
      </c>
      <c r="Y49" s="1736">
        <f t="shared" si="17"/>
        <v>0</v>
      </c>
    </row>
    <row r="50" spans="3:26" hidden="1" x14ac:dyDescent="0.2">
      <c r="C50" s="201"/>
      <c r="D50" s="201"/>
      <c r="E50" s="201"/>
      <c r="F50" s="202"/>
      <c r="G50" s="1740"/>
      <c r="H50" s="1759"/>
      <c r="I50" s="1542"/>
      <c r="J50" s="1542"/>
      <c r="K50" s="1542"/>
      <c r="L50" s="1543">
        <f t="shared" si="9"/>
        <v>0</v>
      </c>
      <c r="M50" s="1844" t="str">
        <f t="shared" si="10"/>
        <v/>
      </c>
      <c r="N50" s="1742"/>
      <c r="O50" s="1518"/>
      <c r="P50" s="1736">
        <f t="shared" si="11"/>
        <v>0</v>
      </c>
      <c r="Q50" s="1736">
        <f t="shared" si="12"/>
        <v>0</v>
      </c>
      <c r="U50" s="1852">
        <f t="shared" si="13"/>
        <v>0</v>
      </c>
      <c r="V50" s="1736">
        <f t="shared" si="14"/>
        <v>0</v>
      </c>
      <c r="W50" s="1853">
        <f t="shared" si="15"/>
        <v>0</v>
      </c>
      <c r="X50" s="1853">
        <f t="shared" si="16"/>
        <v>0</v>
      </c>
      <c r="Y50" s="1736">
        <f t="shared" si="17"/>
        <v>0</v>
      </c>
    </row>
    <row r="51" spans="3:26" hidden="1" x14ac:dyDescent="0.2">
      <c r="C51" s="201"/>
      <c r="D51" s="201"/>
      <c r="E51" s="201"/>
      <c r="F51" s="202"/>
      <c r="G51" s="1740"/>
      <c r="H51" s="1759"/>
      <c r="I51" s="1542"/>
      <c r="J51" s="1542"/>
      <c r="K51" s="1542"/>
      <c r="L51" s="1543">
        <f>J51+K51</f>
      </c>
      <c r="M51" s="1844" t="str">
        <f>IF(X51=0,"",IF(AND($L$10="Yes",X51=0),re,IF(G51="","&lt;All data!",IF(AND(G51="no",X51&lt;6),"&lt;All data!",IF(AND(G51="yes",X51&lt;8),"&lt;All data!",IF(AND($BA$1=$BA$2,L51&gt;6200),"Excessive deduction!",""))))))</f>
        <v/>
      </c>
      <c r="N51" s="1742"/>
      <c r="O51" s="1518"/>
      <c r="P51" s="1736">
        <f>IF(M51="",0,1)</f>
      </c>
      <c r="Q51" s="1736">
        <f>IF(X51=0,0,1)</f>
      </c>
      <c r="U51" s="1852">
        <f>COUNTA(C51:F51)</f>
      </c>
      <c r="V51" s="1736">
        <f>IF(G51="",0,IF(G51="no",1,IF(G51="yes",COUNTA(G51:I51))))</f>
      </c>
      <c r="W51" s="1853">
        <f>COUNTA(K51)</f>
      </c>
      <c r="X51" s="1853">
        <f>SUM(U51:W51)</f>
      </c>
      <c r="Y51" s="1736">
        <f>IF(X51=0,0,1)</f>
      </c>
    </row>
    <row r="52" spans="3:26" hidden="1" x14ac:dyDescent="0.2">
      <c r="C52" s="201"/>
      <c r="D52" s="201"/>
      <c r="E52" s="201"/>
      <c r="F52" s="202"/>
      <c r="G52" s="1740"/>
      <c r="H52" s="1759"/>
      <c r="I52" s="1542"/>
      <c r="J52" s="1542"/>
      <c r="K52" s="1542"/>
      <c r="L52" s="1543">
        <f>J52+K52</f>
      </c>
      <c r="M52" s="1844" t="str">
        <f>IF(X52=0,"",IF(AND($L$10="Yes",X52=0),re,IF(G52="","&lt;All data!",IF(AND(G52="no",X52&lt;6),"&lt;All data!",IF(AND(G52="yes",X52&lt;8),"&lt;All data!",IF(AND($BA$1=$BA$2,L52&gt;6200),"Excessive deduction!",""))))))</f>
        <v/>
      </c>
      <c r="N52" s="1742"/>
      <c r="O52" s="1518"/>
      <c r="P52" s="1736">
        <f>IF(M52="",0,1)</f>
      </c>
      <c r="Q52" s="1736">
        <f>IF(X52=0,0,1)</f>
      </c>
      <c r="U52" s="1852">
        <f>COUNTA(C52:F52)</f>
      </c>
      <c r="V52" s="1736">
        <f>IF(G52="",0,IF(G52="no",1,IF(G52="yes",COUNTA(G52:I52))))</f>
      </c>
      <c r="W52" s="1853">
        <f>COUNTA(K52)</f>
      </c>
      <c r="X52" s="1853">
        <f>SUM(U52:W52)</f>
      </c>
      <c r="Y52" s="1736">
        <f>IF(X52=0,0,1)</f>
      </c>
    </row>
    <row r="53" spans="3:26" hidden="1" x14ac:dyDescent="0.2">
      <c r="C53" s="201"/>
      <c r="D53" s="201"/>
      <c r="E53" s="201"/>
      <c r="F53" s="202"/>
      <c r="G53" s="1740"/>
      <c r="H53" s="1759"/>
      <c r="I53" s="1542"/>
      <c r="J53" s="1542"/>
      <c r="K53" s="1542"/>
      <c r="L53" s="1543">
        <f>J53+K53</f>
      </c>
      <c r="M53" s="1844" t="str">
        <f>IF(X53=0,"",IF(AND($L$10="Yes",X53=0),re,IF(G53="","&lt;All data!",IF(AND(G53="no",X53&lt;6),"&lt;All data!",IF(AND(G53="yes",X53&lt;8),"&lt;All data!",IF(AND($BA$1=$BA$2,L53&gt;6200),"Excessive deduction!",""))))))</f>
        <v/>
      </c>
      <c r="N53" s="1742"/>
      <c r="O53" s="1518"/>
      <c r="P53" s="1736">
        <f>IF(M53="",0,1)</f>
      </c>
      <c r="Q53" s="1736">
        <f>IF(X53=0,0,1)</f>
      </c>
      <c r="U53" s="1854">
        <f>COUNTA(C53:F53)</f>
      </c>
      <c r="V53" s="1770">
        <f>IF(G53="",0,IF(G53="no",1,IF(G53="yes",COUNTA(G53:I53))))</f>
      </c>
      <c r="W53" s="1855">
        <f>COUNTA(K53)</f>
      </c>
      <c r="X53" s="1855">
        <f>SUM(U53:W53)</f>
      </c>
      <c r="Y53" s="1736">
        <f>IF(X53=0,0,1)</f>
      </c>
      <c r="Z53" s="1736">
        <f>SUM(Y14:Y53)</f>
      </c>
    </row>
    <row r="54" spans="3:26" x14ac:dyDescent="0.2">
      <c r="C54" s="1743" t="s">
        <v>6999</v>
      </c>
      <c r="D54" s="1744"/>
      <c r="E54" s="1744"/>
      <c r="F54" s="1544"/>
      <c r="G54" s="5085" t="s">
        <v>1020</v>
      </c>
      <c r="H54" s="5085"/>
      <c r="I54" s="5085"/>
      <c r="J54" s="5086"/>
      <c r="K54" s="1838"/>
      <c r="L54" s="340">
        <f>SUM(L14:L53)</f>
      </c>
      <c r="M54" s="1745"/>
      <c r="O54" s="1518"/>
    </row>
    <row r="55" spans="3:26" ht="3.75" customHeight="1" x14ac:dyDescent="0.2">
      <c r="C55" s="1745"/>
      <c r="D55" s="1745"/>
      <c r="E55" s="1745"/>
      <c r="F55" s="1745"/>
      <c r="G55" s="1745"/>
      <c r="H55" s="1745"/>
      <c r="I55" s="1745"/>
      <c r="J55" s="1745"/>
      <c r="K55" s="1745"/>
      <c r="L55" s="1745"/>
      <c r="M55" s="1745"/>
      <c r="O55" s="1518"/>
    </row>
    <row r="56" spans="3:26" x14ac:dyDescent="0.2">
      <c r="C56" s="1746" t="s">
        <v>5153</v>
      </c>
      <c r="D56" s="1746"/>
      <c r="E56" s="1745"/>
      <c r="F56" s="1745"/>
      <c r="G56" s="1745"/>
      <c r="H56" s="1745"/>
      <c r="I56" s="1745"/>
      <c r="J56" s="1745"/>
      <c r="K56" s="1745"/>
      <c r="L56" s="339"/>
      <c r="M56" s="1844" t="str">
        <f>IF($L$54=0,"",IF(AND(L56&gt;0,ya=2015),"Delete!",IF(AND(L56="",L54&gt;0,U2&gt;2015),reo,"")))</f>
        <v/>
      </c>
      <c r="N56" s="1742"/>
      <c r="O56" s="1518"/>
      <c r="P56" s="1736">
        <f>IF(M56="",0,1)</f>
      </c>
      <c r="Q56" s="1736">
        <f>COUNT(L56)</f>
      </c>
      <c r="T56" s="1736">
        <f>IF(L10=Y4,1,0)</f>
      </c>
    </row>
    <row r="57" spans="3:26" ht="3.75" customHeight="1" x14ac:dyDescent="0.2">
      <c r="C57" s="1745"/>
      <c r="D57" s="1745"/>
      <c r="E57" s="1745"/>
      <c r="F57" s="1745"/>
      <c r="G57" s="1745"/>
      <c r="H57" s="1745"/>
      <c r="I57" s="1745"/>
      <c r="J57" s="1745"/>
      <c r="K57" s="1745"/>
      <c r="L57" s="1745"/>
      <c r="M57" s="1745"/>
      <c r="O57" s="1518"/>
    </row>
    <row r="58" spans="3:26" x14ac:dyDescent="0.2">
      <c r="C58" s="1746" t="s">
        <v>7000</v>
      </c>
      <c r="D58" s="1746"/>
      <c r="E58" s="1745"/>
      <c r="F58" s="1745"/>
      <c r="G58" s="1745"/>
      <c r="H58" s="1745"/>
      <c r="I58" s="1745"/>
      <c r="J58" s="1745"/>
      <c r="K58" s="1745"/>
      <c r="L58" s="340">
        <f>IF(U2=2015,L54,L54+L56)</f>
      </c>
      <c r="M58" s="1745"/>
      <c r="O58" s="1518"/>
    </row>
    <row r="59" spans="3:26" ht="3.75" customHeight="1" x14ac:dyDescent="0.2">
      <c r="C59" s="1745"/>
      <c r="D59" s="1745"/>
      <c r="E59" s="1745"/>
      <c r="F59" s="1745"/>
      <c r="G59" s="1745"/>
      <c r="H59" s="1745"/>
      <c r="I59" s="1745"/>
      <c r="J59" s="1745"/>
      <c r="K59" s="1745"/>
      <c r="L59" s="1745"/>
      <c r="M59" s="1745"/>
      <c r="O59" s="1518"/>
    </row>
    <row r="60" spans="3:26" x14ac:dyDescent="0.2">
      <c r="C60" s="1746" t="s">
        <v>7001</v>
      </c>
      <c r="D60" s="1746"/>
      <c r="E60" s="1745"/>
      <c r="F60" s="1745"/>
      <c r="G60" s="1745"/>
      <c r="H60" s="1745"/>
      <c r="I60" s="1745"/>
      <c r="J60" s="1747"/>
      <c r="K60" s="1934" t="s">
        <v>7330</v>
      </c>
      <c r="L60" s="339"/>
      <c r="M60" s="1844" t="str">
        <f>IF($L$54=0,"",IF(AND(L60="",L58&gt;0),reo,IF(L60&gt;L58,"Check deductions!","")))</f>
        <v/>
      </c>
      <c r="O60" s="1518"/>
      <c r="P60" s="1736">
        <f>IF(M60="",0,1)</f>
      </c>
      <c r="Q60" s="1736">
        <f>COUNT(L60)</f>
      </c>
    </row>
    <row r="61" spans="3:26" ht="3.75" customHeight="1" x14ac:dyDescent="0.2">
      <c r="C61" s="1745"/>
      <c r="D61" s="1745"/>
      <c r="E61" s="1745"/>
      <c r="F61" s="1745"/>
      <c r="G61" s="1745"/>
      <c r="H61" s="1745"/>
      <c r="I61" s="1745"/>
      <c r="J61" s="1745"/>
      <c r="K61" s="1745"/>
      <c r="L61" s="1745"/>
      <c r="M61" s="1745"/>
      <c r="O61" s="1518"/>
    </row>
    <row r="62" spans="3:26" x14ac:dyDescent="0.2">
      <c r="C62" s="1746" t="s">
        <v>5154</v>
      </c>
      <c r="D62" s="1746"/>
      <c r="E62" s="1745"/>
      <c r="F62" s="1745"/>
      <c r="G62" s="1745"/>
      <c r="H62" s="1745"/>
      <c r="I62" s="1745"/>
      <c r="J62" s="1745"/>
      <c r="K62" s="1745"/>
      <c r="L62" s="340">
        <f>IF(L60&gt;L58,0,ROUND((L58-L60),0))</f>
      </c>
      <c r="M62" s="1745"/>
      <c r="O62" s="1518"/>
    </row>
    <row r="63" spans="3:26" x14ac:dyDescent="0.2">
      <c r="C63" s="1745"/>
      <c r="D63" s="1745"/>
      <c r="E63" s="1745"/>
      <c r="F63" s="1745"/>
      <c r="G63" s="1745"/>
      <c r="H63" s="1745"/>
      <c r="I63" s="1745"/>
      <c r="J63" s="1745"/>
      <c r="K63" s="1745"/>
      <c r="L63" s="1745"/>
      <c r="M63" s="1745"/>
      <c r="O63" s="1518"/>
    </row>
    <row r="64" spans="3:26" x14ac:dyDescent="0.2">
      <c r="O64" s="1518"/>
    </row>
    <row r="65" spans="3:20" x14ac:dyDescent="0.2">
      <c r="D65" s="66"/>
      <c r="F65" s="418" t="s">
        <v>4456</v>
      </c>
      <c r="G65" s="1740"/>
      <c r="H65" s="30" t="str">
        <f>IF(Q69=0,"",IF(G65="",re,""))</f>
        <v/>
      </c>
      <c r="K65" s="30"/>
      <c r="O65" s="1518"/>
      <c r="P65" s="1736">
        <f>IF(H65="",0,1)</f>
      </c>
      <c r="Q65" s="1736">
        <f>COUNTA(G65)</f>
      </c>
      <c r="T65" s="1736">
        <f>IF(L10=Y4,1,0)</f>
      </c>
    </row>
    <row r="66" spans="3:20" x14ac:dyDescent="0.2">
      <c r="O66" s="1518"/>
    </row>
    <row r="67" spans="3:20" x14ac:dyDescent="0.2"/>
    <row r="68" spans="3:20" x14ac:dyDescent="0.2">
      <c r="C68" s="66" t="str">
        <f>_xlfn.SINGLE(MTCA)</f>
      </c>
      <c r="F68" s="66" t="str">
        <f>ver</f>
        <v>TA2_e-CO_2025_Ver 1.1</v>
      </c>
      <c r="L68" s="1517" t="s">
        <v>7018</v>
      </c>
      <c r="O68" s="1518"/>
    </row>
    <row r="69" spans="3:20" x14ac:dyDescent="0.2">
      <c r="O69" s="1518"/>
      <c r="P69" s="1848">
        <f>SUM(P9:P66)</f>
      </c>
      <c r="Q69" s="1848">
        <f>SUM(Q9:Q66)</f>
      </c>
    </row>
    <row r="70" spans="3:20" x14ac:dyDescent="0.2">
      <c r="C70" s="4418" t="s">
        <v>1700</v>
      </c>
      <c r="D70" s="4418"/>
      <c r="E70" s="4418"/>
      <c r="O70" s="1518"/>
      <c r="P70" s="1736">
        <f>IF(Q69=0,0,IF(P69&gt;0,100,IF(G65="no",100,1)))</f>
      </c>
    </row>
  </sheetData>
  <sheetProtection algorithmName="SHA-512" hashValue="K16ZOlO6TSbzikxm4r9upnt4euev4ihl6lpOLf77RL35vdKZ6WZe6jI0xWPvPV+57OF7cm+o4EhgfJItvXzbhQ==" saltValue="yGr36SaZLefXvwDAhLLcsQ==" spinCount="100000" sheet="1" objects="1" scenarios="1"/>
  <mergeCells count="4">
    <mergeCell ref="C2:J2"/>
    <mergeCell ref="U13:W13"/>
    <mergeCell ref="G54:J54"/>
    <mergeCell ref="C70:E70"/>
  </mergeCells>
  <conditionalFormatting sqref="C56:D56 C58:D58">
    <cfRule type="expression" dxfId="434" priority="9" stopIfTrue="1">
      <formula>ya=2011</formula>
    </cfRule>
  </conditionalFormatting>
  <conditionalFormatting sqref="H15:H53">
    <cfRule type="expression" dxfId="433" priority="1">
      <formula>G15="No"</formula>
    </cfRule>
  </conditionalFormatting>
  <conditionalFormatting sqref="H14:I14">
    <cfRule type="expression" dxfId="432" priority="8">
      <formula>$G$14="No"</formula>
    </cfRule>
  </conditionalFormatting>
  <conditionalFormatting sqref="I15:I53">
    <cfRule type="expression" dxfId="431" priority="2">
      <formula>G15="No"</formula>
    </cfRule>
  </conditionalFormatting>
  <conditionalFormatting sqref="L56">
    <cfRule type="expression" dxfId="430" priority="3">
      <formula>$U$2=2015</formula>
    </cfRule>
  </conditionalFormatting>
  <conditionalFormatting sqref="M10:N10">
    <cfRule type="cellIs" dxfId="429" priority="10" stopIfTrue="1" operator="equal">
      <formula>re</formula>
    </cfRule>
  </conditionalFormatting>
  <dataValidations count="17">
    <dataValidation type="textLength" operator="greaterThanOrEqual" allowBlank="1" showInputMessage="1" showErrorMessage="1" sqref="H14:H53" xr:uid="{00000000-0002-0000-4800-000000000000}">
      <formula1>6</formula1>
    </dataValidation>
    <dataValidation type="whole" operator="greaterThan" allowBlank="1" showInputMessage="1" showErrorMessage="1" sqref="I14:I53" xr:uid="{00000000-0002-0000-4800-000001000000}">
      <formula1>0</formula1>
    </dataValidation>
    <dataValidation type="list" allowBlank="1" showInputMessage="1" showErrorMessage="1" errorTitle="Yes / No" error="Enter data properly!" sqref="G14" xr:uid="{00000000-0002-0000-4800-000002000000}">
      <formula1>yn</formula1>
    </dataValidation>
    <dataValidation type="date" allowBlank="1" showInputMessage="1" showErrorMessage="1" errorTitle="Date" error="Engagement date is not within the parameters allowed by Legal Notice 180 of 2014!_x000a_" promptTitle="Date format" prompt="dd/mm/yyyy" sqref="F14" xr:uid="{00000000-0002-0000-4800-000003000000}">
      <formula1>DATE(engagement_1,1,1)</formula1>
      <formula2>DATE(ya-1,12,31)</formula2>
    </dataValidation>
    <dataValidation type="textLength" errorStyle="warning" operator="greaterThanOrEqual" allowBlank="1" showInputMessage="1" showErrorMessage="1" errorTitle="Certificate Reference" error="Please enter the correct name!" sqref="E14:E53" xr:uid="{00000000-0002-0000-4800-000004000000}">
      <formula1>6</formula1>
    </dataValidation>
    <dataValidation type="textLength" errorStyle="warning" operator="greaterThanOrEqual" allowBlank="1" showInputMessage="1" showErrorMessage="1" errorTitle="Certificate Reference" error="Please enter the correct reference of ETC approval!" sqref="D14:D53" xr:uid="{00000000-0002-0000-4800-000005000000}">
      <formula1>4</formula1>
    </dataValidation>
    <dataValidation type="textLength" errorStyle="warning" allowBlank="1" showInputMessage="1" showErrorMessage="1" errorTitle="Identity Reference" error="Please enter the correct ID number!" sqref="C14:C53" xr:uid="{00000000-0002-0000-4800-000006000000}">
      <formula1>5</formula1>
      <formula2>8</formula2>
    </dataValidation>
    <dataValidation type="list" allowBlank="1" showInputMessage="1" showErrorMessage="1" sqref="L10 G15:G53" xr:uid="{00000000-0002-0000-4800-000007000000}">
      <formula1>yn</formula1>
    </dataValidation>
    <dataValidation operator="greaterThanOrEqual" allowBlank="1" showInputMessage="1" showErrorMessage="1" errorTitle="Amount of donation under Rule 3" error="Please enter a positive whole number! _x000a_OR_x000a_Cannot be less than Lm1,000!" sqref="L14:L53" xr:uid="{00000000-0002-0000-4800-000008000000}"/>
    <dataValidation type="date" allowBlank="1" showInputMessage="1" showErrorMessage="1" errorTitle="Date" error="Date that must be within the current year of assessment!" promptTitle="Date format" prompt="dd/mm/yyyy" sqref="F15:F53" xr:uid="{00000000-0002-0000-4800-000009000000}">
      <formula1>DATE(ya-1,1,1)</formula1>
      <formula2>DATE(ya-1,12,31)</formula2>
    </dataValidation>
    <dataValidation type="whole" operator="greaterThan" allowBlank="1" showInputMessage="1" showErrorMessage="1" errorTitle="Unclaimed deduction(s) b/fwd" error="Figure must be greater than 0!" sqref="L58" xr:uid="{00000000-0002-0000-4800-00000A000000}">
      <formula1>0</formula1>
    </dataValidation>
    <dataValidation type="whole" operator="greaterThanOrEqual" allowBlank="1" showInputMessage="1" showErrorMessage="1" errorTitle="Deductions claimed" error="Figure must be greater than 0!" sqref="L60" xr:uid="{00000000-0002-0000-4800-00000B000000}">
      <formula1>0</formula1>
    </dataValidation>
    <dataValidation type="whole" operator="greaterThanOrEqual" allowBlank="1" showInputMessage="1" showErrorMessage="1" errorTitle="Unclaimed deduction(s) b/fwd" error="Figure must be greater than 0!" sqref="L56" xr:uid="{00000000-0002-0000-4800-00000C000000}">
      <formula1>0</formula1>
    </dataValidation>
    <dataValidation operator="greaterThan" allowBlank="1" showInputMessage="1" showErrorMessage="1" errorTitle="Unclaimed deduction(s) b/fwd" error="Figure must be greater than 0!" sqref="L62" xr:uid="{00000000-0002-0000-4800-00000D000000}"/>
    <dataValidation type="list" allowBlank="1" showInputMessage="1" showErrorMessage="1" sqref="G65" xr:uid="{00000000-0002-0000-4800-00000E000000}">
      <formula1>$Y$2:$Y$4</formula1>
    </dataValidation>
    <dataValidation type="whole" errorStyle="warning" allowBlank="1" showInputMessage="1" showErrorMessage="1" errorTitle="Employment deduction" error="Employment deduction cannot be negative or more than €5,800 or equivalent!_x000a_" sqref="K14:K53" xr:uid="{00000000-0002-0000-4800-00000F000000}">
      <formula1>0</formula1>
      <formula2>5800</formula2>
    </dataValidation>
    <dataValidation type="whole" errorStyle="warning" allowBlank="1" showInputMessage="1" showErrorMessage="1" errorTitle="Allowable training costs" error="Please enter a positive whole number that cannot exceed €400 or equivalent! _x000a_" sqref="J14:J53" xr:uid="{00000000-0002-0000-4800-000010000000}">
      <formula1>0</formula1>
      <formula2>400</formula2>
    </dataValidation>
  </dataValidations>
  <hyperlinks>
    <hyperlink ref="C70" location="Index!A1" display="BACK TO INDEX" xr:uid="{00000000-0004-0000-4800-000000000000}"/>
    <hyperlink ref="K60" location="'TRA60'!C47" display="TRA 60" xr:uid="{00000000-0004-0000-4800-000001000000}"/>
  </hyperlinks>
  <pageMargins left="0.19685039370078741" right="0.19685039370078741" top="0.74803149606299213" bottom="0.74803149606299213" header="0.31496062992125984" footer="0.31496062992125984"/>
  <pageSetup paperSize="9" scale="75" orientation="landscape" r:id="rId1"/>
  <headerFooter>
    <oddFooter>&amp;LName&amp;CSignature&amp;RDate</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2"/>
  <dimension ref="A1:BC439"/>
  <sheetViews>
    <sheetView showGridLines="0" zoomScaleNormal="100" workbookViewId="0">
      <selection activeCell="B1" sqref="B1:I1"/>
    </sheetView>
  </sheetViews>
  <sheetFormatPr defaultColWidth="0" defaultRowHeight="12.75" zeroHeight="1" x14ac:dyDescent="0.2"/>
  <cols>
    <col min="1" max="1" width="0.42578125" style="66" customWidth="1"/>
    <col min="2" max="2" width="4.28515625" style="66" customWidth="1"/>
    <col min="3" max="3" width="9.28515625" style="66" customWidth="1"/>
    <col min="4" max="4" width="13.5703125" style="66" customWidth="1"/>
    <col min="5" max="5" width="18" style="66" customWidth="1"/>
    <col min="6" max="7" width="11.7109375" style="66" customWidth="1"/>
    <col min="8" max="8" width="11.28515625" style="66" customWidth="1"/>
    <col min="9" max="9" width="15.7109375" style="66" customWidth="1"/>
    <col min="10" max="10" width="11.7109375" style="66" customWidth="1"/>
    <col min="11" max="11" width="8.28515625" style="66" customWidth="1"/>
    <col min="12" max="12" width="1.7109375" style="66" customWidth="1"/>
    <col min="13" max="14" width="2" style="66" hidden="1" customWidth="1"/>
    <col min="15" max="15" width="0.42578125" style="66" hidden="1" customWidth="1"/>
    <col min="16" max="16" width="7.42578125" style="1485" hidden="1" customWidth="1"/>
    <col min="17" max="19" width="11.42578125" style="1485" hidden="1" customWidth="1"/>
    <col min="20" max="20" width="2.5703125" style="1485" hidden="1" customWidth="1"/>
    <col min="21" max="21" width="13.5703125" style="1485" hidden="1" customWidth="1"/>
    <col min="22" max="22" width="9.42578125" style="1485" hidden="1" customWidth="1"/>
    <col min="23" max="23" width="2" style="1485" hidden="1" customWidth="1"/>
    <col min="24" max="24" width="13.28515625" style="1485" hidden="1" customWidth="1"/>
    <col min="25" max="25" width="5.5703125" style="1485" hidden="1" customWidth="1"/>
    <col min="26" max="26" width="5.7109375" style="1485" hidden="1" customWidth="1"/>
    <col min="27" max="27" width="59.5703125" style="1485" hidden="1" customWidth="1"/>
    <col min="28" max="28" width="11.42578125" style="1485" hidden="1" customWidth="1"/>
    <col min="29" max="29" width="0.42578125" style="1485" hidden="1" customWidth="1"/>
    <col min="30" max="30" width="23" style="1485" hidden="1" customWidth="1"/>
    <col min="31" max="32" width="10.28515625" style="1485" hidden="1" customWidth="1"/>
    <col min="33" max="33" width="11.28515625" style="1485" hidden="1" customWidth="1"/>
    <col min="34" max="34" width="5" style="1485" hidden="1" customWidth="1"/>
    <col min="35" max="35" width="0.42578125" style="1485" hidden="1" customWidth="1"/>
    <col min="36" max="36" width="6.28515625" style="1485" hidden="1" customWidth="1"/>
    <col min="37" max="37" width="52.5703125" style="1485" hidden="1" customWidth="1"/>
    <col min="38" max="38" width="0.42578125" style="1485" hidden="1" customWidth="1"/>
    <col min="39" max="39" width="47.28515625" style="1485" hidden="1" customWidth="1"/>
    <col min="40" max="44" width="0.42578125" style="1485" hidden="1" customWidth="1"/>
    <col min="45" max="45" width="35.28515625" style="1485" hidden="1" customWidth="1"/>
    <col min="46" max="46" width="0.42578125" style="1485" hidden="1" customWidth="1"/>
    <col min="47" max="47" width="2" style="1485" hidden="1" customWidth="1"/>
    <col min="48" max="52" width="0.42578125" style="1485" hidden="1" customWidth="1"/>
    <col min="53" max="53" width="81.7109375" style="1485" hidden="1" customWidth="1"/>
    <col min="54" max="54" width="9.28515625" style="1485" hidden="1" customWidth="1"/>
    <col min="55" max="55" width="2.5703125" style="1485" hidden="1" customWidth="1"/>
    <col min="56" max="16384" width="0.42578125" style="1485" hidden="1"/>
  </cols>
  <sheetData>
    <row r="1" spans="1:55" s="1736" customFormat="1" x14ac:dyDescent="0.2">
      <c r="B1" s="5120" t="str">
        <f>_ref1</f>
      </c>
      <c r="C1" s="5120"/>
      <c r="D1" s="5120"/>
      <c r="E1" s="5120"/>
      <c r="F1" s="5120"/>
      <c r="G1" s="5120"/>
      <c r="H1" s="5120"/>
      <c r="I1" s="5120"/>
      <c r="J1" s="1957"/>
      <c r="K1" s="1760" t="str">
        <f>_YA1</f>
      </c>
      <c r="N1" s="1748"/>
      <c r="P1" s="1736" t="str">
        <f>CONCATENATE(B3," - ",B4)</f>
      </c>
      <c r="V1" s="1736" t="s">
        <v>9964</v>
      </c>
      <c r="W1" s="28" t="str">
        <f>'p2'!G36</f>
      </c>
      <c r="X1" s="1760" t="s">
        <v>7019</v>
      </c>
      <c r="Y1" s="1742">
        <f>G21</f>
      </c>
      <c r="AD1" s="1736" t="s">
        <v>7020</v>
      </c>
      <c r="AE1" s="1761">
        <v>41821</v>
      </c>
      <c r="AG1" s="1736" t="s">
        <v>7021</v>
      </c>
      <c r="AH1" s="2181">
        <f>ya</f>
      </c>
    </row>
    <row r="2" spans="1:55" s="1736" customFormat="1" x14ac:dyDescent="0.2">
      <c r="A2" s="66"/>
      <c r="B2" s="66"/>
      <c r="C2" s="66"/>
      <c r="D2" s="66"/>
      <c r="E2" s="66"/>
      <c r="F2" s="66"/>
      <c r="G2" s="66"/>
      <c r="H2" s="66"/>
      <c r="I2" s="66"/>
      <c r="J2" s="66"/>
      <c r="K2" s="66"/>
      <c r="L2" s="66"/>
      <c r="N2" s="1763"/>
      <c r="O2" s="66"/>
      <c r="AD2" s="1736" t="s">
        <v>7022</v>
      </c>
      <c r="AE2" s="1761">
        <f>DATE(MIN(AH1:AH2),12,31)</f>
      </c>
      <c r="AG2" s="1736" t="s">
        <v>7023</v>
      </c>
      <c r="AH2" s="1762">
        <v>2020</v>
      </c>
      <c r="AK2" s="1742" t="s">
        <v>7024</v>
      </c>
      <c r="AM2" s="1736" t="s">
        <v>3274</v>
      </c>
      <c r="AS2" s="1736" t="s">
        <v>7025</v>
      </c>
      <c r="BA2" s="1485" t="s">
        <v>7024</v>
      </c>
      <c r="BB2" s="1485" t="s">
        <v>412</v>
      </c>
      <c r="BC2" s="1485">
        <f>LEN(BB2)</f>
      </c>
    </row>
    <row r="3" spans="1:55" s="1736" customFormat="1" x14ac:dyDescent="0.2">
      <c r="A3" s="66"/>
      <c r="B3" s="2182" t="s">
        <v>7026</v>
      </c>
      <c r="C3" s="1764"/>
      <c r="D3" s="1764"/>
      <c r="E3" s="1764"/>
      <c r="F3" s="1764"/>
      <c r="G3" s="1764"/>
      <c r="H3" s="1764"/>
      <c r="I3" s="1764"/>
      <c r="J3" s="1764"/>
      <c r="K3" s="1765"/>
      <c r="L3" s="1942"/>
      <c r="AF3" s="1766"/>
      <c r="AK3" s="1736" t="s">
        <v>7027</v>
      </c>
      <c r="AM3" s="1485" t="s">
        <v>3281</v>
      </c>
      <c r="AN3" s="1760"/>
      <c r="AS3" s="1736" t="s">
        <v>7028</v>
      </c>
      <c r="BA3" s="1856" t="s">
        <v>7304</v>
      </c>
      <c r="BB3" s="1857" t="s">
        <v>7114</v>
      </c>
      <c r="BC3" s="1736">
        <f>LEN(BB3)</f>
      </c>
    </row>
    <row r="4" spans="1:55" s="1736" customFormat="1" x14ac:dyDescent="0.2">
      <c r="A4" s="66"/>
      <c r="B4" s="2183" t="s">
        <v>7029</v>
      </c>
      <c r="C4" s="1767"/>
      <c r="D4" s="1767"/>
      <c r="E4" s="1767"/>
      <c r="F4" s="1767"/>
      <c r="G4" s="1767"/>
      <c r="H4" s="1767"/>
      <c r="I4" s="1767"/>
      <c r="J4" s="1767"/>
      <c r="K4" s="1768"/>
      <c r="L4" s="1942"/>
      <c r="AF4" s="1766"/>
      <c r="AK4" s="1736" t="s">
        <v>7031</v>
      </c>
      <c r="AM4" s="1485" t="s">
        <v>3282</v>
      </c>
      <c r="BA4" s="1856" t="s">
        <v>7315</v>
      </c>
      <c r="BB4" s="1857" t="s">
        <v>7127</v>
      </c>
      <c r="BC4" s="1736">
        <f>LEN(BB4)</f>
      </c>
    </row>
    <row r="5" spans="1:55" s="1736" customFormat="1" x14ac:dyDescent="0.2">
      <c r="A5" s="66"/>
      <c r="B5" s="1942"/>
      <c r="C5" s="1942"/>
      <c r="D5" s="1942"/>
      <c r="E5" s="1942"/>
      <c r="F5" s="1942"/>
      <c r="G5" s="1942"/>
      <c r="H5" s="1942"/>
      <c r="I5" s="1942"/>
      <c r="J5" s="1942"/>
      <c r="K5" s="1942"/>
      <c r="L5" s="1942"/>
      <c r="N5" s="66"/>
      <c r="O5" s="66"/>
      <c r="AK5" s="1736" t="s">
        <v>7032</v>
      </c>
      <c r="AM5" s="1485"/>
      <c r="BA5" s="1856" t="s">
        <v>7306</v>
      </c>
      <c r="BB5" s="1857" t="s">
        <v>7116</v>
      </c>
      <c r="BC5" s="1736">
        <f>LEN(BB5)</f>
      </c>
    </row>
    <row r="6" spans="1:55" s="1736" customFormat="1" x14ac:dyDescent="0.2">
      <c r="A6" s="66"/>
      <c r="B6" s="3611">
        <v>1</v>
      </c>
      <c r="C6" s="3610" t="s">
        <v>10009</v>
      </c>
      <c r="D6" s="3610"/>
      <c r="E6" s="3610"/>
      <c r="F6" s="1544"/>
      <c r="G6" s="1544"/>
      <c r="H6" s="1544"/>
      <c r="I6" s="1544"/>
      <c r="J6" s="1544"/>
      <c r="K6" s="3609"/>
      <c r="L6" s="1942"/>
      <c r="N6" s="66"/>
      <c r="O6" s="66"/>
      <c r="AK6" s="1736" t="s">
        <v>7034</v>
      </c>
      <c r="AM6" s="1485"/>
      <c r="BA6" s="1856" t="s">
        <v>7307</v>
      </c>
      <c r="BB6" s="1857" t="s">
        <v>7117</v>
      </c>
      <c r="BC6" s="1736">
        <f t="shared" ref="BC6:BC25" si="0">LEN(BB6)</f>
      </c>
    </row>
    <row r="7" spans="1:55" s="1736" customFormat="1" x14ac:dyDescent="0.2">
      <c r="A7" s="66"/>
      <c r="B7" s="1942"/>
      <c r="C7" s="1942"/>
      <c r="D7" s="1942"/>
      <c r="E7" s="1942"/>
      <c r="F7" s="1942"/>
      <c r="G7" s="1942"/>
      <c r="H7" s="1942"/>
      <c r="I7" s="1942"/>
      <c r="J7" s="1942"/>
      <c r="K7" s="1942"/>
      <c r="L7" s="1942"/>
      <c r="N7" s="66"/>
      <c r="O7" s="66"/>
      <c r="AK7" s="1736" t="s">
        <v>7036</v>
      </c>
      <c r="AM7" s="1485"/>
      <c r="BA7" s="1856" t="s">
        <v>7300</v>
      </c>
      <c r="BB7" s="1857" t="s">
        <v>7110</v>
      </c>
      <c r="BC7" s="1736">
        <f t="shared" si="0"/>
        <v>4</v>
      </c>
    </row>
    <row r="8" spans="1:55" s="1736" customFormat="1" x14ac:dyDescent="0.2">
      <c r="A8" s="66"/>
      <c r="B8" s="2187" t="s">
        <v>7152</v>
      </c>
      <c r="C8" s="2184"/>
      <c r="D8" s="1858"/>
      <c r="E8" s="1858"/>
      <c r="F8" s="1858"/>
      <c r="G8" s="1858"/>
      <c r="H8" s="1858"/>
      <c r="I8" s="1858"/>
      <c r="J8" s="1858"/>
      <c r="K8" s="1859"/>
      <c r="L8" s="1942"/>
      <c r="AK8" s="1736" t="s">
        <v>7037</v>
      </c>
      <c r="AM8" s="1485"/>
      <c r="AS8" s="1736" t="s">
        <v>7035</v>
      </c>
      <c r="AU8" s="1736">
        <f>IF(F31="",0,IF(AS2=F31,1,2))</f>
      </c>
      <c r="BA8" s="1856" t="s">
        <v>7302</v>
      </c>
      <c r="BB8" s="1857" t="s">
        <v>7112</v>
      </c>
      <c r="BC8" s="1736">
        <f t="shared" si="0"/>
        <v>4</v>
      </c>
    </row>
    <row r="9" spans="1:55" s="1736" customFormat="1" x14ac:dyDescent="0.2">
      <c r="A9" s="66"/>
      <c r="B9" s="1860" t="s">
        <v>7746</v>
      </c>
      <c r="C9" s="2185"/>
      <c r="D9" s="1861"/>
      <c r="E9" s="1861"/>
      <c r="F9" s="1861"/>
      <c r="G9" s="1861"/>
      <c r="H9" s="1861"/>
      <c r="I9" s="1861"/>
      <c r="J9" s="1861"/>
      <c r="K9" s="1862"/>
      <c r="L9" s="1942"/>
      <c r="AK9" s="1736" t="s">
        <v>7039</v>
      </c>
      <c r="AM9" s="1485"/>
      <c r="BA9" s="1856" t="s">
        <v>7301</v>
      </c>
      <c r="BB9" s="1857" t="s">
        <v>7111</v>
      </c>
      <c r="BC9" s="1736">
        <f t="shared" si="0"/>
        <v>4</v>
      </c>
    </row>
    <row r="10" spans="1:55" s="1736" customFormat="1" x14ac:dyDescent="0.2">
      <c r="A10" s="66"/>
      <c r="B10" s="1863" t="s">
        <v>7745</v>
      </c>
      <c r="C10" s="2186"/>
      <c r="D10" s="1864"/>
      <c r="E10" s="1864"/>
      <c r="F10" s="1864"/>
      <c r="G10" s="1864"/>
      <c r="H10" s="1864"/>
      <c r="I10" s="1864"/>
      <c r="J10" s="1864"/>
      <c r="K10" s="1865"/>
      <c r="L10" s="1942"/>
      <c r="AK10" s="1736" t="s">
        <v>7042</v>
      </c>
      <c r="AM10" s="1485" t="s">
        <v>7038</v>
      </c>
      <c r="BA10" s="1856" t="s">
        <v>7309</v>
      </c>
      <c r="BB10" s="1857" t="s">
        <v>7121</v>
      </c>
      <c r="BC10" s="1736">
        <f t="shared" si="0"/>
        <v>4</v>
      </c>
    </row>
    <row r="11" spans="1:55" s="1736" customFormat="1" x14ac:dyDescent="0.2">
      <c r="A11" s="66"/>
      <c r="B11" s="1942"/>
      <c r="C11" s="1942"/>
      <c r="D11" s="1942"/>
      <c r="E11" s="1942"/>
      <c r="F11" s="1942"/>
      <c r="G11" s="1942"/>
      <c r="H11" s="1942"/>
      <c r="I11" s="1942"/>
      <c r="J11" s="1942"/>
      <c r="K11" s="1942"/>
      <c r="L11" s="1942"/>
      <c r="P11" s="1736" t="s">
        <v>7030</v>
      </c>
      <c r="Q11" s="1736" t="s">
        <v>6977</v>
      </c>
      <c r="AK11" s="1736" t="s">
        <v>7044</v>
      </c>
      <c r="AM11" s="1485" t="s">
        <v>7040</v>
      </c>
      <c r="BA11" s="1856" t="s">
        <v>7310</v>
      </c>
      <c r="BB11" s="1857" t="s">
        <v>7122</v>
      </c>
      <c r="BC11" s="1736">
        <f t="shared" si="0"/>
        <v>4</v>
      </c>
    </row>
    <row r="12" spans="1:55" s="1736" customFormat="1" x14ac:dyDescent="0.2">
      <c r="A12" s="66"/>
      <c r="B12" s="1942" t="s">
        <v>9984</v>
      </c>
      <c r="C12" s="1942"/>
      <c r="D12" s="1942"/>
      <c r="E12" s="1942"/>
      <c r="F12" s="1942"/>
      <c r="G12" s="1942"/>
      <c r="H12" s="1942"/>
      <c r="I12" s="3587"/>
      <c r="J12" s="3049" t="str">
        <f>IF(AND($W$1="y",I12="",Q84&gt;0),re,IF(AND($W$1="n",I12&lt;&gt;""),"Delete!",""))</f>
        <v/>
      </c>
      <c r="K12" s="1942"/>
      <c r="L12" s="1942"/>
      <c r="P12" s="1485">
        <f>IF(J12="",0,1)</f>
      </c>
      <c r="Q12" s="1736">
        <f>IF(I12&lt;&gt;"",1,0)</f>
      </c>
      <c r="S12" s="3123">
        <f>IF(AND($W$1="n",I12&lt;&gt;""),1,0)</f>
      </c>
      <c r="AK12" s="1736" t="s">
        <v>7047</v>
      </c>
      <c r="AM12" s="1485" t="s">
        <v>7043</v>
      </c>
      <c r="BA12" s="1856" t="s">
        <v>7119</v>
      </c>
      <c r="BB12" s="1857" t="s">
        <v>7118</v>
      </c>
      <c r="BC12" s="1736">
        <f t="shared" si="0"/>
        <v>4</v>
      </c>
    </row>
    <row r="13" spans="1:55" s="1736" customFormat="1" x14ac:dyDescent="0.2">
      <c r="A13" s="66"/>
      <c r="B13" s="1942"/>
      <c r="C13" s="1942"/>
      <c r="D13" s="1942"/>
      <c r="E13" s="1942"/>
      <c r="F13" s="1942"/>
      <c r="G13" s="1942"/>
      <c r="H13" s="1942"/>
      <c r="I13" s="1942"/>
      <c r="J13" s="1942"/>
      <c r="K13" s="1942"/>
      <c r="L13" s="1942"/>
      <c r="N13" s="66"/>
      <c r="AK13" s="1736" t="s">
        <v>7048</v>
      </c>
      <c r="AM13" s="1485" t="s">
        <v>7045</v>
      </c>
      <c r="BA13" s="1856" t="s">
        <v>7305</v>
      </c>
      <c r="BB13" s="1857" t="s">
        <v>7115</v>
      </c>
      <c r="BC13" s="1736">
        <f t="shared" si="0"/>
        <v>4</v>
      </c>
    </row>
    <row r="14" spans="1:55" s="1736" customFormat="1" x14ac:dyDescent="0.2">
      <c r="A14" s="66"/>
      <c r="B14" s="1942" t="s">
        <v>7153</v>
      </c>
      <c r="C14" s="1942"/>
      <c r="D14" s="1942"/>
      <c r="E14" s="3050"/>
      <c r="F14" s="3050"/>
      <c r="G14" s="3050"/>
      <c r="H14" s="3050"/>
      <c r="I14" s="3051"/>
      <c r="J14" s="3049" t="str">
        <f>IF(AND(Q84&gt;0,I14=""),re,"")</f>
        <v/>
      </c>
      <c r="K14" s="1942"/>
      <c r="L14" s="1942"/>
      <c r="N14" s="66"/>
      <c r="O14" s="1060"/>
      <c r="P14" s="1485">
        <f>IF(J14="",0,1)</f>
      </c>
      <c r="Q14" s="1736">
        <f>IF(I14&lt;&gt;"",1,0)</f>
      </c>
      <c r="AK14" s="1736" t="s">
        <v>7049</v>
      </c>
      <c r="BA14" s="1856" t="s">
        <v>7294</v>
      </c>
      <c r="BB14" s="1857" t="s">
        <v>7104</v>
      </c>
      <c r="BC14" s="1736">
        <f t="shared" si="0"/>
        <v>7</v>
      </c>
    </row>
    <row r="15" spans="1:55" s="1736" customFormat="1" x14ac:dyDescent="0.2">
      <c r="A15" s="66"/>
      <c r="B15" s="1942"/>
      <c r="C15" s="1942"/>
      <c r="D15" s="1942"/>
      <c r="E15" s="3050"/>
      <c r="F15" s="3050"/>
      <c r="G15" s="3050"/>
      <c r="H15" s="3050"/>
      <c r="I15" s="3050"/>
      <c r="J15" s="3050"/>
      <c r="K15" s="1942"/>
      <c r="L15" s="1942"/>
      <c r="N15" s="66"/>
      <c r="AK15" s="1736" t="s">
        <v>7050</v>
      </c>
      <c r="AM15" s="1485"/>
      <c r="BA15" s="1856" t="s">
        <v>7295</v>
      </c>
      <c r="BB15" s="1857" t="s">
        <v>7105</v>
      </c>
      <c r="BC15" s="1736">
        <f t="shared" si="0"/>
        <v>7</v>
      </c>
    </row>
    <row r="16" spans="1:55" s="1736" customFormat="1" x14ac:dyDescent="0.2">
      <c r="A16" s="66"/>
      <c r="B16" s="1942"/>
      <c r="C16" s="1942"/>
      <c r="D16" s="1942"/>
      <c r="E16" s="3050"/>
      <c r="F16" s="3050"/>
      <c r="G16" s="3050"/>
      <c r="H16" s="3050"/>
      <c r="I16" s="3050"/>
      <c r="J16" s="3050"/>
      <c r="K16" s="1942"/>
      <c r="L16" s="1942"/>
      <c r="AK16" s="1736" t="s">
        <v>7052</v>
      </c>
      <c r="AM16" s="1485"/>
      <c r="BA16" s="1856" t="s">
        <v>7297</v>
      </c>
      <c r="BB16" s="1857" t="s">
        <v>7107</v>
      </c>
      <c r="BC16" s="1736">
        <f t="shared" si="0"/>
        <v>4</v>
      </c>
    </row>
    <row r="17" spans="1:55" s="1736" customFormat="1" x14ac:dyDescent="0.2">
      <c r="A17" s="66"/>
      <c r="B17" s="1939" t="s">
        <v>7139</v>
      </c>
      <c r="C17" s="1942"/>
      <c r="D17" s="1942"/>
      <c r="E17" s="3050"/>
      <c r="F17" s="3050"/>
      <c r="G17" s="3050"/>
      <c r="H17" s="3050"/>
      <c r="I17" s="3050"/>
      <c r="J17" s="3050"/>
      <c r="K17" s="1942"/>
      <c r="L17" s="1942"/>
      <c r="R17" s="1485"/>
      <c r="S17" s="1485"/>
      <c r="V17" s="1485"/>
      <c r="W17" s="1485"/>
      <c r="X17" s="1485"/>
      <c r="Y17" s="1485"/>
      <c r="Z17" s="1485"/>
      <c r="AA17" s="1485"/>
      <c r="AB17" s="1485"/>
      <c r="AC17" s="1485"/>
      <c r="AD17" s="1485"/>
      <c r="AE17" s="1485"/>
      <c r="AF17" s="1485"/>
      <c r="AG17" s="1485"/>
      <c r="AH17" s="1485"/>
      <c r="AI17" s="1485"/>
      <c r="AK17" s="1736" t="s">
        <v>7053</v>
      </c>
      <c r="AM17" s="1485" t="s">
        <v>7038</v>
      </c>
      <c r="BA17" s="1856" t="s">
        <v>7298</v>
      </c>
      <c r="BB17" s="1857" t="s">
        <v>7108</v>
      </c>
      <c r="BC17" s="1736">
        <f t="shared" si="0"/>
        <v>4</v>
      </c>
    </row>
    <row r="18" spans="1:55" s="1736" customFormat="1" ht="6" customHeight="1" x14ac:dyDescent="0.2">
      <c r="A18" s="66"/>
      <c r="B18" s="1935"/>
      <c r="C18" s="1942"/>
      <c r="D18" s="1942"/>
      <c r="E18" s="3050"/>
      <c r="F18" s="3050"/>
      <c r="G18" s="3050"/>
      <c r="H18" s="3050"/>
      <c r="I18" s="3050"/>
      <c r="J18" s="3050"/>
      <c r="K18" s="1942"/>
      <c r="L18" s="1942"/>
      <c r="R18" s="1485"/>
      <c r="S18" s="1485"/>
      <c r="V18" s="1485"/>
      <c r="W18" s="1485"/>
      <c r="X18" s="1485"/>
      <c r="Y18" s="1485"/>
      <c r="Z18" s="1485"/>
      <c r="AA18" s="1485"/>
      <c r="AB18" s="1485"/>
      <c r="AC18" s="1485"/>
      <c r="AD18" s="1485"/>
      <c r="AE18" s="1485"/>
      <c r="AF18" s="1485"/>
      <c r="AG18" s="1485"/>
      <c r="AH18" s="1485"/>
      <c r="AI18" s="1485"/>
      <c r="AM18" s="1485" t="s">
        <v>7040</v>
      </c>
      <c r="BA18" s="1856" t="s">
        <v>7303</v>
      </c>
      <c r="BB18" s="1857" t="s">
        <v>7113</v>
      </c>
      <c r="BC18" s="1736">
        <f t="shared" si="0"/>
        <v>7</v>
      </c>
    </row>
    <row r="19" spans="1:55" x14ac:dyDescent="0.2">
      <c r="B19" s="1935"/>
      <c r="C19" s="1935" t="s">
        <v>7033</v>
      </c>
      <c r="D19" s="1935"/>
      <c r="E19" s="3050"/>
      <c r="F19" s="3050"/>
      <c r="G19" s="3052"/>
      <c r="H19" s="3049" t="str">
        <f>IF(AND(Q84&gt;0,G19=""),re,"")</f>
        <v/>
      </c>
      <c r="I19" s="3053" t="s">
        <v>7747</v>
      </c>
      <c r="J19" s="3054"/>
      <c r="K19" s="2188" t="str">
        <f>IF(AND(Q84&gt;0,J19=""),re,"")</f>
        <v/>
      </c>
      <c r="L19" s="1942"/>
      <c r="M19" s="1736"/>
      <c r="N19" s="1742"/>
      <c r="O19" s="1736"/>
      <c r="P19" s="1485">
        <f>IF(H19="",0,1)</f>
      </c>
      <c r="Q19" s="1736">
        <f>IF(G19&lt;&gt;"",1,0)</f>
      </c>
      <c r="AM19" s="1485" t="s">
        <v>7043</v>
      </c>
      <c r="BA19" s="1856" t="s">
        <v>7311</v>
      </c>
      <c r="BB19" s="1857" t="s">
        <v>7123</v>
      </c>
      <c r="BC19" s="1736">
        <f t="shared" si="0"/>
        <v>6</v>
      </c>
    </row>
    <row r="20" spans="1:55" ht="4.5" customHeight="1" x14ac:dyDescent="0.2">
      <c r="B20" s="1935"/>
      <c r="C20" s="1935"/>
      <c r="D20" s="1935"/>
      <c r="E20" s="3050"/>
      <c r="F20" s="3050"/>
      <c r="G20" s="3050"/>
      <c r="H20" s="3050"/>
      <c r="I20" s="3050"/>
      <c r="J20" s="3050"/>
      <c r="K20" s="1935"/>
      <c r="L20" s="1942"/>
      <c r="M20" s="1736"/>
      <c r="P20" s="1736"/>
      <c r="Q20" s="1736"/>
      <c r="BA20" s="1856" t="s">
        <v>7299</v>
      </c>
      <c r="BB20" s="1857" t="s">
        <v>7109</v>
      </c>
      <c r="BC20" s="1736">
        <f t="shared" si="0"/>
        <v>4</v>
      </c>
    </row>
    <row r="21" spans="1:55" x14ac:dyDescent="0.2">
      <c r="B21" s="1935"/>
      <c r="C21" s="2189" t="s">
        <v>7749</v>
      </c>
      <c r="D21" s="1935"/>
      <c r="E21" s="3050"/>
      <c r="F21" s="3050"/>
      <c r="G21" s="3052"/>
      <c r="H21" s="3049" t="str">
        <f>IF(AND(Q84&gt;0,G21=""),re,"")</f>
        <v/>
      </c>
      <c r="I21" s="3053" t="s">
        <v>7748</v>
      </c>
      <c r="J21" s="3051"/>
      <c r="K21" s="2188" t="str">
        <f>IF(AND(Q84&gt;0,J21=""),re,"")</f>
        <v/>
      </c>
      <c r="L21" s="1942"/>
      <c r="M21" s="1736"/>
      <c r="N21" s="1742"/>
      <c r="O21" s="1736"/>
      <c r="P21" s="1485">
        <f>IF(K19="",0,1)</f>
      </c>
      <c r="Q21" s="1736">
        <f>IF(J19&lt;&gt;"",1,0)</f>
      </c>
      <c r="BA21" s="1856" t="s">
        <v>7312</v>
      </c>
      <c r="BB21" s="1857" t="s">
        <v>7124</v>
      </c>
      <c r="BC21" s="1736">
        <f t="shared" si="0"/>
        <v>4</v>
      </c>
    </row>
    <row r="22" spans="1:55" ht="6" customHeight="1" x14ac:dyDescent="0.2">
      <c r="B22" s="1935"/>
      <c r="C22" s="1935"/>
      <c r="D22" s="1935"/>
      <c r="E22" s="3050"/>
      <c r="F22" s="3050"/>
      <c r="G22" s="3055"/>
      <c r="H22" s="3049"/>
      <c r="I22" s="3050"/>
      <c r="J22" s="3050"/>
      <c r="K22" s="1935"/>
      <c r="L22" s="1942"/>
      <c r="M22" s="1736"/>
      <c r="P22" s="1736"/>
      <c r="Q22" s="1736">
        <f>IF(G21&lt;&gt;"",1,0)</f>
      </c>
      <c r="AJ22" s="1485" t="s">
        <v>7055</v>
      </c>
      <c r="AK22" s="1485">
        <f>IF(E25=AK13,1,0)</f>
      </c>
      <c r="BA22" s="1856" t="s">
        <v>7296</v>
      </c>
      <c r="BB22" s="1857" t="s">
        <v>7106</v>
      </c>
      <c r="BC22" s="1736">
        <f t="shared" si="0"/>
        <v>6</v>
      </c>
    </row>
    <row r="23" spans="1:55" x14ac:dyDescent="0.2">
      <c r="B23" s="1935"/>
      <c r="C23" s="1935" t="s">
        <v>7041</v>
      </c>
      <c r="D23" s="1935"/>
      <c r="E23" s="5130"/>
      <c r="F23" s="5131"/>
      <c r="G23" s="5131"/>
      <c r="H23" s="5131"/>
      <c r="I23" s="5131"/>
      <c r="J23" s="5132"/>
      <c r="K23" s="2188" t="str">
        <f>IF(AND(Q84&gt;0,E23=""),re,"")</f>
        <v/>
      </c>
      <c r="L23" s="1942"/>
      <c r="M23" s="1736"/>
      <c r="O23" s="1736"/>
      <c r="P23" s="1485">
        <f>IF(K23="",0,1)</f>
      </c>
      <c r="Q23" s="1736">
        <f>IF(E23&lt;&gt;"",1,0)</f>
      </c>
      <c r="Z23" s="1866"/>
      <c r="AM23" s="1485">
        <f>IF(OR(J21="small",J21="medium"),1,2)</f>
      </c>
      <c r="BA23" s="1856" t="s">
        <v>7314</v>
      </c>
      <c r="BB23" s="1857" t="s">
        <v>7126</v>
      </c>
      <c r="BC23" s="1736">
        <f t="shared" si="0"/>
        <v>6</v>
      </c>
    </row>
    <row r="24" spans="1:55" ht="8.25" customHeight="1" x14ac:dyDescent="0.2">
      <c r="B24" s="1935"/>
      <c r="C24" s="1935"/>
      <c r="D24" s="1935"/>
      <c r="E24" s="3050"/>
      <c r="F24" s="3050"/>
      <c r="G24" s="3050"/>
      <c r="H24" s="3050"/>
      <c r="I24" s="3050"/>
      <c r="J24" s="3050"/>
      <c r="K24" s="1935"/>
      <c r="L24" s="1935"/>
      <c r="M24" s="1736"/>
      <c r="P24" s="1736"/>
      <c r="Q24" s="1736"/>
      <c r="R24" s="1769"/>
      <c r="S24" s="1769"/>
      <c r="T24" s="1769"/>
      <c r="U24" s="1769"/>
      <c r="V24" s="1769"/>
      <c r="W24" s="1769"/>
      <c r="X24" s="1769"/>
      <c r="Y24" s="1769"/>
      <c r="Z24" s="1769"/>
      <c r="AC24" s="1769"/>
      <c r="AD24" s="1769"/>
      <c r="AE24" s="1769"/>
      <c r="AF24" s="1769"/>
      <c r="AG24" s="1769"/>
      <c r="AH24" s="1769"/>
      <c r="AI24" s="1769"/>
      <c r="BA24" s="1856" t="s">
        <v>7308</v>
      </c>
      <c r="BB24" s="1857" t="s">
        <v>7120</v>
      </c>
      <c r="BC24" s="1736">
        <f t="shared" si="0"/>
        <v>4</v>
      </c>
    </row>
    <row r="25" spans="1:55" x14ac:dyDescent="0.2">
      <c r="B25" s="1935"/>
      <c r="C25" s="1935" t="s">
        <v>7046</v>
      </c>
      <c r="D25" s="1935"/>
      <c r="E25" s="5130"/>
      <c r="F25" s="5131"/>
      <c r="G25" s="5131"/>
      <c r="H25" s="5131"/>
      <c r="I25" s="5131"/>
      <c r="J25" s="5132"/>
      <c r="K25" s="2188" t="str">
        <f>IF(AND(Q84&gt;0,E25=""),re,"")</f>
        <v/>
      </c>
      <c r="L25" s="1941"/>
      <c r="M25" s="1736"/>
      <c r="P25" s="1485">
        <f>IF(K25="",0,1)</f>
      </c>
      <c r="Q25" s="1736">
        <f>IF(E25&lt;&gt;"",1,0)</f>
      </c>
      <c r="R25" s="1736"/>
      <c r="S25" s="1736"/>
      <c r="T25" s="1736"/>
      <c r="U25" s="1736"/>
      <c r="V25" s="1736"/>
      <c r="W25" s="1736"/>
      <c r="X25" s="1736"/>
      <c r="Y25" s="1736"/>
      <c r="Z25" s="1736"/>
      <c r="AC25" s="1736"/>
      <c r="AD25" s="1736"/>
      <c r="AE25" s="1736"/>
      <c r="AF25" s="1736"/>
      <c r="AG25" s="1736"/>
      <c r="AH25" s="1736"/>
      <c r="AI25" s="1736"/>
      <c r="AJ25" s="1769"/>
      <c r="AM25" s="1485" t="str">
        <f>IF($AM$23=1,AM10,AM17)</f>
      </c>
      <c r="BA25" s="1856" t="s">
        <v>7313</v>
      </c>
      <c r="BB25" s="1857" t="s">
        <v>7125</v>
      </c>
      <c r="BC25" s="1736">
        <f t="shared" si="0"/>
        <v>7</v>
      </c>
    </row>
    <row r="26" spans="1:55" s="1736" customFormat="1" ht="5.25" customHeight="1" x14ac:dyDescent="0.2">
      <c r="A26" s="66"/>
      <c r="B26" s="1935"/>
      <c r="C26" s="1935"/>
      <c r="D26" s="1935"/>
      <c r="E26" s="3050"/>
      <c r="F26" s="3050"/>
      <c r="G26" s="3050"/>
      <c r="H26" s="3050"/>
      <c r="I26" s="3050"/>
      <c r="J26" s="3050"/>
      <c r="K26" s="1935"/>
      <c r="L26" s="1935"/>
      <c r="N26" s="66"/>
      <c r="O26" s="66"/>
      <c r="AM26" s="1485" t="str">
        <f>IF($AM$23=1,AM11,"")</f>
        <v/>
      </c>
    </row>
    <row r="27" spans="1:55" hidden="1" x14ac:dyDescent="0.2">
      <c r="B27" s="1935"/>
      <c r="D27" s="1935"/>
      <c r="E27" s="3050"/>
      <c r="F27" s="3050"/>
      <c r="G27" s="2912"/>
      <c r="H27" s="2912"/>
      <c r="I27" s="3050"/>
      <c r="J27" s="3050"/>
      <c r="K27" s="1935"/>
      <c r="L27" s="1935"/>
      <c r="M27" s="1736"/>
      <c r="N27" s="1742"/>
      <c r="P27" s="1485">
        <f>IF(K21="",0,1)</f>
      </c>
      <c r="Q27" s="1736">
        <f>IF(J21&lt;&gt;"",1,0)</f>
      </c>
      <c r="S27" s="1736"/>
      <c r="T27" s="1736"/>
      <c r="U27" s="1736"/>
      <c r="V27" s="1736"/>
      <c r="W27" s="1736"/>
      <c r="X27" s="1736"/>
      <c r="Y27" s="1736"/>
      <c r="Z27" s="1736"/>
      <c r="AC27" s="1736"/>
      <c r="AD27" s="1736"/>
      <c r="AE27" s="1736"/>
      <c r="AF27" s="1736"/>
      <c r="AG27" s="1736"/>
      <c r="AH27" s="1736"/>
      <c r="AI27" s="1736"/>
      <c r="AM27" s="1485" t="str">
        <f>IF($AM$23=1,AM12,"")</f>
        <v/>
      </c>
    </row>
    <row r="28" spans="1:55" ht="9" hidden="1" customHeight="1" x14ac:dyDescent="0.2">
      <c r="B28" s="1935"/>
      <c r="C28" s="1935"/>
      <c r="D28" s="1935"/>
      <c r="E28" s="3050"/>
      <c r="F28" s="3050"/>
      <c r="G28" s="3050"/>
      <c r="H28" s="3050"/>
      <c r="I28" s="3050"/>
      <c r="J28" s="3050"/>
      <c r="K28" s="1935"/>
      <c r="L28" s="1935"/>
      <c r="M28" s="1736"/>
      <c r="S28" s="1736"/>
      <c r="T28" s="1736"/>
      <c r="U28" s="1736"/>
      <c r="V28" s="1736"/>
      <c r="W28" s="1736"/>
      <c r="X28" s="1736"/>
      <c r="Y28" s="1736"/>
      <c r="Z28" s="1736"/>
      <c r="AI28" s="1736"/>
      <c r="AM28" s="1485" t="str">
        <f>IF($AM$23=1,AM13,"")</f>
        <v/>
      </c>
    </row>
    <row r="29" spans="1:55" x14ac:dyDescent="0.2">
      <c r="B29" s="1935"/>
      <c r="C29" s="1935" t="s">
        <v>7051</v>
      </c>
      <c r="D29" s="1935"/>
      <c r="E29" s="5130"/>
      <c r="F29" s="5131"/>
      <c r="G29" s="5131"/>
      <c r="H29" s="5131"/>
      <c r="I29" s="5131"/>
      <c r="J29" s="5132"/>
      <c r="K29" s="2188" t="str">
        <f>IF(AND(Q84&gt;0,E29=""),re,"")</f>
        <v/>
      </c>
      <c r="L29" s="1941"/>
      <c r="M29" s="1736"/>
      <c r="P29" s="1485">
        <f>IF(K29="",0,1)</f>
      </c>
      <c r="Q29" s="1736">
        <f>IF(E29&lt;&gt;"",1,0)</f>
      </c>
      <c r="AB29" s="1866" t="s">
        <v>7057</v>
      </c>
    </row>
    <row r="30" spans="1:55" ht="9" customHeight="1" x14ac:dyDescent="0.2">
      <c r="B30" s="1935"/>
      <c r="C30" s="1935"/>
      <c r="D30" s="1935"/>
      <c r="E30" s="3050"/>
      <c r="F30" s="3050"/>
      <c r="G30" s="3050"/>
      <c r="H30" s="3050"/>
      <c r="I30" s="3050"/>
      <c r="J30" s="3050"/>
      <c r="K30" s="1935"/>
      <c r="L30" s="1935"/>
      <c r="M30" s="1736"/>
      <c r="N30" s="1060"/>
      <c r="O30" s="1060"/>
      <c r="S30" s="1736"/>
      <c r="T30" s="1736"/>
      <c r="U30" s="1736"/>
      <c r="V30" s="1736"/>
      <c r="W30" s="1736"/>
      <c r="X30" s="1736"/>
      <c r="Y30" s="1736"/>
      <c r="Z30" s="1736"/>
      <c r="AB30" s="1806" t="s">
        <v>7021</v>
      </c>
      <c r="AF30" s="1736"/>
      <c r="AG30" s="1736"/>
      <c r="AH30" s="1736"/>
      <c r="AI30" s="1736"/>
    </row>
    <row r="31" spans="1:55" x14ac:dyDescent="0.2">
      <c r="B31" s="1935"/>
      <c r="C31" s="1935" t="s">
        <v>7054</v>
      </c>
      <c r="D31" s="1935"/>
      <c r="E31" s="3050"/>
      <c r="F31" s="5130"/>
      <c r="G31" s="5131"/>
      <c r="H31" s="5131"/>
      <c r="I31" s="5131"/>
      <c r="J31" s="5132"/>
      <c r="K31" s="2188" t="str">
        <f>IF(AND(Q84&gt;0,F31=""),re,"")</f>
        <v/>
      </c>
      <c r="L31" s="1941"/>
      <c r="M31" s="1736"/>
      <c r="N31" s="1784"/>
      <c r="O31" s="1784"/>
      <c r="P31" s="1485">
        <f>IF(K31="",0,1)</f>
      </c>
      <c r="Q31" s="1736">
        <f>IF(F31&lt;&gt;"",1,0)</f>
      </c>
      <c r="AA31" s="1736"/>
      <c r="AB31" s="1736"/>
      <c r="AI31" s="1736"/>
    </row>
    <row r="32" spans="1:55" ht="6" customHeight="1" x14ac:dyDescent="0.2">
      <c r="B32" s="1935"/>
      <c r="C32" s="1935"/>
      <c r="D32" s="1935"/>
      <c r="E32" s="3050"/>
      <c r="F32" s="3050"/>
      <c r="G32" s="3050"/>
      <c r="H32" s="3050"/>
      <c r="I32" s="3050"/>
      <c r="J32" s="3050"/>
      <c r="K32" s="1935"/>
      <c r="L32" s="1935"/>
      <c r="M32" s="1736"/>
      <c r="N32" s="1784"/>
      <c r="O32" s="1784"/>
      <c r="AA32" s="1736" t="s">
        <v>7095</v>
      </c>
      <c r="AB32" s="1867">
        <f>IF($AU$8=1,H36*Q36,0)</f>
      </c>
      <c r="AI32" s="1736"/>
    </row>
    <row r="33" spans="2:39" ht="14.25" customHeight="1" x14ac:dyDescent="0.2">
      <c r="B33" s="1935"/>
      <c r="C33" s="1935"/>
      <c r="D33" s="1935"/>
      <c r="E33" s="3050"/>
      <c r="F33" s="3050"/>
      <c r="G33" s="3050"/>
      <c r="H33" s="3050"/>
      <c r="I33" s="3050"/>
      <c r="J33" s="3050"/>
      <c r="K33" s="1935"/>
      <c r="L33" s="1935"/>
      <c r="M33" s="1736"/>
      <c r="N33" s="1784"/>
      <c r="O33" s="1784"/>
      <c r="S33" s="1736"/>
      <c r="T33" s="1736"/>
      <c r="U33" s="1736"/>
      <c r="V33" s="1736"/>
      <c r="W33" s="1736"/>
      <c r="X33" s="1736"/>
      <c r="Y33" s="1736"/>
      <c r="Z33" s="1736"/>
      <c r="AA33" s="1485" t="s">
        <v>7096</v>
      </c>
      <c r="AB33" s="1867">
        <f>IF($AU$8=1,H37*Q37,0)</f>
      </c>
      <c r="AC33" s="1736"/>
      <c r="AD33" s="1736"/>
      <c r="AE33" s="1736"/>
      <c r="AF33" s="1736"/>
      <c r="AG33" s="1736"/>
      <c r="AH33" s="1736"/>
      <c r="AI33" s="1736"/>
      <c r="AM33" s="1485" t="s">
        <v>7038</v>
      </c>
    </row>
    <row r="34" spans="2:39" x14ac:dyDescent="0.2">
      <c r="B34" s="1935"/>
      <c r="C34" s="1946" t="s">
        <v>7056</v>
      </c>
      <c r="D34" s="1935"/>
      <c r="E34" s="3050"/>
      <c r="F34" s="3050"/>
      <c r="G34" s="3053" t="s">
        <v>6947</v>
      </c>
      <c r="H34" s="3056">
        <f>ya-1</f>
      </c>
      <c r="I34" s="3055"/>
      <c r="J34" s="3055"/>
      <c r="K34" s="1943"/>
      <c r="L34" s="1943"/>
      <c r="M34" s="1736"/>
      <c r="N34" s="1784"/>
      <c r="O34" s="1784"/>
      <c r="S34" s="1736"/>
      <c r="T34" s="1736"/>
      <c r="U34" s="1736"/>
      <c r="V34" s="1736"/>
      <c r="W34" s="1736"/>
      <c r="X34" s="1736"/>
      <c r="Y34" s="1736"/>
      <c r="Z34" s="1736"/>
      <c r="AA34" s="1485" t="s">
        <v>6940</v>
      </c>
      <c r="AB34" s="1868">
        <f>IF($AU$8=1,SUM(AB32:AB33),0)</f>
      </c>
      <c r="AC34" s="1736"/>
      <c r="AD34" s="1736"/>
      <c r="AE34" s="1736"/>
      <c r="AF34" s="1736"/>
      <c r="AG34" s="1736"/>
      <c r="AH34" s="1736"/>
      <c r="AI34" s="1736"/>
      <c r="AM34" s="1485" t="s">
        <v>7040</v>
      </c>
    </row>
    <row r="35" spans="2:39" x14ac:dyDescent="0.2">
      <c r="B35" s="1935"/>
      <c r="C35" s="1947" t="s">
        <v>7058</v>
      </c>
      <c r="D35" s="1935"/>
      <c r="E35" s="3050"/>
      <c r="F35" s="3050"/>
      <c r="G35" s="3050"/>
      <c r="H35" s="3057"/>
      <c r="I35" s="3049"/>
      <c r="J35" s="3058"/>
      <c r="K35" s="1944"/>
      <c r="L35" s="1944"/>
      <c r="M35" s="1736"/>
      <c r="N35" s="1784"/>
      <c r="O35" s="1784"/>
      <c r="P35" s="1736"/>
      <c r="Q35" s="1736"/>
      <c r="S35" s="1736"/>
      <c r="T35" s="1736"/>
      <c r="U35" s="1736"/>
      <c r="V35" s="1736"/>
      <c r="W35" s="1736"/>
      <c r="X35" s="1736"/>
      <c r="Y35" s="1736"/>
      <c r="Z35" s="1736"/>
      <c r="AB35" s="1868"/>
      <c r="AD35" s="1485" t="s">
        <v>4130</v>
      </c>
      <c r="AE35" s="1485" t="s">
        <v>4012</v>
      </c>
      <c r="AM35" s="1485" t="s">
        <v>7045</v>
      </c>
    </row>
    <row r="36" spans="2:39" x14ac:dyDescent="0.2">
      <c r="B36" s="1935"/>
      <c r="C36" s="1935"/>
      <c r="D36" s="1935" t="s">
        <v>7059</v>
      </c>
      <c r="E36" s="3050"/>
      <c r="F36" s="3050"/>
      <c r="G36" s="3050"/>
      <c r="H36" s="3059"/>
      <c r="I36" s="3049" t="str">
        <f>IF(AND(AU8=1,Q84&gt;0,H36=""),reo,"")</f>
        <v/>
      </c>
      <c r="J36" s="3058"/>
      <c r="K36" s="1944"/>
      <c r="L36" s="1944"/>
      <c r="M36" s="1736"/>
      <c r="N36" s="1784"/>
      <c r="O36" s="1784"/>
      <c r="P36" s="1485">
        <f>IF(I36="",0,1)</f>
      </c>
      <c r="Q36" s="1736">
        <f>COUNT(H36)</f>
      </c>
      <c r="AA36" s="1485" t="s">
        <v>7097</v>
      </c>
      <c r="AB36" s="1867">
        <f>IF($AU$8=1,H40*Q40,0)</f>
      </c>
      <c r="AD36" s="1869">
        <f>IF(ISERROR(AB36/AB34)=TRUE,0,(AB36/AB34))</f>
      </c>
      <c r="AE36" s="1870">
        <v>0.5</v>
      </c>
      <c r="AM36" s="1485" t="s">
        <v>7043</v>
      </c>
    </row>
    <row r="37" spans="2:39" ht="12.75" customHeight="1" x14ac:dyDescent="0.2">
      <c r="B37" s="1935"/>
      <c r="C37" s="1935"/>
      <c r="D37" s="1935" t="s">
        <v>1140</v>
      </c>
      <c r="E37" s="3050"/>
      <c r="F37" s="3050"/>
      <c r="G37" s="3050"/>
      <c r="H37" s="3060"/>
      <c r="I37" s="3049" t="str">
        <f>IF(AND(AU8=1,Q84&gt;0,H37=""),reo,"")</f>
        <v/>
      </c>
      <c r="J37" s="3058"/>
      <c r="K37" s="1944"/>
      <c r="L37" s="1944"/>
      <c r="M37" s="1736"/>
      <c r="N37" s="1784"/>
      <c r="O37" s="1784"/>
      <c r="P37" s="1485">
        <f>IF(I37="",0,1)</f>
      </c>
      <c r="Q37" s="1736">
        <f>COUNT(H37)</f>
      </c>
      <c r="S37" s="1736"/>
      <c r="T37" s="1736"/>
      <c r="U37" s="1736"/>
      <c r="V37" s="1736"/>
      <c r="W37" s="1736"/>
      <c r="X37" s="1736"/>
      <c r="Y37" s="1736"/>
      <c r="Z37" s="1736"/>
      <c r="AA37" s="1871" t="s">
        <v>7141</v>
      </c>
      <c r="AB37" s="1868">
        <f>IF($AU$8=2,0,IF(AM23=1,AB36,IF(AM23=2,AB36*AE36,AB36)))</f>
      </c>
      <c r="AC37" s="1872"/>
      <c r="AD37" s="1872"/>
      <c r="AE37" s="1872"/>
      <c r="AF37" s="1872"/>
      <c r="AG37" s="1872"/>
      <c r="AH37" s="1872"/>
      <c r="AI37" s="1872"/>
    </row>
    <row r="38" spans="2:39" x14ac:dyDescent="0.2">
      <c r="B38" s="1935"/>
      <c r="C38" s="1935" t="s">
        <v>7058</v>
      </c>
      <c r="D38" s="1935"/>
      <c r="E38" s="3050"/>
      <c r="F38" s="3050"/>
      <c r="G38" s="3050"/>
      <c r="H38" s="3061">
        <f>AB34</f>
      </c>
      <c r="I38" s="3049"/>
      <c r="J38" s="3058"/>
      <c r="K38" s="1944"/>
      <c r="L38" s="1944"/>
      <c r="M38" s="1736"/>
      <c r="N38" s="1784"/>
      <c r="O38" s="1784"/>
      <c r="Q38" s="1736"/>
    </row>
    <row r="39" spans="2:39" ht="4.5" customHeight="1" x14ac:dyDescent="0.2">
      <c r="B39" s="1935"/>
      <c r="C39" s="1935"/>
      <c r="D39" s="1935"/>
      <c r="E39" s="3050"/>
      <c r="F39" s="3050"/>
      <c r="G39" s="3050"/>
      <c r="H39" s="3057"/>
      <c r="I39" s="3049"/>
      <c r="J39" s="3058"/>
      <c r="K39" s="1944"/>
      <c r="L39" s="1944"/>
      <c r="M39" s="1736"/>
      <c r="N39" s="1784"/>
      <c r="O39" s="1784"/>
      <c r="AA39" s="1871" t="s">
        <v>7098</v>
      </c>
      <c r="AB39" s="1867">
        <f>IF($AU$8=1,0,H43)</f>
      </c>
      <c r="AM39" s="1485" t="s">
        <v>7038</v>
      </c>
    </row>
    <row r="40" spans="2:39" x14ac:dyDescent="0.2">
      <c r="B40" s="1935"/>
      <c r="C40" s="1935" t="s">
        <v>7140</v>
      </c>
      <c r="D40" s="1935"/>
      <c r="E40" s="3050"/>
      <c r="F40" s="3050"/>
      <c r="G40" s="3050"/>
      <c r="H40" s="3062"/>
      <c r="I40" s="3049" t="str">
        <f>IF(AND(AM23=2,AU8=1,Q84&gt;0,H40=""),reo,"")</f>
        <v/>
      </c>
      <c r="J40" s="3058"/>
      <c r="K40" s="1944"/>
      <c r="L40" s="1944"/>
      <c r="M40" s="1736"/>
      <c r="N40" s="1784"/>
      <c r="O40" s="1784"/>
      <c r="P40" s="1485">
        <f>IF(I40="",0,1)</f>
      </c>
      <c r="Q40" s="1736">
        <f>COUNT(H40)</f>
      </c>
      <c r="AA40" s="1871"/>
      <c r="AB40" s="1867"/>
      <c r="AM40" s="1485" t="s">
        <v>7040</v>
      </c>
    </row>
    <row r="41" spans="2:39" x14ac:dyDescent="0.2">
      <c r="B41" s="1935"/>
      <c r="C41" s="1935" t="s">
        <v>7060</v>
      </c>
      <c r="D41" s="1935"/>
      <c r="E41" s="3050"/>
      <c r="F41" s="3050"/>
      <c r="G41" s="3050"/>
      <c r="H41" s="3063">
        <f>AB37</f>
      </c>
      <c r="I41" s="3049"/>
      <c r="J41" s="3058"/>
      <c r="K41" s="1944"/>
      <c r="L41" s="1944"/>
      <c r="M41" s="1736"/>
      <c r="N41" s="1784"/>
      <c r="O41" s="1784"/>
      <c r="AB41" s="1868"/>
      <c r="AM41" s="1485" t="s">
        <v>7043</v>
      </c>
    </row>
    <row r="42" spans="2:39" ht="21.75" customHeight="1" x14ac:dyDescent="0.2">
      <c r="B42" s="1935"/>
      <c r="C42" s="1940" t="s">
        <v>7061</v>
      </c>
      <c r="D42" s="1935"/>
      <c r="E42" s="3050"/>
      <c r="F42" s="3050"/>
      <c r="G42" s="3064"/>
      <c r="H42" s="3057"/>
      <c r="I42" s="3049"/>
      <c r="J42" s="3058"/>
      <c r="K42" s="1944"/>
      <c r="L42" s="1935"/>
      <c r="M42" s="1736"/>
      <c r="N42" s="1784"/>
      <c r="O42" s="1784"/>
      <c r="AA42" s="1485" t="s">
        <v>6940</v>
      </c>
      <c r="AB42" s="1868">
        <f>AB34+AB37+AB39</f>
      </c>
    </row>
    <row r="43" spans="2:39" x14ac:dyDescent="0.2">
      <c r="B43" s="1935"/>
      <c r="C43" s="1935"/>
      <c r="D43" s="1935"/>
      <c r="E43" s="3053" t="s">
        <v>7102</v>
      </c>
      <c r="F43" s="3052"/>
      <c r="G43" s="3049" t="str">
        <f>IF(AU8&lt;&gt;2,"",IF(AND(F43="",Q84&gt;0),re,""))</f>
        <v/>
      </c>
      <c r="H43" s="3062"/>
      <c r="I43" s="3049" t="str">
        <f>IF(AU8&lt;&gt;2,"",IF(H43="",reo,""))</f>
        <v/>
      </c>
      <c r="J43" s="3058"/>
      <c r="K43" s="1944"/>
      <c r="L43" s="1944"/>
      <c r="M43" s="1736"/>
      <c r="N43" s="1784"/>
      <c r="O43" s="1784"/>
      <c r="P43" s="1485">
        <f>IF(I43="",0,1)</f>
      </c>
      <c r="Q43" s="1736">
        <f>COUNT(H43)</f>
      </c>
      <c r="AA43" s="1871" t="s">
        <v>7099</v>
      </c>
      <c r="AB43" s="1868">
        <f>H47</f>
      </c>
      <c r="AG43" s="1736"/>
    </row>
    <row r="44" spans="2:39" x14ac:dyDescent="0.2">
      <c r="B44" s="1935"/>
      <c r="C44" s="1935"/>
      <c r="D44" s="1935"/>
      <c r="E44" s="3053" t="s">
        <v>7101</v>
      </c>
      <c r="F44" s="3054"/>
      <c r="G44" s="3049" t="str">
        <f>IF(AU8&lt;&gt;2,"",IF(AND(F44="",Q84&gt;0),re,""))</f>
        <v/>
      </c>
      <c r="H44" s="3058"/>
      <c r="I44" s="3049"/>
      <c r="J44" s="3058"/>
      <c r="K44" s="1944"/>
      <c r="L44" s="1944"/>
      <c r="M44" s="1736"/>
      <c r="N44" s="1784"/>
      <c r="O44" s="1784"/>
      <c r="Q44" s="1736"/>
      <c r="AA44" s="1485" t="s">
        <v>7100</v>
      </c>
      <c r="AB44" s="1868">
        <f>IF(AB42+AB43&lt;=0,0,AB42+AB43)</f>
      </c>
      <c r="AD44" s="1485" t="s">
        <v>7148</v>
      </c>
      <c r="AG44" s="1736"/>
    </row>
    <row r="45" spans="2:39" ht="4.5" customHeight="1" x14ac:dyDescent="0.2">
      <c r="B45" s="1935"/>
      <c r="C45" s="1935"/>
      <c r="D45" s="1935"/>
      <c r="E45" s="3050"/>
      <c r="F45" s="3050"/>
      <c r="G45" s="3050"/>
      <c r="H45" s="3065"/>
      <c r="I45" s="3049"/>
      <c r="J45" s="3058"/>
      <c r="K45" s="1944"/>
      <c r="L45" s="1944"/>
      <c r="M45" s="1736"/>
      <c r="Q45" s="1736"/>
      <c r="AD45" s="1873" t="s">
        <v>7146</v>
      </c>
      <c r="AE45" s="1873" t="s">
        <v>7147</v>
      </c>
      <c r="AG45" s="1736"/>
    </row>
    <row r="46" spans="2:39" x14ac:dyDescent="0.2">
      <c r="B46" s="1935"/>
      <c r="C46" s="1935" t="s">
        <v>1592</v>
      </c>
      <c r="D46" s="1935"/>
      <c r="E46" s="3050"/>
      <c r="F46" s="3050"/>
      <c r="G46" s="3050"/>
      <c r="H46" s="3063">
        <f>AB42</f>
      </c>
      <c r="I46" s="3049"/>
      <c r="J46" s="3058"/>
      <c r="K46" s="1944"/>
      <c r="L46" s="1944"/>
      <c r="M46" s="1736"/>
      <c r="AA46" s="1485" t="s">
        <v>7064</v>
      </c>
      <c r="AB46" s="1485" t="b">
        <f>IF(H34&lt;=2017,AD46,AE46)</f>
      </c>
      <c r="AD46" s="1873" t="b">
        <f>IF($J$21=$AD$65,$AE$65,IF($J$21=$AD$64,$AE$64,IF($J$21=$AD$63,$AE$63)))</f>
      </c>
      <c r="AE46" s="1873" t="b">
        <f>IF($J$21=$AD$65,$AF$65,IF($J$21=$AD$64,$AF$64,IF($J$21=$AD$63,$AF$63)))</f>
      </c>
      <c r="AG46" s="1736"/>
    </row>
    <row r="47" spans="2:39" x14ac:dyDescent="0.2">
      <c r="B47" s="1945" t="s">
        <v>5445</v>
      </c>
      <c r="C47" s="1936" t="s">
        <v>7178</v>
      </c>
      <c r="D47" s="1936"/>
      <c r="E47" s="3066"/>
      <c r="F47" s="3066"/>
      <c r="G47" s="3067"/>
      <c r="H47" s="3606"/>
      <c r="I47" s="3049" t="str">
        <f>IF(AND(Q84&gt;0,H47=""),reo,"")</f>
        <v/>
      </c>
      <c r="J47" s="3058"/>
      <c r="K47" s="1944"/>
      <c r="L47" s="1944"/>
      <c r="M47" s="1736"/>
      <c r="P47" s="1485">
        <f>IF(I47="",0,1)</f>
      </c>
      <c r="Q47" s="1736">
        <f>COUNT(H47)</f>
      </c>
      <c r="AA47" s="1871" t="s">
        <v>7149</v>
      </c>
      <c r="AB47" s="1485" t="b">
        <f>IF(H34&lt;=2017,AD47,AE47)</f>
      </c>
      <c r="AD47" s="1873" t="b">
        <f>IF($J$21=$AD$58,$AE$58,IF($J$21=$AD$57,$AE$57,IF($J$21=$AD$56,$AE$56)))</f>
      </c>
      <c r="AE47" s="1873" t="b">
        <f>IF($J$21=$AD$58,$AF$58,IF($J$21=$AD$57,$AF$57,IF($J$21=$AD$56,$AF$56)))</f>
      </c>
      <c r="AG47" s="1736"/>
    </row>
    <row r="48" spans="2:39" x14ac:dyDescent="0.2">
      <c r="B48" s="1935"/>
      <c r="C48" s="1935" t="s">
        <v>7062</v>
      </c>
      <c r="D48" s="1935"/>
      <c r="E48" s="3050"/>
      <c r="F48" s="3050"/>
      <c r="G48" s="3050"/>
      <c r="H48" s="3063">
        <f>IF(P47=1,0,AB44)</f>
      </c>
      <c r="I48" s="3058"/>
      <c r="J48" s="3058"/>
      <c r="K48" s="1944"/>
      <c r="L48" s="1944"/>
      <c r="M48" s="1736"/>
      <c r="AA48" s="1871" t="s">
        <v>7066</v>
      </c>
      <c r="AB48" s="1485" t="b">
        <f>IF(AK22=0,AB47,AB46)</f>
      </c>
      <c r="AG48" s="1736"/>
    </row>
    <row r="49" spans="2:36" ht="7.5" customHeight="1" x14ac:dyDescent="0.2">
      <c r="B49" s="1935"/>
      <c r="C49" s="1935"/>
      <c r="D49" s="1935"/>
      <c r="E49" s="3050"/>
      <c r="F49" s="3050"/>
      <c r="G49" s="3050"/>
      <c r="H49" s="3050"/>
      <c r="I49" s="3050"/>
      <c r="J49" s="3050"/>
      <c r="K49" s="1935"/>
      <c r="L49" s="1935"/>
      <c r="M49" s="1736"/>
      <c r="AA49" s="1871" t="s">
        <v>7068</v>
      </c>
      <c r="AB49" s="1870">
        <f>H50</f>
      </c>
      <c r="AG49" s="1736"/>
      <c r="AJ49" s="1871"/>
    </row>
    <row r="50" spans="2:36" x14ac:dyDescent="0.2">
      <c r="B50" s="1935"/>
      <c r="C50" s="1936" t="s">
        <v>7063</v>
      </c>
      <c r="D50" s="1935"/>
      <c r="E50" s="3050"/>
      <c r="F50" s="3050"/>
      <c r="G50" s="3050"/>
      <c r="H50" s="3068"/>
      <c r="I50" s="3049" t="str">
        <f>IF(AND(Q84&gt;0,H50=""),reo,IF(H50&lt;=AB48,"","Relevant Intensity Level excessive!"))</f>
        <v/>
      </c>
      <c r="J50" s="3050"/>
      <c r="K50" s="1935"/>
      <c r="L50" s="1935"/>
      <c r="M50" s="1736"/>
      <c r="P50" s="1485">
        <f>IF(I50="",0,1)</f>
      </c>
      <c r="Q50" s="1736">
        <f>IF(H50&lt;&gt;"",1,0)</f>
      </c>
      <c r="AA50" s="1871" t="s">
        <v>7070</v>
      </c>
      <c r="AB50" s="1868">
        <f>AB44</f>
      </c>
      <c r="AG50" s="1736"/>
    </row>
    <row r="51" spans="2:36" x14ac:dyDescent="0.2">
      <c r="B51" s="1935"/>
      <c r="C51" s="1936" t="s">
        <v>7181</v>
      </c>
      <c r="D51" s="1935"/>
      <c r="E51" s="3050"/>
      <c r="F51" s="3050"/>
      <c r="G51" s="3050"/>
      <c r="H51" s="3063">
        <f>IF(P50=1,0,AB51)</f>
      </c>
      <c r="I51" s="3049"/>
      <c r="J51" s="3050"/>
      <c r="K51" s="1935"/>
      <c r="L51" s="1935"/>
      <c r="M51" s="1736"/>
      <c r="AA51" s="1871" t="s">
        <v>7071</v>
      </c>
      <c r="AB51" s="1868">
        <f>ROUND(MIN(AB48,AB49)*AB50,0)</f>
      </c>
      <c r="AD51" s="1736"/>
      <c r="AE51" s="1736"/>
      <c r="AF51" s="1736"/>
    </row>
    <row r="52" spans="2:36" x14ac:dyDescent="0.2">
      <c r="B52" s="1945" t="s">
        <v>5445</v>
      </c>
      <c r="C52" s="1935" t="s">
        <v>7179</v>
      </c>
      <c r="D52" s="1935"/>
      <c r="E52" s="3050"/>
      <c r="F52" s="3050"/>
      <c r="G52" s="3050"/>
      <c r="H52" s="3606"/>
      <c r="I52" s="3049" t="str">
        <f>IF(AND(Q84&gt;0,H52=""),reo,"")</f>
        <v/>
      </c>
      <c r="J52" s="3050"/>
      <c r="K52" s="1935"/>
      <c r="L52" s="1935"/>
      <c r="M52" s="1736"/>
      <c r="P52" s="1485">
        <f>IF(I52="",0,1)</f>
      </c>
      <c r="Q52" s="1736">
        <f>IF(H52&lt;&gt;"",1,0)</f>
      </c>
      <c r="Z52" s="1874"/>
      <c r="AA52" s="1517" t="s">
        <v>7137</v>
      </c>
      <c r="AB52" s="1868">
        <f>H52</f>
      </c>
      <c r="AD52" s="1736" t="s">
        <v>7075</v>
      </c>
    </row>
    <row r="53" spans="2:36" x14ac:dyDescent="0.2">
      <c r="B53" s="1945"/>
      <c r="C53" s="1936" t="s">
        <v>7180</v>
      </c>
      <c r="D53" s="1935"/>
      <c r="E53" s="3050"/>
      <c r="F53" s="3050"/>
      <c r="G53" s="3050"/>
      <c r="H53" s="3063">
        <f>IF(P52=1,0,AB53)</f>
      </c>
      <c r="I53" s="3050"/>
      <c r="J53" s="3050"/>
      <c r="K53" s="1935"/>
      <c r="L53" s="1935"/>
      <c r="M53" s="1736"/>
      <c r="AA53" s="1517" t="s">
        <v>7136</v>
      </c>
      <c r="AB53" s="1868">
        <f>IF(AB51+AB52&lt;0,0,AB51+AB52)</f>
      </c>
      <c r="AD53" s="5124" t="s">
        <v>7077</v>
      </c>
      <c r="AE53" s="5125"/>
      <c r="AF53" s="5126"/>
    </row>
    <row r="54" spans="2:36" ht="6" customHeight="1" x14ac:dyDescent="0.2">
      <c r="B54" s="1935"/>
      <c r="C54" s="1935"/>
      <c r="D54" s="1935"/>
      <c r="E54" s="3050"/>
      <c r="F54" s="3050"/>
      <c r="G54" s="3050"/>
      <c r="H54" s="3050"/>
      <c r="I54" s="3050"/>
      <c r="J54" s="3050"/>
      <c r="K54" s="1935"/>
      <c r="L54" s="1935"/>
      <c r="M54" s="1736"/>
      <c r="AD54" s="1875"/>
      <c r="AE54" s="1875" t="s">
        <v>7078</v>
      </c>
      <c r="AF54" s="1875" t="s">
        <v>7079</v>
      </c>
    </row>
    <row r="55" spans="2:36" x14ac:dyDescent="0.2">
      <c r="B55" s="1939" t="s">
        <v>7142</v>
      </c>
      <c r="C55" s="1935"/>
      <c r="D55" s="1935"/>
      <c r="E55" s="3050"/>
      <c r="F55" s="3050"/>
      <c r="G55" s="3050"/>
      <c r="H55" s="3050"/>
      <c r="I55" s="3050"/>
      <c r="J55" s="3050"/>
      <c r="K55" s="1935"/>
      <c r="L55" s="1935"/>
      <c r="M55" s="1736"/>
      <c r="AA55" s="1871" t="s">
        <v>7150</v>
      </c>
      <c r="AB55" s="1872">
        <f>H61</f>
      </c>
      <c r="AD55" s="1876"/>
      <c r="AE55" s="1877">
        <v>43100</v>
      </c>
      <c r="AF55" s="1877">
        <v>43100</v>
      </c>
    </row>
    <row r="56" spans="2:36" ht="5.25" customHeight="1" x14ac:dyDescent="0.2">
      <c r="B56" s="1935"/>
      <c r="C56" s="1935"/>
      <c r="D56" s="1935"/>
      <c r="E56" s="3050"/>
      <c r="F56" s="3050"/>
      <c r="G56" s="3050"/>
      <c r="H56" s="3050"/>
      <c r="I56" s="3050"/>
      <c r="J56" s="3050"/>
      <c r="K56" s="1935"/>
      <c r="L56" s="1935"/>
      <c r="M56" s="1736"/>
      <c r="AD56" s="1875" t="s">
        <v>3274</v>
      </c>
      <c r="AE56" s="1878">
        <v>0.35</v>
      </c>
      <c r="AF56" s="1878">
        <v>0.3</v>
      </c>
    </row>
    <row r="57" spans="2:36" x14ac:dyDescent="0.2">
      <c r="B57" s="1935"/>
      <c r="C57" s="1935" t="s">
        <v>7033</v>
      </c>
      <c r="D57" s="1935"/>
      <c r="E57" s="3050"/>
      <c r="F57" s="3050"/>
      <c r="G57" s="3052"/>
      <c r="H57" s="3049" t="str">
        <f>IF(AND(OR(P14=1,I14="yes"),Q84&gt;0,G57=""),re,IF(AND(I14="no",G57&lt;&gt;""),"No Incentive Entitlement Certificates - project based!",""))</f>
        <v/>
      </c>
      <c r="I57" s="3050"/>
      <c r="J57" s="3050"/>
      <c r="K57" s="1935"/>
      <c r="L57" s="1935"/>
      <c r="M57" s="1736"/>
      <c r="P57" s="1485">
        <f>IF(H57="",0,1)</f>
      </c>
      <c r="Q57" s="1736">
        <f>IF(G57&lt;&gt;"",1,0)</f>
      </c>
      <c r="AA57" s="1517" t="s">
        <v>7138</v>
      </c>
      <c r="AB57" s="1872">
        <f>AB53+AB55</f>
      </c>
      <c r="AD57" s="1880" t="s">
        <v>3281</v>
      </c>
      <c r="AE57" s="1881">
        <v>0.25</v>
      </c>
      <c r="AF57" s="1881">
        <v>0.2</v>
      </c>
    </row>
    <row r="58" spans="2:36" ht="4.5" customHeight="1" x14ac:dyDescent="0.2">
      <c r="B58" s="1935"/>
      <c r="C58" s="1935"/>
      <c r="D58" s="1935"/>
      <c r="E58" s="3050"/>
      <c r="F58" s="3050"/>
      <c r="G58" s="3050"/>
      <c r="H58" s="3050"/>
      <c r="I58" s="3050"/>
      <c r="J58" s="3050"/>
      <c r="K58" s="1935"/>
      <c r="L58" s="1935"/>
      <c r="M58" s="1736"/>
      <c r="AD58" s="1876" t="s">
        <v>3282</v>
      </c>
      <c r="AE58" s="1882">
        <v>0.15</v>
      </c>
      <c r="AF58" s="1882">
        <v>0.1</v>
      </c>
    </row>
    <row r="59" spans="2:36" x14ac:dyDescent="0.2">
      <c r="B59" s="1935"/>
      <c r="C59" s="1935" t="s">
        <v>7145</v>
      </c>
      <c r="D59" s="1935"/>
      <c r="E59" s="3050"/>
      <c r="F59" s="3050"/>
      <c r="G59" s="3054"/>
      <c r="H59" s="3049" t="str">
        <f>IF(AND(OR(P14=1,I14="yes"),Q84&gt;0,G59=""),re,IF(AND(I14="no",G59&lt;&gt;""),"No Incentive Entitlement Certificate - Project based!",""))</f>
        <v/>
      </c>
      <c r="I59" s="3050"/>
      <c r="J59" s="3050"/>
      <c r="K59" s="1935"/>
      <c r="L59" s="1935"/>
      <c r="M59" s="1736"/>
      <c r="P59" s="1485">
        <f>IF(H59="",0,1)</f>
      </c>
      <c r="Q59" s="1736">
        <f>IF(G59&lt;&gt;"",1,0)</f>
      </c>
      <c r="AA59" s="1871" t="s">
        <v>7065</v>
      </c>
      <c r="AB59" s="1868">
        <f>IF(OR($H$34=2014,Y1&gt;=AH1),0,H66)</f>
      </c>
      <c r="AD59" s="1736"/>
      <c r="AE59" s="1736"/>
      <c r="AF59" s="1736"/>
    </row>
    <row r="60" spans="2:36" ht="4.5" customHeight="1" x14ac:dyDescent="0.2">
      <c r="B60" s="1935"/>
      <c r="C60" s="1935"/>
      <c r="D60" s="1935"/>
      <c r="E60" s="3050"/>
      <c r="F60" s="3050"/>
      <c r="G60" s="3050"/>
      <c r="H60" s="3050"/>
      <c r="I60" s="3050"/>
      <c r="J60" s="3050"/>
      <c r="K60" s="1935"/>
      <c r="L60" s="1935"/>
      <c r="M60" s="1736"/>
      <c r="AA60" s="1871" t="s">
        <v>7091</v>
      </c>
      <c r="AB60" s="1868">
        <f>IF(OR(H34=2014,Y1&gt;=AH1),0,H67)</f>
      </c>
      <c r="AD60" s="5124" t="s">
        <v>7080</v>
      </c>
      <c r="AE60" s="5125"/>
      <c r="AF60" s="5126"/>
      <c r="AI60" s="1871"/>
    </row>
    <row r="61" spans="2:36" x14ac:dyDescent="0.2">
      <c r="B61" s="1935"/>
      <c r="C61" s="1935" t="s">
        <v>7144</v>
      </c>
      <c r="D61" s="1935"/>
      <c r="E61" s="3050"/>
      <c r="F61" s="3050"/>
      <c r="G61" s="3050"/>
      <c r="H61" s="3069"/>
      <c r="I61" s="3049" t="str">
        <f>IF(AND(OR(I14="yes",P14=1),Q84&gt;0,H61=""),reo,IF(AND(H61&lt;&gt;0,I14="no"),"DELETE! No Incentive Entitlement Certificate - Project based!",""))</f>
        <v/>
      </c>
      <c r="J61" s="3050"/>
      <c r="K61" s="1935"/>
      <c r="L61" s="1935"/>
      <c r="M61" s="1736"/>
      <c r="P61" s="1485">
        <f>IF(I61="",0,1)</f>
      </c>
      <c r="Q61" s="1736">
        <f>IF(H61&lt;&gt;"",1,0)</f>
      </c>
      <c r="AA61" s="1871" t="s">
        <v>7094</v>
      </c>
      <c r="AB61" s="1868">
        <f>SUM(AB59:AB60)</f>
      </c>
      <c r="AD61" s="1875"/>
      <c r="AE61" s="1875" t="s">
        <v>7078</v>
      </c>
      <c r="AF61" s="1875" t="s">
        <v>7079</v>
      </c>
    </row>
    <row r="62" spans="2:36" ht="3.75" customHeight="1" x14ac:dyDescent="0.2">
      <c r="B62" s="1935"/>
      <c r="C62" s="1935"/>
      <c r="D62" s="1935"/>
      <c r="E62" s="3050"/>
      <c r="F62" s="3050"/>
      <c r="G62" s="3050"/>
      <c r="H62" s="3050"/>
      <c r="I62" s="3050"/>
      <c r="J62" s="3050"/>
      <c r="K62" s="1935"/>
      <c r="L62" s="1935"/>
      <c r="M62" s="1736"/>
      <c r="AA62" s="1871" t="s">
        <v>7067</v>
      </c>
      <c r="AB62" s="1868">
        <f>AB57+AB61</f>
      </c>
      <c r="AD62" s="1876"/>
      <c r="AE62" s="1877">
        <v>43100</v>
      </c>
      <c r="AF62" s="1877">
        <v>43100</v>
      </c>
    </row>
    <row r="63" spans="2:36" x14ac:dyDescent="0.2">
      <c r="B63" s="1940" t="s">
        <v>7143</v>
      </c>
      <c r="C63" s="1935"/>
      <c r="D63" s="1935"/>
      <c r="E63" s="3050"/>
      <c r="F63" s="3050"/>
      <c r="G63" s="3050"/>
      <c r="H63" s="3050"/>
      <c r="I63" s="3050"/>
      <c r="J63" s="3050"/>
      <c r="K63" s="1935"/>
      <c r="L63" s="1935"/>
      <c r="M63" s="1736"/>
      <c r="AA63" s="1871" t="s">
        <v>7069</v>
      </c>
      <c r="AB63" s="1868">
        <f>-H71</f>
      </c>
      <c r="AD63" s="1875" t="s">
        <v>3274</v>
      </c>
      <c r="AE63" s="1878">
        <v>0.15</v>
      </c>
      <c r="AF63" s="1881">
        <v>0.15</v>
      </c>
    </row>
    <row r="64" spans="2:36" x14ac:dyDescent="0.2">
      <c r="B64" s="1935"/>
      <c r="C64" s="1935" t="s">
        <v>7138</v>
      </c>
      <c r="D64" s="1935"/>
      <c r="E64" s="3050"/>
      <c r="F64" s="3050"/>
      <c r="G64" s="3050"/>
      <c r="H64" s="3063">
        <f>IF(P61=1,0,AB57)</f>
      </c>
      <c r="I64" s="3049"/>
      <c r="J64" s="3050"/>
      <c r="K64" s="1935"/>
      <c r="L64" s="1935"/>
      <c r="M64" s="1736"/>
      <c r="AA64" s="1871" t="s">
        <v>7074</v>
      </c>
      <c r="AB64" s="1868">
        <f>AB62+AB63</f>
      </c>
      <c r="AD64" s="1880" t="s">
        <v>3281</v>
      </c>
      <c r="AE64" s="1881">
        <v>0.15</v>
      </c>
      <c r="AF64" s="1881">
        <v>0.15</v>
      </c>
    </row>
    <row r="65" spans="2:32" ht="3" customHeight="1" x14ac:dyDescent="0.2">
      <c r="B65" s="1935"/>
      <c r="C65" s="1935"/>
      <c r="D65" s="1935"/>
      <c r="E65" s="3050"/>
      <c r="F65" s="3050"/>
      <c r="G65" s="3050"/>
      <c r="H65" s="3050"/>
      <c r="I65" s="3050"/>
      <c r="J65" s="3050"/>
      <c r="K65" s="1935"/>
      <c r="L65" s="1935"/>
      <c r="M65" s="1736"/>
      <c r="AA65" s="1871" t="s">
        <v>7076</v>
      </c>
      <c r="AB65" s="1883">
        <f>H73</f>
      </c>
      <c r="AD65" s="1876" t="s">
        <v>3282</v>
      </c>
      <c r="AE65" s="1882">
        <v>0.15</v>
      </c>
      <c r="AF65" s="1882">
        <v>0.1</v>
      </c>
    </row>
    <row r="66" spans="2:32" x14ac:dyDescent="0.2">
      <c r="B66" s="1935"/>
      <c r="C66" s="1936" t="s">
        <v>7151</v>
      </c>
      <c r="D66" s="1935"/>
      <c r="E66" s="3050"/>
      <c r="F66" s="3050"/>
      <c r="G66" s="3050"/>
      <c r="H66" s="3070"/>
      <c r="I66" s="3049" t="str">
        <f>IF(AND(AH1&gt;2014,Y1&lt;$AH$1,Q84&gt;0,H66=""),reo,"")</f>
        <v/>
      </c>
      <c r="J66" s="3050"/>
      <c r="K66" s="1935"/>
      <c r="L66" s="1935"/>
      <c r="M66" s="1736"/>
      <c r="P66" s="1485">
        <f>IF(I66="",0,1)</f>
      </c>
      <c r="Q66" s="1736">
        <f>IF($Y$1&gt;=ya-1,1,IF(H66&lt;&gt;"",1,0))</f>
      </c>
      <c r="AA66" s="1760" t="s">
        <v>3960</v>
      </c>
      <c r="AB66" s="1868">
        <f>AB64*(1+AB65)</f>
      </c>
      <c r="AE66" s="1870"/>
    </row>
    <row r="67" spans="2:32" x14ac:dyDescent="0.2">
      <c r="B67" s="1935"/>
      <c r="C67" s="1936" t="s">
        <v>7092</v>
      </c>
      <c r="D67" s="1935"/>
      <c r="E67" s="3050"/>
      <c r="F67" s="3050"/>
      <c r="G67" s="3050"/>
      <c r="H67" s="3070"/>
      <c r="I67" s="3049" t="str">
        <f>IF(AND(AH1&gt;2014,$Y$1&lt;$AH$1,Q84&gt;0,H67=""),reo,"")</f>
        <v/>
      </c>
      <c r="J67" s="3050"/>
      <c r="K67" s="1935"/>
      <c r="L67" s="1935"/>
      <c r="M67" s="1736"/>
      <c r="P67" s="1485">
        <f>IF(I67="",0,1)</f>
      </c>
      <c r="Q67" s="1736">
        <f>IF($Y$1&gt;=ya-1,1,IF(H67&lt;&gt;"",1,0))</f>
      </c>
    </row>
    <row r="68" spans="2:32" x14ac:dyDescent="0.2">
      <c r="B68" s="1935"/>
      <c r="C68" s="1936" t="s">
        <v>7093</v>
      </c>
      <c r="D68" s="1935"/>
      <c r="E68" s="3050"/>
      <c r="F68" s="3050"/>
      <c r="G68" s="3050"/>
      <c r="H68" s="3061">
        <f>AB61</f>
      </c>
      <c r="I68" s="3049"/>
      <c r="J68" s="3050"/>
      <c r="K68" s="1935"/>
      <c r="L68" s="1935"/>
      <c r="M68" s="1736"/>
      <c r="Q68" s="1736"/>
    </row>
    <row r="69" spans="2:32" ht="3" customHeight="1" x14ac:dyDescent="0.2">
      <c r="B69" s="1935"/>
      <c r="C69" s="1935"/>
      <c r="D69" s="1935"/>
      <c r="E69" s="3050"/>
      <c r="F69" s="3050"/>
      <c r="G69" s="3050"/>
      <c r="H69" s="3050"/>
      <c r="I69" s="3050"/>
      <c r="J69" s="3050"/>
      <c r="K69" s="1935"/>
      <c r="L69" s="1935"/>
      <c r="M69" s="1736"/>
    </row>
    <row r="70" spans="2:32" x14ac:dyDescent="0.2">
      <c r="B70" s="1935"/>
      <c r="C70" s="1936" t="s">
        <v>7067</v>
      </c>
      <c r="D70" s="1935"/>
      <c r="E70" s="3050"/>
      <c r="F70" s="3050"/>
      <c r="G70" s="3050"/>
      <c r="H70" s="3063">
        <f>IF(P68=1,0,AB62)</f>
      </c>
      <c r="I70" s="2755"/>
      <c r="J70" s="3050"/>
      <c r="K70" s="1935"/>
      <c r="L70" s="1935"/>
      <c r="M70" s="1736"/>
    </row>
    <row r="71" spans="2:32" x14ac:dyDescent="0.2">
      <c r="B71" s="1935"/>
      <c r="C71" s="1936" t="s">
        <v>7182</v>
      </c>
      <c r="D71" s="1935"/>
      <c r="E71" s="3050"/>
      <c r="F71" s="3050"/>
      <c r="G71" s="3071"/>
      <c r="H71" s="3070"/>
      <c r="I71" s="3049" t="str">
        <f>IF(AND(Q84&gt;0,H71=""),reo,IF(AB62&lt;(AB63*-1),"Excessive!",""))</f>
        <v/>
      </c>
      <c r="J71" s="3050"/>
      <c r="K71" s="1935"/>
      <c r="L71" s="1935"/>
      <c r="M71" s="1736"/>
      <c r="P71" s="1485">
        <f>IF(I71="",0,1)</f>
      </c>
      <c r="Q71" s="1736">
        <f>IF(H71&lt;&gt;"",1,0)</f>
      </c>
    </row>
    <row r="72" spans="2:32" x14ac:dyDescent="0.2">
      <c r="B72" s="1935"/>
      <c r="C72" s="1936" t="s">
        <v>7987</v>
      </c>
      <c r="D72" s="1935"/>
      <c r="E72" s="3050"/>
      <c r="F72" s="3050"/>
      <c r="G72" s="3050"/>
      <c r="H72" s="3063">
        <f>IF(P71=1,0,AB64)</f>
      </c>
      <c r="I72" s="2755"/>
      <c r="J72" s="3050"/>
      <c r="K72" s="1935"/>
      <c r="L72" s="1935"/>
      <c r="M72" s="1736"/>
    </row>
    <row r="73" spans="2:32" hidden="1" x14ac:dyDescent="0.2">
      <c r="C73" s="69" t="s">
        <v>7072</v>
      </c>
      <c r="E73" s="2912"/>
      <c r="F73" s="2912"/>
      <c r="G73" s="2912"/>
      <c r="H73" s="2912"/>
      <c r="I73" s="2912"/>
      <c r="J73" s="2912"/>
      <c r="L73" s="1935"/>
      <c r="M73" s="1736"/>
      <c r="Q73" s="1736"/>
    </row>
    <row r="74" spans="2:32" x14ac:dyDescent="0.2">
      <c r="B74" s="1935"/>
      <c r="C74" s="1936" t="s">
        <v>7986</v>
      </c>
      <c r="D74" s="1935"/>
      <c r="E74" s="3050"/>
      <c r="F74" s="3050"/>
      <c r="G74" s="3050"/>
      <c r="H74" s="3070"/>
      <c r="I74" s="3049" t="str">
        <f>IF(H72=0,"",IF(H74="",reo,""))</f>
        <v/>
      </c>
      <c r="J74" s="3050"/>
      <c r="K74" s="1935"/>
      <c r="L74" s="1935"/>
      <c r="M74" s="1736"/>
      <c r="P74" s="1485">
        <f>IF(I74="",0,1)</f>
      </c>
      <c r="Q74" s="1736">
        <f>IF(H74&lt;&gt;"",1,0)</f>
      </c>
    </row>
    <row r="75" spans="2:32" ht="6" customHeight="1" x14ac:dyDescent="0.2">
      <c r="B75" s="1935"/>
      <c r="C75" s="1935"/>
      <c r="D75" s="1935"/>
      <c r="E75" s="3050"/>
      <c r="F75" s="3050"/>
      <c r="G75" s="3050"/>
      <c r="H75" s="3050"/>
      <c r="I75" s="3050"/>
      <c r="J75" s="3050"/>
      <c r="K75" s="1935"/>
      <c r="L75" s="1935"/>
      <c r="M75" s="1736"/>
      <c r="S75" s="5124" t="s">
        <v>7073</v>
      </c>
      <c r="T75" s="5125"/>
      <c r="U75" s="5126"/>
    </row>
    <row r="76" spans="2:32" x14ac:dyDescent="0.2">
      <c r="B76" s="1935"/>
      <c r="C76" s="1953" t="str">
        <f>CONCATENATE("Income the tax on which is deemed relieved by the tax credit [Current] Y/A",ya)</f>
      </c>
      <c r="D76" s="1954"/>
      <c r="E76" s="3072"/>
      <c r="F76" s="3072"/>
      <c r="G76" s="3072"/>
      <c r="H76" s="3073"/>
      <c r="I76" s="3074"/>
      <c r="J76" s="3075" t="str">
        <f>IF(Q84=0,"",IF(AND(H71&gt;=0,I76=""),re,IF(AND(H71=0,I76&gt;0),"No tax credit claimed for the year!",IF(AND(H71&gt;0,I76=0),"Amount relieved by tax credit required!",IF(I76&lt;0,"Cannot be negative!",IF(OR(I76&gt;S76,I76&lt;T76),U76,""))))))</f>
        <v/>
      </c>
      <c r="K76" s="1936"/>
      <c r="L76" s="1936"/>
      <c r="M76" s="1736"/>
      <c r="P76" s="1485">
        <f>IF(J76="",0,1)</f>
      </c>
      <c r="Q76" s="1736">
        <f>IF(I76&lt;&gt;"",1,0)</f>
      </c>
      <c r="S76" s="1807">
        <f>ROUND(H71/5%,0)+1</f>
      </c>
      <c r="T76" s="1770">
        <f>ROUND(H71/0.35,0)-1</f>
      </c>
      <c r="U76" s="1884" t="s">
        <v>4787</v>
      </c>
    </row>
    <row r="77" spans="2:32" x14ac:dyDescent="0.2">
      <c r="B77" s="1935"/>
      <c r="C77" s="1937"/>
      <c r="D77" s="1935"/>
      <c r="E77" s="3050"/>
      <c r="F77" s="3050"/>
      <c r="G77" s="3050"/>
      <c r="H77" s="3050"/>
      <c r="I77" s="3050"/>
      <c r="J77" s="3050"/>
      <c r="K77" s="1935"/>
      <c r="L77" s="1935"/>
      <c r="M77" s="1736"/>
    </row>
    <row r="78" spans="2:32" ht="4.5" customHeight="1" x14ac:dyDescent="0.2">
      <c r="B78" s="1935"/>
      <c r="C78" s="1935"/>
      <c r="D78" s="1935"/>
      <c r="E78" s="3050"/>
      <c r="F78" s="3050"/>
      <c r="G78" s="3050"/>
      <c r="H78" s="3050"/>
      <c r="I78" s="3050"/>
      <c r="J78" s="3050"/>
      <c r="K78" s="1935"/>
      <c r="L78" s="1935"/>
      <c r="M78" s="1736"/>
    </row>
    <row r="79" spans="2:32" x14ac:dyDescent="0.2">
      <c r="B79" s="1935"/>
      <c r="C79" s="1935"/>
      <c r="D79" s="1935"/>
      <c r="E79" s="3050"/>
      <c r="F79" s="3053" t="s">
        <v>2206</v>
      </c>
      <c r="G79" s="3051"/>
      <c r="H79" s="3049" t="str">
        <f>IF(AND(G79="",Q84&gt;0),re,IF(G79="no",nd,""))</f>
        <v/>
      </c>
      <c r="I79" s="3050"/>
      <c r="J79" s="3050"/>
      <c r="K79" s="1935"/>
      <c r="L79" s="1935"/>
      <c r="M79" s="1736"/>
      <c r="P79" s="1485">
        <f>IF(H79="",0,1)</f>
      </c>
      <c r="Q79" s="1736">
        <f>IF(G79&lt;&gt;"",1,0)</f>
      </c>
    </row>
    <row r="80" spans="2:32" ht="5.25" customHeight="1" x14ac:dyDescent="0.2">
      <c r="B80" s="1935"/>
      <c r="C80" s="1935"/>
      <c r="D80" s="1935"/>
      <c r="E80" s="3050"/>
      <c r="F80" s="3050"/>
      <c r="G80" s="3050"/>
      <c r="H80" s="3050"/>
      <c r="I80" s="3050"/>
      <c r="J80" s="3050"/>
      <c r="K80" s="1935"/>
      <c r="L80" s="1935"/>
      <c r="M80" s="1736"/>
    </row>
    <row r="81" spans="1:55" hidden="1" x14ac:dyDescent="0.2">
      <c r="B81" s="1935"/>
      <c r="C81" s="1935"/>
      <c r="D81" s="1935"/>
      <c r="E81" s="3050"/>
      <c r="F81" s="3076"/>
      <c r="G81" s="3076"/>
      <c r="H81" s="3049"/>
      <c r="I81" s="3050"/>
      <c r="J81" s="3050"/>
      <c r="K81" s="1935"/>
      <c r="L81" s="1935"/>
      <c r="M81" s="1736"/>
      <c r="Q81" s="1736"/>
    </row>
    <row r="82" spans="1:55" ht="9" customHeight="1" x14ac:dyDescent="0.2">
      <c r="B82" s="1935"/>
      <c r="C82" s="1935"/>
      <c r="D82" s="1935"/>
      <c r="E82" s="1935"/>
      <c r="F82" s="1935"/>
      <c r="G82" s="1935"/>
      <c r="H82" s="1935"/>
      <c r="I82" s="1935"/>
      <c r="J82" s="1935"/>
      <c r="K82" s="1935"/>
      <c r="L82" s="1935"/>
      <c r="M82" s="1736"/>
    </row>
    <row r="83" spans="1:55" ht="6.75" hidden="1" customHeight="1" x14ac:dyDescent="0.2">
      <c r="B83" s="1935"/>
      <c r="C83" s="1935"/>
      <c r="D83" s="1935"/>
      <c r="E83" s="1935"/>
      <c r="F83" s="1935"/>
      <c r="G83" s="1935"/>
      <c r="H83" s="1935"/>
      <c r="I83" s="1935"/>
      <c r="J83" s="1935"/>
      <c r="K83" s="1935"/>
      <c r="L83" s="1935"/>
      <c r="M83" s="1736"/>
    </row>
    <row r="84" spans="1:55" x14ac:dyDescent="0.2">
      <c r="B84" s="1935"/>
      <c r="C84" s="1935" t="str">
        <f>_xlfn.SINGLE(MTCA)</f>
      </c>
      <c r="D84" s="1935"/>
      <c r="E84" s="1935"/>
      <c r="F84" s="1935"/>
      <c r="G84" s="1943" t="str">
        <f>ver</f>
        <v>TA2_e-CO_2025_Ver 1.1</v>
      </c>
      <c r="H84" s="1935"/>
      <c r="I84" s="1935"/>
      <c r="J84" s="1935"/>
      <c r="K84" s="1938" t="s">
        <v>10019</v>
      </c>
      <c r="L84" s="1935"/>
      <c r="M84" s="1736"/>
      <c r="P84" s="1846">
        <f>SUM(P12:P82)</f>
      </c>
      <c r="Q84" s="1846">
        <f>SUM(Q12:Q82)</f>
      </c>
    </row>
    <row r="85" spans="1:55" hidden="1" x14ac:dyDescent="0.2">
      <c r="B85" s="1935"/>
      <c r="C85" s="1935"/>
      <c r="D85" s="1935"/>
      <c r="E85" s="1935"/>
      <c r="F85" s="1935"/>
      <c r="G85" s="1943"/>
      <c r="H85" s="1935"/>
      <c r="I85" s="1935"/>
      <c r="J85" s="1935"/>
      <c r="K85" s="1938"/>
      <c r="L85" s="1935"/>
      <c r="M85" s="1736"/>
      <c r="P85" s="1736"/>
      <c r="Q85" s="1736"/>
    </row>
    <row r="86" spans="1:55" hidden="1" x14ac:dyDescent="0.2">
      <c r="B86" s="1935"/>
      <c r="C86" s="1935"/>
      <c r="D86" s="1935"/>
      <c r="E86" s="1935"/>
      <c r="F86" s="1935"/>
      <c r="G86" s="1943"/>
      <c r="H86" s="1935"/>
      <c r="I86" s="1935"/>
      <c r="J86" s="1935"/>
      <c r="K86" s="1938"/>
      <c r="L86" s="1935"/>
      <c r="M86" s="1736"/>
      <c r="P86" s="1736"/>
      <c r="Q86" s="1736"/>
    </row>
    <row r="87" spans="1:55" s="1736" customFormat="1" hidden="1" x14ac:dyDescent="0.2">
      <c r="B87" s="5120"/>
      <c r="C87" s="5120"/>
      <c r="D87" s="5120"/>
      <c r="E87" s="5120"/>
      <c r="F87" s="5120"/>
      <c r="G87" s="5120"/>
      <c r="H87" s="5120"/>
      <c r="I87" s="5120"/>
      <c r="J87" s="1957"/>
      <c r="K87" s="1760"/>
      <c r="N87" s="1748"/>
      <c r="W87" s="28"/>
      <c r="X87" s="1760" t="s">
        <v>7019</v>
      </c>
      <c r="Y87" s="1742">
        <f>G105</f>
      </c>
      <c r="AD87" s="1736" t="s">
        <v>7020</v>
      </c>
      <c r="AE87" s="1761">
        <v>41821</v>
      </c>
      <c r="AG87" s="1736" t="s">
        <v>7021</v>
      </c>
      <c r="AH87" s="2181">
        <f>ya</f>
      </c>
    </row>
    <row r="88" spans="1:55" s="1736" customFormat="1" hidden="1" x14ac:dyDescent="0.2">
      <c r="A88" s="66"/>
      <c r="B88" s="66"/>
      <c r="C88" s="66"/>
      <c r="D88" s="66"/>
      <c r="E88" s="66"/>
      <c r="F88" s="66"/>
      <c r="G88" s="66"/>
      <c r="H88" s="66"/>
      <c r="I88" s="66"/>
      <c r="J88" s="66"/>
      <c r="K88" s="66"/>
      <c r="L88" s="66"/>
      <c r="N88" s="1763"/>
      <c r="O88" s="66"/>
      <c r="AD88" s="1736" t="s">
        <v>7022</v>
      </c>
      <c r="AE88" s="1761">
        <f>DATE(MIN(AH87:AH88),12,31)</f>
      </c>
      <c r="AG88" s="1736" t="s">
        <v>7023</v>
      </c>
      <c r="AH88" s="1762">
        <v>2020</v>
      </c>
      <c r="AK88" s="1742" t="s">
        <v>7024</v>
      </c>
      <c r="AM88" s="1736" t="s">
        <v>3274</v>
      </c>
      <c r="AS88" s="1736" t="s">
        <v>7025</v>
      </c>
      <c r="BA88" s="1485" t="s">
        <v>7024</v>
      </c>
      <c r="BB88" s="1485" t="s">
        <v>412</v>
      </c>
      <c r="BC88" s="1485">
        <f t="shared" ref="BC88:BC95" si="1">LEN(BB88)</f>
      </c>
    </row>
    <row r="89" spans="1:55" s="1736" customFormat="1" x14ac:dyDescent="0.2">
      <c r="A89" s="66"/>
      <c r="B89" s="66"/>
      <c r="C89" s="66"/>
      <c r="D89" s="66"/>
      <c r="E89" s="66"/>
      <c r="F89" s="66"/>
      <c r="G89" s="66"/>
      <c r="H89" s="66"/>
      <c r="I89" s="66"/>
      <c r="J89" s="66"/>
      <c r="K89" s="66"/>
      <c r="L89" s="66"/>
      <c r="AF89" s="1766"/>
      <c r="AK89" s="1736" t="s">
        <v>7027</v>
      </c>
      <c r="AM89" s="1485" t="s">
        <v>3281</v>
      </c>
      <c r="AN89" s="1760"/>
      <c r="AS89" s="1736" t="s">
        <v>7028</v>
      </c>
      <c r="BA89" s="1856" t="s">
        <v>7304</v>
      </c>
      <c r="BB89" s="1857" t="s">
        <v>7114</v>
      </c>
      <c r="BC89" s="1736">
        <f t="shared" si="1"/>
        <v>4</v>
      </c>
    </row>
    <row r="90" spans="1:55" s="1583" customFormat="1" ht="15" x14ac:dyDescent="0.2">
      <c r="B90" s="3611">
        <v>2</v>
      </c>
      <c r="C90" s="3610" t="s">
        <v>10009</v>
      </c>
      <c r="D90" s="3610"/>
      <c r="E90" s="3610"/>
      <c r="F90" s="1544"/>
      <c r="G90" s="1544"/>
      <c r="H90" s="1544"/>
      <c r="I90" s="1544"/>
      <c r="J90" s="1544"/>
      <c r="K90" s="3609"/>
      <c r="L90" s="3596"/>
      <c r="X90" s="1760" t="s">
        <v>7019</v>
      </c>
      <c r="Y90" s="1742">
        <f>G105</f>
      </c>
      <c r="AF90" s="3597"/>
      <c r="AK90" s="1583" t="s">
        <v>7031</v>
      </c>
      <c r="AM90" s="1583" t="s">
        <v>3282</v>
      </c>
      <c r="BA90" s="3598" t="s">
        <v>7315</v>
      </c>
      <c r="BB90" s="3599" t="s">
        <v>7127</v>
      </c>
      <c r="BC90" s="1583">
        <f t="shared" si="1"/>
        <v>7</v>
      </c>
    </row>
    <row r="91" spans="1:55" s="1736" customFormat="1" ht="5.25" customHeight="1" x14ac:dyDescent="0.2">
      <c r="A91" s="66"/>
      <c r="B91" s="1942"/>
      <c r="C91" s="1942"/>
      <c r="D91" s="1942"/>
      <c r="E91" s="1942"/>
      <c r="F91" s="1942"/>
      <c r="G91" s="1942"/>
      <c r="H91" s="1942"/>
      <c r="I91" s="1942"/>
      <c r="J91" s="1942"/>
      <c r="K91" s="1942"/>
      <c r="L91" s="1942"/>
      <c r="N91" s="66"/>
      <c r="O91" s="66"/>
      <c r="AK91" s="1736" t="s">
        <v>7032</v>
      </c>
      <c r="AM91" s="1485"/>
      <c r="BA91" s="1856" t="s">
        <v>7306</v>
      </c>
      <c r="BB91" s="1857" t="s">
        <v>7116</v>
      </c>
      <c r="BC91" s="1736">
        <f t="shared" si="1"/>
        <v>6</v>
      </c>
    </row>
    <row r="92" spans="1:55" s="1736" customFormat="1" x14ac:dyDescent="0.2">
      <c r="A92" s="66"/>
      <c r="B92" s="2187" t="s">
        <v>7152</v>
      </c>
      <c r="C92" s="2184"/>
      <c r="D92" s="1858"/>
      <c r="E92" s="1858"/>
      <c r="F92" s="1858"/>
      <c r="G92" s="1858"/>
      <c r="H92" s="1858"/>
      <c r="I92" s="1858"/>
      <c r="J92" s="1858"/>
      <c r="K92" s="1859"/>
      <c r="L92" s="1942"/>
      <c r="AK92" s="1736" t="s">
        <v>7034</v>
      </c>
      <c r="AM92" s="1485"/>
      <c r="AS92" s="1736" t="s">
        <v>7035</v>
      </c>
      <c r="AU92" s="1736">
        <f>IF(F115="",0,IF(AS88=F115,1,2))</f>
      </c>
      <c r="BA92" s="1856" t="s">
        <v>7307</v>
      </c>
      <c r="BB92" s="1857" t="s">
        <v>7117</v>
      </c>
      <c r="BC92" s="1736">
        <f t="shared" si="1"/>
        <v>7</v>
      </c>
    </row>
    <row r="93" spans="1:55" s="1736" customFormat="1" x14ac:dyDescent="0.2">
      <c r="A93" s="66"/>
      <c r="B93" s="1860" t="s">
        <v>10013</v>
      </c>
      <c r="C93" s="2185"/>
      <c r="D93" s="1861"/>
      <c r="E93" s="1861"/>
      <c r="F93" s="1861"/>
      <c r="G93" s="1861"/>
      <c r="H93" s="1861"/>
      <c r="I93" s="1861"/>
      <c r="J93" s="1861"/>
      <c r="K93" s="1862"/>
      <c r="L93" s="1942"/>
      <c r="AK93" s="1736" t="s">
        <v>7036</v>
      </c>
      <c r="AM93" s="1485"/>
      <c r="BA93" s="1856" t="s">
        <v>7300</v>
      </c>
      <c r="BB93" s="1857" t="s">
        <v>7110</v>
      </c>
      <c r="BC93" s="1736">
        <f t="shared" si="1"/>
        <v>4</v>
      </c>
    </row>
    <row r="94" spans="1:55" s="1736" customFormat="1" x14ac:dyDescent="0.2">
      <c r="A94" s="66"/>
      <c r="B94" s="1863" t="s">
        <v>10012</v>
      </c>
      <c r="C94" s="2186"/>
      <c r="D94" s="1864"/>
      <c r="E94" s="1864"/>
      <c r="F94" s="1864"/>
      <c r="G94" s="1864"/>
      <c r="H94" s="1864"/>
      <c r="I94" s="1864"/>
      <c r="J94" s="1864"/>
      <c r="K94" s="1865"/>
      <c r="L94" s="1942"/>
      <c r="AK94" s="1736" t="s">
        <v>7037</v>
      </c>
      <c r="AM94" s="1485" t="s">
        <v>7038</v>
      </c>
      <c r="BA94" s="1856" t="s">
        <v>7302</v>
      </c>
      <c r="BB94" s="1857" t="s">
        <v>7112</v>
      </c>
      <c r="BC94" s="1736">
        <f t="shared" si="1"/>
        <v>4</v>
      </c>
    </row>
    <row r="95" spans="1:55" s="1736" customFormat="1" x14ac:dyDescent="0.2">
      <c r="A95" s="66"/>
      <c r="B95" s="1942"/>
      <c r="C95" s="1942"/>
      <c r="D95" s="1942"/>
      <c r="E95" s="1942"/>
      <c r="F95" s="1942"/>
      <c r="G95" s="1942"/>
      <c r="H95" s="1942"/>
      <c r="I95" s="1942"/>
      <c r="J95" s="1942"/>
      <c r="K95" s="1942"/>
      <c r="L95" s="1942"/>
      <c r="P95" s="1736" t="s">
        <v>7030</v>
      </c>
      <c r="Q95" s="1736" t="s">
        <v>6977</v>
      </c>
      <c r="AK95" s="1736" t="s">
        <v>7039</v>
      </c>
      <c r="AM95" s="1485" t="s">
        <v>7040</v>
      </c>
      <c r="BA95" s="1856" t="s">
        <v>7301</v>
      </c>
      <c r="BB95" s="1857" t="s">
        <v>7111</v>
      </c>
      <c r="BC95" s="1736">
        <f t="shared" si="1"/>
        <v>4</v>
      </c>
    </row>
    <row r="96" spans="1:55" s="1736" customFormat="1" x14ac:dyDescent="0.2">
      <c r="A96" s="66"/>
      <c r="B96" s="1942" t="s">
        <v>9984</v>
      </c>
      <c r="C96" s="1942"/>
      <c r="D96" s="1942"/>
      <c r="E96" s="1942"/>
      <c r="F96" s="1942"/>
      <c r="G96" s="1942"/>
      <c r="H96" s="1942"/>
      <c r="I96" s="3587"/>
      <c r="J96" s="3049" t="str">
        <f>IF(AND($W$1="y",I96="",Q168&gt;0),re,IF(AND($W$1="n",I96&lt;&gt;""),"Delete!",""))</f>
        <v/>
      </c>
      <c r="K96" s="1942"/>
      <c r="L96" s="1942"/>
      <c r="P96" s="1485">
        <f>IF(J96="",0,1)</f>
      </c>
      <c r="Q96" s="1736">
        <f>IF(I96&lt;&gt;"",1,0)</f>
      </c>
      <c r="S96" s="3123">
        <f>IF(AND($W$1="n",I96&lt;&gt;""),1,0)</f>
      </c>
      <c r="AK96" s="1736" t="s">
        <v>7042</v>
      </c>
      <c r="AM96" s="1485" t="s">
        <v>7043</v>
      </c>
      <c r="BA96" s="1856" t="s">
        <v>7309</v>
      </c>
      <c r="BB96" s="1857" t="s">
        <v>7121</v>
      </c>
      <c r="BC96" s="1736">
        <f t="shared" ref="BC96:BC111" si="2">LEN(BB96)</f>
      </c>
    </row>
    <row r="97" spans="1:55" s="1736" customFormat="1" x14ac:dyDescent="0.2">
      <c r="A97" s="66"/>
      <c r="B97" s="1942"/>
      <c r="C97" s="1942"/>
      <c r="D97" s="1942"/>
      <c r="E97" s="1942"/>
      <c r="F97" s="1942"/>
      <c r="G97" s="1942"/>
      <c r="H97" s="1942"/>
      <c r="I97" s="1942"/>
      <c r="J97" s="1942"/>
      <c r="K97" s="1942"/>
      <c r="L97" s="1942"/>
      <c r="N97" s="66"/>
      <c r="AK97" s="1736" t="s">
        <v>7044</v>
      </c>
      <c r="AM97" s="1485" t="s">
        <v>7045</v>
      </c>
      <c r="BA97" s="1856" t="s">
        <v>7310</v>
      </c>
      <c r="BB97" s="1857" t="s">
        <v>7122</v>
      </c>
      <c r="BC97" s="1736">
        <f t="shared" si="2"/>
        <v>4</v>
      </c>
    </row>
    <row r="98" spans="1:55" s="1736" customFormat="1" x14ac:dyDescent="0.2">
      <c r="A98" s="66"/>
      <c r="B98" s="1942" t="s">
        <v>7153</v>
      </c>
      <c r="C98" s="1942"/>
      <c r="D98" s="1942"/>
      <c r="E98" s="3050"/>
      <c r="F98" s="3050"/>
      <c r="G98" s="3050"/>
      <c r="H98" s="3050"/>
      <c r="I98" s="3051"/>
      <c r="J98" s="3049" t="str">
        <f>IF(AND(Q168&gt;0,I98=""),re,"")</f>
        <v/>
      </c>
      <c r="K98" s="1942"/>
      <c r="L98" s="1942"/>
      <c r="N98" s="66"/>
      <c r="O98" s="1060"/>
      <c r="P98" s="1485">
        <f>IF(J98="",0,1)</f>
      </c>
      <c r="Q98" s="1736">
        <f>IF(I98&lt;&gt;"",1,0)</f>
      </c>
      <c r="AK98" s="1736" t="s">
        <v>7047</v>
      </c>
      <c r="BA98" s="1856" t="s">
        <v>7119</v>
      </c>
      <c r="BB98" s="1857" t="s">
        <v>7118</v>
      </c>
      <c r="BC98" s="1736">
        <f t="shared" si="2"/>
        <v>4</v>
      </c>
    </row>
    <row r="99" spans="1:55" s="1736" customFormat="1" x14ac:dyDescent="0.2">
      <c r="A99" s="66"/>
      <c r="B99" s="1942"/>
      <c r="C99" s="1942"/>
      <c r="D99" s="1942"/>
      <c r="E99" s="3050"/>
      <c r="F99" s="3050"/>
      <c r="G99" s="3050"/>
      <c r="H99" s="3050"/>
      <c r="I99" s="3050"/>
      <c r="J99" s="3050"/>
      <c r="K99" s="1942"/>
      <c r="L99" s="1942"/>
      <c r="N99" s="66"/>
      <c r="AK99" s="1736" t="s">
        <v>7048</v>
      </c>
      <c r="AM99" s="1485"/>
      <c r="BA99" s="1856" t="s">
        <v>7305</v>
      </c>
      <c r="BB99" s="1857" t="s">
        <v>7115</v>
      </c>
      <c r="BC99" s="1736">
        <f t="shared" si="2"/>
        <v>4</v>
      </c>
    </row>
    <row r="100" spans="1:55" s="1736" customFormat="1" x14ac:dyDescent="0.2">
      <c r="A100" s="66"/>
      <c r="B100" s="1942"/>
      <c r="C100" s="1942"/>
      <c r="D100" s="1942"/>
      <c r="E100" s="3050"/>
      <c r="F100" s="3605"/>
      <c r="G100" s="3050"/>
      <c r="H100" s="3050"/>
      <c r="I100" s="3050"/>
      <c r="J100" s="3050"/>
      <c r="K100" s="1942"/>
      <c r="L100" s="1942"/>
      <c r="P100" s="1485"/>
      <c r="AK100" s="1736" t="s">
        <v>7049</v>
      </c>
      <c r="AM100" s="1485"/>
      <c r="BA100" s="1856" t="s">
        <v>7294</v>
      </c>
      <c r="BB100" s="1857" t="s">
        <v>7104</v>
      </c>
      <c r="BC100" s="1736">
        <f t="shared" si="2"/>
        <v>7</v>
      </c>
    </row>
    <row r="101" spans="1:55" s="1736" customFormat="1" x14ac:dyDescent="0.2">
      <c r="A101" s="66"/>
      <c r="B101" s="1939" t="s">
        <v>7139</v>
      </c>
      <c r="C101" s="1942"/>
      <c r="D101" s="1942"/>
      <c r="E101" s="3050"/>
      <c r="F101" s="3050"/>
      <c r="G101" s="3050"/>
      <c r="H101" s="3050"/>
      <c r="I101" s="3050"/>
      <c r="J101" s="3050"/>
      <c r="K101" s="1942"/>
      <c r="L101" s="1942"/>
      <c r="R101" s="1485"/>
      <c r="S101" s="1485"/>
      <c r="V101" s="1485"/>
      <c r="W101" s="1485"/>
      <c r="X101" s="1485"/>
      <c r="Y101" s="1485"/>
      <c r="Z101" s="1485"/>
      <c r="AA101" s="1485"/>
      <c r="AB101" s="1485"/>
      <c r="AC101" s="1485"/>
      <c r="AD101" s="1485"/>
      <c r="AE101" s="1485"/>
      <c r="AF101" s="1485"/>
      <c r="AG101" s="1485"/>
      <c r="AH101" s="1485"/>
      <c r="AI101" s="1485"/>
      <c r="AK101" s="1736" t="s">
        <v>7050</v>
      </c>
      <c r="AM101" s="1485" t="s">
        <v>7038</v>
      </c>
      <c r="BA101" s="1856" t="s">
        <v>7295</v>
      </c>
      <c r="BB101" s="1857" t="s">
        <v>7105</v>
      </c>
      <c r="BC101" s="1736">
        <f t="shared" si="2"/>
        <v>7</v>
      </c>
    </row>
    <row r="102" spans="1:55" s="1736" customFormat="1" ht="6" customHeight="1" x14ac:dyDescent="0.2">
      <c r="A102" s="66"/>
      <c r="B102" s="1935"/>
      <c r="C102" s="1942"/>
      <c r="D102" s="1942"/>
      <c r="E102" s="3050"/>
      <c r="F102" s="3050"/>
      <c r="G102" s="3050"/>
      <c r="H102" s="3050"/>
      <c r="I102" s="3050"/>
      <c r="J102" s="3050"/>
      <c r="K102" s="1942"/>
      <c r="L102" s="1942"/>
      <c r="R102" s="1485"/>
      <c r="S102" s="1485"/>
      <c r="V102" s="1485"/>
      <c r="W102" s="1485"/>
      <c r="X102" s="1485"/>
      <c r="Y102" s="1485"/>
      <c r="Z102" s="1485"/>
      <c r="AA102" s="1485"/>
      <c r="AB102" s="1485"/>
      <c r="AC102" s="1485"/>
      <c r="AD102" s="1485"/>
      <c r="AE102" s="1485"/>
      <c r="AF102" s="1485"/>
      <c r="AG102" s="1485"/>
      <c r="AH102" s="1485"/>
      <c r="AI102" s="1485"/>
      <c r="AK102" s="1736" t="s">
        <v>7052</v>
      </c>
      <c r="AM102" s="1485" t="s">
        <v>7040</v>
      </c>
      <c r="BA102" s="1856" t="s">
        <v>7297</v>
      </c>
      <c r="BB102" s="1857" t="s">
        <v>7107</v>
      </c>
      <c r="BC102" s="1736">
        <f t="shared" si="2"/>
        <v>4</v>
      </c>
    </row>
    <row r="103" spans="1:55" x14ac:dyDescent="0.2">
      <c r="B103" s="1935"/>
      <c r="C103" s="1935" t="s">
        <v>7033</v>
      </c>
      <c r="D103" s="1935"/>
      <c r="E103" s="3050"/>
      <c r="F103" s="3050"/>
      <c r="G103" s="3052"/>
      <c r="H103" s="3049" t="str">
        <f>IF(AND(Q168&gt;0,G103=""),re,"")</f>
        <v/>
      </c>
      <c r="I103" s="3053" t="s">
        <v>7747</v>
      </c>
      <c r="J103" s="3054"/>
      <c r="K103" s="2188" t="str">
        <f>IF(AND(Q168&gt;0,J103=""),re,"")</f>
        <v/>
      </c>
      <c r="L103" s="1942"/>
      <c r="M103" s="1736"/>
      <c r="N103" s="1742"/>
      <c r="O103" s="1736"/>
      <c r="P103" s="1485">
        <f>IF(H103="",0,1)</f>
      </c>
      <c r="Q103" s="1736">
        <f>IF(G103&lt;&gt;"",1,0)</f>
      </c>
      <c r="AK103" s="1736" t="s">
        <v>7053</v>
      </c>
      <c r="AM103" s="1485" t="s">
        <v>7043</v>
      </c>
      <c r="BA103" s="1856" t="s">
        <v>7298</v>
      </c>
      <c r="BB103" s="1857" t="s">
        <v>7108</v>
      </c>
      <c r="BC103" s="1736">
        <f t="shared" si="2"/>
        <v>4</v>
      </c>
    </row>
    <row r="104" spans="1:55" ht="4.5" customHeight="1" x14ac:dyDescent="0.2">
      <c r="B104" s="1935"/>
      <c r="C104" s="1935"/>
      <c r="D104" s="1935"/>
      <c r="E104" s="3050"/>
      <c r="F104" s="3050"/>
      <c r="G104" s="3050"/>
      <c r="H104" s="3050"/>
      <c r="I104" s="3050"/>
      <c r="J104" s="3050"/>
      <c r="K104" s="1935"/>
      <c r="L104" s="1942"/>
      <c r="M104" s="1736"/>
      <c r="P104" s="1736"/>
      <c r="Q104" s="1736"/>
      <c r="BA104" s="1856" t="s">
        <v>7303</v>
      </c>
      <c r="BB104" s="1857" t="s">
        <v>7113</v>
      </c>
      <c r="BC104" s="1736">
        <f t="shared" si="2"/>
        <v>7</v>
      </c>
    </row>
    <row r="105" spans="1:55" x14ac:dyDescent="0.2">
      <c r="B105" s="1935"/>
      <c r="C105" s="2189" t="s">
        <v>7749</v>
      </c>
      <c r="D105" s="1935"/>
      <c r="E105" s="3050"/>
      <c r="F105" s="3050"/>
      <c r="G105" s="3052"/>
      <c r="H105" s="3049" t="str">
        <f>IF(AND(Q168&gt;0,G105=""),re,"")</f>
        <v/>
      </c>
      <c r="I105" s="3053" t="s">
        <v>7748</v>
      </c>
      <c r="J105" s="3051"/>
      <c r="K105" s="2188" t="str">
        <f>IF(AND(Q168&gt;0,J105=""),re,"")</f>
        <v/>
      </c>
      <c r="L105" s="1942"/>
      <c r="M105" s="1736"/>
      <c r="N105" s="1742"/>
      <c r="O105" s="1736"/>
      <c r="P105" s="1485">
        <f>IF(K103="",0,1)</f>
      </c>
      <c r="Q105" s="1736">
        <f>IF(J103&lt;&gt;"",1,0)</f>
      </c>
      <c r="BA105" s="1856" t="s">
        <v>7311</v>
      </c>
      <c r="BB105" s="1857" t="s">
        <v>7123</v>
      </c>
      <c r="BC105" s="1736">
        <f t="shared" si="2"/>
        <v>6</v>
      </c>
    </row>
    <row r="106" spans="1:55" ht="6" customHeight="1" x14ac:dyDescent="0.2">
      <c r="B106" s="1935"/>
      <c r="C106" s="1935"/>
      <c r="D106" s="1935"/>
      <c r="E106" s="3050"/>
      <c r="F106" s="3050"/>
      <c r="G106" s="3055"/>
      <c r="H106" s="3049"/>
      <c r="I106" s="3050"/>
      <c r="J106" s="3050"/>
      <c r="K106" s="1935"/>
      <c r="L106" s="1942"/>
      <c r="M106" s="1736"/>
      <c r="P106" s="1736"/>
      <c r="Q106" s="1736">
        <f>IF(G105&lt;&gt;"",1,0)</f>
      </c>
      <c r="AJ106" s="1485" t="s">
        <v>7055</v>
      </c>
      <c r="AK106" s="1485">
        <f>IF(E109=AK99,1,0)</f>
      </c>
      <c r="BA106" s="1856" t="s">
        <v>7299</v>
      </c>
      <c r="BB106" s="1857" t="s">
        <v>7109</v>
      </c>
      <c r="BC106" s="1736">
        <f t="shared" si="2"/>
        <v>4</v>
      </c>
    </row>
    <row r="107" spans="1:55" x14ac:dyDescent="0.2">
      <c r="B107" s="1935"/>
      <c r="C107" s="1935" t="s">
        <v>7041</v>
      </c>
      <c r="D107" s="1935"/>
      <c r="E107" s="5130"/>
      <c r="F107" s="5131"/>
      <c r="G107" s="5131"/>
      <c r="H107" s="5131"/>
      <c r="I107" s="5131"/>
      <c r="J107" s="5132"/>
      <c r="K107" s="2188" t="str">
        <f>IF(AND(Q168&gt;0,E107=""),re,"")</f>
        <v/>
      </c>
      <c r="L107" s="1942"/>
      <c r="M107" s="1736"/>
      <c r="O107" s="1736"/>
      <c r="P107" s="1485">
        <f>IF(K107="",0,1)</f>
      </c>
      <c r="Q107" s="1736">
        <f>IF(E107&lt;&gt;"",1,0)</f>
      </c>
      <c r="Z107" s="1866"/>
      <c r="AM107" s="1485">
        <f>IF(OR(J105="small",J105="medium"),1,2)</f>
      </c>
      <c r="BA107" s="1856" t="s">
        <v>7312</v>
      </c>
      <c r="BB107" s="1857" t="s">
        <v>7124</v>
      </c>
      <c r="BC107" s="1736">
        <f t="shared" si="2"/>
        <v>4</v>
      </c>
    </row>
    <row r="108" spans="1:55" ht="8.25" customHeight="1" x14ac:dyDescent="0.2">
      <c r="B108" s="1935"/>
      <c r="C108" s="1935"/>
      <c r="D108" s="1935"/>
      <c r="E108" s="3050"/>
      <c r="F108" s="3050"/>
      <c r="G108" s="3050"/>
      <c r="H108" s="3050"/>
      <c r="I108" s="3050"/>
      <c r="J108" s="3050"/>
      <c r="K108" s="1935"/>
      <c r="L108" s="1935"/>
      <c r="M108" s="1736"/>
      <c r="P108" s="1736"/>
      <c r="Q108" s="1736"/>
      <c r="R108" s="1769"/>
      <c r="S108" s="1769"/>
      <c r="T108" s="1769"/>
      <c r="U108" s="1769"/>
      <c r="V108" s="1769"/>
      <c r="W108" s="1769"/>
      <c r="X108" s="1769"/>
      <c r="Y108" s="1769"/>
      <c r="Z108" s="1769"/>
      <c r="AC108" s="1769"/>
      <c r="AD108" s="1769"/>
      <c r="AE108" s="1769"/>
      <c r="AF108" s="1769"/>
      <c r="AG108" s="1769"/>
      <c r="AH108" s="1769"/>
      <c r="AI108" s="1769"/>
      <c r="BA108" s="1856" t="s">
        <v>7296</v>
      </c>
      <c r="BB108" s="1857" t="s">
        <v>7106</v>
      </c>
      <c r="BC108" s="1736">
        <f t="shared" si="2"/>
        <v>6</v>
      </c>
    </row>
    <row r="109" spans="1:55" x14ac:dyDescent="0.2">
      <c r="B109" s="1935"/>
      <c r="C109" s="1935" t="s">
        <v>7046</v>
      </c>
      <c r="D109" s="1935"/>
      <c r="E109" s="5130"/>
      <c r="F109" s="5131"/>
      <c r="G109" s="5131"/>
      <c r="H109" s="5131"/>
      <c r="I109" s="5131"/>
      <c r="J109" s="5132"/>
      <c r="K109" s="2188" t="str">
        <f>IF(AND(Q168&gt;0,E109=""),re,"")</f>
        <v/>
      </c>
      <c r="L109" s="1941"/>
      <c r="M109" s="1736"/>
      <c r="P109" s="1485">
        <f>IF(K109="",0,1)</f>
      </c>
      <c r="Q109" s="1736">
        <f>IF(E109&lt;&gt;"",1,0)</f>
      </c>
      <c r="R109" s="1736"/>
      <c r="S109" s="1736"/>
      <c r="T109" s="1736"/>
      <c r="U109" s="1736"/>
      <c r="V109" s="1736"/>
      <c r="W109" s="1736"/>
      <c r="X109" s="1736"/>
      <c r="Y109" s="1736"/>
      <c r="Z109" s="1736"/>
      <c r="AC109" s="1736"/>
      <c r="AD109" s="1736"/>
      <c r="AE109" s="1736"/>
      <c r="AF109" s="1736"/>
      <c r="AG109" s="1736"/>
      <c r="AH109" s="1736"/>
      <c r="AI109" s="1736"/>
      <c r="AJ109" s="1769"/>
      <c r="AM109" s="1485" t="str">
        <f>IF($AM$23=1,AM94,AM101)</f>
      </c>
      <c r="BA109" s="1856" t="s">
        <v>7314</v>
      </c>
      <c r="BB109" s="1857" t="s">
        <v>7126</v>
      </c>
      <c r="BC109" s="1736">
        <f t="shared" si="2"/>
        <v>6</v>
      </c>
    </row>
    <row r="110" spans="1:55" s="1736" customFormat="1" ht="5.25" hidden="1" customHeight="1" x14ac:dyDescent="0.2">
      <c r="A110" s="66"/>
      <c r="B110" s="1935"/>
      <c r="C110" s="1935"/>
      <c r="D110" s="1935"/>
      <c r="E110" s="3050"/>
      <c r="F110" s="3050"/>
      <c r="G110" s="3050"/>
      <c r="H110" s="3050"/>
      <c r="I110" s="3050"/>
      <c r="J110" s="3050"/>
      <c r="K110" s="1935"/>
      <c r="L110" s="1935"/>
      <c r="N110" s="66"/>
      <c r="O110" s="66"/>
      <c r="AM110" s="1485" t="str">
        <f>IF($AM$23=1,AM95,"")</f>
        <v/>
      </c>
      <c r="BA110" s="1856" t="s">
        <v>7308</v>
      </c>
      <c r="BB110" s="1857" t="s">
        <v>7120</v>
      </c>
      <c r="BC110" s="1736">
        <f t="shared" si="2"/>
        <v>4</v>
      </c>
    </row>
    <row r="111" spans="1:55" hidden="1" x14ac:dyDescent="0.2">
      <c r="B111" s="1935"/>
      <c r="D111" s="1935"/>
      <c r="E111" s="3050"/>
      <c r="F111" s="3050"/>
      <c r="G111" s="2912"/>
      <c r="H111" s="2912"/>
      <c r="I111" s="3050"/>
      <c r="J111" s="3050"/>
      <c r="K111" s="1935"/>
      <c r="L111" s="1935"/>
      <c r="M111" s="1736"/>
      <c r="N111" s="1742"/>
      <c r="P111" s="1485">
        <f>IF(K105="",0,1)</f>
      </c>
      <c r="Q111" s="1736">
        <f>IF(J105&lt;&gt;"",1,0)</f>
      </c>
      <c r="S111" s="1736"/>
      <c r="T111" s="1736"/>
      <c r="U111" s="1736"/>
      <c r="V111" s="1736"/>
      <c r="W111" s="1736"/>
      <c r="X111" s="1736"/>
      <c r="Y111" s="1736"/>
      <c r="Z111" s="1736"/>
      <c r="AC111" s="1736"/>
      <c r="AD111" s="1736"/>
      <c r="AE111" s="1736"/>
      <c r="AF111" s="1736"/>
      <c r="AG111" s="1736"/>
      <c r="AH111" s="1736"/>
      <c r="AI111" s="1736"/>
      <c r="AM111" s="1485" t="str">
        <f>IF($AM$23=1,AM96,"")</f>
        <v/>
      </c>
      <c r="BA111" s="1856" t="s">
        <v>7313</v>
      </c>
      <c r="BB111" s="1857" t="s">
        <v>7125</v>
      </c>
      <c r="BC111" s="1736">
        <f t="shared" si="2"/>
        <v>7</v>
      </c>
    </row>
    <row r="112" spans="1:55" ht="9" customHeight="1" x14ac:dyDescent="0.2">
      <c r="B112" s="1935"/>
      <c r="C112" s="1935"/>
      <c r="D112" s="1935"/>
      <c r="E112" s="3050"/>
      <c r="F112" s="3050"/>
      <c r="G112" s="3050"/>
      <c r="H112" s="3050"/>
      <c r="I112" s="3050"/>
      <c r="J112" s="3050"/>
      <c r="K112" s="1935"/>
      <c r="L112" s="1935"/>
      <c r="M112" s="1736"/>
      <c r="S112" s="1736"/>
      <c r="T112" s="1736"/>
      <c r="U112" s="1736"/>
      <c r="V112" s="1736"/>
      <c r="W112" s="1736"/>
      <c r="X112" s="1736"/>
      <c r="Y112" s="1736"/>
      <c r="Z112" s="1736"/>
      <c r="AI112" s="1736"/>
      <c r="AM112" s="1485" t="str">
        <f>IF($AM$23=1,AM97,"")</f>
        <v/>
      </c>
    </row>
    <row r="113" spans="2:39" x14ac:dyDescent="0.2">
      <c r="B113" s="1935"/>
      <c r="C113" s="1935" t="s">
        <v>7051</v>
      </c>
      <c r="D113" s="1935"/>
      <c r="E113" s="5130"/>
      <c r="F113" s="5131"/>
      <c r="G113" s="5131"/>
      <c r="H113" s="5131"/>
      <c r="I113" s="5131"/>
      <c r="J113" s="5132"/>
      <c r="K113" s="2188" t="str">
        <f>IF(AND(Q168&gt;0,E113=""),re,"")</f>
        <v/>
      </c>
      <c r="L113" s="1941"/>
      <c r="M113" s="1736"/>
      <c r="P113" s="1485">
        <f>IF(K113="",0,1)</f>
      </c>
      <c r="Q113" s="1736">
        <f>IF(E113&lt;&gt;"",1,0)</f>
      </c>
      <c r="AB113" s="1866" t="s">
        <v>7057</v>
      </c>
    </row>
    <row r="114" spans="2:39" ht="9" customHeight="1" x14ac:dyDescent="0.2">
      <c r="B114" s="1935"/>
      <c r="C114" s="1935"/>
      <c r="D114" s="1935"/>
      <c r="E114" s="3050"/>
      <c r="F114" s="3050"/>
      <c r="G114" s="3050"/>
      <c r="H114" s="3050"/>
      <c r="I114" s="3050"/>
      <c r="J114" s="3050"/>
      <c r="K114" s="1935"/>
      <c r="L114" s="1935"/>
      <c r="M114" s="1736"/>
      <c r="N114" s="1060"/>
      <c r="O114" s="1060"/>
      <c r="S114" s="1736"/>
      <c r="T114" s="1736"/>
      <c r="U114" s="1736"/>
      <c r="V114" s="1736"/>
      <c r="W114" s="1736"/>
      <c r="X114" s="1736"/>
      <c r="Y114" s="1736"/>
      <c r="Z114" s="1736"/>
      <c r="AB114" s="1806" t="s">
        <v>7021</v>
      </c>
      <c r="AF114" s="1736"/>
      <c r="AG114" s="1736"/>
      <c r="AH114" s="1736"/>
      <c r="AI114" s="1736"/>
    </row>
    <row r="115" spans="2:39" x14ac:dyDescent="0.2">
      <c r="B115" s="1935"/>
      <c r="C115" s="1935" t="s">
        <v>7054</v>
      </c>
      <c r="D115" s="1935"/>
      <c r="E115" s="3050"/>
      <c r="F115" s="5130"/>
      <c r="G115" s="5131"/>
      <c r="H115" s="5131"/>
      <c r="I115" s="5131"/>
      <c r="J115" s="5132"/>
      <c r="K115" s="2188" t="str">
        <f>IF(AND(Q168&gt;0,F115=""),re,"")</f>
        <v/>
      </c>
      <c r="L115" s="1941"/>
      <c r="M115" s="1736"/>
      <c r="N115" s="1784"/>
      <c r="O115" s="1784"/>
      <c r="P115" s="1485">
        <f>IF(K115="",0,1)</f>
      </c>
      <c r="Q115" s="1736">
        <f>IF(F115&lt;&gt;"",1,0)</f>
      </c>
      <c r="AA115" s="1736"/>
      <c r="AB115" s="1736"/>
      <c r="AI115" s="1736"/>
    </row>
    <row r="116" spans="2:39" ht="6" customHeight="1" x14ac:dyDescent="0.2">
      <c r="B116" s="1935"/>
      <c r="C116" s="1935"/>
      <c r="D116" s="1935"/>
      <c r="E116" s="3050"/>
      <c r="F116" s="3050"/>
      <c r="G116" s="3050"/>
      <c r="H116" s="3050"/>
      <c r="I116" s="3050"/>
      <c r="J116" s="3050"/>
      <c r="K116" s="1935"/>
      <c r="L116" s="1935"/>
      <c r="M116" s="1736"/>
      <c r="N116" s="1784"/>
      <c r="O116" s="1784"/>
      <c r="AA116" s="1736" t="s">
        <v>7095</v>
      </c>
      <c r="AB116" s="1867">
        <f>IF($AU$92=1,H120*Q120,0)</f>
      </c>
      <c r="AI116" s="1736"/>
    </row>
    <row r="117" spans="2:39" ht="14.25" customHeight="1" x14ac:dyDescent="0.2">
      <c r="B117" s="1935"/>
      <c r="C117" s="1935"/>
      <c r="D117" s="1935"/>
      <c r="E117" s="3050"/>
      <c r="F117" s="3050"/>
      <c r="G117" s="3050"/>
      <c r="H117" s="3050"/>
      <c r="I117" s="3050"/>
      <c r="J117" s="3050"/>
      <c r="K117" s="1935"/>
      <c r="L117" s="1935"/>
      <c r="M117" s="1736"/>
      <c r="N117" s="1784"/>
      <c r="O117" s="1784"/>
      <c r="S117" s="1736"/>
      <c r="T117" s="1736"/>
      <c r="U117" s="1736"/>
      <c r="V117" s="1736"/>
      <c r="W117" s="1736"/>
      <c r="X117" s="1736"/>
      <c r="Y117" s="1736"/>
      <c r="Z117" s="1736"/>
      <c r="AA117" s="1485" t="s">
        <v>7096</v>
      </c>
      <c r="AB117" s="1867">
        <f>IF($AU$92=1,H121*Q121,0)</f>
      </c>
      <c r="AC117" s="1736"/>
      <c r="AD117" s="1736"/>
      <c r="AE117" s="1736"/>
      <c r="AF117" s="1736"/>
      <c r="AG117" s="1736"/>
      <c r="AH117" s="1736"/>
      <c r="AI117" s="1736"/>
      <c r="AM117" s="1485" t="s">
        <v>7038</v>
      </c>
    </row>
    <row r="118" spans="2:39" x14ac:dyDescent="0.2">
      <c r="B118" s="1935"/>
      <c r="C118" s="1946" t="s">
        <v>7056</v>
      </c>
      <c r="D118" s="1935"/>
      <c r="E118" s="3050"/>
      <c r="F118" s="3050"/>
      <c r="G118" s="3053" t="s">
        <v>6947</v>
      </c>
      <c r="H118" s="3056">
        <f>ya-1</f>
      </c>
      <c r="I118" s="3055"/>
      <c r="J118" s="3055"/>
      <c r="K118" s="1943"/>
      <c r="L118" s="1943"/>
      <c r="M118" s="1736"/>
      <c r="N118" s="1784"/>
      <c r="O118" s="1784"/>
      <c r="S118" s="1736"/>
      <c r="T118" s="1736"/>
      <c r="U118" s="1736"/>
      <c r="V118" s="1736"/>
      <c r="W118" s="1736"/>
      <c r="X118" s="1736"/>
      <c r="Y118" s="1736"/>
      <c r="Z118" s="1736"/>
      <c r="AA118" s="1485" t="s">
        <v>6940</v>
      </c>
      <c r="AB118" s="1868">
        <f>IF($AU$92=1,SUM(AB116:AB117),0)</f>
      </c>
      <c r="AC118" s="1736"/>
      <c r="AD118" s="1736"/>
      <c r="AE118" s="1736"/>
      <c r="AF118" s="1736"/>
      <c r="AG118" s="1736"/>
      <c r="AH118" s="1736"/>
      <c r="AI118" s="1736"/>
      <c r="AM118" s="1485" t="s">
        <v>7040</v>
      </c>
    </row>
    <row r="119" spans="2:39" x14ac:dyDescent="0.2">
      <c r="B119" s="1935"/>
      <c r="C119" s="1947" t="s">
        <v>7058</v>
      </c>
      <c r="D119" s="1935"/>
      <c r="E119" s="3050"/>
      <c r="F119" s="3050"/>
      <c r="G119" s="3050"/>
      <c r="H119" s="3057"/>
      <c r="I119" s="3049"/>
      <c r="J119" s="3058"/>
      <c r="K119" s="1944"/>
      <c r="L119" s="1944"/>
      <c r="M119" s="1736"/>
      <c r="N119" s="1784"/>
      <c r="O119" s="1784"/>
      <c r="P119" s="1736"/>
      <c r="Q119" s="1736"/>
      <c r="S119" s="1736"/>
      <c r="T119" s="1736"/>
      <c r="U119" s="1736"/>
      <c r="V119" s="1736"/>
      <c r="W119" s="1736"/>
      <c r="X119" s="1736"/>
      <c r="Y119" s="1736"/>
      <c r="Z119" s="1736"/>
      <c r="AB119" s="1868"/>
      <c r="AD119" s="1485" t="s">
        <v>4130</v>
      </c>
      <c r="AE119" s="1485" t="s">
        <v>4012</v>
      </c>
      <c r="AM119" s="1485" t="s">
        <v>7045</v>
      </c>
    </row>
    <row r="120" spans="2:39" x14ac:dyDescent="0.2">
      <c r="B120" s="1935"/>
      <c r="C120" s="1935"/>
      <c r="D120" s="1935" t="s">
        <v>7059</v>
      </c>
      <c r="E120" s="3050"/>
      <c r="F120" s="3050"/>
      <c r="G120" s="3050"/>
      <c r="H120" s="3059"/>
      <c r="I120" s="3049" t="str">
        <f>IF(AND(AU92=1,Q168&gt;0,H120=""),reo,"")</f>
        <v/>
      </c>
      <c r="J120" s="3058"/>
      <c r="K120" s="1944"/>
      <c r="L120" s="1944"/>
      <c r="M120" s="1736"/>
      <c r="N120" s="1784"/>
      <c r="O120" s="1784"/>
      <c r="P120" s="1485">
        <f>IF(I120="",0,1)</f>
      </c>
      <c r="Q120" s="1736">
        <f>COUNT(H120)</f>
      </c>
      <c r="AA120" s="1485" t="s">
        <v>7097</v>
      </c>
      <c r="AB120" s="1867">
        <f>IF($AU$92=1,H124*Q124,0)</f>
      </c>
      <c r="AD120" s="1869">
        <f>IF(ISERROR(AB120/AB118)=TRUE,0,(AB120/AB118))</f>
      </c>
      <c r="AE120" s="1870">
        <v>0.5</v>
      </c>
      <c r="AM120" s="1485" t="s">
        <v>7043</v>
      </c>
    </row>
    <row r="121" spans="2:39" ht="12.75" customHeight="1" x14ac:dyDescent="0.2">
      <c r="B121" s="1935"/>
      <c r="C121" s="1935"/>
      <c r="D121" s="1935" t="s">
        <v>1140</v>
      </c>
      <c r="E121" s="3050"/>
      <c r="F121" s="3050"/>
      <c r="G121" s="3050"/>
      <c r="H121" s="3060"/>
      <c r="I121" s="3049" t="str">
        <f>IF(AND(AU92=1,Q168&gt;0,H121=""),reo,"")</f>
        <v/>
      </c>
      <c r="J121" s="3058"/>
      <c r="K121" s="1944"/>
      <c r="L121" s="1944"/>
      <c r="M121" s="1736"/>
      <c r="N121" s="1784"/>
      <c r="O121" s="1784"/>
      <c r="P121" s="1485">
        <f>IF(I121="",0,1)</f>
      </c>
      <c r="Q121" s="1736">
        <f>COUNT(H121)</f>
      </c>
      <c r="S121" s="1736"/>
      <c r="T121" s="1736"/>
      <c r="U121" s="1736"/>
      <c r="V121" s="1736"/>
      <c r="W121" s="1736"/>
      <c r="X121" s="1736"/>
      <c r="Y121" s="1736"/>
      <c r="Z121" s="1736"/>
      <c r="AA121" s="1871" t="s">
        <v>7141</v>
      </c>
      <c r="AB121" s="1868">
        <f>IF($AU$92=2,0,IF(AM107=1,AB120,IF(AM107=2,AB120*AE120,AB120)))</f>
      </c>
      <c r="AC121" s="1872"/>
      <c r="AD121" s="1872"/>
      <c r="AE121" s="1872"/>
      <c r="AF121" s="1872"/>
      <c r="AG121" s="1872"/>
      <c r="AH121" s="1872"/>
      <c r="AI121" s="1872"/>
    </row>
    <row r="122" spans="2:39" x14ac:dyDescent="0.2">
      <c r="B122" s="1935"/>
      <c r="C122" s="1935" t="s">
        <v>7058</v>
      </c>
      <c r="D122" s="1935"/>
      <c r="E122" s="3050"/>
      <c r="F122" s="3050"/>
      <c r="G122" s="3050"/>
      <c r="H122" s="3061">
        <f>AB118</f>
      </c>
      <c r="I122" s="3049"/>
      <c r="J122" s="3058"/>
      <c r="K122" s="1944"/>
      <c r="L122" s="1944"/>
      <c r="M122" s="1736"/>
      <c r="N122" s="1784"/>
      <c r="O122" s="1784"/>
      <c r="Q122" s="1736"/>
    </row>
    <row r="123" spans="2:39" ht="4.5" customHeight="1" x14ac:dyDescent="0.2">
      <c r="B123" s="1935"/>
      <c r="C123" s="1935"/>
      <c r="D123" s="1935"/>
      <c r="E123" s="3050"/>
      <c r="F123" s="3050"/>
      <c r="G123" s="3050"/>
      <c r="H123" s="3057"/>
      <c r="I123" s="3049"/>
      <c r="J123" s="3058"/>
      <c r="K123" s="1944"/>
      <c r="L123" s="1944"/>
      <c r="M123" s="1736"/>
      <c r="N123" s="1784"/>
      <c r="O123" s="1784"/>
      <c r="AA123" s="1871" t="s">
        <v>7098</v>
      </c>
      <c r="AB123" s="1867">
        <f>IF($AU$8=1,0,H127)</f>
      </c>
      <c r="AM123" s="1485" t="s">
        <v>7038</v>
      </c>
    </row>
    <row r="124" spans="2:39" x14ac:dyDescent="0.2">
      <c r="B124" s="1935"/>
      <c r="C124" s="1935" t="s">
        <v>7140</v>
      </c>
      <c r="D124" s="1935"/>
      <c r="E124" s="3050"/>
      <c r="F124" s="3050"/>
      <c r="G124" s="3050"/>
      <c r="H124" s="3062"/>
      <c r="I124" s="3049" t="str">
        <f>IF(AND(AM107=2,AU92=1,Q168&gt;0,H124=""),reo,"")</f>
        <v/>
      </c>
      <c r="J124" s="3058"/>
      <c r="K124" s="1944"/>
      <c r="L124" s="1944"/>
      <c r="M124" s="1736"/>
      <c r="N124" s="1784"/>
      <c r="O124" s="1784"/>
      <c r="P124" s="1485">
        <f>IF(I124="",0,1)</f>
      </c>
      <c r="Q124" s="1736">
        <f>COUNT(H124)</f>
      </c>
      <c r="AA124" s="1871"/>
      <c r="AB124" s="1867"/>
      <c r="AM124" s="1485" t="s">
        <v>7040</v>
      </c>
    </row>
    <row r="125" spans="2:39" x14ac:dyDescent="0.2">
      <c r="B125" s="1935"/>
      <c r="C125" s="1935" t="s">
        <v>7060</v>
      </c>
      <c r="D125" s="1935"/>
      <c r="E125" s="3050"/>
      <c r="F125" s="3050"/>
      <c r="G125" s="3050"/>
      <c r="H125" s="3063">
        <f>AB121</f>
      </c>
      <c r="I125" s="3049"/>
      <c r="J125" s="3058"/>
      <c r="K125" s="1944"/>
      <c r="L125" s="1944"/>
      <c r="M125" s="1736"/>
      <c r="N125" s="1784"/>
      <c r="O125" s="1784"/>
      <c r="AB125" s="1868"/>
      <c r="AM125" s="1485" t="s">
        <v>7043</v>
      </c>
    </row>
    <row r="126" spans="2:39" ht="21.75" customHeight="1" x14ac:dyDescent="0.2">
      <c r="B126" s="1935"/>
      <c r="C126" s="1940" t="s">
        <v>7061</v>
      </c>
      <c r="D126" s="1935"/>
      <c r="E126" s="3050"/>
      <c r="F126" s="3050"/>
      <c r="G126" s="3064"/>
      <c r="H126" s="3057"/>
      <c r="I126" s="3049"/>
      <c r="J126" s="3058"/>
      <c r="K126" s="1944"/>
      <c r="L126" s="1935"/>
      <c r="M126" s="1736"/>
      <c r="N126" s="1784"/>
      <c r="O126" s="1784"/>
      <c r="AA126" s="1485" t="s">
        <v>6940</v>
      </c>
      <c r="AB126" s="1868">
        <f>AB118+AB121+AB123</f>
      </c>
    </row>
    <row r="127" spans="2:39" x14ac:dyDescent="0.2">
      <c r="B127" s="1935"/>
      <c r="C127" s="1935"/>
      <c r="D127" s="1935"/>
      <c r="E127" s="3053" t="s">
        <v>7102</v>
      </c>
      <c r="F127" s="3052"/>
      <c r="G127" s="3049" t="str">
        <f>IF(AU92&lt;&gt;2,"",IF(AND(F127="",Q168&gt;0),re,""))</f>
        <v/>
      </c>
      <c r="H127" s="3062"/>
      <c r="I127" s="3049" t="str">
        <f>IF(AU92&lt;&gt;2,"",IF(H127="",reo,""))</f>
        <v/>
      </c>
      <c r="J127" s="3058"/>
      <c r="K127" s="1944"/>
      <c r="L127" s="1944"/>
      <c r="M127" s="1736"/>
      <c r="N127" s="1784"/>
      <c r="O127" s="1784"/>
      <c r="P127" s="1485">
        <f>IF(I127="",0,1)</f>
      </c>
      <c r="Q127" s="1736">
        <f>COUNT(H127)</f>
      </c>
      <c r="AA127" s="1871" t="s">
        <v>7099</v>
      </c>
      <c r="AB127" s="1868">
        <f>H131</f>
      </c>
      <c r="AG127" s="1736"/>
    </row>
    <row r="128" spans="2:39" x14ac:dyDescent="0.2">
      <c r="B128" s="1935"/>
      <c r="C128" s="1935"/>
      <c r="D128" s="1935"/>
      <c r="E128" s="3053" t="s">
        <v>7101</v>
      </c>
      <c r="F128" s="3054"/>
      <c r="G128" s="3049" t="str">
        <f>IF(AU92&lt;&gt;2,"",IF(AND(F128="",Q168&gt;0),re,""))</f>
        <v/>
      </c>
      <c r="H128" s="3058"/>
      <c r="I128" s="3049"/>
      <c r="J128" s="3058"/>
      <c r="K128" s="1944"/>
      <c r="L128" s="1944"/>
      <c r="M128" s="1736"/>
      <c r="N128" s="1784"/>
      <c r="O128" s="1784"/>
      <c r="Q128" s="1736"/>
      <c r="AA128" s="1485" t="s">
        <v>7100</v>
      </c>
      <c r="AB128" s="1868">
        <f>IF(AB126+AB127&lt;=0,0,AB126+AB127)</f>
      </c>
      <c r="AD128" s="1485" t="s">
        <v>7148</v>
      </c>
      <c r="AG128" s="1736"/>
    </row>
    <row r="129" spans="2:36" ht="4.5" customHeight="1" x14ac:dyDescent="0.2">
      <c r="B129" s="1935"/>
      <c r="C129" s="1935"/>
      <c r="D129" s="1935"/>
      <c r="E129" s="3050"/>
      <c r="F129" s="3050"/>
      <c r="G129" s="3050"/>
      <c r="H129" s="3065"/>
      <c r="I129" s="3049"/>
      <c r="J129" s="3058"/>
      <c r="K129" s="1944"/>
      <c r="L129" s="1944"/>
      <c r="M129" s="1736"/>
      <c r="Q129" s="1736"/>
      <c r="AD129" s="1873" t="s">
        <v>7146</v>
      </c>
      <c r="AE129" s="1873" t="s">
        <v>7147</v>
      </c>
      <c r="AG129" s="1736"/>
    </row>
    <row r="130" spans="2:36" x14ac:dyDescent="0.2">
      <c r="B130" s="1935"/>
      <c r="C130" s="1935" t="s">
        <v>1592</v>
      </c>
      <c r="D130" s="1935"/>
      <c r="E130" s="3050"/>
      <c r="F130" s="3050"/>
      <c r="G130" s="3050"/>
      <c r="H130" s="3063">
        <f>AB126</f>
      </c>
      <c r="I130" s="3049"/>
      <c r="J130" s="3058"/>
      <c r="K130" s="1944"/>
      <c r="L130" s="1944"/>
      <c r="M130" s="1736"/>
      <c r="AA130" s="1485" t="s">
        <v>7064</v>
      </c>
      <c r="AB130" s="1485" t="b">
        <f>IF(H118&lt;=2017,AD130,AE130)</f>
      </c>
      <c r="AD130" s="1873" t="b">
        <f>IF($J$105=$AD$65,$AE$65,IF($J$105=$AD$64,$AE$64,IF($J$105=$AD$63,$AE$63)))</f>
      </c>
      <c r="AE130" s="1873" t="b">
        <f>IF($J$105=$AD$65,$AF$65,IF($J$105=$AD$64,$AF$64,IF($J$105=$AD$63,$AF$63)))</f>
      </c>
      <c r="AG130" s="1736"/>
    </row>
    <row r="131" spans="2:36" x14ac:dyDescent="0.2">
      <c r="B131" s="1945" t="s">
        <v>5445</v>
      </c>
      <c r="C131" s="1936" t="s">
        <v>7178</v>
      </c>
      <c r="D131" s="1936"/>
      <c r="E131" s="3066"/>
      <c r="F131" s="3066"/>
      <c r="G131" s="3067"/>
      <c r="H131" s="3062"/>
      <c r="I131" s="3049" t="str">
        <f>IF(AND(Q168&gt;0,H131=""),reo,"")</f>
        <v/>
      </c>
      <c r="J131" s="3058"/>
      <c r="K131" s="1944"/>
      <c r="L131" s="1944"/>
      <c r="M131" s="1736"/>
      <c r="P131" s="1485">
        <f>IF(I131="",0,1)</f>
      </c>
      <c r="Q131" s="1736">
        <f>COUNT(H131)</f>
      </c>
      <c r="AA131" s="1871" t="s">
        <v>7149</v>
      </c>
      <c r="AB131" s="1485" t="b">
        <f>IF(H118&lt;=2017,AD131,AE131)</f>
      </c>
      <c r="AD131" s="1873" t="b">
        <f>IF($J$105=$AD$58,$AE$58,IF($J$105=$AD$57,$AE$57,IF($J$105=$AD$56,$AE$56)))</f>
      </c>
      <c r="AE131" s="1873" t="b">
        <f>IF($J$105=$AD$58,$AF$58,IF($J$105=$AD$57,$AF$57,IF($J$105=$AD$56,$AF$56)))</f>
      </c>
      <c r="AG131" s="1736"/>
    </row>
    <row r="132" spans="2:36" x14ac:dyDescent="0.2">
      <c r="B132" s="1935"/>
      <c r="C132" s="1935" t="s">
        <v>7062</v>
      </c>
      <c r="D132" s="1935"/>
      <c r="E132" s="3050"/>
      <c r="F132" s="3050"/>
      <c r="G132" s="3050"/>
      <c r="H132" s="3063">
        <f>IF(P131=1,0,AB128)</f>
      </c>
      <c r="I132" s="3058"/>
      <c r="J132" s="3058"/>
      <c r="K132" s="1944"/>
      <c r="L132" s="1944"/>
      <c r="M132" s="1736"/>
      <c r="AA132" s="1871" t="s">
        <v>7066</v>
      </c>
      <c r="AB132" s="1485" t="b">
        <f>IF(AK106=0,AB131,AB130)</f>
      </c>
      <c r="AG132" s="1736"/>
    </row>
    <row r="133" spans="2:36" ht="7.5" customHeight="1" x14ac:dyDescent="0.2">
      <c r="B133" s="1935"/>
      <c r="C133" s="1935"/>
      <c r="D133" s="1935"/>
      <c r="E133" s="3050"/>
      <c r="F133" s="3050"/>
      <c r="G133" s="3050"/>
      <c r="H133" s="3050"/>
      <c r="I133" s="3050"/>
      <c r="J133" s="3050"/>
      <c r="K133" s="1935"/>
      <c r="L133" s="1935"/>
      <c r="M133" s="1736"/>
      <c r="AA133" s="1871" t="s">
        <v>7068</v>
      </c>
      <c r="AB133" s="1870">
        <f>H134</f>
      </c>
      <c r="AG133" s="1736"/>
      <c r="AJ133" s="1871"/>
    </row>
    <row r="134" spans="2:36" x14ac:dyDescent="0.2">
      <c r="B134" s="1935"/>
      <c r="C134" s="1936" t="s">
        <v>7063</v>
      </c>
      <c r="D134" s="1935"/>
      <c r="E134" s="3050"/>
      <c r="F134" s="3050"/>
      <c r="G134" s="3050"/>
      <c r="H134" s="3068"/>
      <c r="I134" s="3049" t="str">
        <f>IF(AND(Q168&gt;0,H134=""),reo,IF(H134&lt;=AB132,"","Relevant Intensity Level excessive!"))</f>
        <v/>
      </c>
      <c r="J134" s="3050"/>
      <c r="K134" s="1935"/>
      <c r="L134" s="1935"/>
      <c r="M134" s="1736"/>
      <c r="P134" s="1485">
        <f>IF(I134="",0,1)</f>
      </c>
      <c r="Q134" s="1736">
        <f>IF(H134&lt;&gt;"",1,0)</f>
      </c>
      <c r="AA134" s="1871" t="s">
        <v>7070</v>
      </c>
      <c r="AB134" s="1868">
        <f>AB128</f>
      </c>
      <c r="AG134" s="1736"/>
    </row>
    <row r="135" spans="2:36" x14ac:dyDescent="0.2">
      <c r="B135" s="1935"/>
      <c r="C135" s="1936" t="s">
        <v>7181</v>
      </c>
      <c r="D135" s="1935"/>
      <c r="E135" s="3050"/>
      <c r="F135" s="3050"/>
      <c r="G135" s="3050"/>
      <c r="H135" s="3063">
        <f>IF(P134=1,0,AB135)</f>
      </c>
      <c r="I135" s="3049"/>
      <c r="J135" s="3050"/>
      <c r="K135" s="1935"/>
      <c r="L135" s="1935"/>
      <c r="M135" s="1736"/>
      <c r="AA135" s="1871" t="s">
        <v>7071</v>
      </c>
      <c r="AB135" s="1868">
        <f>ROUND(MIN(AB132,AB133)*AB134,0)</f>
      </c>
      <c r="AD135" s="1736"/>
      <c r="AE135" s="1736"/>
      <c r="AF135" s="1736"/>
    </row>
    <row r="136" spans="2:36" x14ac:dyDescent="0.2">
      <c r="B136" s="1945" t="s">
        <v>5445</v>
      </c>
      <c r="C136" s="1935" t="s">
        <v>7179</v>
      </c>
      <c r="D136" s="1935"/>
      <c r="E136" s="3050"/>
      <c r="F136" s="3050"/>
      <c r="G136" s="3050"/>
      <c r="H136" s="3062"/>
      <c r="I136" s="3049" t="str">
        <f>IF(AND(Q168&gt;0,H136=""),reo,"")</f>
        <v/>
      </c>
      <c r="J136" s="3050"/>
      <c r="K136" s="1935"/>
      <c r="L136" s="1935"/>
      <c r="M136" s="1736"/>
      <c r="P136" s="1485">
        <f>IF(I136="",0,1)</f>
      </c>
      <c r="Q136" s="1736">
        <f>IF(H136&lt;&gt;"",1,0)</f>
      </c>
      <c r="Z136" s="1874"/>
      <c r="AA136" s="1517" t="s">
        <v>7137</v>
      </c>
      <c r="AB136" s="1868">
        <f>H136</f>
      </c>
      <c r="AD136" s="1736" t="s">
        <v>7075</v>
      </c>
    </row>
    <row r="137" spans="2:36" x14ac:dyDescent="0.2">
      <c r="B137" s="1945"/>
      <c r="C137" s="1936" t="s">
        <v>7180</v>
      </c>
      <c r="D137" s="1935"/>
      <c r="E137" s="3050"/>
      <c r="F137" s="3050"/>
      <c r="G137" s="3050"/>
      <c r="H137" s="3063">
        <f>IF(P136=1,0,AB137)</f>
      </c>
      <c r="I137" s="3050"/>
      <c r="J137" s="3050"/>
      <c r="K137" s="1935"/>
      <c r="L137" s="1935"/>
      <c r="M137" s="1736"/>
      <c r="AA137" s="1517" t="s">
        <v>7136</v>
      </c>
      <c r="AB137" s="1868">
        <f>IF(AB135+AB136&lt;0,0,AB135+AB136)</f>
      </c>
      <c r="AD137" s="5124" t="s">
        <v>7077</v>
      </c>
      <c r="AE137" s="5125"/>
      <c r="AF137" s="5126"/>
    </row>
    <row r="138" spans="2:36" ht="6" customHeight="1" x14ac:dyDescent="0.2">
      <c r="B138" s="1935"/>
      <c r="C138" s="1935"/>
      <c r="D138" s="1935"/>
      <c r="E138" s="3050"/>
      <c r="F138" s="3050"/>
      <c r="G138" s="3050"/>
      <c r="H138" s="3050"/>
      <c r="I138" s="3050"/>
      <c r="J138" s="3050"/>
      <c r="K138" s="1935"/>
      <c r="L138" s="1935"/>
      <c r="M138" s="1736"/>
      <c r="AD138" s="1875"/>
      <c r="AE138" s="1875" t="s">
        <v>7078</v>
      </c>
      <c r="AF138" s="1875" t="s">
        <v>7079</v>
      </c>
    </row>
    <row r="139" spans="2:36" x14ac:dyDescent="0.2">
      <c r="B139" s="1939" t="s">
        <v>7142</v>
      </c>
      <c r="C139" s="1935"/>
      <c r="D139" s="1935"/>
      <c r="E139" s="3050"/>
      <c r="F139" s="3050"/>
      <c r="G139" s="3050"/>
      <c r="H139" s="3050"/>
      <c r="I139" s="3050"/>
      <c r="J139" s="3050"/>
      <c r="K139" s="1935"/>
      <c r="L139" s="1935"/>
      <c r="M139" s="1736"/>
      <c r="AA139" s="1871" t="s">
        <v>7150</v>
      </c>
      <c r="AB139" s="1872">
        <f>H145</f>
      </c>
      <c r="AD139" s="1876"/>
      <c r="AE139" s="1877">
        <v>43100</v>
      </c>
      <c r="AF139" s="1877">
        <v>43100</v>
      </c>
    </row>
    <row r="140" spans="2:36" ht="5.25" customHeight="1" x14ac:dyDescent="0.2">
      <c r="B140" s="1935"/>
      <c r="C140" s="1935"/>
      <c r="D140" s="1935"/>
      <c r="E140" s="3050"/>
      <c r="F140" s="3050"/>
      <c r="G140" s="3050"/>
      <c r="H140" s="3050"/>
      <c r="I140" s="3050"/>
      <c r="J140" s="3050"/>
      <c r="K140" s="1935"/>
      <c r="L140" s="1935"/>
      <c r="M140" s="1736"/>
      <c r="AD140" s="1875" t="s">
        <v>3274</v>
      </c>
      <c r="AE140" s="1878">
        <v>0.35</v>
      </c>
      <c r="AF140" s="1878">
        <v>0.3</v>
      </c>
    </row>
    <row r="141" spans="2:36" x14ac:dyDescent="0.2">
      <c r="B141" s="1935"/>
      <c r="C141" s="1935" t="s">
        <v>7033</v>
      </c>
      <c r="D141" s="1935"/>
      <c r="E141" s="3050"/>
      <c r="F141" s="3050"/>
      <c r="G141" s="3052"/>
      <c r="H141" s="3049" t="str">
        <f>IF(AND(OR(P98=1,I98="yes"),Q168&gt;0,G141=""),re,IF(AND(I98="no",G141&lt;&gt;""),"No Incentive Entitlement Certificates - project based!",""))</f>
        <v/>
      </c>
      <c r="I141" s="3050"/>
      <c r="J141" s="3050"/>
      <c r="K141" s="1935"/>
      <c r="L141" s="1935"/>
      <c r="M141" s="1736"/>
      <c r="P141" s="1485">
        <f>IF(H141="",0,1)</f>
      </c>
      <c r="Q141" s="1736">
        <f>IF(G141&lt;&gt;"",1,0)</f>
      </c>
      <c r="AA141" s="1517" t="s">
        <v>7138</v>
      </c>
      <c r="AB141" s="1872">
        <f>AB137+AB139</f>
      </c>
      <c r="AD141" s="1880" t="s">
        <v>3281</v>
      </c>
      <c r="AE141" s="1881">
        <v>0.25</v>
      </c>
      <c r="AF141" s="1881">
        <v>0.2</v>
      </c>
    </row>
    <row r="142" spans="2:36" ht="4.5" customHeight="1" x14ac:dyDescent="0.2">
      <c r="B142" s="1935"/>
      <c r="C142" s="1935"/>
      <c r="D142" s="1935"/>
      <c r="E142" s="3050"/>
      <c r="F142" s="3050"/>
      <c r="G142" s="3050"/>
      <c r="H142" s="3050"/>
      <c r="I142" s="3050"/>
      <c r="J142" s="3050"/>
      <c r="K142" s="1935"/>
      <c r="L142" s="1935"/>
      <c r="M142" s="1736"/>
      <c r="AD142" s="1876" t="s">
        <v>3282</v>
      </c>
      <c r="AE142" s="1882">
        <v>0.15</v>
      </c>
      <c r="AF142" s="1882">
        <v>0.1</v>
      </c>
    </row>
    <row r="143" spans="2:36" x14ac:dyDescent="0.2">
      <c r="B143" s="1935"/>
      <c r="C143" s="1935" t="s">
        <v>7145</v>
      </c>
      <c r="D143" s="1935"/>
      <c r="E143" s="3050"/>
      <c r="F143" s="3050"/>
      <c r="G143" s="3054"/>
      <c r="H143" s="3049" t="str">
        <f>IF(AND(OR(P98=1,I98="yes"),Q168&gt;0,G143=""),re,IF(AND(I98="no",G143&lt;&gt;""),"No Incentive Entitlement Certificate - Project based!",""))</f>
        <v/>
      </c>
      <c r="I143" s="3050"/>
      <c r="J143" s="3050"/>
      <c r="K143" s="1935"/>
      <c r="L143" s="1935"/>
      <c r="M143" s="1736"/>
      <c r="P143" s="1485">
        <f>IF(H143="",0,1)</f>
      </c>
      <c r="Q143" s="1736">
        <f>IF(G143&lt;&gt;"",1,0)</f>
      </c>
      <c r="AA143" s="1871" t="s">
        <v>7065</v>
      </c>
      <c r="AB143" s="1868">
        <f>IF(OR($H$34=2014,Y87&gt;=AH87),0,H150)</f>
      </c>
      <c r="AD143" s="1736"/>
      <c r="AE143" s="1736"/>
      <c r="AF143" s="1736"/>
    </row>
    <row r="144" spans="2:36" ht="4.5" customHeight="1" x14ac:dyDescent="0.2">
      <c r="B144" s="1935"/>
      <c r="C144" s="1935"/>
      <c r="D144" s="1935"/>
      <c r="E144" s="3050"/>
      <c r="F144" s="3050"/>
      <c r="G144" s="3050"/>
      <c r="H144" s="3050"/>
      <c r="I144" s="3050"/>
      <c r="J144" s="3050"/>
      <c r="K144" s="1935"/>
      <c r="L144" s="1935"/>
      <c r="M144" s="1736"/>
      <c r="AA144" s="1871" t="s">
        <v>7091</v>
      </c>
      <c r="AB144" s="1868">
        <f>IF(OR(H118=2014,Y87&gt;=AH87),0,H151)</f>
      </c>
      <c r="AD144" s="5124" t="s">
        <v>7080</v>
      </c>
      <c r="AE144" s="5125"/>
      <c r="AF144" s="5126"/>
      <c r="AI144" s="1871"/>
    </row>
    <row r="145" spans="2:32" x14ac:dyDescent="0.2">
      <c r="B145" s="1935"/>
      <c r="C145" s="1935" t="s">
        <v>7144</v>
      </c>
      <c r="D145" s="1935"/>
      <c r="E145" s="3050"/>
      <c r="F145" s="3050"/>
      <c r="G145" s="3050"/>
      <c r="H145" s="3069"/>
      <c r="I145" s="3049" t="str">
        <f>IF(AND(OR(I98="yes",P98=1),Q168&gt;0,H145=""),reo,IF(AND(H145&lt;&gt;0,I98="no"),"DELETE! No Incentive Entitlement Certificate - Project based!",""))</f>
        <v/>
      </c>
      <c r="J145" s="3050"/>
      <c r="K145" s="1935"/>
      <c r="L145" s="1935"/>
      <c r="M145" s="1736"/>
      <c r="P145" s="1485">
        <f>IF(I145="",0,1)</f>
      </c>
      <c r="Q145" s="1736">
        <f>IF(H145&lt;&gt;"",1,0)</f>
      </c>
      <c r="AA145" s="1871" t="s">
        <v>7094</v>
      </c>
      <c r="AB145" s="1868">
        <f>SUM(AB143:AB144)</f>
      </c>
      <c r="AD145" s="1875"/>
      <c r="AE145" s="1875" t="s">
        <v>7078</v>
      </c>
      <c r="AF145" s="1875" t="s">
        <v>7079</v>
      </c>
    </row>
    <row r="146" spans="2:32" ht="3.75" customHeight="1" x14ac:dyDescent="0.2">
      <c r="B146" s="1935"/>
      <c r="C146" s="1935"/>
      <c r="D146" s="1935"/>
      <c r="E146" s="3050"/>
      <c r="F146" s="3050"/>
      <c r="G146" s="3050"/>
      <c r="H146" s="3050"/>
      <c r="I146" s="3050"/>
      <c r="J146" s="3050"/>
      <c r="K146" s="1935"/>
      <c r="L146" s="1935"/>
      <c r="M146" s="1736"/>
      <c r="AA146" s="1871" t="s">
        <v>7067</v>
      </c>
      <c r="AB146" s="1868">
        <f>AB141+AB145</f>
      </c>
      <c r="AD146" s="1876"/>
      <c r="AE146" s="1877">
        <v>43100</v>
      </c>
      <c r="AF146" s="1877">
        <v>43100</v>
      </c>
    </row>
    <row r="147" spans="2:32" x14ac:dyDescent="0.2">
      <c r="B147" s="1940" t="s">
        <v>7143</v>
      </c>
      <c r="C147" s="1935"/>
      <c r="D147" s="1935"/>
      <c r="E147" s="3050"/>
      <c r="F147" s="3050"/>
      <c r="G147" s="3050"/>
      <c r="H147" s="3050"/>
      <c r="I147" s="3050"/>
      <c r="J147" s="3050"/>
      <c r="K147" s="1935"/>
      <c r="L147" s="1935"/>
      <c r="M147" s="1736"/>
      <c r="AA147" s="1871" t="s">
        <v>7069</v>
      </c>
      <c r="AB147" s="1868">
        <f>-H155</f>
      </c>
      <c r="AD147" s="1875" t="s">
        <v>3274</v>
      </c>
      <c r="AE147" s="1878">
        <v>0.15</v>
      </c>
      <c r="AF147" s="1881">
        <v>0.15</v>
      </c>
    </row>
    <row r="148" spans="2:32" x14ac:dyDescent="0.2">
      <c r="B148" s="1935"/>
      <c r="C148" s="1935" t="s">
        <v>7138</v>
      </c>
      <c r="D148" s="1935"/>
      <c r="E148" s="3050"/>
      <c r="F148" s="3050"/>
      <c r="G148" s="3050"/>
      <c r="H148" s="3063">
        <f>IF(P145=1,0,AB141)</f>
      </c>
      <c r="I148" s="3049"/>
      <c r="J148" s="3050"/>
      <c r="K148" s="1935"/>
      <c r="L148" s="1935"/>
      <c r="M148" s="1736"/>
      <c r="AA148" s="1871" t="s">
        <v>7074</v>
      </c>
      <c r="AB148" s="1868">
        <f>AB146+AB147</f>
      </c>
      <c r="AD148" s="1880" t="s">
        <v>3281</v>
      </c>
      <c r="AE148" s="1881">
        <v>0.15</v>
      </c>
      <c r="AF148" s="1881">
        <v>0.15</v>
      </c>
    </row>
    <row r="149" spans="2:32" ht="3" customHeight="1" x14ac:dyDescent="0.2">
      <c r="B149" s="1935"/>
      <c r="C149" s="1935"/>
      <c r="D149" s="1935"/>
      <c r="E149" s="3050"/>
      <c r="F149" s="3050"/>
      <c r="G149" s="3050"/>
      <c r="H149" s="3050"/>
      <c r="I149" s="3050"/>
      <c r="J149" s="3050"/>
      <c r="K149" s="1935"/>
      <c r="L149" s="1935"/>
      <c r="M149" s="1736"/>
      <c r="AA149" s="1871" t="s">
        <v>7076</v>
      </c>
      <c r="AB149" s="1883">
        <f>H157</f>
      </c>
      <c r="AD149" s="1876" t="s">
        <v>3282</v>
      </c>
      <c r="AE149" s="1882">
        <v>0.15</v>
      </c>
      <c r="AF149" s="1882">
        <v>0.1</v>
      </c>
    </row>
    <row r="150" spans="2:32" x14ac:dyDescent="0.2">
      <c r="B150" s="1935"/>
      <c r="C150" s="1936" t="s">
        <v>7151</v>
      </c>
      <c r="D150" s="1935"/>
      <c r="E150" s="3050"/>
      <c r="F150" s="3050"/>
      <c r="G150" s="3050"/>
      <c r="H150" s="3070"/>
      <c r="I150" s="3049" t="str">
        <f>IF(AND(AH87&gt;2014,Y87&lt;$AH$1,Q168&gt;0,H150=""),reo,"")</f>
        <v/>
      </c>
      <c r="J150" s="3050"/>
      <c r="K150" s="1935"/>
      <c r="L150" s="1935"/>
      <c r="M150" s="1736"/>
      <c r="P150" s="1485">
        <f>IF(I150="",0,1)</f>
      </c>
      <c r="Q150" s="1736">
        <f>IF($Y$90&gt;=ya-1,1,IF(H150&lt;&gt;"",1,0))</f>
      </c>
      <c r="AA150" s="1760" t="s">
        <v>3960</v>
      </c>
      <c r="AB150" s="1868">
        <f>AB148*(1+AB149)</f>
      </c>
      <c r="AE150" s="1870"/>
    </row>
    <row r="151" spans="2:32" x14ac:dyDescent="0.2">
      <c r="B151" s="1935"/>
      <c r="C151" s="1936" t="s">
        <v>7092</v>
      </c>
      <c r="D151" s="1935"/>
      <c r="E151" s="3050"/>
      <c r="F151" s="3050"/>
      <c r="G151" s="3050"/>
      <c r="H151" s="3070"/>
      <c r="I151" s="3049" t="str">
        <f>IF(AND(AH87&gt;2014,$Y$87&lt;$AH$1,Q168&gt;0,H151=""),reo,"")</f>
        <v/>
      </c>
      <c r="J151" s="3050"/>
      <c r="K151" s="1935"/>
      <c r="L151" s="1935"/>
      <c r="M151" s="1736"/>
      <c r="P151" s="1485">
        <f>IF(I151="",0,1)</f>
      </c>
      <c r="Q151" s="1736">
        <f>IF($Y$90&gt;=ya-1,1,IF(H151&lt;&gt;"",1,0))</f>
      </c>
    </row>
    <row r="152" spans="2:32" x14ac:dyDescent="0.2">
      <c r="B152" s="1935"/>
      <c r="C152" s="1936" t="s">
        <v>7093</v>
      </c>
      <c r="D152" s="1935"/>
      <c r="E152" s="3050"/>
      <c r="F152" s="3050"/>
      <c r="G152" s="3050"/>
      <c r="H152" s="3061">
        <f>AB145</f>
      </c>
      <c r="I152" s="3049"/>
      <c r="J152" s="3050"/>
      <c r="K152" s="1935"/>
      <c r="L152" s="1935"/>
      <c r="M152" s="1736"/>
      <c r="Q152" s="1736"/>
    </row>
    <row r="153" spans="2:32" ht="3" customHeight="1" x14ac:dyDescent="0.2">
      <c r="B153" s="1935"/>
      <c r="C153" s="1935"/>
      <c r="D153" s="1935"/>
      <c r="E153" s="3050"/>
      <c r="F153" s="3050"/>
      <c r="G153" s="3050"/>
      <c r="H153" s="3050"/>
      <c r="I153" s="3050"/>
      <c r="J153" s="3050"/>
      <c r="K153" s="1935"/>
      <c r="L153" s="1935"/>
      <c r="M153" s="1736"/>
    </row>
    <row r="154" spans="2:32" x14ac:dyDescent="0.2">
      <c r="B154" s="1935"/>
      <c r="C154" s="1936" t="s">
        <v>7067</v>
      </c>
      <c r="D154" s="1935"/>
      <c r="E154" s="3050"/>
      <c r="F154" s="3050"/>
      <c r="G154" s="3050"/>
      <c r="H154" s="3063">
        <f>IF(P152=1,0,AB146)</f>
      </c>
      <c r="I154" s="2755"/>
      <c r="J154" s="3050"/>
      <c r="K154" s="1935"/>
      <c r="L154" s="1935"/>
      <c r="M154" s="1736"/>
    </row>
    <row r="155" spans="2:32" x14ac:dyDescent="0.2">
      <c r="B155" s="1935"/>
      <c r="C155" s="1936" t="s">
        <v>7182</v>
      </c>
      <c r="D155" s="1935"/>
      <c r="E155" s="3050"/>
      <c r="F155" s="3050"/>
      <c r="G155" s="3071"/>
      <c r="H155" s="3070"/>
      <c r="I155" s="3049" t="str">
        <f>IF(AND(Q168&gt;0,H155=""),reo,IF(AB146&lt;(AB147*-1),"Excessive!",""))</f>
        <v/>
      </c>
      <c r="J155" s="3050"/>
      <c r="K155" s="1935"/>
      <c r="L155" s="1935"/>
      <c r="M155" s="1736"/>
      <c r="P155" s="1485">
        <f>IF(I155="",0,1)</f>
      </c>
      <c r="Q155" s="1736">
        <f>IF(H155&lt;&gt;"",1,0)</f>
      </c>
    </row>
    <row r="156" spans="2:32" x14ac:dyDescent="0.2">
      <c r="B156" s="1935"/>
      <c r="C156" s="1936" t="s">
        <v>7987</v>
      </c>
      <c r="D156" s="1935"/>
      <c r="E156" s="3050"/>
      <c r="F156" s="3050"/>
      <c r="G156" s="3050"/>
      <c r="H156" s="3063">
        <f>IF(P155=1,0,AB148)</f>
      </c>
      <c r="I156" s="2755"/>
      <c r="J156" s="3050"/>
      <c r="K156" s="1935"/>
      <c r="L156" s="1935"/>
      <c r="M156" s="1736"/>
    </row>
    <row r="157" spans="2:32" hidden="1" x14ac:dyDescent="0.2">
      <c r="C157" s="69" t="s">
        <v>7072</v>
      </c>
      <c r="E157" s="2912"/>
      <c r="F157" s="2912"/>
      <c r="G157" s="2912"/>
      <c r="H157" s="2912"/>
      <c r="I157" s="2912"/>
      <c r="J157" s="2912"/>
      <c r="L157" s="1935"/>
      <c r="M157" s="1736"/>
      <c r="Q157" s="1736"/>
    </row>
    <row r="158" spans="2:32" x14ac:dyDescent="0.2">
      <c r="B158" s="1935"/>
      <c r="C158" s="1936" t="s">
        <v>7986</v>
      </c>
      <c r="D158" s="1935"/>
      <c r="E158" s="3050"/>
      <c r="F158" s="3050"/>
      <c r="G158" s="3050"/>
      <c r="H158" s="3070"/>
      <c r="I158" s="3049" t="str">
        <f>IF(H156=0,"",IF(H158="",reo,""))</f>
        <v/>
      </c>
      <c r="J158" s="3050"/>
      <c r="K158" s="1935"/>
      <c r="L158" s="1935"/>
      <c r="M158" s="1736"/>
      <c r="P158" s="1485">
        <f>IF(I158="",0,1)</f>
      </c>
      <c r="Q158" s="1736">
        <f>IF(H158&lt;&gt;"",1,0)</f>
      </c>
    </row>
    <row r="159" spans="2:32" ht="6" customHeight="1" x14ac:dyDescent="0.2">
      <c r="B159" s="1935"/>
      <c r="C159" s="1935"/>
      <c r="D159" s="1935"/>
      <c r="E159" s="3050"/>
      <c r="F159" s="3050"/>
      <c r="G159" s="3050"/>
      <c r="H159" s="3050"/>
      <c r="I159" s="3050"/>
      <c r="J159" s="3050"/>
      <c r="K159" s="1935"/>
      <c r="L159" s="1935"/>
      <c r="M159" s="1736"/>
      <c r="S159" s="5124" t="s">
        <v>7073</v>
      </c>
      <c r="T159" s="5125"/>
      <c r="U159" s="5126"/>
    </row>
    <row r="160" spans="2:32" x14ac:dyDescent="0.2">
      <c r="B160" s="1935"/>
      <c r="C160" s="1953" t="str">
        <f>CONCATENATE("Income the tax on which is deemed relieved by the tax credit [Current] Y/A",ya)</f>
      </c>
      <c r="D160" s="1954"/>
      <c r="E160" s="3072"/>
      <c r="F160" s="3072"/>
      <c r="G160" s="3072"/>
      <c r="H160" s="3073"/>
      <c r="I160" s="3074"/>
      <c r="J160" s="3075" t="str">
        <f>IF(Q168=0,"",IF(AND(H155&gt;=0,I160=""),re,IF(AND(H155=0,I160&gt;0),"No tax credit claimed for the year!",IF(AND(H155&gt;0,I160=0),"Amount relieved by tax credit required!",IF(I160&lt;0,"Cannot be negative!",IF(OR(I160&gt;S160,I160&lt;T160),U160,""))))))</f>
        <v/>
      </c>
      <c r="K160" s="1936"/>
      <c r="L160" s="1936"/>
      <c r="M160" s="1736"/>
      <c r="P160" s="1485">
        <f>IF(J160="",0,1)</f>
      </c>
      <c r="Q160" s="1736">
        <f>IF(I160&lt;&gt;"",1,0)</f>
      </c>
      <c r="S160" s="1807">
        <f>ROUND(H155/5%,0)+1</f>
      </c>
      <c r="T160" s="1770">
        <f>ROUND(H155/0.35,0)-1</f>
      </c>
      <c r="U160" s="1884" t="s">
        <v>4787</v>
      </c>
    </row>
    <row r="161" spans="1:55" x14ac:dyDescent="0.2">
      <c r="B161" s="1935"/>
      <c r="C161" s="1937"/>
      <c r="D161" s="1935"/>
      <c r="E161" s="3050"/>
      <c r="F161" s="3050"/>
      <c r="G161" s="3050"/>
      <c r="H161" s="3050"/>
      <c r="I161" s="3050"/>
      <c r="J161" s="3050"/>
      <c r="K161" s="1935"/>
      <c r="L161" s="1935"/>
      <c r="M161" s="1736"/>
    </row>
    <row r="162" spans="1:55" ht="4.5" customHeight="1" x14ac:dyDescent="0.2">
      <c r="B162" s="1935"/>
      <c r="C162" s="1935"/>
      <c r="D162" s="1935"/>
      <c r="E162" s="3050"/>
      <c r="F162" s="3050"/>
      <c r="G162" s="3050"/>
      <c r="H162" s="3050"/>
      <c r="I162" s="3050"/>
      <c r="J162" s="3050"/>
      <c r="K162" s="1935"/>
      <c r="L162" s="1935"/>
      <c r="M162" s="1736"/>
    </row>
    <row r="163" spans="1:55" x14ac:dyDescent="0.2">
      <c r="B163" s="1935"/>
      <c r="C163" s="1935"/>
      <c r="D163" s="1935"/>
      <c r="E163" s="3050"/>
      <c r="F163" s="3053" t="s">
        <v>2206</v>
      </c>
      <c r="G163" s="3051"/>
      <c r="H163" s="3049" t="str">
        <f>IF(AND(G163="",Q168&gt;0),re,IF(G163="no",nd,""))</f>
        <v/>
      </c>
      <c r="I163" s="3050"/>
      <c r="J163" s="3050"/>
      <c r="K163" s="1935"/>
      <c r="L163" s="1935"/>
      <c r="M163" s="1736"/>
      <c r="P163" s="1485">
        <f>IF(H163="",0,1)</f>
      </c>
      <c r="Q163" s="1736">
        <f>IF(G163&lt;&gt;"",1,0)</f>
      </c>
    </row>
    <row r="164" spans="1:55" ht="5.25" customHeight="1" x14ac:dyDescent="0.2">
      <c r="B164" s="1935"/>
      <c r="C164" s="1935"/>
      <c r="D164" s="1935"/>
      <c r="E164" s="3050"/>
      <c r="F164" s="3050"/>
      <c r="G164" s="3050"/>
      <c r="H164" s="3050"/>
      <c r="I164" s="3050"/>
      <c r="J164" s="3050"/>
      <c r="K164" s="1935"/>
      <c r="L164" s="1935"/>
      <c r="M164" s="1736"/>
    </row>
    <row r="165" spans="1:55" hidden="1" x14ac:dyDescent="0.2">
      <c r="B165" s="1935"/>
      <c r="C165" s="1935"/>
      <c r="D165" s="1935"/>
      <c r="E165" s="3050"/>
      <c r="F165" s="3076"/>
      <c r="G165" s="3076"/>
      <c r="H165" s="3049"/>
      <c r="I165" s="3050"/>
      <c r="J165" s="3050"/>
      <c r="K165" s="1935"/>
      <c r="L165" s="1935"/>
      <c r="M165" s="1736"/>
      <c r="Q165" s="1736"/>
    </row>
    <row r="166" spans="1:55" ht="9" customHeight="1" x14ac:dyDescent="0.2">
      <c r="B166" s="1935"/>
      <c r="C166" s="1935"/>
      <c r="D166" s="1935"/>
      <c r="E166" s="1935"/>
      <c r="F166" s="1935"/>
      <c r="G166" s="1935"/>
      <c r="H166" s="1935"/>
      <c r="I166" s="1935"/>
      <c r="J166" s="1935"/>
      <c r="K166" s="1935"/>
      <c r="L166" s="1935"/>
      <c r="M166" s="1736"/>
    </row>
    <row r="167" spans="1:55" ht="6.75" hidden="1" customHeight="1" x14ac:dyDescent="0.2">
      <c r="B167" s="1935"/>
      <c r="C167" s="1935"/>
      <c r="D167" s="1935"/>
      <c r="E167" s="1935"/>
      <c r="F167" s="1935"/>
      <c r="G167" s="1935"/>
      <c r="H167" s="1935"/>
      <c r="I167" s="1935"/>
      <c r="J167" s="1935"/>
      <c r="K167" s="1935"/>
      <c r="L167" s="1935"/>
      <c r="M167" s="1736"/>
    </row>
    <row r="168" spans="1:55" x14ac:dyDescent="0.2">
      <c r="B168" s="1935"/>
      <c r="C168" s="1935" t="str">
        <f>_xlfn.SINGLE(MTCA)</f>
      </c>
      <c r="D168" s="1935"/>
      <c r="E168" s="1935"/>
      <c r="F168" s="1935"/>
      <c r="G168" s="1943" t="str">
        <f>ver</f>
        <v>TA2_e-CO_2025_Ver 1.1</v>
      </c>
      <c r="H168" s="1935"/>
      <c r="I168" s="1935"/>
      <c r="J168" s="1935"/>
      <c r="K168" s="1938" t="s">
        <v>10015</v>
      </c>
      <c r="L168" s="1935"/>
      <c r="M168" s="1736"/>
      <c r="P168" s="1846">
        <f>SUM(P96:P166)</f>
      </c>
      <c r="Q168" s="1846">
        <f>SUM(Q96:Q166)</f>
      </c>
    </row>
    <row r="169" spans="1:55" x14ac:dyDescent="0.2">
      <c r="B169" s="1935"/>
      <c r="C169" s="1935"/>
      <c r="D169" s="1935"/>
      <c r="E169" s="1935"/>
      <c r="F169" s="1935"/>
      <c r="G169" s="1943"/>
      <c r="H169" s="1935"/>
      <c r="I169" s="1935"/>
      <c r="J169" s="1935"/>
      <c r="K169" s="1938"/>
      <c r="L169" s="1935"/>
      <c r="M169" s="1736"/>
      <c r="P169" s="1736"/>
      <c r="Q169" s="1736"/>
    </row>
    <row r="170" spans="1:55" hidden="1" x14ac:dyDescent="0.2">
      <c r="B170" s="1935"/>
      <c r="C170" s="1935"/>
      <c r="D170" s="1935"/>
      <c r="E170" s="1935"/>
      <c r="F170" s="1935"/>
      <c r="G170" s="1943"/>
      <c r="H170" s="1935"/>
      <c r="I170" s="1935"/>
      <c r="J170" s="1935"/>
      <c r="K170" s="1938"/>
      <c r="L170" s="1935"/>
      <c r="M170" s="1736"/>
      <c r="P170" s="1736"/>
      <c r="Q170" s="1736"/>
    </row>
    <row r="171" spans="1:55" s="1736" customFormat="1" hidden="1" x14ac:dyDescent="0.2">
      <c r="B171" s="5120"/>
      <c r="C171" s="5120"/>
      <c r="D171" s="5120"/>
      <c r="E171" s="5120"/>
      <c r="F171" s="5120"/>
      <c r="G171" s="5120"/>
      <c r="H171" s="5120"/>
      <c r="I171" s="5120"/>
      <c r="J171" s="1957"/>
      <c r="K171" s="1760"/>
      <c r="N171" s="1748"/>
      <c r="W171" s="28"/>
      <c r="X171" s="1760" t="s">
        <v>7019</v>
      </c>
      <c r="Y171" s="1742">
        <f>G189</f>
      </c>
      <c r="AD171" s="1736" t="s">
        <v>7020</v>
      </c>
      <c r="AE171" s="1761">
        <v>41821</v>
      </c>
      <c r="AG171" s="1736" t="s">
        <v>7021</v>
      </c>
      <c r="AH171" s="2181">
        <f>ya</f>
      </c>
    </row>
    <row r="172" spans="1:55" s="1736" customFormat="1" hidden="1" x14ac:dyDescent="0.2">
      <c r="A172" s="66"/>
      <c r="B172" s="66"/>
      <c r="C172" s="66"/>
      <c r="D172" s="66"/>
      <c r="E172" s="66"/>
      <c r="F172" s="66"/>
      <c r="G172" s="66"/>
      <c r="H172" s="66"/>
      <c r="I172" s="66"/>
      <c r="J172" s="66"/>
      <c r="K172" s="66"/>
      <c r="L172" s="66"/>
      <c r="N172" s="1763"/>
      <c r="O172" s="66"/>
      <c r="AD172" s="1736" t="s">
        <v>7022</v>
      </c>
      <c r="AE172" s="1761">
        <f>DATE(MIN(AH171:AH172),12,31)</f>
      </c>
      <c r="AG172" s="1736" t="s">
        <v>7023</v>
      </c>
      <c r="AH172" s="1762">
        <v>2020</v>
      </c>
      <c r="AK172" s="1742" t="s">
        <v>7024</v>
      </c>
      <c r="AM172" s="1736" t="s">
        <v>3274</v>
      </c>
      <c r="AS172" s="1736" t="s">
        <v>7025</v>
      </c>
      <c r="BA172" s="1485" t="s">
        <v>7024</v>
      </c>
      <c r="BB172" s="1485" t="s">
        <v>412</v>
      </c>
      <c r="BC172" s="1485">
        <f t="shared" ref="BC172:BC179" si="3">LEN(BB172)</f>
      </c>
    </row>
    <row r="173" spans="1:55" s="1736" customFormat="1" x14ac:dyDescent="0.2">
      <c r="A173" s="66"/>
      <c r="B173" s="66"/>
      <c r="C173" s="66"/>
      <c r="D173" s="66"/>
      <c r="E173" s="66"/>
      <c r="F173" s="66"/>
      <c r="G173" s="66"/>
      <c r="H173" s="66"/>
      <c r="I173" s="66"/>
      <c r="J173" s="66"/>
      <c r="K173" s="66"/>
      <c r="L173" s="66"/>
      <c r="AF173" s="1766"/>
      <c r="AK173" s="1736" t="s">
        <v>7027</v>
      </c>
      <c r="AM173" s="1485" t="s">
        <v>3281</v>
      </c>
      <c r="AN173" s="1760"/>
      <c r="AS173" s="1736" t="s">
        <v>7028</v>
      </c>
      <c r="BA173" s="1856" t="s">
        <v>7304</v>
      </c>
      <c r="BB173" s="1857" t="s">
        <v>7114</v>
      </c>
      <c r="BC173" s="1736">
        <f t="shared" si="3"/>
        <v>4</v>
      </c>
    </row>
    <row r="174" spans="1:55" s="1583" customFormat="1" ht="15" x14ac:dyDescent="0.2">
      <c r="B174" s="3611">
        <v>3</v>
      </c>
      <c r="C174" s="3610" t="s">
        <v>10009</v>
      </c>
      <c r="D174" s="3610"/>
      <c r="E174" s="3610"/>
      <c r="F174" s="1544"/>
      <c r="G174" s="1544"/>
      <c r="H174" s="1544"/>
      <c r="I174" s="1544"/>
      <c r="J174" s="1544"/>
      <c r="K174" s="3609"/>
      <c r="L174" s="3596"/>
      <c r="X174" s="1760" t="s">
        <v>7019</v>
      </c>
      <c r="Y174" s="1742">
        <f>G189</f>
      </c>
      <c r="AF174" s="3597"/>
      <c r="AK174" s="1583" t="s">
        <v>7031</v>
      </c>
      <c r="AM174" s="1583" t="s">
        <v>3282</v>
      </c>
      <c r="BA174" s="3598" t="s">
        <v>7315</v>
      </c>
      <c r="BB174" s="3599" t="s">
        <v>7127</v>
      </c>
      <c r="BC174" s="1583">
        <f t="shared" si="3"/>
        <v>7</v>
      </c>
    </row>
    <row r="175" spans="1:55" s="1736" customFormat="1" ht="5.25" customHeight="1" x14ac:dyDescent="0.2">
      <c r="A175" s="66"/>
      <c r="B175" s="1942"/>
      <c r="C175" s="1942"/>
      <c r="D175" s="1942"/>
      <c r="E175" s="1942"/>
      <c r="F175" s="1942"/>
      <c r="G175" s="1942"/>
      <c r="H175" s="1942"/>
      <c r="I175" s="1942"/>
      <c r="J175" s="1942"/>
      <c r="K175" s="1942"/>
      <c r="L175" s="1942"/>
      <c r="N175" s="66"/>
      <c r="O175" s="66"/>
      <c r="AK175" s="1736" t="s">
        <v>7032</v>
      </c>
      <c r="AM175" s="1485"/>
      <c r="BA175" s="1856" t="s">
        <v>7306</v>
      </c>
      <c r="BB175" s="1857" t="s">
        <v>7116</v>
      </c>
      <c r="BC175" s="1736">
        <f t="shared" si="3"/>
        <v>6</v>
      </c>
    </row>
    <row r="176" spans="1:55" s="1736" customFormat="1" x14ac:dyDescent="0.2">
      <c r="A176" s="66"/>
      <c r="B176" s="2187" t="s">
        <v>7152</v>
      </c>
      <c r="C176" s="2184"/>
      <c r="D176" s="1858"/>
      <c r="E176" s="1858"/>
      <c r="F176" s="1858"/>
      <c r="G176" s="1858"/>
      <c r="H176" s="1858"/>
      <c r="I176" s="1858"/>
      <c r="J176" s="1858"/>
      <c r="K176" s="1859"/>
      <c r="L176" s="1942"/>
      <c r="AK176" s="1736" t="s">
        <v>7034</v>
      </c>
      <c r="AM176" s="1485"/>
      <c r="AS176" s="1736" t="s">
        <v>7035</v>
      </c>
      <c r="AU176" s="1736">
        <f>IF(F199="",0,IF(AS172=F199,1,2))</f>
      </c>
      <c r="BA176" s="1856" t="s">
        <v>7307</v>
      </c>
      <c r="BB176" s="1857" t="s">
        <v>7117</v>
      </c>
      <c r="BC176" s="1736">
        <f t="shared" si="3"/>
        <v>7</v>
      </c>
    </row>
    <row r="177" spans="1:55" s="1736" customFormat="1" x14ac:dyDescent="0.2">
      <c r="A177" s="66"/>
      <c r="B177" s="1860" t="s">
        <v>10011</v>
      </c>
      <c r="C177" s="2185"/>
      <c r="D177" s="1861"/>
      <c r="E177" s="1861"/>
      <c r="F177" s="1861"/>
      <c r="G177" s="1861"/>
      <c r="H177" s="1861"/>
      <c r="I177" s="1861"/>
      <c r="J177" s="1861"/>
      <c r="K177" s="1862"/>
      <c r="L177" s="1942"/>
      <c r="AK177" s="1736" t="s">
        <v>7036</v>
      </c>
      <c r="AM177" s="1485"/>
      <c r="BA177" s="1856" t="s">
        <v>7300</v>
      </c>
      <c r="BB177" s="1857" t="s">
        <v>7110</v>
      </c>
      <c r="BC177" s="1736">
        <f t="shared" si="3"/>
        <v>4</v>
      </c>
    </row>
    <row r="178" spans="1:55" s="1736" customFormat="1" x14ac:dyDescent="0.2">
      <c r="A178" s="66"/>
      <c r="B178" s="1863" t="s">
        <v>10010</v>
      </c>
      <c r="C178" s="2186"/>
      <c r="D178" s="1864"/>
      <c r="E178" s="1864"/>
      <c r="F178" s="1864"/>
      <c r="G178" s="1864"/>
      <c r="H178" s="1864"/>
      <c r="I178" s="1864"/>
      <c r="J178" s="1864"/>
      <c r="K178" s="1865"/>
      <c r="L178" s="1942"/>
      <c r="AK178" s="1736" t="s">
        <v>7037</v>
      </c>
      <c r="AM178" s="1485" t="s">
        <v>7038</v>
      </c>
      <c r="BA178" s="1856" t="s">
        <v>7302</v>
      </c>
      <c r="BB178" s="1857" t="s">
        <v>7112</v>
      </c>
      <c r="BC178" s="1736">
        <f t="shared" si="3"/>
        <v>4</v>
      </c>
    </row>
    <row r="179" spans="1:55" s="1736" customFormat="1" x14ac:dyDescent="0.2">
      <c r="A179" s="66"/>
      <c r="B179" s="1942"/>
      <c r="C179" s="1942"/>
      <c r="D179" s="1942"/>
      <c r="E179" s="1942"/>
      <c r="F179" s="1942"/>
      <c r="G179" s="1942"/>
      <c r="H179" s="1942"/>
      <c r="I179" s="1942"/>
      <c r="J179" s="1942"/>
      <c r="K179" s="1942"/>
      <c r="L179" s="1942"/>
      <c r="P179" s="1736" t="s">
        <v>7030</v>
      </c>
      <c r="Q179" s="1736" t="s">
        <v>6977</v>
      </c>
      <c r="AK179" s="1736" t="s">
        <v>7039</v>
      </c>
      <c r="AM179" s="1485" t="s">
        <v>7040</v>
      </c>
      <c r="BA179" s="1856" t="s">
        <v>7301</v>
      </c>
      <c r="BB179" s="1857" t="s">
        <v>7111</v>
      </c>
      <c r="BC179" s="1736">
        <f t="shared" si="3"/>
        <v>4</v>
      </c>
    </row>
    <row r="180" spans="1:55" s="1736" customFormat="1" x14ac:dyDescent="0.2">
      <c r="A180" s="66"/>
      <c r="B180" s="1942" t="s">
        <v>9984</v>
      </c>
      <c r="C180" s="1942"/>
      <c r="D180" s="1942"/>
      <c r="E180" s="1942"/>
      <c r="F180" s="1942"/>
      <c r="G180" s="1942"/>
      <c r="H180" s="1942"/>
      <c r="I180" s="3587"/>
      <c r="J180" s="3049" t="str">
        <f>IF(AND($W$1="y",I180="",Q252&gt;0),re,IF(AND($W$1="n",I180&lt;&gt;""),"Delete!",""))</f>
        <v/>
      </c>
      <c r="K180" s="1942"/>
      <c r="L180" s="1942"/>
      <c r="P180" s="1485">
        <f>IF(J180="",0,1)</f>
      </c>
      <c r="Q180" s="1736">
        <f>IF(I180&lt;&gt;"",1,0)</f>
      </c>
      <c r="S180" s="3123">
        <f>IF(AND($W$1="n",I180&lt;&gt;""),1,0)</f>
      </c>
      <c r="AK180" s="1736" t="s">
        <v>7042</v>
      </c>
      <c r="AM180" s="1485" t="s">
        <v>7043</v>
      </c>
      <c r="BA180" s="1856" t="s">
        <v>7309</v>
      </c>
      <c r="BB180" s="1857" t="s">
        <v>7121</v>
      </c>
      <c r="BC180" s="1736">
        <f t="shared" ref="BC180:BC195" si="4">LEN(BB180)</f>
      </c>
    </row>
    <row r="181" spans="1:55" s="1736" customFormat="1" x14ac:dyDescent="0.2">
      <c r="A181" s="66"/>
      <c r="B181" s="1942"/>
      <c r="C181" s="1942"/>
      <c r="D181" s="1942"/>
      <c r="E181" s="1942"/>
      <c r="F181" s="1942"/>
      <c r="G181" s="1942"/>
      <c r="H181" s="1942"/>
      <c r="I181" s="1942"/>
      <c r="J181" s="1942"/>
      <c r="K181" s="1942"/>
      <c r="L181" s="1942"/>
      <c r="N181" s="66"/>
      <c r="AK181" s="1736" t="s">
        <v>7044</v>
      </c>
      <c r="AM181" s="1485" t="s">
        <v>7045</v>
      </c>
      <c r="BA181" s="1856" t="s">
        <v>7310</v>
      </c>
      <c r="BB181" s="1857" t="s">
        <v>7122</v>
      </c>
      <c r="BC181" s="1736">
        <f t="shared" si="4"/>
        <v>4</v>
      </c>
    </row>
    <row r="182" spans="1:55" s="1736" customFormat="1" x14ac:dyDescent="0.2">
      <c r="A182" s="66"/>
      <c r="B182" s="1942" t="s">
        <v>7153</v>
      </c>
      <c r="C182" s="1942"/>
      <c r="D182" s="1942"/>
      <c r="E182" s="3050"/>
      <c r="F182" s="3050"/>
      <c r="G182" s="3050"/>
      <c r="H182" s="3050"/>
      <c r="I182" s="3051"/>
      <c r="J182" s="3049" t="str">
        <f>IF(AND(Q252&gt;0,I182=""),re,"")</f>
        <v/>
      </c>
      <c r="K182" s="1942"/>
      <c r="L182" s="1942"/>
      <c r="N182" s="66"/>
      <c r="O182" s="1060"/>
      <c r="P182" s="1485">
        <f>IF(J182="",0,1)</f>
      </c>
      <c r="Q182" s="1736">
        <f>IF(I182&lt;&gt;"",1,0)</f>
      </c>
      <c r="AK182" s="1736" t="s">
        <v>7047</v>
      </c>
      <c r="BA182" s="1856" t="s">
        <v>7119</v>
      </c>
      <c r="BB182" s="1857" t="s">
        <v>7118</v>
      </c>
      <c r="BC182" s="1736">
        <f t="shared" si="4"/>
        <v>4</v>
      </c>
    </row>
    <row r="183" spans="1:55" s="1736" customFormat="1" x14ac:dyDescent="0.2">
      <c r="A183" s="66"/>
      <c r="B183" s="1942"/>
      <c r="C183" s="1942"/>
      <c r="D183" s="1942"/>
      <c r="E183" s="3050"/>
      <c r="F183" s="3050"/>
      <c r="G183" s="3050"/>
      <c r="H183" s="3050"/>
      <c r="I183" s="3050"/>
      <c r="J183" s="3050"/>
      <c r="K183" s="1942"/>
      <c r="L183" s="1942"/>
      <c r="N183" s="66"/>
      <c r="AK183" s="1736" t="s">
        <v>7048</v>
      </c>
      <c r="AM183" s="1485"/>
      <c r="BA183" s="1856" t="s">
        <v>7305</v>
      </c>
      <c r="BB183" s="1857" t="s">
        <v>7115</v>
      </c>
      <c r="BC183" s="1736">
        <f t="shared" si="4"/>
        <v>4</v>
      </c>
    </row>
    <row r="184" spans="1:55" s="1736" customFormat="1" x14ac:dyDescent="0.2">
      <c r="A184" s="66"/>
      <c r="B184" s="1942"/>
      <c r="C184" s="1942"/>
      <c r="D184" s="1942"/>
      <c r="E184" s="3050"/>
      <c r="F184" s="3605"/>
      <c r="G184" s="3050"/>
      <c r="H184" s="3050"/>
      <c r="I184" s="3050"/>
      <c r="J184" s="3050"/>
      <c r="K184" s="1942"/>
      <c r="L184" s="1942"/>
      <c r="P184" s="1485"/>
      <c r="AK184" s="1736" t="s">
        <v>7049</v>
      </c>
      <c r="AM184" s="1485"/>
      <c r="BA184" s="1856" t="s">
        <v>7294</v>
      </c>
      <c r="BB184" s="1857" t="s">
        <v>7104</v>
      </c>
      <c r="BC184" s="1736">
        <f t="shared" si="4"/>
        <v>7</v>
      </c>
    </row>
    <row r="185" spans="1:55" s="1736" customFormat="1" x14ac:dyDescent="0.2">
      <c r="A185" s="66"/>
      <c r="B185" s="1939" t="s">
        <v>7139</v>
      </c>
      <c r="C185" s="1942"/>
      <c r="D185" s="1942"/>
      <c r="E185" s="3050"/>
      <c r="F185" s="3050"/>
      <c r="G185" s="3050"/>
      <c r="H185" s="3050"/>
      <c r="I185" s="3050"/>
      <c r="J185" s="3050"/>
      <c r="K185" s="1942"/>
      <c r="L185" s="1942"/>
      <c r="R185" s="1485"/>
      <c r="S185" s="1485"/>
      <c r="V185" s="1485"/>
      <c r="W185" s="1485"/>
      <c r="X185" s="1485"/>
      <c r="Y185" s="1485"/>
      <c r="Z185" s="1485"/>
      <c r="AA185" s="1485"/>
      <c r="AB185" s="1485"/>
      <c r="AC185" s="1485"/>
      <c r="AD185" s="1485"/>
      <c r="AE185" s="1485"/>
      <c r="AF185" s="1485"/>
      <c r="AG185" s="1485"/>
      <c r="AH185" s="1485"/>
      <c r="AI185" s="1485"/>
      <c r="AK185" s="1736" t="s">
        <v>7050</v>
      </c>
      <c r="AM185" s="1485" t="s">
        <v>7038</v>
      </c>
      <c r="BA185" s="1856" t="s">
        <v>7295</v>
      </c>
      <c r="BB185" s="1857" t="s">
        <v>7105</v>
      </c>
      <c r="BC185" s="1736">
        <f t="shared" si="4"/>
        <v>7</v>
      </c>
    </row>
    <row r="186" spans="1:55" s="1736" customFormat="1" ht="6" customHeight="1" x14ac:dyDescent="0.2">
      <c r="A186" s="66"/>
      <c r="B186" s="1935"/>
      <c r="C186" s="1942"/>
      <c r="D186" s="1942"/>
      <c r="E186" s="3050"/>
      <c r="F186" s="3050"/>
      <c r="G186" s="3050"/>
      <c r="H186" s="3050"/>
      <c r="I186" s="3050"/>
      <c r="J186" s="3050"/>
      <c r="K186" s="1942"/>
      <c r="L186" s="1942"/>
      <c r="R186" s="1485"/>
      <c r="S186" s="1485"/>
      <c r="V186" s="1485"/>
      <c r="W186" s="1485"/>
      <c r="X186" s="1485"/>
      <c r="Y186" s="1485"/>
      <c r="Z186" s="1485"/>
      <c r="AA186" s="1485"/>
      <c r="AB186" s="1485"/>
      <c r="AC186" s="1485"/>
      <c r="AD186" s="1485"/>
      <c r="AE186" s="1485"/>
      <c r="AF186" s="1485"/>
      <c r="AG186" s="1485"/>
      <c r="AH186" s="1485"/>
      <c r="AI186" s="1485"/>
      <c r="AK186" s="1736" t="s">
        <v>7052</v>
      </c>
      <c r="AM186" s="1485" t="s">
        <v>7040</v>
      </c>
      <c r="BA186" s="1856" t="s">
        <v>7297</v>
      </c>
      <c r="BB186" s="1857" t="s">
        <v>7107</v>
      </c>
      <c r="BC186" s="1736">
        <f t="shared" si="4"/>
        <v>4</v>
      </c>
    </row>
    <row r="187" spans="1:55" x14ac:dyDescent="0.2">
      <c r="B187" s="1935"/>
      <c r="C187" s="1935" t="s">
        <v>7033</v>
      </c>
      <c r="D187" s="1935"/>
      <c r="E187" s="3050"/>
      <c r="F187" s="3050"/>
      <c r="G187" s="3052"/>
      <c r="H187" s="3049" t="str">
        <f>IF(AND(Q252&gt;0,G187=""),re,"")</f>
        <v/>
      </c>
      <c r="I187" s="3053" t="s">
        <v>7747</v>
      </c>
      <c r="J187" s="3054"/>
      <c r="K187" s="2188" t="str">
        <f>IF(AND(Q252&gt;0,J187=""),re,"")</f>
        <v/>
      </c>
      <c r="L187" s="1942"/>
      <c r="M187" s="1736"/>
      <c r="N187" s="1742"/>
      <c r="O187" s="1736"/>
      <c r="P187" s="1485">
        <f>IF(H187="",0,1)</f>
      </c>
      <c r="Q187" s="1736">
        <f>IF(G187&lt;&gt;"",1,0)</f>
      </c>
      <c r="AK187" s="1736" t="s">
        <v>7053</v>
      </c>
      <c r="AM187" s="1485" t="s">
        <v>7043</v>
      </c>
      <c r="BA187" s="1856" t="s">
        <v>7298</v>
      </c>
      <c r="BB187" s="1857" t="s">
        <v>7108</v>
      </c>
      <c r="BC187" s="1736">
        <f t="shared" si="4"/>
        <v>4</v>
      </c>
    </row>
    <row r="188" spans="1:55" ht="4.5" customHeight="1" x14ac:dyDescent="0.2">
      <c r="B188" s="1935"/>
      <c r="C188" s="1935"/>
      <c r="D188" s="1935"/>
      <c r="E188" s="3050"/>
      <c r="F188" s="3050"/>
      <c r="G188" s="3050"/>
      <c r="H188" s="3050"/>
      <c r="I188" s="3050"/>
      <c r="J188" s="3050"/>
      <c r="K188" s="1935"/>
      <c r="L188" s="1942"/>
      <c r="M188" s="1736"/>
      <c r="P188" s="1736"/>
      <c r="Q188" s="1736"/>
      <c r="BA188" s="1856" t="s">
        <v>7303</v>
      </c>
      <c r="BB188" s="1857" t="s">
        <v>7113</v>
      </c>
      <c r="BC188" s="1736">
        <f t="shared" si="4"/>
        <v>7</v>
      </c>
    </row>
    <row r="189" spans="1:55" x14ac:dyDescent="0.2">
      <c r="B189" s="1935"/>
      <c r="C189" s="2189" t="s">
        <v>7749</v>
      </c>
      <c r="D189" s="1935"/>
      <c r="E189" s="3050"/>
      <c r="F189" s="3050"/>
      <c r="G189" s="3052"/>
      <c r="H189" s="3049" t="str">
        <f>IF(AND(Q252&gt;0,G189=""),re,"")</f>
        <v/>
      </c>
      <c r="I189" s="3053" t="s">
        <v>7748</v>
      </c>
      <c r="J189" s="3051"/>
      <c r="K189" s="2188" t="str">
        <f>IF(AND(Q252&gt;0,J189=""),re,"")</f>
        <v/>
      </c>
      <c r="L189" s="1942"/>
      <c r="M189" s="1736"/>
      <c r="N189" s="1742"/>
      <c r="O189" s="1736"/>
      <c r="P189" s="1485">
        <f>IF(K187="",0,1)</f>
      </c>
      <c r="Q189" s="1736">
        <f>IF(J187&lt;&gt;"",1,0)</f>
      </c>
      <c r="BA189" s="1856" t="s">
        <v>7311</v>
      </c>
      <c r="BB189" s="1857" t="s">
        <v>7123</v>
      </c>
      <c r="BC189" s="1736">
        <f t="shared" si="4"/>
        <v>6</v>
      </c>
    </row>
    <row r="190" spans="1:55" ht="6" customHeight="1" x14ac:dyDescent="0.2">
      <c r="B190" s="1935"/>
      <c r="C190" s="1935"/>
      <c r="D190" s="1935"/>
      <c r="E190" s="3050"/>
      <c r="F190" s="3050"/>
      <c r="G190" s="3055"/>
      <c r="H190" s="3049"/>
      <c r="I190" s="3050"/>
      <c r="J190" s="3050"/>
      <c r="K190" s="1935"/>
      <c r="L190" s="1942"/>
      <c r="M190" s="1736"/>
      <c r="P190" s="1736"/>
      <c r="Q190" s="1736">
        <f>IF(G189&lt;&gt;"",1,0)</f>
      </c>
      <c r="AJ190" s="1485" t="s">
        <v>7055</v>
      </c>
      <c r="AK190" s="1485">
        <f>IF(E193=AK183,1,0)</f>
      </c>
      <c r="BA190" s="1856" t="s">
        <v>7299</v>
      </c>
      <c r="BB190" s="1857" t="s">
        <v>7109</v>
      </c>
      <c r="BC190" s="1736">
        <f t="shared" si="4"/>
        <v>4</v>
      </c>
    </row>
    <row r="191" spans="1:55" x14ac:dyDescent="0.2">
      <c r="B191" s="1935"/>
      <c r="C191" s="1935" t="s">
        <v>7041</v>
      </c>
      <c r="D191" s="1935"/>
      <c r="E191" s="5130"/>
      <c r="F191" s="5131"/>
      <c r="G191" s="5131"/>
      <c r="H191" s="5131"/>
      <c r="I191" s="5131"/>
      <c r="J191" s="5132"/>
      <c r="K191" s="2188" t="str">
        <f>IF(AND(Q252&gt;0,E191=""),re,"")</f>
        <v/>
      </c>
      <c r="L191" s="1942"/>
      <c r="M191" s="1736"/>
      <c r="O191" s="1736"/>
      <c r="P191" s="1485">
        <f>IF(K191="",0,1)</f>
      </c>
      <c r="Q191" s="1736">
        <f>IF(E191&lt;&gt;"",1,0)</f>
      </c>
      <c r="Z191" s="1866"/>
      <c r="AM191" s="1485">
        <f>IF(OR(J189="small",J189="medium"),1,2)</f>
      </c>
      <c r="BA191" s="1856" t="s">
        <v>7312</v>
      </c>
      <c r="BB191" s="1857" t="s">
        <v>7124</v>
      </c>
      <c r="BC191" s="1736">
        <f t="shared" si="4"/>
        <v>4</v>
      </c>
    </row>
    <row r="192" spans="1:55" ht="8.25" customHeight="1" x14ac:dyDescent="0.2">
      <c r="B192" s="1935"/>
      <c r="C192" s="1935"/>
      <c r="D192" s="1935"/>
      <c r="E192" s="3050"/>
      <c r="F192" s="3050"/>
      <c r="G192" s="3050"/>
      <c r="H192" s="3050"/>
      <c r="I192" s="3050"/>
      <c r="J192" s="3050"/>
      <c r="K192" s="1935"/>
      <c r="L192" s="1935"/>
      <c r="M192" s="1736"/>
      <c r="P192" s="1736"/>
      <c r="Q192" s="1736"/>
      <c r="R192" s="1769"/>
      <c r="S192" s="1769"/>
      <c r="T192" s="1769"/>
      <c r="U192" s="1769"/>
      <c r="V192" s="1769"/>
      <c r="W192" s="1769"/>
      <c r="X192" s="1769"/>
      <c r="Y192" s="1769"/>
      <c r="Z192" s="1769"/>
      <c r="AC192" s="1769"/>
      <c r="AD192" s="1769"/>
      <c r="AE192" s="1769"/>
      <c r="AF192" s="1769"/>
      <c r="AG192" s="1769"/>
      <c r="AH192" s="1769"/>
      <c r="AI192" s="1769"/>
      <c r="BA192" s="1856" t="s">
        <v>7296</v>
      </c>
      <c r="BB192" s="1857" t="s">
        <v>7106</v>
      </c>
      <c r="BC192" s="1736">
        <f t="shared" si="4"/>
        <v>6</v>
      </c>
    </row>
    <row r="193" spans="1:55" x14ac:dyDescent="0.2">
      <c r="B193" s="1935"/>
      <c r="C193" s="1935" t="s">
        <v>7046</v>
      </c>
      <c r="D193" s="1935"/>
      <c r="E193" s="5130"/>
      <c r="F193" s="5131"/>
      <c r="G193" s="5131"/>
      <c r="H193" s="5131"/>
      <c r="I193" s="5131"/>
      <c r="J193" s="5132"/>
      <c r="K193" s="2188" t="str">
        <f>IF(AND(Q252&gt;0,E193=""),re,"")</f>
        <v/>
      </c>
      <c r="L193" s="1941"/>
      <c r="M193" s="1736"/>
      <c r="P193" s="1485">
        <f>IF(K193="",0,1)</f>
      </c>
      <c r="Q193" s="1736">
        <f>IF(E193&lt;&gt;"",1,0)</f>
      </c>
      <c r="R193" s="1736"/>
      <c r="S193" s="1736"/>
      <c r="T193" s="1736"/>
      <c r="U193" s="1736"/>
      <c r="V193" s="1736"/>
      <c r="W193" s="1736"/>
      <c r="X193" s="1736"/>
      <c r="Y193" s="1736"/>
      <c r="Z193" s="1736"/>
      <c r="AC193" s="1736"/>
      <c r="AD193" s="1736"/>
      <c r="AE193" s="1736"/>
      <c r="AF193" s="1736"/>
      <c r="AG193" s="1736"/>
      <c r="AH193" s="1736"/>
      <c r="AI193" s="1736"/>
      <c r="AJ193" s="1769"/>
      <c r="AM193" s="1485" t="str">
        <f>IF($AM$23=1,AM178,AM185)</f>
      </c>
      <c r="BA193" s="1856" t="s">
        <v>7314</v>
      </c>
      <c r="BB193" s="1857" t="s">
        <v>7126</v>
      </c>
      <c r="BC193" s="1736">
        <f t="shared" si="4"/>
        <v>6</v>
      </c>
    </row>
    <row r="194" spans="1:55" s="1736" customFormat="1" ht="5.25" hidden="1" customHeight="1" x14ac:dyDescent="0.2">
      <c r="A194" s="66"/>
      <c r="B194" s="1935"/>
      <c r="C194" s="1935"/>
      <c r="D194" s="1935"/>
      <c r="E194" s="3050"/>
      <c r="F194" s="3050"/>
      <c r="G194" s="3050"/>
      <c r="H194" s="3050"/>
      <c r="I194" s="3050"/>
      <c r="J194" s="3050"/>
      <c r="K194" s="1935"/>
      <c r="L194" s="1935"/>
      <c r="N194" s="66"/>
      <c r="O194" s="66"/>
      <c r="AM194" s="1485" t="str">
        <f>IF($AM$23=1,AM179,"")</f>
        <v/>
      </c>
      <c r="BA194" s="1856" t="s">
        <v>7308</v>
      </c>
      <c r="BB194" s="1857" t="s">
        <v>7120</v>
      </c>
      <c r="BC194" s="1736">
        <f t="shared" si="4"/>
        <v>4</v>
      </c>
    </row>
    <row r="195" spans="1:55" hidden="1" x14ac:dyDescent="0.2">
      <c r="B195" s="1935"/>
      <c r="D195" s="1935"/>
      <c r="E195" s="3050"/>
      <c r="F195" s="3050"/>
      <c r="G195" s="2912"/>
      <c r="H195" s="2912"/>
      <c r="I195" s="3050"/>
      <c r="J195" s="3050"/>
      <c r="K195" s="1935"/>
      <c r="L195" s="1935"/>
      <c r="M195" s="1736"/>
      <c r="N195" s="1742"/>
      <c r="P195" s="1485">
        <f>IF(K189="",0,1)</f>
      </c>
      <c r="Q195" s="1736">
        <f>IF(J189&lt;&gt;"",1,0)</f>
      </c>
      <c r="S195" s="1736"/>
      <c r="T195" s="1736"/>
      <c r="U195" s="1736"/>
      <c r="V195" s="1736"/>
      <c r="W195" s="1736"/>
      <c r="X195" s="1736"/>
      <c r="Y195" s="1736"/>
      <c r="Z195" s="1736"/>
      <c r="AC195" s="1736"/>
      <c r="AD195" s="1736"/>
      <c r="AE195" s="1736"/>
      <c r="AF195" s="1736"/>
      <c r="AG195" s="1736"/>
      <c r="AH195" s="1736"/>
      <c r="AI195" s="1736"/>
      <c r="AM195" s="1485" t="str">
        <f>IF($AM$23=1,AM180,"")</f>
        <v/>
      </c>
      <c r="BA195" s="1856" t="s">
        <v>7313</v>
      </c>
      <c r="BB195" s="1857" t="s">
        <v>7125</v>
      </c>
      <c r="BC195" s="1736">
        <f t="shared" si="4"/>
        <v>7</v>
      </c>
    </row>
    <row r="196" spans="1:55" ht="9" customHeight="1" x14ac:dyDescent="0.2">
      <c r="B196" s="1935"/>
      <c r="C196" s="1935"/>
      <c r="D196" s="1935"/>
      <c r="E196" s="3050"/>
      <c r="F196" s="3050"/>
      <c r="G196" s="3050"/>
      <c r="H196" s="3050"/>
      <c r="I196" s="3050"/>
      <c r="J196" s="3050"/>
      <c r="K196" s="1935"/>
      <c r="L196" s="1935"/>
      <c r="M196" s="1736"/>
      <c r="S196" s="1736"/>
      <c r="T196" s="1736"/>
      <c r="U196" s="1736"/>
      <c r="V196" s="1736"/>
      <c r="W196" s="1736"/>
      <c r="X196" s="1736"/>
      <c r="Y196" s="1736"/>
      <c r="Z196" s="1736"/>
      <c r="AI196" s="1736"/>
      <c r="AM196" s="1485" t="str">
        <f>IF($AM$23=1,AM181,"")</f>
        <v/>
      </c>
    </row>
    <row r="197" spans="1:55" x14ac:dyDescent="0.2">
      <c r="B197" s="1935"/>
      <c r="C197" s="1935" t="s">
        <v>7051</v>
      </c>
      <c r="D197" s="1935"/>
      <c r="E197" s="5130"/>
      <c r="F197" s="5131"/>
      <c r="G197" s="5131"/>
      <c r="H197" s="5131"/>
      <c r="I197" s="5131"/>
      <c r="J197" s="5132"/>
      <c r="K197" s="2188" t="str">
        <f>IF(AND(Q252&gt;0,E197=""),re,"")</f>
        <v/>
      </c>
      <c r="L197" s="1941"/>
      <c r="M197" s="1736"/>
      <c r="P197" s="1485">
        <f>IF(K197="",0,1)</f>
      </c>
      <c r="Q197" s="1736">
        <f>IF(E197&lt;&gt;"",1,0)</f>
      </c>
      <c r="AB197" s="1866" t="s">
        <v>7057</v>
      </c>
    </row>
    <row r="198" spans="1:55" ht="9" customHeight="1" x14ac:dyDescent="0.2">
      <c r="B198" s="1935"/>
      <c r="C198" s="1935"/>
      <c r="D198" s="1935"/>
      <c r="E198" s="3050"/>
      <c r="F198" s="3050"/>
      <c r="G198" s="3050"/>
      <c r="H198" s="3050"/>
      <c r="I198" s="3050"/>
      <c r="J198" s="3050"/>
      <c r="K198" s="1935"/>
      <c r="L198" s="1935"/>
      <c r="M198" s="1736"/>
      <c r="N198" s="1060"/>
      <c r="O198" s="1060"/>
      <c r="S198" s="1736"/>
      <c r="T198" s="1736"/>
      <c r="U198" s="1736"/>
      <c r="V198" s="1736"/>
      <c r="W198" s="1736"/>
      <c r="X198" s="1736"/>
      <c r="Y198" s="1736"/>
      <c r="Z198" s="1736"/>
      <c r="AB198" s="1806" t="s">
        <v>7021</v>
      </c>
      <c r="AF198" s="1736"/>
      <c r="AG198" s="1736"/>
      <c r="AH198" s="1736"/>
      <c r="AI198" s="1736"/>
    </row>
    <row r="199" spans="1:55" x14ac:dyDescent="0.2">
      <c r="B199" s="1935"/>
      <c r="C199" s="1935" t="s">
        <v>7054</v>
      </c>
      <c r="D199" s="1935"/>
      <c r="E199" s="3050"/>
      <c r="F199" s="5130"/>
      <c r="G199" s="5131"/>
      <c r="H199" s="5131"/>
      <c r="I199" s="5131"/>
      <c r="J199" s="5132"/>
      <c r="K199" s="2188" t="str">
        <f>IF(AND(Q252&gt;0,F199=""),re,"")</f>
        <v/>
      </c>
      <c r="L199" s="1941"/>
      <c r="M199" s="1736"/>
      <c r="N199" s="1784"/>
      <c r="O199" s="1784"/>
      <c r="P199" s="1485">
        <f>IF(K199="",0,1)</f>
      </c>
      <c r="Q199" s="1736">
        <f>IF(F199&lt;&gt;"",1,0)</f>
      </c>
      <c r="AA199" s="1736"/>
      <c r="AB199" s="1736"/>
      <c r="AI199" s="1736"/>
    </row>
    <row r="200" spans="1:55" ht="6" customHeight="1" x14ac:dyDescent="0.2">
      <c r="B200" s="1935"/>
      <c r="C200" s="1935"/>
      <c r="D200" s="1935"/>
      <c r="E200" s="3050"/>
      <c r="F200" s="3050"/>
      <c r="G200" s="3050"/>
      <c r="H200" s="3050"/>
      <c r="I200" s="3050"/>
      <c r="J200" s="3050"/>
      <c r="K200" s="1935"/>
      <c r="L200" s="1935"/>
      <c r="M200" s="1736"/>
      <c r="N200" s="1784"/>
      <c r="O200" s="1784"/>
      <c r="AA200" s="1736" t="s">
        <v>7095</v>
      </c>
      <c r="AB200" s="1867">
        <f>IF($AU$176=1,H204*Q204,0)</f>
      </c>
      <c r="AI200" s="1736"/>
    </row>
    <row r="201" spans="1:55" ht="14.25" customHeight="1" x14ac:dyDescent="0.2">
      <c r="B201" s="1935"/>
      <c r="C201" s="1935"/>
      <c r="D201" s="1935"/>
      <c r="E201" s="3050"/>
      <c r="F201" s="3050"/>
      <c r="G201" s="3050"/>
      <c r="H201" s="3050"/>
      <c r="I201" s="3050"/>
      <c r="J201" s="3050"/>
      <c r="K201" s="1935"/>
      <c r="L201" s="1935"/>
      <c r="M201" s="1736"/>
      <c r="N201" s="1784"/>
      <c r="O201" s="1784"/>
      <c r="S201" s="1736"/>
      <c r="T201" s="1736"/>
      <c r="U201" s="1736"/>
      <c r="V201" s="1736"/>
      <c r="W201" s="1736"/>
      <c r="X201" s="1736"/>
      <c r="Y201" s="1736"/>
      <c r="Z201" s="1736"/>
      <c r="AA201" s="1485" t="s">
        <v>7096</v>
      </c>
      <c r="AB201" s="1867">
        <f>IF($AU$176=1,H205*Q205,0)</f>
      </c>
      <c r="AC201" s="1736"/>
      <c r="AD201" s="1736"/>
      <c r="AE201" s="1736"/>
      <c r="AF201" s="1736"/>
      <c r="AG201" s="1736"/>
      <c r="AH201" s="1736"/>
      <c r="AI201" s="1736"/>
      <c r="AM201" s="1485" t="s">
        <v>7038</v>
      </c>
    </row>
    <row r="202" spans="1:55" x14ac:dyDescent="0.2">
      <c r="B202" s="1935"/>
      <c r="C202" s="1946" t="s">
        <v>7056</v>
      </c>
      <c r="D202" s="1935"/>
      <c r="E202" s="3050"/>
      <c r="F202" s="3050"/>
      <c r="G202" s="3053" t="s">
        <v>6947</v>
      </c>
      <c r="H202" s="3056">
        <f>ya-1</f>
      </c>
      <c r="I202" s="3055"/>
      <c r="J202" s="3055"/>
      <c r="K202" s="1943"/>
      <c r="L202" s="1943"/>
      <c r="M202" s="1736"/>
      <c r="N202" s="1784"/>
      <c r="O202" s="1784"/>
      <c r="S202" s="1736"/>
      <c r="T202" s="1736"/>
      <c r="U202" s="1736"/>
      <c r="V202" s="1736"/>
      <c r="W202" s="1736"/>
      <c r="X202" s="1736"/>
      <c r="Y202" s="1736"/>
      <c r="Z202" s="1736"/>
      <c r="AA202" s="1485" t="s">
        <v>6940</v>
      </c>
      <c r="AB202" s="1868">
        <f>IF($AU$176=1,SUM(AB200:AB201),0)</f>
      </c>
      <c r="AC202" s="1736"/>
      <c r="AD202" s="1736"/>
      <c r="AE202" s="1736"/>
      <c r="AF202" s="1736"/>
      <c r="AG202" s="1736"/>
      <c r="AH202" s="1736"/>
      <c r="AI202" s="1736"/>
      <c r="AM202" s="1485" t="s">
        <v>7040</v>
      </c>
    </row>
    <row r="203" spans="1:55" x14ac:dyDescent="0.2">
      <c r="B203" s="1935"/>
      <c r="C203" s="1947" t="s">
        <v>7058</v>
      </c>
      <c r="D203" s="1935"/>
      <c r="E203" s="3050"/>
      <c r="F203" s="3050"/>
      <c r="G203" s="3050"/>
      <c r="H203" s="3057"/>
      <c r="I203" s="3049"/>
      <c r="J203" s="3058"/>
      <c r="K203" s="1944"/>
      <c r="L203" s="1944"/>
      <c r="M203" s="1736"/>
      <c r="N203" s="1784"/>
      <c r="O203" s="1784"/>
      <c r="P203" s="1736"/>
      <c r="Q203" s="1736"/>
      <c r="S203" s="1736"/>
      <c r="T203" s="1736"/>
      <c r="U203" s="1736"/>
      <c r="V203" s="1736"/>
      <c r="W203" s="1736"/>
      <c r="X203" s="1736"/>
      <c r="Y203" s="1736"/>
      <c r="Z203" s="1736"/>
      <c r="AB203" s="1868"/>
      <c r="AD203" s="1485" t="s">
        <v>4130</v>
      </c>
      <c r="AE203" s="1485" t="s">
        <v>4012</v>
      </c>
      <c r="AM203" s="1485" t="s">
        <v>7045</v>
      </c>
    </row>
    <row r="204" spans="1:55" x14ac:dyDescent="0.2">
      <c r="B204" s="1935"/>
      <c r="C204" s="1935"/>
      <c r="D204" s="1935" t="s">
        <v>7059</v>
      </c>
      <c r="E204" s="3050"/>
      <c r="F204" s="3050"/>
      <c r="G204" s="3050"/>
      <c r="H204" s="3059"/>
      <c r="I204" s="3049" t="str">
        <f>IF(AND(AU176=1,Q252&gt;0,H204=""),reo,"")</f>
        <v/>
      </c>
      <c r="J204" s="3058"/>
      <c r="K204" s="1944"/>
      <c r="L204" s="1944"/>
      <c r="M204" s="1736"/>
      <c r="N204" s="1784"/>
      <c r="O204" s="1784"/>
      <c r="P204" s="1485">
        <f>IF(I204="",0,1)</f>
      </c>
      <c r="Q204" s="1736">
        <f>COUNT(H204)</f>
      </c>
      <c r="AA204" s="1485" t="s">
        <v>7097</v>
      </c>
      <c r="AB204" s="1867">
        <f>IF($AU$176=1,H208*Q208,0)</f>
      </c>
      <c r="AD204" s="1869">
        <f>IF(ISERROR(AB204/AB202)=TRUE,0,(AB204/AB202))</f>
      </c>
      <c r="AE204" s="1870">
        <v>0.5</v>
      </c>
      <c r="AM204" s="1485" t="s">
        <v>7043</v>
      </c>
    </row>
    <row r="205" spans="1:55" ht="12.75" customHeight="1" x14ac:dyDescent="0.2">
      <c r="B205" s="1935"/>
      <c r="C205" s="1935"/>
      <c r="D205" s="1935" t="s">
        <v>1140</v>
      </c>
      <c r="E205" s="3050"/>
      <c r="F205" s="3050"/>
      <c r="G205" s="3050"/>
      <c r="H205" s="3060"/>
      <c r="I205" s="3049" t="str">
        <f>IF(AND(AU176=1,Q252&gt;0,H205=""),reo,"")</f>
        <v/>
      </c>
      <c r="J205" s="3058"/>
      <c r="K205" s="1944"/>
      <c r="L205" s="1944"/>
      <c r="M205" s="1736"/>
      <c r="N205" s="1784"/>
      <c r="O205" s="1784"/>
      <c r="P205" s="1485">
        <f>IF(I205="",0,1)</f>
      </c>
      <c r="Q205" s="1736">
        <f>COUNT(H205)</f>
      </c>
      <c r="S205" s="1736"/>
      <c r="T205" s="1736"/>
      <c r="U205" s="1736"/>
      <c r="V205" s="1736"/>
      <c r="W205" s="1736"/>
      <c r="X205" s="1736"/>
      <c r="Y205" s="1736"/>
      <c r="Z205" s="1736"/>
      <c r="AA205" s="1871" t="s">
        <v>7141</v>
      </c>
      <c r="AB205" s="1868">
        <f>IF($AU$176=2,0,IF(AM191=1,AB204,IF(AM191=2,AB204*AE204,AB204)))</f>
      </c>
      <c r="AC205" s="1872"/>
      <c r="AD205" s="1872"/>
      <c r="AE205" s="1872"/>
      <c r="AF205" s="1872"/>
      <c r="AG205" s="1872"/>
      <c r="AH205" s="1872"/>
      <c r="AI205" s="1872"/>
    </row>
    <row r="206" spans="1:55" x14ac:dyDescent="0.2">
      <c r="B206" s="1935"/>
      <c r="C206" s="1935" t="s">
        <v>7058</v>
      </c>
      <c r="D206" s="1935"/>
      <c r="E206" s="3050"/>
      <c r="F206" s="3050"/>
      <c r="G206" s="3050"/>
      <c r="H206" s="3061">
        <f>AB202</f>
      </c>
      <c r="I206" s="3049"/>
      <c r="J206" s="3058"/>
      <c r="K206" s="1944"/>
      <c r="L206" s="1944"/>
      <c r="M206" s="1736"/>
      <c r="N206" s="1784"/>
      <c r="O206" s="1784"/>
      <c r="Q206" s="1736"/>
    </row>
    <row r="207" spans="1:55" ht="4.5" customHeight="1" x14ac:dyDescent="0.2">
      <c r="B207" s="1935"/>
      <c r="C207" s="1935"/>
      <c r="D207" s="1935"/>
      <c r="E207" s="3050"/>
      <c r="F207" s="3050"/>
      <c r="G207" s="3050"/>
      <c r="H207" s="3057"/>
      <c r="I207" s="3049"/>
      <c r="J207" s="3058"/>
      <c r="K207" s="1944"/>
      <c r="L207" s="1944"/>
      <c r="M207" s="1736"/>
      <c r="N207" s="1784"/>
      <c r="O207" s="1784"/>
      <c r="AA207" s="1871" t="s">
        <v>7098</v>
      </c>
      <c r="AB207" s="1867">
        <f>IF($AU$8=1,0,H211)</f>
      </c>
      <c r="AM207" s="1485" t="s">
        <v>7038</v>
      </c>
    </row>
    <row r="208" spans="1:55" x14ac:dyDescent="0.2">
      <c r="B208" s="1935"/>
      <c r="C208" s="1935" t="s">
        <v>7140</v>
      </c>
      <c r="D208" s="1935"/>
      <c r="E208" s="3050"/>
      <c r="F208" s="3050"/>
      <c r="G208" s="3050"/>
      <c r="H208" s="3062"/>
      <c r="I208" s="3049" t="str">
        <f>IF(AND(AM191=2,AU176=1,Q252&gt;0,H208=""),reo,"")</f>
        <v/>
      </c>
      <c r="J208" s="3058"/>
      <c r="K208" s="1944"/>
      <c r="L208" s="1944"/>
      <c r="M208" s="1736"/>
      <c r="N208" s="1784"/>
      <c r="O208" s="1784"/>
      <c r="P208" s="1485">
        <f>IF(I208="",0,1)</f>
      </c>
      <c r="Q208" s="1736">
        <f>COUNT(H208)</f>
      </c>
      <c r="AA208" s="1871"/>
      <c r="AB208" s="1867"/>
      <c r="AM208" s="1485" t="s">
        <v>7040</v>
      </c>
    </row>
    <row r="209" spans="2:39" x14ac:dyDescent="0.2">
      <c r="B209" s="1935"/>
      <c r="C209" s="1935" t="s">
        <v>7060</v>
      </c>
      <c r="D209" s="1935"/>
      <c r="E209" s="3050"/>
      <c r="F209" s="3050"/>
      <c r="G209" s="3050"/>
      <c r="H209" s="3063">
        <f>AB205</f>
      </c>
      <c r="I209" s="3049"/>
      <c r="J209" s="3058"/>
      <c r="K209" s="1944"/>
      <c r="L209" s="1944"/>
      <c r="M209" s="1736"/>
      <c r="N209" s="1784"/>
      <c r="O209" s="1784"/>
      <c r="AB209" s="1868"/>
      <c r="AM209" s="1485" t="s">
        <v>7043</v>
      </c>
    </row>
    <row r="210" spans="2:39" ht="21.75" customHeight="1" x14ac:dyDescent="0.2">
      <c r="B210" s="1935"/>
      <c r="C210" s="1940" t="s">
        <v>7061</v>
      </c>
      <c r="D210" s="1935"/>
      <c r="E210" s="3050"/>
      <c r="F210" s="3050"/>
      <c r="G210" s="3064"/>
      <c r="H210" s="3057"/>
      <c r="I210" s="3049"/>
      <c r="J210" s="3058"/>
      <c r="K210" s="1944"/>
      <c r="L210" s="1935"/>
      <c r="M210" s="1736"/>
      <c r="N210" s="1784"/>
      <c r="O210" s="1784"/>
      <c r="AA210" s="1485" t="s">
        <v>6940</v>
      </c>
      <c r="AB210" s="1868">
        <f>AB202+AB205+AB207</f>
      </c>
    </row>
    <row r="211" spans="2:39" x14ac:dyDescent="0.2">
      <c r="B211" s="1935"/>
      <c r="C211" s="1935"/>
      <c r="D211" s="1935"/>
      <c r="E211" s="3053" t="s">
        <v>7102</v>
      </c>
      <c r="F211" s="3052"/>
      <c r="G211" s="3049" t="str">
        <f>IF(AU176&lt;&gt;2,"",IF(AND(F211="",Q252&gt;0),re,""))</f>
        <v/>
      </c>
      <c r="H211" s="3062"/>
      <c r="I211" s="3049" t="str">
        <f>IF(AU176&lt;&gt;2,"",IF(H211="",reo,""))</f>
        <v/>
      </c>
      <c r="J211" s="3058"/>
      <c r="K211" s="1944"/>
      <c r="L211" s="1944"/>
      <c r="M211" s="1736"/>
      <c r="N211" s="1784"/>
      <c r="O211" s="1784"/>
      <c r="P211" s="1485">
        <f>IF(I211="",0,1)</f>
      </c>
      <c r="Q211" s="1736">
        <f>COUNT(H211)</f>
      </c>
      <c r="AA211" s="1871" t="s">
        <v>7099</v>
      </c>
      <c r="AB211" s="1868">
        <f>H215</f>
      </c>
      <c r="AG211" s="1736"/>
    </row>
    <row r="212" spans="2:39" x14ac:dyDescent="0.2">
      <c r="B212" s="1935"/>
      <c r="C212" s="1935"/>
      <c r="D212" s="1935"/>
      <c r="E212" s="3053" t="s">
        <v>7101</v>
      </c>
      <c r="F212" s="3054"/>
      <c r="G212" s="3049" t="str">
        <f>IF(AU176&lt;&gt;2,"",IF(AND(F212="",Q252&gt;0),re,""))</f>
        <v/>
      </c>
      <c r="H212" s="3058"/>
      <c r="I212" s="3049"/>
      <c r="J212" s="3058"/>
      <c r="K212" s="1944"/>
      <c r="L212" s="1944"/>
      <c r="M212" s="1736"/>
      <c r="N212" s="1784"/>
      <c r="O212" s="1784"/>
      <c r="Q212" s="1736"/>
      <c r="AA212" s="1485" t="s">
        <v>7100</v>
      </c>
      <c r="AB212" s="1868">
        <f>IF(AB210+AB211&lt;=0,0,AB210+AB211)</f>
      </c>
      <c r="AD212" s="1485" t="s">
        <v>7148</v>
      </c>
      <c r="AG212" s="1736"/>
    </row>
    <row r="213" spans="2:39" ht="4.5" customHeight="1" x14ac:dyDescent="0.2">
      <c r="B213" s="1935"/>
      <c r="C213" s="1935"/>
      <c r="D213" s="1935"/>
      <c r="E213" s="3050"/>
      <c r="F213" s="3050"/>
      <c r="G213" s="3050"/>
      <c r="H213" s="3065"/>
      <c r="I213" s="3049"/>
      <c r="J213" s="3058"/>
      <c r="K213" s="1944"/>
      <c r="L213" s="1944"/>
      <c r="M213" s="1736"/>
      <c r="Q213" s="1736"/>
      <c r="AD213" s="1873" t="s">
        <v>7146</v>
      </c>
      <c r="AE213" s="1873" t="s">
        <v>7147</v>
      </c>
      <c r="AG213" s="1736"/>
    </row>
    <row r="214" spans="2:39" x14ac:dyDescent="0.2">
      <c r="B214" s="1935"/>
      <c r="C214" s="1935" t="s">
        <v>1592</v>
      </c>
      <c r="D214" s="1935"/>
      <c r="E214" s="3050"/>
      <c r="F214" s="3050"/>
      <c r="G214" s="3050"/>
      <c r="H214" s="3063">
        <f>AB210</f>
      </c>
      <c r="I214" s="3049"/>
      <c r="J214" s="3058"/>
      <c r="K214" s="1944"/>
      <c r="L214" s="1944"/>
      <c r="M214" s="1736"/>
      <c r="AA214" s="1485" t="s">
        <v>7064</v>
      </c>
      <c r="AB214" s="1485" t="b">
        <f>IF(H202&lt;=2017,AD214,AE214)</f>
      </c>
      <c r="AD214" s="1873" t="b">
        <f>IF($J$189=$AD$65,$AE$65,IF($J$189=$AD$64,$AE$64,IF($J$189=$AD$63,$AE$63)))</f>
      </c>
      <c r="AE214" s="1873" t="b">
        <f>IF($J$189=$AD$65,$AF$65,IF($J$189=$AD$64,$AF$64,IF($J$189=$AD$63,$AF$63)))</f>
      </c>
      <c r="AG214" s="1736"/>
    </row>
    <row r="215" spans="2:39" x14ac:dyDescent="0.2">
      <c r="B215" s="1945" t="s">
        <v>5445</v>
      </c>
      <c r="C215" s="1936" t="s">
        <v>7178</v>
      </c>
      <c r="D215" s="1936"/>
      <c r="E215" s="3066"/>
      <c r="F215" s="3066"/>
      <c r="G215" s="3067"/>
      <c r="H215" s="3062"/>
      <c r="I215" s="3049" t="str">
        <f>IF(AND(Q252&gt;0,H215=""),reo,"")</f>
        <v/>
      </c>
      <c r="J215" s="3058"/>
      <c r="K215" s="1944"/>
      <c r="L215" s="1944"/>
      <c r="M215" s="1736"/>
      <c r="P215" s="1485">
        <f>IF(I215="",0,1)</f>
      </c>
      <c r="Q215" s="1736">
        <f>COUNT(H215)</f>
      </c>
      <c r="AA215" s="1871" t="s">
        <v>7149</v>
      </c>
      <c r="AB215" s="1485" t="b">
        <f>IF(H202&lt;=2017,AD215,AE215)</f>
      </c>
      <c r="AD215" s="1873" t="b">
        <f>IF($J$189=$AD$58,$AE$58,IF($J$189=$AD$57,$AE$57,IF($J$189=$AD$56,$AE$56)))</f>
      </c>
      <c r="AE215" s="1873" t="b">
        <f>IF($J$189=$AD$58,$AF$58,IF($J$189=$AD$57,$AF$57,IF($J$189=$AD$56,$AF$56)))</f>
      </c>
      <c r="AG215" s="1736"/>
    </row>
    <row r="216" spans="2:39" x14ac:dyDescent="0.2">
      <c r="B216" s="1935"/>
      <c r="C216" s="1935" t="s">
        <v>7062</v>
      </c>
      <c r="D216" s="1935"/>
      <c r="E216" s="3050"/>
      <c r="F216" s="3050"/>
      <c r="G216" s="3050"/>
      <c r="H216" s="3063">
        <f>IF(P215=1,0,AB212)</f>
      </c>
      <c r="I216" s="3058"/>
      <c r="J216" s="3058"/>
      <c r="K216" s="1944"/>
      <c r="L216" s="1944"/>
      <c r="M216" s="1736"/>
      <c r="AA216" s="1871" t="s">
        <v>7066</v>
      </c>
      <c r="AB216" s="1485" t="b">
        <f>IF(AK190=0,AB215,AB214)</f>
      </c>
      <c r="AG216" s="1736"/>
    </row>
    <row r="217" spans="2:39" ht="7.5" customHeight="1" x14ac:dyDescent="0.2">
      <c r="B217" s="1935"/>
      <c r="C217" s="1935"/>
      <c r="D217" s="1935"/>
      <c r="E217" s="3050"/>
      <c r="F217" s="3050"/>
      <c r="G217" s="3050"/>
      <c r="H217" s="3050"/>
      <c r="I217" s="3050"/>
      <c r="J217" s="3050"/>
      <c r="K217" s="1935"/>
      <c r="L217" s="1935"/>
      <c r="M217" s="1736"/>
      <c r="AA217" s="1871" t="s">
        <v>7068</v>
      </c>
      <c r="AB217" s="1870">
        <f>H218</f>
      </c>
      <c r="AG217" s="1736"/>
      <c r="AJ217" s="1871"/>
    </row>
    <row r="218" spans="2:39" x14ac:dyDescent="0.2">
      <c r="B218" s="1935"/>
      <c r="C218" s="1936" t="s">
        <v>7063</v>
      </c>
      <c r="D218" s="1935"/>
      <c r="E218" s="3050"/>
      <c r="F218" s="3050"/>
      <c r="G218" s="3050"/>
      <c r="H218" s="3068"/>
      <c r="I218" s="3049" t="str">
        <f>IF(AND(Q252&gt;0,H218=""),reo,IF(H218&lt;=AB216,"","Relevant Intensity Level excessive!"))</f>
        <v/>
      </c>
      <c r="J218" s="3050"/>
      <c r="K218" s="1935"/>
      <c r="L218" s="1935"/>
      <c r="M218" s="1736"/>
      <c r="P218" s="1485">
        <f>IF(I218="",0,1)</f>
      </c>
      <c r="Q218" s="1736">
        <f>IF(H218&lt;&gt;"",1,0)</f>
      </c>
      <c r="AA218" s="1871" t="s">
        <v>7070</v>
      </c>
      <c r="AB218" s="1868">
        <f>AB212</f>
      </c>
      <c r="AG218" s="1736"/>
    </row>
    <row r="219" spans="2:39" x14ac:dyDescent="0.2">
      <c r="B219" s="1935"/>
      <c r="C219" s="1936" t="s">
        <v>7181</v>
      </c>
      <c r="D219" s="1935"/>
      <c r="E219" s="3050"/>
      <c r="F219" s="3050"/>
      <c r="G219" s="3050"/>
      <c r="H219" s="3063">
        <f>IF(P218=1,0,AB219)</f>
      </c>
      <c r="I219" s="3049"/>
      <c r="J219" s="3050"/>
      <c r="K219" s="1935"/>
      <c r="L219" s="1935"/>
      <c r="M219" s="1736"/>
      <c r="AA219" s="1871" t="s">
        <v>7071</v>
      </c>
      <c r="AB219" s="1868">
        <f>ROUND(MIN(AB216,AB217)*AB218,0)</f>
      </c>
      <c r="AD219" s="1736"/>
      <c r="AE219" s="1736"/>
      <c r="AF219" s="1736"/>
    </row>
    <row r="220" spans="2:39" x14ac:dyDescent="0.2">
      <c r="B220" s="1945" t="s">
        <v>5445</v>
      </c>
      <c r="C220" s="1935" t="s">
        <v>7179</v>
      </c>
      <c r="D220" s="1935"/>
      <c r="E220" s="3050"/>
      <c r="F220" s="3050"/>
      <c r="G220" s="3050"/>
      <c r="H220" s="3062"/>
      <c r="I220" s="3049" t="str">
        <f>IF(AND(Q252&gt;0,H220=""),reo,"")</f>
        <v/>
      </c>
      <c r="J220" s="3050"/>
      <c r="K220" s="1935"/>
      <c r="L220" s="1935"/>
      <c r="M220" s="1736"/>
      <c r="P220" s="1485">
        <f>IF(I220="",0,1)</f>
      </c>
      <c r="Q220" s="1736">
        <f>IF(H220&lt;&gt;"",1,0)</f>
      </c>
      <c r="Z220" s="1874"/>
      <c r="AA220" s="1517" t="s">
        <v>7137</v>
      </c>
      <c r="AB220" s="1868">
        <f>H220</f>
      </c>
      <c r="AD220" s="1736" t="s">
        <v>7075</v>
      </c>
    </row>
    <row r="221" spans="2:39" x14ac:dyDescent="0.2">
      <c r="B221" s="1945"/>
      <c r="C221" s="1936" t="s">
        <v>7180</v>
      </c>
      <c r="D221" s="1935"/>
      <c r="E221" s="3050"/>
      <c r="F221" s="3050"/>
      <c r="G221" s="3050"/>
      <c r="H221" s="3063">
        <f>IF(P220=1,0,AB221)</f>
      </c>
      <c r="I221" s="3050"/>
      <c r="J221" s="3050"/>
      <c r="K221" s="1935"/>
      <c r="L221" s="1935"/>
      <c r="M221" s="1736"/>
      <c r="AA221" s="1517" t="s">
        <v>7136</v>
      </c>
      <c r="AB221" s="1868">
        <f>IF(AB219+AB220&lt;0,0,AB219+AB220)</f>
      </c>
      <c r="AD221" s="5124" t="s">
        <v>7077</v>
      </c>
      <c r="AE221" s="5125"/>
      <c r="AF221" s="5126"/>
    </row>
    <row r="222" spans="2:39" ht="6" customHeight="1" x14ac:dyDescent="0.2">
      <c r="B222" s="1935"/>
      <c r="C222" s="1935"/>
      <c r="D222" s="1935"/>
      <c r="E222" s="3050"/>
      <c r="F222" s="3050"/>
      <c r="G222" s="3050"/>
      <c r="H222" s="3050"/>
      <c r="I222" s="3050"/>
      <c r="J222" s="3050"/>
      <c r="K222" s="1935"/>
      <c r="L222" s="1935"/>
      <c r="M222" s="1736"/>
      <c r="AD222" s="1875"/>
      <c r="AE222" s="1875" t="s">
        <v>7078</v>
      </c>
      <c r="AF222" s="1875" t="s">
        <v>7079</v>
      </c>
    </row>
    <row r="223" spans="2:39" x14ac:dyDescent="0.2">
      <c r="B223" s="1939" t="s">
        <v>7142</v>
      </c>
      <c r="C223" s="1935"/>
      <c r="D223" s="1935"/>
      <c r="E223" s="3050"/>
      <c r="F223" s="3050"/>
      <c r="G223" s="3050"/>
      <c r="H223" s="3050"/>
      <c r="I223" s="3050"/>
      <c r="J223" s="3050"/>
      <c r="K223" s="1935"/>
      <c r="L223" s="1935"/>
      <c r="M223" s="1736"/>
      <c r="AA223" s="1871" t="s">
        <v>7150</v>
      </c>
      <c r="AB223" s="1872">
        <f>H229</f>
      </c>
      <c r="AD223" s="1876"/>
      <c r="AE223" s="1877">
        <v>43100</v>
      </c>
      <c r="AF223" s="1877">
        <v>43100</v>
      </c>
    </row>
    <row r="224" spans="2:39" ht="5.25" customHeight="1" x14ac:dyDescent="0.2">
      <c r="B224" s="1935"/>
      <c r="C224" s="1935"/>
      <c r="D224" s="1935"/>
      <c r="E224" s="3050"/>
      <c r="F224" s="3050"/>
      <c r="G224" s="3050"/>
      <c r="H224" s="3050"/>
      <c r="I224" s="3050"/>
      <c r="J224" s="3050"/>
      <c r="K224" s="1935"/>
      <c r="L224" s="1935"/>
      <c r="M224" s="1736"/>
      <c r="AD224" s="1875" t="s">
        <v>3274</v>
      </c>
      <c r="AE224" s="1878">
        <v>0.35</v>
      </c>
      <c r="AF224" s="1878">
        <v>0.3</v>
      </c>
    </row>
    <row r="225" spans="2:35" x14ac:dyDescent="0.2">
      <c r="B225" s="1935"/>
      <c r="C225" s="1935" t="s">
        <v>7033</v>
      </c>
      <c r="D225" s="1935"/>
      <c r="E225" s="3050"/>
      <c r="F225" s="3050"/>
      <c r="G225" s="3052"/>
      <c r="H225" s="3049" t="str">
        <f>IF(AND(OR(P182=1,I182="yes"),Q252&gt;0,G225=""),re,IF(AND(I182="no",G225&lt;&gt;""),"No Incentive Entitlement Certificates - project based!",""))</f>
        <v/>
      </c>
      <c r="I225" s="3050"/>
      <c r="J225" s="3050"/>
      <c r="K225" s="1935"/>
      <c r="L225" s="1935"/>
      <c r="M225" s="1736"/>
      <c r="P225" s="1485">
        <f>IF(H225="",0,1)</f>
      </c>
      <c r="Q225" s="1736">
        <f>IF(G225&lt;&gt;"",1,0)</f>
      </c>
      <c r="AA225" s="1517" t="s">
        <v>7138</v>
      </c>
      <c r="AB225" s="1872">
        <f>AB221+AB223</f>
      </c>
      <c r="AD225" s="1880" t="s">
        <v>3281</v>
      </c>
      <c r="AE225" s="1881">
        <v>0.25</v>
      </c>
      <c r="AF225" s="1881">
        <v>0.2</v>
      </c>
    </row>
    <row r="226" spans="2:35" ht="4.5" customHeight="1" x14ac:dyDescent="0.2">
      <c r="B226" s="1935"/>
      <c r="C226" s="1935"/>
      <c r="D226" s="1935"/>
      <c r="E226" s="3050"/>
      <c r="F226" s="3050"/>
      <c r="G226" s="3050"/>
      <c r="H226" s="3050"/>
      <c r="I226" s="3050"/>
      <c r="J226" s="3050"/>
      <c r="K226" s="1935"/>
      <c r="L226" s="1935"/>
      <c r="M226" s="1736"/>
      <c r="AD226" s="1876" t="s">
        <v>3282</v>
      </c>
      <c r="AE226" s="1882">
        <v>0.15</v>
      </c>
      <c r="AF226" s="1882">
        <v>0.1</v>
      </c>
    </row>
    <row r="227" spans="2:35" x14ac:dyDescent="0.2">
      <c r="B227" s="1935"/>
      <c r="C227" s="1935" t="s">
        <v>7145</v>
      </c>
      <c r="D227" s="1935"/>
      <c r="E227" s="3050"/>
      <c r="F227" s="3050"/>
      <c r="G227" s="3054"/>
      <c r="H227" s="3049" t="str">
        <f>IF(AND(OR(P182=1,I182="yes"),Q252&gt;0,G227=""),re,IF(AND(I182="no",G227&lt;&gt;""),"No Incentive Entitlement Certificate - Project based!",""))</f>
        <v/>
      </c>
      <c r="I227" s="3050"/>
      <c r="J227" s="3050"/>
      <c r="K227" s="1935"/>
      <c r="L227" s="1935"/>
      <c r="M227" s="1736"/>
      <c r="P227" s="1485">
        <f>IF(H227="",0,1)</f>
      </c>
      <c r="Q227" s="1736">
        <f>IF(G227&lt;&gt;"",1,0)</f>
      </c>
      <c r="AA227" s="1871" t="s">
        <v>7065</v>
      </c>
      <c r="AB227" s="1868">
        <f>IF(OR(H202=2014,Y171&gt;=AH171),0,H234)</f>
      </c>
      <c r="AD227" s="1736"/>
      <c r="AE227" s="1736"/>
      <c r="AF227" s="1736"/>
    </row>
    <row r="228" spans="2:35" ht="4.5" customHeight="1" x14ac:dyDescent="0.2">
      <c r="B228" s="1935"/>
      <c r="C228" s="1935"/>
      <c r="D228" s="1935"/>
      <c r="E228" s="3050"/>
      <c r="F228" s="3050"/>
      <c r="G228" s="3050"/>
      <c r="H228" s="3050"/>
      <c r="I228" s="3050"/>
      <c r="J228" s="3050"/>
      <c r="K228" s="1935"/>
      <c r="L228" s="1935"/>
      <c r="M228" s="1736"/>
      <c r="AA228" s="1871" t="s">
        <v>7091</v>
      </c>
      <c r="AB228" s="1868">
        <f>IF(OR(H202=2014,Y171&gt;=AH171),0,H235)</f>
      </c>
      <c r="AD228" s="5124" t="s">
        <v>7080</v>
      </c>
      <c r="AE228" s="5125"/>
      <c r="AF228" s="5126"/>
      <c r="AI228" s="1871"/>
    </row>
    <row r="229" spans="2:35" x14ac:dyDescent="0.2">
      <c r="B229" s="1935"/>
      <c r="C229" s="1935" t="s">
        <v>7144</v>
      </c>
      <c r="D229" s="1935"/>
      <c r="E229" s="3050"/>
      <c r="F229" s="3050"/>
      <c r="G229" s="3050"/>
      <c r="H229" s="3069"/>
      <c r="I229" s="3049" t="str">
        <f>IF(AND(OR(I182="yes",P182=1),Q252&gt;0,H229=""),reo,IF(AND(H229&lt;&gt;0,I182="no"),"DELETE! No Incentive Entitlement Certificate - Project based!",""))</f>
        <v/>
      </c>
      <c r="J229" s="3050"/>
      <c r="K229" s="1935"/>
      <c r="L229" s="1935"/>
      <c r="M229" s="1736"/>
      <c r="P229" s="1485">
        <f>IF(I229="",0,1)</f>
      </c>
      <c r="Q229" s="1736">
        <f>IF(H229&lt;&gt;"",1,0)</f>
      </c>
      <c r="AA229" s="1871" t="s">
        <v>7094</v>
      </c>
      <c r="AB229" s="1868">
        <f>SUM(AB227:AB228)</f>
      </c>
      <c r="AD229" s="1875"/>
      <c r="AE229" s="1875" t="s">
        <v>7078</v>
      </c>
      <c r="AF229" s="1875" t="s">
        <v>7079</v>
      </c>
    </row>
    <row r="230" spans="2:35" ht="3.75" customHeight="1" x14ac:dyDescent="0.2">
      <c r="B230" s="1935"/>
      <c r="C230" s="1935"/>
      <c r="D230" s="1935"/>
      <c r="E230" s="3050"/>
      <c r="F230" s="3050"/>
      <c r="G230" s="3050"/>
      <c r="H230" s="3050"/>
      <c r="I230" s="3050"/>
      <c r="J230" s="3050"/>
      <c r="K230" s="1935"/>
      <c r="L230" s="1935"/>
      <c r="M230" s="1736"/>
      <c r="AA230" s="1871" t="s">
        <v>7067</v>
      </c>
      <c r="AB230" s="1868">
        <f>AB225+AB229</f>
      </c>
      <c r="AD230" s="1876"/>
      <c r="AE230" s="1877">
        <v>43100</v>
      </c>
      <c r="AF230" s="1877">
        <v>43100</v>
      </c>
    </row>
    <row r="231" spans="2:35" x14ac:dyDescent="0.2">
      <c r="B231" s="1940" t="s">
        <v>7143</v>
      </c>
      <c r="C231" s="1935"/>
      <c r="D231" s="1935"/>
      <c r="E231" s="3050"/>
      <c r="F231" s="3050"/>
      <c r="G231" s="3050"/>
      <c r="H231" s="3050"/>
      <c r="I231" s="3050"/>
      <c r="J231" s="3050"/>
      <c r="K231" s="1935"/>
      <c r="L231" s="1935"/>
      <c r="M231" s="1736"/>
      <c r="AA231" s="1871" t="s">
        <v>7069</v>
      </c>
      <c r="AB231" s="1868">
        <f>-H239</f>
      </c>
      <c r="AD231" s="1875" t="s">
        <v>3274</v>
      </c>
      <c r="AE231" s="1878">
        <v>0.15</v>
      </c>
      <c r="AF231" s="1881">
        <v>0.15</v>
      </c>
    </row>
    <row r="232" spans="2:35" x14ac:dyDescent="0.2">
      <c r="B232" s="1935"/>
      <c r="C232" s="1935" t="s">
        <v>7138</v>
      </c>
      <c r="D232" s="1935"/>
      <c r="E232" s="3050"/>
      <c r="F232" s="3050"/>
      <c r="G232" s="3050"/>
      <c r="H232" s="3063">
        <f>IF(P229=1,0,AB225)</f>
      </c>
      <c r="I232" s="3049"/>
      <c r="J232" s="3050"/>
      <c r="K232" s="1935"/>
      <c r="L232" s="1935"/>
      <c r="M232" s="1736"/>
      <c r="AA232" s="1871" t="s">
        <v>7074</v>
      </c>
      <c r="AB232" s="1868">
        <f>AB230+AB231</f>
      </c>
      <c r="AD232" s="1880" t="s">
        <v>3281</v>
      </c>
      <c r="AE232" s="1881">
        <v>0.15</v>
      </c>
      <c r="AF232" s="1881">
        <v>0.15</v>
      </c>
    </row>
    <row r="233" spans="2:35" ht="3" customHeight="1" x14ac:dyDescent="0.2">
      <c r="B233" s="1935"/>
      <c r="C233" s="1935"/>
      <c r="D233" s="1935"/>
      <c r="E233" s="3050"/>
      <c r="F233" s="3050"/>
      <c r="G233" s="3050"/>
      <c r="H233" s="3050"/>
      <c r="I233" s="3050"/>
      <c r="J233" s="3050"/>
      <c r="K233" s="1935"/>
      <c r="L233" s="1935"/>
      <c r="M233" s="1736"/>
      <c r="AA233" s="1871" t="s">
        <v>7076</v>
      </c>
      <c r="AB233" s="1883">
        <f>H241</f>
      </c>
      <c r="AD233" s="1876" t="s">
        <v>3282</v>
      </c>
      <c r="AE233" s="1882">
        <v>0.15</v>
      </c>
      <c r="AF233" s="1882">
        <v>0.1</v>
      </c>
    </row>
    <row r="234" spans="2:35" x14ac:dyDescent="0.2">
      <c r="B234" s="1935"/>
      <c r="C234" s="1936" t="s">
        <v>7151</v>
      </c>
      <c r="D234" s="1935"/>
      <c r="E234" s="3050"/>
      <c r="F234" s="3050"/>
      <c r="G234" s="3050"/>
      <c r="H234" s="3070"/>
      <c r="I234" s="3049" t="str">
        <f>IF(AND(AH171&gt;2014,Y171&lt;$AH$1,Q252&gt;0,H234=""),reo,"")</f>
        <v/>
      </c>
      <c r="J234" s="3050"/>
      <c r="K234" s="1935"/>
      <c r="L234" s="1935"/>
      <c r="M234" s="1736"/>
      <c r="P234" s="1485">
        <f>IF(I234="",0,1)</f>
      </c>
      <c r="Q234" s="1736">
        <f>IF($Y$174&gt;=ya-1,1,IF(H234&lt;&gt;"",1,0))</f>
      </c>
      <c r="AA234" s="1760" t="s">
        <v>3960</v>
      </c>
      <c r="AB234" s="1868">
        <f>AB232*(1+AB233)</f>
      </c>
      <c r="AE234" s="1870"/>
    </row>
    <row r="235" spans="2:35" x14ac:dyDescent="0.2">
      <c r="B235" s="1935"/>
      <c r="C235" s="1936" t="s">
        <v>7092</v>
      </c>
      <c r="D235" s="1935"/>
      <c r="E235" s="3050"/>
      <c r="F235" s="3050"/>
      <c r="G235" s="3050"/>
      <c r="H235" s="3070"/>
      <c r="I235" s="3049" t="str">
        <f>IF(AND(AH171&gt;2014,$Y$171&lt;$AH$1,Q252&gt;0,H235=""),reo,"")</f>
        <v/>
      </c>
      <c r="J235" s="3050"/>
      <c r="K235" s="1935"/>
      <c r="L235" s="1935"/>
      <c r="M235" s="1736"/>
      <c r="P235" s="1485">
        <f>IF(I235="",0,1)</f>
      </c>
      <c r="Q235" s="1736">
        <f>IF($Y$174&gt;=ya-1,1,IF(H235&lt;&gt;"",1,0))</f>
      </c>
    </row>
    <row r="236" spans="2:35" x14ac:dyDescent="0.2">
      <c r="B236" s="1935"/>
      <c r="C236" s="1936" t="s">
        <v>7093</v>
      </c>
      <c r="D236" s="1935"/>
      <c r="E236" s="3050"/>
      <c r="F236" s="3050"/>
      <c r="G236" s="3050"/>
      <c r="H236" s="3061">
        <f>AB229</f>
      </c>
      <c r="I236" s="3049"/>
      <c r="J236" s="3050"/>
      <c r="K236" s="1935"/>
      <c r="L236" s="1935"/>
      <c r="M236" s="1736"/>
      <c r="Q236" s="1736"/>
    </row>
    <row r="237" spans="2:35" ht="3" customHeight="1" x14ac:dyDescent="0.2">
      <c r="B237" s="1935"/>
      <c r="C237" s="1935"/>
      <c r="D237" s="1935"/>
      <c r="E237" s="3050"/>
      <c r="F237" s="3050"/>
      <c r="G237" s="3050"/>
      <c r="H237" s="3050"/>
      <c r="I237" s="3050"/>
      <c r="J237" s="3050"/>
      <c r="K237" s="1935"/>
      <c r="L237" s="1935"/>
      <c r="M237" s="1736"/>
    </row>
    <row r="238" spans="2:35" x14ac:dyDescent="0.2">
      <c r="B238" s="1935"/>
      <c r="C238" s="1936" t="s">
        <v>7067</v>
      </c>
      <c r="D238" s="1935"/>
      <c r="E238" s="3050"/>
      <c r="F238" s="3050"/>
      <c r="G238" s="3050"/>
      <c r="H238" s="3063">
        <f>IF(P236=1,0,AB230)</f>
      </c>
      <c r="I238" s="2755"/>
      <c r="J238" s="3050"/>
      <c r="K238" s="1935"/>
      <c r="L238" s="1935"/>
      <c r="M238" s="1736"/>
    </row>
    <row r="239" spans="2:35" x14ac:dyDescent="0.2">
      <c r="B239" s="1935"/>
      <c r="C239" s="1936" t="s">
        <v>7182</v>
      </c>
      <c r="D239" s="1935"/>
      <c r="E239" s="3050"/>
      <c r="F239" s="3050"/>
      <c r="G239" s="3071"/>
      <c r="H239" s="3070"/>
      <c r="I239" s="3049" t="str">
        <f>IF(AND(Q252&gt;0,H239=""),reo,IF(AB230&lt;(AB231*-1),"Excessive!",""))</f>
        <v/>
      </c>
      <c r="J239" s="3050"/>
      <c r="K239" s="1935"/>
      <c r="L239" s="1935"/>
      <c r="M239" s="1736"/>
      <c r="P239" s="1485">
        <f>IF(I239="",0,1)</f>
      </c>
      <c r="Q239" s="1736">
        <f>IF(H239&lt;&gt;"",1,0)</f>
      </c>
    </row>
    <row r="240" spans="2:35" x14ac:dyDescent="0.2">
      <c r="B240" s="1935"/>
      <c r="C240" s="1936" t="s">
        <v>7987</v>
      </c>
      <c r="D240" s="1935"/>
      <c r="E240" s="3050"/>
      <c r="F240" s="3050"/>
      <c r="G240" s="3050"/>
      <c r="H240" s="3063">
        <f>IF(P239=1,0,AB232)</f>
      </c>
      <c r="I240" s="2755"/>
      <c r="J240" s="3050"/>
      <c r="K240" s="1935"/>
      <c r="L240" s="1935"/>
      <c r="M240" s="1736"/>
    </row>
    <row r="241" spans="2:21" hidden="1" x14ac:dyDescent="0.2">
      <c r="C241" s="69" t="s">
        <v>7072</v>
      </c>
      <c r="E241" s="2912"/>
      <c r="F241" s="2912"/>
      <c r="G241" s="2912"/>
      <c r="H241" s="2912"/>
      <c r="I241" s="2912"/>
      <c r="J241" s="2912"/>
      <c r="L241" s="1935"/>
      <c r="M241" s="1736"/>
      <c r="Q241" s="1736"/>
    </row>
    <row r="242" spans="2:21" x14ac:dyDescent="0.2">
      <c r="B242" s="1935"/>
      <c r="C242" s="1936" t="s">
        <v>7986</v>
      </c>
      <c r="D242" s="1935"/>
      <c r="E242" s="3050"/>
      <c r="F242" s="3050"/>
      <c r="G242" s="3050"/>
      <c r="H242" s="3070"/>
      <c r="I242" s="3049" t="str">
        <f>IF(H240=0,"",IF(H242="",reo,""))</f>
        <v/>
      </c>
      <c r="J242" s="3050"/>
      <c r="K242" s="1935"/>
      <c r="L242" s="1935"/>
      <c r="M242" s="1736"/>
      <c r="P242" s="1485">
        <f>IF(I242="",0,1)</f>
      </c>
      <c r="Q242" s="1736">
        <f>IF(H242&lt;&gt;"",1,0)</f>
      </c>
    </row>
    <row r="243" spans="2:21" ht="6" customHeight="1" x14ac:dyDescent="0.2">
      <c r="B243" s="1935"/>
      <c r="C243" s="1935"/>
      <c r="D243" s="1935"/>
      <c r="E243" s="3050"/>
      <c r="F243" s="3050"/>
      <c r="G243" s="3050"/>
      <c r="H243" s="3050"/>
      <c r="I243" s="3050"/>
      <c r="J243" s="3050"/>
      <c r="K243" s="1935"/>
      <c r="L243" s="1935"/>
      <c r="M243" s="1736"/>
      <c r="S243" s="5124" t="s">
        <v>7073</v>
      </c>
      <c r="T243" s="5125"/>
      <c r="U243" s="5126"/>
    </row>
    <row r="244" spans="2:21" x14ac:dyDescent="0.2">
      <c r="B244" s="1935"/>
      <c r="C244" s="1953" t="str">
        <f>CONCATENATE("Income the tax on which is deemed relieved by the tax credit [Current] Y/A",ya)</f>
      </c>
      <c r="D244" s="1954"/>
      <c r="E244" s="3072"/>
      <c r="F244" s="3072"/>
      <c r="G244" s="3072"/>
      <c r="H244" s="3073"/>
      <c r="I244" s="3074"/>
      <c r="J244" s="3075" t="str">
        <f>IF(Q252=0,"",IF(AND(H239&gt;=0,I244=""),re,IF(AND(H239=0,I244&gt;0),"No tax credit claimed for the year!",IF(AND(H239&gt;0,I244=0),"Amount relieved by tax credit required!",IF(I244&lt;0,"Cannot be negative!",IF(OR(I244&gt;S244,I244&lt;T244),U244,""))))))</f>
        <v/>
      </c>
      <c r="K244" s="1936"/>
      <c r="L244" s="1936"/>
      <c r="M244" s="1736"/>
      <c r="P244" s="1485">
        <f>IF(J244="",0,1)</f>
      </c>
      <c r="Q244" s="1736">
        <f>IF(I244&lt;&gt;"",1,0)</f>
      </c>
      <c r="S244" s="1807">
        <f>ROUND(H239/5%,0)+1</f>
      </c>
      <c r="T244" s="1770">
        <f>ROUND(H239/0.35,0)-1</f>
      </c>
      <c r="U244" s="1884" t="s">
        <v>4787</v>
      </c>
    </row>
    <row r="245" spans="2:21" x14ac:dyDescent="0.2">
      <c r="B245" s="1935"/>
      <c r="C245" s="1937"/>
      <c r="D245" s="1935"/>
      <c r="E245" s="3050"/>
      <c r="F245" s="3050"/>
      <c r="G245" s="3050"/>
      <c r="H245" s="3050"/>
      <c r="I245" s="3050"/>
      <c r="J245" s="3050"/>
      <c r="K245" s="1935"/>
      <c r="L245" s="1935"/>
      <c r="M245" s="1736"/>
    </row>
    <row r="246" spans="2:21" ht="4.5" customHeight="1" x14ac:dyDescent="0.2">
      <c r="B246" s="1935"/>
      <c r="C246" s="1935"/>
      <c r="D246" s="1935"/>
      <c r="E246" s="3050"/>
      <c r="F246" s="3050"/>
      <c r="G246" s="3050"/>
      <c r="H246" s="3050"/>
      <c r="I246" s="3050"/>
      <c r="J246" s="3050"/>
      <c r="K246" s="1935"/>
      <c r="L246" s="1935"/>
      <c r="M246" s="1736"/>
    </row>
    <row r="247" spans="2:21" x14ac:dyDescent="0.2">
      <c r="B247" s="1935"/>
      <c r="C247" s="1935"/>
      <c r="D247" s="1935"/>
      <c r="E247" s="3050"/>
      <c r="F247" s="3053" t="s">
        <v>2206</v>
      </c>
      <c r="G247" s="3051"/>
      <c r="H247" s="3049" t="str">
        <f>IF(AND(G247="",Q252&gt;0),re,IF(G247="no",nd,""))</f>
        <v/>
      </c>
      <c r="I247" s="3050"/>
      <c r="J247" s="3050"/>
      <c r="K247" s="1935"/>
      <c r="L247" s="1935"/>
      <c r="M247" s="1736"/>
      <c r="P247" s="1485">
        <f>IF(H247="",0,1)</f>
      </c>
      <c r="Q247" s="1736">
        <f>IF(G247&lt;&gt;"",1,0)</f>
      </c>
    </row>
    <row r="248" spans="2:21" ht="5.25" customHeight="1" x14ac:dyDescent="0.2">
      <c r="B248" s="1935"/>
      <c r="C248" s="1935"/>
      <c r="D248" s="1935"/>
      <c r="E248" s="3050"/>
      <c r="F248" s="3050"/>
      <c r="G248" s="3050"/>
      <c r="H248" s="3050"/>
      <c r="I248" s="3050"/>
      <c r="J248" s="3050"/>
      <c r="K248" s="1935"/>
      <c r="L248" s="1935"/>
      <c r="M248" s="1736"/>
    </row>
    <row r="249" spans="2:21" hidden="1" x14ac:dyDescent="0.2">
      <c r="B249" s="1935"/>
      <c r="C249" s="1935"/>
      <c r="D249" s="1935"/>
      <c r="E249" s="3050"/>
      <c r="F249" s="3076"/>
      <c r="G249" s="3076"/>
      <c r="H249" s="3049"/>
      <c r="I249" s="3050"/>
      <c r="J249" s="3050"/>
      <c r="K249" s="1935"/>
      <c r="L249" s="1935"/>
      <c r="M249" s="1736"/>
      <c r="Q249" s="1736"/>
    </row>
    <row r="250" spans="2:21" ht="9" customHeight="1" x14ac:dyDescent="0.2">
      <c r="B250" s="1935"/>
      <c r="C250" s="1935"/>
      <c r="D250" s="1935"/>
      <c r="E250" s="1935"/>
      <c r="F250" s="1935"/>
      <c r="G250" s="1935"/>
      <c r="H250" s="1935"/>
      <c r="I250" s="1935"/>
      <c r="J250" s="1935"/>
      <c r="K250" s="1935"/>
      <c r="L250" s="1935"/>
      <c r="M250" s="1736"/>
    </row>
    <row r="251" spans="2:21" ht="6.75" hidden="1" customHeight="1" x14ac:dyDescent="0.2">
      <c r="B251" s="1935"/>
      <c r="C251" s="1935"/>
      <c r="D251" s="1935"/>
      <c r="E251" s="1935"/>
      <c r="F251" s="1935"/>
      <c r="G251" s="1935"/>
      <c r="H251" s="1935"/>
      <c r="I251" s="1935"/>
      <c r="J251" s="1935"/>
      <c r="K251" s="1935"/>
      <c r="L251" s="1935"/>
      <c r="M251" s="1736"/>
    </row>
    <row r="252" spans="2:21" x14ac:dyDescent="0.2">
      <c r="B252" s="1935"/>
      <c r="C252" s="1935" t="str">
        <f>_xlfn.SINGLE(MTCA)</f>
      </c>
      <c r="D252" s="1935"/>
      <c r="E252" s="1935"/>
      <c r="F252" s="1935"/>
      <c r="G252" s="1943" t="str">
        <f>ver</f>
        <v>TA2_e-CO_2025_Ver 1.1</v>
      </c>
      <c r="H252" s="1935"/>
      <c r="I252" s="1935"/>
      <c r="J252" s="1935"/>
      <c r="K252" s="1938" t="s">
        <v>10016</v>
      </c>
      <c r="L252" s="1935"/>
      <c r="M252" s="1736"/>
      <c r="P252" s="1846">
        <f>SUM(P180:P250)</f>
      </c>
      <c r="Q252" s="1846">
        <f>SUM(Q180:Q250)</f>
      </c>
    </row>
    <row r="253" spans="2:21" x14ac:dyDescent="0.2">
      <c r="B253" s="1935"/>
      <c r="C253" s="1935"/>
      <c r="D253" s="1935"/>
      <c r="E253" s="1935"/>
      <c r="F253" s="1935"/>
      <c r="G253" s="1943"/>
      <c r="H253" s="1935"/>
      <c r="I253" s="1935"/>
      <c r="J253" s="1935"/>
      <c r="K253" s="1938"/>
      <c r="L253" s="1935"/>
      <c r="M253" s="1736"/>
      <c r="P253" s="1736"/>
      <c r="Q253" s="1736"/>
    </row>
    <row r="254" spans="2:21" hidden="1" x14ac:dyDescent="0.2">
      <c r="B254" s="1935"/>
      <c r="C254" s="1935"/>
      <c r="D254" s="1935"/>
      <c r="E254" s="1935"/>
      <c r="F254" s="1935"/>
      <c r="G254" s="1943"/>
      <c r="H254" s="1935"/>
      <c r="I254" s="1935"/>
      <c r="J254" s="1935"/>
      <c r="K254" s="1938"/>
      <c r="L254" s="1935"/>
      <c r="M254" s="1736"/>
      <c r="P254" s="1736"/>
      <c r="Q254" s="1736"/>
    </row>
    <row r="255" spans="2:21" hidden="1" x14ac:dyDescent="0.2">
      <c r="B255" s="1935"/>
      <c r="C255" s="1935"/>
      <c r="D255" s="1935"/>
      <c r="E255" s="1935"/>
      <c r="F255" s="1935"/>
      <c r="G255" s="1943"/>
      <c r="H255" s="1935"/>
      <c r="I255" s="1935"/>
      <c r="J255" s="1935"/>
      <c r="K255" s="1938"/>
      <c r="L255" s="1935"/>
      <c r="M255" s="1736"/>
      <c r="P255" s="1736"/>
      <c r="Q255" s="1736"/>
    </row>
    <row r="256" spans="2:21" hidden="1" x14ac:dyDescent="0.2">
      <c r="B256" s="1935"/>
      <c r="C256" s="1935"/>
      <c r="D256" s="1935"/>
      <c r="E256" s="1935"/>
      <c r="F256" s="1935"/>
      <c r="G256" s="1943"/>
      <c r="H256" s="1935"/>
      <c r="I256" s="1935"/>
      <c r="J256" s="1935"/>
      <c r="K256" s="1938"/>
      <c r="L256" s="1935"/>
      <c r="M256" s="1736"/>
      <c r="P256" s="1736"/>
      <c r="Q256" s="1736"/>
    </row>
    <row r="257" spans="2:17" hidden="1" x14ac:dyDescent="0.2">
      <c r="B257" s="1935"/>
      <c r="C257" s="1935"/>
      <c r="D257" s="1935"/>
      <c r="E257" s="1935"/>
      <c r="F257" s="1935"/>
      <c r="G257" s="1943"/>
      <c r="H257" s="1935"/>
      <c r="I257" s="1935"/>
      <c r="J257" s="1935"/>
      <c r="K257" s="1938"/>
      <c r="L257" s="1935"/>
      <c r="M257" s="1736"/>
      <c r="P257" s="1736"/>
      <c r="Q257" s="1736"/>
    </row>
    <row r="258" spans="2:17" hidden="1" x14ac:dyDescent="0.2">
      <c r="B258" s="1935"/>
      <c r="C258" s="1935"/>
      <c r="D258" s="1935"/>
      <c r="E258" s="1935"/>
      <c r="F258" s="1935"/>
      <c r="G258" s="1943"/>
      <c r="H258" s="1935"/>
      <c r="I258" s="1935"/>
      <c r="J258" s="1935"/>
      <c r="K258" s="1938"/>
      <c r="L258" s="1935"/>
      <c r="M258" s="1736"/>
      <c r="P258" s="1736"/>
      <c r="Q258" s="1736"/>
    </row>
    <row r="259" spans="2:17" hidden="1" x14ac:dyDescent="0.2">
      <c r="B259" s="1935"/>
      <c r="C259" s="1935"/>
      <c r="D259" s="1935"/>
      <c r="E259" s="1935"/>
      <c r="F259" s="1935"/>
      <c r="G259" s="1943"/>
      <c r="H259" s="1935"/>
      <c r="I259" s="1935"/>
      <c r="J259" s="1935"/>
      <c r="K259" s="1938"/>
      <c r="L259" s="1935"/>
      <c r="M259" s="1736"/>
      <c r="P259" s="1736"/>
      <c r="Q259" s="1736"/>
    </row>
    <row r="260" spans="2:17" hidden="1" x14ac:dyDescent="0.2">
      <c r="B260" s="1935"/>
      <c r="C260" s="1935"/>
      <c r="D260" s="1935"/>
      <c r="E260" s="1935"/>
      <c r="F260" s="1935"/>
      <c r="G260" s="1943"/>
      <c r="H260" s="1935"/>
      <c r="I260" s="1935"/>
      <c r="J260" s="1935"/>
      <c r="K260" s="1938"/>
      <c r="L260" s="1935"/>
      <c r="M260" s="1736"/>
      <c r="P260" s="1736"/>
      <c r="Q260" s="1736"/>
    </row>
    <row r="261" spans="2:17" hidden="1" x14ac:dyDescent="0.2">
      <c r="B261" s="1935"/>
      <c r="C261" s="1935"/>
      <c r="D261" s="1935"/>
      <c r="E261" s="1935"/>
      <c r="F261" s="1935"/>
      <c r="G261" s="1943"/>
      <c r="H261" s="1935"/>
      <c r="I261" s="1935"/>
      <c r="J261" s="1935"/>
      <c r="K261" s="1938"/>
      <c r="L261" s="1935"/>
      <c r="M261" s="1736"/>
      <c r="P261" s="1736"/>
      <c r="Q261" s="1736"/>
    </row>
    <row r="262" spans="2:17" hidden="1" x14ac:dyDescent="0.2">
      <c r="B262" s="1935"/>
      <c r="C262" s="1935"/>
      <c r="D262" s="1935"/>
      <c r="E262" s="1935"/>
      <c r="F262" s="1935"/>
      <c r="G262" s="1943"/>
      <c r="H262" s="1935"/>
      <c r="I262" s="1935"/>
      <c r="J262" s="1935"/>
      <c r="K262" s="1938"/>
      <c r="L262" s="1935"/>
      <c r="M262" s="1736"/>
      <c r="P262" s="1736"/>
      <c r="Q262" s="1736"/>
    </row>
    <row r="263" spans="2:17" hidden="1" x14ac:dyDescent="0.2">
      <c r="B263" s="1935"/>
      <c r="C263" s="1935"/>
      <c r="D263" s="1935"/>
      <c r="E263" s="1935"/>
      <c r="F263" s="1935"/>
      <c r="G263" s="1943"/>
      <c r="H263" s="1935"/>
      <c r="I263" s="1935"/>
      <c r="J263" s="1935"/>
      <c r="K263" s="1938"/>
      <c r="L263" s="1935"/>
      <c r="M263" s="1736"/>
      <c r="P263" s="1736"/>
      <c r="Q263" s="1736"/>
    </row>
    <row r="264" spans="2:17" hidden="1" x14ac:dyDescent="0.2">
      <c r="B264" s="1935"/>
      <c r="C264" s="1935"/>
      <c r="D264" s="1935"/>
      <c r="E264" s="1935"/>
      <c r="F264" s="1935"/>
      <c r="G264" s="1943"/>
      <c r="H264" s="1935"/>
      <c r="I264" s="1935"/>
      <c r="J264" s="1935"/>
      <c r="K264" s="1938"/>
      <c r="L264" s="1935"/>
      <c r="M264" s="1736"/>
      <c r="P264" s="1736"/>
      <c r="Q264" s="1736"/>
    </row>
    <row r="265" spans="2:17" hidden="1" x14ac:dyDescent="0.2">
      <c r="B265" s="1935"/>
      <c r="C265" s="1935"/>
      <c r="D265" s="1935"/>
      <c r="E265" s="1935"/>
      <c r="F265" s="1935"/>
      <c r="G265" s="1943"/>
      <c r="H265" s="1935"/>
      <c r="I265" s="1935"/>
      <c r="J265" s="1935"/>
      <c r="K265" s="1938"/>
      <c r="L265" s="1935"/>
      <c r="M265" s="1736"/>
      <c r="P265" s="1736"/>
      <c r="Q265" s="1736"/>
    </row>
    <row r="266" spans="2:17" hidden="1" x14ac:dyDescent="0.2">
      <c r="B266" s="1935"/>
      <c r="C266" s="1935"/>
      <c r="D266" s="1935"/>
      <c r="E266" s="1935"/>
      <c r="F266" s="1935"/>
      <c r="G266" s="1943"/>
      <c r="H266" s="1935"/>
      <c r="I266" s="1935"/>
      <c r="J266" s="1935"/>
      <c r="K266" s="1938"/>
      <c r="L266" s="1935"/>
      <c r="M266" s="1736"/>
      <c r="P266" s="1736"/>
      <c r="Q266" s="1736"/>
    </row>
    <row r="267" spans="2:17" hidden="1" x14ac:dyDescent="0.2">
      <c r="B267" s="1935"/>
      <c r="C267" s="1935"/>
      <c r="D267" s="1935"/>
      <c r="E267" s="1935"/>
      <c r="F267" s="1935"/>
      <c r="G267" s="1943"/>
      <c r="H267" s="1935"/>
      <c r="I267" s="1935"/>
      <c r="J267" s="1935"/>
      <c r="K267" s="1938"/>
      <c r="L267" s="1935"/>
      <c r="M267" s="1736"/>
      <c r="P267" s="1736"/>
      <c r="Q267" s="1736"/>
    </row>
    <row r="268" spans="2:17" hidden="1" x14ac:dyDescent="0.2">
      <c r="B268" s="1935"/>
      <c r="C268" s="1935"/>
      <c r="D268" s="1935"/>
      <c r="E268" s="1935"/>
      <c r="F268" s="1935"/>
      <c r="G268" s="1943"/>
      <c r="H268" s="1935"/>
      <c r="I268" s="1935"/>
      <c r="J268" s="1935"/>
      <c r="K268" s="1938"/>
      <c r="L268" s="1935"/>
      <c r="M268" s="1736"/>
      <c r="P268" s="1736"/>
      <c r="Q268" s="1736"/>
    </row>
    <row r="269" spans="2:17" hidden="1" x14ac:dyDescent="0.2">
      <c r="B269" s="1935"/>
      <c r="C269" s="1935"/>
      <c r="D269" s="1935"/>
      <c r="E269" s="1935"/>
      <c r="F269" s="1935"/>
      <c r="G269" s="1943"/>
      <c r="H269" s="1935"/>
      <c r="I269" s="1935"/>
      <c r="J269" s="1935"/>
      <c r="K269" s="1938"/>
      <c r="L269" s="1935"/>
      <c r="M269" s="1736"/>
      <c r="P269" s="1736"/>
      <c r="Q269" s="1736"/>
    </row>
    <row r="270" spans="2:17" hidden="1" x14ac:dyDescent="0.2">
      <c r="B270" s="1935"/>
      <c r="C270" s="1935"/>
      <c r="D270" s="1935"/>
      <c r="E270" s="1935"/>
      <c r="F270" s="1935"/>
      <c r="G270" s="1943"/>
      <c r="H270" s="1935"/>
      <c r="I270" s="1935"/>
      <c r="J270" s="1935"/>
      <c r="K270" s="1938"/>
      <c r="L270" s="1935"/>
      <c r="M270" s="1736"/>
      <c r="P270" s="1736"/>
      <c r="Q270" s="1736"/>
    </row>
    <row r="271" spans="2:17" hidden="1" x14ac:dyDescent="0.2">
      <c r="B271" s="1935"/>
      <c r="C271" s="1935"/>
      <c r="D271" s="1935"/>
      <c r="E271" s="1935"/>
      <c r="F271" s="1935"/>
      <c r="G271" s="1943"/>
      <c r="H271" s="1935"/>
      <c r="I271" s="1935"/>
      <c r="J271" s="1935"/>
      <c r="K271" s="1938"/>
      <c r="L271" s="1935"/>
      <c r="M271" s="1736"/>
      <c r="P271" s="1736"/>
      <c r="Q271" s="1736"/>
    </row>
    <row r="272" spans="2:17" hidden="1" x14ac:dyDescent="0.2">
      <c r="B272" s="1935"/>
      <c r="C272" s="1935"/>
      <c r="D272" s="1935"/>
      <c r="E272" s="1935"/>
      <c r="F272" s="1935"/>
      <c r="G272" s="1943"/>
      <c r="H272" s="1935"/>
      <c r="I272" s="1935"/>
      <c r="J272" s="1935"/>
      <c r="K272" s="1938"/>
      <c r="L272" s="1935"/>
      <c r="M272" s="1736"/>
      <c r="P272" s="1736"/>
      <c r="Q272" s="1736"/>
    </row>
    <row r="273" spans="2:17" hidden="1" x14ac:dyDescent="0.2">
      <c r="B273" s="1935"/>
      <c r="C273" s="1935"/>
      <c r="D273" s="1935"/>
      <c r="E273" s="1935"/>
      <c r="F273" s="1935"/>
      <c r="G273" s="1943"/>
      <c r="H273" s="1935"/>
      <c r="I273" s="1935"/>
      <c r="J273" s="1935"/>
      <c r="K273" s="1938"/>
      <c r="L273" s="1935"/>
      <c r="M273" s="1736"/>
      <c r="P273" s="1736"/>
      <c r="Q273" s="1736"/>
    </row>
    <row r="274" spans="2:17" hidden="1" x14ac:dyDescent="0.2">
      <c r="B274" s="1935"/>
      <c r="C274" s="1935"/>
      <c r="D274" s="1935"/>
      <c r="E274" s="1935"/>
      <c r="F274" s="1935"/>
      <c r="G274" s="1943"/>
      <c r="H274" s="1935"/>
      <c r="I274" s="1935"/>
      <c r="J274" s="1935"/>
      <c r="K274" s="1938"/>
      <c r="L274" s="1935"/>
      <c r="M274" s="1736"/>
      <c r="P274" s="1736"/>
      <c r="Q274" s="1736"/>
    </row>
    <row r="275" spans="2:17" hidden="1" x14ac:dyDescent="0.2">
      <c r="B275" s="1935"/>
      <c r="C275" s="1935"/>
      <c r="D275" s="1935"/>
      <c r="E275" s="1935"/>
      <c r="F275" s="1935"/>
      <c r="G275" s="1943"/>
      <c r="H275" s="1935"/>
      <c r="I275" s="1935"/>
      <c r="J275" s="1935"/>
      <c r="K275" s="1938"/>
      <c r="L275" s="1935"/>
      <c r="M275" s="1736"/>
      <c r="P275" s="1736"/>
      <c r="Q275" s="1736"/>
    </row>
    <row r="276" spans="2:17" hidden="1" x14ac:dyDescent="0.2">
      <c r="B276" s="1935"/>
      <c r="C276" s="1935"/>
      <c r="D276" s="1935"/>
      <c r="E276" s="1935"/>
      <c r="F276" s="1935"/>
      <c r="G276" s="1943"/>
      <c r="H276" s="1935"/>
      <c r="I276" s="1935"/>
      <c r="J276" s="1935"/>
      <c r="K276" s="1938"/>
      <c r="L276" s="1935"/>
      <c r="M276" s="1736"/>
      <c r="P276" s="1736"/>
      <c r="Q276" s="1736"/>
    </row>
    <row r="277" spans="2:17" hidden="1" x14ac:dyDescent="0.2">
      <c r="B277" s="1935"/>
      <c r="C277" s="1935"/>
      <c r="D277" s="1935"/>
      <c r="E277" s="1935"/>
      <c r="F277" s="1935"/>
      <c r="G277" s="1943"/>
      <c r="H277" s="1935"/>
      <c r="I277" s="1935"/>
      <c r="J277" s="1935"/>
      <c r="K277" s="1938"/>
      <c r="L277" s="1935"/>
      <c r="M277" s="1736"/>
      <c r="P277" s="1736"/>
      <c r="Q277" s="1736"/>
    </row>
    <row r="278" spans="2:17" hidden="1" x14ac:dyDescent="0.2">
      <c r="B278" s="1935"/>
      <c r="C278" s="1935"/>
      <c r="D278" s="1935"/>
      <c r="E278" s="1935"/>
      <c r="F278" s="1935"/>
      <c r="G278" s="1943"/>
      <c r="H278" s="1935"/>
      <c r="I278" s="1935"/>
      <c r="J278" s="1935"/>
      <c r="K278" s="1938"/>
      <c r="L278" s="1935"/>
      <c r="M278" s="1736"/>
      <c r="P278" s="1736"/>
      <c r="Q278" s="1736"/>
    </row>
    <row r="279" spans="2:17" hidden="1" x14ac:dyDescent="0.2">
      <c r="B279" s="1935"/>
      <c r="C279" s="1935"/>
      <c r="D279" s="1935"/>
      <c r="E279" s="1935"/>
      <c r="F279" s="1935"/>
      <c r="G279" s="1943"/>
      <c r="H279" s="1935"/>
      <c r="I279" s="1935"/>
      <c r="J279" s="1935"/>
      <c r="K279" s="1938"/>
      <c r="L279" s="1935"/>
      <c r="M279" s="1736"/>
      <c r="P279" s="1736"/>
      <c r="Q279" s="1736"/>
    </row>
    <row r="280" spans="2:17" hidden="1" x14ac:dyDescent="0.2">
      <c r="B280" s="1935"/>
      <c r="C280" s="1935"/>
      <c r="D280" s="1935"/>
      <c r="E280" s="1935"/>
      <c r="F280" s="1935"/>
      <c r="G280" s="1943"/>
      <c r="H280" s="1935"/>
      <c r="I280" s="1935"/>
      <c r="J280" s="1935"/>
      <c r="K280" s="1938"/>
      <c r="L280" s="1935"/>
      <c r="M280" s="1736"/>
      <c r="P280" s="1736"/>
      <c r="Q280" s="1736"/>
    </row>
    <row r="281" spans="2:17" hidden="1" x14ac:dyDescent="0.2">
      <c r="B281" s="1935"/>
      <c r="C281" s="1935"/>
      <c r="D281" s="1935"/>
      <c r="E281" s="1935"/>
      <c r="F281" s="1935"/>
      <c r="G281" s="1943"/>
      <c r="H281" s="1935"/>
      <c r="I281" s="1935"/>
      <c r="J281" s="1935"/>
      <c r="K281" s="1938"/>
      <c r="L281" s="1935"/>
      <c r="M281" s="1736"/>
      <c r="P281" s="1736"/>
      <c r="Q281" s="1736"/>
    </row>
    <row r="282" spans="2:17" hidden="1" x14ac:dyDescent="0.2">
      <c r="B282" s="1935"/>
      <c r="C282" s="1935"/>
      <c r="D282" s="1935"/>
      <c r="E282" s="1935"/>
      <c r="F282" s="1935"/>
      <c r="G282" s="1943"/>
      <c r="H282" s="1935"/>
      <c r="I282" s="1935"/>
      <c r="J282" s="1935"/>
      <c r="K282" s="1938"/>
      <c r="L282" s="1935"/>
      <c r="M282" s="1736"/>
      <c r="P282" s="1736"/>
      <c r="Q282" s="1736"/>
    </row>
    <row r="283" spans="2:17" hidden="1" x14ac:dyDescent="0.2">
      <c r="B283" s="1935"/>
      <c r="C283" s="1935"/>
      <c r="D283" s="1935"/>
      <c r="E283" s="1935"/>
      <c r="F283" s="1935"/>
      <c r="G283" s="1943"/>
      <c r="H283" s="1935"/>
      <c r="I283" s="1935"/>
      <c r="J283" s="1935"/>
      <c r="K283" s="1938"/>
      <c r="L283" s="1935"/>
      <c r="M283" s="1736"/>
      <c r="P283" s="1736"/>
      <c r="Q283" s="1736"/>
    </row>
    <row r="284" spans="2:17" hidden="1" x14ac:dyDescent="0.2">
      <c r="B284" s="1935"/>
      <c r="C284" s="1935"/>
      <c r="D284" s="1935"/>
      <c r="E284" s="1935"/>
      <c r="F284" s="1935"/>
      <c r="G284" s="1943"/>
      <c r="H284" s="1935"/>
      <c r="I284" s="1935"/>
      <c r="J284" s="1935"/>
      <c r="K284" s="1938"/>
      <c r="L284" s="1935"/>
      <c r="M284" s="1736"/>
      <c r="P284" s="1736"/>
      <c r="Q284" s="1736"/>
    </row>
    <row r="285" spans="2:17" hidden="1" x14ac:dyDescent="0.2">
      <c r="B285" s="1935"/>
      <c r="C285" s="1935"/>
      <c r="D285" s="1935"/>
      <c r="E285" s="1935"/>
      <c r="F285" s="1935"/>
      <c r="G285" s="1943"/>
      <c r="H285" s="1935"/>
      <c r="I285" s="1935"/>
      <c r="J285" s="1935"/>
      <c r="K285" s="1938"/>
      <c r="L285" s="1935"/>
      <c r="M285" s="1736"/>
      <c r="P285" s="1736"/>
      <c r="Q285" s="1736"/>
    </row>
    <row r="286" spans="2:17" hidden="1" x14ac:dyDescent="0.2">
      <c r="B286" s="1935"/>
      <c r="C286" s="1935"/>
      <c r="D286" s="1935"/>
      <c r="E286" s="1935"/>
      <c r="F286" s="1935"/>
      <c r="G286" s="1943"/>
      <c r="H286" s="1935"/>
      <c r="I286" s="1935"/>
      <c r="J286" s="1935"/>
      <c r="K286" s="1938"/>
      <c r="L286" s="1935"/>
      <c r="M286" s="1736"/>
      <c r="P286" s="1736"/>
      <c r="Q286" s="1736"/>
    </row>
    <row r="287" spans="2:17" hidden="1" x14ac:dyDescent="0.2">
      <c r="B287" s="1935"/>
      <c r="C287" s="1935"/>
      <c r="D287" s="1935"/>
      <c r="E287" s="1935"/>
      <c r="F287" s="1935"/>
      <c r="G287" s="1943"/>
      <c r="H287" s="1935"/>
      <c r="I287" s="1935"/>
      <c r="J287" s="1935"/>
      <c r="K287" s="1938"/>
      <c r="L287" s="1935"/>
      <c r="M287" s="1736"/>
      <c r="P287" s="1736"/>
      <c r="Q287" s="1736"/>
    </row>
    <row r="288" spans="2:17" hidden="1" x14ac:dyDescent="0.2">
      <c r="B288" s="1935"/>
      <c r="C288" s="1935"/>
      <c r="D288" s="1935"/>
      <c r="E288" s="1935"/>
      <c r="F288" s="1935"/>
      <c r="G288" s="1943"/>
      <c r="H288" s="1935"/>
      <c r="I288" s="1935"/>
      <c r="J288" s="1935"/>
      <c r="K288" s="1938"/>
      <c r="L288" s="1935"/>
      <c r="M288" s="1736"/>
      <c r="P288" s="1736"/>
      <c r="Q288" s="1736"/>
    </row>
    <row r="289" spans="2:17" hidden="1" x14ac:dyDescent="0.2">
      <c r="B289" s="1935"/>
      <c r="C289" s="1935"/>
      <c r="D289" s="1935"/>
      <c r="E289" s="1935"/>
      <c r="F289" s="1935"/>
      <c r="G289" s="1943"/>
      <c r="H289" s="1935"/>
      <c r="I289" s="1935"/>
      <c r="J289" s="1935"/>
      <c r="K289" s="1938"/>
      <c r="L289" s="1935"/>
      <c r="M289" s="1736"/>
      <c r="P289" s="1736"/>
      <c r="Q289" s="1736"/>
    </row>
    <row r="290" spans="2:17" hidden="1" x14ac:dyDescent="0.2">
      <c r="B290" s="1935"/>
      <c r="C290" s="1935"/>
      <c r="D290" s="1935"/>
      <c r="E290" s="1935"/>
      <c r="F290" s="1935"/>
      <c r="G290" s="1943"/>
      <c r="H290" s="1935"/>
      <c r="I290" s="1935"/>
      <c r="J290" s="1935"/>
      <c r="K290" s="1938"/>
      <c r="L290" s="1935"/>
      <c r="M290" s="1736"/>
      <c r="P290" s="1736"/>
      <c r="Q290" s="1736"/>
    </row>
    <row r="291" spans="2:17" hidden="1" x14ac:dyDescent="0.2">
      <c r="B291" s="1935"/>
      <c r="C291" s="1935"/>
      <c r="D291" s="1935"/>
      <c r="E291" s="1935"/>
      <c r="F291" s="1935"/>
      <c r="G291" s="1943"/>
      <c r="H291" s="1935"/>
      <c r="I291" s="1935"/>
      <c r="J291" s="1935"/>
      <c r="K291" s="1938"/>
      <c r="L291" s="1935"/>
      <c r="M291" s="1736"/>
      <c r="P291" s="1736"/>
      <c r="Q291" s="1736"/>
    </row>
    <row r="292" spans="2:17" hidden="1" x14ac:dyDescent="0.2">
      <c r="B292" s="1935"/>
      <c r="C292" s="1935"/>
      <c r="D292" s="1935"/>
      <c r="E292" s="1935"/>
      <c r="F292" s="1935"/>
      <c r="G292" s="1943"/>
      <c r="H292" s="1935"/>
      <c r="I292" s="1935"/>
      <c r="J292" s="1935"/>
      <c r="K292" s="1938"/>
      <c r="L292" s="1935"/>
      <c r="M292" s="1736"/>
      <c r="P292" s="1736"/>
      <c r="Q292" s="1736"/>
    </row>
    <row r="293" spans="2:17" hidden="1" x14ac:dyDescent="0.2">
      <c r="B293" s="1935"/>
      <c r="C293" s="1935"/>
      <c r="D293" s="1935"/>
      <c r="E293" s="1935"/>
      <c r="F293" s="1935"/>
      <c r="G293" s="1943"/>
      <c r="H293" s="1935"/>
      <c r="I293" s="1935"/>
      <c r="J293" s="1935"/>
      <c r="K293" s="1938"/>
      <c r="L293" s="1935"/>
      <c r="M293" s="1736"/>
      <c r="P293" s="1736"/>
      <c r="Q293" s="1736"/>
    </row>
    <row r="294" spans="2:17" hidden="1" x14ac:dyDescent="0.2">
      <c r="B294" s="1935"/>
      <c r="C294" s="1935"/>
      <c r="D294" s="1935"/>
      <c r="E294" s="1935"/>
      <c r="F294" s="1935"/>
      <c r="G294" s="1943"/>
      <c r="H294" s="1935"/>
      <c r="I294" s="1935"/>
      <c r="J294" s="1935"/>
      <c r="K294" s="1938"/>
      <c r="L294" s="1935"/>
      <c r="M294" s="1736"/>
      <c r="P294" s="1736"/>
      <c r="Q294" s="1736"/>
    </row>
    <row r="295" spans="2:17" hidden="1" x14ac:dyDescent="0.2">
      <c r="B295" s="1935"/>
      <c r="C295" s="1935"/>
      <c r="D295" s="1935"/>
      <c r="E295" s="1935"/>
      <c r="F295" s="1935"/>
      <c r="G295" s="1943"/>
      <c r="H295" s="1935"/>
      <c r="I295" s="1935"/>
      <c r="J295" s="1935"/>
      <c r="K295" s="1938"/>
      <c r="L295" s="1935"/>
      <c r="M295" s="1736"/>
      <c r="P295" s="1736"/>
      <c r="Q295" s="1736"/>
    </row>
    <row r="296" spans="2:17" hidden="1" x14ac:dyDescent="0.2">
      <c r="B296" s="1935"/>
      <c r="C296" s="1935"/>
      <c r="D296" s="1935"/>
      <c r="E296" s="1935"/>
      <c r="F296" s="1935"/>
      <c r="G296" s="1943"/>
      <c r="H296" s="1935"/>
      <c r="I296" s="1935"/>
      <c r="J296" s="1935"/>
      <c r="K296" s="1938"/>
      <c r="L296" s="1935"/>
      <c r="M296" s="1736"/>
      <c r="P296" s="1736"/>
      <c r="Q296" s="1736"/>
    </row>
    <row r="297" spans="2:17" hidden="1" x14ac:dyDescent="0.2">
      <c r="B297" s="1935"/>
      <c r="C297" s="1935"/>
      <c r="D297" s="1935"/>
      <c r="E297" s="1935"/>
      <c r="F297" s="1935"/>
      <c r="G297" s="1943"/>
      <c r="H297" s="1935"/>
      <c r="I297" s="1935"/>
      <c r="J297" s="1935"/>
      <c r="K297" s="1938"/>
      <c r="L297" s="1935"/>
      <c r="M297" s="1736"/>
      <c r="P297" s="1736"/>
      <c r="Q297" s="1736"/>
    </row>
    <row r="298" spans="2:17" hidden="1" x14ac:dyDescent="0.2">
      <c r="B298" s="1935"/>
      <c r="C298" s="1935"/>
      <c r="D298" s="1935"/>
      <c r="E298" s="1935"/>
      <c r="F298" s="1935"/>
      <c r="G298" s="1943"/>
      <c r="H298" s="1935"/>
      <c r="I298" s="1935"/>
      <c r="J298" s="1935"/>
      <c r="K298" s="1938"/>
      <c r="L298" s="1935"/>
      <c r="M298" s="1736"/>
      <c r="P298" s="1736"/>
      <c r="Q298" s="1736"/>
    </row>
    <row r="299" spans="2:17" hidden="1" x14ac:dyDescent="0.2">
      <c r="B299" s="1935"/>
      <c r="C299" s="1935"/>
      <c r="D299" s="1935"/>
      <c r="E299" s="1935"/>
      <c r="F299" s="1935"/>
      <c r="G299" s="1943"/>
      <c r="H299" s="1935"/>
      <c r="I299" s="1935"/>
      <c r="J299" s="1935"/>
      <c r="K299" s="1938"/>
      <c r="L299" s="1935"/>
      <c r="M299" s="1736"/>
      <c r="P299" s="1736"/>
      <c r="Q299" s="1736"/>
    </row>
    <row r="300" spans="2:17" hidden="1" x14ac:dyDescent="0.2">
      <c r="B300" s="1935"/>
      <c r="C300" s="1935"/>
      <c r="D300" s="1935"/>
      <c r="E300" s="1935"/>
      <c r="F300" s="1935"/>
      <c r="G300" s="1943"/>
      <c r="H300" s="1935"/>
      <c r="I300" s="1935"/>
      <c r="J300" s="1935"/>
      <c r="K300" s="1938"/>
      <c r="L300" s="1935"/>
      <c r="M300" s="1736"/>
      <c r="P300" s="1736"/>
      <c r="Q300" s="1736"/>
    </row>
    <row r="301" spans="2:17" hidden="1" x14ac:dyDescent="0.2">
      <c r="B301" s="1935"/>
      <c r="C301" s="1935"/>
      <c r="D301" s="1935"/>
      <c r="E301" s="1935"/>
      <c r="F301" s="1935"/>
      <c r="G301" s="1943"/>
      <c r="H301" s="1935"/>
      <c r="I301" s="1935"/>
      <c r="J301" s="1935"/>
      <c r="K301" s="1938"/>
      <c r="L301" s="1935"/>
      <c r="M301" s="1736"/>
      <c r="P301" s="1736"/>
      <c r="Q301" s="1736"/>
    </row>
    <row r="302" spans="2:17" hidden="1" x14ac:dyDescent="0.2">
      <c r="B302" s="1935"/>
      <c r="C302" s="1935"/>
      <c r="D302" s="1935"/>
      <c r="E302" s="1935"/>
      <c r="F302" s="1935"/>
      <c r="G302" s="1943"/>
      <c r="H302" s="1935"/>
      <c r="I302" s="1935"/>
      <c r="J302" s="1935"/>
      <c r="K302" s="1938"/>
      <c r="L302" s="1935"/>
      <c r="M302" s="1736"/>
      <c r="P302" s="1736"/>
      <c r="Q302" s="1736"/>
    </row>
    <row r="303" spans="2:17" hidden="1" x14ac:dyDescent="0.2">
      <c r="B303" s="1935"/>
      <c r="C303" s="1935"/>
      <c r="D303" s="1935"/>
      <c r="E303" s="1935"/>
      <c r="F303" s="1935"/>
      <c r="G303" s="1943"/>
      <c r="H303" s="1935"/>
      <c r="I303" s="1935"/>
      <c r="J303" s="1935"/>
      <c r="K303" s="1938"/>
      <c r="L303" s="1935"/>
      <c r="M303" s="1736"/>
      <c r="P303" s="1736"/>
      <c r="Q303" s="1736"/>
    </row>
    <row r="304" spans="2:17" hidden="1" x14ac:dyDescent="0.2">
      <c r="B304" s="1935"/>
      <c r="C304" s="1935"/>
      <c r="D304" s="1935"/>
      <c r="E304" s="1935"/>
      <c r="F304" s="1935"/>
      <c r="G304" s="1943"/>
      <c r="H304" s="1935"/>
      <c r="I304" s="1935"/>
      <c r="J304" s="1935"/>
      <c r="K304" s="1938"/>
      <c r="L304" s="1935"/>
      <c r="M304" s="1736"/>
      <c r="P304" s="1736"/>
      <c r="Q304" s="1736"/>
    </row>
    <row r="305" spans="2:17" hidden="1" x14ac:dyDescent="0.2">
      <c r="B305" s="1935"/>
      <c r="C305" s="1935"/>
      <c r="D305" s="1935"/>
      <c r="E305" s="1935"/>
      <c r="F305" s="1935"/>
      <c r="G305" s="1943"/>
      <c r="H305" s="1935"/>
      <c r="I305" s="1935"/>
      <c r="J305" s="1935"/>
      <c r="K305" s="1938"/>
      <c r="L305" s="1935"/>
      <c r="M305" s="1736"/>
      <c r="P305" s="1736"/>
      <c r="Q305" s="1736"/>
    </row>
    <row r="306" spans="2:17" hidden="1" x14ac:dyDescent="0.2">
      <c r="B306" s="1935"/>
      <c r="C306" s="1935"/>
      <c r="D306" s="1935"/>
      <c r="E306" s="1935"/>
      <c r="F306" s="1935"/>
      <c r="G306" s="1943"/>
      <c r="H306" s="1935"/>
      <c r="I306" s="1935"/>
      <c r="J306" s="1935"/>
      <c r="K306" s="1938"/>
      <c r="L306" s="1935"/>
      <c r="M306" s="1736"/>
      <c r="P306" s="1736"/>
      <c r="Q306" s="1736"/>
    </row>
    <row r="307" spans="2:17" hidden="1" x14ac:dyDescent="0.2">
      <c r="B307" s="1935"/>
      <c r="C307" s="1935"/>
      <c r="D307" s="1935"/>
      <c r="E307" s="1935"/>
      <c r="F307" s="1935"/>
      <c r="G307" s="1943"/>
      <c r="H307" s="1935"/>
      <c r="I307" s="1935"/>
      <c r="J307" s="1935"/>
      <c r="K307" s="1938"/>
      <c r="L307" s="1935"/>
      <c r="M307" s="1736"/>
      <c r="P307" s="1736"/>
      <c r="Q307" s="1736"/>
    </row>
    <row r="308" spans="2:17" hidden="1" x14ac:dyDescent="0.2">
      <c r="B308" s="1935"/>
      <c r="C308" s="1935"/>
      <c r="D308" s="1935"/>
      <c r="E308" s="1935"/>
      <c r="F308" s="1935"/>
      <c r="G308" s="1943"/>
      <c r="H308" s="1935"/>
      <c r="I308" s="1935"/>
      <c r="J308" s="1935"/>
      <c r="K308" s="1938"/>
      <c r="L308" s="1935"/>
      <c r="M308" s="1736"/>
      <c r="P308" s="1736"/>
      <c r="Q308" s="1736"/>
    </row>
    <row r="309" spans="2:17" hidden="1" x14ac:dyDescent="0.2">
      <c r="B309" s="1935"/>
      <c r="C309" s="1935"/>
      <c r="D309" s="1935"/>
      <c r="E309" s="1935"/>
      <c r="F309" s="1935"/>
      <c r="G309" s="1943"/>
      <c r="H309" s="1935"/>
      <c r="I309" s="1935"/>
      <c r="J309" s="1935"/>
      <c r="K309" s="1938"/>
      <c r="L309" s="1935"/>
      <c r="M309" s="1736"/>
      <c r="P309" s="1736"/>
      <c r="Q309" s="1736"/>
    </row>
    <row r="310" spans="2:17" hidden="1" x14ac:dyDescent="0.2">
      <c r="B310" s="1935"/>
      <c r="C310" s="1935"/>
      <c r="D310" s="1935"/>
      <c r="E310" s="1935"/>
      <c r="F310" s="1935"/>
      <c r="G310" s="1943"/>
      <c r="H310" s="1935"/>
      <c r="I310" s="1935"/>
      <c r="J310" s="1935"/>
      <c r="K310" s="1938"/>
      <c r="L310" s="1935"/>
      <c r="M310" s="1736"/>
      <c r="P310" s="1736"/>
      <c r="Q310" s="1736"/>
    </row>
    <row r="311" spans="2:17" hidden="1" x14ac:dyDescent="0.2">
      <c r="B311" s="1935"/>
      <c r="C311" s="1935"/>
      <c r="D311" s="1935"/>
      <c r="E311" s="1935"/>
      <c r="F311" s="1935"/>
      <c r="G311" s="1943"/>
      <c r="H311" s="1935"/>
      <c r="I311" s="1935"/>
      <c r="J311" s="1935"/>
      <c r="K311" s="1938"/>
      <c r="L311" s="1935"/>
      <c r="M311" s="1736"/>
      <c r="P311" s="1736"/>
      <c r="Q311" s="1736"/>
    </row>
    <row r="312" spans="2:17" hidden="1" x14ac:dyDescent="0.2">
      <c r="B312" s="1935"/>
      <c r="C312" s="1935"/>
      <c r="D312" s="1935"/>
      <c r="E312" s="1935"/>
      <c r="F312" s="1935"/>
      <c r="G312" s="1943"/>
      <c r="H312" s="1935"/>
      <c r="I312" s="1935"/>
      <c r="J312" s="1935"/>
      <c r="K312" s="1938"/>
      <c r="L312" s="1935"/>
      <c r="M312" s="1736"/>
      <c r="P312" s="1736"/>
      <c r="Q312" s="1736"/>
    </row>
    <row r="313" spans="2:17" hidden="1" x14ac:dyDescent="0.2">
      <c r="B313" s="1935"/>
      <c r="C313" s="1935"/>
      <c r="D313" s="1935"/>
      <c r="E313" s="1935"/>
      <c r="F313" s="1935"/>
      <c r="G313" s="1943"/>
      <c r="H313" s="1935"/>
      <c r="I313" s="1935"/>
      <c r="J313" s="1935"/>
      <c r="K313" s="1938"/>
      <c r="L313" s="1935"/>
      <c r="M313" s="1736"/>
      <c r="P313" s="1736"/>
      <c r="Q313" s="1736"/>
    </row>
    <row r="314" spans="2:17" hidden="1" x14ac:dyDescent="0.2">
      <c r="B314" s="1935"/>
      <c r="C314" s="1935"/>
      <c r="D314" s="1935"/>
      <c r="E314" s="1935"/>
      <c r="F314" s="1935"/>
      <c r="G314" s="1943"/>
      <c r="H314" s="1935"/>
      <c r="I314" s="1935"/>
      <c r="J314" s="1935"/>
      <c r="K314" s="1938"/>
      <c r="L314" s="1935"/>
      <c r="M314" s="1736"/>
      <c r="P314" s="1736"/>
      <c r="Q314" s="1736"/>
    </row>
    <row r="315" spans="2:17" hidden="1" x14ac:dyDescent="0.2">
      <c r="B315" s="1935"/>
      <c r="C315" s="1935"/>
      <c r="D315" s="1935"/>
      <c r="E315" s="1935"/>
      <c r="F315" s="1935"/>
      <c r="G315" s="1943"/>
      <c r="H315" s="1935"/>
      <c r="I315" s="1935"/>
      <c r="J315" s="1935"/>
      <c r="K315" s="1938"/>
      <c r="L315" s="1935"/>
      <c r="M315" s="1736"/>
      <c r="P315" s="1736"/>
      <c r="Q315" s="1736"/>
    </row>
    <row r="316" spans="2:17" hidden="1" x14ac:dyDescent="0.2">
      <c r="B316" s="1935"/>
      <c r="C316" s="1935"/>
      <c r="D316" s="1935"/>
      <c r="E316" s="1935"/>
      <c r="F316" s="1935"/>
      <c r="G316" s="1943"/>
      <c r="H316" s="1935"/>
      <c r="I316" s="1935"/>
      <c r="J316" s="1935"/>
      <c r="K316" s="1938"/>
      <c r="L316" s="1935"/>
      <c r="M316" s="1736"/>
      <c r="P316" s="1736"/>
      <c r="Q316" s="1736"/>
    </row>
    <row r="317" spans="2:17" hidden="1" x14ac:dyDescent="0.2">
      <c r="B317" s="1935"/>
      <c r="C317" s="1935"/>
      <c r="D317" s="1935"/>
      <c r="E317" s="1935"/>
      <c r="F317" s="1935"/>
      <c r="G317" s="1943"/>
      <c r="H317" s="1935"/>
      <c r="I317" s="1935"/>
      <c r="J317" s="1935"/>
      <c r="K317" s="1938"/>
      <c r="L317" s="1935"/>
      <c r="M317" s="1736"/>
      <c r="P317" s="1736"/>
      <c r="Q317" s="1736"/>
    </row>
    <row r="318" spans="2:17" hidden="1" x14ac:dyDescent="0.2">
      <c r="B318" s="1935"/>
      <c r="C318" s="1935"/>
      <c r="D318" s="1935"/>
      <c r="E318" s="1935"/>
      <c r="F318" s="1935"/>
      <c r="G318" s="1943"/>
      <c r="H318" s="1935"/>
      <c r="I318" s="1935"/>
      <c r="J318" s="1935"/>
      <c r="K318" s="1938"/>
      <c r="L318" s="1935"/>
      <c r="M318" s="1736"/>
      <c r="P318" s="1736"/>
      <c r="Q318" s="1736"/>
    </row>
    <row r="319" spans="2:17" hidden="1" x14ac:dyDescent="0.2">
      <c r="B319" s="1935"/>
      <c r="C319" s="1935"/>
      <c r="D319" s="1935"/>
      <c r="E319" s="1935"/>
      <c r="F319" s="1935"/>
      <c r="G319" s="1943"/>
      <c r="H319" s="1935"/>
      <c r="I319" s="1935"/>
      <c r="J319" s="1935"/>
      <c r="K319" s="1938"/>
      <c r="L319" s="1935"/>
      <c r="M319" s="1736"/>
      <c r="P319" s="1736"/>
      <c r="Q319" s="1736"/>
    </row>
    <row r="320" spans="2:17" hidden="1" x14ac:dyDescent="0.2">
      <c r="B320" s="1935"/>
      <c r="C320" s="1935"/>
      <c r="D320" s="1935"/>
      <c r="E320" s="1935"/>
      <c r="F320" s="1935"/>
      <c r="G320" s="1943"/>
      <c r="H320" s="1935"/>
      <c r="I320" s="1935"/>
      <c r="J320" s="1935"/>
      <c r="K320" s="1938"/>
      <c r="L320" s="1935"/>
      <c r="M320" s="1736"/>
      <c r="P320" s="1736"/>
      <c r="Q320" s="1736"/>
    </row>
    <row r="321" spans="2:17" hidden="1" x14ac:dyDescent="0.2">
      <c r="B321" s="1935"/>
      <c r="C321" s="1935"/>
      <c r="D321" s="1935"/>
      <c r="E321" s="1935"/>
      <c r="F321" s="1935"/>
      <c r="G321" s="1943"/>
      <c r="H321" s="1935"/>
      <c r="I321" s="1935"/>
      <c r="J321" s="1935"/>
      <c r="K321" s="1938"/>
      <c r="L321" s="1935"/>
      <c r="M321" s="1736"/>
      <c r="P321" s="1736"/>
      <c r="Q321" s="1736"/>
    </row>
    <row r="322" spans="2:17" hidden="1" x14ac:dyDescent="0.2">
      <c r="B322" s="1935"/>
      <c r="C322" s="1935"/>
      <c r="D322" s="1935"/>
      <c r="E322" s="1935"/>
      <c r="F322" s="1935"/>
      <c r="G322" s="1943"/>
      <c r="H322" s="1935"/>
      <c r="I322" s="1935"/>
      <c r="J322" s="1935"/>
      <c r="K322" s="1938"/>
      <c r="L322" s="1935"/>
      <c r="M322" s="1736"/>
      <c r="P322" s="1736"/>
      <c r="Q322" s="1736"/>
    </row>
    <row r="323" spans="2:17" hidden="1" x14ac:dyDescent="0.2">
      <c r="B323" s="1935"/>
      <c r="C323" s="1935"/>
      <c r="D323" s="1935"/>
      <c r="E323" s="1935"/>
      <c r="F323" s="1935"/>
      <c r="G323" s="1943"/>
      <c r="H323" s="1935"/>
      <c r="I323" s="1935"/>
      <c r="J323" s="1935"/>
      <c r="K323" s="1938"/>
      <c r="L323" s="1935"/>
      <c r="M323" s="1736"/>
      <c r="P323" s="1736"/>
      <c r="Q323" s="1736"/>
    </row>
    <row r="324" spans="2:17" hidden="1" x14ac:dyDescent="0.2">
      <c r="B324" s="1935"/>
      <c r="C324" s="1935"/>
      <c r="D324" s="1935"/>
      <c r="E324" s="1935"/>
      <c r="F324" s="1935"/>
      <c r="G324" s="1943"/>
      <c r="H324" s="1935"/>
      <c r="I324" s="1935"/>
      <c r="J324" s="1935"/>
      <c r="K324" s="1938"/>
      <c r="L324" s="1935"/>
      <c r="M324" s="1736"/>
      <c r="P324" s="1736"/>
      <c r="Q324" s="1736"/>
    </row>
    <row r="325" spans="2:17" hidden="1" x14ac:dyDescent="0.2">
      <c r="B325" s="1935"/>
      <c r="C325" s="1935"/>
      <c r="D325" s="1935"/>
      <c r="E325" s="1935"/>
      <c r="F325" s="1935"/>
      <c r="G325" s="1943"/>
      <c r="H325" s="1935"/>
      <c r="I325" s="1935"/>
      <c r="J325" s="1935"/>
      <c r="K325" s="1938"/>
      <c r="L325" s="1935"/>
      <c r="M325" s="1736"/>
      <c r="P325" s="1736"/>
      <c r="Q325" s="1736"/>
    </row>
    <row r="326" spans="2:17" hidden="1" x14ac:dyDescent="0.2">
      <c r="B326" s="1935"/>
      <c r="C326" s="1935"/>
      <c r="D326" s="1935"/>
      <c r="E326" s="1935"/>
      <c r="F326" s="1935"/>
      <c r="G326" s="1943"/>
      <c r="H326" s="1935"/>
      <c r="I326" s="1935"/>
      <c r="J326" s="1935"/>
      <c r="K326" s="1938"/>
      <c r="L326" s="1935"/>
      <c r="M326" s="1736"/>
      <c r="P326" s="1736"/>
      <c r="Q326" s="1736"/>
    </row>
    <row r="327" spans="2:17" hidden="1" x14ac:dyDescent="0.2">
      <c r="B327" s="1935"/>
      <c r="C327" s="1935"/>
      <c r="D327" s="1935"/>
      <c r="E327" s="1935"/>
      <c r="F327" s="1935"/>
      <c r="G327" s="1943"/>
      <c r="H327" s="1935"/>
      <c r="I327" s="1935"/>
      <c r="J327" s="1935"/>
      <c r="K327" s="1938"/>
      <c r="L327" s="1935"/>
      <c r="M327" s="1736"/>
      <c r="P327" s="1736"/>
      <c r="Q327" s="1736"/>
    </row>
    <row r="328" spans="2:17" hidden="1" x14ac:dyDescent="0.2">
      <c r="B328" s="1935"/>
      <c r="C328" s="1935"/>
      <c r="D328" s="1935"/>
      <c r="E328" s="1935"/>
      <c r="F328" s="1935"/>
      <c r="G328" s="1943"/>
      <c r="H328" s="1935"/>
      <c r="I328" s="1935"/>
      <c r="J328" s="1935"/>
      <c r="K328" s="1938"/>
      <c r="L328" s="1935"/>
      <c r="M328" s="1736"/>
      <c r="P328" s="1736"/>
      <c r="Q328" s="1736"/>
    </row>
    <row r="329" spans="2:17" hidden="1" x14ac:dyDescent="0.2">
      <c r="B329" s="1935"/>
      <c r="C329" s="1935"/>
      <c r="D329" s="1935"/>
      <c r="E329" s="1935"/>
      <c r="F329" s="1935"/>
      <c r="G329" s="1943"/>
      <c r="H329" s="1935"/>
      <c r="I329" s="1935"/>
      <c r="J329" s="1935"/>
      <c r="K329" s="1938"/>
      <c r="L329" s="1935"/>
      <c r="M329" s="1736"/>
      <c r="P329" s="1736"/>
      <c r="Q329" s="1736"/>
    </row>
    <row r="330" spans="2:17" hidden="1" x14ac:dyDescent="0.2">
      <c r="B330" s="1935"/>
      <c r="C330" s="1935"/>
      <c r="D330" s="1935"/>
      <c r="E330" s="1935"/>
      <c r="F330" s="1935"/>
      <c r="G330" s="1943"/>
      <c r="H330" s="1935"/>
      <c r="I330" s="1935"/>
      <c r="J330" s="1935"/>
      <c r="K330" s="1938"/>
      <c r="L330" s="1935"/>
      <c r="M330" s="1736"/>
      <c r="P330" s="1736"/>
      <c r="Q330" s="1736"/>
    </row>
    <row r="331" spans="2:17" hidden="1" x14ac:dyDescent="0.2">
      <c r="B331" s="1935"/>
      <c r="C331" s="1935"/>
      <c r="D331" s="1935"/>
      <c r="E331" s="1935"/>
      <c r="F331" s="1935"/>
      <c r="G331" s="1943"/>
      <c r="H331" s="1935"/>
      <c r="I331" s="1935"/>
      <c r="J331" s="1935"/>
      <c r="K331" s="1938"/>
      <c r="L331" s="1935"/>
      <c r="M331" s="1736"/>
      <c r="P331" s="1736"/>
      <c r="Q331" s="1736"/>
    </row>
    <row r="332" spans="2:17" hidden="1" x14ac:dyDescent="0.2">
      <c r="B332" s="1935"/>
      <c r="C332" s="1935"/>
      <c r="D332" s="1935"/>
      <c r="E332" s="1935"/>
      <c r="F332" s="1935"/>
      <c r="G332" s="1943"/>
      <c r="H332" s="1935"/>
      <c r="I332" s="1935"/>
      <c r="J332" s="1935"/>
      <c r="K332" s="1938"/>
      <c r="L332" s="1935"/>
      <c r="M332" s="1736"/>
      <c r="P332" s="1736"/>
      <c r="Q332" s="1736"/>
    </row>
    <row r="333" spans="2:17" hidden="1" x14ac:dyDescent="0.2">
      <c r="B333" s="1935"/>
      <c r="C333" s="1935"/>
      <c r="D333" s="1935"/>
      <c r="E333" s="1935"/>
      <c r="F333" s="1935"/>
      <c r="G333" s="1943"/>
      <c r="H333" s="1935"/>
      <c r="I333" s="1935"/>
      <c r="J333" s="1935"/>
      <c r="K333" s="1938"/>
      <c r="L333" s="1935"/>
      <c r="M333" s="1736"/>
      <c r="P333" s="1736"/>
      <c r="Q333" s="1736"/>
    </row>
    <row r="334" spans="2:17" hidden="1" x14ac:dyDescent="0.2">
      <c r="B334" s="1935"/>
      <c r="C334" s="1935"/>
      <c r="D334" s="1935"/>
      <c r="E334" s="1935"/>
      <c r="F334" s="1935"/>
      <c r="G334" s="1943"/>
      <c r="H334" s="1935"/>
      <c r="I334" s="1935"/>
      <c r="J334" s="1935"/>
      <c r="K334" s="1938"/>
      <c r="L334" s="1935"/>
      <c r="M334" s="1736"/>
      <c r="P334" s="1736"/>
      <c r="Q334" s="1736"/>
    </row>
    <row r="335" spans="2:17" hidden="1" x14ac:dyDescent="0.2">
      <c r="B335" s="1935"/>
      <c r="C335" s="1935"/>
      <c r="D335" s="1935"/>
      <c r="E335" s="1935"/>
      <c r="F335" s="1935"/>
      <c r="G335" s="1943"/>
      <c r="H335" s="1935"/>
      <c r="I335" s="1935"/>
      <c r="J335" s="1935"/>
      <c r="K335" s="1938"/>
      <c r="L335" s="1935"/>
      <c r="M335" s="1736"/>
      <c r="P335" s="1736"/>
      <c r="Q335" s="1736"/>
    </row>
    <row r="336" spans="2:17" hidden="1" x14ac:dyDescent="0.2">
      <c r="B336" s="1935"/>
      <c r="C336" s="1935"/>
      <c r="D336" s="1935"/>
      <c r="E336" s="1935"/>
      <c r="F336" s="1935"/>
      <c r="G336" s="1943"/>
      <c r="H336" s="1935"/>
      <c r="I336" s="1935"/>
      <c r="J336" s="1935"/>
      <c r="K336" s="1938"/>
      <c r="L336" s="1935"/>
      <c r="M336" s="1736"/>
      <c r="P336" s="1736"/>
      <c r="Q336" s="1736"/>
    </row>
    <row r="337" spans="2:17" hidden="1" x14ac:dyDescent="0.2">
      <c r="B337" s="1935"/>
      <c r="C337" s="1935"/>
      <c r="D337" s="1935"/>
      <c r="E337" s="1935"/>
      <c r="F337" s="1935"/>
      <c r="G337" s="1943"/>
      <c r="H337" s="1935"/>
      <c r="I337" s="1935"/>
      <c r="J337" s="1935"/>
      <c r="K337" s="1938"/>
      <c r="L337" s="1935"/>
      <c r="M337" s="1736"/>
      <c r="P337" s="1736"/>
      <c r="Q337" s="1736"/>
    </row>
    <row r="338" spans="2:17" hidden="1" x14ac:dyDescent="0.2">
      <c r="B338" s="1935"/>
      <c r="C338" s="1935"/>
      <c r="D338" s="1935"/>
      <c r="E338" s="1935"/>
      <c r="F338" s="1935"/>
      <c r="G338" s="1943"/>
      <c r="H338" s="1935"/>
      <c r="I338" s="1935"/>
      <c r="J338" s="1935"/>
      <c r="K338" s="1938"/>
      <c r="L338" s="1935"/>
      <c r="M338" s="1736"/>
      <c r="P338" s="1736"/>
      <c r="Q338" s="1736"/>
    </row>
    <row r="339" spans="2:17" hidden="1" x14ac:dyDescent="0.2">
      <c r="B339" s="1935"/>
      <c r="C339" s="1935"/>
      <c r="D339" s="1935"/>
      <c r="E339" s="1935"/>
      <c r="F339" s="1935"/>
      <c r="G339" s="1943"/>
      <c r="H339" s="1935"/>
      <c r="I339" s="1935"/>
      <c r="J339" s="1935"/>
      <c r="K339" s="1938"/>
      <c r="L339" s="1935"/>
      <c r="M339" s="1736"/>
      <c r="P339" s="1736"/>
      <c r="Q339" s="1736"/>
    </row>
    <row r="340" spans="2:17" hidden="1" x14ac:dyDescent="0.2">
      <c r="B340" s="1935"/>
      <c r="C340" s="1935"/>
      <c r="D340" s="1935"/>
      <c r="E340" s="1935"/>
      <c r="F340" s="1935"/>
      <c r="G340" s="1943"/>
      <c r="H340" s="1935"/>
      <c r="I340" s="1935"/>
      <c r="J340" s="1935"/>
      <c r="K340" s="1938"/>
      <c r="L340" s="1935"/>
      <c r="M340" s="1736"/>
      <c r="P340" s="1736"/>
      <c r="Q340" s="1736"/>
    </row>
    <row r="341" spans="2:17" hidden="1" x14ac:dyDescent="0.2">
      <c r="B341" s="1935"/>
      <c r="C341" s="1935"/>
      <c r="D341" s="1935"/>
      <c r="E341" s="1935"/>
      <c r="F341" s="1935"/>
      <c r="G341" s="1943"/>
      <c r="H341" s="1935"/>
      <c r="I341" s="1935"/>
      <c r="J341" s="1935"/>
      <c r="K341" s="1938"/>
      <c r="L341" s="1935"/>
      <c r="M341" s="1736"/>
      <c r="P341" s="1736"/>
      <c r="Q341" s="1736"/>
    </row>
    <row r="342" spans="2:17" hidden="1" x14ac:dyDescent="0.2">
      <c r="B342" s="1935"/>
      <c r="C342" s="1935"/>
      <c r="D342" s="1935"/>
      <c r="E342" s="1935"/>
      <c r="F342" s="1935"/>
      <c r="G342" s="1943"/>
      <c r="H342" s="1935"/>
      <c r="I342" s="1935"/>
      <c r="J342" s="1935"/>
      <c r="K342" s="1938"/>
      <c r="L342" s="1935"/>
      <c r="M342" s="1736"/>
      <c r="P342" s="1736"/>
      <c r="Q342" s="1736"/>
    </row>
    <row r="343" spans="2:17" hidden="1" x14ac:dyDescent="0.2">
      <c r="B343" s="1935"/>
      <c r="C343" s="1935"/>
      <c r="D343" s="1935"/>
      <c r="E343" s="1935"/>
      <c r="F343" s="1935"/>
      <c r="G343" s="1943"/>
      <c r="H343" s="1935"/>
      <c r="I343" s="1935"/>
      <c r="J343" s="1935"/>
      <c r="K343" s="1938"/>
      <c r="L343" s="1935"/>
      <c r="M343" s="1736"/>
      <c r="P343" s="1736"/>
      <c r="Q343" s="1736"/>
    </row>
    <row r="344" spans="2:17" hidden="1" x14ac:dyDescent="0.2">
      <c r="B344" s="1935"/>
      <c r="C344" s="1935"/>
      <c r="D344" s="1935"/>
      <c r="E344" s="1935"/>
      <c r="F344" s="1935"/>
      <c r="G344" s="1943"/>
      <c r="H344" s="1935"/>
      <c r="I344" s="1935"/>
      <c r="J344" s="1935"/>
      <c r="K344" s="1938"/>
      <c r="L344" s="1935"/>
      <c r="M344" s="1736"/>
      <c r="P344" s="1736"/>
      <c r="Q344" s="1736"/>
    </row>
    <row r="345" spans="2:17" hidden="1" x14ac:dyDescent="0.2">
      <c r="B345" s="1935"/>
      <c r="C345" s="1935"/>
      <c r="D345" s="1935"/>
      <c r="E345" s="1935"/>
      <c r="F345" s="1935"/>
      <c r="G345" s="1943"/>
      <c r="H345" s="1935"/>
      <c r="I345" s="1935"/>
      <c r="J345" s="1935"/>
      <c r="K345" s="1938"/>
      <c r="L345" s="1935"/>
      <c r="M345" s="1736"/>
      <c r="P345" s="1736"/>
      <c r="Q345" s="1736"/>
    </row>
    <row r="346" spans="2:17" hidden="1" x14ac:dyDescent="0.2">
      <c r="B346" s="1935"/>
      <c r="C346" s="1935"/>
      <c r="D346" s="1935"/>
      <c r="E346" s="1935"/>
      <c r="F346" s="1935"/>
      <c r="G346" s="1943"/>
      <c r="H346" s="1935"/>
      <c r="I346" s="1935"/>
      <c r="J346" s="1935"/>
      <c r="K346" s="1938"/>
      <c r="L346" s="1935"/>
      <c r="M346" s="1736"/>
      <c r="P346" s="1736"/>
      <c r="Q346" s="1736"/>
    </row>
    <row r="347" spans="2:17" hidden="1" x14ac:dyDescent="0.2">
      <c r="B347" s="1935"/>
      <c r="C347" s="1935"/>
      <c r="D347" s="1935"/>
      <c r="E347" s="1935"/>
      <c r="F347" s="1935"/>
      <c r="G347" s="1943"/>
      <c r="H347" s="1935"/>
      <c r="I347" s="1935"/>
      <c r="J347" s="1935"/>
      <c r="K347" s="1938"/>
      <c r="L347" s="1935"/>
      <c r="M347" s="1736"/>
      <c r="P347" s="1736"/>
      <c r="Q347" s="1736"/>
    </row>
    <row r="348" spans="2:17" hidden="1" x14ac:dyDescent="0.2">
      <c r="B348" s="1935"/>
      <c r="C348" s="1935"/>
      <c r="D348" s="1935"/>
      <c r="E348" s="1935"/>
      <c r="F348" s="1935"/>
      <c r="G348" s="1943"/>
      <c r="H348" s="1935"/>
      <c r="I348" s="1935"/>
      <c r="J348" s="1935"/>
      <c r="K348" s="1938"/>
      <c r="L348" s="1935"/>
      <c r="M348" s="1736"/>
      <c r="P348" s="1736"/>
      <c r="Q348" s="1736"/>
    </row>
    <row r="349" spans="2:17" hidden="1" x14ac:dyDescent="0.2">
      <c r="B349" s="1935"/>
      <c r="C349" s="1935"/>
      <c r="D349" s="1935"/>
      <c r="E349" s="1935"/>
      <c r="F349" s="1935"/>
      <c r="G349" s="1943"/>
      <c r="H349" s="1935"/>
      <c r="I349" s="1935"/>
      <c r="J349" s="1935"/>
      <c r="K349" s="1938"/>
      <c r="L349" s="1935"/>
      <c r="M349" s="1736"/>
      <c r="P349" s="1736"/>
      <c r="Q349" s="1736"/>
    </row>
    <row r="350" spans="2:17" hidden="1" x14ac:dyDescent="0.2">
      <c r="B350" s="1935"/>
      <c r="C350" s="1935"/>
      <c r="D350" s="1935"/>
      <c r="E350" s="1935"/>
      <c r="F350" s="1935"/>
      <c r="G350" s="1943"/>
      <c r="H350" s="1935"/>
      <c r="I350" s="1935"/>
      <c r="J350" s="1935"/>
      <c r="K350" s="1938"/>
      <c r="L350" s="1935"/>
      <c r="M350" s="1736"/>
      <c r="P350" s="1736"/>
      <c r="Q350" s="1736"/>
    </row>
    <row r="351" spans="2:17" hidden="1" x14ac:dyDescent="0.2">
      <c r="B351" s="1935"/>
      <c r="C351" s="1935"/>
      <c r="D351" s="1935"/>
      <c r="E351" s="1935"/>
      <c r="F351" s="1935"/>
      <c r="G351" s="1943"/>
      <c r="H351" s="1935"/>
      <c r="I351" s="1935"/>
      <c r="J351" s="1935"/>
      <c r="K351" s="1938"/>
      <c r="L351" s="1935"/>
      <c r="M351" s="1736"/>
      <c r="P351" s="1736"/>
      <c r="Q351" s="1736"/>
    </row>
    <row r="352" spans="2:17" hidden="1" x14ac:dyDescent="0.2">
      <c r="B352" s="1935"/>
      <c r="C352" s="1935"/>
      <c r="D352" s="1935"/>
      <c r="E352" s="1935"/>
      <c r="F352" s="1935"/>
      <c r="G352" s="1943"/>
      <c r="H352" s="1935"/>
      <c r="I352" s="1935"/>
      <c r="J352" s="1935"/>
      <c r="K352" s="1938"/>
      <c r="L352" s="1935"/>
      <c r="M352" s="1736"/>
      <c r="P352" s="1736"/>
      <c r="Q352" s="1736"/>
    </row>
    <row r="353" spans="2:17" hidden="1" x14ac:dyDescent="0.2">
      <c r="B353" s="1935"/>
      <c r="C353" s="1935"/>
      <c r="D353" s="1935"/>
      <c r="E353" s="1935"/>
      <c r="F353" s="1935"/>
      <c r="G353" s="1943"/>
      <c r="H353" s="1935"/>
      <c r="I353" s="1935"/>
      <c r="J353" s="1935"/>
      <c r="K353" s="1938"/>
      <c r="L353" s="1935"/>
      <c r="M353" s="1736"/>
      <c r="P353" s="1736"/>
      <c r="Q353" s="1736"/>
    </row>
    <row r="354" spans="2:17" hidden="1" x14ac:dyDescent="0.2">
      <c r="B354" s="1935"/>
      <c r="C354" s="1935"/>
      <c r="D354" s="1935"/>
      <c r="E354" s="1935"/>
      <c r="F354" s="1935"/>
      <c r="G354" s="1943"/>
      <c r="H354" s="1935"/>
      <c r="I354" s="1935"/>
      <c r="J354" s="1935"/>
      <c r="K354" s="1938"/>
      <c r="L354" s="1935"/>
      <c r="M354" s="1736"/>
      <c r="P354" s="1736"/>
      <c r="Q354" s="1736"/>
    </row>
    <row r="355" spans="2:17" hidden="1" x14ac:dyDescent="0.2">
      <c r="B355" s="1935"/>
      <c r="C355" s="1935"/>
      <c r="D355" s="1935"/>
      <c r="E355" s="1935"/>
      <c r="F355" s="1935"/>
      <c r="G355" s="1943"/>
      <c r="H355" s="1935"/>
      <c r="I355" s="1935"/>
      <c r="J355" s="1935"/>
      <c r="K355" s="1938"/>
      <c r="L355" s="1935"/>
      <c r="M355" s="1736"/>
      <c r="P355" s="1736"/>
      <c r="Q355" s="1736"/>
    </row>
    <row r="356" spans="2:17" hidden="1" x14ac:dyDescent="0.2">
      <c r="B356" s="1935"/>
      <c r="C356" s="1935"/>
      <c r="D356" s="1935"/>
      <c r="E356" s="1935"/>
      <c r="F356" s="1935"/>
      <c r="G356" s="1943"/>
      <c r="H356" s="1935"/>
      <c r="I356" s="1935"/>
      <c r="J356" s="1935"/>
      <c r="K356" s="1938"/>
      <c r="L356" s="1935"/>
      <c r="M356" s="1736"/>
      <c r="P356" s="1736"/>
      <c r="Q356" s="1736"/>
    </row>
    <row r="357" spans="2:17" hidden="1" x14ac:dyDescent="0.2">
      <c r="B357" s="1935"/>
      <c r="C357" s="1935"/>
      <c r="D357" s="1935"/>
      <c r="E357" s="1935"/>
      <c r="F357" s="1935"/>
      <c r="G357" s="1943"/>
      <c r="H357" s="1935"/>
      <c r="I357" s="1935"/>
      <c r="J357" s="1935"/>
      <c r="K357" s="1938"/>
      <c r="L357" s="1935"/>
      <c r="M357" s="1736"/>
      <c r="P357" s="1736"/>
      <c r="Q357" s="1736"/>
    </row>
    <row r="358" spans="2:17" hidden="1" x14ac:dyDescent="0.2">
      <c r="B358" s="1935"/>
      <c r="C358" s="1935"/>
      <c r="D358" s="1935"/>
      <c r="E358" s="1935"/>
      <c r="F358" s="1935"/>
      <c r="G358" s="1943"/>
      <c r="H358" s="1935"/>
      <c r="I358" s="1935"/>
      <c r="J358" s="1935"/>
      <c r="K358" s="1938"/>
      <c r="L358" s="1935"/>
      <c r="M358" s="1736"/>
      <c r="P358" s="1736"/>
      <c r="Q358" s="1736"/>
    </row>
    <row r="359" spans="2:17" hidden="1" x14ac:dyDescent="0.2">
      <c r="B359" s="1935"/>
      <c r="C359" s="1935"/>
      <c r="D359" s="1935"/>
      <c r="E359" s="1935"/>
      <c r="F359" s="1935"/>
      <c r="G359" s="1943"/>
      <c r="H359" s="1935"/>
      <c r="I359" s="1935"/>
      <c r="J359" s="1935"/>
      <c r="K359" s="1938"/>
      <c r="L359" s="1935"/>
      <c r="M359" s="1736"/>
      <c r="P359" s="1736"/>
      <c r="Q359" s="1736"/>
    </row>
    <row r="360" spans="2:17" hidden="1" x14ac:dyDescent="0.2">
      <c r="B360" s="1935"/>
      <c r="C360" s="1935"/>
      <c r="D360" s="1935"/>
      <c r="E360" s="1935"/>
      <c r="F360" s="1935"/>
      <c r="G360" s="1943"/>
      <c r="H360" s="1935"/>
      <c r="I360" s="1935"/>
      <c r="J360" s="1935"/>
      <c r="K360" s="1938"/>
      <c r="L360" s="1935"/>
      <c r="M360" s="1736"/>
      <c r="P360" s="1736"/>
      <c r="Q360" s="1736"/>
    </row>
    <row r="361" spans="2:17" hidden="1" x14ac:dyDescent="0.2">
      <c r="B361" s="1935"/>
      <c r="C361" s="1935"/>
      <c r="D361" s="1935"/>
      <c r="E361" s="1935"/>
      <c r="F361" s="1935"/>
      <c r="G361" s="1943"/>
      <c r="H361" s="1935"/>
      <c r="I361" s="1935"/>
      <c r="J361" s="1935"/>
      <c r="K361" s="1938"/>
      <c r="L361" s="1935"/>
      <c r="M361" s="1736"/>
      <c r="P361" s="1736"/>
      <c r="Q361" s="1736"/>
    </row>
    <row r="362" spans="2:17" hidden="1" x14ac:dyDescent="0.2">
      <c r="B362" s="1935"/>
      <c r="C362" s="1935"/>
      <c r="D362" s="1935"/>
      <c r="E362" s="1935"/>
      <c r="F362" s="1935"/>
      <c r="G362" s="1943"/>
      <c r="H362" s="1935"/>
      <c r="I362" s="1935"/>
      <c r="J362" s="1935"/>
      <c r="K362" s="1938"/>
      <c r="L362" s="1935"/>
      <c r="M362" s="1736"/>
      <c r="P362" s="1736"/>
      <c r="Q362" s="1736"/>
    </row>
    <row r="363" spans="2:17" hidden="1" x14ac:dyDescent="0.2">
      <c r="B363" s="1935"/>
      <c r="C363" s="1935"/>
      <c r="D363" s="1935"/>
      <c r="E363" s="1935"/>
      <c r="F363" s="1935"/>
      <c r="G363" s="1943"/>
      <c r="H363" s="1935"/>
      <c r="I363" s="1935"/>
      <c r="J363" s="1935"/>
      <c r="K363" s="1938"/>
      <c r="L363" s="1935"/>
      <c r="M363" s="1736"/>
      <c r="P363" s="1736"/>
      <c r="Q363" s="1736"/>
    </row>
    <row r="364" spans="2:17" hidden="1" x14ac:dyDescent="0.2">
      <c r="B364" s="1935"/>
      <c r="C364" s="1935"/>
      <c r="D364" s="1935"/>
      <c r="E364" s="1935"/>
      <c r="F364" s="1935"/>
      <c r="G364" s="1943"/>
      <c r="H364" s="1935"/>
      <c r="I364" s="1935"/>
      <c r="J364" s="1935"/>
      <c r="K364" s="1938"/>
      <c r="L364" s="1935"/>
      <c r="M364" s="1736"/>
      <c r="P364" s="1736"/>
      <c r="Q364" s="1736"/>
    </row>
    <row r="365" spans="2:17" hidden="1" x14ac:dyDescent="0.2">
      <c r="B365" s="1935"/>
      <c r="C365" s="1935"/>
      <c r="D365" s="1935"/>
      <c r="E365" s="1935"/>
      <c r="F365" s="1935"/>
      <c r="G365" s="1943"/>
      <c r="H365" s="1935"/>
      <c r="I365" s="1935"/>
      <c r="J365" s="1935"/>
      <c r="K365" s="1938"/>
      <c r="L365" s="1935"/>
      <c r="M365" s="1736"/>
      <c r="P365" s="1736"/>
      <c r="Q365" s="1736"/>
    </row>
    <row r="366" spans="2:17" hidden="1" x14ac:dyDescent="0.2">
      <c r="B366" s="1935"/>
      <c r="C366" s="1935"/>
      <c r="D366" s="1935"/>
      <c r="E366" s="1935"/>
      <c r="F366" s="1935"/>
      <c r="G366" s="1943"/>
      <c r="H366" s="1935"/>
      <c r="I366" s="1935"/>
      <c r="J366" s="1935"/>
      <c r="K366" s="1938"/>
      <c r="L366" s="1935"/>
      <c r="M366" s="1736"/>
      <c r="P366" s="1736"/>
      <c r="Q366" s="1736"/>
    </row>
    <row r="367" spans="2:17" hidden="1" x14ac:dyDescent="0.2">
      <c r="B367" s="1935"/>
      <c r="C367" s="1935"/>
      <c r="D367" s="1935"/>
      <c r="E367" s="1935"/>
      <c r="F367" s="1935"/>
      <c r="G367" s="1943"/>
      <c r="H367" s="1935"/>
      <c r="I367" s="1935"/>
      <c r="J367" s="1935"/>
      <c r="K367" s="1938"/>
      <c r="L367" s="1935"/>
      <c r="M367" s="1736"/>
      <c r="P367" s="1736"/>
      <c r="Q367" s="1736"/>
    </row>
    <row r="368" spans="2:17" hidden="1" x14ac:dyDescent="0.2">
      <c r="B368" s="1935"/>
      <c r="C368" s="1935"/>
      <c r="D368" s="1935"/>
      <c r="E368" s="1935"/>
      <c r="F368" s="1935"/>
      <c r="G368" s="1943"/>
      <c r="H368" s="1935"/>
      <c r="I368" s="1935"/>
      <c r="J368" s="1935"/>
      <c r="K368" s="1938"/>
      <c r="L368" s="1935"/>
      <c r="M368" s="1736"/>
      <c r="P368" s="1736"/>
      <c r="Q368" s="1736"/>
    </row>
    <row r="369" spans="2:17" hidden="1" x14ac:dyDescent="0.2">
      <c r="B369" s="1935"/>
      <c r="C369" s="1935"/>
      <c r="D369" s="1935"/>
      <c r="E369" s="1935"/>
      <c r="F369" s="1935"/>
      <c r="G369" s="1943"/>
      <c r="H369" s="1935"/>
      <c r="I369" s="1935"/>
      <c r="J369" s="1935"/>
      <c r="K369" s="1938"/>
      <c r="L369" s="1935"/>
      <c r="M369" s="1736"/>
      <c r="P369" s="1736"/>
      <c r="Q369" s="1736"/>
    </row>
    <row r="370" spans="2:17" hidden="1" x14ac:dyDescent="0.2">
      <c r="B370" s="1935"/>
      <c r="C370" s="1935"/>
      <c r="D370" s="1935"/>
      <c r="E370" s="1935"/>
      <c r="F370" s="1935"/>
      <c r="G370" s="1943"/>
      <c r="H370" s="1935"/>
      <c r="I370" s="1935"/>
      <c r="J370" s="1935"/>
      <c r="K370" s="1938"/>
      <c r="L370" s="1935"/>
      <c r="M370" s="1736"/>
      <c r="P370" s="1736"/>
      <c r="Q370" s="1736"/>
    </row>
    <row r="371" spans="2:17" hidden="1" x14ac:dyDescent="0.2">
      <c r="B371" s="1935"/>
      <c r="C371" s="1935"/>
      <c r="D371" s="1935"/>
      <c r="E371" s="1935"/>
      <c r="F371" s="1935"/>
      <c r="G371" s="1943"/>
      <c r="H371" s="1935"/>
      <c r="I371" s="1935"/>
      <c r="J371" s="1935"/>
      <c r="K371" s="1938"/>
      <c r="L371" s="1935"/>
      <c r="M371" s="1736"/>
      <c r="P371" s="1736"/>
      <c r="Q371" s="1736"/>
    </row>
    <row r="372" spans="2:17" hidden="1" x14ac:dyDescent="0.2">
      <c r="B372" s="1935"/>
      <c r="C372" s="1935"/>
      <c r="D372" s="1935"/>
      <c r="E372" s="1935"/>
      <c r="F372" s="1935"/>
      <c r="G372" s="1943"/>
      <c r="H372" s="1935"/>
      <c r="I372" s="1935"/>
      <c r="J372" s="1935"/>
      <c r="K372" s="1938"/>
      <c r="L372" s="1935"/>
      <c r="M372" s="1736"/>
      <c r="P372" s="1736"/>
      <c r="Q372" s="1736"/>
    </row>
    <row r="373" spans="2:17" hidden="1" x14ac:dyDescent="0.2">
      <c r="B373" s="1935"/>
      <c r="C373" s="1935"/>
      <c r="D373" s="1935"/>
      <c r="E373" s="1935"/>
      <c r="F373" s="1935"/>
      <c r="G373" s="1943"/>
      <c r="H373" s="1935"/>
      <c r="I373" s="1935"/>
      <c r="J373" s="1935"/>
      <c r="K373" s="1938"/>
      <c r="L373" s="1935"/>
      <c r="M373" s="1736"/>
      <c r="P373" s="1736"/>
      <c r="Q373" s="1736"/>
    </row>
    <row r="374" spans="2:17" hidden="1" x14ac:dyDescent="0.2">
      <c r="B374" s="1935"/>
      <c r="C374" s="1935"/>
      <c r="D374" s="1935"/>
      <c r="E374" s="1935"/>
      <c r="F374" s="1935"/>
      <c r="G374" s="1943"/>
      <c r="H374" s="1935"/>
      <c r="I374" s="1935"/>
      <c r="J374" s="1935"/>
      <c r="K374" s="1938"/>
      <c r="L374" s="1935"/>
      <c r="M374" s="1736"/>
      <c r="P374" s="1736"/>
      <c r="Q374" s="1736"/>
    </row>
    <row r="375" spans="2:17" hidden="1" x14ac:dyDescent="0.2">
      <c r="B375" s="1935"/>
      <c r="C375" s="1935"/>
      <c r="D375" s="1935"/>
      <c r="E375" s="1935"/>
      <c r="F375" s="1935"/>
      <c r="G375" s="1943"/>
      <c r="H375" s="1935"/>
      <c r="I375" s="1935"/>
      <c r="J375" s="1935"/>
      <c r="K375" s="1938"/>
      <c r="L375" s="1935"/>
      <c r="M375" s="1736"/>
      <c r="P375" s="1736"/>
      <c r="Q375" s="1736"/>
    </row>
    <row r="376" spans="2:17" hidden="1" x14ac:dyDescent="0.2">
      <c r="B376" s="1935"/>
      <c r="C376" s="1935"/>
      <c r="D376" s="1935"/>
      <c r="E376" s="1935"/>
      <c r="F376" s="1935"/>
      <c r="G376" s="1943"/>
      <c r="H376" s="1935"/>
      <c r="I376" s="1935"/>
      <c r="J376" s="1935"/>
      <c r="K376" s="1938"/>
      <c r="L376" s="1935"/>
      <c r="M376" s="1736"/>
      <c r="P376" s="1736"/>
      <c r="Q376" s="1736"/>
    </row>
    <row r="377" spans="2:17" hidden="1" x14ac:dyDescent="0.2">
      <c r="B377" s="1935"/>
      <c r="C377" s="1935"/>
      <c r="D377" s="1935"/>
      <c r="E377" s="1935"/>
      <c r="F377" s="1935"/>
      <c r="G377" s="1943"/>
      <c r="H377" s="1935"/>
      <c r="I377" s="1935"/>
      <c r="J377" s="1935"/>
      <c r="K377" s="1938"/>
      <c r="L377" s="1935"/>
      <c r="M377" s="1736"/>
      <c r="P377" s="1736"/>
      <c r="Q377" s="1736"/>
    </row>
    <row r="378" spans="2:17" hidden="1" x14ac:dyDescent="0.2">
      <c r="B378" s="1935"/>
      <c r="C378" s="1935"/>
      <c r="D378" s="1935"/>
      <c r="E378" s="1935"/>
      <c r="F378" s="1935"/>
      <c r="G378" s="1943"/>
      <c r="H378" s="1935"/>
      <c r="I378" s="1935"/>
      <c r="J378" s="1935"/>
      <c r="K378" s="1938"/>
      <c r="L378" s="1935"/>
      <c r="M378" s="1736"/>
      <c r="P378" s="1736"/>
      <c r="Q378" s="1736"/>
    </row>
    <row r="379" spans="2:17" hidden="1" x14ac:dyDescent="0.2">
      <c r="B379" s="1935"/>
      <c r="C379" s="1935"/>
      <c r="D379" s="1935"/>
      <c r="E379" s="1935"/>
      <c r="F379" s="1935"/>
      <c r="G379" s="1943"/>
      <c r="H379" s="1935"/>
      <c r="I379" s="1935"/>
      <c r="J379" s="1935"/>
      <c r="K379" s="1938"/>
      <c r="L379" s="1935"/>
      <c r="M379" s="1736"/>
      <c r="P379" s="1736"/>
      <c r="Q379" s="1736"/>
    </row>
    <row r="380" spans="2:17" hidden="1" x14ac:dyDescent="0.2">
      <c r="B380" s="1935"/>
      <c r="C380" s="1935"/>
      <c r="D380" s="1935"/>
      <c r="E380" s="1935"/>
      <c r="F380" s="1935"/>
      <c r="G380" s="1943"/>
      <c r="H380" s="1935"/>
      <c r="I380" s="1935"/>
      <c r="J380" s="1935"/>
      <c r="K380" s="1938"/>
      <c r="L380" s="1935"/>
      <c r="M380" s="1736"/>
      <c r="P380" s="1736"/>
      <c r="Q380" s="1736"/>
    </row>
    <row r="381" spans="2:17" hidden="1" x14ac:dyDescent="0.2">
      <c r="B381" s="1935"/>
      <c r="C381" s="1935"/>
      <c r="D381" s="1935"/>
      <c r="E381" s="1935"/>
      <c r="F381" s="1935"/>
      <c r="G381" s="1943"/>
      <c r="H381" s="1935"/>
      <c r="I381" s="1935"/>
      <c r="J381" s="1935"/>
      <c r="K381" s="1938"/>
      <c r="L381" s="1935"/>
      <c r="M381" s="1736"/>
      <c r="P381" s="1736"/>
      <c r="Q381" s="1736"/>
    </row>
    <row r="382" spans="2:17" hidden="1" x14ac:dyDescent="0.2">
      <c r="B382" s="1935"/>
      <c r="C382" s="1935"/>
      <c r="D382" s="1935"/>
      <c r="E382" s="1935"/>
      <c r="F382" s="1935"/>
      <c r="G382" s="1943"/>
      <c r="H382" s="1935"/>
      <c r="I382" s="1935"/>
      <c r="J382" s="1935"/>
      <c r="K382" s="1938"/>
      <c r="L382" s="1935"/>
      <c r="M382" s="1736"/>
      <c r="P382" s="1736"/>
      <c r="Q382" s="1736"/>
    </row>
    <row r="383" spans="2:17" hidden="1" x14ac:dyDescent="0.2">
      <c r="B383" s="1935"/>
      <c r="C383" s="1935"/>
      <c r="D383" s="1935"/>
      <c r="E383" s="1935"/>
      <c r="F383" s="1935"/>
      <c r="G383" s="1943"/>
      <c r="H383" s="1935"/>
      <c r="I383" s="1935"/>
      <c r="J383" s="1935"/>
      <c r="K383" s="1938"/>
      <c r="L383" s="1935"/>
      <c r="M383" s="1736"/>
      <c r="P383" s="1736"/>
      <c r="Q383" s="1736"/>
    </row>
    <row r="384" spans="2:17" hidden="1" x14ac:dyDescent="0.2">
      <c r="B384" s="1935"/>
      <c r="C384" s="1935"/>
      <c r="D384" s="1935"/>
      <c r="E384" s="1935"/>
      <c r="F384" s="1935"/>
      <c r="G384" s="1943"/>
      <c r="H384" s="1935"/>
      <c r="I384" s="1935"/>
      <c r="J384" s="1935"/>
      <c r="K384" s="1938"/>
      <c r="L384" s="1935"/>
      <c r="M384" s="1736"/>
      <c r="P384" s="1736"/>
      <c r="Q384" s="1736"/>
    </row>
    <row r="385" spans="2:17" hidden="1" x14ac:dyDescent="0.2">
      <c r="B385" s="1935"/>
      <c r="C385" s="1935"/>
      <c r="D385" s="1935"/>
      <c r="E385" s="1935"/>
      <c r="F385" s="1935"/>
      <c r="G385" s="1943"/>
      <c r="H385" s="1935"/>
      <c r="I385" s="1935"/>
      <c r="J385" s="1935"/>
      <c r="K385" s="1938"/>
      <c r="L385" s="1935"/>
      <c r="M385" s="1736"/>
      <c r="P385" s="1736"/>
      <c r="Q385" s="1736"/>
    </row>
    <row r="386" spans="2:17" hidden="1" x14ac:dyDescent="0.2">
      <c r="B386" s="1935"/>
      <c r="C386" s="1935"/>
      <c r="D386" s="1935"/>
      <c r="E386" s="1935"/>
      <c r="F386" s="1935"/>
      <c r="G386" s="1943"/>
      <c r="H386" s="1935"/>
      <c r="I386" s="1935"/>
      <c r="J386" s="1935"/>
      <c r="K386" s="1938"/>
      <c r="L386" s="1935"/>
      <c r="M386" s="1736"/>
      <c r="P386" s="1736"/>
      <c r="Q386" s="1736"/>
    </row>
    <row r="387" spans="2:17" hidden="1" x14ac:dyDescent="0.2">
      <c r="B387" s="1935"/>
      <c r="C387" s="1935"/>
      <c r="D387" s="1935"/>
      <c r="E387" s="1935"/>
      <c r="F387" s="1935"/>
      <c r="G387" s="1943"/>
      <c r="H387" s="1935"/>
      <c r="I387" s="1935"/>
      <c r="J387" s="1935"/>
      <c r="K387" s="1938"/>
      <c r="L387" s="1935"/>
      <c r="M387" s="1736"/>
      <c r="P387" s="1736"/>
      <c r="Q387" s="1736"/>
    </row>
    <row r="388" spans="2:17" hidden="1" x14ac:dyDescent="0.2">
      <c r="B388" s="1935"/>
      <c r="C388" s="1935"/>
      <c r="D388" s="1935"/>
      <c r="E388" s="1935"/>
      <c r="F388" s="1935"/>
      <c r="G388" s="1943"/>
      <c r="H388" s="1935"/>
      <c r="I388" s="1935"/>
      <c r="J388" s="1935"/>
      <c r="K388" s="1938"/>
      <c r="L388" s="1935"/>
      <c r="M388" s="1736"/>
      <c r="P388" s="1736"/>
      <c r="Q388" s="1736"/>
    </row>
    <row r="389" spans="2:17" hidden="1" x14ac:dyDescent="0.2">
      <c r="B389" s="1935"/>
      <c r="C389" s="1935"/>
      <c r="D389" s="1935"/>
      <c r="E389" s="1935"/>
      <c r="F389" s="1935"/>
      <c r="G389" s="1943"/>
      <c r="H389" s="1935"/>
      <c r="I389" s="1935"/>
      <c r="J389" s="1935"/>
      <c r="K389" s="1938"/>
      <c r="L389" s="1935"/>
      <c r="M389" s="1736"/>
      <c r="P389" s="1736"/>
      <c r="Q389" s="1736"/>
    </row>
    <row r="390" spans="2:17" hidden="1" x14ac:dyDescent="0.2">
      <c r="B390" s="1935"/>
      <c r="C390" s="1935"/>
      <c r="D390" s="1935"/>
      <c r="E390" s="1935"/>
      <c r="F390" s="1935"/>
      <c r="G390" s="1943"/>
      <c r="H390" s="1935"/>
      <c r="I390" s="1935"/>
      <c r="J390" s="1935"/>
      <c r="K390" s="1938"/>
      <c r="L390" s="1935"/>
      <c r="M390" s="1736"/>
      <c r="P390" s="1736"/>
      <c r="Q390" s="1736"/>
    </row>
    <row r="391" spans="2:17" hidden="1" x14ac:dyDescent="0.2">
      <c r="B391" s="1935"/>
      <c r="C391" s="1935"/>
      <c r="D391" s="1935"/>
      <c r="E391" s="1935"/>
      <c r="F391" s="1935"/>
      <c r="G391" s="1943"/>
      <c r="H391" s="1935"/>
      <c r="I391" s="1935"/>
      <c r="J391" s="1935"/>
      <c r="K391" s="1938"/>
      <c r="L391" s="1935"/>
      <c r="M391" s="1736"/>
      <c r="P391" s="1736"/>
      <c r="Q391" s="1736"/>
    </row>
    <row r="392" spans="2:17" hidden="1" x14ac:dyDescent="0.2">
      <c r="B392" s="1935"/>
      <c r="C392" s="1935"/>
      <c r="D392" s="1935"/>
      <c r="E392" s="1935"/>
      <c r="F392" s="1935"/>
      <c r="G392" s="1943"/>
      <c r="H392" s="1935"/>
      <c r="I392" s="1935"/>
      <c r="J392" s="1935"/>
      <c r="K392" s="1938"/>
      <c r="L392" s="1935"/>
      <c r="M392" s="1736"/>
      <c r="P392" s="1736"/>
      <c r="Q392" s="1736"/>
    </row>
    <row r="393" spans="2:17" hidden="1" x14ac:dyDescent="0.2">
      <c r="B393" s="1935"/>
      <c r="C393" s="1935"/>
      <c r="D393" s="1935"/>
      <c r="E393" s="1935"/>
      <c r="F393" s="1935"/>
      <c r="G393" s="1943"/>
      <c r="H393" s="1935"/>
      <c r="I393" s="1935"/>
      <c r="J393" s="1935"/>
      <c r="K393" s="1938"/>
      <c r="L393" s="1935"/>
      <c r="M393" s="1736"/>
      <c r="P393" s="1736"/>
      <c r="Q393" s="1736"/>
    </row>
    <row r="394" spans="2:17" hidden="1" x14ac:dyDescent="0.2">
      <c r="B394" s="1935"/>
      <c r="C394" s="1935"/>
      <c r="D394" s="1935"/>
      <c r="E394" s="1935"/>
      <c r="F394" s="1935"/>
      <c r="G394" s="1943"/>
      <c r="H394" s="1935"/>
      <c r="I394" s="1935"/>
      <c r="J394" s="1935"/>
      <c r="K394" s="1938"/>
      <c r="L394" s="1935"/>
      <c r="M394" s="1736"/>
      <c r="P394" s="1736"/>
      <c r="Q394" s="1736"/>
    </row>
    <row r="395" spans="2:17" hidden="1" x14ac:dyDescent="0.2">
      <c r="B395" s="1935"/>
      <c r="C395" s="1935"/>
      <c r="D395" s="1935"/>
      <c r="E395" s="1935"/>
      <c r="F395" s="1935"/>
      <c r="G395" s="1943"/>
      <c r="H395" s="1935"/>
      <c r="I395" s="1935"/>
      <c r="J395" s="1935"/>
      <c r="K395" s="1938"/>
      <c r="L395" s="1935"/>
      <c r="M395" s="1736"/>
      <c r="P395" s="1736"/>
      <c r="Q395" s="1736"/>
    </row>
    <row r="396" spans="2:17" hidden="1" x14ac:dyDescent="0.2">
      <c r="B396" s="1935"/>
      <c r="C396" s="1935"/>
      <c r="D396" s="1935"/>
      <c r="E396" s="1935"/>
      <c r="F396" s="1935"/>
      <c r="G396" s="1943"/>
      <c r="H396" s="1935"/>
      <c r="I396" s="1935"/>
      <c r="J396" s="1935"/>
      <c r="K396" s="1938"/>
      <c r="L396" s="1935"/>
      <c r="M396" s="1736"/>
      <c r="P396" s="1736"/>
      <c r="Q396" s="1736"/>
    </row>
    <row r="397" spans="2:17" hidden="1" x14ac:dyDescent="0.2">
      <c r="B397" s="1935"/>
      <c r="C397" s="1935"/>
      <c r="D397" s="1935"/>
      <c r="E397" s="1935"/>
      <c r="F397" s="1935"/>
      <c r="G397" s="1943"/>
      <c r="H397" s="1935"/>
      <c r="I397" s="1935"/>
      <c r="J397" s="1935"/>
      <c r="K397" s="1938"/>
      <c r="L397" s="1935"/>
      <c r="M397" s="1736"/>
      <c r="P397" s="1736"/>
      <c r="Q397" s="1736"/>
    </row>
    <row r="398" spans="2:17" hidden="1" x14ac:dyDescent="0.2">
      <c r="B398" s="1935"/>
      <c r="C398" s="1935"/>
      <c r="D398" s="1935"/>
      <c r="E398" s="1935"/>
      <c r="F398" s="1935"/>
      <c r="G398" s="1943"/>
      <c r="H398" s="1935"/>
      <c r="I398" s="1935"/>
      <c r="J398" s="1935"/>
      <c r="K398" s="1938"/>
      <c r="L398" s="1935"/>
      <c r="M398" s="1736"/>
      <c r="P398" s="1736"/>
      <c r="Q398" s="1736"/>
    </row>
    <row r="399" spans="2:17" hidden="1" x14ac:dyDescent="0.2">
      <c r="B399" s="1935"/>
      <c r="C399" s="1935"/>
      <c r="D399" s="1935"/>
      <c r="E399" s="1935"/>
      <c r="F399" s="1935"/>
      <c r="G399" s="1943"/>
      <c r="H399" s="1935"/>
      <c r="I399" s="1935"/>
      <c r="J399" s="1935"/>
      <c r="K399" s="1938"/>
      <c r="L399" s="1935"/>
      <c r="M399" s="1736"/>
      <c r="P399" s="1736"/>
      <c r="Q399" s="1736"/>
    </row>
    <row r="400" spans="2:17" hidden="1" x14ac:dyDescent="0.2">
      <c r="B400" s="1935"/>
      <c r="C400" s="1935"/>
      <c r="D400" s="1935"/>
      <c r="E400" s="1935"/>
      <c r="F400" s="1935"/>
      <c r="G400" s="1943"/>
      <c r="H400" s="1935"/>
      <c r="I400" s="1935"/>
      <c r="J400" s="1935"/>
      <c r="K400" s="1938"/>
      <c r="L400" s="1935"/>
      <c r="M400" s="1736"/>
      <c r="P400" s="1736"/>
      <c r="Q400" s="1736"/>
    </row>
    <row r="401" spans="2:17" hidden="1" x14ac:dyDescent="0.2">
      <c r="B401" s="1935"/>
      <c r="C401" s="1935"/>
      <c r="D401" s="1935"/>
      <c r="E401" s="1935"/>
      <c r="F401" s="1935"/>
      <c r="G401" s="1943"/>
      <c r="H401" s="1935"/>
      <c r="I401" s="1935"/>
      <c r="J401" s="1935"/>
      <c r="K401" s="1938"/>
      <c r="L401" s="1935"/>
      <c r="M401" s="1736"/>
      <c r="P401" s="1736"/>
      <c r="Q401" s="1736"/>
    </row>
    <row r="402" spans="2:17" hidden="1" x14ac:dyDescent="0.2">
      <c r="B402" s="1935"/>
      <c r="C402" s="1935"/>
      <c r="D402" s="1935"/>
      <c r="E402" s="1935"/>
      <c r="F402" s="1935"/>
      <c r="G402" s="1943"/>
      <c r="H402" s="1935"/>
      <c r="I402" s="1935"/>
      <c r="J402" s="1935"/>
      <c r="K402" s="1938"/>
      <c r="L402" s="1935"/>
      <c r="M402" s="1736"/>
      <c r="P402" s="1736"/>
      <c r="Q402" s="1736"/>
    </row>
    <row r="403" spans="2:17" hidden="1" x14ac:dyDescent="0.2">
      <c r="B403" s="1935"/>
      <c r="C403" s="1935"/>
      <c r="D403" s="1935"/>
      <c r="E403" s="1935"/>
      <c r="F403" s="1935"/>
      <c r="G403" s="1943"/>
      <c r="H403" s="1935"/>
      <c r="I403" s="1935"/>
      <c r="J403" s="1935"/>
      <c r="K403" s="1938"/>
      <c r="L403" s="1935"/>
      <c r="M403" s="1736"/>
      <c r="P403" s="1736"/>
      <c r="Q403" s="1736"/>
    </row>
    <row r="404" spans="2:17" hidden="1" x14ac:dyDescent="0.2">
      <c r="B404" s="1935"/>
      <c r="C404" s="1935"/>
      <c r="D404" s="1935"/>
      <c r="E404" s="1935"/>
      <c r="F404" s="1935"/>
      <c r="G404" s="1943"/>
      <c r="H404" s="1935"/>
      <c r="I404" s="1935"/>
      <c r="J404" s="1935"/>
      <c r="K404" s="1938"/>
      <c r="L404" s="1935"/>
      <c r="M404" s="1736"/>
      <c r="P404" s="1736"/>
      <c r="Q404" s="1736"/>
    </row>
    <row r="405" spans="2:17" hidden="1" x14ac:dyDescent="0.2">
      <c r="B405" s="1935"/>
      <c r="C405" s="1935"/>
      <c r="D405" s="1935"/>
      <c r="E405" s="1935"/>
      <c r="F405" s="1935"/>
      <c r="G405" s="1943"/>
      <c r="H405" s="1935"/>
      <c r="I405" s="1935"/>
      <c r="J405" s="1935"/>
      <c r="K405" s="1938"/>
      <c r="L405" s="1935"/>
      <c r="M405" s="1736"/>
      <c r="P405" s="1736"/>
      <c r="Q405" s="1736"/>
    </row>
    <row r="406" spans="2:17" hidden="1" x14ac:dyDescent="0.2">
      <c r="B406" s="1935"/>
      <c r="C406" s="1935"/>
      <c r="D406" s="1935"/>
      <c r="E406" s="1935"/>
      <c r="F406" s="1935"/>
      <c r="G406" s="1943"/>
      <c r="H406" s="1935"/>
      <c r="I406" s="1935"/>
      <c r="J406" s="1935"/>
      <c r="K406" s="1938"/>
      <c r="L406" s="1935"/>
      <c r="M406" s="1736"/>
      <c r="P406" s="1736"/>
      <c r="Q406" s="1736"/>
    </row>
    <row r="407" spans="2:17" hidden="1" x14ac:dyDescent="0.2">
      <c r="B407" s="1935"/>
      <c r="C407" s="1935"/>
      <c r="D407" s="1935"/>
      <c r="E407" s="1935"/>
      <c r="F407" s="1935"/>
      <c r="G407" s="1943"/>
      <c r="H407" s="1935"/>
      <c r="I407" s="1935"/>
      <c r="J407" s="1935"/>
      <c r="K407" s="1938"/>
      <c r="L407" s="1935"/>
      <c r="M407" s="1736"/>
      <c r="P407" s="1736"/>
      <c r="Q407" s="1736"/>
    </row>
    <row r="408" spans="2:17" hidden="1" x14ac:dyDescent="0.2">
      <c r="B408" s="1935"/>
      <c r="C408" s="1935"/>
      <c r="D408" s="1935"/>
      <c r="E408" s="1935"/>
      <c r="F408" s="1935"/>
      <c r="G408" s="1943"/>
      <c r="H408" s="1935"/>
      <c r="I408" s="1935"/>
      <c r="J408" s="1935"/>
      <c r="K408" s="1938"/>
      <c r="L408" s="1935"/>
      <c r="M408" s="1736"/>
      <c r="P408" s="1736"/>
      <c r="Q408" s="1736"/>
    </row>
    <row r="409" spans="2:17" hidden="1" x14ac:dyDescent="0.2">
      <c r="B409" s="1935"/>
      <c r="C409" s="1935"/>
      <c r="D409" s="1935"/>
      <c r="E409" s="1935"/>
      <c r="F409" s="1935"/>
      <c r="G409" s="1943"/>
      <c r="H409" s="1935"/>
      <c r="I409" s="1935"/>
      <c r="J409" s="1935"/>
      <c r="K409" s="1938"/>
      <c r="L409" s="1935"/>
      <c r="M409" s="1736"/>
      <c r="P409" s="1736"/>
      <c r="Q409" s="1736"/>
    </row>
    <row r="410" spans="2:17" hidden="1" x14ac:dyDescent="0.2">
      <c r="B410" s="1935"/>
      <c r="C410" s="1935"/>
      <c r="D410" s="1935"/>
      <c r="E410" s="1935"/>
      <c r="F410" s="1935"/>
      <c r="G410" s="1943"/>
      <c r="H410" s="1935"/>
      <c r="I410" s="1935"/>
      <c r="J410" s="1935"/>
      <c r="K410" s="1938"/>
      <c r="L410" s="1935"/>
      <c r="M410" s="1736"/>
      <c r="P410" s="1736"/>
      <c r="Q410" s="1736"/>
    </row>
    <row r="411" spans="2:17" hidden="1" x14ac:dyDescent="0.2">
      <c r="B411" s="1935"/>
      <c r="C411" s="1935"/>
      <c r="D411" s="1935"/>
      <c r="E411" s="1935"/>
      <c r="F411" s="1935"/>
      <c r="G411" s="1943"/>
      <c r="H411" s="1935"/>
      <c r="I411" s="1935"/>
      <c r="J411" s="1935"/>
      <c r="K411" s="1938"/>
      <c r="L411" s="1935"/>
      <c r="M411" s="1736"/>
      <c r="P411" s="1736"/>
      <c r="Q411" s="1736"/>
    </row>
    <row r="412" spans="2:17" hidden="1" x14ac:dyDescent="0.2">
      <c r="B412" s="1935"/>
      <c r="C412" s="1935"/>
      <c r="D412" s="1935"/>
      <c r="E412" s="1935"/>
      <c r="F412" s="1935"/>
      <c r="G412" s="1943"/>
      <c r="H412" s="1935"/>
      <c r="I412" s="1935"/>
      <c r="J412" s="1935"/>
      <c r="K412" s="1938"/>
      <c r="L412" s="1935"/>
      <c r="M412" s="1736"/>
      <c r="P412" s="1736"/>
      <c r="Q412" s="1736"/>
    </row>
    <row r="413" spans="2:17" hidden="1" x14ac:dyDescent="0.2">
      <c r="B413" s="1935"/>
      <c r="C413" s="1935"/>
      <c r="D413" s="1935"/>
      <c r="E413" s="1935"/>
      <c r="F413" s="1935"/>
      <c r="G413" s="1943"/>
      <c r="H413" s="1935"/>
      <c r="I413" s="1935"/>
      <c r="J413" s="1935"/>
      <c r="K413" s="1938"/>
      <c r="L413" s="1935"/>
      <c r="M413" s="1736"/>
      <c r="P413" s="1736"/>
      <c r="Q413" s="1736"/>
    </row>
    <row r="414" spans="2:17" hidden="1" x14ac:dyDescent="0.2">
      <c r="B414" s="1935"/>
      <c r="C414" s="1935"/>
      <c r="D414" s="1935"/>
      <c r="E414" s="1935"/>
      <c r="F414" s="1935"/>
      <c r="G414" s="1943"/>
      <c r="H414" s="1935"/>
      <c r="I414" s="1935"/>
      <c r="J414" s="1935"/>
      <c r="K414" s="1938"/>
      <c r="L414" s="1935"/>
      <c r="M414" s="1736"/>
      <c r="P414" s="1736"/>
      <c r="Q414" s="1736"/>
    </row>
    <row r="415" spans="2:17" hidden="1" x14ac:dyDescent="0.2">
      <c r="B415" s="1935"/>
      <c r="C415" s="1935"/>
      <c r="D415" s="1935"/>
      <c r="E415" s="1935"/>
      <c r="F415" s="1935"/>
      <c r="G415" s="1943"/>
      <c r="H415" s="1935"/>
      <c r="I415" s="1935"/>
      <c r="J415" s="1935"/>
      <c r="K415" s="1938"/>
      <c r="L415" s="1935"/>
      <c r="M415" s="1736"/>
      <c r="P415" s="1736"/>
      <c r="Q415" s="1736"/>
    </row>
    <row r="416" spans="2:17" hidden="1" x14ac:dyDescent="0.2">
      <c r="B416" s="1935"/>
      <c r="C416" s="1935"/>
      <c r="D416" s="1935"/>
      <c r="E416" s="1935"/>
      <c r="F416" s="1935"/>
      <c r="G416" s="1943"/>
      <c r="H416" s="1935"/>
      <c r="I416" s="1935"/>
      <c r="J416" s="1935"/>
      <c r="K416" s="1938"/>
      <c r="L416" s="1935"/>
      <c r="M416" s="1736"/>
      <c r="P416" s="1736"/>
      <c r="Q416" s="1736"/>
    </row>
    <row r="417" spans="2:17" hidden="1" x14ac:dyDescent="0.2">
      <c r="B417" s="1935"/>
      <c r="C417" s="1935"/>
      <c r="D417" s="1935"/>
      <c r="E417" s="1935"/>
      <c r="F417" s="1935"/>
      <c r="G417" s="1943"/>
      <c r="H417" s="1935"/>
      <c r="I417" s="1935"/>
      <c r="J417" s="1935"/>
      <c r="K417" s="1938"/>
      <c r="L417" s="1935"/>
      <c r="M417" s="1736"/>
      <c r="P417" s="1736"/>
      <c r="Q417" s="1736"/>
    </row>
    <row r="418" spans="2:17" hidden="1" x14ac:dyDescent="0.2">
      <c r="B418" s="1935"/>
      <c r="C418" s="1935"/>
      <c r="D418" s="1935"/>
      <c r="E418" s="1935"/>
      <c r="F418" s="1935"/>
      <c r="G418" s="1943"/>
      <c r="H418" s="1935"/>
      <c r="I418" s="1935"/>
      <c r="J418" s="1935"/>
      <c r="K418" s="1938"/>
      <c r="L418" s="1935"/>
      <c r="M418" s="1736"/>
      <c r="P418" s="1736"/>
      <c r="Q418" s="1736"/>
    </row>
    <row r="419" spans="2:17" hidden="1" x14ac:dyDescent="0.2">
      <c r="B419" s="1935"/>
      <c r="C419" s="1935"/>
      <c r="D419" s="1935"/>
      <c r="E419" s="1935"/>
      <c r="F419" s="1935"/>
      <c r="G419" s="1943"/>
      <c r="H419" s="1935"/>
      <c r="I419" s="1935"/>
      <c r="J419" s="1935"/>
      <c r="K419" s="1938"/>
      <c r="L419" s="1935"/>
      <c r="M419" s="1736"/>
      <c r="P419" s="1736"/>
      <c r="Q419" s="1736"/>
    </row>
    <row r="420" spans="2:17" hidden="1" x14ac:dyDescent="0.2">
      <c r="B420" s="1935"/>
      <c r="C420" s="1935"/>
      <c r="D420" s="1935"/>
      <c r="E420" s="1935"/>
      <c r="F420" s="1935"/>
      <c r="G420" s="1943"/>
      <c r="H420" s="1935"/>
      <c r="I420" s="1935"/>
      <c r="J420" s="1935"/>
      <c r="K420" s="1938"/>
      <c r="L420" s="1935"/>
      <c r="M420" s="1736"/>
      <c r="P420" s="1736"/>
      <c r="Q420" s="1736"/>
    </row>
    <row r="421" spans="2:17" hidden="1" x14ac:dyDescent="0.2">
      <c r="B421" s="1935"/>
      <c r="C421" s="1935"/>
      <c r="D421" s="1935"/>
      <c r="E421" s="1935"/>
      <c r="F421" s="1935"/>
      <c r="G421" s="1943"/>
      <c r="H421" s="1935"/>
      <c r="I421" s="1935"/>
      <c r="J421" s="1935"/>
      <c r="K421" s="1938"/>
      <c r="L421" s="1935"/>
      <c r="M421" s="1736"/>
      <c r="P421" s="1736"/>
      <c r="Q421" s="1736"/>
    </row>
    <row r="422" spans="2:17" hidden="1" x14ac:dyDescent="0.2">
      <c r="B422" s="1935"/>
      <c r="C422" s="1935"/>
      <c r="D422" s="1935"/>
      <c r="E422" s="1935"/>
      <c r="F422" s="1935"/>
      <c r="G422" s="1943"/>
      <c r="H422" s="1935"/>
      <c r="I422" s="1935"/>
      <c r="J422" s="1935"/>
      <c r="K422" s="1938"/>
      <c r="L422" s="1935"/>
      <c r="M422" s="1736"/>
      <c r="P422" s="1736"/>
      <c r="Q422" s="1736"/>
    </row>
    <row r="423" spans="2:17" hidden="1" x14ac:dyDescent="0.2">
      <c r="B423" s="1935"/>
      <c r="C423" s="1935"/>
      <c r="D423" s="1935"/>
      <c r="E423" s="1935"/>
      <c r="F423" s="1935"/>
      <c r="G423" s="1943"/>
      <c r="H423" s="1935"/>
      <c r="I423" s="1935"/>
      <c r="J423" s="1935"/>
      <c r="K423" s="1938"/>
      <c r="L423" s="1935"/>
      <c r="M423" s="1736"/>
      <c r="P423" s="1736"/>
      <c r="Q423" s="1736"/>
    </row>
    <row r="424" spans="2:17" hidden="1" x14ac:dyDescent="0.2">
      <c r="B424" s="1935"/>
      <c r="C424" s="1935"/>
      <c r="D424" s="1935"/>
      <c r="E424" s="1935"/>
      <c r="F424" s="1935"/>
      <c r="G424" s="1943"/>
      <c r="H424" s="1935"/>
      <c r="I424" s="1935"/>
      <c r="J424" s="1935"/>
      <c r="K424" s="1938"/>
      <c r="L424" s="1935"/>
      <c r="M424" s="1736"/>
      <c r="P424" s="1736"/>
      <c r="Q424" s="1736"/>
    </row>
    <row r="425" spans="2:17" hidden="1" x14ac:dyDescent="0.2">
      <c r="B425" s="1935"/>
      <c r="C425" s="1935"/>
      <c r="D425" s="1935"/>
      <c r="E425" s="1935"/>
      <c r="F425" s="1935"/>
      <c r="G425" s="1943"/>
      <c r="H425" s="1935"/>
      <c r="I425" s="1935"/>
      <c r="J425" s="1935"/>
      <c r="K425" s="1938"/>
      <c r="L425" s="1935"/>
      <c r="M425" s="1736"/>
      <c r="P425" s="1736"/>
      <c r="Q425" s="1736"/>
    </row>
    <row r="426" spans="2:17" hidden="1" x14ac:dyDescent="0.2">
      <c r="B426" s="1935"/>
      <c r="C426" s="1935"/>
      <c r="D426" s="1935"/>
      <c r="E426" s="1935"/>
      <c r="F426" s="1935"/>
      <c r="G426" s="1943"/>
      <c r="H426" s="1935"/>
      <c r="I426" s="1935"/>
      <c r="J426" s="1935"/>
      <c r="K426" s="1938"/>
      <c r="L426" s="1935"/>
      <c r="M426" s="1736"/>
      <c r="P426" s="1736"/>
      <c r="Q426" s="1736"/>
    </row>
    <row r="427" spans="2:17" hidden="1" x14ac:dyDescent="0.2">
      <c r="B427" s="1935"/>
      <c r="C427" s="1935"/>
      <c r="D427" s="1935"/>
      <c r="E427" s="1935"/>
      <c r="F427" s="1935"/>
      <c r="G427" s="1943"/>
      <c r="H427" s="1935"/>
      <c r="I427" s="1935"/>
      <c r="J427" s="1935"/>
      <c r="K427" s="1938"/>
      <c r="L427" s="1935"/>
      <c r="M427" s="1736"/>
      <c r="P427" s="1736"/>
      <c r="Q427" s="1736"/>
    </row>
    <row r="428" spans="2:17" x14ac:dyDescent="0.2">
      <c r="B428" s="1736"/>
      <c r="C428" s="1736"/>
      <c r="D428" s="1736"/>
      <c r="E428" s="1736"/>
      <c r="F428" s="1736"/>
      <c r="G428" s="1736"/>
      <c r="H428" s="1736"/>
      <c r="I428" s="1736"/>
      <c r="J428" s="1736"/>
      <c r="K428" s="1736"/>
      <c r="L428" s="1736"/>
      <c r="M428" s="1736"/>
      <c r="P428" s="1736"/>
      <c r="Q428" s="1736"/>
    </row>
    <row r="429" spans="2:17" s="3123" customFormat="1" x14ac:dyDescent="0.2">
      <c r="B429" s="5127" t="s">
        <v>10014</v>
      </c>
      <c r="C429" s="5128"/>
      <c r="D429" s="5128"/>
      <c r="E429" s="5128"/>
      <c r="F429" s="5128"/>
      <c r="G429" s="5128"/>
      <c r="H429" s="5128"/>
      <c r="I429" s="5128"/>
      <c r="J429" s="5128"/>
      <c r="K429" s="5129"/>
      <c r="L429" s="3601"/>
    </row>
    <row r="430" spans="2:17" s="3123" customFormat="1" x14ac:dyDescent="0.2">
      <c r="B430" s="3600"/>
      <c r="C430" s="3601"/>
      <c r="D430" s="3602"/>
      <c r="E430" s="3602"/>
      <c r="F430" s="3602"/>
      <c r="G430" s="3602"/>
      <c r="H430" s="3601"/>
      <c r="I430" s="3601"/>
      <c r="J430" s="3601"/>
      <c r="K430" s="3602"/>
      <c r="L430" s="3601"/>
      <c r="P430" s="3579" t="s">
        <v>9985</v>
      </c>
      <c r="Q430" s="1156">
        <f>Q252+Q168+N435+Q84</f>
      </c>
    </row>
    <row r="431" spans="2:17" s="3123" customFormat="1" x14ac:dyDescent="0.2">
      <c r="B431" s="3600"/>
      <c r="C431" s="3603" t="s">
        <v>7157</v>
      </c>
      <c r="D431" s="3602"/>
      <c r="E431" s="3602"/>
      <c r="F431" s="3602"/>
      <c r="G431" s="3602"/>
      <c r="H431" s="3604" t="s">
        <v>951</v>
      </c>
      <c r="I431" s="3607">
        <f>IF($W$1="n",H71,SUM(H71+H155+H239))</f>
      </c>
      <c r="J431" s="3601"/>
      <c r="K431" s="3602"/>
      <c r="L431" s="3601"/>
      <c r="P431" s="3579" t="s">
        <v>9986</v>
      </c>
      <c r="Q431" s="3580">
        <f>P252+P168+M435+P84</f>
      </c>
    </row>
    <row r="432" spans="2:17" s="3123" customFormat="1" x14ac:dyDescent="0.2">
      <c r="B432" s="3600"/>
      <c r="C432" s="3603"/>
      <c r="D432" s="3602"/>
      <c r="E432" s="3602"/>
      <c r="F432" s="3602"/>
      <c r="G432" s="3602"/>
      <c r="H432" s="3601"/>
      <c r="I432" s="3601"/>
      <c r="J432" s="3601"/>
      <c r="K432" s="3602"/>
      <c r="L432" s="3601"/>
    </row>
    <row r="433" spans="2:16" s="3123" customFormat="1" x14ac:dyDescent="0.2">
      <c r="B433" s="3600"/>
      <c r="C433" s="3603" t="s">
        <v>8079</v>
      </c>
      <c r="D433" s="3602"/>
      <c r="E433" s="3602"/>
      <c r="F433" s="3602"/>
      <c r="G433" s="3602"/>
      <c r="H433" s="3604" t="s">
        <v>951</v>
      </c>
      <c r="I433" s="3607">
        <f>IF($W$1="n",I76,SUM(I244+I160+I76))</f>
      </c>
      <c r="J433" s="3601"/>
      <c r="K433" s="3602"/>
      <c r="L433" s="3601"/>
    </row>
    <row r="434" spans="2:16" s="3123" customFormat="1" x14ac:dyDescent="0.2">
      <c r="B434" s="3600"/>
      <c r="C434" s="3601"/>
      <c r="D434" s="3602"/>
      <c r="E434" s="3602"/>
      <c r="F434" s="3602"/>
      <c r="G434" s="3602"/>
      <c r="H434" s="3601"/>
      <c r="I434" s="3601"/>
      <c r="J434" s="3601"/>
      <c r="K434" s="3602"/>
      <c r="L434" s="3601"/>
    </row>
    <row r="435" spans="2:16" s="3123" customFormat="1" x14ac:dyDescent="0.2">
      <c r="B435" s="3601"/>
      <c r="C435" s="3601"/>
      <c r="D435" s="3602"/>
      <c r="E435" s="3600" t="s">
        <v>4802</v>
      </c>
      <c r="F435" s="3602"/>
      <c r="G435" s="3601"/>
      <c r="H435" s="3601"/>
      <c r="I435" s="3608"/>
      <c r="J435" s="1928" t="str">
        <f>IF(Q430=0,"",IF(I435="",re,""))</f>
        <v/>
      </c>
      <c r="K435" s="3601"/>
      <c r="L435" s="2648"/>
      <c r="M435" s="3123">
        <f>IF(J435="",0,1)</f>
      </c>
      <c r="N435" s="3123">
        <f>IF(I435&gt;0,1,0)</f>
      </c>
    </row>
    <row r="436" spans="2:16" ht="19.149999999999999" customHeight="1" x14ac:dyDescent="0.2">
      <c r="B436" s="1935"/>
      <c r="C436" s="1935" t="str">
        <f>_xlfn.SINGLE(MTCA)</f>
      </c>
      <c r="D436" s="1935"/>
      <c r="E436" s="1935"/>
      <c r="F436" s="1935"/>
      <c r="G436" s="1943" t="str">
        <f>ver</f>
        <v>TA2_e-CO_2025_Ver 1.1</v>
      </c>
      <c r="H436" s="1935"/>
      <c r="I436" s="1935"/>
      <c r="J436" s="1935"/>
      <c r="K436" s="1938" t="s">
        <v>10017</v>
      </c>
      <c r="L436" s="1935"/>
      <c r="M436" s="1736"/>
      <c r="P436" s="1742">
        <f>IF(Q430=0,0,IF(Q431&gt;0,100,IF(I435="no",100,1)))</f>
      </c>
    </row>
    <row r="437" spans="2:16" ht="19.149999999999999" customHeight="1" x14ac:dyDescent="0.2">
      <c r="B437" s="1935"/>
      <c r="C437" s="1935"/>
      <c r="D437" s="1935"/>
      <c r="E437" s="1935"/>
      <c r="F437" s="1935"/>
      <c r="G437" s="1943"/>
      <c r="H437" s="1935"/>
      <c r="I437" s="1935"/>
      <c r="J437" s="1935"/>
      <c r="K437" s="1938"/>
      <c r="L437" s="1935"/>
      <c r="M437" s="1736"/>
      <c r="P437" s="1742"/>
    </row>
    <row r="438" spans="2:16" x14ac:dyDescent="0.2">
      <c r="C438" s="1771" t="s">
        <v>1700</v>
      </c>
    </row>
    <row r="439" spans="2:16" x14ac:dyDescent="0.2"/>
  </sheetData>
  <sheetProtection algorithmName="SHA-512" hashValue="6U6Zgd5ZkTRrcMy4J2lVuAzHl60JOWe8PfBuCfxuQIMyWN9v5QGTgDz0pVr/s/NuiFe3Jptq6XMpi2kFNkfOWA==" saltValue="HUxFCTRWdbJQx1W0nD6acw==" spinCount="100000" sheet="1" objects="1" scenarios="1"/>
  <sortState xmlns:xlrd2="http://schemas.microsoft.com/office/spreadsheetml/2017/richdata2" ref="BA2:BC25">
    <sortCondition ref="BB2:BB25"/>
  </sortState>
  <mergeCells count="25">
    <mergeCell ref="B1:I1"/>
    <mergeCell ref="S75:U75"/>
    <mergeCell ref="AD53:AF53"/>
    <mergeCell ref="AD60:AF60"/>
    <mergeCell ref="E23:J23"/>
    <mergeCell ref="E25:J25"/>
    <mergeCell ref="E29:J29"/>
    <mergeCell ref="F31:J31"/>
    <mergeCell ref="B171:I171"/>
    <mergeCell ref="E191:J191"/>
    <mergeCell ref="B87:I87"/>
    <mergeCell ref="E107:J107"/>
    <mergeCell ref="E109:J109"/>
    <mergeCell ref="E113:J113"/>
    <mergeCell ref="F115:J115"/>
    <mergeCell ref="AD221:AF221"/>
    <mergeCell ref="AD228:AF228"/>
    <mergeCell ref="AD137:AF137"/>
    <mergeCell ref="AD144:AF144"/>
    <mergeCell ref="S159:U159"/>
    <mergeCell ref="S243:U243"/>
    <mergeCell ref="B429:K429"/>
    <mergeCell ref="E193:J193"/>
    <mergeCell ref="E197:J197"/>
    <mergeCell ref="F199:J199"/>
  </mergeCells>
  <conditionalFormatting sqref="F43:F44">
    <cfRule type="expression" dxfId="428" priority="25">
      <formula>$AU$8&lt;&gt;2</formula>
    </cfRule>
  </conditionalFormatting>
  <conditionalFormatting sqref="F127:F128">
    <cfRule type="expression" dxfId="427" priority="16">
      <formula>$AU$92&lt;&gt;2</formula>
    </cfRule>
  </conditionalFormatting>
  <conditionalFormatting sqref="F211:F212">
    <cfRule type="expression" dxfId="426" priority="7">
      <formula>$AU$176&lt;&gt;2</formula>
    </cfRule>
  </conditionalFormatting>
  <conditionalFormatting sqref="G57 G59 H61">
    <cfRule type="expression" dxfId="425" priority="24">
      <formula>$I$14="No"</formula>
    </cfRule>
    <cfRule type="expression" dxfId="424" priority="29">
      <formula>$I$14="No"</formula>
    </cfRule>
  </conditionalFormatting>
  <conditionalFormatting sqref="G141 G143 H145">
    <cfRule type="expression" dxfId="423" priority="15">
      <formula>$I$98="No"</formula>
    </cfRule>
    <cfRule type="expression" dxfId="422" priority="17">
      <formula>$I$98="No"</formula>
    </cfRule>
  </conditionalFormatting>
  <conditionalFormatting sqref="G225 G227 H229">
    <cfRule type="expression" dxfId="421" priority="6">
      <formula>$I$182="No"</formula>
    </cfRule>
    <cfRule type="expression" dxfId="420" priority="8">
      <formula>$I$182="No"</formula>
    </cfRule>
  </conditionalFormatting>
  <conditionalFormatting sqref="H36:H37 H40">
    <cfRule type="expression" dxfId="419" priority="69">
      <formula>$AU$8&lt;&gt;1</formula>
    </cfRule>
  </conditionalFormatting>
  <conditionalFormatting sqref="H43">
    <cfRule type="expression" dxfId="418" priority="71">
      <formula>$AU$8&lt;&gt;2</formula>
    </cfRule>
  </conditionalFormatting>
  <conditionalFormatting sqref="H47">
    <cfRule type="expression" dxfId="417" priority="2">
      <formula>$H$34&gt;$AH$1</formula>
    </cfRule>
  </conditionalFormatting>
  <conditionalFormatting sqref="H48">
    <cfRule type="expression" dxfId="416" priority="75">
      <formula>$H$34&gt;$AH$1</formula>
    </cfRule>
  </conditionalFormatting>
  <conditionalFormatting sqref="H52">
    <cfRule type="expression" dxfId="415" priority="3">
      <formula>$H$34&gt;$AH$1</formula>
    </cfRule>
  </conditionalFormatting>
  <conditionalFormatting sqref="H66:H68">
    <cfRule type="expression" dxfId="414" priority="32">
      <formula>$G$21=ya</formula>
    </cfRule>
  </conditionalFormatting>
  <conditionalFormatting sqref="H120:H121 H124">
    <cfRule type="expression" dxfId="413" priority="4">
      <formula>$AU$92&lt;&gt;1</formula>
    </cfRule>
  </conditionalFormatting>
  <conditionalFormatting sqref="H127">
    <cfRule type="expression" dxfId="412" priority="20">
      <formula>$AU$92&lt;&gt;2</formula>
    </cfRule>
  </conditionalFormatting>
  <conditionalFormatting sqref="H131 H136">
    <cfRule type="expression" dxfId="411" priority="21">
      <formula>$H$118&gt;$AH$1</formula>
    </cfRule>
  </conditionalFormatting>
  <conditionalFormatting sqref="H132">
    <cfRule type="expression" dxfId="410" priority="22">
      <formula>$H$34&gt;$AH$1</formula>
    </cfRule>
  </conditionalFormatting>
  <conditionalFormatting sqref="H150:H152">
    <cfRule type="expression" dxfId="409" priority="18">
      <formula>$G$105=ya</formula>
    </cfRule>
  </conditionalFormatting>
  <conditionalFormatting sqref="H204:H205 H208">
    <cfRule type="expression" dxfId="408" priority="1">
      <formula>$AU$176&lt;&gt;1</formula>
    </cfRule>
  </conditionalFormatting>
  <conditionalFormatting sqref="H211">
    <cfRule type="expression" dxfId="407" priority="11">
      <formula>$AU$176&lt;&gt;2</formula>
    </cfRule>
  </conditionalFormatting>
  <conditionalFormatting sqref="H215 H220">
    <cfRule type="expression" dxfId="406" priority="12">
      <formula>$H$202&gt;$AH$1</formula>
    </cfRule>
  </conditionalFormatting>
  <conditionalFormatting sqref="H216">
    <cfRule type="expression" dxfId="405" priority="13">
      <formula>$H$34&gt;$AH$1</formula>
    </cfRule>
  </conditionalFormatting>
  <conditionalFormatting sqref="H234:H236">
    <cfRule type="expression" dxfId="404" priority="9">
      <formula>$G$189=ya</formula>
    </cfRule>
  </conditionalFormatting>
  <conditionalFormatting sqref="I12">
    <cfRule type="expression" dxfId="403" priority="23">
      <formula>$S$12=1</formula>
    </cfRule>
  </conditionalFormatting>
  <conditionalFormatting sqref="I96">
    <cfRule type="expression" dxfId="402" priority="14">
      <formula>$S$12=1</formula>
    </cfRule>
  </conditionalFormatting>
  <conditionalFormatting sqref="I180">
    <cfRule type="expression" dxfId="401" priority="5">
      <formula>$S$12=1</formula>
    </cfRule>
  </conditionalFormatting>
  <dataValidations count="25">
    <dataValidation type="whole" allowBlank="1" showInputMessage="1" showErrorMessage="1" errorTitle="Income relieved by a tax credit" error="Please enter a positive value that does not exceed the available tax credits!_x000a_" sqref="I76 I160 I244" xr:uid="{00000000-0002-0000-4900-000000000000}">
      <formula1>T76</formula1>
      <formula2>S76</formula2>
    </dataValidation>
    <dataValidation type="date" errorStyle="warning" allowBlank="1" showInputMessage="1" showErrorMessage="1" errorTitle="Date of certificate" error="Date is after the current year of assessment or 31/12/2020!_x000a_" sqref="J103 J187" xr:uid="{00000000-0002-0000-4900-000001000000}">
      <formula1>41821</formula1>
      <formula2>AE88</formula2>
    </dataValidation>
    <dataValidation type="date" errorStyle="warning" allowBlank="1" showInputMessage="1" showErrorMessage="1" errorTitle="Qualifying cost - wages cost" error="Date is after the current year of assessment of 31/12/2020" sqref="F128 F212" xr:uid="{00000000-0002-0000-4900-000002000000}">
      <formula1>41821</formula1>
      <formula2>AE88</formula2>
    </dataValidation>
    <dataValidation type="whole" allowBlank="1" showInputMessage="1" showErrorMessage="1" errorTitle="Approved assistance" error="Figure must be greater than 0 but must not exceed Total Available Investment Tax Credit" sqref="H71 H155 H239" xr:uid="{00000000-0002-0000-4900-000003000000}">
      <formula1>0</formula1>
      <formula2>H70</formula2>
    </dataValidation>
    <dataValidation type="date" errorStyle="warning" allowBlank="1" showInputMessage="1" showErrorMessage="1" errorTitle="Date of certificate" error="Date is after the current year of assessment or 31/12/2020!_x000a__x000a_" sqref="G143 G227" xr:uid="{00000000-0002-0000-4900-000004000000}">
      <formula1>41821</formula1>
      <formula2>AE88</formula2>
    </dataValidation>
    <dataValidation type="list" allowBlank="1" showInputMessage="1" showErrorMessage="1" sqref="J21 J105 J189" xr:uid="{00000000-0002-0000-4900-000005000000}">
      <formula1>$AM$1:$AM$4</formula1>
    </dataValidation>
    <dataValidation type="list" allowBlank="1" showInputMessage="1" showErrorMessage="1" sqref="F31:J31 F115:J115 F199:J199" xr:uid="{00000000-0002-0000-4900-000006000000}">
      <formula1>$AS$1:$AS$3</formula1>
    </dataValidation>
    <dataValidation type="list" allowBlank="1" showInputMessage="1" showErrorMessage="1" sqref="E29:J29 E197:J197 E113:J113" xr:uid="{00000000-0002-0000-4900-000007000000}">
      <formula1>$AM$32:$AM$36</formula1>
    </dataValidation>
    <dataValidation type="list" allowBlank="1" showInputMessage="1" showErrorMessage="1" sqref="G247 I14 G79 I182 I98 G163" xr:uid="{00000000-0002-0000-4900-000008000000}">
      <formula1>yn</formula1>
    </dataValidation>
    <dataValidation operator="lessThanOrEqual" allowBlank="1" showInputMessage="1" showErrorMessage="1" errorTitle="Approved assistance" error="Figure must be negative!" sqref="H72 H70 H156 H154 H240 H238" xr:uid="{00000000-0002-0000-4900-000009000000}"/>
    <dataValidation type="whole" operator="greaterThanOrEqual" allowBlank="1" showInputMessage="1" showErrorMessage="1" errorTitle="Unutilised tax credit c/fwd" error="Please enter a positive value" sqref="H74 H158 H242" xr:uid="{00000000-0002-0000-4900-00000A000000}">
      <formula1>0</formula1>
    </dataValidation>
    <dataValidation type="whole" operator="greaterThanOrEqual" allowBlank="1" showInputMessage="1" showErrorMessage="1" errorTitle="Approved assistance" error="Figure must be greater than or equal to 0!" sqref="H66 H68 H150 H152 H234 H236" xr:uid="{00000000-0002-0000-4900-00000B000000}">
      <formula1>0</formula1>
    </dataValidation>
    <dataValidation type="whole" operator="greaterThanOrEqual" allowBlank="1" showInputMessage="1" showErrorMessage="1" sqref="H64 L43:L44 L35:L41 J46:L46 J35:K44 H51 N42 N44 O42:O44 N31:N40 H48:L48 H46 H53 H35:H44 H148 L127:L128 L119:L125 J130:L130 J119:K128 H135 N126 N128 O126:O128 N115:N124 H132:L132 H130 H137 H119:H128 H232 L211:L212 L203:L209 J214:L214 J203:K212 H219 N210 N212 O210:O212 N199:N208 H216:L216 H214 H221 H203:H212" xr:uid="{00000000-0002-0000-4900-00000C000000}">
      <formula1>0</formula1>
    </dataValidation>
    <dataValidation type="textLength" operator="greaterThanOrEqual" allowBlank="1" showInputMessage="1" showErrorMessage="1" errorTitle="Certificate Reference" error="Enter correct reference!" sqref="G57 G19 G141 G103 G225 G187" xr:uid="{00000000-0002-0000-4900-00000D000000}">
      <formula1>6</formula1>
    </dataValidation>
    <dataValidation type="whole" operator="lessThanOrEqual" allowBlank="1" showInputMessage="1" showErrorMessage="1" errorTitle="Assistance entitlement claimed" error="Please enter a -ve amount!" sqref="H52 J215:L215 N43 J47:L47 H131 H136 N127 J131:L131 H215 H220 N211 H47" xr:uid="{00000000-0002-0000-4900-00000E000000}">
      <formula1>0</formula1>
    </dataValidation>
    <dataValidation type="textLength" operator="greaterThanOrEqual" allowBlank="1" showInputMessage="1" showErrorMessage="1" errorTitle="Qualifying cost - wages cost" error="Enter correct reference!" sqref="F43 F127 F211" xr:uid="{00000000-0002-0000-4900-00000F000000}">
      <formula1>6</formula1>
    </dataValidation>
    <dataValidation type="whole" operator="greaterThanOrEqual" allowBlank="1" showInputMessage="1" showErrorMessage="1" errorTitle="Certificate Reference" error="Enter positive whole number!" sqref="H61 H145 H229" xr:uid="{00000000-0002-0000-4900-000010000000}">
      <formula1>0</formula1>
    </dataValidation>
    <dataValidation type="whole" allowBlank="1" showInputMessage="1" showErrorMessage="1" errorTitle="First year of assessment" error="Cannot be less than Y/A 2015 or greater than current Y/A!" sqref="G21 G105 G189" xr:uid="{00000000-0002-0000-4900-000011000000}">
      <formula1>2015</formula1>
      <formula2>ya</formula2>
    </dataValidation>
    <dataValidation type="list" allowBlank="1" showInputMessage="1" showErrorMessage="1" errorTitle="Dropdown list" error="Choose an item from the list! " sqref="I12 I96 I180" xr:uid="{00000000-0002-0000-4900-000012000000}">
      <formula1>FU</formula1>
    </dataValidation>
    <dataValidation type="date" errorStyle="warning" allowBlank="1" showInputMessage="1" showErrorMessage="1" errorTitle="Date of certificate" error="Date is after the current year of assessment or 31/12/2020!_x000a_" sqref="J19" xr:uid="{00000000-0002-0000-4900-000013000000}">
      <formula1>41821</formula1>
      <formula2>AE2</formula2>
    </dataValidation>
    <dataValidation type="date" errorStyle="warning" allowBlank="1" showInputMessage="1" showErrorMessage="1" errorTitle="Qualifying cost - wages cost" error="Date is after the current year of assessment of 31/12/2020" sqref="F44" xr:uid="{00000000-0002-0000-4900-000014000000}">
      <formula1>41821</formula1>
      <formula2>AE2</formula2>
    </dataValidation>
    <dataValidation type="date" errorStyle="warning" allowBlank="1" showInputMessage="1" showErrorMessage="1" errorTitle="Date of certificate" error="Date is after the current year of assessment or 31/12/2020!_x000a__x000a_" sqref="G59" xr:uid="{00000000-0002-0000-4900-000015000000}">
      <formula1>41821</formula1>
      <formula2>AE2</formula2>
    </dataValidation>
    <dataValidation type="list" allowBlank="1" showInputMessage="1" showErrorMessage="1" sqref="E25:J25 E109:J109 E193:J193" xr:uid="{00000000-0002-0000-4900-000016000000}">
      <formula1>$AK$1:$AK$17</formula1>
    </dataValidation>
    <dataValidation type="list" allowBlank="1" showInputMessage="1" showErrorMessage="1" sqref="E23:J23 E191:J191 E107:J107" xr:uid="{00000000-0002-0000-4900-000017000000}">
      <formula1>$BA$1:$BA$25</formula1>
    </dataValidation>
    <dataValidation type="list" showInputMessage="1" showErrorMessage="1" sqref="I435" xr:uid="{00000000-0002-0000-4900-000018000000}">
      <formula1>yn</formula1>
    </dataValidation>
  </dataValidations>
  <hyperlinks>
    <hyperlink ref="C438" location="Index!A1" display="BACK TO INDEX" xr:uid="{00000000-0004-0000-4900-000000000000}"/>
    <hyperlink ref="H431" location="'TRA35'!A1" display="TRA 35" xr:uid="{00000000-0004-0000-4900-000001000000}"/>
    <hyperlink ref="H433" location="'TRA35'!A1" display="TRA 35" xr:uid="{00000000-0004-0000-4900-000002000000}"/>
  </hyperlinks>
  <pageMargins left="7.874015748031496E-2" right="7.874015748031496E-2" top="0.19685039370078741" bottom="0.31496062992125984" header="0.15748031496062992" footer="0.31496062992125984"/>
  <pageSetup paperSize="9" scale="85" orientation="portrait" r:id="rId1"/>
  <headerFooter>
    <oddFooter>&amp;LName&amp;CSignature&amp;RDate</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3"/>
  <dimension ref="A1:CJ45"/>
  <sheetViews>
    <sheetView showGridLines="0" topLeftCell="B1" zoomScale="120" zoomScaleNormal="120" workbookViewId="0">
      <selection activeCell="B1" sqref="B1"/>
    </sheetView>
  </sheetViews>
  <sheetFormatPr defaultColWidth="0" defaultRowHeight="12.75" customHeight="1" zeroHeight="1" x14ac:dyDescent="0.2"/>
  <cols>
    <col min="1" max="1" width="0" style="1736" hidden="1" customWidth="1"/>
    <col min="2" max="2" width="0.5703125" style="1736" customWidth="1"/>
    <col min="3" max="3" width="31.28515625" style="1736" customWidth="1"/>
    <col min="4" max="4" width="18.7109375" style="1736" customWidth="1"/>
    <col min="5" max="5" width="18.28515625" style="1736" customWidth="1"/>
    <col min="6" max="6" width="16.7109375" style="1736" customWidth="1"/>
    <col min="7" max="7" width="10.5703125" style="1736" customWidth="1"/>
    <col min="8" max="8" width="13" style="1736" customWidth="1"/>
    <col min="9" max="9" width="0.5703125" style="1736" customWidth="1"/>
    <col min="10" max="10" width="3.7109375" style="1736" hidden="1" customWidth="1"/>
    <col min="11" max="11" width="8.7109375" style="1736" hidden="1" customWidth="1"/>
    <col min="12" max="12" width="6.28515625" style="1736" hidden="1" customWidth="1"/>
    <col min="13" max="13" width="1.42578125" style="1736" hidden="1" customWidth="1"/>
    <col min="14" max="14" width="8.7109375" style="1736" hidden="1" customWidth="1"/>
    <col min="15" max="15" width="9.28515625" style="1736" hidden="1" customWidth="1"/>
    <col min="16" max="16" width="10.7109375" style="1736" hidden="1" customWidth="1"/>
    <col min="17" max="17" width="8.7109375" style="1736" hidden="1" customWidth="1"/>
    <col min="18" max="19" width="2" style="1736" hidden="1" customWidth="1"/>
    <col min="20" max="20" width="10.7109375" style="1736" hidden="1" customWidth="1"/>
    <col min="21" max="21" width="13.28515625" style="1736" hidden="1" customWidth="1"/>
    <col min="22" max="22" width="14" style="1736" hidden="1" customWidth="1"/>
    <col min="23" max="24" width="9.28515625" style="1736" hidden="1" customWidth="1"/>
    <col min="25" max="25" width="4.28515625" style="1736" hidden="1" customWidth="1"/>
    <col min="26" max="26" width="57.7109375" style="1736" hidden="1" customWidth="1"/>
    <col min="27" max="27" width="22.28515625" style="1736" hidden="1" customWidth="1"/>
    <col min="28" max="28" width="57.7109375" style="1736" hidden="1" customWidth="1"/>
    <col min="29" max="29" width="10.28515625" style="1736" hidden="1" customWidth="1"/>
    <col min="30" max="32" width="8.28515625" style="1736" hidden="1" customWidth="1"/>
    <col min="33" max="40" width="9.28515625" style="1736" hidden="1" customWidth="1"/>
    <col min="41" max="41" width="55.7109375" style="1736" hidden="1" customWidth="1"/>
    <col min="42" max="82" width="9.28515625" style="1736" hidden="1" customWidth="1"/>
    <col min="83" max="83" width="14.42578125" style="1736" hidden="1" customWidth="1"/>
    <col min="84" max="88" width="10.28515625" style="1736" hidden="1" customWidth="1"/>
    <col min="89" max="16384" width="9.28515625" style="1736" hidden="1"/>
  </cols>
  <sheetData>
    <row r="1" spans="3:28" x14ac:dyDescent="0.2">
      <c r="AA1" s="1736" t="str">
        <f>CONCATENATE(C4," - ",C5)</f>
      </c>
    </row>
    <row r="2" spans="3:28" x14ac:dyDescent="0.2">
      <c r="C2" s="5120" t="str">
        <f>_ref1</f>
      </c>
      <c r="D2" s="5120"/>
      <c r="E2" s="5120"/>
      <c r="F2" s="5120"/>
      <c r="H2" s="1760" t="str">
        <f>_YA1</f>
      </c>
      <c r="K2" s="30"/>
      <c r="L2" s="1518"/>
      <c r="O2" s="1736" t="str">
        <f>cur</f>
      </c>
    </row>
    <row r="3" spans="3:28" x14ac:dyDescent="0.2">
      <c r="K3" s="30"/>
      <c r="L3" s="1518"/>
      <c r="O3" s="1736" t="s">
        <v>4591</v>
      </c>
      <c r="V3" s="1736" t="s">
        <v>724</v>
      </c>
      <c r="AB3" s="1736" t="s">
        <v>4591</v>
      </c>
    </row>
    <row r="4" spans="3:28" ht="18" x14ac:dyDescent="0.25">
      <c r="C4" s="772" t="s">
        <v>10147</v>
      </c>
      <c r="D4" s="1772"/>
      <c r="E4" s="1772"/>
      <c r="F4" s="1772"/>
      <c r="G4" s="1772"/>
      <c r="H4" s="1773"/>
      <c r="K4" s="30"/>
      <c r="L4" s="1518"/>
      <c r="Y4" s="1736" t="s">
        <v>4457</v>
      </c>
    </row>
    <row r="5" spans="3:28" ht="18" x14ac:dyDescent="0.25">
      <c r="C5" s="807" t="s">
        <v>10148</v>
      </c>
      <c r="D5" s="1774"/>
      <c r="E5" s="1774"/>
      <c r="F5" s="1774"/>
      <c r="G5" s="1774"/>
      <c r="H5" s="1775"/>
      <c r="K5" s="30"/>
      <c r="L5" s="1518"/>
      <c r="N5" s="1736" t="str">
        <f>nd</f>
        <v xml:space="preserve"> No deduction!</v>
      </c>
      <c r="R5" s="1736">
        <v>1</v>
      </c>
      <c r="Y5" s="1736" t="s">
        <v>1736</v>
      </c>
    </row>
    <row r="6" spans="3:28" ht="3.75" customHeight="1" x14ac:dyDescent="0.2"/>
    <row r="7" spans="3:28" x14ac:dyDescent="0.2">
      <c r="C7" s="5133" t="s">
        <v>7081</v>
      </c>
      <c r="D7" s="5134"/>
      <c r="E7" s="5134"/>
      <c r="F7" s="5134"/>
      <c r="G7" s="5134"/>
      <c r="H7" s="5135"/>
      <c r="I7" s="1776"/>
      <c r="J7" s="1776"/>
    </row>
    <row r="8" spans="3:28" ht="5.25" customHeight="1" x14ac:dyDescent="0.2">
      <c r="C8" s="1745"/>
      <c r="D8" s="1745"/>
      <c r="E8" s="1745"/>
      <c r="F8" s="1745"/>
      <c r="G8" s="1745"/>
      <c r="H8" s="1745"/>
      <c r="I8" s="1776"/>
      <c r="J8" s="1776"/>
    </row>
    <row r="9" spans="3:28" x14ac:dyDescent="0.2">
      <c r="C9" s="1885" t="s">
        <v>7188</v>
      </c>
      <c r="D9" s="1861"/>
      <c r="E9" s="1861"/>
      <c r="F9" s="1861"/>
      <c r="G9" s="1861"/>
      <c r="H9" s="1861"/>
      <c r="I9" s="1776"/>
      <c r="J9" s="1776"/>
    </row>
    <row r="10" spans="3:28" x14ac:dyDescent="0.2">
      <c r="C10" s="1745"/>
      <c r="D10" s="1745"/>
      <c r="E10" s="1745"/>
      <c r="F10" s="1745"/>
      <c r="G10" s="1745"/>
      <c r="H10" s="1745"/>
      <c r="K10" s="1736" t="s">
        <v>6976</v>
      </c>
      <c r="L10" s="1736" t="s">
        <v>6977</v>
      </c>
    </row>
    <row r="11" spans="3:28" x14ac:dyDescent="0.2">
      <c r="C11" s="1795" t="s">
        <v>368</v>
      </c>
      <c r="D11" s="1745"/>
      <c r="E11" s="1796"/>
      <c r="F11" s="1745"/>
      <c r="G11" s="1894"/>
      <c r="H11" s="1794" t="str">
        <f>IF(AND(G11="",L26&lt;&gt;0),re,"")</f>
        <v/>
      </c>
      <c r="I11" s="545"/>
      <c r="J11" s="30"/>
      <c r="K11" s="1736">
        <f>IF(H11="",0,1)</f>
      </c>
      <c r="L11" s="1736">
        <f>IF(G11="",0,1)</f>
      </c>
    </row>
    <row r="12" spans="3:28" ht="4.5" customHeight="1" x14ac:dyDescent="0.2">
      <c r="C12" s="1797"/>
      <c r="D12" s="1797"/>
      <c r="E12" s="1797"/>
      <c r="F12" s="1745"/>
      <c r="G12" s="1797"/>
      <c r="H12" s="1794"/>
      <c r="I12" s="30"/>
      <c r="J12" s="30"/>
    </row>
    <row r="13" spans="3:28" x14ac:dyDescent="0.2">
      <c r="C13" s="1795" t="s">
        <v>133</v>
      </c>
      <c r="D13" s="1798"/>
      <c r="E13" s="1798"/>
      <c r="F13" s="1745"/>
      <c r="G13" s="275"/>
      <c r="H13" s="1800" t="str">
        <f>IF($L$26=0,"",IF(G13="",re,IF(G13="No",nd,"")))</f>
        <v/>
      </c>
      <c r="I13" s="1777"/>
      <c r="J13" s="1777"/>
      <c r="K13" s="1736">
        <f>IF(H13="",0,1)</f>
      </c>
      <c r="L13" s="1736">
        <f>IF(G13="",0,1)</f>
      </c>
      <c r="V13" s="1736">
        <v>0</v>
      </c>
    </row>
    <row r="14" spans="3:28" x14ac:dyDescent="0.2">
      <c r="C14" s="1799" t="s">
        <v>7082</v>
      </c>
      <c r="D14" s="1745"/>
      <c r="E14" s="1745"/>
      <c r="F14" s="1745"/>
      <c r="G14" s="1745"/>
      <c r="H14" s="1746"/>
    </row>
    <row r="15" spans="3:28" x14ac:dyDescent="0.2">
      <c r="C15" s="1745"/>
      <c r="D15" s="1745"/>
      <c r="E15" s="1745"/>
      <c r="F15" s="1745"/>
      <c r="G15" s="1745"/>
      <c r="H15" s="1746"/>
      <c r="L15" s="1742"/>
    </row>
    <row r="16" spans="3:28" ht="25.5" x14ac:dyDescent="0.2">
      <c r="C16" s="1745"/>
      <c r="D16" s="400" t="s">
        <v>6933</v>
      </c>
      <c r="E16" s="400" t="s">
        <v>7083</v>
      </c>
      <c r="F16" s="400" t="s">
        <v>4738</v>
      </c>
      <c r="G16" s="1804"/>
      <c r="H16" s="1745"/>
      <c r="L16" s="1742"/>
      <c r="N16" s="1778" t="s">
        <v>7084</v>
      </c>
      <c r="O16" s="1778" t="s">
        <v>3206</v>
      </c>
      <c r="P16" s="1778" t="s">
        <v>6982</v>
      </c>
      <c r="Q16" s="1778" t="s">
        <v>4738</v>
      </c>
    </row>
    <row r="17" spans="3:30" x14ac:dyDescent="0.2">
      <c r="C17" s="1745"/>
      <c r="D17" s="202"/>
      <c r="E17" s="201"/>
      <c r="F17" s="339"/>
      <c r="G17" s="1886" t="str">
        <f>IF(P17&gt;$G$11,"",IF(AND($G$11&gt;=P17,N17=0),re,IF(N17&lt;&gt;3,md,"")))</f>
        <v/>
      </c>
      <c r="H17" s="1745"/>
      <c r="K17" s="1736">
        <f>IF(G17="",0,1)</f>
      </c>
      <c r="L17" s="1736">
        <f>IF(N17=0,0,1)</f>
      </c>
      <c r="N17" s="1736">
        <f>COUNTA(D17:F17)</f>
      </c>
      <c r="O17" s="1736">
        <v>1</v>
      </c>
      <c r="P17" s="1736">
        <f>O17</f>
      </c>
      <c r="Q17" s="1887">
        <f>IF(OR($G$11&lt;P17,K17=1),0,F17)</f>
      </c>
      <c r="AA17" s="1761"/>
      <c r="AB17" s="1888"/>
      <c r="AC17" s="1888">
        <f>DATE(ya-2,1,2)</f>
      </c>
      <c r="AD17" s="1888">
        <v>42004</v>
      </c>
    </row>
    <row r="18" spans="3:30" x14ac:dyDescent="0.2">
      <c r="C18" s="1745"/>
      <c r="D18" s="202"/>
      <c r="E18" s="201"/>
      <c r="F18" s="339"/>
      <c r="G18" s="1886" t="str">
        <f>IF(P18&gt;$G$11,"",IF(AND($G$11&gt;=P18,N18=0),re,IF(N18&lt;&gt;3,md,"")))</f>
        <v/>
      </c>
      <c r="H18" s="1745"/>
      <c r="K18" s="1736">
        <f>IF(G18="",0,1)</f>
      </c>
      <c r="L18" s="1736">
        <f>IF(N18=0,0,1)</f>
      </c>
      <c r="N18" s="1736">
        <f>COUNTA(D18:F18)</f>
      </c>
      <c r="O18" s="1736">
        <v>1</v>
      </c>
      <c r="P18" s="1736">
        <f>O18+P17</f>
      </c>
      <c r="Q18" s="1887">
        <f>IF(OR($G$11&lt;P18,K18=1),0,F18)</f>
      </c>
    </row>
    <row r="19" spans="3:30" x14ac:dyDescent="0.2">
      <c r="C19" s="1745"/>
      <c r="D19" s="202"/>
      <c r="E19" s="201"/>
      <c r="F19" s="339"/>
      <c r="G19" s="1886" t="str">
        <f>IF(P19&gt;$G$11,"",IF(AND($G$11&gt;=P19,N19=0),re,IF(N19&lt;&gt;3,md,"")))</f>
        <v/>
      </c>
      <c r="H19" s="1745"/>
      <c r="K19" s="1736">
        <f>IF(G19="",0,1)</f>
      </c>
      <c r="L19" s="1736">
        <f>IF(N19=0,0,1)</f>
      </c>
      <c r="N19" s="1736">
        <f>COUNTA(D19:F19)</f>
      </c>
      <c r="O19" s="1736">
        <v>1</v>
      </c>
      <c r="P19" s="1736">
        <f>O19+P18</f>
      </c>
      <c r="Q19" s="1887">
        <f>IF(OR($G$11&lt;P19,K19=1),0,F19)</f>
      </c>
    </row>
    <row r="20" spans="3:30" x14ac:dyDescent="0.2">
      <c r="C20" s="1745"/>
      <c r="D20" s="202"/>
      <c r="E20" s="201"/>
      <c r="F20" s="339"/>
      <c r="G20" s="1886" t="str">
        <f>IF(P20&gt;$G$11,"",IF(AND($G$11&gt;=P20,N20=0),re,IF(N20&lt;&gt;3,md,"")))</f>
        <v/>
      </c>
      <c r="H20" s="1745"/>
      <c r="K20" s="1736">
        <f>IF(G20="",0,1)</f>
      </c>
      <c r="L20" s="1736">
        <f>IF(N20=0,0,1)</f>
      </c>
      <c r="N20" s="1736">
        <f>COUNTA(D20:F20)</f>
      </c>
      <c r="O20" s="1736">
        <v>1</v>
      </c>
      <c r="P20" s="1736">
        <f>O20+P19</f>
      </c>
      <c r="Q20" s="1887">
        <f>IF(OR($G$11&lt;P20,K20=1),0,F20)</f>
      </c>
    </row>
    <row r="21" spans="3:30" x14ac:dyDescent="0.2">
      <c r="C21" s="1745"/>
      <c r="D21" s="5136" t="s">
        <v>7085</v>
      </c>
      <c r="E21" s="5137"/>
      <c r="F21" s="1889">
        <f>Q21</f>
      </c>
      <c r="G21" s="1886" t="str">
        <f>IF(F21=0,"",IF(AND(F21&lt;2000,O3=O2),"Less than €2,000!",""))</f>
        <v/>
      </c>
      <c r="H21" s="1745"/>
      <c r="K21" s="1736">
        <f>IF(G21="",0,1)</f>
      </c>
      <c r="L21" s="1742"/>
      <c r="O21" s="1736">
        <f>SUM(O17:O20)</f>
      </c>
      <c r="Q21" s="1887">
        <f>SUM(Q17:Q20)</f>
      </c>
    </row>
    <row r="22" spans="3:30" x14ac:dyDescent="0.2">
      <c r="C22" s="1745"/>
      <c r="D22" s="1890"/>
      <c r="E22" s="1890"/>
      <c r="F22" s="1890"/>
      <c r="G22" s="1891"/>
      <c r="H22" s="1890"/>
      <c r="I22" s="1892"/>
      <c r="J22" s="1892"/>
      <c r="L22" s="1742"/>
      <c r="P22" s="1736" t="s">
        <v>7086</v>
      </c>
      <c r="Q22" s="1887">
        <f>IF(Q21&lt;2000,0,Q21/2)</f>
      </c>
    </row>
    <row r="23" spans="3:30" x14ac:dyDescent="0.2">
      <c r="C23" s="5138" t="str">
        <f>CONCATENATE("Total donation(s) being claimed as a deduction for ",_YA1)</f>
      </c>
      <c r="D23" s="5139"/>
      <c r="E23" s="5139"/>
      <c r="F23" s="1779" t="s">
        <v>3130</v>
      </c>
      <c r="G23" s="339"/>
      <c r="H23" s="1800" t="str">
        <f>IF($L$26=0,"",IF(G23="",re,IF(H13=nd,nd,IF(AND(G23&gt;F21,O3=O2),"Excessive!",""))))</f>
        <v/>
      </c>
      <c r="K23" s="1736">
        <f>IF(H23="",0,1)</f>
      </c>
      <c r="L23" s="1736">
        <f>IF(G23="",0,1)</f>
      </c>
      <c r="N23" s="1736">
        <f>IF(K23="",0,1)</f>
      </c>
      <c r="P23" s="1948" t="s">
        <v>7331</v>
      </c>
      <c r="Q23" s="1887"/>
      <c r="V23" s="1736">
        <f>IF(K23=ck,1,0)</f>
      </c>
    </row>
    <row r="24" spans="3:30" x14ac:dyDescent="0.2">
      <c r="C24" s="1802"/>
      <c r="D24" s="1745"/>
      <c r="E24" s="1745"/>
      <c r="F24" s="1745"/>
      <c r="G24" s="1803">
        <f>Q22</f>
      </c>
      <c r="H24" s="1745"/>
      <c r="Q24" s="1736">
        <f>IF(H13=nd,0,Q23)</f>
      </c>
    </row>
    <row r="25" spans="3:30" x14ac:dyDescent="0.2">
      <c r="C25" s="1745"/>
      <c r="D25" s="1801" t="s">
        <v>4456</v>
      </c>
      <c r="E25" s="275"/>
      <c r="F25" s="1841" t="str">
        <f>IF(AND(E25="",L26&gt;1),re,"")</f>
        <v/>
      </c>
      <c r="G25" s="1893"/>
      <c r="H25" s="1745"/>
      <c r="K25" s="1736">
        <f>IF(F25="",0,1)</f>
      </c>
      <c r="L25" s="1736">
        <f>IF(E25="",0,1)</f>
      </c>
      <c r="N25" s="1736">
        <f>SUM(N11:N23)</f>
      </c>
      <c r="V25" s="1736">
        <f>SUM(V13:V23)</f>
      </c>
    </row>
    <row r="26" spans="3:30" x14ac:dyDescent="0.2">
      <c r="C26" s="1745"/>
      <c r="D26" s="1801"/>
      <c r="E26" s="1893"/>
      <c r="F26" s="1745"/>
      <c r="G26" s="1893"/>
      <c r="H26" s="1745"/>
      <c r="K26" s="1848">
        <f>SUM(K11:K25)</f>
      </c>
      <c r="L26" s="1848">
        <f>SUM(L11:L25)</f>
      </c>
    </row>
    <row r="27" spans="3:30" s="66" customFormat="1" x14ac:dyDescent="0.2">
      <c r="C27" s="66" t="str">
        <f>_xlfn.SINGLE(MTCA)</f>
      </c>
      <c r="E27" s="1517" t="str">
        <f>ver</f>
        <v>TA2_e-CO_2025_Ver 1.1</v>
      </c>
      <c r="H27" s="1517" t="s">
        <v>7087</v>
      </c>
      <c r="I27" s="1517"/>
      <c r="J27" s="1517"/>
      <c r="K27" s="1736">
        <f>IF(L26=0,0,IF(K26&gt;0,100,IF(E25="no",100,1)))</f>
      </c>
      <c r="L27" s="1879"/>
    </row>
    <row r="28" spans="3:30" x14ac:dyDescent="0.2">
      <c r="C28" s="1336" t="s">
        <v>1700</v>
      </c>
      <c r="L28" s="1742"/>
    </row>
    <row r="29" spans="3:30" x14ac:dyDescent="0.2">
      <c r="L29" s="1742"/>
    </row>
    <row r="30" spans="3:30" hidden="1" x14ac:dyDescent="0.2">
      <c r="L30" s="1742"/>
    </row>
    <row r="31" spans="3:30" hidden="1" x14ac:dyDescent="0.2">
      <c r="L31" s="1742"/>
    </row>
    <row r="32" spans="3:30" hidden="1" x14ac:dyDescent="0.2">
      <c r="L32" s="1742"/>
    </row>
    <row r="33" spans="12:12" hidden="1" x14ac:dyDescent="0.2">
      <c r="L33" s="1742"/>
    </row>
    <row r="34" spans="12:12" hidden="1" x14ac:dyDescent="0.2">
      <c r="L34" s="1742"/>
    </row>
    <row r="35" spans="12:12" hidden="1" x14ac:dyDescent="0.2">
      <c r="L35" s="1742"/>
    </row>
    <row r="36" spans="12:12" hidden="1" x14ac:dyDescent="0.2">
      <c r="L36" s="1742"/>
    </row>
    <row r="37" spans="12:12" hidden="1" x14ac:dyDescent="0.2"/>
    <row r="38" spans="12:12" hidden="1" x14ac:dyDescent="0.2"/>
    <row r="39" spans="12:12" hidden="1" x14ac:dyDescent="0.2"/>
    <row r="40" spans="12:12" hidden="1" x14ac:dyDescent="0.2"/>
    <row r="41" spans="12:12" hidden="1" x14ac:dyDescent="0.2"/>
    <row r="42" spans="12:12" hidden="1" x14ac:dyDescent="0.2"/>
    <row r="43" spans="12:12" hidden="1" x14ac:dyDescent="0.2"/>
    <row r="44" spans="12:12" hidden="1" x14ac:dyDescent="0.2"/>
    <row r="45" spans="12:12" hidden="1" x14ac:dyDescent="0.2"/>
  </sheetData>
  <sheetProtection algorithmName="SHA-512" hashValue="KGMizmmuBWQd6qR1p7nEeZo9wmT/Q3MhAxXO8konolL1lXKuvq0scJQ248bLCJKObvecf4jeV/Ty21vLF6cWGA==" saltValue="jRtJYOo7VWqzh6T6oAmqiw==" spinCount="100000" sheet="1" objects="1" scenarios="1"/>
  <mergeCells count="4">
    <mergeCell ref="C2:F2"/>
    <mergeCell ref="C7:H7"/>
    <mergeCell ref="D21:E21"/>
    <mergeCell ref="C23:E23"/>
  </mergeCells>
  <conditionalFormatting sqref="D18:D20">
    <cfRule type="expression" dxfId="400" priority="1">
      <formula>$P$18&gt;$G$11</formula>
    </cfRule>
  </conditionalFormatting>
  <conditionalFormatting sqref="D17:F17">
    <cfRule type="expression" dxfId="399" priority="4">
      <formula>$P$17&gt;$G$11</formula>
    </cfRule>
  </conditionalFormatting>
  <conditionalFormatting sqref="E18:F18">
    <cfRule type="expression" dxfId="398" priority="5">
      <formula>$P$18&gt;$G$11</formula>
    </cfRule>
  </conditionalFormatting>
  <conditionalFormatting sqref="E19:F19">
    <cfRule type="expression" dxfId="397" priority="7">
      <formula>$P$19&gt;$G$11</formula>
    </cfRule>
  </conditionalFormatting>
  <conditionalFormatting sqref="E20:F20">
    <cfRule type="expression" dxfId="396" priority="6">
      <formula>$P$20&gt;$G$11</formula>
    </cfRule>
  </conditionalFormatting>
  <conditionalFormatting sqref="H13 H23">
    <cfRule type="expression" dxfId="395" priority="8" stopIfTrue="1">
      <formula>$H$13=nd</formula>
    </cfRule>
  </conditionalFormatting>
  <dataValidations count="6">
    <dataValidation type="date" allowBlank="1" showInputMessage="1" showErrorMessage="1" errorTitle="Date of Donation" error="Enter a proper date within the current year of assessment" sqref="D17:D20" xr:uid="{00000000-0002-0000-4A00-000000000000}">
      <formula1>$AC$17</formula1>
      <formula2>DATE(ya-1,12,31)</formula2>
    </dataValidation>
    <dataValidation errorStyle="warning" allowBlank="1" showInputMessage="1" showErrorMessage="1" errorTitle="Date of Donation" error="The date must be within the dates indicated on page 1_x000a_OR_x000a_Between 1 January and 31 December of the year for which the return is being filled!" sqref="D22:F22 H22:J22 D21" xr:uid="{00000000-0002-0000-4A00-000001000000}"/>
    <dataValidation type="textLength" operator="greaterThanOrEqual" allowBlank="1" showInputMessage="1" showErrorMessage="1" errorTitle="Certificate number" error="Please indicate the correct certificate number!" sqref="E17:E20" xr:uid="{00000000-0002-0000-4A00-000002000000}">
      <formula1>4</formula1>
    </dataValidation>
    <dataValidation type="whole" operator="greaterThanOrEqual" allowBlank="1" showInputMessage="1" showErrorMessage="1" errorTitle="Value of donation" error="Please enter a positive value!" sqref="F17:F21" xr:uid="{00000000-0002-0000-4A00-000003000000}">
      <formula1>0</formula1>
    </dataValidation>
    <dataValidation type="whole" operator="greaterThan" allowBlank="1" showInputMessage="1" showErrorMessage="1" errorTitle="Number of donations" error="Please enter a numeric value!" sqref="G11" xr:uid="{00000000-0002-0000-4A00-000004000000}">
      <formula1>0</formula1>
    </dataValidation>
    <dataValidation type="list" allowBlank="1" showInputMessage="1" showErrorMessage="1" sqref="G13 E25" xr:uid="{00000000-0002-0000-4A00-000005000000}">
      <formula1>$Y$3:$Y$5</formula1>
    </dataValidation>
  </dataValidations>
  <hyperlinks>
    <hyperlink ref="C28" location="Index!A1" display="B A C K   T O  I N D E X" xr:uid="{00000000-0004-0000-4A00-000000000000}"/>
    <hyperlink ref="F23" location="TRA60!A1" display="TRA 60" xr:uid="{00000000-0004-0000-4A00-000001000000}"/>
  </hyperlinks>
  <pageMargins left="0.70866141732283472" right="0.70866141732283472" top="0.43307086614173229" bottom="0.74803149606299213" header="0.31496062992125984" footer="0.31496062992125984"/>
  <pageSetup orientation="landscape" r:id="rId1"/>
  <headerFooter>
    <oddFooter>&amp;LName&amp;CSignature&amp;RDate</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G224"/>
  <sheetViews>
    <sheetView showGridLines="0" zoomScaleNormal="100" workbookViewId="0">
      <selection activeCell="C19" sqref="C19"/>
    </sheetView>
  </sheetViews>
  <sheetFormatPr defaultColWidth="0" defaultRowHeight="12.75" zeroHeight="1" x14ac:dyDescent="0.2"/>
  <cols>
    <col min="1" max="1" width="1" style="28" customWidth="1"/>
    <col min="2" max="2" width="6.28515625" style="28" customWidth="1"/>
    <col min="3" max="3" width="15.5703125" style="28" customWidth="1"/>
    <col min="4" max="4" width="11.7109375" style="28" customWidth="1"/>
    <col min="5" max="5" width="12.42578125" style="28" customWidth="1"/>
    <col min="6" max="6" width="15.28515625" style="28" customWidth="1"/>
    <col min="7" max="10" width="13.7109375" style="28" customWidth="1"/>
    <col min="11" max="11" width="27" style="28" customWidth="1"/>
    <col min="12" max="12" width="1" style="28" customWidth="1"/>
    <col min="13" max="15" width="6.28515625" style="28" hidden="1" customWidth="1"/>
    <col min="16" max="16" width="10.28515625" style="1485" hidden="1" customWidth="1"/>
    <col min="17" max="19" width="11.42578125" style="28" hidden="1" customWidth="1"/>
    <col min="20" max="20" width="12.7109375" style="28" hidden="1" customWidth="1"/>
    <col min="21" max="21" width="15.7109375" style="28" hidden="1" customWidth="1"/>
    <col min="22" max="22" width="10.28515625" style="28" hidden="1" customWidth="1"/>
    <col min="23" max="23" width="10.42578125" style="28" hidden="1" customWidth="1"/>
    <col min="24" max="25" width="8" style="28" hidden="1" customWidth="1"/>
    <col min="26" max="26" width="9.28515625" style="28" hidden="1" customWidth="1"/>
    <col min="27" max="28" width="10.28515625" style="28" hidden="1" customWidth="1"/>
    <col min="29" max="29" width="11.28515625" style="28" hidden="1" customWidth="1"/>
    <col min="30" max="16384" width="9.28515625" style="28" hidden="1"/>
  </cols>
  <sheetData>
    <row r="1" spans="1:29" x14ac:dyDescent="0.2">
      <c r="A1" s="5120" t="str">
        <f>_ref1</f>
      </c>
      <c r="B1" s="5120"/>
      <c r="C1" s="5120"/>
      <c r="D1" s="5120"/>
      <c r="E1" s="5120"/>
      <c r="F1" s="5120"/>
      <c r="G1" s="5120"/>
      <c r="H1" s="5120"/>
      <c r="I1" s="5120"/>
      <c r="J1" s="5120"/>
      <c r="K1" s="1760" t="str">
        <f>_YA1</f>
      </c>
      <c r="L1" s="66"/>
      <c r="P1" s="1485" t="str">
        <f>CONCATENATE(B3," - ",B4)</f>
        <v xml:space="preserve">ME Act - Enterprise Support Incentives Regulations, 2008 - SL 463.09 - Micro Invest 2014 </v>
      </c>
      <c r="S1" s="28">
        <f>ya</f>
      </c>
      <c r="V1" s="1736" t="s">
        <v>9964</v>
      </c>
      <c r="W1" s="28" t="str">
        <f>'p2'!G36</f>
      </c>
    </row>
    <row r="2" spans="1:29" x14ac:dyDescent="0.2"/>
    <row r="3" spans="1:29" ht="14.25" x14ac:dyDescent="0.2">
      <c r="B3" s="1808" t="s">
        <v>3452</v>
      </c>
      <c r="C3" s="1809"/>
      <c r="D3" s="1809"/>
      <c r="E3" s="1809"/>
      <c r="F3" s="1809"/>
      <c r="G3" s="1809"/>
      <c r="H3" s="1809"/>
      <c r="I3" s="1809"/>
      <c r="J3" s="1809"/>
      <c r="K3" s="1810"/>
      <c r="W3" s="91" t="s">
        <v>7166</v>
      </c>
    </row>
    <row r="4" spans="1:29" ht="14.25" x14ac:dyDescent="0.2">
      <c r="B4" s="1811" t="s">
        <v>10256</v>
      </c>
      <c r="C4" s="1812"/>
      <c r="D4" s="1812"/>
      <c r="E4" s="1812"/>
      <c r="F4" s="1812"/>
      <c r="G4" s="1812"/>
      <c r="H4" s="1812"/>
      <c r="I4" s="1812"/>
      <c r="J4" s="1812"/>
      <c r="K4" s="1813"/>
      <c r="M4" s="1957" t="s">
        <v>7439</v>
      </c>
      <c r="N4" s="28" t="s">
        <v>7161</v>
      </c>
      <c r="S4" s="28" t="str">
        <f>cur</f>
      </c>
      <c r="T4" s="28" t="s">
        <v>4591</v>
      </c>
      <c r="U4" s="28" t="s">
        <v>7131</v>
      </c>
      <c r="V4" s="91">
        <f>IF(G11="yes",1,0)</f>
      </c>
      <c r="W4" s="1834"/>
      <c r="Y4" s="28">
        <f>IF(G11="",0,IF(G11="yes",1,IF(G11="no",2)))</f>
      </c>
      <c r="AA4" s="3123"/>
      <c r="AB4" s="3338">
        <f>MAX(AB5,AC5)</f>
      </c>
      <c r="AC4" s="3123"/>
    </row>
    <row r="5" spans="1:29" x14ac:dyDescent="0.2">
      <c r="B5" s="1787"/>
      <c r="C5" s="1787"/>
      <c r="D5" s="1787"/>
      <c r="E5" s="1787"/>
      <c r="F5" s="1787"/>
      <c r="G5" s="1787"/>
      <c r="H5" s="1787"/>
      <c r="I5" s="1787"/>
      <c r="J5" s="1787"/>
      <c r="K5" s="1787"/>
      <c r="U5" s="28" t="s">
        <v>7132</v>
      </c>
      <c r="V5" s="91">
        <f>IF(G12="yes",1,0)</f>
      </c>
      <c r="W5" s="2209">
        <f>IF(OR(V5=1,V6=1,V7=1),70000,IF(V5=0,50000,""))</f>
      </c>
      <c r="AA5" s="3123"/>
      <c r="AB5" s="3272">
        <v>45291</v>
      </c>
      <c r="AC5" s="3272">
        <f>DATE(ya,12,31)</f>
      </c>
    </row>
    <row r="6" spans="1:29" ht="15" x14ac:dyDescent="0.2">
      <c r="B6" s="1788" t="s">
        <v>8682</v>
      </c>
      <c r="C6" s="1788"/>
      <c r="D6" s="1788"/>
      <c r="E6" s="1788"/>
      <c r="F6" s="1787"/>
      <c r="G6" s="1787"/>
      <c r="H6" s="1787"/>
      <c r="I6" s="1787"/>
      <c r="J6" s="1787"/>
      <c r="K6" s="1787"/>
      <c r="U6" s="1736" t="s">
        <v>7802</v>
      </c>
      <c r="V6" s="91">
        <f>IF(G14="yes",1,0)</f>
      </c>
      <c r="W6" s="2722"/>
      <c r="AA6" s="3123"/>
    </row>
    <row r="7" spans="1:29" ht="15" x14ac:dyDescent="0.2">
      <c r="B7" s="1788"/>
      <c r="C7" s="1788"/>
      <c r="D7" s="1788"/>
      <c r="E7" s="1788"/>
      <c r="F7" s="1787"/>
      <c r="G7" s="1787"/>
      <c r="H7" s="1787"/>
      <c r="I7" s="1787"/>
      <c r="J7" s="1787"/>
      <c r="K7" s="1787"/>
      <c r="U7" s="1736" t="s">
        <v>8315</v>
      </c>
      <c r="V7" s="91">
        <f>IF(G13="yes",1,0)</f>
      </c>
      <c r="W7" s="2210"/>
    </row>
    <row r="8" spans="1:29" ht="14.25" x14ac:dyDescent="0.2">
      <c r="B8" s="3595">
        <v>1</v>
      </c>
      <c r="C8" s="5140" t="s">
        <v>10004</v>
      </c>
      <c r="D8" s="5140"/>
      <c r="E8" s="5140"/>
      <c r="F8" s="5140"/>
      <c r="G8" s="5140"/>
      <c r="H8" s="5140"/>
      <c r="I8" s="5140"/>
      <c r="J8" s="5140"/>
      <c r="K8" s="5140"/>
      <c r="U8" s="1736"/>
      <c r="V8" s="1736"/>
      <c r="W8" s="1736"/>
      <c r="Y8" s="28">
        <v>1</v>
      </c>
    </row>
    <row r="9" spans="1:29" ht="15" x14ac:dyDescent="0.2">
      <c r="B9" s="1788"/>
      <c r="C9" s="1788"/>
      <c r="D9" s="1788"/>
      <c r="E9" s="1788"/>
      <c r="F9" s="1787"/>
      <c r="G9" s="1787"/>
      <c r="H9" s="1787"/>
      <c r="I9" s="1787"/>
      <c r="J9" s="1787"/>
      <c r="K9" s="1787"/>
      <c r="U9" s="1736"/>
      <c r="V9" s="1736"/>
      <c r="W9" s="1736"/>
      <c r="Y9" s="28">
        <v>2</v>
      </c>
    </row>
    <row r="10" spans="1:29" x14ac:dyDescent="0.2">
      <c r="B10" s="1787" t="s">
        <v>9984</v>
      </c>
      <c r="C10" s="1787"/>
      <c r="D10" s="1787"/>
      <c r="E10" s="1787"/>
      <c r="F10" s="1787"/>
      <c r="G10" s="3587"/>
      <c r="H10" s="1789" t="str">
        <f>IF(AND($W$1="y",G10="",N42&gt;0),re,IF(AND($W$1="n",G10&lt;&gt;""),"Delete!",""))</f>
        <v/>
      </c>
      <c r="I10" s="1787"/>
      <c r="J10" s="1787"/>
      <c r="K10" s="1787"/>
      <c r="M10" s="28">
        <f>IF(H10="",0,1)</f>
      </c>
      <c r="N10" s="28">
        <f>IF(G10="",0,1)</f>
      </c>
      <c r="P10" s="3123">
        <f>IF(AND($W$1="n",G10&lt;&gt;""),1,0)</f>
      </c>
      <c r="U10" s="1736"/>
      <c r="V10" s="1736"/>
      <c r="W10" s="1736"/>
      <c r="Y10" s="28">
        <v>3</v>
      </c>
    </row>
    <row r="11" spans="1:29" x14ac:dyDescent="0.2">
      <c r="B11" s="1787" t="s">
        <v>7128</v>
      </c>
      <c r="C11" s="1787"/>
      <c r="D11" s="1787"/>
      <c r="E11" s="1787"/>
      <c r="F11" s="1787"/>
      <c r="G11" s="1824"/>
      <c r="H11" s="1789" t="str">
        <f>IF($N$42=0,"",IF(G11="",re,""))</f>
        <v/>
      </c>
      <c r="I11" s="1787"/>
      <c r="J11" s="1787"/>
      <c r="K11" s="1787"/>
      <c r="L11" s="1547"/>
      <c r="M11" s="28">
        <f>IF(H11="",0,1)</f>
      </c>
      <c r="N11" s="28">
        <f>IF(G11="",0,1)</f>
      </c>
      <c r="Y11" s="28">
        <v>4</v>
      </c>
    </row>
    <row r="12" spans="1:29" x14ac:dyDescent="0.2">
      <c r="B12" s="1787" t="s">
        <v>7129</v>
      </c>
      <c r="C12" s="1787"/>
      <c r="D12" s="1787"/>
      <c r="E12" s="1787"/>
      <c r="F12" s="1787"/>
      <c r="G12" s="1824"/>
      <c r="H12" s="1789" t="str">
        <f>IF($N$42=0,"",IF(G12="",re,""))</f>
        <v/>
      </c>
      <c r="I12" s="1787"/>
      <c r="J12" s="1787"/>
      <c r="K12" s="1787"/>
      <c r="L12" s="1547"/>
      <c r="M12" s="28">
        <f>IF(H12="",0,1)</f>
      </c>
      <c r="N12" s="28">
        <f>IF(G12="",0,1)</f>
      </c>
      <c r="U12" s="28" t="s">
        <v>7130</v>
      </c>
      <c r="V12" s="32">
        <f>G16</f>
      </c>
      <c r="Y12" s="28">
        <v>5</v>
      </c>
    </row>
    <row r="13" spans="1:29" x14ac:dyDescent="0.2">
      <c r="B13" s="1745" t="s">
        <v>8314</v>
      </c>
      <c r="C13" s="1787"/>
      <c r="D13" s="1787"/>
      <c r="E13" s="1787"/>
      <c r="F13" s="1787"/>
      <c r="G13" s="1824"/>
      <c r="H13" s="1789" t="str">
        <f>IF($N$42=0,"",IF(G13="",re,""))</f>
        <v/>
      </c>
      <c r="I13" s="1787"/>
      <c r="J13" s="1787"/>
      <c r="K13" s="1787"/>
      <c r="L13" s="1547"/>
      <c r="M13" s="28">
        <f>IF(H13="",0,1)</f>
      </c>
      <c r="N13" s="28">
        <f>IF(G13="",0,1)</f>
      </c>
      <c r="V13" s="32"/>
      <c r="Y13" s="28">
        <v>6</v>
      </c>
    </row>
    <row r="14" spans="1:29" x14ac:dyDescent="0.2">
      <c r="B14" s="1745" t="s">
        <v>7801</v>
      </c>
      <c r="C14" s="1787"/>
      <c r="D14" s="1787"/>
      <c r="E14" s="1787"/>
      <c r="F14" s="1787"/>
      <c r="G14" s="1824"/>
      <c r="H14" s="1789" t="str">
        <f>IF($N$42=0,"",IF(G14="",re,""))</f>
        <v/>
      </c>
      <c r="I14" s="1787"/>
      <c r="J14" s="1787"/>
      <c r="K14" s="1787"/>
      <c r="L14" s="1547"/>
      <c r="M14" s="28">
        <f>IF(H14="",0,1)</f>
      </c>
      <c r="N14" s="28">
        <f>IF(G14="",0,1)</f>
      </c>
      <c r="V14" s="32"/>
      <c r="Y14" s="28">
        <v>7</v>
      </c>
    </row>
    <row r="15" spans="1:29" x14ac:dyDescent="0.2">
      <c r="B15" s="1787"/>
      <c r="C15" s="1787"/>
      <c r="D15" s="1787"/>
      <c r="E15" s="1787"/>
      <c r="F15" s="1787"/>
      <c r="G15" s="1787"/>
      <c r="H15" s="1787"/>
      <c r="I15" s="1787"/>
      <c r="J15" s="1787"/>
      <c r="K15" s="1787"/>
      <c r="Y15" s="28">
        <v>8</v>
      </c>
    </row>
    <row r="16" spans="1:29" x14ac:dyDescent="0.2">
      <c r="B16" s="1850" t="s">
        <v>7133</v>
      </c>
      <c r="C16" s="1790"/>
      <c r="D16" s="1790"/>
      <c r="E16" s="1790"/>
      <c r="F16" s="1787"/>
      <c r="G16" s="1824"/>
      <c r="H16" s="1789" t="str">
        <f>IF(AND(N42&gt;0,G16=""),re,IF(G16&lt;&gt;N29,"Check number of certificates!",""))</f>
        <v/>
      </c>
      <c r="I16" s="1787"/>
      <c r="J16" s="1787"/>
      <c r="K16" s="1787"/>
      <c r="M16" s="28">
        <f>IF(H16="",0,1)</f>
      </c>
      <c r="N16" s="28">
        <f>IF(G16="",0,1)</f>
      </c>
      <c r="T16" s="40"/>
      <c r="U16" s="139"/>
      <c r="V16" s="74"/>
      <c r="W16" s="74"/>
      <c r="Y16" s="28">
        <v>9</v>
      </c>
    </row>
    <row r="17" spans="2:33" x14ac:dyDescent="0.2">
      <c r="B17" s="1790"/>
      <c r="C17" s="1790"/>
      <c r="D17" s="1790"/>
      <c r="E17" s="1790"/>
      <c r="F17" s="1790"/>
      <c r="G17" s="1790"/>
      <c r="H17" s="1790"/>
      <c r="I17" s="1790"/>
      <c r="J17" s="1790"/>
      <c r="K17" s="1787"/>
      <c r="L17" s="1547"/>
      <c r="P17" s="28"/>
      <c r="U17" s="139"/>
      <c r="V17" s="74"/>
      <c r="W17" s="74"/>
      <c r="Y17" s="28">
        <v>10</v>
      </c>
      <c r="AE17" s="28" t="s">
        <v>7176</v>
      </c>
    </row>
    <row r="18" spans="2:33" ht="68.25" customHeight="1" x14ac:dyDescent="0.2">
      <c r="B18" s="1790"/>
      <c r="C18" s="1955" t="s">
        <v>7154</v>
      </c>
      <c r="D18" s="1955" t="s">
        <v>7155</v>
      </c>
      <c r="E18" s="1955" t="s">
        <v>7156</v>
      </c>
      <c r="F18" s="1955" t="s">
        <v>9114</v>
      </c>
      <c r="G18" s="1955" t="s">
        <v>7159</v>
      </c>
      <c r="H18" s="1955" t="s">
        <v>7174</v>
      </c>
      <c r="I18" s="1955" t="s">
        <v>7157</v>
      </c>
      <c r="J18" s="1955" t="s">
        <v>7158</v>
      </c>
      <c r="K18" s="1789"/>
      <c r="L18" s="1547"/>
      <c r="P18" s="28" t="s">
        <v>7017</v>
      </c>
      <c r="Q18" s="235"/>
      <c r="S18" s="91" t="s">
        <v>7167</v>
      </c>
      <c r="T18" s="1828" t="s">
        <v>7162</v>
      </c>
      <c r="U18" s="1828" t="s">
        <v>7169</v>
      </c>
      <c r="V18" s="1829" t="s">
        <v>7163</v>
      </c>
      <c r="W18" s="1830" t="s">
        <v>7164</v>
      </c>
      <c r="X18" s="1829" t="s">
        <v>7165</v>
      </c>
      <c r="Z18" s="1828" t="s">
        <v>7168</v>
      </c>
      <c r="AA18" s="1828" t="s">
        <v>7175</v>
      </c>
      <c r="AB18" s="1828" t="s">
        <v>7170</v>
      </c>
      <c r="AE18" s="28" t="s">
        <v>7177</v>
      </c>
    </row>
    <row r="19" spans="2:33" x14ac:dyDescent="0.2">
      <c r="B19" s="4023">
        <v>1</v>
      </c>
      <c r="C19" s="1896"/>
      <c r="D19" s="809"/>
      <c r="E19" s="2793"/>
      <c r="F19" s="2795"/>
      <c r="G19" s="2793"/>
      <c r="H19" s="1899" t="str">
        <f t="shared" ref="H19:H28" si="0">IF(AND(E19="",G19=""),"",IF(E19&lt;G19,"",IF(F19=ya,E19,E19-G19)))</f>
        <v/>
      </c>
      <c r="I19" s="1897"/>
      <c r="J19" s="1900" t="str">
        <f t="shared" ref="J19:J28" si="1">IF(OR(H19="",I19=""),"",IF(T19&lt;=ya,0,IF(H19&lt;I19,0,H19-I19)))</f>
        <v/>
      </c>
      <c r="K19" s="3796" t="str">
        <f>IF($N$42=0,"",IF(AND($N$42&gt;0,P19=0),re,IF(P19&lt;&gt;6,"&lt; All Data!",IF(AND(S4=T4,E19&gt;W5),CONCATENATE("Credit exceeds ",LEFT(W5,2),",",RIGHT(W5,3),"!"),IF(AND(G19&gt;0,F19=$S$1),"Check utilised tax credit in prev. YoA!",IF(G19&gt;E19,"Credit utilised &gt; Approved!",IF(I19&gt;H19,"Credit utilised &gt; b/fwd!",IF(F19&lt;2015,"Check YoA credit first available!",""))))))))</f>
        <v/>
      </c>
      <c r="L19" s="1547"/>
      <c r="M19" s="28">
        <f>IF(K19="",0,1)</f>
      </c>
      <c r="N19" s="28">
        <f>IF(P19&gt;0,1,0)</f>
      </c>
      <c r="P19" s="28">
        <f>COUNTA(C19:G19)+COUNTA(I19)</f>
      </c>
      <c r="S19" s="91">
        <f>IF(D19="",2014,YEAR(D19))</f>
      </c>
      <c r="T19" s="2794" t="str">
        <f>IF(F19="","",IF(Y$4=1,F19+7,F19+5))</f>
        <v/>
      </c>
      <c r="U19" s="91">
        <f t="shared" ref="U19:U28" si="2">IF(T19&gt;=$S$1,1,0)</f>
      </c>
      <c r="V19" s="1831" t="str">
        <f>IF(U19=1,H19,0)</f>
        <v/>
      </c>
      <c r="W19" s="1831">
        <f>IF(U19=1,I19,0)</f>
      </c>
      <c r="X19" s="1831" t="str">
        <f>IF(U19=1,J19,0)</f>
        <v/>
      </c>
      <c r="Z19" s="91">
        <f>IF(U19=0,0,IF(AND(U19=1,J19&gt;0),1,0))</f>
      </c>
      <c r="AA19" s="91">
        <f>Z19</f>
      </c>
      <c r="AB19" s="91"/>
      <c r="AE19" s="1832">
        <f>E19-G19</f>
      </c>
      <c r="AF19" s="91">
        <f>IF(AE19&lt;&gt;E19,AE19,0)</f>
      </c>
      <c r="AG19" s="91">
        <f>IF(AND(AF19&lt;&gt;0,SUM(G20:G28)&lt;&gt;0),1,0)</f>
      </c>
    </row>
    <row r="20" spans="2:33" x14ac:dyDescent="0.2">
      <c r="B20" s="4023">
        <v>2</v>
      </c>
      <c r="C20" s="1896"/>
      <c r="D20" s="809"/>
      <c r="E20" s="1897"/>
      <c r="F20" s="363"/>
      <c r="G20" s="1897"/>
      <c r="H20" s="1899" t="str">
        <f t="shared" si="0"/>
        <v/>
      </c>
      <c r="I20" s="1897"/>
      <c r="J20" s="1900" t="str">
        <f t="shared" si="1"/>
        <v/>
      </c>
      <c r="K20" s="3796" t="str">
        <f t="shared" ref="K20:K28" si="3">IF($N$42=0,"",IF(AND(N20&gt;0,$G$16&lt;B20),"Delete",IF($G$16&lt;B20,"",IF(AND($N$42&gt;0,P20=0),re,IF(AND($N$42&gt;0,P20&lt;&gt;6),"&lt; All Data!",IF(AND(B20&gt;$G$16,P20&gt;0),"Check number of certificates!",IF(AND($S$4=$T$4,E20&gt;$W$5),CONCATENATE("Credit exceeds ",LEFT($W$5,2),",",RIGHT($W$5,3),"!"),IF(OR(AND(G20&gt;0,F20&gt;=$S$1),AND($G$19&gt;0,$F$19=$S$1)),"Check utilised tax credit in prev. YoA!",IF(G20&gt;E20,"Credit utilised &gt; Approved!",IF(I20&gt;H20,"Credit utilised &gt; b/fwd!",IF(OR(F20&lt;2015,F20&gt;$S$1),"Check YoA credit first available!","")))))))))))</f>
        <v/>
      </c>
      <c r="L20" s="1547"/>
      <c r="M20" s="28">
        <f>IF(K20="",0,1)</f>
      </c>
      <c r="N20" s="28">
        <f>IF(P20&gt;0,1,0)</f>
      </c>
      <c r="P20" s="28">
        <f>COUNTA(C20:G20)+COUNTA(I20)</f>
      </c>
      <c r="S20" s="91">
        <f>IF(D20="",2014,YEAR(D20))</f>
      </c>
      <c r="T20" s="2794" t="str">
        <f>IF(F20="","",IF(Y$4=1,F20+7,F20+5))</f>
        <v/>
      </c>
      <c r="U20" s="91">
        <f t="shared" si="2"/>
        <v>1</v>
      </c>
      <c r="V20" s="1831" t="str">
        <f>IF(U20=1,H20,0)</f>
        <v/>
      </c>
      <c r="W20" s="1831">
        <f>IF(U20=1,I20,0)</f>
      </c>
      <c r="X20" s="1831" t="str">
        <f>IF(U20=1,J20,0)</f>
        <v/>
      </c>
      <c r="Z20" s="91">
        <f>IF(U20=0,0,IF(AND(U20=1,J20&gt;0),1,0))</f>
      </c>
      <c r="AA20" s="91">
        <f>IF(AA19+Z20&gt;0,1,0)</f>
      </c>
      <c r="AB20" s="91">
        <f>IF(AND(AA19=1,I20&gt;0),1,0)</f>
      </c>
      <c r="AE20" s="1832">
        <f>E20-G20</f>
      </c>
      <c r="AF20" s="91">
        <f>IF(AE20&lt;&gt;E20,AE20,0)</f>
      </c>
      <c r="AG20" s="91">
        <f>IF(AND(AF20&lt;&gt;0,SUM(G21:G28)&lt;&gt;0),1,0)</f>
      </c>
    </row>
    <row r="21" spans="2:33" x14ac:dyDescent="0.2">
      <c r="B21" s="4023">
        <v>3</v>
      </c>
      <c r="C21" s="1896"/>
      <c r="D21" s="809"/>
      <c r="E21" s="1897"/>
      <c r="F21" s="363"/>
      <c r="G21" s="1897"/>
      <c r="H21" s="1899" t="str">
        <f t="shared" si="0"/>
        <v/>
      </c>
      <c r="I21" s="1897"/>
      <c r="J21" s="1900" t="str">
        <f t="shared" si="1"/>
        <v/>
      </c>
      <c r="K21" s="3796" t="str">
        <f t="shared" si="3"/>
        <v/>
      </c>
      <c r="L21" s="1547"/>
      <c r="M21" s="28">
        <f>IF(K21="",0,1)</f>
      </c>
      <c r="N21" s="28">
        <f>IF(P21&gt;0,1,0)</f>
      </c>
      <c r="P21" s="28">
        <f>COUNTA(C21:G21)+COUNTA(I21)</f>
      </c>
      <c r="S21" s="91">
        <f>IF(D21="",2014,YEAR(D21))</f>
      </c>
      <c r="T21" s="2794" t="str">
        <f t="shared" ref="T21:T28" si="4">IF(F21="","",IF(Y$4=1,F21+7,F21+5))</f>
        <v/>
      </c>
      <c r="U21" s="91">
        <f t="shared" si="2"/>
        <v>1</v>
      </c>
      <c r="V21" s="1831" t="str">
        <f>IF(U21=1,H21,0)</f>
        <v/>
      </c>
      <c r="W21" s="1831">
        <f>IF(U21=1,I21,0)</f>
      </c>
      <c r="X21" s="1831" t="str">
        <f>IF(U21=1,J21,0)</f>
        <v/>
      </c>
      <c r="Z21" s="91">
        <f>IF(U21=0,0,IF(AND(U21=1,J21&gt;0),1,0))</f>
      </c>
      <c r="AA21" s="91">
        <f>IF(AA20+Z21&gt;0,1,0)</f>
      </c>
      <c r="AB21" s="91">
        <f>IF(AND(AA20=1,I21&gt;0),1,0)</f>
      </c>
      <c r="AE21" s="1832">
        <f>E21-G21</f>
      </c>
      <c r="AF21" s="91">
        <f>IF(AE21&lt;&gt;E21,AE21,0)</f>
      </c>
      <c r="AG21" s="91">
        <f>IF(AND(AF21&lt;&gt;0,G28&lt;&gt;0),1,0)</f>
      </c>
    </row>
    <row r="22" spans="2:33" x14ac:dyDescent="0.2">
      <c r="B22" s="4023">
        <v>4</v>
      </c>
      <c r="C22" s="1896"/>
      <c r="D22" s="809"/>
      <c r="E22" s="1897"/>
      <c r="F22" s="363"/>
      <c r="G22" s="1897"/>
      <c r="H22" s="1899" t="str">
        <f t="shared" si="0"/>
        <v/>
      </c>
      <c r="I22" s="1897"/>
      <c r="J22" s="1900" t="str">
        <f t="shared" si="1"/>
        <v/>
      </c>
      <c r="K22" s="3796" t="str">
        <f t="shared" si="3"/>
        <v/>
      </c>
      <c r="L22" s="1547"/>
      <c r="M22" s="28">
        <f t="shared" ref="M22:M27" si="5">IF(K22="",0,1)</f>
      </c>
      <c r="N22" s="28">
        <f t="shared" ref="N22:N27" si="6">IF(P22&gt;0,1,0)</f>
      </c>
      <c r="P22" s="28">
        <f t="shared" ref="P22:P27" si="7">COUNTA(C22:G22)+COUNTA(I22)</f>
      </c>
      <c r="S22" s="91">
        <f t="shared" ref="S22:S27" si="8">IF(D22="",2014,YEAR(D22))</f>
      </c>
      <c r="T22" s="2794" t="str">
        <f t="shared" si="4"/>
        <v/>
      </c>
      <c r="U22" s="91">
        <f t="shared" si="2"/>
        <v>1</v>
      </c>
      <c r="V22" s="1831" t="str">
        <f t="shared" ref="V22:V28" si="9">IF(U22=1,H22,0)</f>
        <v/>
      </c>
      <c r="W22" s="1831">
        <f t="shared" ref="W22:W27" si="10">IF(U22=1,I22,0)</f>
      </c>
      <c r="X22" s="1831" t="str">
        <f t="shared" ref="X22:X28" si="11">IF(U22=1,J22,0)</f>
        <v/>
      </c>
      <c r="Z22" s="91">
        <f t="shared" ref="Z22:Z28" si="12">IF(U22=0,0,IF(AND(U22=1,J22&gt;0),1,0))</f>
      </c>
      <c r="AA22" s="91">
        <f t="shared" ref="AA22:AA28" si="13">IF(AA21+Z22&gt;0,1,0)</f>
      </c>
      <c r="AB22" s="91">
        <f t="shared" ref="AB22:AB28" si="14">IF(AND(AA21=1,I22&gt;0),1,0)</f>
      </c>
      <c r="AE22" s="1832">
        <f t="shared" ref="AE22:AE28" si="15">E22-G22</f>
      </c>
      <c r="AF22" s="91">
        <f t="shared" ref="AF22:AF28" si="16">IF(AE22&lt;&gt;E22,AE22,0)</f>
      </c>
      <c r="AG22" s="91">
        <f t="shared" ref="AG22:AG28" si="17">IF(AND(AF22&lt;&gt;0,G29&lt;&gt;0),1,0)</f>
      </c>
    </row>
    <row r="23" spans="2:33" x14ac:dyDescent="0.2">
      <c r="B23" s="4023">
        <v>5</v>
      </c>
      <c r="C23" s="1896"/>
      <c r="D23" s="809"/>
      <c r="E23" s="1897"/>
      <c r="F23" s="363"/>
      <c r="G23" s="1897"/>
      <c r="H23" s="1899" t="str">
        <f t="shared" si="0"/>
        <v/>
      </c>
      <c r="I23" s="1897"/>
      <c r="J23" s="1900" t="str">
        <f t="shared" si="1"/>
        <v/>
      </c>
      <c r="K23" s="3796" t="str">
        <f t="shared" si="3"/>
        <v/>
      </c>
      <c r="L23" s="1547"/>
      <c r="M23" s="28">
        <f t="shared" si="5"/>
        <v>0</v>
      </c>
      <c r="N23" s="28">
        <f t="shared" si="6"/>
        <v>0</v>
      </c>
      <c r="P23" s="28">
        <f t="shared" si="7"/>
        <v>0</v>
      </c>
      <c r="S23" s="91">
        <f t="shared" si="8"/>
        <v>2014</v>
      </c>
      <c r="T23" s="2794" t="str">
        <f t="shared" si="4"/>
        <v/>
      </c>
      <c r="U23" s="91">
        <f t="shared" si="2"/>
        <v>1</v>
      </c>
      <c r="V23" s="1831" t="str">
        <f t="shared" si="9"/>
        <v/>
      </c>
      <c r="W23" s="1831">
        <f t="shared" si="10"/>
        <v>0</v>
      </c>
      <c r="X23" s="1831" t="str">
        <f t="shared" si="11"/>
        <v/>
      </c>
      <c r="Z23" s="91">
        <f t="shared" si="12"/>
        <v>1</v>
      </c>
      <c r="AA23" s="91">
        <f t="shared" si="13"/>
        <v>1</v>
      </c>
      <c r="AB23" s="91">
        <f t="shared" si="14"/>
        <v>0</v>
      </c>
      <c r="AE23" s="1832">
        <f t="shared" si="15"/>
        <v>0</v>
      </c>
      <c r="AF23" s="91">
        <f t="shared" si="16"/>
        <v>0</v>
      </c>
      <c r="AG23" s="91">
        <f t="shared" si="17"/>
        <v>0</v>
      </c>
    </row>
    <row r="24" spans="2:33" x14ac:dyDescent="0.2">
      <c r="B24" s="4023">
        <v>6</v>
      </c>
      <c r="C24" s="1896"/>
      <c r="D24" s="809"/>
      <c r="E24" s="1897"/>
      <c r="F24" s="363"/>
      <c r="G24" s="1897"/>
      <c r="H24" s="1899" t="str">
        <f t="shared" si="0"/>
        <v/>
      </c>
      <c r="I24" s="1897"/>
      <c r="J24" s="1900" t="str">
        <f t="shared" si="1"/>
        <v/>
      </c>
      <c r="K24" s="3796" t="str">
        <f t="shared" si="3"/>
        <v/>
      </c>
      <c r="L24" s="1547"/>
      <c r="M24" s="28">
        <f t="shared" si="5"/>
        <v>0</v>
      </c>
      <c r="N24" s="28">
        <f t="shared" si="6"/>
        <v>0</v>
      </c>
      <c r="P24" s="28">
        <f t="shared" si="7"/>
        <v>0</v>
      </c>
      <c r="S24" s="91">
        <f t="shared" si="8"/>
        <v>2014</v>
      </c>
      <c r="T24" s="2794" t="str">
        <f t="shared" si="4"/>
        <v/>
      </c>
      <c r="U24" s="91">
        <f t="shared" si="2"/>
        <v>1</v>
      </c>
      <c r="V24" s="1831" t="str">
        <f t="shared" si="9"/>
        <v/>
      </c>
      <c r="W24" s="1831">
        <f t="shared" si="10"/>
        <v>0</v>
      </c>
      <c r="X24" s="1831" t="str">
        <f t="shared" si="11"/>
        <v/>
      </c>
      <c r="Z24" s="91">
        <f t="shared" si="12"/>
        <v>1</v>
      </c>
      <c r="AA24" s="91">
        <f t="shared" si="13"/>
        <v>1</v>
      </c>
      <c r="AB24" s="91">
        <f t="shared" si="14"/>
        <v>0</v>
      </c>
      <c r="AE24" s="1832">
        <f t="shared" si="15"/>
        <v>0</v>
      </c>
      <c r="AF24" s="91">
        <f t="shared" si="16"/>
        <v>0</v>
      </c>
      <c r="AG24" s="91">
        <f t="shared" si="17"/>
        <v>0</v>
      </c>
    </row>
    <row r="25" spans="2:33" x14ac:dyDescent="0.2">
      <c r="B25" s="4023">
        <v>7</v>
      </c>
      <c r="C25" s="1896"/>
      <c r="D25" s="809"/>
      <c r="E25" s="1897"/>
      <c r="F25" s="363"/>
      <c r="G25" s="1897"/>
      <c r="H25" s="1899" t="str">
        <f t="shared" si="0"/>
        <v/>
      </c>
      <c r="I25" s="1897"/>
      <c r="J25" s="1900" t="str">
        <f t="shared" si="1"/>
        <v/>
      </c>
      <c r="K25" s="3796" t="str">
        <f t="shared" si="3"/>
        <v/>
      </c>
      <c r="L25" s="1547"/>
      <c r="M25" s="28">
        <f t="shared" si="5"/>
        <v>0</v>
      </c>
      <c r="N25" s="28">
        <f t="shared" si="6"/>
        <v>0</v>
      </c>
      <c r="P25" s="28">
        <f t="shared" si="7"/>
        <v>0</v>
      </c>
      <c r="S25" s="91">
        <f t="shared" si="8"/>
        <v>2014</v>
      </c>
      <c r="T25" s="2794" t="str">
        <f t="shared" si="4"/>
        <v/>
      </c>
      <c r="U25" s="91">
        <f t="shared" si="2"/>
        <v>1</v>
      </c>
      <c r="V25" s="1831" t="str">
        <f t="shared" si="9"/>
        <v/>
      </c>
      <c r="W25" s="1831">
        <f t="shared" si="10"/>
        <v>0</v>
      </c>
      <c r="X25" s="1831" t="str">
        <f t="shared" si="11"/>
        <v/>
      </c>
      <c r="Z25" s="91">
        <f t="shared" si="12"/>
        <v>1</v>
      </c>
      <c r="AA25" s="91">
        <f t="shared" si="13"/>
        <v>1</v>
      </c>
      <c r="AB25" s="91">
        <f t="shared" si="14"/>
        <v>0</v>
      </c>
      <c r="AE25" s="1832">
        <f t="shared" si="15"/>
        <v>0</v>
      </c>
      <c r="AF25" s="91">
        <f t="shared" si="16"/>
        <v>0</v>
      </c>
      <c r="AG25" s="91">
        <f t="shared" si="17"/>
        <v>0</v>
      </c>
    </row>
    <row r="26" spans="2:33" x14ac:dyDescent="0.2">
      <c r="B26" s="4023">
        <v>8</v>
      </c>
      <c r="C26" s="1896"/>
      <c r="D26" s="809"/>
      <c r="E26" s="1897"/>
      <c r="F26" s="363"/>
      <c r="G26" s="1897"/>
      <c r="H26" s="1899" t="str">
        <f t="shared" si="0"/>
        <v/>
      </c>
      <c r="I26" s="1897"/>
      <c r="J26" s="1900" t="str">
        <f t="shared" si="1"/>
        <v/>
      </c>
      <c r="K26" s="3796" t="str">
        <f t="shared" si="3"/>
        <v/>
      </c>
      <c r="L26" s="1547"/>
      <c r="M26" s="28">
        <f t="shared" si="5"/>
        <v>0</v>
      </c>
      <c r="N26" s="28">
        <f t="shared" si="6"/>
        <v>0</v>
      </c>
      <c r="P26" s="28">
        <f t="shared" si="7"/>
        <v>0</v>
      </c>
      <c r="S26" s="91">
        <f t="shared" si="8"/>
        <v>2014</v>
      </c>
      <c r="T26" s="2794" t="str">
        <f t="shared" si="4"/>
        <v/>
      </c>
      <c r="U26" s="91">
        <f t="shared" si="2"/>
        <v>1</v>
      </c>
      <c r="V26" s="1831" t="str">
        <f t="shared" si="9"/>
        <v/>
      </c>
      <c r="W26" s="1831">
        <f t="shared" si="10"/>
        <v>0</v>
      </c>
      <c r="X26" s="1831" t="str">
        <f t="shared" si="11"/>
        <v/>
      </c>
      <c r="Z26" s="91">
        <f t="shared" si="12"/>
        <v>1</v>
      </c>
      <c r="AA26" s="91">
        <f t="shared" si="13"/>
        <v>1</v>
      </c>
      <c r="AB26" s="91">
        <f t="shared" si="14"/>
        <v>0</v>
      </c>
      <c r="AE26" s="1832">
        <f t="shared" si="15"/>
        <v>0</v>
      </c>
      <c r="AF26" s="91">
        <f t="shared" si="16"/>
        <v>0</v>
      </c>
      <c r="AG26" s="91">
        <f t="shared" si="17"/>
        <v>0</v>
      </c>
    </row>
    <row r="27" spans="2:33" x14ac:dyDescent="0.2">
      <c r="B27" s="4023">
        <v>9</v>
      </c>
      <c r="C27" s="1896"/>
      <c r="D27" s="809"/>
      <c r="E27" s="1897"/>
      <c r="F27" s="363"/>
      <c r="G27" s="1897"/>
      <c r="H27" s="1899" t="str">
        <f t="shared" si="0"/>
        <v/>
      </c>
      <c r="I27" s="1897"/>
      <c r="J27" s="1900" t="str">
        <f t="shared" si="1"/>
        <v/>
      </c>
      <c r="K27" s="3796" t="str">
        <f t="shared" si="3"/>
        <v/>
      </c>
      <c r="L27" s="1547"/>
      <c r="M27" s="28">
        <f t="shared" si="5"/>
        <v>0</v>
      </c>
      <c r="N27" s="28">
        <f t="shared" si="6"/>
        <v>0</v>
      </c>
      <c r="P27" s="28">
        <f t="shared" si="7"/>
        <v>0</v>
      </c>
      <c r="S27" s="91">
        <f t="shared" si="8"/>
        <v>2014</v>
      </c>
      <c r="T27" s="2794" t="str">
        <f t="shared" si="4"/>
        <v/>
      </c>
      <c r="U27" s="91">
        <f t="shared" si="2"/>
        <v>1</v>
      </c>
      <c r="V27" s="1831" t="str">
        <f t="shared" si="9"/>
        <v/>
      </c>
      <c r="W27" s="1831">
        <f t="shared" si="10"/>
        <v>0</v>
      </c>
      <c r="X27" s="1831" t="str">
        <f t="shared" si="11"/>
        <v/>
      </c>
      <c r="Z27" s="91">
        <f t="shared" si="12"/>
        <v>1</v>
      </c>
      <c r="AA27" s="91">
        <f t="shared" si="13"/>
        <v>1</v>
      </c>
      <c r="AB27" s="91">
        <f t="shared" si="14"/>
        <v>0</v>
      </c>
      <c r="AE27" s="1832">
        <f t="shared" si="15"/>
        <v>0</v>
      </c>
      <c r="AF27" s="91">
        <f t="shared" si="16"/>
        <v>0</v>
      </c>
      <c r="AG27" s="91">
        <f t="shared" si="17"/>
        <v>0</v>
      </c>
    </row>
    <row r="28" spans="2:33" x14ac:dyDescent="0.2">
      <c r="B28" s="4023">
        <v>10</v>
      </c>
      <c r="C28" s="1896"/>
      <c r="D28" s="809"/>
      <c r="E28" s="1897"/>
      <c r="F28" s="363"/>
      <c r="G28" s="1897"/>
      <c r="H28" s="1899" t="str">
        <f t="shared" si="0"/>
        <v/>
      </c>
      <c r="I28" s="1897"/>
      <c r="J28" s="1900" t="str">
        <f t="shared" si="1"/>
        <v/>
      </c>
      <c r="K28" s="3796" t="str">
        <f t="shared" si="3"/>
        <v/>
      </c>
      <c r="L28" s="1547"/>
      <c r="M28" s="28">
        <f>IF(K28="",0,1)</f>
      </c>
      <c r="N28" s="28">
        <f>IF(P28&gt;0,1,0)</f>
      </c>
      <c r="P28" s="28">
        <f>COUNTA(C28:G28)+COUNTA(I28)</f>
      </c>
      <c r="S28" s="91">
        <f>IF(D28="",2014,YEAR(D28))</f>
      </c>
      <c r="T28" s="2794" t="str">
        <f t="shared" si="4"/>
        <v/>
      </c>
      <c r="U28" s="91">
        <f t="shared" si="2"/>
        <v>1</v>
      </c>
      <c r="V28" s="1831" t="str">
        <f t="shared" si="9"/>
        <v/>
      </c>
      <c r="W28" s="1831">
        <f>IF(U28=1,I28,0)</f>
      </c>
      <c r="X28" s="1831" t="str">
        <f t="shared" si="11"/>
        <v/>
      </c>
      <c r="Z28" s="91">
        <f t="shared" si="12"/>
        <v>1</v>
      </c>
      <c r="AA28" s="91">
        <f t="shared" si="13"/>
        <v>1</v>
      </c>
      <c r="AB28" s="91">
        <f t="shared" si="14"/>
        <v>0</v>
      </c>
      <c r="AE28" s="1832">
        <f t="shared" si="15"/>
        <v>0</v>
      </c>
      <c r="AF28" s="91">
        <f t="shared" si="16"/>
        <v>0</v>
      </c>
      <c r="AG28" s="91">
        <f t="shared" si="17"/>
        <v>0</v>
      </c>
    </row>
    <row r="29" spans="2:33" x14ac:dyDescent="0.2">
      <c r="B29" s="1793"/>
      <c r="C29" s="1850" t="s">
        <v>9115</v>
      </c>
      <c r="D29" s="1791"/>
      <c r="E29" s="1898">
        <f>SUM(E19:E28)</f>
      </c>
      <c r="F29" s="1835"/>
      <c r="G29" s="1791"/>
      <c r="H29" s="1791"/>
      <c r="I29" s="1791"/>
      <c r="J29" s="1791"/>
      <c r="K29" s="1789"/>
      <c r="L29" s="1547"/>
      <c r="N29" s="28">
        <f>SUM(N19:N28)</f>
      </c>
      <c r="P29" s="28"/>
      <c r="V29" s="1832">
        <f>SUM(V19:V28)</f>
      </c>
      <c r="W29" s="1832">
        <f>SUM(W19:W28)</f>
      </c>
      <c r="X29" s="1832">
        <f>SUM(X19:X28)</f>
      </c>
      <c r="AA29" s="91">
        <f>SUM(AA19:AA28)</f>
      </c>
      <c r="AB29" s="91">
        <f>SUM(AB19:AB28)</f>
      </c>
      <c r="AG29" s="91">
        <f>SUM(AG19:AG28)</f>
      </c>
    </row>
    <row r="30" spans="2:33" x14ac:dyDescent="0.2">
      <c r="B30" s="1793"/>
      <c r="C30" s="1745" t="s">
        <v>7159</v>
      </c>
      <c r="D30" s="1787"/>
      <c r="E30" s="1787"/>
      <c r="F30" s="1787"/>
      <c r="G30" s="1898">
        <f>SUM(G19:G28)</f>
      </c>
      <c r="H30" s="1837" t="str">
        <f>IF(AG29&gt;=1,"Check utilisation of previous credit!","")</f>
        <v/>
      </c>
      <c r="I30" s="1787"/>
      <c r="J30" s="1787"/>
      <c r="K30" s="1789"/>
      <c r="L30" s="1547"/>
      <c r="P30" s="28"/>
    </row>
    <row r="31" spans="2:33" x14ac:dyDescent="0.2">
      <c r="B31" s="1793"/>
      <c r="C31" s="1850" t="s">
        <v>7332</v>
      </c>
      <c r="D31" s="1791"/>
      <c r="E31" s="1791"/>
      <c r="F31" s="1791"/>
      <c r="G31" s="1791"/>
      <c r="H31" s="1898">
        <f>V29</f>
      </c>
      <c r="I31" s="1791"/>
      <c r="J31" s="1791"/>
      <c r="K31" s="1789"/>
      <c r="L31" s="1547"/>
      <c r="P31" s="28"/>
    </row>
    <row r="32" spans="2:33" x14ac:dyDescent="0.2">
      <c r="B32" s="1792"/>
      <c r="C32" s="1850" t="s">
        <v>7157</v>
      </c>
      <c r="D32" s="1791"/>
      <c r="E32" s="1791"/>
      <c r="F32" s="1793"/>
      <c r="G32" s="1793"/>
      <c r="H32" s="1827"/>
      <c r="I32" s="1898">
        <f>W29</f>
      </c>
      <c r="J32" s="1835" t="str">
        <f>IF(AB29&gt;0,"Check order of utilisation of credit!","")</f>
        <v/>
      </c>
      <c r="K32" s="1793"/>
      <c r="L32" s="1547"/>
      <c r="M32" s="28">
        <f>IF(J32="",0,1)</f>
      </c>
      <c r="P32" s="28"/>
    </row>
    <row r="33" spans="1:25" x14ac:dyDescent="0.2">
      <c r="B33" s="1792"/>
      <c r="C33" s="1956" t="s">
        <v>7158</v>
      </c>
      <c r="D33" s="1792"/>
      <c r="E33" s="1792"/>
      <c r="F33" s="1792"/>
      <c r="G33" s="1792"/>
      <c r="H33" s="1792"/>
      <c r="I33" s="1792"/>
      <c r="J33" s="1898">
        <f>X29</f>
      </c>
      <c r="K33" s="1793"/>
      <c r="L33" s="1547"/>
      <c r="P33" s="28"/>
      <c r="V33" s="139"/>
      <c r="W33" s="150"/>
      <c r="X33" s="150"/>
      <c r="Y33" s="1786"/>
    </row>
    <row r="34" spans="1:25" x14ac:dyDescent="0.2">
      <c r="A34" s="32"/>
      <c r="B34" s="1792"/>
      <c r="C34" s="1792"/>
      <c r="D34" s="1792"/>
      <c r="E34" s="1792"/>
      <c r="F34" s="1792"/>
      <c r="G34" s="1792"/>
      <c r="H34" s="1792"/>
      <c r="I34" s="1792"/>
      <c r="J34" s="1792"/>
      <c r="K34" s="1793"/>
      <c r="P34" s="28"/>
      <c r="T34" s="5124" t="s">
        <v>7073</v>
      </c>
      <c r="U34" s="5125"/>
      <c r="V34" s="5126"/>
    </row>
    <row r="35" spans="1:25" x14ac:dyDescent="0.2">
      <c r="A35" s="32"/>
      <c r="B35" s="1825" t="s">
        <v>5708</v>
      </c>
      <c r="C35" s="1826"/>
      <c r="D35" s="1826"/>
      <c r="E35" s="1826"/>
      <c r="F35" s="1826"/>
      <c r="G35" s="1826"/>
      <c r="H35" s="1826"/>
      <c r="I35" s="1833"/>
      <c r="J35" s="737"/>
      <c r="K35" s="2059" t="str">
        <f>IF(N42=0,"",IF(AND(I32&gt;=0,J35=""),re,IF(AND(I32=0,J35&gt;0),"No tax credit claimed for the year!",IF(AND(I32&gt;0,J35=0),"Amount relieved by tax credit required!",IF(J35&lt;0,"Cannot be negative!",IF(OR(J35&gt;T35+1,J35&lt;U35-1),V35,""))))))</f>
        <v/>
      </c>
      <c r="M35" s="28">
        <f>IF(K35="",0,1)</f>
      </c>
      <c r="N35" s="28">
        <f>IF(J35&gt;0,1,0)</f>
      </c>
      <c r="P35" s="28"/>
      <c r="T35" s="1807">
        <f>ROUND(I32/5%,0)</f>
      </c>
      <c r="U35" s="1770">
        <f>ROUND(I32/0.35,0)</f>
      </c>
      <c r="V35" s="1884" t="s">
        <v>4787</v>
      </c>
    </row>
    <row r="36" spans="1:25" x14ac:dyDescent="0.2">
      <c r="B36" s="1787"/>
      <c r="C36" s="1787"/>
      <c r="D36" s="1787"/>
      <c r="E36" s="1787"/>
      <c r="F36" s="1787"/>
      <c r="G36" s="1787"/>
      <c r="H36" s="1787"/>
      <c r="I36" s="1787"/>
      <c r="J36" s="1787"/>
      <c r="K36" s="1787"/>
      <c r="P36" s="28"/>
    </row>
    <row r="37" spans="1:25" x14ac:dyDescent="0.2">
      <c r="B37" s="1787"/>
      <c r="C37" s="3983"/>
      <c r="D37" s="1787"/>
      <c r="E37" s="1793"/>
      <c r="F37" s="1787"/>
      <c r="G37" s="1791"/>
      <c r="H37" s="3108" t="s">
        <v>9116</v>
      </c>
      <c r="I37" s="1785"/>
      <c r="J37" s="1794" t="str">
        <f>IF(N42=0,"",IF(I37="",re,IF(AND(I37=n,N42&gt;0),nob,"")))</f>
        <v/>
      </c>
      <c r="K37" s="1787"/>
      <c r="M37" s="28">
        <f>IF(J37="",0,1)</f>
      </c>
      <c r="N37" s="28">
        <f>IF(I37&gt;0,1,0)</f>
      </c>
      <c r="P37" s="28"/>
    </row>
    <row r="38" spans="1:25" x14ac:dyDescent="0.2">
      <c r="B38" s="1787"/>
      <c r="C38" s="3984" t="s">
        <v>10459</v>
      </c>
      <c r="D38" s="1787"/>
      <c r="E38" s="1787"/>
      <c r="F38" s="1787"/>
      <c r="G38" s="1787"/>
      <c r="H38" s="1787"/>
      <c r="I38" s="1787"/>
      <c r="J38" s="1787"/>
      <c r="K38" s="1787"/>
      <c r="P38" s="28"/>
    </row>
    <row r="39" spans="1:25" x14ac:dyDescent="0.2">
      <c r="B39" s="1746"/>
      <c r="C39" s="3984"/>
      <c r="D39" s="1746"/>
      <c r="E39" s="1787"/>
      <c r="F39" s="1787"/>
      <c r="G39" s="1790"/>
      <c r="H39" s="3108"/>
      <c r="I39" s="1794"/>
      <c r="J39" s="1794"/>
      <c r="K39" s="1787"/>
      <c r="L39" s="1547"/>
      <c r="P39" s="28"/>
    </row>
    <row r="40" spans="1:25" x14ac:dyDescent="0.2">
      <c r="B40" s="1787"/>
      <c r="C40" s="1787"/>
      <c r="D40" s="1787"/>
      <c r="E40" s="1787"/>
      <c r="F40" s="1787"/>
      <c r="G40" s="1787"/>
      <c r="H40" s="1787"/>
      <c r="I40" s="1787"/>
      <c r="J40" s="1787"/>
      <c r="K40" s="1787"/>
      <c r="P40" s="28"/>
    </row>
    <row r="41" spans="1:25" ht="2.65" customHeight="1" x14ac:dyDescent="0.2">
      <c r="B41" s="1792"/>
      <c r="C41" s="1792"/>
      <c r="D41" s="1792"/>
      <c r="E41" s="1792"/>
      <c r="F41" s="1792"/>
      <c r="G41" s="1792"/>
      <c r="H41" s="1792"/>
      <c r="I41" s="1792"/>
      <c r="J41" s="1792"/>
      <c r="K41" s="1793"/>
      <c r="L41" s="1547"/>
      <c r="P41" s="28"/>
    </row>
    <row r="42" spans="1:25" x14ac:dyDescent="0.2">
      <c r="B42" s="1787"/>
      <c r="C42" s="1787"/>
      <c r="D42" s="1787"/>
      <c r="E42" s="1787"/>
      <c r="F42" s="1787"/>
      <c r="G42" s="1787"/>
      <c r="H42" s="1787"/>
      <c r="I42" s="1787"/>
      <c r="J42" s="1787"/>
      <c r="K42" s="1793"/>
      <c r="M42" s="1895">
        <f>SUM(M5:M41)</f>
      </c>
      <c r="N42" s="1895">
        <f>SUM(N5:N41)</f>
      </c>
    </row>
    <row r="43" spans="1:25" x14ac:dyDescent="0.2">
      <c r="B43" s="66" t="str">
        <f>_xlfn.SINGLE(MTCA)</f>
      </c>
      <c r="D43" s="1517"/>
      <c r="E43" s="1517"/>
      <c r="F43" s="1517"/>
      <c r="G43" s="1517" t="str">
        <f>ver</f>
        <v>TA2_e-CO_2025_Ver 1.1</v>
      </c>
      <c r="K43" s="1517" t="s">
        <v>10006</v>
      </c>
      <c r="P43" s="28"/>
    </row>
    <row r="44" spans="1:25" ht="3.4" customHeight="1" x14ac:dyDescent="0.2">
      <c r="P44" s="28"/>
    </row>
    <row r="45" spans="1:25" x14ac:dyDescent="0.2">
      <c r="P45" s="28"/>
    </row>
    <row r="46" spans="1:25" ht="14.25" x14ac:dyDescent="0.2">
      <c r="B46" s="2859"/>
      <c r="C46" s="2859"/>
      <c r="D46" s="2859"/>
      <c r="E46" s="2859"/>
      <c r="F46" s="2859"/>
      <c r="G46" s="2859"/>
      <c r="H46" s="2859"/>
      <c r="I46" s="2859"/>
      <c r="J46" s="2859"/>
      <c r="K46" s="2859"/>
      <c r="W46" s="91" t="s">
        <v>7166</v>
      </c>
    </row>
    <row r="47" spans="1:25" ht="14.25" x14ac:dyDescent="0.2">
      <c r="B47" s="2859"/>
      <c r="C47" s="2859"/>
      <c r="D47" s="2859"/>
      <c r="E47" s="2859"/>
      <c r="F47" s="2859"/>
      <c r="G47" s="2859"/>
      <c r="H47" s="2859"/>
      <c r="I47" s="2859"/>
      <c r="J47" s="2859"/>
      <c r="K47" s="2859"/>
      <c r="M47" s="139" t="s">
        <v>7160</v>
      </c>
      <c r="N47" s="28" t="s">
        <v>7161</v>
      </c>
      <c r="S47" s="28" t="str">
        <f>cur</f>
      </c>
      <c r="T47" s="28" t="s">
        <v>4591</v>
      </c>
      <c r="U47" s="28" t="s">
        <v>7131</v>
      </c>
      <c r="V47" s="91">
        <f>IF(G54="yes",1,0)</f>
      </c>
      <c r="W47" s="1834"/>
      <c r="Y47" s="28">
        <f>IF(G54="",0,IF(G54="yes",1,IF(G54="no",2)))</f>
      </c>
    </row>
    <row r="48" spans="1:25" x14ac:dyDescent="0.2">
      <c r="U48" s="28" t="s">
        <v>7132</v>
      </c>
      <c r="V48" s="91">
        <f>IF(G55="yes",1,0)</f>
      </c>
      <c r="W48" s="2209">
        <f>IF(OR(V48=1,V49=1,V50=1),70000,IF(V48=0,50000,""))</f>
      </c>
    </row>
    <row r="49" spans="2:33" ht="15" x14ac:dyDescent="0.2">
      <c r="B49" s="3588"/>
      <c r="C49" s="3588"/>
      <c r="D49" s="3588"/>
      <c r="E49" s="3588"/>
      <c r="U49" s="1736" t="s">
        <v>7802</v>
      </c>
      <c r="V49" s="91">
        <f>IF(G57="yes",1,0)</f>
      </c>
      <c r="W49" s="2722"/>
    </row>
    <row r="50" spans="2:33" ht="15" x14ac:dyDescent="0.2">
      <c r="B50" s="3588"/>
      <c r="C50" s="3588"/>
      <c r="D50" s="3588"/>
      <c r="E50" s="3588"/>
      <c r="U50" s="1736" t="s">
        <v>8315</v>
      </c>
      <c r="V50" s="91">
        <f>IF(G56="yes",1,0)</f>
      </c>
      <c r="W50" s="2210"/>
    </row>
    <row r="51" spans="2:33" ht="14.25" x14ac:dyDescent="0.2">
      <c r="B51" s="3595">
        <v>2</v>
      </c>
      <c r="C51" s="5140" t="s">
        <v>10004</v>
      </c>
      <c r="D51" s="5140"/>
      <c r="E51" s="5140"/>
      <c r="F51" s="5140"/>
      <c r="G51" s="5140"/>
      <c r="H51" s="5140"/>
      <c r="I51" s="5140"/>
      <c r="J51" s="5140"/>
      <c r="K51" s="5140"/>
      <c r="U51" s="1736"/>
      <c r="V51" s="1736"/>
      <c r="W51" s="1736"/>
    </row>
    <row r="52" spans="2:33" ht="15" x14ac:dyDescent="0.2">
      <c r="B52" s="1788"/>
      <c r="C52" s="1788"/>
      <c r="D52" s="1788"/>
      <c r="E52" s="1788"/>
      <c r="F52" s="1787"/>
      <c r="G52" s="1787"/>
      <c r="H52" s="1787"/>
      <c r="I52" s="1787"/>
      <c r="J52" s="1787"/>
      <c r="K52" s="1787"/>
      <c r="U52" s="1736"/>
      <c r="V52" s="1736"/>
      <c r="W52" s="1736"/>
    </row>
    <row r="53" spans="2:33" x14ac:dyDescent="0.2">
      <c r="B53" s="1787" t="s">
        <v>9984</v>
      </c>
      <c r="C53" s="1787"/>
      <c r="D53" s="1787"/>
      <c r="E53" s="1787"/>
      <c r="F53" s="1787"/>
      <c r="G53" s="3587"/>
      <c r="H53" s="1789" t="str">
        <f>IF(AND($W$1="y",G53="",N85&gt;0),re,IF(AND($W$1="n",G53&lt;&gt;""),"Delete!",""))</f>
        <v/>
      </c>
      <c r="I53" s="1787"/>
      <c r="J53" s="1787"/>
      <c r="K53" s="1787"/>
      <c r="M53" s="28">
        <f>IF(H53="",0,1)</f>
      </c>
      <c r="N53" s="28">
        <f>IF(G53="",0,1)</f>
      </c>
      <c r="P53" s="3123">
        <f>IF(AND($W$1="n",G53&lt;&gt;""),1,0)</f>
      </c>
      <c r="U53" s="1736"/>
      <c r="V53" s="1736"/>
      <c r="W53" s="1736"/>
      <c r="X53" s="28">
        <v>1</v>
      </c>
    </row>
    <row r="54" spans="2:33" x14ac:dyDescent="0.2">
      <c r="B54" s="1787" t="s">
        <v>7128</v>
      </c>
      <c r="C54" s="1787"/>
      <c r="D54" s="1787"/>
      <c r="E54" s="1787"/>
      <c r="F54" s="1787"/>
      <c r="G54" s="1824"/>
      <c r="H54" s="1789" t="str">
        <f>IF($N$85=0,"",IF(G54="",re,""))</f>
        <v/>
      </c>
      <c r="I54" s="1787"/>
      <c r="J54" s="1787"/>
      <c r="K54" s="1787"/>
      <c r="L54" s="1547"/>
      <c r="M54" s="28">
        <f>IF(H54="",0,1)</f>
      </c>
      <c r="N54" s="28">
        <f>IF(G54="",0,1)</f>
      </c>
      <c r="X54" s="28">
        <v>2</v>
      </c>
    </row>
    <row r="55" spans="2:33" x14ac:dyDescent="0.2">
      <c r="B55" s="1787" t="s">
        <v>7129</v>
      </c>
      <c r="C55" s="1787"/>
      <c r="D55" s="1787"/>
      <c r="E55" s="1787"/>
      <c r="F55" s="1787"/>
      <c r="G55" s="1824"/>
      <c r="H55" s="1789" t="str">
        <f>IF($N$85=0,"",IF(G55="",re,""))</f>
        <v/>
      </c>
      <c r="I55" s="3594" t="str">
        <f>IF(AND($W$1="n",$N$85&gt;0),"Applicable in case of Fiscal Unit - Check pg2 q30!","")</f>
        <v/>
      </c>
      <c r="J55" s="1787"/>
      <c r="K55" s="1787"/>
      <c r="L55" s="1547"/>
      <c r="M55" s="28">
        <f>IF(AND(H55="",I55=""),0,1)</f>
      </c>
      <c r="N55" s="28">
        <f>IF(G55="",0,1)</f>
      </c>
      <c r="U55" s="28" t="s">
        <v>7130</v>
      </c>
      <c r="V55" s="32">
        <f>G59</f>
      </c>
      <c r="X55" s="28">
        <v>3</v>
      </c>
    </row>
    <row r="56" spans="2:33" x14ac:dyDescent="0.2">
      <c r="B56" s="1745" t="s">
        <v>8314</v>
      </c>
      <c r="C56" s="1787"/>
      <c r="D56" s="1787"/>
      <c r="E56" s="1787"/>
      <c r="F56" s="1787"/>
      <c r="G56" s="1824"/>
      <c r="H56" s="1789" t="str">
        <f>IF($N$85=0,"",IF(G56="",re,""))</f>
        <v/>
      </c>
      <c r="I56" s="1787"/>
      <c r="J56" s="1787"/>
      <c r="K56" s="1787"/>
      <c r="L56" s="1547"/>
      <c r="M56" s="28">
        <f>IF(H56="",0,1)</f>
      </c>
      <c r="N56" s="28">
        <f>IF(G56="",0,1)</f>
      </c>
      <c r="V56" s="32"/>
      <c r="X56" s="28">
        <v>4</v>
      </c>
    </row>
    <row r="57" spans="2:33" x14ac:dyDescent="0.2">
      <c r="B57" s="1745" t="s">
        <v>7801</v>
      </c>
      <c r="C57" s="1787"/>
      <c r="D57" s="1787"/>
      <c r="E57" s="1787"/>
      <c r="F57" s="1787"/>
      <c r="G57" s="1824"/>
      <c r="H57" s="1789" t="str">
        <f>IF($N$85=0,"",IF(G57="",re,""))</f>
        <v/>
      </c>
      <c r="I57" s="1787"/>
      <c r="J57" s="1787"/>
      <c r="K57" s="1787"/>
      <c r="L57" s="1547"/>
      <c r="M57" s="28">
        <f>IF(H57="",0,1)</f>
      </c>
      <c r="N57" s="28">
        <f>IF(G57="",0,1)</f>
      </c>
      <c r="V57" s="32"/>
    </row>
    <row r="58" spans="2:33" x14ac:dyDescent="0.2">
      <c r="B58" s="1787"/>
      <c r="C58" s="1787"/>
      <c r="D58" s="1787"/>
      <c r="E58" s="1787"/>
      <c r="F58" s="1787"/>
      <c r="G58" s="1787"/>
      <c r="H58" s="1787"/>
      <c r="I58" s="1787"/>
      <c r="J58" s="1787"/>
      <c r="K58" s="1787"/>
    </row>
    <row r="59" spans="2:33" x14ac:dyDescent="0.2">
      <c r="B59" s="1850" t="s">
        <v>7133</v>
      </c>
      <c r="C59" s="1790"/>
      <c r="D59" s="1790"/>
      <c r="E59" s="1790"/>
      <c r="F59" s="1787"/>
      <c r="G59" s="1824"/>
      <c r="H59" s="1789" t="str">
        <f>IF(AND(N85&gt;0,G59=""),re,IF(G59&lt;&gt;N72,"Check number of certificates!",""))</f>
        <v/>
      </c>
      <c r="I59" s="1787"/>
      <c r="J59" s="1787"/>
      <c r="K59" s="1787"/>
      <c r="M59" s="28">
        <f>IF(H59="",0,1)</f>
      </c>
      <c r="N59" s="28">
        <f>IF(G59="",0,1)</f>
      </c>
      <c r="T59" s="40"/>
      <c r="U59" s="139"/>
      <c r="V59" s="74"/>
      <c r="W59" s="74"/>
    </row>
    <row r="60" spans="2:33" x14ac:dyDescent="0.2">
      <c r="B60" s="1790"/>
      <c r="C60" s="1790"/>
      <c r="D60" s="1790"/>
      <c r="E60" s="1790"/>
      <c r="F60" s="1790"/>
      <c r="G60" s="1790"/>
      <c r="H60" s="1790"/>
      <c r="I60" s="1790"/>
      <c r="J60" s="1790"/>
      <c r="K60" s="1787"/>
      <c r="L60" s="1547"/>
      <c r="P60" s="28"/>
      <c r="U60" s="139"/>
      <c r="V60" s="74"/>
      <c r="W60" s="74"/>
      <c r="AE60" s="28" t="s">
        <v>7176</v>
      </c>
    </row>
    <row r="61" spans="2:33" ht="68.25" customHeight="1" x14ac:dyDescent="0.2">
      <c r="B61" s="1790"/>
      <c r="C61" s="1955" t="s">
        <v>7154</v>
      </c>
      <c r="D61" s="1955" t="s">
        <v>7155</v>
      </c>
      <c r="E61" s="1955" t="s">
        <v>7156</v>
      </c>
      <c r="F61" s="1955" t="s">
        <v>9114</v>
      </c>
      <c r="G61" s="1955" t="s">
        <v>7159</v>
      </c>
      <c r="H61" s="1955" t="s">
        <v>7174</v>
      </c>
      <c r="I61" s="1955" t="s">
        <v>7157</v>
      </c>
      <c r="J61" s="1955" t="s">
        <v>7158</v>
      </c>
      <c r="K61" s="1789"/>
      <c r="L61" s="1547"/>
      <c r="P61" s="28" t="s">
        <v>7017</v>
      </c>
      <c r="Q61" s="235"/>
      <c r="S61" s="91" t="s">
        <v>7167</v>
      </c>
      <c r="T61" s="1828" t="s">
        <v>7162</v>
      </c>
      <c r="U61" s="1828" t="s">
        <v>7169</v>
      </c>
      <c r="V61" s="1829" t="s">
        <v>7163</v>
      </c>
      <c r="W61" s="1830" t="s">
        <v>7164</v>
      </c>
      <c r="X61" s="1829" t="s">
        <v>7165</v>
      </c>
      <c r="Z61" s="1828" t="s">
        <v>7168</v>
      </c>
      <c r="AA61" s="1828" t="s">
        <v>7175</v>
      </c>
      <c r="AB61" s="1828" t="s">
        <v>7170</v>
      </c>
      <c r="AE61" s="28" t="s">
        <v>7177</v>
      </c>
    </row>
    <row r="62" spans="2:33" x14ac:dyDescent="0.2">
      <c r="B62" s="4023">
        <v>1</v>
      </c>
      <c r="C62" s="1896"/>
      <c r="D62" s="809"/>
      <c r="E62" s="2793"/>
      <c r="F62" s="2795"/>
      <c r="G62" s="2793"/>
      <c r="H62" s="1899" t="str">
        <f t="shared" ref="H62:H71" si="18">IF(AND(E62="",G62=""),"",IF(E62&lt;G62,"",IF(F62=ya,E62,E62-G62)))</f>
        <v/>
      </c>
      <c r="I62" s="1897"/>
      <c r="J62" s="1900" t="str">
        <f t="shared" ref="J62:J71" si="19">IF(OR(H62="",I62=""),"",IF(T62&lt;=ya,0,IF(H62&lt;I62,0,H62-I62)))</f>
        <v/>
      </c>
      <c r="K62" s="3796" t="str">
        <f>IF($N$85=0,"",IF(AND($N$85&gt;0,P62=0),re,IF(P62&lt;&gt;6,"&lt; All Data!",IF(AND(S4=T4,E62&gt;W48),CONCATENATE("Credit exceeds ",LEFT(W48,2),",",RIGHT(W48,3),"!"),IF(AND(G62&gt;0,F62=$S$1),"Check utilised tax credit in prev. YoA!",IF(G62&gt;E62,"Credit utilised &gt; Approved!",IF(I62&gt;H62,"Credit utilised &gt; b/fwd!",IF(F62&lt;2015,"Check YoA credit first available!",""))))))))</f>
        <v/>
      </c>
      <c r="L62" s="1547"/>
      <c r="M62" s="28">
        <f>IF(K62="",0,1)</f>
      </c>
      <c r="N62" s="28">
        <f>IF(P62&gt;0,1,0)</f>
      </c>
      <c r="P62" s="28">
        <f>COUNTA(C62:G62)+COUNTA(I62)</f>
      </c>
      <c r="S62" s="91">
        <f>IF(D62="",2014,YEAR(D62))</f>
      </c>
      <c r="T62" s="2794" t="str">
        <f>IF(F62="","",IF(Y$4=1,F62+7,F62+5))</f>
        <v/>
      </c>
      <c r="U62" s="91">
        <f>IF(T62&gt;=$S$1,1,0)</f>
      </c>
      <c r="V62" s="1831" t="str">
        <f>IF(U62=1,H62,0)</f>
        <v/>
      </c>
      <c r="W62" s="1831">
        <f>IF(U62=1,I62,0)</f>
      </c>
      <c r="X62" s="1831" t="str">
        <f>IF(U62=1,J62,0)</f>
        <v/>
      </c>
      <c r="Z62" s="91">
        <f>IF(U62=0,0,IF(AND(U62=1,J62&gt;0),1,0))</f>
      </c>
      <c r="AA62" s="91">
        <f>Z62</f>
      </c>
      <c r="AB62" s="91"/>
      <c r="AE62" s="1832">
        <f>E62-G62</f>
      </c>
      <c r="AF62" s="91">
        <f>IF(AE62&lt;&gt;E62,AE62,0)</f>
      </c>
      <c r="AG62" s="91">
        <f>IF(AND(AF62&lt;&gt;0,SUM(G63:G71)&lt;&gt;0),1,0)</f>
      </c>
    </row>
    <row r="63" spans="2:33" x14ac:dyDescent="0.2">
      <c r="B63" s="4023">
        <v>2</v>
      </c>
      <c r="C63" s="1896"/>
      <c r="D63" s="809"/>
      <c r="E63" s="1897"/>
      <c r="F63" s="363"/>
      <c r="G63" s="1897"/>
      <c r="H63" s="1899" t="str">
        <f t="shared" si="18"/>
        <v/>
      </c>
      <c r="I63" s="1897"/>
      <c r="J63" s="1900" t="str">
        <f t="shared" si="19"/>
        <v/>
      </c>
      <c r="K63" s="3796" t="str">
        <f>IF($N$85=0,"",IF(AND(N63&gt;0,$G$59&lt;B63),"Delete",IF($G$59&lt;B63,"",IF(AND($N$85&gt;0,$G$59&gt;=2,P63=0),re,IF(AND($N$85&gt;0,$G$59&gt;1,P63&lt;&gt;6),"&lt; All Data!",IF(AND($G$59&lt;2,P63&gt;0),"Check number of certificates!",IF(AND($S$4=$T$4,E63&gt;$W$48),CONCATENATE("Credit exceeds ",LEFT($W$48,2),",",RIGHT($W$48,3),"!"),IF(OR(AND(G63&gt;0,F63&gt;=$S$1),AND($G$62&gt;0,$F$62=$S$1)),"Check utilised tax credit in prev. YoA!",IF(G63&gt;E63,"Credit utilised &gt; Approved!",IF(I63&gt;H63,"Credit utilised &gt; b/fwd!",IF(OR(F63&lt;2015,F63&gt;$S$1),"Check YoA credit first available!","")))))))))))</f>
        <v/>
      </c>
      <c r="L63" s="1547"/>
      <c r="M63" s="28">
        <f>IF(K63="",0,1)</f>
      </c>
      <c r="N63" s="28">
        <f>IF(P63&gt;0,1,0)</f>
      </c>
      <c r="P63" s="28">
        <f>COUNTA(C63:G63)+COUNTA(I63)</f>
      </c>
      <c r="S63" s="91">
        <f>IF(D63="",2014,YEAR(D63))</f>
      </c>
      <c r="T63" s="2794" t="str">
        <f>IF(F63="","",IF(Y$4=1,F63+7,F63+5))</f>
        <v/>
      </c>
      <c r="U63" s="91">
        <f>IF(T63&gt;=$S$1,1,0)</f>
      </c>
      <c r="V63" s="1831" t="str">
        <f>IF(U63=1,H63,0)</f>
        <v/>
      </c>
      <c r="W63" s="1831">
        <f>IF(U63=1,I63,0)</f>
      </c>
      <c r="X63" s="1831" t="str">
        <f>IF(U63=1,J63,0)</f>
        <v/>
      </c>
      <c r="Z63" s="91">
        <f>IF(U63=0,0,IF(AND(U63=1,J63&gt;0),1,0))</f>
      </c>
      <c r="AA63" s="91">
        <f>IF(AA62+Z63&gt;0,1,0)</f>
      </c>
      <c r="AB63" s="91">
        <f>IF(AND(AA62=1,I63&gt;0),1,0)</f>
      </c>
      <c r="AE63" s="1832">
        <f>E63-G63</f>
      </c>
      <c r="AF63" s="91">
        <f>IF(AE63&lt;&gt;E63,AE63,0)</f>
      </c>
      <c r="AG63" s="91">
        <f>IF(AND(AF63&lt;&gt;0,SUM(G64:G71)&lt;&gt;0),1,0)</f>
      </c>
    </row>
    <row r="64" spans="2:33" x14ac:dyDescent="0.2">
      <c r="B64" s="4023">
        <v>3</v>
      </c>
      <c r="C64" s="1896"/>
      <c r="D64" s="809"/>
      <c r="E64" s="1897"/>
      <c r="F64" s="363"/>
      <c r="G64" s="1897"/>
      <c r="H64" s="1899" t="str">
        <f t="shared" si="18"/>
        <v/>
      </c>
      <c r="I64" s="1897"/>
      <c r="J64" s="1900" t="str">
        <f t="shared" si="19"/>
        <v/>
      </c>
      <c r="K64" s="3796" t="str">
        <f>IF($N$85=0,"",IF(AND(N64&gt;0,$G$59&lt;B64),"Delete",IF($G$59&lt;B64,"",IF(AND($N$85&gt;0,$G$59&gt;=2,P64=0),re,IF(AND($N$85&gt;0,$G$59&gt;1,P64&lt;&gt;6),"&lt; All Data!",IF(AND($G$59&lt;3,P64&gt;0),"Check number of certificates!",IF(AND($S$4=$T$4,E64&gt;$W$48),CONCATENATE("Credit exceeds ",LEFT($W$48,2),",",RIGHT($W$48,3),"!"),IF(OR(AND(G64&gt;0,F64&gt;=$S$1),AND($G$62&gt;0,$F$62=$S$1)),"Check utilised tax credit in prev. YoA!",IF(G64&gt;E64,"Credit utilised &gt; Approved!",IF(I64&gt;H64,"Credit utilised &gt; b/fwd!",IF(OR(F64&lt;2015,F64&gt;$S$1),"Check YoA credit first available!","")))))))))))</f>
        <v/>
      </c>
      <c r="L64" s="1547"/>
      <c r="M64" s="28">
        <f>IF(K64="",0,1)</f>
      </c>
      <c r="N64" s="28">
        <f>IF(P64&gt;0,1,0)</f>
      </c>
      <c r="P64" s="28">
        <f>COUNTA(C64:G64)+COUNTA(I64)</f>
      </c>
      <c r="S64" s="91">
        <f>IF(D64="",2014,YEAR(D64))</f>
      </c>
      <c r="T64" s="2794" t="str">
        <f>IF(F64="","",IF(Y$4=1,F64+7,F64+5))</f>
        <v/>
      </c>
      <c r="U64" s="91">
        <f>IF(T64&gt;=$S$1,1,0)</f>
      </c>
      <c r="V64" s="1831" t="str">
        <f>IF(U64=1,H64,0)</f>
        <v/>
      </c>
      <c r="W64" s="1831">
        <f>IF(U64=1,I64,0)</f>
      </c>
      <c r="X64" s="1831" t="str">
        <f>IF(U64=1,J64,0)</f>
        <v/>
      </c>
      <c r="Z64" s="91">
        <f>IF(U64=0,0,IF(AND(U64=1,J64&gt;0),1,0))</f>
      </c>
      <c r="AA64" s="91">
        <f>IF(AA63+Z64&gt;0,1,0)</f>
      </c>
      <c r="AB64" s="91">
        <f>IF(AND(AA63=1,I64&gt;0),1,0)</f>
      </c>
      <c r="AE64" s="1832">
        <f>E64-G64</f>
      </c>
      <c r="AF64" s="91">
        <f>IF(AE64&lt;&gt;E64,AE64,0)</f>
      </c>
      <c r="AG64" s="91">
        <f>IF(AND(AF64&lt;&gt;0,G71&lt;&gt;0),1,0)</f>
      </c>
    </row>
    <row r="65" spans="1:33" x14ac:dyDescent="0.2">
      <c r="B65" s="4023">
        <v>4</v>
      </c>
      <c r="C65" s="1896"/>
      <c r="D65" s="809"/>
      <c r="E65" s="1897"/>
      <c r="F65" s="363"/>
      <c r="G65" s="1897"/>
      <c r="H65" s="1899" t="str">
        <f t="shared" si="18"/>
        <v/>
      </c>
      <c r="I65" s="1897"/>
      <c r="J65" s="1900" t="str">
        <f t="shared" si="19"/>
        <v/>
      </c>
      <c r="K65" s="3796" t="str">
        <f>IF($N$85=0,"",IF(AND(N65&gt;0,$G$59&lt;B65),"Delete",IF($G$59&lt;B65,"",IF(AND($N$85&gt;0,$G$59&gt;=2,P65=0),re,IF(AND($N$85&gt;0,$G$59&gt;1,P65&lt;&gt;6),"&lt; All Data!",IF(AND($G$59&lt;4,P65&gt;0),"Check number of certificates!",IF(AND($S$4=$T$4,E65&gt;$W$48),CONCATENATE("Credit exceeds ",LEFT($W$48,2),",",RIGHT($W$48,3),"!"),IF(OR(AND(G65&gt;0,F65&gt;=$S$1),AND($G$62&gt;0,$F$62=$S$1)),"Check utilised tax credit in prev. YoA!",IF(G65&gt;E65,"Credit utilised &gt; Approved!",IF(I65&gt;H65,"Credit utilised &gt; b/fwd!",IF(OR(F65&lt;2015,F65&gt;$S$1),"Check YoA credit first available!","")))))))))))</f>
        <v/>
      </c>
      <c r="L65" s="1547"/>
      <c r="M65" s="28">
        <f t="shared" ref="M65:M71" si="20">IF(K65="",0,1)</f>
      </c>
      <c r="N65" s="28">
        <f t="shared" ref="N65:N71" si="21">IF(P65&gt;0,1,0)</f>
      </c>
      <c r="P65" s="28">
        <f t="shared" ref="P65:P71" si="22">COUNTA(C65:G65)+COUNTA(I65)</f>
      </c>
      <c r="S65" s="91">
        <f t="shared" ref="S65:S71" si="23">IF(D65="",2014,YEAR(D65))</f>
      </c>
      <c r="T65" s="2794" t="str">
        <f t="shared" ref="T65:T71" si="24">IF(F65="","",IF(Y$4=1,F65+7,F65+5))</f>
        <v/>
      </c>
      <c r="U65" s="91">
        <f t="shared" ref="U65:U71" si="25">IF(T65&gt;=$S$1,1,0)</f>
      </c>
      <c r="V65" s="1831" t="str">
        <f t="shared" ref="V65:V71" si="26">IF(U65=1,H65,0)</f>
        <v/>
      </c>
      <c r="W65" s="1831">
        <f t="shared" ref="W65:W71" si="27">IF(U65=1,I65,0)</f>
      </c>
      <c r="X65" s="1831" t="str">
        <f t="shared" ref="X65:X71" si="28">IF(U65=1,J65,0)</f>
        <v/>
      </c>
      <c r="Z65" s="91">
        <f t="shared" ref="Z65:Z71" si="29">IF(U65=0,0,IF(AND(U65=1,J65&gt;0),1,0))</f>
      </c>
      <c r="AA65" s="91">
        <f t="shared" ref="AA65:AA71" si="30">IF(AA64+Z65&gt;0,1,0)</f>
      </c>
      <c r="AB65" s="91">
        <f t="shared" ref="AB65:AB71" si="31">IF(AND(AA64=1,I65&gt;0),1,0)</f>
      </c>
      <c r="AE65" s="1832">
        <f t="shared" ref="AE65:AE71" si="32">E65-G65</f>
      </c>
      <c r="AF65" s="91">
        <f t="shared" ref="AF65:AF71" si="33">IF(AE65&lt;&gt;E65,AE65,0)</f>
      </c>
      <c r="AG65" s="91">
        <f t="shared" ref="AG65:AG71" si="34">IF(AND(AF65&lt;&gt;0,G72&lt;&gt;0),1,0)</f>
      </c>
    </row>
    <row r="66" spans="1:33" x14ac:dyDescent="0.2">
      <c r="B66" s="4023">
        <v>5</v>
      </c>
      <c r="C66" s="1896"/>
      <c r="D66" s="809"/>
      <c r="E66" s="1897"/>
      <c r="F66" s="363"/>
      <c r="G66" s="1897"/>
      <c r="H66" s="1899" t="str">
        <f t="shared" si="18"/>
        <v/>
      </c>
      <c r="I66" s="1897"/>
      <c r="J66" s="1900" t="str">
        <f t="shared" si="19"/>
        <v/>
      </c>
      <c r="K66" s="3796" t="str">
        <f>IF($N$85=0,"",IF(AND(N66&gt;0,$G$59&lt;B66),"Delete",IF($G$59&lt;B66,"",IF(AND($N$85&gt;0,$G$59&gt;=2,P66=0),re,IF(AND($N$85&gt;0,$G$59&gt;1,P66&lt;&gt;6),"&lt; All Data!",IF(AND($G$59&lt;5,P66&gt;0),"Check number of certificates!",IF(AND($S$4=$T$4,E66&gt;$W$48),CONCATENATE("Credit exceeds ",LEFT($W$48,2),",",RIGHT($W$48,3),"!"),IF(OR(AND(G66&gt;0,F66&gt;=$S$1),AND($G$62&gt;0,$F$62=$S$1)),"Check utilised tax credit in prev. YoA!",IF(G66&gt;E66,"Credit utilised &gt; Approved!",IF(I66&gt;H66,"Credit utilised &gt; b/fwd!",IF(OR(F66&lt;2015,F66&gt;$S$1),"Check YoA credit first available!","")))))))))))</f>
        <v/>
      </c>
      <c r="L66" s="1547"/>
      <c r="M66" s="28">
        <f t="shared" si="20"/>
        <v>0</v>
      </c>
      <c r="N66" s="28">
        <f t="shared" si="21"/>
        <v>0</v>
      </c>
      <c r="P66" s="28">
        <f t="shared" si="22"/>
        <v>0</v>
      </c>
      <c r="S66" s="91">
        <f t="shared" si="23"/>
        <v>2014</v>
      </c>
      <c r="T66" s="2794" t="str">
        <f t="shared" si="24"/>
        <v/>
      </c>
      <c r="U66" s="91">
        <f t="shared" si="25"/>
        <v>1</v>
      </c>
      <c r="V66" s="1831" t="str">
        <f t="shared" si="26"/>
        <v/>
      </c>
      <c r="W66" s="1831">
        <f t="shared" si="27"/>
        <v>0</v>
      </c>
      <c r="X66" s="1831" t="str">
        <f t="shared" si="28"/>
        <v/>
      </c>
      <c r="Z66" s="91">
        <f t="shared" si="29"/>
        <v>1</v>
      </c>
      <c r="AA66" s="91">
        <f t="shared" si="30"/>
        <v>1</v>
      </c>
      <c r="AB66" s="91">
        <f t="shared" si="31"/>
        <v>0</v>
      </c>
      <c r="AE66" s="1832">
        <f t="shared" si="32"/>
        <v>0</v>
      </c>
      <c r="AF66" s="91">
        <f t="shared" si="33"/>
        <v>0</v>
      </c>
      <c r="AG66" s="91">
        <f t="shared" si="34"/>
        <v>0</v>
      </c>
    </row>
    <row r="67" spans="1:33" x14ac:dyDescent="0.2">
      <c r="B67" s="4023">
        <v>6</v>
      </c>
      <c r="C67" s="1896"/>
      <c r="D67" s="809"/>
      <c r="E67" s="1897"/>
      <c r="F67" s="363"/>
      <c r="G67" s="1897"/>
      <c r="H67" s="1899" t="str">
        <f t="shared" si="18"/>
        <v/>
      </c>
      <c r="I67" s="1897"/>
      <c r="J67" s="1900" t="str">
        <f t="shared" si="19"/>
        <v/>
      </c>
      <c r="K67" s="3796" t="str">
        <f>IF($N$85=0,"",IF(AND(N67&gt;0,$G$59&lt;B67),"Delete",IF($G$59&lt;B67,"",IF(AND($N$85&gt;0,$G$59&gt;=2,P67=0),re,IF(AND($N$85&gt;0,$G$59&gt;1,P67&lt;&gt;6),"&lt; All Data!",IF(AND($G$59&lt;6,P67&gt;0),"Check number of certificates!",IF(AND($S$4=$T$4,E67&gt;$W$48),CONCATENATE("Credit exceeds ",LEFT($W$48,2),",",RIGHT($W$48,3),"!"),IF(OR(AND(G67&gt;0,F67&gt;=$S$1),AND($G$62&gt;0,$F$62=$S$1)),"Check utilised tax credit in prev. YoA!",IF(G67&gt;E67,"Credit utilised &gt; Approved!",IF(I67&gt;H67,"Credit utilised &gt; b/fwd!",IF(OR(F67&lt;2015,F67&gt;$S$1),"Check YoA credit first available!","")))))))))))</f>
        <v/>
      </c>
      <c r="L67" s="1547"/>
      <c r="M67" s="28">
        <f t="shared" si="20"/>
        <v>0</v>
      </c>
      <c r="N67" s="28">
        <f t="shared" si="21"/>
        <v>0</v>
      </c>
      <c r="P67" s="28">
        <f t="shared" si="22"/>
        <v>0</v>
      </c>
      <c r="S67" s="91">
        <f t="shared" si="23"/>
        <v>2014</v>
      </c>
      <c r="T67" s="2794" t="str">
        <f t="shared" si="24"/>
        <v/>
      </c>
      <c r="U67" s="91">
        <f t="shared" si="25"/>
        <v>1</v>
      </c>
      <c r="V67" s="1831" t="str">
        <f t="shared" si="26"/>
        <v/>
      </c>
      <c r="W67" s="1831">
        <f t="shared" si="27"/>
        <v>0</v>
      </c>
      <c r="X67" s="1831" t="str">
        <f t="shared" si="28"/>
        <v/>
      </c>
      <c r="Z67" s="91">
        <f t="shared" si="29"/>
        <v>1</v>
      </c>
      <c r="AA67" s="91">
        <f t="shared" si="30"/>
        <v>1</v>
      </c>
      <c r="AB67" s="91">
        <f t="shared" si="31"/>
        <v>0</v>
      </c>
      <c r="AE67" s="1832">
        <f t="shared" si="32"/>
        <v>0</v>
      </c>
      <c r="AF67" s="91">
        <f t="shared" si="33"/>
        <v>0</v>
      </c>
      <c r="AG67" s="91">
        <f t="shared" si="34"/>
        <v>0</v>
      </c>
    </row>
    <row r="68" spans="1:33" x14ac:dyDescent="0.2">
      <c r="B68" s="4023">
        <v>7</v>
      </c>
      <c r="C68" s="1896"/>
      <c r="D68" s="809"/>
      <c r="E68" s="1897"/>
      <c r="F68" s="363"/>
      <c r="G68" s="1897"/>
      <c r="H68" s="1899" t="str">
        <f t="shared" si="18"/>
        <v/>
      </c>
      <c r="I68" s="1897"/>
      <c r="J68" s="1900" t="str">
        <f t="shared" si="19"/>
        <v/>
      </c>
      <c r="K68" s="3796" t="str">
        <f>IF($N$85=0,"",IF(AND(N68&gt;0,$G$59&lt;B68),"Delete",IF($G$59&lt;B68,"",IF(AND($N$85&gt;0,$G$59&gt;=2,P68=0),re,IF(AND($N$85&gt;0,$G$59&gt;1,P68&lt;&gt;6),"&lt; All Data!",IF(AND($G$59&lt;7,P68&gt;0),"Check number of certificates!",IF(AND($S$4=$T$4,E68&gt;$W$48),CONCATENATE("Credit exceeds ",LEFT($W$48,2),",",RIGHT($W$48,3),"!"),IF(OR(AND(G68&gt;0,F68&gt;=$S$1),AND($G$62&gt;0,$F$62=$S$1)),"Check utilised tax credit in prev. YoA!",IF(G68&gt;E68,"Credit utilised &gt; Approved!",IF(I68&gt;H68,"Credit utilised &gt; b/fwd!",IF(OR(F68&lt;2015,F68&gt;$S$1),"Check YoA credit first available!","")))))))))))</f>
        <v/>
      </c>
      <c r="L68" s="1547"/>
      <c r="M68" s="28">
        <f t="shared" si="20"/>
        <v>0</v>
      </c>
      <c r="N68" s="28">
        <f t="shared" si="21"/>
        <v>0</v>
      </c>
      <c r="P68" s="28">
        <f t="shared" si="22"/>
        <v>0</v>
      </c>
      <c r="S68" s="91">
        <f t="shared" si="23"/>
        <v>2014</v>
      </c>
      <c r="T68" s="2794" t="str">
        <f t="shared" si="24"/>
        <v/>
      </c>
      <c r="U68" s="91">
        <f t="shared" si="25"/>
        <v>1</v>
      </c>
      <c r="V68" s="1831" t="str">
        <f t="shared" si="26"/>
        <v/>
      </c>
      <c r="W68" s="1831">
        <f t="shared" si="27"/>
        <v>0</v>
      </c>
      <c r="X68" s="1831" t="str">
        <f t="shared" si="28"/>
        <v/>
      </c>
      <c r="Z68" s="91">
        <f t="shared" si="29"/>
        <v>1</v>
      </c>
      <c r="AA68" s="91">
        <f t="shared" si="30"/>
        <v>1</v>
      </c>
      <c r="AB68" s="91">
        <f t="shared" si="31"/>
        <v>0</v>
      </c>
      <c r="AE68" s="1832">
        <f t="shared" si="32"/>
        <v>0</v>
      </c>
      <c r="AF68" s="91">
        <f t="shared" si="33"/>
        <v>0</v>
      </c>
      <c r="AG68" s="91">
        <f t="shared" si="34"/>
        <v>0</v>
      </c>
    </row>
    <row r="69" spans="1:33" x14ac:dyDescent="0.2">
      <c r="B69" s="4023">
        <v>8</v>
      </c>
      <c r="C69" s="1896"/>
      <c r="D69" s="809"/>
      <c r="E69" s="1897"/>
      <c r="F69" s="363"/>
      <c r="G69" s="1897"/>
      <c r="H69" s="1899" t="str">
        <f t="shared" si="18"/>
        <v/>
      </c>
      <c r="I69" s="1897"/>
      <c r="J69" s="1900" t="str">
        <f t="shared" si="19"/>
        <v/>
      </c>
      <c r="K69" s="3796" t="str">
        <f>IF($N$85=0,"",IF(AND(N69&gt;0,$G$59&lt;B69),"Delete",IF($G$59&lt;B69,"",IF(AND($N$85&gt;0,$G$59&gt;=2,P69=0),re,IF(AND($N$85&gt;0,$G$59&gt;1,P69&lt;&gt;6),"&lt; All Data!",IF(AND($G$59&lt;8,P69&gt;0),"Check number of certificates!",IF(AND($S$4=$T$4,E69&gt;$W$48),CONCATENATE("Credit exceeds ",LEFT($W$48,2),",",RIGHT($W$48,3),"!"),IF(OR(AND(G69&gt;0,F69&gt;=$S$1),AND($G$62&gt;0,$F$62=$S$1)),"Check utilised tax credit in prev. YoA!",IF(G69&gt;E69,"Credit utilised &gt; Approved!",IF(I69&gt;H69,"Credit utilised &gt; b/fwd!",IF(OR(F69&lt;2015,F69&gt;$S$1),"Check YoA credit first available!","")))))))))))</f>
        <v/>
      </c>
      <c r="L69" s="1547"/>
      <c r="M69" s="28">
        <f t="shared" si="20"/>
        <v>0</v>
      </c>
      <c r="N69" s="28">
        <f t="shared" si="21"/>
        <v>0</v>
      </c>
      <c r="P69" s="28">
        <f t="shared" si="22"/>
        <v>0</v>
      </c>
      <c r="S69" s="91">
        <f t="shared" si="23"/>
        <v>2014</v>
      </c>
      <c r="T69" s="2794" t="str">
        <f t="shared" si="24"/>
        <v/>
      </c>
      <c r="U69" s="91">
        <f t="shared" si="25"/>
        <v>1</v>
      </c>
      <c r="V69" s="1831" t="str">
        <f t="shared" si="26"/>
        <v/>
      </c>
      <c r="W69" s="1831">
        <f t="shared" si="27"/>
        <v>0</v>
      </c>
      <c r="X69" s="1831" t="str">
        <f t="shared" si="28"/>
        <v/>
      </c>
      <c r="Z69" s="91">
        <f t="shared" si="29"/>
        <v>1</v>
      </c>
      <c r="AA69" s="91">
        <f t="shared" si="30"/>
        <v>1</v>
      </c>
      <c r="AB69" s="91">
        <f t="shared" si="31"/>
        <v>0</v>
      </c>
      <c r="AE69" s="1832">
        <f t="shared" si="32"/>
        <v>0</v>
      </c>
      <c r="AF69" s="91">
        <f t="shared" si="33"/>
        <v>0</v>
      </c>
      <c r="AG69" s="91">
        <f t="shared" si="34"/>
        <v>0</v>
      </c>
    </row>
    <row r="70" spans="1:33" x14ac:dyDescent="0.2">
      <c r="B70" s="4023">
        <v>9</v>
      </c>
      <c r="C70" s="1896"/>
      <c r="D70" s="809"/>
      <c r="E70" s="1897"/>
      <c r="F70" s="363"/>
      <c r="G70" s="1897"/>
      <c r="H70" s="1899" t="str">
        <f t="shared" si="18"/>
        <v/>
      </c>
      <c r="I70" s="1897"/>
      <c r="J70" s="1900" t="str">
        <f t="shared" si="19"/>
        <v/>
      </c>
      <c r="K70" s="3796" t="str">
        <f>IF($N$85=0,"",IF(AND(N70&gt;0,$G$59&lt;B70),"Delete",IF($G$59&lt;B70,"",IF(AND($N$85&gt;0,$G$59&gt;=2,P70=0),re,IF(AND($N$85&gt;0,$G$59&gt;1,P70&lt;&gt;6),"&lt; All Data!",IF(AND($G$59&lt;9,P70&gt;0),"Check number of certificates!",IF(AND($S$4=$T$4,E70&gt;$W$48),CONCATENATE("Credit exceeds ",LEFT($W$48,2),",",RIGHT($W$48,3),"!"),IF(OR(AND(G70&gt;0,F70&gt;=$S$1),AND($G$62&gt;0,$F$62=$S$1)),"Check utilised tax credit in prev. YoA!",IF(G70&gt;E70,"Credit utilised &gt; Approved!",IF(I70&gt;H70,"Credit utilised &gt; b/fwd!",IF(OR(F70&lt;2015,F70&gt;$S$1),"Check YoA credit first available!","")))))))))))</f>
        <v/>
      </c>
      <c r="L70" s="1547"/>
      <c r="M70" s="28">
        <f t="shared" si="20"/>
        <v>0</v>
      </c>
      <c r="N70" s="28">
        <f t="shared" si="21"/>
        <v>0</v>
      </c>
      <c r="P70" s="28">
        <f t="shared" si="22"/>
        <v>0</v>
      </c>
      <c r="S70" s="91">
        <f t="shared" si="23"/>
        <v>2014</v>
      </c>
      <c r="T70" s="2794" t="str">
        <f t="shared" si="24"/>
        <v/>
      </c>
      <c r="U70" s="91">
        <f t="shared" si="25"/>
        <v>1</v>
      </c>
      <c r="V70" s="1831" t="str">
        <f t="shared" si="26"/>
        <v/>
      </c>
      <c r="W70" s="1831">
        <f t="shared" si="27"/>
        <v>0</v>
      </c>
      <c r="X70" s="1831" t="str">
        <f t="shared" si="28"/>
        <v/>
      </c>
      <c r="Z70" s="91">
        <f t="shared" si="29"/>
        <v>1</v>
      </c>
      <c r="AA70" s="91">
        <f t="shared" si="30"/>
        <v>1</v>
      </c>
      <c r="AB70" s="91">
        <f t="shared" si="31"/>
        <v>0</v>
      </c>
      <c r="AE70" s="1832">
        <f t="shared" si="32"/>
        <v>0</v>
      </c>
      <c r="AF70" s="91">
        <f t="shared" si="33"/>
        <v>0</v>
      </c>
      <c r="AG70" s="91">
        <f t="shared" si="34"/>
        <v>0</v>
      </c>
    </row>
    <row r="71" spans="1:33" x14ac:dyDescent="0.2">
      <c r="B71" s="4023">
        <v>10</v>
      </c>
      <c r="C71" s="1896"/>
      <c r="D71" s="809"/>
      <c r="E71" s="1897"/>
      <c r="F71" s="363"/>
      <c r="G71" s="1897"/>
      <c r="H71" s="1899" t="str">
        <f t="shared" si="18"/>
        <v/>
      </c>
      <c r="I71" s="1897"/>
      <c r="J71" s="1900" t="str">
        <f t="shared" si="19"/>
        <v/>
      </c>
      <c r="K71" s="3796" t="str">
        <f>IF($N$85=0,"",IF(AND(N71&gt;0,$G$59&lt;B71),"Delete",IF($G$59&lt;B71,"",IF(AND($N$85&gt;0,$G$59&gt;=2,P71=0),re,IF(AND($N$85&gt;0,$G$59&gt;1,P71&lt;&gt;6),"&lt; All Data!",IF(AND($G$59&lt;10,P71&gt;0),"Check number of certificates!",IF(AND($S$4=$T$4,E71&gt;$W$48),CONCATENATE("Credit exceeds ",LEFT($W$48,2),",",RIGHT($W$48,3),"!"),IF(OR(AND(G71&gt;0,F71&gt;=$S$1),AND($G$62&gt;0,$F$62=$S$1)),"Check utilised tax credit in prev. YoA!",IF(G71&gt;E71,"Credit utilised &gt; Approved!",IF(I71&gt;H71,"Credit utilised &gt; b/fwd!",IF(OR(F71&lt;2015,F71&gt;$S$1),"Check YoA credit first available!","")))))))))))</f>
        <v/>
      </c>
      <c r="L71" s="1547"/>
      <c r="M71" s="28">
        <f t="shared" si="20"/>
        <v>0</v>
      </c>
      <c r="N71" s="28">
        <f t="shared" si="21"/>
        <v>0</v>
      </c>
      <c r="P71" s="28">
        <f t="shared" si="22"/>
        <v>0</v>
      </c>
      <c r="S71" s="91">
        <f t="shared" si="23"/>
        <v>2014</v>
      </c>
      <c r="T71" s="2794" t="str">
        <f t="shared" si="24"/>
        <v/>
      </c>
      <c r="U71" s="91">
        <f t="shared" si="25"/>
        <v>1</v>
      </c>
      <c r="V71" s="1831" t="str">
        <f t="shared" si="26"/>
        <v/>
      </c>
      <c r="W71" s="1831">
        <f t="shared" si="27"/>
        <v>0</v>
      </c>
      <c r="X71" s="1831" t="str">
        <f t="shared" si="28"/>
        <v/>
      </c>
      <c r="Z71" s="91">
        <f t="shared" si="29"/>
        <v>1</v>
      </c>
      <c r="AA71" s="91">
        <f t="shared" si="30"/>
        <v>1</v>
      </c>
      <c r="AB71" s="91">
        <f t="shared" si="31"/>
        <v>0</v>
      </c>
      <c r="AE71" s="1832">
        <f t="shared" si="32"/>
        <v>0</v>
      </c>
      <c r="AF71" s="91">
        <f t="shared" si="33"/>
        <v>0</v>
      </c>
      <c r="AG71" s="91">
        <f t="shared" si="34"/>
        <v>0</v>
      </c>
    </row>
    <row r="72" spans="1:33" x14ac:dyDescent="0.2">
      <c r="B72" s="1793"/>
      <c r="C72" s="1850" t="s">
        <v>9115</v>
      </c>
      <c r="D72" s="1791"/>
      <c r="E72" s="1898">
        <f>SUM(E62:E71)</f>
      </c>
      <c r="F72" s="1835"/>
      <c r="G72" s="1791"/>
      <c r="H72" s="1791"/>
      <c r="I72" s="1791"/>
      <c r="J72" s="1791"/>
      <c r="K72" s="1789"/>
      <c r="L72" s="1547"/>
      <c r="N72" s="28">
        <f>SUM(N62:N71)</f>
      </c>
      <c r="P72" s="28"/>
      <c r="V72" s="1832">
        <f>SUM(V62:V71)</f>
      </c>
      <c r="W72" s="1832">
        <f>SUM(W62:W71)</f>
      </c>
      <c r="X72" s="1832">
        <f>SUM(X62:X71)</f>
      </c>
      <c r="AA72" s="91">
        <f>SUM(AA62:AA71)</f>
      </c>
      <c r="AB72" s="91">
        <f>SUM(AB62:AB71)</f>
      </c>
      <c r="AG72" s="91">
        <f>SUM(AG62:AG71)</f>
      </c>
    </row>
    <row r="73" spans="1:33" x14ac:dyDescent="0.2">
      <c r="B73" s="1793"/>
      <c r="C73" s="1745" t="s">
        <v>7159</v>
      </c>
      <c r="D73" s="1787"/>
      <c r="E73" s="1787"/>
      <c r="F73" s="1787"/>
      <c r="G73" s="1898">
        <f>SUM(G62:G71)</f>
      </c>
      <c r="H73" s="1837" t="str">
        <f>IF(AG72&gt;=1,"Check utilisation of previous credit!","")</f>
        <v/>
      </c>
      <c r="I73" s="1787"/>
      <c r="J73" s="1787"/>
      <c r="K73" s="1789"/>
      <c r="L73" s="1547"/>
      <c r="P73" s="28"/>
    </row>
    <row r="74" spans="1:33" x14ac:dyDescent="0.2">
      <c r="B74" s="1793"/>
      <c r="C74" s="1850" t="s">
        <v>7332</v>
      </c>
      <c r="D74" s="1791"/>
      <c r="E74" s="1791"/>
      <c r="F74" s="1791"/>
      <c r="G74" s="1791"/>
      <c r="H74" s="1898">
        <f>V72</f>
      </c>
      <c r="I74" s="1791"/>
      <c r="J74" s="1791"/>
      <c r="K74" s="1789"/>
      <c r="L74" s="1547"/>
      <c r="P74" s="28"/>
    </row>
    <row r="75" spans="1:33" x14ac:dyDescent="0.2">
      <c r="B75" s="1792"/>
      <c r="C75" s="1850" t="s">
        <v>7157</v>
      </c>
      <c r="D75" s="1791"/>
      <c r="E75" s="1791"/>
      <c r="F75" s="1793"/>
      <c r="G75" s="1793"/>
      <c r="H75" s="1827"/>
      <c r="I75" s="1898">
        <f>W72</f>
      </c>
      <c r="J75" s="1835" t="str">
        <f>IF(AB72&gt;0,"Check order of utilisation of credit!","")</f>
        <v/>
      </c>
      <c r="K75" s="1793"/>
      <c r="L75" s="1547"/>
      <c r="M75" s="28">
        <f>IF(J75="",0,1)</f>
      </c>
      <c r="P75" s="28"/>
    </row>
    <row r="76" spans="1:33" x14ac:dyDescent="0.2">
      <c r="B76" s="1792"/>
      <c r="C76" s="1956" t="s">
        <v>7158</v>
      </c>
      <c r="D76" s="1792"/>
      <c r="E76" s="1792"/>
      <c r="F76" s="1792"/>
      <c r="G76" s="1792"/>
      <c r="H76" s="1792"/>
      <c r="I76" s="1792"/>
      <c r="J76" s="1898">
        <f>X72</f>
      </c>
      <c r="K76" s="1793"/>
      <c r="L76" s="1547"/>
      <c r="P76" s="28"/>
      <c r="V76" s="139"/>
      <c r="W76" s="150"/>
      <c r="X76" s="150"/>
      <c r="Y76" s="1786"/>
    </row>
    <row r="77" spans="1:33" x14ac:dyDescent="0.2">
      <c r="A77" s="32"/>
      <c r="B77" s="1792"/>
      <c r="C77" s="1792"/>
      <c r="D77" s="1792"/>
      <c r="E77" s="1792"/>
      <c r="F77" s="1792"/>
      <c r="G77" s="1792"/>
      <c r="H77" s="1792"/>
      <c r="I77" s="1792"/>
      <c r="J77" s="1792"/>
      <c r="K77" s="1793"/>
      <c r="P77" s="28"/>
      <c r="T77" s="5124" t="s">
        <v>7073</v>
      </c>
      <c r="U77" s="5125"/>
      <c r="V77" s="5126"/>
    </row>
    <row r="78" spans="1:33" x14ac:dyDescent="0.2">
      <c r="A78" s="32"/>
      <c r="B78" s="1825" t="s">
        <v>5708</v>
      </c>
      <c r="C78" s="1826"/>
      <c r="D78" s="1826"/>
      <c r="E78" s="1826"/>
      <c r="F78" s="1826"/>
      <c r="G78" s="1826"/>
      <c r="H78" s="1826"/>
      <c r="I78" s="1833"/>
      <c r="J78" s="737"/>
      <c r="K78" s="2059" t="str">
        <f>IF(N85=0,"",IF(AND(I75&gt;=0,J78=""),re,IF(AND(I75=0,J78&gt;0),"No tax credit claimed for the year!",IF(AND(I75&gt;0,J78=0),"Amount relieved by tax credit required!",IF(J78&lt;0,"Cannot be negative!",IF(OR(J78&gt;T78+1,J78&lt;U78-1),V78,""))))))</f>
        <v/>
      </c>
      <c r="M78" s="28">
        <f>IF(K78="",0,1)</f>
      </c>
      <c r="N78" s="28">
        <f>IF(J78&gt;0,1,0)</f>
      </c>
      <c r="P78" s="28"/>
      <c r="T78" s="1807">
        <f>ROUND(I75/5%,0)</f>
      </c>
      <c r="U78" s="1770">
        <f>ROUND(I75/0.35,0)</f>
      </c>
      <c r="V78" s="1884" t="s">
        <v>4787</v>
      </c>
    </row>
    <row r="79" spans="1:33" x14ac:dyDescent="0.2">
      <c r="B79" s="1787"/>
      <c r="C79" s="1787"/>
      <c r="D79" s="1787"/>
      <c r="E79" s="1787"/>
      <c r="F79" s="1787"/>
      <c r="G79" s="1787"/>
      <c r="H79" s="1787"/>
      <c r="I79" s="1787"/>
      <c r="J79" s="1787"/>
      <c r="K79" s="1787"/>
      <c r="P79" s="28"/>
    </row>
    <row r="80" spans="1:33" x14ac:dyDescent="0.2">
      <c r="B80" s="1787"/>
      <c r="C80" s="1787"/>
      <c r="D80" s="1787"/>
      <c r="E80" s="1793"/>
      <c r="F80" s="1787"/>
      <c r="G80" s="1791"/>
      <c r="H80" s="3108" t="s">
        <v>9116</v>
      </c>
      <c r="I80" s="1785"/>
      <c r="J80" s="1794" t="str">
        <f>IF(N85=0,"",IF(I80="",re,IF(AND(I80=n,N85&gt;0),nob,"")))</f>
        <v/>
      </c>
      <c r="K80" s="1787"/>
      <c r="M80" s="28">
        <f>IF(J80="",0,1)</f>
      </c>
      <c r="N80" s="28">
        <f>IF(I80&gt;0,1,0)</f>
      </c>
      <c r="P80" s="28"/>
    </row>
    <row r="81" spans="2:25" x14ac:dyDescent="0.2">
      <c r="B81" s="1787"/>
      <c r="C81" s="3984" t="s">
        <v>10459</v>
      </c>
      <c r="D81" s="1787"/>
      <c r="E81" s="1787"/>
      <c r="F81" s="1787"/>
      <c r="G81" s="1787"/>
      <c r="H81" s="1787"/>
      <c r="I81" s="1787"/>
      <c r="J81" s="1787"/>
      <c r="K81" s="1787"/>
      <c r="P81" s="28"/>
    </row>
    <row r="82" spans="2:25" x14ac:dyDescent="0.2">
      <c r="B82" s="1746"/>
      <c r="C82" s="3984"/>
      <c r="D82" s="1746"/>
      <c r="E82" s="1787"/>
      <c r="F82" s="1787"/>
      <c r="G82" s="1790"/>
      <c r="H82" s="3108"/>
      <c r="I82" s="3108"/>
      <c r="J82" s="1794"/>
      <c r="K82" s="1787"/>
      <c r="L82" s="1547"/>
      <c r="P82" s="28"/>
    </row>
    <row r="83" spans="2:25" x14ac:dyDescent="0.2">
      <c r="B83" s="1787"/>
      <c r="C83" s="1787"/>
      <c r="D83" s="1787"/>
      <c r="E83" s="1787"/>
      <c r="F83" s="1787"/>
      <c r="G83" s="1787"/>
      <c r="H83" s="1787"/>
      <c r="I83" s="1787"/>
      <c r="J83" s="1787"/>
      <c r="K83" s="1787"/>
      <c r="P83" s="28"/>
    </row>
    <row r="84" spans="2:25" ht="2.65" customHeight="1" x14ac:dyDescent="0.2">
      <c r="B84" s="1792"/>
      <c r="C84" s="1792"/>
      <c r="D84" s="1792"/>
      <c r="E84" s="1792"/>
      <c r="F84" s="1792"/>
      <c r="G84" s="1792"/>
      <c r="H84" s="1792"/>
      <c r="I84" s="1792"/>
      <c r="J84" s="1792"/>
      <c r="K84" s="1793"/>
      <c r="L84" s="1547"/>
      <c r="P84" s="28"/>
    </row>
    <row r="85" spans="2:25" x14ac:dyDescent="0.2">
      <c r="B85" s="1787"/>
      <c r="C85" s="1787"/>
      <c r="D85" s="1787"/>
      <c r="E85" s="1787"/>
      <c r="F85" s="1787"/>
      <c r="G85" s="1787"/>
      <c r="H85" s="1787"/>
      <c r="I85" s="1787"/>
      <c r="J85" s="1787"/>
      <c r="K85" s="1793"/>
      <c r="M85" s="1895">
        <f>SUM(M48:M84)</f>
      </c>
      <c r="N85" s="1895">
        <f>SUM(N48:N84)</f>
      </c>
    </row>
    <row r="86" spans="2:25" x14ac:dyDescent="0.2">
      <c r="B86" s="66" t="str">
        <f>_xlfn.SINGLE(MTCA)</f>
      </c>
      <c r="D86" s="1517"/>
      <c r="E86" s="1517"/>
      <c r="F86" s="1517"/>
      <c r="G86" s="1517" t="str">
        <f>ver</f>
        <v>TA2_e-CO_2025_Ver 1.1</v>
      </c>
      <c r="K86" s="1517" t="s">
        <v>10007</v>
      </c>
      <c r="P86" s="28"/>
    </row>
    <row r="87" spans="2:25" x14ac:dyDescent="0.2">
      <c r="P87" s="28"/>
    </row>
    <row r="88" spans="2:25" x14ac:dyDescent="0.2">
      <c r="P88" s="28"/>
    </row>
    <row r="89" spans="2:25" ht="14.25" x14ac:dyDescent="0.2">
      <c r="B89" s="2859"/>
      <c r="C89" s="2859"/>
      <c r="D89" s="2859"/>
      <c r="E89" s="2859"/>
      <c r="F89" s="2859"/>
      <c r="G89" s="2859"/>
      <c r="H89" s="2859"/>
      <c r="I89" s="2859"/>
      <c r="J89" s="2859"/>
      <c r="K89" s="2859"/>
      <c r="W89" s="91" t="s">
        <v>7166</v>
      </c>
    </row>
    <row r="90" spans="2:25" ht="14.25" x14ac:dyDescent="0.2">
      <c r="B90" s="2859"/>
      <c r="C90" s="2859"/>
      <c r="D90" s="2859"/>
      <c r="E90" s="2859"/>
      <c r="F90" s="2859"/>
      <c r="G90" s="2859"/>
      <c r="H90" s="2859"/>
      <c r="I90" s="2859"/>
      <c r="J90" s="2859"/>
      <c r="K90" s="2859"/>
      <c r="M90" s="139" t="s">
        <v>7160</v>
      </c>
      <c r="N90" s="28" t="s">
        <v>7161</v>
      </c>
      <c r="S90" s="28" t="str">
        <f>cur</f>
      </c>
      <c r="T90" s="28" t="s">
        <v>4591</v>
      </c>
      <c r="U90" s="28" t="s">
        <v>7131</v>
      </c>
      <c r="V90" s="91">
        <f>IF(G97="yes",1,0)</f>
      </c>
      <c r="W90" s="1834"/>
      <c r="Y90" s="28">
        <f>IF(G97="",0,IF(G97="yes",1,IF(G97="no",2)))</f>
      </c>
    </row>
    <row r="91" spans="2:25" x14ac:dyDescent="0.2">
      <c r="U91" s="28" t="s">
        <v>7132</v>
      </c>
      <c r="V91" s="91">
        <f>IF(G98="yes",1,0)</f>
      </c>
      <c r="W91" s="2209">
        <f>IF(OR(V91=1,V92=1,V93=1),70000,IF(V91=0,50000,""))</f>
      </c>
    </row>
    <row r="92" spans="2:25" ht="15" x14ac:dyDescent="0.2">
      <c r="B92" s="3588"/>
      <c r="C92" s="3588"/>
      <c r="D92" s="3588"/>
      <c r="E92" s="3588"/>
      <c r="U92" s="1736" t="s">
        <v>7802</v>
      </c>
      <c r="V92" s="91">
        <f>IF(G100="yes",1,0)</f>
      </c>
      <c r="W92" s="2722"/>
    </row>
    <row r="93" spans="2:25" ht="15" x14ac:dyDescent="0.2">
      <c r="B93" s="3588"/>
      <c r="C93" s="3588"/>
      <c r="D93" s="3588"/>
      <c r="E93" s="3588"/>
      <c r="U93" s="1736" t="s">
        <v>8315</v>
      </c>
      <c r="V93" s="91">
        <f>IF(G99="yes",1,0)</f>
      </c>
      <c r="W93" s="2210"/>
    </row>
    <row r="94" spans="2:25" ht="14.25" x14ac:dyDescent="0.2">
      <c r="B94" s="3595">
        <v>3</v>
      </c>
      <c r="C94" s="5140" t="s">
        <v>10004</v>
      </c>
      <c r="D94" s="5140"/>
      <c r="E94" s="5140"/>
      <c r="F94" s="5140"/>
      <c r="G94" s="5140"/>
      <c r="H94" s="5140"/>
      <c r="I94" s="5140"/>
      <c r="J94" s="5140"/>
      <c r="K94" s="5140"/>
      <c r="U94" s="1736"/>
      <c r="V94" s="1736"/>
      <c r="W94" s="1736"/>
    </row>
    <row r="95" spans="2:25" ht="15" x14ac:dyDescent="0.2">
      <c r="B95" s="1788"/>
      <c r="C95" s="1788"/>
      <c r="D95" s="1788"/>
      <c r="E95" s="1788"/>
      <c r="F95" s="1787"/>
      <c r="G95" s="1787"/>
      <c r="H95" s="1787"/>
      <c r="I95" s="1787"/>
      <c r="J95" s="1787"/>
      <c r="K95" s="1787"/>
      <c r="U95" s="1736"/>
      <c r="V95" s="1736"/>
      <c r="W95" s="1736"/>
    </row>
    <row r="96" spans="2:25" x14ac:dyDescent="0.2">
      <c r="B96" s="1787" t="s">
        <v>9984</v>
      </c>
      <c r="C96" s="1787"/>
      <c r="D96" s="1787"/>
      <c r="E96" s="1787"/>
      <c r="F96" s="1787"/>
      <c r="G96" s="3587"/>
      <c r="H96" s="1789" t="str">
        <f>IF(AND($W$1="y",G96="",N128&gt;0),re,IF(AND($W$1="n",G96&lt;&gt;""),"Delete!",""))</f>
        <v/>
      </c>
      <c r="I96" s="1787"/>
      <c r="J96" s="1787"/>
      <c r="K96" s="1787"/>
      <c r="M96" s="28">
        <f>IF(H96="",0,1)</f>
      </c>
      <c r="N96" s="28">
        <f>IF(G96="",0,1)</f>
      </c>
      <c r="P96" s="3123">
        <f>IF(AND($W$1="n",G96&lt;&gt;""),1,0)</f>
      </c>
      <c r="U96" s="1736"/>
      <c r="V96" s="1736"/>
      <c r="W96" s="1736"/>
      <c r="X96" s="28">
        <v>1</v>
      </c>
    </row>
    <row r="97" spans="2:33" x14ac:dyDescent="0.2">
      <c r="B97" s="1787" t="s">
        <v>7128</v>
      </c>
      <c r="C97" s="1787"/>
      <c r="D97" s="1787"/>
      <c r="E97" s="1787"/>
      <c r="F97" s="1787"/>
      <c r="G97" s="1824"/>
      <c r="H97" s="1789" t="str">
        <f>IF($N$128=0,"",IF(G97="",re,""))</f>
        <v/>
      </c>
      <c r="I97" s="1787"/>
      <c r="J97" s="1787"/>
      <c r="K97" s="1787"/>
      <c r="L97" s="1547"/>
      <c r="M97" s="28">
        <f>IF(H97="",0,1)</f>
      </c>
      <c r="N97" s="28">
        <f>IF(G97="",0,1)</f>
      </c>
      <c r="X97" s="28">
        <v>2</v>
      </c>
    </row>
    <row r="98" spans="2:33" x14ac:dyDescent="0.2">
      <c r="B98" s="1787" t="s">
        <v>7129</v>
      </c>
      <c r="C98" s="1787"/>
      <c r="D98" s="1787"/>
      <c r="E98" s="1787"/>
      <c r="F98" s="1787"/>
      <c r="G98" s="1824"/>
      <c r="H98" s="1789" t="str">
        <f>IF($N$128=0,"",IF(G98="",re,""))</f>
        <v/>
      </c>
      <c r="I98" s="3594" t="str">
        <f>IF(AND($W$1="n",$N$128&gt;0),"Applicable in case of Fiscal Unit - Check pg2 q30!","")</f>
        <v/>
      </c>
      <c r="J98" s="1787"/>
      <c r="K98" s="1787"/>
      <c r="L98" s="1547"/>
      <c r="M98" s="28">
        <f>IF(AND(H98="",I98=""),0,1)</f>
      </c>
      <c r="N98" s="28">
        <f>IF(G98="",0,1)</f>
      </c>
      <c r="U98" s="28" t="s">
        <v>7130</v>
      </c>
      <c r="V98" s="32">
        <f>G102</f>
      </c>
      <c r="X98" s="28">
        <v>3</v>
      </c>
    </row>
    <row r="99" spans="2:33" x14ac:dyDescent="0.2">
      <c r="B99" s="1745" t="s">
        <v>8314</v>
      </c>
      <c r="C99" s="1787"/>
      <c r="D99" s="1787"/>
      <c r="E99" s="1787"/>
      <c r="F99" s="1787"/>
      <c r="G99" s="1824"/>
      <c r="H99" s="1789" t="str">
        <f>IF($N$128=0,"",IF(G99="",re,""))</f>
        <v/>
      </c>
      <c r="I99" s="1787"/>
      <c r="J99" s="1787"/>
      <c r="K99" s="1787"/>
      <c r="L99" s="1547"/>
      <c r="M99" s="28">
        <f>IF(H99="",0,1)</f>
      </c>
      <c r="N99" s="28">
        <f>IF(G99="",0,1)</f>
      </c>
      <c r="V99" s="32"/>
      <c r="X99" s="28">
        <v>4</v>
      </c>
    </row>
    <row r="100" spans="2:33" x14ac:dyDescent="0.2">
      <c r="B100" s="1745" t="s">
        <v>7801</v>
      </c>
      <c r="C100" s="1787"/>
      <c r="D100" s="1787"/>
      <c r="E100" s="1787"/>
      <c r="F100" s="1787"/>
      <c r="G100" s="1824"/>
      <c r="H100" s="1789" t="str">
        <f>IF($N$128=0,"",IF(G100="",re,""))</f>
        <v/>
      </c>
      <c r="I100" s="1787"/>
      <c r="J100" s="1787"/>
      <c r="K100" s="1787"/>
      <c r="L100" s="1547"/>
      <c r="M100" s="28">
        <f>IF(H100="",0,1)</f>
      </c>
      <c r="N100" s="28">
        <f>IF(G100="",0,1)</f>
      </c>
      <c r="V100" s="32"/>
    </row>
    <row r="101" spans="2:33" x14ac:dyDescent="0.2">
      <c r="B101" s="1787"/>
      <c r="C101" s="1787"/>
      <c r="D101" s="1787"/>
      <c r="E101" s="1787"/>
      <c r="F101" s="1787"/>
      <c r="G101" s="1787"/>
      <c r="H101" s="1787"/>
      <c r="I101" s="1787"/>
      <c r="J101" s="1787"/>
      <c r="K101" s="1787"/>
    </row>
    <row r="102" spans="2:33" x14ac:dyDescent="0.2">
      <c r="B102" s="1850" t="s">
        <v>7133</v>
      </c>
      <c r="C102" s="1790"/>
      <c r="D102" s="1790"/>
      <c r="E102" s="1790"/>
      <c r="F102" s="1787"/>
      <c r="G102" s="1824"/>
      <c r="H102" s="1789" t="str">
        <f>IF(AND(N128&gt;0,G102=""),re,IF(G102&lt;&gt;N115,"Check number of certificates!",""))</f>
        <v/>
      </c>
      <c r="I102" s="1787"/>
      <c r="J102" s="1787"/>
      <c r="K102" s="1787"/>
      <c r="M102" s="28">
        <f>IF(H102="",0,1)</f>
      </c>
      <c r="N102" s="28">
        <f>IF(G102="",0,1)</f>
      </c>
      <c r="T102" s="40"/>
      <c r="U102" s="139"/>
      <c r="V102" s="74"/>
      <c r="W102" s="74"/>
    </row>
    <row r="103" spans="2:33" x14ac:dyDescent="0.2">
      <c r="B103" s="1790"/>
      <c r="C103" s="1790"/>
      <c r="D103" s="1790"/>
      <c r="E103" s="1790"/>
      <c r="F103" s="1790"/>
      <c r="G103" s="1790"/>
      <c r="H103" s="1790"/>
      <c r="I103" s="1790"/>
      <c r="J103" s="1790"/>
      <c r="K103" s="1787"/>
      <c r="L103" s="1547"/>
      <c r="P103" s="28"/>
      <c r="U103" s="139"/>
      <c r="V103" s="74"/>
      <c r="W103" s="74"/>
      <c r="AE103" s="28" t="s">
        <v>7176</v>
      </c>
    </row>
    <row r="104" spans="2:33" ht="68.25" customHeight="1" x14ac:dyDescent="0.2">
      <c r="B104" s="1790"/>
      <c r="C104" s="1955" t="s">
        <v>7154</v>
      </c>
      <c r="D104" s="1955" t="s">
        <v>7155</v>
      </c>
      <c r="E104" s="1955" t="s">
        <v>7156</v>
      </c>
      <c r="F104" s="1955" t="s">
        <v>9114</v>
      </c>
      <c r="G104" s="1955" t="s">
        <v>7159</v>
      </c>
      <c r="H104" s="1955" t="s">
        <v>7174</v>
      </c>
      <c r="I104" s="1955" t="s">
        <v>7157</v>
      </c>
      <c r="J104" s="1955" t="s">
        <v>7158</v>
      </c>
      <c r="K104" s="1789"/>
      <c r="L104" s="1547"/>
      <c r="P104" s="28" t="s">
        <v>7017</v>
      </c>
      <c r="Q104" s="235"/>
      <c r="S104" s="91" t="s">
        <v>7167</v>
      </c>
      <c r="T104" s="1828" t="s">
        <v>7162</v>
      </c>
      <c r="U104" s="1828" t="s">
        <v>7169</v>
      </c>
      <c r="V104" s="1829" t="s">
        <v>7163</v>
      </c>
      <c r="W104" s="1830" t="s">
        <v>7164</v>
      </c>
      <c r="X104" s="1829" t="s">
        <v>7165</v>
      </c>
      <c r="Z104" s="1828" t="s">
        <v>7168</v>
      </c>
      <c r="AA104" s="1828" t="s">
        <v>7175</v>
      </c>
      <c r="AB104" s="1828" t="s">
        <v>7170</v>
      </c>
      <c r="AE104" s="28" t="s">
        <v>7177</v>
      </c>
    </row>
    <row r="105" spans="2:33" x14ac:dyDescent="0.2">
      <c r="B105" s="4023">
        <v>1</v>
      </c>
      <c r="C105" s="1896"/>
      <c r="D105" s="809"/>
      <c r="E105" s="1897"/>
      <c r="F105" s="2795"/>
      <c r="G105" s="2793"/>
      <c r="H105" s="1899" t="str">
        <f t="shared" ref="H105:H114" si="35">IF(AND(E105="",G105=""),"",IF(E105&lt;G105,"",IF(F105=ya,E105,E105-G105)))</f>
        <v/>
      </c>
      <c r="I105" s="1897"/>
      <c r="J105" s="1900" t="str">
        <f t="shared" ref="J105:J114" si="36">IF(OR(H105="",I105=""),"",IF(T105&lt;=ya,0,IF(H105&lt;I105,0,H105-I105)))</f>
        <v/>
      </c>
      <c r="K105" s="3796" t="str">
        <f>IF($N$128=0,"",IF(AND($N$128&gt;0,P105=0),re,IF(P105&lt;&gt;6,"&lt; All Data!",IF(AND(S4=T4,E105&gt;W91),CONCATENATE("Credit exceeds ",LEFT(W91,2),",",RIGHT(W91,3),"!"),IF(AND(G19&gt;0,F19=$S$1),"Check utilised tax credit in prev. YoA!",IF(G105&gt;E105,"Credit utilised &gt; Approved!",IF(I105&gt;H105,"Credit utilised &gt; b/fwd!",IF(F105&lt;2015,"Check YoA credit first available!",""))))))))</f>
        <v/>
      </c>
      <c r="L105" s="1547"/>
      <c r="M105" s="28">
        <f t="shared" ref="M105:M114" si="37">IF(K105="",0,1)</f>
      </c>
      <c r="N105" s="28">
        <f t="shared" ref="N105:N114" si="38">IF(P105&gt;0,1,0)</f>
      </c>
      <c r="P105" s="28">
        <f t="shared" ref="P105:P114" si="39">COUNTA(C105:G105)+COUNTA(I105)</f>
      </c>
      <c r="S105" s="91">
        <f t="shared" ref="S105:S114" si="40">IF(D105="",2014,YEAR(D105))</f>
      </c>
      <c r="T105" s="2794" t="str">
        <f>IF(F105="","",IF(Y$4=1,F105+7,F105+5))</f>
        <v/>
      </c>
      <c r="U105" s="91">
        <f t="shared" ref="U105:U114" si="41">IF(T105&gt;=$S$1,1,0)</f>
      </c>
      <c r="V105" s="1831" t="str">
        <f t="shared" ref="V105:V114" si="42">IF(U105=1,H105,0)</f>
        <v/>
      </c>
      <c r="W105" s="1831">
        <f t="shared" ref="W105:W114" si="43">IF(U105=1,I105,0)</f>
      </c>
      <c r="X105" s="1831" t="str">
        <f t="shared" ref="X105:X114" si="44">IF(U105=1,J105,0)</f>
        <v/>
      </c>
      <c r="Z105" s="91">
        <f t="shared" ref="Z105:Z114" si="45">IF(U105=0,0,IF(AND(U105=1,J105&gt;0),1,0))</f>
      </c>
      <c r="AA105" s="91">
        <f>Z105</f>
      </c>
      <c r="AB105" s="91"/>
      <c r="AE105" s="1832">
        <f t="shared" ref="AE105:AE114" si="46">E105-G105</f>
      </c>
      <c r="AF105" s="91">
        <f t="shared" ref="AF105:AF114" si="47">IF(AE105&lt;&gt;E105,AE105,0)</f>
      </c>
      <c r="AG105" s="91">
        <f>IF(AND(AF105&lt;&gt;0,SUM(G106:G114)&lt;&gt;0),1,0)</f>
      </c>
    </row>
    <row r="106" spans="2:33" x14ac:dyDescent="0.2">
      <c r="B106" s="4023">
        <v>2</v>
      </c>
      <c r="C106" s="1896"/>
      <c r="D106" s="809"/>
      <c r="E106" s="1897"/>
      <c r="F106" s="363"/>
      <c r="G106" s="1897"/>
      <c r="H106" s="1899" t="str">
        <f t="shared" si="35"/>
        <v/>
      </c>
      <c r="I106" s="1897"/>
      <c r="J106" s="1900" t="str">
        <f t="shared" si="36"/>
        <v/>
      </c>
      <c r="K106" s="3796" t="str">
        <f t="shared" ref="K106:K114" si="48">IF($N$128=0,"",IF(AND(N106&gt;0,$G$102&lt;B106),"Delete",IF($G$102&lt;B106,"",IF(AND($N$128&gt;0,$G$102&gt;=2,P106=0),re,IF(AND($N$128&gt;0,$G$102&gt;1,P106&lt;&gt;6),"&lt; All Data!",IF(AND($G$102&lt;B106,P106&gt;0),"Check number of certificates!",IF(AND($S$4=$T$4,E106&gt;$W$91),CONCATENATE("Credit exceeds ",LEFT($W$91,2),",",RIGHT($W$91,3),"!"),IF(OR(AND(G106&gt;0,F106&gt;=$S$1),AND($G$105&gt;0,$F$105=$S$1)),"Check utilised tax credit in prev. YoA!",IF(G106&gt;E106,"Credit utilised &gt; Approved!",IF(I106&gt;H106,"Credit utilised &gt; b/fwd!",IF(OR(F106&lt;2015,F106&gt;$S$1),"Check YoA credit first available!","")))))))))))</f>
        <v/>
      </c>
      <c r="L106" s="1547"/>
      <c r="M106" s="28">
        <f t="shared" si="37"/>
        <v>0</v>
      </c>
      <c r="N106" s="28">
        <f t="shared" si="38"/>
        <v>0</v>
      </c>
      <c r="P106" s="28">
        <f t="shared" si="39"/>
        <v>0</v>
      </c>
      <c r="S106" s="91">
        <f t="shared" si="40"/>
        <v>2014</v>
      </c>
      <c r="T106" s="2794" t="str">
        <f>IF(F106="","",IF(Y$4=1,F106+7,F106+5))</f>
        <v/>
      </c>
      <c r="U106" s="91">
        <f t="shared" si="41"/>
        <v>1</v>
      </c>
      <c r="V106" s="1831" t="str">
        <f t="shared" si="42"/>
        <v/>
      </c>
      <c r="W106" s="1831">
        <f t="shared" si="43"/>
        <v>0</v>
      </c>
      <c r="X106" s="1831" t="str">
        <f t="shared" si="44"/>
        <v/>
      </c>
      <c r="Z106" s="91">
        <f t="shared" si="45"/>
        <v>1</v>
      </c>
      <c r="AA106" s="91">
        <f t="shared" ref="AA106:AA114" si="49">IF(AA105+Z106&gt;0,1,0)</f>
      </c>
      <c r="AB106" s="91">
        <f t="shared" ref="AB106:AB114" si="50">IF(AND(AA105=1,I106&gt;0),1,0)</f>
      </c>
      <c r="AE106" s="1832">
        <f t="shared" si="46"/>
        <v>0</v>
      </c>
      <c r="AF106" s="91">
        <f t="shared" si="47"/>
        <v>0</v>
      </c>
      <c r="AG106" s="91">
        <f>IF(AND(AF106&lt;&gt;0,SUM(G107:G114)&lt;&gt;0),1,0)</f>
      </c>
    </row>
    <row r="107" spans="2:33" x14ac:dyDescent="0.2">
      <c r="B107" s="4023">
        <v>3</v>
      </c>
      <c r="C107" s="1896"/>
      <c r="D107" s="809"/>
      <c r="E107" s="1897"/>
      <c r="F107" s="363"/>
      <c r="G107" s="1897"/>
      <c r="H107" s="1899" t="str">
        <f t="shared" si="35"/>
        <v/>
      </c>
      <c r="I107" s="1897"/>
      <c r="J107" s="1900" t="str">
        <f t="shared" si="36"/>
        <v/>
      </c>
      <c r="K107" s="3796" t="str">
        <f t="shared" si="48"/>
        <v/>
      </c>
      <c r="L107" s="1547"/>
      <c r="M107" s="28">
        <f t="shared" si="37"/>
        <v>0</v>
      </c>
      <c r="N107" s="28">
        <f t="shared" si="38"/>
        <v>0</v>
      </c>
      <c r="P107" s="28">
        <f t="shared" si="39"/>
        <v>0</v>
      </c>
      <c r="S107" s="91">
        <f t="shared" si="40"/>
        <v>2014</v>
      </c>
      <c r="T107" s="2794" t="str">
        <f>IF(F107="","",IF(Y$4=1,F107+7,F107+5))</f>
        <v/>
      </c>
      <c r="U107" s="91">
        <f t="shared" si="41"/>
        <v>1</v>
      </c>
      <c r="V107" s="1831" t="str">
        <f t="shared" si="42"/>
        <v/>
      </c>
      <c r="W107" s="1831">
        <f t="shared" si="43"/>
        <v>0</v>
      </c>
      <c r="X107" s="1831" t="str">
        <f t="shared" si="44"/>
        <v/>
      </c>
      <c r="Z107" s="91">
        <f t="shared" si="45"/>
        <v>1</v>
      </c>
      <c r="AA107" s="91">
        <f t="shared" si="49"/>
        <v>1</v>
      </c>
      <c r="AB107" s="91">
        <f t="shared" si="50"/>
        <v>0</v>
      </c>
      <c r="AE107" s="1832">
        <f t="shared" si="46"/>
        <v>0</v>
      </c>
      <c r="AF107" s="91">
        <f t="shared" si="47"/>
        <v>0</v>
      </c>
      <c r="AG107" s="91">
        <f t="shared" ref="AG107:AG114" si="51">IF(AND(AF107&lt;&gt;0,G114&lt;&gt;0),1,0)</f>
      </c>
    </row>
    <row r="108" spans="2:33" x14ac:dyDescent="0.2">
      <c r="B108" s="4023">
        <v>4</v>
      </c>
      <c r="C108" s="1896"/>
      <c r="D108" s="809"/>
      <c r="E108" s="1897"/>
      <c r="F108" s="363"/>
      <c r="G108" s="1897"/>
      <c r="H108" s="1899" t="str">
        <f t="shared" si="35"/>
        <v/>
      </c>
      <c r="I108" s="1897"/>
      <c r="J108" s="1900" t="str">
        <f t="shared" si="36"/>
        <v/>
      </c>
      <c r="K108" s="3796" t="str">
        <f t="shared" si="48"/>
        <v/>
      </c>
      <c r="L108" s="1547"/>
      <c r="M108" s="28">
        <f t="shared" si="37"/>
        <v>0</v>
      </c>
      <c r="N108" s="28">
        <f t="shared" si="38"/>
        <v>0</v>
      </c>
      <c r="P108" s="28">
        <f t="shared" si="39"/>
        <v>0</v>
      </c>
      <c r="S108" s="91">
        <f t="shared" si="40"/>
        <v>2014</v>
      </c>
      <c r="T108" s="2794" t="str">
        <f t="shared" ref="T108:T114" si="52">IF(F108="","",IF(Y$4=1,F108+7,F108+5))</f>
        <v/>
      </c>
      <c r="U108" s="91">
        <f t="shared" si="41"/>
        <v>1</v>
      </c>
      <c r="V108" s="1831" t="str">
        <f t="shared" si="42"/>
        <v/>
      </c>
      <c r="W108" s="1831">
        <f t="shared" si="43"/>
        <v>0</v>
      </c>
      <c r="X108" s="1831" t="str">
        <f t="shared" si="44"/>
        <v/>
      </c>
      <c r="Z108" s="91">
        <f t="shared" si="45"/>
        <v>1</v>
      </c>
      <c r="AA108" s="91">
        <f t="shared" si="49"/>
        <v>1</v>
      </c>
      <c r="AB108" s="91">
        <f t="shared" si="50"/>
        <v>0</v>
      </c>
      <c r="AE108" s="1832">
        <f t="shared" si="46"/>
        <v>0</v>
      </c>
      <c r="AF108" s="91">
        <f t="shared" si="47"/>
        <v>0</v>
      </c>
      <c r="AG108" s="91">
        <f t="shared" si="51"/>
        <v>0</v>
      </c>
    </row>
    <row r="109" spans="2:33" x14ac:dyDescent="0.2">
      <c r="B109" s="4023">
        <v>5</v>
      </c>
      <c r="C109" s="1896"/>
      <c r="D109" s="809"/>
      <c r="E109" s="1897"/>
      <c r="F109" s="363"/>
      <c r="G109" s="1897"/>
      <c r="H109" s="1899" t="str">
        <f t="shared" si="35"/>
        <v/>
      </c>
      <c r="I109" s="1897"/>
      <c r="J109" s="1900" t="str">
        <f t="shared" si="36"/>
        <v/>
      </c>
      <c r="K109" s="3796" t="str">
        <f t="shared" si="48"/>
        <v/>
      </c>
      <c r="L109" s="1547"/>
      <c r="M109" s="28">
        <f t="shared" si="37"/>
        <v>0</v>
      </c>
      <c r="N109" s="28">
        <f t="shared" si="38"/>
        <v>0</v>
      </c>
      <c r="P109" s="28">
        <f t="shared" si="39"/>
        <v>0</v>
      </c>
      <c r="S109" s="91">
        <f t="shared" si="40"/>
        <v>2014</v>
      </c>
      <c r="T109" s="2794" t="str">
        <f t="shared" si="52"/>
        <v/>
      </c>
      <c r="U109" s="91">
        <f t="shared" si="41"/>
        <v>1</v>
      </c>
      <c r="V109" s="1831" t="str">
        <f t="shared" si="42"/>
        <v/>
      </c>
      <c r="W109" s="1831">
        <f t="shared" si="43"/>
        <v>0</v>
      </c>
      <c r="X109" s="1831" t="str">
        <f t="shared" si="44"/>
        <v/>
      </c>
      <c r="Z109" s="91">
        <f t="shared" si="45"/>
        <v>1</v>
      </c>
      <c r="AA109" s="91">
        <f t="shared" si="49"/>
        <v>1</v>
      </c>
      <c r="AB109" s="91">
        <f t="shared" si="50"/>
        <v>0</v>
      </c>
      <c r="AE109" s="1832">
        <f t="shared" si="46"/>
        <v>0</v>
      </c>
      <c r="AF109" s="91">
        <f t="shared" si="47"/>
        <v>0</v>
      </c>
      <c r="AG109" s="91">
        <f t="shared" si="51"/>
        <v>0</v>
      </c>
    </row>
    <row r="110" spans="2:33" x14ac:dyDescent="0.2">
      <c r="B110" s="4023">
        <v>6</v>
      </c>
      <c r="C110" s="1896"/>
      <c r="D110" s="809"/>
      <c r="E110" s="1897"/>
      <c r="F110" s="363"/>
      <c r="G110" s="1897"/>
      <c r="H110" s="1899" t="str">
        <f t="shared" si="35"/>
        <v/>
      </c>
      <c r="I110" s="1897"/>
      <c r="J110" s="1900" t="str">
        <f t="shared" si="36"/>
        <v/>
      </c>
      <c r="K110" s="3796" t="str">
        <f t="shared" si="48"/>
        <v/>
      </c>
      <c r="L110" s="1547"/>
      <c r="M110" s="28">
        <f t="shared" si="37"/>
        <v>0</v>
      </c>
      <c r="N110" s="28">
        <f t="shared" si="38"/>
        <v>0</v>
      </c>
      <c r="P110" s="28">
        <f t="shared" si="39"/>
        <v>0</v>
      </c>
      <c r="S110" s="91">
        <f t="shared" si="40"/>
        <v>2014</v>
      </c>
      <c r="T110" s="2794" t="str">
        <f t="shared" si="52"/>
        <v/>
      </c>
      <c r="U110" s="91">
        <f t="shared" si="41"/>
        <v>1</v>
      </c>
      <c r="V110" s="1831" t="str">
        <f t="shared" si="42"/>
        <v/>
      </c>
      <c r="W110" s="1831">
        <f t="shared" si="43"/>
        <v>0</v>
      </c>
      <c r="X110" s="1831" t="str">
        <f t="shared" si="44"/>
        <v/>
      </c>
      <c r="Z110" s="91">
        <f t="shared" si="45"/>
        <v>1</v>
      </c>
      <c r="AA110" s="91">
        <f t="shared" si="49"/>
        <v>1</v>
      </c>
      <c r="AB110" s="91">
        <f t="shared" si="50"/>
        <v>0</v>
      </c>
      <c r="AE110" s="1832">
        <f t="shared" si="46"/>
        <v>0</v>
      </c>
      <c r="AF110" s="91">
        <f t="shared" si="47"/>
        <v>0</v>
      </c>
      <c r="AG110" s="91">
        <f t="shared" si="51"/>
        <v>0</v>
      </c>
    </row>
    <row r="111" spans="2:33" x14ac:dyDescent="0.2">
      <c r="B111" s="4023">
        <v>7</v>
      </c>
      <c r="C111" s="1896"/>
      <c r="D111" s="809"/>
      <c r="E111" s="1897"/>
      <c r="F111" s="363"/>
      <c r="G111" s="1897"/>
      <c r="H111" s="1899" t="str">
        <f t="shared" si="35"/>
        <v/>
      </c>
      <c r="I111" s="1897"/>
      <c r="J111" s="1900" t="str">
        <f t="shared" si="36"/>
        <v/>
      </c>
      <c r="K111" s="3796" t="str">
        <f t="shared" si="48"/>
        <v/>
      </c>
      <c r="L111" s="1547"/>
      <c r="M111" s="28">
        <f t="shared" si="37"/>
        <v>0</v>
      </c>
      <c r="N111" s="28">
        <f t="shared" si="38"/>
        <v>0</v>
      </c>
      <c r="P111" s="28">
        <f t="shared" si="39"/>
        <v>0</v>
      </c>
      <c r="S111" s="91">
        <f t="shared" si="40"/>
        <v>2014</v>
      </c>
      <c r="T111" s="2794" t="str">
        <f t="shared" si="52"/>
        <v/>
      </c>
      <c r="U111" s="91">
        <f t="shared" si="41"/>
        <v>1</v>
      </c>
      <c r="V111" s="1831" t="str">
        <f t="shared" si="42"/>
        <v/>
      </c>
      <c r="W111" s="1831">
        <f t="shared" si="43"/>
        <v>0</v>
      </c>
      <c r="X111" s="1831" t="str">
        <f t="shared" si="44"/>
        <v/>
      </c>
      <c r="Z111" s="91">
        <f t="shared" si="45"/>
        <v>1</v>
      </c>
      <c r="AA111" s="91">
        <f t="shared" si="49"/>
        <v>1</v>
      </c>
      <c r="AB111" s="91">
        <f t="shared" si="50"/>
        <v>0</v>
      </c>
      <c r="AE111" s="1832">
        <f t="shared" si="46"/>
        <v>0</v>
      </c>
      <c r="AF111" s="91">
        <f t="shared" si="47"/>
        <v>0</v>
      </c>
      <c r="AG111" s="91">
        <f t="shared" si="51"/>
        <v>0</v>
      </c>
    </row>
    <row r="112" spans="2:33" x14ac:dyDescent="0.2">
      <c r="B112" s="4023">
        <v>8</v>
      </c>
      <c r="C112" s="1896"/>
      <c r="D112" s="809"/>
      <c r="E112" s="1897"/>
      <c r="F112" s="363"/>
      <c r="G112" s="1897"/>
      <c r="H112" s="1899" t="str">
        <f t="shared" si="35"/>
        <v/>
      </c>
      <c r="I112" s="1897"/>
      <c r="J112" s="1900" t="str">
        <f t="shared" si="36"/>
        <v/>
      </c>
      <c r="K112" s="3796" t="str">
        <f t="shared" si="48"/>
        <v/>
      </c>
      <c r="L112" s="1547"/>
      <c r="M112" s="28">
        <f t="shared" si="37"/>
        <v>0</v>
      </c>
      <c r="N112" s="28">
        <f t="shared" si="38"/>
        <v>0</v>
      </c>
      <c r="P112" s="28">
        <f t="shared" si="39"/>
        <v>0</v>
      </c>
      <c r="S112" s="91">
        <f t="shared" si="40"/>
        <v>2014</v>
      </c>
      <c r="T112" s="2794" t="str">
        <f t="shared" si="52"/>
        <v/>
      </c>
      <c r="U112" s="91">
        <f t="shared" si="41"/>
        <v>1</v>
      </c>
      <c r="V112" s="1831" t="str">
        <f t="shared" si="42"/>
        <v/>
      </c>
      <c r="W112" s="1831">
        <f t="shared" si="43"/>
        <v>0</v>
      </c>
      <c r="X112" s="1831" t="str">
        <f t="shared" si="44"/>
        <v/>
      </c>
      <c r="Z112" s="91">
        <f t="shared" si="45"/>
        <v>1</v>
      </c>
      <c r="AA112" s="91">
        <f t="shared" si="49"/>
        <v>1</v>
      </c>
      <c r="AB112" s="91">
        <f t="shared" si="50"/>
        <v>0</v>
      </c>
      <c r="AE112" s="1832">
        <f t="shared" si="46"/>
        <v>0</v>
      </c>
      <c r="AF112" s="91">
        <f t="shared" si="47"/>
        <v>0</v>
      </c>
      <c r="AG112" s="91">
        <f t="shared" si="51"/>
        <v>0</v>
      </c>
    </row>
    <row r="113" spans="1:33" x14ac:dyDescent="0.2">
      <c r="B113" s="4023">
        <v>9</v>
      </c>
      <c r="C113" s="1896"/>
      <c r="D113" s="809"/>
      <c r="E113" s="1897"/>
      <c r="F113" s="363"/>
      <c r="G113" s="1897"/>
      <c r="H113" s="1899" t="str">
        <f t="shared" si="35"/>
        <v/>
      </c>
      <c r="I113" s="1897"/>
      <c r="J113" s="1900" t="str">
        <f t="shared" si="36"/>
        <v/>
      </c>
      <c r="K113" s="3796" t="str">
        <f t="shared" si="48"/>
        <v/>
      </c>
      <c r="L113" s="1547"/>
      <c r="M113" s="28">
        <f t="shared" si="37"/>
        <v>0</v>
      </c>
      <c r="N113" s="28">
        <f t="shared" si="38"/>
        <v>0</v>
      </c>
      <c r="P113" s="28">
        <f t="shared" si="39"/>
        <v>0</v>
      </c>
      <c r="S113" s="91">
        <f t="shared" si="40"/>
        <v>2014</v>
      </c>
      <c r="T113" s="2794" t="str">
        <f t="shared" si="52"/>
        <v/>
      </c>
      <c r="U113" s="91">
        <f t="shared" si="41"/>
        <v>1</v>
      </c>
      <c r="V113" s="1831" t="str">
        <f t="shared" si="42"/>
        <v/>
      </c>
      <c r="W113" s="1831">
        <f t="shared" si="43"/>
        <v>0</v>
      </c>
      <c r="X113" s="1831" t="str">
        <f t="shared" si="44"/>
        <v/>
      </c>
      <c r="Z113" s="91">
        <f t="shared" si="45"/>
        <v>1</v>
      </c>
      <c r="AA113" s="91">
        <f t="shared" si="49"/>
        <v>1</v>
      </c>
      <c r="AB113" s="91">
        <f t="shared" si="50"/>
        <v>0</v>
      </c>
      <c r="AE113" s="1832">
        <f t="shared" si="46"/>
        <v>0</v>
      </c>
      <c r="AF113" s="91">
        <f t="shared" si="47"/>
        <v>0</v>
      </c>
      <c r="AG113" s="91">
        <f t="shared" si="51"/>
        <v>0</v>
      </c>
    </row>
    <row r="114" spans="1:33" x14ac:dyDescent="0.2">
      <c r="B114" s="4023">
        <v>10</v>
      </c>
      <c r="C114" s="1896"/>
      <c r="D114" s="809"/>
      <c r="E114" s="1897"/>
      <c r="F114" s="363"/>
      <c r="G114" s="1897"/>
      <c r="H114" s="1899" t="str">
        <f t="shared" si="35"/>
        <v/>
      </c>
      <c r="I114" s="1897"/>
      <c r="J114" s="1900" t="str">
        <f t="shared" si="36"/>
        <v/>
      </c>
      <c r="K114" s="3796" t="str">
        <f t="shared" si="48"/>
        <v/>
      </c>
      <c r="L114" s="1547"/>
      <c r="M114" s="28">
        <f t="shared" si="37"/>
        <v>0</v>
      </c>
      <c r="N114" s="28">
        <f t="shared" si="38"/>
        <v>0</v>
      </c>
      <c r="P114" s="28">
        <f t="shared" si="39"/>
        <v>0</v>
      </c>
      <c r="S114" s="91">
        <f t="shared" si="40"/>
        <v>2014</v>
      </c>
      <c r="T114" s="2794" t="str">
        <f t="shared" si="52"/>
        <v/>
      </c>
      <c r="U114" s="91">
        <f t="shared" si="41"/>
        <v>1</v>
      </c>
      <c r="V114" s="1831" t="str">
        <f t="shared" si="42"/>
        <v/>
      </c>
      <c r="W114" s="1831">
        <f t="shared" si="43"/>
        <v>0</v>
      </c>
      <c r="X114" s="1831" t="str">
        <f t="shared" si="44"/>
        <v/>
      </c>
      <c r="Z114" s="91">
        <f t="shared" si="45"/>
        <v>1</v>
      </c>
      <c r="AA114" s="91">
        <f t="shared" si="49"/>
        <v>1</v>
      </c>
      <c r="AB114" s="91">
        <f t="shared" si="50"/>
        <v>0</v>
      </c>
      <c r="AE114" s="1832">
        <f t="shared" si="46"/>
        <v>0</v>
      </c>
      <c r="AF114" s="91">
        <f t="shared" si="47"/>
        <v>0</v>
      </c>
      <c r="AG114" s="91">
        <f t="shared" si="51"/>
        <v>0</v>
      </c>
    </row>
    <row r="115" spans="1:33" x14ac:dyDescent="0.2">
      <c r="B115" s="1793"/>
      <c r="C115" s="1850" t="s">
        <v>9115</v>
      </c>
      <c r="D115" s="1791"/>
      <c r="E115" s="1898">
        <f>SUM(E105:E114)</f>
      </c>
      <c r="F115" s="1835"/>
      <c r="G115" s="1791"/>
      <c r="H115" s="1791"/>
      <c r="I115" s="1791"/>
      <c r="J115" s="1791"/>
      <c r="K115" s="1789"/>
      <c r="L115" s="1547"/>
      <c r="N115" s="28">
        <f>SUM(N105:N114)</f>
      </c>
      <c r="P115" s="28"/>
      <c r="V115" s="1832">
        <f>SUM(V105:V114)</f>
      </c>
      <c r="W115" s="1832">
        <f>SUM(W105:W114)</f>
      </c>
      <c r="X115" s="1832">
        <f>SUM(X105:X114)</f>
      </c>
      <c r="AA115" s="91">
        <f>SUM(AA105:AA114)</f>
      </c>
      <c r="AB115" s="91">
        <f>SUM(AB105:AB114)</f>
      </c>
      <c r="AG115" s="91">
        <f>SUM(AG105:AG114)</f>
      </c>
    </row>
    <row r="116" spans="1:33" x14ac:dyDescent="0.2">
      <c r="B116" s="1793"/>
      <c r="C116" s="1745" t="s">
        <v>7159</v>
      </c>
      <c r="D116" s="1787"/>
      <c r="E116" s="1787"/>
      <c r="F116" s="1787"/>
      <c r="G116" s="1898">
        <f>SUM(G105:G114)</f>
      </c>
      <c r="H116" s="1837" t="str">
        <f>IF(AG115&gt;=1,"Check utilisation of previous credit!","")</f>
        <v/>
      </c>
      <c r="I116" s="1787"/>
      <c r="J116" s="1787"/>
      <c r="K116" s="1789"/>
      <c r="L116" s="1547"/>
      <c r="P116" s="28"/>
    </row>
    <row r="117" spans="1:33" x14ac:dyDescent="0.2">
      <c r="B117" s="1793"/>
      <c r="C117" s="1850" t="s">
        <v>7332</v>
      </c>
      <c r="D117" s="1791"/>
      <c r="E117" s="1791"/>
      <c r="F117" s="1791"/>
      <c r="G117" s="1791"/>
      <c r="H117" s="1898">
        <f>V115</f>
      </c>
      <c r="I117" s="1791"/>
      <c r="J117" s="1791"/>
      <c r="K117" s="1789"/>
      <c r="L117" s="1547"/>
      <c r="P117" s="28"/>
    </row>
    <row r="118" spans="1:33" x14ac:dyDescent="0.2">
      <c r="B118" s="1792"/>
      <c r="C118" s="1850" t="s">
        <v>7157</v>
      </c>
      <c r="D118" s="1791"/>
      <c r="E118" s="1791"/>
      <c r="F118" s="1793"/>
      <c r="G118" s="1793"/>
      <c r="H118" s="1827"/>
      <c r="I118" s="1898">
        <f>W115</f>
      </c>
      <c r="J118" s="1835" t="str">
        <f>IF(AB115&gt;0,"Check order of utilisation of credit!","")</f>
        <v/>
      </c>
      <c r="K118" s="1793"/>
      <c r="L118" s="1547"/>
      <c r="M118" s="28">
        <f>IF(J118="",0,1)</f>
      </c>
      <c r="P118" s="28"/>
    </row>
    <row r="119" spans="1:33" x14ac:dyDescent="0.2">
      <c r="B119" s="1792"/>
      <c r="C119" s="1956" t="s">
        <v>7158</v>
      </c>
      <c r="D119" s="1792"/>
      <c r="E119" s="1792"/>
      <c r="F119" s="1792"/>
      <c r="G119" s="1792"/>
      <c r="H119" s="1792"/>
      <c r="I119" s="1792"/>
      <c r="J119" s="1898">
        <f>X115</f>
      </c>
      <c r="K119" s="1793"/>
      <c r="L119" s="1547"/>
      <c r="P119" s="28"/>
      <c r="V119" s="139"/>
      <c r="W119" s="150"/>
      <c r="X119" s="150"/>
      <c r="Y119" s="1786"/>
    </row>
    <row r="120" spans="1:33" x14ac:dyDescent="0.2">
      <c r="A120" s="32"/>
      <c r="B120" s="1792"/>
      <c r="C120" s="1792"/>
      <c r="D120" s="1792"/>
      <c r="E120" s="1792"/>
      <c r="F120" s="1792"/>
      <c r="G120" s="1792"/>
      <c r="H120" s="1792"/>
      <c r="I120" s="1792"/>
      <c r="J120" s="1792"/>
      <c r="K120" s="1793"/>
      <c r="P120" s="28"/>
      <c r="T120" s="5124" t="s">
        <v>7073</v>
      </c>
      <c r="U120" s="5125"/>
      <c r="V120" s="5126"/>
    </row>
    <row r="121" spans="1:33" x14ac:dyDescent="0.2">
      <c r="A121" s="32"/>
      <c r="B121" s="1825" t="s">
        <v>5708</v>
      </c>
      <c r="C121" s="1826"/>
      <c r="D121" s="1826"/>
      <c r="E121" s="1826"/>
      <c r="F121" s="1826"/>
      <c r="G121" s="1826"/>
      <c r="H121" s="1826"/>
      <c r="I121" s="1833"/>
      <c r="J121" s="737"/>
      <c r="K121" s="2059" t="str">
        <f>IF(N128=0,"",IF(AND(I118&gt;=0,J121=""),re,IF(AND(I118=0,J121&gt;0),"No tax credit claimed for the year!",IF(AND(I118&gt;0,J121=0),"Amount relieved by tax credit required!",IF(J121&lt;0,"Cannot be negative!",IF(OR(J121&gt;T121+1,J121&lt;U121-1),V121,""))))))</f>
        <v/>
      </c>
      <c r="M121" s="28">
        <f>IF(K121="",0,1)</f>
      </c>
      <c r="N121" s="28">
        <f>IF(J121&gt;0,1,0)</f>
      </c>
      <c r="P121" s="28"/>
      <c r="T121" s="1807">
        <f>ROUND(I118/5%,0)</f>
      </c>
      <c r="U121" s="1770">
        <f>ROUND(I118/0.35,0)</f>
      </c>
      <c r="V121" s="1884" t="s">
        <v>4787</v>
      </c>
    </row>
    <row r="122" spans="1:33" x14ac:dyDescent="0.2">
      <c r="B122" s="1787"/>
      <c r="C122" s="1787"/>
      <c r="D122" s="1787"/>
      <c r="E122" s="1787"/>
      <c r="F122" s="1787"/>
      <c r="G122" s="1787"/>
      <c r="H122" s="1787"/>
      <c r="I122" s="1787"/>
      <c r="J122" s="1787"/>
      <c r="K122" s="1787"/>
      <c r="P122" s="28"/>
    </row>
    <row r="123" spans="1:33" x14ac:dyDescent="0.2">
      <c r="B123" s="1787"/>
      <c r="C123" s="1787"/>
      <c r="D123" s="1787"/>
      <c r="E123" s="1793"/>
      <c r="F123" s="1787"/>
      <c r="G123" s="1791"/>
      <c r="H123" s="3108" t="s">
        <v>9116</v>
      </c>
      <c r="I123" s="1785"/>
      <c r="J123" s="1794" t="str">
        <f>IF(N128=0,"",IF(I123="",re,IF(AND(I123=n,N128&gt;0),nob,"")))</f>
        <v/>
      </c>
      <c r="K123" s="1787"/>
      <c r="M123" s="28">
        <f>IF(J123="",0,1)</f>
      </c>
      <c r="N123" s="28">
        <f>IF(I123&gt;0,1,0)</f>
      </c>
      <c r="P123" s="28"/>
    </row>
    <row r="124" spans="1:33" x14ac:dyDescent="0.2">
      <c r="B124" s="1787"/>
      <c r="C124" s="3984" t="s">
        <v>10459</v>
      </c>
      <c r="D124" s="1787"/>
      <c r="E124" s="1787"/>
      <c r="F124" s="1787"/>
      <c r="G124" s="1787"/>
      <c r="H124" s="1787"/>
      <c r="I124" s="1787"/>
      <c r="J124" s="1787"/>
      <c r="K124" s="1787"/>
      <c r="P124" s="28"/>
    </row>
    <row r="125" spans="1:33" x14ac:dyDescent="0.2">
      <c r="B125" s="1746"/>
      <c r="C125" s="3984"/>
      <c r="D125" s="1746"/>
      <c r="E125" s="1787"/>
      <c r="F125" s="1787"/>
      <c r="G125" s="1790"/>
      <c r="H125" s="3108"/>
      <c r="I125" s="3108"/>
      <c r="J125" s="1794"/>
      <c r="K125" s="1787"/>
      <c r="L125" s="1547"/>
      <c r="P125" s="28"/>
    </row>
    <row r="126" spans="1:33" x14ac:dyDescent="0.2">
      <c r="B126" s="1787"/>
      <c r="C126" s="1787"/>
      <c r="D126" s="1787"/>
      <c r="E126" s="1787"/>
      <c r="F126" s="1787"/>
      <c r="G126" s="1787"/>
      <c r="H126" s="1787"/>
      <c r="I126" s="1787"/>
      <c r="J126" s="1787"/>
      <c r="K126" s="1787"/>
      <c r="P126" s="28"/>
    </row>
    <row r="127" spans="1:33" ht="2.65" customHeight="1" x14ac:dyDescent="0.2">
      <c r="B127" s="1792"/>
      <c r="C127" s="1792"/>
      <c r="D127" s="1792"/>
      <c r="E127" s="1792"/>
      <c r="F127" s="1792"/>
      <c r="G127" s="1792"/>
      <c r="H127" s="1792"/>
      <c r="I127" s="1792"/>
      <c r="J127" s="1792"/>
      <c r="K127" s="1793"/>
      <c r="L127" s="1547"/>
      <c r="P127" s="28"/>
    </row>
    <row r="128" spans="1:33" x14ac:dyDescent="0.2">
      <c r="B128" s="1787"/>
      <c r="C128" s="1787"/>
      <c r="D128" s="1787"/>
      <c r="E128" s="1787"/>
      <c r="F128" s="1787"/>
      <c r="G128" s="1787"/>
      <c r="H128" s="1787"/>
      <c r="I128" s="1787"/>
      <c r="J128" s="1787"/>
      <c r="K128" s="1793"/>
      <c r="M128" s="1895">
        <f>SUM(M91:M127)</f>
      </c>
      <c r="N128" s="1895">
        <f>SUM(N91:N127)</f>
      </c>
    </row>
    <row r="129" spans="2:16" x14ac:dyDescent="0.2">
      <c r="B129" s="66" t="str">
        <f>_xlfn.SINGLE(MTCA)</f>
      </c>
      <c r="D129" s="1517"/>
      <c r="E129" s="1517"/>
      <c r="F129" s="1517"/>
      <c r="G129" s="1517" t="str">
        <f>ver</f>
        <v>TA2_e-CO_2025_Ver 1.1</v>
      </c>
      <c r="K129" s="1517" t="s">
        <v>10020</v>
      </c>
      <c r="P129" s="28"/>
    </row>
    <row r="130" spans="2:16" hidden="1" x14ac:dyDescent="0.2">
      <c r="B130" s="1787"/>
      <c r="C130" s="1787"/>
      <c r="D130" s="1787"/>
      <c r="E130" s="1787"/>
      <c r="F130" s="1787"/>
      <c r="G130" s="1787"/>
      <c r="H130" s="1787"/>
      <c r="I130" s="1787"/>
      <c r="J130" s="1787"/>
      <c r="K130" s="1787"/>
      <c r="P130" s="28"/>
    </row>
    <row r="131" spans="2:16" hidden="1" x14ac:dyDescent="0.2">
      <c r="B131" s="1787"/>
      <c r="C131" s="1787"/>
      <c r="D131" s="1787"/>
      <c r="E131" s="1787"/>
      <c r="F131" s="1787"/>
      <c r="G131" s="1787"/>
      <c r="H131" s="1787"/>
      <c r="I131" s="1787"/>
      <c r="J131" s="1787"/>
      <c r="K131" s="1787"/>
      <c r="P131" s="28"/>
    </row>
    <row r="132" spans="2:16" hidden="1" x14ac:dyDescent="0.2">
      <c r="B132" s="1787"/>
      <c r="C132" s="1787"/>
      <c r="D132" s="1787"/>
      <c r="E132" s="1787"/>
      <c r="F132" s="1787"/>
      <c r="G132" s="1787"/>
      <c r="H132" s="1787"/>
      <c r="I132" s="1787"/>
      <c r="J132" s="1787"/>
      <c r="K132" s="1787"/>
      <c r="P132" s="28"/>
    </row>
    <row r="133" spans="2:16" hidden="1" x14ac:dyDescent="0.2">
      <c r="B133" s="1787"/>
      <c r="C133" s="1787"/>
      <c r="D133" s="1787"/>
      <c r="E133" s="1787"/>
      <c r="F133" s="1787"/>
      <c r="G133" s="1787"/>
      <c r="H133" s="1787"/>
      <c r="I133" s="1787"/>
      <c r="J133" s="1787"/>
      <c r="K133" s="1787"/>
      <c r="P133" s="28"/>
    </row>
    <row r="134" spans="2:16" hidden="1" x14ac:dyDescent="0.2">
      <c r="B134" s="1787"/>
      <c r="C134" s="1787"/>
      <c r="D134" s="1787"/>
      <c r="E134" s="1787"/>
      <c r="F134" s="1787"/>
      <c r="G134" s="1787"/>
      <c r="H134" s="1787"/>
      <c r="I134" s="1787"/>
      <c r="J134" s="1787"/>
      <c r="K134" s="1787"/>
      <c r="P134" s="28"/>
    </row>
    <row r="135" spans="2:16" hidden="1" x14ac:dyDescent="0.2">
      <c r="B135" s="1787"/>
      <c r="C135" s="1787"/>
      <c r="D135" s="1787"/>
      <c r="E135" s="1787"/>
      <c r="F135" s="1787"/>
      <c r="G135" s="1787"/>
      <c r="H135" s="1787"/>
      <c r="I135" s="1787"/>
      <c r="J135" s="1787"/>
      <c r="K135" s="1787"/>
      <c r="P135" s="28"/>
    </row>
    <row r="136" spans="2:16" hidden="1" x14ac:dyDescent="0.2">
      <c r="B136" s="1787"/>
      <c r="C136" s="1787"/>
      <c r="D136" s="1787"/>
      <c r="E136" s="1787"/>
      <c r="F136" s="1787"/>
      <c r="G136" s="1787"/>
      <c r="H136" s="1787"/>
      <c r="I136" s="1787"/>
      <c r="J136" s="1787"/>
      <c r="K136" s="1787"/>
      <c r="P136" s="28"/>
    </row>
    <row r="137" spans="2:16" hidden="1" x14ac:dyDescent="0.2">
      <c r="B137" s="1787"/>
      <c r="C137" s="1787"/>
      <c r="D137" s="1787"/>
      <c r="E137" s="1787"/>
      <c r="F137" s="1787"/>
      <c r="G137" s="1787"/>
      <c r="H137" s="1787"/>
      <c r="I137" s="1787"/>
      <c r="J137" s="1787"/>
      <c r="K137" s="1787"/>
      <c r="P137" s="28"/>
    </row>
    <row r="138" spans="2:16" hidden="1" x14ac:dyDescent="0.2">
      <c r="B138" s="1787"/>
      <c r="C138" s="1787"/>
      <c r="D138" s="1787"/>
      <c r="E138" s="1787"/>
      <c r="F138" s="1787"/>
      <c r="G138" s="1787"/>
      <c r="H138" s="1787"/>
      <c r="I138" s="1787"/>
      <c r="J138" s="1787"/>
      <c r="K138" s="1787"/>
      <c r="P138" s="28"/>
    </row>
    <row r="139" spans="2:16" hidden="1" x14ac:dyDescent="0.2">
      <c r="B139" s="1787"/>
      <c r="C139" s="1787"/>
      <c r="D139" s="1787"/>
      <c r="E139" s="1787"/>
      <c r="F139" s="1787"/>
      <c r="G139" s="1787"/>
      <c r="H139" s="1787"/>
      <c r="I139" s="1787"/>
      <c r="J139" s="1787"/>
      <c r="K139" s="1787"/>
      <c r="P139" s="28"/>
    </row>
    <row r="140" spans="2:16" hidden="1" x14ac:dyDescent="0.2">
      <c r="B140" s="1787"/>
      <c r="C140" s="1787"/>
      <c r="D140" s="1787"/>
      <c r="E140" s="1787"/>
      <c r="F140" s="1787"/>
      <c r="G140" s="1787"/>
      <c r="H140" s="1787"/>
      <c r="I140" s="1787"/>
      <c r="J140" s="1787"/>
      <c r="K140" s="1787"/>
      <c r="P140" s="28"/>
    </row>
    <row r="141" spans="2:16" hidden="1" x14ac:dyDescent="0.2">
      <c r="B141" s="1787"/>
      <c r="C141" s="1787"/>
      <c r="D141" s="1787"/>
      <c r="E141" s="1787"/>
      <c r="F141" s="1787"/>
      <c r="G141" s="1787"/>
      <c r="H141" s="1787"/>
      <c r="I141" s="1787"/>
      <c r="J141" s="1787"/>
      <c r="K141" s="1787"/>
      <c r="P141" s="28"/>
    </row>
    <row r="142" spans="2:16" hidden="1" x14ac:dyDescent="0.2">
      <c r="B142" s="1787"/>
      <c r="C142" s="1787"/>
      <c r="D142" s="1787"/>
      <c r="E142" s="1787"/>
      <c r="F142" s="1787"/>
      <c r="G142" s="1787"/>
      <c r="H142" s="1787"/>
      <c r="I142" s="1787"/>
      <c r="J142" s="1787"/>
      <c r="K142" s="1787"/>
      <c r="P142" s="28"/>
    </row>
    <row r="143" spans="2:16" hidden="1" x14ac:dyDescent="0.2">
      <c r="B143" s="1787"/>
      <c r="C143" s="1787"/>
      <c r="D143" s="1787"/>
      <c r="E143" s="1787"/>
      <c r="F143" s="1787"/>
      <c r="G143" s="1787"/>
      <c r="H143" s="1787"/>
      <c r="I143" s="1787"/>
      <c r="J143" s="1787"/>
      <c r="K143" s="1787"/>
      <c r="P143" s="28"/>
    </row>
    <row r="144" spans="2:16" hidden="1" x14ac:dyDescent="0.2">
      <c r="B144" s="1787"/>
      <c r="C144" s="1787"/>
      <c r="D144" s="1787"/>
      <c r="E144" s="1787"/>
      <c r="F144" s="1787"/>
      <c r="G144" s="1787"/>
      <c r="H144" s="1787"/>
      <c r="I144" s="1787"/>
      <c r="J144" s="1787"/>
      <c r="K144" s="1787"/>
      <c r="P144" s="28"/>
    </row>
    <row r="145" spans="2:16" hidden="1" x14ac:dyDescent="0.2">
      <c r="B145" s="1787"/>
      <c r="C145" s="1787"/>
      <c r="D145" s="1787"/>
      <c r="E145" s="1787"/>
      <c r="F145" s="1787"/>
      <c r="G145" s="1787"/>
      <c r="H145" s="1787"/>
      <c r="I145" s="1787"/>
      <c r="J145" s="1787"/>
      <c r="K145" s="1787"/>
      <c r="P145" s="28"/>
    </row>
    <row r="146" spans="2:16" hidden="1" x14ac:dyDescent="0.2">
      <c r="B146" s="1787"/>
      <c r="C146" s="1787"/>
      <c r="D146" s="1787"/>
      <c r="E146" s="1787"/>
      <c r="F146" s="1787"/>
      <c r="G146" s="1787"/>
      <c r="H146" s="1787"/>
      <c r="I146" s="1787"/>
      <c r="J146" s="1787"/>
      <c r="K146" s="1787"/>
      <c r="P146" s="28"/>
    </row>
    <row r="147" spans="2:16" hidden="1" x14ac:dyDescent="0.2">
      <c r="B147" s="1787"/>
      <c r="C147" s="1787"/>
      <c r="D147" s="1787"/>
      <c r="E147" s="1787"/>
      <c r="F147" s="1787"/>
      <c r="G147" s="1787"/>
      <c r="H147" s="1787"/>
      <c r="I147" s="1787"/>
      <c r="J147" s="1787"/>
      <c r="K147" s="1787"/>
      <c r="P147" s="28"/>
    </row>
    <row r="148" spans="2:16" hidden="1" x14ac:dyDescent="0.2">
      <c r="B148" s="1787"/>
      <c r="C148" s="1787"/>
      <c r="D148" s="1787"/>
      <c r="E148" s="1787"/>
      <c r="F148" s="1787"/>
      <c r="G148" s="1787"/>
      <c r="H148" s="1787"/>
      <c r="I148" s="1787"/>
      <c r="J148" s="1787"/>
      <c r="K148" s="1787"/>
      <c r="P148" s="28"/>
    </row>
    <row r="149" spans="2:16" hidden="1" x14ac:dyDescent="0.2">
      <c r="B149" s="1787"/>
      <c r="C149" s="1787"/>
      <c r="D149" s="1787"/>
      <c r="E149" s="1787"/>
      <c r="F149" s="1787"/>
      <c r="G149" s="1787"/>
      <c r="H149" s="1787"/>
      <c r="I149" s="1787"/>
      <c r="J149" s="1787"/>
      <c r="K149" s="1787"/>
      <c r="P149" s="28"/>
    </row>
    <row r="150" spans="2:16" hidden="1" x14ac:dyDescent="0.2">
      <c r="B150" s="1787"/>
      <c r="C150" s="1787"/>
      <c r="D150" s="1787"/>
      <c r="E150" s="1787"/>
      <c r="F150" s="1787"/>
      <c r="G150" s="1787"/>
      <c r="H150" s="1787"/>
      <c r="I150" s="1787"/>
      <c r="J150" s="1787"/>
      <c r="K150" s="1787"/>
      <c r="P150" s="28"/>
    </row>
    <row r="151" spans="2:16" hidden="1" x14ac:dyDescent="0.2">
      <c r="B151" s="1787"/>
      <c r="C151" s="1787"/>
      <c r="D151" s="1787"/>
      <c r="E151" s="1787"/>
      <c r="F151" s="1787"/>
      <c r="G151" s="1787"/>
      <c r="H151" s="1787"/>
      <c r="I151" s="1787"/>
      <c r="J151" s="1787"/>
      <c r="K151" s="1787"/>
      <c r="P151" s="28"/>
    </row>
    <row r="152" spans="2:16" hidden="1" x14ac:dyDescent="0.2">
      <c r="B152" s="1787"/>
      <c r="C152" s="1787"/>
      <c r="D152" s="1787"/>
      <c r="E152" s="1787"/>
      <c r="F152" s="1787"/>
      <c r="G152" s="1787"/>
      <c r="H152" s="1787"/>
      <c r="I152" s="1787"/>
      <c r="J152" s="1787"/>
      <c r="K152" s="1787"/>
      <c r="P152" s="28"/>
    </row>
    <row r="153" spans="2:16" hidden="1" x14ac:dyDescent="0.2">
      <c r="B153" s="1787"/>
      <c r="C153" s="1787"/>
      <c r="D153" s="1787"/>
      <c r="E153" s="1787"/>
      <c r="F153" s="1787"/>
      <c r="G153" s="1787"/>
      <c r="H153" s="1787"/>
      <c r="I153" s="1787"/>
      <c r="J153" s="1787"/>
      <c r="K153" s="1787"/>
      <c r="P153" s="28"/>
    </row>
    <row r="154" spans="2:16" hidden="1" x14ac:dyDescent="0.2">
      <c r="B154" s="1787"/>
      <c r="C154" s="1787"/>
      <c r="D154" s="1787"/>
      <c r="E154" s="1787"/>
      <c r="F154" s="1787"/>
      <c r="G154" s="1787"/>
      <c r="H154" s="1787"/>
      <c r="I154" s="1787"/>
      <c r="J154" s="1787"/>
      <c r="K154" s="1787"/>
      <c r="P154" s="28"/>
    </row>
    <row r="155" spans="2:16" hidden="1" x14ac:dyDescent="0.2">
      <c r="B155" s="1787"/>
      <c r="C155" s="1787"/>
      <c r="D155" s="1787"/>
      <c r="E155" s="1787"/>
      <c r="F155" s="1787"/>
      <c r="G155" s="1787"/>
      <c r="H155" s="1787"/>
      <c r="I155" s="1787"/>
      <c r="J155" s="1787"/>
      <c r="K155" s="1787"/>
      <c r="P155" s="28"/>
    </row>
    <row r="156" spans="2:16" hidden="1" x14ac:dyDescent="0.2">
      <c r="B156" s="1787"/>
      <c r="C156" s="1787"/>
      <c r="D156" s="1787"/>
      <c r="E156" s="1787"/>
      <c r="F156" s="1787"/>
      <c r="G156" s="1787"/>
      <c r="H156" s="1787"/>
      <c r="I156" s="1787"/>
      <c r="J156" s="1787"/>
      <c r="K156" s="1787"/>
      <c r="P156" s="28"/>
    </row>
    <row r="157" spans="2:16" hidden="1" x14ac:dyDescent="0.2">
      <c r="B157" s="1787"/>
      <c r="C157" s="1787"/>
      <c r="D157" s="1787"/>
      <c r="E157" s="1787"/>
      <c r="F157" s="1787"/>
      <c r="G157" s="1787"/>
      <c r="H157" s="1787"/>
      <c r="I157" s="1787"/>
      <c r="J157" s="1787"/>
      <c r="K157" s="1787"/>
      <c r="P157" s="28"/>
    </row>
    <row r="158" spans="2:16" hidden="1" x14ac:dyDescent="0.2">
      <c r="B158" s="1787"/>
      <c r="C158" s="1787"/>
      <c r="D158" s="1787"/>
      <c r="E158" s="1787"/>
      <c r="F158" s="1787"/>
      <c r="G158" s="1787"/>
      <c r="H158" s="1787"/>
      <c r="I158" s="1787"/>
      <c r="J158" s="1787"/>
      <c r="K158" s="1787"/>
      <c r="P158" s="28"/>
    </row>
    <row r="159" spans="2:16" hidden="1" x14ac:dyDescent="0.2">
      <c r="B159" s="1787"/>
      <c r="C159" s="1787"/>
      <c r="D159" s="1787"/>
      <c r="E159" s="1787"/>
      <c r="F159" s="1787"/>
      <c r="G159" s="1787"/>
      <c r="H159" s="1787"/>
      <c r="I159" s="1787"/>
      <c r="J159" s="1787"/>
      <c r="K159" s="1787"/>
      <c r="P159" s="28"/>
    </row>
    <row r="160" spans="2:16" hidden="1" x14ac:dyDescent="0.2">
      <c r="B160" s="1787"/>
      <c r="C160" s="1787"/>
      <c r="D160" s="1787"/>
      <c r="E160" s="1787"/>
      <c r="F160" s="1787"/>
      <c r="G160" s="1787"/>
      <c r="H160" s="1787"/>
      <c r="I160" s="1787"/>
      <c r="J160" s="1787"/>
      <c r="K160" s="1787"/>
      <c r="P160" s="28"/>
    </row>
    <row r="161" spans="2:16" hidden="1" x14ac:dyDescent="0.2">
      <c r="B161" s="1787"/>
      <c r="C161" s="1787"/>
      <c r="D161" s="1787"/>
      <c r="E161" s="1787"/>
      <c r="F161" s="1787"/>
      <c r="G161" s="1787"/>
      <c r="H161" s="1787"/>
      <c r="I161" s="1787"/>
      <c r="J161" s="1787"/>
      <c r="K161" s="1787"/>
      <c r="P161" s="28"/>
    </row>
    <row r="162" spans="2:16" hidden="1" x14ac:dyDescent="0.2">
      <c r="B162" s="1787"/>
      <c r="C162" s="1787"/>
      <c r="D162" s="1787"/>
      <c r="E162" s="1787"/>
      <c r="F162" s="1787"/>
      <c r="G162" s="1787"/>
      <c r="H162" s="1787"/>
      <c r="I162" s="1787"/>
      <c r="J162" s="1787"/>
      <c r="K162" s="1787"/>
      <c r="P162" s="28"/>
    </row>
    <row r="163" spans="2:16" hidden="1" x14ac:dyDescent="0.2">
      <c r="B163" s="1787"/>
      <c r="C163" s="1787"/>
      <c r="D163" s="1787"/>
      <c r="E163" s="1787"/>
      <c r="F163" s="1787"/>
      <c r="G163" s="1787"/>
      <c r="H163" s="1787"/>
      <c r="I163" s="1787"/>
      <c r="J163" s="1787"/>
      <c r="K163" s="1787"/>
      <c r="P163" s="28"/>
    </row>
    <row r="164" spans="2:16" hidden="1" x14ac:dyDescent="0.2">
      <c r="B164" s="1787"/>
      <c r="C164" s="1787"/>
      <c r="D164" s="1787"/>
      <c r="E164" s="1787"/>
      <c r="F164" s="1787"/>
      <c r="G164" s="1787"/>
      <c r="H164" s="1787"/>
      <c r="I164" s="1787"/>
      <c r="J164" s="1787"/>
      <c r="K164" s="1787"/>
      <c r="P164" s="28"/>
    </row>
    <row r="165" spans="2:16" hidden="1" x14ac:dyDescent="0.2">
      <c r="B165" s="1787"/>
      <c r="C165" s="1787"/>
      <c r="D165" s="1787"/>
      <c r="E165" s="1787"/>
      <c r="F165" s="1787"/>
      <c r="G165" s="1787"/>
      <c r="H165" s="1787"/>
      <c r="I165" s="1787"/>
      <c r="J165" s="1787"/>
      <c r="K165" s="1787"/>
      <c r="P165" s="28"/>
    </row>
    <row r="166" spans="2:16" hidden="1" x14ac:dyDescent="0.2">
      <c r="B166" s="1787"/>
      <c r="C166" s="1787"/>
      <c r="D166" s="1787"/>
      <c r="E166" s="1787"/>
      <c r="F166" s="1787"/>
      <c r="G166" s="1787"/>
      <c r="H166" s="1787"/>
      <c r="I166" s="1787"/>
      <c r="J166" s="1787"/>
      <c r="K166" s="1787"/>
      <c r="P166" s="28"/>
    </row>
    <row r="167" spans="2:16" hidden="1" x14ac:dyDescent="0.2">
      <c r="B167" s="1787"/>
      <c r="C167" s="1787"/>
      <c r="D167" s="1787"/>
      <c r="E167" s="1787"/>
      <c r="F167" s="1787"/>
      <c r="G167" s="1787"/>
      <c r="H167" s="1787"/>
      <c r="I167" s="1787"/>
      <c r="J167" s="1787"/>
      <c r="K167" s="1787"/>
      <c r="P167" s="28"/>
    </row>
    <row r="168" spans="2:16" hidden="1" x14ac:dyDescent="0.2">
      <c r="B168" s="1787"/>
      <c r="C168" s="1787"/>
      <c r="D168" s="1787"/>
      <c r="E168" s="1787"/>
      <c r="F168" s="1787"/>
      <c r="G168" s="1787"/>
      <c r="H168" s="1787"/>
      <c r="I168" s="1787"/>
      <c r="J168" s="1787"/>
      <c r="K168" s="1787"/>
      <c r="P168" s="28"/>
    </row>
    <row r="169" spans="2:16" hidden="1" x14ac:dyDescent="0.2">
      <c r="B169" s="1787"/>
      <c r="C169" s="1787"/>
      <c r="D169" s="1787"/>
      <c r="E169" s="1787"/>
      <c r="F169" s="1787"/>
      <c r="G169" s="1787"/>
      <c r="H169" s="1787"/>
      <c r="I169" s="1787"/>
      <c r="J169" s="1787"/>
      <c r="K169" s="1787"/>
      <c r="P169" s="28"/>
    </row>
    <row r="170" spans="2:16" hidden="1" x14ac:dyDescent="0.2">
      <c r="B170" s="1787"/>
      <c r="C170" s="1787"/>
      <c r="D170" s="1787"/>
      <c r="E170" s="1787"/>
      <c r="F170" s="1787"/>
      <c r="G170" s="1787"/>
      <c r="H170" s="1787"/>
      <c r="I170" s="1787"/>
      <c r="J170" s="1787"/>
      <c r="K170" s="1787"/>
      <c r="P170" s="28"/>
    </row>
    <row r="171" spans="2:16" hidden="1" x14ac:dyDescent="0.2">
      <c r="B171" s="1787"/>
      <c r="C171" s="1787"/>
      <c r="D171" s="1787"/>
      <c r="E171" s="1787"/>
      <c r="F171" s="1787"/>
      <c r="G171" s="1787"/>
      <c r="H171" s="1787"/>
      <c r="I171" s="1787"/>
      <c r="J171" s="1787"/>
      <c r="K171" s="1787"/>
      <c r="P171" s="28"/>
    </row>
    <row r="172" spans="2:16" hidden="1" x14ac:dyDescent="0.2">
      <c r="B172" s="1787"/>
      <c r="C172" s="1787"/>
      <c r="D172" s="1787"/>
      <c r="E172" s="1787"/>
      <c r="F172" s="1787"/>
      <c r="G172" s="1787"/>
      <c r="H172" s="1787"/>
      <c r="I172" s="1787"/>
      <c r="J172" s="1787"/>
      <c r="K172" s="1787"/>
      <c r="P172" s="28"/>
    </row>
    <row r="173" spans="2:16" hidden="1" x14ac:dyDescent="0.2">
      <c r="B173" s="1787"/>
      <c r="C173" s="1787"/>
      <c r="D173" s="1787"/>
      <c r="E173" s="1787"/>
      <c r="F173" s="1787"/>
      <c r="G173" s="1787"/>
      <c r="H173" s="1787"/>
      <c r="I173" s="1787"/>
      <c r="J173" s="1787"/>
      <c r="K173" s="1787"/>
      <c r="P173" s="28"/>
    </row>
    <row r="174" spans="2:16" hidden="1" x14ac:dyDescent="0.2">
      <c r="B174" s="1787"/>
      <c r="C174" s="1787"/>
      <c r="D174" s="1787"/>
      <c r="E174" s="1787"/>
      <c r="F174" s="1787"/>
      <c r="G174" s="1787"/>
      <c r="H174" s="1787"/>
      <c r="I174" s="1787"/>
      <c r="J174" s="1787"/>
      <c r="K174" s="1787"/>
      <c r="P174" s="28"/>
    </row>
    <row r="175" spans="2:16" hidden="1" x14ac:dyDescent="0.2">
      <c r="B175" s="1787"/>
      <c r="C175" s="1787"/>
      <c r="D175" s="1787"/>
      <c r="E175" s="1787"/>
      <c r="F175" s="1787"/>
      <c r="G175" s="1787"/>
      <c r="H175" s="1787"/>
      <c r="I175" s="1787"/>
      <c r="J175" s="1787"/>
      <c r="K175" s="1787"/>
      <c r="P175" s="28"/>
    </row>
    <row r="176" spans="2:16" hidden="1" x14ac:dyDescent="0.2">
      <c r="B176" s="1787"/>
      <c r="C176" s="1787"/>
      <c r="D176" s="1787"/>
      <c r="E176" s="1787"/>
      <c r="F176" s="1787"/>
      <c r="G176" s="1787"/>
      <c r="H176" s="1787"/>
      <c r="I176" s="1787"/>
      <c r="J176" s="1787"/>
      <c r="K176" s="1787"/>
      <c r="P176" s="28"/>
    </row>
    <row r="177" spans="2:16" hidden="1" x14ac:dyDescent="0.2">
      <c r="B177" s="1787"/>
      <c r="C177" s="1787"/>
      <c r="D177" s="1787"/>
      <c r="E177" s="1787"/>
      <c r="F177" s="1787"/>
      <c r="G177" s="1787"/>
      <c r="H177" s="1787"/>
      <c r="I177" s="1787"/>
      <c r="J177" s="1787"/>
      <c r="K177" s="1787"/>
      <c r="P177" s="28"/>
    </row>
    <row r="178" spans="2:16" hidden="1" x14ac:dyDescent="0.2">
      <c r="B178" s="1787"/>
      <c r="C178" s="1787"/>
      <c r="D178" s="1787"/>
      <c r="E178" s="1787"/>
      <c r="F178" s="1787"/>
      <c r="G178" s="1787"/>
      <c r="H178" s="1787"/>
      <c r="I178" s="1787"/>
      <c r="J178" s="1787"/>
      <c r="K178" s="1787"/>
      <c r="P178" s="28"/>
    </row>
    <row r="179" spans="2:16" hidden="1" x14ac:dyDescent="0.2">
      <c r="B179" s="1787"/>
      <c r="C179" s="1787"/>
      <c r="D179" s="1787"/>
      <c r="E179" s="1787"/>
      <c r="F179" s="1787"/>
      <c r="G179" s="1787"/>
      <c r="H179" s="1787"/>
      <c r="I179" s="1787"/>
      <c r="J179" s="1787"/>
      <c r="K179" s="1787"/>
      <c r="P179" s="28"/>
    </row>
    <row r="180" spans="2:16" hidden="1" x14ac:dyDescent="0.2">
      <c r="B180" s="1787"/>
      <c r="C180" s="1787"/>
      <c r="D180" s="1787"/>
      <c r="E180" s="1787"/>
      <c r="F180" s="1787"/>
      <c r="G180" s="1787"/>
      <c r="H180" s="1787"/>
      <c r="I180" s="1787"/>
      <c r="J180" s="1787"/>
      <c r="K180" s="1787"/>
      <c r="P180" s="28"/>
    </row>
    <row r="181" spans="2:16" hidden="1" x14ac:dyDescent="0.2">
      <c r="B181" s="1787"/>
      <c r="C181" s="1787"/>
      <c r="D181" s="1787"/>
      <c r="E181" s="1787"/>
      <c r="F181" s="1787"/>
      <c r="G181" s="1787"/>
      <c r="H181" s="1787"/>
      <c r="I181" s="1787"/>
      <c r="J181" s="1787"/>
      <c r="K181" s="1787"/>
      <c r="P181" s="28"/>
    </row>
    <row r="182" spans="2:16" hidden="1" x14ac:dyDescent="0.2">
      <c r="B182" s="1787"/>
      <c r="C182" s="1787"/>
      <c r="D182" s="1787"/>
      <c r="E182" s="1787"/>
      <c r="F182" s="1787"/>
      <c r="G182" s="1787"/>
      <c r="H182" s="1787"/>
      <c r="I182" s="1787"/>
      <c r="J182" s="1787"/>
      <c r="K182" s="1787"/>
      <c r="P182" s="28"/>
    </row>
    <row r="183" spans="2:16" hidden="1" x14ac:dyDescent="0.2">
      <c r="B183" s="1787"/>
      <c r="C183" s="1787"/>
      <c r="D183" s="1787"/>
      <c r="E183" s="1787"/>
      <c r="F183" s="1787"/>
      <c r="G183" s="1787"/>
      <c r="H183" s="1787"/>
      <c r="I183" s="1787"/>
      <c r="J183" s="1787"/>
      <c r="K183" s="1787"/>
      <c r="P183" s="28"/>
    </row>
    <row r="184" spans="2:16" hidden="1" x14ac:dyDescent="0.2">
      <c r="B184" s="1787"/>
      <c r="C184" s="1787"/>
      <c r="D184" s="1787"/>
      <c r="E184" s="1787"/>
      <c r="F184" s="1787"/>
      <c r="G184" s="1787"/>
      <c r="H184" s="1787"/>
      <c r="I184" s="1787"/>
      <c r="J184" s="1787"/>
      <c r="K184" s="1787"/>
      <c r="P184" s="28"/>
    </row>
    <row r="185" spans="2:16" hidden="1" x14ac:dyDescent="0.2">
      <c r="B185" s="1787"/>
      <c r="C185" s="1787"/>
      <c r="D185" s="1787"/>
      <c r="E185" s="1787"/>
      <c r="F185" s="1787"/>
      <c r="G185" s="1787"/>
      <c r="H185" s="1787"/>
      <c r="I185" s="1787"/>
      <c r="J185" s="1787"/>
      <c r="K185" s="1787"/>
      <c r="P185" s="28"/>
    </row>
    <row r="186" spans="2:16" hidden="1" x14ac:dyDescent="0.2">
      <c r="B186" s="1787"/>
      <c r="C186" s="1787"/>
      <c r="D186" s="1787"/>
      <c r="E186" s="1787"/>
      <c r="F186" s="1787"/>
      <c r="G186" s="1787"/>
      <c r="H186" s="1787"/>
      <c r="I186" s="1787"/>
      <c r="J186" s="1787"/>
      <c r="K186" s="1787"/>
      <c r="P186" s="28"/>
    </row>
    <row r="187" spans="2:16" hidden="1" x14ac:dyDescent="0.2">
      <c r="B187" s="1787"/>
      <c r="C187" s="1787"/>
      <c r="D187" s="1787"/>
      <c r="E187" s="1787"/>
      <c r="F187" s="1787"/>
      <c r="G187" s="1787"/>
      <c r="H187" s="1787"/>
      <c r="I187" s="1787"/>
      <c r="J187" s="1787"/>
      <c r="K187" s="1787"/>
      <c r="P187" s="28"/>
    </row>
    <row r="188" spans="2:16" hidden="1" x14ac:dyDescent="0.2">
      <c r="B188" s="1787"/>
      <c r="C188" s="1787"/>
      <c r="D188" s="1787"/>
      <c r="E188" s="1787"/>
      <c r="F188" s="1787"/>
      <c r="G188" s="1787"/>
      <c r="H188" s="1787"/>
      <c r="I188" s="1787"/>
      <c r="J188" s="1787"/>
      <c r="K188" s="1787"/>
      <c r="P188" s="28"/>
    </row>
    <row r="189" spans="2:16" hidden="1" x14ac:dyDescent="0.2">
      <c r="B189" s="1787"/>
      <c r="C189" s="1787"/>
      <c r="D189" s="1787"/>
      <c r="E189" s="1787"/>
      <c r="F189" s="1787"/>
      <c r="G189" s="1787"/>
      <c r="H189" s="1787"/>
      <c r="I189" s="1787"/>
      <c r="J189" s="1787"/>
      <c r="K189" s="1787"/>
      <c r="P189" s="28"/>
    </row>
    <row r="190" spans="2:16" hidden="1" x14ac:dyDescent="0.2">
      <c r="B190" s="1787"/>
      <c r="C190" s="1787"/>
      <c r="D190" s="1787"/>
      <c r="E190" s="1787"/>
      <c r="F190" s="1787"/>
      <c r="G190" s="1787"/>
      <c r="H190" s="1787"/>
      <c r="I190" s="1787"/>
      <c r="J190" s="1787"/>
      <c r="K190" s="1787"/>
      <c r="P190" s="28"/>
    </row>
    <row r="191" spans="2:16" hidden="1" x14ac:dyDescent="0.2">
      <c r="B191" s="1787"/>
      <c r="C191" s="1787"/>
      <c r="D191" s="1787"/>
      <c r="E191" s="1787"/>
      <c r="F191" s="1787"/>
      <c r="G191" s="1787"/>
      <c r="H191" s="1787"/>
      <c r="I191" s="1787"/>
      <c r="J191" s="1787"/>
      <c r="K191" s="1787"/>
      <c r="P191" s="28"/>
    </row>
    <row r="192" spans="2:16" hidden="1" x14ac:dyDescent="0.2">
      <c r="B192" s="1787"/>
      <c r="C192" s="1787"/>
      <c r="D192" s="1787"/>
      <c r="E192" s="1787"/>
      <c r="F192" s="1787"/>
      <c r="G192" s="1787"/>
      <c r="H192" s="1787"/>
      <c r="I192" s="1787"/>
      <c r="J192" s="1787"/>
      <c r="K192" s="1787"/>
      <c r="P192" s="28"/>
    </row>
    <row r="193" spans="2:17" hidden="1" x14ac:dyDescent="0.2">
      <c r="B193" s="1787"/>
      <c r="C193" s="1787"/>
      <c r="D193" s="1787"/>
      <c r="E193" s="1787"/>
      <c r="F193" s="1787"/>
      <c r="G193" s="1787"/>
      <c r="H193" s="1787"/>
      <c r="I193" s="1787"/>
      <c r="J193" s="1787"/>
      <c r="K193" s="1787"/>
      <c r="P193" s="28"/>
    </row>
    <row r="194" spans="2:17" hidden="1" x14ac:dyDescent="0.2">
      <c r="B194" s="1787"/>
      <c r="C194" s="1787"/>
      <c r="D194" s="1787"/>
      <c r="E194" s="1787"/>
      <c r="F194" s="1787"/>
      <c r="G194" s="1787"/>
      <c r="H194" s="1787"/>
      <c r="I194" s="1787"/>
      <c r="J194" s="1787"/>
      <c r="K194" s="1787"/>
      <c r="P194" s="28"/>
    </row>
    <row r="195" spans="2:17" hidden="1" x14ac:dyDescent="0.2">
      <c r="B195" s="1787"/>
      <c r="C195" s="1787"/>
      <c r="D195" s="1787"/>
      <c r="E195" s="1787"/>
      <c r="F195" s="1787"/>
      <c r="G195" s="1787"/>
      <c r="H195" s="1787"/>
      <c r="I195" s="1787"/>
      <c r="J195" s="1787"/>
      <c r="K195" s="1787"/>
      <c r="P195" s="28"/>
    </row>
    <row r="196" spans="2:17" hidden="1" x14ac:dyDescent="0.2">
      <c r="B196" s="1787"/>
      <c r="C196" s="1787"/>
      <c r="D196" s="1787"/>
      <c r="E196" s="1787"/>
      <c r="F196" s="1787"/>
      <c r="G196" s="1787"/>
      <c r="H196" s="1787"/>
      <c r="I196" s="1787"/>
      <c r="J196" s="1787"/>
      <c r="K196" s="1787"/>
      <c r="P196" s="28"/>
    </row>
    <row r="197" spans="2:17" hidden="1" x14ac:dyDescent="0.2">
      <c r="B197" s="1787"/>
      <c r="C197" s="1787"/>
      <c r="D197" s="1787"/>
      <c r="E197" s="1787"/>
      <c r="F197" s="1787"/>
      <c r="G197" s="1787"/>
      <c r="H197" s="1787"/>
      <c r="I197" s="1787"/>
      <c r="J197" s="1787"/>
      <c r="K197" s="1787"/>
      <c r="P197" s="28"/>
    </row>
    <row r="198" spans="2:17" x14ac:dyDescent="0.2">
      <c r="P198" s="28"/>
    </row>
    <row r="199" spans="2:17" s="3123" customFormat="1" ht="14.25" x14ac:dyDescent="0.2">
      <c r="B199" s="5141" t="s">
        <v>10005</v>
      </c>
      <c r="C199" s="5142"/>
      <c r="D199" s="5142"/>
      <c r="E199" s="5142"/>
      <c r="F199" s="5142"/>
      <c r="G199" s="5142"/>
      <c r="H199" s="5142"/>
      <c r="I199" s="5142"/>
      <c r="J199" s="5142"/>
      <c r="K199" s="5143"/>
    </row>
    <row r="200" spans="2:17" s="3123" customFormat="1" x14ac:dyDescent="0.2">
      <c r="B200" s="3589"/>
      <c r="C200" s="3590"/>
      <c r="D200" s="3591"/>
      <c r="E200" s="3591"/>
      <c r="F200" s="3591"/>
      <c r="G200" s="3591"/>
      <c r="H200" s="3590"/>
      <c r="I200" s="3590"/>
      <c r="J200" s="3590"/>
      <c r="K200" s="3591"/>
      <c r="P200" s="3579" t="s">
        <v>9985</v>
      </c>
      <c r="Q200" s="1156">
        <f>N128+N85+N205+N42</f>
      </c>
    </row>
    <row r="201" spans="2:17" s="3123" customFormat="1" x14ac:dyDescent="0.2">
      <c r="B201" s="3589"/>
      <c r="C201" s="3592" t="s">
        <v>7157</v>
      </c>
      <c r="D201" s="3591"/>
      <c r="E201" s="3591"/>
      <c r="F201" s="3591"/>
      <c r="G201" s="3591"/>
      <c r="H201" s="3593" t="s">
        <v>951</v>
      </c>
      <c r="I201" s="1898">
        <f>IF($W$1="n",I32,SUM(I32+I75+I118))</f>
      </c>
      <c r="J201" s="3590"/>
      <c r="K201" s="3591"/>
      <c r="P201" s="3579" t="s">
        <v>9986</v>
      </c>
      <c r="Q201" s="3580">
        <f>M128+M85+M205+M42</f>
      </c>
    </row>
    <row r="202" spans="2:17" s="3123" customFormat="1" x14ac:dyDescent="0.2">
      <c r="B202" s="3589"/>
      <c r="C202" s="3592"/>
      <c r="D202" s="3591"/>
      <c r="E202" s="3591"/>
      <c r="F202" s="3591"/>
      <c r="G202" s="3591"/>
      <c r="H202" s="3590"/>
      <c r="I202" s="3590"/>
      <c r="J202" s="3590"/>
      <c r="K202" s="3591"/>
    </row>
    <row r="203" spans="2:17" s="3123" customFormat="1" x14ac:dyDescent="0.2">
      <c r="B203" s="3589"/>
      <c r="C203" s="3592" t="s">
        <v>8079</v>
      </c>
      <c r="D203" s="3591"/>
      <c r="E203" s="3591"/>
      <c r="F203" s="3591"/>
      <c r="G203" s="3591"/>
      <c r="H203" s="3593" t="s">
        <v>951</v>
      </c>
      <c r="I203" s="1898">
        <f>IF($W$1="n",J35,SUM(J121+J78+J35))</f>
      </c>
      <c r="J203" s="3590"/>
      <c r="K203" s="3591"/>
    </row>
    <row r="204" spans="2:17" s="3123" customFormat="1" x14ac:dyDescent="0.2">
      <c r="B204" s="3589"/>
      <c r="C204" s="3590"/>
      <c r="D204" s="3591"/>
      <c r="E204" s="3591"/>
      <c r="F204" s="3591"/>
      <c r="G204" s="3591"/>
      <c r="H204" s="3590"/>
      <c r="I204" s="3590"/>
      <c r="J204" s="3590"/>
      <c r="K204" s="3591"/>
    </row>
    <row r="205" spans="2:17" s="3123" customFormat="1" x14ac:dyDescent="0.2">
      <c r="B205" s="3590"/>
      <c r="C205" s="3590"/>
      <c r="D205" s="3591"/>
      <c r="E205" s="3589" t="s">
        <v>4802</v>
      </c>
      <c r="F205" s="3591"/>
      <c r="G205" s="3590"/>
      <c r="H205" s="3590"/>
      <c r="I205" s="3310"/>
      <c r="J205" s="1841" t="str">
        <f>IF(Q200=0,"",IF(I205="",re,""))</f>
        <v/>
      </c>
      <c r="K205" s="3590"/>
      <c r="L205" s="3277"/>
      <c r="M205" s="3123">
        <f>IF(J205="",0,1)</f>
      </c>
      <c r="N205" s="3123">
        <f>IF(I205&gt;0,1,0)</f>
      </c>
    </row>
    <row r="206" spans="2:17" s="3123" customFormat="1" x14ac:dyDescent="0.2">
      <c r="B206" s="3590"/>
      <c r="C206" s="3590"/>
      <c r="D206" s="3591"/>
      <c r="E206" s="3589"/>
      <c r="F206" s="3591"/>
      <c r="G206" s="3590"/>
      <c r="H206" s="3590"/>
      <c r="I206" s="3590"/>
      <c r="J206" s="1841"/>
      <c r="K206" s="3590"/>
      <c r="L206" s="3277"/>
    </row>
    <row r="207" spans="2:17" x14ac:dyDescent="0.2">
      <c r="B207" s="66" t="str">
        <f>_xlfn.SINGLE(MTCA)</f>
      </c>
      <c r="D207" s="1517"/>
      <c r="E207" s="1517"/>
      <c r="F207" s="1517"/>
      <c r="G207" s="1517" t="str">
        <f>ver</f>
        <v>TA2_e-CO_2025_Ver 1.1</v>
      </c>
      <c r="K207" s="1517" t="s">
        <v>10008</v>
      </c>
      <c r="P207" s="28"/>
    </row>
    <row r="208" spans="2:17" x14ac:dyDescent="0.2">
      <c r="B208" s="66"/>
      <c r="D208" s="1517"/>
      <c r="E208" s="1517"/>
      <c r="F208" s="1517"/>
      <c r="G208" s="1517"/>
      <c r="K208" s="1517"/>
      <c r="P208" s="28"/>
    </row>
    <row r="209" spans="2:16" x14ac:dyDescent="0.2">
      <c r="B209" s="493" t="s">
        <v>6290</v>
      </c>
      <c r="D209" s="493"/>
      <c r="E209" s="493"/>
      <c r="F209" s="493"/>
      <c r="M209" s="28">
        <f>IF(Q200=0,0,IF(Q201&lt;&gt;0,100,IF(I205=y,1,100)))</f>
      </c>
      <c r="P209" s="28"/>
    </row>
    <row r="210" spans="2:16" x14ac:dyDescent="0.2">
      <c r="P210" s="28"/>
    </row>
    <row r="211" spans="2:16" hidden="1" x14ac:dyDescent="0.2">
      <c r="P211" s="28"/>
    </row>
    <row r="212" spans="2:16" hidden="1" x14ac:dyDescent="0.2">
      <c r="L212" s="1515"/>
      <c r="P212" s="28"/>
    </row>
    <row r="213" spans="2:16" hidden="1" x14ac:dyDescent="0.2">
      <c r="P213" s="28"/>
    </row>
    <row r="214" spans="2:16" hidden="1" x14ac:dyDescent="0.2">
      <c r="P214" s="28"/>
    </row>
    <row r="215" spans="2:16" hidden="1" x14ac:dyDescent="0.2">
      <c r="P215" s="28"/>
    </row>
    <row r="216" spans="2:16" hidden="1" x14ac:dyDescent="0.2">
      <c r="P216" s="28"/>
    </row>
    <row r="217" spans="2:16" hidden="1" x14ac:dyDescent="0.2">
      <c r="L217" s="66"/>
      <c r="P217" s="28"/>
    </row>
    <row r="218" spans="2:16" hidden="1" x14ac:dyDescent="0.2">
      <c r="P218" s="28"/>
    </row>
    <row r="219" spans="2:16" hidden="1" x14ac:dyDescent="0.2">
      <c r="P219" s="28"/>
    </row>
    <row r="220" spans="2:16" ht="12.75" hidden="1" customHeight="1" x14ac:dyDescent="0.2">
      <c r="P220" s="28"/>
    </row>
    <row r="221" spans="2:16" ht="12.75" hidden="1" customHeight="1" x14ac:dyDescent="0.2">
      <c r="P221" s="28"/>
    </row>
    <row r="222" spans="2:16" ht="12.75" hidden="1" customHeight="1" x14ac:dyDescent="0.2">
      <c r="P222" s="28"/>
    </row>
    <row r="223" spans="2:16" hidden="1" x14ac:dyDescent="0.2">
      <c r="P223" s="28"/>
    </row>
    <row r="224" spans="2:16" hidden="1" x14ac:dyDescent="0.2">
      <c r="P224" s="28"/>
    </row>
  </sheetData>
  <sheetProtection algorithmName="SHA-512" hashValue="TdlfQd0pOzTQ+RvUSPcO6+9UpNYsSPn8UPnr3yJpImabYZehejDZUMZUtV5qHzCMCa75pb8wotS5i5Tlu7wu3Q==" saltValue="gBxp8o24maUuCKEvEJVCuA==" spinCount="100000" sheet="1" objects="1" scenarios="1"/>
  <mergeCells count="8">
    <mergeCell ref="C94:K94"/>
    <mergeCell ref="T120:V120"/>
    <mergeCell ref="B199:K199"/>
    <mergeCell ref="T34:V34"/>
    <mergeCell ref="A1:J1"/>
    <mergeCell ref="C8:K8"/>
    <mergeCell ref="C51:K51"/>
    <mergeCell ref="T77:V77"/>
  </mergeCells>
  <conditionalFormatting sqref="G10">
    <cfRule type="expression" dxfId="394" priority="5">
      <formula>$P$10=1</formula>
    </cfRule>
  </conditionalFormatting>
  <conditionalFormatting sqref="G53">
    <cfRule type="expression" dxfId="393" priority="3">
      <formula>$P$10=1</formula>
    </cfRule>
  </conditionalFormatting>
  <conditionalFormatting sqref="G96">
    <cfRule type="expression" dxfId="392" priority="1">
      <formula>$P$10=1</formula>
    </cfRule>
  </conditionalFormatting>
  <conditionalFormatting sqref="J35">
    <cfRule type="expression" dxfId="391" priority="37" stopIfTrue="1">
      <formula>#REF!=nob</formula>
    </cfRule>
  </conditionalFormatting>
  <conditionalFormatting sqref="J78">
    <cfRule type="expression" dxfId="390" priority="4" stopIfTrue="1">
      <formula>#REF!=nob</formula>
    </cfRule>
  </conditionalFormatting>
  <conditionalFormatting sqref="J121">
    <cfRule type="expression" dxfId="389" priority="2" stopIfTrue="1">
      <formula>#REF!=nob</formula>
    </cfRule>
  </conditionalFormatting>
  <dataValidations count="19">
    <dataValidation type="whole" allowBlank="1" showInputMessage="1" showErrorMessage="1" errorTitle="Income relieved by tax credit" error="Are you sure the amount entered is correct?" sqref="J35 J78 J121" xr:uid="{76795ED6-F861-44B9-A282-073F1B387993}">
      <formula1>U35-1</formula1>
      <formula2>T35+1</formula2>
    </dataValidation>
    <dataValidation type="whole" allowBlank="1" showInputMessage="1" showErrorMessage="1" errorTitle="Tax credit first utilised" error="Please enter correct year of assessment!" sqref="F19:F28 F62:F71 F105:F114" xr:uid="{EA815E28-5E15-4E73-B540-56C9675CB3BA}">
      <formula1>S19</formula1>
      <formula2>ya</formula2>
    </dataValidation>
    <dataValidation type="list" showInputMessage="1" showErrorMessage="1" sqref="I37 I123 I80 I205" xr:uid="{36157522-A207-4139-BB51-C59A663DE71F}">
      <formula1>yn</formula1>
    </dataValidation>
    <dataValidation type="textLength" operator="greaterThanOrEqual" allowBlank="1" showInputMessage="1" showErrorMessage="1" errorTitle="Certificate No:" error="Please enter correct certificate number!" sqref="C19:C28 C62:C71 C105:C114" xr:uid="{D3957C7C-EC0A-4FAA-84AE-58223D29712D}">
      <formula1>6</formula1>
    </dataValidation>
    <dataValidation type="whole" operator="greaterThanOrEqual" allowBlank="1" showInputMessage="1" showErrorMessage="1" errorTitle="Tax credits utilised " error="Enter a whole figure greater than 0!" sqref="I19:I28 G19:G28 G62:G71 I62:I71 I105:I114 G105:G114" xr:uid="{A772A7AE-A8F0-42F9-88F4-BB5EB8C63B95}">
      <formula1>0</formula1>
    </dataValidation>
    <dataValidation operator="greaterThanOrEqual" allowBlank="1" showInputMessage="1" showErrorMessage="1" errorTitle="Tax credits utilised " error="Enter a whole figure greater than 0!" sqref="H62:H71 H19:H28 H105:H114" xr:uid="{5580C67A-15B9-4E07-A8B8-50B9D77D8E92}"/>
    <dataValidation type="list" operator="greaterThanOrEqual" allowBlank="1" showInputMessage="1" showErrorMessage="1" errorTitle="Certificate number" error="Please enter the correct reference!" sqref="G11:G14 G54:G57 G97:G100" xr:uid="{D9BE747D-6EA3-4582-8E34-2750C90688AE}">
      <formula1>"Yes,No"</formula1>
    </dataValidation>
    <dataValidation type="list" allowBlank="1" showInputMessage="1" showErrorMessage="1" errorTitle="Dropdown list" error="Choose an item from the list! " sqref="G10 G53 G96" xr:uid="{275AB8A7-4584-4755-B494-CCBE3DEB2099}">
      <formula1>FU</formula1>
    </dataValidation>
    <dataValidation type="list" operator="greaterThanOrEqual" allowBlank="1" showInputMessage="1" showErrorMessage="1" errorTitle="Certificate number" error="Please enter the correct reference!" sqref="F17:J17 F60:J60 F103:J103" xr:uid="{348EA876-B847-4C87-9839-5F085D101926}">
      <formula1>$V$6:$V$11</formula1>
    </dataValidation>
    <dataValidation type="whole" allowBlank="1" showInputMessage="1" showErrorMessage="1" errorTitle="Approved Tax Credit" error="Enter a whole figure greater than 0 but does not exceed the limit of €50,000 or €70,000 as applicable!" sqref="E28" xr:uid="{D0940D90-16C9-41A2-8390-BEA5BB4C560C}">
      <formula1>0</formula1>
      <formula2>W5</formula2>
    </dataValidation>
    <dataValidation type="whole" allowBlank="1" showInputMessage="1" showErrorMessage="1" errorTitle="Approved Tax Credit" error="Enter a whole figure greater than 0 but does not exceed the limit of €50,000 or €70,000 as applicable!" sqref="E19 E62" xr:uid="{2674F0DC-5100-4301-B8BC-6EE8C0368876}">
      <formula1>0</formula1>
      <formula2>W5</formula2>
    </dataValidation>
    <dataValidation type="whole" allowBlank="1" showInputMessage="1" showErrorMessage="1" errorTitle="Approved Tax Credit" error="Enter a whole figure greater than 0 but does not exceed the limit of €50,000 or €70,000 as applicable!" sqref="E20" xr:uid="{3F929EAC-A137-43D9-BF15-5DA2C5BD9807}">
      <formula1>0</formula1>
      <formula2>W5</formula2>
    </dataValidation>
    <dataValidation type="whole" allowBlank="1" showInputMessage="1" showErrorMessage="1" errorTitle="Approved Tax Credit" error="Enter a whole figure greater than 0 but does not exceed the limit of €50,000 or €70,000 as applicable!" sqref="E26:E27" xr:uid="{87497441-DAD8-4115-AABA-44E0BC97DA82}">
      <formula1>0</formula1>
      <formula2>W6</formula2>
    </dataValidation>
    <dataValidation type="whole" allowBlank="1" showInputMessage="1" showErrorMessage="1" errorTitle="Approved Tax Credit" error="Enter a whole figure greater than 0 but does not exceed the limit of €50,000 or €70,000 as applicable!" sqref="E21:E23" xr:uid="{E56E2CB7-8EB7-4126-AC49-6312409EFFE1}">
      <formula1>0</formula1>
      <formula2>W5</formula2>
    </dataValidation>
    <dataValidation type="whole" allowBlank="1" showInputMessage="1" showErrorMessage="1" errorTitle="Approved Tax Credit" error="Enter a whole figure greater than 0 but does not exceed the limit of €50,000 or €70,000 as applicable!" sqref="E24:E25" xr:uid="{C9AE3A52-62C6-42B4-8884-3E7C9D213E73}">
      <formula1>0</formula1>
      <formula2>W6</formula2>
    </dataValidation>
    <dataValidation type="list" operator="greaterThanOrEqual" allowBlank="1" showInputMessage="1" showErrorMessage="1" errorTitle="Certificate number" error="Please enter the correct reference!" sqref="G102 G16 G59" xr:uid="{1D9D1E19-C8D0-4CFF-887C-8B4128805816}">
      <formula1>$Y$7:$Y$17</formula1>
    </dataValidation>
    <dataValidation type="whole" allowBlank="1" showInputMessage="1" showErrorMessage="1" errorTitle="Approved Tax Credit" error="Enter a whole figure greater than 0 but does not exceed the limit of €50,000 or €70,000 as applicable!" sqref="E63:E71" xr:uid="{ADA8F424-F48A-4AEA-87DC-4B6695CB5269}">
      <formula1>0</formula1>
      <formula2>$W$48</formula2>
    </dataValidation>
    <dataValidation type="whole" allowBlank="1" showInputMessage="1" showErrorMessage="1" errorTitle="Approved Tax Credit" error="Enter a whole figure greater than 0 but does not exceed the limit of €50,000 or €70,000 as applicable!" sqref="E105:E114" xr:uid="{571CC215-A56E-450B-B1A3-AA0EB4DE0069}">
      <formula1>0</formula1>
      <formula2>$W$91</formula2>
    </dataValidation>
    <dataValidation type="date" allowBlank="1" showInputMessage="1" showErrorMessage="1" errorTitle="Date" error="Enter correct date!" sqref="D62:D71 D105:D114 D20:D28 D19" xr:uid="{B7FCE60D-A080-4B83-B490-74E18334DAA5}">
      <formula1>41640</formula1>
      <formula2>$AB$4</formula2>
    </dataValidation>
  </dataValidations>
  <hyperlinks>
    <hyperlink ref="B209" location="Index!B77" display="B A C K   T O   I N D E X" xr:uid="{00000000-0004-0000-4B00-000000000000}"/>
    <hyperlink ref="H201" location="'TRA35'!A1" display="TRA 35" xr:uid="{00000000-0004-0000-4B00-000001000000}"/>
    <hyperlink ref="H203" location="'TRA35'!A1" display="TRA 35" xr:uid="{00000000-0004-0000-4B00-000002000000}"/>
  </hyperlinks>
  <pageMargins left="0.15748031496062992" right="0.19685039370078741" top="0.43307086614173229" bottom="0.98425196850393704" header="0.31496062992125984" footer="0.31496062992125984"/>
  <pageSetup paperSize="9" orientation="landscape" r:id="rId1"/>
  <headerFooter>
    <oddFooter>&amp;LName&amp;CSignature&amp;RDate</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5"/>
  <dimension ref="A1:CE107"/>
  <sheetViews>
    <sheetView workbookViewId="0">
      <selection activeCell="K6" sqref="K6"/>
    </sheetView>
  </sheetViews>
  <sheetFormatPr defaultColWidth="0" defaultRowHeight="16.149999999999999" customHeight="1" zeroHeight="1" x14ac:dyDescent="0.2"/>
  <cols>
    <col min="1" max="1" width="0.7109375" style="46" customWidth="1"/>
    <col min="2" max="2" width="12.5703125" style="46" customWidth="1"/>
    <col min="3" max="3" width="0.7109375" style="46" hidden="1" customWidth="1"/>
    <col min="4" max="4" width="13.5703125" style="46" customWidth="1"/>
    <col min="5" max="5" width="0.5703125" style="46" hidden="1" customWidth="1"/>
    <col min="6" max="6" width="13.5703125" style="46" customWidth="1"/>
    <col min="7" max="7" width="13" style="46" customWidth="1"/>
    <col min="8" max="13" width="12.7109375" style="46" customWidth="1"/>
    <col min="14" max="14" width="1" style="46" customWidth="1"/>
    <col min="15" max="15" width="12.42578125" style="46" customWidth="1"/>
    <col min="16" max="16" width="7.28515625" style="46" bestFit="1" customWidth="1"/>
    <col min="17" max="17" width="1" style="46" customWidth="1"/>
    <col min="18" max="18" width="26.7109375" style="46" customWidth="1"/>
    <col min="19" max="21" width="9.28515625" style="46" hidden="1" customWidth="1"/>
    <col min="22" max="24" width="10.28515625" style="46" hidden="1" customWidth="1"/>
    <col min="25" max="26" width="9.28515625" style="46" hidden="1" customWidth="1"/>
    <col min="27" max="27" width="10.7109375" style="46" hidden="1" customWidth="1"/>
    <col min="28" max="52" width="9.28515625" style="46" hidden="1" customWidth="1"/>
    <col min="53" max="53" width="12.5703125" style="46" hidden="1" customWidth="1"/>
    <col min="54" max="60" width="9.28515625" style="46" hidden="1" customWidth="1"/>
    <col min="61" max="61" width="9.7109375" style="46" hidden="1" customWidth="1"/>
    <col min="62" max="62" width="11.5703125" style="46" hidden="1" customWidth="1"/>
    <col min="63" max="63" width="10.5703125" style="46" hidden="1" customWidth="1"/>
    <col min="64" max="65" width="10.28515625" style="46" hidden="1" customWidth="1"/>
    <col min="66" max="66" width="12.28515625" style="46" hidden="1" customWidth="1"/>
    <col min="67" max="82" width="9.28515625" style="46" hidden="1" customWidth="1"/>
    <col min="83" max="83" width="9.28515625" style="1736" hidden="1" customWidth="1"/>
    <col min="84" max="16384" width="9.28515625" style="46" hidden="1"/>
  </cols>
  <sheetData>
    <row r="1" spans="1:55" s="1736" customFormat="1" ht="12.75" x14ac:dyDescent="0.2">
      <c r="A1" s="17"/>
      <c r="B1" s="4408" t="str">
        <f>_ref1</f>
      </c>
      <c r="C1" s="4408"/>
      <c r="D1" s="4408"/>
      <c r="E1" s="4408"/>
      <c r="F1" s="4408"/>
      <c r="G1" s="4408"/>
      <c r="H1" s="4408"/>
      <c r="I1" s="4408"/>
      <c r="J1" s="4408"/>
      <c r="K1" s="4408"/>
      <c r="L1" s="4408"/>
      <c r="M1" s="4408"/>
      <c r="N1" s="4408"/>
      <c r="O1" s="327" t="str">
        <f>_YA1</f>
      </c>
      <c r="P1" s="327"/>
      <c r="Q1" s="327"/>
      <c r="R1" s="17"/>
      <c r="W1" s="1736" t="s">
        <v>4195</v>
      </c>
      <c r="AA1" s="1974"/>
    </row>
    <row r="2" spans="1:55" s="1736" customFormat="1" ht="12.75" x14ac:dyDescent="0.2">
      <c r="A2" s="17"/>
      <c r="B2" s="17"/>
      <c r="C2" s="17"/>
      <c r="D2" s="17"/>
      <c r="E2" s="17"/>
      <c r="F2" s="17"/>
      <c r="G2" s="17"/>
      <c r="H2" s="17"/>
      <c r="I2" s="17"/>
      <c r="J2" s="17"/>
      <c r="K2" s="17"/>
      <c r="L2" s="17"/>
      <c r="M2" s="17"/>
      <c r="N2" s="17"/>
      <c r="O2" s="17"/>
      <c r="P2" s="17"/>
      <c r="Q2" s="17"/>
      <c r="R2" s="17"/>
    </row>
    <row r="3" spans="1:55" s="1736" customFormat="1" ht="15" x14ac:dyDescent="0.2">
      <c r="A3" s="17"/>
      <c r="B3" s="5144" t="s">
        <v>7340</v>
      </c>
      <c r="C3" s="5145"/>
      <c r="D3" s="5145"/>
      <c r="E3" s="5145"/>
      <c r="F3" s="5145"/>
      <c r="G3" s="5145"/>
      <c r="H3" s="5145"/>
      <c r="I3" s="5145"/>
      <c r="J3" s="5145"/>
      <c r="K3" s="5145"/>
      <c r="L3" s="5146"/>
      <c r="M3" s="20"/>
      <c r="N3" s="20"/>
      <c r="O3" s="20"/>
      <c r="P3" s="20"/>
      <c r="Q3" s="248"/>
      <c r="R3" s="248"/>
      <c r="W3" s="1736" t="s">
        <v>5552</v>
      </c>
    </row>
    <row r="4" spans="1:55" s="1736" customFormat="1" ht="15" x14ac:dyDescent="0.2">
      <c r="A4" s="242"/>
      <c r="B4" s="5147" t="s">
        <v>7341</v>
      </c>
      <c r="C4" s="5148"/>
      <c r="D4" s="5148"/>
      <c r="E4" s="5148"/>
      <c r="F4" s="5148"/>
      <c r="G4" s="5148"/>
      <c r="H4" s="5148"/>
      <c r="I4" s="5148"/>
      <c r="J4" s="5148"/>
      <c r="K4" s="5148"/>
      <c r="L4" s="5149"/>
      <c r="M4" s="20"/>
      <c r="N4" s="20"/>
      <c r="O4" s="20"/>
      <c r="P4" s="20"/>
      <c r="Q4" s="248"/>
      <c r="R4" s="248"/>
      <c r="S4" s="1736" t="s">
        <v>7030</v>
      </c>
      <c r="X4" s="1742" t="s">
        <v>7342</v>
      </c>
      <c r="BA4" s="1736" t="s">
        <v>7390</v>
      </c>
    </row>
    <row r="5" spans="1:55" s="1736" customFormat="1" ht="6" customHeight="1" x14ac:dyDescent="0.2">
      <c r="A5" s="17"/>
      <c r="B5" s="817"/>
      <c r="C5" s="564"/>
      <c r="D5" s="564"/>
      <c r="E5" s="818"/>
      <c r="F5" s="564"/>
      <c r="G5" s="564"/>
      <c r="H5" s="564"/>
      <c r="I5" s="564"/>
      <c r="J5" s="564"/>
      <c r="K5" s="20"/>
      <c r="L5" s="20"/>
      <c r="M5" s="20"/>
      <c r="N5" s="20"/>
      <c r="O5" s="20"/>
      <c r="P5" s="20"/>
      <c r="Q5" s="20"/>
      <c r="R5" s="248"/>
      <c r="W5" s="1736" t="s">
        <v>5551</v>
      </c>
    </row>
    <row r="6" spans="1:55" s="1736" customFormat="1" ht="15" x14ac:dyDescent="0.2">
      <c r="A6" s="17"/>
      <c r="B6" s="1147" t="s">
        <v>7343</v>
      </c>
      <c r="C6" s="564"/>
      <c r="D6" s="564"/>
      <c r="E6" s="20"/>
      <c r="F6" s="564"/>
      <c r="G6" s="564"/>
      <c r="H6" s="564"/>
      <c r="I6" s="564"/>
      <c r="J6" s="564"/>
      <c r="K6" s="1038"/>
      <c r="L6" s="1975" t="str">
        <f>IF(W$86=0,"",IF(AND(K6="",W$86&lt;&gt;0),re,IF(AND(K6="no",W$86&lt;&gt;0),"Do not complete this attachment if this arrangement does not apply!","")))</f>
        <v/>
      </c>
      <c r="M6" s="20"/>
      <c r="N6" s="20"/>
      <c r="O6" s="20"/>
      <c r="P6" s="20"/>
      <c r="Q6" s="20"/>
      <c r="R6" s="248"/>
      <c r="S6" s="1736">
        <f>IF(L6="",0,1)</f>
      </c>
      <c r="W6" s="1736" t="s">
        <v>5551</v>
      </c>
    </row>
    <row r="7" spans="1:55" s="1736" customFormat="1" ht="15" x14ac:dyDescent="0.2">
      <c r="A7" s="17"/>
      <c r="B7" s="1147"/>
      <c r="C7" s="564"/>
      <c r="D7" s="564"/>
      <c r="E7" s="818"/>
      <c r="F7" s="564"/>
      <c r="G7" s="564"/>
      <c r="H7" s="564"/>
      <c r="I7" s="564"/>
      <c r="J7" s="564"/>
      <c r="K7" s="20"/>
      <c r="L7" s="20"/>
      <c r="M7" s="20"/>
      <c r="N7" s="20"/>
      <c r="O7" s="20"/>
      <c r="P7" s="20"/>
      <c r="Q7" s="20"/>
      <c r="R7" s="248"/>
    </row>
    <row r="8" spans="1:55" s="1736" customFormat="1" ht="15" x14ac:dyDescent="0.2">
      <c r="A8" s="17"/>
      <c r="B8" s="1147" t="s">
        <v>7344</v>
      </c>
      <c r="C8" s="564"/>
      <c r="D8" s="564"/>
      <c r="E8" s="818"/>
      <c r="F8" s="564"/>
      <c r="G8" s="564"/>
      <c r="H8" s="564"/>
      <c r="I8" s="564"/>
      <c r="J8" s="564"/>
      <c r="K8" s="1038"/>
      <c r="L8" s="1975" t="str">
        <f>IF(W$86=0,"",IF(AND(K8="",W$86&lt;&gt;0),re,IF(AND(K8="no",W$86&lt;&gt;0),"Do not complete this attachment if this arrangement does not apply!","")))</f>
        <v/>
      </c>
      <c r="M8" s="20"/>
      <c r="N8" s="20"/>
      <c r="O8" s="20"/>
      <c r="P8" s="20"/>
      <c r="Q8" s="20"/>
      <c r="R8" s="248"/>
      <c r="S8" s="1736">
        <f>IF(L8="",0,1)</f>
      </c>
    </row>
    <row r="9" spans="1:55" s="1736" customFormat="1" ht="6" customHeight="1" x14ac:dyDescent="0.2">
      <c r="A9" s="17"/>
      <c r="B9" s="817"/>
      <c r="C9" s="564"/>
      <c r="D9" s="564"/>
      <c r="E9" s="818"/>
      <c r="F9" s="564"/>
      <c r="G9" s="564"/>
      <c r="H9" s="564"/>
      <c r="I9" s="564"/>
      <c r="J9" s="1975"/>
      <c r="K9" s="1975"/>
      <c r="L9" s="20"/>
      <c r="M9" s="20"/>
      <c r="N9" s="20"/>
      <c r="O9" s="20"/>
      <c r="P9" s="20"/>
      <c r="Q9" s="20"/>
      <c r="R9" s="248"/>
    </row>
    <row r="10" spans="1:55" s="1736" customFormat="1" ht="15" x14ac:dyDescent="0.2">
      <c r="A10" s="17"/>
      <c r="B10" s="817" t="s">
        <v>7345</v>
      </c>
      <c r="C10" s="564"/>
      <c r="D10" s="564"/>
      <c r="E10" s="818"/>
      <c r="F10" s="564"/>
      <c r="G10" s="564"/>
      <c r="H10" s="564"/>
      <c r="I10" s="1267"/>
      <c r="J10" s="1975" t="str">
        <f>IF(W86=0,"",IF(I10="",re,""))</f>
        <v/>
      </c>
      <c r="K10" s="1975"/>
      <c r="L10" s="20"/>
      <c r="M10" s="20"/>
      <c r="N10" s="20"/>
      <c r="O10" s="20"/>
      <c r="P10" s="20"/>
      <c r="Q10" s="20"/>
      <c r="R10" s="248"/>
      <c r="S10" s="1736">
        <f>IF(J10="",0,1)</f>
      </c>
      <c r="BB10" s="1736">
        <f>IF(I10="",0,1)</f>
      </c>
      <c r="BC10" s="1736">
        <f>IF(I10="",0,I10)</f>
      </c>
    </row>
    <row r="11" spans="1:55" s="1736" customFormat="1" ht="15" x14ac:dyDescent="0.2">
      <c r="A11" s="17"/>
      <c r="B11" s="817"/>
      <c r="C11" s="564"/>
      <c r="D11" s="564"/>
      <c r="E11" s="818"/>
      <c r="F11" s="564"/>
      <c r="G11" s="564"/>
      <c r="H11" s="564"/>
      <c r="I11" s="564"/>
      <c r="J11" s="1975"/>
      <c r="K11" s="1975"/>
      <c r="L11" s="20"/>
      <c r="M11" s="20"/>
      <c r="N11" s="20"/>
      <c r="O11" s="20"/>
      <c r="P11" s="20"/>
      <c r="Q11" s="20"/>
      <c r="R11" s="248"/>
    </row>
    <row r="12" spans="1:55" s="1736" customFormat="1" ht="38.25" x14ac:dyDescent="0.2">
      <c r="A12" s="17"/>
      <c r="B12" s="1976" t="s">
        <v>7346</v>
      </c>
      <c r="C12" s="564"/>
      <c r="D12" s="5150" t="s">
        <v>7347</v>
      </c>
      <c r="E12" s="5150"/>
      <c r="F12" s="5150"/>
      <c r="G12" s="5150"/>
      <c r="H12" s="5150"/>
      <c r="I12" s="1976" t="s">
        <v>7348</v>
      </c>
      <c r="J12" s="1976" t="s">
        <v>7349</v>
      </c>
      <c r="K12" s="1975"/>
      <c r="L12" s="20"/>
      <c r="M12" s="20"/>
      <c r="N12" s="20"/>
      <c r="O12" s="20"/>
      <c r="P12" s="20"/>
      <c r="Q12" s="20"/>
      <c r="R12" s="248"/>
    </row>
    <row r="13" spans="1:55" s="1736" customFormat="1" ht="15" x14ac:dyDescent="0.2">
      <c r="A13" s="17"/>
      <c r="B13" s="1977" t="str">
        <f>IF(I10="","",1)</f>
        <v/>
      </c>
      <c r="C13" s="564"/>
      <c r="D13" s="4213"/>
      <c r="E13" s="4213"/>
      <c r="F13" s="4213"/>
      <c r="G13" s="4213"/>
      <c r="H13" s="4213"/>
      <c r="I13" s="575"/>
      <c r="J13" s="1978" t="str">
        <f t="shared" ref="J13:J18" si="0">IF(B13="","",IF(I13="","",IF(YEAR(I13)&lt;2004,0.1,0.08)))</f>
        <v/>
      </c>
      <c r="K13" s="1975" t="str">
        <f t="shared" ref="K13:K18" si="1">IF(B13="","",IF(OR(D13="",I13=""),$W$1,""))</f>
        <v/>
      </c>
      <c r="L13" s="20"/>
      <c r="M13" s="20"/>
      <c r="N13" s="20"/>
      <c r="O13" s="20"/>
      <c r="P13" s="20"/>
      <c r="Q13" s="20"/>
      <c r="R13" s="248"/>
      <c r="S13" s="1736">
        <f t="shared" ref="S13:S18" si="2">IF(K13="",0,1)</f>
      </c>
      <c r="W13" s="1736">
        <f t="shared" ref="W13:W18" si="3">COUNTA(D13:I13)</f>
      </c>
    </row>
    <row r="14" spans="1:55" s="1736" customFormat="1" ht="15" x14ac:dyDescent="0.2">
      <c r="A14" s="17"/>
      <c r="B14" s="1977" t="str">
        <f>IF(B13="","",IF(B13+1&gt;I$10,"",B13+1))</f>
        <v/>
      </c>
      <c r="C14" s="564"/>
      <c r="D14" s="4213"/>
      <c r="E14" s="4213"/>
      <c r="F14" s="4213"/>
      <c r="G14" s="4213"/>
      <c r="H14" s="4213"/>
      <c r="I14" s="575"/>
      <c r="J14" s="1978" t="str">
        <f t="shared" si="0"/>
        <v/>
      </c>
      <c r="K14" s="1975" t="str">
        <f t="shared" si="1"/>
        <v/>
      </c>
      <c r="L14" s="20"/>
      <c r="M14" s="20"/>
      <c r="N14" s="20"/>
      <c r="O14" s="20"/>
      <c r="P14" s="20"/>
      <c r="Q14" s="20"/>
      <c r="R14" s="248"/>
      <c r="S14" s="1736">
        <f t="shared" si="2"/>
        <v>0</v>
      </c>
      <c r="W14" s="1736">
        <f t="shared" si="3"/>
        <v>0</v>
      </c>
    </row>
    <row r="15" spans="1:55" s="1736" customFormat="1" ht="15" x14ac:dyDescent="0.2">
      <c r="A15" s="17"/>
      <c r="B15" s="1977" t="str">
        <f>IF(B14="","",IF(B14+1&gt;I$10,"",B14+1))</f>
        <v/>
      </c>
      <c r="C15" s="564"/>
      <c r="D15" s="4213"/>
      <c r="E15" s="4213"/>
      <c r="F15" s="4213"/>
      <c r="G15" s="4213"/>
      <c r="H15" s="4213"/>
      <c r="I15" s="575"/>
      <c r="J15" s="1978" t="str">
        <f t="shared" si="0"/>
        <v/>
      </c>
      <c r="K15" s="1975" t="str">
        <f t="shared" si="1"/>
        <v/>
      </c>
      <c r="L15" s="20"/>
      <c r="M15" s="20"/>
      <c r="N15" s="20"/>
      <c r="O15" s="20"/>
      <c r="P15" s="20"/>
      <c r="Q15" s="20"/>
      <c r="R15" s="248"/>
      <c r="S15" s="1736">
        <f t="shared" si="2"/>
        <v>0</v>
      </c>
      <c r="W15" s="1736">
        <f t="shared" si="3"/>
        <v>0</v>
      </c>
    </row>
    <row r="16" spans="1:55" s="1736" customFormat="1" ht="15" x14ac:dyDescent="0.2">
      <c r="A16" s="17"/>
      <c r="B16" s="1977" t="str">
        <f>IF(B15="","",IF(B15+1&gt;I$10,"",B15+1))</f>
        <v/>
      </c>
      <c r="C16" s="564"/>
      <c r="D16" s="4213"/>
      <c r="E16" s="4213"/>
      <c r="F16" s="4213"/>
      <c r="G16" s="4213"/>
      <c r="H16" s="4213"/>
      <c r="I16" s="575"/>
      <c r="J16" s="1978" t="str">
        <f t="shared" si="0"/>
        <v/>
      </c>
      <c r="K16" s="1975" t="str">
        <f t="shared" si="1"/>
        <v/>
      </c>
      <c r="L16" s="20"/>
      <c r="M16" s="20"/>
      <c r="N16" s="20"/>
      <c r="O16" s="20"/>
      <c r="P16" s="20"/>
      <c r="Q16" s="20"/>
      <c r="R16" s="248"/>
      <c r="S16" s="1736">
        <f t="shared" si="2"/>
        <v>0</v>
      </c>
      <c r="W16" s="1736">
        <f t="shared" si="3"/>
        <v>0</v>
      </c>
    </row>
    <row r="17" spans="1:66" s="1736" customFormat="1" ht="15" x14ac:dyDescent="0.2">
      <c r="A17" s="17"/>
      <c r="B17" s="1977" t="str">
        <f>IF(B16="","",IF(B16+1&gt;I$10,"",B16+1))</f>
        <v/>
      </c>
      <c r="C17" s="564"/>
      <c r="D17" s="4213"/>
      <c r="E17" s="4213"/>
      <c r="F17" s="4213"/>
      <c r="G17" s="4213"/>
      <c r="H17" s="4213"/>
      <c r="I17" s="575"/>
      <c r="J17" s="1978" t="str">
        <f t="shared" si="0"/>
        <v/>
      </c>
      <c r="K17" s="1975" t="str">
        <f t="shared" si="1"/>
        <v/>
      </c>
      <c r="L17" s="20"/>
      <c r="M17" s="20"/>
      <c r="N17" s="20"/>
      <c r="O17" s="20"/>
      <c r="P17" s="20"/>
      <c r="Q17" s="20"/>
      <c r="R17" s="248"/>
      <c r="S17" s="1736">
        <f t="shared" si="2"/>
        <v>0</v>
      </c>
      <c r="W17" s="1736">
        <f t="shared" si="3"/>
        <v>0</v>
      </c>
    </row>
    <row r="18" spans="1:66" s="1736" customFormat="1" ht="15" x14ac:dyDescent="0.2">
      <c r="A18" s="17"/>
      <c r="B18" s="1977" t="str">
        <f>IF(B17="","",IF(B17+1&gt;I$10,"",B17+1))</f>
        <v/>
      </c>
      <c r="C18" s="564"/>
      <c r="D18" s="4213"/>
      <c r="E18" s="4213"/>
      <c r="F18" s="4213"/>
      <c r="G18" s="4213"/>
      <c r="H18" s="4213"/>
      <c r="I18" s="575"/>
      <c r="J18" s="1978" t="str">
        <f t="shared" si="0"/>
        <v/>
      </c>
      <c r="K18" s="1975" t="str">
        <f t="shared" si="1"/>
        <v/>
      </c>
      <c r="L18" s="20"/>
      <c r="M18" s="20"/>
      <c r="N18" s="20"/>
      <c r="O18" s="20"/>
      <c r="P18" s="20"/>
      <c r="Q18" s="20"/>
      <c r="R18" s="248"/>
      <c r="S18" s="1736">
        <f t="shared" si="2"/>
        <v>0</v>
      </c>
      <c r="W18" s="1736">
        <f t="shared" si="3"/>
        <v>0</v>
      </c>
    </row>
    <row r="19" spans="1:66" s="1736" customFormat="1" ht="15" x14ac:dyDescent="0.2">
      <c r="A19" s="1975"/>
      <c r="B19" s="1975"/>
      <c r="C19" s="1975"/>
      <c r="D19" s="1975"/>
      <c r="E19" s="1975"/>
      <c r="F19" s="1975"/>
      <c r="G19" s="1975"/>
      <c r="H19" s="1975"/>
      <c r="I19" s="1975"/>
      <c r="J19" s="1975"/>
      <c r="K19" s="1975"/>
      <c r="L19" s="20"/>
      <c r="M19" s="20"/>
      <c r="N19" s="20"/>
      <c r="O19" s="20"/>
      <c r="P19" s="20"/>
      <c r="Q19" s="20"/>
      <c r="R19" s="248"/>
    </row>
    <row r="20" spans="1:66" s="1736" customFormat="1" ht="15" hidden="1" x14ac:dyDescent="0.2">
      <c r="A20" s="1975"/>
      <c r="B20" s="1975"/>
      <c r="C20" s="1975"/>
      <c r="D20" s="1975"/>
      <c r="E20" s="1975"/>
      <c r="F20" s="1975"/>
      <c r="G20" s="1975"/>
      <c r="H20" s="1975"/>
      <c r="I20" s="1975"/>
      <c r="J20" s="1975"/>
      <c r="K20" s="1975"/>
      <c r="L20" s="20"/>
      <c r="M20" s="20"/>
      <c r="N20" s="20"/>
      <c r="O20" s="20"/>
      <c r="P20" s="20"/>
      <c r="Q20" s="20"/>
      <c r="R20" s="248"/>
    </row>
    <row r="21" spans="1:66" s="1736" customFormat="1" ht="15" hidden="1" x14ac:dyDescent="0.2">
      <c r="A21" s="17"/>
      <c r="B21" s="817"/>
      <c r="C21" s="817"/>
      <c r="D21" s="817"/>
      <c r="E21" s="817"/>
      <c r="F21" s="564"/>
      <c r="G21" s="564"/>
      <c r="H21" s="564"/>
      <c r="I21" s="564"/>
      <c r="J21" s="564"/>
      <c r="K21" s="564"/>
      <c r="L21" s="20"/>
      <c r="M21" s="20"/>
      <c r="N21" s="20"/>
      <c r="O21" s="20"/>
      <c r="P21" s="20"/>
      <c r="Q21" s="20"/>
      <c r="R21" s="248"/>
      <c r="W21" s="1736" t="s">
        <v>5551</v>
      </c>
      <c r="BA21" s="4557" t="s">
        <v>2932</v>
      </c>
      <c r="BB21" s="4557"/>
      <c r="BC21" s="4557"/>
      <c r="BD21" s="4557"/>
      <c r="BE21" s="4557"/>
      <c r="BF21" s="4557"/>
      <c r="BI21" s="4557" t="s">
        <v>2932</v>
      </c>
      <c r="BJ21" s="4557"/>
      <c r="BK21" s="4557"/>
      <c r="BL21" s="4557"/>
      <c r="BM21" s="4557"/>
      <c r="BN21" s="4557"/>
    </row>
    <row r="22" spans="1:66" s="1736" customFormat="1" ht="21.75" customHeight="1" x14ac:dyDescent="0.2">
      <c r="A22" s="17"/>
      <c r="B22" s="4443" t="s">
        <v>7350</v>
      </c>
      <c r="C22" s="564"/>
      <c r="D22" s="4443" t="s">
        <v>4607</v>
      </c>
      <c r="E22" s="818"/>
      <c r="F22" s="4877" t="s">
        <v>5602</v>
      </c>
      <c r="G22" s="4877" t="s">
        <v>7351</v>
      </c>
      <c r="H22" s="4877" t="s">
        <v>7352</v>
      </c>
      <c r="I22" s="4877" t="s">
        <v>7353</v>
      </c>
      <c r="J22" s="564"/>
      <c r="K22" s="564"/>
      <c r="L22" s="20"/>
      <c r="M22" s="20"/>
      <c r="N22" s="20"/>
      <c r="O22" s="20"/>
      <c r="P22" s="20"/>
      <c r="Q22" s="20"/>
      <c r="R22" s="17"/>
      <c r="V22" s="1761">
        <v>42005</v>
      </c>
      <c r="W22" s="1761">
        <v>42369</v>
      </c>
      <c r="BA22" s="1769" t="str">
        <f>IF(I10="","",1)</f>
        <v/>
      </c>
      <c r="BB22" s="1769" t="str">
        <f>IF($I10="","",IF(BA22="","",IF(BA22+1&gt;$I10,"",BA22+1)))</f>
        <v/>
      </c>
      <c r="BC22" s="1769" t="str">
        <f>IF($I10="","",IF(BB22="","",IF(BB22+1&gt;$I10,"",BB22+1)))</f>
        <v/>
      </c>
      <c r="BD22" s="1769" t="str">
        <f>IF($I10="","",IF(BC22="","",IF(BC22+1&gt;$I10,"",BC22+1)))</f>
        <v/>
      </c>
      <c r="BE22" s="1769" t="str">
        <f>IF($I10="","",IF(BD22="","",IF(BD22+1&gt;$I10,"",BD22+1)))</f>
        <v/>
      </c>
      <c r="BF22" s="1769" t="str">
        <f>IF($I10="","",IF(BE22="","",IF(BE22+1&gt;$I10,"",BE22+1)))</f>
        <v/>
      </c>
      <c r="BI22" s="1736" t="str">
        <f t="shared" ref="BI22:BN22" si="4">BA22</f>
        <v/>
      </c>
      <c r="BJ22" s="1736" t="str">
        <f t="shared" si="4"/>
        <v/>
      </c>
      <c r="BK22" s="1736" t="str">
        <f t="shared" si="4"/>
        <v/>
      </c>
      <c r="BL22" s="1736" t="str">
        <f t="shared" si="4"/>
        <v/>
      </c>
      <c r="BM22" s="1736" t="str">
        <f t="shared" si="4"/>
        <v/>
      </c>
      <c r="BN22" s="1736" t="str">
        <f t="shared" si="4"/>
        <v/>
      </c>
    </row>
    <row r="23" spans="1:66" s="1736" customFormat="1" ht="25.5" x14ac:dyDescent="0.2">
      <c r="A23" s="17"/>
      <c r="B23" s="4444"/>
      <c r="C23" s="564"/>
      <c r="D23" s="4444"/>
      <c r="E23" s="818"/>
      <c r="F23" s="4878"/>
      <c r="G23" s="4878"/>
      <c r="H23" s="4878"/>
      <c r="I23" s="4878"/>
      <c r="J23" s="564"/>
      <c r="K23" s="564"/>
      <c r="L23" s="20"/>
      <c r="M23" s="20"/>
      <c r="N23" s="20"/>
      <c r="O23" s="20"/>
      <c r="P23" s="20"/>
      <c r="Q23" s="20"/>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1979" t="s">
        <v>5602</v>
      </c>
      <c r="BB23" s="1979" t="s">
        <v>5602</v>
      </c>
      <c r="BC23" s="1979" t="s">
        <v>5602</v>
      </c>
      <c r="BD23" s="1979" t="s">
        <v>5602</v>
      </c>
      <c r="BE23" s="1979" t="s">
        <v>5602</v>
      </c>
      <c r="BF23" s="1979" t="s">
        <v>5602</v>
      </c>
      <c r="BI23" s="1980" t="s">
        <v>7353</v>
      </c>
      <c r="BJ23" s="1980" t="s">
        <v>7353</v>
      </c>
      <c r="BK23" s="1980" t="s">
        <v>7353</v>
      </c>
      <c r="BL23" s="1980" t="s">
        <v>7353</v>
      </c>
      <c r="BM23" s="1980" t="s">
        <v>7353</v>
      </c>
      <c r="BN23" s="1980" t="s">
        <v>7353</v>
      </c>
    </row>
    <row r="24" spans="1:66" s="1736" customFormat="1" ht="15" x14ac:dyDescent="0.2">
      <c r="A24" s="17"/>
      <c r="B24" s="1981"/>
      <c r="C24" s="65"/>
      <c r="D24" s="2041"/>
      <c r="E24" s="65"/>
      <c r="F24" s="811"/>
      <c r="G24" s="1267"/>
      <c r="H24" s="2041"/>
      <c r="I24" s="339"/>
      <c r="J24" s="1982" t="str">
        <f>IF(W24=0,"",IF(W24&lt;&gt;6,$W$1,""))</f>
        <v/>
      </c>
      <c r="K24" s="564"/>
      <c r="L24" s="20"/>
      <c r="M24" s="20"/>
      <c r="N24" s="20"/>
      <c r="O24" s="20"/>
      <c r="P24" s="20"/>
      <c r="Q24" s="20"/>
      <c r="R24" s="648"/>
      <c r="S24" s="1736">
        <f>IF(J24="",0,1)</f>
      </c>
      <c r="V24" s="31"/>
      <c r="W24" s="46">
        <f>COUNTA(B24,D24,F24,G24,H24,I24)</f>
      </c>
      <c r="Y24" s="1736">
        <f>COUNTA(I24:J24)</f>
      </c>
      <c r="Z24" s="1983">
        <f t="shared" ref="Z24:Z48" si="5">F24-(H24+K24+L24+M24)</f>
      </c>
      <c r="AA24" s="1983"/>
      <c r="BA24" s="1736">
        <f t="shared" ref="BA24:BA48" si="6">IF($B24="",0,IF($B24=BA$22,$F24,0))</f>
      </c>
      <c r="BB24" s="1736">
        <f t="shared" ref="BB24:BF39" si="7">IF($B24="",0,IF($B24=BB$22,$F24,0))</f>
      </c>
      <c r="BC24" s="1736">
        <f t="shared" si="7"/>
        <v>0</v>
      </c>
      <c r="BD24" s="1736">
        <f t="shared" si="7"/>
        <v>0</v>
      </c>
      <c r="BE24" s="1736">
        <f t="shared" si="7"/>
        <v>0</v>
      </c>
      <c r="BF24" s="1736">
        <f t="shared" si="7"/>
        <v>0</v>
      </c>
      <c r="BI24" s="1736">
        <f t="shared" ref="BI24:BI48" si="8">IF($B24="",0,IF($B24=BI$22,$I24,0))</f>
      </c>
      <c r="BJ24" s="1736">
        <f t="shared" ref="BJ24:BN39" si="9">IF($B24="",0,IF($B24=BJ$22,$I24,0))</f>
      </c>
      <c r="BK24" s="1736">
        <f t="shared" si="9"/>
        <v>0</v>
      </c>
      <c r="BL24" s="1736">
        <f t="shared" si="9"/>
        <v>0</v>
      </c>
      <c r="BM24" s="1736">
        <f t="shared" si="9"/>
        <v>0</v>
      </c>
      <c r="BN24" s="1736">
        <f t="shared" si="9"/>
        <v>0</v>
      </c>
    </row>
    <row r="25" spans="1:66" s="1736" customFormat="1" ht="15" x14ac:dyDescent="0.2">
      <c r="A25" s="17"/>
      <c r="B25" s="1981"/>
      <c r="C25" s="229"/>
      <c r="D25" s="2041"/>
      <c r="E25" s="1984"/>
      <c r="F25" s="811"/>
      <c r="G25" s="1267"/>
      <c r="H25" s="2041"/>
      <c r="I25" s="339"/>
      <c r="J25" s="1982" t="str">
        <f t="shared" ref="J25:J48" si="10">IF(W25=0,"",IF(W25&lt;&gt;6,$W$1,""))</f>
        <v/>
      </c>
      <c r="K25" s="564"/>
      <c r="L25" s="20"/>
      <c r="M25" s="20"/>
      <c r="N25" s="20"/>
      <c r="O25" s="20"/>
      <c r="P25" s="20"/>
      <c r="Q25" s="20"/>
      <c r="R25" s="648"/>
      <c r="S25" s="1736">
        <f t="shared" ref="S25:S48" si="11">IF(J25="",0,1)</f>
      </c>
      <c r="V25" s="31"/>
      <c r="W25" s="46">
        <f t="shared" ref="W25:W48" si="12">COUNTA(B25,D25,F25,G25,H25,I25)</f>
      </c>
      <c r="Y25" s="1736">
        <f t="shared" ref="Y25:Y48" si="13">COUNTA(I25:J25)</f>
      </c>
      <c r="Z25" s="1983">
        <f t="shared" si="5"/>
        <v>0</v>
      </c>
      <c r="BA25" s="1736">
        <f t="shared" si="6"/>
        <v>0</v>
      </c>
      <c r="BB25" s="1736">
        <f t="shared" si="7"/>
        <v>0</v>
      </c>
      <c r="BC25" s="1736">
        <f t="shared" si="7"/>
        <v>0</v>
      </c>
      <c r="BD25" s="1736">
        <f t="shared" si="7"/>
        <v>0</v>
      </c>
      <c r="BE25" s="1736">
        <f t="shared" si="7"/>
        <v>0</v>
      </c>
      <c r="BF25" s="1736">
        <f t="shared" si="7"/>
        <v>0</v>
      </c>
      <c r="BI25" s="1736">
        <f t="shared" si="8"/>
        <v>0</v>
      </c>
      <c r="BJ25" s="1736">
        <f t="shared" si="9"/>
        <v>0</v>
      </c>
      <c r="BK25" s="1736">
        <f t="shared" si="9"/>
        <v>0</v>
      </c>
      <c r="BL25" s="1736">
        <f t="shared" si="9"/>
        <v>0</v>
      </c>
      <c r="BM25" s="1736">
        <f t="shared" si="9"/>
        <v>0</v>
      </c>
      <c r="BN25" s="1736">
        <f t="shared" si="9"/>
        <v>0</v>
      </c>
    </row>
    <row r="26" spans="1:66" s="1736" customFormat="1" ht="15" x14ac:dyDescent="0.2">
      <c r="A26" s="17"/>
      <c r="B26" s="1981"/>
      <c r="C26" s="229"/>
      <c r="D26" s="2041"/>
      <c r="E26" s="1984"/>
      <c r="F26" s="811"/>
      <c r="G26" s="1267"/>
      <c r="H26" s="2041"/>
      <c r="I26" s="339"/>
      <c r="J26" s="1982" t="str">
        <f t="shared" si="10"/>
        <v/>
      </c>
      <c r="K26" s="564"/>
      <c r="L26" s="20"/>
      <c r="M26" s="20"/>
      <c r="N26" s="20"/>
      <c r="O26" s="20"/>
      <c r="P26" s="20"/>
      <c r="Q26" s="20"/>
      <c r="R26" s="648"/>
      <c r="S26" s="1736">
        <f t="shared" si="11"/>
        <v>0</v>
      </c>
      <c r="V26" s="31"/>
      <c r="W26" s="46">
        <f t="shared" si="12"/>
        <v>0</v>
      </c>
      <c r="Y26" s="1736">
        <f t="shared" si="13"/>
        <v>1</v>
      </c>
      <c r="Z26" s="1983">
        <f t="shared" si="5"/>
        <v>0</v>
      </c>
      <c r="BA26" s="1736">
        <f t="shared" si="6"/>
        <v>0</v>
      </c>
      <c r="BB26" s="1736">
        <f t="shared" si="7"/>
        <v>0</v>
      </c>
      <c r="BC26" s="1736">
        <f t="shared" si="7"/>
        <v>0</v>
      </c>
      <c r="BD26" s="1736">
        <f t="shared" si="7"/>
        <v>0</v>
      </c>
      <c r="BE26" s="1736">
        <f t="shared" si="7"/>
        <v>0</v>
      </c>
      <c r="BF26" s="1736">
        <f t="shared" si="7"/>
        <v>0</v>
      </c>
      <c r="BI26" s="1736">
        <f t="shared" si="8"/>
        <v>0</v>
      </c>
      <c r="BJ26" s="1736">
        <f t="shared" si="9"/>
        <v>0</v>
      </c>
      <c r="BK26" s="1736">
        <f t="shared" si="9"/>
        <v>0</v>
      </c>
      <c r="BL26" s="1736">
        <f t="shared" si="9"/>
        <v>0</v>
      </c>
      <c r="BM26" s="1736">
        <f t="shared" si="9"/>
        <v>0</v>
      </c>
      <c r="BN26" s="1736">
        <f t="shared" si="9"/>
        <v>0</v>
      </c>
    </row>
    <row r="27" spans="1:66" s="1736" customFormat="1" ht="15" x14ac:dyDescent="0.2">
      <c r="A27" s="17"/>
      <c r="B27" s="1981"/>
      <c r="C27" s="229"/>
      <c r="D27" s="2041"/>
      <c r="E27" s="1984"/>
      <c r="F27" s="811"/>
      <c r="G27" s="1267"/>
      <c r="H27" s="2041"/>
      <c r="I27" s="339"/>
      <c r="J27" s="1982" t="str">
        <f t="shared" si="10"/>
        <v/>
      </c>
      <c r="K27" s="564"/>
      <c r="L27" s="20"/>
      <c r="M27" s="20"/>
      <c r="N27" s="20"/>
      <c r="O27" s="20"/>
      <c r="P27" s="20"/>
      <c r="Q27" s="20"/>
      <c r="R27" s="648"/>
      <c r="S27" s="1736">
        <f t="shared" si="11"/>
        <v>0</v>
      </c>
      <c r="V27" s="31"/>
      <c r="W27" s="46">
        <f t="shared" si="12"/>
        <v>0</v>
      </c>
      <c r="Y27" s="1736">
        <f t="shared" si="13"/>
        <v>1</v>
      </c>
      <c r="Z27" s="1983">
        <f t="shared" si="5"/>
        <v>0</v>
      </c>
      <c r="BA27" s="1736">
        <f t="shared" si="6"/>
        <v>0</v>
      </c>
      <c r="BB27" s="1736">
        <f t="shared" si="7"/>
        <v>0</v>
      </c>
      <c r="BC27" s="1736">
        <f t="shared" si="7"/>
        <v>0</v>
      </c>
      <c r="BD27" s="1736">
        <f t="shared" si="7"/>
        <v>0</v>
      </c>
      <c r="BE27" s="1736">
        <f t="shared" si="7"/>
        <v>0</v>
      </c>
      <c r="BF27" s="1736">
        <f t="shared" si="7"/>
        <v>0</v>
      </c>
      <c r="BI27" s="1736">
        <f t="shared" si="8"/>
        <v>0</v>
      </c>
      <c r="BJ27" s="1736">
        <f t="shared" si="9"/>
        <v>0</v>
      </c>
      <c r="BK27" s="1736">
        <f t="shared" si="9"/>
        <v>0</v>
      </c>
      <c r="BL27" s="1736">
        <f t="shared" si="9"/>
        <v>0</v>
      </c>
      <c r="BM27" s="1736">
        <f t="shared" si="9"/>
        <v>0</v>
      </c>
      <c r="BN27" s="1736">
        <f t="shared" si="9"/>
        <v>0</v>
      </c>
    </row>
    <row r="28" spans="1:66" s="1736" customFormat="1" ht="15" x14ac:dyDescent="0.2">
      <c r="A28" s="17"/>
      <c r="B28" s="1981"/>
      <c r="C28" s="229"/>
      <c r="D28" s="2041"/>
      <c r="E28" s="1984"/>
      <c r="F28" s="811"/>
      <c r="G28" s="1267"/>
      <c r="H28" s="2041"/>
      <c r="I28" s="339"/>
      <c r="J28" s="1982" t="str">
        <f t="shared" si="10"/>
        <v/>
      </c>
      <c r="K28" s="564"/>
      <c r="L28" s="20"/>
      <c r="M28" s="20"/>
      <c r="N28" s="20"/>
      <c r="O28" s="20"/>
      <c r="P28" s="20"/>
      <c r="Q28" s="20"/>
      <c r="R28" s="648"/>
      <c r="S28" s="1736">
        <f t="shared" si="11"/>
        <v>0</v>
      </c>
      <c r="V28" s="31"/>
      <c r="W28" s="46">
        <f t="shared" si="12"/>
        <v>0</v>
      </c>
      <c r="Y28" s="1736">
        <f t="shared" si="13"/>
        <v>1</v>
      </c>
      <c r="Z28" s="1983">
        <f t="shared" si="5"/>
        <v>0</v>
      </c>
      <c r="BA28" s="1736">
        <f t="shared" si="6"/>
        <v>0</v>
      </c>
      <c r="BB28" s="1736">
        <f t="shared" si="7"/>
        <v>0</v>
      </c>
      <c r="BC28" s="1736">
        <f t="shared" si="7"/>
        <v>0</v>
      </c>
      <c r="BD28" s="1736">
        <f t="shared" si="7"/>
        <v>0</v>
      </c>
      <c r="BE28" s="1736">
        <f t="shared" si="7"/>
        <v>0</v>
      </c>
      <c r="BF28" s="1736">
        <f t="shared" si="7"/>
        <v>0</v>
      </c>
      <c r="BI28" s="1736">
        <f t="shared" si="8"/>
        <v>0</v>
      </c>
      <c r="BJ28" s="1736">
        <f t="shared" si="9"/>
        <v>0</v>
      </c>
      <c r="BK28" s="1736">
        <f t="shared" si="9"/>
        <v>0</v>
      </c>
      <c r="BL28" s="1736">
        <f t="shared" si="9"/>
        <v>0</v>
      </c>
      <c r="BM28" s="1736">
        <f t="shared" si="9"/>
        <v>0</v>
      </c>
      <c r="BN28" s="1736">
        <f t="shared" si="9"/>
        <v>0</v>
      </c>
    </row>
    <row r="29" spans="1:66" s="1736" customFormat="1" ht="15" x14ac:dyDescent="0.2">
      <c r="A29" s="17"/>
      <c r="B29" s="1981"/>
      <c r="C29" s="229"/>
      <c r="D29" s="2041"/>
      <c r="E29" s="1984"/>
      <c r="F29" s="811"/>
      <c r="G29" s="1267"/>
      <c r="H29" s="2041"/>
      <c r="I29" s="339"/>
      <c r="J29" s="1982" t="str">
        <f t="shared" si="10"/>
        <v/>
      </c>
      <c r="K29" s="564"/>
      <c r="L29" s="20"/>
      <c r="M29" s="20"/>
      <c r="N29" s="20"/>
      <c r="O29" s="20"/>
      <c r="P29" s="20"/>
      <c r="Q29" s="20"/>
      <c r="R29" s="648"/>
      <c r="S29" s="1736">
        <f t="shared" si="11"/>
        <v>0</v>
      </c>
      <c r="V29" s="31"/>
      <c r="W29" s="46">
        <f t="shared" si="12"/>
        <v>0</v>
      </c>
      <c r="Y29" s="1736">
        <f t="shared" si="13"/>
        <v>1</v>
      </c>
      <c r="Z29" s="1983">
        <f t="shared" si="5"/>
        <v>0</v>
      </c>
      <c r="BA29" s="1736">
        <f t="shared" si="6"/>
        <v>0</v>
      </c>
      <c r="BB29" s="1736">
        <f t="shared" si="7"/>
        <v>0</v>
      </c>
      <c r="BC29" s="1736">
        <f t="shared" si="7"/>
        <v>0</v>
      </c>
      <c r="BD29" s="1736">
        <f t="shared" si="7"/>
        <v>0</v>
      </c>
      <c r="BE29" s="1736">
        <f t="shared" si="7"/>
        <v>0</v>
      </c>
      <c r="BF29" s="1736">
        <f t="shared" si="7"/>
        <v>0</v>
      </c>
      <c r="BI29" s="1736">
        <f t="shared" si="8"/>
        <v>0</v>
      </c>
      <c r="BJ29" s="1736">
        <f t="shared" si="9"/>
        <v>0</v>
      </c>
      <c r="BK29" s="1736">
        <f t="shared" si="9"/>
        <v>0</v>
      </c>
      <c r="BL29" s="1736">
        <f t="shared" si="9"/>
        <v>0</v>
      </c>
      <c r="BM29" s="1736">
        <f t="shared" si="9"/>
        <v>0</v>
      </c>
      <c r="BN29" s="1736">
        <f t="shared" si="9"/>
        <v>0</v>
      </c>
    </row>
    <row r="30" spans="1:66" s="1736" customFormat="1" ht="15" x14ac:dyDescent="0.2">
      <c r="A30" s="17"/>
      <c r="B30" s="1981"/>
      <c r="C30" s="229"/>
      <c r="D30" s="2041"/>
      <c r="E30" s="1984"/>
      <c r="F30" s="737"/>
      <c r="G30" s="1267"/>
      <c r="H30" s="2041"/>
      <c r="I30" s="339"/>
      <c r="J30" s="1982" t="str">
        <f t="shared" si="10"/>
        <v/>
      </c>
      <c r="K30" s="564"/>
      <c r="L30" s="20"/>
      <c r="M30" s="20"/>
      <c r="N30" s="20"/>
      <c r="O30" s="20"/>
      <c r="P30" s="20"/>
      <c r="Q30" s="20"/>
      <c r="R30" s="648"/>
      <c r="S30" s="1736">
        <f t="shared" si="11"/>
        <v>0</v>
      </c>
      <c r="V30" s="31"/>
      <c r="W30" s="46">
        <f t="shared" si="12"/>
        <v>0</v>
      </c>
      <c r="Y30" s="1736">
        <f t="shared" si="13"/>
        <v>1</v>
      </c>
      <c r="Z30" s="1983">
        <f t="shared" si="5"/>
        <v>0</v>
      </c>
      <c r="BA30" s="1736">
        <f t="shared" si="6"/>
        <v>0</v>
      </c>
      <c r="BB30" s="1736">
        <f t="shared" si="7"/>
        <v>0</v>
      </c>
      <c r="BC30" s="1736">
        <f t="shared" si="7"/>
        <v>0</v>
      </c>
      <c r="BD30" s="1736">
        <f t="shared" si="7"/>
        <v>0</v>
      </c>
      <c r="BE30" s="1736">
        <f t="shared" si="7"/>
        <v>0</v>
      </c>
      <c r="BF30" s="1736">
        <f t="shared" si="7"/>
        <v>0</v>
      </c>
      <c r="BI30" s="1736">
        <f t="shared" si="8"/>
        <v>0</v>
      </c>
      <c r="BJ30" s="1736">
        <f t="shared" si="9"/>
        <v>0</v>
      </c>
      <c r="BK30" s="1736">
        <f t="shared" si="9"/>
        <v>0</v>
      </c>
      <c r="BL30" s="1736">
        <f t="shared" si="9"/>
        <v>0</v>
      </c>
      <c r="BM30" s="1736">
        <f t="shared" si="9"/>
        <v>0</v>
      </c>
      <c r="BN30" s="1736">
        <f t="shared" si="9"/>
        <v>0</v>
      </c>
    </row>
    <row r="31" spans="1:66" s="1736" customFormat="1" ht="15" x14ac:dyDescent="0.2">
      <c r="A31" s="17"/>
      <c r="B31" s="1981"/>
      <c r="C31" s="229"/>
      <c r="D31" s="2041"/>
      <c r="E31" s="1984"/>
      <c r="F31" s="737"/>
      <c r="G31" s="1267"/>
      <c r="H31" s="2041"/>
      <c r="I31" s="339"/>
      <c r="J31" s="1982" t="str">
        <f t="shared" si="10"/>
        <v/>
      </c>
      <c r="K31" s="564"/>
      <c r="L31" s="20"/>
      <c r="M31" s="20"/>
      <c r="N31" s="20"/>
      <c r="O31" s="20"/>
      <c r="P31" s="20"/>
      <c r="Q31" s="20"/>
      <c r="R31" s="648"/>
      <c r="S31" s="1736">
        <f t="shared" si="11"/>
        <v>0</v>
      </c>
      <c r="V31" s="31"/>
      <c r="W31" s="46">
        <f t="shared" si="12"/>
        <v>0</v>
      </c>
      <c r="Y31" s="1736">
        <f t="shared" si="13"/>
        <v>1</v>
      </c>
      <c r="Z31" s="1983">
        <f t="shared" si="5"/>
        <v>0</v>
      </c>
      <c r="BA31" s="1736">
        <f t="shared" si="6"/>
        <v>0</v>
      </c>
      <c r="BB31" s="1736">
        <f t="shared" si="7"/>
        <v>0</v>
      </c>
      <c r="BC31" s="1736">
        <f t="shared" si="7"/>
        <v>0</v>
      </c>
      <c r="BD31" s="1736">
        <f t="shared" si="7"/>
        <v>0</v>
      </c>
      <c r="BE31" s="1736">
        <f t="shared" si="7"/>
        <v>0</v>
      </c>
      <c r="BF31" s="1736">
        <f t="shared" si="7"/>
        <v>0</v>
      </c>
      <c r="BI31" s="1736">
        <f t="shared" si="8"/>
        <v>0</v>
      </c>
      <c r="BJ31" s="1736">
        <f t="shared" si="9"/>
        <v>0</v>
      </c>
      <c r="BK31" s="1736">
        <f t="shared" si="9"/>
        <v>0</v>
      </c>
      <c r="BL31" s="1736">
        <f t="shared" si="9"/>
        <v>0</v>
      </c>
      <c r="BM31" s="1736">
        <f t="shared" si="9"/>
        <v>0</v>
      </c>
      <c r="BN31" s="1736">
        <f t="shared" si="9"/>
        <v>0</v>
      </c>
    </row>
    <row r="32" spans="1:66" s="1736" customFormat="1" ht="15" x14ac:dyDescent="0.2">
      <c r="A32" s="17"/>
      <c r="B32" s="1981"/>
      <c r="C32" s="229"/>
      <c r="D32" s="2041"/>
      <c r="E32" s="1984"/>
      <c r="F32" s="737"/>
      <c r="G32" s="1267"/>
      <c r="H32" s="2041"/>
      <c r="I32" s="339"/>
      <c r="J32" s="1982" t="str">
        <f t="shared" si="10"/>
        <v/>
      </c>
      <c r="K32" s="564"/>
      <c r="L32" s="20"/>
      <c r="M32" s="20"/>
      <c r="N32" s="20"/>
      <c r="O32" s="20"/>
      <c r="P32" s="20"/>
      <c r="Q32" s="20"/>
      <c r="R32" s="648"/>
      <c r="S32" s="1736">
        <f t="shared" si="11"/>
        <v>0</v>
      </c>
      <c r="V32" s="31"/>
      <c r="W32" s="46">
        <f t="shared" si="12"/>
        <v>0</v>
      </c>
      <c r="Y32" s="1736">
        <f t="shared" si="13"/>
        <v>1</v>
      </c>
      <c r="Z32" s="1983">
        <f t="shared" si="5"/>
        <v>0</v>
      </c>
      <c r="BA32" s="1736">
        <f t="shared" si="6"/>
        <v>0</v>
      </c>
      <c r="BB32" s="1736">
        <f t="shared" si="7"/>
        <v>0</v>
      </c>
      <c r="BC32" s="1736">
        <f t="shared" si="7"/>
        <v>0</v>
      </c>
      <c r="BD32" s="1736">
        <f t="shared" si="7"/>
        <v>0</v>
      </c>
      <c r="BE32" s="1736">
        <f t="shared" si="7"/>
        <v>0</v>
      </c>
      <c r="BF32" s="1736">
        <f t="shared" si="7"/>
        <v>0</v>
      </c>
      <c r="BI32" s="1736">
        <f t="shared" si="8"/>
        <v>0</v>
      </c>
      <c r="BJ32" s="1736">
        <f t="shared" si="9"/>
        <v>0</v>
      </c>
      <c r="BK32" s="1736">
        <f t="shared" si="9"/>
        <v>0</v>
      </c>
      <c r="BL32" s="1736">
        <f t="shared" si="9"/>
        <v>0</v>
      </c>
      <c r="BM32" s="1736">
        <f t="shared" si="9"/>
        <v>0</v>
      </c>
      <c r="BN32" s="1736">
        <f t="shared" si="9"/>
        <v>0</v>
      </c>
    </row>
    <row r="33" spans="1:66" s="1736" customFormat="1" ht="15" x14ac:dyDescent="0.2">
      <c r="A33" s="17"/>
      <c r="B33" s="1981"/>
      <c r="C33" s="229"/>
      <c r="D33" s="2041"/>
      <c r="E33" s="1984"/>
      <c r="F33" s="737"/>
      <c r="G33" s="1267"/>
      <c r="H33" s="2041"/>
      <c r="I33" s="339"/>
      <c r="J33" s="1982" t="str">
        <f t="shared" si="10"/>
        <v/>
      </c>
      <c r="K33" s="564"/>
      <c r="L33" s="20"/>
      <c r="M33" s="20"/>
      <c r="N33" s="20"/>
      <c r="O33" s="20"/>
      <c r="P33" s="20"/>
      <c r="Q33" s="20"/>
      <c r="R33" s="648"/>
      <c r="S33" s="1736">
        <f t="shared" si="11"/>
        <v>0</v>
      </c>
      <c r="V33" s="31"/>
      <c r="W33" s="46">
        <f t="shared" si="12"/>
        <v>0</v>
      </c>
      <c r="Y33" s="1736">
        <f t="shared" si="13"/>
        <v>1</v>
      </c>
      <c r="Z33" s="1983">
        <f t="shared" si="5"/>
        <v>0</v>
      </c>
      <c r="BA33" s="1736">
        <f t="shared" si="6"/>
        <v>0</v>
      </c>
      <c r="BB33" s="1736">
        <f t="shared" si="7"/>
        <v>0</v>
      </c>
      <c r="BC33" s="1736">
        <f t="shared" si="7"/>
        <v>0</v>
      </c>
      <c r="BD33" s="1736">
        <f t="shared" si="7"/>
        <v>0</v>
      </c>
      <c r="BE33" s="1736">
        <f t="shared" si="7"/>
        <v>0</v>
      </c>
      <c r="BF33" s="1736">
        <f t="shared" si="7"/>
        <v>0</v>
      </c>
      <c r="BI33" s="1736">
        <f t="shared" si="8"/>
        <v>0</v>
      </c>
      <c r="BJ33" s="1736">
        <f t="shared" si="9"/>
        <v>0</v>
      </c>
      <c r="BK33" s="1736">
        <f t="shared" si="9"/>
        <v>0</v>
      </c>
      <c r="BL33" s="1736">
        <f t="shared" si="9"/>
        <v>0</v>
      </c>
      <c r="BM33" s="1736">
        <f t="shared" si="9"/>
        <v>0</v>
      </c>
      <c r="BN33" s="1736">
        <f t="shared" si="9"/>
        <v>0</v>
      </c>
    </row>
    <row r="34" spans="1:66" s="1736" customFormat="1" ht="15" x14ac:dyDescent="0.2">
      <c r="A34" s="17"/>
      <c r="B34" s="1981"/>
      <c r="C34" s="229"/>
      <c r="D34" s="2041"/>
      <c r="E34" s="1984"/>
      <c r="F34" s="737"/>
      <c r="G34" s="1267"/>
      <c r="H34" s="2041"/>
      <c r="I34" s="339"/>
      <c r="J34" s="1982" t="str">
        <f t="shared" si="10"/>
        <v/>
      </c>
      <c r="K34" s="564"/>
      <c r="L34" s="20"/>
      <c r="M34" s="20"/>
      <c r="N34" s="20"/>
      <c r="O34" s="20"/>
      <c r="P34" s="20"/>
      <c r="Q34" s="20"/>
      <c r="R34" s="648"/>
      <c r="S34" s="1736">
        <f t="shared" si="11"/>
        <v>0</v>
      </c>
      <c r="V34" s="31"/>
      <c r="W34" s="46">
        <f t="shared" si="12"/>
        <v>0</v>
      </c>
      <c r="Y34" s="1736">
        <f t="shared" si="13"/>
        <v>1</v>
      </c>
      <c r="Z34" s="1983">
        <f t="shared" si="5"/>
        <v>0</v>
      </c>
      <c r="BA34" s="1736">
        <f t="shared" si="6"/>
        <v>0</v>
      </c>
      <c r="BB34" s="1736">
        <f t="shared" si="7"/>
        <v>0</v>
      </c>
      <c r="BC34" s="1736">
        <f t="shared" si="7"/>
        <v>0</v>
      </c>
      <c r="BD34" s="1736">
        <f t="shared" si="7"/>
        <v>0</v>
      </c>
      <c r="BE34" s="1736">
        <f t="shared" si="7"/>
        <v>0</v>
      </c>
      <c r="BF34" s="1736">
        <f t="shared" si="7"/>
        <v>0</v>
      </c>
      <c r="BI34" s="1736">
        <f t="shared" si="8"/>
        <v>0</v>
      </c>
      <c r="BJ34" s="1736">
        <f t="shared" si="9"/>
        <v>0</v>
      </c>
      <c r="BK34" s="1736">
        <f t="shared" si="9"/>
        <v>0</v>
      </c>
      <c r="BL34" s="1736">
        <f t="shared" si="9"/>
        <v>0</v>
      </c>
      <c r="BM34" s="1736">
        <f t="shared" si="9"/>
        <v>0</v>
      </c>
      <c r="BN34" s="1736">
        <f t="shared" si="9"/>
        <v>0</v>
      </c>
    </row>
    <row r="35" spans="1:66" s="1736" customFormat="1" ht="15" x14ac:dyDescent="0.2">
      <c r="A35" s="17"/>
      <c r="B35" s="1981"/>
      <c r="C35" s="229"/>
      <c r="D35" s="2041"/>
      <c r="E35" s="1984"/>
      <c r="F35" s="737"/>
      <c r="G35" s="1267"/>
      <c r="H35" s="2041"/>
      <c r="I35" s="339"/>
      <c r="J35" s="1982" t="str">
        <f t="shared" si="10"/>
        <v/>
      </c>
      <c r="K35" s="564"/>
      <c r="L35" s="20"/>
      <c r="M35" s="20"/>
      <c r="N35" s="20"/>
      <c r="O35" s="20"/>
      <c r="P35" s="20"/>
      <c r="Q35" s="20"/>
      <c r="R35" s="648"/>
      <c r="S35" s="1736">
        <f t="shared" si="11"/>
        <v>0</v>
      </c>
      <c r="V35" s="31"/>
      <c r="W35" s="46">
        <f t="shared" si="12"/>
        <v>0</v>
      </c>
      <c r="Y35" s="1736">
        <f t="shared" si="13"/>
        <v>1</v>
      </c>
      <c r="Z35" s="1983">
        <f t="shared" si="5"/>
        <v>0</v>
      </c>
      <c r="BA35" s="1736">
        <f t="shared" si="6"/>
        <v>0</v>
      </c>
      <c r="BB35" s="1736">
        <f t="shared" si="7"/>
        <v>0</v>
      </c>
      <c r="BC35" s="1736">
        <f t="shared" si="7"/>
        <v>0</v>
      </c>
      <c r="BD35" s="1736">
        <f t="shared" si="7"/>
        <v>0</v>
      </c>
      <c r="BE35" s="1736">
        <f t="shared" si="7"/>
        <v>0</v>
      </c>
      <c r="BF35" s="1736">
        <f t="shared" si="7"/>
        <v>0</v>
      </c>
      <c r="BI35" s="1736">
        <f t="shared" si="8"/>
        <v>0</v>
      </c>
      <c r="BJ35" s="1736">
        <f t="shared" si="9"/>
        <v>0</v>
      </c>
      <c r="BK35" s="1736">
        <f t="shared" si="9"/>
        <v>0</v>
      </c>
      <c r="BL35" s="1736">
        <f t="shared" si="9"/>
        <v>0</v>
      </c>
      <c r="BM35" s="1736">
        <f t="shared" si="9"/>
        <v>0</v>
      </c>
      <c r="BN35" s="1736">
        <f t="shared" si="9"/>
        <v>0</v>
      </c>
    </row>
    <row r="36" spans="1:66" s="1736" customFormat="1" ht="15" x14ac:dyDescent="0.2">
      <c r="A36" s="17"/>
      <c r="B36" s="1981"/>
      <c r="C36" s="229"/>
      <c r="D36" s="2041"/>
      <c r="E36" s="1984"/>
      <c r="F36" s="737"/>
      <c r="G36" s="1267"/>
      <c r="H36" s="2041"/>
      <c r="I36" s="339"/>
      <c r="J36" s="1982" t="str">
        <f t="shared" si="10"/>
        <v/>
      </c>
      <c r="K36" s="564"/>
      <c r="L36" s="20"/>
      <c r="M36" s="20"/>
      <c r="N36" s="20"/>
      <c r="O36" s="20"/>
      <c r="P36" s="20"/>
      <c r="Q36" s="20"/>
      <c r="R36" s="648"/>
      <c r="S36" s="1736">
        <f t="shared" si="11"/>
        <v>0</v>
      </c>
      <c r="V36" s="31"/>
      <c r="W36" s="46">
        <f t="shared" si="12"/>
        <v>0</v>
      </c>
      <c r="Y36" s="1736">
        <f t="shared" si="13"/>
        <v>1</v>
      </c>
      <c r="Z36" s="1983">
        <f t="shared" si="5"/>
        <v>0</v>
      </c>
      <c r="BA36" s="1736">
        <f t="shared" si="6"/>
        <v>0</v>
      </c>
      <c r="BB36" s="1736">
        <f t="shared" si="7"/>
        <v>0</v>
      </c>
      <c r="BC36" s="1736">
        <f t="shared" si="7"/>
        <v>0</v>
      </c>
      <c r="BD36" s="1736">
        <f t="shared" si="7"/>
        <v>0</v>
      </c>
      <c r="BE36" s="1736">
        <f t="shared" si="7"/>
        <v>0</v>
      </c>
      <c r="BF36" s="1736">
        <f t="shared" si="7"/>
        <v>0</v>
      </c>
      <c r="BI36" s="1736">
        <f t="shared" si="8"/>
        <v>0</v>
      </c>
      <c r="BJ36" s="1736">
        <f t="shared" si="9"/>
        <v>0</v>
      </c>
      <c r="BK36" s="1736">
        <f t="shared" si="9"/>
        <v>0</v>
      </c>
      <c r="BL36" s="1736">
        <f t="shared" si="9"/>
        <v>0</v>
      </c>
      <c r="BM36" s="1736">
        <f t="shared" si="9"/>
        <v>0</v>
      </c>
      <c r="BN36" s="1736">
        <f t="shared" si="9"/>
        <v>0</v>
      </c>
    </row>
    <row r="37" spans="1:66" s="1736" customFormat="1" ht="15" x14ac:dyDescent="0.2">
      <c r="A37" s="17"/>
      <c r="B37" s="1981"/>
      <c r="C37" s="229"/>
      <c r="D37" s="2041"/>
      <c r="E37" s="1984"/>
      <c r="F37" s="737"/>
      <c r="G37" s="1267"/>
      <c r="H37" s="2041"/>
      <c r="I37" s="339"/>
      <c r="J37" s="1982" t="str">
        <f t="shared" si="10"/>
        <v/>
      </c>
      <c r="K37" s="564"/>
      <c r="L37" s="20"/>
      <c r="M37" s="20"/>
      <c r="N37" s="20"/>
      <c r="O37" s="20"/>
      <c r="P37" s="20"/>
      <c r="Q37" s="20"/>
      <c r="R37" s="648"/>
      <c r="S37" s="1736">
        <f t="shared" si="11"/>
        <v>0</v>
      </c>
      <c r="V37" s="31"/>
      <c r="W37" s="46">
        <f t="shared" si="12"/>
        <v>0</v>
      </c>
      <c r="Y37" s="1736">
        <f t="shared" si="13"/>
        <v>1</v>
      </c>
      <c r="Z37" s="1983">
        <f t="shared" si="5"/>
        <v>0</v>
      </c>
      <c r="BA37" s="1736">
        <f t="shared" si="6"/>
        <v>0</v>
      </c>
      <c r="BB37" s="1736">
        <f t="shared" si="7"/>
        <v>0</v>
      </c>
      <c r="BC37" s="1736">
        <f t="shared" si="7"/>
        <v>0</v>
      </c>
      <c r="BD37" s="1736">
        <f t="shared" si="7"/>
        <v>0</v>
      </c>
      <c r="BE37" s="1736">
        <f t="shared" si="7"/>
        <v>0</v>
      </c>
      <c r="BF37" s="1736">
        <f t="shared" si="7"/>
        <v>0</v>
      </c>
      <c r="BI37" s="1736">
        <f t="shared" si="8"/>
        <v>0</v>
      </c>
      <c r="BJ37" s="1736">
        <f t="shared" si="9"/>
        <v>0</v>
      </c>
      <c r="BK37" s="1736">
        <f t="shared" si="9"/>
        <v>0</v>
      </c>
      <c r="BL37" s="1736">
        <f t="shared" si="9"/>
        <v>0</v>
      </c>
      <c r="BM37" s="1736">
        <f t="shared" si="9"/>
        <v>0</v>
      </c>
      <c r="BN37" s="1736">
        <f t="shared" si="9"/>
        <v>0</v>
      </c>
    </row>
    <row r="38" spans="1:66" s="1736" customFormat="1" ht="15" x14ac:dyDescent="0.2">
      <c r="A38" s="17"/>
      <c r="B38" s="1981"/>
      <c r="C38" s="229"/>
      <c r="D38" s="2041"/>
      <c r="E38" s="1984"/>
      <c r="F38" s="737"/>
      <c r="G38" s="1267"/>
      <c r="H38" s="2041"/>
      <c r="I38" s="339"/>
      <c r="J38" s="1982" t="str">
        <f t="shared" si="10"/>
        <v/>
      </c>
      <c r="K38" s="564"/>
      <c r="L38" s="20"/>
      <c r="M38" s="20"/>
      <c r="N38" s="20"/>
      <c r="O38" s="20"/>
      <c r="P38" s="20"/>
      <c r="Q38" s="20"/>
      <c r="R38" s="648"/>
      <c r="S38" s="1736">
        <f t="shared" si="11"/>
        <v>0</v>
      </c>
      <c r="V38" s="31"/>
      <c r="W38" s="46">
        <f t="shared" si="12"/>
        <v>0</v>
      </c>
      <c r="Y38" s="1736">
        <f t="shared" si="13"/>
        <v>1</v>
      </c>
      <c r="Z38" s="1983">
        <f t="shared" si="5"/>
        <v>0</v>
      </c>
      <c r="BA38" s="1736">
        <f t="shared" si="6"/>
        <v>0</v>
      </c>
      <c r="BB38" s="1736">
        <f t="shared" si="7"/>
        <v>0</v>
      </c>
      <c r="BC38" s="1736">
        <f t="shared" si="7"/>
        <v>0</v>
      </c>
      <c r="BD38" s="1736">
        <f t="shared" si="7"/>
        <v>0</v>
      </c>
      <c r="BE38" s="1736">
        <f t="shared" si="7"/>
        <v>0</v>
      </c>
      <c r="BF38" s="1736">
        <f t="shared" si="7"/>
        <v>0</v>
      </c>
      <c r="BI38" s="1736">
        <f t="shared" si="8"/>
        <v>0</v>
      </c>
      <c r="BJ38" s="1736">
        <f t="shared" si="9"/>
        <v>0</v>
      </c>
      <c r="BK38" s="1736">
        <f t="shared" si="9"/>
        <v>0</v>
      </c>
      <c r="BL38" s="1736">
        <f t="shared" si="9"/>
        <v>0</v>
      </c>
      <c r="BM38" s="1736">
        <f t="shared" si="9"/>
        <v>0</v>
      </c>
      <c r="BN38" s="1736">
        <f t="shared" si="9"/>
        <v>0</v>
      </c>
    </row>
    <row r="39" spans="1:66" s="1736" customFormat="1" ht="15" x14ac:dyDescent="0.2">
      <c r="A39" s="17"/>
      <c r="B39" s="1981"/>
      <c r="C39" s="229"/>
      <c r="D39" s="2041"/>
      <c r="E39" s="1984"/>
      <c r="F39" s="737"/>
      <c r="G39" s="1267"/>
      <c r="H39" s="2041"/>
      <c r="I39" s="339"/>
      <c r="J39" s="1982" t="str">
        <f t="shared" si="10"/>
        <v/>
      </c>
      <c r="K39" s="564"/>
      <c r="L39" s="20"/>
      <c r="M39" s="20"/>
      <c r="N39" s="20"/>
      <c r="O39" s="20"/>
      <c r="P39" s="20"/>
      <c r="Q39" s="20"/>
      <c r="R39" s="648"/>
      <c r="S39" s="1736">
        <f t="shared" si="11"/>
        <v>0</v>
      </c>
      <c r="V39" s="31"/>
      <c r="W39" s="46">
        <f t="shared" si="12"/>
        <v>0</v>
      </c>
      <c r="Y39" s="1736">
        <f t="shared" si="13"/>
        <v>1</v>
      </c>
      <c r="Z39" s="1983">
        <f t="shared" si="5"/>
        <v>0</v>
      </c>
      <c r="BA39" s="1736">
        <f t="shared" si="6"/>
        <v>0</v>
      </c>
      <c r="BB39" s="1736">
        <f t="shared" si="7"/>
        <v>0</v>
      </c>
      <c r="BC39" s="1736">
        <f t="shared" si="7"/>
        <v>0</v>
      </c>
      <c r="BD39" s="1736">
        <f t="shared" si="7"/>
        <v>0</v>
      </c>
      <c r="BE39" s="1736">
        <f t="shared" si="7"/>
        <v>0</v>
      </c>
      <c r="BF39" s="1736">
        <f t="shared" si="7"/>
        <v>0</v>
      </c>
      <c r="BI39" s="1736">
        <f t="shared" si="8"/>
        <v>0</v>
      </c>
      <c r="BJ39" s="1736">
        <f t="shared" si="9"/>
        <v>0</v>
      </c>
      <c r="BK39" s="1736">
        <f t="shared" si="9"/>
        <v>0</v>
      </c>
      <c r="BL39" s="1736">
        <f t="shared" si="9"/>
        <v>0</v>
      </c>
      <c r="BM39" s="1736">
        <f t="shared" si="9"/>
        <v>0</v>
      </c>
      <c r="BN39" s="1736">
        <f t="shared" si="9"/>
        <v>0</v>
      </c>
    </row>
    <row r="40" spans="1:66" s="1736" customFormat="1" ht="15" x14ac:dyDescent="0.2">
      <c r="A40" s="17"/>
      <c r="B40" s="1981"/>
      <c r="C40" s="229"/>
      <c r="D40" s="2041"/>
      <c r="E40" s="1984"/>
      <c r="F40" s="737"/>
      <c r="G40" s="1267"/>
      <c r="H40" s="2041"/>
      <c r="I40" s="339"/>
      <c r="J40" s="1982" t="str">
        <f t="shared" si="10"/>
        <v/>
      </c>
      <c r="K40" s="564"/>
      <c r="L40" s="20"/>
      <c r="M40" s="20"/>
      <c r="N40" s="20"/>
      <c r="O40" s="20"/>
      <c r="P40" s="20"/>
      <c r="Q40" s="20"/>
      <c r="R40" s="648"/>
      <c r="S40" s="1736">
        <f t="shared" si="11"/>
        <v>0</v>
      </c>
      <c r="V40" s="31"/>
      <c r="W40" s="46">
        <f t="shared" si="12"/>
        <v>0</v>
      </c>
      <c r="Y40" s="1736">
        <f t="shared" si="13"/>
        <v>1</v>
      </c>
      <c r="Z40" s="1983">
        <f t="shared" si="5"/>
        <v>0</v>
      </c>
      <c r="BA40" s="1736">
        <f t="shared" si="6"/>
        <v>0</v>
      </c>
      <c r="BB40" s="1736">
        <f t="shared" ref="BB40:BF48" si="14">IF($B40="",0,IF($B40=BB$22,$F40,0))</f>
      </c>
      <c r="BC40" s="1736">
        <f t="shared" si="14"/>
        <v>0</v>
      </c>
      <c r="BD40" s="1736">
        <f t="shared" si="14"/>
        <v>0</v>
      </c>
      <c r="BE40" s="1736">
        <f t="shared" si="14"/>
        <v>0</v>
      </c>
      <c r="BF40" s="1736">
        <f t="shared" si="14"/>
        <v>0</v>
      </c>
      <c r="BI40" s="1736">
        <f t="shared" si="8"/>
        <v>0</v>
      </c>
      <c r="BJ40" s="1736">
        <f t="shared" ref="BJ40:BN48" si="15">IF($B40="",0,IF($B40=BJ$22,$I40,0))</f>
      </c>
      <c r="BK40" s="1736">
        <f t="shared" si="15"/>
        <v>0</v>
      </c>
      <c r="BL40" s="1736">
        <f t="shared" si="15"/>
        <v>0</v>
      </c>
      <c r="BM40" s="1736">
        <f t="shared" si="15"/>
        <v>0</v>
      </c>
      <c r="BN40" s="1736">
        <f t="shared" si="15"/>
        <v>0</v>
      </c>
    </row>
    <row r="41" spans="1:66" s="1736" customFormat="1" ht="15" x14ac:dyDescent="0.2">
      <c r="A41" s="17"/>
      <c r="B41" s="1981"/>
      <c r="C41" s="229"/>
      <c r="D41" s="2041"/>
      <c r="E41" s="1984"/>
      <c r="F41" s="737"/>
      <c r="G41" s="1267"/>
      <c r="H41" s="2041"/>
      <c r="I41" s="339"/>
      <c r="J41" s="1982" t="str">
        <f t="shared" si="10"/>
        <v/>
      </c>
      <c r="K41" s="564"/>
      <c r="L41" s="20"/>
      <c r="M41" s="20"/>
      <c r="N41" s="20"/>
      <c r="O41" s="20"/>
      <c r="P41" s="20"/>
      <c r="Q41" s="20"/>
      <c r="R41" s="648"/>
      <c r="S41" s="1736">
        <f t="shared" si="11"/>
        <v>0</v>
      </c>
      <c r="V41" s="31"/>
      <c r="W41" s="46">
        <f t="shared" si="12"/>
        <v>0</v>
      </c>
      <c r="Y41" s="1736">
        <f t="shared" si="13"/>
        <v>1</v>
      </c>
      <c r="Z41" s="1983">
        <f t="shared" si="5"/>
        <v>0</v>
      </c>
      <c r="BA41" s="1736">
        <f t="shared" si="6"/>
        <v>0</v>
      </c>
      <c r="BB41" s="1736">
        <f t="shared" si="14"/>
        <v>0</v>
      </c>
      <c r="BC41" s="1736">
        <f t="shared" si="14"/>
        <v>0</v>
      </c>
      <c r="BD41" s="1736">
        <f t="shared" si="14"/>
        <v>0</v>
      </c>
      <c r="BE41" s="1736">
        <f t="shared" si="14"/>
        <v>0</v>
      </c>
      <c r="BF41" s="1736">
        <f t="shared" si="14"/>
        <v>0</v>
      </c>
      <c r="BI41" s="1736">
        <f t="shared" si="8"/>
        <v>0</v>
      </c>
      <c r="BJ41" s="1736">
        <f t="shared" si="15"/>
        <v>0</v>
      </c>
      <c r="BK41" s="1736">
        <f t="shared" si="15"/>
        <v>0</v>
      </c>
      <c r="BL41" s="1736">
        <f t="shared" si="15"/>
        <v>0</v>
      </c>
      <c r="BM41" s="1736">
        <f t="shared" si="15"/>
        <v>0</v>
      </c>
      <c r="BN41" s="1736">
        <f t="shared" si="15"/>
        <v>0</v>
      </c>
    </row>
    <row r="42" spans="1:66" s="1736" customFormat="1" ht="15" x14ac:dyDescent="0.2">
      <c r="A42" s="17"/>
      <c r="B42" s="1981"/>
      <c r="C42" s="229"/>
      <c r="D42" s="2041"/>
      <c r="E42" s="1984"/>
      <c r="F42" s="737"/>
      <c r="G42" s="1267"/>
      <c r="H42" s="2041"/>
      <c r="I42" s="339"/>
      <c r="J42" s="1982" t="str">
        <f t="shared" si="10"/>
        <v/>
      </c>
      <c r="K42" s="564"/>
      <c r="L42" s="20"/>
      <c r="M42" s="20"/>
      <c r="N42" s="20"/>
      <c r="O42" s="20"/>
      <c r="P42" s="20"/>
      <c r="Q42" s="20"/>
      <c r="R42" s="648"/>
      <c r="S42" s="1736">
        <f t="shared" si="11"/>
        <v>0</v>
      </c>
      <c r="V42" s="31"/>
      <c r="W42" s="46">
        <f t="shared" si="12"/>
        <v>0</v>
      </c>
      <c r="Y42" s="1736">
        <f t="shared" si="13"/>
        <v>1</v>
      </c>
      <c r="Z42" s="1983">
        <f t="shared" si="5"/>
        <v>0</v>
      </c>
      <c r="BA42" s="1736">
        <f t="shared" si="6"/>
        <v>0</v>
      </c>
      <c r="BB42" s="1736">
        <f t="shared" si="14"/>
        <v>0</v>
      </c>
      <c r="BC42" s="1736">
        <f t="shared" si="14"/>
        <v>0</v>
      </c>
      <c r="BD42" s="1736">
        <f t="shared" si="14"/>
        <v>0</v>
      </c>
      <c r="BE42" s="1736">
        <f t="shared" si="14"/>
        <v>0</v>
      </c>
      <c r="BF42" s="1736">
        <f t="shared" si="14"/>
        <v>0</v>
      </c>
      <c r="BI42" s="1736">
        <f t="shared" si="8"/>
        <v>0</v>
      </c>
      <c r="BJ42" s="1736">
        <f t="shared" si="15"/>
        <v>0</v>
      </c>
      <c r="BK42" s="1736">
        <f t="shared" si="15"/>
        <v>0</v>
      </c>
      <c r="BL42" s="1736">
        <f t="shared" si="15"/>
        <v>0</v>
      </c>
      <c r="BM42" s="1736">
        <f t="shared" si="15"/>
        <v>0</v>
      </c>
      <c r="BN42" s="1736">
        <f t="shared" si="15"/>
        <v>0</v>
      </c>
    </row>
    <row r="43" spans="1:66" s="1736" customFormat="1" ht="15" x14ac:dyDescent="0.2">
      <c r="A43" s="17"/>
      <c r="B43" s="1981"/>
      <c r="C43" s="229"/>
      <c r="D43" s="2041"/>
      <c r="E43" s="1984"/>
      <c r="F43" s="737"/>
      <c r="G43" s="1267"/>
      <c r="H43" s="2041"/>
      <c r="I43" s="339"/>
      <c r="J43" s="1982" t="str">
        <f t="shared" si="10"/>
        <v/>
      </c>
      <c r="K43" s="564"/>
      <c r="L43" s="20"/>
      <c r="M43" s="20"/>
      <c r="N43" s="20"/>
      <c r="O43" s="20"/>
      <c r="P43" s="20"/>
      <c r="Q43" s="20"/>
      <c r="R43" s="648"/>
      <c r="S43" s="1736">
        <f t="shared" si="11"/>
        <v>0</v>
      </c>
      <c r="V43" s="31"/>
      <c r="W43" s="46">
        <f t="shared" si="12"/>
        <v>0</v>
      </c>
      <c r="Y43" s="1736">
        <f t="shared" si="13"/>
        <v>1</v>
      </c>
      <c r="Z43" s="1983">
        <f t="shared" si="5"/>
        <v>0</v>
      </c>
      <c r="BA43" s="1736">
        <f t="shared" si="6"/>
        <v>0</v>
      </c>
      <c r="BB43" s="1736">
        <f t="shared" si="14"/>
        <v>0</v>
      </c>
      <c r="BC43" s="1736">
        <f t="shared" si="14"/>
        <v>0</v>
      </c>
      <c r="BD43" s="1736">
        <f t="shared" si="14"/>
        <v>0</v>
      </c>
      <c r="BE43" s="1736">
        <f t="shared" si="14"/>
        <v>0</v>
      </c>
      <c r="BF43" s="1736">
        <f t="shared" si="14"/>
        <v>0</v>
      </c>
      <c r="BI43" s="1736">
        <f t="shared" si="8"/>
        <v>0</v>
      </c>
      <c r="BJ43" s="1736">
        <f t="shared" si="15"/>
        <v>0</v>
      </c>
      <c r="BK43" s="1736">
        <f t="shared" si="15"/>
        <v>0</v>
      </c>
      <c r="BL43" s="1736">
        <f t="shared" si="15"/>
        <v>0</v>
      </c>
      <c r="BM43" s="1736">
        <f t="shared" si="15"/>
        <v>0</v>
      </c>
      <c r="BN43" s="1736">
        <f t="shared" si="15"/>
        <v>0</v>
      </c>
    </row>
    <row r="44" spans="1:66" s="1736" customFormat="1" ht="15" x14ac:dyDescent="0.2">
      <c r="A44" s="17"/>
      <c r="B44" s="1981"/>
      <c r="C44" s="229"/>
      <c r="D44" s="2041"/>
      <c r="E44" s="1984"/>
      <c r="F44" s="737"/>
      <c r="G44" s="1267"/>
      <c r="H44" s="2041"/>
      <c r="I44" s="339"/>
      <c r="J44" s="1982" t="str">
        <f t="shared" si="10"/>
        <v/>
      </c>
      <c r="K44" s="564"/>
      <c r="L44" s="20"/>
      <c r="M44" s="20"/>
      <c r="N44" s="20"/>
      <c r="O44" s="20"/>
      <c r="P44" s="20"/>
      <c r="Q44" s="20"/>
      <c r="R44" s="648"/>
      <c r="S44" s="1736">
        <f t="shared" si="11"/>
        <v>0</v>
      </c>
      <c r="V44" s="31"/>
      <c r="W44" s="46">
        <f t="shared" si="12"/>
        <v>0</v>
      </c>
      <c r="Y44" s="1736">
        <f t="shared" si="13"/>
        <v>1</v>
      </c>
      <c r="Z44" s="1983">
        <f t="shared" si="5"/>
        <v>0</v>
      </c>
      <c r="BA44" s="1736">
        <f t="shared" si="6"/>
        <v>0</v>
      </c>
      <c r="BB44" s="1736">
        <f t="shared" si="14"/>
        <v>0</v>
      </c>
      <c r="BC44" s="1736">
        <f t="shared" si="14"/>
        <v>0</v>
      </c>
      <c r="BD44" s="1736">
        <f t="shared" si="14"/>
        <v>0</v>
      </c>
      <c r="BE44" s="1736">
        <f t="shared" si="14"/>
        <v>0</v>
      </c>
      <c r="BF44" s="1736">
        <f t="shared" si="14"/>
        <v>0</v>
      </c>
      <c r="BI44" s="1736">
        <f t="shared" si="8"/>
        <v>0</v>
      </c>
      <c r="BJ44" s="1736">
        <f t="shared" si="15"/>
        <v>0</v>
      </c>
      <c r="BK44" s="1736">
        <f t="shared" si="15"/>
        <v>0</v>
      </c>
      <c r="BL44" s="1736">
        <f t="shared" si="15"/>
        <v>0</v>
      </c>
      <c r="BM44" s="1736">
        <f t="shared" si="15"/>
        <v>0</v>
      </c>
      <c r="BN44" s="1736">
        <f t="shared" si="15"/>
        <v>0</v>
      </c>
    </row>
    <row r="45" spans="1:66" s="1736" customFormat="1" ht="15" x14ac:dyDescent="0.2">
      <c r="A45" s="17"/>
      <c r="B45" s="1981"/>
      <c r="C45" s="229"/>
      <c r="D45" s="2041"/>
      <c r="E45" s="1984"/>
      <c r="F45" s="737"/>
      <c r="G45" s="1267"/>
      <c r="H45" s="2041"/>
      <c r="I45" s="339"/>
      <c r="J45" s="1982" t="str">
        <f t="shared" si="10"/>
        <v/>
      </c>
      <c r="K45" s="564"/>
      <c r="L45" s="20"/>
      <c r="M45" s="20"/>
      <c r="N45" s="20"/>
      <c r="O45" s="20"/>
      <c r="P45" s="20"/>
      <c r="Q45" s="20"/>
      <c r="R45" s="648"/>
      <c r="S45" s="1736">
        <f t="shared" si="11"/>
        <v>0</v>
      </c>
      <c r="V45" s="31"/>
      <c r="W45" s="46">
        <f t="shared" si="12"/>
        <v>0</v>
      </c>
      <c r="Y45" s="1736">
        <f t="shared" si="13"/>
        <v>1</v>
      </c>
      <c r="Z45" s="1983">
        <f t="shared" si="5"/>
        <v>0</v>
      </c>
      <c r="BA45" s="1736">
        <f t="shared" si="6"/>
        <v>0</v>
      </c>
      <c r="BB45" s="1736">
        <f t="shared" si="14"/>
        <v>0</v>
      </c>
      <c r="BC45" s="1736">
        <f t="shared" si="14"/>
        <v>0</v>
      </c>
      <c r="BD45" s="1736">
        <f t="shared" si="14"/>
        <v>0</v>
      </c>
      <c r="BE45" s="1736">
        <f t="shared" si="14"/>
        <v>0</v>
      </c>
      <c r="BF45" s="1736">
        <f t="shared" si="14"/>
        <v>0</v>
      </c>
      <c r="BI45" s="1736">
        <f t="shared" si="8"/>
        <v>0</v>
      </c>
      <c r="BJ45" s="1736">
        <f t="shared" si="15"/>
        <v>0</v>
      </c>
      <c r="BK45" s="1736">
        <f t="shared" si="15"/>
        <v>0</v>
      </c>
      <c r="BL45" s="1736">
        <f t="shared" si="15"/>
        <v>0</v>
      </c>
      <c r="BM45" s="1736">
        <f t="shared" si="15"/>
        <v>0</v>
      </c>
      <c r="BN45" s="1736">
        <f t="shared" si="15"/>
        <v>0</v>
      </c>
    </row>
    <row r="46" spans="1:66" s="1736" customFormat="1" ht="15" x14ac:dyDescent="0.2">
      <c r="A46" s="17"/>
      <c r="B46" s="1981"/>
      <c r="C46" s="229"/>
      <c r="D46" s="2041"/>
      <c r="E46" s="1984"/>
      <c r="F46" s="737"/>
      <c r="G46" s="1267"/>
      <c r="H46" s="2041"/>
      <c r="I46" s="339"/>
      <c r="J46" s="1982" t="str">
        <f t="shared" si="10"/>
        <v/>
      </c>
      <c r="K46" s="564"/>
      <c r="L46" s="20"/>
      <c r="M46" s="20"/>
      <c r="N46" s="20"/>
      <c r="O46" s="20"/>
      <c r="P46" s="20"/>
      <c r="Q46" s="20"/>
      <c r="R46" s="648"/>
      <c r="S46" s="1736">
        <f t="shared" si="11"/>
        <v>0</v>
      </c>
      <c r="V46" s="31"/>
      <c r="W46" s="46">
        <f t="shared" si="12"/>
        <v>0</v>
      </c>
      <c r="Y46" s="1736">
        <f t="shared" si="13"/>
        <v>1</v>
      </c>
      <c r="Z46" s="1983">
        <f t="shared" si="5"/>
        <v>0</v>
      </c>
      <c r="BA46" s="1736">
        <f t="shared" si="6"/>
        <v>0</v>
      </c>
      <c r="BB46" s="1736">
        <f t="shared" si="14"/>
        <v>0</v>
      </c>
      <c r="BC46" s="1736">
        <f t="shared" si="14"/>
        <v>0</v>
      </c>
      <c r="BD46" s="1736">
        <f t="shared" si="14"/>
        <v>0</v>
      </c>
      <c r="BE46" s="1736">
        <f t="shared" si="14"/>
        <v>0</v>
      </c>
      <c r="BF46" s="1736">
        <f t="shared" si="14"/>
        <v>0</v>
      </c>
      <c r="BI46" s="1736">
        <f t="shared" si="8"/>
        <v>0</v>
      </c>
      <c r="BJ46" s="1736">
        <f t="shared" si="15"/>
        <v>0</v>
      </c>
      <c r="BK46" s="1736">
        <f t="shared" si="15"/>
        <v>0</v>
      </c>
      <c r="BL46" s="1736">
        <f t="shared" si="15"/>
        <v>0</v>
      </c>
      <c r="BM46" s="1736">
        <f t="shared" si="15"/>
        <v>0</v>
      </c>
      <c r="BN46" s="1736">
        <f t="shared" si="15"/>
        <v>0</v>
      </c>
    </row>
    <row r="47" spans="1:66" s="1736" customFormat="1" ht="15" x14ac:dyDescent="0.2">
      <c r="A47" s="17"/>
      <c r="B47" s="1981"/>
      <c r="C47" s="229"/>
      <c r="D47" s="2041"/>
      <c r="E47" s="1984"/>
      <c r="F47" s="1985"/>
      <c r="G47" s="1267"/>
      <c r="H47" s="2041"/>
      <c r="I47" s="339"/>
      <c r="J47" s="1982" t="str">
        <f t="shared" si="10"/>
        <v/>
      </c>
      <c r="K47" s="564"/>
      <c r="L47" s="20"/>
      <c r="M47" s="20"/>
      <c r="N47" s="20"/>
      <c r="O47" s="20"/>
      <c r="P47" s="20"/>
      <c r="Q47" s="20"/>
      <c r="R47" s="648"/>
      <c r="S47" s="1736">
        <f t="shared" si="11"/>
        <v>0</v>
      </c>
      <c r="V47" s="31"/>
      <c r="W47" s="46">
        <f t="shared" si="12"/>
        <v>0</v>
      </c>
      <c r="Y47" s="1736">
        <f t="shared" si="13"/>
        <v>1</v>
      </c>
      <c r="Z47" s="1983">
        <f t="shared" si="5"/>
        <v>0</v>
      </c>
      <c r="BA47" s="1736">
        <f t="shared" si="6"/>
        <v>0</v>
      </c>
      <c r="BB47" s="1736">
        <f t="shared" si="14"/>
        <v>0</v>
      </c>
      <c r="BC47" s="1736">
        <f t="shared" si="14"/>
        <v>0</v>
      </c>
      <c r="BD47" s="1736">
        <f t="shared" si="14"/>
        <v>0</v>
      </c>
      <c r="BE47" s="1736">
        <f t="shared" si="14"/>
        <v>0</v>
      </c>
      <c r="BF47" s="1736">
        <f t="shared" si="14"/>
        <v>0</v>
      </c>
      <c r="BI47" s="1736">
        <f t="shared" si="8"/>
        <v>0</v>
      </c>
      <c r="BJ47" s="1736">
        <f t="shared" si="15"/>
        <v>0</v>
      </c>
      <c r="BK47" s="1736">
        <f t="shared" si="15"/>
        <v>0</v>
      </c>
      <c r="BL47" s="1736">
        <f t="shared" si="15"/>
        <v>0</v>
      </c>
      <c r="BM47" s="1736">
        <f t="shared" si="15"/>
        <v>0</v>
      </c>
      <c r="BN47" s="1736">
        <f t="shared" si="15"/>
        <v>0</v>
      </c>
    </row>
    <row r="48" spans="1:66" s="1736" customFormat="1" ht="15" x14ac:dyDescent="0.2">
      <c r="A48" s="17"/>
      <c r="B48" s="1981"/>
      <c r="C48" s="229"/>
      <c r="D48" s="2041"/>
      <c r="E48" s="1984"/>
      <c r="F48" s="737"/>
      <c r="G48" s="1267"/>
      <c r="H48" s="2041"/>
      <c r="I48" s="339"/>
      <c r="J48" s="1982" t="str">
        <f t="shared" si="10"/>
        <v/>
      </c>
      <c r="K48" s="564"/>
      <c r="L48" s="20"/>
      <c r="M48" s="20"/>
      <c r="N48" s="20"/>
      <c r="O48" s="20"/>
      <c r="P48" s="20"/>
      <c r="Q48" s="20"/>
      <c r="R48" s="648"/>
      <c r="S48" s="1736">
        <f t="shared" si="11"/>
        <v>0</v>
      </c>
      <c r="V48" s="31"/>
      <c r="W48" s="46">
        <f t="shared" si="12"/>
        <v>0</v>
      </c>
      <c r="Y48" s="1736">
        <f t="shared" si="13"/>
        <v>1</v>
      </c>
      <c r="Z48" s="1983">
        <f t="shared" si="5"/>
        <v>0</v>
      </c>
      <c r="BA48" s="1736">
        <f t="shared" si="6"/>
        <v>0</v>
      </c>
      <c r="BB48" s="1736">
        <f t="shared" si="14"/>
        <v>0</v>
      </c>
      <c r="BC48" s="1736">
        <f t="shared" si="14"/>
        <v>0</v>
      </c>
      <c r="BD48" s="1736">
        <f t="shared" si="14"/>
        <v>0</v>
      </c>
      <c r="BE48" s="1736">
        <f t="shared" si="14"/>
        <v>0</v>
      </c>
      <c r="BF48" s="1736">
        <f t="shared" si="14"/>
        <v>0</v>
      </c>
      <c r="BI48" s="1736">
        <f t="shared" si="8"/>
        <v>0</v>
      </c>
      <c r="BJ48" s="1736">
        <f t="shared" si="15"/>
        <v>0</v>
      </c>
      <c r="BK48" s="1736">
        <f t="shared" si="15"/>
        <v>0</v>
      </c>
      <c r="BL48" s="1736">
        <f t="shared" si="15"/>
        <v>0</v>
      </c>
      <c r="BM48" s="1736">
        <f t="shared" si="15"/>
        <v>0</v>
      </c>
      <c r="BN48" s="1736">
        <f t="shared" si="15"/>
        <v>0</v>
      </c>
    </row>
    <row r="49" spans="1:66" s="1736" customFormat="1" ht="6" customHeight="1" x14ac:dyDescent="0.2">
      <c r="A49" s="648"/>
      <c r="B49" s="1986"/>
      <c r="C49" s="1986"/>
      <c r="D49" s="1986"/>
      <c r="E49" s="1986"/>
      <c r="F49" s="1986"/>
      <c r="G49" s="1986"/>
      <c r="H49" s="1986"/>
      <c r="I49" s="1986"/>
      <c r="J49" s="564"/>
      <c r="K49" s="564"/>
      <c r="L49" s="20"/>
      <c r="M49" s="20"/>
      <c r="N49" s="20"/>
      <c r="O49" s="20"/>
      <c r="P49" s="20"/>
      <c r="Q49" s="20"/>
      <c r="R49" s="20"/>
      <c r="V49" s="31"/>
      <c r="W49" s="46"/>
    </row>
    <row r="50" spans="1:66" s="206" customFormat="1" ht="6" customHeight="1" x14ac:dyDescent="0.2">
      <c r="A50" s="824"/>
      <c r="B50" s="824"/>
      <c r="C50" s="824"/>
      <c r="D50" s="824"/>
      <c r="E50" s="824"/>
      <c r="F50" s="824"/>
      <c r="G50" s="824"/>
      <c r="H50" s="824"/>
      <c r="I50" s="824"/>
      <c r="J50" s="564"/>
      <c r="K50" s="564"/>
      <c r="L50" s="20"/>
      <c r="M50" s="20"/>
      <c r="N50" s="20"/>
      <c r="O50" s="20"/>
      <c r="P50" s="20"/>
      <c r="Q50" s="20"/>
      <c r="R50" s="20"/>
      <c r="U50" s="206">
        <f>SUM(P50+M50+K50+L50+H50+G50+D50)</f>
      </c>
      <c r="Z50" s="206">
        <f>SUM(Z24:Z48)</f>
      </c>
      <c r="BA50" s="1987">
        <f t="shared" ref="BA50:BF50" si="16">SUM(BA24:BA49)</f>
      </c>
      <c r="BB50" s="1987">
        <f t="shared" si="16"/>
        <v>0</v>
      </c>
      <c r="BC50" s="1987">
        <f t="shared" si="16"/>
        <v>0</v>
      </c>
      <c r="BD50" s="1987">
        <f t="shared" si="16"/>
        <v>0</v>
      </c>
      <c r="BE50" s="1987">
        <f t="shared" si="16"/>
        <v>0</v>
      </c>
      <c r="BF50" s="1987">
        <f t="shared" si="16"/>
        <v>0</v>
      </c>
      <c r="BI50" s="206">
        <f t="shared" ref="BI50:BN50" si="17">SUM(BI24:BI49)</f>
      </c>
      <c r="BJ50" s="206">
        <f t="shared" si="17"/>
        <v>0</v>
      </c>
      <c r="BK50" s="206">
        <f t="shared" si="17"/>
        <v>0</v>
      </c>
      <c r="BL50" s="206">
        <f t="shared" si="17"/>
        <v>0</v>
      </c>
      <c r="BM50" s="206">
        <f t="shared" si="17"/>
        <v>0</v>
      </c>
      <c r="BN50" s="206">
        <f t="shared" si="17"/>
        <v>0</v>
      </c>
    </row>
    <row r="51" spans="1:66" s="206" customFormat="1" ht="18" customHeight="1" x14ac:dyDescent="0.2">
      <c r="A51" s="824"/>
      <c r="B51" s="824" t="str">
        <f>B83</f>
      </c>
      <c r="C51" s="824"/>
      <c r="D51" s="824"/>
      <c r="E51" s="824"/>
      <c r="F51" s="824"/>
      <c r="G51" s="824"/>
      <c r="H51" s="824" t="str">
        <f>ver</f>
        <v>TA2_e-CO_2025_Ver 1.1</v>
      </c>
      <c r="I51" s="824"/>
      <c r="J51" s="824"/>
      <c r="K51" s="824"/>
      <c r="L51" s="20"/>
      <c r="M51" s="20"/>
      <c r="N51" s="20"/>
      <c r="O51" s="20" t="s">
        <v>7836</v>
      </c>
      <c r="P51" s="20"/>
      <c r="Q51" s="20"/>
      <c r="R51" s="20"/>
    </row>
    <row r="52" spans="1:66" s="2286" customFormat="1" ht="18" customHeight="1" x14ac:dyDescent="0.2">
      <c r="A52" s="2284"/>
      <c r="B52" s="5151" t="str">
        <f>_ref1</f>
      </c>
      <c r="C52" s="5151"/>
      <c r="D52" s="5151"/>
      <c r="E52" s="5151"/>
      <c r="F52" s="5151"/>
      <c r="G52" s="5151"/>
      <c r="H52" s="5151"/>
      <c r="I52" s="5151"/>
      <c r="J52" s="5151"/>
      <c r="K52" s="5151"/>
      <c r="L52" s="5151"/>
      <c r="M52" s="5151"/>
      <c r="N52" s="5151"/>
      <c r="O52" s="2285" t="str">
        <f>_YA1</f>
      </c>
      <c r="P52" s="2285"/>
      <c r="Q52" s="2285"/>
      <c r="R52" s="2285"/>
    </row>
    <row r="53" spans="1:66" s="206" customFormat="1" ht="15.75" x14ac:dyDescent="0.2">
      <c r="A53" s="824"/>
      <c r="B53" s="1988" t="s">
        <v>7354</v>
      </c>
      <c r="C53" s="1989"/>
      <c r="D53" s="1989"/>
      <c r="E53" s="1989"/>
      <c r="F53" s="1989"/>
      <c r="G53" s="1989"/>
      <c r="H53" s="1989"/>
      <c r="I53" s="1989"/>
      <c r="J53" s="1989"/>
      <c r="K53" s="1989"/>
      <c r="L53" s="1989"/>
      <c r="M53" s="1990"/>
      <c r="N53" s="20"/>
      <c r="O53" s="20"/>
      <c r="P53" s="20"/>
      <c r="Q53" s="20"/>
      <c r="R53" s="20"/>
    </row>
    <row r="54" spans="1:66" s="206" customFormat="1" ht="43.5" customHeight="1" x14ac:dyDescent="0.2">
      <c r="A54" s="824"/>
      <c r="B54" s="824"/>
      <c r="C54" s="824"/>
      <c r="D54" s="824"/>
      <c r="E54" s="824"/>
      <c r="F54" s="824"/>
      <c r="G54" s="824"/>
      <c r="H54" s="1991" t="str">
        <f t="shared" ref="H54:M54" si="18">IF(H55="","",IF(COUNT(H57,H59,H60,H63,H73)&lt;&gt;5,"All details required or Insert 0!",""))</f>
        <v/>
      </c>
      <c r="I54" s="1991" t="str">
        <f t="shared" si="18"/>
        <v/>
      </c>
      <c r="J54" s="1991" t="str">
        <f t="shared" si="18"/>
        <v/>
      </c>
      <c r="K54" s="1991" t="str">
        <f t="shared" si="18"/>
        <v/>
      </c>
      <c r="L54" s="1991" t="str">
        <f t="shared" si="18"/>
        <v/>
      </c>
      <c r="M54" s="1991" t="str">
        <f t="shared" si="18"/>
        <v/>
      </c>
      <c r="N54" s="824"/>
      <c r="O54" s="824"/>
      <c r="P54" s="2038" t="str">
        <f>IF(Z54&lt;&gt;0,"Empty cells!  Input "&amp;reo,"")</f>
        <v/>
      </c>
      <c r="Q54" s="824"/>
      <c r="R54" s="828"/>
      <c r="S54" s="206">
        <f>IF(P54="",0,1)</f>
      </c>
      <c r="T54" s="206">
        <f t="shared" ref="T54:Y54" si="19">IF(H54="",0,1)</f>
      </c>
      <c r="U54" s="206">
        <f t="shared" si="19"/>
        <v>0</v>
      </c>
      <c r="V54" s="206">
        <f t="shared" si="19"/>
        <v>0</v>
      </c>
      <c r="W54" s="206">
        <f t="shared" si="19"/>
        <v>0</v>
      </c>
      <c r="X54" s="206">
        <f t="shared" si="19"/>
        <v>0</v>
      </c>
      <c r="Y54" s="206">
        <f t="shared" si="19"/>
        <v>0</v>
      </c>
      <c r="Z54" s="206">
        <f>SUM(T54:Y54)</f>
      </c>
    </row>
    <row r="55" spans="1:66" s="206" customFormat="1" ht="12" x14ac:dyDescent="0.2">
      <c r="A55" s="824"/>
      <c r="B55" s="824"/>
      <c r="C55" s="824"/>
      <c r="D55" s="824"/>
      <c r="E55" s="824"/>
      <c r="F55" s="824"/>
      <c r="G55" s="2283" t="s">
        <v>7835</v>
      </c>
      <c r="H55" s="1992" t="str">
        <f t="shared" ref="H55:M55" si="20">IF(BA$22="","",IF(H56=0,"","Project "&amp;BA$22))</f>
        <v/>
      </c>
      <c r="I55" s="1992" t="str">
        <f t="shared" si="20"/>
        <v/>
      </c>
      <c r="J55" s="1992" t="str">
        <f t="shared" si="20"/>
        <v/>
      </c>
      <c r="K55" s="1992" t="str">
        <f t="shared" si="20"/>
        <v/>
      </c>
      <c r="L55" s="1992" t="str">
        <f t="shared" si="20"/>
        <v/>
      </c>
      <c r="M55" s="1992" t="str">
        <f t="shared" si="20"/>
        <v/>
      </c>
      <c r="N55" s="824"/>
      <c r="O55" s="1992" t="s">
        <v>5590</v>
      </c>
      <c r="P55" s="824"/>
      <c r="Q55" s="824"/>
      <c r="R55" s="828"/>
    </row>
    <row r="56" spans="1:66" s="206" customFormat="1" ht="12.75" x14ac:dyDescent="0.2">
      <c r="A56" s="824"/>
      <c r="B56" s="824" t="s">
        <v>7355</v>
      </c>
      <c r="C56" s="824"/>
      <c r="D56" s="824"/>
      <c r="E56" s="824"/>
      <c r="F56" s="824"/>
      <c r="G56" s="824"/>
      <c r="H56" s="1993">
        <f t="shared" ref="H56:M56" si="21">BA50</f>
      </c>
      <c r="I56" s="827">
        <f t="shared" si="21"/>
        <v>0</v>
      </c>
      <c r="J56" s="827">
        <f t="shared" si="21"/>
        <v>0</v>
      </c>
      <c r="K56" s="827">
        <f t="shared" si="21"/>
        <v>0</v>
      </c>
      <c r="L56" s="827">
        <f t="shared" si="21"/>
        <v>0</v>
      </c>
      <c r="M56" s="827">
        <f t="shared" si="21"/>
        <v>0</v>
      </c>
      <c r="N56" s="824"/>
      <c r="O56" s="827">
        <f>SUM(H56:M56)</f>
      </c>
      <c r="P56" s="824"/>
      <c r="Q56" s="824"/>
      <c r="R56" s="828"/>
      <c r="S56" s="1736"/>
      <c r="W56" s="46"/>
      <c r="AC56" s="206" t="s">
        <v>7356</v>
      </c>
      <c r="AD56" s="206">
        <f>H56</f>
      </c>
    </row>
    <row r="57" spans="1:66" s="206" customFormat="1" ht="12" x14ac:dyDescent="0.2">
      <c r="A57" s="824"/>
      <c r="B57" s="824" t="s">
        <v>7357</v>
      </c>
      <c r="C57" s="824"/>
      <c r="D57" s="824"/>
      <c r="E57" s="824"/>
      <c r="F57" s="824"/>
      <c r="G57" s="824"/>
      <c r="H57" s="1994"/>
      <c r="I57" s="1994"/>
      <c r="J57" s="1994"/>
      <c r="K57" s="1994"/>
      <c r="L57" s="1994"/>
      <c r="M57" s="1994"/>
      <c r="N57" s="824"/>
      <c r="O57" s="827">
        <f t="shared" ref="O57:O78" si="22">SUM(H57:M57)</f>
      </c>
      <c r="P57" s="824"/>
      <c r="Q57" s="824"/>
      <c r="R57" s="828"/>
      <c r="W57" s="46">
        <f>COUNT(H57:M57)</f>
      </c>
      <c r="AC57" s="206" t="s">
        <v>7358</v>
      </c>
      <c r="AD57" s="1995">
        <f>IF(D50&lt;0,-D50,0)</f>
      </c>
      <c r="AE57" s="1996"/>
    </row>
    <row r="58" spans="1:66" s="206" customFormat="1" ht="12" x14ac:dyDescent="0.2">
      <c r="A58" s="824"/>
      <c r="B58" s="824" t="s">
        <v>7359</v>
      </c>
      <c r="C58" s="824"/>
      <c r="D58" s="824"/>
      <c r="E58" s="824"/>
      <c r="F58" s="824"/>
      <c r="G58" s="824"/>
      <c r="H58" s="827">
        <f t="shared" ref="H58:M58" si="23">H56+H57</f>
      </c>
      <c r="I58" s="827">
        <f t="shared" si="23"/>
        <v>0</v>
      </c>
      <c r="J58" s="827">
        <f t="shared" si="23"/>
        <v>0</v>
      </c>
      <c r="K58" s="827">
        <f t="shared" si="23"/>
        <v>0</v>
      </c>
      <c r="L58" s="827">
        <f t="shared" si="23"/>
        <v>0</v>
      </c>
      <c r="M58" s="827">
        <f t="shared" si="23"/>
        <v>0</v>
      </c>
      <c r="N58" s="824"/>
      <c r="O58" s="827">
        <f t="shared" si="22"/>
        <v>0</v>
      </c>
      <c r="P58" s="2084" t="s">
        <v>3130</v>
      </c>
      <c r="Q58" s="824"/>
      <c r="R58" s="828"/>
      <c r="W58" s="46"/>
      <c r="AD58" s="206">
        <f>SUM(AD56:AD57)</f>
      </c>
    </row>
    <row r="59" spans="1:66" s="206" customFormat="1" ht="12" x14ac:dyDescent="0.2">
      <c r="A59" s="824"/>
      <c r="B59" s="824" t="s">
        <v>7360</v>
      </c>
      <c r="C59" s="824"/>
      <c r="D59" s="824"/>
      <c r="E59" s="824"/>
      <c r="F59" s="824"/>
      <c r="G59" s="824"/>
      <c r="H59" s="1994"/>
      <c r="I59" s="1994"/>
      <c r="J59" s="1994"/>
      <c r="K59" s="1994"/>
      <c r="L59" s="1994"/>
      <c r="M59" s="1994"/>
      <c r="N59" s="824"/>
      <c r="O59" s="827">
        <f t="shared" si="22"/>
        <v>0</v>
      </c>
      <c r="P59" s="824"/>
      <c r="Q59" s="824"/>
      <c r="R59" s="828"/>
      <c r="W59" s="46">
        <f>COUNT(H59:M59)</f>
      </c>
      <c r="BA59" s="206">
        <f>IF(ya=2016,0,1)</f>
      </c>
      <c r="BB59" s="206">
        <f>IF(ya=2016,0,1000000000000)</f>
      </c>
    </row>
    <row r="60" spans="1:66" s="206" customFormat="1" ht="12" x14ac:dyDescent="0.2">
      <c r="A60" s="824"/>
      <c r="B60" s="824" t="s">
        <v>7361</v>
      </c>
      <c r="C60" s="824"/>
      <c r="D60" s="824"/>
      <c r="E60" s="824"/>
      <c r="F60" s="824"/>
      <c r="G60" s="824"/>
      <c r="H60" s="1994"/>
      <c r="I60" s="1994"/>
      <c r="J60" s="1994"/>
      <c r="K60" s="1994"/>
      <c r="L60" s="1994"/>
      <c r="M60" s="1994"/>
      <c r="N60" s="824"/>
      <c r="O60" s="827">
        <f t="shared" si="22"/>
        <v>0</v>
      </c>
      <c r="P60" s="2038" t="str">
        <f>IF(O60&gt;AG60,"Check capital allowances in TRA5 (cell J 136)!","")</f>
        <v/>
      </c>
      <c r="Q60" s="824"/>
      <c r="R60" s="828"/>
      <c r="S60" s="206">
        <f>IF(P60="",0,1)</f>
      </c>
      <c r="W60" s="46">
        <f>COUNT(H60:M60)</f>
      </c>
      <c r="AB60" s="1997"/>
      <c r="AC60" s="206" t="s">
        <v>7362</v>
      </c>
      <c r="AD60" s="206">
        <f>IF(D50&lt;0,0,IF(AD58&gt;D50,-D50,-AD58))</f>
      </c>
      <c r="AG60" s="206">
        <f>'TRA5'!J304</f>
      </c>
      <c r="BA60" s="206">
        <f>IF(ya=2016,0,1)</f>
      </c>
      <c r="BB60" s="206">
        <f>IF(ya=2016,0,1000000000000)</f>
      </c>
    </row>
    <row r="61" spans="1:66" s="206" customFormat="1" ht="12" x14ac:dyDescent="0.2">
      <c r="A61" s="824"/>
      <c r="B61" s="824" t="s">
        <v>7405</v>
      </c>
      <c r="C61" s="824"/>
      <c r="D61" s="824"/>
      <c r="E61" s="824"/>
      <c r="F61" s="824"/>
      <c r="G61" s="824"/>
      <c r="H61" s="827">
        <f t="shared" ref="H61:M61" si="24">IF(AND(H59=0,H60=0),0,IF(H58&lt;0,0,-MIN(H58,SUM(H59:H60))))</f>
      </c>
      <c r="I61" s="827">
        <f t="shared" si="24"/>
        <v>0</v>
      </c>
      <c r="J61" s="827">
        <f t="shared" si="24"/>
        <v>0</v>
      </c>
      <c r="K61" s="827">
        <f t="shared" si="24"/>
        <v>0</v>
      </c>
      <c r="L61" s="827">
        <f t="shared" si="24"/>
        <v>0</v>
      </c>
      <c r="M61" s="827">
        <f t="shared" si="24"/>
        <v>0</v>
      </c>
      <c r="N61" s="824"/>
      <c r="O61" s="827">
        <f t="shared" si="22"/>
        <v>0</v>
      </c>
      <c r="P61" s="2033"/>
      <c r="Q61" s="824"/>
      <c r="R61" s="828"/>
      <c r="W61" s="46"/>
      <c r="AB61" s="1997"/>
    </row>
    <row r="62" spans="1:66" s="206" customFormat="1" ht="12.75" x14ac:dyDescent="0.2">
      <c r="A62" s="824"/>
      <c r="B62" s="824" t="s">
        <v>7363</v>
      </c>
      <c r="C62" s="824"/>
      <c r="D62" s="824"/>
      <c r="E62" s="824"/>
      <c r="F62" s="824"/>
      <c r="G62" s="824"/>
      <c r="H62" s="827">
        <f t="shared" ref="H62:M62" si="25">SUM(H59:H61)</f>
      </c>
      <c r="I62" s="827">
        <f t="shared" si="25"/>
        <v>0</v>
      </c>
      <c r="J62" s="827">
        <f t="shared" si="25"/>
        <v>0</v>
      </c>
      <c r="K62" s="827">
        <f t="shared" si="25"/>
        <v>0</v>
      </c>
      <c r="L62" s="827">
        <f t="shared" si="25"/>
        <v>0</v>
      </c>
      <c r="M62" s="827">
        <f t="shared" si="25"/>
        <v>0</v>
      </c>
      <c r="N62" s="824"/>
      <c r="O62" s="827">
        <f t="shared" si="22"/>
        <v>0</v>
      </c>
      <c r="P62" s="824"/>
      <c r="Q62" s="824"/>
      <c r="R62" s="828"/>
      <c r="S62" s="1736"/>
      <c r="W62" s="46"/>
      <c r="AB62" s="1997"/>
      <c r="AC62" s="206" t="s">
        <v>3364</v>
      </c>
      <c r="AD62" s="1998">
        <f>AD58+AD60</f>
      </c>
    </row>
    <row r="63" spans="1:66" s="206" customFormat="1" ht="12.75" x14ac:dyDescent="0.2">
      <c r="A63" s="824"/>
      <c r="B63" s="824" t="s">
        <v>7364</v>
      </c>
      <c r="C63" s="824"/>
      <c r="D63" s="824"/>
      <c r="E63" s="824"/>
      <c r="F63" s="824"/>
      <c r="G63" s="824"/>
      <c r="H63" s="1994"/>
      <c r="I63" s="1994"/>
      <c r="J63" s="1994"/>
      <c r="K63" s="1994"/>
      <c r="L63" s="1994"/>
      <c r="M63" s="1994"/>
      <c r="N63" s="824"/>
      <c r="O63" s="827">
        <f t="shared" si="22"/>
        <v>0</v>
      </c>
      <c r="P63" s="824"/>
      <c r="Q63" s="824"/>
      <c r="R63" s="828"/>
      <c r="S63" s="1736"/>
      <c r="W63" s="46">
        <f>COUNT(H63:M63)</f>
      </c>
      <c r="AB63" s="1997"/>
    </row>
    <row r="64" spans="1:66" s="206" customFormat="1" ht="12.75" x14ac:dyDescent="0.2">
      <c r="A64" s="824"/>
      <c r="B64" s="824" t="s">
        <v>7406</v>
      </c>
      <c r="C64" s="824"/>
      <c r="D64" s="824"/>
      <c r="E64" s="824"/>
      <c r="F64" s="824"/>
      <c r="G64" s="824"/>
      <c r="H64" s="827">
        <f t="shared" ref="H64:M64" si="26">IF(SUM(H58+H61)&lt;0,-SUM(H58+H61),0)</f>
      </c>
      <c r="I64" s="827">
        <f t="shared" si="26"/>
        <v>0</v>
      </c>
      <c r="J64" s="827">
        <f t="shared" si="26"/>
        <v>0</v>
      </c>
      <c r="K64" s="827">
        <f t="shared" si="26"/>
        <v>0</v>
      </c>
      <c r="L64" s="827">
        <f t="shared" si="26"/>
        <v>0</v>
      </c>
      <c r="M64" s="827">
        <f t="shared" si="26"/>
        <v>0</v>
      </c>
      <c r="N64" s="824"/>
      <c r="O64" s="827">
        <f t="shared" si="22"/>
        <v>0</v>
      </c>
      <c r="P64" s="824"/>
      <c r="Q64" s="824"/>
      <c r="R64" s="828"/>
      <c r="S64" s="1736"/>
      <c r="W64" s="46"/>
      <c r="AB64" s="1997"/>
    </row>
    <row r="65" spans="1:58" s="206" customFormat="1" ht="12.75" x14ac:dyDescent="0.2">
      <c r="A65" s="824"/>
      <c r="B65" s="824" t="s">
        <v>7407</v>
      </c>
      <c r="C65" s="824"/>
      <c r="D65" s="824"/>
      <c r="E65" s="824"/>
      <c r="F65" s="824"/>
      <c r="G65" s="824"/>
      <c r="H65" s="827">
        <f t="shared" ref="H65:M65" si="27">IF(H63="",0,IF(SUM(H58+H61)&lt;0,0,-MIN(SUM(H58+H61),H63)))</f>
      </c>
      <c r="I65" s="827">
        <f t="shared" si="27"/>
        <v>0</v>
      </c>
      <c r="J65" s="827">
        <f t="shared" si="27"/>
        <v>0</v>
      </c>
      <c r="K65" s="827">
        <f t="shared" si="27"/>
        <v>0</v>
      </c>
      <c r="L65" s="827">
        <f t="shared" si="27"/>
        <v>0</v>
      </c>
      <c r="M65" s="827">
        <f t="shared" si="27"/>
        <v>0</v>
      </c>
      <c r="N65" s="824"/>
      <c r="O65" s="827">
        <f t="shared" si="22"/>
        <v>0</v>
      </c>
      <c r="P65" s="824"/>
      <c r="Q65" s="824"/>
      <c r="R65" s="828"/>
      <c r="S65" s="1736"/>
      <c r="W65" s="46"/>
      <c r="AB65" s="1997"/>
    </row>
    <row r="66" spans="1:58" s="206" customFormat="1" ht="12.75" x14ac:dyDescent="0.2">
      <c r="A66" s="824"/>
      <c r="B66" s="824" t="s">
        <v>7365</v>
      </c>
      <c r="C66" s="824"/>
      <c r="D66" s="824"/>
      <c r="E66" s="824"/>
      <c r="F66" s="824"/>
      <c r="G66" s="824"/>
      <c r="H66" s="827">
        <f t="shared" ref="H66:M66" si="28">SUM(H63:H65)</f>
      </c>
      <c r="I66" s="827">
        <f t="shared" si="28"/>
        <v>0</v>
      </c>
      <c r="J66" s="827">
        <f t="shared" si="28"/>
        <v>0</v>
      </c>
      <c r="K66" s="827">
        <f t="shared" si="28"/>
        <v>0</v>
      </c>
      <c r="L66" s="827">
        <f t="shared" si="28"/>
        <v>0</v>
      </c>
      <c r="M66" s="827">
        <f t="shared" si="28"/>
        <v>0</v>
      </c>
      <c r="N66" s="824"/>
      <c r="O66" s="827">
        <f t="shared" si="22"/>
        <v>0</v>
      </c>
      <c r="P66" s="824"/>
      <c r="Q66" s="824"/>
      <c r="R66" s="828"/>
      <c r="S66" s="1736"/>
      <c r="AB66" s="1997"/>
    </row>
    <row r="67" spans="1:58" s="206" customFormat="1" ht="12.75" x14ac:dyDescent="0.2">
      <c r="A67" s="824"/>
      <c r="B67" s="824"/>
      <c r="C67" s="824"/>
      <c r="D67" s="824"/>
      <c r="E67" s="824"/>
      <c r="F67" s="824"/>
      <c r="G67" s="824"/>
      <c r="H67" s="824"/>
      <c r="I67" s="824"/>
      <c r="J67" s="824"/>
      <c r="K67" s="824"/>
      <c r="L67" s="824"/>
      <c r="M67" s="824"/>
      <c r="N67" s="824"/>
      <c r="O67" s="824"/>
      <c r="P67" s="824"/>
      <c r="Q67" s="824"/>
      <c r="R67" s="828"/>
      <c r="S67" s="1736"/>
      <c r="AB67" s="1997"/>
    </row>
    <row r="68" spans="1:58" s="206" customFormat="1" ht="12.75" x14ac:dyDescent="0.2">
      <c r="A68" s="824"/>
      <c r="B68" s="824" t="s">
        <v>7482</v>
      </c>
      <c r="C68" s="824"/>
      <c r="D68" s="824"/>
      <c r="E68" s="824"/>
      <c r="F68" s="824"/>
      <c r="G68" s="824"/>
      <c r="H68" s="827">
        <f t="shared" ref="H68:M68" si="29">IF(OR(H62&gt;0,H66&gt;0),0,H58+H61+H65)</f>
      </c>
      <c r="I68" s="827">
        <f t="shared" si="29"/>
        <v>0</v>
      </c>
      <c r="J68" s="827">
        <f t="shared" si="29"/>
        <v>0</v>
      </c>
      <c r="K68" s="827">
        <f t="shared" si="29"/>
        <v>0</v>
      </c>
      <c r="L68" s="827">
        <f t="shared" si="29"/>
        <v>0</v>
      </c>
      <c r="M68" s="827">
        <f t="shared" si="29"/>
        <v>0</v>
      </c>
      <c r="N68" s="824"/>
      <c r="O68" s="827">
        <f t="shared" si="22"/>
        <v>0</v>
      </c>
      <c r="P68" s="2084" t="s">
        <v>446</v>
      </c>
      <c r="Q68" s="824"/>
      <c r="R68" s="828"/>
      <c r="S68" s="1736"/>
      <c r="AB68" s="1997"/>
      <c r="AC68" s="206" t="s">
        <v>7366</v>
      </c>
      <c r="AD68" s="206">
        <f>IF(D50&lt;0,0,D50+AD60)</f>
      </c>
      <c r="BA68" s="206">
        <f>O68-O69</f>
      </c>
    </row>
    <row r="69" spans="1:58" s="206" customFormat="1" ht="15" x14ac:dyDescent="0.25">
      <c r="A69" s="824"/>
      <c r="B69" s="1999" t="s">
        <v>7367</v>
      </c>
      <c r="C69" s="824"/>
      <c r="D69" s="824"/>
      <c r="E69" s="824"/>
      <c r="F69" s="824"/>
      <c r="G69" s="824"/>
      <c r="H69" s="827">
        <f t="shared" ref="H69:M69" si="30">ROUND(H68*0.35,0)</f>
      </c>
      <c r="I69" s="827">
        <f t="shared" si="30"/>
        <v>0</v>
      </c>
      <c r="J69" s="827">
        <f t="shared" si="30"/>
        <v>0</v>
      </c>
      <c r="K69" s="827">
        <f t="shared" si="30"/>
        <v>0</v>
      </c>
      <c r="L69" s="827">
        <f t="shared" si="30"/>
        <v>0</v>
      </c>
      <c r="M69" s="827">
        <f t="shared" si="30"/>
        <v>0</v>
      </c>
      <c r="N69" s="824"/>
      <c r="O69" s="827">
        <f t="shared" si="22"/>
        <v>0</v>
      </c>
      <c r="P69" s="824"/>
      <c r="Q69" s="824"/>
      <c r="R69" s="828"/>
      <c r="S69" s="1736"/>
      <c r="AB69" s="1997"/>
      <c r="AC69" s="1996" t="s">
        <v>7353</v>
      </c>
      <c r="AD69" s="206">
        <f>P50</f>
      </c>
      <c r="BA69" s="2013" t="s">
        <v>7368</v>
      </c>
    </row>
    <row r="70" spans="1:58" s="206" customFormat="1" ht="15" x14ac:dyDescent="0.25">
      <c r="A70" s="824"/>
      <c r="B70" s="1999" t="s">
        <v>7369</v>
      </c>
      <c r="C70" s="824"/>
      <c r="D70" s="824"/>
      <c r="E70" s="824"/>
      <c r="F70" s="824"/>
      <c r="G70" s="824"/>
      <c r="H70" s="827">
        <f t="shared" ref="H70:M70" si="31">BI50</f>
      </c>
      <c r="I70" s="827">
        <f t="shared" si="31"/>
        <v>0</v>
      </c>
      <c r="J70" s="827">
        <f t="shared" si="31"/>
        <v>0</v>
      </c>
      <c r="K70" s="827">
        <f t="shared" si="31"/>
        <v>0</v>
      </c>
      <c r="L70" s="827">
        <f t="shared" si="31"/>
        <v>0</v>
      </c>
      <c r="M70" s="827">
        <f t="shared" si="31"/>
        <v>0</v>
      </c>
      <c r="N70" s="824"/>
      <c r="O70" s="827">
        <f t="shared" si="22"/>
        <v>0</v>
      </c>
      <c r="P70" s="824"/>
      <c r="Q70" s="824"/>
      <c r="R70" s="828"/>
      <c r="S70" s="1736"/>
      <c r="AB70" s="1997"/>
      <c r="AC70" s="1996"/>
      <c r="BA70" s="2013"/>
    </row>
    <row r="71" spans="1:58" s="206" customFormat="1" ht="12.75" x14ac:dyDescent="0.2">
      <c r="A71" s="824"/>
      <c r="B71" s="1999" t="s">
        <v>7370</v>
      </c>
      <c r="C71" s="824"/>
      <c r="D71" s="824"/>
      <c r="E71" s="824"/>
      <c r="F71" s="824"/>
      <c r="G71" s="824"/>
      <c r="H71" s="827">
        <f t="shared" ref="H71:M71" si="32">H70-H69</f>
      </c>
      <c r="I71" s="827">
        <f t="shared" si="32"/>
        <v>0</v>
      </c>
      <c r="J71" s="827">
        <f t="shared" si="32"/>
        <v>0</v>
      </c>
      <c r="K71" s="827">
        <f t="shared" si="32"/>
        <v>0</v>
      </c>
      <c r="L71" s="827">
        <f t="shared" si="32"/>
        <v>0</v>
      </c>
      <c r="M71" s="827">
        <f t="shared" si="32"/>
        <v>0</v>
      </c>
      <c r="N71" s="824"/>
      <c r="O71" s="827">
        <f t="shared" si="22"/>
        <v>0</v>
      </c>
      <c r="P71" s="824"/>
      <c r="Q71" s="824"/>
      <c r="R71" s="828"/>
      <c r="S71" s="1736"/>
      <c r="AB71" s="1997"/>
      <c r="AC71" s="1996" t="s">
        <v>7371</v>
      </c>
      <c r="AD71" s="2000">
        <f>IF(AD68=0,0,ROUND(AD68*35%,0))</f>
      </c>
      <c r="BA71" s="206" t="s">
        <v>7372</v>
      </c>
      <c r="BB71" s="206" t="s">
        <v>7373</v>
      </c>
    </row>
    <row r="72" spans="1:58" s="206" customFormat="1" ht="12.75" x14ac:dyDescent="0.2">
      <c r="A72" s="824"/>
      <c r="B72" s="1999"/>
      <c r="C72" s="824"/>
      <c r="D72" s="824"/>
      <c r="E72" s="824"/>
      <c r="F72" s="824"/>
      <c r="G72" s="824"/>
      <c r="H72" s="824"/>
      <c r="I72" s="824"/>
      <c r="J72" s="824"/>
      <c r="K72" s="824"/>
      <c r="L72" s="824"/>
      <c r="M72" s="824"/>
      <c r="N72" s="824"/>
      <c r="O72" s="824"/>
      <c r="P72" s="824"/>
      <c r="Q72" s="824"/>
      <c r="R72" s="828"/>
      <c r="S72" s="1736"/>
      <c r="AB72" s="1997"/>
      <c r="AC72" s="1996"/>
      <c r="AD72" s="2000"/>
    </row>
    <row r="73" spans="1:58" s="206" customFormat="1" ht="12.75" x14ac:dyDescent="0.2">
      <c r="A73" s="824"/>
      <c r="B73" s="1999" t="s">
        <v>7374</v>
      </c>
      <c r="C73" s="824"/>
      <c r="D73" s="824"/>
      <c r="E73" s="824"/>
      <c r="F73" s="824"/>
      <c r="G73" s="824"/>
      <c r="H73" s="2001"/>
      <c r="I73" s="2001"/>
      <c r="J73" s="2001"/>
      <c r="K73" s="2001"/>
      <c r="L73" s="2001"/>
      <c r="M73" s="2001"/>
      <c r="N73" s="824"/>
      <c r="O73" s="827">
        <f t="shared" si="22"/>
        <v>0</v>
      </c>
      <c r="P73" s="824"/>
      <c r="Q73" s="824"/>
      <c r="R73" s="828"/>
      <c r="S73" s="1736"/>
      <c r="W73" s="46">
        <f>COUNT(H73:M73)</f>
      </c>
      <c r="AB73" s="1997"/>
      <c r="AC73" s="1996" t="s">
        <v>7375</v>
      </c>
      <c r="AD73" s="206">
        <f>AD69-AD71</f>
      </c>
    </row>
    <row r="74" spans="1:58" s="206" customFormat="1" ht="12.75" x14ac:dyDescent="0.2">
      <c r="A74" s="824"/>
      <c r="B74" s="1999" t="s">
        <v>7389</v>
      </c>
      <c r="C74" s="824"/>
      <c r="D74" s="824"/>
      <c r="E74" s="824"/>
      <c r="F74" s="824"/>
      <c r="G74" s="824"/>
      <c r="H74" s="827">
        <f t="shared" ref="H74:M74" si="33">IF(BA74&lt;0,0,BA74)</f>
      </c>
      <c r="I74" s="827">
        <f t="shared" si="33"/>
        <v>0</v>
      </c>
      <c r="J74" s="827">
        <f t="shared" si="33"/>
        <v>0</v>
      </c>
      <c r="K74" s="827">
        <f t="shared" si="33"/>
        <v>0</v>
      </c>
      <c r="L74" s="827">
        <f t="shared" si="33"/>
        <v>0</v>
      </c>
      <c r="M74" s="827">
        <f t="shared" si="33"/>
        <v>0</v>
      </c>
      <c r="N74" s="824"/>
      <c r="O74" s="827">
        <f t="shared" si="22"/>
        <v>0</v>
      </c>
      <c r="P74" s="2073" t="s">
        <v>7385</v>
      </c>
      <c r="Q74" s="824"/>
      <c r="R74" s="828"/>
      <c r="S74" s="1736"/>
      <c r="AB74" s="1997"/>
      <c r="AC74" s="1996" t="s">
        <v>7376</v>
      </c>
      <c r="AD74" s="206">
        <f>H73</f>
      </c>
      <c r="BA74" s="206">
        <f>ROUND((BI50*0.625)-H69,0)</f>
      </c>
      <c r="BB74" s="206">
        <f>(BJ50*0.625)-I69</f>
      </c>
      <c r="BC74" s="206">
        <f>(BK50*0.625)-J69</f>
      </c>
      <c r="BD74" s="206">
        <f>(BL50*0.625)-K69</f>
      </c>
      <c r="BE74" s="206">
        <f>(BM50*0.625)-L69</f>
      </c>
      <c r="BF74" s="206">
        <f>(BN50*0.625)-M69</f>
      </c>
    </row>
    <row r="75" spans="1:58" s="206" customFormat="1" ht="12.75" x14ac:dyDescent="0.2">
      <c r="A75" s="824"/>
      <c r="B75" s="824" t="s">
        <v>7377</v>
      </c>
      <c r="C75" s="824"/>
      <c r="D75" s="824"/>
      <c r="E75" s="824"/>
      <c r="F75" s="824"/>
      <c r="G75" s="824"/>
      <c r="H75" s="827">
        <f t="shared" ref="H75:M75" si="34">H73+H74</f>
      </c>
      <c r="I75" s="827">
        <f t="shared" si="34"/>
        <v>0</v>
      </c>
      <c r="J75" s="827">
        <f t="shared" si="34"/>
        <v>0</v>
      </c>
      <c r="K75" s="827">
        <f t="shared" si="34"/>
        <v>0</v>
      </c>
      <c r="L75" s="827">
        <f t="shared" si="34"/>
        <v>0</v>
      </c>
      <c r="M75" s="827">
        <f t="shared" si="34"/>
        <v>0</v>
      </c>
      <c r="N75" s="824"/>
      <c r="O75" s="827">
        <f t="shared" si="22"/>
        <v>0</v>
      </c>
      <c r="P75" s="824"/>
      <c r="Q75" s="824"/>
      <c r="R75" s="828"/>
      <c r="S75" s="1736"/>
      <c r="AB75" s="1997"/>
      <c r="AC75" s="1996" t="s">
        <v>7378</v>
      </c>
      <c r="AD75" s="206">
        <f>IF((0.625*P50)-AD71&gt;0,ROUND((0.625*P50)-AD71,0),0)</f>
      </c>
      <c r="AF75" s="206" t="s">
        <v>7379</v>
      </c>
      <c r="AG75" s="206">
        <f>IF(AD78&gt;0,AD71+AD78,AD69-AD78)</f>
      </c>
    </row>
    <row r="76" spans="1:58" s="206" customFormat="1" ht="12.75" x14ac:dyDescent="0.2">
      <c r="A76" s="824"/>
      <c r="B76" s="824" t="s">
        <v>7387</v>
      </c>
      <c r="C76" s="824"/>
      <c r="D76" s="824"/>
      <c r="E76" s="824"/>
      <c r="F76" s="824"/>
      <c r="G76" s="824"/>
      <c r="H76" s="827">
        <f t="shared" ref="H76:M76" si="35">IF(H71&gt;0,0,IF(H75&gt;H71*-1,H71,H75*-1))</f>
      </c>
      <c r="I76" s="827">
        <f t="shared" si="35"/>
        <v>0</v>
      </c>
      <c r="J76" s="827">
        <f t="shared" si="35"/>
        <v>0</v>
      </c>
      <c r="K76" s="827">
        <f t="shared" si="35"/>
        <v>0</v>
      </c>
      <c r="L76" s="827">
        <f t="shared" si="35"/>
        <v>0</v>
      </c>
      <c r="M76" s="827">
        <f t="shared" si="35"/>
        <v>0</v>
      </c>
      <c r="N76" s="824"/>
      <c r="O76" s="827">
        <f t="shared" si="22"/>
        <v>0</v>
      </c>
      <c r="P76" s="2073" t="s">
        <v>7385</v>
      </c>
      <c r="Q76" s="824"/>
      <c r="R76" s="828"/>
      <c r="S76" s="1736"/>
      <c r="AB76" s="1997"/>
      <c r="AC76" s="1996"/>
    </row>
    <row r="77" spans="1:58" s="206" customFormat="1" ht="12.75" x14ac:dyDescent="0.2">
      <c r="A77" s="824"/>
      <c r="B77" s="1999" t="s">
        <v>7388</v>
      </c>
      <c r="C77" s="824"/>
      <c r="D77" s="824"/>
      <c r="E77" s="824"/>
      <c r="F77" s="824"/>
      <c r="G77" s="1347"/>
      <c r="H77" s="827">
        <f t="shared" ref="H77:M77" si="36">IF(H71&lt;0,0,IF(H71&gt;H74,H71-H74,0))</f>
      </c>
      <c r="I77" s="827">
        <f t="shared" si="36"/>
        <v>0</v>
      </c>
      <c r="J77" s="827">
        <f t="shared" si="36"/>
        <v>0</v>
      </c>
      <c r="K77" s="827">
        <f t="shared" si="36"/>
        <v>0</v>
      </c>
      <c r="L77" s="827">
        <f t="shared" si="36"/>
        <v>0</v>
      </c>
      <c r="M77" s="827">
        <f t="shared" si="36"/>
        <v>0</v>
      </c>
      <c r="N77" s="824"/>
      <c r="O77" s="827">
        <f t="shared" si="22"/>
        <v>0</v>
      </c>
      <c r="P77" s="824"/>
      <c r="Q77" s="824"/>
      <c r="R77" s="828"/>
      <c r="S77" s="1736"/>
      <c r="AB77" s="1997"/>
      <c r="AC77" s="1996" t="s">
        <v>7380</v>
      </c>
      <c r="AD77" s="206">
        <f>SUM(AD74:AD75)</f>
      </c>
      <c r="BA77" s="206">
        <f>H69-H70</f>
      </c>
    </row>
    <row r="78" spans="1:58" s="206" customFormat="1" ht="12.75" x14ac:dyDescent="0.2">
      <c r="A78" s="824"/>
      <c r="B78" s="1999" t="s">
        <v>7381</v>
      </c>
      <c r="C78" s="824"/>
      <c r="D78" s="824"/>
      <c r="E78" s="824"/>
      <c r="F78" s="824"/>
      <c r="G78" s="824"/>
      <c r="H78" s="827">
        <f t="shared" ref="H78:M78" si="37">H75+H76</f>
      </c>
      <c r="I78" s="827">
        <f t="shared" si="37"/>
        <v>0</v>
      </c>
      <c r="J78" s="827">
        <f t="shared" si="37"/>
        <v>0</v>
      </c>
      <c r="K78" s="827">
        <f t="shared" si="37"/>
        <v>0</v>
      </c>
      <c r="L78" s="827">
        <f t="shared" si="37"/>
        <v>0</v>
      </c>
      <c r="M78" s="827">
        <f t="shared" si="37"/>
        <v>0</v>
      </c>
      <c r="N78" s="824"/>
      <c r="O78" s="827">
        <f t="shared" si="22"/>
        <v>0</v>
      </c>
      <c r="P78" s="824"/>
      <c r="Q78" s="824"/>
      <c r="R78" s="828"/>
      <c r="S78" s="1736"/>
      <c r="Z78" s="206">
        <f>IF(Z50-H69&lt;0,0,Z50-H69)</f>
      </c>
      <c r="AB78" s="1997"/>
      <c r="AC78" s="1996" t="s">
        <v>7382</v>
      </c>
      <c r="AD78" s="2002">
        <f>IF(AD73&lt;0,-MIN(-AD73,AD77),AD73-AD77)</f>
      </c>
      <c r="AE78" s="2002"/>
    </row>
    <row r="79" spans="1:58" s="1736" customFormat="1" ht="12.75" x14ac:dyDescent="0.2">
      <c r="A79" s="824"/>
      <c r="B79" s="824"/>
      <c r="C79" s="824"/>
      <c r="D79" s="824"/>
      <c r="E79" s="824"/>
      <c r="F79" s="824"/>
      <c r="G79" s="824"/>
      <c r="H79" s="824"/>
      <c r="I79" s="824"/>
      <c r="J79" s="824"/>
      <c r="K79" s="824"/>
      <c r="L79" s="824"/>
      <c r="M79" s="824"/>
      <c r="N79" s="17"/>
      <c r="O79" s="824"/>
      <c r="P79" s="824"/>
      <c r="Q79" s="824"/>
      <c r="R79" s="828"/>
      <c r="V79" s="31"/>
      <c r="W79" s="46"/>
      <c r="X79" s="206"/>
      <c r="Y79" s="2003"/>
      <c r="Z79" s="2004"/>
      <c r="AA79" s="2004"/>
    </row>
    <row r="80" spans="1:58" s="1736" customFormat="1" ht="12.75" x14ac:dyDescent="0.2">
      <c r="A80" s="17"/>
      <c r="B80" s="2005" t="s">
        <v>7383</v>
      </c>
      <c r="C80" s="2006"/>
      <c r="D80" s="2006"/>
      <c r="E80" s="2006"/>
      <c r="F80" s="2006"/>
      <c r="G80" s="2006"/>
      <c r="H80" s="2006"/>
      <c r="I80" s="829"/>
      <c r="J80" s="1347" t="s">
        <v>4798</v>
      </c>
      <c r="K80" s="2379"/>
      <c r="L80" s="2378" t="str">
        <f>IF(W86=0,"",IF(K80="",re,IF(K80&lt;0,"Amount to be allocated to the Final Tax Account cannot be less than 0!",IF(K80&lt;&gt;K81,"&lt; Check!",""))))</f>
        <v/>
      </c>
      <c r="M80" s="17"/>
      <c r="N80" s="17"/>
      <c r="O80" s="824"/>
      <c r="P80" s="824"/>
      <c r="Q80" s="824"/>
      <c r="R80" s="828"/>
      <c r="S80" s="1736">
        <f>IF(L80&lt;&gt;"",1,0)</f>
      </c>
      <c r="V80" s="31"/>
      <c r="W80" s="46">
        <f>COUNTA(K80)</f>
      </c>
      <c r="X80" s="206"/>
      <c r="Y80" s="2003"/>
      <c r="Z80" s="2004"/>
      <c r="AA80" s="2004"/>
      <c r="AC80" s="1996" t="s">
        <v>7384</v>
      </c>
      <c r="AD80" s="2007">
        <f>IF(AD78&gt;0,AD77,AD77+AD78)</f>
      </c>
    </row>
    <row r="81" spans="1:53" s="1736" customFormat="1" ht="12.75" x14ac:dyDescent="0.2">
      <c r="A81" s="17"/>
      <c r="B81" s="2036" t="s">
        <v>7400</v>
      </c>
      <c r="C81" s="17"/>
      <c r="D81" s="17"/>
      <c r="E81" s="17"/>
      <c r="F81" s="17"/>
      <c r="G81" s="17"/>
      <c r="H81" s="17"/>
      <c r="I81" s="17"/>
      <c r="J81" s="17"/>
      <c r="K81" s="2040">
        <f>BA81</f>
      </c>
      <c r="L81" s="17"/>
      <c r="M81" s="17"/>
      <c r="N81" s="17"/>
      <c r="O81" s="824"/>
      <c r="P81" s="824"/>
      <c r="Q81" s="824"/>
      <c r="R81" s="828"/>
      <c r="V81" s="1408"/>
      <c r="W81" s="66"/>
      <c r="X81" s="206"/>
      <c r="Y81" s="2003"/>
      <c r="Z81" s="2004"/>
      <c r="AA81" s="2004"/>
      <c r="AF81" s="1345"/>
      <c r="BA81" s="2008">
        <f>O68-O69</f>
      </c>
    </row>
    <row r="82" spans="1:53" s="1736" customFormat="1" ht="12.75" x14ac:dyDescent="0.2">
      <c r="A82" s="17"/>
      <c r="B82" s="17"/>
      <c r="C82" s="17"/>
      <c r="D82" s="17"/>
      <c r="E82" s="17"/>
      <c r="F82" s="17"/>
      <c r="G82" s="17"/>
      <c r="H82" s="17"/>
      <c r="I82" s="17"/>
      <c r="J82" s="17"/>
      <c r="K82" s="17"/>
      <c r="L82" s="1347"/>
      <c r="M82" s="17"/>
      <c r="N82" s="17"/>
      <c r="O82" s="824"/>
      <c r="P82" s="824"/>
      <c r="Q82" s="824"/>
      <c r="R82" s="828"/>
      <c r="X82" s="206"/>
      <c r="Y82" s="2003"/>
      <c r="Z82" s="2004"/>
      <c r="AA82" s="2004"/>
    </row>
    <row r="83" spans="1:53" s="1736" customFormat="1" ht="12.75" x14ac:dyDescent="0.2">
      <c r="A83" s="17"/>
      <c r="B83" s="832" t="str">
        <f>_xlfn.SINGLE(MTCA)</f>
      </c>
      <c r="C83" s="818"/>
      <c r="D83" s="818"/>
      <c r="E83" s="818"/>
      <c r="F83" s="17"/>
      <c r="G83" s="832"/>
      <c r="H83" s="832" t="str">
        <f>ver</f>
        <v>TA2_e-CO_2025_Ver 1.1</v>
      </c>
      <c r="I83" s="832"/>
      <c r="J83" s="832"/>
      <c r="K83" s="818"/>
      <c r="L83" s="818"/>
      <c r="M83" s="818"/>
      <c r="N83" s="818"/>
      <c r="O83" s="886" t="s">
        <v>7837</v>
      </c>
      <c r="P83" s="824"/>
      <c r="Q83" s="824"/>
      <c r="R83" s="828"/>
      <c r="Y83" s="2003"/>
      <c r="Z83" s="2004"/>
      <c r="AA83" s="2004"/>
    </row>
    <row r="84" spans="1:53" s="1736" customFormat="1" ht="12.75" x14ac:dyDescent="0.2">
      <c r="A84" s="17"/>
      <c r="B84" s="834"/>
      <c r="C84" s="834"/>
      <c r="D84" s="818"/>
      <c r="E84" s="836"/>
      <c r="F84" s="835" t="str">
        <f>COM</f>
      </c>
      <c r="G84" s="275"/>
      <c r="H84" s="2009" t="str">
        <f>IF(W86=0,"",IF(G84="",re,""))</f>
        <v/>
      </c>
      <c r="I84" s="1780"/>
      <c r="J84" s="1780"/>
      <c r="K84" s="17"/>
      <c r="L84" s="17"/>
      <c r="M84" s="17"/>
      <c r="N84" s="17"/>
      <c r="O84" s="17"/>
      <c r="P84" s="17"/>
      <c r="Q84" s="17"/>
      <c r="R84" s="17"/>
      <c r="S84" s="1736">
        <f>IF(H84=re,1,0)</f>
      </c>
      <c r="W84" s="46">
        <f>COUNTA(G84)</f>
      </c>
      <c r="X84" s="1996"/>
      <c r="Y84" s="1996"/>
      <c r="Z84" s="206"/>
      <c r="AA84" s="206"/>
    </row>
    <row r="85" spans="1:53" s="1736" customFormat="1" ht="16.149999999999999" customHeight="1" x14ac:dyDescent="0.2">
      <c r="A85" s="17"/>
      <c r="B85" s="1780"/>
      <c r="C85" s="1780"/>
      <c r="D85" s="1780"/>
      <c r="E85" s="1780"/>
      <c r="F85" s="1780"/>
      <c r="G85" s="1780"/>
      <c r="H85" s="1780"/>
      <c r="I85" s="1780"/>
      <c r="J85" s="1780"/>
      <c r="K85" s="17"/>
      <c r="L85" s="17"/>
      <c r="M85" s="17"/>
      <c r="N85" s="17"/>
      <c r="O85" s="17"/>
      <c r="P85" s="17"/>
      <c r="Q85" s="17"/>
      <c r="R85" s="17"/>
      <c r="X85" s="1517"/>
      <c r="Y85" s="66"/>
      <c r="Z85" s="206"/>
      <c r="AA85" s="66"/>
    </row>
    <row r="86" spans="1:53" s="1736" customFormat="1" ht="16.149999999999999" customHeight="1" x14ac:dyDescent="0.2">
      <c r="A86" s="17"/>
      <c r="B86" s="4636" t="s">
        <v>6290</v>
      </c>
      <c r="C86" s="4636"/>
      <c r="D86" s="4636"/>
      <c r="E86" s="4636"/>
      <c r="F86" s="4636"/>
      <c r="G86" s="1175"/>
      <c r="H86" s="1175"/>
      <c r="I86" s="1175"/>
      <c r="J86" s="1175"/>
      <c r="K86" s="17"/>
      <c r="L86" s="17"/>
      <c r="M86" s="17"/>
      <c r="N86" s="17"/>
      <c r="O86" s="17"/>
      <c r="P86" s="17"/>
      <c r="Q86" s="17"/>
      <c r="R86" s="17"/>
      <c r="S86" s="1736">
        <f>SUM(S5:S84)</f>
      </c>
      <c r="V86" s="1408"/>
      <c r="W86" s="191">
        <f>SUM(W24:W48,W57:W84)</f>
      </c>
      <c r="X86" s="1517"/>
      <c r="Y86" s="66"/>
      <c r="Z86" s="206"/>
      <c r="AA86" s="66"/>
    </row>
    <row r="87" spans="1:53" ht="16.149999999999999" customHeight="1" x14ac:dyDescent="0.2">
      <c r="A87" s="17"/>
      <c r="B87" s="17"/>
      <c r="C87" s="17"/>
      <c r="D87" s="17"/>
      <c r="E87" s="17"/>
      <c r="F87" s="17"/>
      <c r="G87" s="17"/>
      <c r="H87" s="17"/>
      <c r="I87" s="17"/>
      <c r="J87" s="17"/>
      <c r="K87" s="17"/>
      <c r="L87" s="17"/>
      <c r="M87" s="17"/>
      <c r="N87" s="17"/>
      <c r="O87" s="17"/>
      <c r="P87" s="17"/>
      <c r="Q87" s="17"/>
      <c r="R87" s="17"/>
      <c r="S87" s="1736"/>
      <c r="T87" s="1736"/>
      <c r="U87" s="1736"/>
      <c r="V87" s="66"/>
      <c r="W87" s="66"/>
      <c r="X87" s="1517"/>
      <c r="Y87" s="66"/>
      <c r="Z87" s="206"/>
      <c r="AA87" s="66"/>
    </row>
    <row r="88" spans="1:53" ht="16.149999999999999" hidden="1" customHeight="1" x14ac:dyDescent="0.2">
      <c r="S88" s="1742">
        <f>IF(W86=0,0,IF(S86&lt;&gt;0,100,IF(G84=A93,1,100)))</f>
      </c>
      <c r="T88" s="1736"/>
      <c r="U88" s="1736"/>
      <c r="V88" s="66"/>
      <c r="W88" s="66"/>
      <c r="X88" s="66"/>
      <c r="Z88" s="206"/>
      <c r="AA88" s="66"/>
    </row>
    <row r="89" spans="1:53" ht="16.149999999999999" hidden="1" customHeight="1" x14ac:dyDescent="0.2">
      <c r="V89" s="66"/>
      <c r="W89" s="66"/>
      <c r="X89" s="66"/>
      <c r="Z89" s="206"/>
      <c r="AA89" s="66"/>
    </row>
    <row r="90" spans="1:53" ht="16.149999999999999" hidden="1" customHeight="1" x14ac:dyDescent="0.2">
      <c r="V90" s="66"/>
      <c r="W90" s="66"/>
      <c r="X90" s="66"/>
      <c r="Z90" s="206"/>
      <c r="AA90" s="66"/>
    </row>
    <row r="91" spans="1:53" ht="16.149999999999999" hidden="1" customHeight="1" x14ac:dyDescent="0.2">
      <c r="V91" s="66"/>
      <c r="W91" s="66"/>
      <c r="X91" s="66"/>
      <c r="Z91" s="206"/>
      <c r="AA91" s="66"/>
    </row>
    <row r="92" spans="1:53" ht="16.149999999999999" hidden="1" customHeight="1" x14ac:dyDescent="0.2">
      <c r="V92" s="66"/>
      <c r="W92" s="66"/>
      <c r="X92" s="66"/>
      <c r="Z92" s="206"/>
      <c r="AA92" s="66"/>
    </row>
    <row r="93" spans="1:53" ht="16.149999999999999" hidden="1" customHeight="1" x14ac:dyDescent="0.2">
      <c r="A93" s="46" t="s">
        <v>4457</v>
      </c>
      <c r="V93" s="66"/>
      <c r="W93" s="66"/>
      <c r="X93" s="66"/>
      <c r="Z93" s="206"/>
      <c r="AA93" s="66"/>
    </row>
    <row r="94" spans="1:53" ht="16.149999999999999" hidden="1" customHeight="1" x14ac:dyDescent="0.2">
      <c r="A94" s="46" t="s">
        <v>1736</v>
      </c>
      <c r="V94" s="66"/>
      <c r="W94" s="66"/>
      <c r="X94" s="66"/>
      <c r="Z94" s="206"/>
      <c r="AA94" s="66"/>
    </row>
    <row r="95" spans="1:53" ht="16.149999999999999" hidden="1" customHeight="1" x14ac:dyDescent="0.2">
      <c r="V95" s="66"/>
      <c r="W95" s="66"/>
      <c r="X95" s="66"/>
      <c r="Z95" s="206"/>
      <c r="AA95" s="66"/>
    </row>
    <row r="96" spans="1:53" ht="16.149999999999999" hidden="1" customHeight="1" x14ac:dyDescent="0.2">
      <c r="S96" s="2039">
        <f>IF(W86=0,0,IF(S86&lt;&gt;0,100,IF(G84=y,1,100)))</f>
      </c>
      <c r="V96" s="66"/>
      <c r="W96" s="66"/>
      <c r="X96" s="66"/>
      <c r="Y96" s="1736"/>
      <c r="Z96" s="66"/>
      <c r="AA96" s="66"/>
    </row>
    <row r="97" spans="25:26" ht="16.149999999999999" hidden="1" customHeight="1" x14ac:dyDescent="0.2">
      <c r="Y97" s="1517"/>
      <c r="Z97" s="2010"/>
    </row>
    <row r="98" spans="25:26" ht="16.149999999999999" hidden="1" customHeight="1" x14ac:dyDescent="0.2">
      <c r="Y98" s="1517"/>
      <c r="Z98" s="2011"/>
    </row>
    <row r="99" spans="25:26" ht="16.149999999999999" hidden="1" customHeight="1" x14ac:dyDescent="0.2">
      <c r="Y99" s="1517"/>
      <c r="Z99" s="2012"/>
    </row>
    <row r="100" spans="25:26" ht="16.149999999999999" hidden="1" customHeight="1" x14ac:dyDescent="0.2">
      <c r="Y100" s="1517"/>
      <c r="Z100" s="2010"/>
    </row>
    <row r="101" spans="25:26" ht="16.149999999999999" hidden="1" customHeight="1" x14ac:dyDescent="0.2">
      <c r="Y101" s="1517"/>
      <c r="Z101" s="2012"/>
    </row>
    <row r="102" spans="25:26" ht="16.149999999999999" hidden="1" customHeight="1" x14ac:dyDescent="0.2">
      <c r="Y102" s="66"/>
      <c r="Z102" s="66"/>
    </row>
    <row r="103" spans="25:26" ht="16.149999999999999" hidden="1" customHeight="1" x14ac:dyDescent="0.2">
      <c r="Y103" s="66"/>
      <c r="Z103" s="66"/>
    </row>
    <row r="104" spans="25:26" ht="16.149999999999999" hidden="1" customHeight="1" x14ac:dyDescent="0.2">
      <c r="Y104" s="66"/>
      <c r="Z104" s="66"/>
    </row>
    <row r="105" spans="25:26" ht="16.149999999999999" hidden="1" customHeight="1" x14ac:dyDescent="0.2">
      <c r="Y105" s="66"/>
      <c r="Z105" s="66"/>
    </row>
    <row r="106" spans="25:26" ht="16.149999999999999" hidden="1" customHeight="1" x14ac:dyDescent="0.2">
      <c r="Y106" s="66"/>
      <c r="Z106" s="66"/>
    </row>
    <row r="107" spans="25:26" ht="16.149999999999999" hidden="1" customHeight="1" x14ac:dyDescent="0.2">
      <c r="Y107" s="1517"/>
      <c r="Z107" s="66"/>
    </row>
  </sheetData>
  <sheetProtection algorithmName="SHA-512" hashValue="DSlAlS1bIRzah6b7IQ7HUZadMHEbs8WRaW8JY+aC9Ph+Buie1O0lp+Sc+bgLiLtrMErw0EicZkMUzuUwUqbEKA==" saltValue="3bycXS4CNqm0eTauMQP5IQ==" spinCount="100000" sheet="1" objects="1" scenarios="1"/>
  <mergeCells count="20">
    <mergeCell ref="B86:F86"/>
    <mergeCell ref="B22:B23"/>
    <mergeCell ref="D22:D23"/>
    <mergeCell ref="F22:F23"/>
    <mergeCell ref="G22:G23"/>
    <mergeCell ref="B52:N52"/>
    <mergeCell ref="H22:H23"/>
    <mergeCell ref="I22:I23"/>
    <mergeCell ref="BI21:BN21"/>
    <mergeCell ref="B1:N1"/>
    <mergeCell ref="B3:L3"/>
    <mergeCell ref="B4:L4"/>
    <mergeCell ref="D12:H12"/>
    <mergeCell ref="D13:H13"/>
    <mergeCell ref="D14:H14"/>
    <mergeCell ref="D15:H15"/>
    <mergeCell ref="D16:H16"/>
    <mergeCell ref="D17:H17"/>
    <mergeCell ref="D18:H18"/>
    <mergeCell ref="BA21:BF21"/>
  </mergeCells>
  <conditionalFormatting sqref="D13:I18">
    <cfRule type="expression" dxfId="388" priority="5">
      <formula>$B13=""</formula>
    </cfRule>
  </conditionalFormatting>
  <conditionalFormatting sqref="I69:M71">
    <cfRule type="expression" dxfId="387" priority="4" stopIfTrue="1">
      <formula>$I69=$W$21</formula>
    </cfRule>
  </conditionalFormatting>
  <conditionalFormatting sqref="R23:AZ23 R24:R48 A49:I49 R54:R83">
    <cfRule type="expression" dxfId="386" priority="6" stopIfTrue="1">
      <formula>$R23=$W$21</formula>
    </cfRule>
  </conditionalFormatting>
  <dataValidations xWindow="73" yWindow="526" count="16">
    <dataValidation type="whole" errorStyle="warning" allowBlank="1" showInputMessage="1" showErrorMessage="1" errorTitle="PT payment" error="Please ensure that the correct amount is entered!" sqref="I24:I48" xr:uid="{00000000-0002-0000-4C00-000000000000}">
      <formula1>F24*0.08</formula1>
      <formula2>F24*0.1</formula2>
    </dataValidation>
    <dataValidation type="list" allowBlank="1" showInputMessage="1" showErrorMessage="1" errorTitle="Choose item from Dropdown list! " sqref="G84 K6 K8" xr:uid="{00000000-0002-0000-4C00-000001000000}">
      <formula1>$A$92:$A$94</formula1>
    </dataValidation>
    <dataValidation type="textLength" operator="greaterThanOrEqual" allowBlank="1" showInputMessage="1" showErrorMessage="1" errorTitle="Project Description" error="Please input the proper description!" sqref="D13:H18" xr:uid="{00000000-0002-0000-4C00-000002000000}">
      <formula1>15</formula1>
    </dataValidation>
    <dataValidation type="date" allowBlank="1" showInputMessage="1" showErrorMessage="1" errorTitle="Date of Deed" error="Please enter a date that is after 31/03/2015 and within the basis year!" promptTitle="Date" prompt="Date format DD/MM/YYYY" sqref="D24:D48" xr:uid="{00000000-0002-0000-4C00-000003000000}">
      <formula1>42094</formula1>
      <formula2>DATE(ya-1,12,31)</formula2>
    </dataValidation>
    <dataValidation operator="greaterThan" allowBlank="1" showInputMessage="1" showErrorMessage="1" errorTitle="Losses b/fwd" error="Input a negative amount which is less than or equal to 0!_x000a_" sqref="H64:M65 H61:M62" xr:uid="{00000000-0002-0000-4C00-000004000000}"/>
    <dataValidation type="whole" allowBlank="1" showInputMessage="1" showErrorMessage="1" errorTitle="Project number" error="Must be one generated next to the project description above!" sqref="B24:B48" xr:uid="{00000000-0002-0000-4C00-000005000000}">
      <formula1>$BB$10</formula1>
      <formula2>$BC$10</formula2>
    </dataValidation>
    <dataValidation allowBlank="1" showInputMessage="1" showErrorMessage="1" errorTitle="Choose item from Dropdown list! " sqref="J13:J18" xr:uid="{00000000-0002-0000-4C00-000006000000}"/>
    <dataValidation type="date" allowBlank="1" showInputMessage="1" showErrorMessage="1" errorTitle="Date" error="Please enter the correct date that cannot be greater than the financial year in DD/MM/YYYY format!" promptTitle="Acquisition date" prompt="Date format DD/MM/YYYY" sqref="I13:I18" xr:uid="{00000000-0002-0000-4C00-000007000000}">
      <formula1>17533</formula1>
      <formula2>DATE(ya-1,12,31)</formula2>
    </dataValidation>
    <dataValidation type="whole" operator="greaterThanOrEqual" allowBlank="1" showInputMessage="1" showErrorMessage="1" errorTitle="Transfer value" error="Please enter a positive value!" prompt="Required or 0" sqref="F24:F48" xr:uid="{00000000-0002-0000-4C00-000008000000}">
      <formula1>0</formula1>
    </dataValidation>
    <dataValidation type="whole" operator="greaterThan" allowBlank="1" showInputMessage="1" showErrorMessage="1" errorTitle="Losses b/fwd" error="Input a negative amount which is less than or equal to 0!_x000a_" sqref="H56:M56 O73:O78 H58:M58 O68:O71 O56:O66" xr:uid="{00000000-0002-0000-4C00-000009000000}">
      <formula1>0</formula1>
    </dataValidation>
    <dataValidation type="whole" allowBlank="1" showInputMessage="1" showErrorMessage="1" errorTitle="Unutilised Provisional Tax" error="Please enter a positive value!  No b/fwds for the y/a 2016!" prompt="Required or insert 0.   Insert 0 for Y/A 2016." sqref="H73:M73" xr:uid="{00000000-0002-0000-4C00-00000A000000}">
      <formula1>0</formula1>
      <formula2>$BB$60</formula2>
    </dataValidation>
    <dataValidation type="whole" operator="lessThanOrEqual" allowBlank="1" showInputMessage="1" showErrorMessage="1" errorTitle="Allowable deductions" error="Input a negative amount which is less than or equal to 0!_x000a_" promptTitle="Required!" prompt="Required!" sqref="H57:M57" xr:uid="{00000000-0002-0000-4C00-00000B000000}">
      <formula1>0</formula1>
    </dataValidation>
    <dataValidation type="date" errorStyle="warning" allowBlank="1" showInputMessage="1" showErrorMessage="1" errorTitle="Date of receipt" error="Please enter the correct date!  Cannot be before the date of the deed!" prompt="Required!" sqref="H24:H48" xr:uid="{00000000-0002-0000-4C00-00000C000000}">
      <formula1>D24</formula1>
      <formula2>TODAY()</formula2>
    </dataValidation>
    <dataValidation type="whole" allowBlank="1" showInputMessage="1" showErrorMessage="1" errorTitle="Capital allowances b/fwd" error="No capital allowances can be claimed in YA 2016 or input a postive amount!_x000a_" prompt="Required or input 0.  For Y/A 2016 insert 0" sqref="H59:M59" xr:uid="{00000000-0002-0000-4C00-00000D000000}">
      <formula1>0</formula1>
      <formula2>BB59</formula2>
    </dataValidation>
    <dataValidation type="whole" operator="greaterThanOrEqual" allowBlank="1" showInputMessage="1" showErrorMessage="1" errorTitle="Capital allowances for the year" error="Input an amount which is greater than or equal to 0!_x000a__x000a_" prompt="Required or insert 0!" sqref="H60:M60" xr:uid="{00000000-0002-0000-4C00-00000E000000}">
      <formula1>0</formula1>
    </dataValidation>
    <dataValidation type="whole" allowBlank="1" showInputMessage="1" showErrorMessage="1" errorTitle="Losses b/fwd" error="No losses b/fwd for YA 2016 or input an amount which is greater than or equal to 0!_x000a_" prompt="Required or insert 0.   For Y/A 2016 insert 0." sqref="H63:M63" xr:uid="{00000000-0002-0000-4C00-00000F000000}">
      <formula1>0</formula1>
      <formula2>$BB$59</formula2>
    </dataValidation>
  </dataValidations>
  <hyperlinks>
    <hyperlink ref="B86" location="Index!A1" display="Index!A1" xr:uid="{00000000-0004-0000-4C00-000000000000}"/>
    <hyperlink ref="B86:F86" location="Index!A1" display="B A C K   T O   I N D E X" xr:uid="{00000000-0004-0000-4C00-000001000000}"/>
    <hyperlink ref="J80" location="TRA61_FTA!A1" display=" TRA 61" xr:uid="{00000000-0004-0000-4C00-000002000000}"/>
    <hyperlink ref="P74" location="'TRA31'!I58" display="   TRA31" xr:uid="{00000000-0004-0000-4C00-000003000000}"/>
    <hyperlink ref="P58" location="'TRA60'!A1" display="TRA 60" xr:uid="{00000000-0004-0000-4C00-000004000000}"/>
    <hyperlink ref="P68" location="'p4'!K52" display="Page 4" xr:uid="{00000000-0004-0000-4C00-000005000000}"/>
    <hyperlink ref="P76" location="'TRA31'!I58" display="   TRA31" xr:uid="{00000000-0004-0000-4C00-000006000000}"/>
  </hyperlinks>
  <pageMargins left="0.19685039370078741" right="0.19685039370078741" top="0.15748031496062992" bottom="0.42" header="0.15748031496062992" footer="0.15748031496062992"/>
  <pageSetup scale="90" orientation="landscape" r:id="rId1"/>
  <headerFooter>
    <oddFooter>&amp;LName&amp;CSignature&amp;RDate</oddFooter>
  </headerFooter>
  <rowBreaks count="1" manualBreakCount="1">
    <brk id="51" max="15" man="1"/>
  </rowBreaks>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5"/>
  <dimension ref="A1:S47"/>
  <sheetViews>
    <sheetView workbookViewId="0">
      <selection activeCell="C14" sqref="C14:E14"/>
    </sheetView>
  </sheetViews>
  <sheetFormatPr defaultColWidth="0" defaultRowHeight="12.75" customHeight="1" zeroHeight="1" x14ac:dyDescent="0.2"/>
  <cols>
    <col min="1" max="1" width="9.28515625" style="1736" customWidth="1"/>
    <col min="2" max="2" width="26.28515625" style="1736" customWidth="1"/>
    <col min="3" max="3" width="34.28515625" style="1736" customWidth="1"/>
    <col min="4" max="4" width="3.28515625" style="1736" customWidth="1"/>
    <col min="5" max="5" width="15.28515625" style="1736" customWidth="1"/>
    <col min="6" max="6" width="7.5703125" style="1736" customWidth="1"/>
    <col min="7" max="7" width="28.7109375" style="1736" customWidth="1"/>
    <col min="8" max="8" width="10.7109375" style="1736" hidden="1" customWidth="1"/>
    <col min="9" max="9" width="10.7109375" style="1634" hidden="1" customWidth="1"/>
    <col min="10" max="17" width="10.7109375" style="1736" hidden="1" customWidth="1"/>
    <col min="18" max="18" width="54" style="1736" hidden="1" customWidth="1"/>
    <col min="19" max="16384" width="10.7109375" style="1736" hidden="1"/>
  </cols>
  <sheetData>
    <row r="1" spans="1:19" x14ac:dyDescent="0.2">
      <c r="A1" s="5053" t="str">
        <f>_ref1</f>
      </c>
      <c r="B1" s="5053"/>
      <c r="C1" s="5053"/>
      <c r="D1" s="5053"/>
      <c r="E1" s="5053"/>
      <c r="F1" s="5053"/>
      <c r="G1" s="2090" t="str">
        <f>_YA1</f>
      </c>
      <c r="H1" s="1634"/>
    </row>
    <row r="2" spans="1:19" x14ac:dyDescent="0.2">
      <c r="A2" s="1739"/>
      <c r="B2" s="1739"/>
      <c r="C2" s="1739"/>
      <c r="D2" s="1739"/>
      <c r="E2" s="1739"/>
      <c r="F2" s="1739"/>
      <c r="G2" s="1739"/>
      <c r="H2" s="1634"/>
      <c r="N2" s="1760" t="s">
        <v>7411</v>
      </c>
      <c r="O2" s="1762">
        <f>E21</f>
      </c>
      <c r="R2" s="1736" t="s">
        <v>7414</v>
      </c>
    </row>
    <row r="3" spans="1:19" hidden="1" x14ac:dyDescent="0.2">
      <c r="A3" s="1739" t="s">
        <v>3447</v>
      </c>
      <c r="B3" s="1739" t="s">
        <v>3448</v>
      </c>
      <c r="C3" s="1739"/>
      <c r="D3" s="1739"/>
      <c r="E3" s="2095">
        <v>200000</v>
      </c>
      <c r="F3" s="1739"/>
      <c r="G3" s="1739"/>
      <c r="H3" s="1634"/>
      <c r="M3" s="1736" t="s">
        <v>7412</v>
      </c>
      <c r="O3" s="1762">
        <f>O2+2</f>
      </c>
      <c r="R3" s="1736" t="s">
        <v>7413</v>
      </c>
    </row>
    <row r="4" spans="1:19" hidden="1" x14ac:dyDescent="0.2">
      <c r="A4" s="1739"/>
      <c r="B4" s="2046" t="s">
        <v>3451</v>
      </c>
      <c r="C4" s="2046"/>
      <c r="D4" s="2046"/>
      <c r="E4" s="2095">
        <v>25000</v>
      </c>
      <c r="F4" s="1739"/>
      <c r="G4" s="1739"/>
      <c r="H4" s="1634"/>
    </row>
    <row r="5" spans="1:19" x14ac:dyDescent="0.2">
      <c r="A5" s="1739"/>
      <c r="B5" s="1739"/>
      <c r="C5" s="1739"/>
      <c r="D5" s="1739"/>
      <c r="E5" s="1739"/>
      <c r="F5" s="1739"/>
      <c r="G5" s="1739"/>
      <c r="H5" s="1634"/>
      <c r="S5" s="1736" t="s">
        <v>7434</v>
      </c>
    </row>
    <row r="6" spans="1:19" x14ac:dyDescent="0.2">
      <c r="A6" s="1739"/>
      <c r="B6" s="2096" t="s">
        <v>3452</v>
      </c>
      <c r="C6" s="2097"/>
      <c r="D6" s="2097"/>
      <c r="E6" s="2098"/>
      <c r="F6" s="1739"/>
      <c r="G6" s="1739"/>
      <c r="H6" s="1634"/>
      <c r="J6" s="1736" t="s">
        <v>7489</v>
      </c>
      <c r="R6" s="1634" t="s">
        <v>7420</v>
      </c>
      <c r="S6" s="2052"/>
    </row>
    <row r="7" spans="1:19" ht="14.25" customHeight="1" x14ac:dyDescent="0.2">
      <c r="A7" s="1739"/>
      <c r="B7" s="2045" t="s">
        <v>8316</v>
      </c>
      <c r="C7" s="2047"/>
      <c r="D7" s="2047"/>
      <c r="E7" s="2099"/>
      <c r="F7" s="1739"/>
      <c r="G7" s="1739"/>
      <c r="H7" s="1634"/>
      <c r="J7" s="1736" t="s">
        <v>7461</v>
      </c>
      <c r="R7" s="2053" t="s">
        <v>7421</v>
      </c>
      <c r="S7" s="2052"/>
    </row>
    <row r="8" spans="1:19" ht="14.25" customHeight="1" x14ac:dyDescent="0.2">
      <c r="A8" s="1739"/>
      <c r="B8" s="5155" t="s">
        <v>7409</v>
      </c>
      <c r="C8" s="5156"/>
      <c r="D8" s="5156"/>
      <c r="E8" s="5157"/>
      <c r="F8" s="1739"/>
      <c r="G8" s="1739"/>
      <c r="H8" s="1634"/>
      <c r="L8" s="1736" t="str">
        <f>cur</f>
      </c>
      <c r="M8" s="1736" t="s">
        <v>4591</v>
      </c>
      <c r="R8" s="2053" t="s">
        <v>7422</v>
      </c>
      <c r="S8" s="2052">
        <v>7000</v>
      </c>
    </row>
    <row r="9" spans="1:19" x14ac:dyDescent="0.2">
      <c r="A9" s="1739"/>
      <c r="B9" s="1739"/>
      <c r="C9" s="1739"/>
      <c r="D9" s="1739"/>
      <c r="E9" s="1739"/>
      <c r="F9" s="1739"/>
      <c r="G9" s="1739"/>
      <c r="H9" s="1634"/>
      <c r="R9" s="2053" t="s">
        <v>7423</v>
      </c>
      <c r="S9" s="2052">
        <v>8000</v>
      </c>
    </row>
    <row r="10" spans="1:19" ht="15" x14ac:dyDescent="0.2">
      <c r="A10" s="1739"/>
      <c r="B10" s="1414" t="s">
        <v>7438</v>
      </c>
      <c r="C10" s="1414"/>
      <c r="D10" s="1414"/>
      <c r="E10" s="1739"/>
      <c r="F10" s="1739"/>
      <c r="G10" s="1739"/>
      <c r="H10" s="1634"/>
      <c r="M10" s="1736">
        <f>ya</f>
      </c>
      <c r="R10" s="2053" t="s">
        <v>7424</v>
      </c>
      <c r="S10" s="2052"/>
    </row>
    <row r="11" spans="1:19" ht="15" x14ac:dyDescent="0.2">
      <c r="A11" s="1739"/>
      <c r="B11" s="1414"/>
      <c r="C11" s="1414"/>
      <c r="D11" s="1414"/>
      <c r="E11" s="1739"/>
      <c r="F11" s="1739"/>
      <c r="G11" s="1739"/>
      <c r="H11" s="1634"/>
      <c r="I11" s="2058" t="s">
        <v>7439</v>
      </c>
      <c r="K11" s="1760" t="s">
        <v>7161</v>
      </c>
      <c r="M11" s="1736">
        <f>YEAR(E20)-1</f>
      </c>
      <c r="R11" s="2053" t="s">
        <v>7425</v>
      </c>
      <c r="S11" s="2052"/>
    </row>
    <row r="12" spans="1:19" x14ac:dyDescent="0.2">
      <c r="A12" s="1739"/>
      <c r="B12" s="1739" t="s">
        <v>7410</v>
      </c>
      <c r="C12" s="5158"/>
      <c r="D12" s="5159"/>
      <c r="E12" s="5160"/>
      <c r="F12" s="1739"/>
      <c r="G12" s="2055" t="str">
        <f>IF($K$44=0,"",IF(C12="",re,""))</f>
        <v/>
      </c>
      <c r="H12" s="1634"/>
      <c r="I12" s="1634">
        <f>IF(G12="",0,1)</f>
      </c>
      <c r="K12" s="1736">
        <f>IF(C12="",0,1)</f>
      </c>
      <c r="M12" s="1762"/>
      <c r="N12" s="1736">
        <v>2021</v>
      </c>
      <c r="R12" s="2053" t="s">
        <v>7426</v>
      </c>
      <c r="S12" s="2052"/>
    </row>
    <row r="13" spans="1:19" x14ac:dyDescent="0.2">
      <c r="A13" s="1739"/>
      <c r="B13" s="1739"/>
      <c r="C13" s="1415"/>
      <c r="D13" s="1415"/>
      <c r="E13" s="1415"/>
      <c r="F13" s="1415"/>
      <c r="G13" s="1739"/>
      <c r="H13" s="1634"/>
      <c r="M13" s="1736">
        <f>MAX(M10:M11)</f>
      </c>
      <c r="N13" s="1736" t="s">
        <v>6729</v>
      </c>
      <c r="R13" s="2053" t="s">
        <v>7427</v>
      </c>
      <c r="S13" s="2052"/>
    </row>
    <row r="14" spans="1:19" x14ac:dyDescent="0.2">
      <c r="A14" s="1739"/>
      <c r="B14" s="1739" t="s">
        <v>7418</v>
      </c>
      <c r="C14" s="5158"/>
      <c r="D14" s="5159"/>
      <c r="E14" s="5160"/>
      <c r="F14" s="1415"/>
      <c r="G14" s="2055" t="str">
        <f>IF($K$44=0,"",IF(C14="",re,""))</f>
        <v/>
      </c>
      <c r="H14" s="1634"/>
      <c r="I14" s="1634">
        <f>IF(G14="",0,1)</f>
      </c>
      <c r="K14" s="1736">
        <f>IF(C14="",0,1)</f>
      </c>
      <c r="M14" s="1736">
        <f>MIN(M10:M11)</f>
      </c>
      <c r="N14" s="1736" t="s">
        <v>6197</v>
      </c>
      <c r="R14" s="2053" t="s">
        <v>7428</v>
      </c>
      <c r="S14" s="2052"/>
    </row>
    <row r="15" spans="1:19" x14ac:dyDescent="0.2">
      <c r="A15" s="1739"/>
      <c r="B15" s="1739"/>
      <c r="C15" s="1739"/>
      <c r="D15" s="1739"/>
      <c r="E15" s="1739"/>
      <c r="F15" s="1739"/>
      <c r="G15" s="1739"/>
      <c r="H15" s="1634"/>
      <c r="R15" s="2053" t="s">
        <v>7429</v>
      </c>
      <c r="S15" s="2052"/>
    </row>
    <row r="16" spans="1:19" x14ac:dyDescent="0.2">
      <c r="A16" s="1739"/>
      <c r="B16" s="1739" t="s">
        <v>7490</v>
      </c>
      <c r="C16" s="1739"/>
      <c r="D16" s="5161"/>
      <c r="E16" s="5162"/>
      <c r="F16" s="1739"/>
      <c r="G16" s="2100" t="str">
        <f>IF($K$44=0,"",IF(D16="",re,IF(AND(ya=2016,D16&lt;&gt;J7),"Tax credit available from YA 2016","")))</f>
        <v/>
      </c>
      <c r="H16" s="1634"/>
      <c r="I16" s="1634">
        <f>IF(G16="",0,1)</f>
      </c>
      <c r="K16" s="1736">
        <f>IF(C16="",0,1)</f>
      </c>
      <c r="R16" s="2053" t="s">
        <v>7430</v>
      </c>
      <c r="S16" s="2052"/>
    </row>
    <row r="17" spans="1:19" x14ac:dyDescent="0.2">
      <c r="A17" s="1739"/>
      <c r="B17" s="1739"/>
      <c r="C17" s="1739"/>
      <c r="D17" s="1739"/>
      <c r="E17" s="1739"/>
      <c r="F17" s="1739"/>
      <c r="G17" s="1739"/>
      <c r="H17" s="1634"/>
      <c r="R17" s="2053" t="s">
        <v>7431</v>
      </c>
      <c r="S17" s="2052"/>
    </row>
    <row r="18" spans="1:19" x14ac:dyDescent="0.2">
      <c r="A18" s="1739"/>
      <c r="B18" s="2054" t="s">
        <v>7437</v>
      </c>
      <c r="C18" s="2092"/>
      <c r="D18" s="2101"/>
      <c r="E18" s="1739"/>
      <c r="F18" s="1739"/>
      <c r="G18" s="1739"/>
      <c r="H18" s="1634"/>
      <c r="R18" s="2053" t="s">
        <v>7432</v>
      </c>
      <c r="S18" s="2052"/>
    </row>
    <row r="19" spans="1:19" x14ac:dyDescent="0.2">
      <c r="A19" s="1739"/>
      <c r="B19" s="1182"/>
      <c r="C19" s="2046"/>
      <c r="D19" s="1182" t="s">
        <v>7415</v>
      </c>
      <c r="E19" s="201"/>
      <c r="F19" s="1739"/>
      <c r="G19" s="2055" t="str">
        <f>IF($K$44=0,"",IF(E19="",re,""))</f>
        <v/>
      </c>
      <c r="H19" s="1634"/>
      <c r="I19" s="1634">
        <f>IF(G19="",0,1)</f>
      </c>
      <c r="K19" s="1736">
        <f>IF(E19="",0,1)</f>
      </c>
      <c r="P19" s="1736">
        <f>ya</f>
      </c>
      <c r="R19" s="2053" t="s">
        <v>7433</v>
      </c>
      <c r="S19" s="2052"/>
    </row>
    <row r="20" spans="1:19" x14ac:dyDescent="0.2">
      <c r="A20" s="1739"/>
      <c r="B20" s="1182"/>
      <c r="C20" s="2046"/>
      <c r="D20" s="1182" t="s">
        <v>1570</v>
      </c>
      <c r="E20" s="202"/>
      <c r="F20" s="1739"/>
      <c r="G20" s="2055" t="str">
        <f>IF($K$44=0,"",IF(E20="",re,""))</f>
        <v/>
      </c>
      <c r="H20" s="1634"/>
      <c r="I20" s="1634">
        <f>IF(G20="",0,1)</f>
      </c>
      <c r="K20" s="1736">
        <f>IF(E20="",0,1)</f>
      </c>
      <c r="O20" s="1761">
        <v>42103</v>
      </c>
      <c r="P20" s="1761">
        <f>DATE(P19,12,31)</f>
      </c>
      <c r="R20" s="2053" t="s">
        <v>10193</v>
      </c>
      <c r="S20" s="2052"/>
    </row>
    <row r="21" spans="1:19" x14ac:dyDescent="0.2">
      <c r="A21" s="1739"/>
      <c r="B21" s="2046"/>
      <c r="C21" s="2046"/>
      <c r="D21" s="2046" t="s">
        <v>7462</v>
      </c>
      <c r="E21" s="1184"/>
      <c r="F21" s="1203"/>
      <c r="G21" s="2055" t="str">
        <f>IF($K$44=0,"",IF(E21="",re,IF(E21&gt;M11+2,"Enter correct YoA",IF(E21&gt;ya,"Year greater than current YoA!",""))))</f>
        <v/>
      </c>
      <c r="H21" s="1634"/>
      <c r="I21" s="1634">
        <f>IF(G21="",0,1)</f>
      </c>
      <c r="K21" s="1736">
        <f>IF(E21="",0,1)</f>
      </c>
      <c r="R21" s="2053" t="s">
        <v>10194</v>
      </c>
      <c r="S21" s="2052"/>
    </row>
    <row r="22" spans="1:19" x14ac:dyDescent="0.2">
      <c r="A22" s="5163" t="str">
        <f>IF(E21&gt;M11+2,"Tax credit shall be utilised from the first year of assessment following the date of the Incentive Entitlement Certificate","")</f>
        <v/>
      </c>
      <c r="B22" s="5163"/>
      <c r="C22" s="5163"/>
      <c r="D22" s="5163"/>
      <c r="E22" s="5163"/>
      <c r="F22" s="5163"/>
      <c r="G22" s="5163"/>
      <c r="H22" s="1634"/>
      <c r="R22" s="2053" t="s">
        <v>10195</v>
      </c>
      <c r="S22" s="1634"/>
    </row>
    <row r="23" spans="1:19" x14ac:dyDescent="0.2">
      <c r="A23" s="1739"/>
      <c r="B23" s="2050"/>
      <c r="C23" s="2048" t="s">
        <v>7419</v>
      </c>
      <c r="D23" s="2048"/>
      <c r="E23" s="2046"/>
      <c r="F23" s="1739"/>
      <c r="G23" s="1415"/>
      <c r="H23" s="1634"/>
      <c r="R23" s="2053" t="s">
        <v>10197</v>
      </c>
      <c r="S23" s="1634"/>
    </row>
    <row r="24" spans="1:19" x14ac:dyDescent="0.2">
      <c r="A24" s="1739"/>
      <c r="B24" s="2049"/>
      <c r="C24" s="2046"/>
      <c r="D24" s="2046" t="s">
        <v>7416</v>
      </c>
      <c r="E24" s="339"/>
      <c r="F24" s="1739"/>
      <c r="G24" s="2055" t="str">
        <f>IF($E$21="","",IF(AND($E$21&lt;ya,E24&gt;0),"Amount should read 0 for current year",IF($E$21=ya,IF($K$44=0,"",IF(E24="",reo,"")),"")))</f>
        <v/>
      </c>
      <c r="H24" s="1634"/>
      <c r="I24" s="1634">
        <f>IF(G24="",0,1)</f>
      </c>
      <c r="K24" s="1736">
        <f>IF(E24="",0,1)</f>
      </c>
      <c r="R24" s="2053" t="s">
        <v>10196</v>
      </c>
      <c r="S24" s="1634"/>
    </row>
    <row r="25" spans="1:19" x14ac:dyDescent="0.2">
      <c r="A25" s="1739"/>
      <c r="B25" s="2049"/>
      <c r="C25" s="2046"/>
      <c r="D25" s="2046" t="s">
        <v>7417</v>
      </c>
      <c r="E25" s="339"/>
      <c r="F25" s="1739"/>
      <c r="G25" s="2055" t="str">
        <f>IF($E$21="","",IF(AND($E$21&lt;ya,E25&gt;0),"Amount should read 0 for current year",IF($E$21=ya,IF($K$44=0,"",IF(E25="",reo,"")),"")))</f>
        <v/>
      </c>
      <c r="H25" s="1634"/>
      <c r="I25" s="1634">
        <f>IF(G25="",0,1)</f>
      </c>
      <c r="K25" s="1736">
        <f>IF(E25="",0,1)</f>
      </c>
      <c r="R25" s="2053" t="s">
        <v>10198</v>
      </c>
    </row>
    <row r="26" spans="1:19" x14ac:dyDescent="0.2">
      <c r="A26" s="1739"/>
      <c r="B26" s="2049"/>
      <c r="C26" s="2046"/>
      <c r="D26" s="2051" t="s">
        <v>7435</v>
      </c>
      <c r="E26" s="1416">
        <f>IF(SUM(K24:K25)=0,0,IF(SUM(I24:I25)&gt;0,0,SUM(E24:E25)))</f>
      </c>
      <c r="F26" s="1203"/>
      <c r="G26" s="2057"/>
      <c r="H26" s="1634"/>
      <c r="R26" s="2053" t="s">
        <v>10199</v>
      </c>
    </row>
    <row r="27" spans="1:19" x14ac:dyDescent="0.2">
      <c r="A27" s="1739"/>
      <c r="B27" s="2049"/>
      <c r="C27" s="2046"/>
      <c r="D27" s="2051"/>
      <c r="E27" s="1739"/>
      <c r="F27" s="1203"/>
      <c r="G27" s="1415"/>
      <c r="H27" s="1634"/>
      <c r="L27" s="1736" t="s">
        <v>7434</v>
      </c>
      <c r="P27" s="1761"/>
      <c r="R27" s="2053" t="s">
        <v>10200</v>
      </c>
    </row>
    <row r="28" spans="1:19" x14ac:dyDescent="0.2">
      <c r="A28" s="1739"/>
      <c r="B28" s="2046"/>
      <c r="C28" s="2046"/>
      <c r="D28" s="2046" t="s">
        <v>7436</v>
      </c>
      <c r="E28" s="339"/>
      <c r="F28" s="1739"/>
      <c r="G28" s="2056" t="str">
        <f>IF(SUM(K24:K25)=0,"",IF(AND(E21=ya,E28=""),reo,IF(AND($E$21&lt;ya,E28&gt;0),"Amount should read 0 for current year",IF(AND(L8=M8,E28&gt;L28),CONCATENATE("Cannot exceed ",L28),""))))</f>
        <v/>
      </c>
      <c r="H28" s="1634"/>
      <c r="I28" s="1634">
        <f>IF(G28="",0,1)</f>
      </c>
      <c r="K28" s="1736">
        <f>IF(E28="",0,1)</f>
      </c>
      <c r="L28" s="1736">
        <f>IF(C14=R8,S8,IF(C14=R9,S9,MIN(E4,E26*75%)))</f>
      </c>
      <c r="R28" s="2053" t="s">
        <v>10201</v>
      </c>
    </row>
    <row r="29" spans="1:19" x14ac:dyDescent="0.2">
      <c r="A29" s="2095"/>
      <c r="B29" s="2095"/>
      <c r="C29" s="2095"/>
      <c r="D29" s="2095"/>
      <c r="E29" s="2095"/>
      <c r="F29" s="2049"/>
      <c r="G29" s="1415" t="str">
        <f>IF($M$5=0,"",IF(E29="",re,""))</f>
        <v/>
      </c>
      <c r="H29" s="1634"/>
    </row>
    <row r="30" spans="1:19" x14ac:dyDescent="0.2">
      <c r="A30" s="1739"/>
      <c r="B30" s="5138" t="s">
        <v>5703</v>
      </c>
      <c r="C30" s="5139"/>
      <c r="D30" s="5152"/>
      <c r="E30" s="2067"/>
      <c r="F30" s="2049"/>
      <c r="G30" s="1415" t="str">
        <f>IF($M$5=0,"",IF(E30="",re,IF(AND(L8=M8,E30&gt;25000),"Excessive!","")))</f>
        <v/>
      </c>
      <c r="H30" s="1634"/>
      <c r="I30" s="1634">
        <f>IF(E30="",0,1)</f>
      </c>
    </row>
    <row r="31" spans="1:19" x14ac:dyDescent="0.2">
      <c r="A31" s="1739"/>
      <c r="B31" s="1739"/>
      <c r="C31" s="1182" t="s">
        <v>5054</v>
      </c>
      <c r="D31" s="1182"/>
      <c r="E31" s="1416">
        <f>IF(E21&lt;ya,0,IF(E28="",0,E28))</f>
      </c>
      <c r="F31" s="2049"/>
      <c r="G31" s="1739"/>
      <c r="H31" s="1634"/>
    </row>
    <row r="32" spans="1:19" x14ac:dyDescent="0.2">
      <c r="A32" s="1739"/>
      <c r="B32" s="1739"/>
      <c r="C32" s="1182" t="s">
        <v>7491</v>
      </c>
      <c r="D32" s="1182"/>
      <c r="E32" s="339"/>
      <c r="F32" s="1739"/>
      <c r="G32" s="2055" t="str">
        <f>IF(K44=0,"",IF(AND(K44&gt;0,E32=""),reo,IF(AND($E$21=ya,D16=J7,E32&gt;0),"B/Fwd balance should be 0!","")))</f>
        <v/>
      </c>
      <c r="H32" s="1634"/>
      <c r="I32" s="1634">
        <f>IF(G32="",0,1)</f>
      </c>
      <c r="K32" s="1736">
        <f>IF(E32="",0,1)</f>
      </c>
    </row>
    <row r="33" spans="1:16" x14ac:dyDescent="0.2">
      <c r="A33" s="1739"/>
      <c r="B33" s="1739"/>
      <c r="C33" s="1182" t="s">
        <v>5705</v>
      </c>
      <c r="D33" s="1182"/>
      <c r="E33" s="340">
        <f>IF(E21&lt;ya,E32,IF(E32="",0,SUM(E31:E32)))</f>
      </c>
      <c r="F33" s="2049"/>
      <c r="G33" s="1739"/>
      <c r="H33" s="1634"/>
    </row>
    <row r="34" spans="1:16" x14ac:dyDescent="0.2">
      <c r="A34" s="1739"/>
      <c r="B34" s="1739"/>
      <c r="C34" s="1182" t="s">
        <v>5706</v>
      </c>
      <c r="D34" s="1182"/>
      <c r="E34" s="339"/>
      <c r="F34" s="1409" t="s">
        <v>951</v>
      </c>
      <c r="G34" s="2055" t="str">
        <f>IF(K44=0,"",IF(AND(K44&gt;0,E34=""),reo,IF(E34&gt;E33,"Excessive!","")))</f>
        <v/>
      </c>
      <c r="H34" s="1634"/>
      <c r="I34" s="1634">
        <f>IF(G34="",0,1)</f>
      </c>
      <c r="K34" s="1736">
        <f>IF(E34="",0,1)</f>
      </c>
    </row>
    <row r="35" spans="1:16" x14ac:dyDescent="0.2">
      <c r="A35" s="1739"/>
      <c r="B35" s="1739"/>
      <c r="C35" s="1182" t="s">
        <v>5707</v>
      </c>
      <c r="D35" s="1182"/>
      <c r="E35" s="1189">
        <f>IF(E34="",0,E33-E34)</f>
      </c>
      <c r="F35" s="2049"/>
      <c r="G35" s="1739"/>
      <c r="H35" s="1634"/>
    </row>
    <row r="36" spans="1:16" x14ac:dyDescent="0.2">
      <c r="A36" s="1739"/>
      <c r="B36" s="1739"/>
      <c r="C36" s="1739"/>
      <c r="D36" s="1739"/>
      <c r="E36" s="1739"/>
      <c r="F36" s="2049"/>
      <c r="G36" s="1415" t="str">
        <f>IF(M43=0,"",IF(E36="",reo,IF(G42=nob,nob,"")))</f>
        <v/>
      </c>
      <c r="H36" s="1634"/>
      <c r="N36" s="5124" t="s">
        <v>7073</v>
      </c>
      <c r="O36" s="5125"/>
      <c r="P36" s="5126"/>
    </row>
    <row r="37" spans="1:16" x14ac:dyDescent="0.2">
      <c r="A37" s="1739"/>
      <c r="B37" s="5138" t="s">
        <v>7455</v>
      </c>
      <c r="C37" s="5139"/>
      <c r="D37" s="5152"/>
      <c r="E37" s="339"/>
      <c r="F37" s="1409" t="s">
        <v>951</v>
      </c>
      <c r="G37" s="2055" t="str">
        <f>IF(K44=0,"",IF(AND(E34&gt;=0,E37=""),reo,IF(AND(E34=0,E37&gt;0),"No tax credit claimed !",IF(AND(E34&gt;0,E37=0),"Amount relieved by tax credit required!",IF(E37&lt;0,"Cannot be negative!",IF(OR(E37&gt;N37,E37&lt;O37),P37,""))))))</f>
        <v/>
      </c>
      <c r="H37" s="1634"/>
      <c r="I37" s="1634">
        <f>IF(G37="",0,1)</f>
      </c>
      <c r="K37" s="1736">
        <f>IF(E37="",0,1)</f>
      </c>
      <c r="N37" s="1807">
        <f>ROUND(E34/5%,0)</f>
      </c>
      <c r="O37" s="1770">
        <f>ROUND(E34/0.35,0)</f>
      </c>
      <c r="P37" s="1884" t="s">
        <v>4787</v>
      </c>
    </row>
    <row r="38" spans="1:16" x14ac:dyDescent="0.2">
      <c r="A38" s="1739"/>
      <c r="B38" s="1739"/>
      <c r="C38" s="1739"/>
      <c r="D38" s="1739"/>
      <c r="E38" s="1213" t="s">
        <v>1020</v>
      </c>
      <c r="F38" s="1739"/>
      <c r="G38" s="1739"/>
      <c r="H38" s="1634"/>
    </row>
    <row r="39" spans="1:16" x14ac:dyDescent="0.2">
      <c r="A39" s="1739"/>
      <c r="B39" s="1739"/>
      <c r="C39" s="1739"/>
      <c r="D39" s="1739"/>
      <c r="E39" s="1739"/>
      <c r="F39" s="1739"/>
      <c r="G39" s="1415" t="str">
        <f>IF(M43=0,"",IF(AND(E36&gt;=0,E39=""),reo,IF(AND(E36=0,E39&gt;0),"No tax relieved!","")))</f>
        <v/>
      </c>
      <c r="H39" s="1634"/>
    </row>
    <row r="40" spans="1:16" x14ac:dyDescent="0.2">
      <c r="A40" s="1739"/>
      <c r="B40" s="1739" t="s">
        <v>2007</v>
      </c>
      <c r="C40" s="1739"/>
      <c r="D40" s="1739"/>
      <c r="E40" s="1739"/>
      <c r="F40" s="1740"/>
      <c r="G40" s="2055" t="str">
        <f>IF(K44=0,"",IF(F40="",re,IF(AND(F40=n,K44&gt;0),nob,"")))</f>
        <v/>
      </c>
      <c r="H40" s="1634"/>
      <c r="I40" s="1634">
        <f>IF(G40="",0,1)</f>
      </c>
      <c r="M40" s="1736" t="s">
        <v>4457</v>
      </c>
    </row>
    <row r="41" spans="1:16" x14ac:dyDescent="0.2">
      <c r="A41" s="1739"/>
      <c r="B41" s="1739"/>
      <c r="C41" s="1739"/>
      <c r="D41" s="1739"/>
      <c r="E41" s="1739"/>
      <c r="F41" s="1739"/>
      <c r="G41" s="1739"/>
      <c r="H41" s="1634"/>
      <c r="M41" s="1736" t="s">
        <v>7461</v>
      </c>
    </row>
    <row r="42" spans="1:16" x14ac:dyDescent="0.2">
      <c r="A42" s="1739"/>
      <c r="B42" s="5153" t="s">
        <v>4802</v>
      </c>
      <c r="C42" s="5153"/>
      <c r="D42" s="5153"/>
      <c r="E42" s="5154"/>
      <c r="F42" s="1740"/>
      <c r="G42" s="2055" t="str">
        <f>IF(K44=0,"",IF(F42="",re,""))</f>
        <v/>
      </c>
      <c r="H42" s="1634"/>
      <c r="I42" s="1634">
        <f>IF(G42="",0,1)</f>
      </c>
    </row>
    <row r="43" spans="1:16" x14ac:dyDescent="0.2">
      <c r="A43" s="1739"/>
      <c r="B43" s="1739"/>
      <c r="C43" s="1739"/>
      <c r="D43" s="1739"/>
      <c r="E43" s="1739"/>
      <c r="F43" s="1739"/>
      <c r="G43" s="1739"/>
      <c r="H43" s="1634"/>
    </row>
    <row r="44" spans="1:16" hidden="1" x14ac:dyDescent="0.2">
      <c r="A44" s="1739"/>
      <c r="B44" s="1739"/>
      <c r="C44" s="1739"/>
      <c r="D44" s="1739"/>
      <c r="E44" s="1739"/>
      <c r="F44" s="1739"/>
      <c r="G44" s="1739"/>
      <c r="H44" s="1634"/>
      <c r="I44" s="1634">
        <f>SUM(I9:I42)</f>
      </c>
      <c r="K44" s="1736">
        <f>SUM(K12:K43)</f>
      </c>
    </row>
    <row r="45" spans="1:16" x14ac:dyDescent="0.2">
      <c r="A45" s="65" t="str">
        <f>_xlfn.SINGLE(MTCA)</f>
      </c>
      <c r="B45" s="539"/>
      <c r="C45" s="539" t="str">
        <f>ver</f>
        <v>TA2_e-CO_2025_Ver 1.1</v>
      </c>
      <c r="D45" s="539"/>
      <c r="E45" s="1739"/>
      <c r="F45" s="1739"/>
      <c r="G45" s="65" t="s">
        <v>7440</v>
      </c>
      <c r="H45" s="1742">
        <f>IF(AND(K44=0,I44=0),0,IF(AND(I44=0,F42=M40),1,100))</f>
      </c>
    </row>
    <row r="46" spans="1:16" ht="12.75" customHeight="1" x14ac:dyDescent="0.2">
      <c r="A46" s="1739"/>
      <c r="B46" s="1739"/>
      <c r="C46" s="1739"/>
      <c r="D46" s="1739"/>
      <c r="E46" s="1739"/>
      <c r="F46" s="1739"/>
      <c r="G46" s="1739"/>
      <c r="H46" s="1634"/>
    </row>
    <row r="47" spans="1:16" ht="12.75" customHeight="1" x14ac:dyDescent="0.2">
      <c r="A47" s="1739"/>
      <c r="B47" s="1410" t="s">
        <v>6290</v>
      </c>
      <c r="C47" s="1410"/>
      <c r="D47" s="1410"/>
      <c r="E47" s="1739"/>
      <c r="F47" s="1739"/>
      <c r="G47" s="1739"/>
      <c r="H47" s="1634"/>
    </row>
  </sheetData>
  <sheetProtection algorithmName="SHA-512" hashValue="Exhl9yMw9VFpo1d6bY2jzkiT4DmBHIP/oSWHBO+eQz18PKmbSS38R/r6RuzhBind6tSabCHWOFzhMCV1KOaPdA==" saltValue="dAhxHkv/8XAh38lcwoyR4Q==" spinCount="100000" sheet="1" objects="1" scenarios="1"/>
  <mergeCells count="10">
    <mergeCell ref="N36:P36"/>
    <mergeCell ref="B37:D37"/>
    <mergeCell ref="B42:E42"/>
    <mergeCell ref="A1:F1"/>
    <mergeCell ref="B8:E8"/>
    <mergeCell ref="C12:E12"/>
    <mergeCell ref="C14:E14"/>
    <mergeCell ref="D16:E16"/>
    <mergeCell ref="A22:G22"/>
    <mergeCell ref="B30:D30"/>
  </mergeCells>
  <conditionalFormatting sqref="C30:D30">
    <cfRule type="expression" dxfId="385" priority="9" stopIfTrue="1">
      <formula>ya=2011</formula>
    </cfRule>
  </conditionalFormatting>
  <conditionalFormatting sqref="C32:D32">
    <cfRule type="expression" dxfId="384" priority="3" stopIfTrue="1">
      <formula>ya=2011</formula>
    </cfRule>
  </conditionalFormatting>
  <conditionalFormatting sqref="E30">
    <cfRule type="expression" dxfId="383" priority="7" stopIfTrue="1">
      <formula>ya=2011</formula>
    </cfRule>
  </conditionalFormatting>
  <conditionalFormatting sqref="E32 E35">
    <cfRule type="expression" dxfId="382" priority="8" stopIfTrue="1">
      <formula>$G$32=nob</formula>
    </cfRule>
  </conditionalFormatting>
  <conditionalFormatting sqref="E32">
    <cfRule type="expression" dxfId="381" priority="1" stopIfTrue="1">
      <formula>ya=2011</formula>
    </cfRule>
  </conditionalFormatting>
  <conditionalFormatting sqref="E34 E37">
    <cfRule type="expression" dxfId="380" priority="2" stopIfTrue="1">
      <formula>$G$34=nob</formula>
    </cfRule>
  </conditionalFormatting>
  <dataValidations count="13">
    <dataValidation type="whole" allowBlank="1" showInputMessage="1" showErrorMessage="1" errorTitle="Tax credit utilised" error="Input a postive amounts that is less than or equal to tax credits available!_x000a_" sqref="E34" xr:uid="{00000000-0002-0000-4D00-000000000000}">
      <formula1>0</formula1>
      <formula2>E33</formula2>
    </dataValidation>
    <dataValidation type="whole" errorStyle="warning" allowBlank="1" showInputMessage="1" showErrorMessage="1" errorTitle="Income relieved by tax credit" error="Are you sure the amount entered is correct?" sqref="E37" xr:uid="{00000000-0002-0000-4D00-000001000000}">
      <formula1>O37</formula1>
      <formula2>N37</formula2>
    </dataValidation>
    <dataValidation type="date" errorStyle="warning" allowBlank="1" showInputMessage="1" showErrorMessage="1" errorTitle="Date of approval" error="Please enter the correct date!" promptTitle="Date format" prompt="dd/mm/yyyy" sqref="E20" xr:uid="{00000000-0002-0000-4D00-000002000000}">
      <formula1>O20</formula1>
      <formula2>P20</formula2>
    </dataValidation>
    <dataValidation type="list" showInputMessage="1" showErrorMessage="1" sqref="F40 F42" xr:uid="{00000000-0002-0000-4D00-000003000000}">
      <formula1>yn</formula1>
    </dataValidation>
    <dataValidation type="textLength" operator="greaterThanOrEqual" allowBlank="1" showInputMessage="1" showErrorMessage="1" errorTitle="Certificate number" error="Please enter the correct reference!" sqref="E19" xr:uid="{00000000-0002-0000-4D00-000004000000}">
      <formula1>5</formula1>
    </dataValidation>
    <dataValidation type="list" allowBlank="1" showInputMessage="1" showErrorMessage="1" sqref="C12:E12" xr:uid="{00000000-0002-0000-4D00-000005000000}">
      <formula1>$R$1:$R$3</formula1>
    </dataValidation>
    <dataValidation type="list" allowBlank="1" showInputMessage="1" showErrorMessage="1" sqref="C14:E14" xr:uid="{00000000-0002-0000-4D00-000006000000}">
      <formula1>$R$5:$R$28</formula1>
    </dataValidation>
    <dataValidation type="whole" operator="greaterThanOrEqual" allowBlank="1" showInputMessage="1" showErrorMessage="1" errorTitle="Consultancy costs" error="Please enter an amount greater than or equal to 0!" sqref="E24" xr:uid="{00000000-0002-0000-4D00-000007000000}">
      <formula1>0</formula1>
    </dataValidation>
    <dataValidation type="whole" operator="greaterThanOrEqual" allowBlank="1" showInputMessage="1" showErrorMessage="1" errorTitle="Certification costs" error="Please enter an amount greater than or equal to 0!" sqref="E25" xr:uid="{00000000-0002-0000-4D00-000008000000}">
      <formula1>0</formula1>
    </dataValidation>
    <dataValidation type="whole" operator="greaterThanOrEqual" allowBlank="1" showInputMessage="1" showErrorMessage="1" errorTitle="Tax credit Approved" error="Please enter an amount greater than or equal to 0!" sqref="E28" xr:uid="{00000000-0002-0000-4D00-000009000000}">
      <formula1>0</formula1>
    </dataValidation>
    <dataValidation type="list" allowBlank="1" showInputMessage="1" showErrorMessage="1" sqref="D16:E16" xr:uid="{00000000-0002-0000-4D00-00000A000000}">
      <formula1>yn</formula1>
    </dataValidation>
    <dataValidation type="whole" operator="greaterThanOrEqual" allowBlank="1" showInputMessage="1" showErrorMessage="1" errorTitle="Excess Tax credit b/fwd" error="Input an amount that is greater than or equal to 0!" promptTitle="Unutilised Tax Credits b/fwd" prompt="Unutilised Tax Credits b/fwd may be carried forward to the next 2 years of assessment from the first year of assessment following the date of the Incentive Entitlement Certificate._x000a_ " sqref="E32" xr:uid="{00000000-0002-0000-4D00-00000B000000}">
      <formula1>0</formula1>
    </dataValidation>
    <dataValidation type="whole" errorStyle="warning" allowBlank="1" showInputMessage="1" showErrorMessage="1" errorTitle="YoA when credit can be utilised" error="Enter correct year of assessment!_x000a_" sqref="E21" xr:uid="{00000000-0002-0000-4D00-00000C000000}">
      <formula1>M14</formula1>
      <formula2>M13</formula2>
    </dataValidation>
  </dataValidations>
  <hyperlinks>
    <hyperlink ref="B47" location="Index!B77" display="B A C K   T O   I N D E X" xr:uid="{00000000-0004-0000-4D00-000000000000}"/>
    <hyperlink ref="F34" location="TRA35!A1" display="TRA 35" xr:uid="{00000000-0004-0000-4D00-000001000000}"/>
    <hyperlink ref="F37" location="TRA35!A1" display="TRA 35" xr:uid="{00000000-0004-0000-4D00-000002000000}"/>
  </hyperlinks>
  <pageMargins left="0.70866141732283472" right="0.70866141732283472" top="0.19685039370078741" bottom="0.6692913385826772" header="0.15748031496062992" footer="0.15748031496062992"/>
  <pageSetup paperSize="9" orientation="landscape" r:id="rId1"/>
  <headerFooter>
    <oddFooter>&amp;LName&amp;CSignature&amp;RDate</oddFooter>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6"/>
  <dimension ref="A1:AM48"/>
  <sheetViews>
    <sheetView topLeftCell="B1" workbookViewId="0">
      <selection activeCell="B1" sqref="B1:J1"/>
    </sheetView>
  </sheetViews>
  <sheetFormatPr defaultColWidth="0" defaultRowHeight="12.75" customHeight="1" zeroHeight="1" x14ac:dyDescent="0.2"/>
  <cols>
    <col min="1" max="1" width="0.7109375" style="28" customWidth="1"/>
    <col min="2" max="4" width="8" style="1393" customWidth="1"/>
    <col min="5" max="7" width="13.7109375" style="28" customWidth="1"/>
    <col min="8" max="8" width="14.28515625" style="40" customWidth="1"/>
    <col min="9" max="9" width="12.28515625" style="28" customWidth="1"/>
    <col min="10" max="10" width="6.28515625" style="40" customWidth="1"/>
    <col min="11" max="11" width="10" style="28" customWidth="1"/>
    <col min="12" max="12" width="23.7109375" style="28" customWidth="1"/>
    <col min="13" max="13" width="12.42578125" style="28" hidden="1" customWidth="1"/>
    <col min="14" max="14" width="10.5703125" style="28" hidden="1" customWidth="1"/>
    <col min="15" max="15" width="3.5703125" style="28" hidden="1" customWidth="1"/>
    <col min="16" max="16" width="10.28515625" style="28" hidden="1" customWidth="1"/>
    <col min="17" max="17" width="9.7109375" style="28" hidden="1" customWidth="1"/>
    <col min="18" max="33" width="8.28515625" style="28" hidden="1" customWidth="1"/>
    <col min="34" max="34" width="28.42578125" style="28" hidden="1" customWidth="1"/>
    <col min="35" max="39" width="5" style="28" hidden="1" customWidth="1"/>
    <col min="40" max="16384" width="12.28515625" style="28" hidden="1"/>
  </cols>
  <sheetData>
    <row r="1" spans="1:39" s="66" customFormat="1" ht="12" x14ac:dyDescent="0.2">
      <c r="A1" s="1179"/>
      <c r="B1" s="5013" t="str">
        <f>_ref1</f>
      </c>
      <c r="C1" s="5013"/>
      <c r="D1" s="5013"/>
      <c r="E1" s="5013"/>
      <c r="F1" s="5013"/>
      <c r="G1" s="5013"/>
      <c r="H1" s="5013"/>
      <c r="I1" s="5013"/>
      <c r="J1" s="5013"/>
      <c r="K1" s="1179" t="str">
        <f>_YA1</f>
      </c>
      <c r="L1" s="1179"/>
      <c r="N1" s="2068">
        <v>42005</v>
      </c>
      <c r="P1" s="66">
        <f>ya-1</f>
      </c>
      <c r="Q1" s="2075"/>
      <c r="T1" s="2076" t="s">
        <v>7458</v>
      </c>
    </row>
    <row r="2" spans="1:39" x14ac:dyDescent="0.2">
      <c r="A2" s="860"/>
      <c r="B2" s="1194"/>
      <c r="C2" s="1194"/>
      <c r="D2" s="1194"/>
      <c r="E2" s="860"/>
      <c r="F2" s="860"/>
      <c r="G2" s="860"/>
      <c r="H2" s="860"/>
      <c r="I2" s="860"/>
      <c r="J2" s="860"/>
      <c r="K2" s="860"/>
      <c r="L2" s="860"/>
      <c r="N2" s="74">
        <f>DATE(MIN(P1,P2),12,31)</f>
      </c>
      <c r="P2" s="1736">
        <v>2020</v>
      </c>
      <c r="R2" s="28" t="s">
        <v>5828</v>
      </c>
    </row>
    <row r="3" spans="1:39" ht="33.75" customHeight="1" x14ac:dyDescent="0.2">
      <c r="A3" s="860"/>
      <c r="B3" s="5015" t="s">
        <v>7459</v>
      </c>
      <c r="C3" s="5165"/>
      <c r="D3" s="5165"/>
      <c r="E3" s="5016"/>
      <c r="F3" s="5016"/>
      <c r="G3" s="5016"/>
      <c r="H3" s="5016"/>
      <c r="I3" s="5016"/>
      <c r="J3" s="5016"/>
      <c r="K3" s="5017"/>
      <c r="L3" s="3"/>
      <c r="N3" s="2068">
        <v>44196</v>
      </c>
      <c r="R3" s="28" t="s">
        <v>3275</v>
      </c>
    </row>
    <row r="4" spans="1:39" ht="8.25" customHeight="1" x14ac:dyDescent="0.2">
      <c r="A4" s="860"/>
      <c r="B4" s="242"/>
      <c r="C4" s="242"/>
      <c r="D4" s="242"/>
      <c r="E4" s="3"/>
      <c r="F4" s="3"/>
      <c r="G4" s="3"/>
      <c r="H4" s="2"/>
      <c r="I4" s="3"/>
      <c r="J4" s="2"/>
      <c r="K4" s="3"/>
      <c r="L4" s="3"/>
      <c r="M4" s="1760" t="s">
        <v>7439</v>
      </c>
      <c r="P4" s="1760" t="s">
        <v>7445</v>
      </c>
      <c r="R4" s="1736" t="s">
        <v>7450</v>
      </c>
      <c r="AI4" s="28" t="s">
        <v>4618</v>
      </c>
      <c r="AJ4" s="28" t="s">
        <v>4613</v>
      </c>
      <c r="AK4" s="28" t="s">
        <v>4612</v>
      </c>
      <c r="AL4" s="28" t="s">
        <v>4618</v>
      </c>
      <c r="AM4" s="28" t="s">
        <v>4613</v>
      </c>
    </row>
    <row r="5" spans="1:39" x14ac:dyDescent="0.2">
      <c r="A5" s="860"/>
      <c r="B5" s="1194"/>
      <c r="C5" s="1194"/>
      <c r="D5" s="1194"/>
      <c r="E5" s="3"/>
      <c r="F5" s="539" t="s">
        <v>3273</v>
      </c>
      <c r="G5" s="275"/>
      <c r="H5" s="2069" t="str">
        <f>IF(P5=0,"",IF(G5="",re,""))</f>
        <v/>
      </c>
      <c r="I5" s="860"/>
      <c r="J5" s="860"/>
      <c r="K5" s="860"/>
      <c r="L5" s="860"/>
      <c r="M5" s="28">
        <f>IF(H5="",0,1)</f>
      </c>
      <c r="P5" s="28">
        <f>SUM(P6:P49)</f>
      </c>
      <c r="R5" s="1736" t="s">
        <v>7451</v>
      </c>
      <c r="AA5" s="28">
        <f>ya</f>
      </c>
      <c r="AH5" s="1195" t="s">
        <v>6020</v>
      </c>
      <c r="AI5" s="28">
        <v>0.7</v>
      </c>
      <c r="AJ5" s="28">
        <v>0.6</v>
      </c>
      <c r="AK5" s="28">
        <v>0.5</v>
      </c>
    </row>
    <row r="6" spans="1:39" x14ac:dyDescent="0.2">
      <c r="A6" s="860"/>
      <c r="B6" s="1194"/>
      <c r="C6" s="1194"/>
      <c r="D6" s="1194"/>
      <c r="E6" s="3"/>
      <c r="F6" s="539"/>
      <c r="G6" s="539"/>
      <c r="H6" s="1082"/>
      <c r="I6" s="860"/>
      <c r="J6" s="860"/>
      <c r="K6" s="860"/>
      <c r="L6" s="860"/>
      <c r="R6" s="1736" t="s">
        <v>7452</v>
      </c>
      <c r="AH6" s="1195" t="s">
        <v>3277</v>
      </c>
      <c r="AI6" s="28">
        <v>0.45</v>
      </c>
      <c r="AJ6" s="28">
        <v>0.35</v>
      </c>
      <c r="AK6" s="28">
        <v>0.25</v>
      </c>
    </row>
    <row r="7" spans="1:39" x14ac:dyDescent="0.2">
      <c r="A7" s="860"/>
      <c r="B7" s="1194"/>
      <c r="C7" s="1194"/>
      <c r="D7" s="1194"/>
      <c r="E7" s="3"/>
      <c r="F7" s="3"/>
      <c r="G7" s="5014" t="s">
        <v>7446</v>
      </c>
      <c r="H7" s="5014"/>
      <c r="I7" s="5164" t="s">
        <v>7447</v>
      </c>
      <c r="J7" s="5164"/>
      <c r="K7" s="5164"/>
      <c r="L7" s="5164"/>
      <c r="R7" s="1736" t="s">
        <v>7457</v>
      </c>
      <c r="Z7" s="1736" t="s">
        <v>7448</v>
      </c>
      <c r="AA7" s="1736" t="s">
        <v>7449</v>
      </c>
      <c r="AB7" s="1736" t="s">
        <v>7003</v>
      </c>
      <c r="AH7" s="1195" t="s">
        <v>3279</v>
      </c>
      <c r="AI7" s="28">
        <v>0.8</v>
      </c>
      <c r="AJ7" s="28">
        <v>0.75</v>
      </c>
      <c r="AK7" s="28">
        <v>0.65</v>
      </c>
    </row>
    <row r="8" spans="1:39" ht="12.75" customHeight="1" x14ac:dyDescent="0.2">
      <c r="A8" s="860"/>
      <c r="B8" s="1194" t="s">
        <v>3278</v>
      </c>
      <c r="C8" s="5007"/>
      <c r="D8" s="5008"/>
      <c r="E8" s="5009"/>
      <c r="F8" s="3"/>
      <c r="G8" s="5166"/>
      <c r="H8" s="5166"/>
      <c r="I8" s="1197"/>
      <c r="J8" s="5167"/>
      <c r="K8" s="5166"/>
      <c r="L8" s="2069" t="str">
        <f>IF(AND(C8="",P8=0),"",IF(AND(P8&gt;0,P8&lt;&gt;3),$R$4,IF(ya&gt;2021,$R$8,"")))</f>
        <v/>
      </c>
      <c r="M8" s="28">
        <f>IF(L8="",0,IF(L8=R8,0,1))</f>
      </c>
      <c r="P8" s="28">
        <f>COUNTA(C8,G8,J8)</f>
      </c>
      <c r="R8" s="1736" t="s">
        <v>7464</v>
      </c>
      <c r="Z8" s="28">
        <f>IF(J8="",0,YEAR(J8))</f>
      </c>
      <c r="AA8" s="28">
        <f>IF(J8="",0,Z8+4)</f>
      </c>
      <c r="AB8" s="28">
        <f>AA8+1</f>
      </c>
      <c r="AH8" s="1195" t="s">
        <v>7334</v>
      </c>
      <c r="AI8" s="28">
        <v>0.6</v>
      </c>
      <c r="AJ8" s="28">
        <v>0.5</v>
      </c>
      <c r="AK8" s="28">
        <v>0.4</v>
      </c>
    </row>
    <row r="9" spans="1:39" ht="6.75" customHeight="1" x14ac:dyDescent="0.2">
      <c r="A9" s="860"/>
      <c r="B9" s="1194"/>
      <c r="C9" s="1151"/>
      <c r="D9" s="1151"/>
      <c r="E9" s="1212"/>
      <c r="F9" s="3"/>
      <c r="G9" s="1179"/>
      <c r="H9" s="1179"/>
      <c r="I9" s="1197"/>
      <c r="J9" s="1197"/>
      <c r="K9" s="1197"/>
      <c r="L9" s="1082"/>
    </row>
    <row r="10" spans="1:39" x14ac:dyDescent="0.2">
      <c r="A10" s="860"/>
      <c r="B10" s="1194" t="s">
        <v>3280</v>
      </c>
      <c r="C10" s="5007"/>
      <c r="D10" s="5008"/>
      <c r="E10" s="5009"/>
      <c r="F10" s="3"/>
      <c r="G10" s="5166"/>
      <c r="H10" s="5166"/>
      <c r="I10" s="1197"/>
      <c r="J10" s="5167"/>
      <c r="K10" s="5166"/>
      <c r="L10" s="2069" t="str">
        <f>IF(AND(C10="",P10=0),"",IF(AND(P10&gt;0,P10&lt;&gt;3),$R$4,IF(ya&gt;2021,$R$8,"")))</f>
        <v/>
      </c>
      <c r="M10" s="28">
        <f>IF(L10="",0,IF(L10=R10,0,1))</f>
      </c>
      <c r="P10" s="28">
        <f>COUNTA(C10,G10,J10)</f>
      </c>
      <c r="Z10" s="28">
        <f>IF(J10="",0,YEAR(J10))</f>
      </c>
      <c r="AA10" s="28">
        <f>IF(J10="",0,Z10+4)</f>
      </c>
      <c r="AB10" s="28">
        <f>IF(J10=0,0,AA10+1)</f>
      </c>
      <c r="AH10" s="1195"/>
    </row>
    <row r="11" spans="1:39" ht="6.75" customHeight="1" x14ac:dyDescent="0.2">
      <c r="A11" s="860"/>
      <c r="B11" s="1194"/>
      <c r="C11" s="1151"/>
      <c r="D11" s="1151"/>
      <c r="E11" s="1212"/>
      <c r="F11" s="3"/>
      <c r="G11" s="1179"/>
      <c r="H11" s="1197"/>
      <c r="I11" s="1197"/>
      <c r="J11" s="1197"/>
      <c r="K11" s="1197"/>
      <c r="L11" s="1082"/>
      <c r="Z11" s="1195"/>
      <c r="AA11" s="1198"/>
      <c r="AB11" s="1198"/>
      <c r="AC11" s="1198"/>
      <c r="AE11" s="28" t="s">
        <v>3274</v>
      </c>
      <c r="AF11" s="28" t="s">
        <v>3281</v>
      </c>
      <c r="AG11" s="28" t="s">
        <v>3282</v>
      </c>
      <c r="AH11" s="1195"/>
    </row>
    <row r="12" spans="1:39" x14ac:dyDescent="0.2">
      <c r="A12" s="860"/>
      <c r="B12" s="1194" t="s">
        <v>3283</v>
      </c>
      <c r="C12" s="5007"/>
      <c r="D12" s="5008"/>
      <c r="E12" s="5009"/>
      <c r="F12" s="3"/>
      <c r="G12" s="5166"/>
      <c r="H12" s="5166"/>
      <c r="I12" s="1197"/>
      <c r="J12" s="5167"/>
      <c r="K12" s="5166"/>
      <c r="L12" s="2069" t="str">
        <f>IF(AND(C12="",P12=0),"",IF(AND(P12&gt;0,P12&lt;&gt;3),$R$4,IF(ya&gt;2021,$R$8,"")))</f>
        <v/>
      </c>
      <c r="M12" s="28">
        <f>IF(L12="",0,IF(L12=R12,0,1))</f>
      </c>
      <c r="P12" s="28">
        <f>COUNTA(C12,G12,J12)</f>
      </c>
      <c r="Z12" s="28">
        <f>IF(J12="",0,YEAR(J12))</f>
      </c>
      <c r="AA12" s="28">
        <f>IF(J12="",0,Z12+4)</f>
      </c>
      <c r="AB12" s="28">
        <f>IF(J12=0,0,AA12+1)</f>
      </c>
    </row>
    <row r="13" spans="1:39" x14ac:dyDescent="0.2">
      <c r="A13" s="860"/>
      <c r="B13" s="1194"/>
      <c r="C13" s="1194"/>
      <c r="D13" s="1194"/>
      <c r="E13" s="860"/>
      <c r="F13" s="860"/>
      <c r="G13" s="860"/>
      <c r="H13" s="1053"/>
      <c r="I13" s="860"/>
      <c r="J13" s="1053"/>
      <c r="K13" s="860"/>
      <c r="L13" s="860"/>
    </row>
    <row r="14" spans="1:39" ht="18.75" customHeight="1" x14ac:dyDescent="0.2">
      <c r="A14" s="860"/>
      <c r="B14" s="1194"/>
      <c r="C14" s="1194"/>
      <c r="D14" s="1194"/>
      <c r="E14" s="1105" t="s">
        <v>1594</v>
      </c>
      <c r="F14" s="620"/>
      <c r="G14" s="620"/>
      <c r="H14" s="620"/>
      <c r="I14" s="620"/>
      <c r="J14" s="1386"/>
      <c r="K14" s="1387"/>
      <c r="L14" s="1387"/>
      <c r="Z14" s="1736" t="s">
        <v>7453</v>
      </c>
      <c r="AB14" s="235"/>
    </row>
    <row r="15" spans="1:39" ht="36" x14ac:dyDescent="0.2">
      <c r="A15" s="860"/>
      <c r="B15" s="1194"/>
      <c r="C15" s="1194"/>
      <c r="D15" s="1194"/>
      <c r="E15" s="1388" t="s">
        <v>1595</v>
      </c>
      <c r="F15" s="1388" t="s">
        <v>3211</v>
      </c>
      <c r="G15" s="1388" t="s">
        <v>3210</v>
      </c>
      <c r="H15" s="1388" t="s">
        <v>1596</v>
      </c>
      <c r="I15" s="1388" t="s">
        <v>5889</v>
      </c>
      <c r="J15" s="1386"/>
      <c r="K15" s="1387"/>
      <c r="L15" s="1387"/>
      <c r="Z15" s="1736">
        <f>IF(Z8=0,0,Z8+1)</f>
      </c>
      <c r="AB15" s="235"/>
      <c r="AC15" s="235"/>
    </row>
    <row r="16" spans="1:39" ht="6" customHeight="1" x14ac:dyDescent="0.2">
      <c r="A16" s="860"/>
      <c r="B16" s="1194"/>
      <c r="C16" s="1389"/>
      <c r="D16" s="1389"/>
      <c r="E16" s="1390"/>
      <c r="F16" s="1390"/>
      <c r="G16" s="1390"/>
      <c r="H16" s="1390"/>
      <c r="I16" s="1390"/>
      <c r="J16" s="1053"/>
      <c r="K16" s="1053"/>
      <c r="L16" s="860"/>
      <c r="Z16" s="1736">
        <f>IF(Z10=0,0,Z10+1)</f>
      </c>
    </row>
    <row r="17" spans="1:28" ht="12.75" customHeight="1" x14ac:dyDescent="0.2">
      <c r="A17" s="860"/>
      <c r="B17" s="1194"/>
      <c r="C17" s="1194"/>
      <c r="D17" s="1194" t="str">
        <f>IF(C8="","",B8)</f>
        <v/>
      </c>
      <c r="E17" s="223"/>
      <c r="F17" s="432"/>
      <c r="G17" s="432"/>
      <c r="H17" s="647"/>
      <c r="I17" s="405">
        <f>ROUND((G17*H17),0)</f>
      </c>
      <c r="J17" s="2069" t="str">
        <f>IF(P8=0,"",IF(AND(C8="",P17&gt;0),$R$7,IF(AND(F17&gt;0,Z8+1&gt;=ya),$R$5,IF(AND(ya&gt;AB8,G17&lt;&gt;0),CONCATENATE($R$6,AB8,")"),IF(P17&lt;&gt;4,$R$4,IF(G17+F17&gt;E17,$R$3,IF(H17&gt;S17,$R$2,"")))))))</f>
        <v/>
      </c>
      <c r="K17" s="1053"/>
      <c r="L17" s="1387"/>
      <c r="M17" s="28">
        <f>IF(J17="",0,IF(OR(J17=$R$2,J17=$R$3),0,1))</f>
      </c>
      <c r="P17" s="32">
        <f>COUNTA(E17,F17,G17,H17)</f>
      </c>
      <c r="Q17" s="32">
        <f>E17-F17</f>
      </c>
      <c r="S17" s="28" t="e">
        <f>VLOOKUP(VLOOKUP(D17,$B$8:$E$12,2,FALSE),tle_2,X17,FALSE)</f>
      </c>
      <c r="X17" s="66">
        <f>IF(G5=AE11,2,IF(G5=AF11,3,4))</f>
      </c>
      <c r="Y17" s="66"/>
      <c r="Z17" s="1736">
        <f>IF(Z12=0,0,Z12+1)</f>
      </c>
      <c r="AA17" s="32"/>
      <c r="AB17" s="235"/>
    </row>
    <row r="18" spans="1:28" ht="5.25" customHeight="1" x14ac:dyDescent="0.2">
      <c r="A18" s="860"/>
      <c r="B18" s="1194"/>
      <c r="C18" s="1194"/>
      <c r="D18" s="1194"/>
      <c r="E18" s="1181"/>
      <c r="F18" s="1181"/>
      <c r="G18" s="1181"/>
      <c r="H18" s="1200"/>
      <c r="I18" s="1181"/>
      <c r="J18" s="1053"/>
      <c r="K18" s="1053"/>
      <c r="L18" s="1387"/>
      <c r="X18" s="66"/>
      <c r="Y18" s="66"/>
    </row>
    <row r="19" spans="1:28" ht="12.75" customHeight="1" x14ac:dyDescent="0.2">
      <c r="A19" s="860"/>
      <c r="B19" s="1194"/>
      <c r="C19" s="1194"/>
      <c r="D19" s="1194" t="str">
        <f>IF(C10="","",B10)</f>
        <v/>
      </c>
      <c r="E19" s="223"/>
      <c r="F19" s="432"/>
      <c r="G19" s="432"/>
      <c r="H19" s="647"/>
      <c r="I19" s="405">
        <f>ROUND((G19*H19),0)</f>
      </c>
      <c r="J19" s="2069" t="str">
        <f>IF(P10=0,"",IF(AND(C10="",P19&gt;0),$R$7,IF(AND(F19&gt;0,Z10+1&gt;=ya),$R$5,IF(AND(ya&gt;AB10,G19&lt;&gt;0),CONCATENATE($R$6,AB10,")"),IF(P19&lt;&gt;4,$R$4,IF(G19+F19&gt;E19,$R$3,IF(H19&gt;S19,$R$2,"")))))))</f>
        <v/>
      </c>
      <c r="K19" s="1053"/>
      <c r="L19" s="1387"/>
      <c r="M19" s="28">
        <f>IF(J19="",0,IF(OR(J19=$R$2,J19=$R$3),0,1))</f>
      </c>
      <c r="P19" s="32">
        <f>COUNTA(E19,F19,G19,H19)</f>
      </c>
      <c r="Q19" s="32">
        <f>E19-F19</f>
      </c>
      <c r="S19" s="28" t="e">
        <f>VLOOKUP(VLOOKUP(D19,$B$8:$E$12,2,FALSE),tle_2,X19,FALSE)</f>
      </c>
      <c r="X19" s="66">
        <f>IF(G5=AE11,2,IF(G5=AF11,3,4))</f>
      </c>
      <c r="Y19" s="66"/>
      <c r="Z19" s="66"/>
      <c r="AA19" s="32"/>
    </row>
    <row r="20" spans="1:28" ht="4.5" customHeight="1" x14ac:dyDescent="0.2">
      <c r="A20" s="860"/>
      <c r="B20" s="1194"/>
      <c r="C20" s="1194"/>
      <c r="D20" s="1194"/>
      <c r="E20" s="1203"/>
      <c r="F20" s="1181"/>
      <c r="G20" s="1181"/>
      <c r="H20" s="1200"/>
      <c r="I20" s="1181"/>
      <c r="J20" s="1053"/>
      <c r="K20" s="1053"/>
      <c r="L20" s="1387"/>
      <c r="X20" s="66"/>
      <c r="Y20" s="66"/>
      <c r="Z20" s="66"/>
    </row>
    <row r="21" spans="1:28" ht="12.75" customHeight="1" x14ac:dyDescent="0.2">
      <c r="A21" s="860"/>
      <c r="B21" s="1194"/>
      <c r="C21" s="1194"/>
      <c r="D21" s="1194" t="str">
        <f>IF(C12="","",B12)</f>
        <v/>
      </c>
      <c r="E21" s="223"/>
      <c r="F21" s="432"/>
      <c r="G21" s="432"/>
      <c r="H21" s="647"/>
      <c r="I21" s="405">
        <f>ROUND((G21*H21),0)</f>
      </c>
      <c r="J21" s="2069" t="str">
        <f>IF(P12=0,"",IF(AND(C12="",P21&gt;0),$R$7,IF(AND(F21&gt;0,Z12+1&gt;=ya),$R$5,IF(AND(ya&gt;AB12,G21&lt;&gt;0),CONCATENATE($R$6,AB12,")"),IF(P21&lt;&gt;4,$R$4,IF(G21+F21&gt;E21,$R$3,IF(H21&gt;S21,$R$2,"")))))))</f>
        <v/>
      </c>
      <c r="K21" s="1053"/>
      <c r="L21" s="1387"/>
      <c r="M21" s="28">
        <f>IF(J21="",0,IF(OR(J21=$R$2,J21=$R$3),0,1))</f>
      </c>
      <c r="P21" s="32">
        <f>COUNTA(E21,F21,G21,H21)</f>
      </c>
      <c r="Q21" s="32">
        <f>E21-F21</f>
      </c>
      <c r="S21" s="28" t="e">
        <f>VLOOKUP(VLOOKUP(D21,$B$8:$E$12,2,FALSE),tle_2,X21,FALSE)</f>
      </c>
      <c r="X21" s="66">
        <f>IF(G5=AE11,2,IF(G5=AF11,3,4))</f>
      </c>
      <c r="Y21" s="66"/>
      <c r="Z21" s="66"/>
      <c r="AA21" s="32"/>
    </row>
    <row r="22" spans="1:28" ht="4.5" customHeight="1" x14ac:dyDescent="0.2">
      <c r="A22" s="860"/>
      <c r="B22" s="1194"/>
      <c r="C22" s="1194"/>
      <c r="D22" s="1194"/>
      <c r="E22" s="860"/>
      <c r="F22" s="860"/>
      <c r="G22" s="860"/>
      <c r="H22" s="1053"/>
      <c r="I22" s="1201"/>
      <c r="J22" s="1053"/>
      <c r="K22" s="1053"/>
      <c r="L22" s="860"/>
      <c r="X22" s="66"/>
      <c r="Y22" s="66"/>
      <c r="Z22" s="66"/>
    </row>
    <row r="23" spans="1:28" x14ac:dyDescent="0.2">
      <c r="A23" s="860"/>
      <c r="B23" s="1194"/>
      <c r="C23" s="1194"/>
      <c r="D23" s="1194"/>
      <c r="E23" s="860" t="s">
        <v>4990</v>
      </c>
      <c r="F23" s="860"/>
      <c r="G23" s="860"/>
      <c r="H23" s="1053"/>
      <c r="I23" s="405">
        <f>SUM(I17,I19,I21)</f>
      </c>
      <c r="J23" s="1053"/>
      <c r="K23" s="1053"/>
      <c r="L23" s="860"/>
      <c r="V23" s="32"/>
      <c r="X23" s="66"/>
      <c r="Y23" s="66"/>
      <c r="Z23" s="66"/>
      <c r="AA23" s="66"/>
    </row>
    <row r="24" spans="1:28" ht="3.75" customHeight="1" x14ac:dyDescent="0.2">
      <c r="A24" s="860"/>
      <c r="B24" s="1194"/>
      <c r="C24" s="1194"/>
      <c r="D24" s="1194"/>
      <c r="E24" s="860"/>
      <c r="F24" s="860"/>
      <c r="G24" s="860"/>
      <c r="H24" s="1053"/>
      <c r="I24" s="1181"/>
      <c r="J24" s="1053"/>
      <c r="K24" s="1053"/>
      <c r="L24" s="860"/>
      <c r="X24" s="66"/>
      <c r="Y24" s="66"/>
      <c r="Z24" s="66"/>
      <c r="AA24" s="66"/>
    </row>
    <row r="25" spans="1:28" ht="12.75" customHeight="1" x14ac:dyDescent="0.2">
      <c r="A25" s="860"/>
      <c r="B25" s="1194"/>
      <c r="C25" s="1194"/>
      <c r="D25" s="1194"/>
      <c r="E25" s="860" t="s">
        <v>4991</v>
      </c>
      <c r="F25" s="1391"/>
      <c r="G25" s="1391"/>
      <c r="H25" s="1053"/>
      <c r="I25" s="510"/>
      <c r="J25" s="2069" t="str">
        <f>IF(P5=0,"",IF(I25="",reo,""))</f>
        <v/>
      </c>
      <c r="K25" s="1053"/>
      <c r="L25" s="1082"/>
      <c r="M25" s="28">
        <f>IF(L25="",0,1)</f>
      </c>
      <c r="P25" s="32">
        <f>COUNTA(I25)</f>
      </c>
      <c r="X25" s="66"/>
      <c r="Y25" s="66"/>
      <c r="Z25" s="66"/>
      <c r="AA25" s="66"/>
    </row>
    <row r="26" spans="1:28" ht="4.5" customHeight="1" x14ac:dyDescent="0.2">
      <c r="A26" s="860"/>
      <c r="B26" s="1194"/>
      <c r="C26" s="1194"/>
      <c r="D26" s="1194"/>
      <c r="E26" s="860"/>
      <c r="F26" s="860"/>
      <c r="G26" s="860"/>
      <c r="H26" s="1053"/>
      <c r="I26" s="1181"/>
      <c r="J26" s="1053"/>
      <c r="K26" s="1053"/>
      <c r="L26" s="860"/>
      <c r="X26" s="66"/>
      <c r="Y26" s="66"/>
      <c r="Z26" s="66"/>
      <c r="AA26" s="66"/>
    </row>
    <row r="27" spans="1:28" x14ac:dyDescent="0.2">
      <c r="A27" s="860"/>
      <c r="B27" s="1194"/>
      <c r="C27" s="1194"/>
      <c r="D27" s="1194"/>
      <c r="E27" s="860" t="s">
        <v>4992</v>
      </c>
      <c r="F27" s="860"/>
      <c r="G27" s="860"/>
      <c r="H27" s="1053"/>
      <c r="I27" s="405">
        <f>IF(I23+I25&lt;0,0,I23+I25)</f>
      </c>
      <c r="J27" s="1053"/>
      <c r="K27" s="1053"/>
      <c r="L27" s="860"/>
      <c r="X27" s="66"/>
      <c r="Y27" s="66"/>
      <c r="Z27" s="66"/>
      <c r="AA27" s="66"/>
    </row>
    <row r="28" spans="1:28" ht="6.75" customHeight="1" x14ac:dyDescent="0.2">
      <c r="A28" s="860"/>
      <c r="B28" s="1194"/>
      <c r="C28" s="1194"/>
      <c r="D28" s="1194"/>
      <c r="E28" s="860"/>
      <c r="F28" s="860"/>
      <c r="G28" s="860"/>
      <c r="H28" s="1053"/>
      <c r="I28" s="860"/>
      <c r="J28" s="1053"/>
      <c r="K28" s="1053"/>
      <c r="L28" s="1053"/>
      <c r="X28" s="66"/>
      <c r="Y28" s="66"/>
      <c r="Z28" s="66"/>
      <c r="AA28" s="66"/>
    </row>
    <row r="29" spans="1:28" ht="6" customHeight="1" x14ac:dyDescent="0.2">
      <c r="A29" s="860"/>
      <c r="B29" s="1194"/>
      <c r="C29" s="1194"/>
      <c r="D29" s="1194"/>
      <c r="E29" s="860"/>
      <c r="F29" s="860"/>
      <c r="G29" s="860"/>
      <c r="H29" s="1053"/>
      <c r="I29" s="860"/>
      <c r="J29" s="1053"/>
      <c r="K29" s="860"/>
      <c r="L29" s="860"/>
      <c r="X29" s="66"/>
      <c r="Y29" s="66"/>
      <c r="Z29" s="66"/>
      <c r="AA29" s="66"/>
    </row>
    <row r="30" spans="1:28" ht="15" x14ac:dyDescent="0.2">
      <c r="A30" s="860"/>
      <c r="B30" s="1194"/>
      <c r="C30" s="1194"/>
      <c r="D30" s="1194"/>
      <c r="E30" s="4817" t="s">
        <v>4996</v>
      </c>
      <c r="F30" s="4818"/>
      <c r="G30" s="4818"/>
      <c r="H30" s="4819"/>
      <c r="I30" s="860"/>
      <c r="J30" s="1053"/>
      <c r="K30" s="860"/>
      <c r="L30" s="860"/>
      <c r="X30" s="66"/>
      <c r="Y30" s="66"/>
      <c r="Z30" s="66"/>
      <c r="AA30" s="66"/>
    </row>
    <row r="31" spans="1:28" ht="6" customHeight="1" x14ac:dyDescent="0.2">
      <c r="A31" s="860"/>
      <c r="B31" s="1194"/>
      <c r="C31" s="1194"/>
      <c r="D31" s="1194"/>
      <c r="E31" s="860"/>
      <c r="F31" s="860"/>
      <c r="G31" s="860"/>
      <c r="H31" s="1053"/>
      <c r="I31" s="860"/>
      <c r="J31" s="1053"/>
      <c r="K31" s="860"/>
      <c r="L31" s="860"/>
      <c r="X31" s="66"/>
      <c r="Y31" s="66"/>
      <c r="Z31" s="66"/>
      <c r="AA31" s="66"/>
    </row>
    <row r="32" spans="1:28" ht="12.75" customHeight="1" x14ac:dyDescent="0.2">
      <c r="A32" s="860"/>
      <c r="B32" s="1194"/>
      <c r="C32" s="1194"/>
      <c r="D32" s="1194"/>
      <c r="E32" s="65" t="s">
        <v>6221</v>
      </c>
      <c r="F32" s="17"/>
      <c r="G32" s="17"/>
      <c r="H32" s="405">
        <f>I27</f>
      </c>
      <c r="I32" s="3"/>
      <c r="J32" s="3"/>
      <c r="K32" s="3"/>
      <c r="L32" s="3"/>
      <c r="X32" s="66"/>
      <c r="Y32" s="66"/>
      <c r="Z32" s="66"/>
      <c r="AA32" s="66"/>
    </row>
    <row r="33" spans="1:27" ht="6" customHeight="1" x14ac:dyDescent="0.2">
      <c r="A33" s="860"/>
      <c r="B33" s="1194"/>
      <c r="C33" s="1194"/>
      <c r="D33" s="1194"/>
      <c r="E33" s="1282"/>
      <c r="F33" s="65"/>
      <c r="G33" s="3"/>
      <c r="H33" s="3"/>
      <c r="I33" s="3"/>
      <c r="J33" s="3"/>
      <c r="K33" s="3"/>
      <c r="L33" s="3"/>
      <c r="X33" s="66"/>
      <c r="Y33" s="66"/>
      <c r="Z33" s="66"/>
      <c r="AA33" s="66"/>
    </row>
    <row r="34" spans="1:27" ht="12.75" customHeight="1" x14ac:dyDescent="0.2">
      <c r="A34" s="860"/>
      <c r="B34" s="1194"/>
      <c r="C34" s="1194"/>
      <c r="D34" s="1194"/>
      <c r="E34" s="65" t="s">
        <v>6222</v>
      </c>
      <c r="F34" s="17"/>
      <c r="G34" s="17"/>
      <c r="H34" s="223"/>
      <c r="I34" s="2069" t="str">
        <f>IF(P5=0,"",IF(AND(ya&gt;=MIN(Z15:Z17),H34&lt;&gt;0),R5,IF(H34="",reo,"")))</f>
        <v/>
      </c>
      <c r="J34" s="3"/>
      <c r="K34" s="3"/>
      <c r="L34" s="3"/>
      <c r="M34" s="28">
        <f>IF(I34="",0,1)</f>
      </c>
      <c r="P34" s="32">
        <f>COUNTA(H34)</f>
      </c>
      <c r="Q34" s="28">
        <f>IF(ya=2010,0,9.99999999999999E+23)</f>
      </c>
      <c r="X34" s="66"/>
      <c r="Y34" s="66"/>
      <c r="Z34" s="66"/>
      <c r="AA34" s="66"/>
    </row>
    <row r="35" spans="1:27" ht="6" customHeight="1" x14ac:dyDescent="0.2">
      <c r="A35" s="860"/>
      <c r="B35" s="1194"/>
      <c r="C35" s="1194"/>
      <c r="D35" s="1194"/>
      <c r="E35" s="65"/>
      <c r="F35" s="65"/>
      <c r="G35" s="3"/>
      <c r="H35" s="3"/>
      <c r="I35" s="3"/>
      <c r="J35" s="3"/>
      <c r="K35" s="3"/>
      <c r="L35" s="3"/>
    </row>
    <row r="36" spans="1:27" x14ac:dyDescent="0.2">
      <c r="A36" s="860"/>
      <c r="B36" s="1194"/>
      <c r="C36" s="1194"/>
      <c r="D36" s="1194"/>
      <c r="E36" s="65" t="s">
        <v>7456</v>
      </c>
      <c r="F36" s="65"/>
      <c r="G36" s="3"/>
      <c r="H36" s="405">
        <f>IF(H34="",0,H32+H34)</f>
      </c>
      <c r="I36" s="3"/>
      <c r="J36" s="3"/>
      <c r="K36" s="3"/>
      <c r="L36" s="3"/>
    </row>
    <row r="37" spans="1:27" ht="4.5" customHeight="1" x14ac:dyDescent="0.2">
      <c r="A37" s="860"/>
      <c r="B37" s="1194"/>
      <c r="C37" s="1194"/>
      <c r="D37" s="1194"/>
      <c r="E37" s="65"/>
      <c r="F37" s="65"/>
      <c r="G37" s="3"/>
      <c r="H37" s="3"/>
      <c r="I37" s="3"/>
      <c r="J37" s="3"/>
      <c r="K37" s="3"/>
      <c r="L37" s="3"/>
    </row>
    <row r="38" spans="1:27" x14ac:dyDescent="0.2">
      <c r="A38" s="860"/>
      <c r="B38" s="1194"/>
      <c r="C38" s="64"/>
      <c r="D38" s="2072" t="s">
        <v>5145</v>
      </c>
      <c r="E38" s="65" t="s">
        <v>6223</v>
      </c>
      <c r="F38" s="65"/>
      <c r="G38" s="2070" t="s">
        <v>951</v>
      </c>
      <c r="H38" s="510"/>
      <c r="I38" s="2069" t="str">
        <f>IF(P5=0,"",IF(H38="",reo,""))</f>
        <v/>
      </c>
      <c r="J38" s="3"/>
      <c r="K38" s="3"/>
      <c r="L38" s="3"/>
      <c r="M38" s="28">
        <f>IF(I38="",0,1)</f>
      </c>
      <c r="P38" s="32">
        <f>COUNTA(H38)</f>
      </c>
    </row>
    <row r="39" spans="1:27" ht="6" customHeight="1" x14ac:dyDescent="0.2">
      <c r="A39" s="860"/>
      <c r="B39" s="1194"/>
      <c r="C39" s="1194"/>
      <c r="D39" s="1194"/>
      <c r="E39" s="65"/>
      <c r="F39" s="65"/>
      <c r="G39" s="3"/>
      <c r="H39" s="3"/>
      <c r="I39" s="3"/>
      <c r="J39" s="3"/>
      <c r="K39" s="3"/>
      <c r="L39" s="3"/>
    </row>
    <row r="40" spans="1:27" x14ac:dyDescent="0.2">
      <c r="A40" s="860"/>
      <c r="B40" s="1194"/>
      <c r="C40" s="1194"/>
      <c r="D40" s="1194"/>
      <c r="E40" s="65" t="s">
        <v>3566</v>
      </c>
      <c r="F40" s="65"/>
      <c r="G40" s="3"/>
      <c r="H40" s="405">
        <f>IF(H36-H38&lt;0,0,(H36-H38))</f>
      </c>
      <c r="I40" s="3"/>
      <c r="J40" s="3"/>
      <c r="K40" s="3"/>
      <c r="L40" s="3"/>
    </row>
    <row r="41" spans="1:27" ht="6" customHeight="1" x14ac:dyDescent="0.2">
      <c r="A41" s="860"/>
      <c r="B41" s="1194"/>
      <c r="C41" s="1194"/>
      <c r="D41" s="1194"/>
      <c r="E41" s="65"/>
      <c r="F41" s="65"/>
      <c r="G41" s="3"/>
      <c r="H41" s="3"/>
      <c r="I41" s="3"/>
      <c r="J41" s="3"/>
      <c r="K41" s="3"/>
      <c r="L41" s="3"/>
    </row>
    <row r="42" spans="1:27" ht="14.25" x14ac:dyDescent="0.2">
      <c r="A42" s="1204"/>
      <c r="B42" s="2074" t="s">
        <v>7455</v>
      </c>
      <c r="C42" s="2071"/>
      <c r="D42" s="2071"/>
      <c r="E42" s="2071"/>
      <c r="F42" s="2071"/>
      <c r="G42" s="2071"/>
      <c r="H42" s="2071"/>
      <c r="I42" s="2071"/>
      <c r="J42" s="2071" t="s">
        <v>951</v>
      </c>
      <c r="K42" s="223"/>
      <c r="L42" s="2055" t="str">
        <f>IF(P5=0,"",IF(AND(H38&gt;=0,K42=""),reo,IF(AND(H38=0,K42&gt;0),"No tax credit claimed !",IF(AND(H38&gt;0,K42=0),"Amount relieved by tax credit required!",IF(K42&lt;0,"Cannot be negative!",IF(OR(K42&gt;T45,K42&lt;U45),V45,""))))))</f>
        <v/>
      </c>
      <c r="M42" s="28">
        <f>IF(L42=re,1,0)</f>
      </c>
      <c r="P42" s="32">
        <f>COUNTA(K42)</f>
      </c>
    </row>
    <row r="43" spans="1:27" ht="6" customHeight="1" x14ac:dyDescent="0.2">
      <c r="A43" s="860"/>
      <c r="B43" s="242"/>
      <c r="C43" s="242"/>
      <c r="D43" s="242"/>
      <c r="E43" s="1392"/>
      <c r="F43" s="1392"/>
      <c r="G43" s="1392"/>
      <c r="H43" s="1392"/>
      <c r="I43" s="1392"/>
      <c r="J43" s="1392"/>
      <c r="K43" s="1392"/>
      <c r="L43" s="3"/>
    </row>
    <row r="44" spans="1:27" ht="14.25" x14ac:dyDescent="0.2">
      <c r="A44" s="860"/>
      <c r="B44" s="327" t="s">
        <v>3570</v>
      </c>
      <c r="C44" s="327"/>
      <c r="D44" s="327"/>
      <c r="E44" s="327"/>
      <c r="F44" s="3"/>
      <c r="G44" s="3"/>
      <c r="H44" s="2"/>
      <c r="I44" s="275"/>
      <c r="J44" s="2069" t="str">
        <f>IF(P5=0,"",IF(I44="",re,IF(I44=n,"No Benefit!!","")))</f>
        <v/>
      </c>
      <c r="K44" s="1392"/>
      <c r="L44" s="1204"/>
      <c r="M44" s="28">
        <f>IF(J44="",0,1)</f>
      </c>
      <c r="P44" s="32">
        <f>COUNTA(I44)</f>
      </c>
      <c r="Q44" s="28" t="s">
        <v>4457</v>
      </c>
      <c r="T44" s="5124" t="s">
        <v>7073</v>
      </c>
      <c r="U44" s="5125"/>
      <c r="V44" s="5126"/>
    </row>
    <row r="45" spans="1:27" x14ac:dyDescent="0.2">
      <c r="A45" s="860"/>
      <c r="B45" s="242"/>
      <c r="C45" s="242"/>
      <c r="D45" s="242"/>
      <c r="E45" s="1205"/>
      <c r="F45" s="1205"/>
      <c r="G45" s="1205"/>
      <c r="H45" s="1205"/>
      <c r="I45" s="1205"/>
      <c r="J45" s="1205"/>
      <c r="K45" s="1205"/>
      <c r="L45" s="1205"/>
      <c r="M45" s="28">
        <f>IF(I46="",0,1)</f>
      </c>
      <c r="Q45" s="28" t="s">
        <v>1736</v>
      </c>
      <c r="T45" s="1807">
        <f>ROUND(H38/5%,0)</f>
      </c>
      <c r="U45" s="1770">
        <f>ROUND(H38/0.35,0)</f>
      </c>
      <c r="V45" s="1884" t="s">
        <v>4787</v>
      </c>
    </row>
    <row r="46" spans="1:27" s="66" customFormat="1" x14ac:dyDescent="0.2">
      <c r="A46" s="1179"/>
      <c r="B46" s="242"/>
      <c r="C46" s="242"/>
      <c r="D46" s="242"/>
      <c r="E46" s="1392"/>
      <c r="F46" s="1392"/>
      <c r="G46" s="610" t="s">
        <v>4456</v>
      </c>
      <c r="H46" s="275"/>
      <c r="I46" s="2069" t="str">
        <f>IF(P5=0,"",IF(H46="",re,""))</f>
        <v/>
      </c>
      <c r="J46" s="65"/>
      <c r="K46" s="65"/>
      <c r="L46" s="65"/>
      <c r="M46" s="66">
        <f>SUM(M1:M45)</f>
      </c>
      <c r="P46" s="32">
        <f>COUNTA(H46)</f>
      </c>
    </row>
    <row r="47" spans="1:27" x14ac:dyDescent="0.2">
      <c r="A47" s="3"/>
      <c r="B47" s="327" t="str">
        <f>_xlfn.SINGLE(MTCA)</f>
      </c>
      <c r="C47" s="327"/>
      <c r="D47" s="327"/>
      <c r="E47" s="65"/>
      <c r="F47" s="65"/>
      <c r="G47" s="65" t="str">
        <f>ver</f>
        <v>TA2_e-CO_2025_Ver 1.1</v>
      </c>
      <c r="H47" s="64"/>
      <c r="I47" s="65"/>
      <c r="J47" s="64"/>
      <c r="K47" s="65"/>
      <c r="L47" s="539" t="s">
        <v>7454</v>
      </c>
      <c r="M47" s="1742">
        <f>IF(AND(P5=0,M46=0),0,IF(AND(M46=0,H46=Q44),1,100))</f>
      </c>
    </row>
    <row r="48" spans="1:27" ht="15" x14ac:dyDescent="0.2">
      <c r="A48" s="3"/>
      <c r="B48" s="444" t="s">
        <v>365</v>
      </c>
      <c r="C48" s="444"/>
      <c r="D48" s="444"/>
      <c r="E48" s="3"/>
      <c r="F48" s="3"/>
      <c r="G48" s="3"/>
      <c r="H48" s="2"/>
      <c r="I48" s="3"/>
      <c r="J48" s="2"/>
      <c r="K48" s="3"/>
      <c r="L48" s="3"/>
    </row>
  </sheetData>
  <sheetProtection algorithmName="SHA-512" hashValue="OXJua68mfZpKbrrw0yuBpRqz+2iCXygm6lSt+fBNEEUU/A9TyneuXACBWfcjigLk/A1uErDFr6Tn/xv6iyvWWA==" saltValue="YUNoF1IcZQ3LyEqsj525nA==" spinCount="100000" sheet="1" objects="1" scenarios="1"/>
  <mergeCells count="15">
    <mergeCell ref="T44:V44"/>
    <mergeCell ref="I7:L7"/>
    <mergeCell ref="E30:H30"/>
    <mergeCell ref="C12:E12"/>
    <mergeCell ref="B1:J1"/>
    <mergeCell ref="B3:K3"/>
    <mergeCell ref="C8:E8"/>
    <mergeCell ref="C10:E10"/>
    <mergeCell ref="G8:H8"/>
    <mergeCell ref="G7:H7"/>
    <mergeCell ref="G10:H10"/>
    <mergeCell ref="G12:H12"/>
    <mergeCell ref="J8:K8"/>
    <mergeCell ref="J10:K10"/>
    <mergeCell ref="J12:K12"/>
  </mergeCells>
  <conditionalFormatting sqref="L8">
    <cfRule type="expression" dxfId="379" priority="3">
      <formula>$L$8=$R$8</formula>
    </cfRule>
  </conditionalFormatting>
  <conditionalFormatting sqref="L10">
    <cfRule type="expression" dxfId="378" priority="2">
      <formula>$L$8=$R$8</formula>
    </cfRule>
  </conditionalFormatting>
  <conditionalFormatting sqref="L12">
    <cfRule type="expression" dxfId="377" priority="1">
      <formula>$L$8=$R$8</formula>
    </cfRule>
  </conditionalFormatting>
  <dataValidations count="12">
    <dataValidation type="whole" allowBlank="1" showInputMessage="1" showErrorMessage="1" errorTitle="Tax credit brought forward" error="Please enter a positive value!_x000a_OR_x000a_No value expected for the Y/A 2010!" sqref="H34" xr:uid="{00000000-0002-0000-4E00-000000000000}">
      <formula1>0</formula1>
      <formula2>Q34</formula2>
    </dataValidation>
    <dataValidation type="whole" errorStyle="warning" allowBlank="1" showInputMessage="1" showErrorMessage="1" errorTitle="Income Relieved by tax credit" error="Ensure that the value entered is not excessive!" sqref="K42" xr:uid="{00000000-0002-0000-4E00-000001000000}">
      <formula1>0</formula1>
      <formula2>O42</formula2>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G17 G19 G21" xr:uid="{00000000-0002-0000-4E00-000002000000}">
      <formula1>0</formula1>
      <formula2>Q17</formula2>
    </dataValidation>
    <dataValidation type="decimal" errorStyle="warning" operator="lessThanOrEqual" allowBlank="1" showInputMessage="1" showErrorMessage="1" errorTitle="Tax credit rate" error="Excessive?" promptTitle="Tax credit rate" prompt="Value expressed as a percentage" sqref="H17 H21 H19" xr:uid="{00000000-0002-0000-4E00-000003000000}">
      <formula1>S17</formula1>
    </dataValidation>
    <dataValidation type="whole" allowBlank="1" showInputMessage="1" showErrorMessage="1" errorTitle="Eligible Costs - Previous years" error="Please enter a positive value that does not exceed approved amount!_x000a__x000a_" promptTitle="Eligible costs - previous years" prompt="Please enter value that does not exceed approved amount OR 0. " sqref="F17 F19 F21" xr:uid="{00000000-0002-0000-4E00-000004000000}">
      <formula1>0</formula1>
      <formula2>E17</formula2>
    </dataValidation>
    <dataValidation type="whole" allowBlank="1" showInputMessage="1" showErrorMessage="1" errorTitle="Tax credit utilised" error="Please enter a postive value which is less than or equal to the tax credit available!_x000a_ " sqref="H38" xr:uid="{00000000-0002-0000-4E00-000005000000}">
      <formula1>0</formula1>
      <formula2>H36</formula2>
    </dataValidation>
    <dataValidation type="date" errorStyle="warning" allowBlank="1" showInputMessage="1" showErrorMessage="1" errorTitle="Certificate date" error="Date is after the current year of assessment or 31/12/2020!_x000a_" prompt="dd/mm/yyyy" sqref="J12:K12 J8:K8 J10:K10" xr:uid="{00000000-0002-0000-4E00-000006000000}">
      <formula1>$N$1</formula1>
      <formula2>N2</formula2>
    </dataValidation>
    <dataValidation type="list" allowBlank="1" showInputMessage="1" showErrorMessage="1" sqref="H46 I44" xr:uid="{00000000-0002-0000-4E00-000007000000}">
      <formula1>$Q$43:$Q$45</formula1>
    </dataValidation>
    <dataValidation type="whole" operator="lessThanOrEqual" allowBlank="1" showInputMessage="1" showErrorMessage="1" errorTitle="State Aid Claimed elsewhere" error="Please enter a negative value!" sqref="I25" xr:uid="{00000000-0002-0000-4E00-000008000000}">
      <formula1>0</formula1>
    </dataValidation>
    <dataValidation type="list" allowBlank="1" showInputMessage="1" showErrorMessage="1" sqref="G5" xr:uid="{00000000-0002-0000-4E00-000009000000}">
      <formula1>$AD$11:$AG$11</formula1>
    </dataValidation>
    <dataValidation type="whole" operator="greaterThanOrEqual" allowBlank="1" showInputMessage="1" showErrorMessage="1" errorTitle="Approved value" error="Please enter a positive amount!" sqref="E17 E21 E19" xr:uid="{00000000-0002-0000-4E00-00000A000000}">
      <formula1>0</formula1>
    </dataValidation>
    <dataValidation type="list" allowBlank="1" showInputMessage="1" showErrorMessage="1" sqref="C8:E8 C10:E10 C12:E12" xr:uid="{00000000-0002-0000-4E00-00000B000000}">
      <formula1>$AH$4:$AH$8</formula1>
    </dataValidation>
  </dataValidations>
  <hyperlinks>
    <hyperlink ref="B48" location="Index!A72" display="Back to Index" xr:uid="{00000000-0004-0000-4E00-000000000000}"/>
    <hyperlink ref="G38" location="TRA35!A1" display="TRA 35" xr:uid="{00000000-0004-0000-4E00-000001000000}"/>
    <hyperlink ref="J42" location="TRA35!A1" display="TRA 35" xr:uid="{00000000-0004-0000-4E00-000002000000}"/>
  </hyperlinks>
  <pageMargins left="0.70866141732283472" right="0.70866141732283472" top="0" bottom="0.11811023622047245" header="7.874015748031496E-2" footer="3.937007874015748E-2"/>
  <pageSetup paperSize="9" orientation="landscape" r:id="rId1"/>
  <headerFooter>
    <oddFooter>&amp;LName&amp;CSignature&amp;RDate</oddFoot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7"/>
  <dimension ref="A1:Y56"/>
  <sheetViews>
    <sheetView showGridLines="0" workbookViewId="0">
      <selection sqref="A1:H1"/>
    </sheetView>
  </sheetViews>
  <sheetFormatPr defaultColWidth="0" defaultRowHeight="12.75" customHeight="1" zeroHeight="1" x14ac:dyDescent="0.2"/>
  <cols>
    <col min="1" max="1" width="4.28515625" style="1736" customWidth="1"/>
    <col min="2" max="2" width="15" style="1736" customWidth="1"/>
    <col min="3" max="3" width="12.42578125" style="1736" customWidth="1"/>
    <col min="4" max="4" width="10.7109375" style="1736" customWidth="1"/>
    <col min="5" max="5" width="7.28515625" style="1736" customWidth="1"/>
    <col min="6" max="6" width="13.28515625" style="1736" customWidth="1"/>
    <col min="7" max="7" width="12.28515625" style="1736" customWidth="1"/>
    <col min="8" max="8" width="17.42578125" style="1736" customWidth="1"/>
    <col min="9" max="9" width="14" style="1736" customWidth="1"/>
    <col min="10" max="10" width="10.28515625" style="1736" customWidth="1"/>
    <col min="11" max="11" width="17.5703125" style="1736" customWidth="1"/>
    <col min="12" max="12" width="3" style="1650" hidden="1" customWidth="1"/>
    <col min="13" max="13" width="4.28515625" style="1650" hidden="1" customWidth="1"/>
    <col min="14" max="15" width="4.7109375" style="1650" hidden="1" customWidth="1"/>
    <col min="16" max="16" width="8.7109375" style="1650" hidden="1" customWidth="1"/>
    <col min="17" max="17" width="5.7109375" style="1650" hidden="1" customWidth="1"/>
    <col min="18" max="18" width="9.7109375" style="1650" hidden="1" customWidth="1"/>
    <col min="19" max="19" width="10.42578125" style="1650" hidden="1" customWidth="1"/>
    <col min="20" max="20" width="10.28515625" style="1650" hidden="1" customWidth="1"/>
    <col min="21" max="21" width="12" style="1650" hidden="1" customWidth="1"/>
    <col min="22" max="22" width="8.42578125" style="1650" hidden="1" customWidth="1"/>
    <col min="23" max="23" width="10.28515625" style="1650" hidden="1" customWidth="1"/>
    <col min="24" max="24" width="11.7109375" style="1650" hidden="1" customWidth="1"/>
    <col min="25" max="25" width="0" style="1650" hidden="1" customWidth="1"/>
    <col min="26" max="16384" width="9.28515625" style="1650" hidden="1"/>
  </cols>
  <sheetData>
    <row r="1" spans="1:25" x14ac:dyDescent="0.2">
      <c r="A1" s="4687" t="str">
        <f>_ref1</f>
      </c>
      <c r="B1" s="4687"/>
      <c r="C1" s="4687"/>
      <c r="D1" s="4687"/>
      <c r="E1" s="4687"/>
      <c r="F1" s="4687"/>
      <c r="G1" s="4687"/>
      <c r="H1" s="4687"/>
      <c r="I1" s="1942"/>
      <c r="J1" s="1938" t="str">
        <f>_YA1</f>
      </c>
      <c r="K1" s="1938"/>
      <c r="S1" s="1650" t="s">
        <v>7753</v>
      </c>
    </row>
    <row r="2" spans="1:25" x14ac:dyDescent="0.2">
      <c r="A2" s="1942"/>
      <c r="B2" s="1942"/>
      <c r="C2" s="1942"/>
      <c r="D2" s="1942"/>
      <c r="E2" s="1942"/>
      <c r="F2" s="1942"/>
      <c r="G2" s="1942"/>
      <c r="H2" s="1942"/>
      <c r="I2" s="1942"/>
      <c r="J2" s="1942"/>
      <c r="K2" s="1942"/>
      <c r="S2" s="1650" t="s">
        <v>3445</v>
      </c>
      <c r="T2" s="1650" t="s">
        <v>7752</v>
      </c>
    </row>
    <row r="3" spans="1:25" hidden="1" x14ac:dyDescent="0.2">
      <c r="A3" s="1736" t="s">
        <v>3447</v>
      </c>
      <c r="B3" s="1736" t="s">
        <v>3448</v>
      </c>
      <c r="D3" s="1887">
        <v>500000</v>
      </c>
      <c r="S3" s="1650" t="s">
        <v>3449</v>
      </c>
      <c r="T3" s="1650" t="s">
        <v>3993</v>
      </c>
    </row>
    <row r="4" spans="1:25" hidden="1" x14ac:dyDescent="0.2">
      <c r="B4" s="1760" t="s">
        <v>3451</v>
      </c>
      <c r="C4" s="1760"/>
      <c r="D4" s="1887">
        <v>25000</v>
      </c>
    </row>
    <row r="6" spans="1:25" ht="14.25" x14ac:dyDescent="0.2">
      <c r="A6" s="1942"/>
      <c r="B6" s="2096" t="s">
        <v>7766</v>
      </c>
      <c r="C6" s="1658"/>
      <c r="D6" s="1658"/>
      <c r="E6" s="1658"/>
      <c r="F6" s="1658"/>
      <c r="G6" s="1658"/>
      <c r="H6" s="1658"/>
      <c r="I6" s="1659"/>
      <c r="J6" s="1942"/>
      <c r="K6" s="1942"/>
      <c r="Q6" s="1650" t="s">
        <v>3994</v>
      </c>
      <c r="R6" s="1650">
        <f>ya</f>
      </c>
    </row>
    <row r="7" spans="1:25" ht="14.25" x14ac:dyDescent="0.2">
      <c r="A7" s="1942"/>
      <c r="B7" s="2190" t="s">
        <v>7767</v>
      </c>
      <c r="C7" s="1663"/>
      <c r="D7" s="1663"/>
      <c r="E7" s="1663"/>
      <c r="F7" s="1663"/>
      <c r="G7" s="1663"/>
      <c r="H7" s="1663"/>
      <c r="I7" s="1664"/>
      <c r="J7" s="1942"/>
      <c r="K7" s="1942"/>
    </row>
    <row r="8" spans="1:25" ht="3" customHeight="1" x14ac:dyDescent="0.2">
      <c r="A8" s="1942"/>
      <c r="B8" s="1942"/>
      <c r="C8" s="1942"/>
      <c r="D8" s="1942"/>
      <c r="E8" s="1942"/>
      <c r="F8" s="1942"/>
      <c r="G8" s="1942"/>
      <c r="H8" s="1942"/>
      <c r="I8" s="1942"/>
      <c r="J8" s="1942"/>
      <c r="K8" s="1942"/>
      <c r="M8" s="1650" t="s">
        <v>7754</v>
      </c>
      <c r="N8" s="1650" t="s">
        <v>7161</v>
      </c>
      <c r="S8" s="1650" t="s">
        <v>3274</v>
      </c>
      <c r="T8" s="2192">
        <v>0.7</v>
      </c>
    </row>
    <row r="9" spans="1:25" ht="14.25" customHeight="1" x14ac:dyDescent="0.2">
      <c r="A9" s="1942"/>
      <c r="B9" s="2266" t="s">
        <v>7786</v>
      </c>
      <c r="C9" s="2266"/>
      <c r="D9" s="2266"/>
      <c r="E9" s="2266"/>
      <c r="F9" s="2266"/>
      <c r="G9" s="2266"/>
      <c r="H9" s="2266"/>
      <c r="I9" s="2266"/>
      <c r="J9" s="1942"/>
      <c r="K9" s="1942"/>
      <c r="S9" s="1650" t="s">
        <v>3281</v>
      </c>
      <c r="T9" s="2192">
        <v>0.6</v>
      </c>
    </row>
    <row r="10" spans="1:25" x14ac:dyDescent="0.2">
      <c r="A10" s="1942"/>
      <c r="B10" s="1942"/>
      <c r="C10" s="1942"/>
      <c r="D10" s="1942"/>
      <c r="E10" s="1942"/>
      <c r="F10" s="1942"/>
      <c r="G10" s="1942"/>
      <c r="H10" s="1942"/>
      <c r="I10" s="1942"/>
      <c r="J10" s="1942"/>
      <c r="K10" s="1942"/>
      <c r="S10" s="1650" t="s">
        <v>3282</v>
      </c>
      <c r="T10" s="2192">
        <v>0.5</v>
      </c>
    </row>
    <row r="11" spans="1:25" x14ac:dyDescent="0.2">
      <c r="A11" s="1942"/>
      <c r="B11" s="2239" t="s">
        <v>7759</v>
      </c>
      <c r="C11" s="1942"/>
      <c r="D11" s="1942"/>
      <c r="E11" s="1942"/>
      <c r="F11" s="1894"/>
      <c r="G11" s="2249" t="str">
        <f>IF($P$11=0,"",IF(F11="",re,""))</f>
        <v/>
      </c>
      <c r="H11" s="2251"/>
      <c r="I11" s="2251"/>
      <c r="J11" s="2251"/>
      <c r="K11" s="2248" t="s">
        <v>1020</v>
      </c>
      <c r="M11" s="1650">
        <f>IF(G11&lt;&gt;"",1,0)</f>
      </c>
      <c r="N11" s="1650">
        <f>IF(F11="",0,1)</f>
      </c>
      <c r="P11" s="1650">
        <f>COUNTA(I13,F11,D15,F13,H20,I21,I22,I23,I24,I31,I32,I35,I39)</f>
      </c>
      <c r="X11" t="str">
        <f>cur</f>
      </c>
      <c r="Y11" s="1736" t="s">
        <v>4591</v>
      </c>
    </row>
    <row r="12" spans="1:25" ht="6" customHeight="1" x14ac:dyDescent="0.2">
      <c r="A12" s="1942"/>
      <c r="B12" s="2239"/>
      <c r="C12" s="1942"/>
      <c r="D12" s="1942"/>
      <c r="E12" s="1942"/>
      <c r="F12" s="2253"/>
      <c r="G12" s="2249"/>
      <c r="H12" s="2239"/>
      <c r="I12" s="2239"/>
      <c r="J12" s="2248"/>
      <c r="K12" s="2248"/>
      <c r="X12"/>
      <c r="Y12" s="1736"/>
    </row>
    <row r="13" spans="1:25" x14ac:dyDescent="0.2">
      <c r="A13" s="1942"/>
      <c r="B13" s="2239" t="s">
        <v>7760</v>
      </c>
      <c r="C13" s="1942"/>
      <c r="D13" s="2251"/>
      <c r="E13" s="2251"/>
      <c r="F13" s="202"/>
      <c r="G13" s="2249" t="str">
        <f>IF($P$11=0,"",IF(F13="",re,""))</f>
        <v/>
      </c>
      <c r="H13" s="2239" t="s">
        <v>7783</v>
      </c>
      <c r="I13" s="2194"/>
      <c r="J13" s="2248" t="str">
        <f>IF($P$11=0,"",IF(I13="",re,""))</f>
        <v/>
      </c>
      <c r="K13" s="2248"/>
      <c r="M13" s="1650">
        <f>IF(J13&lt;&gt;"",1,0)+IF(G13&lt;&gt;"",1,0)</f>
      </c>
      <c r="N13" s="1650">
        <f>IF(I13="",0,1)+IF(F13="",0,1)</f>
      </c>
      <c r="X13"/>
      <c r="Y13" s="1736"/>
    </row>
    <row r="14" spans="1:25" ht="5.25" customHeight="1" x14ac:dyDescent="0.2">
      <c r="A14" s="1942"/>
      <c r="B14" s="2267"/>
      <c r="C14" s="1942"/>
      <c r="D14" s="1942"/>
      <c r="E14" s="1942"/>
      <c r="F14" s="1942"/>
      <c r="G14" s="1942"/>
      <c r="H14" s="1942"/>
      <c r="I14" s="1942"/>
      <c r="J14" s="1942"/>
      <c r="K14" s="2248"/>
    </row>
    <row r="15" spans="1:25" x14ac:dyDescent="0.2">
      <c r="A15" s="1942"/>
      <c r="B15" s="2239" t="s">
        <v>7769</v>
      </c>
      <c r="C15" s="1942"/>
      <c r="D15" s="5168"/>
      <c r="E15" s="5168"/>
      <c r="F15" s="5168"/>
      <c r="G15" s="5168"/>
      <c r="H15" s="5168"/>
      <c r="I15" s="5168"/>
      <c r="J15" s="2248" t="str">
        <f>IF($P$11=0,"",IF(D15="",re,""))</f>
        <v/>
      </c>
      <c r="K15" s="1942"/>
      <c r="M15" s="1650">
        <f>IF(J15&lt;&gt;"",1,0)</f>
      </c>
      <c r="N15" s="1650">
        <f>IF(D15="",0,1)</f>
      </c>
    </row>
    <row r="16" spans="1:25" x14ac:dyDescent="0.2">
      <c r="A16" s="1942"/>
      <c r="B16" s="2239"/>
      <c r="C16" s="1942"/>
      <c r="D16" s="1942"/>
      <c r="E16" s="1942"/>
      <c r="F16" s="1942"/>
      <c r="G16" s="1942"/>
      <c r="H16" s="1942"/>
      <c r="I16" s="1942"/>
      <c r="J16" s="1942"/>
      <c r="K16" s="1942"/>
      <c r="S16" s="1650" t="s">
        <v>7763</v>
      </c>
      <c r="U16" s="1650">
        <v>15000</v>
      </c>
      <c r="X16" s="1650" t="s">
        <v>7770</v>
      </c>
    </row>
    <row r="17" spans="1:24" x14ac:dyDescent="0.2">
      <c r="A17" s="1942"/>
      <c r="B17" s="2239"/>
      <c r="C17" s="1942"/>
      <c r="D17" s="1942"/>
      <c r="E17" s="1942"/>
      <c r="F17" s="1942"/>
      <c r="G17" s="1942"/>
      <c r="H17" s="1942"/>
      <c r="I17" s="1942"/>
      <c r="J17" s="1942"/>
      <c r="K17" s="1942"/>
      <c r="X17" s="1650" t="s">
        <v>7771</v>
      </c>
    </row>
    <row r="18" spans="1:24" x14ac:dyDescent="0.2">
      <c r="A18" s="1942"/>
      <c r="B18" s="5169" t="s">
        <v>7785</v>
      </c>
      <c r="C18" s="5169"/>
      <c r="D18" s="5169"/>
      <c r="E18" s="5169"/>
      <c r="F18" s="5169"/>
      <c r="G18" s="5169"/>
      <c r="H18" s="1942"/>
      <c r="I18" s="1942"/>
      <c r="J18" s="1942"/>
      <c r="K18" s="1942"/>
      <c r="M18" s="1650">
        <f>IF(G11&lt;&gt;"",1,0)</f>
      </c>
      <c r="N18" s="1650">
        <f>IF(F11="",0,1)</f>
      </c>
      <c r="T18" s="2191">
        <f>MIN(T19:U19)</f>
      </c>
      <c r="X18" s="1650" t="s">
        <v>7294</v>
      </c>
    </row>
    <row r="19" spans="1:24" x14ac:dyDescent="0.2">
      <c r="A19" s="1942"/>
      <c r="B19" s="2268"/>
      <c r="C19" s="1942"/>
      <c r="D19" s="2251"/>
      <c r="E19" s="2251"/>
      <c r="F19" s="1942"/>
      <c r="G19" s="2251"/>
      <c r="H19" s="2199" t="s">
        <v>7781</v>
      </c>
      <c r="I19" s="1942"/>
      <c r="J19" s="1942"/>
      <c r="K19" s="1942"/>
      <c r="S19" s="2191">
        <v>42430</v>
      </c>
      <c r="T19" s="2191">
        <v>44196</v>
      </c>
      <c r="U19" s="2191">
        <f>DATE(ya-1,12,31)</f>
      </c>
      <c r="X19" s="1650" t="s">
        <v>7772</v>
      </c>
    </row>
    <row r="20" spans="1:24" x14ac:dyDescent="0.2">
      <c r="A20" s="1942"/>
      <c r="B20" s="2251" t="s">
        <v>7776</v>
      </c>
      <c r="C20" s="2251"/>
      <c r="D20" s="2251"/>
      <c r="E20" s="2251"/>
      <c r="F20" s="2251"/>
      <c r="G20" s="2251"/>
      <c r="H20" s="2198"/>
      <c r="I20" s="2201" t="str">
        <f>IF(H20=0,"",IF(H20*100&gt;5000,5000,H20*100))</f>
        <v/>
      </c>
      <c r="J20" s="2264" t="str">
        <f>IF($P$11=0,"",IF(H20="","Req'd no. of employees or insert 0!",""))</f>
        <v/>
      </c>
      <c r="K20" s="1942"/>
      <c r="M20" s="1650">
        <f t="shared" ref="M20:M25" si="0">IF(J20&lt;&gt;"",1,0)</f>
      </c>
      <c r="N20" s="1650">
        <f>IF(H20="",0,1)</f>
      </c>
      <c r="X20" s="1650" t="s">
        <v>7773</v>
      </c>
    </row>
    <row r="21" spans="1:24" x14ac:dyDescent="0.2">
      <c r="A21" s="1942"/>
      <c r="B21" s="2251" t="s">
        <v>7777</v>
      </c>
      <c r="C21" s="2251"/>
      <c r="D21" s="2251"/>
      <c r="E21" s="2251"/>
      <c r="F21" s="2251"/>
      <c r="G21" s="2269"/>
      <c r="H21" s="1958"/>
      <c r="I21" s="334"/>
      <c r="J21" s="2248" t="str">
        <f>IF($P$11=0,"",IF(I21="",reo,""))</f>
        <v/>
      </c>
      <c r="K21" s="1942"/>
      <c r="M21" s="1650">
        <f t="shared" si="0"/>
        <v>0</v>
      </c>
      <c r="N21" s="1650">
        <f>IF(I21="",0,1)</f>
      </c>
      <c r="S21" s="2191"/>
      <c r="T21" s="2191"/>
      <c r="U21" s="2191"/>
      <c r="X21" s="1650" t="s">
        <v>7774</v>
      </c>
    </row>
    <row r="22" spans="1:24" x14ac:dyDescent="0.2">
      <c r="A22" s="1942"/>
      <c r="B22" s="2251" t="s">
        <v>7778</v>
      </c>
      <c r="C22" s="2251"/>
      <c r="D22" s="2251"/>
      <c r="E22" s="2251"/>
      <c r="F22" s="2251"/>
      <c r="G22" s="2269"/>
      <c r="H22" s="1958"/>
      <c r="I22" s="334"/>
      <c r="J22" s="2248" t="str">
        <f>IF($P$11=0,"",IF(I22="",reo,""))</f>
        <v/>
      </c>
      <c r="K22" s="1942"/>
      <c r="M22" s="1650">
        <f t="shared" si="0"/>
        <v>0</v>
      </c>
      <c r="N22" s="1650">
        <f>IF(I22="",0,1)</f>
      </c>
      <c r="S22" s="2191"/>
      <c r="T22" s="2191"/>
      <c r="U22" s="2191"/>
      <c r="X22" s="1650" t="s">
        <v>7775</v>
      </c>
    </row>
    <row r="23" spans="1:24" x14ac:dyDescent="0.2">
      <c r="A23" s="1942"/>
      <c r="B23" s="2251" t="s">
        <v>7780</v>
      </c>
      <c r="C23" s="2251"/>
      <c r="D23" s="2251"/>
      <c r="E23" s="2251"/>
      <c r="F23" s="2251"/>
      <c r="G23" s="2269"/>
      <c r="H23" s="1958"/>
      <c r="I23" s="334"/>
      <c r="J23" s="2248" t="str">
        <f>IF($P$11=0,"",IF(I23="",reo,""))</f>
        <v/>
      </c>
      <c r="K23" s="1942"/>
      <c r="M23" s="1650">
        <f t="shared" si="0"/>
        <v>0</v>
      </c>
      <c r="N23" s="1650">
        <f>IF(I23="",0,1)</f>
      </c>
      <c r="S23" s="2191"/>
      <c r="T23" s="2191"/>
      <c r="U23" s="2191"/>
    </row>
    <row r="24" spans="1:24" x14ac:dyDescent="0.2">
      <c r="A24" s="1942"/>
      <c r="B24" s="2251" t="s">
        <v>7779</v>
      </c>
      <c r="C24" s="2251"/>
      <c r="D24" s="2251"/>
      <c r="E24" s="2251"/>
      <c r="F24" s="2251"/>
      <c r="G24" s="2269"/>
      <c r="H24" s="1958"/>
      <c r="I24" s="334"/>
      <c r="J24" s="2248" t="str">
        <f>IF($P$11=0,"",IF(I24="",reo,""))</f>
        <v/>
      </c>
      <c r="K24" s="1942"/>
      <c r="M24" s="1650">
        <f t="shared" si="0"/>
        <v>0</v>
      </c>
      <c r="N24" s="1650">
        <f>IF(I24="",0,1)</f>
      </c>
      <c r="S24" s="2191"/>
      <c r="T24" s="2191"/>
      <c r="U24" s="2191"/>
    </row>
    <row r="25" spans="1:24" x14ac:dyDescent="0.2">
      <c r="A25" s="1942"/>
      <c r="B25" s="2270" t="s">
        <v>7782</v>
      </c>
      <c r="C25" s="1942"/>
      <c r="D25" s="1942"/>
      <c r="E25" s="1942"/>
      <c r="F25" s="2251"/>
      <c r="G25" s="1958"/>
      <c r="H25" s="1958"/>
      <c r="I25" s="2202">
        <f>SUM(I20:I24)</f>
      </c>
      <c r="J25" s="2249" t="str">
        <f>IF($P$11=0,"",IF(AND(I25="",$P$11&gt;0),re,""))</f>
        <v/>
      </c>
      <c r="K25" s="2249" t="str">
        <f>IF($P$14=0,"",IF(AND($R$6=2014,N25=0),reo,IF(AND($R$6=2015,SUM(N25:O25)&lt;&gt;2),reo,IF(AND($R$6&gt;=2016,SUM(N25:P25)&lt;&gt;3),reo,IF(AG25&lt;&gt;0,"Delete!","")))))</f>
        <v/>
      </c>
      <c r="M25" s="1650">
        <f t="shared" si="0"/>
        <v>0</v>
      </c>
      <c r="N25" s="1650">
        <f>IF(I25="",0,1)</f>
      </c>
      <c r="T25" s="1650" t="str">
        <f>J25</f>
        <v/>
      </c>
    </row>
    <row r="26" spans="1:24" x14ac:dyDescent="0.2">
      <c r="A26" s="1942"/>
      <c r="B26" s="2239" t="s">
        <v>7764</v>
      </c>
      <c r="C26" s="1942"/>
      <c r="D26" s="1942"/>
      <c r="E26" s="1942"/>
      <c r="F26" s="2251"/>
      <c r="G26" s="1958"/>
      <c r="H26" s="1958"/>
      <c r="I26" s="2193" t="str">
        <f>IF(I25="","",IF($I$13=S8,T8,IF($I$13=S9,T9,IF($I$13=S10,T10,""))))</f>
        <v/>
      </c>
      <c r="J26" s="1942"/>
      <c r="K26" s="2248"/>
    </row>
    <row r="27" spans="1:24" x14ac:dyDescent="0.2">
      <c r="A27" s="1942"/>
      <c r="B27" s="2239" t="s">
        <v>7784</v>
      </c>
      <c r="C27" s="1942"/>
      <c r="D27" s="1942"/>
      <c r="E27" s="1942"/>
      <c r="F27" s="2251"/>
      <c r="G27" s="1958"/>
      <c r="H27" s="1958"/>
      <c r="I27" s="346" t="str">
        <f>IF(I26="","",ROUND(I25*I26,0))</f>
        <v/>
      </c>
      <c r="J27" s="1942"/>
      <c r="K27" s="2248"/>
    </row>
    <row r="28" spans="1:24" x14ac:dyDescent="0.2">
      <c r="A28" s="1942"/>
      <c r="B28" s="2238"/>
      <c r="C28" s="2238"/>
      <c r="D28" s="1942"/>
      <c r="E28" s="1942"/>
      <c r="F28" s="2250"/>
      <c r="G28" s="2250"/>
      <c r="H28" s="1942"/>
      <c r="I28" s="2271"/>
      <c r="J28" s="1942"/>
      <c r="K28" s="2248"/>
    </row>
    <row r="29" spans="1:24" x14ac:dyDescent="0.2">
      <c r="A29" s="1942"/>
      <c r="B29" s="5169" t="s">
        <v>4996</v>
      </c>
      <c r="C29" s="5169"/>
      <c r="D29" s="5169"/>
      <c r="E29" s="5169"/>
      <c r="F29" s="5169"/>
      <c r="G29" s="5169"/>
      <c r="H29" s="5169"/>
      <c r="I29" s="2271"/>
      <c r="J29" s="1942"/>
      <c r="K29" s="2248"/>
      <c r="R29" s="1650" t="s">
        <v>4963</v>
      </c>
      <c r="T29" s="1650" t="s">
        <v>4012</v>
      </c>
    </row>
    <row r="30" spans="1:24" x14ac:dyDescent="0.2">
      <c r="A30" s="1942"/>
      <c r="B30" s="1935" t="s">
        <v>7788</v>
      </c>
      <c r="C30" s="1942"/>
      <c r="D30" s="2253"/>
      <c r="E30" s="1942"/>
      <c r="F30" s="1942"/>
      <c r="G30" s="2253"/>
      <c r="H30" s="1942"/>
      <c r="I30" s="346" t="str">
        <f>I27</f>
        <v/>
      </c>
      <c r="J30" s="2265"/>
      <c r="K30" s="2248"/>
      <c r="R30" s="2195">
        <f>IF(I30="",0,I30)</f>
      </c>
      <c r="T30" s="2195">
        <f>R30</f>
      </c>
    </row>
    <row r="31" spans="1:24" x14ac:dyDescent="0.2">
      <c r="A31" s="1942"/>
      <c r="B31" s="1935" t="s">
        <v>7787</v>
      </c>
      <c r="C31" s="1942"/>
      <c r="D31" s="2253"/>
      <c r="E31" s="1942"/>
      <c r="F31" s="1942"/>
      <c r="G31" s="2253"/>
      <c r="H31" s="1942"/>
      <c r="I31" s="334"/>
      <c r="J31" s="2248" t="str">
        <f>IF($P$11=0,"",IF(AND(R6=2017,I31&gt;0),"Delete!",IF(AND(R6&gt;2017,I31=""),reo,"")))</f>
        <v/>
      </c>
      <c r="K31" s="2248"/>
      <c r="M31" s="1650">
        <f>IF(J31&lt;&gt;"",1,0)</f>
      </c>
      <c r="N31" s="1650">
        <f>IF(I31="",0,1)</f>
      </c>
      <c r="R31" s="2195">
        <f>IF(R6=2017,0,I31)</f>
      </c>
      <c r="T31" s="2195">
        <f>R31</f>
      </c>
    </row>
    <row r="32" spans="1:24" x14ac:dyDescent="0.2">
      <c r="A32" s="1942"/>
      <c r="B32" s="1935" t="s">
        <v>6222</v>
      </c>
      <c r="C32" s="1942"/>
      <c r="D32" s="1942"/>
      <c r="E32" s="1942"/>
      <c r="F32" s="1942"/>
      <c r="G32" s="2255"/>
      <c r="H32" s="1942"/>
      <c r="I32" s="334"/>
      <c r="J32" s="2248" t="str">
        <f>IF($P$11=0,"",IF(AND(R6=2017,I32&gt;0),"Delete!",IF(AND(R6&gt;2017,I32=""),reo,"")))</f>
        <v/>
      </c>
      <c r="K32" s="2251"/>
      <c r="M32" s="1650">
        <f>IF(J32&lt;&gt;"",1,0)</f>
      </c>
      <c r="N32" s="1650">
        <f>IF(I32="",0,1)</f>
      </c>
      <c r="R32" s="2195">
        <f>IF(R6=2017,0,I32)</f>
      </c>
      <c r="T32" s="2195">
        <f>R32</f>
      </c>
    </row>
    <row r="33" spans="1:20" ht="4.5" customHeight="1" x14ac:dyDescent="0.2">
      <c r="A33" s="1942"/>
      <c r="B33" s="1935"/>
      <c r="C33" s="1942"/>
      <c r="D33" s="2253"/>
      <c r="E33" s="1942"/>
      <c r="F33" s="1942"/>
      <c r="G33" s="2253"/>
      <c r="H33" s="1942"/>
      <c r="I33" s="2237"/>
      <c r="J33" s="1942"/>
      <c r="K33" s="2248"/>
    </row>
    <row r="34" spans="1:20" x14ac:dyDescent="0.2">
      <c r="A34" s="1942"/>
      <c r="B34" s="1935" t="s">
        <v>7456</v>
      </c>
      <c r="C34" s="1942"/>
      <c r="D34" s="1942"/>
      <c r="E34" s="1942"/>
      <c r="F34" s="1942"/>
      <c r="G34" s="2255"/>
      <c r="H34" s="1942"/>
      <c r="I34" s="346" t="str">
        <f>IF(R30+R32=0,"",R34)</f>
        <v/>
      </c>
      <c r="J34" s="2265"/>
      <c r="K34" s="2248"/>
      <c r="R34" s="2195">
        <f>IF(R32="",0,R30+R32)</f>
      </c>
      <c r="T34" s="2195">
        <f>SUM(T30:T32)</f>
      </c>
    </row>
    <row r="35" spans="1:20" x14ac:dyDescent="0.2">
      <c r="A35" s="1942"/>
      <c r="B35" s="1935" t="s">
        <v>6223</v>
      </c>
      <c r="C35" s="1942"/>
      <c r="D35" s="1942"/>
      <c r="E35" s="1942"/>
      <c r="F35" s="1942"/>
      <c r="G35" s="1942"/>
      <c r="H35" s="2256" t="s">
        <v>951</v>
      </c>
      <c r="I35" s="334"/>
      <c r="J35" s="2248" t="str">
        <f>IF(P11=0,"",IF(AND(P11&gt;0,I35=""),reo,IF(R35&gt;R34,"Excessive!","")))</f>
        <v/>
      </c>
      <c r="K35" s="2251"/>
      <c r="M35" s="1650">
        <f>IF(J35&lt;&gt;"",1,0)</f>
      </c>
      <c r="N35" s="1650">
        <f>IF(I35="",0,1)</f>
      </c>
      <c r="R35" s="2195">
        <f>I35</f>
      </c>
    </row>
    <row r="36" spans="1:20" x14ac:dyDescent="0.2">
      <c r="A36" s="1942"/>
      <c r="B36" s="1935" t="s">
        <v>3566</v>
      </c>
      <c r="C36" s="1942"/>
      <c r="D36" s="1942"/>
      <c r="E36" s="1942"/>
      <c r="F36" s="1942"/>
      <c r="G36" s="1942"/>
      <c r="H36" s="1942"/>
      <c r="I36" s="346" t="str">
        <f>R36</f>
        <v/>
      </c>
      <c r="J36" s="2265"/>
      <c r="K36" s="2248"/>
      <c r="R36" s="2197" t="str">
        <f>IF(R34=0,"",IF(R34&gt;R35,R34-R35,""))</f>
        <v/>
      </c>
    </row>
    <row r="37" spans="1:20" x14ac:dyDescent="0.2">
      <c r="A37" s="1942"/>
      <c r="B37" s="1942"/>
      <c r="C37" s="2251"/>
      <c r="D37" s="2272" t="str">
        <f>IF(AND(X11=Y11,T34&gt;1000000),"Total aid claimed exceed €1,000,000 threshold","")</f>
        <v/>
      </c>
      <c r="E37" s="1942"/>
      <c r="F37" s="1942"/>
      <c r="G37" s="1942"/>
      <c r="H37" s="1942"/>
      <c r="I37" s="2237"/>
      <c r="J37" s="1942"/>
      <c r="K37" s="2248"/>
      <c r="M37" s="1650">
        <f>IF(D37&lt;&gt;"",1,0)</f>
      </c>
    </row>
    <row r="38" spans="1:20" x14ac:dyDescent="0.2">
      <c r="A38" s="1942"/>
      <c r="B38" s="1942"/>
      <c r="C38" s="1942"/>
      <c r="D38" s="1942"/>
      <c r="E38" s="2239"/>
      <c r="F38" s="2257"/>
      <c r="G38" s="2257"/>
      <c r="H38" s="1942"/>
      <c r="I38" s="2237"/>
      <c r="J38" s="1942"/>
      <c r="K38" s="2248"/>
    </row>
    <row r="39" spans="1:20" x14ac:dyDescent="0.2">
      <c r="A39" s="1942"/>
      <c r="B39" s="5092" t="s">
        <v>5708</v>
      </c>
      <c r="C39" s="5093"/>
      <c r="D39" s="5093"/>
      <c r="E39" s="5093"/>
      <c r="F39" s="5093"/>
      <c r="G39" s="5093"/>
      <c r="H39" s="2200" t="s">
        <v>951</v>
      </c>
      <c r="I39" s="1542"/>
      <c r="J39" s="2248" t="str">
        <f>IF($P$11=0,"",IF(AND(I35&gt;=0,I39=""),reo,IF(AND(I35=0,I39&gt;0),"No tax relieved!","")))</f>
        <v/>
      </c>
      <c r="K39" s="1942"/>
      <c r="M39" s="1650">
        <f>IF(J39&lt;&gt;"",1,0)</f>
      </c>
      <c r="N39" s="1650">
        <f>IF(I39="",0,1)</f>
      </c>
      <c r="S39" s="1736">
        <f>ROUND(I35/0.05,0)+1</f>
      </c>
      <c r="T39" s="1736">
        <f>ROUND(I35/0.35,0)-1</f>
      </c>
    </row>
    <row r="40" spans="1:20" x14ac:dyDescent="0.2">
      <c r="A40" s="1942"/>
      <c r="B40" s="1942"/>
      <c r="C40" s="1942"/>
      <c r="D40" s="1942"/>
      <c r="E40" s="1942"/>
      <c r="F40" s="2258" t="str">
        <f>IF(I39="","",IF(OR(I39&gt;S39,I39&lt;T39),ck,""))</f>
        <v/>
      </c>
      <c r="G40" s="2258"/>
      <c r="H40" s="2251"/>
      <c r="I40" s="2273" t="s">
        <v>1020</v>
      </c>
      <c r="J40" s="2248"/>
      <c r="K40" s="1942"/>
    </row>
    <row r="41" spans="1:20" x14ac:dyDescent="0.2">
      <c r="A41" s="1942"/>
      <c r="B41" s="1942"/>
      <c r="C41" s="1942"/>
      <c r="D41" s="1942"/>
      <c r="E41" s="1942"/>
      <c r="F41" s="2259"/>
      <c r="G41" s="2238" t="s">
        <v>7803</v>
      </c>
      <c r="H41" s="1740"/>
      <c r="I41" s="2274" t="str">
        <f>IF($P$11=0,"",IF(H41="",re,IF(AND(P41="n",I35&gt;0),"No benefit!","")))</f>
        <v/>
      </c>
      <c r="J41" s="2251"/>
      <c r="K41" s="1942"/>
      <c r="M41" s="1650">
        <f>IF(I41&lt;&gt;"",1,0)</f>
      </c>
      <c r="N41" s="1650">
        <f>IF(H41="",0,1)</f>
      </c>
      <c r="P41" s="1650" t="str">
        <f>IF(H41="yes","Y","n")</f>
      </c>
    </row>
    <row r="42" spans="1:20" x14ac:dyDescent="0.2">
      <c r="A42" s="1942"/>
      <c r="B42" s="1942"/>
      <c r="C42" s="1942"/>
      <c r="D42" s="1942"/>
      <c r="E42" s="1942"/>
      <c r="F42" s="2259"/>
      <c r="G42" s="2259"/>
      <c r="H42" s="2259"/>
      <c r="I42" s="2263"/>
      <c r="J42" s="1942"/>
      <c r="K42" s="1942"/>
    </row>
    <row r="43" spans="1:20" x14ac:dyDescent="0.2">
      <c r="A43" s="1942"/>
      <c r="B43" s="1942"/>
      <c r="C43" s="2260"/>
      <c r="D43" s="2260"/>
      <c r="E43" s="1942"/>
      <c r="F43" s="2259"/>
      <c r="G43" s="2261" t="s">
        <v>7804</v>
      </c>
      <c r="H43" s="1740"/>
      <c r="I43" s="2259" t="str">
        <f>IF(P11=0,"",IF(H43="",re,""))</f>
        <v/>
      </c>
      <c r="J43" s="1942"/>
      <c r="K43" s="1942"/>
      <c r="M43" s="1650">
        <f>IF(I43&lt;&gt;"",1,0)</f>
      </c>
      <c r="N43" s="1650">
        <f>IF(H43="",0,1)</f>
      </c>
      <c r="P43" s="1650" t="str">
        <f>IF(H43="yes","Y","n")</f>
      </c>
    </row>
    <row r="44" spans="1:20" x14ac:dyDescent="0.2">
      <c r="A44" s="1942"/>
      <c r="B44" s="1942"/>
      <c r="C44" s="1942"/>
      <c r="D44" s="1942"/>
      <c r="E44" s="1942"/>
      <c r="F44" s="2257"/>
      <c r="G44" s="2257"/>
      <c r="H44" s="1942"/>
      <c r="I44" s="1942"/>
      <c r="J44" s="1942"/>
      <c r="K44" s="1942"/>
      <c r="N44" s="1650">
        <f>SUM(N11:N43)</f>
      </c>
    </row>
    <row r="45" spans="1:20" x14ac:dyDescent="0.2">
      <c r="A45" s="1942"/>
      <c r="B45" s="1942"/>
      <c r="C45" s="1942"/>
      <c r="D45" s="1942"/>
      <c r="E45" s="1942"/>
      <c r="F45" s="2257"/>
      <c r="G45" s="2257"/>
      <c r="H45" s="1942"/>
      <c r="I45" s="1942"/>
      <c r="J45" s="1942"/>
      <c r="K45" s="1942"/>
      <c r="M45" s="1650">
        <f>SUM(M11:M43)</f>
      </c>
    </row>
    <row r="46" spans="1:20" x14ac:dyDescent="0.2">
      <c r="A46" s="1935" t="str">
        <f>_xlfn.SINGLE(MTCA)</f>
      </c>
      <c r="B46" s="1942"/>
      <c r="C46" s="1942"/>
      <c r="D46" s="1942"/>
      <c r="E46" s="1936"/>
      <c r="F46" s="1935" t="str">
        <f>ver</f>
        <v>TA2_e-CO_2025_Ver 1.1</v>
      </c>
      <c r="G46" s="2257"/>
      <c r="H46" s="1942"/>
      <c r="I46" s="1938" t="s">
        <v>7800</v>
      </c>
      <c r="J46" s="1942"/>
      <c r="K46" s="1942"/>
    </row>
    <row r="47" spans="1:20" x14ac:dyDescent="0.2"/>
    <row r="48" spans="1:20" x14ac:dyDescent="0.2">
      <c r="B48" s="493" t="s">
        <v>6290</v>
      </c>
      <c r="C48" s="493"/>
      <c r="M48" s="1650">
        <f>IF(P11=0,0,IF(M45&lt;&gt;0,100,IF(P43="Y",1,100)))</f>
      </c>
    </row>
    <row r="53" spans="12:25" s="1736" customFormat="1" ht="12.75" hidden="1" customHeight="1" x14ac:dyDescent="0.2">
      <c r="L53" s="1650"/>
      <c r="M53" s="1650"/>
      <c r="N53" s="1650"/>
      <c r="O53" s="1650"/>
      <c r="P53" s="1650"/>
      <c r="Q53" s="1650"/>
      <c r="R53" s="1650"/>
      <c r="S53" s="1650"/>
      <c r="T53" s="1650"/>
      <c r="U53" s="1650"/>
      <c r="V53" s="1650"/>
      <c r="W53" s="1650"/>
      <c r="X53" s="1650"/>
      <c r="Y53" s="1650"/>
    </row>
    <row r="54" spans="12:25" s="1736" customFormat="1" ht="12.75" hidden="1" customHeight="1" x14ac:dyDescent="0.2">
      <c r="L54" s="1650"/>
      <c r="M54" s="1650"/>
      <c r="N54" s="1650"/>
      <c r="O54" s="1650"/>
      <c r="P54" s="1650"/>
      <c r="Q54" s="1650"/>
      <c r="R54" s="1650"/>
      <c r="S54" s="1650"/>
      <c r="T54" s="1650"/>
      <c r="U54" s="1650"/>
      <c r="V54" s="1650"/>
      <c r="W54" s="1650"/>
      <c r="X54" s="1650"/>
      <c r="Y54" s="1650"/>
    </row>
    <row r="55" spans="12:25" s="1736" customFormat="1" ht="12.75" hidden="1" customHeight="1" x14ac:dyDescent="0.2">
      <c r="L55" s="1650"/>
      <c r="M55" s="1650"/>
      <c r="N55" s="1650"/>
      <c r="O55" s="1650"/>
      <c r="P55" s="1650"/>
      <c r="Q55" s="1650"/>
      <c r="R55" s="1650"/>
      <c r="S55" s="1650"/>
      <c r="T55" s="1650"/>
      <c r="U55" s="1650"/>
      <c r="V55" s="1650"/>
      <c r="W55" s="1650"/>
      <c r="X55" s="1650"/>
      <c r="Y55" s="1650"/>
    </row>
    <row r="56" spans="12:25" s="1736" customFormat="1" ht="12.75" hidden="1" customHeight="1" x14ac:dyDescent="0.2">
      <c r="L56" s="1650"/>
      <c r="M56" s="1650"/>
      <c r="N56" s="1650"/>
      <c r="O56" s="1650"/>
      <c r="P56" s="1650"/>
      <c r="Q56" s="1650"/>
      <c r="R56" s="1650"/>
      <c r="S56" s="1650"/>
      <c r="T56" s="1650"/>
      <c r="U56" s="1650"/>
      <c r="V56" s="1650"/>
      <c r="W56" s="1650"/>
      <c r="X56" s="1650"/>
      <c r="Y56" s="1650"/>
    </row>
  </sheetData>
  <sheetProtection algorithmName="SHA-512" hashValue="1IZq/J/4DSGwdvYXa8U4IwWMjutNb+wF54Y2SD6D+Yi0ONbSmKARa7FLmdihS76PNz+peINxzvt7/pFBN82shw==" saltValue="/OVTOSm3TsuhcDg37pDKew==" spinCount="100000" sheet="1" objects="1" scenarios="1"/>
  <mergeCells count="5">
    <mergeCell ref="A1:H1"/>
    <mergeCell ref="D15:I15"/>
    <mergeCell ref="B18:G18"/>
    <mergeCell ref="B29:H29"/>
    <mergeCell ref="B39:G39"/>
  </mergeCells>
  <conditionalFormatting sqref="H20 I21:I24">
    <cfRule type="expression" dxfId="376" priority="7" stopIfTrue="1">
      <formula>$R$6&lt;2015</formula>
    </cfRule>
  </conditionalFormatting>
  <conditionalFormatting sqref="I31">
    <cfRule type="expression" dxfId="375" priority="2">
      <formula>$I$31&lt;&gt;$R$31</formula>
    </cfRule>
  </conditionalFormatting>
  <conditionalFormatting sqref="I32">
    <cfRule type="expression" dxfId="374" priority="6">
      <formula>$I$32&lt;&gt;$R$32</formula>
    </cfRule>
  </conditionalFormatting>
  <dataValidations count="15">
    <dataValidation type="whole" allowBlank="1" showInputMessage="1" showErrorMessage="1" errorTitle="Value" error="Please a positive amount which is less than the credit available!" sqref="I35" xr:uid="{00000000-0002-0000-4F00-000000000000}">
      <formula1>0</formula1>
      <formula2>I34</formula2>
    </dataValidation>
    <dataValidation type="whole" allowBlank="1" showInputMessage="1" showErrorMessage="1" errorTitle="Income on which tax relieved" error="Please enter the correct amount!" sqref="I39" xr:uid="{00000000-0002-0000-4F00-000001000000}">
      <formula1>T39</formula1>
      <formula2>S39</formula2>
    </dataValidation>
    <dataValidation type="date" errorStyle="warning" allowBlank="1" showInputMessage="1" showErrorMessage="1" errorTitle="Date of approval" error="Please enter the correct date!" promptTitle="Date format" prompt="dd/mm/yyyy" sqref="F13" xr:uid="{00000000-0002-0000-4F00-000002000000}">
      <formula1>S19</formula1>
      <formula2>T18</formula2>
    </dataValidation>
    <dataValidation type="date" allowBlank="1" showInputMessage="1" showErrorMessage="1" errorTitle="Date of approval" error="Please enter the correct date!" promptTitle="Date format" prompt="dd/mm/yyyy" sqref="G23:G24" xr:uid="{00000000-0002-0000-4F00-000003000000}">
      <formula1>T23</formula1>
      <formula2>U21</formula2>
    </dataValidation>
    <dataValidation type="date" allowBlank="1" showInputMessage="1" showErrorMessage="1" errorTitle="Date of approval" error="Please enter the correct date!" promptTitle="Date format" prompt="dd/mm/yyyy" sqref="G22" xr:uid="{00000000-0002-0000-4F00-000004000000}">
      <formula1>T22</formula1>
      <formula2>U19</formula2>
    </dataValidation>
    <dataValidation type="date" allowBlank="1" showInputMessage="1" showErrorMessage="1" errorTitle="Date of approval" error="Please enter the correct date!" promptTitle="Date format" prompt="dd/mm/yyyy" sqref="G21" xr:uid="{00000000-0002-0000-4F00-000005000000}">
      <formula1>T21</formula1>
      <formula2>#REF!</formula2>
    </dataValidation>
    <dataValidation type="list" showInputMessage="1" showErrorMessage="1" sqref="H43 H41" xr:uid="{00000000-0002-0000-4F00-000006000000}">
      <formula1>yn</formula1>
    </dataValidation>
    <dataValidation allowBlank="1" showInputMessage="1" showErrorMessage="1" errorTitle="Total Eligible Costs" error="Total eligible costs cannot be more than €20,000 or equivalent!" sqref="I36:J36 R36" xr:uid="{00000000-0002-0000-4F00-000007000000}"/>
    <dataValidation type="whole" operator="greaterThanOrEqual" allowBlank="1" showInputMessage="1" showErrorMessage="1" sqref="I31:I32" xr:uid="{00000000-0002-0000-4F00-000008000000}">
      <formula1>0</formula1>
    </dataValidation>
    <dataValidation operator="greaterThan" allowBlank="1" showInputMessage="1" showErrorMessage="1" errorTitle="Value" error="Please a positive amount!" sqref="U32" xr:uid="{00000000-0002-0000-4F00-000009000000}"/>
    <dataValidation type="whole" operator="greaterThanOrEqual" allowBlank="1" showInputMessage="1" showErrorMessage="1" errorTitle="Value" error="Please a positive amount!" sqref="I21:I25 H20" xr:uid="{00000000-0002-0000-4F00-00000A000000}">
      <formula1>0</formula1>
    </dataValidation>
    <dataValidation type="list" allowBlank="1" showInputMessage="1" showErrorMessage="1" sqref="I13" xr:uid="{00000000-0002-0000-4F00-00000B000000}">
      <formula1>$S$7:$S$10</formula1>
    </dataValidation>
    <dataValidation type="textLength" operator="greaterThanOrEqual" allowBlank="1" showInputMessage="1" showErrorMessage="1" errorTitle="Certificate number" error="Please enter the correct reference!" sqref="F11:F12" xr:uid="{00000000-0002-0000-4F00-00000C000000}">
      <formula1>4</formula1>
    </dataValidation>
    <dataValidation type="whole" operator="greaterThan" allowBlank="1" showInputMessage="1" showErrorMessage="1" errorTitle="Value" error="Please a positive amount!" sqref="R25:U25" xr:uid="{00000000-0002-0000-4F00-00000D000000}">
      <formula1>0</formula1>
    </dataValidation>
    <dataValidation type="list" allowBlank="1" showInputMessage="1" showErrorMessage="1" sqref="D15:I15" xr:uid="{00000000-0002-0000-4F00-00000E000000}">
      <formula1>$X$15:$X$22</formula1>
    </dataValidation>
  </dataValidations>
  <hyperlinks>
    <hyperlink ref="B48" location="Index!B77" display="B A C K   T O   I N D E X" xr:uid="{00000000-0004-0000-4F00-000000000000}"/>
    <hyperlink ref="H39" location="TRA35!A21" display="TRA 35" xr:uid="{00000000-0004-0000-4F00-000001000000}"/>
    <hyperlink ref="H35" location="TRA35!A21" display="TRA 35" xr:uid="{00000000-0004-0000-4F00-000002000000}"/>
  </hyperlinks>
  <printOptions horizontalCentered="1" verticalCentered="1"/>
  <pageMargins left="0.31496062992125984" right="0.39370078740157483" top="0.28000000000000003" bottom="0.74803149606299213" header="0.31496062992125984" footer="0.31496062992125984"/>
  <pageSetup paperSize="9" orientation="landscape" r:id="rId1"/>
  <headerFooter>
    <oddFooter>&amp;LName&amp;CSignature&amp;RDate</oddFoot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8"/>
  <dimension ref="A1:X45"/>
  <sheetViews>
    <sheetView showGridLines="0" workbookViewId="0">
      <selection activeCell="I16" sqref="I16"/>
    </sheetView>
  </sheetViews>
  <sheetFormatPr defaultColWidth="0" defaultRowHeight="12.75" customHeight="1" zeroHeight="1" x14ac:dyDescent="0.2"/>
  <cols>
    <col min="1" max="1" width="4.28515625" style="1736" customWidth="1"/>
    <col min="2" max="2" width="31.28515625" style="1736" customWidth="1"/>
    <col min="3" max="3" width="4.28515625" style="1736" customWidth="1"/>
    <col min="4" max="4" width="10.28515625" style="1736" customWidth="1"/>
    <col min="5" max="8" width="10.7109375" style="1736" customWidth="1"/>
    <col min="9" max="9" width="4" style="1736" customWidth="1"/>
    <col min="10" max="10" width="17.5703125" style="1736" customWidth="1"/>
    <col min="11" max="11" width="3" style="1960" hidden="1" customWidth="1"/>
    <col min="12" max="12" width="4.28515625" style="1960" hidden="1" customWidth="1"/>
    <col min="13" max="14" width="4.7109375" style="1960" hidden="1" customWidth="1"/>
    <col min="15" max="15" width="8.7109375" style="1960" hidden="1" customWidth="1"/>
    <col min="16" max="16" width="5.7109375" style="1960" hidden="1" customWidth="1"/>
    <col min="17" max="17" width="9.7109375" style="1960" hidden="1" customWidth="1"/>
    <col min="18" max="18" width="10.42578125" style="1960" hidden="1" customWidth="1"/>
    <col min="19" max="19" width="10.28515625" style="1960" hidden="1" customWidth="1"/>
    <col min="20" max="20" width="12" style="1960" hidden="1" customWidth="1"/>
    <col min="21" max="21" width="8.42578125" style="1960" hidden="1" customWidth="1"/>
    <col min="22" max="22" width="10.28515625" style="1960" hidden="1" customWidth="1"/>
    <col min="23" max="23" width="11.7109375" style="1960" hidden="1" customWidth="1"/>
    <col min="24" max="16384" width="9.28515625" style="1960" hidden="1"/>
  </cols>
  <sheetData>
    <row r="1" spans="1:24" x14ac:dyDescent="0.2">
      <c r="A1" s="4687" t="str">
        <f>_ref1</f>
      </c>
      <c r="B1" s="4687"/>
      <c r="C1" s="4687"/>
      <c r="D1" s="4687"/>
      <c r="E1" s="4687"/>
      <c r="F1" s="4687"/>
      <c r="G1" s="4687"/>
      <c r="H1" s="1938" t="str">
        <f>_YA1</f>
      </c>
      <c r="I1" s="1936"/>
      <c r="J1" s="1938"/>
      <c r="R1" s="1960" t="s">
        <v>7753</v>
      </c>
    </row>
    <row r="2" spans="1:24" x14ac:dyDescent="0.2">
      <c r="A2" s="1942"/>
      <c r="B2" s="1942"/>
      <c r="C2" s="1942"/>
      <c r="D2" s="1942"/>
      <c r="E2" s="1942"/>
      <c r="F2" s="1942"/>
      <c r="G2" s="1942"/>
      <c r="H2" s="1942"/>
      <c r="I2" s="1942"/>
      <c r="J2" s="1942"/>
      <c r="R2" s="1960" t="s">
        <v>3445</v>
      </c>
      <c r="S2" s="1960" t="s">
        <v>7752</v>
      </c>
    </row>
    <row r="3" spans="1:24" hidden="1" x14ac:dyDescent="0.2">
      <c r="A3" s="1736" t="s">
        <v>3447</v>
      </c>
      <c r="B3" s="1736" t="s">
        <v>3448</v>
      </c>
      <c r="D3" s="1887">
        <v>500000</v>
      </c>
      <c r="R3" s="1960" t="s">
        <v>3449</v>
      </c>
      <c r="S3" s="1960" t="s">
        <v>3993</v>
      </c>
    </row>
    <row r="4" spans="1:24" hidden="1" x14ac:dyDescent="0.2">
      <c r="B4" s="1760" t="s">
        <v>3451</v>
      </c>
      <c r="C4" s="1760"/>
      <c r="D4" s="1887">
        <v>25000</v>
      </c>
    </row>
    <row r="6" spans="1:24" ht="14.25" x14ac:dyDescent="0.2">
      <c r="A6" s="1942"/>
      <c r="B6" s="2096" t="s">
        <v>7751</v>
      </c>
      <c r="C6" s="1658"/>
      <c r="D6" s="1658"/>
      <c r="E6" s="1658"/>
      <c r="F6" s="1658"/>
      <c r="G6" s="1658"/>
      <c r="H6" s="1659"/>
      <c r="I6" s="1942"/>
      <c r="J6" s="1942"/>
      <c r="P6" s="1960" t="s">
        <v>3994</v>
      </c>
      <c r="Q6" s="1960">
        <f>ya</f>
      </c>
    </row>
    <row r="7" spans="1:24" ht="14.25" x14ac:dyDescent="0.2">
      <c r="A7" s="1942"/>
      <c r="B7" s="2190" t="s">
        <v>7750</v>
      </c>
      <c r="C7" s="1663"/>
      <c r="D7" s="1663"/>
      <c r="E7" s="1663"/>
      <c r="F7" s="1663"/>
      <c r="G7" s="1663"/>
      <c r="H7" s="1664"/>
      <c r="I7" s="1942"/>
      <c r="J7" s="1942"/>
    </row>
    <row r="8" spans="1:24" x14ac:dyDescent="0.2">
      <c r="A8" s="1942"/>
      <c r="B8" s="1942"/>
      <c r="C8" s="1942"/>
      <c r="D8" s="1942"/>
      <c r="E8" s="1942"/>
      <c r="F8" s="1942"/>
      <c r="G8" s="1942"/>
      <c r="H8" s="1942"/>
      <c r="I8" s="1942"/>
      <c r="J8" s="1942"/>
      <c r="L8" s="1960" t="s">
        <v>7754</v>
      </c>
      <c r="M8" s="1960" t="s">
        <v>7161</v>
      </c>
      <c r="R8" s="1960" t="s">
        <v>3274</v>
      </c>
      <c r="S8" s="2275">
        <v>0.65</v>
      </c>
      <c r="T8" s="1960" t="s">
        <v>7756</v>
      </c>
    </row>
    <row r="9" spans="1:24" x14ac:dyDescent="0.2">
      <c r="A9" s="1942"/>
      <c r="B9" s="5171" t="s">
        <v>6317</v>
      </c>
      <c r="C9" s="5171"/>
      <c r="D9" s="5171"/>
      <c r="E9" s="5171"/>
      <c r="F9" s="5171"/>
      <c r="G9" s="1942"/>
      <c r="H9" s="1942"/>
      <c r="I9" s="1942"/>
      <c r="J9" s="1942"/>
      <c r="R9" s="1960" t="s">
        <v>3281</v>
      </c>
      <c r="S9" s="2275">
        <v>0.55000000000000004</v>
      </c>
      <c r="T9" s="1960" t="s">
        <v>7757</v>
      </c>
    </row>
    <row r="10" spans="1:24" x14ac:dyDescent="0.2">
      <c r="A10" s="1942"/>
      <c r="B10" s="1942"/>
      <c r="C10" s="1942"/>
      <c r="D10" s="1942"/>
      <c r="E10" s="1942"/>
      <c r="F10" s="1942"/>
      <c r="G10" s="1942"/>
      <c r="H10" s="1942"/>
      <c r="I10" s="1942"/>
      <c r="J10" s="1942"/>
      <c r="R10" s="1960" t="s">
        <v>3282</v>
      </c>
      <c r="S10" s="2275">
        <v>0.45</v>
      </c>
    </row>
    <row r="11" spans="1:24" x14ac:dyDescent="0.2">
      <c r="A11" s="1942"/>
      <c r="B11" s="1958"/>
      <c r="C11" s="2238" t="s">
        <v>7755</v>
      </c>
      <c r="D11" s="1942"/>
      <c r="E11" s="5170"/>
      <c r="F11" s="5170"/>
      <c r="G11" s="2248" t="str">
        <f>IF($O$11=0,"",IF(E11="",re,""))</f>
        <v/>
      </c>
      <c r="H11" s="1942"/>
      <c r="I11" s="1942"/>
      <c r="J11" s="2248" t="s">
        <v>1020</v>
      </c>
      <c r="L11" s="1960">
        <f>IF(G11&lt;&gt;"",1,0)</f>
      </c>
      <c r="M11" s="1960">
        <f>IF(E11="",0,1)</f>
      </c>
      <c r="O11" s="1960">
        <f>COUNTA(E11,F15,E13,F16,F17,F18,F26,F30,G35)</f>
      </c>
      <c r="W11" s="1485" t="str">
        <f>cur</f>
      </c>
      <c r="X11" s="1736" t="s">
        <v>4591</v>
      </c>
    </row>
    <row r="12" spans="1:24" x14ac:dyDescent="0.2">
      <c r="A12" s="1942"/>
      <c r="B12" s="1958"/>
      <c r="C12" s="2252"/>
      <c r="D12" s="1942"/>
      <c r="E12" s="1942"/>
      <c r="F12" s="1942"/>
      <c r="G12" s="1942"/>
      <c r="H12" s="1942"/>
      <c r="I12" s="1942"/>
      <c r="J12" s="2248"/>
    </row>
    <row r="13" spans="1:24" x14ac:dyDescent="0.2">
      <c r="A13" s="1942"/>
      <c r="B13" s="1958"/>
      <c r="C13" s="2238" t="s">
        <v>7758</v>
      </c>
      <c r="D13" s="1942"/>
      <c r="E13" s="5170"/>
      <c r="F13" s="5170"/>
      <c r="G13" s="2248" t="str">
        <f>IF($O$11=0,"",IF(E13="",re,""))</f>
        <v/>
      </c>
      <c r="H13" s="1942"/>
      <c r="I13" s="1942"/>
      <c r="J13" s="2248"/>
      <c r="L13" s="1960">
        <f>IF(G13&lt;&gt;"",1,0)</f>
      </c>
      <c r="M13" s="1960">
        <f>IF(E13="",0,1)</f>
      </c>
    </row>
    <row r="14" spans="1:24" x14ac:dyDescent="0.2">
      <c r="A14" s="1942"/>
      <c r="B14" s="1958"/>
      <c r="C14" s="1942"/>
      <c r="D14" s="1942"/>
      <c r="E14" s="1942"/>
      <c r="F14" s="1942"/>
      <c r="G14" s="1942"/>
      <c r="H14" s="1942"/>
      <c r="I14" s="1942"/>
      <c r="J14" s="1942"/>
      <c r="R14" s="1960" t="s">
        <v>7763</v>
      </c>
      <c r="T14" s="1960">
        <v>15000</v>
      </c>
    </row>
    <row r="15" spans="1:24" x14ac:dyDescent="0.2">
      <c r="A15" s="1942"/>
      <c r="B15" s="1942"/>
      <c r="C15" s="1942"/>
      <c r="D15" s="2238" t="s">
        <v>7759</v>
      </c>
      <c r="E15" s="1958"/>
      <c r="F15" s="2276"/>
      <c r="G15" s="2249" t="str">
        <f>IF($O$11=0,"",IF(F15="",re,""))</f>
        <v/>
      </c>
      <c r="H15" s="1942"/>
      <c r="I15" s="1942"/>
      <c r="J15" s="1942"/>
      <c r="L15" s="1960">
        <f>IF(G15&lt;&gt;"",1,0)</f>
      </c>
      <c r="M15" s="1960">
        <f>IF(F15="",0,1)</f>
      </c>
      <c r="S15" s="2277">
        <f>MIN(S16:T16)</f>
      </c>
    </row>
    <row r="16" spans="1:24" x14ac:dyDescent="0.2">
      <c r="A16" s="1942"/>
      <c r="B16" s="1942"/>
      <c r="C16" s="1942"/>
      <c r="D16" s="2238" t="s">
        <v>7760</v>
      </c>
      <c r="E16" s="1958"/>
      <c r="F16" s="2278"/>
      <c r="G16" s="2249" t="str">
        <f>IF($O$11=0,"",IF(F16="",re,""))</f>
        <v/>
      </c>
      <c r="H16" s="1942"/>
      <c r="I16" s="1942"/>
      <c r="J16" s="1942"/>
      <c r="L16" s="1960">
        <f>IF(G16&lt;&gt;"",1,0)</f>
      </c>
      <c r="M16" s="1960">
        <f>IF(F16="",0,1)</f>
      </c>
      <c r="R16" s="2277">
        <v>42491</v>
      </c>
      <c r="S16" s="2277">
        <v>43525</v>
      </c>
      <c r="T16" s="2277">
        <f>DATE(ya-1,12,31)</f>
      </c>
    </row>
    <row r="17" spans="1:19" x14ac:dyDescent="0.2">
      <c r="A17" s="1942"/>
      <c r="B17" s="1942"/>
      <c r="C17" s="1942"/>
      <c r="D17" s="2238" t="s">
        <v>7761</v>
      </c>
      <c r="E17" s="1942"/>
      <c r="F17" s="2279"/>
      <c r="G17" s="2249" t="str">
        <f>IF($O$11=0,"",IF(AND(F17="",$O$11&gt;0),re,IF(AND(W11=X11,F17&lt;T14),"Minimum Investment of €15,000","")))</f>
        <v/>
      </c>
      <c r="H17" s="1942"/>
      <c r="I17" s="1942"/>
      <c r="J17" s="2249" t="str">
        <f>IF($O$12=0,"",IF(AND($Q$6=2014,M17=0),reo,IF(AND($Q$6=2015,SUM(M17:N17)&lt;&gt;2),reo,IF(AND($Q$6&gt;=2016,SUM(M17:O17)&lt;&gt;3),reo,IF(AF17&lt;&gt;0,"Delete!","")))))</f>
        <v/>
      </c>
      <c r="L17" s="1960">
        <f>IF(G17&lt;&gt;"",1,0)</f>
      </c>
      <c r="M17" s="1960">
        <f>IF(F17="",0,1)</f>
      </c>
      <c r="S17" s="1960" t="str">
        <f>G17</f>
        <v/>
      </c>
    </row>
    <row r="18" spans="1:19" x14ac:dyDescent="0.2">
      <c r="A18" s="1942"/>
      <c r="B18" s="1942"/>
      <c r="C18" s="1942"/>
      <c r="D18" s="2238" t="s">
        <v>7762</v>
      </c>
      <c r="E18" s="1942"/>
      <c r="F18" s="2279"/>
      <c r="G18" s="1928" t="str">
        <f>IF($O$11=0,"",IF(AND(F18="",$O$11&gt;0),re,IF(F18&gt;F17,"Excessive","")))</f>
        <v/>
      </c>
      <c r="H18" s="1942"/>
      <c r="I18" s="1942"/>
      <c r="J18" s="2249" t="str">
        <f>IF($O$12=0,"",IF(AND($Q$6=2014,M18=0),reo,IF(AND($Q$6=2015,SUM(M18:N18)&lt;&gt;2),reo,IF(AND($Q$6&gt;=2016,SUM(M18:O18)&lt;&gt;3),reo,IF(AF18&lt;&gt;0,"Delete!","")))))</f>
        <v/>
      </c>
      <c r="L18" s="1960">
        <f>IF(G18&lt;&gt;"",1,0)</f>
      </c>
      <c r="M18" s="1960">
        <f>IF(F18="",0,1)</f>
      </c>
      <c r="S18" s="1960" t="str">
        <f>G18</f>
        <v/>
      </c>
    </row>
    <row r="19" spans="1:19" x14ac:dyDescent="0.2">
      <c r="A19" s="1942"/>
      <c r="B19" s="1942"/>
      <c r="C19" s="1942"/>
      <c r="D19" s="2238" t="s">
        <v>7764</v>
      </c>
      <c r="E19" s="1942"/>
      <c r="F19" s="2193" t="str">
        <f>IF(F18="","",IF($E$11=R8,S8,IF($E$11=R9,S9,IF($E$11=R10,S10,""))))</f>
        <v/>
      </c>
      <c r="G19" s="1942"/>
      <c r="H19" s="2250"/>
      <c r="I19" s="1942"/>
      <c r="J19" s="2248"/>
    </row>
    <row r="20" spans="1:19" x14ac:dyDescent="0.2">
      <c r="A20" s="1942"/>
      <c r="B20" s="1942"/>
      <c r="C20" s="1942"/>
      <c r="D20" s="2238" t="s">
        <v>4015</v>
      </c>
      <c r="E20" s="1942"/>
      <c r="F20" s="346" t="str">
        <f>IF(F19="","",ROUND(F18*F19,0))</f>
        <v/>
      </c>
      <c r="G20" s="1942"/>
      <c r="H20" s="1958"/>
      <c r="I20" s="1942"/>
      <c r="J20" s="2248"/>
    </row>
    <row r="21" spans="1:19" x14ac:dyDescent="0.2">
      <c r="A21" s="1942"/>
      <c r="B21" s="2238"/>
      <c r="C21" s="2238"/>
      <c r="D21" s="1942"/>
      <c r="E21" s="1942"/>
      <c r="F21" s="2250"/>
      <c r="G21" s="1942"/>
      <c r="H21" s="1958"/>
      <c r="I21" s="1942"/>
      <c r="J21" s="2248"/>
    </row>
    <row r="22" spans="1:19" x14ac:dyDescent="0.2">
      <c r="A22" s="1942"/>
      <c r="B22" s="2211" t="s">
        <v>4996</v>
      </c>
      <c r="C22" s="2212"/>
      <c r="D22" s="2212"/>
      <c r="E22" s="2212"/>
      <c r="F22" s="2213"/>
      <c r="G22" s="1942"/>
      <c r="H22" s="1958"/>
      <c r="I22" s="1942"/>
      <c r="J22" s="2248"/>
      <c r="Q22" s="1960" t="s">
        <v>4963</v>
      </c>
    </row>
    <row r="23" spans="1:19" ht="4.5" customHeight="1" x14ac:dyDescent="0.2">
      <c r="A23" s="1942"/>
      <c r="B23" s="2253"/>
      <c r="C23" s="2253"/>
      <c r="D23" s="2253"/>
      <c r="E23" s="2253"/>
      <c r="F23" s="1942"/>
      <c r="G23" s="1942"/>
      <c r="H23" s="1958"/>
      <c r="I23" s="1942"/>
      <c r="J23" s="2248"/>
    </row>
    <row r="24" spans="1:19" x14ac:dyDescent="0.2">
      <c r="A24" s="1942"/>
      <c r="B24" s="1938"/>
      <c r="C24" s="1942"/>
      <c r="D24" s="1938" t="s">
        <v>6221</v>
      </c>
      <c r="E24" s="2253"/>
      <c r="F24" s="346" t="str">
        <f>F20</f>
        <v/>
      </c>
      <c r="G24" s="1942"/>
      <c r="H24" s="1958"/>
      <c r="I24" s="1942"/>
      <c r="J24" s="2248"/>
      <c r="Q24" s="2280">
        <f>IF(F24="",0,F24)</f>
      </c>
    </row>
    <row r="25" spans="1:19" ht="4.5" customHeight="1" x14ac:dyDescent="0.2">
      <c r="A25" s="1942"/>
      <c r="B25" s="2254"/>
      <c r="C25" s="1942"/>
      <c r="D25" s="2254"/>
      <c r="E25" s="2253"/>
      <c r="F25" s="1942"/>
      <c r="G25" s="1942"/>
      <c r="H25" s="1958"/>
      <c r="I25" s="1942"/>
      <c r="J25" s="2248"/>
    </row>
    <row r="26" spans="1:19" x14ac:dyDescent="0.2">
      <c r="A26" s="1942"/>
      <c r="B26" s="1938"/>
      <c r="C26" s="1942"/>
      <c r="D26" s="1938" t="s">
        <v>6222</v>
      </c>
      <c r="E26" s="2255"/>
      <c r="F26" s="2279"/>
      <c r="G26" s="2248" t="str">
        <f>IF($O$11=0,"",IF(AND(Q6=2017,F26&gt;0),"Delete!",IF(AND(Q6&gt;2017,F26=""),reo,"")))</f>
        <v/>
      </c>
      <c r="H26" s="1958"/>
      <c r="I26" s="1942"/>
      <c r="J26" s="1958"/>
      <c r="L26" s="1960">
        <f>IF(G26&lt;&gt;"",1,0)</f>
      </c>
      <c r="M26" s="1960">
        <f>IF(F26="",0,1)</f>
      </c>
      <c r="Q26" s="2280">
        <f>IF(Q6=2017,0,F26)</f>
      </c>
    </row>
    <row r="27" spans="1:19" ht="4.5" customHeight="1" x14ac:dyDescent="0.2">
      <c r="A27" s="1942"/>
      <c r="B27" s="1938"/>
      <c r="C27" s="1942"/>
      <c r="D27" s="1938"/>
      <c r="E27" s="2253"/>
      <c r="F27" s="1942"/>
      <c r="G27" s="1942"/>
      <c r="H27" s="1958"/>
      <c r="I27" s="1942"/>
      <c r="J27" s="2248"/>
    </row>
    <row r="28" spans="1:19" x14ac:dyDescent="0.2">
      <c r="A28" s="1942"/>
      <c r="B28" s="1938"/>
      <c r="C28" s="1942"/>
      <c r="D28" s="1938" t="s">
        <v>7456</v>
      </c>
      <c r="E28" s="2255"/>
      <c r="F28" s="346" t="str">
        <f>IF(Q28=0,"",F24+F26)</f>
        <v/>
      </c>
      <c r="G28" s="1942"/>
      <c r="H28" s="1958"/>
      <c r="I28" s="1942"/>
      <c r="J28" s="2248"/>
      <c r="Q28" s="2280">
        <f>Q24+Q26</f>
      </c>
    </row>
    <row r="29" spans="1:19" ht="4.5" customHeight="1" x14ac:dyDescent="0.2">
      <c r="A29" s="1942"/>
      <c r="B29" s="1938"/>
      <c r="C29" s="1942"/>
      <c r="D29" s="1938"/>
      <c r="E29" s="2253"/>
      <c r="F29" s="1942"/>
      <c r="G29" s="1942"/>
      <c r="H29" s="1958"/>
      <c r="I29" s="1942"/>
      <c r="J29" s="2248"/>
    </row>
    <row r="30" spans="1:19" x14ac:dyDescent="0.2">
      <c r="A30" s="1942"/>
      <c r="B30" s="1938"/>
      <c r="C30" s="1942"/>
      <c r="D30" s="1938" t="s">
        <v>6223</v>
      </c>
      <c r="E30" s="2256" t="s">
        <v>951</v>
      </c>
      <c r="F30" s="2279"/>
      <c r="G30" s="2248" t="str">
        <f>IF(O11=0,"",IF(AND(O11&gt;0,F30=""),reo,IF(Q30&gt;Q28,"Excessive!","")))</f>
        <v/>
      </c>
      <c r="H30" s="1958"/>
      <c r="I30" s="1942"/>
      <c r="J30" s="1958"/>
      <c r="L30" s="1960">
        <f>IF(G30&lt;&gt;"",1,0)</f>
      </c>
      <c r="M30" s="1960">
        <f>IF(F30="",0,1)</f>
      </c>
      <c r="Q30" s="2280">
        <f>F30</f>
      </c>
    </row>
    <row r="31" spans="1:19" ht="4.5" customHeight="1" x14ac:dyDescent="0.2">
      <c r="A31" s="1942"/>
      <c r="B31" s="1938"/>
      <c r="C31" s="1942"/>
      <c r="D31" s="1938"/>
      <c r="E31" s="2253"/>
      <c r="F31" s="1942"/>
      <c r="G31" s="1942"/>
      <c r="H31" s="1958"/>
      <c r="I31" s="1942"/>
      <c r="J31" s="2248"/>
    </row>
    <row r="32" spans="1:19" x14ac:dyDescent="0.2">
      <c r="A32" s="1942"/>
      <c r="B32" s="1938"/>
      <c r="C32" s="1942"/>
      <c r="D32" s="1938" t="s">
        <v>3566</v>
      </c>
      <c r="E32" s="1942"/>
      <c r="F32" s="346" t="str">
        <f>IF(F28="","",IF(F28&gt;F30,F28-F30,""))</f>
        <v/>
      </c>
      <c r="G32" s="1942"/>
      <c r="H32" s="1958"/>
      <c r="I32" s="1942"/>
      <c r="J32" s="2248"/>
      <c r="Q32" s="2280"/>
    </row>
    <row r="33" spans="1:19" x14ac:dyDescent="0.2">
      <c r="A33" s="1942"/>
      <c r="B33" s="1942"/>
      <c r="C33" s="1942"/>
      <c r="D33" s="1942"/>
      <c r="E33" s="1942"/>
      <c r="F33" s="1942"/>
      <c r="G33" s="1942"/>
      <c r="H33" s="1942"/>
      <c r="I33" s="1942"/>
      <c r="J33" s="2248"/>
    </row>
    <row r="34" spans="1:19" x14ac:dyDescent="0.2">
      <c r="A34" s="1942"/>
      <c r="B34" s="1942"/>
      <c r="C34" s="1942"/>
      <c r="D34" s="1942"/>
      <c r="E34" s="2239"/>
      <c r="F34" s="2257"/>
      <c r="G34" s="1942"/>
      <c r="H34" s="1942"/>
      <c r="I34" s="1942"/>
      <c r="J34" s="2248"/>
    </row>
    <row r="35" spans="1:19" x14ac:dyDescent="0.2">
      <c r="A35" s="1942"/>
      <c r="B35" s="2211" t="s">
        <v>5708</v>
      </c>
      <c r="C35" s="2196"/>
      <c r="D35" s="2196"/>
      <c r="E35" s="2196"/>
      <c r="F35" s="1089" t="s">
        <v>951</v>
      </c>
      <c r="G35" s="2281"/>
      <c r="H35" s="2248" t="str">
        <f>IF($O$11=0,"",IF(AND(F30&gt;=0,G35=""),reo,IF(AND(F30=0,G35&gt;0),"No tax relieved!","")))</f>
        <v/>
      </c>
      <c r="I35" s="1942"/>
      <c r="J35" s="1942"/>
      <c r="L35" s="1960">
        <f>IF(H35&lt;&gt;"",1,0)</f>
      </c>
      <c r="M35" s="1960">
        <f>IF(G35="",0,1)</f>
      </c>
      <c r="R35" s="1736">
        <f>ROUND(F30/0.05,0)+1</f>
      </c>
      <c r="S35" s="1736">
        <f>ROUND(F30/0.35,0)-1</f>
      </c>
    </row>
    <row r="36" spans="1:19" x14ac:dyDescent="0.2">
      <c r="A36" s="1942"/>
      <c r="B36" s="1942"/>
      <c r="C36" s="1942"/>
      <c r="D36" s="1942"/>
      <c r="E36" s="1942"/>
      <c r="F36" s="2258" t="str">
        <f>IF(G35="","",IF(OR(G35&gt;R35,G35&lt;S35),ck,""))</f>
        <v/>
      </c>
      <c r="G36" s="2246" t="s">
        <v>1020</v>
      </c>
      <c r="H36" s="2248"/>
      <c r="I36" s="1942"/>
      <c r="J36" s="1942"/>
    </row>
    <row r="37" spans="1:19" x14ac:dyDescent="0.2">
      <c r="A37" s="1942"/>
      <c r="B37" s="1942" t="s">
        <v>2007</v>
      </c>
      <c r="C37" s="1942"/>
      <c r="D37" s="1942"/>
      <c r="E37" s="1942"/>
      <c r="F37" s="2259"/>
      <c r="G37" s="2282"/>
      <c r="H37" s="2259" t="str">
        <f>IF($O$11=0,"",IF(G37="",re,IF(AND(O37="n",F30&gt;0),"No benefit!","")))</f>
        <v/>
      </c>
      <c r="I37" s="1939"/>
      <c r="J37" s="1942"/>
      <c r="L37" s="1960">
        <f>IF(H37&lt;&gt;"",1,0)</f>
      </c>
      <c r="M37" s="1960">
        <f>IF(G37="",0,1)</f>
      </c>
      <c r="O37" s="1960" t="str">
        <f>IF(G37="yes","Y","n")</f>
      </c>
    </row>
    <row r="38" spans="1:19" x14ac:dyDescent="0.2">
      <c r="A38" s="1942"/>
      <c r="B38" s="1942"/>
      <c r="C38" s="1942"/>
      <c r="D38" s="1942"/>
      <c r="E38" s="1942"/>
      <c r="F38" s="2259"/>
      <c r="G38" s="2262"/>
      <c r="H38" s="2263"/>
      <c r="I38" s="1942"/>
      <c r="J38" s="1942"/>
    </row>
    <row r="39" spans="1:19" x14ac:dyDescent="0.2">
      <c r="A39" s="1942"/>
      <c r="B39" s="1942"/>
      <c r="C39" s="2260"/>
      <c r="D39" s="2260"/>
      <c r="E39" s="1942"/>
      <c r="F39" s="2261" t="s">
        <v>4802</v>
      </c>
      <c r="G39" s="2282"/>
      <c r="H39" s="2259" t="str">
        <f>IF(O11=0,"",IF(G39="",re,""))</f>
        <v/>
      </c>
      <c r="I39" s="1942"/>
      <c r="J39" s="1942"/>
      <c r="L39" s="1960">
        <f>IF(H39&lt;&gt;"",1,0)</f>
      </c>
      <c r="M39" s="1960">
        <f>IF(G39="",0,1)</f>
      </c>
      <c r="O39" s="1960" t="str">
        <f>IF(G39="yes","Y","n")</f>
      </c>
    </row>
    <row r="40" spans="1:19" x14ac:dyDescent="0.2">
      <c r="A40" s="1942"/>
      <c r="B40" s="1942"/>
      <c r="C40" s="1942"/>
      <c r="D40" s="1942"/>
      <c r="E40" s="1942"/>
      <c r="F40" s="2257"/>
      <c r="G40" s="1942"/>
      <c r="H40" s="1942"/>
      <c r="I40" s="1942"/>
      <c r="J40" s="1942"/>
      <c r="M40" s="1960">
        <f>SUM(M9:M39)</f>
      </c>
    </row>
    <row r="41" spans="1:19" x14ac:dyDescent="0.2">
      <c r="A41" s="1942"/>
      <c r="B41" s="1942"/>
      <c r="C41" s="1942"/>
      <c r="D41" s="1942"/>
      <c r="E41" s="1942"/>
      <c r="F41" s="2257"/>
      <c r="G41" s="1942"/>
      <c r="H41" s="1942"/>
      <c r="I41" s="1942"/>
      <c r="J41" s="1942"/>
      <c r="L41" s="1960">
        <f>SUM(L9:L39)</f>
      </c>
    </row>
    <row r="42" spans="1:19" x14ac:dyDescent="0.2">
      <c r="A42" s="1935" t="str">
        <f>_xlfn.SINGLE(MTCA)</f>
      </c>
      <c r="B42" s="1942"/>
      <c r="C42" s="1936" t="str">
        <f>ver</f>
        <v>TA2_e-CO_2025_Ver 1.1</v>
      </c>
      <c r="D42" s="1942"/>
      <c r="E42" s="1942"/>
      <c r="F42" s="2257"/>
      <c r="G42" s="1942"/>
      <c r="H42" s="1935" t="s">
        <v>7765</v>
      </c>
      <c r="I42" s="1942"/>
      <c r="J42" s="1942"/>
    </row>
    <row r="43" spans="1:19" ht="12.75" customHeight="1" x14ac:dyDescent="0.2">
      <c r="A43" s="1942"/>
      <c r="B43" s="1942"/>
      <c r="C43" s="1942"/>
      <c r="D43" s="1942"/>
      <c r="E43" s="1942"/>
      <c r="F43" s="1942"/>
      <c r="G43" s="1942"/>
      <c r="H43" s="1942"/>
      <c r="I43" s="1942"/>
      <c r="J43" s="1942"/>
    </row>
    <row r="44" spans="1:19" x14ac:dyDescent="0.2">
      <c r="B44" s="493" t="s">
        <v>6290</v>
      </c>
      <c r="C44" s="493"/>
      <c r="L44" s="1960">
        <f>IF(O11=0,0,IF(L41&lt;&gt;0,100,IF(O39="Y",1,100)))</f>
      </c>
    </row>
    <row r="45" spans="1:19" ht="12.75" customHeight="1" x14ac:dyDescent="0.2"/>
  </sheetData>
  <sheetProtection algorithmName="SHA-512" hashValue="PQ3YJ6uqv/1uJK5Pgfmc/PKUCa1qfX1a4tdnCx+KteHciMnfikwx/lI72ntesYW2V4TNgSR2HD2ejQUzcZ0l0w==" saltValue="bIHzj4MgSTYfx04R08zpZw==" spinCount="100000" sheet="1" objects="1" scenarios="1"/>
  <mergeCells count="4">
    <mergeCell ref="A1:G1"/>
    <mergeCell ref="E13:F13"/>
    <mergeCell ref="E11:F11"/>
    <mergeCell ref="B9:F9"/>
  </mergeCells>
  <conditionalFormatting sqref="F17:F18">
    <cfRule type="expression" dxfId="373" priority="13" stopIfTrue="1">
      <formula>$Q$6&lt;2015</formula>
    </cfRule>
  </conditionalFormatting>
  <conditionalFormatting sqref="F26">
    <cfRule type="expression" dxfId="372" priority="1">
      <formula>$F$26&lt;&gt;$Q$26</formula>
    </cfRule>
  </conditionalFormatting>
  <dataValidations count="12">
    <dataValidation type="whole" allowBlank="1" showInputMessage="1" showErrorMessage="1" errorTitle="Income on which tax relieved" error="Please enter the correct amount!" sqref="G35" xr:uid="{00000000-0002-0000-5000-000000000000}">
      <formula1>S35</formula1>
      <formula2>R35</formula2>
    </dataValidation>
    <dataValidation type="whole" allowBlank="1" showInputMessage="1" showErrorMessage="1" errorTitle="Value" error="Please a positive amount which is less than the credit available!" sqref="F30" xr:uid="{00000000-0002-0000-5000-000001000000}">
      <formula1>0</formula1>
      <formula2>F28</formula2>
    </dataValidation>
    <dataValidation type="date" allowBlank="1" showInputMessage="1" showErrorMessage="1" errorTitle="Date of approval" error="Please enter the correct date!  Date cannot be before 1 May 2016!" promptTitle="Date format" prompt="dd/mm/yyyy" sqref="F16" xr:uid="{00000000-0002-0000-5000-000002000000}">
      <formula1>R16</formula1>
      <formula2>S15</formula2>
    </dataValidation>
    <dataValidation type="list" showInputMessage="1" showErrorMessage="1" sqref="G39 G37" xr:uid="{00000000-0002-0000-5000-000003000000}">
      <formula1>yn</formula1>
    </dataValidation>
    <dataValidation allowBlank="1" showInputMessage="1" showErrorMessage="1" errorTitle="Total Eligible Costs" error="Total eligible costs cannot be more than €20,000 or equivalent!" sqref="F32" xr:uid="{00000000-0002-0000-5000-000004000000}"/>
    <dataValidation operator="greaterThan" allowBlank="1" showInputMessage="1" showErrorMessage="1" errorTitle="Value" error="Please a positive amount!" sqref="T26" xr:uid="{00000000-0002-0000-5000-000005000000}"/>
    <dataValidation type="whole" operator="greaterThan" allowBlank="1" showInputMessage="1" showErrorMessage="1" errorTitle="Value" error="Please a positive amount!" sqref="Q17:T18" xr:uid="{00000000-0002-0000-5000-000006000000}">
      <formula1>0</formula1>
    </dataValidation>
    <dataValidation type="whole" operator="greaterThanOrEqual" allowBlank="1" showInputMessage="1" showErrorMessage="1" errorTitle="Value" error="Please a positive amount!" sqref="F17:F18" xr:uid="{00000000-0002-0000-5000-000007000000}">
      <formula1>0</formula1>
    </dataValidation>
    <dataValidation type="textLength" operator="greaterThanOrEqual" allowBlank="1" showInputMessage="1" showErrorMessage="1" errorTitle="Certificate number" error="Please enter the correct reference!" sqref="F15" xr:uid="{00000000-0002-0000-5000-000008000000}">
      <formula1>4</formula1>
    </dataValidation>
    <dataValidation type="list" allowBlank="1" showInputMessage="1" showErrorMessage="1" sqref="E11:F11" xr:uid="{00000000-0002-0000-5000-000009000000}">
      <formula1>$R$7:$R$10</formula1>
    </dataValidation>
    <dataValidation type="list" allowBlank="1" showInputMessage="1" showErrorMessage="1" sqref="E13" xr:uid="{00000000-0002-0000-5000-00000A000000}">
      <formula1>$T$7:$T$9</formula1>
    </dataValidation>
    <dataValidation type="whole" operator="greaterThanOrEqual" allowBlank="1" showInputMessage="1" showErrorMessage="1" sqref="F26" xr:uid="{00000000-0002-0000-5000-00000B000000}">
      <formula1>0</formula1>
    </dataValidation>
  </dataValidations>
  <hyperlinks>
    <hyperlink ref="B44" location="Index!B77" display="B A C K   T O   I N D E X" xr:uid="{00000000-0004-0000-5000-000000000000}"/>
    <hyperlink ref="F35" location="TRA35!A21" display="TRA 35" xr:uid="{00000000-0004-0000-5000-000001000000}"/>
    <hyperlink ref="E30" location="TRA35!A21" display="TRA 35" xr:uid="{00000000-0004-0000-5000-000002000000}"/>
  </hyperlinks>
  <printOptions horizontalCentered="1" verticalCentered="1"/>
  <pageMargins left="0.70866141732283472" right="0.70866141732283472" top="0.39370078740157483" bottom="0.74803149606299213" header="0.31496062992125984" footer="0.31496062992125984"/>
  <pageSetup paperSize="9" orientation="landscape" r:id="rId1"/>
  <headerFooter>
    <oddFooter>&amp;LName&amp;CSignature&amp;RDate</oddFoot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9"/>
  <dimension ref="A1:AK38"/>
  <sheetViews>
    <sheetView showGridLines="0" zoomScaleNormal="100" workbookViewId="0">
      <selection sqref="A1:H1"/>
    </sheetView>
  </sheetViews>
  <sheetFormatPr defaultColWidth="0" defaultRowHeight="12.75" zeroHeight="1" x14ac:dyDescent="0.2"/>
  <cols>
    <col min="1" max="1" width="2.5703125" customWidth="1"/>
    <col min="2" max="2" width="10.5703125" customWidth="1"/>
    <col min="3" max="3" width="11.7109375" customWidth="1"/>
    <col min="4" max="4" width="16" customWidth="1"/>
    <col min="5" max="5" width="17.28515625" customWidth="1"/>
    <col min="6" max="6" width="11.7109375" customWidth="1"/>
    <col min="7" max="7" width="11" customWidth="1"/>
    <col min="8" max="9" width="9.28515625" customWidth="1"/>
    <col min="10" max="10" width="2.42578125" customWidth="1"/>
    <col min="11" max="11" width="9.28515625" hidden="1" customWidth="1"/>
    <col min="12" max="13" width="10.28515625" hidden="1" customWidth="1"/>
    <col min="14" max="14" width="11.28515625" hidden="1" customWidth="1"/>
    <col min="15" max="16384" width="9.28515625" hidden="1"/>
  </cols>
  <sheetData>
    <row r="1" spans="1:37" s="66" customFormat="1" ht="12.75" customHeight="1" x14ac:dyDescent="0.2">
      <c r="A1" s="4687" t="str">
        <f>_ref1</f>
      </c>
      <c r="B1" s="4687"/>
      <c r="C1" s="4687"/>
      <c r="D1" s="4687"/>
      <c r="E1" s="4687"/>
      <c r="F1" s="4687"/>
      <c r="G1" s="4687"/>
      <c r="H1" s="4687"/>
      <c r="I1" s="1935" t="str">
        <f>_YA1</f>
      </c>
      <c r="J1" s="1935"/>
      <c r="N1" s="2076" t="s">
        <v>7458</v>
      </c>
      <c r="O1" s="2203"/>
    </row>
    <row r="2" spans="1:37" s="1736" customFormat="1" x14ac:dyDescent="0.2">
      <c r="A2" s="1942"/>
      <c r="B2" s="2247"/>
      <c r="C2" s="2247"/>
      <c r="D2" s="2247"/>
      <c r="E2" s="1942"/>
      <c r="F2" s="1942"/>
      <c r="G2" s="1942"/>
      <c r="H2" s="1942"/>
      <c r="I2" s="1942"/>
      <c r="J2" s="1942"/>
      <c r="N2" s="66"/>
    </row>
    <row r="3" spans="1:37" s="1736" customFormat="1" x14ac:dyDescent="0.2">
      <c r="A3" s="1942"/>
      <c r="B3" s="2208" t="s">
        <v>7797</v>
      </c>
      <c r="C3" s="1673"/>
      <c r="D3" s="1673"/>
      <c r="E3" s="1673"/>
      <c r="F3" s="1673"/>
      <c r="G3" s="1673"/>
      <c r="H3" s="1673"/>
      <c r="I3" s="1674"/>
      <c r="J3" s="1942"/>
      <c r="L3" s="1761"/>
      <c r="M3" s="2191">
        <f>MIN(M4:N4)</f>
      </c>
    </row>
    <row r="4" spans="1:37" s="1736" customFormat="1" x14ac:dyDescent="0.2">
      <c r="A4" s="1942"/>
      <c r="B4" s="2204" t="s">
        <v>7798</v>
      </c>
      <c r="C4" s="1676"/>
      <c r="D4" s="1676"/>
      <c r="E4" s="1676"/>
      <c r="F4" s="1676"/>
      <c r="G4" s="1676"/>
      <c r="H4" s="1676"/>
      <c r="I4" s="1677"/>
      <c r="J4" s="1942"/>
      <c r="K4" s="1760"/>
      <c r="L4" s="2068">
        <v>42491</v>
      </c>
      <c r="M4" s="1761">
        <v>44196</v>
      </c>
      <c r="N4" s="2191">
        <f>DATE(ya-1,12,31)</f>
      </c>
      <c r="AG4" s="1736" t="s">
        <v>4618</v>
      </c>
      <c r="AH4" s="1736" t="s">
        <v>4613</v>
      </c>
      <c r="AI4" s="1736" t="s">
        <v>4612</v>
      </c>
      <c r="AJ4" s="1736" t="s">
        <v>4618</v>
      </c>
      <c r="AK4" s="1736" t="s">
        <v>4613</v>
      </c>
    </row>
    <row r="5" spans="1:37" x14ac:dyDescent="0.2">
      <c r="A5" s="1942"/>
      <c r="B5" s="2205" t="s">
        <v>7789</v>
      </c>
      <c r="C5" s="1679"/>
      <c r="D5" s="1679"/>
      <c r="E5" s="1679"/>
      <c r="F5" s="1679"/>
      <c r="G5" s="1679"/>
      <c r="H5" s="1679"/>
      <c r="I5" s="1680"/>
      <c r="J5" s="1942"/>
    </row>
    <row r="6" spans="1:37" x14ac:dyDescent="0.2">
      <c r="A6" s="1942"/>
      <c r="B6" s="1942"/>
      <c r="C6" s="1942"/>
      <c r="D6" s="1942"/>
      <c r="E6" s="1942"/>
      <c r="F6" s="1942"/>
      <c r="G6" s="1942"/>
      <c r="H6" s="1942"/>
      <c r="I6" s="1942"/>
      <c r="J6" s="1942"/>
      <c r="O6" t="str">
        <f>cur</f>
      </c>
      <c r="P6" s="1736" t="s">
        <v>4591</v>
      </c>
    </row>
    <row r="7" spans="1:37" ht="15" x14ac:dyDescent="0.2">
      <c r="A7" s="1942"/>
      <c r="B7" s="5172" t="s">
        <v>7790</v>
      </c>
      <c r="C7" s="5173"/>
      <c r="D7" s="5173"/>
      <c r="E7" s="5173"/>
      <c r="F7" s="5173"/>
      <c r="G7" s="5173"/>
      <c r="H7" s="5173"/>
      <c r="I7" s="5174"/>
      <c r="J7" s="1922"/>
      <c r="K7" s="1634"/>
      <c r="L7" s="1634"/>
      <c r="M7" s="1736"/>
      <c r="O7" s="1736"/>
      <c r="P7" s="1736"/>
      <c r="Q7" s="1736"/>
      <c r="R7" s="1736"/>
      <c r="S7" s="1736"/>
      <c r="T7" s="1736"/>
    </row>
    <row r="8" spans="1:37" ht="15" x14ac:dyDescent="0.2">
      <c r="A8" s="1942"/>
      <c r="B8" s="5181" t="s">
        <v>7793</v>
      </c>
      <c r="C8" s="5182"/>
      <c r="D8" s="5182"/>
      <c r="E8" s="5182"/>
      <c r="F8" s="5182"/>
      <c r="G8" s="5182"/>
      <c r="H8" s="5182"/>
      <c r="I8" s="5183"/>
      <c r="J8" s="1922"/>
      <c r="K8" s="1634"/>
      <c r="L8" s="1634"/>
      <c r="M8" s="1736"/>
      <c r="N8" s="1760" t="s">
        <v>7445</v>
      </c>
      <c r="O8" s="1736"/>
      <c r="P8" s="1736"/>
      <c r="Q8" s="1736"/>
      <c r="R8" s="1736"/>
      <c r="S8" s="1736"/>
      <c r="T8" s="1736"/>
    </row>
    <row r="9" spans="1:37" x14ac:dyDescent="0.2">
      <c r="A9" s="1942"/>
      <c r="B9" s="1942"/>
      <c r="C9" s="1942"/>
      <c r="D9" s="1942"/>
      <c r="E9" s="1942"/>
      <c r="F9" s="1922"/>
      <c r="G9" s="1922"/>
      <c r="H9" s="1922"/>
      <c r="I9" s="1922"/>
      <c r="J9" s="1922"/>
      <c r="K9" s="1634"/>
      <c r="L9" s="1634"/>
      <c r="N9" s="1736">
        <f>COUNTA(G11,G12,G13,G14,G15,G16,G17,G18)</f>
      </c>
      <c r="O9" s="1736"/>
      <c r="P9" s="1736"/>
      <c r="Q9" s="1736"/>
      <c r="R9" s="1736"/>
      <c r="S9" s="1736"/>
      <c r="T9" s="1736"/>
    </row>
    <row r="10" spans="1:37" x14ac:dyDescent="0.2">
      <c r="A10" s="1942"/>
      <c r="B10" s="5175" t="s">
        <v>6317</v>
      </c>
      <c r="C10" s="5176"/>
      <c r="D10" s="5176"/>
      <c r="E10" s="5176"/>
      <c r="F10" s="5177"/>
      <c r="G10" s="1922"/>
      <c r="H10" s="1922"/>
      <c r="I10" s="1922"/>
      <c r="J10" s="1922"/>
      <c r="K10" s="1634"/>
      <c r="L10" s="2206" t="s">
        <v>7791</v>
      </c>
      <c r="M10" s="1736"/>
      <c r="N10" s="1736"/>
      <c r="O10" s="1736"/>
      <c r="P10" s="1736"/>
      <c r="Q10" s="1736"/>
      <c r="R10" s="1736"/>
      <c r="S10" s="1736"/>
      <c r="T10" s="1736"/>
    </row>
    <row r="11" spans="1:37" x14ac:dyDescent="0.2">
      <c r="A11" s="1942"/>
      <c r="B11" s="1922"/>
      <c r="C11" s="1922"/>
      <c r="D11" s="1922"/>
      <c r="E11" s="1922"/>
      <c r="F11" s="1938" t="s">
        <v>5089</v>
      </c>
      <c r="G11" s="632"/>
      <c r="H11" s="2240" t="str">
        <f>IF($N$9=0,"",IF(G11="",re,""))</f>
        <v/>
      </c>
      <c r="I11" s="1922"/>
      <c r="J11" s="1922"/>
      <c r="K11" s="1634"/>
      <c r="L11" s="1634">
        <f t="shared" ref="L11:L18" si="0">IF(H11="",0,1)</f>
      </c>
      <c r="M11" s="1736"/>
      <c r="N11" s="1736"/>
      <c r="O11" s="1736"/>
      <c r="P11" s="1736"/>
      <c r="Q11" s="1736"/>
      <c r="R11" s="1736"/>
      <c r="S11" s="1736"/>
      <c r="T11" s="1736"/>
    </row>
    <row r="12" spans="1:37" x14ac:dyDescent="0.2">
      <c r="A12" s="1942"/>
      <c r="B12" s="1922"/>
      <c r="C12" s="1922"/>
      <c r="D12" s="1922"/>
      <c r="E12" s="1922"/>
      <c r="F12" s="1938" t="s">
        <v>5088</v>
      </c>
      <c r="G12" s="202"/>
      <c r="H12" s="2240" t="str">
        <f>IF($N$9=0,"",IF(G12="",re,""))</f>
        <v/>
      </c>
      <c r="I12" s="1922"/>
      <c r="J12" s="1922"/>
      <c r="K12" s="1634"/>
      <c r="L12" s="1634">
        <f t="shared" si="0"/>
        <v>0</v>
      </c>
      <c r="M12" s="1736"/>
      <c r="N12" s="1736"/>
      <c r="O12" s="1736"/>
      <c r="P12" s="1736"/>
      <c r="Q12" s="1736"/>
      <c r="R12" s="1761"/>
      <c r="S12" s="1761"/>
      <c r="T12" s="1736"/>
    </row>
    <row r="13" spans="1:37" x14ac:dyDescent="0.2">
      <c r="A13" s="1942"/>
      <c r="B13" s="1922"/>
      <c r="C13" s="1922"/>
      <c r="D13" s="1922"/>
      <c r="E13" s="1922"/>
      <c r="F13" s="1938" t="s">
        <v>5089</v>
      </c>
      <c r="G13" s="428"/>
      <c r="H13" s="2240"/>
      <c r="I13" s="1922"/>
      <c r="J13" s="1922"/>
      <c r="K13" s="1634"/>
      <c r="L13" s="1634">
        <f t="shared" si="0"/>
        <v>0</v>
      </c>
      <c r="M13" s="1736"/>
      <c r="N13" s="1736"/>
      <c r="O13" s="1736"/>
      <c r="P13" s="1736"/>
      <c r="Q13" s="1736"/>
      <c r="R13" s="1736"/>
      <c r="S13" s="1736"/>
      <c r="T13" s="1736"/>
    </row>
    <row r="14" spans="1:37" x14ac:dyDescent="0.2">
      <c r="A14" s="1942"/>
      <c r="B14" s="1922"/>
      <c r="C14" s="1922"/>
      <c r="D14" s="1922"/>
      <c r="E14" s="1922"/>
      <c r="F14" s="1938" t="s">
        <v>5088</v>
      </c>
      <c r="G14" s="202"/>
      <c r="H14" s="2240" t="str">
        <f>IF(G13="","",IF(G14="",re,""))</f>
        <v/>
      </c>
      <c r="I14" s="1922"/>
      <c r="J14" s="1922"/>
      <c r="K14" s="1634"/>
      <c r="L14" s="1634">
        <f t="shared" si="0"/>
        <v>0</v>
      </c>
      <c r="M14" s="1736"/>
      <c r="N14" s="1736"/>
      <c r="O14" s="1736"/>
      <c r="P14" s="1736"/>
      <c r="Q14" s="1736"/>
      <c r="R14" s="1761"/>
      <c r="S14" s="1761"/>
      <c r="T14" s="1736"/>
    </row>
    <row r="15" spans="1:37" x14ac:dyDescent="0.2">
      <c r="A15" s="1942"/>
      <c r="B15" s="1922"/>
      <c r="C15" s="1922"/>
      <c r="D15" s="1922"/>
      <c r="E15" s="1922"/>
      <c r="F15" s="2238" t="s">
        <v>3453</v>
      </c>
      <c r="G15" s="1184"/>
      <c r="H15" s="2240" t="str">
        <f>IF($N$9=0,"",IF(G15="",re,IF(G15&gt;ya,"Cannot refer to a future year!",IF(G15&lt;ya,"Credit approved in previous years!",""))))</f>
        <v/>
      </c>
      <c r="I15" s="1922"/>
      <c r="J15" s="1922"/>
      <c r="K15" s="1634"/>
      <c r="L15" s="1634">
        <f t="shared" si="0"/>
        <v>0</v>
      </c>
      <c r="M15" s="1736"/>
      <c r="N15" s="1736"/>
      <c r="O15" s="1736"/>
      <c r="P15" s="1736"/>
      <c r="Q15" s="1736"/>
      <c r="R15" s="1736"/>
      <c r="S15" s="1736"/>
      <c r="T15" s="1736"/>
    </row>
    <row r="16" spans="1:37" x14ac:dyDescent="0.2">
      <c r="A16" s="1942"/>
      <c r="B16" s="1922"/>
      <c r="C16" s="1922"/>
      <c r="D16" s="1922"/>
      <c r="E16" s="1922"/>
      <c r="F16" s="2238" t="s">
        <v>7794</v>
      </c>
      <c r="G16" s="339"/>
      <c r="H16" s="2240" t="str">
        <f>IF($N$9=0,"",IF(G16="",reo,""))</f>
        <v/>
      </c>
      <c r="I16" s="1922"/>
      <c r="J16" s="1922"/>
      <c r="K16" s="1634"/>
      <c r="L16" s="1634">
        <f t="shared" si="0"/>
        <v>0</v>
      </c>
      <c r="M16" s="1736"/>
      <c r="N16" s="1736"/>
      <c r="O16" s="1736">
        <v>2017</v>
      </c>
      <c r="P16" s="1736"/>
      <c r="Q16" s="1736"/>
      <c r="R16" s="1736"/>
      <c r="S16" s="1736"/>
      <c r="T16" s="1736"/>
    </row>
    <row r="17" spans="1:20" x14ac:dyDescent="0.2">
      <c r="A17" s="1942"/>
      <c r="B17" s="1922"/>
      <c r="C17" s="1922"/>
      <c r="D17" s="1922"/>
      <c r="E17" s="1922"/>
      <c r="F17" s="2238" t="s">
        <v>7792</v>
      </c>
      <c r="G17" s="339"/>
      <c r="H17" s="2240" t="str">
        <f>IF($N$9=0,"",IF(G17="",reo,""))</f>
        <v/>
      </c>
      <c r="I17" s="1922"/>
      <c r="J17" s="1922"/>
      <c r="K17" s="1634"/>
      <c r="L17" s="1634">
        <f t="shared" si="0"/>
        <v>0</v>
      </c>
      <c r="M17" s="1736"/>
      <c r="N17" s="1736"/>
      <c r="O17" s="1736"/>
      <c r="P17" s="1736"/>
      <c r="Q17" s="1736"/>
      <c r="R17" s="1736"/>
      <c r="S17" s="1736"/>
      <c r="T17" s="1736"/>
    </row>
    <row r="18" spans="1:20" x14ac:dyDescent="0.2">
      <c r="A18" s="1942"/>
      <c r="B18" s="1922"/>
      <c r="C18" s="1922"/>
      <c r="D18" s="1922"/>
      <c r="E18" s="1922"/>
      <c r="F18" s="2238" t="s">
        <v>5702</v>
      </c>
      <c r="G18" s="339"/>
      <c r="H18" s="2240" t="str">
        <f>IF($N$9=0,"",IF(G18="",reo,IF(AND(O6=P6,G18&gt;200000),"Excessive!",IF(AND(O6=P6,G18&gt;SUM(G16:G17)),"Excessive!",IF(G15="","",IF(G15&lt;ya,"Credit approved in previous years!",""))))))</f>
        <v/>
      </c>
      <c r="I18" s="1922"/>
      <c r="J18" s="1922"/>
      <c r="K18" s="1634"/>
      <c r="L18" s="1634">
        <f t="shared" si="0"/>
        <v>0</v>
      </c>
      <c r="M18" s="1736"/>
      <c r="N18" s="1736"/>
      <c r="O18" s="1736"/>
      <c r="P18" s="1736"/>
      <c r="Q18" s="1736"/>
      <c r="R18" s="1736"/>
      <c r="S18" s="1736"/>
      <c r="T18" s="1736"/>
    </row>
    <row r="19" spans="1:20" x14ac:dyDescent="0.2">
      <c r="A19" s="2237"/>
      <c r="B19" s="2237"/>
      <c r="C19" s="2237"/>
      <c r="D19" s="2239"/>
      <c r="E19" s="1942"/>
      <c r="F19" s="1922"/>
      <c r="G19" s="1922"/>
      <c r="H19" s="1922"/>
      <c r="I19" s="1922"/>
      <c r="J19" s="1922"/>
      <c r="K19" s="1634"/>
      <c r="L19" s="1634"/>
      <c r="M19" s="1736"/>
      <c r="N19" s="1736"/>
      <c r="O19" s="1736"/>
      <c r="P19" s="1736"/>
      <c r="Q19" s="1736"/>
      <c r="R19" s="1736"/>
      <c r="S19" s="1736"/>
      <c r="T19" s="1736"/>
    </row>
    <row r="20" spans="1:20" x14ac:dyDescent="0.2">
      <c r="A20" s="1942"/>
      <c r="B20" s="5178" t="s">
        <v>4996</v>
      </c>
      <c r="C20" s="5179"/>
      <c r="D20" s="5179"/>
      <c r="E20" s="5179"/>
      <c r="F20" s="5180"/>
      <c r="G20" s="1922"/>
      <c r="H20" s="1922"/>
      <c r="I20" s="1922"/>
      <c r="J20" s="1922"/>
      <c r="K20" s="1634"/>
      <c r="L20" s="1634"/>
      <c r="M20" s="1736"/>
      <c r="N20" s="1736"/>
      <c r="O20" s="1736"/>
      <c r="P20" s="1736"/>
      <c r="Q20" s="1736"/>
      <c r="R20" s="1736"/>
      <c r="S20" s="1736"/>
      <c r="T20" s="1736"/>
    </row>
    <row r="21" spans="1:20" x14ac:dyDescent="0.2">
      <c r="A21" s="1942"/>
      <c r="B21" s="1922"/>
      <c r="C21" s="1922"/>
      <c r="D21" s="1922"/>
      <c r="E21" s="1938" t="s">
        <v>5054</v>
      </c>
      <c r="F21" s="1922"/>
      <c r="G21" s="1416" t="str">
        <f>IF(G15="","",O21)</f>
        <v/>
      </c>
      <c r="H21" s="1942"/>
      <c r="I21" s="1922"/>
      <c r="J21" s="1922"/>
      <c r="K21" s="1634"/>
      <c r="L21" s="1634"/>
      <c r="M21" s="1736"/>
      <c r="N21" s="1736"/>
      <c r="O21" s="2195">
        <f>IF(G18=0,0,IF(G15&gt;=ya,G18,0))</f>
      </c>
      <c r="P21" s="1736"/>
      <c r="Q21" s="1736"/>
      <c r="R21" s="1736"/>
      <c r="S21" s="1736"/>
      <c r="T21" s="1736"/>
    </row>
    <row r="22" spans="1:20" ht="15" x14ac:dyDescent="0.25">
      <c r="A22" s="1942"/>
      <c r="B22" s="1922"/>
      <c r="C22" s="1922"/>
      <c r="D22" s="1922"/>
      <c r="E22" s="1938" t="s">
        <v>5704</v>
      </c>
      <c r="F22" s="1922"/>
      <c r="G22" s="339"/>
      <c r="H22" s="2240" t="str">
        <f>IF(N31=0,"",IF(AND(ya&lt;G15,G22=""),reo,IF(AND(ya&lt;=G15,G22&gt;0),"Delete!",IF(AND(O6=P6,O21+O22&gt;200000),"Excessive!",""))))</f>
        <v/>
      </c>
      <c r="I22" s="1922"/>
      <c r="J22" s="1922"/>
      <c r="K22" s="1634"/>
      <c r="L22" s="1634">
        <f>IF(H22="",0,1)</f>
      </c>
      <c r="M22" s="1736"/>
      <c r="O22" s="2195">
        <f>IF(G15=2017,0,G22)</f>
      </c>
      <c r="P22" s="1736"/>
      <c r="Q22" s="2236">
        <f>IF(AND(ya&lt;=$G$15,G22=0),0,IF(AND(N9=0,ya&gt;=2018),0,1))</f>
      </c>
      <c r="R22" s="1736"/>
      <c r="S22" s="1736"/>
      <c r="T22" s="1736"/>
    </row>
    <row r="23" spans="1:20" x14ac:dyDescent="0.2">
      <c r="A23" s="1942"/>
      <c r="B23" s="1922"/>
      <c r="C23" s="1922"/>
      <c r="D23" s="1922"/>
      <c r="E23" s="1938" t="s">
        <v>5705</v>
      </c>
      <c r="F23" s="1922"/>
      <c r="G23" s="340" t="str">
        <f>IF(G21="","",O23)</f>
        <v/>
      </c>
      <c r="H23" s="1942"/>
      <c r="I23" s="1922"/>
      <c r="J23" s="1922"/>
      <c r="K23" s="1634"/>
      <c r="L23" s="1634"/>
      <c r="M23" s="1736"/>
      <c r="N23" s="1736"/>
      <c r="O23" s="1408">
        <f>IF(ya=2017,O21,O21+O22)</f>
      </c>
      <c r="P23" s="1736"/>
      <c r="Q23" s="1736"/>
      <c r="R23" s="1736"/>
      <c r="S23" s="1736"/>
      <c r="T23" s="1736"/>
    </row>
    <row r="24" spans="1:20" x14ac:dyDescent="0.2">
      <c r="A24" s="1942"/>
      <c r="B24" s="1922"/>
      <c r="C24" s="1922"/>
      <c r="D24" s="1922"/>
      <c r="E24" s="1938" t="s">
        <v>5706</v>
      </c>
      <c r="F24" s="2242" t="s">
        <v>951</v>
      </c>
      <c r="G24" s="339"/>
      <c r="H24" s="2240" t="str">
        <f>IF(N31=0,"",IF(G24="",reo,IF(G24&gt;O23,"Excessive!",IF(H30=nob,nob,""))))</f>
        <v/>
      </c>
      <c r="I24" s="1922"/>
      <c r="J24" s="1922"/>
      <c r="K24" s="1634">
        <f>IF($H$24=nob,0,G24)</f>
      </c>
      <c r="L24" s="1634">
        <f>IF(H24="",0,1)</f>
      </c>
      <c r="M24" s="1736"/>
      <c r="N24" s="1736"/>
      <c r="O24" s="2195">
        <f>G24</f>
      </c>
      <c r="P24" s="1736"/>
      <c r="Q24" s="1736"/>
      <c r="R24" s="1736"/>
      <c r="S24" s="1736"/>
      <c r="T24" s="1736"/>
    </row>
    <row r="25" spans="1:20" x14ac:dyDescent="0.2">
      <c r="A25" s="1942"/>
      <c r="B25" s="1922"/>
      <c r="C25" s="1922"/>
      <c r="D25" s="1922"/>
      <c r="E25" s="1938" t="s">
        <v>5707</v>
      </c>
      <c r="F25" s="1922"/>
      <c r="G25" s="1189" t="str">
        <f>IF(O25=0,"",O25)</f>
        <v/>
      </c>
      <c r="H25" s="1942"/>
      <c r="I25" s="1922"/>
      <c r="J25" s="1922"/>
      <c r="K25" s="1634"/>
      <c r="L25" s="1634"/>
      <c r="M25" s="1736"/>
      <c r="N25" s="1736"/>
      <c r="O25" s="1717">
        <f>IF(O23-O24&lt;0,0,O23-O24)</f>
      </c>
      <c r="P25" s="1736"/>
      <c r="Q25" s="1736"/>
      <c r="R25" s="1736"/>
      <c r="S25" s="1736"/>
      <c r="T25" s="1736"/>
    </row>
    <row r="26" spans="1:20" x14ac:dyDescent="0.2">
      <c r="A26" s="1942"/>
      <c r="B26" s="1922"/>
      <c r="C26" s="1922"/>
      <c r="D26" s="1922"/>
      <c r="E26" s="1942"/>
      <c r="F26" s="1942"/>
      <c r="G26" s="2239"/>
      <c r="H26" s="1922"/>
      <c r="I26" s="1922"/>
      <c r="J26" s="1922"/>
      <c r="K26" s="1634"/>
      <c r="L26" s="1634"/>
      <c r="M26" s="1736"/>
      <c r="N26" s="1736"/>
      <c r="O26" s="1650"/>
      <c r="P26" s="1736"/>
      <c r="Q26" s="1736"/>
      <c r="R26" s="1736"/>
      <c r="S26" s="1736"/>
      <c r="T26" s="1736"/>
    </row>
    <row r="27" spans="1:20" x14ac:dyDescent="0.2">
      <c r="A27" s="1942"/>
      <c r="B27" s="2243" t="s">
        <v>5708</v>
      </c>
      <c r="C27" s="2243"/>
      <c r="D27" s="2243"/>
      <c r="E27" s="2244"/>
      <c r="F27" s="2245" t="s">
        <v>951</v>
      </c>
      <c r="G27" s="339"/>
      <c r="H27" s="2240" t="str">
        <f>IF(N31=0,"",IF(AND(G24&gt;=0,G27=""),reo,IF(AND(G24=0,G27&gt;0),"No tax relieved!","")))</f>
        <v/>
      </c>
      <c r="I27" s="1922"/>
      <c r="J27" s="1922"/>
      <c r="K27" s="1634">
        <f>IF($H$24=nob,0,G27)</f>
      </c>
      <c r="L27" s="1634">
        <f>IF(H27="",0,1)</f>
      </c>
      <c r="M27" s="1736"/>
      <c r="N27" s="1736"/>
      <c r="P27" s="1736"/>
      <c r="Q27" s="1736"/>
      <c r="R27" s="1736">
        <f>ROUND(G24/0.05,0)+1</f>
      </c>
      <c r="S27" s="1736">
        <f>ROUND(G24/0.35,0)-1</f>
      </c>
      <c r="T27" s="1736"/>
    </row>
    <row r="28" spans="1:20" x14ac:dyDescent="0.2">
      <c r="A28" s="1942"/>
      <c r="B28" s="1942"/>
      <c r="C28" s="2246" t="str">
        <f>IF(G27="","",IF(OR(G27&gt;R27,G27&lt;S27),ck,""))</f>
        <v/>
      </c>
      <c r="D28" s="1922"/>
      <c r="E28" s="1922"/>
      <c r="F28" s="2242"/>
      <c r="G28" s="1942"/>
      <c r="H28" s="1942"/>
      <c r="I28" s="1922"/>
      <c r="J28" s="1922"/>
      <c r="K28" s="1634"/>
      <c r="L28" s="1634"/>
      <c r="M28" s="1736"/>
      <c r="N28" s="1736"/>
      <c r="O28" s="1736"/>
      <c r="P28" s="1736"/>
      <c r="Q28" s="1736"/>
      <c r="R28" s="1736"/>
      <c r="S28" s="1736"/>
      <c r="T28" s="1736"/>
    </row>
    <row r="29" spans="1:20" x14ac:dyDescent="0.2">
      <c r="A29" s="1942"/>
      <c r="B29" s="1942"/>
      <c r="C29" s="1942"/>
      <c r="D29" s="1922"/>
      <c r="E29" s="1922"/>
      <c r="F29" s="1922"/>
      <c r="G29" s="1942"/>
      <c r="H29" s="1942"/>
      <c r="I29" s="1922"/>
      <c r="J29" s="1922"/>
      <c r="K29" s="1634"/>
      <c r="L29" s="1634"/>
      <c r="M29" s="1736"/>
      <c r="N29" s="1736"/>
      <c r="O29" s="1736"/>
      <c r="P29" s="1736"/>
      <c r="Q29" s="1736"/>
      <c r="R29" s="1736"/>
      <c r="S29" s="1736"/>
      <c r="T29" s="1736"/>
    </row>
    <row r="30" spans="1:20" x14ac:dyDescent="0.2">
      <c r="A30" s="1942" t="s">
        <v>2007</v>
      </c>
      <c r="B30" s="1942"/>
      <c r="C30" s="1942"/>
      <c r="D30" s="1922"/>
      <c r="E30" s="1922"/>
      <c r="F30" s="1922"/>
      <c r="G30" s="1740"/>
      <c r="H30" s="2241" t="str">
        <f>IF(N31=0,"",IF(G30="",re,IF(AND(G30=n,G24&gt;0),nob,"")))</f>
        <v/>
      </c>
      <c r="I30" s="1922"/>
      <c r="J30" s="1922"/>
      <c r="K30" s="1634"/>
      <c r="L30" s="1634">
        <f>IF(H30="",0,1)</f>
      </c>
      <c r="M30" s="1736"/>
      <c r="N30" s="1736">
        <f>COUNT(G22,G24,G27)</f>
      </c>
      <c r="O30" s="1736"/>
      <c r="Q30" s="1736"/>
      <c r="R30" s="1736"/>
      <c r="S30" s="1736"/>
      <c r="T30" s="1736"/>
    </row>
    <row r="31" spans="1:20" x14ac:dyDescent="0.2">
      <c r="A31" s="1942"/>
      <c r="B31" s="1942"/>
      <c r="C31" s="1942"/>
      <c r="D31" s="1922"/>
      <c r="E31" s="1922"/>
      <c r="F31" s="1922"/>
      <c r="G31" s="1942"/>
      <c r="H31" s="1942"/>
      <c r="I31" s="1922"/>
      <c r="J31" s="1922"/>
      <c r="K31" s="1634"/>
      <c r="L31" s="1634"/>
      <c r="M31" s="1736"/>
      <c r="N31" s="1736">
        <f>N9+N30</f>
      </c>
      <c r="O31" s="1736"/>
      <c r="Q31" s="1736"/>
      <c r="R31" s="1736"/>
      <c r="S31" s="1736"/>
      <c r="T31" s="1736"/>
    </row>
    <row r="32" spans="1:20" x14ac:dyDescent="0.2">
      <c r="A32" s="1942"/>
      <c r="B32" s="1922"/>
      <c r="C32" s="1922"/>
      <c r="D32" s="1922"/>
      <c r="E32" s="1922"/>
      <c r="F32" s="2957" t="s">
        <v>7805</v>
      </c>
      <c r="G32" s="1740"/>
      <c r="H32" s="2241" t="str">
        <f>IF(N31=0,"",IF(G32="",re,""))</f>
        <v/>
      </c>
      <c r="I32" s="1922"/>
      <c r="J32" s="1922"/>
      <c r="K32" s="1634"/>
      <c r="L32" s="1634">
        <f>IF(H32="",0,1)</f>
      </c>
      <c r="M32" s="1736"/>
      <c r="N32" s="1736"/>
      <c r="O32" s="1736"/>
      <c r="P32" s="1736"/>
      <c r="Q32" s="1736"/>
      <c r="R32" s="1736"/>
      <c r="S32" s="1736"/>
      <c r="T32" s="1736"/>
    </row>
    <row r="33" spans="1:20" x14ac:dyDescent="0.2">
      <c r="A33" s="1942"/>
      <c r="B33" s="1942"/>
      <c r="C33" s="1942"/>
      <c r="D33" s="1942"/>
      <c r="E33" s="1942"/>
      <c r="F33" s="1922"/>
      <c r="G33" s="1922"/>
      <c r="H33" s="1922"/>
      <c r="I33" s="1922"/>
      <c r="J33" s="1922"/>
      <c r="K33" s="1634"/>
      <c r="L33" s="1634"/>
      <c r="M33" s="1736"/>
      <c r="N33" s="1736"/>
      <c r="O33" s="1736"/>
      <c r="P33" s="1736"/>
      <c r="Q33" s="1736"/>
      <c r="R33" s="1736"/>
      <c r="S33" s="1736"/>
      <c r="T33" s="1736"/>
    </row>
    <row r="34" spans="1:20" x14ac:dyDescent="0.2">
      <c r="A34" s="1942"/>
      <c r="B34" s="1942"/>
      <c r="C34" s="1942"/>
      <c r="D34" s="1942"/>
      <c r="E34" s="1942"/>
      <c r="F34" s="1922"/>
      <c r="G34" s="1922"/>
      <c r="H34" s="1922"/>
      <c r="I34" s="1922"/>
      <c r="J34" s="1922"/>
      <c r="K34" s="1634"/>
      <c r="L34" s="1634">
        <f>SUM(F5:F32)</f>
      </c>
      <c r="M34" s="1736"/>
      <c r="N34" s="1736"/>
      <c r="O34" s="1736"/>
      <c r="P34" s="1736"/>
      <c r="Q34" s="1736"/>
      <c r="R34" s="1736"/>
      <c r="S34" s="1736"/>
      <c r="T34" s="1736"/>
    </row>
    <row r="35" spans="1:20" x14ac:dyDescent="0.2">
      <c r="A35" s="1942"/>
      <c r="B35" s="1942"/>
      <c r="C35" s="1942"/>
      <c r="D35" s="1942"/>
      <c r="E35" s="1942"/>
      <c r="F35" s="1922"/>
      <c r="G35" s="1922"/>
      <c r="H35" s="1922"/>
      <c r="I35" s="1922"/>
      <c r="J35" s="1922"/>
      <c r="K35" s="1634"/>
      <c r="L35" s="1634"/>
      <c r="M35" s="1736"/>
      <c r="N35" s="1736"/>
      <c r="O35" s="1736"/>
      <c r="P35" s="1736"/>
      <c r="Q35" s="1736"/>
      <c r="R35" s="1736"/>
      <c r="S35" s="1736"/>
      <c r="T35" s="1736"/>
    </row>
    <row r="36" spans="1:20" x14ac:dyDescent="0.2">
      <c r="A36" s="1935" t="str">
        <f>_xlfn.SINGLE(MTCA)</f>
      </c>
      <c r="B36" s="1922"/>
      <c r="C36" s="1922"/>
      <c r="D36" s="1942"/>
      <c r="E36" s="1938" t="str">
        <f>ver</f>
        <v>TA2_e-CO_2025_Ver 1.1</v>
      </c>
      <c r="F36" s="1922"/>
      <c r="G36" s="1922"/>
      <c r="H36" s="1922"/>
      <c r="I36" s="1935" t="s">
        <v>7768</v>
      </c>
      <c r="J36" s="1922"/>
      <c r="K36" s="1634"/>
      <c r="L36" s="1634">
        <f>IF(N31=0,0,IF(L34&lt;&gt;0,100,IF(G32=y,1,100)))</f>
      </c>
      <c r="M36" s="1736"/>
      <c r="N36" s="1736"/>
      <c r="O36" s="1736"/>
      <c r="P36" s="1736"/>
      <c r="Q36" s="1736"/>
      <c r="R36" s="1736"/>
      <c r="S36" s="1736"/>
      <c r="T36" s="1736"/>
    </row>
    <row r="37" spans="1:20" x14ac:dyDescent="0.2">
      <c r="A37" s="1942"/>
      <c r="B37" s="1942"/>
      <c r="C37" s="1942"/>
      <c r="D37" s="1942"/>
      <c r="E37" s="1942"/>
      <c r="F37" s="1922"/>
      <c r="G37" s="1922"/>
      <c r="H37" s="1922"/>
      <c r="I37" s="1922"/>
      <c r="J37" s="1922"/>
      <c r="K37" s="1634"/>
      <c r="L37" s="1634"/>
      <c r="M37" s="1736"/>
      <c r="N37" s="1736"/>
      <c r="O37" s="1736"/>
      <c r="P37" s="1736"/>
      <c r="Q37" s="1736"/>
      <c r="R37" s="1736"/>
      <c r="S37" s="1736"/>
      <c r="T37" s="1736"/>
    </row>
    <row r="38" spans="1:20" x14ac:dyDescent="0.2">
      <c r="A38" s="1736"/>
      <c r="B38" s="493" t="s">
        <v>6290</v>
      </c>
      <c r="C38" s="1736"/>
      <c r="D38" s="1736"/>
      <c r="E38" s="1736"/>
      <c r="K38" s="1634"/>
      <c r="L38" s="1634"/>
      <c r="M38" s="1736"/>
      <c r="N38" s="1736"/>
      <c r="O38" s="1736"/>
      <c r="P38" s="1736"/>
      <c r="Q38" s="1736"/>
      <c r="R38" s="1736"/>
      <c r="S38" s="1736"/>
      <c r="T38" s="1736"/>
    </row>
  </sheetData>
  <sheetProtection algorithmName="SHA-512" hashValue="bhWVhDn+s5F6DitxC03MJhmO2SMpaQMBFONMDgI9xztSjlDncnK5e9NR2PuAUr46R2/aPHfL8FmrjQWkTk5INw==" saltValue="UD/Rqm0DwzCjQdkDuK0fgg==" spinCount="100000" sheet="1" objects="1" scenarios="1"/>
  <mergeCells count="5">
    <mergeCell ref="A1:H1"/>
    <mergeCell ref="B7:I7"/>
    <mergeCell ref="B10:F10"/>
    <mergeCell ref="B20:F20"/>
    <mergeCell ref="B8:I8"/>
  </mergeCells>
  <conditionalFormatting sqref="E22">
    <cfRule type="expression" dxfId="371" priority="5" stopIfTrue="1">
      <formula>ya=2011</formula>
    </cfRule>
  </conditionalFormatting>
  <conditionalFormatting sqref="G22">
    <cfRule type="expression" dxfId="370" priority="4" stopIfTrue="1">
      <formula>$Q$22=1</formula>
    </cfRule>
  </conditionalFormatting>
  <conditionalFormatting sqref="G24 G27">
    <cfRule type="expression" dxfId="369" priority="3" stopIfTrue="1">
      <formula>$H$28=nob</formula>
    </cfRule>
  </conditionalFormatting>
  <dataValidations count="10">
    <dataValidation type="whole" errorStyle="warning" allowBlank="1" showInputMessage="1" showErrorMessage="1" errorTitle="Income relieved by tax credit" error="Are you sure the amount entered is correct?" sqref="G27" xr:uid="{00000000-0002-0000-5100-000000000000}">
      <formula1>S27</formula1>
      <formula2>R27</formula2>
    </dataValidation>
    <dataValidation type="date" errorStyle="warning" allowBlank="1" showInputMessage="1" showErrorMessage="1" errorTitle="Date of approval" error="Please enter the correct date!" promptTitle="Date format" prompt="dd/mm/yyyy" sqref="G14" xr:uid="{00000000-0002-0000-5100-000001000000}">
      <formula1>L4</formula1>
      <formula2>M3</formula2>
    </dataValidation>
    <dataValidation type="whole" allowBlank="1" showInputMessage="1" showErrorMessage="1" errorTitle="Tax credit utilised" error="Cannot be more than tax credits available!" sqref="G24" xr:uid="{00000000-0002-0000-5100-000002000000}">
      <formula1>0</formula1>
      <formula2>G23</formula2>
    </dataValidation>
    <dataValidation type="date" errorStyle="warning" allowBlank="1" showInputMessage="1" showErrorMessage="1" errorTitle="Date of approval" error="Please enter the correct date!" promptTitle="Date format" prompt="dd/mm/yyyy" sqref="G12" xr:uid="{00000000-0002-0000-5100-000003000000}">
      <formula1>L4</formula1>
      <formula2>M3</formula2>
    </dataValidation>
    <dataValidation type="whole" allowBlank="1" showInputMessage="1" showErrorMessage="1" errorTitle="First year of assessment" error="Please enter the correct year of assessment expressed as four digits!" sqref="G15" xr:uid="{00000000-0002-0000-5100-000004000000}">
      <formula1>O16</formula1>
      <formula2>ya</formula2>
    </dataValidation>
    <dataValidation type="whole" operator="greaterThanOrEqual" allowBlank="1" showInputMessage="1" showErrorMessage="1" sqref="G18" xr:uid="{00000000-0002-0000-5100-000005000000}">
      <formula1>0</formula1>
    </dataValidation>
    <dataValidation type="whole" operator="greaterThanOrEqual" allowBlank="1" showInputMessage="1" showErrorMessage="1" errorTitle="Share capital" error="The amount should be greater than 0!" promptTitle="asfter" sqref="G17" xr:uid="{00000000-0002-0000-5100-000006000000}">
      <formula1>0</formula1>
    </dataValidation>
    <dataValidation type="whole" operator="greaterThanOrEqual" allowBlank="1" showInputMessage="1" showErrorMessage="1" errorTitle="Share capital" error="The amount should be greater than 0!" sqref="G16" xr:uid="{00000000-0002-0000-5100-000007000000}">
      <formula1>0</formula1>
    </dataValidation>
    <dataValidation type="textLength" operator="greaterThanOrEqual" allowBlank="1" showInputMessage="1" showErrorMessage="1" errorTitle="Certificate number" error="Please enter the correct reference!" sqref="G11 G13" xr:uid="{00000000-0002-0000-5100-000008000000}">
      <formula1>5</formula1>
    </dataValidation>
    <dataValidation type="list" showInputMessage="1" showErrorMessage="1" sqref="G32 G30" xr:uid="{00000000-0002-0000-5100-000009000000}">
      <formula1>yn</formula1>
    </dataValidation>
  </dataValidations>
  <hyperlinks>
    <hyperlink ref="B38" location="Index!B77" display="B A C K   T O   I N D E X" xr:uid="{00000000-0004-0000-5100-000000000000}"/>
    <hyperlink ref="F24" location="TRA35!A1" display="TRA 35" xr:uid="{00000000-0004-0000-5100-000001000000}"/>
    <hyperlink ref="F27" location="TRA35!A1" display="TRA 35" xr:uid="{00000000-0004-0000-5100-000002000000}"/>
  </hyperlinks>
  <pageMargins left="0.70866141732283472" right="0.70866141732283472" top="0.45" bottom="0.74803149606299213" header="0.31496062992125984" footer="0.31496062992125984"/>
  <pageSetup paperSize="9" scale="105" orientation="landscape" r:id="rId1"/>
  <headerFooter>
    <oddFooter>&amp;LName&amp;CSignature&amp;RDate</oddFooter>
  </headerFooter>
  <legacy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90"/>
  <dimension ref="A1:X44"/>
  <sheetViews>
    <sheetView zoomScaleNormal="100" workbookViewId="0">
      <selection activeCell="I6" sqref="I6"/>
    </sheetView>
  </sheetViews>
  <sheetFormatPr defaultColWidth="0" defaultRowHeight="12.75" zeroHeight="1" x14ac:dyDescent="0.2"/>
  <cols>
    <col min="1" max="1" width="2.42578125" style="2412" customWidth="1"/>
    <col min="2" max="7" width="8.7109375" style="2412" customWidth="1"/>
    <col min="8" max="9" width="8.7109375" style="2426" customWidth="1"/>
    <col min="10" max="14" width="8.7109375" style="2412" customWidth="1"/>
    <col min="15" max="15" width="13.28515625" style="2412" customWidth="1"/>
    <col min="16" max="16384" width="8.7109375" style="2412" hidden="1"/>
  </cols>
  <sheetData>
    <row r="1" spans="1:24" s="1511" customFormat="1" ht="12" x14ac:dyDescent="0.2">
      <c r="A1" s="5184" t="str">
        <f>_ref1</f>
      </c>
      <c r="B1" s="5184"/>
      <c r="C1" s="5184"/>
      <c r="D1" s="5184"/>
      <c r="E1" s="5184"/>
      <c r="F1" s="5184"/>
      <c r="G1" s="5184"/>
      <c r="H1" s="5184"/>
      <c r="I1" s="5184"/>
      <c r="J1" s="5184"/>
      <c r="K1" s="5184"/>
      <c r="L1" s="5184"/>
      <c r="M1" s="5184"/>
      <c r="N1" s="2470" t="str">
        <f>_YA1</f>
      </c>
      <c r="O1" s="2469"/>
      <c r="S1" s="1511" t="s">
        <v>5063</v>
      </c>
      <c r="U1" s="1511" t="s">
        <v>4694</v>
      </c>
      <c r="X1" s="1511" t="s">
        <v>8090</v>
      </c>
    </row>
    <row r="2" spans="1:24" x14ac:dyDescent="0.2">
      <c r="A2" s="2410"/>
      <c r="B2" s="2410"/>
      <c r="C2" s="2410"/>
      <c r="D2" s="2410"/>
      <c r="E2" s="2410"/>
      <c r="F2" s="2410"/>
      <c r="G2" s="2410"/>
      <c r="H2" s="2411"/>
      <c r="I2" s="2411"/>
      <c r="J2" s="2410"/>
      <c r="K2" s="2410"/>
      <c r="L2" s="2410"/>
      <c r="M2" s="2410"/>
      <c r="N2" s="2410"/>
      <c r="O2" s="2410"/>
      <c r="Q2" s="2412" t="s">
        <v>6938</v>
      </c>
      <c r="R2" s="1776" t="s">
        <v>4591</v>
      </c>
      <c r="T2" s="2412" t="s">
        <v>4457</v>
      </c>
    </row>
    <row r="3" spans="1:24" ht="18.75" x14ac:dyDescent="0.2">
      <c r="A3" s="2410"/>
      <c r="B3" s="2455" t="s">
        <v>8372</v>
      </c>
      <c r="C3" s="2456"/>
      <c r="D3" s="2456"/>
      <c r="E3" s="2456"/>
      <c r="F3" s="2456"/>
      <c r="G3" s="2456"/>
      <c r="H3" s="2457"/>
      <c r="I3" s="2457"/>
      <c r="J3" s="2456"/>
      <c r="K3" s="2456"/>
      <c r="L3" s="2456"/>
      <c r="M3" s="2456"/>
      <c r="N3" s="2458"/>
      <c r="O3" s="2410"/>
      <c r="Q3" s="2412" t="s">
        <v>2314</v>
      </c>
      <c r="R3" s="1736" t="str">
        <f>cur</f>
      </c>
      <c r="T3" s="2412" t="s">
        <v>1736</v>
      </c>
    </row>
    <row r="4" spans="1:24" ht="18.75" x14ac:dyDescent="0.2">
      <c r="A4" s="2410"/>
      <c r="B4" s="2459" t="s">
        <v>8366</v>
      </c>
      <c r="C4" s="2460"/>
      <c r="D4" s="2460"/>
      <c r="E4" s="2460"/>
      <c r="F4" s="2460"/>
      <c r="G4" s="2460"/>
      <c r="H4" s="2461"/>
      <c r="I4" s="2461"/>
      <c r="J4" s="2460"/>
      <c r="K4" s="2460"/>
      <c r="L4" s="2460"/>
      <c r="M4" s="2460"/>
      <c r="N4" s="2462"/>
      <c r="O4" s="2410"/>
      <c r="R4" s="1776">
        <f>VLOOKUP(R3,cbmer,8,FALSE)</f>
      </c>
    </row>
    <row r="5" spans="1:24" ht="29.65" customHeight="1" x14ac:dyDescent="0.2">
      <c r="A5" s="2410"/>
      <c r="B5" s="2413" t="s">
        <v>8059</v>
      </c>
      <c r="C5" s="2410"/>
      <c r="D5" s="2410"/>
      <c r="E5" s="2410"/>
      <c r="F5" s="2410"/>
      <c r="G5" s="2410"/>
      <c r="H5" s="2411"/>
      <c r="I5" s="2411"/>
      <c r="J5" s="2410"/>
      <c r="K5" s="2410"/>
      <c r="L5" s="2410"/>
      <c r="M5" s="2410"/>
      <c r="N5" s="2410"/>
      <c r="O5" s="2410"/>
      <c r="R5" s="2412">
        <f>ROUND(25000*R4,0)</f>
      </c>
    </row>
    <row r="6" spans="1:24" ht="15" x14ac:dyDescent="0.2">
      <c r="A6" s="2410"/>
      <c r="B6" s="2410" t="s">
        <v>8060</v>
      </c>
      <c r="C6" s="2410"/>
      <c r="D6" s="2410"/>
      <c r="E6" s="2410"/>
      <c r="F6" s="2410"/>
      <c r="G6" s="2410"/>
      <c r="H6" s="2430" t="s">
        <v>7330</v>
      </c>
      <c r="I6" s="2414"/>
      <c r="J6" s="2415" t="str">
        <f>IF(AND($S$6&lt;&gt;0,I6=""),re,"")</f>
        <v/>
      </c>
      <c r="K6" s="2410"/>
      <c r="L6" s="2410"/>
      <c r="M6" s="2410"/>
      <c r="N6" s="2410"/>
      <c r="O6" s="2410"/>
      <c r="P6" s="2412">
        <f>IF(J6="",0,1)</f>
      </c>
      <c r="R6" s="2412">
        <f>ROUND(300*R4,0)</f>
      </c>
      <c r="S6" s="2412">
        <f>COUNT(I6,I8,N28,N30,N32,J13,J15)</f>
      </c>
    </row>
    <row r="7" spans="1:24" ht="6" customHeight="1" x14ac:dyDescent="0.2">
      <c r="A7" s="2410"/>
      <c r="B7" s="2410"/>
      <c r="C7" s="2410"/>
      <c r="D7" s="2410"/>
      <c r="E7" s="2410"/>
      <c r="F7" s="2410"/>
      <c r="G7" s="2410"/>
      <c r="H7" s="2411"/>
      <c r="I7" s="2411"/>
      <c r="J7" s="2410"/>
      <c r="K7" s="2410"/>
      <c r="L7" s="2410"/>
      <c r="M7" s="2410"/>
      <c r="N7" s="2410"/>
      <c r="O7" s="2410"/>
    </row>
    <row r="8" spans="1:24" ht="15" x14ac:dyDescent="0.2">
      <c r="A8" s="2410"/>
      <c r="B8" s="2410" t="s">
        <v>8061</v>
      </c>
      <c r="C8" s="2410"/>
      <c r="D8" s="2410"/>
      <c r="E8" s="2410"/>
      <c r="F8" s="2410"/>
      <c r="G8" s="2410"/>
      <c r="H8" s="2411"/>
      <c r="I8" s="2414"/>
      <c r="J8" s="2415" t="str">
        <f>IF(AND($S$6&lt;&gt;0,I8=""),re,"")</f>
        <v/>
      </c>
      <c r="K8" s="2410"/>
      <c r="L8" s="2410"/>
      <c r="M8" s="2410"/>
      <c r="N8" s="2410"/>
      <c r="O8" s="2410"/>
      <c r="P8" s="2412">
        <f>IF(J8="",0,1)</f>
      </c>
    </row>
    <row r="9" spans="1:24" ht="6" customHeight="1" x14ac:dyDescent="0.2">
      <c r="A9" s="2410"/>
      <c r="B9" s="2410"/>
      <c r="C9" s="2410"/>
      <c r="D9" s="2410"/>
      <c r="E9" s="2410"/>
      <c r="F9" s="2410"/>
      <c r="G9" s="2410"/>
      <c r="H9" s="2411"/>
      <c r="I9" s="2411"/>
      <c r="J9" s="2410"/>
      <c r="K9" s="2410"/>
      <c r="L9" s="2410"/>
      <c r="M9" s="2410"/>
      <c r="N9" s="2410"/>
      <c r="O9" s="2410"/>
    </row>
    <row r="10" spans="1:24" ht="15" x14ac:dyDescent="0.2">
      <c r="A10" s="2410"/>
      <c r="B10" s="2416" t="s">
        <v>8062</v>
      </c>
      <c r="C10" s="2410"/>
      <c r="D10" s="2410"/>
      <c r="E10" s="2410"/>
      <c r="F10" s="2410"/>
      <c r="G10" s="2410"/>
      <c r="H10" s="2411"/>
      <c r="I10" s="2411"/>
      <c r="J10" s="2410"/>
      <c r="K10" s="2410"/>
      <c r="L10" s="2410"/>
      <c r="M10" s="2410"/>
      <c r="N10" s="2410"/>
      <c r="O10" s="2410"/>
    </row>
    <row r="11" spans="1:24" ht="6" customHeight="1" x14ac:dyDescent="0.2">
      <c r="A11" s="2410"/>
      <c r="B11" s="2416"/>
      <c r="C11" s="2410"/>
      <c r="D11" s="2410"/>
      <c r="E11" s="2410"/>
      <c r="F11" s="2410"/>
      <c r="G11" s="2410"/>
      <c r="H11" s="2411"/>
      <c r="I11" s="2411"/>
      <c r="J11" s="2410"/>
      <c r="K11" s="2410"/>
      <c r="L11" s="2410"/>
      <c r="M11" s="2410"/>
      <c r="N11" s="2410"/>
      <c r="O11" s="2410"/>
    </row>
    <row r="12" spans="1:24" x14ac:dyDescent="0.2">
      <c r="A12" s="2410"/>
      <c r="B12" s="2410" t="s">
        <v>8063</v>
      </c>
      <c r="C12" s="2410"/>
      <c r="D12" s="2410"/>
      <c r="E12" s="2410"/>
      <c r="F12" s="2410"/>
      <c r="G12" s="2410"/>
      <c r="H12" s="2411"/>
      <c r="I12" s="2411"/>
      <c r="J12" s="2410"/>
      <c r="K12" s="2410"/>
      <c r="L12" s="2410"/>
      <c r="M12" s="2410"/>
      <c r="N12" s="2410"/>
      <c r="O12" s="2410"/>
    </row>
    <row r="13" spans="1:24" ht="15" x14ac:dyDescent="0.2">
      <c r="A13" s="2410"/>
      <c r="B13" s="2410" t="s">
        <v>8370</v>
      </c>
      <c r="C13" s="2410"/>
      <c r="D13" s="2410"/>
      <c r="E13" s="2410"/>
      <c r="F13" s="2410"/>
      <c r="G13" s="2410"/>
      <c r="H13" s="2411"/>
      <c r="I13" s="2411"/>
      <c r="J13" s="2414"/>
      <c r="K13" s="2415" t="str">
        <f>IF(AND(S$6&gt;0,J13=""),re,IF(J13=S13,"",IF(AND(R$3=R$2,J13&gt;S13)," Exceeds threshold!",IF(AND(R2=R3,J13&lt;S13),"Check amount!",""))))</f>
        <v/>
      </c>
      <c r="L13" s="2410"/>
      <c r="M13" s="2431" t="str">
        <f>IF(AND(R$3&lt;&gt;R$2,J13&gt;S13),"Excessive!","")</f>
        <v/>
      </c>
      <c r="N13" s="2410"/>
      <c r="O13" s="2410"/>
      <c r="P13" s="2412">
        <f>IF(K13="",0,1)</f>
      </c>
      <c r="Q13" s="2412">
        <f>IF(M13&lt;&gt;"",1,0)</f>
      </c>
      <c r="R13" s="2412">
        <v>0</v>
      </c>
      <c r="S13" s="2770">
        <f>IF(I6&lt;R5,I6,R5)</f>
      </c>
    </row>
    <row r="14" spans="1:24" x14ac:dyDescent="0.2">
      <c r="A14" s="2410"/>
      <c r="B14" s="2410" t="s">
        <v>8064</v>
      </c>
      <c r="C14" s="2410"/>
      <c r="D14" s="2410"/>
      <c r="E14" s="2410"/>
      <c r="F14" s="2410"/>
      <c r="G14" s="2410"/>
      <c r="H14" s="2411"/>
      <c r="I14" s="2411"/>
      <c r="J14" s="2411"/>
      <c r="K14" s="2410"/>
      <c r="L14" s="2410"/>
      <c r="M14" s="2410"/>
      <c r="N14" s="2410"/>
      <c r="O14" s="2410"/>
    </row>
    <row r="15" spans="1:24" ht="15" x14ac:dyDescent="0.2">
      <c r="A15" s="2410"/>
      <c r="B15" s="2410" t="s">
        <v>8065</v>
      </c>
      <c r="C15" s="2410"/>
      <c r="D15" s="2410"/>
      <c r="E15" s="2410"/>
      <c r="F15" s="2410"/>
      <c r="G15" s="2410"/>
      <c r="H15" s="2411"/>
      <c r="I15" s="2411"/>
      <c r="J15" s="2414"/>
      <c r="K15" s="2415" t="str">
        <f>IF(AND(S$6&gt;0,J15=""),re,IF(J15=S15,"",IF(AND(R$3=R$2,J15&gt;S15)," Exceeds threshold!",IF(AND(R2=R3,J15&lt;S15),"Check amount!",""))))</f>
        <v/>
      </c>
      <c r="L15" s="2410"/>
      <c r="M15" s="2431" t="str">
        <f>IF(AND(R$3&lt;&gt;R$2,J15&gt;S15),"Excessive!","")</f>
        <v/>
      </c>
      <c r="N15" s="2410"/>
      <c r="O15" s="2410"/>
      <c r="P15" s="2412">
        <f>IF(K15="",0,1)</f>
      </c>
      <c r="Q15" s="2412">
        <f>IF(M15&lt;&gt;"",1,0)</f>
      </c>
      <c r="R15" s="2412">
        <v>0</v>
      </c>
      <c r="S15" s="2412">
        <f>ROUND(300*I8*R4,0)</f>
      </c>
    </row>
    <row r="16" spans="1:24" x14ac:dyDescent="0.2">
      <c r="A16" s="2410"/>
      <c r="B16" s="2410"/>
      <c r="C16" s="2410"/>
      <c r="D16" s="2410"/>
      <c r="E16" s="2410"/>
      <c r="F16" s="2410"/>
      <c r="G16" s="2410"/>
      <c r="H16" s="2411"/>
      <c r="I16" s="2411"/>
      <c r="J16" s="2410"/>
      <c r="K16" s="2410"/>
      <c r="L16" s="2410"/>
      <c r="M16" s="2410"/>
      <c r="N16" s="2410"/>
      <c r="O16" s="2410"/>
    </row>
    <row r="17" spans="1:20" x14ac:dyDescent="0.2">
      <c r="A17" s="2410"/>
      <c r="B17" s="2410"/>
      <c r="C17" s="2410"/>
      <c r="D17" s="2410"/>
      <c r="E17" s="2410"/>
      <c r="F17" s="2410"/>
      <c r="G17" s="2410"/>
      <c r="H17" s="2411"/>
      <c r="I17" s="2411"/>
      <c r="J17" s="2410"/>
      <c r="K17" s="2410"/>
      <c r="L17" s="2410"/>
      <c r="M17" s="2410"/>
      <c r="N17" s="2410"/>
      <c r="O17" s="2410"/>
    </row>
    <row r="18" spans="1:20" ht="15" x14ac:dyDescent="0.2">
      <c r="A18" s="2410"/>
      <c r="B18" s="2416" t="s">
        <v>8066</v>
      </c>
      <c r="C18" s="2410"/>
      <c r="D18" s="2410"/>
      <c r="E18" s="2410"/>
      <c r="F18" s="2410"/>
      <c r="G18" s="2410"/>
      <c r="H18" s="2411"/>
      <c r="I18" s="2411"/>
      <c r="J18" s="2410"/>
      <c r="K18" s="2410"/>
      <c r="L18" s="2410"/>
      <c r="M18" s="2410"/>
      <c r="N18" s="2410"/>
      <c r="O18" s="2410"/>
    </row>
    <row r="19" spans="1:20" x14ac:dyDescent="0.2">
      <c r="A19" s="2410"/>
      <c r="B19" s="2410"/>
      <c r="C19" s="2410"/>
      <c r="D19" s="2410"/>
      <c r="E19" s="2410"/>
      <c r="F19" s="2410"/>
      <c r="G19" s="2410"/>
      <c r="H19" s="2411"/>
      <c r="I19" s="2411"/>
      <c r="J19" s="2410"/>
      <c r="K19" s="2410"/>
      <c r="L19" s="2410"/>
      <c r="M19" s="2410"/>
      <c r="N19" s="2410"/>
      <c r="O19" s="2410"/>
    </row>
    <row r="20" spans="1:20" x14ac:dyDescent="0.2">
      <c r="A20" s="2410"/>
      <c r="B20" s="2410" t="s">
        <v>8067</v>
      </c>
      <c r="C20" s="2410"/>
      <c r="D20" s="2410"/>
      <c r="E20" s="2410"/>
      <c r="F20" s="2410"/>
      <c r="G20" s="2410"/>
      <c r="H20" s="2411"/>
      <c r="I20" s="2418">
        <f>IF(J15&lt;J13,J15,J13)</f>
      </c>
      <c r="J20" s="2410"/>
      <c r="K20" s="2410"/>
      <c r="L20" s="2410"/>
      <c r="M20" s="2410"/>
      <c r="N20" s="2410"/>
      <c r="O20" s="2410"/>
    </row>
    <row r="21" spans="1:20" x14ac:dyDescent="0.2">
      <c r="A21" s="2410"/>
      <c r="B21" s="2410"/>
      <c r="C21" s="2410"/>
      <c r="D21" s="2410"/>
      <c r="E21" s="2410"/>
      <c r="F21" s="2410"/>
      <c r="G21" s="2410"/>
      <c r="H21" s="2411"/>
      <c r="I21" s="2411"/>
      <c r="J21" s="2410"/>
      <c r="K21" s="2410"/>
      <c r="L21" s="2410"/>
      <c r="M21" s="2410"/>
      <c r="N21" s="2410"/>
      <c r="O21" s="2410"/>
    </row>
    <row r="22" spans="1:20" ht="15" x14ac:dyDescent="0.2">
      <c r="A22" s="2410"/>
      <c r="B22" s="2771" t="s">
        <v>8371</v>
      </c>
      <c r="C22" s="2410"/>
      <c r="D22" s="2410"/>
      <c r="E22" s="2410" t="str">
        <f>IF(S6=0,"","("&amp;I20&amp;"x"&amp;"1.5)+("&amp;I6&amp;"-"&amp;I20&amp;")")</f>
        <v/>
      </c>
      <c r="F22" s="2410"/>
      <c r="G22" s="2410"/>
      <c r="H22" s="2430" t="s">
        <v>7330</v>
      </c>
      <c r="I22" s="2418">
        <f>IF(T34&lt;&gt;0,0,(I20*1.5)+(I6-I20))</f>
      </c>
      <c r="J22" s="2415" t="str">
        <f>IF(AND(I20&gt;0,I22=0)," All conditions must be satisfied!","")</f>
        <v/>
      </c>
      <c r="K22" s="2410"/>
      <c r="L22" s="2410"/>
      <c r="M22" s="2410"/>
      <c r="N22" s="2410"/>
      <c r="O22" s="2410"/>
      <c r="P22" s="2412">
        <f>IF(J22="",0,1)</f>
      </c>
    </row>
    <row r="23" spans="1:20" hidden="1" x14ac:dyDescent="0.2">
      <c r="A23" s="2410"/>
      <c r="B23" s="2410"/>
      <c r="C23" s="2410"/>
      <c r="D23" s="2410"/>
      <c r="E23" s="2410"/>
      <c r="F23" s="2410"/>
      <c r="G23" s="2410"/>
      <c r="H23" s="2411"/>
      <c r="I23" s="2411"/>
      <c r="J23" s="2410"/>
      <c r="K23" s="2410"/>
      <c r="L23" s="2410"/>
      <c r="M23" s="2410"/>
      <c r="N23" s="2410"/>
      <c r="O23" s="2410"/>
    </row>
    <row r="24" spans="1:20" hidden="1" x14ac:dyDescent="0.2">
      <c r="A24" s="2410"/>
      <c r="B24" s="2410"/>
      <c r="C24" s="2410"/>
      <c r="D24" s="2410"/>
      <c r="E24" s="2410"/>
      <c r="F24" s="2410"/>
      <c r="G24" s="2410"/>
      <c r="H24" s="2411"/>
      <c r="I24" s="2411"/>
      <c r="J24" s="2410"/>
      <c r="K24" s="2410"/>
      <c r="L24" s="2410"/>
      <c r="M24" s="2410"/>
      <c r="N24" s="2410"/>
      <c r="O24" s="2410"/>
    </row>
    <row r="25" spans="1:20" x14ac:dyDescent="0.2">
      <c r="A25" s="2410"/>
      <c r="B25" s="2410"/>
      <c r="C25" s="2410"/>
      <c r="D25" s="2410"/>
      <c r="E25" s="2410"/>
      <c r="F25" s="2410"/>
      <c r="G25" s="2410"/>
      <c r="H25" s="2411"/>
      <c r="I25" s="2411"/>
      <c r="J25" s="2410"/>
      <c r="K25" s="2410"/>
      <c r="L25" s="2410"/>
      <c r="M25" s="2410"/>
      <c r="N25" s="2410"/>
      <c r="O25" s="2410"/>
    </row>
    <row r="26" spans="1:20" ht="15" x14ac:dyDescent="0.2">
      <c r="A26" s="2410"/>
      <c r="B26" s="2416" t="s">
        <v>8068</v>
      </c>
      <c r="C26" s="2410"/>
      <c r="D26" s="2410"/>
      <c r="E26" s="2410"/>
      <c r="F26" s="2410"/>
      <c r="G26" s="2410"/>
      <c r="H26" s="2411"/>
      <c r="I26" s="2411"/>
      <c r="J26" s="2410"/>
      <c r="K26" s="2410"/>
      <c r="L26" s="2410"/>
      <c r="M26" s="2410"/>
      <c r="N26" s="2410"/>
      <c r="O26" s="2410"/>
    </row>
    <row r="27" spans="1:20" ht="15" x14ac:dyDescent="0.2">
      <c r="A27" s="2410"/>
      <c r="B27" s="2416"/>
      <c r="C27" s="2410"/>
      <c r="D27" s="2410"/>
      <c r="E27" s="2410"/>
      <c r="F27" s="2410"/>
      <c r="G27" s="2410"/>
      <c r="H27" s="2411"/>
      <c r="I27" s="2411"/>
      <c r="J27" s="2410"/>
      <c r="K27" s="2410"/>
      <c r="L27" s="2410"/>
      <c r="M27" s="2410"/>
      <c r="N27" s="2410"/>
      <c r="O27" s="2410"/>
    </row>
    <row r="28" spans="1:20" ht="15" x14ac:dyDescent="0.2">
      <c r="A28" s="2410"/>
      <c r="B28" s="2410" t="s">
        <v>8069</v>
      </c>
      <c r="C28" s="2410"/>
      <c r="D28" s="2410"/>
      <c r="E28" s="2410"/>
      <c r="F28" s="2410"/>
      <c r="G28" s="2410"/>
      <c r="H28" s="2411"/>
      <c r="I28" s="2411"/>
      <c r="J28" s="2410"/>
      <c r="K28" s="2410"/>
      <c r="L28" s="2410"/>
      <c r="M28" s="2410"/>
      <c r="N28" s="2429"/>
      <c r="O28" s="2415" t="str">
        <f>IF(AND($S$6&lt;&gt;0,N28=""),re,"")</f>
        <v/>
      </c>
      <c r="P28" s="2412">
        <f>IF(O28="",0,1)</f>
      </c>
      <c r="T28" s="2412">
        <f>IF(N28="No",1,0)</f>
      </c>
    </row>
    <row r="29" spans="1:20" ht="15" x14ac:dyDescent="0.2">
      <c r="A29" s="2410"/>
      <c r="B29" s="2416"/>
      <c r="C29" s="2410"/>
      <c r="D29" s="2410"/>
      <c r="E29" s="2410"/>
      <c r="F29" s="2410"/>
      <c r="G29" s="2410"/>
      <c r="H29" s="2411"/>
      <c r="I29" s="2411"/>
      <c r="J29" s="2410"/>
      <c r="K29" s="2410"/>
      <c r="L29" s="2410"/>
      <c r="M29" s="2410"/>
      <c r="N29" s="2419"/>
      <c r="O29" s="2415"/>
    </row>
    <row r="30" spans="1:20" ht="15" x14ac:dyDescent="0.2">
      <c r="A30" s="2410"/>
      <c r="B30" s="2410" t="s">
        <v>8070</v>
      </c>
      <c r="C30" s="2410"/>
      <c r="D30" s="2410"/>
      <c r="E30" s="2410"/>
      <c r="F30" s="2410"/>
      <c r="G30" s="2410"/>
      <c r="H30" s="2411"/>
      <c r="I30" s="2411"/>
      <c r="J30" s="2410"/>
      <c r="K30" s="2410"/>
      <c r="L30" s="2410"/>
      <c r="M30" s="2410"/>
      <c r="N30" s="2429"/>
      <c r="O30" s="2415" t="str">
        <f>IF(AND($S$6&lt;&gt;0,N30=""),re,"")</f>
        <v/>
      </c>
      <c r="P30" s="2412">
        <f>IF(O30="",0,1)</f>
      </c>
      <c r="T30" s="2412">
        <f>IF(N30="No",1,0)</f>
      </c>
    </row>
    <row r="31" spans="1:20" ht="15" x14ac:dyDescent="0.2">
      <c r="A31" s="2410"/>
      <c r="B31" s="2410"/>
      <c r="C31" s="2410"/>
      <c r="D31" s="2410"/>
      <c r="E31" s="2410"/>
      <c r="F31" s="2410"/>
      <c r="G31" s="2410"/>
      <c r="H31" s="2411"/>
      <c r="I31" s="2411"/>
      <c r="J31" s="2410"/>
      <c r="K31" s="2410"/>
      <c r="L31" s="2410"/>
      <c r="M31" s="2410"/>
      <c r="N31" s="2419"/>
      <c r="O31" s="2415"/>
    </row>
    <row r="32" spans="1:20" ht="15" x14ac:dyDescent="0.2">
      <c r="A32" s="2410"/>
      <c r="B32" s="2410" t="s">
        <v>8071</v>
      </c>
      <c r="C32" s="2410"/>
      <c r="D32" s="2410"/>
      <c r="E32" s="2410"/>
      <c r="F32" s="2410"/>
      <c r="G32" s="2410"/>
      <c r="H32" s="2411"/>
      <c r="I32" s="2411"/>
      <c r="J32" s="2410"/>
      <c r="K32" s="2410"/>
      <c r="L32" s="2410"/>
      <c r="M32" s="2410"/>
      <c r="N32" s="2429"/>
      <c r="O32" s="2415" t="str">
        <f>IF(AND($S$6&lt;&gt;0,N32=""),re,"")</f>
        <v/>
      </c>
      <c r="P32" s="2412">
        <f>IF(O32="",0,1)</f>
      </c>
      <c r="T32" s="2412">
        <f>IF(N32="No",1,0)</f>
      </c>
    </row>
    <row r="33" spans="1:20" x14ac:dyDescent="0.2">
      <c r="A33" s="2410"/>
      <c r="B33" s="2410"/>
      <c r="C33" s="2410"/>
      <c r="D33" s="2410"/>
      <c r="E33" s="2410"/>
      <c r="F33" s="2410"/>
      <c r="G33" s="2410"/>
      <c r="H33" s="2411"/>
      <c r="I33" s="2411"/>
      <c r="J33" s="2410"/>
      <c r="K33" s="2410"/>
      <c r="L33" s="2410"/>
      <c r="M33" s="2410"/>
      <c r="N33" s="2410"/>
      <c r="O33" s="2410"/>
    </row>
    <row r="34" spans="1:20" hidden="1" x14ac:dyDescent="0.2">
      <c r="A34" s="2410"/>
      <c r="B34" s="2410"/>
      <c r="C34" s="2410"/>
      <c r="D34" s="2410"/>
      <c r="E34" s="2410"/>
      <c r="F34" s="2410"/>
      <c r="G34" s="2410"/>
      <c r="H34" s="2411"/>
      <c r="I34" s="2411"/>
      <c r="J34" s="2410"/>
      <c r="K34" s="2410"/>
      <c r="L34" s="2410"/>
      <c r="M34" s="2410"/>
      <c r="N34" s="2410"/>
      <c r="O34" s="2410"/>
      <c r="T34" s="2412">
        <f>SUM(T28:T32)</f>
      </c>
    </row>
    <row r="35" spans="1:20" hidden="1" x14ac:dyDescent="0.2">
      <c r="A35" s="2410"/>
      <c r="B35" s="2420"/>
      <c r="C35" s="2421"/>
      <c r="D35" s="2421"/>
      <c r="E35" s="2421"/>
      <c r="F35" s="2421"/>
      <c r="G35" s="2421"/>
      <c r="H35" s="2422"/>
      <c r="I35" s="2422"/>
      <c r="J35" s="2421"/>
      <c r="K35" s="2421"/>
      <c r="L35" s="2421"/>
      <c r="M35" s="2421"/>
      <c r="N35" s="2421"/>
      <c r="O35" s="2421"/>
    </row>
    <row r="36" spans="1:20" hidden="1" x14ac:dyDescent="0.2">
      <c r="A36" s="2410"/>
      <c r="B36" s="2410"/>
      <c r="C36" s="2410"/>
      <c r="D36" s="2410"/>
      <c r="E36" s="2410"/>
      <c r="F36" s="2410"/>
      <c r="G36" s="2410"/>
      <c r="H36" s="2411"/>
      <c r="I36" s="2411"/>
      <c r="J36" s="2410"/>
      <c r="K36" s="2410"/>
      <c r="L36" s="2410"/>
      <c r="M36" s="2410"/>
      <c r="N36" s="2410"/>
      <c r="O36" s="2410"/>
    </row>
    <row r="37" spans="1:20" ht="15" x14ac:dyDescent="0.2">
      <c r="A37" s="2410"/>
      <c r="B37" s="2410"/>
      <c r="C37" s="2410"/>
      <c r="D37" s="2410"/>
      <c r="E37" s="2410"/>
      <c r="F37" s="2410"/>
      <c r="G37" s="2410"/>
      <c r="H37" s="2423" t="s">
        <v>5381</v>
      </c>
      <c r="I37" s="2429"/>
      <c r="J37" s="2415" t="str">
        <f>IF(AND($S$6&lt;&gt;0,I37=""),re,"")</f>
        <v/>
      </c>
      <c r="K37" s="2410"/>
      <c r="L37" s="2410"/>
      <c r="M37" s="2410"/>
      <c r="N37" s="2410"/>
      <c r="O37" s="2410"/>
      <c r="P37" s="2412">
        <f>IF(J37="",0,1)</f>
      </c>
    </row>
    <row r="38" spans="1:20" x14ac:dyDescent="0.2">
      <c r="A38" s="2410"/>
      <c r="B38" s="2410"/>
      <c r="C38" s="2410"/>
      <c r="D38" s="2410"/>
      <c r="E38" s="2410"/>
      <c r="F38" s="2410"/>
      <c r="G38" s="2410"/>
      <c r="H38" s="2411"/>
      <c r="I38" s="2411"/>
      <c r="J38" s="2410"/>
      <c r="K38" s="2410"/>
      <c r="L38" s="2410"/>
      <c r="M38" s="2410"/>
      <c r="N38" s="2410"/>
      <c r="O38" s="2410"/>
    </row>
    <row r="39" spans="1:20" s="2959" customFormat="1" ht="12" x14ac:dyDescent="0.2">
      <c r="A39" s="2866"/>
      <c r="B39" s="2866" t="str">
        <f>_xlfn.SINGLE(MTCA)</f>
      </c>
      <c r="C39" s="2866"/>
      <c r="D39" s="2866"/>
      <c r="E39" s="2866"/>
      <c r="F39" s="2866"/>
      <c r="G39" s="2866"/>
      <c r="H39" s="2958" t="str">
        <f>ver</f>
        <v>TA2_e-CO_2025_Ver 1.1</v>
      </c>
      <c r="I39" s="2958"/>
      <c r="J39" s="2866"/>
      <c r="K39" s="2866"/>
      <c r="L39" s="2866"/>
      <c r="M39" s="2866"/>
      <c r="N39" s="2866"/>
      <c r="O39" s="2866" t="s">
        <v>7991</v>
      </c>
    </row>
    <row r="40" spans="1:20" ht="15" x14ac:dyDescent="0.2">
      <c r="A40" s="2417"/>
      <c r="B40" s="2417"/>
      <c r="C40" s="2417"/>
      <c r="D40" s="2450" t="s">
        <v>6290</v>
      </c>
      <c r="E40" s="2428"/>
      <c r="F40" s="2417"/>
      <c r="G40" s="2417"/>
      <c r="H40" s="2425"/>
      <c r="I40" s="2425"/>
      <c r="J40" s="2417"/>
      <c r="K40" s="2417"/>
      <c r="L40" s="2417"/>
      <c r="M40" s="2417"/>
      <c r="N40" s="2417"/>
      <c r="O40" s="2410"/>
      <c r="P40" s="2412">
        <f>SUM(P6:P37)</f>
      </c>
      <c r="Q40" s="2412">
        <f>SUM(Q13:Q15)</f>
      </c>
    </row>
    <row r="44" spans="1:20" ht="15" hidden="1" x14ac:dyDescent="0.2">
      <c r="O44" s="2427" t="s">
        <v>8072</v>
      </c>
      <c r="P44" s="2412">
        <f>IF(S6=0,0,IF(P40&gt;0,100,IF(I37="No",100,1)))</f>
      </c>
    </row>
  </sheetData>
  <sheetProtection algorithmName="SHA-512" hashValue="P81qm/dxV50OoZUyH9cJ6LOBK63fFVPd6E58vAzaSfYp301kONIlHqLJm8G5rfI/yGyQfySbvstYx4kVw3Bnfg==" saltValue="Sq00/qHV74fxYydSrDtMjg==" spinCount="100000" sheet="1" objects="1" scenarios="1"/>
  <mergeCells count="1">
    <mergeCell ref="A1:M1"/>
  </mergeCells>
  <dataValidations count="3">
    <dataValidation type="whole" errorStyle="warning" operator="lessThanOrEqual" allowBlank="1" showInputMessage="1" showErrorMessage="1" errorTitle="300 Euro per employee" error="Excessive!" promptTitle="300 Euro per employee" prompt="Cannot be more than 300 euro per employee or equivalent depending on the reporting currency." sqref="J15" xr:uid="{00000000-0002-0000-5200-000000000000}">
      <formula1>S15</formula1>
    </dataValidation>
    <dataValidation type="whole" errorStyle="warning" allowBlank="1" showInputMessage="1" showErrorMessage="1" errorTitle="50% of Transportation Costs" error="Value entered exceeds threshhold!" promptTitle="50% of Transportation costs" prompt="Cannot be more than 25,000 euro or equivalent depending on the reporting currency." sqref="J13" xr:uid="{00000000-0002-0000-5200-000001000000}">
      <formula1>R13</formula1>
      <formula2>S13</formula2>
    </dataValidation>
    <dataValidation type="list" allowBlank="1" showInputMessage="1" showErrorMessage="1" sqref="N28 N30 N32 I37" xr:uid="{00000000-0002-0000-5200-000002000000}">
      <formula1>"Yes,No"</formula1>
    </dataValidation>
  </dataValidations>
  <hyperlinks>
    <hyperlink ref="H6" location="'TRA60'!A1" display="TRA 60   " xr:uid="{00000000-0004-0000-5200-000000000000}"/>
    <hyperlink ref="H22" location="'TRA60'!A1" display="TRA 60   " xr:uid="{00000000-0004-0000-5200-000001000000}"/>
    <hyperlink ref="D40" location="Index!A1" display="Index!A1" xr:uid="{00000000-0004-0000-5200-000002000000}"/>
  </hyperlinks>
  <printOptions horizontalCentered="1" verticalCentered="1"/>
  <pageMargins left="0.70866141732283472" right="0.70866141732283472" top="0.74803149606299213" bottom="0.74803149606299213" header="0.31496062992125984" footer="0.31496062992125984"/>
  <pageSetup paperSize="9" orientation="landscape" r:id="rId1"/>
  <headerFooter>
    <oddFooter>&amp;LName&amp;CSignature&amp;RDate</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91"/>
  <dimension ref="A1:AA98"/>
  <sheetViews>
    <sheetView zoomScaleNormal="100" workbookViewId="0">
      <selection sqref="A1:J1"/>
    </sheetView>
  </sheetViews>
  <sheetFormatPr defaultColWidth="0" defaultRowHeight="12.75" zeroHeight="1" x14ac:dyDescent="0.2"/>
  <cols>
    <col min="1" max="1" width="0.5703125" style="2412" customWidth="1"/>
    <col min="2" max="5" width="8.7109375" style="2412" customWidth="1"/>
    <col min="6" max="6" width="11.28515625" style="2412" customWidth="1"/>
    <col min="7" max="7" width="15.42578125" style="2412" customWidth="1"/>
    <col min="8" max="8" width="11.28515625" style="2412" customWidth="1"/>
    <col min="9" max="9" width="8.7109375" style="2449" customWidth="1"/>
    <col min="10" max="10" width="9.42578125" style="2412" customWidth="1"/>
    <col min="11" max="11" width="12.28515625" style="2412" customWidth="1"/>
    <col min="12" max="16384" width="9.28515625" style="2412" hidden="1"/>
  </cols>
  <sheetData>
    <row r="1" spans="1:27" ht="15" x14ac:dyDescent="0.2">
      <c r="A1" s="5185" t="str">
        <f>_ref1</f>
      </c>
      <c r="B1" s="5185"/>
      <c r="C1" s="5185"/>
      <c r="D1" s="5185"/>
      <c r="E1" s="5185"/>
      <c r="F1" s="5185"/>
      <c r="G1" s="5185"/>
      <c r="H1" s="5185"/>
      <c r="I1" s="5185"/>
      <c r="J1" s="5185"/>
      <c r="K1" s="2416" t="str">
        <f>_YA1</f>
      </c>
      <c r="P1" s="2412" t="s">
        <v>4591</v>
      </c>
      <c r="Q1" s="898"/>
      <c r="R1" s="898"/>
      <c r="S1" s="898"/>
      <c r="T1" s="898"/>
    </row>
    <row r="2" spans="1:27" ht="6" customHeight="1" x14ac:dyDescent="0.2">
      <c r="A2" s="2416"/>
      <c r="B2" s="2416"/>
      <c r="C2" s="2416"/>
      <c r="D2" s="2416"/>
      <c r="E2" s="2416"/>
      <c r="F2" s="2416"/>
      <c r="G2" s="2416"/>
      <c r="H2" s="2416"/>
      <c r="I2" s="2421"/>
      <c r="J2" s="2416"/>
      <c r="K2" s="2416"/>
      <c r="N2" s="2412" t="s">
        <v>8073</v>
      </c>
      <c r="O2" s="2412" t="s">
        <v>8074</v>
      </c>
      <c r="P2" s="2412" t="str">
        <f>cur</f>
      </c>
      <c r="AA2" s="1776" t="s">
        <v>8091</v>
      </c>
    </row>
    <row r="3" spans="1:27" ht="18.75" x14ac:dyDescent="0.2">
      <c r="A3" s="2416"/>
      <c r="B3" s="2455" t="s">
        <v>10150</v>
      </c>
      <c r="C3" s="2463"/>
      <c r="D3" s="2463"/>
      <c r="E3" s="2463"/>
      <c r="F3" s="2463"/>
      <c r="G3" s="2463"/>
      <c r="H3" s="2463"/>
      <c r="I3" s="2464"/>
      <c r="J3" s="2465"/>
      <c r="K3" s="2416"/>
      <c r="P3" s="2412">
        <f>VLOOKUP(P2,cbmer,8,FALSE)</f>
      </c>
      <c r="AA3" s="2412" t="s">
        <v>8075</v>
      </c>
    </row>
    <row r="4" spans="1:27" ht="18.75" x14ac:dyDescent="0.2">
      <c r="A4" s="2416"/>
      <c r="B4" s="2459" t="s">
        <v>10151</v>
      </c>
      <c r="C4" s="2466"/>
      <c r="D4" s="2466"/>
      <c r="E4" s="2466"/>
      <c r="F4" s="2466"/>
      <c r="G4" s="2466"/>
      <c r="H4" s="2466"/>
      <c r="I4" s="2467"/>
      <c r="J4" s="2468"/>
      <c r="K4" s="2416"/>
      <c r="N4" s="1776">
        <f>COUNTA(I6,I8,J10,F12:F16,I27,I29,I32,I34,I45,J53,J57,J61,I66,J68,J75)</f>
      </c>
      <c r="P4" s="2412">
        <v>750</v>
      </c>
    </row>
    <row r="5" spans="1:27" ht="6" customHeight="1" x14ac:dyDescent="0.2">
      <c r="A5" s="2416"/>
      <c r="B5" s="2416"/>
      <c r="C5" s="2416"/>
      <c r="D5" s="2416"/>
      <c r="E5" s="2416"/>
      <c r="F5" s="2416"/>
      <c r="G5" s="2416"/>
      <c r="H5" s="2416"/>
      <c r="I5" s="2416"/>
      <c r="J5" s="2416"/>
      <c r="K5" s="2421"/>
    </row>
    <row r="6" spans="1:27" x14ac:dyDescent="0.2">
      <c r="A6" s="2447"/>
      <c r="B6" s="2432" t="s">
        <v>8358</v>
      </c>
      <c r="C6" s="2432"/>
      <c r="D6" s="2432"/>
      <c r="E6" s="2432"/>
      <c r="F6" s="2432"/>
      <c r="G6" s="2432"/>
      <c r="H6" s="2432"/>
      <c r="I6" s="2453"/>
      <c r="J6" s="2761" t="str">
        <f>IF(N$4=0,"",IF(I6="",re,IF(I6="No",nob,"")))</f>
        <v/>
      </c>
      <c r="K6" s="2761"/>
      <c r="L6" s="2433">
        <f>IF(J6="",0,1)</f>
      </c>
      <c r="P6" s="2412">
        <f>ROUND(3000*P3,0)</f>
      </c>
    </row>
    <row r="7" spans="1:27" ht="6" customHeight="1" x14ac:dyDescent="0.2">
      <c r="A7" s="2416"/>
      <c r="B7" s="2416"/>
      <c r="C7" s="2416"/>
      <c r="D7" s="2416"/>
      <c r="E7" s="2416"/>
      <c r="F7" s="2416"/>
      <c r="G7" s="2416"/>
      <c r="H7" s="2416"/>
      <c r="I7" s="2416"/>
      <c r="J7" s="2421"/>
      <c r="K7" s="2421"/>
      <c r="L7" s="2433"/>
    </row>
    <row r="8" spans="1:27" ht="15" x14ac:dyDescent="0.2">
      <c r="A8" s="2416"/>
      <c r="B8" s="2432" t="s">
        <v>8076</v>
      </c>
      <c r="C8" s="2416"/>
      <c r="D8" s="2416"/>
      <c r="E8" s="2416"/>
      <c r="F8" s="2416"/>
      <c r="G8" s="2416"/>
      <c r="H8" s="2416"/>
      <c r="I8" s="2453"/>
      <c r="J8" s="2761" t="str">
        <f>IF(N$4=0,"",IF(I8="",re,IF(I8="No",nob,"")))</f>
        <v/>
      </c>
      <c r="K8" s="2421"/>
      <c r="L8" s="2433">
        <f>IF(J8="",0,1)</f>
      </c>
    </row>
    <row r="9" spans="1:27" ht="6" customHeight="1" x14ac:dyDescent="0.2">
      <c r="A9" s="2416"/>
      <c r="B9" s="2416"/>
      <c r="C9" s="2416"/>
      <c r="D9" s="2416"/>
      <c r="E9" s="2416"/>
      <c r="F9" s="2416"/>
      <c r="G9" s="2416"/>
      <c r="H9" s="2416"/>
      <c r="I9" s="2416"/>
      <c r="J9" s="2416"/>
      <c r="K9" s="2421"/>
    </row>
    <row r="10" spans="1:27" s="2433" customFormat="1" ht="15" x14ac:dyDescent="0.2">
      <c r="A10" s="2432"/>
      <c r="B10" s="2432" t="s">
        <v>8356</v>
      </c>
      <c r="C10" s="2432"/>
      <c r="D10" s="2432"/>
      <c r="E10" s="2432"/>
      <c r="F10" s="2432"/>
      <c r="G10" s="2432"/>
      <c r="H10" s="2432"/>
      <c r="I10" s="2421"/>
      <c r="J10" s="2473"/>
      <c r="K10" s="2761" t="str">
        <f>IF(AND(N4&gt;0,J10=""),re,"")</f>
        <v/>
      </c>
      <c r="L10" s="2433">
        <f>IF(K10="",0,1)</f>
      </c>
    </row>
    <row r="11" spans="1:27" s="2433" customFormat="1" ht="6" customHeight="1" x14ac:dyDescent="0.2">
      <c r="A11" s="2432"/>
      <c r="B11" s="2432"/>
      <c r="C11" s="2432"/>
      <c r="D11" s="2432"/>
      <c r="E11" s="2432"/>
      <c r="F11" s="2432"/>
      <c r="G11" s="2432"/>
      <c r="H11" s="2432"/>
      <c r="I11" s="2421"/>
      <c r="J11" s="2432"/>
      <c r="K11" s="2421"/>
    </row>
    <row r="12" spans="1:27" s="2433" customFormat="1" x14ac:dyDescent="0.2">
      <c r="A12" s="2432"/>
      <c r="B12" s="2432" t="s">
        <v>8094</v>
      </c>
      <c r="C12" s="2432"/>
      <c r="D12" s="2432"/>
      <c r="E12" s="2432"/>
      <c r="F12" s="2434"/>
      <c r="G12" s="2761" t="str">
        <f>IF($N$4=0,"",IF(F12="",re,IF(F12&lt;&gt;S12," Correct Employer Number required!","")))</f>
        <v/>
      </c>
      <c r="H12" s="2434"/>
      <c r="I12" s="2761" t="str">
        <f>IF($N$4=0,"",IF($J$10&lt;7,"",IF(AND($J$10&gt;6,H12=""),re,IF(H12&lt;&gt;W12," Correct Employer Number required!",""))))</f>
        <v/>
      </c>
      <c r="J12" s="2432"/>
      <c r="K12" s="2421"/>
      <c r="L12" s="2433">
        <f t="shared" ref="L12:L17" si="0">IF(G12="",0,1)+IF(I12="",0,1)</f>
      </c>
      <c r="N12" s="2433">
        <f>LEN(F12)</f>
      </c>
      <c r="Q12" s="2433" t="str">
        <f t="shared" ref="Q12:Q17" si="1">LEFT(F12,5)</f>
        <v/>
      </c>
      <c r="R12" s="1769">
        <f t="shared" ref="R12:R17" si="2">IF(F12="",0,CONCATENATE(Q12,9-MOD((SUM((MID(Q12,1,1)*1),(MID(Q12,2,1)*3),(MID(Q12,3,1)*7),(MID(Q12,4,1)*1),(MID(Q12,5,1)*3))),9)))</f>
      </c>
      <c r="S12" s="2433">
        <f t="shared" ref="S12:S17" si="3">IFERROR(ROUND(R12,0),9999999)</f>
      </c>
      <c r="U12" s="3556" t="str">
        <f t="shared" ref="U12:U17" si="4">LEFT(H12,5)</f>
        <v/>
      </c>
      <c r="V12" s="1769">
        <f t="shared" ref="V12:V17" si="5">IF(H12="",0,CONCATENATE(U12,9-MOD((SUM((MID(U12,1,1)*1),(MID(U12,2,1)*3),(MID(U12,3,1)*7),(MID(U12,4,1)*1),(MID(U12,5,1)*3))),9)))</f>
      </c>
      <c r="W12" s="2433">
        <f t="shared" ref="W12:W17" si="6">IFERROR(ROUND(V12,0),9999999)</f>
      </c>
    </row>
    <row r="13" spans="1:27" s="2433" customFormat="1" x14ac:dyDescent="0.2">
      <c r="A13" s="2432"/>
      <c r="B13" s="2432"/>
      <c r="C13" s="2432"/>
      <c r="D13" s="2432"/>
      <c r="E13" s="2432"/>
      <c r="F13" s="2434"/>
      <c r="G13" s="2761" t="str">
        <f>IF($N$4=0,"",IF($J$10&lt;2,"",IF(AND($J$10&gt;1,F13=""),re,IF(F13&lt;&gt;S13," Correct Employer Number required!",""))))</f>
        <v/>
      </c>
      <c r="H13" s="2434"/>
      <c r="I13" s="2761" t="str">
        <f>IF($N$4=0,"",IF($J$10&lt;8,"",IF(AND($J$10&gt;7,H13=""),re,IF(H13&lt;&gt;W13," Correct Employer Number required!",""))))</f>
        <v/>
      </c>
      <c r="J13" s="2432"/>
      <c r="K13" s="2421"/>
      <c r="L13" s="2433">
        <f t="shared" si="0"/>
        <v>0</v>
      </c>
      <c r="Q13" s="2433" t="str">
        <f t="shared" si="1"/>
        <v/>
      </c>
      <c r="R13" s="1769">
        <f t="shared" si="2"/>
        <v>0</v>
      </c>
      <c r="S13" s="2433">
        <f t="shared" si="3"/>
        <v>0</v>
      </c>
      <c r="U13" s="3556" t="str">
        <f t="shared" si="4"/>
        <v/>
      </c>
      <c r="V13" s="1769">
        <f t="shared" si="5"/>
        <v>0</v>
      </c>
      <c r="W13" s="2433">
        <f t="shared" si="6"/>
        <v>0</v>
      </c>
    </row>
    <row r="14" spans="1:27" s="2433" customFormat="1" x14ac:dyDescent="0.2">
      <c r="A14" s="2432"/>
      <c r="B14" s="2432"/>
      <c r="C14" s="2432"/>
      <c r="D14" s="2432"/>
      <c r="E14" s="2432"/>
      <c r="F14" s="2434"/>
      <c r="G14" s="2761" t="str">
        <f>IF($N$4=0,"",IF($J$10&lt;3,"",IF(AND($J$10&gt;2,F14=""),re,IF(F14&lt;&gt;S14," Correct Employer Number required!",""))))</f>
        <v/>
      </c>
      <c r="H14" s="2434"/>
      <c r="I14" s="2761" t="str">
        <f>IF($N$4=0,"",IF($J$10&lt;9,"",IF(AND($J$10&gt;8,H14=""),re,IF(H14&lt;&gt;W14," Correct Employer Number required!",""))))</f>
        <v/>
      </c>
      <c r="J14" s="2432"/>
      <c r="K14" s="2421"/>
      <c r="L14" s="2433">
        <f t="shared" si="0"/>
        <v>0</v>
      </c>
      <c r="Q14" s="2433" t="str">
        <f t="shared" si="1"/>
        <v/>
      </c>
      <c r="R14" s="1769">
        <f t="shared" si="2"/>
        <v>0</v>
      </c>
      <c r="S14" s="2433">
        <f t="shared" si="3"/>
        <v>0</v>
      </c>
      <c r="U14" s="3556" t="str">
        <f t="shared" si="4"/>
        <v/>
      </c>
      <c r="V14" s="1769">
        <f t="shared" si="5"/>
        <v>0</v>
      </c>
      <c r="W14" s="2433">
        <f t="shared" si="6"/>
        <v>0</v>
      </c>
    </row>
    <row r="15" spans="1:27" s="2433" customFormat="1" x14ac:dyDescent="0.2">
      <c r="A15" s="2432"/>
      <c r="B15" s="2432"/>
      <c r="C15" s="2432"/>
      <c r="D15" s="2432"/>
      <c r="E15" s="2432"/>
      <c r="F15" s="2434"/>
      <c r="G15" s="2761" t="str">
        <f>IF($N$4=0,"",IF($J$10&lt;4,"",IF(AND($J$10&gt;3,F15=""),re,IF(F15&lt;&gt;S15," Correct Employer Number required!",""))))</f>
        <v/>
      </c>
      <c r="H15" s="2434"/>
      <c r="I15" s="2761" t="str">
        <f>IF($N$4=0,"",IF($J$10&lt;10,"",IF(AND($J$10&gt;9,H15=""),re,IF(H15&lt;&gt;W15," Correct Employer Number required!",""))))</f>
        <v/>
      </c>
      <c r="J15" s="2432"/>
      <c r="K15" s="2421"/>
      <c r="L15" s="2433">
        <f t="shared" si="0"/>
        <v>0</v>
      </c>
      <c r="Q15" s="2433" t="str">
        <f t="shared" si="1"/>
        <v/>
      </c>
      <c r="R15" s="1769">
        <f t="shared" si="2"/>
        <v>0</v>
      </c>
      <c r="S15" s="2433">
        <f t="shared" si="3"/>
        <v>0</v>
      </c>
      <c r="U15" s="3556" t="str">
        <f t="shared" si="4"/>
        <v/>
      </c>
      <c r="V15" s="1769">
        <f t="shared" si="5"/>
        <v>0</v>
      </c>
      <c r="W15" s="2433">
        <f t="shared" si="6"/>
        <v>0</v>
      </c>
    </row>
    <row r="16" spans="1:27" s="2433" customFormat="1" x14ac:dyDescent="0.2">
      <c r="A16" s="2432"/>
      <c r="B16" s="2451"/>
      <c r="C16" s="2451"/>
      <c r="D16" s="2451"/>
      <c r="E16" s="2472" t="str">
        <f>IF(J10&lt;12,"",IF(J10&gt;12,"Insert PE numbers with most employees ",""))</f>
        <v/>
      </c>
      <c r="F16" s="2434"/>
      <c r="G16" s="2761" t="str">
        <f>IF($N$4=0,"",IF($J$10&lt;5,"",IF(AND($J$10&gt;4,F16=""),re,IF(F16&lt;&gt;S16," Correct Employer Number required!",""))))</f>
        <v/>
      </c>
      <c r="H16" s="2434"/>
      <c r="I16" s="2761" t="str">
        <f>IF($N$4=0,"",IF($J$10&lt;11,"",IF(AND($J$10&gt;10,H16=""),re,IF(H16&lt;&gt;W16," Correct Employer Number required!",""))))</f>
        <v/>
      </c>
      <c r="J16" s="2432"/>
      <c r="K16" s="2421"/>
      <c r="L16" s="2433">
        <f t="shared" si="0"/>
        <v>0</v>
      </c>
      <c r="Q16" s="2433" t="str">
        <f t="shared" si="1"/>
        <v/>
      </c>
      <c r="R16" s="1769">
        <f t="shared" si="2"/>
        <v>0</v>
      </c>
      <c r="S16" s="2433">
        <f t="shared" si="3"/>
        <v>0</v>
      </c>
      <c r="U16" s="3556" t="str">
        <f t="shared" si="4"/>
        <v/>
      </c>
      <c r="V16" s="1769">
        <f t="shared" si="5"/>
        <v>0</v>
      </c>
      <c r="W16" s="2433">
        <f t="shared" si="6"/>
        <v>0</v>
      </c>
    </row>
    <row r="17" spans="1:23" s="2433" customFormat="1" x14ac:dyDescent="0.2">
      <c r="A17" s="2432"/>
      <c r="B17" s="2432"/>
      <c r="C17" s="2432"/>
      <c r="D17" s="2432"/>
      <c r="E17" s="2432"/>
      <c r="F17" s="2434"/>
      <c r="G17" s="2761" t="str">
        <f>IF($N$4=0,"",IF($J$10&lt;6,"",IF(AND($J$10&gt;5,F17=""),re,IF(F17&lt;&gt;S17," Correct Employer Number required!",""))))</f>
        <v/>
      </c>
      <c r="H17" s="2434"/>
      <c r="I17" s="2761" t="str">
        <f>IF($N$4=0,"",IF($J$10&lt;12,"",IF(AND($J$10&gt;11,H17=""),re,IF(H17&lt;&gt;W17," Correct Employer Number required!",""))))</f>
        <v/>
      </c>
      <c r="J17" s="2432"/>
      <c r="K17" s="2421"/>
      <c r="L17" s="2433">
        <f t="shared" si="0"/>
        <v>0</v>
      </c>
      <c r="Q17" s="2433" t="str">
        <f t="shared" si="1"/>
        <v/>
      </c>
      <c r="R17" s="1769">
        <f t="shared" si="2"/>
        <v>0</v>
      </c>
      <c r="S17" s="2433">
        <f t="shared" si="3"/>
        <v>0</v>
      </c>
      <c r="U17" s="3556" t="str">
        <f t="shared" si="4"/>
        <v/>
      </c>
      <c r="V17" s="1769">
        <f t="shared" si="5"/>
        <v>0</v>
      </c>
      <c r="W17" s="2433">
        <f t="shared" si="6"/>
        <v>0</v>
      </c>
    </row>
    <row r="18" spans="1:23" s="2433" customFormat="1" hidden="1" x14ac:dyDescent="0.2">
      <c r="A18" s="2435"/>
      <c r="B18" s="2435"/>
      <c r="C18" s="2435"/>
      <c r="D18" s="2435"/>
      <c r="E18" s="2435"/>
      <c r="F18" s="2435"/>
      <c r="G18" s="2435"/>
      <c r="H18" s="2435"/>
      <c r="I18" s="2435"/>
      <c r="J18" s="2435"/>
      <c r="K18" s="2535"/>
      <c r="Q18" s="2433" t="s">
        <v>8093</v>
      </c>
    </row>
    <row r="19" spans="1:23" s="2433" customFormat="1" ht="6" hidden="1" customHeight="1" x14ac:dyDescent="0.2">
      <c r="A19" s="2432"/>
      <c r="B19" s="2432"/>
      <c r="C19" s="2432"/>
      <c r="D19" s="2432"/>
      <c r="E19" s="2432"/>
      <c r="F19" s="2432"/>
      <c r="G19" s="2432"/>
      <c r="H19" s="2432"/>
      <c r="I19" s="2432"/>
      <c r="J19" s="2435"/>
      <c r="K19" s="2421"/>
      <c r="Q19" s="2433" t="s">
        <v>8092</v>
      </c>
    </row>
    <row r="20" spans="1:23" s="2433" customFormat="1" hidden="1" x14ac:dyDescent="0.2">
      <c r="A20" s="2432"/>
      <c r="B20" s="2432"/>
      <c r="C20" s="2432"/>
      <c r="D20" s="2432"/>
      <c r="E20" s="2432"/>
      <c r="F20" s="2432"/>
      <c r="G20" s="2432"/>
      <c r="H20" s="2432"/>
      <c r="I20" s="2432"/>
      <c r="J20" s="2435"/>
      <c r="K20" s="2421"/>
      <c r="Q20" s="2433" t="str">
        <f>IF(G18=AA3,Q19,Q18)</f>
      </c>
    </row>
    <row r="21" spans="1:23" s="2433" customFormat="1" hidden="1" x14ac:dyDescent="0.2">
      <c r="A21" s="2432"/>
      <c r="K21" s="2449"/>
    </row>
    <row r="22" spans="1:23" s="2433" customFormat="1" ht="6" hidden="1" customHeight="1" x14ac:dyDescent="0.2">
      <c r="A22" s="2432"/>
      <c r="B22" s="2432"/>
      <c r="C22" s="2432"/>
      <c r="D22" s="2432"/>
      <c r="E22" s="2432"/>
      <c r="F22" s="2432"/>
      <c r="G22" s="2432"/>
      <c r="H22" s="2432"/>
      <c r="I22" s="2432"/>
      <c r="J22" s="2421"/>
      <c r="K22" s="2421"/>
    </row>
    <row r="23" spans="1:23" s="2433" customFormat="1" hidden="1" x14ac:dyDescent="0.2">
      <c r="A23" s="2432"/>
      <c r="C23" s="2432"/>
      <c r="D23" s="2432"/>
      <c r="E23" s="2432"/>
      <c r="F23" s="2432"/>
      <c r="G23" s="2432"/>
      <c r="H23" s="2432"/>
      <c r="J23" s="2447"/>
      <c r="K23" s="2421"/>
    </row>
    <row r="24" spans="1:23" s="2433" customFormat="1" ht="6" customHeight="1" x14ac:dyDescent="0.2">
      <c r="A24" s="2432"/>
      <c r="B24" s="2432"/>
      <c r="C24" s="2432"/>
      <c r="D24" s="2432"/>
      <c r="E24" s="2432"/>
      <c r="F24" s="2432"/>
      <c r="G24" s="2432"/>
      <c r="H24" s="2432"/>
      <c r="I24" s="2421"/>
      <c r="J24" s="2432"/>
      <c r="K24" s="2421"/>
    </row>
    <row r="25" spans="1:23" s="2433" customFormat="1" ht="15.75" x14ac:dyDescent="0.2">
      <c r="A25" s="2432"/>
      <c r="B25" s="2436" t="s">
        <v>8077</v>
      </c>
      <c r="C25" s="2437"/>
      <c r="D25" s="2437"/>
      <c r="E25" s="2437"/>
      <c r="F25" s="2437"/>
      <c r="G25" s="2437"/>
      <c r="H25" s="2437"/>
      <c r="I25" s="2438"/>
      <c r="J25" s="2439"/>
      <c r="K25" s="2421"/>
    </row>
    <row r="26" spans="1:23" s="2433" customFormat="1" ht="6" customHeight="1" x14ac:dyDescent="0.2">
      <c r="A26" s="2432"/>
      <c r="B26" s="2440"/>
      <c r="C26" s="2432"/>
      <c r="D26" s="2432"/>
      <c r="E26" s="2432"/>
      <c r="F26" s="2432"/>
      <c r="G26" s="2432"/>
      <c r="H26" s="2432"/>
      <c r="I26" s="2421"/>
      <c r="J26" s="2432"/>
      <c r="K26" s="2421"/>
    </row>
    <row r="27" spans="1:23" s="2433" customFormat="1" x14ac:dyDescent="0.2">
      <c r="A27" s="2432"/>
      <c r="B27" s="2432" t="s">
        <v>8359</v>
      </c>
      <c r="C27" s="2432"/>
      <c r="D27" s="2432"/>
      <c r="E27" s="2432"/>
      <c r="F27" s="2432"/>
      <c r="G27" s="2432"/>
      <c r="H27" s="2432"/>
      <c r="I27" s="2441"/>
      <c r="J27" s="2761" t="str">
        <f>IF(AND(N$4&gt;0,I27=""),re,"")</f>
        <v/>
      </c>
      <c r="K27" s="2421"/>
      <c r="L27" s="2433">
        <f>IF(J27="",0,1)</f>
      </c>
    </row>
    <row r="28" spans="1:23" s="2433" customFormat="1" ht="6" customHeight="1" x14ac:dyDescent="0.2">
      <c r="A28" s="2432"/>
      <c r="B28" s="2432"/>
      <c r="C28" s="2432"/>
      <c r="D28" s="2432"/>
      <c r="E28" s="2432"/>
      <c r="F28" s="2432"/>
      <c r="G28" s="2432"/>
      <c r="H28" s="2432"/>
      <c r="I28" s="2422"/>
      <c r="J28" s="2421"/>
      <c r="K28" s="2421"/>
    </row>
    <row r="29" spans="1:23" s="2433" customFormat="1" x14ac:dyDescent="0.2">
      <c r="A29" s="2432"/>
      <c r="B29" s="2432" t="s">
        <v>8360</v>
      </c>
      <c r="C29" s="2432"/>
      <c r="D29" s="2432"/>
      <c r="E29" s="2432"/>
      <c r="F29" s="2432"/>
      <c r="G29" s="2432"/>
      <c r="H29" s="2474" t="s">
        <v>5657</v>
      </c>
      <c r="I29" s="2441"/>
      <c r="J29" s="2761" t="str">
        <f>IF(AND(N$4&gt;0,I29=""),re,"")</f>
        <v/>
      </c>
      <c r="K29" s="2421"/>
      <c r="L29" s="2433">
        <f>IF(J29="",0,1)</f>
      </c>
    </row>
    <row r="30" spans="1:23" s="2433" customFormat="1" ht="6" customHeight="1" x14ac:dyDescent="0.2">
      <c r="A30" s="2432"/>
      <c r="B30" s="2432"/>
      <c r="C30" s="2432"/>
      <c r="D30" s="2432"/>
      <c r="E30" s="2432"/>
      <c r="F30" s="2432"/>
      <c r="G30" s="2432"/>
      <c r="H30" s="2432"/>
      <c r="I30" s="2422"/>
      <c r="J30" s="2762"/>
      <c r="K30" s="2421"/>
    </row>
    <row r="31" spans="1:23" s="2433" customFormat="1" x14ac:dyDescent="0.2">
      <c r="A31" s="2432"/>
      <c r="B31" s="2432" t="s">
        <v>8082</v>
      </c>
      <c r="C31" s="2432"/>
      <c r="D31" s="2432"/>
      <c r="E31" s="2432"/>
      <c r="F31" s="2432"/>
      <c r="G31" s="2432"/>
      <c r="H31" s="2432"/>
      <c r="I31" s="2421"/>
      <c r="J31" s="2421"/>
      <c r="K31" s="2421"/>
    </row>
    <row r="32" spans="1:23" s="2433" customFormat="1" x14ac:dyDescent="0.2">
      <c r="A32" s="2432"/>
      <c r="B32" s="2432"/>
      <c r="C32" s="2432" t="s">
        <v>10560</v>
      </c>
      <c r="D32" s="2432"/>
      <c r="E32" s="2432"/>
      <c r="F32" s="2432"/>
      <c r="G32" s="2432"/>
      <c r="H32" s="2432"/>
      <c r="I32" s="2441"/>
      <c r="J32" s="2761" t="str">
        <f>IF(AND(N$4&gt;0,I32=""),re,IF(I32&gt;I27,"More than total employees!",""))</f>
        <v/>
      </c>
      <c r="K32" s="2421"/>
      <c r="L32" s="2433">
        <f>IF(J32="",0,1)</f>
      </c>
    </row>
    <row r="33" spans="1:16" s="2433" customFormat="1" ht="6" customHeight="1" x14ac:dyDescent="0.2">
      <c r="A33" s="2432"/>
      <c r="B33" s="2432"/>
      <c r="C33" s="2432"/>
      <c r="D33" s="2432"/>
      <c r="E33" s="2432"/>
      <c r="F33" s="2432"/>
      <c r="G33" s="2432"/>
      <c r="H33" s="2447"/>
      <c r="I33" s="2447"/>
      <c r="J33" s="2761"/>
      <c r="K33" s="2421"/>
    </row>
    <row r="34" spans="1:16" s="2433" customFormat="1" x14ac:dyDescent="0.2">
      <c r="A34" s="2432"/>
      <c r="B34" s="2432" t="s">
        <v>10561</v>
      </c>
      <c r="C34" s="2432"/>
      <c r="D34" s="2432"/>
      <c r="E34" s="2432"/>
      <c r="F34" s="2432"/>
      <c r="G34" s="2432"/>
      <c r="H34" s="2432"/>
      <c r="I34" s="2441"/>
      <c r="J34" s="2761" t="str">
        <f>IF(AND(N$4&gt;0,I34=""),re,IF(I34&gt;P34,"Excessive!",""))</f>
        <v/>
      </c>
      <c r="K34" s="2761"/>
      <c r="L34" s="2433">
        <f>IF(J34="",0,1)</f>
      </c>
      <c r="P34" s="2433">
        <f>I32*P6</f>
      </c>
    </row>
    <row r="35" spans="1:16" s="2433" customFormat="1" ht="6" customHeight="1" x14ac:dyDescent="0.2">
      <c r="A35" s="2432"/>
      <c r="B35" s="2432"/>
      <c r="C35" s="2432"/>
      <c r="D35" s="2432"/>
      <c r="E35" s="2432"/>
      <c r="F35" s="2432"/>
      <c r="G35" s="2432"/>
      <c r="H35" s="2447"/>
      <c r="I35" s="2447"/>
      <c r="J35" s="2447"/>
      <c r="K35" s="2421"/>
    </row>
    <row r="36" spans="1:16" s="2433" customFormat="1" x14ac:dyDescent="0.2">
      <c r="A36" s="2432"/>
      <c r="B36" s="2432" t="s">
        <v>9892</v>
      </c>
      <c r="C36" s="2432"/>
      <c r="D36" s="2432"/>
      <c r="E36" s="2432"/>
      <c r="F36" s="2432"/>
      <c r="G36" s="2432"/>
      <c r="H36" s="2447"/>
      <c r="I36" s="2447"/>
      <c r="J36" s="2442">
        <f>IF(OR(I6=n,I8=n,J34&lt;&gt;""),0,ROUND(I34*0.25,0))</f>
      </c>
      <c r="K36" s="2421"/>
    </row>
    <row r="37" spans="1:16" s="2433" customFormat="1" ht="6" customHeight="1" x14ac:dyDescent="0.2">
      <c r="A37" s="2432"/>
      <c r="B37" s="2432"/>
      <c r="C37" s="2432"/>
      <c r="D37" s="2432"/>
      <c r="E37" s="2432"/>
      <c r="F37" s="2432"/>
      <c r="G37" s="2432"/>
      <c r="H37" s="2447"/>
      <c r="I37" s="2447"/>
      <c r="J37" s="2447"/>
      <c r="K37" s="2421"/>
    </row>
    <row r="38" spans="1:16" s="2433" customFormat="1" x14ac:dyDescent="0.2">
      <c r="A38" s="2432"/>
      <c r="B38" s="2432" t="s">
        <v>8082</v>
      </c>
      <c r="C38" s="2432"/>
      <c r="D38" s="2432"/>
      <c r="E38" s="2432"/>
      <c r="F38" s="2432"/>
      <c r="G38" s="2432"/>
      <c r="H38" s="2432"/>
      <c r="I38" s="2421"/>
      <c r="J38" s="2447"/>
      <c r="K38" s="2421"/>
    </row>
    <row r="39" spans="1:16" s="2433" customFormat="1" x14ac:dyDescent="0.2">
      <c r="A39" s="2432"/>
      <c r="B39" s="2432"/>
      <c r="C39" s="2432"/>
      <c r="D39" s="2432" t="s">
        <v>10562</v>
      </c>
      <c r="E39" s="2432"/>
      <c r="F39" s="2432"/>
      <c r="G39" s="2432"/>
      <c r="H39" s="2432"/>
      <c r="I39" s="2442">
        <f>I27-I32</f>
      </c>
      <c r="J39" s="2447"/>
      <c r="K39" s="2421"/>
    </row>
    <row r="40" spans="1:16" s="2433" customFormat="1" ht="6" customHeight="1" x14ac:dyDescent="0.2">
      <c r="A40" s="2432"/>
      <c r="B40" s="2432"/>
      <c r="C40" s="2432"/>
      <c r="D40" s="2432"/>
      <c r="E40" s="2432"/>
      <c r="F40" s="2432"/>
      <c r="G40" s="2447"/>
      <c r="H40" s="2447"/>
      <c r="I40" s="2447"/>
      <c r="J40" s="2447"/>
      <c r="K40" s="2421"/>
    </row>
    <row r="41" spans="1:16" s="2433" customFormat="1" x14ac:dyDescent="0.2">
      <c r="A41" s="2432"/>
      <c r="B41" s="2432" t="s">
        <v>10563</v>
      </c>
      <c r="C41" s="2432"/>
      <c r="D41" s="2432"/>
      <c r="E41" s="2432"/>
      <c r="F41" s="2432"/>
      <c r="G41" s="2432"/>
      <c r="H41" s="2432"/>
      <c r="I41" s="2442">
        <f>I29-I34</f>
      </c>
      <c r="J41" s="2447"/>
      <c r="K41" s="2421"/>
    </row>
    <row r="42" spans="1:16" s="2433" customFormat="1" ht="6" customHeight="1" x14ac:dyDescent="0.2">
      <c r="A42" s="2432"/>
      <c r="B42" s="2432"/>
      <c r="C42" s="2432"/>
      <c r="D42" s="2432"/>
      <c r="E42" s="2432"/>
      <c r="F42" s="2432"/>
      <c r="G42" s="2447"/>
      <c r="H42" s="2447"/>
      <c r="I42" s="2447"/>
      <c r="J42" s="2447"/>
      <c r="K42" s="2421"/>
    </row>
    <row r="43" spans="1:16" s="2433" customFormat="1" x14ac:dyDescent="0.2">
      <c r="A43" s="2432"/>
      <c r="B43" s="2432" t="s">
        <v>9893</v>
      </c>
      <c r="C43" s="2432"/>
      <c r="D43" s="2432"/>
      <c r="E43" s="2432"/>
      <c r="F43" s="2432"/>
      <c r="G43" s="2432"/>
      <c r="H43" s="2432"/>
      <c r="I43" s="2442">
        <f>IF(OR(I6=n,I8=n),0,ROUND(I41*0.25,0))</f>
      </c>
      <c r="J43" s="2447" t="str">
        <f>IF(I8="No",nob,"")</f>
        <v/>
      </c>
      <c r="K43" s="2421"/>
    </row>
    <row r="44" spans="1:16" s="2433" customFormat="1" ht="6" customHeight="1" x14ac:dyDescent="0.2">
      <c r="A44" s="2432"/>
      <c r="B44" s="2432"/>
      <c r="C44" s="2432"/>
      <c r="D44" s="2432"/>
      <c r="E44" s="2432"/>
      <c r="F44" s="2432"/>
      <c r="G44" s="2432"/>
      <c r="H44" s="2432"/>
      <c r="I44" s="2422"/>
      <c r="J44" s="2432"/>
      <c r="K44" s="2421"/>
    </row>
    <row r="45" spans="1:16" s="2433" customFormat="1" x14ac:dyDescent="0.2">
      <c r="A45" s="2432"/>
      <c r="B45" s="2432" t="s">
        <v>10228</v>
      </c>
      <c r="C45" s="2432"/>
      <c r="D45" s="2432"/>
      <c r="E45" s="2432"/>
      <c r="F45" s="2432"/>
      <c r="G45" s="2432"/>
      <c r="H45" s="2432"/>
      <c r="I45" s="2441"/>
      <c r="J45" s="2761" t="str">
        <f>IF(AND(N$4&gt;0,I45=""),re,IF(OR(I6=n,I8=n),nob,IF(AND(P2=P1,I45&gt;P45),"Excessive!","")))</f>
        <v/>
      </c>
      <c r="K45" s="2763" t="str">
        <f>IF(AND(P1&lt;&gt;P2,I45&gt;P45),"Excessive?","")</f>
        <v/>
      </c>
      <c r="L45" s="2433">
        <f>IF(J45="",0,1)</f>
      </c>
      <c r="M45" s="2433">
        <f>IF(K45="",0,1)</f>
      </c>
      <c r="O45" s="2433">
        <v>0</v>
      </c>
      <c r="P45" s="2433">
        <f>IF(OR(I6=n,I8=n),0,I39*P4)</f>
      </c>
    </row>
    <row r="46" spans="1:16" s="2433" customFormat="1" ht="6" customHeight="1" x14ac:dyDescent="0.2">
      <c r="A46" s="2432"/>
      <c r="B46" s="2432"/>
      <c r="C46" s="2432"/>
      <c r="D46" s="2432"/>
      <c r="E46" s="2432"/>
      <c r="F46" s="2432"/>
      <c r="G46" s="2432"/>
      <c r="H46" s="2432"/>
      <c r="I46" s="2443"/>
      <c r="J46" s="2432"/>
      <c r="K46" s="2421"/>
    </row>
    <row r="47" spans="1:16" s="2433" customFormat="1" x14ac:dyDescent="0.2">
      <c r="A47" s="2432"/>
      <c r="B47" s="2432" t="s">
        <v>8361</v>
      </c>
      <c r="C47" s="2432"/>
      <c r="D47" s="2432"/>
      <c r="E47" s="2432"/>
      <c r="F47" s="2432"/>
      <c r="G47" s="2432"/>
      <c r="H47" s="2432"/>
      <c r="I47" s="2432"/>
      <c r="J47" s="2442">
        <f>IF(OR(I6=n,I8=n),0,IF(I43&lt;=I45,I43,I45))</f>
      </c>
      <c r="K47" s="2421"/>
    </row>
    <row r="48" spans="1:16" s="2433" customFormat="1" ht="6" hidden="1" customHeight="1" x14ac:dyDescent="0.2">
      <c r="A48" s="2432"/>
      <c r="B48" s="2432"/>
      <c r="C48" s="2432"/>
      <c r="D48" s="2432"/>
      <c r="E48" s="2432"/>
      <c r="F48" s="2432"/>
      <c r="G48" s="2432"/>
      <c r="H48" s="2432"/>
      <c r="I48" s="2422"/>
      <c r="J48" s="2432"/>
      <c r="K48" s="2421"/>
    </row>
    <row r="49" spans="1:16" s="2433" customFormat="1" hidden="1" x14ac:dyDescent="0.2">
      <c r="A49" s="2432"/>
      <c r="B49" s="2432"/>
      <c r="C49" s="2432"/>
      <c r="D49" s="2432"/>
      <c r="E49" s="2432"/>
      <c r="F49" s="2432"/>
      <c r="G49" s="2432"/>
      <c r="H49" s="2432"/>
      <c r="I49" s="2444"/>
      <c r="J49" s="2435"/>
      <c r="K49" s="2421"/>
    </row>
    <row r="50" spans="1:16" s="2433" customFormat="1" ht="6" customHeight="1" x14ac:dyDescent="0.2">
      <c r="A50" s="2432"/>
      <c r="B50" s="2432"/>
      <c r="C50" s="2432"/>
      <c r="D50" s="2432"/>
      <c r="E50" s="2432"/>
      <c r="F50" s="2432"/>
      <c r="G50" s="2432"/>
      <c r="H50" s="2432"/>
      <c r="I50" s="2422"/>
      <c r="J50" s="2432"/>
      <c r="K50" s="2421"/>
    </row>
    <row r="51" spans="1:16" s="2433" customFormat="1" x14ac:dyDescent="0.2">
      <c r="A51" s="2432"/>
      <c r="B51" s="2432"/>
      <c r="C51" s="2432" t="s">
        <v>8362</v>
      </c>
      <c r="D51" s="2432"/>
      <c r="E51" s="2432"/>
      <c r="F51" s="2432"/>
      <c r="G51" s="2432"/>
      <c r="H51" s="2432"/>
      <c r="I51" s="2422"/>
      <c r="J51" s="2442">
        <f>IF(OR(I6=n,I8=n),0,J36+J47)</f>
      </c>
      <c r="K51" s="2421"/>
    </row>
    <row r="52" spans="1:16" s="2433" customFormat="1" ht="6" customHeight="1" x14ac:dyDescent="0.2">
      <c r="A52" s="2432"/>
      <c r="B52" s="2432"/>
      <c r="C52" s="2432"/>
      <c r="D52" s="2432"/>
      <c r="E52" s="2432"/>
      <c r="F52" s="2432"/>
      <c r="G52" s="2432"/>
      <c r="H52" s="2432"/>
      <c r="I52" s="2422"/>
      <c r="J52" s="2432"/>
      <c r="K52" s="2421"/>
    </row>
    <row r="53" spans="1:16" s="2433" customFormat="1" x14ac:dyDescent="0.2">
      <c r="A53" s="2432"/>
      <c r="B53" s="2432"/>
      <c r="C53" s="2432" t="s">
        <v>8357</v>
      </c>
      <c r="D53" s="2432"/>
      <c r="E53" s="2432"/>
      <c r="F53" s="2432"/>
      <c r="G53" s="2432"/>
      <c r="H53" s="2432"/>
      <c r="I53" s="2422"/>
      <c r="J53" s="2441"/>
      <c r="K53" s="2761" t="str">
        <f>IF(AND(J53&gt;0,ya=2018),"Delete!",IF(AND(ya&gt;2018,N4&gt;0,J53=""),reo,""))</f>
        <v/>
      </c>
      <c r="L53" s="2433">
        <f>IF(J53="",1,0)</f>
      </c>
      <c r="P53" s="2433">
        <f>IF(ya=2018,0,9.99999999999999E+27)</f>
      </c>
    </row>
    <row r="54" spans="1:16" s="2433" customFormat="1" ht="6" customHeight="1" x14ac:dyDescent="0.2">
      <c r="A54" s="2432"/>
      <c r="B54" s="2432"/>
      <c r="C54" s="2432"/>
      <c r="D54" s="2432"/>
      <c r="E54" s="2432"/>
      <c r="F54" s="2432"/>
      <c r="G54" s="2432"/>
      <c r="H54" s="2432"/>
      <c r="I54" s="2422"/>
      <c r="J54" s="2432"/>
      <c r="K54" s="2421"/>
    </row>
    <row r="55" spans="1:16" s="2433" customFormat="1" x14ac:dyDescent="0.2">
      <c r="A55" s="2432"/>
      <c r="B55" s="2432"/>
      <c r="C55" s="2432" t="s">
        <v>8078</v>
      </c>
      <c r="D55" s="2432"/>
      <c r="E55" s="2432"/>
      <c r="F55" s="2432"/>
      <c r="G55" s="2432"/>
      <c r="H55" s="2432"/>
      <c r="I55" s="2432"/>
      <c r="J55" s="2442">
        <f>IF(OR(I6=n,I8=n),0,IF(ya=2018,J51,J51+J53))</f>
      </c>
      <c r="K55" s="2421"/>
    </row>
    <row r="56" spans="1:16" s="2433" customFormat="1" ht="6" customHeight="1" x14ac:dyDescent="0.2">
      <c r="A56" s="2432"/>
      <c r="B56" s="2432"/>
      <c r="C56" s="2432"/>
      <c r="D56" s="2432"/>
      <c r="E56" s="2432"/>
      <c r="F56" s="2432"/>
      <c r="G56" s="2432"/>
      <c r="H56" s="2432"/>
      <c r="I56" s="2422"/>
      <c r="J56" s="2432"/>
      <c r="K56" s="2421"/>
    </row>
    <row r="57" spans="1:16" s="2433" customFormat="1" x14ac:dyDescent="0.2">
      <c r="A57" s="2432"/>
      <c r="B57" s="2432"/>
      <c r="C57" s="2432" t="s">
        <v>322</v>
      </c>
      <c r="D57" s="2432"/>
      <c r="E57" s="2432"/>
      <c r="F57" s="2432"/>
      <c r="G57" s="2432"/>
      <c r="H57" s="2432"/>
      <c r="I57" s="2766" t="s">
        <v>7820</v>
      </c>
      <c r="J57" s="2441"/>
      <c r="K57" s="2761" t="str">
        <f>IF(AND(N$4&gt;0,J57=""),re,IF(J23=nob,nob,""))</f>
        <v/>
      </c>
      <c r="L57" s="2433">
        <f>IF(K57="",0,1)</f>
      </c>
      <c r="O57" s="2433">
        <v>0</v>
      </c>
      <c r="P57" s="2433">
        <f>IF(N4=0,0,IF(OR(I6=n,I8=n),0,J55))</f>
      </c>
    </row>
    <row r="58" spans="1:16" s="2433" customFormat="1" ht="6" customHeight="1" x14ac:dyDescent="0.2">
      <c r="A58" s="2432"/>
      <c r="B58" s="2432"/>
      <c r="C58" s="2432"/>
      <c r="D58" s="2432"/>
      <c r="E58" s="2432"/>
      <c r="F58" s="2432"/>
      <c r="G58" s="2432"/>
      <c r="H58" s="2432"/>
      <c r="I58" s="2432"/>
      <c r="J58" s="2422"/>
      <c r="K58" s="2421"/>
    </row>
    <row r="59" spans="1:16" s="2433" customFormat="1" x14ac:dyDescent="0.2">
      <c r="A59" s="2432"/>
      <c r="B59" s="2432"/>
      <c r="C59" s="2432" t="s">
        <v>7074</v>
      </c>
      <c r="D59" s="2432"/>
      <c r="E59" s="2432"/>
      <c r="F59" s="2432"/>
      <c r="G59" s="2432"/>
      <c r="H59" s="2432"/>
      <c r="I59" s="2432"/>
      <c r="J59" s="2442" t="str">
        <f>IF(J57="","",IF(J55=0,0,J55-J57))</f>
        <v/>
      </c>
      <c r="K59" s="2421"/>
    </row>
    <row r="60" spans="1:16" s="2433" customFormat="1" ht="6" customHeight="1" x14ac:dyDescent="0.2">
      <c r="A60" s="2432"/>
      <c r="B60" s="2432"/>
      <c r="C60" s="2432"/>
      <c r="D60" s="2432"/>
      <c r="E60" s="2432"/>
      <c r="F60" s="2432"/>
      <c r="G60" s="2432"/>
      <c r="H60" s="2432"/>
      <c r="I60" s="2432"/>
      <c r="J60" s="2422"/>
      <c r="K60" s="2421"/>
    </row>
    <row r="61" spans="1:16" s="2433" customFormat="1" x14ac:dyDescent="0.2">
      <c r="A61" s="2432"/>
      <c r="B61" s="2432" t="s">
        <v>8079</v>
      </c>
      <c r="C61" s="2432"/>
      <c r="D61" s="2432"/>
      <c r="E61" s="2432"/>
      <c r="F61" s="2432"/>
      <c r="G61" s="2432"/>
      <c r="H61" s="2432"/>
      <c r="I61" s="2766" t="s">
        <v>7820</v>
      </c>
      <c r="J61" s="2441"/>
      <c r="K61" s="2761" t="str">
        <f>IF(AND(N$4&gt;0,J61=""),re,IF(OR(J61&lt;O61,J61&gt;P61),"Check amount!",IF(K57=nob,nob,"")))</f>
        <v/>
      </c>
      <c r="L61" s="2433">
        <f>IF(K61="",0,1)</f>
      </c>
      <c r="O61" s="2433">
        <f>IF(J43=nob,0,ROUND(J57/0.35,0)-1)</f>
      </c>
      <c r="P61" s="2433">
        <f>IF(J43=nob,0,ROUND(J57/0.05,0)+1)</f>
      </c>
    </row>
    <row r="62" spans="1:16" s="2433" customFormat="1" ht="25.5" customHeight="1" x14ac:dyDescent="0.2">
      <c r="A62" s="2432"/>
      <c r="B62" s="2445" t="s">
        <v>8080</v>
      </c>
      <c r="C62" s="2432"/>
      <c r="D62" s="2432"/>
      <c r="E62" s="2432"/>
      <c r="F62" s="2432"/>
      <c r="G62" s="2432"/>
      <c r="H62" s="2432"/>
      <c r="I62" s="2421"/>
      <c r="J62" s="2432"/>
      <c r="K62" s="2421"/>
    </row>
    <row r="63" spans="1:16" s="2433" customFormat="1" ht="15.75" x14ac:dyDescent="0.2">
      <c r="A63" s="2432"/>
      <c r="B63" s="2436" t="s">
        <v>8081</v>
      </c>
      <c r="C63" s="2437"/>
      <c r="D63" s="2437"/>
      <c r="E63" s="2437"/>
      <c r="F63" s="2437"/>
      <c r="G63" s="2437"/>
      <c r="H63" s="2437"/>
      <c r="I63" s="2438"/>
      <c r="J63" s="2439"/>
      <c r="K63" s="2421"/>
    </row>
    <row r="64" spans="1:16" s="2433" customFormat="1" ht="6" customHeight="1" x14ac:dyDescent="0.2">
      <c r="A64" s="2432"/>
      <c r="B64" s="2432"/>
      <c r="C64" s="2432"/>
      <c r="D64" s="2432"/>
      <c r="E64" s="2432"/>
      <c r="F64" s="2432"/>
      <c r="G64" s="2432"/>
      <c r="H64" s="2432"/>
      <c r="I64" s="2421"/>
      <c r="J64" s="2432"/>
      <c r="K64" s="2421"/>
    </row>
    <row r="65" spans="1:16" s="2433" customFormat="1" x14ac:dyDescent="0.2">
      <c r="A65" s="2432"/>
      <c r="B65" s="2432" t="s">
        <v>8082</v>
      </c>
      <c r="C65" s="2432"/>
      <c r="D65" s="2432"/>
      <c r="E65" s="2432"/>
      <c r="F65" s="2432"/>
      <c r="G65" s="2432"/>
      <c r="H65" s="2432"/>
      <c r="I65" s="2421"/>
      <c r="J65" s="2432"/>
      <c r="K65" s="2421"/>
    </row>
    <row r="66" spans="1:16" s="2433" customFormat="1" x14ac:dyDescent="0.2">
      <c r="A66" s="2432"/>
      <c r="B66" s="2432"/>
      <c r="C66" s="2432"/>
      <c r="D66" s="2432" t="s">
        <v>8083</v>
      </c>
      <c r="E66" s="2432"/>
      <c r="F66" s="2432"/>
      <c r="G66" s="2432"/>
      <c r="H66" s="2432"/>
      <c r="I66" s="2441"/>
      <c r="J66" s="2761" t="str">
        <f>IF(AND(N$4&gt;0,I66=""),re,IF(I66&gt;I27,"Cannot be more than "&amp;I27&amp;"!",""))</f>
        <v/>
      </c>
      <c r="K66" s="2421"/>
      <c r="L66" s="2433">
        <f>IF(J66="",0,1)</f>
      </c>
      <c r="O66" s="2764">
        <f>I32</f>
      </c>
      <c r="P66" s="2764">
        <f>I27</f>
      </c>
    </row>
    <row r="67" spans="1:16" s="2433" customFormat="1" ht="6" customHeight="1" x14ac:dyDescent="0.2">
      <c r="A67" s="2432"/>
      <c r="B67" s="2432"/>
      <c r="C67" s="2432"/>
      <c r="D67" s="2432"/>
      <c r="E67" s="2432"/>
      <c r="F67" s="2432"/>
      <c r="G67" s="2432"/>
      <c r="H67" s="2432"/>
      <c r="I67" s="2421"/>
      <c r="J67" s="2432"/>
      <c r="K67" s="2421"/>
    </row>
    <row r="68" spans="1:16" s="2433" customFormat="1" x14ac:dyDescent="0.2">
      <c r="A68" s="2432"/>
      <c r="B68" s="2432" t="s">
        <v>8364</v>
      </c>
      <c r="C68" s="2432"/>
      <c r="D68" s="2432"/>
      <c r="E68" s="2432"/>
      <c r="F68" s="2432"/>
      <c r="G68" s="2432"/>
      <c r="H68" s="2432"/>
      <c r="I68" s="2421"/>
      <c r="J68" s="2441"/>
      <c r="K68" s="2761" t="str">
        <f>IF(I8="No","No benefit!",IF(AND(N$4&gt;0,J68=""),re,IF(AND(P1=P2,J68&gt;P68),"Excessive!","")))</f>
        <v/>
      </c>
      <c r="L68" s="2433">
        <f>IF(K68="",0,1)</f>
      </c>
      <c r="O68" s="2433">
        <v>0</v>
      </c>
      <c r="P68" s="2433">
        <f>IF(OR(I6=n,I8=n),0,I66*2000*P3)</f>
      </c>
    </row>
    <row r="69" spans="1:16" s="2433" customFormat="1" x14ac:dyDescent="0.2">
      <c r="A69" s="2432"/>
      <c r="B69" s="2432"/>
      <c r="C69" s="2432"/>
      <c r="D69" s="2432"/>
      <c r="E69" s="2432"/>
      <c r="F69" s="2432"/>
      <c r="G69" s="2432"/>
      <c r="H69" s="2432"/>
      <c r="I69" s="2421"/>
      <c r="J69" s="2482" t="str">
        <f>IF(AND(P1&lt;&gt;P2,J68&gt;P68),"Excessive?","")</f>
        <v/>
      </c>
      <c r="K69" s="2421"/>
      <c r="M69" s="2433">
        <f>IF(J69="",0,1)</f>
      </c>
    </row>
    <row r="70" spans="1:16" s="2433" customFormat="1" x14ac:dyDescent="0.2">
      <c r="A70" s="2432"/>
      <c r="B70" s="2432" t="s">
        <v>8082</v>
      </c>
      <c r="C70" s="2432"/>
      <c r="D70" s="2432"/>
      <c r="E70" s="2432"/>
      <c r="F70" s="2432"/>
      <c r="G70" s="2432"/>
      <c r="H70" s="2432"/>
      <c r="I70" s="2421"/>
      <c r="J70" s="2446"/>
      <c r="K70" s="2421"/>
    </row>
    <row r="71" spans="1:16" s="2433" customFormat="1" x14ac:dyDescent="0.2">
      <c r="A71" s="2432"/>
      <c r="B71" s="2432"/>
      <c r="C71" s="2432"/>
      <c r="D71" s="2432" t="s">
        <v>8084</v>
      </c>
      <c r="E71" s="2432"/>
      <c r="F71" s="2432"/>
      <c r="G71" s="2432"/>
      <c r="H71" s="2432"/>
      <c r="I71" s="2442">
        <f>IF(I66&gt;I27,0,I27-I66)</f>
      </c>
      <c r="J71" s="2446"/>
      <c r="K71" s="2421"/>
    </row>
    <row r="72" spans="1:16" s="2433" customFormat="1" ht="6" customHeight="1" x14ac:dyDescent="0.2">
      <c r="A72" s="2432"/>
      <c r="B72" s="2432"/>
      <c r="C72" s="2432"/>
      <c r="D72" s="2432"/>
      <c r="E72" s="2432"/>
      <c r="F72" s="2432"/>
      <c r="G72" s="2432"/>
      <c r="H72" s="2432"/>
      <c r="I72" s="2421"/>
      <c r="J72" s="2446"/>
      <c r="K72" s="2421"/>
    </row>
    <row r="73" spans="1:16" s="2433" customFormat="1" x14ac:dyDescent="0.2">
      <c r="A73" s="2432"/>
      <c r="B73" s="2432" t="s">
        <v>8085</v>
      </c>
      <c r="C73" s="2432"/>
      <c r="D73" s="2432"/>
      <c r="E73" s="2432"/>
      <c r="F73" s="2432"/>
      <c r="G73" s="2432"/>
      <c r="H73" s="2432"/>
      <c r="I73" s="2442">
        <f>IF(K68=nob,0,IF(I71=0,0,I29-J68))</f>
      </c>
      <c r="J73" s="2446"/>
      <c r="K73" s="2421"/>
    </row>
    <row r="74" spans="1:16" s="2433" customFormat="1" ht="6" customHeight="1" x14ac:dyDescent="0.2">
      <c r="A74" s="2432"/>
      <c r="B74" s="2432"/>
      <c r="C74" s="2432"/>
      <c r="D74" s="2432"/>
      <c r="E74" s="2432"/>
      <c r="F74" s="2432"/>
      <c r="G74" s="2432"/>
      <c r="H74" s="2432"/>
      <c r="I74" s="2421"/>
      <c r="J74" s="2446"/>
      <c r="K74" s="2421"/>
    </row>
    <row r="75" spans="1:16" s="2433" customFormat="1" x14ac:dyDescent="0.2">
      <c r="A75" s="2432"/>
      <c r="B75" s="2432" t="s">
        <v>8363</v>
      </c>
      <c r="C75" s="2432"/>
      <c r="D75" s="2432"/>
      <c r="E75" s="2432"/>
      <c r="F75" s="2432"/>
      <c r="G75" s="2432"/>
      <c r="H75" s="2432"/>
      <c r="I75" s="2421"/>
      <c r="J75" s="2441"/>
      <c r="K75" s="2761" t="str">
        <f>IF(AND(I66=I27,J75=""),"",IF(I8="No","No benefit!",IF(AND(N$4&gt;0,J75=""),re,IF(AND(P1=P2,J75&gt;P75),"Excessive!",""))))</f>
        <v/>
      </c>
      <c r="L75" s="2433">
        <f>IF(K75="",0,1)</f>
      </c>
      <c r="P75" s="2433">
        <f>IF(K68=nob,0,I71*2000*P3)</f>
      </c>
    </row>
    <row r="76" spans="1:16" s="2433" customFormat="1" x14ac:dyDescent="0.2">
      <c r="A76" s="2432"/>
      <c r="B76" s="2432"/>
      <c r="C76" s="2432"/>
      <c r="D76" s="2432"/>
      <c r="E76" s="2432"/>
      <c r="F76" s="2432"/>
      <c r="G76" s="2432"/>
      <c r="H76" s="2432"/>
      <c r="I76" s="2421"/>
      <c r="J76" s="2452"/>
      <c r="K76" s="2432"/>
    </row>
    <row r="77" spans="1:16" s="2433" customFormat="1" x14ac:dyDescent="0.2">
      <c r="A77" s="2432"/>
      <c r="B77" s="2432" t="s">
        <v>8086</v>
      </c>
      <c r="C77" s="2432"/>
      <c r="D77" s="2432"/>
      <c r="E77" s="2432"/>
      <c r="F77" s="2432"/>
      <c r="G77" s="2432"/>
      <c r="H77" s="2432"/>
      <c r="I77" s="2421"/>
      <c r="J77" s="2442">
        <f>J68+J75</f>
      </c>
      <c r="K77" s="2765" t="s">
        <v>8095</v>
      </c>
    </row>
    <row r="78" spans="1:16" s="2433" customFormat="1" x14ac:dyDescent="0.2">
      <c r="A78" s="2432"/>
      <c r="B78" s="2432"/>
      <c r="C78" s="2432"/>
      <c r="D78" s="2432"/>
      <c r="E78" s="2432"/>
      <c r="F78" s="2432"/>
      <c r="G78" s="2432"/>
      <c r="H78" s="2432"/>
      <c r="I78" s="2421"/>
      <c r="J78" s="2446"/>
      <c r="K78" s="2432"/>
    </row>
    <row r="79" spans="1:16" s="2433" customFormat="1" hidden="1" x14ac:dyDescent="0.2">
      <c r="A79" s="2432"/>
      <c r="B79" s="2432"/>
      <c r="C79" s="2432"/>
      <c r="D79" s="2432"/>
      <c r="E79" s="2432"/>
      <c r="F79" s="2432"/>
      <c r="G79" s="2432"/>
      <c r="H79" s="2432"/>
      <c r="I79" s="2421"/>
      <c r="J79" s="2446"/>
      <c r="K79" s="2432"/>
    </row>
    <row r="80" spans="1:16" s="2433" customFormat="1" hidden="1" x14ac:dyDescent="0.2">
      <c r="A80" s="2432"/>
      <c r="B80" s="2432"/>
      <c r="C80" s="2432"/>
      <c r="D80" s="2432"/>
      <c r="E80" s="2432"/>
      <c r="F80" s="2432"/>
      <c r="G80" s="2432"/>
      <c r="H80" s="2432"/>
      <c r="I80" s="2421"/>
      <c r="J80" s="2446"/>
      <c r="K80" s="2432"/>
    </row>
    <row r="81" spans="1:13" s="2433" customFormat="1" hidden="1" x14ac:dyDescent="0.2">
      <c r="A81" s="2432"/>
      <c r="B81" s="2432"/>
      <c r="C81" s="2432"/>
      <c r="D81" s="2432"/>
      <c r="E81" s="2432"/>
      <c r="F81" s="2432"/>
      <c r="G81" s="2432"/>
      <c r="H81" s="2432"/>
      <c r="I81" s="2421"/>
      <c r="J81" s="2446"/>
      <c r="K81" s="2432"/>
    </row>
    <row r="82" spans="1:13" s="2433" customFormat="1" hidden="1" x14ac:dyDescent="0.2">
      <c r="A82" s="2432"/>
      <c r="B82" s="2432"/>
      <c r="C82" s="2432"/>
      <c r="D82" s="2432"/>
      <c r="E82" s="2432"/>
      <c r="F82" s="2432"/>
      <c r="G82" s="2432"/>
      <c r="H82" s="2432"/>
      <c r="I82" s="2421"/>
      <c r="J82" s="2446"/>
      <c r="K82" s="2432"/>
    </row>
    <row r="83" spans="1:13" s="2433" customFormat="1" hidden="1" x14ac:dyDescent="0.2">
      <c r="A83" s="2432"/>
      <c r="B83" s="2432"/>
      <c r="C83" s="2432"/>
      <c r="D83" s="2432"/>
      <c r="E83" s="2432"/>
      <c r="F83" s="2432"/>
      <c r="G83" s="2432"/>
      <c r="H83" s="2432"/>
      <c r="I83" s="2421"/>
      <c r="J83" s="2446"/>
      <c r="K83" s="2432"/>
    </row>
    <row r="84" spans="1:13" s="2433" customFormat="1" hidden="1" x14ac:dyDescent="0.2">
      <c r="A84" s="2432"/>
      <c r="B84" s="2432"/>
      <c r="C84" s="2432"/>
      <c r="D84" s="2432"/>
      <c r="E84" s="2432"/>
      <c r="F84" s="2432"/>
      <c r="G84" s="2432"/>
      <c r="H84" s="2432"/>
      <c r="I84" s="2421"/>
      <c r="J84" s="2446"/>
      <c r="K84" s="2432"/>
    </row>
    <row r="85" spans="1:13" s="2433" customFormat="1" x14ac:dyDescent="0.2">
      <c r="A85" s="2432"/>
      <c r="B85" s="2432"/>
      <c r="C85" s="2432"/>
      <c r="D85" s="2432"/>
      <c r="E85" s="2432"/>
      <c r="F85" s="2432"/>
      <c r="G85" s="2423" t="s">
        <v>5381</v>
      </c>
      <c r="H85" s="2453"/>
      <c r="I85" s="2447" t="str">
        <f>IF(N4=0,"",IF(H85="",re,""))</f>
        <v/>
      </c>
      <c r="J85" s="2446"/>
      <c r="K85" s="2432"/>
      <c r="L85" s="2433">
        <f>IF(I85="",0,1)</f>
      </c>
    </row>
    <row r="86" spans="1:13" s="2433" customFormat="1" x14ac:dyDescent="0.2">
      <c r="A86" s="2432"/>
      <c r="B86" s="2432"/>
      <c r="C86" s="2432"/>
      <c r="D86" s="2432"/>
      <c r="E86" s="2432"/>
      <c r="F86" s="2432"/>
      <c r="G86" s="2432"/>
      <c r="H86" s="2432"/>
      <c r="I86" s="2421"/>
      <c r="J86" s="2446"/>
      <c r="K86" s="2432"/>
    </row>
    <row r="87" spans="1:13" s="2538" customFormat="1" x14ac:dyDescent="0.2">
      <c r="A87" s="2960" t="s">
        <v>10574</v>
      </c>
      <c r="B87" s="2960" t="str">
        <f>_xlfn.SINGLE(MTCA)</f>
      </c>
      <c r="C87" s="2960"/>
      <c r="D87" s="2960"/>
      <c r="E87" s="2960"/>
      <c r="F87" s="2960" t="str">
        <f>ver</f>
        <v>TA2_e-CO_2025_Ver 1.1</v>
      </c>
      <c r="G87" s="2960"/>
      <c r="H87" s="2960"/>
      <c r="I87" s="2866"/>
      <c r="J87" s="2961"/>
      <c r="K87" s="2866" t="s">
        <v>7992</v>
      </c>
    </row>
    <row r="88" spans="1:13" s="2433" customFormat="1" x14ac:dyDescent="0.2">
      <c r="A88" s="2432"/>
      <c r="B88" s="2432"/>
      <c r="C88" s="2432"/>
      <c r="D88" s="2432"/>
      <c r="E88" s="2432"/>
      <c r="F88" s="2432"/>
      <c r="G88" s="2432"/>
      <c r="H88" s="2432"/>
      <c r="I88" s="2421"/>
      <c r="J88" s="2446"/>
      <c r="K88" s="2421"/>
    </row>
    <row r="89" spans="1:13" s="2433" customFormat="1" x14ac:dyDescent="0.2">
      <c r="A89" s="2432"/>
      <c r="B89" s="2432"/>
      <c r="C89" s="2432"/>
      <c r="D89" s="2450" t="s">
        <v>6290</v>
      </c>
      <c r="E89" s="2450"/>
      <c r="F89" s="2432"/>
      <c r="G89" s="2432"/>
      <c r="H89" s="2432"/>
      <c r="I89" s="2421"/>
      <c r="J89" s="2446"/>
      <c r="K89" s="2421"/>
      <c r="L89" s="2433">
        <f>SUM(L6:L85)</f>
      </c>
    </row>
    <row r="90" spans="1:13" s="2433" customFormat="1" hidden="1" x14ac:dyDescent="0.2">
      <c r="A90" s="2448"/>
      <c r="B90" s="2448"/>
      <c r="C90" s="2448"/>
      <c r="D90" s="2448"/>
      <c r="E90" s="2448"/>
      <c r="F90" s="2448"/>
      <c r="G90" s="2448"/>
      <c r="H90" s="2448"/>
      <c r="I90" s="2424"/>
      <c r="J90" s="2448"/>
      <c r="K90" s="2448"/>
    </row>
    <row r="91" spans="1:13" hidden="1" x14ac:dyDescent="0.2">
      <c r="K91" s="2448" t="s">
        <v>8087</v>
      </c>
      <c r="L91" s="2412">
        <f>IF(N4=0,0,IF(L89&lt;&gt;0,100,IF(H85="No",100,1)))</f>
      </c>
      <c r="M91" s="2433">
        <f>SUM(M12:M85)</f>
      </c>
    </row>
    <row r="98" spans="1:1" hidden="1" x14ac:dyDescent="0.2">
      <c r="A98" s="2412" t="s">
        <v>8088</v>
      </c>
    </row>
  </sheetData>
  <sheetProtection algorithmName="SHA-512" hashValue="m/mf55A6ydywrHU7iv/EsjVgly2qBo+V6E9S2RvuQmAzledSpkPPKgZES5+9PDFCclfQ2i3M1uOiY7IzUgQHWg==" saltValue="r1/jaESbSWssLgLz1fQ+YA==" spinCount="100000" sheet="1" objects="1" scenarios="1"/>
  <mergeCells count="1">
    <mergeCell ref="A1:J1"/>
  </mergeCells>
  <conditionalFormatting sqref="I49">
    <cfRule type="expression" dxfId="368" priority="3">
      <formula>ya=2018</formula>
    </cfRule>
  </conditionalFormatting>
  <conditionalFormatting sqref="J53">
    <cfRule type="expression" dxfId="367" priority="1">
      <formula>ya=2018</formula>
    </cfRule>
  </conditionalFormatting>
  <conditionalFormatting sqref="J75">
    <cfRule type="expression" dxfId="366" priority="2">
      <formula>$P$2&lt;&gt;$P$1</formula>
    </cfRule>
  </conditionalFormatting>
  <dataValidations xWindow="583" yWindow="593" count="17">
    <dataValidation type="whole" allowBlank="1" showInputMessage="1" showErrorMessage="1" errorTitle="Aggregate Contribution" error="Please enter a positive value that does not exceed 2000 euro or equivalent per employee!_x000a_" sqref="J68" xr:uid="{00000000-0002-0000-5300-000000000000}">
      <formula1>O68</formula1>
      <formula2>P68</formula2>
    </dataValidation>
    <dataValidation type="whole" operator="lessThanOrEqual" allowBlank="1" showInputMessage="1" showErrorMessage="1" errorTitle="Qualifying employees" error="Please enter the correct number of employees!" sqref="I32" xr:uid="{00000000-0002-0000-5300-000001000000}">
      <formula1>I27</formula1>
    </dataValidation>
    <dataValidation type="whole" allowBlank="1" showInputMessage="1" showErrorMessage="1" errorTitle="Income tax relieved" error="Please enter a positive value representing income the tax on which is being relieved by the tax credit!" sqref="J61" xr:uid="{00000000-0002-0000-5300-000002000000}">
      <formula1>O61</formula1>
      <formula2>P61</formula2>
    </dataValidation>
    <dataValidation type="whole" allowBlank="1" showInputMessage="1" showErrorMessage="1" errorTitle="Tax credit utilised" error="Please enter a positive amount that does not exceed tax credits available!" sqref="J57" xr:uid="{00000000-0002-0000-5300-000003000000}">
      <formula1>O57</formula1>
      <formula2>P57</formula2>
    </dataValidation>
    <dataValidation type="whole" operator="greaterThan" allowBlank="1" showInputMessage="1" showErrorMessage="1" errorTitle="Unutilised tax credit b/fwd" error="Please enter a positive value!" sqref="I49" xr:uid="{00000000-0002-0000-5300-000004000000}">
      <formula1>0</formula1>
    </dataValidation>
    <dataValidation type="whole" operator="greaterThan" allowBlank="1" showInputMessage="1" showErrorMessage="1" errorTitle="Qualifying Contributions" error="Please enter a positive amount!" sqref="I29" xr:uid="{00000000-0002-0000-5300-000005000000}">
      <formula1>0</formula1>
    </dataValidation>
    <dataValidation type="whole" operator="greaterThan" allowBlank="1" showInputMessage="1" showErrorMessage="1" errorTitle="Qualifying employees" error="Please enter a positive value!" sqref="I27" xr:uid="{00000000-0002-0000-5300-000006000000}">
      <formula1>0</formula1>
    </dataValidation>
    <dataValidation type="whole" errorStyle="warning" operator="equal" allowBlank="1" showInputMessage="1" showErrorMessage="1" errorTitle="PE Number" error="Please enter the correct 6 digit employer number!" sqref="F12:F17" xr:uid="{00000000-0002-0000-5300-000007000000}">
      <formula1>S12</formula1>
    </dataValidation>
    <dataValidation type="whole" operator="greaterThan" allowBlank="1" showInputMessage="1" showErrorMessage="1" errorTitle="Number of PE numbers" error="Please enter a positive number!" sqref="J10" xr:uid="{00000000-0002-0000-5300-000008000000}">
      <formula1>0</formula1>
    </dataValidation>
    <dataValidation type="whole" errorStyle="warning" allowBlank="1" showInputMessage="1" showErrorMessage="1" errorTitle="750 Euro per employee" error="Excessive!" promptTitle="750 Euro per employee" prompt="Cannot be more than 750 euro per employee or equivalent depending on the reporting currency." sqref="I45" xr:uid="{00000000-0002-0000-5300-000009000000}">
      <formula1>0</formula1>
      <formula2>P45</formula2>
    </dataValidation>
    <dataValidation type="whole" errorStyle="warning" operator="lessThanOrEqual" allowBlank="1" showInputMessage="1" showErrorMessage="1" errorTitle="Deductions that can be claimed" error="Cannot be more than 2000 Euro per employee, or equivalent, if the reporting currency is not euro! " sqref="J75" xr:uid="{00000000-0002-0000-5300-00000A000000}">
      <formula1>P75</formula1>
    </dataValidation>
    <dataValidation type="whole" operator="lessThanOrEqual" allowBlank="1" showInputMessage="1" showErrorMessage="1" errorTitle="Qualifying employees" error="Please enter the correct number of employees!" sqref="I66" xr:uid="{00000000-0002-0000-5300-00000B000000}">
      <formula1>O66</formula1>
    </dataValidation>
    <dataValidation type="whole" allowBlank="1" showInputMessage="1" showErrorMessage="1" errorTitle="Aggregate Contribution" error="Please enter a positive value that does not exceed 3000 euro or equivalent per employee!_x000a_" sqref="I34" xr:uid="{00000000-0002-0000-5300-00000C000000}">
      <formula1>0</formula1>
      <formula2>P34</formula2>
    </dataValidation>
    <dataValidation type="list" allowBlank="1" showInputMessage="1" showErrorMessage="1" errorTitle="Dropdown list" error="Choose an item from the list!_x000a_" sqref="Q1:T1" xr:uid="{00000000-0002-0000-5300-00000D000000}">
      <formula1>$BB$1:$BB$46</formula1>
    </dataValidation>
    <dataValidation type="whole" allowBlank="1" showInputMessage="1" showErrorMessage="1" errorTitle="Unutilised Tax Credits b/f" error="Please enter a positive value.  No b/fwds for the Y/A 2018!" sqref="J53" xr:uid="{00000000-0002-0000-5300-00000E000000}">
      <formula1>0</formula1>
      <formula2>P53</formula2>
    </dataValidation>
    <dataValidation type="list" allowBlank="1" showInputMessage="1" showErrorMessage="1" sqref="I6 I8 H85" xr:uid="{00000000-0002-0000-5300-00000F000000}">
      <formula1>"Yes,No"</formula1>
    </dataValidation>
    <dataValidation type="whole" errorStyle="warning" operator="equal" allowBlank="1" showInputMessage="1" showErrorMessage="1" errorTitle="PE Number" error="Please enter the correct 6 digit employer number!" sqref="H12:H17" xr:uid="{00000000-0002-0000-5300-000010000000}">
      <formula1>W12</formula1>
    </dataValidation>
  </dataValidations>
  <hyperlinks>
    <hyperlink ref="D89:F89" location="Index!A1" display="Index!A1" xr:uid="{00000000-0004-0000-5300-000000000000}"/>
    <hyperlink ref="H29" location="'TRA60'!A1" display="TRA 60  " xr:uid="{00000000-0004-0000-5300-000001000000}"/>
    <hyperlink ref="I57" location="'TRA35'!A1" display="TRA 35  " xr:uid="{00000000-0004-0000-5300-000002000000}"/>
    <hyperlink ref="K77" location="'TRA60'!A1" display="TRA 60  " xr:uid="{00000000-0004-0000-5300-000003000000}"/>
    <hyperlink ref="I61" location="'TRA35'!A1" display="TRA 35  " xr:uid="{00000000-0004-0000-5300-000004000000}"/>
  </hyperlinks>
  <printOptions horizontalCentered="1"/>
  <pageMargins left="0.11811023622047245" right="0.11811023622047245" top="0.15748031496062992" bottom="0.35433070866141736" header="0" footer="0.31496062992125984"/>
  <pageSetup paperSize="9" orientation="portrait" r:id="rId1"/>
  <headerFooter>
    <oddFooter>&amp;LName&amp;CSignature&amp;RDate</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92"/>
  <dimension ref="A1:AC51"/>
  <sheetViews>
    <sheetView zoomScaleNormal="100" workbookViewId="0">
      <selection activeCell="C18" sqref="C18"/>
    </sheetView>
  </sheetViews>
  <sheetFormatPr defaultColWidth="0" defaultRowHeight="14.25" zeroHeight="1" x14ac:dyDescent="0.2"/>
  <cols>
    <col min="1" max="1" width="5.42578125" style="1458" customWidth="1"/>
    <col min="2" max="2" width="11.42578125" style="1458" customWidth="1"/>
    <col min="3" max="3" width="52.7109375" style="1458" customWidth="1"/>
    <col min="4" max="4" width="13.42578125" style="1458" customWidth="1"/>
    <col min="5" max="6" width="13.5703125" style="1458" customWidth="1"/>
    <col min="7" max="7" width="11.7109375" style="1458" customWidth="1"/>
    <col min="8" max="8" width="16.7109375" style="1458" customWidth="1"/>
    <col min="9" max="26" width="8.7109375" style="1458" hidden="1" customWidth="1"/>
    <col min="27" max="29" width="11.28515625" style="1458" hidden="1" customWidth="1"/>
    <col min="30" max="16384" width="8.7109375" style="1458" hidden="1"/>
  </cols>
  <sheetData>
    <row r="1" spans="1:29" s="1726" customFormat="1" ht="12.75" x14ac:dyDescent="0.2">
      <c r="A1" s="5186" t="str">
        <f>_ref1</f>
      </c>
      <c r="B1" s="5186"/>
      <c r="C1" s="5186"/>
      <c r="D1" s="5186"/>
      <c r="E1" s="5186"/>
      <c r="F1" s="5186"/>
      <c r="G1" s="5186"/>
      <c r="H1" s="2505" t="str">
        <f>_YA1</f>
      </c>
      <c r="L1" s="1960" t="s">
        <v>9962</v>
      </c>
      <c r="M1" s="1960" t="str">
        <f>'p2'!G36</f>
      </c>
    </row>
    <row r="2" spans="1:29" x14ac:dyDescent="0.2">
      <c r="A2" s="2489"/>
      <c r="B2" s="2489"/>
      <c r="C2" s="2489"/>
      <c r="D2" s="2489"/>
      <c r="E2" s="2489"/>
      <c r="F2" s="2489"/>
      <c r="G2" s="2489"/>
      <c r="H2" s="2489"/>
    </row>
    <row r="3" spans="1:29" ht="23.25" x14ac:dyDescent="0.2">
      <c r="A3" s="2489"/>
      <c r="B3" s="5187" t="s">
        <v>8102</v>
      </c>
      <c r="C3" s="5188"/>
      <c r="D3" s="2490"/>
      <c r="E3" s="2490"/>
      <c r="F3" s="2490"/>
      <c r="G3" s="2491"/>
      <c r="H3" s="2489"/>
    </row>
    <row r="4" spans="1:29" ht="14.25" customHeight="1" x14ac:dyDescent="0.2">
      <c r="A4" s="2489"/>
      <c r="B4" s="2492" t="s">
        <v>8103</v>
      </c>
      <c r="C4" s="3564"/>
      <c r="D4" s="2493"/>
      <c r="E4" s="2493"/>
      <c r="F4" s="2493"/>
      <c r="G4" s="2494"/>
      <c r="H4" s="2489"/>
    </row>
    <row r="5" spans="1:29" ht="15" x14ac:dyDescent="0.2">
      <c r="A5" s="2489"/>
      <c r="B5" s="2489"/>
      <c r="C5" s="2489"/>
      <c r="D5" s="2489"/>
      <c r="E5" s="2489"/>
      <c r="F5" s="2489"/>
      <c r="G5" s="2489"/>
      <c r="H5" s="2489"/>
      <c r="J5" s="3576"/>
    </row>
    <row r="6" spans="1:29" hidden="1" x14ac:dyDescent="0.2">
      <c r="A6" s="2489"/>
      <c r="B6" s="2489"/>
      <c r="C6" s="2489"/>
      <c r="D6" s="2489"/>
      <c r="E6" s="2489"/>
      <c r="F6" s="2489"/>
      <c r="G6" s="2489"/>
      <c r="H6" s="2489"/>
    </row>
    <row r="7" spans="1:29" hidden="1" x14ac:dyDescent="0.2">
      <c r="A7" s="2489"/>
      <c r="B7" s="2489"/>
      <c r="C7" s="2489"/>
      <c r="D7" s="2489"/>
      <c r="E7" s="2489"/>
      <c r="F7" s="2489"/>
      <c r="G7" s="2489"/>
      <c r="H7" s="2489"/>
    </row>
    <row r="8" spans="1:29" ht="36" x14ac:dyDescent="0.2">
      <c r="A8" s="2489"/>
      <c r="B8" s="2496" t="s">
        <v>9968</v>
      </c>
      <c r="C8" s="2495" t="s">
        <v>4160</v>
      </c>
      <c r="D8" s="2496" t="s">
        <v>4161</v>
      </c>
      <c r="E8" s="2496" t="s">
        <v>8104</v>
      </c>
      <c r="F8" s="2496" t="s">
        <v>8105</v>
      </c>
      <c r="G8" s="2496" t="s">
        <v>8106</v>
      </c>
      <c r="H8" s="2489"/>
      <c r="AB8" s="1474">
        <f>DATE(ya,6,30)</f>
      </c>
      <c r="AC8" s="1474">
        <f ca="1">TODAY()</f>
      </c>
    </row>
    <row r="9" spans="1:29" x14ac:dyDescent="0.2">
      <c r="A9" s="2489"/>
      <c r="B9" s="1471"/>
      <c r="C9" s="2541"/>
      <c r="D9" s="2497"/>
      <c r="E9" s="2497"/>
      <c r="F9" s="2498"/>
      <c r="G9" s="1476"/>
      <c r="H9" s="2499" t="str">
        <f>IF(AND(N9=0,B9&lt;&gt;"",$M$1="n"),"Check details!",IF(N9=0,"",IF(AND($M$1="y",N9&lt;&gt;6)," All details required!",IF(AND($M$1="n",N9&lt;&gt;5)," All details required!",IF(AND($M$1="n",B9&lt;&gt;""),"Not fiscal unit - Pg 2 Q30","")))))</f>
        <v/>
      </c>
      <c r="K9" s="1458">
        <f>IF(H9="",0,1)</f>
      </c>
      <c r="N9" s="1458">
        <f>IF($M$1="y",COUNTA(B9:G9),COUNTA(C9:G9))</f>
      </c>
      <c r="P9" s="1458">
        <f t="shared" ref="P9:P14" si="0">ROUND(D9*5%,0)</f>
      </c>
      <c r="Q9" s="1458">
        <f t="shared" ref="Q9:Q14" si="1">P9-1</f>
      </c>
      <c r="R9" s="1458">
        <f t="shared" ref="R9:R14" si="2">P9+1</f>
      </c>
      <c r="AA9" s="1474">
        <f>DATE(ya,1,1)</f>
      </c>
      <c r="AB9" s="1474">
        <f ca="1">IF(AB8&lt;AC8,AB8,AC8)</f>
      </c>
    </row>
    <row r="10" spans="1:29" x14ac:dyDescent="0.2">
      <c r="A10" s="2489"/>
      <c r="B10" s="1471"/>
      <c r="C10" s="2541"/>
      <c r="D10" s="2497"/>
      <c r="E10" s="2497"/>
      <c r="F10" s="2498"/>
      <c r="G10" s="1476"/>
      <c r="H10" s="2499" t="str">
        <f t="shared" ref="H10:H38" si="3">IF(AND(N10=0,B10&lt;&gt;"",$M$1="n"),"Check details!",IF(N10=0,"",IF(AND($M$1="y",N10&lt;&gt;6)," All details required!",IF(AND($M$1="n",N10&lt;&gt;5)," All details required!",IF(AND($M$1="n",B10&lt;&gt;""),"Not fiscal unit - Pg 2 Q30","")))))</f>
        <v/>
      </c>
      <c r="K10" s="1458">
        <f t="shared" ref="K10:K38" si="4">IF(H10="",0,1)</f>
      </c>
      <c r="N10" s="1458">
        <f t="shared" ref="N10:N38" si="5">IF($M$1="y",COUNTA(B10:G10),COUNTA(C10:G10))</f>
      </c>
      <c r="P10" s="1458">
        <f t="shared" si="0"/>
        <v>0</v>
      </c>
      <c r="Q10" s="1458">
        <f t="shared" si="1"/>
        <v>-1</v>
      </c>
      <c r="R10" s="1458">
        <f t="shared" si="2"/>
        <v>1</v>
      </c>
    </row>
    <row r="11" spans="1:29" x14ac:dyDescent="0.2">
      <c r="A11" s="2489"/>
      <c r="B11" s="1471"/>
      <c r="C11" s="2541"/>
      <c r="D11" s="2497"/>
      <c r="E11" s="2497"/>
      <c r="F11" s="2498"/>
      <c r="G11" s="1476"/>
      <c r="H11" s="2499" t="str">
        <f t="shared" si="3"/>
        <v/>
      </c>
      <c r="K11" s="1458">
        <f t="shared" si="4"/>
        <v>0</v>
      </c>
      <c r="N11" s="1458">
        <f t="shared" si="5"/>
        <v>0</v>
      </c>
      <c r="P11" s="1458">
        <f t="shared" si="0"/>
        <v>0</v>
      </c>
      <c r="Q11" s="1458">
        <f t="shared" si="1"/>
        <v>-1</v>
      </c>
      <c r="R11" s="1458">
        <f t="shared" si="2"/>
        <v>1</v>
      </c>
    </row>
    <row r="12" spans="1:29" x14ac:dyDescent="0.2">
      <c r="A12" s="2489"/>
      <c r="B12" s="1471"/>
      <c r="C12" s="2541"/>
      <c r="D12" s="2497"/>
      <c r="E12" s="2497"/>
      <c r="F12" s="2498"/>
      <c r="G12" s="1476"/>
      <c r="H12" s="2499" t="str">
        <f t="shared" si="3"/>
        <v/>
      </c>
      <c r="K12" s="1458">
        <f t="shared" si="4"/>
        <v>0</v>
      </c>
      <c r="N12" s="1458">
        <f t="shared" si="5"/>
        <v>0</v>
      </c>
      <c r="P12" s="1458">
        <f t="shared" si="0"/>
        <v>0</v>
      </c>
      <c r="Q12" s="1458">
        <f t="shared" si="1"/>
        <v>-1</v>
      </c>
      <c r="R12" s="1458">
        <f t="shared" si="2"/>
        <v>1</v>
      </c>
    </row>
    <row r="13" spans="1:29" x14ac:dyDescent="0.2">
      <c r="A13" s="2489"/>
      <c r="B13" s="1471"/>
      <c r="C13" s="2541"/>
      <c r="D13" s="2497"/>
      <c r="E13" s="2497"/>
      <c r="F13" s="2498"/>
      <c r="G13" s="1476"/>
      <c r="H13" s="2499" t="str">
        <f t="shared" si="3"/>
        <v/>
      </c>
      <c r="K13" s="1458">
        <f t="shared" si="4"/>
        <v>0</v>
      </c>
      <c r="N13" s="1458">
        <f t="shared" si="5"/>
        <v>0</v>
      </c>
      <c r="P13" s="1458">
        <f t="shared" si="0"/>
        <v>0</v>
      </c>
      <c r="Q13" s="1458">
        <f t="shared" si="1"/>
        <v>-1</v>
      </c>
      <c r="R13" s="1458">
        <f t="shared" si="2"/>
        <v>1</v>
      </c>
    </row>
    <row r="14" spans="1:29" x14ac:dyDescent="0.2">
      <c r="A14" s="2489"/>
      <c r="B14" s="1471"/>
      <c r="C14" s="2541"/>
      <c r="D14" s="2497"/>
      <c r="E14" s="2497"/>
      <c r="F14" s="2498"/>
      <c r="G14" s="1476"/>
      <c r="H14" s="2499" t="str">
        <f t="shared" si="3"/>
        <v/>
      </c>
      <c r="K14" s="1458">
        <f t="shared" si="4"/>
        <v>0</v>
      </c>
      <c r="N14" s="1458">
        <f t="shared" si="5"/>
        <v>0</v>
      </c>
      <c r="P14" s="1458">
        <f t="shared" si="0"/>
        <v>0</v>
      </c>
      <c r="Q14" s="1458">
        <f t="shared" si="1"/>
        <v>-1</v>
      </c>
      <c r="R14" s="1458">
        <f t="shared" si="2"/>
        <v>1</v>
      </c>
    </row>
    <row r="15" spans="1:29" x14ac:dyDescent="0.2">
      <c r="A15" s="2489"/>
      <c r="B15" s="1471"/>
      <c r="C15" s="2541"/>
      <c r="D15" s="2497"/>
      <c r="E15" s="2497"/>
      <c r="F15" s="2498"/>
      <c r="G15" s="1476"/>
      <c r="H15" s="2499" t="str">
        <f t="shared" si="3"/>
        <v/>
      </c>
      <c r="K15" s="1458">
        <f t="shared" si="4"/>
        <v>0</v>
      </c>
      <c r="N15" s="1458">
        <f t="shared" si="5"/>
        <v>0</v>
      </c>
      <c r="P15" s="1458">
        <f t="shared" ref="P15:P35" si="6">ROUND(D15*5%,0)</f>
      </c>
      <c r="Q15" s="1458">
        <f t="shared" ref="Q15:Q35" si="7">P15-1</f>
      </c>
      <c r="R15" s="1458">
        <f t="shared" ref="R15:R35" si="8">P15+1</f>
      </c>
    </row>
    <row r="16" spans="1:29" x14ac:dyDescent="0.2">
      <c r="A16" s="2489"/>
      <c r="B16" s="1471"/>
      <c r="C16" s="2541"/>
      <c r="D16" s="2497"/>
      <c r="E16" s="2497"/>
      <c r="F16" s="2498"/>
      <c r="G16" s="1476"/>
      <c r="H16" s="2499" t="str">
        <f t="shared" si="3"/>
        <v/>
      </c>
      <c r="K16" s="1458">
        <f t="shared" si="4"/>
        <v>0</v>
      </c>
      <c r="N16" s="1458">
        <f t="shared" si="5"/>
        <v>0</v>
      </c>
      <c r="P16" s="1458">
        <f t="shared" si="6"/>
        <v>0</v>
      </c>
      <c r="Q16" s="1458">
        <f t="shared" si="7"/>
        <v>-1</v>
      </c>
      <c r="R16" s="1458">
        <f t="shared" si="8"/>
        <v>1</v>
      </c>
    </row>
    <row r="17" spans="1:18" x14ac:dyDescent="0.2">
      <c r="A17" s="2489"/>
      <c r="B17" s="1471"/>
      <c r="C17" s="2541"/>
      <c r="D17" s="2497"/>
      <c r="E17" s="2497"/>
      <c r="F17" s="2498"/>
      <c r="G17" s="1476"/>
      <c r="H17" s="2499" t="str">
        <f t="shared" si="3"/>
        <v/>
      </c>
      <c r="K17" s="1458">
        <f t="shared" si="4"/>
        <v>0</v>
      </c>
      <c r="N17" s="1458">
        <f t="shared" si="5"/>
        <v>0</v>
      </c>
      <c r="P17" s="1458">
        <f t="shared" si="6"/>
        <v>0</v>
      </c>
      <c r="Q17" s="1458">
        <f t="shared" si="7"/>
        <v>-1</v>
      </c>
      <c r="R17" s="1458">
        <f t="shared" si="8"/>
        <v>1</v>
      </c>
    </row>
    <row r="18" spans="1:18" x14ac:dyDescent="0.2">
      <c r="A18" s="2489"/>
      <c r="B18" s="1471"/>
      <c r="C18" s="2541"/>
      <c r="D18" s="2497"/>
      <c r="E18" s="2497"/>
      <c r="F18" s="2498"/>
      <c r="G18" s="1476"/>
      <c r="H18" s="2499" t="str">
        <f t="shared" si="3"/>
        <v/>
      </c>
      <c r="K18" s="1458">
        <f t="shared" si="4"/>
        <v>0</v>
      </c>
      <c r="N18" s="1458">
        <f t="shared" si="5"/>
        <v>0</v>
      </c>
      <c r="P18" s="1458">
        <f t="shared" si="6"/>
        <v>0</v>
      </c>
      <c r="Q18" s="1458">
        <f t="shared" si="7"/>
        <v>-1</v>
      </c>
      <c r="R18" s="1458">
        <f t="shared" si="8"/>
        <v>1</v>
      </c>
    </row>
    <row r="19" spans="1:18" x14ac:dyDescent="0.2">
      <c r="A19" s="2489"/>
      <c r="B19" s="1471"/>
      <c r="C19" s="2541"/>
      <c r="D19" s="2497"/>
      <c r="E19" s="2497"/>
      <c r="F19" s="2498"/>
      <c r="G19" s="1476"/>
      <c r="H19" s="2499" t="str">
        <f t="shared" si="3"/>
        <v/>
      </c>
      <c r="K19" s="1458">
        <f t="shared" si="4"/>
        <v>0</v>
      </c>
      <c r="N19" s="1458">
        <f t="shared" si="5"/>
        <v>0</v>
      </c>
      <c r="P19" s="1458">
        <f t="shared" si="6"/>
        <v>0</v>
      </c>
      <c r="Q19" s="1458">
        <f t="shared" si="7"/>
        <v>-1</v>
      </c>
      <c r="R19" s="1458">
        <f t="shared" si="8"/>
        <v>1</v>
      </c>
    </row>
    <row r="20" spans="1:18" hidden="1" x14ac:dyDescent="0.2">
      <c r="A20" s="2489"/>
      <c r="B20" s="1471"/>
      <c r="C20" s="2541"/>
      <c r="D20" s="2497"/>
      <c r="E20" s="2497"/>
      <c r="F20" s="2498"/>
      <c r="G20" s="1476"/>
      <c r="H20" s="2499"/>
      <c r="K20" s="1458">
        <f t="shared" si="4"/>
        <v>0</v>
      </c>
      <c r="N20" s="1458">
        <f t="shared" si="5"/>
        <v>0</v>
      </c>
      <c r="P20" s="1458">
        <f t="shared" si="6"/>
        <v>0</v>
      </c>
      <c r="Q20" s="1458">
        <f t="shared" si="7"/>
        <v>-1</v>
      </c>
      <c r="R20" s="1458">
        <f t="shared" si="8"/>
        <v>1</v>
      </c>
    </row>
    <row r="21" spans="1:18" hidden="1" x14ac:dyDescent="0.2">
      <c r="A21" s="2489"/>
      <c r="B21" s="1471"/>
      <c r="C21" s="2541"/>
      <c r="D21" s="2497"/>
      <c r="E21" s="2497"/>
      <c r="F21" s="2498"/>
      <c r="G21" s="1476"/>
      <c r="H21" s="2499"/>
      <c r="K21" s="1458">
        <f t="shared" si="4"/>
        <v>0</v>
      </c>
      <c r="N21" s="1458">
        <f t="shared" si="5"/>
        <v>0</v>
      </c>
      <c r="P21" s="1458">
        <f t="shared" si="6"/>
        <v>0</v>
      </c>
      <c r="Q21" s="1458">
        <f t="shared" si="7"/>
        <v>-1</v>
      </c>
      <c r="R21" s="1458">
        <f t="shared" si="8"/>
        <v>1</v>
      </c>
    </row>
    <row r="22" spans="1:18" hidden="1" x14ac:dyDescent="0.2">
      <c r="A22" s="2489"/>
      <c r="B22" s="1471"/>
      <c r="C22" s="2541"/>
      <c r="D22" s="2497"/>
      <c r="E22" s="2497"/>
      <c r="F22" s="2498"/>
      <c r="G22" s="1476"/>
      <c r="H22" s="2499"/>
      <c r="K22" s="1458">
        <f t="shared" si="4"/>
        <v>0</v>
      </c>
      <c r="N22" s="1458">
        <f t="shared" si="5"/>
        <v>0</v>
      </c>
      <c r="P22" s="1458">
        <f t="shared" si="6"/>
        <v>0</v>
      </c>
      <c r="Q22" s="1458">
        <f t="shared" si="7"/>
        <v>-1</v>
      </c>
      <c r="R22" s="1458">
        <f t="shared" si="8"/>
        <v>1</v>
      </c>
    </row>
    <row r="23" spans="1:18" hidden="1" x14ac:dyDescent="0.2">
      <c r="A23" s="2489"/>
      <c r="B23" s="1471"/>
      <c r="C23" s="2541"/>
      <c r="D23" s="2497"/>
      <c r="E23" s="2497"/>
      <c r="F23" s="2498"/>
      <c r="G23" s="1476"/>
      <c r="H23" s="2499"/>
      <c r="K23" s="1458">
        <f t="shared" si="4"/>
        <v>0</v>
      </c>
      <c r="N23" s="1458">
        <f t="shared" si="5"/>
        <v>0</v>
      </c>
      <c r="P23" s="1458">
        <f t="shared" si="6"/>
        <v>0</v>
      </c>
      <c r="Q23" s="1458">
        <f t="shared" si="7"/>
        <v>-1</v>
      </c>
      <c r="R23" s="1458">
        <f t="shared" si="8"/>
        <v>1</v>
      </c>
    </row>
    <row r="24" spans="1:18" hidden="1" x14ac:dyDescent="0.2">
      <c r="A24" s="2489"/>
      <c r="B24" s="1471"/>
      <c r="C24" s="2541"/>
      <c r="D24" s="2497"/>
      <c r="E24" s="2497"/>
      <c r="F24" s="2498"/>
      <c r="G24" s="1476"/>
      <c r="H24" s="2499"/>
      <c r="K24" s="1458">
        <f t="shared" si="4"/>
        <v>0</v>
      </c>
      <c r="N24" s="1458">
        <f t="shared" si="5"/>
        <v>0</v>
      </c>
      <c r="P24" s="1458">
        <f t="shared" si="6"/>
        <v>0</v>
      </c>
      <c r="Q24" s="1458">
        <f t="shared" si="7"/>
        <v>-1</v>
      </c>
      <c r="R24" s="1458">
        <f t="shared" si="8"/>
        <v>1</v>
      </c>
    </row>
    <row r="25" spans="1:18" hidden="1" x14ac:dyDescent="0.2">
      <c r="A25" s="2489"/>
      <c r="B25" s="1471"/>
      <c r="C25" s="2541"/>
      <c r="D25" s="2497"/>
      <c r="E25" s="2497"/>
      <c r="F25" s="2498"/>
      <c r="G25" s="1476"/>
      <c r="H25" s="2499"/>
      <c r="K25" s="1458">
        <f t="shared" si="4"/>
        <v>0</v>
      </c>
      <c r="N25" s="1458">
        <f t="shared" si="5"/>
        <v>0</v>
      </c>
      <c r="P25" s="1458">
        <f t="shared" si="6"/>
        <v>0</v>
      </c>
      <c r="Q25" s="1458">
        <f t="shared" si="7"/>
        <v>-1</v>
      </c>
      <c r="R25" s="1458">
        <f t="shared" si="8"/>
        <v>1</v>
      </c>
    </row>
    <row r="26" spans="1:18" hidden="1" x14ac:dyDescent="0.2">
      <c r="A26" s="2489"/>
      <c r="B26" s="1471"/>
      <c r="C26" s="2541"/>
      <c r="D26" s="2497"/>
      <c r="E26" s="2497"/>
      <c r="F26" s="2498"/>
      <c r="G26" s="1476"/>
      <c r="H26" s="2499"/>
      <c r="K26" s="1458">
        <f t="shared" si="4"/>
        <v>0</v>
      </c>
      <c r="N26" s="1458">
        <f t="shared" si="5"/>
        <v>0</v>
      </c>
      <c r="P26" s="1458">
        <f t="shared" si="6"/>
        <v>0</v>
      </c>
      <c r="Q26" s="1458">
        <f t="shared" si="7"/>
        <v>-1</v>
      </c>
      <c r="R26" s="1458">
        <f t="shared" si="8"/>
        <v>1</v>
      </c>
    </row>
    <row r="27" spans="1:18" hidden="1" x14ac:dyDescent="0.2">
      <c r="A27" s="2489"/>
      <c r="B27" s="1471"/>
      <c r="C27" s="2541"/>
      <c r="D27" s="2497"/>
      <c r="E27" s="2497"/>
      <c r="F27" s="2498"/>
      <c r="G27" s="1476"/>
      <c r="H27" s="2499"/>
      <c r="K27" s="1458">
        <f t="shared" si="4"/>
        <v>0</v>
      </c>
      <c r="N27" s="1458">
        <f t="shared" si="5"/>
        <v>0</v>
      </c>
      <c r="P27" s="1458">
        <f t="shared" si="6"/>
        <v>0</v>
      </c>
      <c r="Q27" s="1458">
        <f t="shared" si="7"/>
        <v>-1</v>
      </c>
      <c r="R27" s="1458">
        <f t="shared" si="8"/>
        <v>1</v>
      </c>
    </row>
    <row r="28" spans="1:18" hidden="1" x14ac:dyDescent="0.2">
      <c r="A28" s="2489"/>
      <c r="B28" s="1471"/>
      <c r="C28" s="2541"/>
      <c r="D28" s="2497"/>
      <c r="E28" s="2497"/>
      <c r="F28" s="2498"/>
      <c r="G28" s="1476"/>
      <c r="H28" s="2499"/>
      <c r="K28" s="1458">
        <f t="shared" si="4"/>
        <v>0</v>
      </c>
      <c r="N28" s="1458">
        <f t="shared" si="5"/>
        <v>0</v>
      </c>
      <c r="P28" s="1458">
        <f t="shared" si="6"/>
        <v>0</v>
      </c>
      <c r="Q28" s="1458">
        <f t="shared" si="7"/>
        <v>-1</v>
      </c>
      <c r="R28" s="1458">
        <f t="shared" si="8"/>
        <v>1</v>
      </c>
    </row>
    <row r="29" spans="1:18" hidden="1" x14ac:dyDescent="0.2">
      <c r="A29" s="2489"/>
      <c r="B29" s="1471"/>
      <c r="C29" s="2541"/>
      <c r="D29" s="2497"/>
      <c r="E29" s="2497"/>
      <c r="F29" s="2498"/>
      <c r="G29" s="1476"/>
      <c r="H29" s="2499"/>
      <c r="K29" s="1458">
        <f t="shared" si="4"/>
        <v>0</v>
      </c>
      <c r="N29" s="1458">
        <f t="shared" si="5"/>
        <v>0</v>
      </c>
      <c r="P29" s="1458">
        <f t="shared" si="6"/>
        <v>0</v>
      </c>
      <c r="Q29" s="1458">
        <f t="shared" si="7"/>
        <v>-1</v>
      </c>
      <c r="R29" s="1458">
        <f t="shared" si="8"/>
        <v>1</v>
      </c>
    </row>
    <row r="30" spans="1:18" x14ac:dyDescent="0.2">
      <c r="A30" s="2489"/>
      <c r="B30" s="1471"/>
      <c r="C30" s="2541"/>
      <c r="D30" s="2497"/>
      <c r="E30" s="2497"/>
      <c r="F30" s="2498"/>
      <c r="G30" s="1476"/>
      <c r="H30" s="2499" t="str">
        <f t="shared" si="3"/>
        <v/>
      </c>
      <c r="K30" s="1458">
        <f t="shared" si="4"/>
        <v>0</v>
      </c>
      <c r="N30" s="1458">
        <f t="shared" si="5"/>
        <v>0</v>
      </c>
      <c r="P30" s="1458">
        <f t="shared" si="6"/>
        <v>0</v>
      </c>
      <c r="Q30" s="1458">
        <f t="shared" si="7"/>
        <v>-1</v>
      </c>
      <c r="R30" s="1458">
        <f t="shared" si="8"/>
        <v>1</v>
      </c>
    </row>
    <row r="31" spans="1:18" x14ac:dyDescent="0.2">
      <c r="A31" s="2489"/>
      <c r="B31" s="1471"/>
      <c r="C31" s="2541"/>
      <c r="D31" s="2497"/>
      <c r="E31" s="2497"/>
      <c r="F31" s="2498"/>
      <c r="G31" s="1476"/>
      <c r="H31" s="2499" t="str">
        <f t="shared" si="3"/>
        <v/>
      </c>
      <c r="K31" s="1458">
        <f t="shared" si="4"/>
        <v>0</v>
      </c>
      <c r="N31" s="1458">
        <f t="shared" si="5"/>
        <v>0</v>
      </c>
      <c r="P31" s="1458">
        <f t="shared" si="6"/>
        <v>0</v>
      </c>
      <c r="Q31" s="1458">
        <f t="shared" si="7"/>
        <v>-1</v>
      </c>
      <c r="R31" s="1458">
        <f t="shared" si="8"/>
        <v>1</v>
      </c>
    </row>
    <row r="32" spans="1:18" x14ac:dyDescent="0.2">
      <c r="A32" s="2489"/>
      <c r="B32" s="1471"/>
      <c r="C32" s="2541"/>
      <c r="D32" s="2497"/>
      <c r="E32" s="2497"/>
      <c r="F32" s="2498"/>
      <c r="G32" s="1476"/>
      <c r="H32" s="2499" t="str">
        <f t="shared" si="3"/>
        <v/>
      </c>
      <c r="K32" s="1458">
        <f t="shared" si="4"/>
        <v>0</v>
      </c>
      <c r="N32" s="1458">
        <f t="shared" si="5"/>
        <v>0</v>
      </c>
      <c r="P32" s="1458">
        <f t="shared" si="6"/>
        <v>0</v>
      </c>
      <c r="Q32" s="1458">
        <f t="shared" si="7"/>
        <v>-1</v>
      </c>
      <c r="R32" s="1458">
        <f t="shared" si="8"/>
        <v>1</v>
      </c>
    </row>
    <row r="33" spans="1:18" x14ac:dyDescent="0.2">
      <c r="A33" s="2489"/>
      <c r="B33" s="1471"/>
      <c r="C33" s="2541"/>
      <c r="D33" s="2497"/>
      <c r="E33" s="2497"/>
      <c r="F33" s="2498"/>
      <c r="G33" s="1476"/>
      <c r="H33" s="2499" t="str">
        <f t="shared" si="3"/>
        <v/>
      </c>
      <c r="K33" s="1458">
        <f t="shared" si="4"/>
        <v>0</v>
      </c>
      <c r="N33" s="1458">
        <f t="shared" si="5"/>
        <v>0</v>
      </c>
      <c r="P33" s="1458">
        <f t="shared" si="6"/>
        <v>0</v>
      </c>
      <c r="Q33" s="1458">
        <f t="shared" si="7"/>
        <v>-1</v>
      </c>
      <c r="R33" s="1458">
        <f t="shared" si="8"/>
        <v>1</v>
      </c>
    </row>
    <row r="34" spans="1:18" x14ac:dyDescent="0.2">
      <c r="A34" s="2489"/>
      <c r="B34" s="1471"/>
      <c r="C34" s="2541"/>
      <c r="D34" s="2497"/>
      <c r="E34" s="2497"/>
      <c r="F34" s="2498"/>
      <c r="G34" s="1476"/>
      <c r="H34" s="2499" t="str">
        <f t="shared" si="3"/>
        <v/>
      </c>
      <c r="K34" s="1458">
        <f t="shared" si="4"/>
        <v>0</v>
      </c>
      <c r="N34" s="1458">
        <f t="shared" si="5"/>
        <v>0</v>
      </c>
      <c r="P34" s="1458">
        <f t="shared" si="6"/>
        <v>0</v>
      </c>
      <c r="Q34" s="1458">
        <f t="shared" si="7"/>
        <v>-1</v>
      </c>
      <c r="R34" s="1458">
        <f t="shared" si="8"/>
        <v>1</v>
      </c>
    </row>
    <row r="35" spans="1:18" x14ac:dyDescent="0.2">
      <c r="A35" s="2489"/>
      <c r="B35" s="1471"/>
      <c r="C35" s="2541"/>
      <c r="D35" s="2497"/>
      <c r="E35" s="2497"/>
      <c r="F35" s="2498"/>
      <c r="G35" s="1476"/>
      <c r="H35" s="2499" t="str">
        <f t="shared" si="3"/>
        <v/>
      </c>
      <c r="K35" s="1458">
        <f t="shared" si="4"/>
        <v>0</v>
      </c>
      <c r="N35" s="1458">
        <f t="shared" si="5"/>
        <v>0</v>
      </c>
      <c r="P35" s="1458">
        <f t="shared" si="6"/>
        <v>0</v>
      </c>
      <c r="Q35" s="1458">
        <f t="shared" si="7"/>
        <v>-1</v>
      </c>
      <c r="R35" s="1458">
        <f t="shared" si="8"/>
        <v>1</v>
      </c>
    </row>
    <row r="36" spans="1:18" x14ac:dyDescent="0.2">
      <c r="A36" s="2489"/>
      <c r="B36" s="1471"/>
      <c r="C36" s="2541"/>
      <c r="D36" s="2497"/>
      <c r="E36" s="2497"/>
      <c r="F36" s="2498"/>
      <c r="G36" s="1476"/>
      <c r="H36" s="2499" t="str">
        <f t="shared" si="3"/>
        <v/>
      </c>
      <c r="K36" s="1458">
        <f t="shared" si="4"/>
        <v>0</v>
      </c>
      <c r="N36" s="1458">
        <f t="shared" si="5"/>
        <v>0</v>
      </c>
      <c r="P36" s="1458">
        <f>ROUND(D36*5%,0)</f>
      </c>
      <c r="Q36" s="1458">
        <f>P36-1</f>
      </c>
      <c r="R36" s="1458">
        <f>P36+1</f>
      </c>
    </row>
    <row r="37" spans="1:18" x14ac:dyDescent="0.2">
      <c r="A37" s="2489"/>
      <c r="B37" s="1471"/>
      <c r="C37" s="2541"/>
      <c r="D37" s="2497"/>
      <c r="E37" s="2497"/>
      <c r="F37" s="2498"/>
      <c r="G37" s="1476"/>
      <c r="H37" s="2499" t="str">
        <f t="shared" si="3"/>
        <v/>
      </c>
      <c r="K37" s="1458">
        <f t="shared" si="4"/>
        <v>0</v>
      </c>
      <c r="N37" s="1458">
        <f t="shared" si="5"/>
        <v>0</v>
      </c>
      <c r="P37" s="1458">
        <f>ROUND(D37*5%,0)</f>
      </c>
      <c r="Q37" s="1458">
        <f>P37-1</f>
      </c>
      <c r="R37" s="1458">
        <f>P37+1</f>
      </c>
    </row>
    <row r="38" spans="1:18" x14ac:dyDescent="0.2">
      <c r="A38" s="2489"/>
      <c r="B38" s="1471"/>
      <c r="C38" s="2541"/>
      <c r="D38" s="2497"/>
      <c r="E38" s="2497"/>
      <c r="F38" s="2498"/>
      <c r="G38" s="1476"/>
      <c r="H38" s="2499" t="str">
        <f t="shared" si="3"/>
        <v/>
      </c>
      <c r="K38" s="1458">
        <f t="shared" si="4"/>
        <v>0</v>
      </c>
      <c r="N38" s="1458">
        <f t="shared" si="5"/>
        <v>0</v>
      </c>
      <c r="P38" s="1458">
        <f>ROUND(D38*5%,0)</f>
      </c>
      <c r="Q38" s="1458">
        <f>P38-1</f>
      </c>
      <c r="R38" s="1458">
        <f>P38+1</f>
      </c>
    </row>
    <row r="39" spans="1:18" x14ac:dyDescent="0.2">
      <c r="A39" s="2489"/>
      <c r="B39" s="2489"/>
      <c r="C39" s="2500" t="s">
        <v>5590</v>
      </c>
      <c r="D39" s="2501">
        <f>IF(M41&lt;&gt;0,0,SUM(D9:D38))</f>
      </c>
      <c r="E39" s="2501">
        <f>IF(M41&lt;&gt;0,0,SUM(E9:E38))</f>
      </c>
      <c r="F39" s="2499" t="str">
        <f>IF(M41&lt;&gt;0,"Not all conditions satisfied!","")</f>
        <v/>
      </c>
      <c r="G39" s="2489"/>
      <c r="H39" s="2489"/>
      <c r="K39" s="1458">
        <f>IF(F39="",0,1)</f>
      </c>
      <c r="M39" s="1458">
        <f>IF(D43=n,1,0)</f>
      </c>
      <c r="N39" s="1458">
        <f>SUM(N9:N38)</f>
      </c>
    </row>
    <row r="40" spans="1:18" x14ac:dyDescent="0.2">
      <c r="A40" s="2489"/>
      <c r="B40" s="2489"/>
      <c r="C40" s="2489"/>
      <c r="D40" s="2508" t="s">
        <v>3130</v>
      </c>
      <c r="E40" s="2489"/>
      <c r="F40" s="2489"/>
      <c r="G40" s="2489"/>
      <c r="H40" s="2489"/>
      <c r="M40" s="1458">
        <f>IF(D45=n,1,0)</f>
      </c>
    </row>
    <row r="41" spans="1:18" x14ac:dyDescent="0.2">
      <c r="A41" s="2489"/>
      <c r="B41" s="2489"/>
      <c r="C41" s="2500" t="s">
        <v>4797</v>
      </c>
      <c r="D41" s="2501">
        <f>IF(D39-E39&lt;0,0,D39-E39)</f>
      </c>
      <c r="E41" s="2507" t="s">
        <v>8107</v>
      </c>
      <c r="F41" s="2502"/>
      <c r="G41" s="2489"/>
      <c r="H41" s="2489"/>
      <c r="M41" s="1458">
        <f>M39+M40</f>
      </c>
    </row>
    <row r="42" spans="1:18" x14ac:dyDescent="0.2">
      <c r="A42" s="2489"/>
      <c r="B42" s="2489"/>
      <c r="C42" s="2502"/>
      <c r="D42" s="2502"/>
      <c r="E42" s="2502"/>
      <c r="F42" s="2502"/>
      <c r="G42" s="2489"/>
      <c r="H42" s="2489"/>
    </row>
    <row r="43" spans="1:18" x14ac:dyDescent="0.2">
      <c r="A43" s="2489"/>
      <c r="B43" s="2489"/>
      <c r="C43" s="2503" t="s">
        <v>8108</v>
      </c>
      <c r="D43" s="1471"/>
      <c r="E43" s="2499" t="str">
        <f>IF(N39=0,"",IF(D43="",re,IF(D43="No"," No entitlement!","")))</f>
        <v/>
      </c>
      <c r="F43" s="2502"/>
      <c r="G43" s="2489"/>
      <c r="H43" s="2489"/>
      <c r="K43" s="1458">
        <f>IF(E43="",0,1)</f>
      </c>
    </row>
    <row r="44" spans="1:18" x14ac:dyDescent="0.2">
      <c r="A44" s="2489"/>
      <c r="B44" s="2489"/>
      <c r="C44" s="2489"/>
      <c r="D44" s="2489"/>
      <c r="E44" s="2489"/>
      <c r="F44" s="2489"/>
      <c r="G44" s="2489"/>
      <c r="H44" s="2489"/>
    </row>
    <row r="45" spans="1:18" x14ac:dyDescent="0.2">
      <c r="A45" s="2489"/>
      <c r="B45" s="2489"/>
      <c r="C45" s="2503" t="s">
        <v>8109</v>
      </c>
      <c r="D45" s="1471"/>
      <c r="E45" s="2499" t="str">
        <f>IF(N39=0,"",IF(D45="",re,IF(D45="No"," No entitlement!","")))</f>
        <v/>
      </c>
      <c r="F45" s="2489"/>
      <c r="G45" s="2489"/>
      <c r="H45" s="2489"/>
      <c r="K45" s="1458">
        <f>IF(E45="",0,1)</f>
      </c>
    </row>
    <row r="46" spans="1:18" x14ac:dyDescent="0.2">
      <c r="A46" s="2489"/>
      <c r="B46" s="2489"/>
      <c r="C46" s="2489"/>
      <c r="D46" s="2489"/>
      <c r="E46" s="2489"/>
      <c r="F46" s="2489"/>
      <c r="G46" s="2489"/>
      <c r="H46" s="2489"/>
      <c r="L46" s="1458" t="s">
        <v>1736</v>
      </c>
    </row>
    <row r="47" spans="1:18" x14ac:dyDescent="0.2">
      <c r="A47" s="2489"/>
      <c r="B47" s="2489"/>
      <c r="C47" s="2504" t="s">
        <v>5381</v>
      </c>
      <c r="D47" s="1471"/>
      <c r="E47" s="2499" t="str">
        <f>IF(N39=0,"",IF(D47="",re,""))</f>
        <v/>
      </c>
      <c r="F47" s="2489"/>
      <c r="G47" s="2489"/>
      <c r="H47" s="2489"/>
      <c r="K47" s="1458">
        <f>IF(E47="",0,1)</f>
      </c>
      <c r="L47" s="1458" t="s">
        <v>4457</v>
      </c>
    </row>
    <row r="48" spans="1:18" x14ac:dyDescent="0.2">
      <c r="A48" s="2489"/>
      <c r="B48" s="2489"/>
      <c r="C48" s="2489"/>
      <c r="D48" s="2489"/>
      <c r="E48" s="2489"/>
      <c r="F48" s="2489"/>
      <c r="G48" s="2489"/>
      <c r="H48" s="2489"/>
      <c r="K48" s="1458">
        <f>SUM(K9:K47)</f>
      </c>
    </row>
    <row r="49" spans="1:11" x14ac:dyDescent="0.2">
      <c r="A49" s="2505" t="str">
        <f>_xlfn.SINGLE(MTCA)</f>
      </c>
      <c r="B49" s="2505"/>
      <c r="C49" s="2505"/>
      <c r="D49" s="2505" t="str">
        <f>ver</f>
        <v>TA2_e-CO_2025_Ver 1.1</v>
      </c>
      <c r="E49" s="2505"/>
      <c r="F49" s="2505"/>
      <c r="G49" s="2505"/>
      <c r="H49" s="2505" t="s">
        <v>7993</v>
      </c>
      <c r="K49" s="1458">
        <f>IF(N39=0,0,IF(K48&lt;&gt;0,100,IF(D47="No",100,1)))</f>
      </c>
    </row>
    <row r="50" spans="1:11" x14ac:dyDescent="0.2">
      <c r="A50" s="2489"/>
      <c r="B50" s="2506" t="s">
        <v>6290</v>
      </c>
      <c r="C50" s="2489"/>
      <c r="D50" s="2506"/>
      <c r="E50" s="2489"/>
      <c r="F50" s="2489"/>
      <c r="G50" s="2489"/>
      <c r="H50" s="2489"/>
    </row>
    <row r="51" spans="1:11" x14ac:dyDescent="0.2">
      <c r="A51" s="2489"/>
      <c r="B51" s="2489"/>
      <c r="C51" s="2489"/>
      <c r="D51" s="2489"/>
      <c r="E51" s="2489"/>
      <c r="F51" s="2489"/>
      <c r="G51" s="2489"/>
      <c r="H51" s="2489"/>
    </row>
  </sheetData>
  <sheetProtection algorithmName="SHA-512" hashValue="JiceRVbmHNIHU6isJEvVODcJ6Ar1TYezDQPkGY753Kn8pyFUwMnPRAzImjxUenm2qCCr4tgO76vtHs6puiaS0w==" saltValue="m27JBGAh6zHzAefDrovceA==" spinCount="100000" sheet="1" objects="1" scenarios="1"/>
  <mergeCells count="2">
    <mergeCell ref="A1:G1"/>
    <mergeCell ref="B3:C3"/>
  </mergeCells>
  <conditionalFormatting sqref="B9:B38">
    <cfRule type="expression" dxfId="365" priority="1">
      <formula>$M$1="n"</formula>
    </cfRule>
  </conditionalFormatting>
  <dataValidations count="7">
    <dataValidation type="date" errorStyle="warning" allowBlank="1" showInputMessage="1" showErrorMessage="1" errorTitle="Date of payment" error="Are you sure the date entered is correct?  " promptTitle="Date format" prompt="dd/mm/yyyy" sqref="F9:F38" xr:uid="{00000000-0002-0000-5400-000000000000}">
      <formula1>$AA$9</formula1>
      <formula2>$AB$9</formula2>
    </dataValidation>
    <dataValidation type="textLength" operator="greaterThanOrEqual" allowBlank="1" showInputMessage="1" showErrorMessage="1" errorTitle="Receipt Number" error="Please enter the correct receipt number!" sqref="G9:G38" xr:uid="{00000000-0002-0000-5400-000001000000}">
      <formula1>4</formula1>
    </dataValidation>
    <dataValidation type="whole" allowBlank="1" showInputMessage="1" showErrorMessage="1" errorTitle="Final Tax deducted" error="Please enter a positive value that represents 5% of gross rental income!" sqref="E9:E38" xr:uid="{00000000-0002-0000-5400-000002000000}">
      <formula1>Q9</formula1>
      <formula2>R9</formula2>
    </dataValidation>
    <dataValidation type="textLength" operator="greaterThan" allowBlank="1" showInputMessage="1" showErrorMessage="1" errorTitle="Address" error="Please enter the correct address!" sqref="C9:C38" xr:uid="{00000000-0002-0000-5400-000003000000}">
      <formula1>10</formula1>
    </dataValidation>
    <dataValidation type="whole" operator="greaterThanOrEqual" allowBlank="1" showInputMessage="1" showErrorMessage="1" errorTitle="Rental Income" error="Please enter a positive value!" sqref="D9:D38" xr:uid="{00000000-0002-0000-5400-000004000000}">
      <formula1>0</formula1>
    </dataValidation>
    <dataValidation type="list" showInputMessage="1" showErrorMessage="1" sqref="D45 D47 D43" xr:uid="{00000000-0002-0000-5400-000005000000}">
      <formula1>yn</formula1>
    </dataValidation>
    <dataValidation type="list" allowBlank="1" showInputMessage="1" showErrorMessage="1" sqref="B9:B38" xr:uid="{00000000-0002-0000-5400-000006000000}">
      <formula1>FU</formula1>
    </dataValidation>
  </dataValidations>
  <hyperlinks>
    <hyperlink ref="D40" location="'TRA60'!A1" display="TRA 60" xr:uid="{00000000-0004-0000-5400-000000000000}"/>
    <hyperlink ref="E41" location="TRA61_FTA!A1" display="   TRA 61" xr:uid="{00000000-0004-0000-5400-000001000000}"/>
  </hyperlinks>
  <pageMargins left="0.7" right="0.7" top="0.75" bottom="0.75" header="0.3" footer="0.3"/>
  <pageSetup paperSize="9" orientation="landscape" r:id="rId1"/>
  <headerFooter>
    <oddFooter>&amp;LName&amp;CSignature&amp;RDate</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93"/>
  <dimension ref="A1:AC127"/>
  <sheetViews>
    <sheetView topLeftCell="A19" zoomScaleNormal="100" workbookViewId="0">
      <selection activeCell="G29" sqref="G29"/>
    </sheetView>
  </sheetViews>
  <sheetFormatPr defaultColWidth="0" defaultRowHeight="12.75" zeroHeight="1" x14ac:dyDescent="0.2"/>
  <cols>
    <col min="1" max="1" width="1" style="2412" customWidth="1"/>
    <col min="2" max="2" width="16.7109375" style="2412" customWidth="1"/>
    <col min="3" max="3" width="11.7109375" style="2412" customWidth="1"/>
    <col min="4" max="4" width="8.7109375" style="2412" customWidth="1"/>
    <col min="5" max="6" width="11.28515625" style="2412" customWidth="1"/>
    <col min="7" max="7" width="13.28515625" style="2412" customWidth="1"/>
    <col min="8" max="8" width="14.5703125" style="2412" customWidth="1"/>
    <col min="9" max="9" width="10.28515625" style="2412" customWidth="1"/>
    <col min="10" max="10" width="14.5703125" style="2412" customWidth="1"/>
    <col min="11" max="11" width="18.28515625" style="2530" customWidth="1"/>
    <col min="12" max="13" width="8.7109375" style="2412" hidden="1" customWidth="1"/>
    <col min="14" max="15" width="10.42578125" style="2412" hidden="1" customWidth="1"/>
    <col min="16" max="25" width="8.7109375" style="2412" hidden="1" customWidth="1"/>
    <col min="26" max="26" width="36.28515625" style="2412" hidden="1" customWidth="1"/>
    <col min="27" max="16384" width="8.7109375" style="2412" hidden="1"/>
  </cols>
  <sheetData>
    <row r="1" spans="1:29" s="1511" customFormat="1" ht="12" x14ac:dyDescent="0.2">
      <c r="A1" s="5184" t="str">
        <f>_ref1</f>
      </c>
      <c r="B1" s="5184"/>
      <c r="C1" s="5184"/>
      <c r="D1" s="5184"/>
      <c r="E1" s="5184"/>
      <c r="F1" s="5184"/>
      <c r="G1" s="5184"/>
      <c r="H1" s="5184"/>
      <c r="I1" s="5184"/>
      <c r="J1" s="2470" t="str">
        <f>_YA1</f>
      </c>
      <c r="K1" s="2535"/>
      <c r="P1" s="1511" t="s">
        <v>4591</v>
      </c>
    </row>
    <row r="2" spans="1:29" x14ac:dyDescent="0.2">
      <c r="A2" s="2410"/>
      <c r="B2" s="2410"/>
      <c r="C2" s="2410"/>
      <c r="D2" s="2410"/>
      <c r="E2" s="2410"/>
      <c r="F2" s="2410"/>
      <c r="G2" s="2410"/>
      <c r="H2" s="2410"/>
      <c r="I2" s="2410"/>
      <c r="J2" s="2410"/>
      <c r="K2" s="2435"/>
      <c r="O2" s="2412" t="s">
        <v>8074</v>
      </c>
      <c r="P2" s="2509" t="str">
        <f>cur</f>
      </c>
      <c r="S2" s="2412" t="s">
        <v>8112</v>
      </c>
      <c r="Z2" s="2412" t="s">
        <v>8113</v>
      </c>
    </row>
    <row r="3" spans="1:29" ht="18.75" x14ac:dyDescent="0.2">
      <c r="A3" s="2410"/>
      <c r="B3" s="2510" t="s">
        <v>8114</v>
      </c>
      <c r="C3" s="2511"/>
      <c r="D3" s="2511"/>
      <c r="E3" s="2511"/>
      <c r="F3" s="2511"/>
      <c r="G3" s="2511"/>
      <c r="H3" s="2511"/>
      <c r="I3" s="2511"/>
      <c r="J3" s="2512"/>
      <c r="K3" s="2435"/>
      <c r="P3" s="2412">
        <f>VLOOKUP(P2,cbmer,8,FALSE)</f>
      </c>
      <c r="Z3" s="2412" t="s">
        <v>8115</v>
      </c>
      <c r="AC3" s="2412" t="str">
        <f>B3</f>
      </c>
    </row>
    <row r="4" spans="1:29" ht="18.75" x14ac:dyDescent="0.2">
      <c r="A4" s="2410"/>
      <c r="B4" s="2513" t="s">
        <v>8116</v>
      </c>
      <c r="C4" s="2514"/>
      <c r="D4" s="2514"/>
      <c r="E4" s="2514"/>
      <c r="F4" s="2514"/>
      <c r="G4" s="2514"/>
      <c r="H4" s="2514"/>
      <c r="I4" s="2514"/>
      <c r="J4" s="2515"/>
      <c r="K4" s="2435"/>
      <c r="Z4" s="2412" t="s">
        <v>8117</v>
      </c>
      <c r="AC4" s="2412" t="str">
        <f>B4</f>
        <v xml:space="preserve">DEDUCTION (EMBELLISHMENT PROJECT) RULES </v>
      </c>
    </row>
    <row r="5" spans="1:29" x14ac:dyDescent="0.2">
      <c r="A5" s="2410"/>
      <c r="B5" s="2410"/>
      <c r="C5" s="2410"/>
      <c r="D5" s="2410"/>
      <c r="E5" s="2410"/>
      <c r="F5" s="2410"/>
      <c r="G5" s="2410"/>
      <c r="H5" s="2410"/>
      <c r="I5" s="2410"/>
      <c r="J5" s="2410"/>
      <c r="K5" s="2435"/>
      <c r="Z5" s="2412" t="s">
        <v>8118</v>
      </c>
      <c r="AC5" s="1776" t="s">
        <v>8197</v>
      </c>
    </row>
    <row r="6" spans="1:29" ht="15" x14ac:dyDescent="0.2">
      <c r="A6" s="2410"/>
      <c r="B6" s="2516" t="s">
        <v>8119</v>
      </c>
      <c r="C6" s="2517"/>
      <c r="D6" s="2517"/>
      <c r="E6" s="2517"/>
      <c r="F6" s="2517"/>
      <c r="G6" s="2517"/>
      <c r="H6" s="2517"/>
      <c r="I6" s="2517"/>
      <c r="J6" s="2518"/>
      <c r="K6" s="2435"/>
      <c r="Z6" s="2412" t="s">
        <v>8120</v>
      </c>
    </row>
    <row r="7" spans="1:29" ht="44.1" customHeight="1" x14ac:dyDescent="0.2">
      <c r="A7" s="2410"/>
      <c r="B7" s="5195"/>
      <c r="C7" s="5196"/>
      <c r="D7" s="5196"/>
      <c r="E7" s="5196"/>
      <c r="F7" s="5196"/>
      <c r="G7" s="5196"/>
      <c r="H7" s="5196"/>
      <c r="I7" s="5196"/>
      <c r="J7" s="5197"/>
      <c r="K7" s="2435" t="str">
        <f>IF(P7=0,"",IF(B7="",re,""))</f>
        <v/>
      </c>
      <c r="L7" s="2412">
        <f>IF(K7="",0,1)</f>
      </c>
      <c r="P7" s="2412">
        <f>COUNTA(B7,H12,H13,H14,E16,E19,F19,F20,F21,E20,E21,H25,H27,H33)</f>
      </c>
      <c r="Z7" s="2412" t="s">
        <v>8121</v>
      </c>
    </row>
    <row r="8" spans="1:29" x14ac:dyDescent="0.2">
      <c r="A8" s="2435"/>
      <c r="B8" s="2435"/>
      <c r="C8" s="2435"/>
      <c r="D8" s="2435"/>
      <c r="E8" s="2435"/>
      <c r="F8" s="2435"/>
      <c r="G8" s="2435"/>
      <c r="H8" s="2435"/>
      <c r="I8" s="2435"/>
      <c r="J8" s="2435"/>
      <c r="K8" s="2435"/>
      <c r="Z8" s="2412" t="s">
        <v>8122</v>
      </c>
    </row>
    <row r="9" spans="1:29" hidden="1" x14ac:dyDescent="0.2">
      <c r="A9" s="2435"/>
      <c r="B9" s="2435"/>
      <c r="C9" s="2435"/>
      <c r="D9" s="2435"/>
      <c r="E9" s="2435"/>
      <c r="F9" s="2435"/>
      <c r="G9" s="2435"/>
      <c r="H9" s="2435"/>
      <c r="I9" s="2435"/>
      <c r="J9" s="2435"/>
      <c r="K9" s="2435"/>
      <c r="Z9" s="2412" t="s">
        <v>8123</v>
      </c>
    </row>
    <row r="10" spans="1:29" hidden="1" x14ac:dyDescent="0.2">
      <c r="A10" s="2435"/>
      <c r="B10" s="2435"/>
      <c r="C10" s="2435"/>
      <c r="D10" s="2435"/>
      <c r="E10" s="2435"/>
      <c r="F10" s="2435"/>
      <c r="G10" s="2435"/>
      <c r="H10" s="2435"/>
      <c r="I10" s="2435"/>
      <c r="J10" s="2435"/>
      <c r="K10" s="2435"/>
      <c r="Z10" s="2412" t="s">
        <v>8124</v>
      </c>
    </row>
    <row r="11" spans="1:29" hidden="1" x14ac:dyDescent="0.2">
      <c r="A11" s="2410"/>
      <c r="B11" s="2410"/>
      <c r="C11" s="2410"/>
      <c r="D11" s="2410"/>
      <c r="E11" s="2410"/>
      <c r="F11" s="2410"/>
      <c r="G11" s="2410"/>
      <c r="H11" s="2410"/>
      <c r="I11" s="2410"/>
      <c r="J11" s="2410"/>
      <c r="K11" s="2435"/>
      <c r="Z11" s="2412" t="s">
        <v>8125</v>
      </c>
    </row>
    <row r="12" spans="1:29" x14ac:dyDescent="0.2">
      <c r="A12" s="2410"/>
      <c r="B12" s="5198" t="s">
        <v>8126</v>
      </c>
      <c r="C12" s="5199"/>
      <c r="D12" s="5199"/>
      <c r="E12" s="5199"/>
      <c r="F12" s="5199"/>
      <c r="G12" s="5200"/>
      <c r="H12" s="5207"/>
      <c r="I12" s="5208"/>
      <c r="J12" s="5209"/>
      <c r="K12" s="2435" t="str">
        <f>IF(AND(P7&gt;0,H12=""),re,"")</f>
        <v/>
      </c>
      <c r="L12" s="2412">
        <f>IF(K12="",0,1)</f>
      </c>
      <c r="Z12" s="2412" t="s">
        <v>8127</v>
      </c>
    </row>
    <row r="13" spans="1:29" x14ac:dyDescent="0.2">
      <c r="A13" s="2410"/>
      <c r="B13" s="5201"/>
      <c r="C13" s="5202"/>
      <c r="D13" s="5202"/>
      <c r="E13" s="5202"/>
      <c r="F13" s="5202"/>
      <c r="G13" s="5203"/>
      <c r="H13" s="5207"/>
      <c r="I13" s="5208"/>
      <c r="J13" s="5209"/>
      <c r="K13" s="2435"/>
      <c r="Z13" s="2412" t="s">
        <v>8128</v>
      </c>
    </row>
    <row r="14" spans="1:29" x14ac:dyDescent="0.2">
      <c r="A14" s="2410"/>
      <c r="B14" s="5204"/>
      <c r="C14" s="5205"/>
      <c r="D14" s="5205"/>
      <c r="E14" s="5205"/>
      <c r="F14" s="5205"/>
      <c r="G14" s="5206"/>
      <c r="H14" s="5207"/>
      <c r="I14" s="5208"/>
      <c r="J14" s="5209"/>
      <c r="K14" s="2435"/>
      <c r="Z14" s="2412" t="s">
        <v>8129</v>
      </c>
    </row>
    <row r="15" spans="1:29" x14ac:dyDescent="0.2">
      <c r="A15" s="2410"/>
      <c r="B15" s="2410"/>
      <c r="C15" s="2410"/>
      <c r="D15" s="2410"/>
      <c r="E15" s="2410"/>
      <c r="F15" s="2410"/>
      <c r="G15" s="2410"/>
      <c r="H15" s="2410"/>
      <c r="I15" s="2410"/>
      <c r="J15" s="2410"/>
      <c r="K15" s="2435"/>
      <c r="Z15" s="2412" t="s">
        <v>8130</v>
      </c>
    </row>
    <row r="16" spans="1:29" ht="15" x14ac:dyDescent="0.2">
      <c r="A16" s="2410"/>
      <c r="B16" s="2516" t="s">
        <v>8131</v>
      </c>
      <c r="C16" s="2519"/>
      <c r="D16" s="2520"/>
      <c r="E16" s="2521"/>
      <c r="F16" s="2415" t="str">
        <f>IF(AND(P7&gt;0,E16=""),re,"")</f>
        <v/>
      </c>
      <c r="G16" s="2410"/>
      <c r="H16" s="2410"/>
      <c r="I16" s="2410"/>
      <c r="J16" s="2410"/>
      <c r="K16" s="2435"/>
      <c r="L16" s="2412">
        <f>IF(F16="",0,1)</f>
      </c>
      <c r="N16" s="2522">
        <f>DATE(ya-1,1,1)</f>
      </c>
      <c r="O16" s="2522">
        <f>DATE(ya-1,12,31)</f>
      </c>
      <c r="Z16" s="2412" t="s">
        <v>8132</v>
      </c>
    </row>
    <row r="17" spans="1:26" x14ac:dyDescent="0.2">
      <c r="A17" s="2410"/>
      <c r="B17" s="2410"/>
      <c r="C17" s="2410"/>
      <c r="D17" s="2410"/>
      <c r="E17" s="2410"/>
      <c r="F17" s="2410"/>
      <c r="G17" s="2410"/>
      <c r="H17" s="2410"/>
      <c r="I17" s="2410"/>
      <c r="J17" s="2410"/>
      <c r="K17" s="2435"/>
      <c r="Z17" s="2412" t="s">
        <v>8133</v>
      </c>
    </row>
    <row r="18" spans="1:26" ht="30" x14ac:dyDescent="0.2">
      <c r="A18" s="2410"/>
      <c r="B18" s="5210" t="s">
        <v>8134</v>
      </c>
      <c r="C18" s="5211"/>
      <c r="D18" s="5212"/>
      <c r="E18" s="2523" t="s">
        <v>8135</v>
      </c>
      <c r="F18" s="2524" t="s">
        <v>8136</v>
      </c>
      <c r="G18" s="2410"/>
      <c r="H18" s="2410"/>
      <c r="I18" s="2410"/>
      <c r="J18" s="2410"/>
      <c r="K18" s="2435"/>
      <c r="Z18" s="2412" t="s">
        <v>8137</v>
      </c>
    </row>
    <row r="19" spans="1:26" ht="15" x14ac:dyDescent="0.2">
      <c r="A19" s="2410"/>
      <c r="B19" s="5189" t="str">
        <f>IF(H12="","",H12)</f>
        <v/>
      </c>
      <c r="C19" s="5190"/>
      <c r="D19" s="5191"/>
      <c r="E19" s="2537"/>
      <c r="F19" s="2537"/>
      <c r="G19" s="2415" t="str">
        <f>IF(AND(P$7&gt;0,B19&lt;&gt;"",M19&lt;&gt;2),"Both dates required!","")</f>
        <v/>
      </c>
      <c r="H19" s="2410"/>
      <c r="I19" s="2540" t="str">
        <f ca="1">IF(E19&gt;TODAY(),"Future date!",IF(F19&gt;TODAY(),"Future date!",""))</f>
        <v/>
      </c>
      <c r="J19" s="2410"/>
      <c r="K19" s="2435"/>
      <c r="L19" s="2412">
        <f>IF(G19="",0,1)</f>
      </c>
      <c r="M19" s="2412">
        <f>COUNTA(E19:F19)</f>
      </c>
      <c r="N19" s="2522">
        <f>IF(ya=2018,DATE(ya-1,1,1),DATE(ya-2,1,1))</f>
      </c>
      <c r="O19" s="2522">
        <f>DATE(ya,9,30)</f>
      </c>
      <c r="Z19" s="2412" t="s">
        <v>8138</v>
      </c>
    </row>
    <row r="20" spans="1:26" ht="15" x14ac:dyDescent="0.2">
      <c r="A20" s="2410"/>
      <c r="B20" s="5189" t="str">
        <f>IF(H13="","",H13)</f>
        <v/>
      </c>
      <c r="C20" s="5190"/>
      <c r="D20" s="5191"/>
      <c r="E20" s="2537"/>
      <c r="F20" s="2537"/>
      <c r="G20" s="2415" t="str">
        <f>IF(AND(P$7&gt;0,B20&lt;&gt;"",M20&lt;&gt;2),"Both dates required!","")</f>
        <v/>
      </c>
      <c r="H20" s="2410"/>
      <c r="I20" s="2540" t="str">
        <f ca="1">IF(E20&gt;TODAY(),"Future date!",IF(F20&gt;TODAY(),"Future date!",""))</f>
        <v/>
      </c>
      <c r="J20" s="2410"/>
      <c r="K20" s="2435"/>
      <c r="L20" s="2412">
        <f>IF(G20="",0,1)</f>
      </c>
      <c r="M20" s="2412">
        <f>COUNTA(E20:F20)</f>
      </c>
      <c r="Z20" s="2412" t="s">
        <v>8139</v>
      </c>
    </row>
    <row r="21" spans="1:26" ht="15" x14ac:dyDescent="0.2">
      <c r="A21" s="2410"/>
      <c r="B21" s="5189" t="str">
        <f>IF(H14="","",H14)</f>
        <v/>
      </c>
      <c r="C21" s="5190"/>
      <c r="D21" s="5191"/>
      <c r="E21" s="2537"/>
      <c r="F21" s="2537"/>
      <c r="G21" s="2415" t="str">
        <f>IF(AND(P$7&gt;0,B21&lt;&gt;"",M21&lt;&gt;2),"Both dates required!","")</f>
        <v/>
      </c>
      <c r="H21" s="2410"/>
      <c r="I21" s="2540" t="str">
        <f ca="1">IF(E21&gt;TODAY(),"Future date!",IF(F21&gt;TODAY(),"Future date!",""))</f>
        <v/>
      </c>
      <c r="J21" s="2410"/>
      <c r="K21" s="2435"/>
      <c r="L21" s="2412">
        <f>IF(G21="",0,1)</f>
      </c>
      <c r="M21" s="2412">
        <f>COUNTA(E21:F21)</f>
      </c>
      <c r="Z21" s="2412" t="s">
        <v>8140</v>
      </c>
    </row>
    <row r="22" spans="1:26" x14ac:dyDescent="0.2">
      <c r="A22" s="2410"/>
      <c r="B22" s="2410"/>
      <c r="C22" s="2410"/>
      <c r="D22" s="2410"/>
      <c r="E22" s="2410"/>
      <c r="F22" s="2410"/>
      <c r="G22" s="2410"/>
      <c r="H22" s="2410"/>
      <c r="I22" s="2410"/>
      <c r="J22" s="2410"/>
      <c r="K22" s="2435"/>
    </row>
    <row r="23" spans="1:26" ht="15.75" x14ac:dyDescent="0.2">
      <c r="A23" s="2410"/>
      <c r="B23" s="2525" t="s">
        <v>8141</v>
      </c>
      <c r="C23" s="2410"/>
      <c r="D23" s="2410"/>
      <c r="E23" s="2410"/>
      <c r="F23" s="2410"/>
      <c r="G23" s="2410"/>
      <c r="H23" s="2410"/>
      <c r="I23" s="2410"/>
      <c r="J23" s="2410"/>
      <c r="K23" s="2435"/>
    </row>
    <row r="24" spans="1:26" ht="6" customHeight="1" x14ac:dyDescent="0.2">
      <c r="A24" s="2410"/>
      <c r="B24" s="2410"/>
      <c r="C24" s="2410"/>
      <c r="D24" s="2410"/>
      <c r="E24" s="2410"/>
      <c r="F24" s="2410"/>
      <c r="G24" s="2410"/>
      <c r="H24" s="2410"/>
      <c r="I24" s="2410"/>
      <c r="J24" s="2410"/>
      <c r="K24" s="2435"/>
      <c r="Z24" s="2412" t="s">
        <v>8142</v>
      </c>
    </row>
    <row r="25" spans="1:26" ht="15" x14ac:dyDescent="0.2">
      <c r="A25" s="2410"/>
      <c r="B25" s="2410"/>
      <c r="C25" s="2416" t="s">
        <v>8143</v>
      </c>
      <c r="D25" s="2410"/>
      <c r="E25" s="2410"/>
      <c r="F25" s="2410"/>
      <c r="G25" s="2474"/>
      <c r="H25" s="2526"/>
      <c r="I25" s="2415" t="str">
        <f>IF(AND($P$7&lt;&gt;0,H25=""),re,"")</f>
        <v/>
      </c>
      <c r="J25" s="2410"/>
      <c r="K25" s="2435"/>
      <c r="L25" s="2412">
        <f>IF(I25="",0,1)</f>
      </c>
      <c r="N25" s="2412">
        <v>1</v>
      </c>
      <c r="O25" s="2412">
        <f>ROUND(90000*P3,0)</f>
      </c>
      <c r="Z25" s="2412" t="s">
        <v>8144</v>
      </c>
    </row>
    <row r="26" spans="1:26" ht="6" customHeight="1" x14ac:dyDescent="0.2">
      <c r="A26" s="2410"/>
      <c r="B26" s="2410"/>
      <c r="C26" s="2416"/>
      <c r="D26" s="2410"/>
      <c r="E26" s="2410"/>
      <c r="F26" s="2410"/>
      <c r="G26" s="2410"/>
      <c r="H26" s="2446"/>
      <c r="I26" s="2410"/>
      <c r="J26" s="2410"/>
      <c r="K26" s="2435"/>
      <c r="Z26" s="2412" t="s">
        <v>8145</v>
      </c>
    </row>
    <row r="27" spans="1:26" ht="15" x14ac:dyDescent="0.2">
      <c r="A27" s="2410"/>
      <c r="B27" s="2410"/>
      <c r="C27" s="2416" t="s">
        <v>8146</v>
      </c>
      <c r="D27" s="2410"/>
      <c r="E27" s="2410"/>
      <c r="F27" s="2410"/>
      <c r="G27" s="2410"/>
      <c r="H27" s="2526"/>
      <c r="I27" s="2415" t="str">
        <f>IF(AND($P$7&lt;&gt;0,H27=""),reo,"")</f>
        <v/>
      </c>
      <c r="J27" s="2410"/>
      <c r="K27" s="2435"/>
      <c r="L27" s="2412">
        <f>IF(I27="",0,1)</f>
      </c>
      <c r="Z27" s="2412" t="s">
        <v>8147</v>
      </c>
    </row>
    <row r="28" spans="1:26" ht="6" customHeight="1" x14ac:dyDescent="0.2">
      <c r="A28" s="2410"/>
      <c r="B28" s="2410"/>
      <c r="C28" s="2416"/>
      <c r="D28" s="2410"/>
      <c r="E28" s="2410"/>
      <c r="F28" s="2410"/>
      <c r="G28" s="2410"/>
      <c r="H28" s="2446"/>
      <c r="I28" s="2410"/>
      <c r="J28" s="2410"/>
      <c r="K28" s="2435"/>
      <c r="Z28" s="2412" t="s">
        <v>8148</v>
      </c>
    </row>
    <row r="29" spans="1:26" ht="15" x14ac:dyDescent="0.2">
      <c r="A29" s="2410"/>
      <c r="B29" s="2410"/>
      <c r="C29" s="2416" t="s">
        <v>8195</v>
      </c>
      <c r="D29" s="2410"/>
      <c r="E29" s="2410"/>
      <c r="F29" s="2410"/>
      <c r="G29" s="2474" t="s">
        <v>8149</v>
      </c>
      <c r="H29" s="2527">
        <f>IF(H33="No",0,IF(H25-H27&lt;0,0,H25-H27))</f>
      </c>
      <c r="I29" s="2415" t="str">
        <f>IF(H$33="No",nob,"")</f>
        <v/>
      </c>
      <c r="J29" s="2410"/>
      <c r="K29" s="2435"/>
      <c r="L29" s="2412">
        <f>IF(I29="",0,1)</f>
      </c>
      <c r="Z29" s="2412" t="s">
        <v>8150</v>
      </c>
    </row>
    <row r="30" spans="1:26" ht="6" customHeight="1" x14ac:dyDescent="0.2">
      <c r="A30" s="2410"/>
      <c r="B30" s="2410"/>
      <c r="C30" s="2416"/>
      <c r="D30" s="2410"/>
      <c r="E30" s="2410"/>
      <c r="F30" s="2410"/>
      <c r="G30" s="2528"/>
      <c r="H30" s="2446"/>
      <c r="I30" s="2410"/>
      <c r="J30" s="2410"/>
      <c r="K30" s="2435"/>
      <c r="Z30" s="2412" t="s">
        <v>8151</v>
      </c>
    </row>
    <row r="31" spans="1:26" ht="15" x14ac:dyDescent="0.2">
      <c r="A31" s="2410"/>
      <c r="B31" s="2410"/>
      <c r="C31" s="2416" t="s">
        <v>8193</v>
      </c>
      <c r="D31" s="2410"/>
      <c r="E31" s="2410"/>
      <c r="F31" s="2410"/>
      <c r="G31" s="2474" t="s">
        <v>8149</v>
      </c>
      <c r="H31" s="2527">
        <f>IF(H33="No",0,IF(ROUND(H29*120%,0)&gt;O25,O25,ROUND(H29*120%,0)))</f>
      </c>
      <c r="I31" s="2415" t="str">
        <f>IF(H$33="No",nob,"")</f>
        <v/>
      </c>
      <c r="J31" s="2532" t="str">
        <f>IF(I31=nob,"",IF(ROUND(H29*1.2,0)&gt;H31,"Restricted!",""))</f>
        <v/>
      </c>
      <c r="K31" s="2435"/>
      <c r="L31" s="2412">
        <f>IF(I31="",0,1)</f>
      </c>
      <c r="Z31" s="2412" t="s">
        <v>8152</v>
      </c>
    </row>
    <row r="32" spans="1:26" ht="15" x14ac:dyDescent="0.2">
      <c r="A32" s="2410"/>
      <c r="B32" s="2410"/>
      <c r="C32" s="2416"/>
      <c r="D32" s="2410"/>
      <c r="E32" s="2410"/>
      <c r="F32" s="2410"/>
      <c r="G32" s="2410"/>
      <c r="H32" s="2410"/>
      <c r="I32" s="2410"/>
      <c r="J32" s="2410"/>
      <c r="K32" s="2435"/>
      <c r="Z32" s="2412" t="s">
        <v>8153</v>
      </c>
    </row>
    <row r="33" spans="1:26" ht="15" x14ac:dyDescent="0.2">
      <c r="A33" s="2410"/>
      <c r="B33" s="2410"/>
      <c r="C33" s="2416" t="s">
        <v>8374</v>
      </c>
      <c r="D33" s="2416"/>
      <c r="E33" s="2416"/>
      <c r="F33" s="2416"/>
      <c r="G33" s="2416"/>
      <c r="H33" s="2772"/>
      <c r="I33" s="2415" t="str">
        <f>IF(AND(P$7&gt;0,H33=""),re,"")</f>
        <v/>
      </c>
      <c r="J33" s="2410"/>
      <c r="K33" s="2435"/>
      <c r="L33" s="2412">
        <f>IF(I33="",0,1)</f>
      </c>
      <c r="Z33" s="2412" t="s">
        <v>8154</v>
      </c>
    </row>
    <row r="34" spans="1:26" ht="6.6" customHeight="1" x14ac:dyDescent="0.2">
      <c r="A34" s="2410"/>
      <c r="B34" s="2410"/>
      <c r="C34" s="2416"/>
      <c r="D34" s="2416"/>
      <c r="E34" s="2416"/>
      <c r="F34" s="2416"/>
      <c r="G34" s="2416"/>
      <c r="H34" s="2415"/>
      <c r="I34" s="2415"/>
      <c r="J34" s="2410"/>
      <c r="K34" s="2435"/>
    </row>
    <row r="35" spans="1:26" ht="34.15" customHeight="1" x14ac:dyDescent="0.2">
      <c r="A35" s="2410"/>
      <c r="B35" s="5192" t="s">
        <v>8194</v>
      </c>
      <c r="C35" s="5193"/>
      <c r="D35" s="5193"/>
      <c r="E35" s="5193"/>
      <c r="F35" s="5193"/>
      <c r="G35" s="5193"/>
      <c r="H35" s="5194"/>
      <c r="I35" s="2415"/>
      <c r="J35" s="2410"/>
      <c r="K35" s="2435"/>
    </row>
    <row r="36" spans="1:26" ht="8.1" customHeight="1" x14ac:dyDescent="0.2">
      <c r="A36" s="2410"/>
      <c r="B36" s="2410"/>
      <c r="C36" s="2410"/>
      <c r="D36" s="2410"/>
      <c r="E36" s="2410"/>
      <c r="F36" s="2410"/>
      <c r="G36" s="2410"/>
      <c r="H36" s="2410"/>
      <c r="I36" s="2410"/>
      <c r="J36" s="2410"/>
      <c r="K36" s="2435"/>
      <c r="Z36" s="2412" t="s">
        <v>8155</v>
      </c>
    </row>
    <row r="37" spans="1:26" ht="15" x14ac:dyDescent="0.2">
      <c r="A37" s="2410"/>
      <c r="B37" s="2410"/>
      <c r="C37" s="2410"/>
      <c r="D37" s="2410"/>
      <c r="E37" s="2410"/>
      <c r="F37" s="2410"/>
      <c r="G37" s="2529" t="s">
        <v>5381</v>
      </c>
      <c r="H37" s="2772"/>
      <c r="I37" s="2415" t="str">
        <f>IF(AND(P$7&gt;0,H37=""),re,"")</f>
        <v/>
      </c>
      <c r="J37" s="2410"/>
      <c r="K37" s="2435"/>
      <c r="L37" s="2412">
        <f>IF(I37="",0,1)</f>
      </c>
      <c r="Z37" s="2412" t="s">
        <v>8156</v>
      </c>
    </row>
    <row r="38" spans="1:26" x14ac:dyDescent="0.2">
      <c r="A38" s="2410"/>
      <c r="B38" s="2410"/>
      <c r="C38" s="2410"/>
      <c r="D38" s="2410"/>
      <c r="E38" s="2410"/>
      <c r="F38" s="2410"/>
      <c r="G38" s="2410"/>
      <c r="H38" s="2410"/>
      <c r="I38" s="2410"/>
      <c r="J38" s="2410"/>
      <c r="K38" s="2435"/>
      <c r="Z38" s="2412" t="s">
        <v>8157</v>
      </c>
    </row>
    <row r="39" spans="1:26" s="2424" customFormat="1" x14ac:dyDescent="0.2">
      <c r="A39" s="2421"/>
      <c r="B39" s="2421" t="str">
        <f>_xlfn.SINGLE(MTCA)</f>
      </c>
      <c r="C39" s="2421"/>
      <c r="D39" s="2421"/>
      <c r="E39" s="2421"/>
      <c r="F39" s="2421" t="str">
        <f>ver</f>
        <v>TA2_e-CO_2025_Ver 1.1</v>
      </c>
      <c r="G39" s="2421"/>
      <c r="H39" s="2421"/>
      <c r="I39" s="2421"/>
      <c r="J39" s="2410"/>
      <c r="K39" s="2432" t="s">
        <v>7994</v>
      </c>
      <c r="Z39" s="2424" t="s">
        <v>8158</v>
      </c>
    </row>
    <row r="40" spans="1:26" x14ac:dyDescent="0.2">
      <c r="A40" s="2410"/>
      <c r="B40" s="2410"/>
      <c r="C40" s="2536" t="s">
        <v>6290</v>
      </c>
      <c r="D40" s="2428"/>
      <c r="E40" s="2428"/>
      <c r="F40" s="2410"/>
      <c r="G40" s="2410"/>
      <c r="H40" s="2410"/>
      <c r="I40" s="2410"/>
      <c r="J40" s="2410"/>
      <c r="K40" s="2435"/>
      <c r="Z40" s="2412" t="s">
        <v>8159</v>
      </c>
    </row>
    <row r="41" spans="1:26" hidden="1" x14ac:dyDescent="0.2">
      <c r="Z41" s="2412" t="s">
        <v>8160</v>
      </c>
    </row>
    <row r="42" spans="1:26" hidden="1" x14ac:dyDescent="0.2">
      <c r="K42" s="2531" t="s">
        <v>7439</v>
      </c>
      <c r="L42" s="2412">
        <f>SUM(L7:L37)</f>
      </c>
      <c r="Z42" s="2412" t="s">
        <v>8161</v>
      </c>
    </row>
    <row r="43" spans="1:26" hidden="1" x14ac:dyDescent="0.2">
      <c r="K43" s="2531" t="s">
        <v>8087</v>
      </c>
      <c r="L43" s="2412">
        <f>IF(P7=0,0,IF(L42&lt;&gt;0,100,IF(H37="No",100,1)))</f>
      </c>
      <c r="Z43" s="2412" t="s">
        <v>8162</v>
      </c>
    </row>
    <row r="44" spans="1:26" hidden="1" x14ac:dyDescent="0.2">
      <c r="Z44" s="2412" t="s">
        <v>8163</v>
      </c>
    </row>
    <row r="45" spans="1:26" hidden="1" x14ac:dyDescent="0.2">
      <c r="Z45" s="2412" t="s">
        <v>8164</v>
      </c>
    </row>
    <row r="46" spans="1:26" hidden="1" x14ac:dyDescent="0.2">
      <c r="Z46" s="2412" t="s">
        <v>8165</v>
      </c>
    </row>
    <row r="47" spans="1:26" hidden="1" x14ac:dyDescent="0.2">
      <c r="Z47" s="2412" t="s">
        <v>8166</v>
      </c>
    </row>
    <row r="48" spans="1:26" hidden="1" x14ac:dyDescent="0.2">
      <c r="Z48" s="2412" t="s">
        <v>8167</v>
      </c>
    </row>
    <row r="49" spans="3:26" hidden="1" x14ac:dyDescent="0.2">
      <c r="Z49" s="2412" t="s">
        <v>8168</v>
      </c>
    </row>
    <row r="50" spans="3:26" hidden="1" x14ac:dyDescent="0.2">
      <c r="Z50" s="2412" t="s">
        <v>8169</v>
      </c>
    </row>
    <row r="51" spans="3:26" hidden="1" x14ac:dyDescent="0.2">
      <c r="Z51" s="2412" t="s">
        <v>8170</v>
      </c>
    </row>
    <row r="52" spans="3:26" hidden="1" x14ac:dyDescent="0.2">
      <c r="Z52" s="2412" t="s">
        <v>8171</v>
      </c>
    </row>
    <row r="53" spans="3:26" hidden="1" x14ac:dyDescent="0.2">
      <c r="Z53" s="2412" t="s">
        <v>8172</v>
      </c>
    </row>
    <row r="54" spans="3:26" hidden="1" x14ac:dyDescent="0.2">
      <c r="Z54" s="2412" t="s">
        <v>8173</v>
      </c>
    </row>
    <row r="55" spans="3:26" hidden="1" x14ac:dyDescent="0.2">
      <c r="Z55" s="2412" t="s">
        <v>8174</v>
      </c>
    </row>
    <row r="56" spans="3:26" hidden="1" x14ac:dyDescent="0.2">
      <c r="Z56" s="2412" t="s">
        <v>8175</v>
      </c>
    </row>
    <row r="57" spans="3:26" hidden="1" x14ac:dyDescent="0.2">
      <c r="Z57" s="2412" t="s">
        <v>8176</v>
      </c>
    </row>
    <row r="58" spans="3:26" hidden="1" x14ac:dyDescent="0.2">
      <c r="Z58" s="2412" t="s">
        <v>8177</v>
      </c>
    </row>
    <row r="59" spans="3:26" hidden="1" x14ac:dyDescent="0.2">
      <c r="Z59" s="2412" t="s">
        <v>8178</v>
      </c>
    </row>
    <row r="60" spans="3:26" hidden="1" x14ac:dyDescent="0.2">
      <c r="C60" s="2538" t="s">
        <v>8113</v>
      </c>
      <c r="Z60" s="2412" t="s">
        <v>8179</v>
      </c>
    </row>
    <row r="61" spans="3:26" hidden="1" x14ac:dyDescent="0.2">
      <c r="C61" s="2538" t="s">
        <v>8115</v>
      </c>
      <c r="Z61" s="2412" t="s">
        <v>8180</v>
      </c>
    </row>
    <row r="62" spans="3:26" hidden="1" x14ac:dyDescent="0.2">
      <c r="C62" s="2538" t="s">
        <v>8117</v>
      </c>
      <c r="Z62" s="2412" t="s">
        <v>8181</v>
      </c>
    </row>
    <row r="63" spans="3:26" hidden="1" x14ac:dyDescent="0.2">
      <c r="C63" s="2538" t="s">
        <v>9837</v>
      </c>
      <c r="Z63" s="2412" t="s">
        <v>8182</v>
      </c>
    </row>
    <row r="64" spans="3:26" hidden="1" x14ac:dyDescent="0.2">
      <c r="C64" s="2538" t="s">
        <v>8120</v>
      </c>
      <c r="Z64" s="2412" t="s">
        <v>8183</v>
      </c>
    </row>
    <row r="65" spans="3:26" hidden="1" x14ac:dyDescent="0.2">
      <c r="C65" s="2538" t="s">
        <v>8121</v>
      </c>
      <c r="Z65" s="2412" t="s">
        <v>8184</v>
      </c>
    </row>
    <row r="66" spans="3:26" hidden="1" x14ac:dyDescent="0.2">
      <c r="C66" s="2538" t="s">
        <v>8122</v>
      </c>
      <c r="Z66" s="2412" t="s">
        <v>8185</v>
      </c>
    </row>
    <row r="67" spans="3:26" hidden="1" x14ac:dyDescent="0.2">
      <c r="C67" s="2538" t="s">
        <v>8123</v>
      </c>
      <c r="Z67" s="2412" t="s">
        <v>8186</v>
      </c>
    </row>
    <row r="68" spans="3:26" hidden="1" x14ac:dyDescent="0.2">
      <c r="C68" s="2538" t="s">
        <v>8124</v>
      </c>
      <c r="Z68" s="2412" t="s">
        <v>8187</v>
      </c>
    </row>
    <row r="69" spans="3:26" hidden="1" x14ac:dyDescent="0.2">
      <c r="C69" s="2538" t="s">
        <v>9838</v>
      </c>
      <c r="Z69" s="2412" t="s">
        <v>8188</v>
      </c>
    </row>
    <row r="70" spans="3:26" hidden="1" x14ac:dyDescent="0.2">
      <c r="C70" s="2538" t="s">
        <v>9839</v>
      </c>
      <c r="Z70" s="2412" t="s">
        <v>8189</v>
      </c>
    </row>
    <row r="71" spans="3:26" hidden="1" x14ac:dyDescent="0.2">
      <c r="C71" s="2538" t="s">
        <v>9840</v>
      </c>
      <c r="Z71" s="2412" t="s">
        <v>8190</v>
      </c>
    </row>
    <row r="72" spans="3:26" hidden="1" x14ac:dyDescent="0.2">
      <c r="C72" s="2538" t="s">
        <v>9841</v>
      </c>
      <c r="Z72" s="2412" t="s">
        <v>8191</v>
      </c>
    </row>
    <row r="73" spans="3:26" hidden="1" x14ac:dyDescent="0.2">
      <c r="C73" s="2538" t="s">
        <v>9842</v>
      </c>
      <c r="Z73" s="2412" t="s">
        <v>8192</v>
      </c>
    </row>
    <row r="74" spans="3:26" hidden="1" x14ac:dyDescent="0.2">
      <c r="C74" s="2538" t="s">
        <v>8132</v>
      </c>
    </row>
    <row r="75" spans="3:26" hidden="1" x14ac:dyDescent="0.2">
      <c r="C75" s="2538" t="s">
        <v>9843</v>
      </c>
    </row>
    <row r="76" spans="3:26" hidden="1" x14ac:dyDescent="0.2">
      <c r="C76" s="2538" t="s">
        <v>9844</v>
      </c>
    </row>
    <row r="77" spans="3:26" hidden="1" x14ac:dyDescent="0.2">
      <c r="C77" s="2538" t="s">
        <v>8138</v>
      </c>
    </row>
    <row r="78" spans="3:26" hidden="1" x14ac:dyDescent="0.2">
      <c r="C78" s="2538" t="s">
        <v>8139</v>
      </c>
    </row>
    <row r="79" spans="3:26" hidden="1" x14ac:dyDescent="0.2">
      <c r="C79" s="2538" t="s">
        <v>8140</v>
      </c>
    </row>
    <row r="80" spans="3:26" hidden="1" x14ac:dyDescent="0.2">
      <c r="C80" s="2538" t="s">
        <v>8142</v>
      </c>
    </row>
    <row r="81" spans="3:3" hidden="1" x14ac:dyDescent="0.2">
      <c r="C81" s="2538" t="s">
        <v>8144</v>
      </c>
    </row>
    <row r="82" spans="3:3" hidden="1" x14ac:dyDescent="0.2">
      <c r="C82" s="2538" t="s">
        <v>8145</v>
      </c>
    </row>
    <row r="83" spans="3:3" hidden="1" x14ac:dyDescent="0.2">
      <c r="C83" s="2538" t="s">
        <v>8147</v>
      </c>
    </row>
    <row r="84" spans="3:3" hidden="1" x14ac:dyDescent="0.2">
      <c r="C84" s="2538" t="s">
        <v>8148</v>
      </c>
    </row>
    <row r="85" spans="3:3" hidden="1" x14ac:dyDescent="0.2">
      <c r="C85" s="2538" t="s">
        <v>8150</v>
      </c>
    </row>
    <row r="86" spans="3:3" hidden="1" x14ac:dyDescent="0.2">
      <c r="C86" s="2538" t="s">
        <v>8151</v>
      </c>
    </row>
    <row r="87" spans="3:3" hidden="1" x14ac:dyDescent="0.2">
      <c r="C87" s="2538" t="s">
        <v>9845</v>
      </c>
    </row>
    <row r="88" spans="3:3" hidden="1" x14ac:dyDescent="0.2">
      <c r="C88" s="2538" t="s">
        <v>9846</v>
      </c>
    </row>
    <row r="89" spans="3:3" hidden="1" x14ac:dyDescent="0.2">
      <c r="C89" s="2538" t="s">
        <v>8154</v>
      </c>
    </row>
    <row r="90" spans="3:3" hidden="1" x14ac:dyDescent="0.2">
      <c r="C90" s="2538" t="s">
        <v>8155</v>
      </c>
    </row>
    <row r="91" spans="3:3" hidden="1" x14ac:dyDescent="0.2">
      <c r="C91" s="2538" t="s">
        <v>8156</v>
      </c>
    </row>
    <row r="92" spans="3:3" hidden="1" x14ac:dyDescent="0.2">
      <c r="C92" s="2538" t="s">
        <v>8157</v>
      </c>
    </row>
    <row r="93" spans="3:3" hidden="1" x14ac:dyDescent="0.2">
      <c r="C93" s="2538" t="s">
        <v>8158</v>
      </c>
    </row>
    <row r="94" spans="3:3" hidden="1" x14ac:dyDescent="0.2">
      <c r="C94" s="2538" t="s">
        <v>8159</v>
      </c>
    </row>
    <row r="95" spans="3:3" hidden="1" x14ac:dyDescent="0.2">
      <c r="C95" s="2538" t="s">
        <v>8160</v>
      </c>
    </row>
    <row r="96" spans="3:3" hidden="1" x14ac:dyDescent="0.2">
      <c r="C96" s="2538" t="s">
        <v>8161</v>
      </c>
    </row>
    <row r="97" spans="3:3" hidden="1" x14ac:dyDescent="0.2">
      <c r="C97" s="2538" t="s">
        <v>8162</v>
      </c>
    </row>
    <row r="98" spans="3:3" hidden="1" x14ac:dyDescent="0.2">
      <c r="C98" s="2538" t="s">
        <v>8375</v>
      </c>
    </row>
    <row r="99" spans="3:3" hidden="1" x14ac:dyDescent="0.2">
      <c r="C99" s="2538" t="s">
        <v>8164</v>
      </c>
    </row>
    <row r="100" spans="3:3" hidden="1" x14ac:dyDescent="0.2">
      <c r="C100" s="2538" t="s">
        <v>8165</v>
      </c>
    </row>
    <row r="101" spans="3:3" hidden="1" x14ac:dyDescent="0.2">
      <c r="C101" s="2538" t="s">
        <v>8166</v>
      </c>
    </row>
    <row r="102" spans="3:3" hidden="1" x14ac:dyDescent="0.2">
      <c r="C102" s="2538" t="s">
        <v>8167</v>
      </c>
    </row>
    <row r="103" spans="3:3" hidden="1" x14ac:dyDescent="0.2">
      <c r="C103" s="2538" t="s">
        <v>8168</v>
      </c>
    </row>
    <row r="104" spans="3:3" hidden="1" x14ac:dyDescent="0.2">
      <c r="C104" s="2538" t="s">
        <v>8376</v>
      </c>
    </row>
    <row r="105" spans="3:3" hidden="1" x14ac:dyDescent="0.2">
      <c r="C105" s="2538" t="s">
        <v>9847</v>
      </c>
    </row>
    <row r="106" spans="3:3" hidden="1" x14ac:dyDescent="0.2">
      <c r="C106" s="2538" t="s">
        <v>8171</v>
      </c>
    </row>
    <row r="107" spans="3:3" hidden="1" x14ac:dyDescent="0.2">
      <c r="C107" s="2538" t="s">
        <v>8172</v>
      </c>
    </row>
    <row r="108" spans="3:3" hidden="1" x14ac:dyDescent="0.2">
      <c r="C108" s="2538" t="s">
        <v>8377</v>
      </c>
    </row>
    <row r="109" spans="3:3" hidden="1" x14ac:dyDescent="0.2">
      <c r="C109" s="2538" t="s">
        <v>8174</v>
      </c>
    </row>
    <row r="110" spans="3:3" hidden="1" x14ac:dyDescent="0.2">
      <c r="C110" s="2538" t="s">
        <v>9856</v>
      </c>
    </row>
    <row r="111" spans="3:3" hidden="1" x14ac:dyDescent="0.2">
      <c r="C111" s="2538" t="s">
        <v>8176</v>
      </c>
    </row>
    <row r="112" spans="3:3" hidden="1" x14ac:dyDescent="0.2">
      <c r="C112" s="2538" t="s">
        <v>9848</v>
      </c>
    </row>
    <row r="113" spans="3:3" hidden="1" x14ac:dyDescent="0.2">
      <c r="C113" s="2538" t="s">
        <v>8178</v>
      </c>
    </row>
    <row r="114" spans="3:3" hidden="1" x14ac:dyDescent="0.2">
      <c r="C114" s="2538" t="s">
        <v>8179</v>
      </c>
    </row>
    <row r="115" spans="3:3" hidden="1" x14ac:dyDescent="0.2">
      <c r="C115" s="2538" t="s">
        <v>8180</v>
      </c>
    </row>
    <row r="116" spans="3:3" hidden="1" x14ac:dyDescent="0.2">
      <c r="C116" s="2538" t="s">
        <v>8181</v>
      </c>
    </row>
    <row r="117" spans="3:3" hidden="1" x14ac:dyDescent="0.2">
      <c r="C117" s="2538" t="s">
        <v>8182</v>
      </c>
    </row>
    <row r="118" spans="3:3" hidden="1" x14ac:dyDescent="0.2">
      <c r="C118" s="2538" t="s">
        <v>8183</v>
      </c>
    </row>
    <row r="119" spans="3:3" hidden="1" x14ac:dyDescent="0.2">
      <c r="C119" s="2538" t="s">
        <v>8184</v>
      </c>
    </row>
    <row r="120" spans="3:3" hidden="1" x14ac:dyDescent="0.2">
      <c r="C120" s="2538" t="s">
        <v>9849</v>
      </c>
    </row>
    <row r="121" spans="3:3" hidden="1" x14ac:dyDescent="0.2">
      <c r="C121" s="2538" t="s">
        <v>8186</v>
      </c>
    </row>
    <row r="122" spans="3:3" hidden="1" x14ac:dyDescent="0.2">
      <c r="C122" s="2538" t="s">
        <v>9850</v>
      </c>
    </row>
    <row r="123" spans="3:3" hidden="1" x14ac:dyDescent="0.2">
      <c r="C123" s="2538" t="s">
        <v>9851</v>
      </c>
    </row>
    <row r="124" spans="3:3" hidden="1" x14ac:dyDescent="0.2">
      <c r="C124" s="2538" t="s">
        <v>9852</v>
      </c>
    </row>
    <row r="125" spans="3:3" hidden="1" x14ac:dyDescent="0.2">
      <c r="C125" s="2538" t="s">
        <v>9853</v>
      </c>
    </row>
    <row r="126" spans="3:3" hidden="1" x14ac:dyDescent="0.2">
      <c r="C126" s="2538" t="s">
        <v>9854</v>
      </c>
    </row>
    <row r="127" spans="3:3" hidden="1" x14ac:dyDescent="0.2">
      <c r="C127" s="2538" t="s">
        <v>9855</v>
      </c>
    </row>
  </sheetData>
  <sheetProtection algorithmName="SHA-512" hashValue="G0x9thkh2hE3GcM85dnyrERky4oSJHkEJicGmIdLRwOdE02+x3wxd+Plo7lLUzc5KwPzEIQCo4hJBJy/E5nuZA==" saltValue="ibTuF+qkfUiLrQcjStlxpQ==" spinCount="100000" sheet="1" objects="1" scenarios="1"/>
  <mergeCells count="11">
    <mergeCell ref="B19:D19"/>
    <mergeCell ref="B20:D20"/>
    <mergeCell ref="B21:D21"/>
    <mergeCell ref="B35:H35"/>
    <mergeCell ref="A1:I1"/>
    <mergeCell ref="B7:J7"/>
    <mergeCell ref="B12:G14"/>
    <mergeCell ref="H12:J12"/>
    <mergeCell ref="H13:J13"/>
    <mergeCell ref="H14:J14"/>
    <mergeCell ref="B18:D18"/>
  </mergeCells>
  <dataValidations count="9">
    <dataValidation allowBlank="1" showInputMessage="1" showErrorMessage="1" errorTitle="Dropdown list" error="Choose an item from the list!_x000a_" sqref="P2" xr:uid="{00000000-0002-0000-5500-000000000000}"/>
    <dataValidation type="whole" operator="greaterThanOrEqual" allowBlank="1" showInputMessage="1" showErrorMessage="1" errorTitle="Expenditure Approved" error="Please enter a positive value!" sqref="H25" xr:uid="{00000000-0002-0000-5500-000001000000}">
      <formula1>0</formula1>
    </dataValidation>
    <dataValidation type="date" allowBlank="1" showInputMessage="1" showErrorMessage="1" errorTitle="Date of Completion" error="Must be within the year of assessment!" sqref="E16" xr:uid="{00000000-0002-0000-5500-000002000000}">
      <formula1>N16</formula1>
      <formula2>O16</formula2>
    </dataValidation>
    <dataValidation type="list" allowBlank="1" showInputMessage="1" showErrorMessage="1" promptTitle="Local Council (choose)" sqref="H12:J14 B19:D21" xr:uid="{00000000-0002-0000-5500-000003000000}">
      <formula1>LC</formula1>
    </dataValidation>
    <dataValidation type="whole" operator="greaterThanOrEqual" allowBlank="1" showInputMessage="1" showErrorMessage="1" errorTitle="Assistance" error="Please enter a positive value!_x000a_" sqref="H27" xr:uid="{00000000-0002-0000-5500-000004000000}">
      <formula1>0</formula1>
    </dataValidation>
    <dataValidation type="textLength" errorStyle="warning" operator="greaterThanOrEqual" allowBlank="1" showInputMessage="1" showErrorMessage="1" errorTitle="Description of project" error="Please give a brief description of project, what it consists of and type of work undertaken." sqref="B7:J7" xr:uid="{00000000-0002-0000-5500-000005000000}">
      <formula1>20</formula1>
    </dataValidation>
    <dataValidation type="date" errorStyle="warning" allowBlank="1" showInputMessage="1" showErrorMessage="1" errorTitle="Date of Approval" error="Are you sure about the date entered?" promptTitle="Date required" prompt="Date of approval by Local Council_x000a_" sqref="E19:E21" xr:uid="{00000000-0002-0000-5500-000006000000}">
      <formula1>$N$19</formula1>
      <formula2>$O$19</formula2>
    </dataValidation>
    <dataValidation type="date" errorStyle="warning" allowBlank="1" showInputMessage="1" showErrorMessage="1" errorTitle="Date of Approval" error="Are you sure about the date entered?" promptTitle="Date required" prompt="Date of approval by Directorate_x000a_" sqref="F19:F21" xr:uid="{00000000-0002-0000-5500-000007000000}">
      <formula1>$N$19</formula1>
      <formula2>$O$19</formula2>
    </dataValidation>
    <dataValidation type="list" allowBlank="1" showInputMessage="1" showErrorMessage="1" sqref="H33 H37" xr:uid="{00000000-0002-0000-5500-000008000000}">
      <formula1>"Yes,No"</formula1>
    </dataValidation>
  </dataValidations>
  <hyperlinks>
    <hyperlink ref="C40:E40" location="Index!A1" display="B A C K   T O   I N D E X" xr:uid="{00000000-0004-0000-5500-000000000000}"/>
    <hyperlink ref="G31" location="'TRA60'!A1" display=" TRA 60   " xr:uid="{00000000-0004-0000-5500-000001000000}"/>
    <hyperlink ref="G29" location="'TRA60'!A1" display=" TRA 60   " xr:uid="{00000000-0004-0000-5500-000002000000}"/>
  </hyperlinks>
  <printOptions horizontalCentered="1"/>
  <pageMargins left="0.31496062992125984" right="0.31496062992125984" top="0.35433070866141736" bottom="0.35433070866141736" header="0.31496062992125984" footer="0.31496062992125984"/>
  <pageSetup paperSize="9" orientation="landscape" r:id="rId1"/>
  <headerFooter>
    <oddFooter>&amp;LName&amp;CSignature&amp;RDate</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94"/>
  <dimension ref="A1:BD37"/>
  <sheetViews>
    <sheetView topLeftCell="A3" zoomScaleNormal="100" workbookViewId="0">
      <selection activeCell="J18" sqref="J18"/>
    </sheetView>
  </sheetViews>
  <sheetFormatPr defaultColWidth="0" defaultRowHeight="12.75" zeroHeight="1" x14ac:dyDescent="0.2"/>
  <cols>
    <col min="1" max="1" width="7.28515625" style="1485" customWidth="1"/>
    <col min="2" max="2" width="8.7109375" style="1485" customWidth="1"/>
    <col min="3" max="3" width="11.28515625" style="1485" customWidth="1"/>
    <col min="4" max="4" width="6.7109375" style="1485" customWidth="1"/>
    <col min="5" max="5" width="5.7109375" style="1485" customWidth="1"/>
    <col min="6" max="6" width="12.5703125" style="1485" customWidth="1"/>
    <col min="7" max="7" width="12" style="1485" customWidth="1"/>
    <col min="8" max="8" width="9.28515625" style="1485" customWidth="1"/>
    <col min="9" max="9" width="11.7109375" style="2573" customWidth="1"/>
    <col min="10" max="10" width="16.7109375" style="1485" customWidth="1"/>
    <col min="11" max="11" width="2.5703125" style="1485" customWidth="1"/>
    <col min="12" max="16384" width="10.7109375" style="1485" hidden="1"/>
  </cols>
  <sheetData>
    <row r="1" spans="1:56" x14ac:dyDescent="0.2">
      <c r="A1" s="5216" t="str">
        <f>_ref1</f>
      </c>
      <c r="B1" s="5216"/>
      <c r="C1" s="5216"/>
      <c r="D1" s="5216"/>
      <c r="E1" s="5216"/>
      <c r="F1" s="5216"/>
      <c r="G1" s="5216"/>
      <c r="H1" s="5216"/>
      <c r="I1" s="5216"/>
      <c r="J1" s="1790" t="str">
        <f>_YA1</f>
      </c>
      <c r="K1" s="2550"/>
      <c r="N1" s="1887">
        <f>COUNTA(I12,I14,I16,I18,I8)+O1</f>
      </c>
      <c r="O1" s="1485">
        <f>IF('p2'!G31="",0,'p2'!O31)</f>
      </c>
      <c r="P1" s="1776" t="s">
        <v>4591</v>
      </c>
    </row>
    <row r="2" spans="1:56" x14ac:dyDescent="0.2">
      <c r="A2" s="2550"/>
      <c r="B2" s="2550"/>
      <c r="C2" s="2550"/>
      <c r="D2" s="2550"/>
      <c r="E2" s="2550"/>
      <c r="F2" s="2550"/>
      <c r="G2" s="2550"/>
      <c r="H2" s="2550"/>
      <c r="I2" s="2568"/>
      <c r="J2" s="2550"/>
      <c r="K2" s="2550"/>
      <c r="P2" s="1485" t="str">
        <f>cur</f>
      </c>
      <c r="R2" s="1485" t="s">
        <v>8201</v>
      </c>
      <c r="T2" s="1485" t="s">
        <v>8202</v>
      </c>
    </row>
    <row r="3" spans="1:56" ht="15.75" x14ac:dyDescent="0.25">
      <c r="A3" s="2550"/>
      <c r="B3" s="2551" t="s">
        <v>8203</v>
      </c>
      <c r="C3" s="2552"/>
      <c r="D3" s="2552"/>
      <c r="E3" s="2552"/>
      <c r="F3" s="2552"/>
      <c r="G3" s="2552"/>
      <c r="H3" s="2552"/>
      <c r="I3" s="2574"/>
      <c r="J3" s="2553"/>
      <c r="K3" s="2550"/>
      <c r="P3" s="1776">
        <f>VLOOKUP(P2,cbmer,8,FALSE)</f>
      </c>
      <c r="R3" s="1485" t="s">
        <v>8204</v>
      </c>
      <c r="T3" s="1485" t="s">
        <v>8205</v>
      </c>
    </row>
    <row r="4" spans="1:56" ht="15.75" x14ac:dyDescent="0.25">
      <c r="A4" s="2550"/>
      <c r="B4" s="2554" t="s">
        <v>8206</v>
      </c>
      <c r="C4" s="2555"/>
      <c r="D4" s="2555"/>
      <c r="E4" s="2555"/>
      <c r="F4" s="2555"/>
      <c r="G4" s="2555"/>
      <c r="H4" s="2555"/>
      <c r="I4" s="2575"/>
      <c r="J4" s="2556"/>
      <c r="K4" s="2550"/>
      <c r="O4" s="1760" t="s">
        <v>8235</v>
      </c>
      <c r="P4" s="1485">
        <f>ROUND(700*P3,0)</f>
      </c>
    </row>
    <row r="5" spans="1:56" x14ac:dyDescent="0.2">
      <c r="A5" s="2550"/>
      <c r="B5" s="2550"/>
      <c r="C5" s="2550"/>
      <c r="D5" s="2550"/>
      <c r="E5" s="2550"/>
      <c r="F5" s="2550"/>
      <c r="G5" s="2550"/>
      <c r="H5" s="2550"/>
      <c r="I5" s="2569"/>
      <c r="J5" s="2550"/>
      <c r="K5" s="2550"/>
      <c r="P5" s="1485">
        <f>ROUND(80000*P3,0)</f>
      </c>
    </row>
    <row r="6" spans="1:56" ht="15" x14ac:dyDescent="0.2">
      <c r="A6" s="2550"/>
      <c r="B6" s="2582" t="s">
        <v>8209</v>
      </c>
      <c r="C6" s="2557"/>
      <c r="D6" s="2550"/>
      <c r="E6" s="5213"/>
      <c r="F6" s="5214"/>
      <c r="G6" s="5215"/>
      <c r="H6" s="2558" t="str">
        <f>IF(AND(N$1&gt;0,E6=""),re,"")</f>
        <v/>
      </c>
      <c r="I6" s="2567"/>
      <c r="J6" s="2560" t="str">
        <f>IF(I8=n,nob,IF(I10&gt;1,nob,""))</f>
        <v/>
      </c>
      <c r="K6" s="2559"/>
      <c r="L6" s="1485">
        <f>IF(AND(H6="",J6=""),0,1)</f>
      </c>
    </row>
    <row r="7" spans="1:56" x14ac:dyDescent="0.2">
      <c r="A7" s="2550"/>
      <c r="B7" s="2559"/>
      <c r="C7" s="2559"/>
      <c r="D7" s="2559"/>
      <c r="E7" s="2559"/>
      <c r="F7" s="2559"/>
      <c r="G7" s="2559"/>
      <c r="H7" s="2559"/>
      <c r="I7" s="2570"/>
      <c r="J7" s="2559"/>
      <c r="K7" s="2559"/>
      <c r="T7" s="2412" t="s">
        <v>8207</v>
      </c>
    </row>
    <row r="8" spans="1:56" ht="15" x14ac:dyDescent="0.2">
      <c r="A8" s="2550"/>
      <c r="B8" s="2557" t="s">
        <v>8211</v>
      </c>
      <c r="C8" s="2557"/>
      <c r="D8" s="2557"/>
      <c r="E8" s="2557"/>
      <c r="F8" s="2557"/>
      <c r="G8" s="2557"/>
      <c r="H8" s="2557"/>
      <c r="I8" s="2576"/>
      <c r="J8" s="2558" t="str">
        <f>IF(AND($N$1&gt;0,I8=""),re,IF(I8=n,nob,""))</f>
        <v/>
      </c>
      <c r="K8" s="2559"/>
      <c r="T8" s="2412"/>
      <c r="BD8" s="1485">
        <f>600*1.2</f>
      </c>
    </row>
    <row r="9" spans="1:56" x14ac:dyDescent="0.2">
      <c r="A9" s="2550"/>
      <c r="B9" s="2559"/>
      <c r="C9" s="2559"/>
      <c r="D9" s="2559"/>
      <c r="E9" s="2559"/>
      <c r="F9" s="2559"/>
      <c r="G9" s="2559"/>
      <c r="H9" s="2559"/>
      <c r="I9" s="2570"/>
      <c r="J9" s="2559"/>
      <c r="K9" s="2559"/>
      <c r="T9" s="2412"/>
    </row>
    <row r="10" spans="1:56" x14ac:dyDescent="0.2">
      <c r="A10" s="2550"/>
      <c r="B10" s="2561" t="s">
        <v>8215</v>
      </c>
      <c r="C10" s="2559"/>
      <c r="D10" s="2559"/>
      <c r="E10" s="2559"/>
      <c r="F10" s="2559"/>
      <c r="G10" s="2559"/>
      <c r="H10" s="2559"/>
      <c r="I10" s="2577"/>
      <c r="J10" s="2558" t="str">
        <f>IF(AND(N$1&gt;0,I10=""),reo,"")</f>
        <v/>
      </c>
      <c r="K10" s="2559"/>
      <c r="L10" s="1485">
        <f>IF(J10="",0,1)</f>
      </c>
      <c r="T10" s="2412"/>
    </row>
    <row r="11" spans="1:56" x14ac:dyDescent="0.2">
      <c r="A11" s="2550"/>
      <c r="B11" s="2559"/>
      <c r="C11" s="2559"/>
      <c r="D11" s="2559"/>
      <c r="E11" s="2559"/>
      <c r="F11" s="2559"/>
      <c r="G11" s="2559"/>
      <c r="H11" s="2559"/>
      <c r="I11" s="2570"/>
      <c r="J11" s="2559"/>
      <c r="K11" s="2559"/>
      <c r="T11" s="2412"/>
    </row>
    <row r="12" spans="1:56" ht="15" x14ac:dyDescent="0.2">
      <c r="A12" s="2550"/>
      <c r="B12" s="2557" t="s">
        <v>8208</v>
      </c>
      <c r="C12" s="2557"/>
      <c r="D12" s="2557"/>
      <c r="E12" s="2557"/>
      <c r="F12" s="2557"/>
      <c r="G12" s="2557"/>
      <c r="H12" s="2557"/>
      <c r="I12" s="2578"/>
      <c r="J12" s="2558" t="str">
        <f>IF(J6=nob,nob,IF(AND(N$1&gt;0,I12=""),re,""))</f>
        <v/>
      </c>
      <c r="K12" s="2559"/>
      <c r="L12" s="1485">
        <f>IF(J12="",0,1)</f>
      </c>
      <c r="O12" s="1485">
        <f>ya-3</f>
      </c>
      <c r="P12" s="1485">
        <f>ya-1</f>
      </c>
    </row>
    <row r="13" spans="1:56" ht="15" x14ac:dyDescent="0.2">
      <c r="A13" s="2550"/>
      <c r="B13" s="2557"/>
      <c r="C13" s="2557"/>
      <c r="D13" s="2557"/>
      <c r="E13" s="2557"/>
      <c r="F13" s="2557"/>
      <c r="G13" s="2557"/>
      <c r="H13" s="2557"/>
      <c r="I13" s="2579"/>
      <c r="J13" s="2561"/>
      <c r="K13" s="2559"/>
    </row>
    <row r="14" spans="1:56" ht="15" x14ac:dyDescent="0.2">
      <c r="A14" s="2550"/>
      <c r="B14" s="2557" t="s">
        <v>8214</v>
      </c>
      <c r="C14" s="2557"/>
      <c r="D14" s="2557"/>
      <c r="E14" s="2557"/>
      <c r="F14" s="2557"/>
      <c r="G14" s="2557"/>
      <c r="H14" s="2557"/>
      <c r="I14" s="2577"/>
      <c r="J14" s="2558" t="str">
        <f>IF(J6=nob,nob,IF(AND(N$1&gt;0,I14=""),re,""))</f>
        <v/>
      </c>
      <c r="K14" s="2559"/>
      <c r="L14" s="1485">
        <f>IF(J14="",0,1)</f>
      </c>
      <c r="O14" s="1485">
        <v>6</v>
      </c>
      <c r="P14" s="1485">
        <v>18</v>
      </c>
    </row>
    <row r="15" spans="1:56" ht="15" x14ac:dyDescent="0.2">
      <c r="A15" s="2550"/>
      <c r="B15" s="2557"/>
      <c r="C15" s="2557"/>
      <c r="D15" s="2557"/>
      <c r="E15" s="2557"/>
      <c r="F15" s="2557"/>
      <c r="G15" s="2557"/>
      <c r="H15" s="2557"/>
      <c r="I15" s="2579"/>
      <c r="J15" s="2561"/>
      <c r="K15" s="2559"/>
    </row>
    <row r="16" spans="1:56" ht="15" x14ac:dyDescent="0.2">
      <c r="A16" s="2550"/>
      <c r="B16" s="2557" t="s">
        <v>8232</v>
      </c>
      <c r="C16" s="2557"/>
      <c r="D16" s="2557"/>
      <c r="E16" s="2557"/>
      <c r="F16" s="2769" t="str">
        <f>IF(I14=12,"","(Pro-Rata for 12 months = "&amp;P16&amp;")")</f>
      </c>
      <c r="G16" s="2769"/>
      <c r="H16" s="2769"/>
      <c r="I16" s="2580"/>
      <c r="J16" s="2558" t="str">
        <f>IF(J6=nob,nob,IF(AND(N$1&gt;0,I16=""),re,IF(P16&gt;P5,nob,"")))</f>
        <v/>
      </c>
      <c r="K16" s="2559"/>
      <c r="L16" s="1485">
        <f>IF(J16="",0,1)</f>
      </c>
      <c r="O16" s="1485">
        <v>0</v>
      </c>
      <c r="P16" s="1742">
        <f>IF(OR(I14="",I14=0),0,IF(I14=12,P5,ROUND(I16/I14*12,0)))</f>
      </c>
    </row>
    <row r="17" spans="1:16" ht="15" x14ac:dyDescent="0.2">
      <c r="A17" s="2550"/>
      <c r="B17" s="2557"/>
      <c r="C17" s="2557"/>
      <c r="D17" s="2557"/>
      <c r="E17" s="2557"/>
      <c r="F17" s="2557"/>
      <c r="G17" s="2557"/>
      <c r="H17" s="2557"/>
      <c r="I17" s="2579"/>
      <c r="J17" s="2561"/>
      <c r="K17" s="2559"/>
      <c r="P17" s="1736" t="s">
        <v>8210</v>
      </c>
    </row>
    <row r="18" spans="1:16" ht="15" x14ac:dyDescent="0.2">
      <c r="A18" s="2550"/>
      <c r="B18" s="2557" t="s">
        <v>8367</v>
      </c>
      <c r="C18" s="2557"/>
      <c r="D18" s="2557"/>
      <c r="E18" s="2557"/>
      <c r="F18" s="2769" t="s">
        <v>8368</v>
      </c>
      <c r="G18" s="2557"/>
      <c r="H18" s="2557"/>
      <c r="I18" s="2580"/>
      <c r="J18" s="2558" t="str">
        <f>IF(E6=R2,"",IF(J6=nob,nob,IF(AND(N$1&gt;0,I18=""),re,"")))</f>
        <v/>
      </c>
      <c r="K18" s="2559"/>
      <c r="L18" s="1485">
        <f>IF(J18="",0,1)</f>
      </c>
      <c r="P18" s="1485">
        <f>Income!E138+Income!F138+Income!G138+Income!H138+Income!I138</f>
      </c>
    </row>
    <row r="19" spans="1:16" ht="15" x14ac:dyDescent="0.2">
      <c r="A19" s="2550"/>
      <c r="B19" s="2557"/>
      <c r="C19" s="2557"/>
      <c r="D19" s="2557"/>
      <c r="E19" s="2557"/>
      <c r="F19" s="2557"/>
      <c r="G19" s="2557"/>
      <c r="H19" s="2557"/>
      <c r="I19" s="2579"/>
      <c r="J19" s="2561"/>
      <c r="K19" s="2559"/>
    </row>
    <row r="20" spans="1:16" ht="15" x14ac:dyDescent="0.2">
      <c r="A20" s="2550"/>
      <c r="B20" s="2557" t="s">
        <v>8234</v>
      </c>
      <c r="C20" s="2559"/>
      <c r="D20" s="2559"/>
      <c r="E20" s="2559"/>
      <c r="F20" s="2559"/>
      <c r="G20" s="2559"/>
      <c r="H20" s="2591" t="str">
        <f>IF(I18&gt;P4,"No Benefit - Audit fees exceed 700 euro (or equivalent) threshold!  ","")</f>
        <v/>
      </c>
      <c r="I20" s="2571">
        <f>IF(E6=R2,0,IF(OR(J6=nob,J16=nob),0,IF(I18&gt;=P4,0,O20)))</f>
      </c>
      <c r="J20" s="2561"/>
      <c r="K20" s="2559"/>
      <c r="O20" s="1485">
        <f>IF(I18&gt;=P4,0,IF(ROUND(I18*1.2,0)&gt;P4,P4,ROUND(I18*1.2,0)))</f>
      </c>
    </row>
    <row r="21" spans="1:16" ht="15" x14ac:dyDescent="0.25">
      <c r="A21" s="2550"/>
      <c r="B21" s="2562"/>
      <c r="C21" s="2562"/>
      <c r="D21" s="2562"/>
      <c r="E21" s="2562"/>
      <c r="F21" s="2562"/>
      <c r="G21" s="2562"/>
      <c r="H21" s="2562"/>
      <c r="I21" s="2572"/>
      <c r="J21" s="2563"/>
      <c r="K21" s="2550"/>
      <c r="P21" s="1485">
        <f>O21-I18</f>
      </c>
    </row>
    <row r="22" spans="1:16" ht="15" x14ac:dyDescent="0.25">
      <c r="A22" s="2550"/>
      <c r="B22" s="2562" t="s">
        <v>8233</v>
      </c>
      <c r="C22" s="2562"/>
      <c r="D22" s="2562"/>
      <c r="E22" s="2562"/>
      <c r="F22" s="2562"/>
      <c r="G22" s="2562"/>
      <c r="H22" s="2584" t="s">
        <v>8219</v>
      </c>
      <c r="I22" s="2571">
        <f>IF(E6=R2,0,IF(OR(J6=nob,J16=nob),0,O22))</f>
      </c>
      <c r="J22" s="2563"/>
      <c r="K22" s="2550"/>
      <c r="O22" s="2313">
        <f>IF(I18&gt;=P4,0,O20-I18)</f>
      </c>
      <c r="P22" s="1485">
        <f>IF(P21&gt;P4,P4,P21)</f>
      </c>
    </row>
    <row r="23" spans="1:16" x14ac:dyDescent="0.2">
      <c r="A23" s="2550"/>
      <c r="B23" s="2563"/>
      <c r="C23" s="2563"/>
      <c r="D23" s="2563"/>
      <c r="E23" s="2563"/>
      <c r="F23" s="2563"/>
      <c r="G23" s="2563"/>
      <c r="H23" s="2563"/>
      <c r="I23" s="2572"/>
      <c r="J23" s="2563"/>
      <c r="K23" s="2550"/>
    </row>
    <row r="24" spans="1:16" hidden="1" x14ac:dyDescent="0.2">
      <c r="A24" s="2550"/>
      <c r="B24" s="2563"/>
      <c r="C24" s="2563"/>
      <c r="D24" s="2563"/>
      <c r="E24" s="2563"/>
      <c r="F24" s="2563"/>
      <c r="G24" s="2563"/>
      <c r="H24" s="2563"/>
      <c r="I24" s="2572"/>
      <c r="J24" s="2563"/>
      <c r="K24" s="2550"/>
    </row>
    <row r="25" spans="1:16" hidden="1" x14ac:dyDescent="0.2">
      <c r="A25" s="2550"/>
      <c r="B25" s="2563"/>
      <c r="C25" s="2563"/>
      <c r="D25" s="2563"/>
      <c r="E25" s="2563"/>
      <c r="F25" s="2563"/>
      <c r="G25" s="2563"/>
      <c r="H25" s="2563"/>
      <c r="I25" s="2572"/>
      <c r="J25" s="2563"/>
      <c r="K25" s="2550"/>
    </row>
    <row r="26" spans="1:16" hidden="1" x14ac:dyDescent="0.2">
      <c r="A26" s="2550"/>
      <c r="B26" s="2563"/>
      <c r="C26" s="2563"/>
      <c r="D26" s="2563"/>
      <c r="E26" s="2563"/>
      <c r="F26" s="2563"/>
      <c r="G26" s="2563"/>
      <c r="H26" s="2563"/>
      <c r="I26" s="2572"/>
      <c r="J26" s="2563"/>
      <c r="K26" s="2550"/>
    </row>
    <row r="27" spans="1:16" hidden="1" x14ac:dyDescent="0.2">
      <c r="A27" s="2550"/>
      <c r="B27" s="2563"/>
      <c r="C27" s="2563"/>
      <c r="D27" s="2563"/>
      <c r="E27" s="2563"/>
      <c r="F27" s="2563"/>
      <c r="G27" s="2563"/>
      <c r="H27" s="2563"/>
      <c r="I27" s="2572"/>
      <c r="J27" s="2563"/>
      <c r="K27" s="2550"/>
    </row>
    <row r="28" spans="1:16" hidden="1" x14ac:dyDescent="0.2">
      <c r="A28" s="2550"/>
      <c r="B28" s="2563"/>
      <c r="C28" s="2563"/>
      <c r="D28" s="2563"/>
      <c r="E28" s="2563"/>
      <c r="F28" s="2563"/>
      <c r="G28" s="2563"/>
      <c r="H28" s="2563"/>
      <c r="I28" s="2572"/>
      <c r="J28" s="2563"/>
      <c r="K28" s="2550"/>
    </row>
    <row r="29" spans="1:16" x14ac:dyDescent="0.2">
      <c r="A29" s="2550"/>
      <c r="B29" s="2563"/>
      <c r="C29" s="2563"/>
      <c r="D29" s="2563"/>
      <c r="E29" s="2563"/>
      <c r="F29" s="2563"/>
      <c r="G29" s="2549" t="s">
        <v>5381</v>
      </c>
      <c r="H29" s="2576"/>
      <c r="I29" s="2581" t="str">
        <f>IF(AND($N$1&gt;0,H29=""),re,"")</f>
        <v/>
      </c>
      <c r="J29" s="2563"/>
      <c r="K29" s="2550"/>
      <c r="L29" s="1485">
        <f>IF(J29="",0,1)</f>
      </c>
    </row>
    <row r="30" spans="1:16" x14ac:dyDescent="0.2">
      <c r="A30" s="2550"/>
      <c r="B30" s="2563"/>
      <c r="C30" s="2563"/>
      <c r="D30" s="2563"/>
      <c r="E30" s="2563"/>
      <c r="F30" s="2563"/>
      <c r="G30" s="2549"/>
      <c r="H30" s="2564"/>
      <c r="I30" s="2572"/>
      <c r="J30" s="2563"/>
      <c r="K30" s="2550"/>
    </row>
    <row r="31" spans="1:16" s="2566" customFormat="1" x14ac:dyDescent="0.2">
      <c r="A31" s="2565" t="str">
        <f>_xlfn.SINGLE(MTCA)</f>
      </c>
      <c r="B31" s="2565"/>
      <c r="C31" s="2565"/>
      <c r="D31" s="2565"/>
      <c r="E31" s="2565" t="str">
        <f>ver</f>
        <v>TA2_e-CO_2025_Ver 1.1</v>
      </c>
      <c r="F31" s="2565"/>
      <c r="G31" s="2565"/>
      <c r="H31" s="2565"/>
      <c r="I31" s="2572"/>
      <c r="J31" s="2585" t="s">
        <v>7995</v>
      </c>
      <c r="K31" s="2565"/>
    </row>
    <row r="32" spans="1:16" x14ac:dyDescent="0.2">
      <c r="A32" s="2550"/>
      <c r="B32" s="2550"/>
      <c r="C32" s="2550"/>
      <c r="D32" s="2550"/>
      <c r="E32" s="2550"/>
      <c r="F32" s="2550"/>
      <c r="G32" s="2550"/>
      <c r="H32" s="2550"/>
      <c r="I32" s="2568"/>
      <c r="J32" s="2550"/>
      <c r="K32" s="2550"/>
    </row>
    <row r="33" spans="1:12" ht="29.65" customHeight="1" x14ac:dyDescent="0.2">
      <c r="A33" s="2550"/>
      <c r="B33" s="2550"/>
      <c r="C33" s="2586" t="s">
        <v>6290</v>
      </c>
      <c r="D33" s="2550"/>
      <c r="E33" s="2550"/>
      <c r="F33" s="2550"/>
      <c r="G33" s="2550"/>
      <c r="H33" s="2550"/>
      <c r="I33" s="2568"/>
      <c r="J33" s="2550"/>
      <c r="K33" s="2550"/>
      <c r="L33" s="1485">
        <f>SUM(L5:L32)</f>
      </c>
    </row>
    <row r="35" spans="1:12" hidden="1" x14ac:dyDescent="0.2">
      <c r="K35" s="1760" t="s">
        <v>8216</v>
      </c>
      <c r="L35" s="1485">
        <f>IF(N1=0,0,IF(L33&lt;&gt;0,100,IF(H29=n,100,1)))</f>
      </c>
    </row>
    <row r="36" spans="1:12" hidden="1" x14ac:dyDescent="0.2">
      <c r="B36" s="2066" t="s">
        <v>8218</v>
      </c>
    </row>
    <row r="37" spans="1:12" hidden="1" x14ac:dyDescent="0.2">
      <c r="K37" s="1760" t="s">
        <v>8217</v>
      </c>
      <c r="L37" s="1485">
        <f>IF(E6=R2,1,0)</f>
      </c>
    </row>
  </sheetData>
  <sheetProtection algorithmName="SHA-512" hashValue="sryBu8gxnrSxr7u6qeC/a4fqA7fi1wY5yYcAagEDGMVq8bI7Mx3eMmDO0vgfPBljHHos3uRnHUYGwvf4WH0ieA==" saltValue="P5trREL2eVYpKK66wwdqSw==" spinCount="100000" sheet="1" objects="1" scenarios="1"/>
  <mergeCells count="2">
    <mergeCell ref="E6:G6"/>
    <mergeCell ref="A1:I1"/>
  </mergeCells>
  <dataValidations count="6">
    <dataValidation type="list" allowBlank="1" showInputMessage="1" showErrorMessage="1" sqref="E6" xr:uid="{00000000-0002-0000-5600-000000000000}">
      <formula1>$R$1:$R$3</formula1>
    </dataValidation>
    <dataValidation type="whole" errorStyle="warning" allowBlank="1" showInputMessage="1" showErrorMessage="1" errorTitle="Audit Fees" error="Please enter a positive value as reported in the Income Statement (TIFD code 6173)!" sqref="I18" xr:uid="{00000000-0002-0000-5600-000001000000}">
      <formula1>0</formula1>
      <formula2>P18</formula2>
    </dataValidation>
    <dataValidation type="whole" errorStyle="warning" allowBlank="1" showInputMessage="1" showErrorMessage="1" errorTitle="Year of Inception" error="Benefit available to new companies." sqref="I12" xr:uid="{00000000-0002-0000-5600-000002000000}">
      <formula1>O12</formula1>
      <formula2>P12</formula2>
    </dataValidation>
    <dataValidation type="whole" errorStyle="warning" allowBlank="1" showInputMessage="1" showErrorMessage="1" errorTitle="Number of months" error="Number of months cannot be less than 6 or more than 18." sqref="I14" xr:uid="{00000000-0002-0000-5600-000003000000}">
      <formula1>O14</formula1>
      <formula2>P14</formula2>
    </dataValidation>
    <dataValidation type="whole" errorStyle="warning" allowBlank="1" showInputMessage="1" showErrorMessage="1" errorTitle="Annual Turnover" error="Please enter a positive value that does not exceed 80,000 euro or equivalent!" sqref="I16" xr:uid="{00000000-0002-0000-5600-000004000000}">
      <formula1>0</formula1>
      <formula2>P16</formula2>
    </dataValidation>
    <dataValidation type="list" allowBlank="1" showInputMessage="1" showErrorMessage="1" sqref="I8 H29" xr:uid="{00000000-0002-0000-5600-000005000000}">
      <formula1>"Yes,No"</formula1>
    </dataValidation>
  </dataValidations>
  <hyperlinks>
    <hyperlink ref="C33" location="Index!A1" display="Index!A1" xr:uid="{00000000-0004-0000-5600-000000000000}"/>
    <hyperlink ref="H22" location="'TRA60'!A1" display="  TRA 60" xr:uid="{00000000-0004-0000-5600-000001000000}"/>
  </hyperlinks>
  <printOptions horizontalCentered="1" verticalCentered="1"/>
  <pageMargins left="0.70866141732283472" right="0.70866141732283472" top="0.74803149606299213" bottom="0.35433070866141736" header="0.31496062992125984" footer="0.31496062992125984"/>
  <pageSetup paperSize="9" scale="125" orientation="landscape" r:id="rId1"/>
  <headerFooter>
    <oddFooter>&amp;LName&amp;CSignature&amp;RDate</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5"/>
  <dimension ref="A1:AT165"/>
  <sheetViews>
    <sheetView topLeftCell="A70" zoomScaleNormal="100" workbookViewId="0">
      <selection activeCell="C70" sqref="C70"/>
    </sheetView>
  </sheetViews>
  <sheetFormatPr defaultColWidth="0" defaultRowHeight="0" customHeight="1" zeroHeight="1" x14ac:dyDescent="0.25"/>
  <cols>
    <col min="1" max="1" width="1.7109375" style="1485" bestFit="1" customWidth="1"/>
    <col min="2" max="2" width="8.7109375" style="1485" customWidth="1"/>
    <col min="3" max="3" width="15.28515625" style="1485" customWidth="1"/>
    <col min="4" max="4" width="12.42578125" style="1485" customWidth="1"/>
    <col min="5" max="5" width="12.7109375" style="1485" customWidth="1"/>
    <col min="6" max="6" width="11.7109375" style="1485" customWidth="1"/>
    <col min="7" max="7" width="10.5703125" style="1485" customWidth="1"/>
    <col min="8" max="8" width="12.28515625" style="1485" customWidth="1"/>
    <col min="9" max="9" width="12.7109375" style="1485" customWidth="1"/>
    <col min="10" max="11" width="11.5703125" style="2433" customWidth="1"/>
    <col min="12" max="12" width="35.42578125" style="2610" customWidth="1"/>
    <col min="13" max="13" width="0.5703125" style="1485" customWidth="1"/>
    <col min="14" max="16" width="8.7109375" style="1485" hidden="1" customWidth="1"/>
    <col min="17" max="17" width="11.7109375" style="1485" hidden="1" customWidth="1"/>
    <col min="18" max="18" width="9.7109375" style="1485" hidden="1" customWidth="1"/>
    <col min="19" max="19" width="8.7109375" style="1485" hidden="1" customWidth="1"/>
    <col min="20" max="20" width="9.7109375" style="1485" hidden="1" customWidth="1"/>
    <col min="21" max="16384" width="8.7109375" style="1485" hidden="1"/>
  </cols>
  <sheetData>
    <row r="1" spans="1:35" ht="14.1" customHeight="1" x14ac:dyDescent="0.25">
      <c r="A1" s="5221" t="str">
        <f>_ref1</f>
      </c>
      <c r="B1" s="5221"/>
      <c r="C1" s="5221"/>
      <c r="D1" s="5221"/>
      <c r="E1" s="5221"/>
      <c r="F1" s="5221"/>
      <c r="G1" s="5221"/>
      <c r="H1" s="5221"/>
      <c r="I1" s="5221"/>
      <c r="J1" s="5221"/>
      <c r="K1" s="2768" t="str">
        <f>_YA1</f>
      </c>
      <c r="L1" s="2593"/>
      <c r="M1" s="2592"/>
      <c r="P1" s="1485">
        <f>COUNTA(K6,K8,K10,K12,K14,K15)</f>
      </c>
      <c r="Q1" s="1485">
        <f>COUNTA(K6,K8,K10,K12,K14,K15,K17,J70:K70,D100:K132)+R1</f>
      </c>
      <c r="R1" s="1736">
        <f>IF('p2'!G32="",0,'p2'!O32)</f>
      </c>
      <c r="S1" s="1485">
        <f>IF(S3="Y",0,1)</f>
      </c>
      <c r="T1" s="1485" t="str">
        <f>'p2'!G11</f>
      </c>
      <c r="X1" s="1485">
        <f>TRA100A!AE1</f>
      </c>
      <c r="Y1" s="1485">
        <f>TRA100A!M121</f>
      </c>
      <c r="Z1" s="1736" t="s">
        <v>8365</v>
      </c>
    </row>
    <row r="2" spans="1:35" ht="3" hidden="1" customHeight="1" x14ac:dyDescent="0.25">
      <c r="A2" s="2592"/>
      <c r="B2" s="2592"/>
      <c r="C2" s="2592"/>
      <c r="D2" s="2592"/>
      <c r="E2" s="2592"/>
      <c r="F2" s="2592"/>
      <c r="G2" s="2592"/>
      <c r="H2" s="2592"/>
      <c r="I2" s="2592"/>
      <c r="J2" s="2471"/>
      <c r="K2" s="2471"/>
      <c r="L2" s="2593"/>
      <c r="M2" s="2592"/>
      <c r="AB2" s="1736" t="s">
        <v>5806</v>
      </c>
      <c r="AC2" s="1485" t="s">
        <v>8317</v>
      </c>
    </row>
    <row r="3" spans="1:35" ht="18.399999999999999" customHeight="1" x14ac:dyDescent="0.3">
      <c r="A3" s="2592"/>
      <c r="B3" s="2594" t="s">
        <v>8331</v>
      </c>
      <c r="C3" s="2595"/>
      <c r="D3" s="2595" t="s">
        <v>8838</v>
      </c>
      <c r="E3" s="2595"/>
      <c r="F3" s="2595"/>
      <c r="G3" s="5225" t="s">
        <v>10498</v>
      </c>
      <c r="H3" s="5225"/>
      <c r="I3" s="5225"/>
      <c r="J3" s="5225"/>
      <c r="K3" s="5226"/>
      <c r="L3" s="2843"/>
      <c r="M3" s="2592"/>
      <c r="N3" s="1485">
        <f>IF(L3="",0,1)</f>
      </c>
      <c r="R3" s="1485" t="str">
        <f>'p2'!G32</f>
      </c>
      <c r="S3" s="1736" t="s">
        <v>6830</v>
      </c>
      <c r="Z3" s="1736" t="s">
        <v>8756</v>
      </c>
      <c r="AB3" s="1736" t="s">
        <v>363</v>
      </c>
      <c r="AC3" s="1485" t="s">
        <v>8318</v>
      </c>
    </row>
    <row r="4" spans="1:35" ht="18.75" x14ac:dyDescent="0.3">
      <c r="A4" s="2592"/>
      <c r="B4" s="2596" t="s">
        <v>8349</v>
      </c>
      <c r="C4" s="2597"/>
      <c r="D4" s="2597"/>
      <c r="E4" s="2597"/>
      <c r="F4" s="2597"/>
      <c r="G4" s="5227"/>
      <c r="H4" s="5227"/>
      <c r="I4" s="5227"/>
      <c r="J4" s="5227"/>
      <c r="K4" s="5228"/>
      <c r="L4" s="2723" t="str">
        <f>IF(Q1=0,"",IF(T1="y","Check answer to item 5 (Election) on page 2!",IF(AND(R1=0,Q1&gt;0),"Check answer to item 26 on page 2!",IF(AND(K6=n,K12=n,K17=n),"Check answer to item 26 on page 2!",""))))</f>
        <v/>
      </c>
      <c r="M4" s="2592"/>
      <c r="N4" s="1485">
        <f>IF(L4="",0,1)</f>
      </c>
      <c r="P4" s="2724"/>
      <c r="Q4" s="2724"/>
      <c r="R4" s="2724"/>
      <c r="S4" s="2724" t="s">
        <v>363</v>
      </c>
      <c r="T4" s="2724" t="s">
        <v>2372</v>
      </c>
      <c r="U4" s="2724"/>
      <c r="V4" s="2724"/>
      <c r="AB4" s="1485" t="s">
        <v>2372</v>
      </c>
    </row>
    <row r="5" spans="1:35" ht="6" customHeight="1" x14ac:dyDescent="0.2">
      <c r="A5" s="2592"/>
      <c r="B5" s="2592"/>
      <c r="C5" s="2592"/>
      <c r="D5" s="2592"/>
      <c r="E5" s="2592"/>
      <c r="F5" s="2592"/>
      <c r="G5" s="2592"/>
      <c r="H5" s="2592"/>
      <c r="I5" s="2592"/>
      <c r="J5" s="2592"/>
      <c r="K5" s="2592"/>
      <c r="L5" s="2723"/>
      <c r="M5" s="2592"/>
      <c r="P5" s="2724"/>
      <c r="Q5" s="2724"/>
      <c r="R5" s="2724"/>
      <c r="S5" s="2724"/>
      <c r="T5" s="2724"/>
      <c r="U5" s="2724"/>
      <c r="V5" s="2724"/>
    </row>
    <row r="6" spans="1:35" ht="15" x14ac:dyDescent="0.25">
      <c r="A6" s="2592"/>
      <c r="B6" s="2593" t="s">
        <v>10531</v>
      </c>
      <c r="C6" s="2592"/>
      <c r="D6" s="2592"/>
      <c r="E6" s="2592"/>
      <c r="F6" s="2592"/>
      <c r="G6" s="2592"/>
      <c r="H6" s="2592"/>
      <c r="I6" s="2592"/>
      <c r="J6" s="2592"/>
      <c r="K6" s="2454"/>
      <c r="L6" s="2435" t="str">
        <f>IF(AND($R$1=1,K6=""),re,"")</f>
        <v/>
      </c>
      <c r="M6" s="2592"/>
      <c r="N6" s="1485">
        <f>IF(L6="",0,1)</f>
      </c>
      <c r="P6" s="2724" t="s">
        <v>8319</v>
      </c>
      <c r="Q6" s="2724"/>
      <c r="R6" s="2724"/>
      <c r="S6" s="2725">
        <f>'p4'!AB62</f>
      </c>
      <c r="T6" s="2725">
        <f>'p4'!AC62</f>
      </c>
      <c r="U6" s="2724">
        <f>S6+T6</f>
      </c>
      <c r="V6" s="2724"/>
    </row>
    <row r="7" spans="1:35" ht="4.1500000000000004" customHeight="1" x14ac:dyDescent="0.25">
      <c r="A7" s="2592"/>
      <c r="B7" s="2856"/>
      <c r="C7" s="2592"/>
      <c r="D7" s="2592"/>
      <c r="E7" s="2592"/>
      <c r="F7" s="2592"/>
      <c r="G7" s="2592"/>
      <c r="H7" s="2592"/>
      <c r="I7" s="2592"/>
      <c r="J7" s="2471"/>
      <c r="K7" s="2471"/>
      <c r="L7" s="2593"/>
      <c r="M7" s="2592"/>
      <c r="P7" s="2724"/>
      <c r="Q7" s="2724"/>
      <c r="R7" s="2724"/>
      <c r="S7" s="2724"/>
      <c r="T7" s="2724"/>
      <c r="U7" s="2724">
        <f t="shared" ref="U7:U19" si="0">S7+T7</f>
      </c>
      <c r="V7" s="2724"/>
    </row>
    <row r="8" spans="1:35" ht="15" x14ac:dyDescent="0.25">
      <c r="A8" s="2598"/>
      <c r="B8" s="2593" t="s">
        <v>10532</v>
      </c>
      <c r="C8" s="2598"/>
      <c r="D8" s="2598"/>
      <c r="E8" s="2598"/>
      <c r="F8" s="2598"/>
      <c r="G8" s="2598"/>
      <c r="H8" s="2598"/>
      <c r="I8" s="2598"/>
      <c r="J8" s="2471"/>
      <c r="K8" s="2454"/>
      <c r="L8" s="2435" t="str">
        <f>IF($Q$1=0,"",IF(K8="",re,IF(AND(K6="Yes",K8="No"),"Cannot calculate/claim NID! Check Question 1","")))</f>
        <v/>
      </c>
      <c r="M8" s="2592"/>
      <c r="N8" s="1485">
        <f>IF(L8="",0,1)</f>
      </c>
      <c r="P8" s="2724" t="s">
        <v>3136</v>
      </c>
      <c r="Q8" s="2724"/>
      <c r="R8" s="2724"/>
      <c r="S8" s="2724"/>
      <c r="T8" s="2724"/>
      <c r="U8" s="2724">
        <f t="shared" si="0"/>
        <v>0</v>
      </c>
      <c r="V8" s="2724"/>
      <c r="AH8" s="1485">
        <f>IF(K8=n,1,0)</f>
      </c>
    </row>
    <row r="9" spans="1:35" ht="4.1500000000000004" customHeight="1" x14ac:dyDescent="0.25">
      <c r="A9" s="2598"/>
      <c r="B9" s="2593"/>
      <c r="C9" s="2598"/>
      <c r="D9" s="2598"/>
      <c r="E9" s="2598"/>
      <c r="F9" s="2598"/>
      <c r="G9" s="2598"/>
      <c r="H9" s="2598"/>
      <c r="I9" s="2598"/>
      <c r="J9" s="2471"/>
      <c r="K9" s="2471"/>
      <c r="L9" s="2600"/>
      <c r="M9" s="2592"/>
      <c r="P9" s="2724"/>
      <c r="Q9" s="2724"/>
      <c r="R9" s="2724"/>
      <c r="S9" s="2724"/>
      <c r="T9" s="2724"/>
      <c r="U9" s="2724">
        <f t="shared" si="0"/>
        <v>0</v>
      </c>
      <c r="V9" s="2724"/>
    </row>
    <row r="10" spans="1:35" ht="15" x14ac:dyDescent="0.25">
      <c r="A10" s="2598"/>
      <c r="B10" s="2593" t="s">
        <v>10533</v>
      </c>
      <c r="C10" s="2598"/>
      <c r="D10" s="2598"/>
      <c r="E10" s="2598"/>
      <c r="F10" s="2598"/>
      <c r="G10" s="2598"/>
      <c r="H10" s="2598"/>
      <c r="I10" s="2598"/>
      <c r="J10" s="2471"/>
      <c r="K10" s="2454"/>
      <c r="L10" s="2435" t="str">
        <f>IF($Q$1=0,"",IF(K10="",re,IF(OR(K8="no",K10="no"),"Cannot deduct NID from chargeable income!","")))</f>
        <v/>
      </c>
      <c r="M10" s="2592"/>
      <c r="N10" s="1485">
        <f>IF(L10=Z18,0,IF(L10="",0,1))</f>
      </c>
      <c r="P10" s="2724" t="s">
        <v>1499</v>
      </c>
      <c r="Q10" s="2724"/>
      <c r="R10" s="2724"/>
      <c r="S10" s="2724"/>
      <c r="T10" s="2726">
        <f>'p5'!H27*-1</f>
      </c>
      <c r="U10" s="2724">
        <f t="shared" si="0"/>
        <v>0</v>
      </c>
      <c r="V10" s="2724" t="s">
        <v>8320</v>
      </c>
      <c r="AH10" s="1485">
        <f>IF(K10=n,1,0)</f>
      </c>
      <c r="AI10" s="1485">
        <f>AH8+AH10</f>
      </c>
    </row>
    <row r="11" spans="1:35" ht="4.1500000000000004" customHeight="1" x14ac:dyDescent="0.25">
      <c r="A11" s="2598"/>
      <c r="B11" s="2593"/>
      <c r="C11" s="2598"/>
      <c r="D11" s="2598"/>
      <c r="E11" s="2598"/>
      <c r="F11" s="2598"/>
      <c r="G11" s="2598"/>
      <c r="H11" s="2598"/>
      <c r="I11" s="2598"/>
      <c r="J11" s="2471"/>
      <c r="K11" s="2471"/>
      <c r="L11" s="2600"/>
      <c r="M11" s="2592"/>
      <c r="P11" s="2724"/>
      <c r="Q11" s="2724"/>
      <c r="R11" s="2724"/>
      <c r="S11" s="2724"/>
      <c r="T11" s="2724"/>
      <c r="U11" s="2724">
        <f t="shared" si="0"/>
        <v>0</v>
      </c>
      <c r="V11" s="2724"/>
    </row>
    <row r="12" spans="1:35" ht="15" x14ac:dyDescent="0.25">
      <c r="A12" s="2598"/>
      <c r="B12" s="2593" t="s">
        <v>10534</v>
      </c>
      <c r="C12" s="2598"/>
      <c r="D12" s="2598"/>
      <c r="E12" s="2598"/>
      <c r="F12" s="2598"/>
      <c r="G12" s="2598"/>
      <c r="H12" s="2598"/>
      <c r="I12" s="2598"/>
      <c r="J12" s="2471"/>
      <c r="K12" s="2454"/>
      <c r="L12" s="2435" t="str">
        <f>IF($Q$1=0,"",IF(K12="",re,IF(AND(K12=y,J22=0)," Not reported in TRA 09!","")))</f>
        <v/>
      </c>
      <c r="M12" s="2592"/>
      <c r="N12" s="1485">
        <f>IF(L12="",0,1)</f>
      </c>
      <c r="P12" s="2727" t="s">
        <v>8321</v>
      </c>
      <c r="Q12" s="2724"/>
      <c r="R12" s="2724"/>
      <c r="S12" s="2725">
        <f>'TRA35'!L23*-1</f>
      </c>
      <c r="T12" s="2724"/>
      <c r="U12" s="2724">
        <f t="shared" si="0"/>
        <v>0</v>
      </c>
      <c r="V12" s="2724" t="s">
        <v>6821</v>
      </c>
    </row>
    <row r="13" spans="1:35" ht="3.75" customHeight="1" x14ac:dyDescent="0.25">
      <c r="A13" s="2598"/>
      <c r="B13" s="2593"/>
      <c r="C13" s="2598"/>
      <c r="D13" s="2598"/>
      <c r="E13" s="2598"/>
      <c r="F13" s="2598"/>
      <c r="G13" s="2598"/>
      <c r="H13" s="2598"/>
      <c r="I13" s="2598"/>
      <c r="J13" s="2471"/>
      <c r="K13" s="2471"/>
      <c r="L13" s="2600"/>
      <c r="M13" s="2592"/>
      <c r="P13" s="2724"/>
      <c r="Q13" s="2724"/>
      <c r="R13" s="2724"/>
      <c r="S13" s="2724"/>
      <c r="T13" s="2724"/>
      <c r="U13" s="2724">
        <f t="shared" si="0"/>
        <v>0</v>
      </c>
      <c r="V13" s="2724"/>
    </row>
    <row r="14" spans="1:35" ht="15" x14ac:dyDescent="0.25">
      <c r="A14" s="2598"/>
      <c r="B14" s="2593" t="s">
        <v>10535</v>
      </c>
      <c r="C14" s="2598"/>
      <c r="D14" s="2598"/>
      <c r="E14" s="2598"/>
      <c r="F14" s="2598"/>
      <c r="G14" s="2598"/>
      <c r="H14" s="2598"/>
      <c r="I14" s="2598"/>
      <c r="J14" s="2471"/>
      <c r="K14" s="2454"/>
      <c r="L14" s="2435" t="str">
        <f>IF($Q$1=0,"",IF($K$14="",re,""))</f>
        <v/>
      </c>
      <c r="M14" s="2592"/>
      <c r="N14" s="1485">
        <f>IF(L14="",0,1)</f>
      </c>
      <c r="P14" s="2724"/>
      <c r="Q14" s="2724"/>
      <c r="R14" s="2724"/>
      <c r="S14" s="2724"/>
      <c r="T14" s="2724"/>
      <c r="U14" s="2724"/>
      <c r="V14" s="2724"/>
    </row>
    <row r="15" spans="1:35" ht="15" x14ac:dyDescent="0.25">
      <c r="A15" s="2598"/>
      <c r="B15" s="2593" t="s">
        <v>10462</v>
      </c>
      <c r="C15" s="2598"/>
      <c r="D15" s="2598"/>
      <c r="E15" s="2598"/>
      <c r="F15" s="2598"/>
      <c r="G15" s="2598"/>
      <c r="H15" s="2598"/>
      <c r="I15" s="2598"/>
      <c r="J15" s="2471"/>
      <c r="K15" s="4024"/>
      <c r="L15" s="2435" t="str">
        <f>IF(AND(K14="yes",K15=""),re,IF(AND(K14="no",K15&lt;&gt;""),"Delete!",""))</f>
        <v/>
      </c>
      <c r="M15" s="2592"/>
      <c r="N15" s="1485">
        <f>IF(L15="",0,1)</f>
      </c>
      <c r="O15" s="1485">
        <f>IF(K14="no",1,0)</f>
      </c>
      <c r="P15" s="2724"/>
      <c r="Q15" s="2724"/>
      <c r="R15" s="2724"/>
      <c r="S15" s="2724"/>
      <c r="T15" s="2724"/>
      <c r="U15" s="2724"/>
      <c r="V15" s="2724"/>
      <c r="Y15" s="1485">
        <f>IF(L10=Z18,1,0)</f>
      </c>
    </row>
    <row r="16" spans="1:35" ht="3.75" customHeight="1" x14ac:dyDescent="0.25">
      <c r="A16" s="2598"/>
      <c r="B16" s="2593"/>
      <c r="C16" s="2598"/>
      <c r="D16" s="2598"/>
      <c r="E16" s="2598"/>
      <c r="F16" s="2598"/>
      <c r="G16" s="2598"/>
      <c r="H16" s="2598"/>
      <c r="I16" s="2598"/>
      <c r="J16" s="2471"/>
      <c r="K16" s="2471"/>
      <c r="L16" s="2600"/>
      <c r="M16" s="2592"/>
      <c r="P16" s="2724"/>
      <c r="Q16" s="2724"/>
      <c r="R16" s="2724"/>
      <c r="S16" s="2724"/>
      <c r="T16" s="2724"/>
      <c r="U16" s="2724">
        <f t="shared" ref="U16" si="1">S16+T16</f>
      </c>
      <c r="V16" s="2724"/>
    </row>
    <row r="17" spans="1:28" ht="15" x14ac:dyDescent="0.25">
      <c r="A17" s="2598"/>
      <c r="B17" s="2593" t="s">
        <v>10536</v>
      </c>
      <c r="C17" s="2598"/>
      <c r="D17" s="2598"/>
      <c r="E17" s="2598"/>
      <c r="F17" s="2598"/>
      <c r="G17" s="2598"/>
      <c r="H17" s="2598"/>
      <c r="I17" s="2598"/>
      <c r="J17" s="2471"/>
      <c r="K17" s="2454"/>
      <c r="L17" s="2435" t="str">
        <f>IF(AND($R$1=1,K17=""),re,"")</f>
        <v/>
      </c>
      <c r="M17" s="2592"/>
      <c r="N17" s="1485">
        <f>IF(L17="",0,1)</f>
      </c>
      <c r="P17" s="2724"/>
      <c r="Q17" s="2724"/>
      <c r="R17" s="2724"/>
      <c r="S17" s="2724"/>
      <c r="T17" s="2724"/>
      <c r="U17" s="2724"/>
      <c r="V17" s="2724"/>
    </row>
    <row r="18" spans="1:28" ht="15" x14ac:dyDescent="0.25">
      <c r="A18" s="2598"/>
      <c r="B18" s="2593"/>
      <c r="C18" s="2598"/>
      <c r="D18" s="2598"/>
      <c r="E18" s="2598"/>
      <c r="F18" s="2598"/>
      <c r="G18" s="2598"/>
      <c r="H18" s="2598"/>
      <c r="I18" s="2598"/>
      <c r="J18" s="2471"/>
      <c r="K18" s="2471"/>
      <c r="L18" s="2600"/>
      <c r="M18" s="2592"/>
      <c r="P18" s="2724"/>
      <c r="Q18" s="2724"/>
      <c r="R18" s="2724"/>
      <c r="S18" s="2724"/>
      <c r="T18" s="2724"/>
      <c r="U18" s="2724"/>
      <c r="V18" s="2724"/>
      <c r="Y18" s="1485">
        <f>IF(L20=Z18,1,0)</f>
      </c>
      <c r="Z18" s="1736" t="s">
        <v>10529</v>
      </c>
    </row>
    <row r="19" spans="1:28" ht="15.75" x14ac:dyDescent="0.25">
      <c r="A19" s="2598"/>
      <c r="B19" s="2593" t="s">
        <v>8247</v>
      </c>
      <c r="C19" s="2599"/>
      <c r="D19" s="2599"/>
      <c r="E19" s="2599"/>
      <c r="F19" s="2599"/>
      <c r="G19" s="2599"/>
      <c r="H19" s="2599"/>
      <c r="I19" s="2599"/>
      <c r="J19" s="2857" t="s">
        <v>363</v>
      </c>
      <c r="K19" s="2857" t="s">
        <v>2372</v>
      </c>
      <c r="L19" s="2435" t="str">
        <f>IF(AND(OR(K14="",K14="no"),P1&lt;&gt;5),"",IF(AND(K14="yes",P1&lt;&gt;6),"",IF(X1=0,Z19,IF(Y1=100,Z20,""))))</f>
        <v/>
      </c>
      <c r="M19" s="2592"/>
      <c r="N19" s="1485">
        <f>IF(L19=Z20,1,0)</f>
      </c>
      <c r="P19" s="2724" t="s">
        <v>8322</v>
      </c>
      <c r="Q19" s="2724"/>
      <c r="R19" s="2724"/>
      <c r="S19" s="2724">
        <f>ROUND('p6'!S24/0.65,0)</f>
      </c>
      <c r="T19" s="2724">
        <f>ROUND('p6'!U24/0.65,0)</f>
      </c>
      <c r="U19" s="2724">
        <f t="shared" si="0"/>
        <v>0</v>
      </c>
      <c r="V19" s="2724" t="s">
        <v>8323</v>
      </c>
      <c r="Z19" s="2912" t="s">
        <v>9101</v>
      </c>
    </row>
    <row r="20" spans="1:28" ht="15" x14ac:dyDescent="0.25">
      <c r="A20" s="2598"/>
      <c r="B20" s="2593" t="s">
        <v>8753</v>
      </c>
      <c r="C20" s="2598"/>
      <c r="D20" s="2598"/>
      <c r="E20" s="2598"/>
      <c r="F20" s="2598"/>
      <c r="G20" s="2598"/>
      <c r="H20" s="2598"/>
      <c r="I20" s="2598"/>
      <c r="J20" s="2893">
        <f>TRA100A!J7</f>
      </c>
      <c r="K20" s="2893">
        <f>TRA100A!K7</f>
      </c>
      <c r="L20" s="2435" t="str">
        <f>IF($Q$1=0,"",IF($K$6=n,"",IF(COUNT(J20:K20)&lt;&gt;2,re,IF(AND(K8=n,J20+K20&gt;0),Z1,IF(AND(K10=n,J20+K20&gt;0),"Cannot deduct NID from chargeable income!",IF(J20&gt;S20,Z3,IF(K20&gt;T20,Z3,"")))))))</f>
        <v/>
      </c>
      <c r="M20" s="2592"/>
      <c r="N20" s="1485">
        <f>IF(L20=Z18,0,IF(L20="",0,1))</f>
      </c>
      <c r="P20" s="2724"/>
      <c r="Q20" s="2724"/>
      <c r="R20" s="2080">
        <f>IF(OR(L8=Z1,L10=Z1),0,S20+T20)</f>
      </c>
      <c r="S20" s="2080">
        <f>IF(SUM(S6:S19)&lt;0,0,SUM(S6:S19))</f>
      </c>
      <c r="T20" s="2080">
        <f>IF(SUM(T6:T19)&lt;0,0,SUM(T6:T19))</f>
      </c>
      <c r="U20" s="2724">
        <f>SUM(U6:U19)</f>
      </c>
      <c r="V20" s="2724"/>
      <c r="Z20" s="2912" t="s">
        <v>9102</v>
      </c>
    </row>
    <row r="21" spans="1:28" ht="15" x14ac:dyDescent="0.25">
      <c r="A21" s="2598"/>
      <c r="B21" s="2593"/>
      <c r="C21" s="2598"/>
      <c r="D21" s="2598"/>
      <c r="E21" s="2598"/>
      <c r="F21" s="2598"/>
      <c r="G21" s="2598"/>
      <c r="H21" s="2598"/>
      <c r="I21" s="2598"/>
      <c r="J21" s="2884">
        <f>S20</f>
      </c>
      <c r="K21" s="2884">
        <f>T20</f>
      </c>
      <c r="L21" s="2435"/>
      <c r="M21" s="2592"/>
      <c r="P21" s="2724"/>
      <c r="Q21" s="2724"/>
      <c r="R21" s="2080"/>
      <c r="S21" s="2080"/>
      <c r="T21" s="2080"/>
      <c r="U21" s="2724"/>
      <c r="V21" s="2724"/>
    </row>
    <row r="22" spans="1:28" ht="15" x14ac:dyDescent="0.25">
      <c r="A22" s="2598"/>
      <c r="B22" s="2593" t="s">
        <v>8754</v>
      </c>
      <c r="C22" s="2598"/>
      <c r="D22" s="2598"/>
      <c r="E22" s="2598"/>
      <c r="F22" s="2598"/>
      <c r="G22" s="2598"/>
      <c r="H22" s="2598"/>
      <c r="I22" s="2858" t="s">
        <v>1503</v>
      </c>
      <c r="J22" s="2893">
        <f>TRA9_14!D8</f>
      </c>
      <c r="K22" s="2607"/>
      <c r="L22" s="2435" t="str">
        <f>IF($Q$1=0,"",IF(AND(K12="No",J22=""),"",IF(AND(K12="Yes",J22=""),re,IF(AND(K12="Yes",J22=0),"Deemed interests as per reply above!",IF(AND(K12="No",J22&gt;0),"Check reply above!","")))))</f>
        <v/>
      </c>
      <c r="M22" s="2592"/>
      <c r="N22" s="1485">
        <f>IF(L22="",0,1)</f>
      </c>
    </row>
    <row r="23" spans="1:28" ht="4.1500000000000004" customHeight="1" x14ac:dyDescent="0.25">
      <c r="A23" s="2598"/>
      <c r="B23" s="2593"/>
      <c r="C23" s="2598"/>
      <c r="D23" s="2598"/>
      <c r="E23" s="2598"/>
      <c r="F23" s="2598"/>
      <c r="G23" s="2598"/>
      <c r="H23" s="2598"/>
      <c r="I23" s="2598"/>
      <c r="J23" s="2762"/>
      <c r="K23" s="2938"/>
      <c r="L23" s="2600"/>
      <c r="M23" s="2592"/>
    </row>
    <row r="24" spans="1:28" ht="15" x14ac:dyDescent="0.25">
      <c r="A24" s="2598"/>
      <c r="B24" s="2593" t="s">
        <v>8755</v>
      </c>
      <c r="C24" s="2598"/>
      <c r="D24" s="2598"/>
      <c r="E24" s="2598"/>
      <c r="F24" s="2598"/>
      <c r="G24" s="2598"/>
      <c r="H24" s="2598"/>
      <c r="I24" s="2598"/>
      <c r="J24" s="2893">
        <f>IF(AI10&gt;0,0,IF(J22&gt;J20,0,J20-J22))</f>
      </c>
      <c r="K24" s="2893">
        <f>IF(AI10&gt;0,0,K20)</f>
      </c>
      <c r="L24" s="2435" t="str">
        <f>IF(L8=Z1,Z1,IF(L10=Z1,Z1,""))</f>
        <v/>
      </c>
      <c r="M24" s="2592"/>
      <c r="N24" s="1485">
        <f>IF(L24="",0,1)</f>
      </c>
      <c r="R24" s="2313"/>
      <c r="S24" s="2313"/>
      <c r="T24" s="2313"/>
      <c r="U24" s="2313"/>
    </row>
    <row r="25" spans="1:28" ht="2.65" customHeight="1" x14ac:dyDescent="0.2">
      <c r="A25" s="2598"/>
      <c r="B25" s="2598"/>
      <c r="C25" s="2598"/>
      <c r="D25" s="2598"/>
      <c r="E25" s="2598"/>
      <c r="F25" s="2598"/>
      <c r="G25" s="2598"/>
      <c r="H25" s="2598"/>
      <c r="I25" s="2598"/>
      <c r="J25" s="2938"/>
      <c r="K25" s="2938"/>
      <c r="L25" s="2600"/>
      <c r="M25" s="2592"/>
      <c r="Y25" s="2313"/>
      <c r="Z25" s="2728"/>
      <c r="AB25" s="2313"/>
    </row>
    <row r="26" spans="1:28" ht="13.15" customHeight="1" x14ac:dyDescent="0.2">
      <c r="A26" s="2598"/>
      <c r="B26" s="5233" t="s">
        <v>8833</v>
      </c>
      <c r="C26" s="5233"/>
      <c r="D26" s="5233"/>
      <c r="E26" s="5233"/>
      <c r="F26" s="5233"/>
      <c r="G26" s="2598"/>
      <c r="H26" s="2983" t="s">
        <v>8831</v>
      </c>
      <c r="I26" s="2598"/>
      <c r="J26" s="2893">
        <f>TRA100A!J9</f>
      </c>
      <c r="K26" s="2893">
        <f>TRA100A!K9</f>
      </c>
      <c r="L26" s="2435" t="str">
        <f>IF(Q1=0,"",IF(COUNT(J26:K26)&lt;&gt;2,reo,""))</f>
        <v/>
      </c>
      <c r="M26" s="2592"/>
      <c r="N26" s="1485">
        <f>IF(L26="",0,1)</f>
      </c>
      <c r="Z26" s="2313"/>
      <c r="AA26" s="2313"/>
    </row>
    <row r="27" spans="1:28" ht="2.1" customHeight="1" x14ac:dyDescent="0.2">
      <c r="A27" s="2598"/>
      <c r="B27" s="5233"/>
      <c r="C27" s="5233"/>
      <c r="D27" s="5233"/>
      <c r="E27" s="5233"/>
      <c r="F27" s="5233"/>
      <c r="G27" s="2592"/>
      <c r="H27" s="2592"/>
      <c r="I27" s="2592"/>
      <c r="J27" s="1935"/>
      <c r="K27" s="2762"/>
      <c r="L27" s="2435" t="str">
        <f>IF(Q2=0,"",IF(COUNT(J27:K27)&lt;&gt;2,reo,""))</f>
        <v/>
      </c>
      <c r="M27" s="2592"/>
    </row>
    <row r="28" spans="1:28" ht="14.65" customHeight="1" x14ac:dyDescent="0.2">
      <c r="A28" s="2598"/>
      <c r="B28" s="5233"/>
      <c r="C28" s="5233"/>
      <c r="D28" s="5233"/>
      <c r="E28" s="5233"/>
      <c r="F28" s="5233"/>
      <c r="G28" s="2592"/>
      <c r="H28" s="2983" t="s">
        <v>8832</v>
      </c>
      <c r="I28" s="2893">
        <f>TRA100A!I10</f>
      </c>
      <c r="J28" s="2600"/>
      <c r="K28" s="2600"/>
      <c r="L28" s="2600"/>
      <c r="M28" s="2592"/>
      <c r="N28" s="1485">
        <f>IF(L28="",0,1)</f>
      </c>
    </row>
    <row r="29" spans="1:28" ht="8.25" hidden="1" customHeight="1" x14ac:dyDescent="0.25">
      <c r="A29" s="2598"/>
      <c r="B29" s="2613"/>
      <c r="C29" s="2593"/>
      <c r="D29" s="2599"/>
      <c r="E29" s="2599"/>
      <c r="F29" s="2603"/>
      <c r="G29" s="2603"/>
      <c r="H29" s="2603"/>
      <c r="I29" s="2598"/>
      <c r="J29" s="2604"/>
      <c r="K29" s="2471"/>
      <c r="L29" s="2600"/>
      <c r="M29" s="2592"/>
      <c r="R29" s="2612"/>
      <c r="S29" s="1736"/>
    </row>
    <row r="30" spans="1:28" ht="15.75" hidden="1" x14ac:dyDescent="0.25">
      <c r="A30" s="2598"/>
      <c r="B30" s="2613"/>
      <c r="C30" s="2593"/>
      <c r="D30" s="2599"/>
      <c r="E30" s="2599"/>
      <c r="F30" s="2603"/>
      <c r="G30" s="2603"/>
      <c r="H30" s="2603"/>
      <c r="I30" s="2598"/>
      <c r="J30" s="2604"/>
      <c r="K30" s="2471"/>
      <c r="L30" s="2600"/>
      <c r="M30" s="2592"/>
    </row>
    <row r="31" spans="1:28" ht="15.75" hidden="1" x14ac:dyDescent="0.25">
      <c r="A31" s="2598"/>
      <c r="B31" s="2613"/>
      <c r="C31" s="2593"/>
      <c r="D31" s="2599"/>
      <c r="E31" s="2599"/>
      <c r="F31" s="2603"/>
      <c r="G31" s="2603"/>
      <c r="H31" s="2603"/>
      <c r="I31" s="2598"/>
      <c r="J31" s="2613"/>
      <c r="K31" s="2471"/>
      <c r="L31" s="2600"/>
      <c r="M31" s="2592"/>
    </row>
    <row r="32" spans="1:28" ht="7.5" customHeight="1" x14ac:dyDescent="0.25">
      <c r="A32" s="2598"/>
      <c r="B32" s="2613"/>
      <c r="C32" s="2593"/>
      <c r="D32" s="2599"/>
      <c r="E32" s="2599"/>
      <c r="F32" s="2603"/>
      <c r="G32" s="2603"/>
      <c r="H32" s="2603"/>
      <c r="I32" s="2598"/>
      <c r="J32" s="2604"/>
      <c r="K32" s="2471"/>
      <c r="L32" s="2600"/>
      <c r="M32" s="2592"/>
      <c r="N32" s="1485">
        <f>IF(L32="",0,1)</f>
      </c>
    </row>
    <row r="33" spans="1:24" ht="1.9" customHeight="1" x14ac:dyDescent="0.2">
      <c r="A33" s="2598"/>
      <c r="B33" s="2435" t="str">
        <f>IF(G13=0,"",IF(COUNT(#REF!)&lt;&gt;2,reo,""))</f>
        <v/>
      </c>
      <c r="C33" s="2435" t="str">
        <f t="shared" ref="C33:K33" si="2">IF(H13=0,"",IF(COUNT(A33:B33)&lt;&gt;2,reo,""))</f>
        <v/>
      </c>
      <c r="D33" s="2435" t="str">
        <f t="shared" si="2"/>
        <v/>
      </c>
      <c r="E33" s="2435" t="str">
        <f t="shared" si="2"/>
        <v/>
      </c>
      <c r="F33" s="2435" t="str">
        <f t="shared" si="2"/>
        <v/>
      </c>
      <c r="G33" s="2435" t="str">
        <f t="shared" si="2"/>
        <v/>
      </c>
      <c r="H33" s="2435" t="str">
        <f t="shared" si="2"/>
        <v/>
      </c>
      <c r="I33" s="2435" t="str">
        <f t="shared" si="2"/>
        <v/>
      </c>
      <c r="J33" s="2435" t="str">
        <f t="shared" si="2"/>
        <v/>
      </c>
      <c r="K33" s="2435" t="str">
        <f t="shared" si="2"/>
        <v/>
      </c>
      <c r="L33" s="2600"/>
    </row>
    <row r="34" spans="1:24" ht="16.899999999999999" customHeight="1" x14ac:dyDescent="0.2">
      <c r="A34" s="2598"/>
      <c r="B34" s="2729" t="s">
        <v>8804</v>
      </c>
      <c r="C34" s="2602"/>
      <c r="D34" s="2602"/>
      <c r="E34" s="2602"/>
      <c r="F34" s="2602"/>
      <c r="G34" s="2602"/>
      <c r="H34" s="2602"/>
      <c r="I34" s="2602"/>
      <c r="J34" s="2756"/>
      <c r="K34" s="2757"/>
      <c r="L34" s="2600"/>
      <c r="M34" s="2592"/>
    </row>
    <row r="35" spans="1:24" ht="4.3499999999999996" customHeight="1" x14ac:dyDescent="0.2">
      <c r="A35" s="2598"/>
      <c r="B35" s="2598"/>
      <c r="C35" s="2598"/>
      <c r="D35" s="2598"/>
      <c r="E35" s="2598"/>
      <c r="F35" s="2598"/>
      <c r="G35" s="2598"/>
      <c r="H35" s="2598"/>
      <c r="I35" s="2598"/>
      <c r="J35" s="2471"/>
      <c r="K35" s="2471"/>
      <c r="L35" s="2600"/>
      <c r="M35" s="2592"/>
    </row>
    <row r="36" spans="1:24" ht="15.75" x14ac:dyDescent="0.25">
      <c r="A36" s="2598"/>
      <c r="B36" s="2605" t="s">
        <v>8245</v>
      </c>
      <c r="C36" s="2593" t="s">
        <v>8787</v>
      </c>
      <c r="D36" s="2599"/>
      <c r="E36" s="2599"/>
      <c r="F36" s="2872">
        <f>TRA100A!K32</f>
      </c>
      <c r="G36" s="2851" t="str">
        <f>IF(AND(Q1&gt;0,F36=""),re,IF(F36&gt;R36,"  Maximum rate for the year was "&amp;R36*100&amp;"%!",""))</f>
        <v/>
      </c>
      <c r="H36" s="2851"/>
      <c r="I36" s="2598"/>
      <c r="J36" s="2598"/>
      <c r="K36" s="2598"/>
      <c r="L36" s="2600"/>
      <c r="M36" s="2592"/>
      <c r="N36" s="1485">
        <f>IF(G36=re,1,0)</f>
      </c>
      <c r="R36" s="2612">
        <f>'Exchange Rates'!AB1</f>
      </c>
      <c r="S36" s="1736" t="s">
        <v>8751</v>
      </c>
    </row>
    <row r="37" spans="1:24" ht="2.65" hidden="1" customHeight="1" x14ac:dyDescent="0.25">
      <c r="A37" s="2598"/>
      <c r="B37" s="2603"/>
      <c r="C37" s="2875"/>
      <c r="D37" s="2603"/>
      <c r="E37" s="2599"/>
      <c r="F37" s="2603"/>
      <c r="G37" s="2603"/>
      <c r="H37" s="2603"/>
      <c r="I37" s="2471"/>
      <c r="J37" s="2598"/>
      <c r="K37" s="2600"/>
      <c r="L37" s="2600"/>
      <c r="M37" s="2592"/>
    </row>
    <row r="38" spans="1:24" ht="15.75" x14ac:dyDescent="0.25">
      <c r="A38" s="2598"/>
      <c r="B38" s="2614" t="s">
        <v>8246</v>
      </c>
      <c r="C38" s="2593" t="s">
        <v>8749</v>
      </c>
      <c r="D38" s="2599"/>
      <c r="E38" s="2599"/>
      <c r="F38" s="2603"/>
      <c r="G38" s="2603"/>
      <c r="H38" s="2603"/>
      <c r="I38" s="2471"/>
      <c r="J38" s="2598"/>
      <c r="K38" s="2893">
        <f>IF(AI10&gt;0,0,TRA100A!K30+TRA100A!J30)</f>
      </c>
      <c r="L38" s="2600"/>
      <c r="M38" s="2592"/>
    </row>
    <row r="39" spans="1:24" ht="6" hidden="1" customHeight="1" x14ac:dyDescent="0.25">
      <c r="A39" s="2598"/>
      <c r="B39" s="2603"/>
      <c r="C39" s="2593"/>
      <c r="D39" s="2599"/>
      <c r="E39" s="2599"/>
      <c r="F39" s="2603"/>
      <c r="G39" s="2603"/>
      <c r="H39" s="2603"/>
      <c r="I39" s="2598"/>
      <c r="J39" s="2471"/>
      <c r="K39" s="2762"/>
      <c r="L39" s="2600"/>
      <c r="M39" s="2592"/>
      <c r="W39" s="2603" t="s">
        <v>8324</v>
      </c>
    </row>
    <row r="40" spans="1:24" ht="15.75" x14ac:dyDescent="0.25">
      <c r="A40" s="2598"/>
      <c r="B40" s="2614" t="s">
        <v>6941</v>
      </c>
      <c r="C40" s="2593" t="s">
        <v>8242</v>
      </c>
      <c r="D40" s="2599"/>
      <c r="E40" s="2599"/>
      <c r="F40" s="2603"/>
      <c r="G40" s="2603"/>
      <c r="H40" s="2603"/>
      <c r="I40" s="2598"/>
      <c r="J40" s="2471"/>
      <c r="K40" s="2893">
        <f>TRA100A!K64</f>
      </c>
      <c r="L40" s="2600"/>
      <c r="M40" s="2592"/>
    </row>
    <row r="41" spans="1:24" ht="1.9" customHeight="1" x14ac:dyDescent="0.25">
      <c r="A41" s="2598"/>
      <c r="B41" s="2603"/>
      <c r="C41" s="2875"/>
      <c r="D41" s="2603"/>
      <c r="E41" s="2599"/>
      <c r="F41" s="2603"/>
      <c r="G41" s="2603"/>
      <c r="H41" s="2603"/>
      <c r="I41" s="2598"/>
      <c r="J41" s="2471"/>
      <c r="K41" s="2762"/>
      <c r="L41" s="2600"/>
      <c r="M41" s="2592"/>
    </row>
    <row r="42" spans="1:24" ht="15.75" x14ac:dyDescent="0.25">
      <c r="A42" s="2598"/>
      <c r="B42" s="2603"/>
      <c r="C42" s="2593" t="s">
        <v>8847</v>
      </c>
      <c r="D42" s="2599"/>
      <c r="E42" s="2599"/>
      <c r="F42" s="2603"/>
      <c r="G42" s="2603"/>
      <c r="H42" s="2603"/>
      <c r="I42" s="2598"/>
      <c r="J42" s="2471"/>
      <c r="K42" s="2893">
        <f>P42</f>
      </c>
      <c r="L42" s="2435"/>
      <c r="M42" s="2592"/>
      <c r="N42" s="1485">
        <f>IF(L42="",0,1)</f>
      </c>
      <c r="P42" s="2313">
        <f>SUM(TRA100A!C89:F89)</f>
      </c>
    </row>
    <row r="43" spans="1:24" ht="4.1500000000000004" customHeight="1" x14ac:dyDescent="0.25">
      <c r="A43" s="2598"/>
      <c r="B43" s="2603"/>
      <c r="C43" s="2875"/>
      <c r="D43" s="2603"/>
      <c r="E43" s="2599"/>
      <c r="F43" s="2603"/>
      <c r="G43" s="2603"/>
      <c r="H43" s="2603"/>
      <c r="I43" s="2598"/>
      <c r="J43" s="2471"/>
      <c r="K43" s="2471"/>
      <c r="L43" s="2600"/>
      <c r="M43" s="2592"/>
    </row>
    <row r="44" spans="1:24" ht="15.75" x14ac:dyDescent="0.25">
      <c r="A44" s="2598"/>
      <c r="B44" s="2593" t="s">
        <v>8754</v>
      </c>
      <c r="C44" s="2875"/>
      <c r="D44" s="2598"/>
      <c r="E44" s="2598"/>
      <c r="F44" s="2598"/>
      <c r="G44" s="2598"/>
      <c r="H44" s="2603"/>
      <c r="I44" s="2932">
        <f>J22</f>
      </c>
      <c r="J44" s="2603"/>
      <c r="K44" s="2603"/>
      <c r="L44" s="2600"/>
      <c r="M44" s="2592"/>
    </row>
    <row r="45" spans="1:24" ht="15.75" x14ac:dyDescent="0.25">
      <c r="A45" s="2598"/>
      <c r="B45" s="2933" t="s">
        <v>8820</v>
      </c>
      <c r="C45" s="2416" t="s">
        <v>8821</v>
      </c>
      <c r="D45" s="2599"/>
      <c r="E45" s="2603"/>
      <c r="F45" s="2603"/>
      <c r="G45" s="2603"/>
      <c r="H45" s="2603"/>
      <c r="I45" s="2934">
        <f>TRA100A!K95*-1</f>
      </c>
      <c r="J45" s="2875"/>
      <c r="K45" s="2931">
        <f>I45</f>
      </c>
      <c r="L45" s="2600"/>
      <c r="M45" s="2592"/>
    </row>
    <row r="46" spans="1:24" ht="15" x14ac:dyDescent="0.25">
      <c r="A46" s="2598"/>
      <c r="B46" s="2933" t="s">
        <v>8820</v>
      </c>
      <c r="C46" s="2416" t="s">
        <v>8822</v>
      </c>
      <c r="D46" s="2875"/>
      <c r="E46" s="2875"/>
      <c r="F46" s="2875"/>
      <c r="G46" s="2875"/>
      <c r="H46" s="2875"/>
      <c r="I46" s="2934">
        <f>TRA100A!K97*-1</f>
      </c>
      <c r="J46" s="2875"/>
      <c r="K46" s="2931">
        <f>I46</f>
      </c>
      <c r="L46" s="2755"/>
      <c r="M46" s="2592"/>
      <c r="N46" s="1485">
        <f>IF(L46="",0,1)</f>
      </c>
      <c r="Q46" s="2601">
        <f>IF(K22=0,0,IF(J54&lt;K22,J54,K22))</f>
      </c>
      <c r="U46" s="1485" t="s">
        <v>8325</v>
      </c>
      <c r="V46" s="1485" t="s">
        <v>5806</v>
      </c>
      <c r="W46" s="1485" t="s">
        <v>363</v>
      </c>
      <c r="X46" s="1485" t="s">
        <v>2372</v>
      </c>
    </row>
    <row r="47" spans="1:24" customFormat="1" ht="15" x14ac:dyDescent="0.25">
      <c r="A47" s="1922"/>
      <c r="B47" s="1922"/>
      <c r="C47" s="2876" t="s">
        <v>8776</v>
      </c>
      <c r="D47" s="1922"/>
      <c r="E47" s="1922"/>
      <c r="F47" s="1922"/>
      <c r="G47" s="1922"/>
      <c r="H47" s="1922"/>
      <c r="I47" s="2932">
        <f>SUM(I44:I46)</f>
      </c>
      <c r="J47" s="1922"/>
      <c r="K47" s="1922"/>
      <c r="L47" s="2755"/>
      <c r="M47" s="2592"/>
    </row>
    <row r="48" spans="1:24" customFormat="1" ht="4.3499999999999996" customHeight="1" x14ac:dyDescent="0.2">
      <c r="A48" s="1922"/>
      <c r="B48" s="2471"/>
      <c r="C48" s="2471"/>
      <c r="D48" s="2471"/>
      <c r="E48" s="2471"/>
      <c r="F48" s="2471"/>
      <c r="G48" s="2471"/>
      <c r="H48" s="2471"/>
      <c r="I48" s="2471"/>
      <c r="J48" s="2471"/>
      <c r="K48" s="2471"/>
      <c r="L48" s="2755"/>
      <c r="M48" s="2592"/>
    </row>
    <row r="49" spans="1:46" customFormat="1" ht="15" x14ac:dyDescent="0.25">
      <c r="A49" s="1922"/>
      <c r="B49" s="1922"/>
      <c r="C49" s="2876" t="s">
        <v>8829</v>
      </c>
      <c r="D49" s="1922"/>
      <c r="E49" s="1922"/>
      <c r="F49" s="1922"/>
      <c r="G49" s="1922"/>
      <c r="H49" s="1922"/>
      <c r="I49" s="1922"/>
      <c r="J49" s="1922"/>
      <c r="K49" s="2982">
        <f>SUM(K40:K46)</f>
      </c>
      <c r="L49" s="2755"/>
      <c r="M49" s="2592"/>
    </row>
    <row r="50" spans="1:46" customFormat="1" ht="2.65" customHeight="1" x14ac:dyDescent="0.25">
      <c r="A50" s="1922"/>
      <c r="B50" s="2471"/>
      <c r="C50" s="2876"/>
      <c r="D50" s="2755"/>
      <c r="E50" s="2755"/>
      <c r="F50" s="2755"/>
      <c r="G50" s="2755"/>
      <c r="H50" s="2755"/>
      <c r="I50" s="2755"/>
      <c r="J50" s="2755"/>
      <c r="K50" s="2755"/>
      <c r="L50" s="2755"/>
      <c r="M50" s="2592"/>
      <c r="Q50">
        <f>IF(J24=0,0,IF(K49=0,0,ROUND(J24*0.9,0)))</f>
      </c>
      <c r="R50">
        <f>IF(K24=0,0,IF(K49=0,0,ROUND(K24*0.9,0)))</f>
      </c>
    </row>
    <row r="51" spans="1:46" customFormat="1" ht="12.75" hidden="1" x14ac:dyDescent="0.2">
      <c r="C51" s="1485"/>
      <c r="D51" s="1485"/>
      <c r="E51" s="1485"/>
      <c r="F51" s="1485"/>
      <c r="G51" s="1485"/>
      <c r="H51" s="1485"/>
      <c r="I51" s="1485"/>
      <c r="J51" s="2433"/>
      <c r="K51" s="2764"/>
      <c r="Q51" s="2943">
        <f>Q50+R50</f>
      </c>
      <c r="S51" s="1717">
        <f>J24+K24</f>
      </c>
      <c r="AL51" t="s">
        <v>8828</v>
      </c>
      <c r="AT51" t="str">
        <f>TRA100A!K65</f>
        <v/>
      </c>
    </row>
    <row r="52" spans="1:46" customFormat="1" ht="12.75" hidden="1" x14ac:dyDescent="0.2">
      <c r="C52" s="1485"/>
      <c r="D52" s="1485"/>
      <c r="E52" s="1485"/>
      <c r="F52" s="1485"/>
      <c r="G52" s="1485"/>
      <c r="H52" s="1485"/>
      <c r="I52" s="66"/>
      <c r="J52" s="2433"/>
      <c r="K52" s="2433"/>
      <c r="M52" s="2592"/>
    </row>
    <row r="53" spans="1:46" customFormat="1" ht="15" hidden="1" x14ac:dyDescent="0.25">
      <c r="C53" s="2877" t="s">
        <v>8757</v>
      </c>
      <c r="I53" s="1133"/>
      <c r="K53">
        <f>IF(AI10&gt;0,0,K54)</f>
      </c>
      <c r="M53" s="2592"/>
      <c r="O53">
        <f>K53</f>
      </c>
      <c r="T53">
        <f>COUNT(#REF!)</f>
      </c>
    </row>
    <row r="54" spans="1:46" customFormat="1" ht="15.75" hidden="1" x14ac:dyDescent="0.25">
      <c r="C54" s="2610" t="s">
        <v>8781</v>
      </c>
      <c r="D54" s="2751"/>
      <c r="E54" s="2751"/>
      <c r="F54" s="2846"/>
      <c r="G54" s="2846"/>
      <c r="H54" s="2846"/>
      <c r="I54" s="2942"/>
      <c r="J54" s="2433"/>
      <c r="K54" s="2935">
        <f>IF(F36=0,0,IF(ya=2018,K40,K40+K42))</f>
      </c>
      <c r="M54" s="2592"/>
    </row>
    <row r="55" spans="1:46" customFormat="1" ht="15.75" x14ac:dyDescent="0.25">
      <c r="A55" s="2598"/>
      <c r="B55" s="2603"/>
      <c r="C55" s="2876" t="s">
        <v>8834</v>
      </c>
      <c r="D55" s="2599"/>
      <c r="E55" s="2599"/>
      <c r="F55" s="2603"/>
      <c r="G55" s="2603"/>
      <c r="H55" s="2603"/>
      <c r="I55" s="2938"/>
      <c r="J55" s="2946" t="str">
        <f>IF(AND(K55=Q51,K55&lt;&gt;0)," 90% Limitation applied ","")</f>
        <v/>
      </c>
      <c r="K55" s="2982">
        <f>IF(Q51&gt;K49,K49,Q51)</f>
      </c>
      <c r="L55" s="2615"/>
      <c r="M55" s="2592"/>
      <c r="Q55" s="2925">
        <f>J49+K49</f>
      </c>
      <c r="R55" s="1717">
        <f>Q51-Q55</f>
      </c>
      <c r="S55" s="1717">
        <f>R55+R50</f>
      </c>
    </row>
    <row r="56" spans="1:46" ht="1.35" customHeight="1" x14ac:dyDescent="0.25">
      <c r="A56" s="2598"/>
      <c r="B56" s="2603"/>
      <c r="C56" s="2603"/>
      <c r="D56" s="2603"/>
      <c r="E56" s="2603"/>
      <c r="F56" s="2603"/>
      <c r="G56" s="2603"/>
      <c r="H56" s="2603"/>
      <c r="I56" s="2603"/>
      <c r="J56" s="2603"/>
      <c r="K56" s="2607"/>
      <c r="L56" s="2603"/>
      <c r="M56" s="2592"/>
    </row>
    <row r="57" spans="1:46" ht="15.75" x14ac:dyDescent="0.25">
      <c r="A57" s="2598"/>
      <c r="B57" s="2603"/>
      <c r="C57" s="2593" t="s">
        <v>8842</v>
      </c>
      <c r="D57" s="2599"/>
      <c r="E57" s="2603"/>
      <c r="F57" s="2603"/>
      <c r="G57" s="2603"/>
      <c r="H57" s="2603"/>
      <c r="I57" s="2603"/>
      <c r="J57" s="1922"/>
      <c r="K57" s="2861">
        <f>(TRA100A!K72-TRA100A!C112)</f>
      </c>
      <c r="L57" s="2435" t="str">
        <f>IF(K57&gt;K55,"Cannot be more than Maximum!","")</f>
        <v/>
      </c>
      <c r="M57" s="2592"/>
      <c r="P57" s="1485">
        <f>K49*0.9</f>
      </c>
    </row>
    <row r="58" spans="1:46" ht="10.15" customHeight="1" x14ac:dyDescent="0.2">
      <c r="A58" s="2598"/>
      <c r="B58" s="2592"/>
      <c r="C58" s="2592"/>
      <c r="D58" s="2592"/>
      <c r="E58" s="2592"/>
      <c r="F58" s="2592"/>
      <c r="G58" s="2592"/>
      <c r="H58" s="2592"/>
      <c r="I58" s="2592"/>
      <c r="J58" s="2592"/>
      <c r="K58" s="2592"/>
      <c r="L58" s="2592"/>
      <c r="M58" s="2592"/>
    </row>
    <row r="59" spans="1:46" ht="16.149999999999999" customHeight="1" x14ac:dyDescent="0.25">
      <c r="A59" s="2598"/>
      <c r="B59" s="2603"/>
      <c r="C59" s="5217" t="s">
        <v>8848</v>
      </c>
      <c r="D59" s="5218"/>
      <c r="E59" s="5218"/>
      <c r="F59" s="5218"/>
      <c r="G59" s="5218"/>
      <c r="H59" s="5218"/>
      <c r="I59" s="5219"/>
      <c r="J59" s="2996" t="s">
        <v>363</v>
      </c>
      <c r="K59" s="2620" t="s">
        <v>2372</v>
      </c>
      <c r="L59" s="2592"/>
      <c r="M59" s="2592"/>
      <c r="N59" s="1485">
        <f>IF(L57="",0,1)</f>
      </c>
      <c r="R59" s="2767">
        <f>IF(R50&lt;K49,R50,K49)</f>
      </c>
      <c r="S59" s="1742">
        <f>('p4'!O56+'p4'!R56)*-1</f>
      </c>
    </row>
    <row r="60" spans="1:46" ht="16.149999999999999" customHeight="1" x14ac:dyDescent="0.25">
      <c r="A60" s="2598"/>
      <c r="B60" s="2603"/>
      <c r="C60" s="2995"/>
      <c r="D60" s="2995"/>
      <c r="E60" s="2995"/>
      <c r="F60" s="2995"/>
      <c r="G60" s="2432"/>
      <c r="H60" s="2983" t="s">
        <v>8841</v>
      </c>
      <c r="I60" s="2603"/>
      <c r="J60" s="2982">
        <f>TRA100A!I116</f>
      </c>
      <c r="K60" s="2982">
        <f>TRA100A!J116</f>
      </c>
      <c r="L60" s="2605"/>
      <c r="M60" s="2592"/>
    </row>
    <row r="61" spans="1:46" ht="15.75" x14ac:dyDescent="0.25">
      <c r="A61" s="2598"/>
      <c r="B61" s="2603"/>
      <c r="C61" s="2995"/>
      <c r="D61" s="2995"/>
      <c r="E61" s="2995"/>
      <c r="F61" s="2995"/>
      <c r="G61" s="2432"/>
      <c r="H61" s="2983" t="s">
        <v>8840</v>
      </c>
      <c r="I61" s="2982">
        <f>TRA100A!K116</f>
      </c>
      <c r="J61" s="2604"/>
      <c r="K61" s="2604"/>
      <c r="L61" s="2435"/>
      <c r="M61" s="2592"/>
      <c r="N61" s="1485">
        <f>IF(L61="",0,1)</f>
      </c>
      <c r="P61" s="2313">
        <f>I61+J60+K60</f>
      </c>
      <c r="Q61" s="2313">
        <f>J49+(ROUND(J49*$F36,0))</f>
      </c>
      <c r="R61" s="2313">
        <f>K49+(ROUND(K49*$F36,0))</f>
      </c>
      <c r="S61" s="2313">
        <f>K49-K57</f>
      </c>
      <c r="T61" s="1485">
        <f>ROUND(S61*10%,0)</f>
      </c>
    </row>
    <row r="62" spans="1:46" ht="5.25" hidden="1" customHeight="1" x14ac:dyDescent="0.25">
      <c r="A62" s="2598"/>
      <c r="B62" s="2603"/>
      <c r="C62" s="2440"/>
      <c r="D62" s="2440"/>
      <c r="E62" s="2440"/>
      <c r="F62" s="2440"/>
      <c r="G62" s="2440"/>
      <c r="H62" s="2440"/>
      <c r="I62" s="2598"/>
      <c r="J62" s="2604"/>
      <c r="K62" s="2618"/>
      <c r="L62" s="2435"/>
      <c r="M62" s="2592"/>
    </row>
    <row r="63" spans="1:46" ht="12.75" hidden="1" x14ac:dyDescent="0.2">
      <c r="A63" s="2598"/>
      <c r="B63" s="2607" t="s">
        <v>10574</v>
      </c>
      <c r="C63" s="2607"/>
      <c r="D63" s="2607"/>
      <c r="E63" s="2607"/>
      <c r="F63" s="2607"/>
      <c r="G63" s="2607"/>
      <c r="H63" s="2607" t="str">
        <f>ver</f>
        <v>TA2_e-CO_2025_Ver 1.1</v>
      </c>
      <c r="I63" s="2607"/>
      <c r="J63" s="2604"/>
      <c r="K63" s="2607"/>
      <c r="L63" s="2435"/>
      <c r="M63" s="2592"/>
    </row>
    <row r="64" spans="1:46" ht="2.25" customHeight="1" x14ac:dyDescent="0.25">
      <c r="A64" s="2598"/>
      <c r="B64" s="2603"/>
      <c r="C64" s="2440"/>
      <c r="D64" s="2440"/>
      <c r="E64" s="2440"/>
      <c r="F64" s="2440"/>
      <c r="G64" s="2440"/>
      <c r="H64" s="2440"/>
      <c r="I64" s="2598"/>
      <c r="J64" s="2604"/>
      <c r="K64" s="2618"/>
      <c r="L64" s="2435"/>
      <c r="M64" s="2592"/>
    </row>
    <row r="65" spans="1:22" ht="4.3499999999999996" customHeight="1" x14ac:dyDescent="0.25">
      <c r="A65" s="2598"/>
      <c r="B65" s="2603"/>
      <c r="C65" s="2603"/>
      <c r="D65" s="2603"/>
      <c r="E65" s="2603"/>
      <c r="F65" s="2603"/>
      <c r="G65" s="2603"/>
      <c r="H65" s="2603"/>
      <c r="I65" s="2603"/>
      <c r="J65" s="2603"/>
      <c r="K65" s="2603"/>
      <c r="L65" s="2841"/>
      <c r="M65" s="2592"/>
      <c r="O65" s="2313"/>
      <c r="P65" s="2313">
        <f>I61+K60+K57</f>
      </c>
    </row>
    <row r="66" spans="1:22" ht="16.149999999999999" customHeight="1" x14ac:dyDescent="0.25">
      <c r="A66" s="2598"/>
      <c r="B66" s="2603"/>
      <c r="C66" s="5217" t="s">
        <v>8843</v>
      </c>
      <c r="D66" s="5218"/>
      <c r="E66" s="5218"/>
      <c r="F66" s="5218"/>
      <c r="G66" s="5218"/>
      <c r="H66" s="5218"/>
      <c r="I66" s="5219"/>
      <c r="J66" s="2982">
        <f>TRA100A!C116+TRA100A!E116</f>
      </c>
      <c r="K66" s="2982">
        <f>TRA100A!D116+TRA100A!F116</f>
      </c>
      <c r="L66" s="2842" t="s">
        <v>8747</v>
      </c>
      <c r="M66" s="2592"/>
      <c r="N66" s="1485">
        <f>IF(L3="",0,1)</f>
      </c>
      <c r="R66" s="1485">
        <f>R59</f>
      </c>
      <c r="U66" s="1485">
        <f>COUNT(J66:K66)</f>
      </c>
    </row>
    <row r="67" spans="1:22" ht="4.1500000000000004" customHeight="1" x14ac:dyDescent="0.25">
      <c r="A67" s="2598"/>
      <c r="B67" s="2603"/>
      <c r="C67" s="2617"/>
      <c r="D67" s="2617"/>
      <c r="E67" s="2440"/>
      <c r="F67" s="2440"/>
      <c r="G67" s="2440"/>
      <c r="H67" s="2440"/>
      <c r="I67" s="2598"/>
      <c r="J67" s="2471"/>
      <c r="K67" s="2435"/>
      <c r="L67" s="2435"/>
      <c r="M67" s="2592"/>
    </row>
    <row r="68" spans="1:22" ht="15.75" x14ac:dyDescent="0.25">
      <c r="A68" s="2598"/>
      <c r="B68" s="2603"/>
      <c r="C68" s="5222" t="s">
        <v>8748</v>
      </c>
      <c r="D68" s="5223"/>
      <c r="E68" s="5223"/>
      <c r="F68" s="5223"/>
      <c r="G68" s="5223"/>
      <c r="H68" s="5224"/>
      <c r="I68" s="2731" t="s">
        <v>3243</v>
      </c>
      <c r="J68" s="2619" t="s">
        <v>363</v>
      </c>
      <c r="K68" s="2620" t="s">
        <v>2372</v>
      </c>
      <c r="L68" s="2435"/>
      <c r="M68" s="2592"/>
    </row>
    <row r="69" spans="1:22" ht="15.75" x14ac:dyDescent="0.25">
      <c r="A69" s="2598"/>
      <c r="B69" s="2603"/>
      <c r="C69" s="2440" t="s">
        <v>8244</v>
      </c>
      <c r="D69" s="2440"/>
      <c r="E69" s="2440"/>
      <c r="F69" s="2440"/>
      <c r="G69" s="2440"/>
      <c r="H69" s="2730" t="s">
        <v>8326</v>
      </c>
      <c r="I69" s="2758">
        <f>J66+K66+I46+I45</f>
      </c>
      <c r="J69" s="2435"/>
      <c r="K69" s="2435"/>
      <c r="L69" s="2435"/>
      <c r="M69" s="2592"/>
      <c r="P69" s="2313">
        <f>'p6'!S20+'p6'!S24+'p6'!S25</f>
      </c>
      <c r="Q69" s="2313">
        <f>'p6'!U20+'p6'!U24</f>
      </c>
    </row>
    <row r="70" spans="1:22" ht="15.75" x14ac:dyDescent="0.25">
      <c r="A70" s="2598"/>
      <c r="B70" s="2603"/>
      <c r="C70" s="2440" t="s">
        <v>8345</v>
      </c>
      <c r="D70" s="2440"/>
      <c r="E70" s="2440"/>
      <c r="F70" s="2440"/>
      <c r="G70" s="2440"/>
      <c r="H70" s="2730" t="s">
        <v>8327</v>
      </c>
      <c r="I70" s="2601">
        <f>(J70+K70)*-1</f>
      </c>
      <c r="J70" s="2984"/>
      <c r="K70" s="2984"/>
      <c r="L70" s="2435" t="str">
        <f>IF(Q1=0,"",IF(K57=0,"",IF(OR(J70="",K70=""),reo,IF(J70+K70&gt;O71*-1,"Check values!",IF(J70+K70&lt;&gt;V70,"Check values! (see P6)","")))))</f>
        <v/>
      </c>
      <c r="M70" s="2592"/>
      <c r="N70" s="1485">
        <f>IF(L70="",0,1)</f>
      </c>
      <c r="Q70" s="2313">
        <f>Q69+P69</f>
      </c>
      <c r="R70" s="2732">
        <f>ROUND(I69*0.1,0)</f>
      </c>
      <c r="S70" s="2313">
        <f>(R70+J70)*-1</f>
      </c>
      <c r="T70" s="2313">
        <f>(R70+J70)*-1</f>
      </c>
      <c r="V70" s="1485">
        <f>('p6'!S26+'p6'!U26)</f>
      </c>
    </row>
    <row r="71" spans="1:22" ht="15.75" x14ac:dyDescent="0.25">
      <c r="A71" s="2598"/>
      <c r="B71" s="2603"/>
      <c r="C71" s="2440"/>
      <c r="D71" s="2440"/>
      <c r="E71" s="2440"/>
      <c r="F71" s="2440"/>
      <c r="G71" s="2440"/>
      <c r="H71" s="2759" t="s">
        <v>8326</v>
      </c>
      <c r="I71" s="2839">
        <f>I69+I70</f>
      </c>
      <c r="J71" s="5232" t="str">
        <f>"[Maximum = ("&amp;O71&amp;")]"</f>
      </c>
      <c r="K71" s="5232"/>
      <c r="L71" s="2452"/>
      <c r="M71" s="2592"/>
      <c r="O71" s="2767">
        <f>IF(R71&lt;R70,R71,R70)</f>
      </c>
      <c r="P71" s="1485">
        <f>IF(O71&lt;P69,O71,P69)</f>
      </c>
      <c r="Q71" s="1485">
        <f>IF(O71&lt;Q69,P71,Q69)</f>
      </c>
      <c r="R71" s="2732">
        <f>R72+S72</f>
      </c>
    </row>
    <row r="72" spans="1:22" ht="20.65" customHeight="1" x14ac:dyDescent="0.2">
      <c r="A72" s="2598"/>
      <c r="B72" s="2607" t="str">
        <f>_xlfn.SINGLE(MTCA)</f>
      </c>
      <c r="C72" s="2607"/>
      <c r="D72" s="2607"/>
      <c r="E72" s="2607"/>
      <c r="F72" s="2607"/>
      <c r="G72" s="2607"/>
      <c r="H72" s="2607" t="str">
        <f>ver</f>
        <v>TA2_e-CO_2025_Ver 1.1</v>
      </c>
      <c r="I72" s="2607"/>
      <c r="J72" s="2607"/>
      <c r="K72" s="2607"/>
      <c r="L72" s="2608" t="s">
        <v>8343</v>
      </c>
      <c r="M72" s="2592"/>
      <c r="R72" s="2732">
        <f>'p6'!S20+'p6'!S24+'p6'!S25</f>
      </c>
      <c r="S72" s="2313">
        <f>'p6'!U20+'p6'!U24</f>
      </c>
    </row>
    <row r="73" spans="1:22" ht="7.9" hidden="1" customHeight="1" x14ac:dyDescent="0.2">
      <c r="A73" s="2598">
        <f>COUNTA(C73:L95)</f>
      </c>
      <c r="B73" s="2598"/>
      <c r="C73" s="2598"/>
      <c r="D73" s="2598"/>
      <c r="E73" s="2598"/>
      <c r="F73" s="2598"/>
      <c r="G73" s="2598"/>
      <c r="H73" s="2598"/>
      <c r="I73" s="2598"/>
      <c r="J73" s="2598"/>
      <c r="K73" s="2598"/>
      <c r="L73" s="2598"/>
      <c r="M73" s="2598"/>
      <c r="N73" s="2598"/>
      <c r="R73" s="2732"/>
    </row>
    <row r="74" spans="1:22" ht="12.75" hidden="1" x14ac:dyDescent="0.2">
      <c r="A74" s="2845"/>
      <c r="B74" s="2845"/>
      <c r="C74" s="2845"/>
      <c r="D74" s="2845"/>
      <c r="E74" s="2845"/>
      <c r="F74" s="2845"/>
      <c r="G74" s="2845"/>
      <c r="H74" s="2845"/>
      <c r="I74" s="2845"/>
      <c r="J74" s="2845"/>
      <c r="K74" s="2845"/>
      <c r="L74" s="2845"/>
      <c r="M74" s="2845"/>
      <c r="N74" s="2845"/>
      <c r="R74" s="2732"/>
    </row>
    <row r="75" spans="1:22" ht="12.75" hidden="1" x14ac:dyDescent="0.2">
      <c r="A75" s="2845"/>
      <c r="B75" s="2845"/>
      <c r="C75" s="2845"/>
      <c r="D75" s="2845"/>
      <c r="E75" s="2845"/>
      <c r="F75" s="2845"/>
      <c r="G75" s="2845"/>
      <c r="H75" s="2845"/>
      <c r="I75" s="2845"/>
      <c r="J75" s="2845"/>
      <c r="K75" s="2845"/>
      <c r="L75" s="2845"/>
      <c r="M75" s="2845"/>
      <c r="N75" s="2845"/>
      <c r="R75" s="2732"/>
    </row>
    <row r="76" spans="1:22" ht="12.75" hidden="1" x14ac:dyDescent="0.2">
      <c r="A76" s="2845"/>
      <c r="B76" s="2845"/>
      <c r="C76" s="2845"/>
      <c r="D76" s="2845"/>
      <c r="E76" s="2845"/>
      <c r="F76" s="2845"/>
      <c r="G76" s="2845"/>
      <c r="H76" s="2845"/>
      <c r="I76" s="2845"/>
      <c r="J76" s="2845"/>
      <c r="K76" s="2845"/>
      <c r="L76" s="2845"/>
      <c r="M76" s="2845"/>
      <c r="N76" s="2845"/>
      <c r="R76" s="2732"/>
    </row>
    <row r="77" spans="1:22" ht="12.75" hidden="1" x14ac:dyDescent="0.2">
      <c r="A77" s="2845"/>
      <c r="B77" s="2845"/>
      <c r="C77" s="2845"/>
      <c r="D77" s="2845"/>
      <c r="E77" s="2845"/>
      <c r="F77" s="2845"/>
      <c r="G77" s="2845"/>
      <c r="H77" s="2845"/>
      <c r="I77" s="2845"/>
      <c r="J77" s="2845"/>
      <c r="K77" s="2845"/>
      <c r="L77" s="2845"/>
      <c r="M77" s="2845"/>
      <c r="N77" s="2845"/>
      <c r="R77" s="2732"/>
    </row>
    <row r="78" spans="1:22" ht="12.75" hidden="1" x14ac:dyDescent="0.2">
      <c r="A78" s="2845"/>
      <c r="B78" s="2845"/>
      <c r="C78" s="2845"/>
      <c r="D78" s="2845"/>
      <c r="E78" s="2845"/>
      <c r="F78" s="2845"/>
      <c r="G78" s="2845"/>
      <c r="H78" s="2845"/>
      <c r="I78" s="2845"/>
      <c r="J78" s="2845"/>
      <c r="K78" s="2845"/>
      <c r="L78" s="2845"/>
      <c r="M78" s="2845"/>
      <c r="N78" s="2845"/>
      <c r="R78" s="2732"/>
    </row>
    <row r="79" spans="1:22" ht="12.75" hidden="1" x14ac:dyDescent="0.2">
      <c r="A79" s="2845"/>
      <c r="B79" s="2845"/>
      <c r="C79" s="2845"/>
      <c r="D79" s="2845"/>
      <c r="E79" s="2845"/>
      <c r="F79" s="2845"/>
      <c r="G79" s="2845"/>
      <c r="H79" s="2845"/>
      <c r="I79" s="2845"/>
      <c r="J79" s="2845"/>
      <c r="K79" s="2845"/>
      <c r="L79" s="2845"/>
      <c r="M79" s="2845"/>
      <c r="N79" s="2845"/>
      <c r="R79" s="2732"/>
    </row>
    <row r="80" spans="1:22" ht="12.75" hidden="1" x14ac:dyDescent="0.2">
      <c r="A80" s="2845"/>
      <c r="B80" s="2845"/>
      <c r="C80" s="2845"/>
      <c r="D80" s="2845"/>
      <c r="E80" s="2845"/>
      <c r="F80" s="2845"/>
      <c r="G80" s="2845"/>
      <c r="H80" s="2845"/>
      <c r="I80" s="2845"/>
      <c r="J80" s="2845"/>
      <c r="K80" s="2845"/>
      <c r="L80" s="2845"/>
      <c r="M80" s="2845"/>
      <c r="N80" s="2845"/>
      <c r="R80" s="2732"/>
    </row>
    <row r="81" spans="1:19" ht="12.75" hidden="1" x14ac:dyDescent="0.2">
      <c r="A81" s="2845"/>
      <c r="B81" s="2845"/>
      <c r="C81" s="2845"/>
      <c r="D81" s="2845"/>
      <c r="E81" s="2845"/>
      <c r="F81" s="2845"/>
      <c r="G81" s="2845"/>
      <c r="H81" s="2845"/>
      <c r="I81" s="2845"/>
      <c r="J81" s="2845"/>
      <c r="K81" s="2845"/>
      <c r="L81" s="2845"/>
      <c r="M81" s="2845"/>
      <c r="N81" s="2845"/>
      <c r="R81" s="2732"/>
    </row>
    <row r="82" spans="1:19" ht="6" hidden="1" customHeight="1" x14ac:dyDescent="0.2">
      <c r="A82" s="2845"/>
      <c r="B82" s="2845"/>
      <c r="C82" s="2845"/>
      <c r="D82" s="2845"/>
      <c r="E82" s="2845"/>
      <c r="F82" s="2845"/>
      <c r="G82" s="2845"/>
      <c r="H82" s="2845"/>
      <c r="I82" s="2845"/>
      <c r="J82" s="2845"/>
      <c r="K82" s="2845"/>
      <c r="L82" s="2845"/>
      <c r="M82" s="2845"/>
      <c r="N82" s="2845"/>
      <c r="R82" s="2732"/>
    </row>
    <row r="83" spans="1:19" ht="12.75" hidden="1" x14ac:dyDescent="0.2">
      <c r="A83" s="2845"/>
      <c r="B83" s="2845"/>
      <c r="C83" s="2845"/>
      <c r="D83" s="2845"/>
      <c r="E83" s="2845"/>
      <c r="F83" s="2845"/>
      <c r="G83" s="2845"/>
      <c r="H83" s="2845"/>
      <c r="I83" s="2845"/>
      <c r="J83" s="2845"/>
      <c r="K83" s="2845"/>
      <c r="L83" s="2845"/>
      <c r="M83" s="2845"/>
      <c r="N83" s="2845"/>
      <c r="R83" s="2732"/>
    </row>
    <row r="84" spans="1:19" ht="6" hidden="1" customHeight="1" x14ac:dyDescent="0.2">
      <c r="A84" s="2845"/>
      <c r="B84" s="2845"/>
      <c r="C84" s="2845"/>
      <c r="D84" s="2845"/>
      <c r="E84" s="2845"/>
      <c r="F84" s="2845"/>
      <c r="G84" s="2845"/>
      <c r="H84" s="2845"/>
      <c r="I84" s="2845"/>
      <c r="J84" s="2845"/>
      <c r="K84" s="2845"/>
      <c r="L84" s="2845"/>
      <c r="M84" s="2845"/>
      <c r="N84" s="2845"/>
      <c r="R84" s="2732"/>
    </row>
    <row r="85" spans="1:19" ht="12.75" hidden="1" x14ac:dyDescent="0.2">
      <c r="A85" s="2845"/>
      <c r="B85" s="2845"/>
      <c r="C85" s="2845"/>
      <c r="D85" s="2845"/>
      <c r="E85" s="2845"/>
      <c r="F85" s="2845"/>
      <c r="G85" s="2845"/>
      <c r="H85" s="2845"/>
      <c r="I85" s="2845"/>
      <c r="J85" s="2845"/>
      <c r="K85" s="2845"/>
      <c r="L85" s="2845"/>
      <c r="M85" s="2845"/>
      <c r="N85" s="2845"/>
      <c r="R85" s="2732"/>
    </row>
    <row r="86" spans="1:19" ht="6" hidden="1" customHeight="1" x14ac:dyDescent="0.2">
      <c r="A86" s="2845"/>
      <c r="B86" s="2845"/>
      <c r="C86" s="2845"/>
      <c r="D86" s="2845"/>
      <c r="E86" s="2845"/>
      <c r="F86" s="2845"/>
      <c r="G86" s="2845"/>
      <c r="H86" s="2845"/>
      <c r="I86" s="2845"/>
      <c r="J86" s="2845"/>
      <c r="K86" s="2845"/>
      <c r="L86" s="2845"/>
      <c r="M86" s="2845"/>
      <c r="N86" s="2845"/>
      <c r="R86" s="2732"/>
    </row>
    <row r="87" spans="1:19" ht="12.75" hidden="1" x14ac:dyDescent="0.2">
      <c r="A87" s="2845"/>
      <c r="B87" s="2845"/>
      <c r="C87" s="2845"/>
      <c r="D87" s="2845"/>
      <c r="E87" s="2845"/>
      <c r="F87" s="2845"/>
      <c r="G87" s="2845"/>
      <c r="H87" s="2845"/>
      <c r="I87" s="2845"/>
      <c r="J87" s="2845"/>
      <c r="K87" s="2845"/>
      <c r="L87" s="2845"/>
      <c r="M87" s="2845"/>
      <c r="N87" s="2845"/>
      <c r="R87" s="2732"/>
    </row>
    <row r="88" spans="1:19" ht="6" hidden="1" customHeight="1" x14ac:dyDescent="0.2">
      <c r="A88" s="2845"/>
      <c r="B88" s="2845"/>
      <c r="C88" s="2845"/>
      <c r="D88" s="2845"/>
      <c r="E88" s="2845"/>
      <c r="F88" s="2845"/>
      <c r="G88" s="2845"/>
      <c r="H88" s="2845"/>
      <c r="I88" s="2845"/>
      <c r="J88" s="2845"/>
      <c r="K88" s="2845"/>
      <c r="L88" s="2845"/>
      <c r="M88" s="2845"/>
      <c r="N88" s="2845"/>
      <c r="R88" s="2732"/>
    </row>
    <row r="89" spans="1:19" ht="12.75" hidden="1" x14ac:dyDescent="0.2">
      <c r="A89" s="2845"/>
      <c r="B89" s="2845"/>
      <c r="C89" s="2845"/>
      <c r="D89" s="2845"/>
      <c r="E89" s="2845"/>
      <c r="F89" s="2845"/>
      <c r="G89" s="2845"/>
      <c r="H89" s="2845"/>
      <c r="I89" s="2845"/>
      <c r="J89" s="2845"/>
      <c r="K89" s="2845"/>
      <c r="L89" s="2845"/>
      <c r="M89" s="2845"/>
      <c r="N89" s="2845"/>
      <c r="R89" s="2732"/>
    </row>
    <row r="90" spans="1:19" ht="12.75" hidden="1" x14ac:dyDescent="0.2">
      <c r="A90" s="2845"/>
      <c r="B90" s="2845"/>
      <c r="C90" s="2845"/>
      <c r="D90" s="2845"/>
      <c r="E90" s="2845"/>
      <c r="F90" s="2845"/>
      <c r="G90" s="2845"/>
      <c r="H90" s="2845"/>
      <c r="I90" s="2845"/>
      <c r="J90" s="2845"/>
      <c r="K90" s="2845"/>
      <c r="L90" s="2845"/>
      <c r="M90" s="2845"/>
      <c r="N90" s="2845"/>
      <c r="R90" s="2732">
        <f>COUNT(H90:K90)</f>
      </c>
    </row>
    <row r="91" spans="1:19" ht="3.4" hidden="1" customHeight="1" x14ac:dyDescent="0.2">
      <c r="A91" s="2845"/>
      <c r="B91" s="2845"/>
      <c r="C91" s="2845"/>
      <c r="D91" s="2845"/>
      <c r="E91" s="2845"/>
      <c r="F91" s="2845"/>
      <c r="G91" s="2845"/>
      <c r="H91" s="2845"/>
      <c r="I91" s="2845"/>
      <c r="J91" s="2845"/>
      <c r="K91" s="2845"/>
      <c r="L91" s="2845"/>
      <c r="M91" s="2845"/>
      <c r="N91" s="2845"/>
      <c r="R91" s="2732">
        <f>COUNT(H91:K91)</f>
      </c>
    </row>
    <row r="92" spans="1:19" ht="12.75" hidden="1" x14ac:dyDescent="0.2">
      <c r="A92" s="2845"/>
      <c r="B92" s="2845"/>
      <c r="C92" s="2845"/>
      <c r="D92" s="2845"/>
      <c r="E92" s="2845"/>
      <c r="F92" s="2845"/>
      <c r="G92" s="2845"/>
      <c r="H92" s="2845"/>
      <c r="I92" s="2845"/>
      <c r="J92" s="2845"/>
      <c r="K92" s="2845"/>
      <c r="L92" s="2845"/>
      <c r="M92" s="2845"/>
      <c r="N92" s="2845"/>
      <c r="R92" s="1485">
        <f>H92+I92</f>
      </c>
      <c r="S92" s="2734" t="s">
        <v>8328</v>
      </c>
    </row>
    <row r="93" spans="1:19" ht="12.75" hidden="1" x14ac:dyDescent="0.2">
      <c r="A93" s="2845"/>
      <c r="B93" s="2845"/>
      <c r="C93" s="2845"/>
      <c r="D93" s="2845"/>
      <c r="E93" s="2845"/>
      <c r="F93" s="2845"/>
      <c r="G93" s="2845"/>
      <c r="H93" s="2845"/>
      <c r="I93" s="2845"/>
      <c r="J93" s="2845"/>
      <c r="K93" s="2845"/>
      <c r="L93" s="2845"/>
      <c r="M93" s="2845"/>
      <c r="N93" s="2845"/>
      <c r="R93" s="2767">
        <f>TRA100A!R62</f>
      </c>
      <c r="S93" s="2734" t="s">
        <v>8329</v>
      </c>
    </row>
    <row r="94" spans="1:19" ht="12.75" hidden="1" x14ac:dyDescent="0.2">
      <c r="A94" s="2845"/>
      <c r="B94" s="2845"/>
      <c r="C94" s="2845"/>
      <c r="D94" s="2845"/>
      <c r="E94" s="2845"/>
      <c r="F94" s="2845"/>
      <c r="G94" s="2845"/>
      <c r="H94" s="2845"/>
      <c r="I94" s="2845"/>
      <c r="J94" s="2845"/>
      <c r="K94" s="2845"/>
      <c r="L94" s="2845"/>
      <c r="M94" s="2845"/>
      <c r="N94" s="2845"/>
      <c r="R94" s="1887">
        <f>SUM(H92:K92)</f>
      </c>
    </row>
    <row r="95" spans="1:19" ht="4.1500000000000004" hidden="1" customHeight="1" x14ac:dyDescent="0.25">
      <c r="A95" s="2845"/>
      <c r="B95" s="2846"/>
      <c r="C95" s="2845"/>
      <c r="D95" s="2530"/>
      <c r="E95" s="2530"/>
      <c r="F95" s="2530"/>
      <c r="G95" s="2847"/>
      <c r="H95" s="2530"/>
      <c r="I95" s="2530"/>
      <c r="J95" s="2530"/>
      <c r="K95" s="2530"/>
      <c r="L95" s="2530"/>
      <c r="S95" s="2734"/>
    </row>
    <row r="96" spans="1:19" ht="15.75" x14ac:dyDescent="0.25">
      <c r="A96" s="2598"/>
      <c r="B96" s="2603"/>
      <c r="C96" s="2440"/>
      <c r="D96" s="2436" t="s">
        <v>8352</v>
      </c>
      <c r="E96" s="2733"/>
      <c r="F96" s="2733"/>
      <c r="G96" s="2733"/>
      <c r="H96" s="2733"/>
      <c r="I96" s="2745"/>
      <c r="J96" s="2746"/>
      <c r="K96" s="2747"/>
      <c r="L96" s="2605"/>
      <c r="M96" s="2592"/>
    </row>
    <row r="97" spans="1:23" ht="15.75" x14ac:dyDescent="0.25">
      <c r="A97" s="2598"/>
      <c r="B97" s="2603"/>
      <c r="C97" s="2440"/>
      <c r="D97" s="5220" t="s">
        <v>6318</v>
      </c>
      <c r="E97" s="5229" t="s">
        <v>6311</v>
      </c>
      <c r="F97" s="5230" t="s">
        <v>8353</v>
      </c>
      <c r="G97" s="5230"/>
      <c r="H97" s="5230"/>
      <c r="I97" s="5229" t="s">
        <v>4449</v>
      </c>
      <c r="J97" s="5229" t="s">
        <v>657</v>
      </c>
      <c r="K97" s="5229" t="s">
        <v>8369</v>
      </c>
      <c r="L97" s="2605"/>
      <c r="M97" s="2592"/>
    </row>
    <row r="98" spans="1:23" ht="26.65" customHeight="1" x14ac:dyDescent="0.25">
      <c r="A98" s="2598"/>
      <c r="B98" s="2603"/>
      <c r="C98" s="2440"/>
      <c r="D98" s="5220"/>
      <c r="E98" s="5229"/>
      <c r="F98" s="5229" t="s">
        <v>8354</v>
      </c>
      <c r="G98" s="5231" t="s">
        <v>6322</v>
      </c>
      <c r="H98" s="5229" t="s">
        <v>8355</v>
      </c>
      <c r="I98" s="5229"/>
      <c r="J98" s="5229"/>
      <c r="K98" s="5229"/>
      <c r="L98" s="2605"/>
      <c r="M98" s="2592"/>
    </row>
    <row r="99" spans="1:23" s="2609" customFormat="1" ht="15.75" x14ac:dyDescent="0.25">
      <c r="A99" s="2607"/>
      <c r="B99" s="2603"/>
      <c r="C99" s="2440"/>
      <c r="D99" s="5220"/>
      <c r="E99" s="5229"/>
      <c r="F99" s="5229"/>
      <c r="G99" s="5231"/>
      <c r="H99" s="5229"/>
      <c r="I99" s="5229"/>
      <c r="J99" s="5229"/>
      <c r="K99" s="5229"/>
      <c r="L99" s="2605"/>
      <c r="M99" s="2592"/>
      <c r="O99" s="2753">
        <f>U142</f>
      </c>
      <c r="P99" s="2753">
        <f>O99</f>
      </c>
      <c r="Q99" s="2754" t="s">
        <v>5558</v>
      </c>
    </row>
    <row r="100" spans="1:23" s="2609" customFormat="1" ht="12.75" x14ac:dyDescent="0.2">
      <c r="A100" s="2607"/>
      <c r="B100" s="2607"/>
      <c r="C100" s="2607"/>
      <c r="D100" s="363"/>
      <c r="E100" s="275"/>
      <c r="F100" s="2844"/>
      <c r="G100" s="1963"/>
      <c r="H100" s="1963"/>
      <c r="I100" s="1963"/>
      <c r="J100" s="1963"/>
      <c r="K100" s="2936"/>
      <c r="L100" s="2616" t="str">
        <f>IF($J$66+$K$66=0,"",IF(AND(Q1&gt;0,R100&lt;Q100)," All details required!",""))</f>
        <v/>
      </c>
      <c r="M100" s="2748"/>
      <c r="N100" s="2609">
        <f>IF(L100="",0,1)</f>
      </c>
      <c r="O100" s="1485"/>
      <c r="P100" s="2313">
        <f>ROUND(O99,0)</f>
      </c>
      <c r="Q100" s="1485">
        <f>IF(D100=$Q$99,8,5)</f>
      </c>
      <c r="R100" s="1485">
        <f>COUNTA(D100:K100)</f>
      </c>
      <c r="S100" s="1485"/>
      <c r="T100" s="1485"/>
      <c r="U100" s="1485"/>
      <c r="V100" s="1485"/>
      <c r="W100" s="1485"/>
    </row>
    <row r="101" spans="1:23" s="2609" customFormat="1" ht="12.75" x14ac:dyDescent="0.2">
      <c r="A101" s="2607"/>
      <c r="B101" s="2607"/>
      <c r="C101" s="2607"/>
      <c r="D101" s="363"/>
      <c r="E101" s="275"/>
      <c r="F101" s="2844"/>
      <c r="G101" s="1963"/>
      <c r="H101" s="1963"/>
      <c r="I101" s="1963"/>
      <c r="J101" s="1963"/>
      <c r="K101" s="2936"/>
      <c r="L101" s="2616" t="str">
        <f>IF($J$66+$K$66=0,"",IF(AND(P101&gt;0,R101&lt;Q101)," All Details required!",""))</f>
        <v/>
      </c>
      <c r="M101" s="2748"/>
      <c r="N101" s="2609">
        <f t="shared" ref="N101:N142" si="3">IF(L101="",0,1)</f>
      </c>
      <c r="P101" s="2609">
        <f>IF(P100=0,0,P100-K100)</f>
      </c>
      <c r="Q101" s="1485">
        <f t="shared" ref="Q101:Q141" si="4">IF(D101=$Q$99,8,5)</f>
      </c>
      <c r="R101" s="1485">
        <f t="shared" ref="R101:R141" si="5">COUNTA(D101:K101)</f>
      </c>
    </row>
    <row r="102" spans="1:23" s="2609" customFormat="1" ht="12.75" x14ac:dyDescent="0.2">
      <c r="A102" s="2607"/>
      <c r="B102" s="2607"/>
      <c r="C102" s="2607"/>
      <c r="D102" s="363"/>
      <c r="E102" s="275"/>
      <c r="F102" s="2844"/>
      <c r="G102" s="1963"/>
      <c r="H102" s="1963"/>
      <c r="I102" s="1963"/>
      <c r="J102" s="1963"/>
      <c r="K102" s="2936"/>
      <c r="L102" s="2616" t="str">
        <f t="shared" ref="L102:L132" si="6">IF($J$66+$K$66=0,"",IF(AND(P102&gt;0,R102&lt;Q102)," All Details required!",""))</f>
        <v/>
      </c>
      <c r="M102" s="2748"/>
      <c r="N102" s="2609">
        <f t="shared" si="3"/>
        <v>0</v>
      </c>
      <c r="P102" s="2609">
        <f t="shared" ref="P102:P132" si="7">IF(P101=0,0,P101-K101)</f>
      </c>
      <c r="Q102" s="1485">
        <f t="shared" si="4"/>
        <v>5</v>
      </c>
      <c r="R102" s="1485">
        <f t="shared" si="5"/>
        <v>0</v>
      </c>
    </row>
    <row r="103" spans="1:23" s="2609" customFormat="1" ht="12.75" x14ac:dyDescent="0.2">
      <c r="A103" s="2607"/>
      <c r="B103" s="2607"/>
      <c r="C103" s="2607"/>
      <c r="D103" s="363"/>
      <c r="E103" s="275"/>
      <c r="F103" s="2844"/>
      <c r="G103" s="1963"/>
      <c r="H103" s="1963"/>
      <c r="I103" s="1963"/>
      <c r="J103" s="1963"/>
      <c r="K103" s="2936"/>
      <c r="L103" s="2616" t="str">
        <f t="shared" si="6"/>
        <v/>
      </c>
      <c r="M103" s="2748"/>
      <c r="N103" s="2609">
        <f t="shared" si="3"/>
        <v>0</v>
      </c>
      <c r="P103" s="2609">
        <f t="shared" si="7"/>
        <v>0</v>
      </c>
      <c r="Q103" s="1485">
        <f t="shared" si="4"/>
        <v>5</v>
      </c>
      <c r="R103" s="1485">
        <f t="shared" si="5"/>
        <v>0</v>
      </c>
    </row>
    <row r="104" spans="1:23" s="2609" customFormat="1" ht="12.75" x14ac:dyDescent="0.2">
      <c r="A104" s="2607"/>
      <c r="B104" s="2607"/>
      <c r="C104" s="2607"/>
      <c r="D104" s="363"/>
      <c r="E104" s="275"/>
      <c r="F104" s="2844"/>
      <c r="G104" s="1963"/>
      <c r="H104" s="1963"/>
      <c r="I104" s="1963"/>
      <c r="J104" s="1963"/>
      <c r="K104" s="2936"/>
      <c r="L104" s="2616" t="str">
        <f t="shared" si="6"/>
        <v/>
      </c>
      <c r="M104" s="2748"/>
      <c r="N104" s="2609">
        <f t="shared" si="3"/>
        <v>0</v>
      </c>
      <c r="P104" s="2609">
        <f t="shared" si="7"/>
        <v>0</v>
      </c>
      <c r="Q104" s="1485">
        <f t="shared" si="4"/>
        <v>5</v>
      </c>
      <c r="R104" s="1485">
        <f t="shared" si="5"/>
        <v>0</v>
      </c>
    </row>
    <row r="105" spans="1:23" s="2609" customFormat="1" ht="12.75" x14ac:dyDescent="0.2">
      <c r="A105" s="2607"/>
      <c r="B105" s="2607"/>
      <c r="C105" s="2607"/>
      <c r="D105" s="363"/>
      <c r="E105" s="275"/>
      <c r="F105" s="2844"/>
      <c r="G105" s="1963"/>
      <c r="H105" s="1963"/>
      <c r="I105" s="1963"/>
      <c r="J105" s="1963"/>
      <c r="K105" s="2936"/>
      <c r="L105" s="2616" t="str">
        <f t="shared" si="6"/>
        <v/>
      </c>
      <c r="M105" s="2748"/>
      <c r="N105" s="2609">
        <f t="shared" si="3"/>
        <v>0</v>
      </c>
      <c r="P105" s="2609">
        <f t="shared" si="7"/>
        <v>0</v>
      </c>
      <c r="Q105" s="1485">
        <f t="shared" si="4"/>
        <v>5</v>
      </c>
      <c r="R105" s="1485">
        <f t="shared" si="5"/>
        <v>0</v>
      </c>
    </row>
    <row r="106" spans="1:23" s="2609" customFormat="1" ht="12.75" x14ac:dyDescent="0.2">
      <c r="A106" s="2607"/>
      <c r="B106" s="2607"/>
      <c r="C106" s="2607"/>
      <c r="D106" s="363"/>
      <c r="E106" s="275"/>
      <c r="F106" s="2844"/>
      <c r="G106" s="1963"/>
      <c r="H106" s="1963"/>
      <c r="I106" s="1963"/>
      <c r="J106" s="1963"/>
      <c r="K106" s="2936"/>
      <c r="L106" s="2616" t="str">
        <f t="shared" si="6"/>
        <v/>
      </c>
      <c r="M106" s="2748"/>
      <c r="N106" s="2609">
        <f t="shared" si="3"/>
        <v>0</v>
      </c>
      <c r="P106" s="2609">
        <f t="shared" si="7"/>
        <v>0</v>
      </c>
      <c r="Q106" s="1485">
        <f t="shared" si="4"/>
        <v>5</v>
      </c>
      <c r="R106" s="1485">
        <f t="shared" si="5"/>
        <v>0</v>
      </c>
    </row>
    <row r="107" spans="1:23" s="2609" customFormat="1" ht="12.75" x14ac:dyDescent="0.2">
      <c r="A107" s="2607"/>
      <c r="B107" s="2607"/>
      <c r="C107" s="2607"/>
      <c r="D107" s="363"/>
      <c r="E107" s="275"/>
      <c r="F107" s="2844"/>
      <c r="G107" s="1963"/>
      <c r="H107" s="1963"/>
      <c r="I107" s="1963"/>
      <c r="J107" s="1963"/>
      <c r="K107" s="2936"/>
      <c r="L107" s="2616" t="str">
        <f t="shared" si="6"/>
        <v/>
      </c>
      <c r="M107" s="2748"/>
      <c r="N107" s="2609">
        <f t="shared" si="3"/>
        <v>0</v>
      </c>
      <c r="P107" s="2609">
        <f t="shared" si="7"/>
        <v>0</v>
      </c>
      <c r="Q107" s="1485">
        <f t="shared" si="4"/>
        <v>5</v>
      </c>
      <c r="R107" s="1485">
        <f t="shared" si="5"/>
        <v>0</v>
      </c>
    </row>
    <row r="108" spans="1:23" s="2609" customFormat="1" ht="12.75" x14ac:dyDescent="0.2">
      <c r="A108" s="2607"/>
      <c r="B108" s="2607"/>
      <c r="C108" s="2607"/>
      <c r="D108" s="363"/>
      <c r="E108" s="275"/>
      <c r="F108" s="2844"/>
      <c r="G108" s="1963"/>
      <c r="H108" s="1963"/>
      <c r="I108" s="1963"/>
      <c r="J108" s="1963"/>
      <c r="K108" s="2936"/>
      <c r="L108" s="2616" t="str">
        <f t="shared" si="6"/>
        <v/>
      </c>
      <c r="M108" s="2748"/>
      <c r="N108" s="2609">
        <f t="shared" si="3"/>
        <v>0</v>
      </c>
      <c r="P108" s="2609">
        <f t="shared" si="7"/>
        <v>0</v>
      </c>
      <c r="Q108" s="1485">
        <f t="shared" si="4"/>
        <v>5</v>
      </c>
      <c r="R108" s="1485">
        <f t="shared" si="5"/>
        <v>0</v>
      </c>
    </row>
    <row r="109" spans="1:23" s="2609" customFormat="1" ht="12.75" x14ac:dyDescent="0.2">
      <c r="A109" s="2607"/>
      <c r="B109" s="2607"/>
      <c r="C109" s="2607"/>
      <c r="D109" s="363"/>
      <c r="E109" s="275"/>
      <c r="F109" s="2844"/>
      <c r="G109" s="1963"/>
      <c r="H109" s="1963"/>
      <c r="I109" s="1963"/>
      <c r="J109" s="1963"/>
      <c r="K109" s="2936"/>
      <c r="L109" s="2616" t="str">
        <f t="shared" si="6"/>
        <v/>
      </c>
      <c r="M109" s="2748"/>
      <c r="N109" s="2609">
        <f t="shared" si="3"/>
        <v>0</v>
      </c>
      <c r="P109" s="2609">
        <f t="shared" si="7"/>
        <v>0</v>
      </c>
      <c r="Q109" s="1485">
        <f t="shared" si="4"/>
        <v>5</v>
      </c>
      <c r="R109" s="1485">
        <f t="shared" si="5"/>
        <v>0</v>
      </c>
    </row>
    <row r="110" spans="1:23" s="2609" customFormat="1" ht="12.75" x14ac:dyDescent="0.2">
      <c r="A110" s="2607"/>
      <c r="B110" s="2607"/>
      <c r="C110" s="2607"/>
      <c r="D110" s="363"/>
      <c r="E110" s="275"/>
      <c r="F110" s="2844"/>
      <c r="G110" s="1963"/>
      <c r="H110" s="1963"/>
      <c r="I110" s="1963"/>
      <c r="J110" s="1963"/>
      <c r="K110" s="2936"/>
      <c r="L110" s="2616" t="str">
        <f t="shared" si="6"/>
        <v/>
      </c>
      <c r="M110" s="2748"/>
      <c r="N110" s="2609">
        <f t="shared" si="3"/>
        <v>0</v>
      </c>
      <c r="P110" s="2609">
        <f t="shared" si="7"/>
        <v>0</v>
      </c>
      <c r="Q110" s="1485">
        <f t="shared" si="4"/>
        <v>5</v>
      </c>
      <c r="R110" s="1485">
        <f t="shared" si="5"/>
        <v>0</v>
      </c>
    </row>
    <row r="111" spans="1:23" s="2609" customFormat="1" ht="12.75" x14ac:dyDescent="0.2">
      <c r="A111" s="2607"/>
      <c r="B111" s="2607"/>
      <c r="C111" s="2607"/>
      <c r="D111" s="363"/>
      <c r="E111" s="275"/>
      <c r="F111" s="2844"/>
      <c r="G111" s="1963"/>
      <c r="H111" s="1963"/>
      <c r="I111" s="1963"/>
      <c r="J111" s="1963"/>
      <c r="K111" s="2936"/>
      <c r="L111" s="2616" t="str">
        <f t="shared" si="6"/>
        <v/>
      </c>
      <c r="M111" s="2748"/>
      <c r="N111" s="2609">
        <f t="shared" si="3"/>
        <v>0</v>
      </c>
      <c r="P111" s="2609">
        <f t="shared" si="7"/>
        <v>0</v>
      </c>
      <c r="Q111" s="1485">
        <f t="shared" si="4"/>
        <v>5</v>
      </c>
      <c r="R111" s="1485">
        <f t="shared" si="5"/>
        <v>0</v>
      </c>
    </row>
    <row r="112" spans="1:23" s="2609" customFormat="1" ht="12.75" x14ac:dyDescent="0.2">
      <c r="A112" s="2607"/>
      <c r="B112" s="2607"/>
      <c r="C112" s="2607"/>
      <c r="D112" s="363"/>
      <c r="E112" s="275"/>
      <c r="F112" s="2844"/>
      <c r="G112" s="1963"/>
      <c r="H112" s="1963"/>
      <c r="I112" s="1963"/>
      <c r="J112" s="1963"/>
      <c r="K112" s="2936"/>
      <c r="L112" s="2616" t="str">
        <f t="shared" si="6"/>
        <v/>
      </c>
      <c r="M112" s="2748"/>
      <c r="N112" s="2609">
        <f t="shared" si="3"/>
        <v>0</v>
      </c>
      <c r="P112" s="2609">
        <f t="shared" si="7"/>
        <v>0</v>
      </c>
      <c r="Q112" s="1485">
        <f t="shared" si="4"/>
        <v>5</v>
      </c>
      <c r="R112" s="1485">
        <f t="shared" si="5"/>
        <v>0</v>
      </c>
    </row>
    <row r="113" spans="1:18" s="2609" customFormat="1" ht="12.75" x14ac:dyDescent="0.2">
      <c r="A113" s="2607"/>
      <c r="B113" s="2607"/>
      <c r="C113" s="2607"/>
      <c r="D113" s="363"/>
      <c r="E113" s="275"/>
      <c r="F113" s="2844"/>
      <c r="G113" s="1963"/>
      <c r="H113" s="1963"/>
      <c r="I113" s="1963"/>
      <c r="J113" s="1963"/>
      <c r="K113" s="2936"/>
      <c r="L113" s="2616" t="str">
        <f t="shared" si="6"/>
        <v/>
      </c>
      <c r="M113" s="2748"/>
      <c r="N113" s="2609">
        <f t="shared" si="3"/>
        <v>0</v>
      </c>
      <c r="P113" s="2609">
        <f t="shared" si="7"/>
        <v>0</v>
      </c>
      <c r="Q113" s="1485">
        <f t="shared" si="4"/>
        <v>5</v>
      </c>
      <c r="R113" s="1485">
        <f t="shared" si="5"/>
        <v>0</v>
      </c>
    </row>
    <row r="114" spans="1:18" s="2609" customFormat="1" ht="12.75" x14ac:dyDescent="0.2">
      <c r="A114" s="2607"/>
      <c r="B114" s="2607"/>
      <c r="C114" s="2607"/>
      <c r="D114" s="363"/>
      <c r="E114" s="275"/>
      <c r="F114" s="2844"/>
      <c r="G114" s="1963"/>
      <c r="H114" s="1963"/>
      <c r="I114" s="1963"/>
      <c r="J114" s="1963"/>
      <c r="K114" s="2936"/>
      <c r="L114" s="2616" t="str">
        <f t="shared" si="6"/>
        <v/>
      </c>
      <c r="M114" s="2748"/>
      <c r="N114" s="2609">
        <f t="shared" si="3"/>
        <v>0</v>
      </c>
      <c r="P114" s="2609">
        <f t="shared" si="7"/>
        <v>0</v>
      </c>
      <c r="Q114" s="1485">
        <f t="shared" si="4"/>
        <v>5</v>
      </c>
      <c r="R114" s="1485">
        <f t="shared" si="5"/>
        <v>0</v>
      </c>
    </row>
    <row r="115" spans="1:18" s="2609" customFormat="1" ht="12.75" x14ac:dyDescent="0.2">
      <c r="A115" s="2607"/>
      <c r="B115" s="2607"/>
      <c r="C115" s="2607"/>
      <c r="D115" s="363"/>
      <c r="E115" s="275"/>
      <c r="F115" s="2844"/>
      <c r="G115" s="1963"/>
      <c r="H115" s="1963"/>
      <c r="I115" s="1963"/>
      <c r="J115" s="1963"/>
      <c r="K115" s="2936"/>
      <c r="L115" s="2616" t="str">
        <f t="shared" si="6"/>
        <v/>
      </c>
      <c r="M115" s="2748"/>
      <c r="N115" s="2609">
        <f t="shared" si="3"/>
        <v>0</v>
      </c>
      <c r="P115" s="2609">
        <f t="shared" si="7"/>
        <v>0</v>
      </c>
      <c r="Q115" s="1485">
        <f t="shared" si="4"/>
        <v>5</v>
      </c>
      <c r="R115" s="1485">
        <f t="shared" si="5"/>
        <v>0</v>
      </c>
    </row>
    <row r="116" spans="1:18" s="2609" customFormat="1" ht="12.75" x14ac:dyDescent="0.2">
      <c r="A116" s="2607"/>
      <c r="B116" s="2607"/>
      <c r="C116" s="2607"/>
      <c r="D116" s="363"/>
      <c r="E116" s="275"/>
      <c r="F116" s="2844"/>
      <c r="G116" s="1963"/>
      <c r="H116" s="1963"/>
      <c r="I116" s="1963"/>
      <c r="J116" s="1963"/>
      <c r="K116" s="2936"/>
      <c r="L116" s="2616" t="str">
        <f t="shared" si="6"/>
        <v/>
      </c>
      <c r="M116" s="2748"/>
      <c r="N116" s="2609">
        <f t="shared" si="3"/>
        <v>0</v>
      </c>
      <c r="P116" s="2609">
        <f t="shared" si="7"/>
        <v>0</v>
      </c>
      <c r="Q116" s="1485">
        <f t="shared" si="4"/>
        <v>5</v>
      </c>
      <c r="R116" s="1485">
        <f t="shared" si="5"/>
        <v>0</v>
      </c>
    </row>
    <row r="117" spans="1:18" s="2609" customFormat="1" ht="12.75" x14ac:dyDescent="0.2">
      <c r="A117" s="2607"/>
      <c r="B117" s="2607"/>
      <c r="C117" s="2607"/>
      <c r="D117" s="363"/>
      <c r="E117" s="275"/>
      <c r="F117" s="2844"/>
      <c r="G117" s="1963"/>
      <c r="H117" s="1963"/>
      <c r="I117" s="1963"/>
      <c r="J117" s="1963"/>
      <c r="K117" s="2936"/>
      <c r="L117" s="2616" t="str">
        <f t="shared" si="6"/>
        <v/>
      </c>
      <c r="M117" s="2748"/>
      <c r="N117" s="2609">
        <f t="shared" si="3"/>
        <v>0</v>
      </c>
      <c r="P117" s="2609">
        <f t="shared" si="7"/>
        <v>0</v>
      </c>
      <c r="Q117" s="1485">
        <f t="shared" si="4"/>
        <v>5</v>
      </c>
      <c r="R117" s="1485">
        <f t="shared" si="5"/>
        <v>0</v>
      </c>
    </row>
    <row r="118" spans="1:18" s="2609" customFormat="1" ht="12.75" x14ac:dyDescent="0.2">
      <c r="A118" s="2607"/>
      <c r="B118" s="2607"/>
      <c r="C118" s="2607"/>
      <c r="D118" s="363"/>
      <c r="E118" s="275"/>
      <c r="F118" s="2844"/>
      <c r="G118" s="1963"/>
      <c r="H118" s="1963"/>
      <c r="I118" s="1963"/>
      <c r="J118" s="1963"/>
      <c r="K118" s="2936"/>
      <c r="L118" s="2616" t="str">
        <f t="shared" si="6"/>
        <v/>
      </c>
      <c r="M118" s="2748"/>
      <c r="N118" s="2609">
        <f t="shared" si="3"/>
        <v>0</v>
      </c>
      <c r="P118" s="2609">
        <f t="shared" si="7"/>
        <v>0</v>
      </c>
      <c r="Q118" s="1485">
        <f t="shared" si="4"/>
        <v>5</v>
      </c>
      <c r="R118" s="1485">
        <f t="shared" si="5"/>
        <v>0</v>
      </c>
    </row>
    <row r="119" spans="1:18" s="2609" customFormat="1" ht="12.75" x14ac:dyDescent="0.2">
      <c r="A119" s="2607"/>
      <c r="B119" s="2607"/>
      <c r="C119" s="2607"/>
      <c r="D119" s="363"/>
      <c r="E119" s="275"/>
      <c r="F119" s="2844"/>
      <c r="G119" s="1963"/>
      <c r="H119" s="1963"/>
      <c r="I119" s="1963"/>
      <c r="J119" s="1963"/>
      <c r="K119" s="2936"/>
      <c r="L119" s="2616" t="str">
        <f t="shared" si="6"/>
        <v/>
      </c>
      <c r="M119" s="2748"/>
      <c r="N119" s="2609">
        <f t="shared" si="3"/>
        <v>0</v>
      </c>
      <c r="P119" s="2609">
        <f t="shared" si="7"/>
        <v>0</v>
      </c>
      <c r="Q119" s="1485">
        <f t="shared" si="4"/>
        <v>5</v>
      </c>
      <c r="R119" s="1485">
        <f t="shared" si="5"/>
        <v>0</v>
      </c>
    </row>
    <row r="120" spans="1:18" s="2609" customFormat="1" ht="12.75" x14ac:dyDescent="0.2">
      <c r="A120" s="2607"/>
      <c r="B120" s="2607"/>
      <c r="C120" s="2607"/>
      <c r="D120" s="363"/>
      <c r="E120" s="275"/>
      <c r="F120" s="2844"/>
      <c r="G120" s="1963"/>
      <c r="H120" s="1963"/>
      <c r="I120" s="1963"/>
      <c r="J120" s="1963"/>
      <c r="K120" s="2936"/>
      <c r="L120" s="2616" t="str">
        <f t="shared" si="6"/>
        <v/>
      </c>
      <c r="M120" s="2748"/>
      <c r="N120" s="2609">
        <f t="shared" si="3"/>
        <v>0</v>
      </c>
      <c r="P120" s="2609">
        <f t="shared" si="7"/>
        <v>0</v>
      </c>
      <c r="Q120" s="1485">
        <f t="shared" si="4"/>
        <v>5</v>
      </c>
      <c r="R120" s="1485">
        <f t="shared" si="5"/>
        <v>0</v>
      </c>
    </row>
    <row r="121" spans="1:18" s="2609" customFormat="1" ht="12.75" x14ac:dyDescent="0.2">
      <c r="A121" s="2607"/>
      <c r="B121" s="2607"/>
      <c r="C121" s="2607"/>
      <c r="D121" s="363"/>
      <c r="E121" s="275"/>
      <c r="F121" s="2844"/>
      <c r="G121" s="1963"/>
      <c r="H121" s="1963"/>
      <c r="I121" s="1963"/>
      <c r="J121" s="1963"/>
      <c r="K121" s="2936"/>
      <c r="L121" s="2616" t="str">
        <f t="shared" si="6"/>
        <v/>
      </c>
      <c r="M121" s="2748"/>
      <c r="N121" s="2609">
        <f t="shared" si="3"/>
        <v>0</v>
      </c>
      <c r="P121" s="2609">
        <f t="shared" si="7"/>
        <v>0</v>
      </c>
      <c r="Q121" s="1485">
        <f t="shared" si="4"/>
        <v>5</v>
      </c>
      <c r="R121" s="1485">
        <f t="shared" si="5"/>
        <v>0</v>
      </c>
    </row>
    <row r="122" spans="1:18" s="2609" customFormat="1" ht="12.75" x14ac:dyDescent="0.2">
      <c r="A122" s="2607"/>
      <c r="B122" s="2607"/>
      <c r="C122" s="2607"/>
      <c r="D122" s="363"/>
      <c r="E122" s="275"/>
      <c r="F122" s="2844"/>
      <c r="G122" s="1963"/>
      <c r="H122" s="1963"/>
      <c r="I122" s="1963"/>
      <c r="J122" s="1963"/>
      <c r="K122" s="2936"/>
      <c r="L122" s="2616" t="str">
        <f t="shared" si="6"/>
        <v/>
      </c>
      <c r="M122" s="2748"/>
      <c r="N122" s="2609">
        <f t="shared" si="3"/>
        <v>0</v>
      </c>
      <c r="P122" s="2609">
        <f t="shared" si="7"/>
        <v>0</v>
      </c>
      <c r="Q122" s="1485">
        <f t="shared" si="4"/>
        <v>5</v>
      </c>
      <c r="R122" s="1485">
        <f t="shared" si="5"/>
        <v>0</v>
      </c>
    </row>
    <row r="123" spans="1:18" s="2609" customFormat="1" ht="12.75" x14ac:dyDescent="0.2">
      <c r="A123" s="2607"/>
      <c r="B123" s="2607"/>
      <c r="C123" s="2607"/>
      <c r="D123" s="363"/>
      <c r="E123" s="275"/>
      <c r="F123" s="2844"/>
      <c r="G123" s="1963"/>
      <c r="H123" s="1963"/>
      <c r="I123" s="1963"/>
      <c r="J123" s="1963"/>
      <c r="K123" s="2936"/>
      <c r="L123" s="2616" t="str">
        <f t="shared" si="6"/>
        <v/>
      </c>
      <c r="M123" s="2748"/>
      <c r="N123" s="2609">
        <f t="shared" si="3"/>
        <v>0</v>
      </c>
      <c r="P123" s="2609">
        <f t="shared" si="7"/>
        <v>0</v>
      </c>
      <c r="Q123" s="1485">
        <f t="shared" si="4"/>
        <v>5</v>
      </c>
      <c r="R123" s="1485">
        <f t="shared" si="5"/>
        <v>0</v>
      </c>
    </row>
    <row r="124" spans="1:18" s="2609" customFormat="1" ht="12.75" x14ac:dyDescent="0.2">
      <c r="A124" s="2607"/>
      <c r="B124" s="2607"/>
      <c r="C124" s="2607"/>
      <c r="D124" s="363"/>
      <c r="E124" s="275"/>
      <c r="F124" s="2844"/>
      <c r="G124" s="1963"/>
      <c r="H124" s="1963"/>
      <c r="I124" s="1963"/>
      <c r="J124" s="1963"/>
      <c r="K124" s="2936"/>
      <c r="L124" s="2616" t="str">
        <f t="shared" si="6"/>
        <v/>
      </c>
      <c r="M124" s="2748"/>
      <c r="N124" s="2609">
        <f t="shared" si="3"/>
        <v>0</v>
      </c>
      <c r="P124" s="2609">
        <f t="shared" si="7"/>
        <v>0</v>
      </c>
      <c r="Q124" s="1485">
        <f t="shared" si="4"/>
        <v>5</v>
      </c>
      <c r="R124" s="1485">
        <f t="shared" si="5"/>
        <v>0</v>
      </c>
    </row>
    <row r="125" spans="1:18" s="2609" customFormat="1" ht="12.75" x14ac:dyDescent="0.2">
      <c r="A125" s="2607"/>
      <c r="B125" s="2607"/>
      <c r="C125" s="2607"/>
      <c r="D125" s="363"/>
      <c r="E125" s="275"/>
      <c r="F125" s="2844"/>
      <c r="G125" s="1963"/>
      <c r="H125" s="1963"/>
      <c r="I125" s="1963"/>
      <c r="J125" s="1963"/>
      <c r="K125" s="2936"/>
      <c r="L125" s="2616" t="str">
        <f t="shared" si="6"/>
        <v/>
      </c>
      <c r="M125" s="2748"/>
      <c r="N125" s="2609">
        <f t="shared" si="3"/>
        <v>0</v>
      </c>
      <c r="P125" s="2609">
        <f t="shared" si="7"/>
        <v>0</v>
      </c>
      <c r="Q125" s="1485">
        <f t="shared" si="4"/>
        <v>5</v>
      </c>
      <c r="R125" s="1485">
        <f t="shared" si="5"/>
        <v>0</v>
      </c>
    </row>
    <row r="126" spans="1:18" s="2609" customFormat="1" ht="12.75" x14ac:dyDescent="0.2">
      <c r="A126" s="2607"/>
      <c r="B126" s="2607"/>
      <c r="C126" s="2607"/>
      <c r="D126" s="363"/>
      <c r="E126" s="275"/>
      <c r="F126" s="2844"/>
      <c r="G126" s="1963"/>
      <c r="H126" s="1963"/>
      <c r="I126" s="1963"/>
      <c r="J126" s="1963"/>
      <c r="K126" s="2936"/>
      <c r="L126" s="2616" t="str">
        <f t="shared" si="6"/>
        <v/>
      </c>
      <c r="M126" s="2748"/>
      <c r="N126" s="2609">
        <f t="shared" si="3"/>
        <v>0</v>
      </c>
      <c r="P126" s="2609">
        <f t="shared" si="7"/>
        <v>0</v>
      </c>
      <c r="Q126" s="1485">
        <f t="shared" si="4"/>
        <v>5</v>
      </c>
      <c r="R126" s="1485">
        <f t="shared" si="5"/>
        <v>0</v>
      </c>
    </row>
    <row r="127" spans="1:18" s="2609" customFormat="1" ht="12.75" x14ac:dyDescent="0.2">
      <c r="A127" s="2607"/>
      <c r="B127" s="2607"/>
      <c r="C127" s="2607"/>
      <c r="D127" s="363"/>
      <c r="E127" s="275"/>
      <c r="F127" s="2844"/>
      <c r="G127" s="1963"/>
      <c r="H127" s="1963"/>
      <c r="I127" s="1963"/>
      <c r="J127" s="1963"/>
      <c r="K127" s="2936"/>
      <c r="L127" s="2616" t="str">
        <f t="shared" si="6"/>
        <v/>
      </c>
      <c r="M127" s="2748"/>
      <c r="N127" s="2609">
        <f t="shared" si="3"/>
        <v>0</v>
      </c>
      <c r="P127" s="2609">
        <f t="shared" si="7"/>
        <v>0</v>
      </c>
      <c r="Q127" s="1485">
        <f t="shared" si="4"/>
        <v>5</v>
      </c>
      <c r="R127" s="1485">
        <f t="shared" si="5"/>
        <v>0</v>
      </c>
    </row>
    <row r="128" spans="1:18" s="2609" customFormat="1" ht="12.75" x14ac:dyDescent="0.2">
      <c r="A128" s="2607"/>
      <c r="B128" s="2607"/>
      <c r="C128" s="2607"/>
      <c r="D128" s="363"/>
      <c r="E128" s="275"/>
      <c r="F128" s="2844"/>
      <c r="G128" s="1963"/>
      <c r="H128" s="1963"/>
      <c r="I128" s="1963"/>
      <c r="J128" s="1963"/>
      <c r="K128" s="2936"/>
      <c r="L128" s="2616" t="str">
        <f t="shared" si="6"/>
        <v/>
      </c>
      <c r="M128" s="2748"/>
      <c r="N128" s="2609">
        <f t="shared" si="3"/>
        <v>0</v>
      </c>
      <c r="P128" s="2609">
        <f t="shared" si="7"/>
        <v>0</v>
      </c>
      <c r="Q128" s="1485">
        <f t="shared" si="4"/>
        <v>5</v>
      </c>
      <c r="R128" s="1485">
        <f t="shared" si="5"/>
        <v>0</v>
      </c>
    </row>
    <row r="129" spans="1:21" s="2609" customFormat="1" ht="12.75" x14ac:dyDescent="0.2">
      <c r="A129" s="2607"/>
      <c r="B129" s="2607"/>
      <c r="C129" s="2607"/>
      <c r="D129" s="363"/>
      <c r="E129" s="275"/>
      <c r="F129" s="2844"/>
      <c r="G129" s="1963"/>
      <c r="H129" s="1963"/>
      <c r="I129" s="1963"/>
      <c r="J129" s="1963"/>
      <c r="K129" s="2936"/>
      <c r="L129" s="2616" t="str">
        <f t="shared" si="6"/>
        <v/>
      </c>
      <c r="M129" s="2748"/>
      <c r="N129" s="2609">
        <f t="shared" si="3"/>
        <v>0</v>
      </c>
      <c r="P129" s="2609">
        <f t="shared" si="7"/>
        <v>0</v>
      </c>
      <c r="Q129" s="1485">
        <f t="shared" si="4"/>
        <v>5</v>
      </c>
      <c r="R129" s="1485">
        <f t="shared" si="5"/>
        <v>0</v>
      </c>
    </row>
    <row r="130" spans="1:21" s="2609" customFormat="1" ht="12.75" x14ac:dyDescent="0.2">
      <c r="A130" s="2607"/>
      <c r="B130" s="2607"/>
      <c r="C130" s="2607"/>
      <c r="D130" s="363"/>
      <c r="E130" s="275"/>
      <c r="F130" s="2844"/>
      <c r="G130" s="1963"/>
      <c r="H130" s="1963"/>
      <c r="I130" s="1963"/>
      <c r="J130" s="1963"/>
      <c r="K130" s="2936"/>
      <c r="L130" s="2616" t="str">
        <f t="shared" si="6"/>
        <v/>
      </c>
      <c r="M130" s="2748"/>
      <c r="N130" s="2609">
        <f t="shared" si="3"/>
        <v>0</v>
      </c>
      <c r="P130" s="2609">
        <f t="shared" si="7"/>
        <v>0</v>
      </c>
      <c r="Q130" s="1485">
        <f t="shared" si="4"/>
        <v>5</v>
      </c>
      <c r="R130" s="1485">
        <f t="shared" si="5"/>
        <v>0</v>
      </c>
    </row>
    <row r="131" spans="1:21" ht="12.75" x14ac:dyDescent="0.2">
      <c r="A131" s="2598"/>
      <c r="B131" s="2598"/>
      <c r="C131" s="2607"/>
      <c r="D131" s="363"/>
      <c r="E131" s="275"/>
      <c r="F131" s="2844"/>
      <c r="G131" s="1963"/>
      <c r="H131" s="1963"/>
      <c r="I131" s="1963"/>
      <c r="J131" s="1963"/>
      <c r="K131" s="2936"/>
      <c r="L131" s="2616" t="str">
        <f t="shared" si="6"/>
        <v/>
      </c>
      <c r="M131" s="2748"/>
      <c r="N131" s="2609">
        <f t="shared" si="3"/>
        <v>0</v>
      </c>
      <c r="O131" s="2609"/>
      <c r="P131" s="2609">
        <f t="shared" si="7"/>
        <v>0</v>
      </c>
      <c r="Q131" s="1485">
        <f t="shared" si="4"/>
        <v>5</v>
      </c>
      <c r="R131" s="1485">
        <f t="shared" si="5"/>
        <v>0</v>
      </c>
    </row>
    <row r="132" spans="1:21" ht="12.75" x14ac:dyDescent="0.2">
      <c r="A132" s="2598"/>
      <c r="B132" s="2598"/>
      <c r="C132" s="2607"/>
      <c r="D132" s="363"/>
      <c r="E132" s="275"/>
      <c r="F132" s="2844"/>
      <c r="G132" s="1963"/>
      <c r="H132" s="1963"/>
      <c r="I132" s="1963"/>
      <c r="J132" s="1963"/>
      <c r="K132" s="2936"/>
      <c r="L132" s="2616" t="str">
        <f t="shared" si="6"/>
        <v/>
      </c>
      <c r="M132" s="2748"/>
      <c r="N132" s="2609">
        <f t="shared" si="3"/>
        <v>0</v>
      </c>
      <c r="O132" s="2609"/>
      <c r="P132" s="2609">
        <f t="shared" si="7"/>
        <v>0</v>
      </c>
      <c r="Q132" s="1485">
        <f t="shared" si="4"/>
        <v>5</v>
      </c>
      <c r="R132" s="1485">
        <f t="shared" si="5"/>
        <v>0</v>
      </c>
    </row>
    <row r="133" spans="1:21" ht="12.75" hidden="1" x14ac:dyDescent="0.2">
      <c r="A133" s="2598"/>
      <c r="B133" s="2598"/>
      <c r="C133" s="2621"/>
      <c r="D133" s="363"/>
      <c r="E133" s="275"/>
      <c r="F133" s="2844"/>
      <c r="G133" s="1963"/>
      <c r="H133" s="1963"/>
      <c r="I133" s="1963"/>
      <c r="J133" s="1963"/>
      <c r="K133" s="2936"/>
      <c r="L133" s="2616"/>
      <c r="M133" s="2748"/>
      <c r="N133" s="2609">
        <f t="shared" si="3"/>
        <v>0</v>
      </c>
      <c r="O133" s="2609"/>
      <c r="P133" s="2609">
        <f t="shared" ref="P133:P141" si="8">IF(P132=0,0,P132-K133)</f>
      </c>
      <c r="Q133" s="1485">
        <f t="shared" si="4"/>
        <v>5</v>
      </c>
      <c r="R133" s="1485">
        <f t="shared" si="5"/>
        <v>0</v>
      </c>
    </row>
    <row r="134" spans="1:21" ht="12.75" hidden="1" x14ac:dyDescent="0.2">
      <c r="A134" s="2598"/>
      <c r="B134" s="2598"/>
      <c r="C134" s="2621"/>
      <c r="D134" s="363"/>
      <c r="E134" s="275"/>
      <c r="F134" s="2844"/>
      <c r="G134" s="1963"/>
      <c r="H134" s="1963"/>
      <c r="I134" s="1963"/>
      <c r="J134" s="1963"/>
      <c r="K134" s="2936"/>
      <c r="L134" s="2616"/>
      <c r="M134" s="2748"/>
      <c r="N134" s="2609">
        <f t="shared" si="3"/>
        <v>0</v>
      </c>
      <c r="O134" s="2609"/>
      <c r="P134" s="2609">
        <f t="shared" si="8"/>
        <v>0</v>
      </c>
      <c r="Q134" s="1485">
        <f t="shared" si="4"/>
        <v>5</v>
      </c>
      <c r="R134" s="1485">
        <f t="shared" si="5"/>
        <v>0</v>
      </c>
    </row>
    <row r="135" spans="1:21" ht="12.75" hidden="1" x14ac:dyDescent="0.2">
      <c r="A135" s="2598"/>
      <c r="B135" s="2598"/>
      <c r="C135" s="2621"/>
      <c r="D135" s="363"/>
      <c r="E135" s="275"/>
      <c r="F135" s="2844"/>
      <c r="G135" s="1963"/>
      <c r="H135" s="1963"/>
      <c r="I135" s="1963"/>
      <c r="J135" s="1963"/>
      <c r="K135" s="2936"/>
      <c r="L135" s="2616"/>
      <c r="M135" s="2748"/>
      <c r="N135" s="2609">
        <f t="shared" si="3"/>
        <v>0</v>
      </c>
      <c r="O135" s="2609"/>
      <c r="P135" s="2609">
        <f t="shared" si="8"/>
        <v>0</v>
      </c>
      <c r="Q135" s="1485">
        <f t="shared" si="4"/>
        <v>5</v>
      </c>
      <c r="R135" s="1485">
        <f t="shared" si="5"/>
        <v>0</v>
      </c>
    </row>
    <row r="136" spans="1:21" ht="12.75" hidden="1" x14ac:dyDescent="0.2">
      <c r="A136" s="2598"/>
      <c r="B136" s="2598"/>
      <c r="C136" s="2621"/>
      <c r="D136" s="363"/>
      <c r="E136" s="275"/>
      <c r="F136" s="2844"/>
      <c r="G136" s="1963"/>
      <c r="H136" s="1963"/>
      <c r="I136" s="1963"/>
      <c r="J136" s="1963"/>
      <c r="K136" s="2936"/>
      <c r="L136" s="2616"/>
      <c r="M136" s="2748"/>
      <c r="N136" s="2609">
        <f t="shared" si="3"/>
        <v>0</v>
      </c>
      <c r="O136" s="2609"/>
      <c r="P136" s="2609">
        <f t="shared" si="8"/>
        <v>0</v>
      </c>
      <c r="Q136" s="1485">
        <f t="shared" si="4"/>
        <v>5</v>
      </c>
      <c r="R136" s="1485">
        <f t="shared" si="5"/>
        <v>0</v>
      </c>
    </row>
    <row r="137" spans="1:21" ht="12.75" hidden="1" x14ac:dyDescent="0.2">
      <c r="A137" s="2598"/>
      <c r="B137" s="2598"/>
      <c r="C137" s="2621"/>
      <c r="D137" s="363"/>
      <c r="E137" s="275"/>
      <c r="F137" s="2844"/>
      <c r="G137" s="1963"/>
      <c r="H137" s="1963"/>
      <c r="I137" s="1963"/>
      <c r="J137" s="1963"/>
      <c r="K137" s="2936"/>
      <c r="L137" s="2616"/>
      <c r="M137" s="2748"/>
      <c r="N137" s="2609">
        <f t="shared" si="3"/>
        <v>0</v>
      </c>
      <c r="O137" s="2609"/>
      <c r="P137" s="2609">
        <f t="shared" si="8"/>
        <v>0</v>
      </c>
      <c r="Q137" s="1485">
        <f t="shared" si="4"/>
        <v>5</v>
      </c>
      <c r="R137" s="1485">
        <f t="shared" si="5"/>
        <v>0</v>
      </c>
    </row>
    <row r="138" spans="1:21" ht="12.75" hidden="1" x14ac:dyDescent="0.2">
      <c r="A138" s="2598"/>
      <c r="B138" s="2598"/>
      <c r="C138" s="2621"/>
      <c r="D138" s="363"/>
      <c r="E138" s="275"/>
      <c r="F138" s="2844"/>
      <c r="G138" s="1963"/>
      <c r="H138" s="1963"/>
      <c r="I138" s="1963"/>
      <c r="J138" s="1963"/>
      <c r="K138" s="2936"/>
      <c r="L138" s="2616"/>
      <c r="M138" s="2748"/>
      <c r="N138" s="2609">
        <f t="shared" si="3"/>
        <v>0</v>
      </c>
      <c r="O138" s="2609"/>
      <c r="P138" s="2609">
        <f t="shared" si="8"/>
        <v>0</v>
      </c>
      <c r="Q138" s="1485">
        <f t="shared" si="4"/>
        <v>5</v>
      </c>
      <c r="R138" s="1485">
        <f t="shared" si="5"/>
        <v>0</v>
      </c>
    </row>
    <row r="139" spans="1:21" ht="12.75" hidden="1" x14ac:dyDescent="0.2">
      <c r="A139" s="2598"/>
      <c r="B139" s="2598"/>
      <c r="C139" s="2621"/>
      <c r="D139" s="363"/>
      <c r="E139" s="275"/>
      <c r="F139" s="2844"/>
      <c r="G139" s="1963"/>
      <c r="H139" s="1963"/>
      <c r="I139" s="1963"/>
      <c r="J139" s="1963"/>
      <c r="K139" s="2936"/>
      <c r="L139" s="2616"/>
      <c r="M139" s="2748"/>
      <c r="N139" s="2609">
        <f t="shared" si="3"/>
        <v>0</v>
      </c>
      <c r="O139" s="2609"/>
      <c r="P139" s="2609">
        <f t="shared" si="8"/>
        <v>0</v>
      </c>
      <c r="Q139" s="1485">
        <f t="shared" si="4"/>
        <v>5</v>
      </c>
      <c r="R139" s="1485">
        <f t="shared" si="5"/>
        <v>0</v>
      </c>
    </row>
    <row r="140" spans="1:21" ht="12.75" hidden="1" x14ac:dyDescent="0.2">
      <c r="A140" s="2598"/>
      <c r="B140" s="2598"/>
      <c r="C140" s="2621"/>
      <c r="D140" s="363"/>
      <c r="E140" s="275"/>
      <c r="F140" s="2844"/>
      <c r="G140" s="1963"/>
      <c r="H140" s="1963"/>
      <c r="I140" s="1963"/>
      <c r="J140" s="1963"/>
      <c r="K140" s="2936"/>
      <c r="L140" s="2616"/>
      <c r="M140" s="2748"/>
      <c r="N140" s="2609">
        <f t="shared" si="3"/>
        <v>0</v>
      </c>
      <c r="O140" s="2609"/>
      <c r="P140" s="2609">
        <f t="shared" si="8"/>
        <v>0</v>
      </c>
      <c r="Q140" s="1485">
        <f t="shared" si="4"/>
        <v>5</v>
      </c>
      <c r="R140" s="1485">
        <f t="shared" si="5"/>
        <v>0</v>
      </c>
    </row>
    <row r="141" spans="1:21" ht="12.75" hidden="1" x14ac:dyDescent="0.2">
      <c r="A141" s="2598"/>
      <c r="B141" s="2598"/>
      <c r="C141" s="2621"/>
      <c r="D141" s="363"/>
      <c r="E141" s="275"/>
      <c r="F141" s="2844"/>
      <c r="G141" s="1963"/>
      <c r="H141" s="1963"/>
      <c r="I141" s="1963"/>
      <c r="J141" s="1963"/>
      <c r="K141" s="2936"/>
      <c r="L141" s="2616"/>
      <c r="M141" s="2748"/>
      <c r="N141" s="2609">
        <f t="shared" si="3"/>
        <v>0</v>
      </c>
      <c r="O141" s="2609"/>
      <c r="P141" s="2609">
        <f t="shared" si="8"/>
        <v>0</v>
      </c>
      <c r="Q141" s="1485">
        <f t="shared" si="4"/>
        <v>5</v>
      </c>
      <c r="R141" s="1485">
        <f t="shared" si="5"/>
        <v>0</v>
      </c>
    </row>
    <row r="142" spans="1:21" ht="12.75" x14ac:dyDescent="0.2">
      <c r="A142" s="2598"/>
      <c r="B142" s="2598"/>
      <c r="C142" s="2621"/>
      <c r="D142" s="2621"/>
      <c r="E142" s="2621"/>
      <c r="F142" s="2621"/>
      <c r="G142" s="2621"/>
      <c r="H142" s="2621"/>
      <c r="I142" s="2621"/>
      <c r="J142" s="2749" t="s">
        <v>6940</v>
      </c>
      <c r="K142" s="2937">
        <f>SUM(K100:K141)</f>
      </c>
      <c r="L142" s="2616" t="str">
        <f>IF(K142&lt;&gt;O99," Does not match NID claimed!","")</f>
        <v/>
      </c>
      <c r="M142" s="2748"/>
      <c r="N142" s="2609">
        <f t="shared" si="3"/>
        <v>0</v>
      </c>
      <c r="U142" s="1485">
        <f>SUM(TRA100A!C116:F116)</f>
      </c>
    </row>
    <row r="143" spans="1:21" ht="12.75" hidden="1" x14ac:dyDescent="0.2">
      <c r="A143" s="2598"/>
      <c r="B143" s="2598"/>
      <c r="C143" s="2621"/>
      <c r="D143" s="2621"/>
      <c r="E143" s="2621"/>
      <c r="F143" s="2621"/>
      <c r="G143" s="2598"/>
      <c r="H143" s="2598"/>
      <c r="I143" s="2598"/>
      <c r="J143" s="2598"/>
      <c r="K143" s="2598"/>
      <c r="L143" s="2600"/>
      <c r="M143" s="2592"/>
    </row>
    <row r="144" spans="1:21" ht="4.1500000000000004" hidden="1" customHeight="1" x14ac:dyDescent="0.2">
      <c r="A144" s="2598"/>
      <c r="B144" s="2598"/>
      <c r="C144" s="2621"/>
      <c r="D144" s="2621"/>
      <c r="E144" s="2621"/>
      <c r="F144" s="2621"/>
      <c r="G144" s="2598"/>
      <c r="H144" s="2598"/>
      <c r="I144" s="2598"/>
      <c r="J144" s="2598"/>
      <c r="K144" s="2598"/>
      <c r="L144" s="2600"/>
      <c r="M144" s="2592"/>
    </row>
    <row r="145" spans="1:15" ht="14.25" customHeight="1" x14ac:dyDescent="0.25">
      <c r="A145" s="2598"/>
      <c r="B145" s="2598"/>
      <c r="C145" s="2598"/>
      <c r="D145" s="2598"/>
      <c r="E145" s="2440"/>
      <c r="F145" s="2598"/>
      <c r="G145" s="2598"/>
      <c r="H145" s="2848" t="s">
        <v>8243</v>
      </c>
      <c r="I145" s="2454"/>
      <c r="J145" s="2435" t="str">
        <f>IF(AND(Q1&gt;0,I145=""),re,"")</f>
        <v/>
      </c>
      <c r="K145" s="2930">
        <f>O99</f>
      </c>
      <c r="L145" s="2605"/>
      <c r="M145" s="2592"/>
      <c r="N145" s="1485">
        <f>IF(J145="",0,1)</f>
      </c>
    </row>
    <row r="146" spans="1:15" ht="1.9" customHeight="1" x14ac:dyDescent="0.3">
      <c r="A146" s="2598"/>
      <c r="B146" s="2598"/>
      <c r="C146" s="2598"/>
      <c r="D146" s="2598"/>
      <c r="E146" s="2440"/>
      <c r="F146" s="2598"/>
      <c r="G146" s="2598"/>
      <c r="H146" s="2606"/>
      <c r="I146" s="2598"/>
      <c r="J146" s="2598"/>
      <c r="K146" s="2598"/>
      <c r="L146" s="2605"/>
      <c r="M146" s="2592"/>
    </row>
    <row r="147" spans="1:15" ht="17.100000000000001" customHeight="1" x14ac:dyDescent="0.2">
      <c r="A147" s="2598"/>
      <c r="B147" s="2607" t="str">
        <f>_xlfn.SINGLE(MTCA)</f>
      </c>
      <c r="C147" s="2607"/>
      <c r="D147" s="2607"/>
      <c r="E147" s="2607"/>
      <c r="F147" s="2607"/>
      <c r="G147" s="2607"/>
      <c r="H147" s="2607" t="str">
        <f>ver</f>
        <v>TA2_e-CO_2025_Ver 1.1</v>
      </c>
      <c r="I147" s="2607"/>
      <c r="J147" s="2607"/>
      <c r="K147" s="2607"/>
      <c r="L147" s="2608" t="s">
        <v>8344</v>
      </c>
      <c r="M147" s="2607"/>
      <c r="N147" s="2609"/>
    </row>
    <row r="148" spans="1:15" ht="12.75" x14ac:dyDescent="0.2">
      <c r="A148" s="2598"/>
      <c r="B148" s="2598"/>
      <c r="C148" s="2621" t="s">
        <v>3512</v>
      </c>
      <c r="D148" s="2621"/>
      <c r="E148" s="2621"/>
      <c r="F148" s="2621"/>
      <c r="G148" s="2598"/>
      <c r="H148" s="2598"/>
      <c r="I148" s="2598"/>
      <c r="J148" s="2598"/>
      <c r="K148" s="2598"/>
      <c r="L148" s="2600"/>
      <c r="M148" s="2592"/>
    </row>
    <row r="149" spans="1:15" ht="15" hidden="1" x14ac:dyDescent="0.25">
      <c r="J149" s="1485"/>
      <c r="K149" s="1485"/>
      <c r="N149" s="1485">
        <f>SUM(N3:N145)</f>
      </c>
    </row>
    <row r="150" spans="1:15" ht="12.75" hidden="1" x14ac:dyDescent="0.2">
      <c r="J150" s="1485"/>
      <c r="K150" s="1485"/>
      <c r="L150" s="1485"/>
      <c r="N150" s="1736" t="s">
        <v>6467</v>
      </c>
      <c r="O150" s="1736">
        <f>IF(Q1=0,0,IF(N149&gt;0,100,IF(I145=n,100,1)))</f>
      </c>
    </row>
    <row r="151" spans="1:15" ht="12.75" hidden="1" x14ac:dyDescent="0.2">
      <c r="J151" s="1485"/>
      <c r="K151" s="1485"/>
      <c r="L151" s="1485"/>
      <c r="N151" s="1736"/>
      <c r="O151" s="1736"/>
    </row>
    <row r="152" spans="1:15" ht="12.75" hidden="1" x14ac:dyDescent="0.2">
      <c r="J152" s="1485"/>
      <c r="K152" s="1485"/>
      <c r="L152" s="1485"/>
    </row>
    <row r="153" spans="1:15" ht="12.75" hidden="1" x14ac:dyDescent="0.2">
      <c r="J153" s="1485"/>
      <c r="K153" s="1485"/>
      <c r="L153" s="1485"/>
    </row>
    <row r="154" spans="1:15" ht="12.75" hidden="1" x14ac:dyDescent="0.2">
      <c r="J154" s="1485"/>
      <c r="K154" s="1485"/>
      <c r="L154" s="1485"/>
    </row>
    <row r="155" spans="1:15" ht="12.75" hidden="1" x14ac:dyDescent="0.2">
      <c r="J155" s="1485"/>
      <c r="K155" s="1485"/>
      <c r="L155" s="1485"/>
    </row>
    <row r="156" spans="1:15" ht="15" hidden="1" x14ac:dyDescent="0.25">
      <c r="J156" s="1485"/>
      <c r="K156" s="1485"/>
    </row>
    <row r="157" spans="1:15" ht="15" hidden="1" x14ac:dyDescent="0.25">
      <c r="J157" s="1485"/>
      <c r="K157" s="1485"/>
    </row>
    <row r="158" spans="1:15" ht="15" hidden="1" x14ac:dyDescent="0.25">
      <c r="J158" s="1485"/>
      <c r="K158" s="1485"/>
    </row>
    <row r="159" spans="1:15" ht="15" hidden="1" x14ac:dyDescent="0.25">
      <c r="J159" s="1485"/>
      <c r="K159" s="1485"/>
    </row>
    <row r="160" spans="1:15" ht="15" hidden="1" x14ac:dyDescent="0.25">
      <c r="J160" s="1485"/>
      <c r="K160" s="1485"/>
      <c r="N160" s="1485">
        <f>SUM(N3:N159)</f>
      </c>
    </row>
    <row r="161" spans="2:15" ht="15" hidden="1" x14ac:dyDescent="0.25">
      <c r="B161" s="1485" t="s">
        <v>4457</v>
      </c>
      <c r="J161" s="1485"/>
      <c r="K161" s="1485"/>
      <c r="N161" s="1485" t="s">
        <v>6467</v>
      </c>
      <c r="O161" s="1485">
        <f>IF(Q1=0,0,IF(N160&gt;0,100,IF(I145=n,100,1)))</f>
      </c>
    </row>
    <row r="162" spans="2:15" ht="15" hidden="1" x14ac:dyDescent="0.25">
      <c r="B162" s="1485" t="s">
        <v>1736</v>
      </c>
      <c r="J162" s="1485"/>
      <c r="K162" s="1485"/>
    </row>
    <row r="163" spans="2:15" ht="15" hidden="1" x14ac:dyDescent="0.25">
      <c r="J163" s="1485"/>
      <c r="K163" s="1485"/>
    </row>
    <row r="164" spans="2:15" ht="15" hidden="1" x14ac:dyDescent="0.25">
      <c r="J164" s="1485"/>
      <c r="K164" s="1485"/>
    </row>
    <row r="165" spans="2:15" ht="15" hidden="1" x14ac:dyDescent="0.25">
      <c r="J165" s="1485"/>
      <c r="K165" s="1485"/>
    </row>
  </sheetData>
  <sheetProtection algorithmName="SHA-512" hashValue="nT2MOTb2uMrxBWvEEfD+dcv5Pc5dZGoVPPorgGHBcst1MximCj3Ib81kNOIKcCVPtpXpV3zebfrxh9nfuFgosw==" saltValue="ptnQdXmSGMXRaZ+15Boctw==" spinCount="100000" sheet="1" objects="1" scenarios="1"/>
  <mergeCells count="16">
    <mergeCell ref="C59:I59"/>
    <mergeCell ref="D97:D99"/>
    <mergeCell ref="A1:J1"/>
    <mergeCell ref="C68:H68"/>
    <mergeCell ref="G3:K4"/>
    <mergeCell ref="E97:E99"/>
    <mergeCell ref="F97:H97"/>
    <mergeCell ref="I97:I99"/>
    <mergeCell ref="J97:J99"/>
    <mergeCell ref="K97:K99"/>
    <mergeCell ref="F98:F99"/>
    <mergeCell ref="G98:G99"/>
    <mergeCell ref="H98:H99"/>
    <mergeCell ref="C66:I66"/>
    <mergeCell ref="J71:K71"/>
    <mergeCell ref="B26:F28"/>
  </mergeCells>
  <conditionalFormatting sqref="G36">
    <cfRule type="expression" dxfId="364" priority="6">
      <formula>$G$36=re</formula>
    </cfRule>
  </conditionalFormatting>
  <conditionalFormatting sqref="K15">
    <cfRule type="expression" dxfId="363" priority="3015">
      <formula>$O$15=1</formula>
    </cfRule>
  </conditionalFormatting>
  <conditionalFormatting sqref="L10">
    <cfRule type="expression" dxfId="362" priority="1">
      <formula>$Y$15=1</formula>
    </cfRule>
    <cfRule type="expression" dxfId="361" priority="3">
      <formula>$Y$18=1</formula>
    </cfRule>
  </conditionalFormatting>
  <conditionalFormatting sqref="L20">
    <cfRule type="expression" dxfId="360" priority="2">
      <formula>$Y$18=1</formula>
    </cfRule>
  </conditionalFormatting>
  <dataValidations xWindow="1627" yWindow="652" count="22">
    <dataValidation type="decimal" errorStyle="warning" operator="lessThanOrEqual" allowBlank="1" showInputMessage="1" showErrorMessage="1" errorTitle="Reference rate" error="Please ensure that the correct reference rate has been entered." sqref="F36" xr:uid="{00000000-0002-0000-5700-000000000000}">
      <formula1>R36</formula1>
    </dataValidation>
    <dataValidation type="whole" errorStyle="warning" operator="lessThanOrEqual" allowBlank="1" showInputMessage="1" showErrorMessage="1" errorTitle="Excess NID c/fwd" error="Amount entered may be excessive!" sqref="I61" xr:uid="{00000000-0002-0000-5700-000001000000}">
      <formula1>R61</formula1>
    </dataValidation>
    <dataValidation type="whole" allowBlank="1" showInputMessage="1" showErrorMessage="1" errorTitle="Additional Reallocation" error="Please enter a negative value that is within the maximum indicated below!" sqref="J70" xr:uid="{00000000-0002-0000-5700-000002000000}">
      <formula1>(P71+Q71)*-1</formula1>
      <formula2>0</formula2>
    </dataValidation>
    <dataValidation type="whole" errorStyle="warning" allowBlank="1" showInputMessage="1" showErrorMessage="1" errorTitle="Chargeable Income" error="Please enter a positive value excluding any FRFTC and amounts transferred as the 2nd allocation to the IPA!" sqref="J20:K20" xr:uid="{00000000-0002-0000-5700-000003000000}">
      <formula1>0</formula1>
      <formula2>S20</formula2>
    </dataValidation>
    <dataValidation type="date" allowBlank="1" showInputMessage="1" showErrorMessage="1" errorTitle="Date of Birth" error="Please enter the correct date of birth!" promptTitle="Date Format" prompt="dd/mm/yyyy" sqref="F133:F141" xr:uid="{00000000-0002-0000-5700-000004000000}">
      <formula1>7306</formula1>
      <formula2>DATE(ya-14,1,1)</formula2>
    </dataValidation>
    <dataValidation type="whole" operator="greaterThan" allowBlank="1" showInputMessage="1" showErrorMessage="1" errorTitle="Notional Interest" error="Please enter a positive value!" sqref="K133:K142" xr:uid="{00000000-0002-0000-5700-000005000000}">
      <formula1>0</formula1>
    </dataValidation>
    <dataValidation type="textLength" operator="greaterThanOrEqual" allowBlank="1" showInputMessage="1" showErrorMessage="1" errorTitle="Country of Birth" error="Please enter the correct details!" sqref="H133:H141" xr:uid="{00000000-0002-0000-5700-000006000000}">
      <formula1>6</formula1>
    </dataValidation>
    <dataValidation type="textLength" operator="greaterThanOrEqual" allowBlank="1" showInputMessage="1" showErrorMessage="1" errorTitle="City of Birth" error="Please enter the correct details!" sqref="G133:G141" xr:uid="{00000000-0002-0000-5700-000007000000}">
      <formula1>6</formula1>
    </dataValidation>
    <dataValidation type="textLength" operator="greaterThanOrEqual" allowBlank="1" showInputMessage="1" showErrorMessage="1" errorTitle="Name" error="Please enter the correct details!" sqref="J100:J141" xr:uid="{00000000-0002-0000-5700-000008000000}">
      <formula1>4</formula1>
    </dataValidation>
    <dataValidation type="textLength" operator="greaterThanOrEqual" allowBlank="1" showInputMessage="1" showErrorMessage="1" errorTitle="Surname" error="Please enter the correct details!" sqref="I100:I141" xr:uid="{00000000-0002-0000-5700-000009000000}">
      <formula1>4</formula1>
    </dataValidation>
    <dataValidation type="list" allowBlank="1" showInputMessage="1" showErrorMessage="1" sqref="D100:D141" xr:uid="{00000000-0002-0000-5700-00000A000000}">
      <formula1>noav</formula1>
    </dataValidation>
    <dataValidation type="list" allowBlank="1" showInputMessage="1" showErrorMessage="1" sqref="E100:E141" xr:uid="{00000000-0002-0000-5700-00000B000000}">
      <formula1>ms</formula1>
    </dataValidation>
    <dataValidation type="whole" allowBlank="1" showInputMessage="1" showErrorMessage="1" errorTitle="Additional Reallocation" error="Please enter a negative value that is within the maximum indicated below!" sqref="K70" xr:uid="{00000000-0002-0000-5700-00000C000000}">
      <formula1>T70</formula1>
      <formula2>0</formula2>
    </dataValidation>
    <dataValidation type="date" allowBlank="1" showInputMessage="1" showErrorMessage="1" errorTitle="Date of Birth" error="Please enter the correct date of birth!" promptTitle="Date Format" prompt="dd/mm/yyyy" sqref="F100:F132" xr:uid="{00000000-0002-0000-5700-00000D000000}">
      <formula1>7306</formula1>
      <formula2>DATE(ya-1,1,1)</formula2>
    </dataValidation>
    <dataValidation type="textLength" operator="greaterThanOrEqual" allowBlank="1" showInputMessage="1" showErrorMessage="1" errorTitle="City of Birth" error="Please enter the correct details!" sqref="G100:G132" xr:uid="{00000000-0002-0000-5700-00000E000000}">
      <formula1>4</formula1>
    </dataValidation>
    <dataValidation type="textLength" operator="greaterThanOrEqual" allowBlank="1" showInputMessage="1" showErrorMessage="1" errorTitle="Country of Birth" error="Please enter the correct details!" sqref="H100:H132" xr:uid="{00000000-0002-0000-5700-00000F000000}">
      <formula1>5</formula1>
    </dataValidation>
    <dataValidation type="list" allowBlank="1" showInputMessage="1" showErrorMessage="1" sqref="K6 K8 K10 K12 I145 K14 K17" xr:uid="{00000000-0002-0000-5700-000010000000}">
      <formula1>"Yes,No"</formula1>
    </dataValidation>
    <dataValidation type="whole" operator="greaterThanOrEqual" allowBlank="1" showInputMessage="1" showErrorMessage="1" errorTitle="Positive value Required" sqref="K42" xr:uid="{00000000-0002-0000-5700-000011000000}">
      <formula1>0</formula1>
    </dataValidation>
    <dataValidation allowBlank="1" showInputMessage="1" showErrorMessage="1" errorTitle="Claim for deduction" error="Please enter a positive value that does not exceed: _x000a_the amount of notional interest that may be claimed; or _x000a_the Chargeable Income for the year;  or _x000a_90% thereof if the limitation applies!" promptTitle="NID claimed for the year" sqref="J66:K66" xr:uid="{00000000-0002-0000-5700-000012000000}"/>
    <dataValidation type="whole" operator="greaterThanOrEqual" allowBlank="1" showInputMessage="1" showErrorMessage="1" errorTitle="Excess Notional Interest b/fwd" error="Please enter a positive value!" sqref="J26:K26" xr:uid="{00000000-0002-0000-5700-000013000000}">
      <formula1>0</formula1>
    </dataValidation>
    <dataValidation type="whole" operator="lessThanOrEqual" allowBlank="1" showInputMessage="1" showErrorMessage="1" errorTitle="Notional Interest" error="Please enter a positive value!" sqref="K100:K132" xr:uid="{00000000-0002-0000-5700-000014000000}">
      <formula1>P100</formula1>
    </dataValidation>
    <dataValidation type="whole" operator="greaterThan" allowBlank="1" showInputMessage="1" showErrorMessage="1" errorTitle="Number of days" error="Please enter a whole number greater than 0!" sqref="K15" xr:uid="{B31A65EB-FCF5-4D2A-89C5-2AAC572D68A3}">
      <formula1>0</formula1>
    </dataValidation>
  </dataValidations>
  <hyperlinks>
    <hyperlink ref="H69" location="TRA61_FTA!A1" display="  TRA 61" xr:uid="{00000000-0004-0000-5700-000000000000}"/>
    <hyperlink ref="C131:F131" location="Index!A100" display="B A C K  T O  I N D E X" xr:uid="{00000000-0004-0000-5700-000001000000}"/>
    <hyperlink ref="C148" location="Index!A1" display="B A C K  T O  I N D E X" xr:uid="{00000000-0004-0000-5700-000002000000}"/>
    <hyperlink ref="H70" location="'p6'!A1" display="Page 6" xr:uid="{00000000-0004-0000-5700-000003000000}"/>
    <hyperlink ref="H71" location="TRA61_FTA!A1" display="  TRA 61" xr:uid="{00000000-0004-0000-5700-000004000000}"/>
    <hyperlink ref="L66" location="'p4'!A1" display="  To Page 4 of Return" xr:uid="{00000000-0004-0000-5700-000005000000}"/>
    <hyperlink ref="I22" location="TRA9_14!A1" display="TRA 09" xr:uid="{00000000-0004-0000-5700-000006000000}"/>
    <hyperlink ref="D3" location="Notes!B16" display="CfR - Malta  (Disclaimer in NOTES page)" xr:uid="{00000000-0004-0000-5700-000007000000}"/>
  </hyperlinks>
  <printOptions horizontalCentered="1" verticalCentered="1"/>
  <pageMargins left="0.23622047244094491" right="0.23622047244094491" top="0" bottom="0" header="0" footer="0.11811023622047245"/>
  <pageSetup paperSize="9" scale="90" orientation="landscape" r:id="rId1"/>
  <headerFooter>
    <oddFooter>&amp;LName&amp;CSignature&amp;RDate</oddFooter>
  </headerFooter>
  <rowBreaks count="2" manualBreakCount="2">
    <brk id="95" max="11" man="1"/>
    <brk id="147" max="16383" man="1"/>
  </rowBreaks>
  <legacy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6"/>
  <dimension ref="A1:BE327"/>
  <sheetViews>
    <sheetView zoomScaleNormal="100" workbookViewId="0">
      <selection activeCell="I120" sqref="I120"/>
    </sheetView>
  </sheetViews>
  <sheetFormatPr defaultColWidth="0" defaultRowHeight="12.75" zeroHeight="1" x14ac:dyDescent="0.2"/>
  <cols>
    <col min="1" max="1" width="1" style="2834" customWidth="1"/>
    <col min="2" max="2" width="30.28515625" style="2835" customWidth="1"/>
    <col min="3" max="6" width="11.7109375" style="2836" customWidth="1"/>
    <col min="7" max="7" width="0.7109375" style="2836" customWidth="1"/>
    <col min="8" max="8" width="12.5703125" style="2836" customWidth="1"/>
    <col min="9" max="9" width="11.7109375" style="2836" customWidth="1"/>
    <col min="10" max="11" width="11.7109375" style="1485" customWidth="1"/>
    <col min="12" max="12" width="32.7109375" style="2907" customWidth="1"/>
    <col min="13" max="31" width="9.28515625" style="1485" hidden="1" customWidth="1"/>
    <col min="32" max="32" width="13.7109375" style="1485" hidden="1" customWidth="1"/>
    <col min="33" max="33" width="14" style="1485" hidden="1" customWidth="1"/>
    <col min="34" max="34" width="9.28515625" style="1485" hidden="1" customWidth="1"/>
    <col min="35" max="35" width="26.7109375" style="1485" hidden="1" customWidth="1"/>
    <col min="36" max="40" width="9.28515625" style="1485" hidden="1" customWidth="1"/>
    <col min="41" max="41" width="26.7109375" style="1485" hidden="1" customWidth="1"/>
    <col min="42" max="16384" width="9.28515625" style="1485" hidden="1"/>
  </cols>
  <sheetData>
    <row r="1" spans="1:31" x14ac:dyDescent="0.2">
      <c r="A1" s="5221" t="str">
        <f>_ref1</f>
      </c>
      <c r="B1" s="5221"/>
      <c r="C1" s="5221"/>
      <c r="D1" s="5221"/>
      <c r="E1" s="5221"/>
      <c r="F1" s="5221"/>
      <c r="G1" s="5221"/>
      <c r="H1" s="5221"/>
      <c r="I1" s="5221"/>
      <c r="J1" s="5221"/>
      <c r="K1" s="2822" t="str">
        <f>_YA1</f>
      </c>
      <c r="L1" s="2888"/>
      <c r="O1" s="1485">
        <f>IF('TRA100'!K6="no",1,0)</f>
      </c>
      <c r="P1" s="1485">
        <f>IF('TRA100'!K10="no",1,0)</f>
      </c>
      <c r="Q1" s="1485">
        <f>'TRA100'!L1</f>
      </c>
      <c r="S1" s="1736" t="s">
        <v>8739</v>
      </c>
      <c r="V1" s="2767">
        <f>'TRA100'!Q1</f>
      </c>
      <c r="W1" s="1485">
        <f>'TRA100'!R1</f>
      </c>
      <c r="X1" s="1485">
        <f>'TRA100'!S1</f>
      </c>
      <c r="AE1" s="1485">
        <f>COUNT(J7:K7,J9:K9,I10,K13:K18,K21:K23,H28:K29,K32,C35:F43,C79:F87,I94,K97,C103:F111,I103:J111,K112)</f>
      </c>
    </row>
    <row r="2" spans="1:31" ht="1.9" customHeight="1" x14ac:dyDescent="0.2">
      <c r="A2" s="2165"/>
      <c r="B2" s="2165"/>
      <c r="C2" s="2165"/>
      <c r="D2" s="2165"/>
      <c r="E2" s="2165"/>
      <c r="F2" s="2165"/>
      <c r="G2" s="2165"/>
      <c r="H2" s="2165"/>
      <c r="I2" s="2165"/>
      <c r="J2" s="2165"/>
      <c r="K2" s="2953"/>
      <c r="L2" s="2761"/>
      <c r="S2" s="1736" t="s">
        <v>8740</v>
      </c>
    </row>
    <row r="3" spans="1:31" ht="15.75" x14ac:dyDescent="0.2">
      <c r="A3" s="2165"/>
      <c r="B3" s="2436" t="s">
        <v>8799</v>
      </c>
      <c r="C3" s="2733"/>
      <c r="D3" s="2733"/>
      <c r="E3" s="2733"/>
      <c r="F3" s="2733"/>
      <c r="G3" s="2733"/>
      <c r="H3" s="2733"/>
      <c r="I3" s="2733"/>
      <c r="J3" s="5259" t="s">
        <v>8839</v>
      </c>
      <c r="K3" s="5260"/>
      <c r="L3" s="2535" t="str">
        <f>IF($M$121=100,"Workings are incomplete or Errors are Present!","")</f>
        <v/>
      </c>
      <c r="S3" s="1736"/>
      <c r="W3" s="1485">
        <f>IF('p2'!G32="",0,IF(AND('p2'!G32="y",'TRA100'!K6="no"),0,TRA100A!W1))</f>
      </c>
    </row>
    <row r="4" spans="1:31" ht="5.0999999999999996" customHeight="1" x14ac:dyDescent="0.2">
      <c r="A4" s="2435"/>
      <c r="B4" s="2823"/>
      <c r="C4" s="2823"/>
      <c r="D4" s="2823"/>
      <c r="E4" s="2823"/>
      <c r="F4" s="2823"/>
      <c r="G4" s="2823"/>
      <c r="H4" s="2823"/>
      <c r="I4" s="2823"/>
      <c r="J4" s="2823"/>
      <c r="K4" s="2823"/>
      <c r="L4" s="2535"/>
      <c r="S4" s="1736"/>
    </row>
    <row r="5" spans="1:31" ht="15" x14ac:dyDescent="0.25">
      <c r="A5" s="2435"/>
      <c r="B5" s="2871" t="s">
        <v>8789</v>
      </c>
      <c r="C5" s="2867"/>
      <c r="D5" s="2867"/>
      <c r="E5" s="2867"/>
      <c r="F5" s="2867"/>
      <c r="G5" s="2867"/>
      <c r="H5" s="2867"/>
      <c r="I5" s="2867"/>
      <c r="J5" s="5261" t="s">
        <v>363</v>
      </c>
      <c r="K5" s="5262" t="s">
        <v>2372</v>
      </c>
      <c r="L5" s="2535"/>
      <c r="S5" s="1736"/>
    </row>
    <row r="6" spans="1:31" x14ac:dyDescent="0.2">
      <c r="A6" s="2435"/>
      <c r="B6" s="2600" t="s">
        <v>10021</v>
      </c>
      <c r="C6" s="2435"/>
      <c r="D6" s="2435"/>
      <c r="E6" s="2435"/>
      <c r="F6" s="2435"/>
      <c r="G6" s="2435"/>
      <c r="H6" s="2435"/>
      <c r="I6" s="2435"/>
      <c r="J6" s="5261"/>
      <c r="K6" s="5262"/>
      <c r="L6" s="2535"/>
      <c r="S6" s="1736"/>
    </row>
    <row r="7" spans="1:31" x14ac:dyDescent="0.2">
      <c r="A7" s="2435"/>
      <c r="B7" s="2600" t="s">
        <v>10024</v>
      </c>
      <c r="C7" s="2435"/>
      <c r="D7" s="2435"/>
      <c r="E7" s="2435"/>
      <c r="F7" s="2435"/>
      <c r="G7" s="2435"/>
      <c r="H7" s="2435"/>
      <c r="I7" s="2435"/>
      <c r="J7" s="2895"/>
      <c r="K7" s="2895"/>
      <c r="L7" s="2535" t="str">
        <f>IF(AND(W1&lt;&gt;0,COUNT(J7:K7)&lt;&gt;2),re,IF('TRA100'!L20="","",'TRA100'!L20))</f>
        <v/>
      </c>
      <c r="M7" s="1485">
        <f>IF(L7='TRA100'!Z18,0,IF(L7="",0,1))</f>
      </c>
      <c r="O7" s="2082">
        <f>COUNT(J7:K7,J9:K9,I10,K13:K18,K21,K23,H28:K29,K32,C35:F43,C79:F87,I94,K97,C103:F111,I103:J111,K112)</f>
      </c>
      <c r="S7" s="1736"/>
      <c r="X7" s="2313">
        <f>X57</f>
      </c>
      <c r="Y7" s="2313">
        <f>Y57</f>
      </c>
      <c r="Z7" s="2313">
        <f>Z57</f>
      </c>
    </row>
    <row r="8" spans="1:31" x14ac:dyDescent="0.2">
      <c r="A8" s="2435"/>
      <c r="B8" s="2600" t="s">
        <v>10022</v>
      </c>
      <c r="C8" s="2435"/>
      <c r="D8" s="2435"/>
      <c r="E8" s="2435"/>
      <c r="F8" s="2435"/>
      <c r="G8" s="2435"/>
      <c r="H8" s="2435"/>
      <c r="I8" s="2435"/>
      <c r="J8" s="2930">
        <f>X7</f>
      </c>
      <c r="K8" s="2930">
        <f>Y7</f>
      </c>
      <c r="L8" s="2535"/>
      <c r="S8" s="1736"/>
    </row>
    <row r="9" spans="1:31" ht="16.149999999999999" customHeight="1" x14ac:dyDescent="0.2">
      <c r="A9" s="2435"/>
      <c r="B9" s="5233" t="s">
        <v>8833</v>
      </c>
      <c r="C9" s="5233"/>
      <c r="D9" s="5233"/>
      <c r="E9" s="5233"/>
      <c r="F9" s="2987"/>
      <c r="G9" s="2956"/>
      <c r="H9" s="2983" t="s">
        <v>8831</v>
      </c>
      <c r="I9" s="2945"/>
      <c r="J9" s="2895"/>
      <c r="K9" s="2895"/>
      <c r="L9" s="2535" t="str">
        <f>IF(V1=0,"",IF(COUNT(J9:K9)&lt;&gt;2,reo,""))</f>
        <v/>
      </c>
      <c r="S9" s="1736"/>
    </row>
    <row r="10" spans="1:31" ht="15.75" x14ac:dyDescent="0.2">
      <c r="A10" s="2435"/>
      <c r="B10" s="5233"/>
      <c r="C10" s="5233"/>
      <c r="D10" s="5233"/>
      <c r="E10" s="5233"/>
      <c r="F10" s="2987"/>
      <c r="G10" s="2956"/>
      <c r="H10" s="2983" t="s">
        <v>8832</v>
      </c>
      <c r="I10" s="2895"/>
      <c r="J10" s="2956"/>
      <c r="K10" s="2956"/>
      <c r="L10" s="2535" t="str">
        <f>IF(V1=0,"",IF(I10="",reo,""))</f>
        <v/>
      </c>
      <c r="S10" s="1736"/>
    </row>
    <row r="11" spans="1:31" ht="2.65" customHeight="1" x14ac:dyDescent="0.2">
      <c r="A11" s="2165"/>
      <c r="B11" s="2165"/>
      <c r="C11" s="2165"/>
      <c r="D11" s="2165"/>
      <c r="E11" s="2165"/>
      <c r="F11" s="2165"/>
      <c r="G11" s="2165"/>
      <c r="H11" s="2165"/>
      <c r="I11" s="2165"/>
      <c r="J11" s="2165"/>
      <c r="K11" s="2165"/>
      <c r="L11" s="2761"/>
      <c r="S11" s="1736"/>
    </row>
    <row r="12" spans="1:31" ht="15.75" x14ac:dyDescent="0.25">
      <c r="A12" s="2435"/>
      <c r="B12" s="2824" t="s">
        <v>9894</v>
      </c>
      <c r="C12" s="2825"/>
      <c r="D12" s="2826"/>
      <c r="E12" s="2826"/>
      <c r="F12" s="2826"/>
      <c r="G12" s="2826"/>
      <c r="H12" s="2826"/>
      <c r="I12" s="2826"/>
      <c r="J12" s="2826"/>
      <c r="K12" s="2827"/>
      <c r="L12" s="2535" t="str">
        <f>IF(AND($O$1=1,N12&gt;0),"Check Question 1 in TRA100!","")</f>
        <v/>
      </c>
      <c r="M12" s="1485">
        <f>IF(L12="",0,1)</f>
      </c>
      <c r="N12" s="1485">
        <f>COUNTA(K13:K18,K21:K23)</f>
      </c>
      <c r="S12" s="1736"/>
    </row>
    <row r="13" spans="1:31" ht="15.75" x14ac:dyDescent="0.25">
      <c r="A13" s="2435"/>
      <c r="B13" s="2603"/>
      <c r="C13" s="2899"/>
      <c r="D13" s="2600" t="s">
        <v>8236</v>
      </c>
      <c r="E13" s="2600"/>
      <c r="F13" s="2600"/>
      <c r="G13" s="2600"/>
      <c r="H13" s="2603"/>
      <c r="I13" s="2603"/>
      <c r="J13" s="2603"/>
      <c r="K13" s="2894"/>
      <c r="L13" s="2535" t="str">
        <f>IF(AND(W3=1,K13=""),re,"")</f>
        <v/>
      </c>
      <c r="M13" s="1485">
        <f>IF(L13="",0,1)</f>
      </c>
      <c r="P13" s="2767">
        <f>'TRA100'!K6</f>
      </c>
      <c r="S13" s="1736"/>
    </row>
    <row r="14" spans="1:31" ht="15.75" x14ac:dyDescent="0.25">
      <c r="A14" s="2435"/>
      <c r="B14" s="5267" t="str">
        <f>IF('p2'!G36="","",IF('p2'!O36=1,"Refer to Rule 6(1)(i) of the Consolidated Group (Income Tax) Rules",""))</f>
        <v/>
      </c>
      <c r="C14" s="2899"/>
      <c r="D14" s="2600" t="s">
        <v>8237</v>
      </c>
      <c r="E14" s="2600"/>
      <c r="F14" s="2600"/>
      <c r="G14" s="2600"/>
      <c r="H14" s="2603"/>
      <c r="I14" s="2603"/>
      <c r="J14" s="2603"/>
      <c r="K14" s="2895"/>
      <c r="L14" s="2535" t="str">
        <f>IF($V$1=0,"",IF($P$13=n,"",IF(K14="",reo,"")))</f>
        <v/>
      </c>
      <c r="M14" s="1485">
        <f t="shared" ref="M14:M18" si="0">IF(L14="",0,1)</f>
      </c>
      <c r="S14" s="1736"/>
    </row>
    <row r="15" spans="1:31" ht="15.75" x14ac:dyDescent="0.25">
      <c r="A15" s="2435"/>
      <c r="B15" s="5267"/>
      <c r="C15" s="2899"/>
      <c r="D15" s="2600" t="s">
        <v>8238</v>
      </c>
      <c r="E15" s="2600"/>
      <c r="F15" s="2600"/>
      <c r="G15" s="2600"/>
      <c r="H15" s="2603"/>
      <c r="I15" s="2603"/>
      <c r="J15" s="2603"/>
      <c r="K15" s="2895"/>
      <c r="L15" s="2535" t="str">
        <f>IF($V$1=0,"",IF($P$13=n,"",IF(K15="",reo,"")))</f>
        <v/>
      </c>
      <c r="M15" s="1485">
        <f t="shared" si="0"/>
        <v>0</v>
      </c>
      <c r="S15" s="1736"/>
    </row>
    <row r="16" spans="1:31" ht="15.75" x14ac:dyDescent="0.25">
      <c r="A16" s="2435"/>
      <c r="B16" s="5267"/>
      <c r="C16" s="2899"/>
      <c r="D16" s="2600" t="s">
        <v>8239</v>
      </c>
      <c r="E16" s="2600"/>
      <c r="F16" s="2600"/>
      <c r="G16" s="2600"/>
      <c r="H16" s="2603"/>
      <c r="I16" s="2603"/>
      <c r="J16" s="2603"/>
      <c r="K16" s="2895"/>
      <c r="L16" s="2535" t="str">
        <f>IF($V$1=0,"",IF($P$13=n,"",IF(K16="",reo,"")))</f>
        <v/>
      </c>
      <c r="M16" s="1485">
        <f t="shared" si="0"/>
        <v>0</v>
      </c>
      <c r="S16" s="1736"/>
    </row>
    <row r="17" spans="1:19" ht="15.75" x14ac:dyDescent="0.25">
      <c r="A17" s="2435"/>
      <c r="B17" s="5267"/>
      <c r="C17" s="2899"/>
      <c r="D17" s="2600" t="s">
        <v>8240</v>
      </c>
      <c r="E17" s="2600"/>
      <c r="F17" s="2600"/>
      <c r="G17" s="2600"/>
      <c r="H17" s="2603"/>
      <c r="I17" s="2603"/>
      <c r="J17" s="2603"/>
      <c r="K17" s="2895"/>
      <c r="L17" s="2535" t="str">
        <f>IF($V$1=0,"",IF($P$13=n,"",IF(K17="",reo,"")))</f>
        <v/>
      </c>
      <c r="M17" s="1485">
        <f t="shared" si="0"/>
        <v>0</v>
      </c>
      <c r="S17" s="1736"/>
    </row>
    <row r="18" spans="1:19" ht="15.75" x14ac:dyDescent="0.25">
      <c r="A18" s="2435"/>
      <c r="B18" s="5267"/>
      <c r="C18" s="2899"/>
      <c r="D18" s="2600" t="s">
        <v>8241</v>
      </c>
      <c r="E18" s="2600"/>
      <c r="F18" s="2600"/>
      <c r="G18" s="2600"/>
      <c r="H18" s="2603"/>
      <c r="I18" s="2603"/>
      <c r="J18" s="2603"/>
      <c r="K18" s="2895"/>
      <c r="L18" s="2535" t="str">
        <f>IF($V$1=0,"",IF($P$13=n,"",IF(K18="",reo,"")))</f>
        <v/>
      </c>
      <c r="M18" s="1485">
        <f t="shared" si="0"/>
        <v>0</v>
      </c>
      <c r="S18" s="1736"/>
    </row>
    <row r="19" spans="1:19" ht="15.75" x14ac:dyDescent="0.25">
      <c r="A19" s="2435"/>
      <c r="B19" s="5267"/>
      <c r="C19" s="2899"/>
      <c r="D19" s="2600" t="s">
        <v>6940</v>
      </c>
      <c r="E19" s="2600"/>
      <c r="F19" s="2600"/>
      <c r="G19" s="2600"/>
      <c r="H19" s="2603"/>
      <c r="I19" s="2603"/>
      <c r="J19" s="2603"/>
      <c r="K19" s="2893">
        <f>SUM(K13:K18)</f>
      </c>
      <c r="L19" s="2761"/>
      <c r="S19" s="1736"/>
    </row>
    <row r="20" spans="1:19" ht="6.4" hidden="1" customHeight="1" x14ac:dyDescent="0.25">
      <c r="A20" s="2435"/>
      <c r="B20" s="5267"/>
      <c r="C20" s="2899"/>
      <c r="D20" s="2603"/>
      <c r="E20" s="2603"/>
      <c r="F20" s="2603"/>
      <c r="G20" s="2603"/>
      <c r="H20" s="2599"/>
      <c r="I20" s="2599"/>
      <c r="J20" s="2603"/>
      <c r="K20" s="2889"/>
      <c r="L20" s="2761"/>
      <c r="S20" s="1736"/>
    </row>
    <row r="21" spans="1:19" ht="15.75" x14ac:dyDescent="0.25">
      <c r="A21" s="2435"/>
      <c r="B21" s="5267"/>
      <c r="C21" s="2828" t="s">
        <v>8741</v>
      </c>
      <c r="D21" s="2829" t="s">
        <v>8742</v>
      </c>
      <c r="E21" s="2829"/>
      <c r="F21" s="2829"/>
      <c r="G21" s="2829"/>
      <c r="H21" s="2599"/>
      <c r="I21" s="2599"/>
      <c r="J21" s="2828"/>
      <c r="K21" s="2895"/>
      <c r="L21" s="2535" t="str">
        <f>IF($V$1=0,"",IF($P$13=n,"",IF(K21="",reo,"")))</f>
        <v/>
      </c>
      <c r="M21" s="1485">
        <f>IF(L21="",0,1)</f>
      </c>
      <c r="S21" s="1736"/>
    </row>
    <row r="22" spans="1:19" ht="4.9000000000000004" hidden="1" customHeight="1" x14ac:dyDescent="0.2">
      <c r="A22" s="2435"/>
      <c r="B22" s="5267"/>
      <c r="C22" s="2899"/>
      <c r="D22" s="2471"/>
      <c r="E22" s="2471"/>
      <c r="F22" s="2471"/>
      <c r="G22" s="2471"/>
      <c r="H22" s="2471"/>
      <c r="I22" s="2471"/>
      <c r="J22" s="2471"/>
      <c r="K22" s="2896"/>
      <c r="L22" s="2762"/>
      <c r="S22" s="1736"/>
    </row>
    <row r="23" spans="1:19" ht="15.75" x14ac:dyDescent="0.25">
      <c r="A23" s="2435"/>
      <c r="B23" s="5267"/>
      <c r="C23" s="2899"/>
      <c r="D23" s="2831" t="s">
        <v>8743</v>
      </c>
      <c r="E23" s="2831"/>
      <c r="F23" s="2831"/>
      <c r="G23" s="2831"/>
      <c r="H23" s="2599"/>
      <c r="I23" s="2599"/>
      <c r="J23" s="2832"/>
      <c r="K23" s="2895"/>
      <c r="L23" s="2535" t="str">
        <f>IF($V$1=0,"",IF($P$13=n,"",IF(K23="",reo,"")))</f>
        <v/>
      </c>
      <c r="M23" s="1485">
        <f>IF(L23="",0,1)</f>
      </c>
      <c r="S23" s="1736"/>
    </row>
    <row r="24" spans="1:19" ht="4.9000000000000004" hidden="1" customHeight="1" x14ac:dyDescent="0.2">
      <c r="A24" s="2435"/>
      <c r="B24" s="2471"/>
      <c r="C24" s="2899"/>
      <c r="D24" s="2471"/>
      <c r="E24" s="2471"/>
      <c r="F24" s="2471"/>
      <c r="G24" s="2471"/>
      <c r="H24" s="2471"/>
      <c r="I24" s="2471"/>
      <c r="J24" s="2471"/>
      <c r="K24" s="2762"/>
      <c r="L24" s="2762"/>
      <c r="S24" s="1736"/>
    </row>
    <row r="25" spans="1:19" x14ac:dyDescent="0.2">
      <c r="A25" s="2435"/>
      <c r="B25" s="2830"/>
      <c r="C25" s="2899"/>
      <c r="D25" s="2833" t="s">
        <v>8744</v>
      </c>
      <c r="E25" s="2833"/>
      <c r="F25" s="2833"/>
      <c r="G25" s="2833"/>
      <c r="H25" s="2471"/>
      <c r="I25" s="2471"/>
      <c r="J25" s="2828"/>
      <c r="K25" s="2893">
        <f>K19-(K21+K23)</f>
      </c>
      <c r="L25" s="2535"/>
      <c r="S25" s="1736"/>
    </row>
    <row r="26" spans="1:19" ht="4.1500000000000004" customHeight="1" x14ac:dyDescent="0.2">
      <c r="A26" s="2165"/>
      <c r="B26" s="2165"/>
      <c r="C26" s="2165"/>
      <c r="D26" s="2165"/>
      <c r="E26" s="2165"/>
      <c r="F26" s="2165"/>
      <c r="G26" s="2165"/>
      <c r="H26" s="2165"/>
      <c r="I26" s="2165"/>
      <c r="J26" s="2165"/>
      <c r="K26" s="2165"/>
      <c r="L26" s="2761"/>
      <c r="S26" s="1736"/>
    </row>
    <row r="27" spans="1:19" s="2903" customFormat="1" ht="28.35" customHeight="1" x14ac:dyDescent="0.2">
      <c r="A27" s="2901"/>
      <c r="B27" s="5222" t="s">
        <v>8808</v>
      </c>
      <c r="C27" s="5223"/>
      <c r="D27" s="5223"/>
      <c r="E27" s="5223"/>
      <c r="F27" s="5223"/>
      <c r="G27" s="5224"/>
      <c r="H27" s="2900" t="s">
        <v>10538</v>
      </c>
      <c r="I27" s="2900" t="s">
        <v>5806</v>
      </c>
      <c r="J27" s="2900" t="s">
        <v>363</v>
      </c>
      <c r="K27" s="2900" t="s">
        <v>2372</v>
      </c>
      <c r="L27" s="4033" t="str">
        <f>IF(AND(O1=1,SUM(R28:R29)&gt;0),"Check Question 1 in TRA100!","")</f>
        <v/>
      </c>
      <c r="M27" s="1485">
        <f>IF(L27="",0,1)</f>
      </c>
      <c r="S27" s="2904"/>
    </row>
    <row r="28" spans="1:19" x14ac:dyDescent="0.2">
      <c r="A28" s="2435"/>
      <c r="B28" s="2421" t="s">
        <v>8772</v>
      </c>
      <c r="C28" s="2435"/>
      <c r="D28" s="2435"/>
      <c r="E28" s="2435"/>
      <c r="F28" s="2435"/>
      <c r="G28" s="2435"/>
      <c r="H28" s="2897"/>
      <c r="I28" s="2898"/>
      <c r="J28" s="2898"/>
      <c r="K28" s="2897"/>
      <c r="L28" s="2535" t="str">
        <f>IF(AND('TRA100'!$K$6="no",TRA100A!R28&gt;0),"Delete!",IF(AND(W$3=1,R28&lt;&gt;4),reo,""))</f>
        <v/>
      </c>
      <c r="M28" s="1485">
        <f>IF(L28="",0,1)</f>
      </c>
      <c r="R28" s="2732">
        <f>COUNT(H28:K28)</f>
      </c>
    </row>
    <row r="29" spans="1:19" x14ac:dyDescent="0.2">
      <c r="A29" s="2435"/>
      <c r="B29" s="2421" t="s">
        <v>8771</v>
      </c>
      <c r="C29" s="2435"/>
      <c r="D29" s="2435"/>
      <c r="E29" s="2435"/>
      <c r="F29" s="2435"/>
      <c r="G29" s="2435"/>
      <c r="H29" s="2897"/>
      <c r="I29" s="2898"/>
      <c r="J29" s="2897"/>
      <c r="K29" s="2897"/>
      <c r="L29" s="2535" t="str">
        <f>IF(AND('TRA100'!$K$6="no",TRA100A!R29&gt;0),"Delete!",IF(AND(W$3=1,R29&lt;&gt;4),reo,""))</f>
        <v/>
      </c>
      <c r="M29" s="1485">
        <f>IF(L29="",0,1)</f>
      </c>
      <c r="R29" s="2732">
        <f>COUNT(H29:K29)</f>
      </c>
    </row>
    <row r="30" spans="1:19" x14ac:dyDescent="0.2">
      <c r="A30" s="2435"/>
      <c r="B30" s="2435"/>
      <c r="C30" s="2435"/>
      <c r="D30" s="2435"/>
      <c r="E30" s="2435"/>
      <c r="F30" s="2435"/>
      <c r="G30" s="2435"/>
      <c r="H30" s="2782">
        <f>H28+H29</f>
      </c>
      <c r="I30" s="2782">
        <f>I28+I29</f>
      </c>
      <c r="J30" s="2782">
        <f>J28+J29</f>
      </c>
      <c r="K30" s="2782">
        <f>K28+K29</f>
      </c>
      <c r="L30" s="2535" t="str">
        <f>IF(J30+K30&lt;&gt;K25," Check Attribution to MTA &amp; FIA",IF(H30+I30&lt;&gt;K23," Check attributions to FTA and IPA",""))</f>
        <v/>
      </c>
      <c r="M30" s="1485">
        <f>IF(D62="",0,1)</f>
      </c>
      <c r="R30" s="1485">
        <f>H30+I30</f>
      </c>
      <c r="S30" s="2734" t="s">
        <v>8328</v>
      </c>
    </row>
    <row r="31" spans="1:19" x14ac:dyDescent="0.2">
      <c r="A31" s="2435"/>
      <c r="B31" s="2435"/>
      <c r="C31" s="2435"/>
      <c r="D31" s="2435"/>
      <c r="E31" s="2435"/>
      <c r="F31" s="2435"/>
      <c r="G31" s="2435"/>
      <c r="H31" s="2435"/>
      <c r="I31" s="2435"/>
      <c r="J31" s="2435"/>
      <c r="K31" s="2435"/>
      <c r="L31" s="2535"/>
      <c r="S31" s="2734"/>
    </row>
    <row r="32" spans="1:19" ht="15.4" customHeight="1" x14ac:dyDescent="0.2">
      <c r="A32" s="2435"/>
      <c r="B32" s="5247" t="s">
        <v>8777</v>
      </c>
      <c r="C32" s="5262" t="s">
        <v>8807</v>
      </c>
      <c r="D32" s="5262"/>
      <c r="E32" s="5262" t="s">
        <v>8806</v>
      </c>
      <c r="F32" s="5262"/>
      <c r="G32" s="2435"/>
      <c r="H32" s="2981"/>
      <c r="I32" s="2867"/>
      <c r="J32" s="2868" t="s">
        <v>8800</v>
      </c>
      <c r="K32" s="2611"/>
      <c r="L32" s="2535" t="str">
        <f>IF(AND(W3=1,K32=""),re,IF(K32&gt;N32,"Maximum Rate - "&amp;N32*100&amp;"%",""))</f>
        <v/>
      </c>
      <c r="M32" s="1485">
        <f>IF(L32&lt;&gt;"",1,0)</f>
      </c>
      <c r="N32" s="2612">
        <f>'Exchange Rates'!AB1</f>
      </c>
      <c r="O32" s="1736" t="s">
        <v>8751</v>
      </c>
      <c r="S32" s="2734"/>
    </row>
    <row r="33" spans="1:33" ht="42.4" customHeight="1" x14ac:dyDescent="0.2">
      <c r="A33" s="2435"/>
      <c r="B33" s="5248"/>
      <c r="C33" s="5262"/>
      <c r="D33" s="5262"/>
      <c r="E33" s="5262"/>
      <c r="F33" s="5262"/>
      <c r="G33" s="2435"/>
      <c r="H33" s="5234" t="str">
        <f>"Calculation of Notional Interest                   @ "&amp;K32*100&amp;"% Reference rate                         (Direct Attribution)"</f>
      </c>
      <c r="I33" s="5234"/>
      <c r="J33" s="5249" t="str">
        <f>"Calculation of Notional Interest                   @ "&amp;K32*100&amp;"% Reference rate                         (Indirect Attribution)"</f>
      </c>
      <c r="K33" s="5234"/>
      <c r="L33" s="2535" t="str">
        <f>IF(AND($O$1=1,N33&gt;0),"Check Question 1 in TRA100!","")</f>
        <v/>
      </c>
      <c r="N33" s="1485">
        <f>COUNTA(C35:F43,K32)</f>
      </c>
      <c r="S33" s="2734"/>
    </row>
    <row r="34" spans="1:33" ht="15" x14ac:dyDescent="0.2">
      <c r="A34" s="2435"/>
      <c r="B34" s="2879" t="s">
        <v>8773</v>
      </c>
      <c r="C34" s="2524" t="s">
        <v>363</v>
      </c>
      <c r="D34" s="2523" t="s">
        <v>2372</v>
      </c>
      <c r="E34" s="2524" t="s">
        <v>363</v>
      </c>
      <c r="F34" s="2523" t="s">
        <v>2372</v>
      </c>
      <c r="G34" s="2435"/>
      <c r="H34" s="2524" t="s">
        <v>363</v>
      </c>
      <c r="I34" s="2523" t="s">
        <v>2372</v>
      </c>
      <c r="J34" s="2524" t="s">
        <v>363</v>
      </c>
      <c r="K34" s="2523" t="s">
        <v>2372</v>
      </c>
      <c r="L34" s="2535"/>
      <c r="Q34" s="2313"/>
      <c r="R34" s="2313"/>
      <c r="S34" s="2734"/>
    </row>
    <row r="35" spans="1:33" x14ac:dyDescent="0.2">
      <c r="A35" s="2435"/>
      <c r="B35" s="2869" t="s">
        <v>8768</v>
      </c>
      <c r="C35" s="2885"/>
      <c r="D35" s="2885"/>
      <c r="E35" s="2885"/>
      <c r="F35" s="2885"/>
      <c r="G35" s="2435"/>
      <c r="H35" s="2886">
        <f>IF('TRA100'!$K$14="yes",ROUND(C35*$K$32*('TRA100'!$K$15/365),0),IF('TRA100'!$K$14="no",ROUND(C35*$K$32,0),0))</f>
      </c>
      <c r="I35" s="2886">
        <f>IF('TRA100'!$K$14="yes",ROUND(D35*$K$32*('TRA100'!$K$15/365),0),IF('TRA100'!$K$14="no",ROUND(D35*$K$32,0),0))</f>
      </c>
      <c r="J35" s="2886">
        <f>IF('TRA100'!$K$14="yes",ROUND(E35*$K$32*('TRA100'!$K$15/365),0),IF('TRA100'!$K$14="no",ROUND(E35*$K$32,0),0))</f>
      </c>
      <c r="K35" s="2886">
        <f>IF('TRA100'!$K$14="yes",ROUND(F35*$K$32*('TRA100'!$K$15/365),0),IF('TRA100'!$K$14="no",ROUND(F35*$K$32,0),0))</f>
      </c>
      <c r="L35" s="2535" t="str">
        <f>IF(AND(SUM(O35:P35)&gt;0,'TRA100'!$K$6="no"),"Delete!",IF(AND(O35=0,R35=0,Q35=0),"",IF(O35&lt;2," Direct Attribution "&amp;reo,IF(P35&lt;2," Indirect Attribution "&amp;reo,""))))</f>
        <v/>
      </c>
      <c r="M35" s="1485">
        <f>IF(L35="",0,1)</f>
      </c>
      <c r="O35" s="1485">
        <f>COUNT(C35:D35)</f>
      </c>
      <c r="P35" s="1485">
        <f>COUNT(E35:F35)</f>
      </c>
      <c r="Q35" s="2313">
        <f>J28</f>
      </c>
      <c r="R35" s="2313">
        <f>K28</f>
      </c>
      <c r="S35" s="2734"/>
      <c r="T35" s="1485">
        <f>COUNT(J35:K35)</f>
      </c>
      <c r="U35" s="2313">
        <f>J29</f>
      </c>
      <c r="V35" s="2313">
        <f>K29</f>
      </c>
    </row>
    <row r="36" spans="1:33" x14ac:dyDescent="0.2">
      <c r="A36" s="2435"/>
      <c r="B36" s="2869" t="s">
        <v>168</v>
      </c>
      <c r="C36" s="2885"/>
      <c r="D36" s="2885"/>
      <c r="E36" s="2885"/>
      <c r="F36" s="2885"/>
      <c r="G36" s="2435"/>
      <c r="H36" s="2886">
        <f>IF('TRA100'!$K$14="yes",ROUND(C36*$K$32*('TRA100'!$K$15/365),0),IF('TRA100'!$K$14="no",ROUND(C36*$K$32,0),0))</f>
      </c>
      <c r="I36" s="2886">
        <f>IF('TRA100'!$K$14="yes",ROUND(D36*$K$32*('TRA100'!$K$15/365),0),IF('TRA100'!$K$14="no",ROUND(D36*$K$32,0),0))</f>
      </c>
      <c r="J36" s="2886">
        <f>IF('TRA100'!$K$14="yes",ROUND(E36*$K$32*('TRA100'!$K$15/365),0),IF('TRA100'!$K$14="no",ROUND(E36*$K$32,0),0))</f>
      </c>
      <c r="K36" s="2886">
        <f>IF('TRA100'!$K$14="yes",ROUND(F36*$K$32*('TRA100'!$K$15/365),0),IF('TRA100'!$K$14="no",ROUND(F36*$K$32,0),0))</f>
      </c>
      <c r="L36" s="2535" t="str">
        <f>IF(AND(SUM(O36:P36)&gt;0,'TRA100'!$K$6="no"),"Delete!",IF(AND(O36=0,R36=0,Q36=0),"",IF(O36&lt;2," Direct Attribution "&amp;reo,IF(P36&lt;2," Indirect Attribution "&amp;reo,""))))</f>
        <v/>
      </c>
      <c r="M36" s="1485">
        <f t="shared" ref="M36:M44" si="1">IF(L36="",0,1)</f>
      </c>
      <c r="O36" s="1485">
        <f t="shared" ref="O36:O43" si="2">COUNT(C36:D36)</f>
      </c>
      <c r="P36" s="1485">
        <f t="shared" ref="P36:P43" si="3">COUNT(E36:F36)</f>
      </c>
      <c r="Q36" s="2313">
        <f>Q35-C35</f>
      </c>
      <c r="R36" s="2313">
        <f>R35-D35</f>
      </c>
      <c r="S36" s="2734"/>
      <c r="T36" s="1485">
        <f t="shared" ref="T36:T43" si="4">COUNT(J36:K36)</f>
      </c>
      <c r="U36" s="2313">
        <f>U35-E35</f>
      </c>
      <c r="V36" s="2313">
        <f>V35-F35</f>
      </c>
    </row>
    <row r="37" spans="1:33" x14ac:dyDescent="0.2">
      <c r="A37" s="2435"/>
      <c r="B37" s="2869" t="s">
        <v>8769</v>
      </c>
      <c r="C37" s="2885"/>
      <c r="D37" s="2885"/>
      <c r="E37" s="2885"/>
      <c r="F37" s="2885"/>
      <c r="G37" s="2435"/>
      <c r="H37" s="2886">
        <f>IF('TRA100'!$K$14="yes",ROUND(C37*$K$32*('TRA100'!$K$15/365),0),IF('TRA100'!$K$14="no",ROUND(C37*$K$32,0),0))</f>
      </c>
      <c r="I37" s="2886">
        <f>IF('TRA100'!$K$14="yes",ROUND(D37*$K$32*('TRA100'!$K$15/365),0),IF('TRA100'!$K$14="no",ROUND(D37*$K$32,0),0))</f>
      </c>
      <c r="J37" s="2886">
        <f>IF('TRA100'!$K$14="yes",ROUND(E37*$K$32*('TRA100'!$K$15/365),0),IF('TRA100'!$K$14="no",ROUND(E37*$K$32,0),0))</f>
      </c>
      <c r="K37" s="2886">
        <f>IF('TRA100'!$K$14="yes",ROUND(F37*$K$32*('TRA100'!$K$15/365),0),IF('TRA100'!$K$14="no",ROUND(F37*$K$32,0),0))</f>
      </c>
      <c r="L37" s="2535" t="str">
        <f>IF(AND(SUM(O37:P37)&gt;0,'TRA100'!$K$6="no"),"Delete!",IF(AND(O37=0,R37=0,Q37=0),"",IF(O37&lt;2," Direct Attribution "&amp;reo,IF(P37&lt;2," Indirect Attribution "&amp;reo,""))))</f>
        <v/>
      </c>
      <c r="M37" s="1485">
        <f t="shared" si="1"/>
        <v>0</v>
      </c>
      <c r="O37" s="1485">
        <f t="shared" si="2"/>
        <v>0</v>
      </c>
      <c r="P37" s="1485">
        <f t="shared" si="3"/>
        <v>0</v>
      </c>
      <c r="Q37" s="2313">
        <f t="shared" ref="Q37:Q43" si="5">Q36-C36</f>
      </c>
      <c r="R37" s="2313">
        <f t="shared" ref="R37:R43" si="6">R36-D36</f>
      </c>
      <c r="S37" s="2734"/>
      <c r="T37" s="1485">
        <f t="shared" si="4"/>
        <v>2</v>
      </c>
      <c r="U37" s="2313">
        <f t="shared" ref="U37:U43" si="7">U36-E36</f>
      </c>
      <c r="V37" s="2313">
        <f t="shared" ref="V37:V43" si="8">V36-F36</f>
      </c>
    </row>
    <row r="38" spans="1:33" x14ac:dyDescent="0.2">
      <c r="A38" s="2435"/>
      <c r="B38" s="2869" t="s">
        <v>4835</v>
      </c>
      <c r="C38" s="2885"/>
      <c r="D38" s="2885"/>
      <c r="E38" s="2885"/>
      <c r="F38" s="2885"/>
      <c r="G38" s="2435"/>
      <c r="H38" s="2886">
        <f>IF('TRA100'!$K$14="yes",ROUND(C38*$K$32*('TRA100'!$K$15/365),0),IF('TRA100'!$K$14="no",ROUND(C38*$K$32,0),0))</f>
      </c>
      <c r="I38" s="2886">
        <f>IF('TRA100'!$K$14="yes",ROUND(D38*$K$32*('TRA100'!$K$15/365),0),IF('TRA100'!$K$14="no",ROUND(D38*$K$32,0),0))</f>
      </c>
      <c r="J38" s="2886">
        <f>IF('TRA100'!$K$14="yes",ROUND(E38*$K$32*('TRA100'!$K$15/365),0),IF('TRA100'!$K$14="no",ROUND(E38*$K$32,0),0))</f>
      </c>
      <c r="K38" s="2886">
        <f>IF('TRA100'!$K$14="yes",ROUND(F38*$K$32*('TRA100'!$K$15/365),0),IF('TRA100'!$K$14="no",ROUND(F38*$K$32,0),0))</f>
      </c>
      <c r="L38" s="2535" t="str">
        <f>IF(AND(SUM(O38:P38)&gt;0,'TRA100'!$K$6="no"),"Delete!",IF(AND(O38=0,R38=0,Q38=0),"",IF(O38&lt;2," Direct Attribution "&amp;reo,IF(P38&lt;2," Indirect Attribution "&amp;reo,""))))</f>
        <v/>
      </c>
      <c r="M38" s="1485">
        <f t="shared" si="1"/>
        <v>0</v>
      </c>
      <c r="O38" s="1485">
        <f t="shared" si="2"/>
        <v>0</v>
      </c>
      <c r="P38" s="1485">
        <f t="shared" si="3"/>
        <v>0</v>
      </c>
      <c r="Q38" s="2313">
        <f t="shared" si="5"/>
        <v>0</v>
      </c>
      <c r="R38" s="2313">
        <f t="shared" si="6"/>
        <v>0</v>
      </c>
      <c r="S38" s="2734"/>
      <c r="T38" s="1485">
        <f t="shared" si="4"/>
        <v>2</v>
      </c>
      <c r="U38" s="2313">
        <f t="shared" si="7"/>
        <v>0</v>
      </c>
      <c r="V38" s="2313">
        <f t="shared" si="8"/>
        <v>0</v>
      </c>
    </row>
    <row r="39" spans="1:33" x14ac:dyDescent="0.2">
      <c r="A39" s="2435"/>
      <c r="B39" s="2869" t="s">
        <v>8770</v>
      </c>
      <c r="C39" s="2885"/>
      <c r="D39" s="2885"/>
      <c r="E39" s="2885"/>
      <c r="F39" s="2885"/>
      <c r="G39" s="2435"/>
      <c r="H39" s="2886">
        <f>IF('TRA100'!$K$14="yes",ROUND(C39*$K$32*('TRA100'!$K$15/365),0),IF('TRA100'!$K$14="no",ROUND(C39*$K$32,0),0))</f>
      </c>
      <c r="I39" s="2886">
        <f>IF('TRA100'!$K$14="yes",ROUND(D39*$K$32*('TRA100'!$K$15/365),0),IF('TRA100'!$K$14="no",ROUND(D39*$K$32,0),0))</f>
      </c>
      <c r="J39" s="2886">
        <f>IF('TRA100'!$K$14="yes",ROUND(E39*$K$32*('TRA100'!$K$15/365),0),IF('TRA100'!$K$14="no",ROUND(E39*$K$32,0),0))</f>
      </c>
      <c r="K39" s="2886">
        <f>IF('TRA100'!$K$14="yes",ROUND(F39*$K$32*('TRA100'!$K$15/365),0),IF('TRA100'!$K$14="no",ROUND(F39*$K$32,0),0))</f>
      </c>
      <c r="L39" s="2535" t="str">
        <f>IF(AND(SUM(O39:P39)&gt;0,'TRA100'!$K$6="no"),"Delete!",IF(AND(O39=0,R39=0,Q39=0),"",IF(O39&lt;2," Direct Attribution "&amp;reo,IF(P39&lt;2," Indirect Attribution "&amp;reo,""))))</f>
        <v/>
      </c>
      <c r="M39" s="1485">
        <f t="shared" si="1"/>
        <v>0</v>
      </c>
      <c r="O39" s="1485">
        <f t="shared" si="2"/>
        <v>0</v>
      </c>
      <c r="P39" s="1485">
        <f t="shared" si="3"/>
        <v>0</v>
      </c>
      <c r="Q39" s="2313">
        <f t="shared" si="5"/>
        <v>0</v>
      </c>
      <c r="R39" s="2313">
        <f t="shared" si="6"/>
        <v>0</v>
      </c>
      <c r="S39" s="2734"/>
      <c r="T39" s="1485">
        <f t="shared" si="4"/>
        <v>2</v>
      </c>
      <c r="U39" s="2313">
        <f t="shared" si="7"/>
        <v>0</v>
      </c>
      <c r="V39" s="2313">
        <f t="shared" si="8"/>
        <v>0</v>
      </c>
    </row>
    <row r="40" spans="1:33" x14ac:dyDescent="0.2">
      <c r="A40" s="2435"/>
      <c r="B40" s="2869" t="s">
        <v>6142</v>
      </c>
      <c r="C40" s="2885"/>
      <c r="D40" s="2885"/>
      <c r="E40" s="2885"/>
      <c r="F40" s="2885"/>
      <c r="G40" s="2435"/>
      <c r="H40" s="2886">
        <f>IF('TRA100'!$K$14="yes",ROUND(C40*$K$32*('TRA100'!$K$15/365),0),IF('TRA100'!$K$14="no",ROUND(C40*$K$32,0),0))</f>
      </c>
      <c r="I40" s="2886">
        <f>IF('TRA100'!$K$14="yes",ROUND(D40*$K$32*('TRA100'!$K$15/365),0),IF('TRA100'!$K$14="no",ROUND(D40*$K$32,0),0))</f>
      </c>
      <c r="J40" s="2886">
        <f>IF('TRA100'!$K$14="yes",ROUND(E40*$K$32*('TRA100'!$K$15/365),0),IF('TRA100'!$K$14="no",ROUND(E40*$K$32,0),0))</f>
      </c>
      <c r="K40" s="2886">
        <f>IF('TRA100'!$K$14="yes",ROUND(F40*$K$32*('TRA100'!$K$15/365),0),IF('TRA100'!$K$14="no",ROUND(F40*$K$32,0),0))</f>
      </c>
      <c r="L40" s="2535" t="str">
        <f>IF(AND(SUM(O40:P40)&gt;0,'TRA100'!$K$6="no"),"Delete!",IF(AND(O40=0,R40=0,Q40=0),"",IF(O40&lt;2," Direct Attribution "&amp;reo,IF(P40&lt;2," Indirect Attribution "&amp;reo,""))))</f>
        <v/>
      </c>
      <c r="M40" s="1485">
        <f t="shared" si="1"/>
        <v>0</v>
      </c>
      <c r="O40" s="1485">
        <f t="shared" si="2"/>
        <v>0</v>
      </c>
      <c r="P40" s="1485">
        <f t="shared" si="3"/>
        <v>0</v>
      </c>
      <c r="Q40" s="2313">
        <f t="shared" si="5"/>
        <v>0</v>
      </c>
      <c r="R40" s="2313">
        <f t="shared" si="6"/>
        <v>0</v>
      </c>
      <c r="S40" s="2734"/>
      <c r="T40" s="1485">
        <f t="shared" si="4"/>
        <v>2</v>
      </c>
      <c r="U40" s="2313">
        <f t="shared" si="7"/>
        <v>0</v>
      </c>
      <c r="V40" s="2313">
        <f t="shared" si="8"/>
        <v>0</v>
      </c>
    </row>
    <row r="41" spans="1:33" x14ac:dyDescent="0.2">
      <c r="A41" s="2435"/>
      <c r="B41" s="2869" t="s">
        <v>6198</v>
      </c>
      <c r="C41" s="2885"/>
      <c r="D41" s="2885"/>
      <c r="E41" s="2885"/>
      <c r="F41" s="2885"/>
      <c r="G41" s="2435"/>
      <c r="H41" s="2886">
        <f>IF('TRA100'!$K$14="yes",ROUND(C41*$K$32*('TRA100'!$K$15/365),0),IF('TRA100'!$K$14="no",ROUND(C41*$K$32,0),0))</f>
      </c>
      <c r="I41" s="2886">
        <f>IF('TRA100'!$K$14="yes",ROUND(D41*$K$32*('TRA100'!$K$15/365),0),IF('TRA100'!$K$14="no",ROUND(D41*$K$32,0),0))</f>
      </c>
      <c r="J41" s="2886">
        <f>IF('TRA100'!$K$14="yes",ROUND(E41*$K$32*('TRA100'!$K$15/365),0),IF('TRA100'!$K$14="no",ROUND(E41*$K$32,0),0))</f>
      </c>
      <c r="K41" s="2886">
        <f>IF('TRA100'!$K$14="yes",ROUND(F41*$K$32*('TRA100'!$K$15/365),0),IF('TRA100'!$K$14="no",ROUND(F41*$K$32,0),0))</f>
      </c>
      <c r="L41" s="2535" t="str">
        <f>IF(AND(SUM(O41:P41)&gt;0,'TRA100'!$K$6="no"),"Delete!",IF(AND(O41=0,R41=0,Q41=0),"",IF(O41&lt;2," Direct Attribution "&amp;reo,IF(P41&lt;2," Indirect Attribution "&amp;reo,""))))</f>
        <v/>
      </c>
      <c r="M41" s="1485">
        <f t="shared" si="1"/>
        <v>0</v>
      </c>
      <c r="O41" s="1485">
        <f t="shared" si="2"/>
        <v>0</v>
      </c>
      <c r="P41" s="1485">
        <f t="shared" si="3"/>
        <v>0</v>
      </c>
      <c r="Q41" s="2313">
        <f t="shared" si="5"/>
        <v>0</v>
      </c>
      <c r="R41" s="2313">
        <f t="shared" si="6"/>
        <v>0</v>
      </c>
      <c r="S41" s="2734"/>
      <c r="T41" s="1485">
        <f t="shared" si="4"/>
        <v>2</v>
      </c>
      <c r="U41" s="2313">
        <f t="shared" si="7"/>
        <v>0</v>
      </c>
      <c r="V41" s="2313">
        <f t="shared" si="8"/>
        <v>0</v>
      </c>
    </row>
    <row r="42" spans="1:33" x14ac:dyDescent="0.2">
      <c r="A42" s="2435"/>
      <c r="B42" s="2869" t="s">
        <v>6200</v>
      </c>
      <c r="C42" s="2885"/>
      <c r="D42" s="2885"/>
      <c r="E42" s="2885"/>
      <c r="F42" s="2885"/>
      <c r="G42" s="2435"/>
      <c r="H42" s="2886">
        <f>IF('TRA100'!$K$14="yes",ROUND(C42*$K$32*('TRA100'!$K$15/365),0),IF('TRA100'!$K$14="no",ROUND(C42*$K$32,0),0))</f>
      </c>
      <c r="I42" s="2886">
        <f>IF('TRA100'!$K$14="yes",ROUND(D42*$K$32*('TRA100'!$K$15/365),0),IF('TRA100'!$K$14="no",ROUND(D42*$K$32,0),0))</f>
      </c>
      <c r="J42" s="2886">
        <f>IF('TRA100'!$K$14="yes",ROUND(E42*$K$32*('TRA100'!$K$15/365),0),IF('TRA100'!$K$14="no",ROUND(E42*$K$32,0),0))</f>
      </c>
      <c r="K42" s="2886">
        <f>IF('TRA100'!$K$14="yes",ROUND(F42*$K$32*('TRA100'!$K$15/365),0),IF('TRA100'!$K$14="no",ROUND(F42*$K$32,0),0))</f>
      </c>
      <c r="L42" s="2535" t="str">
        <f>IF(AND(SUM(O42:P42)&gt;0,'TRA100'!$K$6="no"),"Delete!",IF(AND(O42=0,R42=0,Q42=0),"",IF(O42&lt;2," Direct Attribution "&amp;reo,IF(P42&lt;2," Indirect Attribution "&amp;reo,""))))</f>
        <v/>
      </c>
      <c r="M42" s="1485">
        <f t="shared" si="1"/>
        <v>0</v>
      </c>
      <c r="O42" s="1485">
        <f t="shared" si="2"/>
        <v>0</v>
      </c>
      <c r="P42" s="1485">
        <f t="shared" si="3"/>
        <v>0</v>
      </c>
      <c r="Q42" s="2313">
        <f t="shared" si="5"/>
        <v>0</v>
      </c>
      <c r="R42" s="2313">
        <f t="shared" si="6"/>
        <v>0</v>
      </c>
      <c r="S42" s="2734"/>
      <c r="T42" s="1485">
        <f t="shared" si="4"/>
        <v>2</v>
      </c>
      <c r="U42" s="2313">
        <f t="shared" si="7"/>
        <v>0</v>
      </c>
      <c r="V42" s="2313">
        <f t="shared" si="8"/>
        <v>0</v>
      </c>
    </row>
    <row r="43" spans="1:33" x14ac:dyDescent="0.2">
      <c r="A43" s="2435"/>
      <c r="B43" s="2869" t="s">
        <v>8746</v>
      </c>
      <c r="C43" s="2885"/>
      <c r="D43" s="2885"/>
      <c r="E43" s="2885"/>
      <c r="F43" s="2885"/>
      <c r="G43" s="2435"/>
      <c r="H43" s="2886">
        <f>IF('TRA100'!$K$14="yes",ROUND(C43*$K$32*('TRA100'!$K$15/365),0),IF('TRA100'!$K$14="no",ROUND(C43*$K$32,0),0))</f>
      </c>
      <c r="I43" s="2886">
        <f>IF('TRA100'!$K$14="yes",ROUND(D43*$K$32*('TRA100'!$K$15/365),0),IF('TRA100'!$K$14="no",ROUND(D43*$K$32,0),0))</f>
      </c>
      <c r="J43" s="2886">
        <f>IF('TRA100'!$K$14="yes",ROUND(E43*$K$32*('TRA100'!$K$15/365),0),IF('TRA100'!$K$14="no",ROUND(E43*$K$32,0),0))</f>
      </c>
      <c r="K43" s="2886">
        <f>IF('TRA100'!$K$14="yes",ROUND(F43*$K$32*('TRA100'!$K$15/365),0),IF('TRA100'!$K$14="no",ROUND(F43*$K$32,0),0))</f>
      </c>
      <c r="L43" s="2535" t="str">
        <f>IF(AND(SUM(O43:P43)&gt;0,'TRA100'!$K$6="no"),"Delete!",IF(AND(O43=0,R43=0,Q43=0),"",IF(O43&lt;2," Direct Attribution "&amp;reo,IF(P43&lt;2," Indirect Attribution "&amp;reo,""))))</f>
        <v/>
      </c>
      <c r="M43" s="1485">
        <f t="shared" si="1"/>
        <v>0</v>
      </c>
      <c r="O43" s="1485">
        <f t="shared" si="2"/>
        <v>0</v>
      </c>
      <c r="P43" s="1485">
        <f t="shared" si="3"/>
        <v>0</v>
      </c>
      <c r="Q43" s="2313">
        <f t="shared" si="5"/>
        <v>0</v>
      </c>
      <c r="R43" s="2313">
        <f t="shared" si="6"/>
        <v>0</v>
      </c>
      <c r="S43" s="2734"/>
      <c r="T43" s="1485">
        <f t="shared" si="4"/>
        <v>2</v>
      </c>
      <c r="U43" s="2313">
        <f t="shared" si="7"/>
        <v>0</v>
      </c>
      <c r="V43" s="2313">
        <f t="shared" si="8"/>
        <v>0</v>
      </c>
    </row>
    <row r="44" spans="1:33" x14ac:dyDescent="0.2">
      <c r="A44" s="2435"/>
      <c r="B44" s="2880" t="s">
        <v>5590</v>
      </c>
      <c r="C44" s="2887">
        <f>SUM(C35:C43)</f>
      </c>
      <c r="D44" s="2887">
        <f>SUM(D35:D43)</f>
      </c>
      <c r="E44" s="2887">
        <f>SUM(E35:E43)</f>
      </c>
      <c r="F44" s="2887">
        <f>SUM(F35:F43)</f>
      </c>
      <c r="G44" s="2435"/>
      <c r="H44" s="2887">
        <f>SUM(H35:H43)</f>
      </c>
      <c r="I44" s="2887">
        <f>SUM(I35:I43)</f>
      </c>
      <c r="J44" s="2887">
        <f>SUM(J35:J43)</f>
      </c>
      <c r="K44" s="2887">
        <f>SUM(K35:K43)</f>
      </c>
      <c r="L44" s="2535" t="str">
        <f>IF(C44+E44&lt;&gt;J30,"Does not equal summary attribution, above, (MTA)!",IF(D44+F44&lt;&gt;K30,"Does not equal summary attribution, above, (FIA)!",""))</f>
        <v/>
      </c>
      <c r="M44" s="1485">
        <f t="shared" si="1"/>
        <v>0</v>
      </c>
      <c r="S44" s="2734"/>
      <c r="AF44" s="2314"/>
      <c r="AG44" s="2314"/>
    </row>
    <row r="45" spans="1:33" x14ac:dyDescent="0.2">
      <c r="A45" s="2435"/>
      <c r="B45" s="2435"/>
      <c r="C45" s="2452">
        <f>J28</f>
      </c>
      <c r="D45" s="2452">
        <f>K28</f>
      </c>
      <c r="E45" s="2452">
        <f>J29</f>
      </c>
      <c r="F45" s="2452">
        <f>K29</f>
      </c>
      <c r="G45" s="2435"/>
      <c r="H45" s="2435"/>
      <c r="I45" s="2435"/>
      <c r="J45" s="2435"/>
      <c r="K45" s="2435"/>
      <c r="L45" s="2535"/>
      <c r="O45" s="2313">
        <f>SUM(H44:K44)</f>
      </c>
      <c r="S45" s="2734"/>
      <c r="AF45" s="2314"/>
      <c r="AG45" s="2314"/>
    </row>
    <row r="46" spans="1:33" x14ac:dyDescent="0.2">
      <c r="A46" s="2866"/>
      <c r="B46" s="2866" t="str">
        <f>_xlfn.SINGLE(MTCA)</f>
      </c>
      <c r="C46" s="2866"/>
      <c r="D46" s="2866"/>
      <c r="E46" s="2866" t="s">
        <v>8778</v>
      </c>
      <c r="F46" s="2866"/>
      <c r="G46" s="2435"/>
      <c r="H46" s="2866"/>
      <c r="I46" s="2866"/>
      <c r="J46" s="2866"/>
      <c r="K46" s="2866"/>
      <c r="L46" s="2866" t="s">
        <v>8779</v>
      </c>
      <c r="S46" s="2734"/>
      <c r="AF46" s="2314"/>
      <c r="AG46" s="2314"/>
    </row>
    <row r="47" spans="1:33" ht="4.9000000000000004" customHeight="1" x14ac:dyDescent="0.2">
      <c r="A47" s="2435"/>
      <c r="B47" s="2435"/>
      <c r="C47" s="2435"/>
      <c r="D47" s="2435"/>
      <c r="E47" s="2435"/>
      <c r="F47" s="2435"/>
      <c r="G47" s="2435"/>
      <c r="H47" s="2435"/>
      <c r="I47" s="2435"/>
      <c r="J47" s="2435"/>
      <c r="K47" s="2435"/>
      <c r="L47" s="2535"/>
      <c r="S47" s="2734"/>
      <c r="AF47" s="2314"/>
      <c r="AG47" s="2314"/>
    </row>
    <row r="48" spans="1:33" hidden="1" x14ac:dyDescent="0.2">
      <c r="AF48" s="2314"/>
      <c r="AG48" s="2314"/>
    </row>
    <row r="49" spans="1:33" hidden="1" x14ac:dyDescent="0.2">
      <c r="U49" s="2724"/>
      <c r="V49" s="2724"/>
      <c r="W49" s="2724"/>
      <c r="X49" s="2724" t="s">
        <v>363</v>
      </c>
      <c r="Y49" s="2724" t="s">
        <v>2372</v>
      </c>
      <c r="Z49" s="2724"/>
      <c r="AA49" s="2724"/>
      <c r="AF49" s="2314"/>
      <c r="AG49" s="2314"/>
    </row>
    <row r="50" spans="1:33" hidden="1" x14ac:dyDescent="0.2">
      <c r="U50" s="2724"/>
      <c r="V50" s="2724"/>
      <c r="W50" s="2724"/>
      <c r="X50" s="2724"/>
      <c r="Y50" s="2724"/>
      <c r="Z50" s="2724"/>
      <c r="AA50" s="2724"/>
      <c r="AF50" s="2314"/>
      <c r="AG50" s="2314"/>
    </row>
    <row r="51" spans="1:33" hidden="1" x14ac:dyDescent="0.2">
      <c r="U51" s="2724" t="s">
        <v>8319</v>
      </c>
      <c r="V51" s="2724"/>
      <c r="W51" s="2724"/>
      <c r="X51" s="2725">
        <f>'p4'!AB62</f>
      </c>
      <c r="Y51" s="2725">
        <f>'p4'!AC62</f>
      </c>
      <c r="Z51" s="2724">
        <f>X51+Y51</f>
      </c>
      <c r="AA51" s="2724" t="s">
        <v>8790</v>
      </c>
      <c r="AF51" s="2314"/>
      <c r="AG51" s="2314"/>
    </row>
    <row r="52" spans="1:33" hidden="1" x14ac:dyDescent="0.2">
      <c r="T52" s="2724" t="s">
        <v>3136</v>
      </c>
      <c r="U52" s="2724" t="s">
        <v>1499</v>
      </c>
      <c r="V52" s="2724"/>
      <c r="W52" s="2724"/>
      <c r="X52" s="2724"/>
      <c r="Y52" s="2726">
        <f>'p5'!H27*-1</f>
      </c>
      <c r="Z52" s="2724">
        <f>X52+Y52</f>
      </c>
      <c r="AA52" s="2724" t="s">
        <v>8320</v>
      </c>
      <c r="AF52" s="2314"/>
      <c r="AG52" s="2314"/>
    </row>
    <row r="53" spans="1:33" hidden="1" x14ac:dyDescent="0.2">
      <c r="U53" s="2727" t="s">
        <v>8321</v>
      </c>
      <c r="V53" s="2724"/>
      <c r="W53" s="2724"/>
      <c r="X53" s="2726">
        <f>'TRA35'!L23*-1</f>
      </c>
      <c r="Y53" s="2724"/>
      <c r="Z53" s="2724">
        <f>X53+Y53</f>
      </c>
      <c r="AA53" s="2724" t="s">
        <v>6821</v>
      </c>
      <c r="AF53" s="2314"/>
      <c r="AG53" s="2314"/>
    </row>
    <row r="54" spans="1:33" hidden="1" x14ac:dyDescent="0.2">
      <c r="U54" s="2724" t="s">
        <v>8322</v>
      </c>
      <c r="V54" s="2724"/>
      <c r="W54" s="2724"/>
      <c r="X54" s="2724">
        <f>ROUND('p6'!S24/0.65,0)</f>
      </c>
      <c r="Y54" s="2724">
        <f>ROUND('p6'!U24/0.65,0)</f>
      </c>
      <c r="Z54" s="2724">
        <f>X54+Y54</f>
      </c>
      <c r="AA54" s="2724" t="s">
        <v>8323</v>
      </c>
      <c r="AF54" s="2314"/>
      <c r="AG54" s="2314"/>
    </row>
    <row r="55" spans="1:33" hidden="1" x14ac:dyDescent="0.2">
      <c r="A55" s="2435"/>
      <c r="B55" t="s">
        <v>8789</v>
      </c>
      <c r="C55"/>
      <c r="D55"/>
      <c r="E55"/>
      <c r="F55"/>
      <c r="H55"/>
      <c r="I55"/>
      <c r="J55" s="2870" t="s">
        <v>363</v>
      </c>
      <c r="K55" s="2870" t="s">
        <v>2372</v>
      </c>
      <c r="L55" s="2535"/>
      <c r="S55" s="2734"/>
      <c r="W55" s="2080"/>
      <c r="AF55" s="2314"/>
      <c r="AG55" s="2314"/>
    </row>
    <row r="56" spans="1:33" hidden="1" x14ac:dyDescent="0.2">
      <c r="A56" s="2435"/>
      <c r="B56" t="s">
        <v>8247</v>
      </c>
      <c r="C56"/>
      <c r="D56"/>
      <c r="E56"/>
      <c r="F56"/>
      <c r="H56"/>
      <c r="I56"/>
      <c r="J56" s="2435"/>
      <c r="K56" s="2435"/>
      <c r="L56" s="2535"/>
      <c r="S56" s="2734"/>
      <c r="U56" s="2724"/>
      <c r="V56" s="2724"/>
      <c r="W56" s="2724"/>
      <c r="AA56" s="2724"/>
      <c r="AF56" s="2314"/>
      <c r="AG56" s="2314"/>
    </row>
    <row r="57" spans="1:33" ht="16.350000000000001" hidden="1" customHeight="1" x14ac:dyDescent="0.2">
      <c r="A57" s="2435"/>
      <c r="B57" t="s">
        <v>8791</v>
      </c>
      <c r="C57"/>
      <c r="D57"/>
      <c r="E57"/>
      <c r="F57"/>
      <c r="H57"/>
      <c r="I57"/>
      <c r="J57" s="2892">
        <f>J7</f>
      </c>
      <c r="K57" s="2892">
        <f>K7</f>
      </c>
      <c r="L57" s="2535" t="str">
        <f>IF(AND(W1=1,O57&lt;&gt;2),reo,IF(J57&gt;X57,"Check Chargeable Income (MTA)",IF(K57&gt;Y57,"Check Chargeable Income (FIA)","")))</f>
        <v/>
      </c>
      <c r="M57" s="1485">
        <f>IF(L57="",0,1)</f>
      </c>
      <c r="O57" s="1485">
        <f>COUNT(J57:K57)</f>
      </c>
      <c r="S57" s="2734"/>
      <c r="X57" s="2080">
        <f>IF(SUM(X51:X54)&lt;0,0,SUM(X51:X54))</f>
      </c>
      <c r="Y57" s="2080">
        <f>IF(SUM(Y51:Y54)&lt;0,0,SUM(Y51:Y54))</f>
      </c>
      <c r="Z57" s="2724">
        <f>SUM(Z51:Z54)</f>
      </c>
      <c r="AF57" s="2314"/>
      <c r="AG57" s="2314"/>
    </row>
    <row r="58" spans="1:33" hidden="1" x14ac:dyDescent="0.2">
      <c r="A58" s="2435"/>
      <c r="B58"/>
      <c r="C58"/>
      <c r="D58"/>
      <c r="E58"/>
      <c r="F58"/>
      <c r="H58"/>
      <c r="I58"/>
      <c r="J58" s="2435"/>
      <c r="K58" s="2435"/>
      <c r="L58" s="2535"/>
      <c r="S58" s="2734"/>
      <c r="U58" s="2724"/>
      <c r="V58" s="2724"/>
      <c r="W58" s="2724"/>
      <c r="X58" s="2724"/>
      <c r="Y58" s="2724"/>
      <c r="Z58" s="2724"/>
      <c r="AA58" s="2724"/>
      <c r="AF58" s="2314"/>
      <c r="AG58" s="2314"/>
    </row>
    <row r="59" spans="1:33" hidden="1" x14ac:dyDescent="0.2">
      <c r="A59" s="2435"/>
      <c r="B59" t="s">
        <v>8792</v>
      </c>
      <c r="C59"/>
      <c r="D59"/>
      <c r="E59"/>
      <c r="F59"/>
      <c r="H59"/>
      <c r="I59"/>
      <c r="J59" s="2874">
        <f>J9+J10</f>
      </c>
      <c r="K59" s="2874">
        <f>K9+I10</f>
      </c>
      <c r="L59" s="2535" t="str">
        <f>IF(AND(W1=1,O59&lt;&gt;2),reo,"")</f>
        <v/>
      </c>
      <c r="M59" s="1485">
        <f>IF(L59="",0,1)</f>
      </c>
      <c r="O59" s="1485">
        <f>COUNT(J59:K59)</f>
      </c>
      <c r="S59" s="2734"/>
      <c r="AF59" s="2314"/>
      <c r="AG59" s="2314"/>
    </row>
    <row r="60" spans="1:33" hidden="1" x14ac:dyDescent="0.2">
      <c r="A60" s="2435"/>
      <c r="B60"/>
      <c r="C60"/>
      <c r="D60"/>
      <c r="E60"/>
      <c r="F60"/>
      <c r="H60"/>
      <c r="I60"/>
      <c r="J60" s="2435"/>
      <c r="K60" s="2435"/>
      <c r="L60" s="2535"/>
      <c r="S60" s="2734"/>
      <c r="U60" s="2724"/>
      <c r="V60" s="2724"/>
      <c r="AA60" s="2724"/>
      <c r="AF60" s="2314"/>
      <c r="AG60" s="2314"/>
    </row>
    <row r="61" spans="1:33" ht="15" hidden="1" x14ac:dyDescent="0.25">
      <c r="A61" s="2435"/>
      <c r="B61" t="s">
        <v>8795</v>
      </c>
      <c r="C61"/>
      <c r="D61"/>
      <c r="E61"/>
      <c r="F61"/>
      <c r="H61"/>
      <c r="I61"/>
      <c r="J61" s="2874">
        <f>J57-K97</f>
      </c>
      <c r="K61" s="2874">
        <f>K57</f>
      </c>
      <c r="L61" s="2535"/>
      <c r="S61" s="2734"/>
      <c r="AF61" s="2314"/>
      <c r="AG61" s="2314"/>
    </row>
    <row r="62" spans="1:33" hidden="1" x14ac:dyDescent="0.2">
      <c r="A62" s="2435"/>
      <c r="B62" s="2592"/>
      <c r="C62" s="2592"/>
      <c r="D62" s="2592"/>
      <c r="E62" s="2592"/>
      <c r="F62" s="2592"/>
      <c r="H62" s="2592"/>
      <c r="I62" s="2592"/>
      <c r="J62" s="2592" t="str">
        <f>IF(R62&lt;&gt;K25,"  Check attribution to MTA and FIA income!","")</f>
        <v/>
      </c>
      <c r="K62" s="2592"/>
      <c r="L62" s="2905"/>
      <c r="M62" s="1485">
        <f>IF(J62="",0,1)</f>
      </c>
      <c r="R62" s="1485">
        <f>J30+K30</f>
      </c>
      <c r="S62" s="2734" t="s">
        <v>8329</v>
      </c>
    </row>
    <row r="63" spans="1:33" hidden="1" x14ac:dyDescent="0.2">
      <c r="A63"/>
      <c r="B63"/>
      <c r="C63"/>
      <c r="D63"/>
      <c r="E63"/>
      <c r="F63"/>
      <c r="H63"/>
      <c r="I63"/>
      <c r="J63" s="2592"/>
      <c r="K63" s="2592"/>
      <c r="L63" s="2905"/>
      <c r="R63" s="1887">
        <f>SUM(H30:K30)</f>
      </c>
    </row>
    <row r="64" spans="1:33" hidden="1" x14ac:dyDescent="0.2">
      <c r="A64"/>
      <c r="B64" t="s">
        <v>8774</v>
      </c>
      <c r="C64"/>
      <c r="D64"/>
      <c r="E64"/>
      <c r="F64"/>
      <c r="H64"/>
      <c r="I64"/>
      <c r="J64"/>
      <c r="K64" s="2881">
        <f>SUM(H44:K44)</f>
      </c>
      <c r="L64" s="2905"/>
      <c r="R64" s="1887"/>
    </row>
    <row r="65" spans="1:27" hidden="1" x14ac:dyDescent="0.2">
      <c r="A65"/>
      <c r="B65" s="1634" t="s">
        <v>8759</v>
      </c>
      <c r="C65"/>
      <c r="D65"/>
      <c r="E65"/>
      <c r="F65"/>
      <c r="H65"/>
      <c r="I65"/>
      <c r="J65"/>
      <c r="K65" s="2882" t="str">
        <f>IF($K32="","",IF(K64&gt;R65+S65,R65+S65,K64))</f>
        <v/>
      </c>
      <c r="L65" s="2890" t="str">
        <f>IF(J65=R65,"  Restricted to Chargeable Income (MTA)",IF(K65=S65,"  Restricted to Chargeable Income (FIA)",""))</f>
        <v xml:space="preserve">  Restricted to Chargeable Income (MTA)</v>
      </c>
      <c r="O65" s="2313" t="e" vm="1">
        <f>J65+K65</f>
      </c>
      <c r="Q65" s="2313">
        <f>R65+S65</f>
      </c>
      <c r="R65" s="1887">
        <f>'TRA100'!S20</f>
      </c>
      <c r="S65" s="1887">
        <f>'TRA100'!T20</f>
      </c>
    </row>
    <row r="66" spans="1:27" hidden="1" x14ac:dyDescent="0.2">
      <c r="A66"/>
      <c r="B66" t="s">
        <v>8350</v>
      </c>
      <c r="C66"/>
      <c r="D66"/>
      <c r="E66"/>
      <c r="F66"/>
      <c r="H66"/>
      <c r="I66"/>
      <c r="J66"/>
      <c r="K66" s="2881">
        <f>SUM(J9:K10)</f>
      </c>
      <c r="L66" s="2905"/>
      <c r="R66" s="1887"/>
    </row>
    <row r="67" spans="1:27" ht="15" hidden="1" x14ac:dyDescent="0.25">
      <c r="A67"/>
      <c r="B67" t="s">
        <v>8775</v>
      </c>
      <c r="C67"/>
      <c r="D67"/>
      <c r="E67"/>
      <c r="F67"/>
      <c r="H67"/>
      <c r="I67"/>
      <c r="J67" s="2881">
        <f>K93</f>
      </c>
      <c r="K67" s="2592"/>
      <c r="L67" s="2905"/>
      <c r="R67" s="1887"/>
    </row>
    <row r="68" spans="1:27" hidden="1" x14ac:dyDescent="0.2">
      <c r="A68"/>
      <c r="B68" t="s">
        <v>8351</v>
      </c>
      <c r="C68"/>
      <c r="D68"/>
      <c r="E68"/>
      <c r="F68"/>
      <c r="H68"/>
      <c r="I68"/>
      <c r="J68" s="2881">
        <f>K95+K97</f>
      </c>
      <c r="K68" s="2592"/>
      <c r="L68" s="2905"/>
      <c r="R68" s="1887"/>
    </row>
    <row r="69" spans="1:27" ht="15" hidden="1" x14ac:dyDescent="0.25">
      <c r="A69"/>
      <c r="B69" t="s">
        <v>8776</v>
      </c>
      <c r="C69"/>
      <c r="D69" s="1485"/>
      <c r="E69" s="2917"/>
      <c r="F69" s="2917"/>
      <c r="H69"/>
      <c r="I69"/>
      <c r="J69" s="2881">
        <f>J67-J68</f>
      </c>
      <c r="K69" s="2592"/>
      <c r="L69" s="2905"/>
      <c r="R69" s="1887"/>
    </row>
    <row r="70" spans="1:27" hidden="1" x14ac:dyDescent="0.2">
      <c r="A70"/>
      <c r="B70" t="s">
        <v>8794</v>
      </c>
      <c r="C70"/>
      <c r="D70"/>
      <c r="E70"/>
      <c r="F70"/>
      <c r="H70"/>
      <c r="I70"/>
      <c r="J70"/>
      <c r="K70" s="2881">
        <f>K59+K64+J59+J64-K95</f>
      </c>
      <c r="L70" s="2905"/>
      <c r="R70" s="1887"/>
    </row>
    <row r="71" spans="1:27" hidden="1" x14ac:dyDescent="0.2">
      <c r="A71"/>
      <c r="B71" t="s">
        <v>8758</v>
      </c>
      <c r="C71"/>
      <c r="D71"/>
      <c r="E71"/>
      <c r="F71"/>
      <c r="H71"/>
      <c r="I71" s="1634" t="s">
        <v>1081</v>
      </c>
      <c r="J71" s="1634" t="s">
        <v>1081</v>
      </c>
      <c r="K71" s="2881">
        <f>'TRA100'!K55</f>
      </c>
      <c r="L71" s="2890" t="str">
        <f>'TRA100'!J55</f>
        <v/>
      </c>
      <c r="M71" s="1736"/>
      <c r="R71" s="1887"/>
    </row>
    <row r="72" spans="1:27" hidden="1" x14ac:dyDescent="0.2">
      <c r="A72"/>
      <c r="B72" t="s">
        <v>8249</v>
      </c>
      <c r="C72"/>
      <c r="D72"/>
      <c r="E72"/>
      <c r="F72"/>
      <c r="H72"/>
      <c r="I72"/>
      <c r="J72"/>
      <c r="K72" s="2881">
        <f>C116+D116+E116+F116</f>
      </c>
      <c r="L72" s="2905"/>
      <c r="R72" s="1887"/>
    </row>
    <row r="73" spans="1:27" hidden="1" x14ac:dyDescent="0.2">
      <c r="A73"/>
      <c r="B73"/>
      <c r="C73"/>
      <c r="D73"/>
      <c r="E73"/>
      <c r="F73"/>
      <c r="H73"/>
      <c r="I73"/>
      <c r="J73" s="2592"/>
      <c r="K73" s="2592"/>
      <c r="L73" s="2905"/>
      <c r="R73" s="1887"/>
    </row>
    <row r="74" spans="1:27" hidden="1" x14ac:dyDescent="0.2">
      <c r="A74"/>
      <c r="B74" t="s">
        <v>8760</v>
      </c>
      <c r="C74"/>
      <c r="D74"/>
      <c r="E74"/>
      <c r="F74"/>
      <c r="H74"/>
      <c r="I74"/>
      <c r="J74" s="2881">
        <f>C116+D116</f>
      </c>
      <c r="K74" s="2929">
        <f>E116+F116</f>
      </c>
      <c r="L74" s="2905" t="str">
        <f>IF(J74+K74&lt;&gt;K72,"ERROR!!!!!","")</f>
        <v/>
      </c>
      <c r="N74" s="2313">
        <f>J44</f>
      </c>
      <c r="O74" s="2313">
        <f>K44</f>
      </c>
      <c r="R74" s="1887"/>
    </row>
    <row r="75" spans="1:27" ht="5.0999999999999996" customHeight="1" x14ac:dyDescent="0.2">
      <c r="A75" s="2435"/>
      <c r="B75" s="2435"/>
      <c r="C75" s="2435"/>
      <c r="D75" s="2435"/>
      <c r="E75" s="2435"/>
      <c r="F75" s="2435"/>
      <c r="G75" s="2435"/>
      <c r="H75" s="2435"/>
      <c r="I75" s="2435"/>
      <c r="J75" s="2435"/>
      <c r="K75" s="2435"/>
      <c r="L75" s="2535"/>
    </row>
    <row r="76" spans="1:27" ht="5.65" customHeight="1" x14ac:dyDescent="0.2">
      <c r="A76" s="2435"/>
      <c r="B76" s="2435"/>
      <c r="C76" s="2435"/>
      <c r="D76" s="2435"/>
      <c r="E76" s="2435"/>
      <c r="F76" s="2435"/>
      <c r="G76" s="2435"/>
      <c r="H76" s="2435"/>
      <c r="I76" s="2435"/>
      <c r="J76" s="2435"/>
      <c r="K76" s="2435"/>
      <c r="L76" s="2535"/>
      <c r="R76" s="1887"/>
    </row>
    <row r="77" spans="1:27" ht="43.15" customHeight="1" x14ac:dyDescent="0.2">
      <c r="A77" s="2435"/>
      <c r="B77" s="5250" t="s">
        <v>8805</v>
      </c>
      <c r="C77" s="5234" t="s">
        <v>8851</v>
      </c>
      <c r="D77" s="5234"/>
      <c r="E77" s="5234" t="s">
        <v>8852</v>
      </c>
      <c r="F77" s="5234"/>
      <c r="G77" s="2435"/>
      <c r="H77" s="5234" t="s">
        <v>8849</v>
      </c>
      <c r="I77" s="5234"/>
      <c r="J77" s="5234" t="s">
        <v>8850</v>
      </c>
      <c r="K77" s="5234"/>
      <c r="L77" s="2535" t="str">
        <f>IF(AND(S77="no",R77&gt;0),"Check Question 6 in TRA100!","")</f>
        <v/>
      </c>
      <c r="N77" s="1485">
        <f>IF('TRA100'!J55="",0,1)</f>
      </c>
      <c r="O77" s="1485">
        <f>IF('TRA100'!L55="",0,1)</f>
      </c>
      <c r="P77" s="1485">
        <f>N77+O77</f>
      </c>
      <c r="R77" s="1887">
        <f>COUNTA(C79:F87)</f>
      </c>
      <c r="S77" s="1485">
        <f>'TRA100'!K17</f>
      </c>
      <c r="X77" s="5254" t="s">
        <v>8745</v>
      </c>
      <c r="Y77" s="5254"/>
    </row>
    <row r="78" spans="1:27" ht="15" x14ac:dyDescent="0.2">
      <c r="A78" s="2435"/>
      <c r="B78" s="5251"/>
      <c r="C78" s="2524" t="s">
        <v>363</v>
      </c>
      <c r="D78" s="2523" t="s">
        <v>2372</v>
      </c>
      <c r="E78" s="2524" t="s">
        <v>363</v>
      </c>
      <c r="F78" s="2523" t="s">
        <v>2372</v>
      </c>
      <c r="G78" s="2435"/>
      <c r="H78" s="2524" t="s">
        <v>363</v>
      </c>
      <c r="I78" s="2523" t="s">
        <v>2372</v>
      </c>
      <c r="J78" s="2524" t="s">
        <v>363</v>
      </c>
      <c r="K78" s="2523" t="s">
        <v>2372</v>
      </c>
      <c r="L78" s="2535"/>
      <c r="R78" s="1887"/>
      <c r="V78" s="1736" t="s">
        <v>8845</v>
      </c>
      <c r="W78" s="2989" t="s">
        <v>8844</v>
      </c>
      <c r="X78" s="2873" t="s">
        <v>363</v>
      </c>
      <c r="Y78" s="2873" t="s">
        <v>2372</v>
      </c>
    </row>
    <row r="79" spans="1:27" x14ac:dyDescent="0.2">
      <c r="A79" s="2435"/>
      <c r="B79" s="2869" t="s">
        <v>8768</v>
      </c>
      <c r="C79" s="2908"/>
      <c r="D79" s="2908"/>
      <c r="E79" s="2908"/>
      <c r="F79" s="2908"/>
      <c r="G79" s="2435"/>
      <c r="H79" s="2915">
        <f>C79+H35</f>
      </c>
      <c r="I79" s="2915">
        <f>D79+I35</f>
      </c>
      <c r="J79" s="2915">
        <f>E79+J35</f>
      </c>
      <c r="K79" s="2915">
        <f>F79+K35</f>
      </c>
      <c r="L79" s="2535" t="str">
        <f t="shared" ref="L79:L87" si="9">IF(SUM($J$9,$K$9:$K$10)=0,"",IF(SUM(T79:V79)=0,"",IF(COUNT(C79:F79)&lt;&gt;4,reo,IF(OR(C79&gt;T79,D79&gt;U79,E79+F79&gt;V79)," Excessive!",""))))</f>
        <v/>
      </c>
      <c r="M79" s="2891">
        <f>IF(L79&lt;&gt;"",1,0)</f>
      </c>
      <c r="R79" s="1887"/>
      <c r="T79" s="1887">
        <f>J9-T88</f>
      </c>
      <c r="U79" s="1887">
        <f>K9</f>
      </c>
      <c r="V79" s="2922">
        <f>I10</f>
      </c>
      <c r="W79" s="2988">
        <f>I10</f>
      </c>
      <c r="X79" s="2314">
        <f t="shared" ref="X79:X87" si="10">AF103</f>
      </c>
      <c r="Y79" s="2314">
        <f t="shared" ref="Y79:Y87" si="11">AG103</f>
      </c>
      <c r="AA79" s="1485">
        <f t="shared" ref="AA79:AA87" si="12">IF(T79&lt;X79,T79,X79)</f>
      </c>
    </row>
    <row r="80" spans="1:27" x14ac:dyDescent="0.2">
      <c r="A80" s="2435"/>
      <c r="B80" s="2869" t="s">
        <v>168</v>
      </c>
      <c r="C80" s="2908"/>
      <c r="D80" s="2908"/>
      <c r="E80" s="2908"/>
      <c r="F80" s="2908"/>
      <c r="G80" s="2435"/>
      <c r="H80" s="2915">
        <f t="shared" ref="H80:H87" si="13">C80+H36</f>
      </c>
      <c r="I80" s="2915">
        <f t="shared" ref="I80:I87" si="14">D80+I36</f>
      </c>
      <c r="J80" s="2915">
        <f t="shared" ref="J80:J87" si="15">E80+J36</f>
      </c>
      <c r="K80" s="2915">
        <f t="shared" ref="K80:K87" si="16">F80+K36</f>
      </c>
      <c r="L80" s="2535" t="str">
        <f t="shared" si="9"/>
        <v/>
      </c>
      <c r="M80" s="2891">
        <f t="shared" ref="M80:M89" si="17">IF(L80&lt;&gt;"",1,0)</f>
      </c>
      <c r="R80" s="1887"/>
      <c r="T80" s="2313">
        <f>T79-C79</f>
      </c>
      <c r="U80" s="2313">
        <f>U79-D79</f>
      </c>
      <c r="V80" s="2922">
        <f>V79-(E79+F79)</f>
      </c>
      <c r="W80" s="2988">
        <f>W79-F79</f>
      </c>
      <c r="X80" s="2314">
        <f t="shared" si="10"/>
        <v>0</v>
      </c>
      <c r="Y80" s="2314">
        <f t="shared" si="11"/>
        <v>0</v>
      </c>
      <c r="AA80" s="1485">
        <f t="shared" si="12"/>
        <v>0</v>
      </c>
    </row>
    <row r="81" spans="1:27" x14ac:dyDescent="0.2">
      <c r="A81" s="2435"/>
      <c r="B81" s="2869" t="s">
        <v>8769</v>
      </c>
      <c r="C81" s="2908"/>
      <c r="D81" s="2908"/>
      <c r="E81" s="2908"/>
      <c r="F81" s="2908"/>
      <c r="G81" s="2435"/>
      <c r="H81" s="2915">
        <f t="shared" si="13"/>
        <v>0</v>
      </c>
      <c r="I81" s="2915">
        <f t="shared" si="14"/>
        <v>0</v>
      </c>
      <c r="J81" s="2915">
        <f t="shared" si="15"/>
        <v>0</v>
      </c>
      <c r="K81" s="2915">
        <f t="shared" si="16"/>
        <v>0</v>
      </c>
      <c r="L81" s="2535" t="str">
        <f t="shared" si="9"/>
        <v/>
      </c>
      <c r="M81" s="2891">
        <f t="shared" si="17"/>
        <v>0</v>
      </c>
      <c r="R81" s="1887"/>
      <c r="T81" s="2313">
        <f t="shared" ref="T81:T87" si="18">T80-C80</f>
      </c>
      <c r="U81" s="2313">
        <f t="shared" ref="U81:U87" si="19">U80-D80</f>
      </c>
      <c r="V81" s="2922">
        <f t="shared" ref="V81:V87" si="20">V80-(E80+F80)</f>
      </c>
      <c r="W81" s="2988">
        <f t="shared" ref="W81:W87" si="21">W80-F80</f>
      </c>
      <c r="X81" s="2314">
        <f t="shared" si="10"/>
        <v>0</v>
      </c>
      <c r="Y81" s="2314">
        <f t="shared" si="11"/>
        <v>0</v>
      </c>
      <c r="AA81" s="1485">
        <f t="shared" si="12"/>
        <v>0</v>
      </c>
    </row>
    <row r="82" spans="1:27" x14ac:dyDescent="0.2">
      <c r="A82" s="2435"/>
      <c r="B82" s="2869" t="s">
        <v>4835</v>
      </c>
      <c r="C82" s="2908"/>
      <c r="D82" s="2908"/>
      <c r="E82" s="2908"/>
      <c r="F82" s="2908"/>
      <c r="G82" s="2435"/>
      <c r="H82" s="2915">
        <f t="shared" si="13"/>
        <v>0</v>
      </c>
      <c r="I82" s="2915">
        <f t="shared" si="14"/>
        <v>0</v>
      </c>
      <c r="J82" s="2915">
        <f t="shared" si="15"/>
        <v>0</v>
      </c>
      <c r="K82" s="2915">
        <f t="shared" si="16"/>
        <v>0</v>
      </c>
      <c r="L82" s="2535" t="str">
        <f t="shared" si="9"/>
        <v/>
      </c>
      <c r="M82" s="2891">
        <f t="shared" si="17"/>
        <v>0</v>
      </c>
      <c r="R82" s="1887"/>
      <c r="T82" s="2313">
        <f t="shared" si="18"/>
        <v>0</v>
      </c>
      <c r="U82" s="2313">
        <f t="shared" si="19"/>
        <v>0</v>
      </c>
      <c r="V82" s="2922">
        <f t="shared" si="20"/>
        <v>0</v>
      </c>
      <c r="W82" s="2988">
        <f t="shared" si="21"/>
        <v>0</v>
      </c>
      <c r="X82" s="2314">
        <f t="shared" si="10"/>
        <v>0</v>
      </c>
      <c r="Y82" s="2314">
        <f t="shared" si="11"/>
        <v>0</v>
      </c>
      <c r="AA82" s="1485">
        <f t="shared" si="12"/>
        <v>0</v>
      </c>
    </row>
    <row r="83" spans="1:27" x14ac:dyDescent="0.2">
      <c r="A83" s="2435"/>
      <c r="B83" s="2869" t="s">
        <v>8770</v>
      </c>
      <c r="C83" s="2908"/>
      <c r="D83" s="2908"/>
      <c r="E83" s="2908"/>
      <c r="F83" s="2908"/>
      <c r="G83" s="2435"/>
      <c r="H83" s="2915">
        <f t="shared" si="13"/>
        <v>0</v>
      </c>
      <c r="I83" s="2915">
        <f t="shared" si="14"/>
        <v>0</v>
      </c>
      <c r="J83" s="2915">
        <f t="shared" si="15"/>
        <v>0</v>
      </c>
      <c r="K83" s="2915">
        <f t="shared" si="16"/>
        <v>0</v>
      </c>
      <c r="L83" s="2535" t="str">
        <f t="shared" si="9"/>
        <v/>
      </c>
      <c r="M83" s="2891">
        <f t="shared" si="17"/>
        <v>0</v>
      </c>
      <c r="R83" s="1887"/>
      <c r="T83" s="2313">
        <f t="shared" si="18"/>
        <v>0</v>
      </c>
      <c r="U83" s="2313">
        <f t="shared" si="19"/>
        <v>0</v>
      </c>
      <c r="V83" s="2922">
        <f t="shared" si="20"/>
        <v>0</v>
      </c>
      <c r="W83" s="2988">
        <f t="shared" si="21"/>
        <v>0</v>
      </c>
      <c r="X83" s="2314">
        <f t="shared" si="10"/>
        <v>0</v>
      </c>
      <c r="Y83" s="2314">
        <f t="shared" si="11"/>
        <v>0</v>
      </c>
      <c r="AA83" s="1485">
        <f t="shared" si="12"/>
        <v>0</v>
      </c>
    </row>
    <row r="84" spans="1:27" x14ac:dyDescent="0.2">
      <c r="A84" s="2435"/>
      <c r="B84" s="2869" t="s">
        <v>6142</v>
      </c>
      <c r="C84" s="2908"/>
      <c r="D84" s="2908"/>
      <c r="E84" s="2908"/>
      <c r="F84" s="2908"/>
      <c r="G84" s="2435"/>
      <c r="H84" s="2915">
        <f t="shared" si="13"/>
        <v>0</v>
      </c>
      <c r="I84" s="2915">
        <f t="shared" si="14"/>
        <v>0</v>
      </c>
      <c r="J84" s="2915">
        <f t="shared" si="15"/>
        <v>0</v>
      </c>
      <c r="K84" s="2915">
        <f t="shared" si="16"/>
        <v>0</v>
      </c>
      <c r="L84" s="2535" t="str">
        <f t="shared" si="9"/>
        <v/>
      </c>
      <c r="M84" s="2891">
        <f t="shared" si="17"/>
        <v>0</v>
      </c>
      <c r="R84" s="1887"/>
      <c r="T84" s="2313">
        <f t="shared" si="18"/>
        <v>0</v>
      </c>
      <c r="U84" s="2313">
        <f t="shared" si="19"/>
        <v>0</v>
      </c>
      <c r="V84" s="2922">
        <f t="shared" si="20"/>
        <v>0</v>
      </c>
      <c r="W84" s="2988">
        <f t="shared" si="21"/>
        <v>0</v>
      </c>
      <c r="X84" s="2314">
        <f t="shared" si="10"/>
        <v>0</v>
      </c>
      <c r="Y84" s="2314">
        <f t="shared" si="11"/>
        <v>0</v>
      </c>
      <c r="AA84" s="1485">
        <f t="shared" si="12"/>
        <v>0</v>
      </c>
    </row>
    <row r="85" spans="1:27" x14ac:dyDescent="0.2">
      <c r="A85" s="2435"/>
      <c r="B85" s="2869" t="s">
        <v>6198</v>
      </c>
      <c r="C85" s="2908"/>
      <c r="D85" s="2908"/>
      <c r="E85" s="2908"/>
      <c r="F85" s="2908"/>
      <c r="G85" s="2435"/>
      <c r="H85" s="2915">
        <f t="shared" si="13"/>
        <v>0</v>
      </c>
      <c r="I85" s="2915">
        <f t="shared" si="14"/>
        <v>0</v>
      </c>
      <c r="J85" s="2915">
        <f t="shared" si="15"/>
        <v>0</v>
      </c>
      <c r="K85" s="2915">
        <f t="shared" si="16"/>
        <v>0</v>
      </c>
      <c r="L85" s="2535" t="str">
        <f t="shared" si="9"/>
        <v/>
      </c>
      <c r="M85" s="2891">
        <f t="shared" si="17"/>
        <v>0</v>
      </c>
      <c r="R85" s="1887"/>
      <c r="T85" s="2313">
        <f t="shared" si="18"/>
        <v>0</v>
      </c>
      <c r="U85" s="2313">
        <f t="shared" si="19"/>
        <v>0</v>
      </c>
      <c r="V85" s="2922">
        <f t="shared" si="20"/>
        <v>0</v>
      </c>
      <c r="W85" s="2988">
        <f t="shared" si="21"/>
        <v>0</v>
      </c>
      <c r="X85" s="2314">
        <f t="shared" si="10"/>
        <v>0</v>
      </c>
      <c r="Y85" s="2314">
        <f t="shared" si="11"/>
        <v>0</v>
      </c>
      <c r="AA85" s="1485">
        <f t="shared" si="12"/>
        <v>0</v>
      </c>
    </row>
    <row r="86" spans="1:27" x14ac:dyDescent="0.2">
      <c r="A86" s="2435"/>
      <c r="B86" s="2869" t="s">
        <v>6200</v>
      </c>
      <c r="C86" s="2908"/>
      <c r="D86" s="2908"/>
      <c r="E86" s="2908"/>
      <c r="F86" s="2908"/>
      <c r="G86" s="2435"/>
      <c r="H86" s="2915">
        <f t="shared" si="13"/>
        <v>0</v>
      </c>
      <c r="I86" s="2915">
        <f t="shared" si="14"/>
        <v>0</v>
      </c>
      <c r="J86" s="2915">
        <f t="shared" si="15"/>
        <v>0</v>
      </c>
      <c r="K86" s="2915">
        <f t="shared" si="16"/>
        <v>0</v>
      </c>
      <c r="L86" s="2535" t="str">
        <f t="shared" si="9"/>
        <v/>
      </c>
      <c r="M86" s="2891">
        <f t="shared" si="17"/>
        <v>0</v>
      </c>
      <c r="R86" s="1887"/>
      <c r="T86" s="2313">
        <f t="shared" si="18"/>
        <v>0</v>
      </c>
      <c r="U86" s="2313">
        <f t="shared" si="19"/>
        <v>0</v>
      </c>
      <c r="V86" s="2922">
        <f t="shared" si="20"/>
        <v>0</v>
      </c>
      <c r="W86" s="2988">
        <f t="shared" si="21"/>
        <v>0</v>
      </c>
      <c r="X86" s="2314">
        <f t="shared" si="10"/>
        <v>0</v>
      </c>
      <c r="Y86" s="2314">
        <f t="shared" si="11"/>
        <v>0</v>
      </c>
      <c r="AA86" s="1485">
        <f t="shared" si="12"/>
        <v>0</v>
      </c>
    </row>
    <row r="87" spans="1:27" x14ac:dyDescent="0.2">
      <c r="A87" s="2435"/>
      <c r="B87" s="2869" t="s">
        <v>8746</v>
      </c>
      <c r="C87" s="2908"/>
      <c r="D87" s="2908"/>
      <c r="E87" s="2908"/>
      <c r="F87" s="2908"/>
      <c r="G87" s="2435"/>
      <c r="H87" s="2915">
        <f t="shared" si="13"/>
        <v>0</v>
      </c>
      <c r="I87" s="2915">
        <f t="shared" si="14"/>
        <v>0</v>
      </c>
      <c r="J87" s="2915">
        <f t="shared" si="15"/>
        <v>0</v>
      </c>
      <c r="K87" s="2915">
        <f t="shared" si="16"/>
        <v>0</v>
      </c>
      <c r="L87" s="2535" t="str">
        <f t="shared" si="9"/>
        <v/>
      </c>
      <c r="M87" s="2891">
        <f t="shared" si="17"/>
        <v>0</v>
      </c>
      <c r="R87" s="1887"/>
      <c r="T87" s="2313">
        <f t="shared" si="18"/>
        <v>0</v>
      </c>
      <c r="U87" s="2313">
        <f t="shared" si="19"/>
        <v>0</v>
      </c>
      <c r="V87" s="2922">
        <f t="shared" si="20"/>
        <v>0</v>
      </c>
      <c r="W87" s="2988">
        <f t="shared" si="21"/>
        <v>0</v>
      </c>
      <c r="X87" s="2314">
        <f t="shared" si="10"/>
        <v>0</v>
      </c>
      <c r="Y87" s="2314">
        <f t="shared" si="11"/>
        <v>0</v>
      </c>
      <c r="AA87" s="1485">
        <f t="shared" si="12"/>
        <v>0</v>
      </c>
    </row>
    <row r="88" spans="1:27" hidden="1" x14ac:dyDescent="0.2">
      <c r="A88" s="2435"/>
      <c r="B88" s="2918"/>
      <c r="C88" s="2435"/>
      <c r="D88" s="2435"/>
      <c r="E88" s="2435"/>
      <c r="F88" s="2435"/>
      <c r="G88" s="2435"/>
      <c r="H88" s="2435"/>
      <c r="I88" s="2435"/>
      <c r="J88" s="2435"/>
      <c r="K88" s="2435"/>
      <c r="L88" s="2535"/>
      <c r="R88" s="1887"/>
      <c r="T88" s="2313"/>
    </row>
    <row r="89" spans="1:27" x14ac:dyDescent="0.2">
      <c r="A89" s="2435"/>
      <c r="B89" s="2880" t="s">
        <v>5590</v>
      </c>
      <c r="C89" s="2887">
        <f>SUM(C79:C88)</f>
      </c>
      <c r="D89" s="2887">
        <f t="shared" ref="D89:K89" si="22">SUM(D79:D88)</f>
      </c>
      <c r="E89" s="2887">
        <f t="shared" si="22"/>
        <v>0</v>
      </c>
      <c r="F89" s="2887">
        <f t="shared" si="22"/>
        <v>0</v>
      </c>
      <c r="G89" s="2435"/>
      <c r="H89" s="2887">
        <f t="shared" si="22"/>
        <v>0</v>
      </c>
      <c r="I89" s="2887">
        <f t="shared" si="22"/>
        <v>0</v>
      </c>
      <c r="J89" s="2887">
        <f>SUM(J79:J88)</f>
      </c>
      <c r="K89" s="2887">
        <f t="shared" si="22"/>
        <v>0</v>
      </c>
      <c r="L89" s="2535" t="str">
        <f>IF(COUNT(C79:F87)=0,"",IF(OR(C89&gt;C90,D89&gt;D90,E89+F89&gt;I10)," Check Excess NID b/fwd!",""))</f>
        <v/>
      </c>
      <c r="M89" s="2891">
        <f t="shared" si="17"/>
        <v>0</v>
      </c>
      <c r="O89" s="2922">
        <f>SUM(H89:K89)</f>
      </c>
      <c r="R89" s="1887"/>
    </row>
    <row r="90" spans="1:27" ht="10.15" customHeight="1" x14ac:dyDescent="0.2">
      <c r="A90" s="2435"/>
      <c r="B90" s="2435"/>
      <c r="C90" s="2452">
        <f>J9</f>
      </c>
      <c r="D90" s="2452">
        <f>K9</f>
      </c>
      <c r="E90" s="5255"/>
      <c r="F90" s="5255"/>
      <c r="G90" s="2435"/>
      <c r="H90" s="2435"/>
      <c r="I90" s="2435"/>
      <c r="J90" s="2452"/>
      <c r="K90" s="2452"/>
      <c r="L90" s="2535"/>
      <c r="R90" s="1887"/>
    </row>
    <row r="91" spans="1:27" ht="6" customHeight="1" x14ac:dyDescent="0.2">
      <c r="A91" s="2435"/>
      <c r="B91" s="2435"/>
      <c r="C91" s="2435"/>
      <c r="D91" s="2435"/>
      <c r="E91" s="2435"/>
      <c r="F91" s="2435"/>
      <c r="G91" s="2435"/>
      <c r="H91" s="2435"/>
      <c r="I91" s="2435"/>
      <c r="J91" s="2435"/>
      <c r="K91" s="2435"/>
      <c r="L91" s="2535"/>
      <c r="R91" s="1887"/>
    </row>
    <row r="92" spans="1:27" ht="15" x14ac:dyDescent="0.25">
      <c r="A92" s="2435"/>
      <c r="B92" s="2871" t="s">
        <v>8788</v>
      </c>
      <c r="C92" s="2867"/>
      <c r="D92" s="2867"/>
      <c r="E92" s="2867"/>
      <c r="F92" s="2867"/>
      <c r="G92" s="2867"/>
      <c r="H92" s="2867"/>
      <c r="I92" s="2867"/>
      <c r="J92" s="2867"/>
      <c r="K92" s="2940"/>
      <c r="L92" s="2535"/>
      <c r="N92" s="2313">
        <f>I94+K97</f>
      </c>
      <c r="S92" s="2734"/>
    </row>
    <row r="93" spans="1:27" ht="15" x14ac:dyDescent="0.25">
      <c r="A93" s="2435"/>
      <c r="B93" s="2593" t="s">
        <v>8785</v>
      </c>
      <c r="C93" s="2435"/>
      <c r="D93" s="2435"/>
      <c r="E93" s="2435"/>
      <c r="F93" s="2435"/>
      <c r="G93" s="2435"/>
      <c r="H93" s="2914"/>
      <c r="I93" s="2914"/>
      <c r="J93" s="2914"/>
      <c r="K93" s="2939">
        <f>TRA9_14!D8</f>
      </c>
      <c r="L93" s="2535"/>
      <c r="N93" s="2313">
        <f>X57</f>
      </c>
      <c r="S93" s="2734"/>
    </row>
    <row r="94" spans="1:27" ht="15" x14ac:dyDescent="0.25">
      <c r="A94" s="2435"/>
      <c r="B94" s="2593" t="s">
        <v>8802</v>
      </c>
      <c r="C94" s="2435"/>
      <c r="D94" s="2435"/>
      <c r="E94" s="2435"/>
      <c r="F94" s="2435"/>
      <c r="G94" s="2435"/>
      <c r="H94" s="2914"/>
      <c r="I94" s="2897"/>
      <c r="J94" s="2985" t="str">
        <f>IF(AND(K93&gt;0,I94=""),reo,IF(AND(I94&gt;X57,X57=0)," No chargeable income reported (MTA)!",IF(I94&gt;J8," Not enough Chargeable income!",IF(I94&gt;K93,"Greater than Notional Interest received!",IF(I94&gt;C81+E81,"Cannot be more than the aggregate excess attributable to interest b/fwd!","")))))</f>
        <v/>
      </c>
      <c r="K94" s="2913"/>
      <c r="L94" s="2535"/>
      <c r="M94" s="1485">
        <f>IF(J94="",0,1)</f>
      </c>
      <c r="N94" s="1485">
        <f>IF(J8=0,0,IF(K93&lt;O94,K93,O94))</f>
      </c>
      <c r="O94" s="2767">
        <f>IF(C81+E81&gt;X57,X57,C81+E81)</f>
      </c>
      <c r="P94" s="1485">
        <f>IF(K93=0,0,IF(K93&gt;J9,J9,K93))</f>
      </c>
      <c r="S94" s="2734"/>
      <c r="X94" s="2313">
        <f>X57</f>
      </c>
    </row>
    <row r="95" spans="1:27" ht="15" x14ac:dyDescent="0.25">
      <c r="A95" s="2435"/>
      <c r="B95" s="2593" t="s">
        <v>8809</v>
      </c>
      <c r="C95" s="2435"/>
      <c r="D95" s="2435"/>
      <c r="E95" s="2435"/>
      <c r="F95" s="2435"/>
      <c r="G95" s="2435"/>
      <c r="H95" s="2914"/>
      <c r="I95" s="2914"/>
      <c r="J95" s="2914"/>
      <c r="K95" s="2915">
        <f>I94</f>
      </c>
      <c r="L95" s="2535" t="str">
        <f>IF(I94=0,"",IF(K95&gt;I94,"Greater than b/fwd!",""))</f>
        <v/>
      </c>
      <c r="M95" s="1485">
        <f>IF(L95="",0,1)</f>
      </c>
      <c r="N95" s="2986">
        <f>IF(I94+K97&gt;X57,1,0)</f>
      </c>
    </row>
    <row r="96" spans="1:27" ht="15" x14ac:dyDescent="0.25">
      <c r="A96" s="2435"/>
      <c r="B96" s="2593" t="s">
        <v>8786</v>
      </c>
      <c r="C96" s="2435"/>
      <c r="D96" s="2435"/>
      <c r="E96" s="2435"/>
      <c r="F96" s="2435"/>
      <c r="G96" s="2435"/>
      <c r="H96" s="2914"/>
      <c r="I96" s="2914"/>
      <c r="J96" s="2914"/>
      <c r="K96" s="2915">
        <f>IF(I94&gt;K93,0,K93-I94)</f>
      </c>
      <c r="L96" s="2535"/>
      <c r="O96" s="2313">
        <f>IF(J8-I94&lt;0,0,J8-I94)</f>
      </c>
      <c r="S96" s="2734"/>
    </row>
    <row r="97" spans="1:57" ht="15" x14ac:dyDescent="0.25">
      <c r="A97" s="2435"/>
      <c r="B97" s="2593" t="s">
        <v>8823</v>
      </c>
      <c r="C97" s="2435"/>
      <c r="D97" s="2435"/>
      <c r="E97" s="2435"/>
      <c r="F97" s="2435"/>
      <c r="G97" s="2435"/>
      <c r="H97" s="2914"/>
      <c r="I97" s="2914"/>
      <c r="J97" s="2914"/>
      <c r="K97" s="2897"/>
      <c r="L97" s="2535" t="str">
        <f>IF(K93=0,"",IF(K97="",reo,IF(K97&gt;K96," Check!",IF(OR(K97&gt;N97,N95=1)," Not enough Chargeable Income!",""))))</f>
        <v/>
      </c>
      <c r="M97" s="2767">
        <f>IF(L97="",0,1)</f>
      </c>
      <c r="N97" s="1485">
        <f>IF(O96&lt;O97,O96,O97)</f>
      </c>
      <c r="O97" s="2944">
        <f>IF(K93=0,0,IF(J8=0,0,IF(O96=0,0,IF(P97&lt;Q97,P97,Q97))))</f>
      </c>
      <c r="P97" s="2313">
        <f>IF(H37&lt;P98,H37,P98)</f>
      </c>
      <c r="Q97" s="1485">
        <f>IF(R97&lt;S97,R97,S97)</f>
      </c>
      <c r="R97" s="2313">
        <f>K96</f>
      </c>
      <c r="S97" s="2314">
        <f>AF105</f>
      </c>
    </row>
    <row r="98" spans="1:57" ht="4.9000000000000004" customHeight="1" x14ac:dyDescent="0.2">
      <c r="A98" s="2435"/>
      <c r="B98" s="2435"/>
      <c r="C98" s="2435"/>
      <c r="D98" s="2435"/>
      <c r="E98" s="2435"/>
      <c r="F98" s="2435"/>
      <c r="G98" s="2435"/>
      <c r="H98" s="2914"/>
      <c r="I98" s="2914"/>
      <c r="J98" s="2914"/>
      <c r="K98" s="2914"/>
      <c r="L98" s="2535"/>
      <c r="P98" s="2313">
        <f>'TRA100'!K40</f>
      </c>
      <c r="S98" s="2734"/>
      <c r="AD98" s="1485">
        <f>639+625</f>
      </c>
    </row>
    <row r="99" spans="1:57" ht="16.149999999999999" customHeight="1" x14ac:dyDescent="0.2">
      <c r="A99" s="2592"/>
      <c r="B99" s="5263" t="s">
        <v>8846</v>
      </c>
      <c r="C99" s="5264"/>
      <c r="D99" s="5264"/>
      <c r="E99" s="5265" t="str">
        <f>IF(R116=0,"",R116)</f>
        <v/>
      </c>
      <c r="F99" s="5266"/>
      <c r="G99" s="2435"/>
      <c r="H99" s="2914"/>
      <c r="I99" s="5256" t="s">
        <v>8811</v>
      </c>
      <c r="J99" s="5257"/>
      <c r="K99" s="5258"/>
      <c r="L99" s="2535" t="str">
        <f>IF(AND($O$1=1,N99&gt;0),"Check Question 1 in TRA100!",IF(AND(P1=1,N99&gt;0),"No approval - Cannot claim NID!",""))</f>
        <v/>
      </c>
      <c r="M99" s="1485">
        <f>IF(L99="",0,1)</f>
      </c>
      <c r="N99" s="1485">
        <f>COUNTA(C103:F111)</f>
      </c>
    </row>
    <row r="100" spans="1:57" ht="1.9" customHeight="1" x14ac:dyDescent="0.2">
      <c r="A100" s="2592"/>
      <c r="B100" s="2592"/>
      <c r="C100" s="2592"/>
      <c r="D100" s="2592"/>
      <c r="E100" s="2592"/>
      <c r="F100" s="2592"/>
      <c r="G100" s="2435"/>
      <c r="H100" s="2914"/>
      <c r="I100" s="2592"/>
      <c r="J100" s="2592"/>
      <c r="K100" s="2592"/>
      <c r="L100" s="2761"/>
    </row>
    <row r="101" spans="1:57" s="2066" customFormat="1" ht="13.15" customHeight="1" x14ac:dyDescent="0.2">
      <c r="A101" s="2592"/>
      <c r="B101" s="5243" t="s">
        <v>4759</v>
      </c>
      <c r="C101" s="5245" t="s">
        <v>8853</v>
      </c>
      <c r="D101" s="5246"/>
      <c r="E101" s="5245" t="s">
        <v>8854</v>
      </c>
      <c r="F101" s="5246"/>
      <c r="G101" s="2435"/>
      <c r="H101" s="2914"/>
      <c r="I101" s="5240" t="s">
        <v>8853</v>
      </c>
      <c r="J101" s="5241"/>
      <c r="K101" s="5238" t="s">
        <v>8855</v>
      </c>
      <c r="L101" s="2761"/>
      <c r="O101" s="5252" t="s">
        <v>8812</v>
      </c>
      <c r="P101" s="5252"/>
      <c r="Q101" s="5252"/>
      <c r="R101" s="5252"/>
      <c r="U101" s="4557" t="s">
        <v>8817</v>
      </c>
      <c r="V101" s="5253"/>
      <c r="W101" s="5253"/>
      <c r="X101" s="5253"/>
      <c r="AF101" s="5242" t="s">
        <v>8745</v>
      </c>
      <c r="AG101" s="5242"/>
      <c r="AI101" s="5237"/>
      <c r="AJ101" s="5237"/>
      <c r="AO101" s="1485"/>
      <c r="AV101" s="5235" t="s">
        <v>363</v>
      </c>
      <c r="AW101" s="5235"/>
      <c r="AX101" s="5235" t="s">
        <v>2372</v>
      </c>
      <c r="AY101" s="5235"/>
      <c r="BB101" s="5234" t="s">
        <v>363</v>
      </c>
      <c r="BC101" s="5234"/>
      <c r="BD101" s="5234" t="s">
        <v>2372</v>
      </c>
      <c r="BE101" s="5234"/>
    </row>
    <row r="102" spans="1:57" ht="52.5" customHeight="1" x14ac:dyDescent="0.2">
      <c r="A102" s="2592"/>
      <c r="B102" s="5244"/>
      <c r="C102" s="2873" t="s">
        <v>363</v>
      </c>
      <c r="D102" s="2873" t="s">
        <v>2372</v>
      </c>
      <c r="E102" s="2873" t="s">
        <v>363</v>
      </c>
      <c r="F102" s="2873" t="s">
        <v>2372</v>
      </c>
      <c r="G102" s="2435"/>
      <c r="H102" s="2914"/>
      <c r="I102" s="2873" t="s">
        <v>363</v>
      </c>
      <c r="J102" s="2873" t="s">
        <v>2372</v>
      </c>
      <c r="K102" s="5239"/>
      <c r="L102" s="2889"/>
      <c r="N102" s="2066"/>
      <c r="O102" s="1736" t="s">
        <v>363</v>
      </c>
      <c r="P102" s="1736" t="s">
        <v>2372</v>
      </c>
      <c r="Q102" s="1736" t="s">
        <v>363</v>
      </c>
      <c r="R102" s="1736" t="s">
        <v>2372</v>
      </c>
      <c r="U102" s="46" t="s">
        <v>8813</v>
      </c>
      <c r="V102" s="46" t="s">
        <v>8815</v>
      </c>
      <c r="W102" s="46" t="s">
        <v>8814</v>
      </c>
      <c r="X102" s="46" t="s">
        <v>8816</v>
      </c>
      <c r="AF102" s="2873" t="s">
        <v>363</v>
      </c>
      <c r="AG102" s="2873" t="s">
        <v>2372</v>
      </c>
      <c r="AH102" s="1736" t="s">
        <v>8803</v>
      </c>
      <c r="AI102" s="1736" t="s">
        <v>1499</v>
      </c>
      <c r="AK102" s="46"/>
      <c r="AL102" s="46"/>
      <c r="AM102" s="1736"/>
      <c r="AS102" s="2313">
        <f>'TRA100'!K55-C112</f>
      </c>
      <c r="AV102" s="1485" t="s">
        <v>8835</v>
      </c>
      <c r="AW102" s="1485" t="s">
        <v>8810</v>
      </c>
      <c r="AX102" s="1485" t="s">
        <v>8835</v>
      </c>
      <c r="AY102" s="1485" t="s">
        <v>8810</v>
      </c>
      <c r="BB102" s="2524" t="s">
        <v>8835</v>
      </c>
      <c r="BC102" s="2523" t="s">
        <v>8836</v>
      </c>
      <c r="BD102" s="2524" t="s">
        <v>8835</v>
      </c>
      <c r="BE102" s="2523" t="s">
        <v>8836</v>
      </c>
    </row>
    <row r="103" spans="1:57" x14ac:dyDescent="0.2">
      <c r="A103" s="2592"/>
      <c r="B103" s="2869" t="s">
        <v>8768</v>
      </c>
      <c r="C103" s="2885"/>
      <c r="D103" s="2885"/>
      <c r="E103" s="2885"/>
      <c r="F103" s="2885"/>
      <c r="G103" s="2435"/>
      <c r="H103" s="4034" t="str">
        <f t="shared" ref="H103:H111" si="23">IF(AND($O$1=1,N103&gt;0),"Delete!",IF(AND($O$89=0,$AF$117=0),"",IF(AND(COUNT(C103:F103)&lt;&gt;4,SUM(O103:R103)&gt;0),reo,IF(OR(C103&gt;O103,E103&gt;Q103,D103&gt;P103,F103&gt;R103)," Claim is excessive!",""))))</f>
        <v/>
      </c>
      <c r="I103" s="2897"/>
      <c r="J103" s="2897"/>
      <c r="K103" s="2990"/>
      <c r="L103" s="2535" t="str">
        <f t="shared" ref="L103:L111" si="24">IF($Y$113=0,"",IF(COUNT(I103:J103)&lt;&gt;2,reo,IF(OR(I103&gt;U103,J103&gt;V103),"Excessive!","")))</f>
        <v/>
      </c>
      <c r="M103" s="1485">
        <f t="shared" ref="M103:M111" si="25">IF(H103="",0,1)</f>
      </c>
      <c r="N103" s="1485">
        <f>COUNTA(C103:F103)</f>
      </c>
      <c r="O103" s="2912">
        <f>IF($V$116=0,0,IF($T$116=0,0,IF(H79+E103&gt;AF103,AF103-E103,H79)))</f>
      </c>
      <c r="P103" s="2912">
        <f t="shared" ref="P103:P111" si="26">IF($W$116=0,0,IF($T$116=0,0,IF(I79+F103&gt;AG103,AG103-F103,I79)))</f>
      </c>
      <c r="Q103" s="2912">
        <f t="shared" ref="Q103:Q111" si="27">IF($V$116=0,0,IF($T$116=0,0,IF(J79+C103&gt;AF103,AF103-C103,J79)))</f>
      </c>
      <c r="R103" s="2912">
        <f t="shared" ref="R103:R111" si="28">IF($W$116=0,0,IF($T$116=0,0,IF(K79+D103&gt;AG103,AG103-D103,K79)))</f>
      </c>
      <c r="U103" s="2313">
        <f t="shared" ref="U103:W104" si="29">H79-C103</f>
      </c>
      <c r="V103" s="2313">
        <f t="shared" si="29"/>
        <v>0</v>
      </c>
      <c r="W103" s="2313">
        <f t="shared" si="29"/>
        <v>0</v>
      </c>
      <c r="X103" s="2313">
        <f t="shared" ref="X103:X111" si="30">K79-F103</f>
      </c>
      <c r="Z103" s="2313" t="str">
        <f>K65</f>
        <v/>
      </c>
      <c r="AB103" s="2314">
        <f t="shared" ref="AB103:AB111" si="31">C79</f>
      </c>
      <c r="AC103" s="2314">
        <f t="shared" ref="AC103:AC111" si="32">D79</f>
      </c>
      <c r="AE103" s="1485">
        <f t="shared" ref="AE103:AE111" si="33">IF(Z103&lt;AG103,Z103,AG103)</f>
      </c>
      <c r="AF103" s="2861">
        <f>IF('p4'!O23&lt;0,0,'p4'!O23)</f>
      </c>
      <c r="AG103" s="2861">
        <f>IF('p4'!R23&lt;0,0,'p4'!R23-AJ103)</f>
      </c>
      <c r="AI103" s="663" t="s">
        <v>453</v>
      </c>
      <c r="AJ103" s="2313">
        <f>'TRA30'!M5</f>
      </c>
      <c r="AS103" s="2313">
        <f t="shared" ref="AS103:AS109" si="34">IF(AS102-SUM(C103:F103)&lt;0,AS102,AS102-SUM(C103:F103))</f>
      </c>
      <c r="AT103" s="2313">
        <f t="shared" ref="AT103:AT109" si="35">AS102-AS103</f>
      </c>
      <c r="AV103" s="1485">
        <f t="shared" ref="AV103:AV111" si="36">IF($AF$114=0,0,IF(BB103&gt;$AF103-E103,$AF103-E103,BB103))</f>
      </c>
      <c r="AW103" s="1485">
        <f>IF($AF$114=0,0,IF(BC103&gt;$AF103-C103,$AF103-C103,BC103))</f>
      </c>
      <c r="AX103" s="1485">
        <f>IF($AG$114=0,0,IF(BD103&gt;$AG103-F103,$AG103-F103,BD103))</f>
      </c>
      <c r="AY103" s="1485">
        <f t="shared" ref="AY103:AY111" si="37">IF($AG$114=0,0,IF(BE103&gt;$AG103-D103,$AG103-D103,BE103))</f>
      </c>
      <c r="BB103" s="2313">
        <f t="shared" ref="BB103:BB111" si="38">H79</f>
      </c>
      <c r="BC103" s="2313">
        <f t="shared" ref="BC103:BC111" si="39">J79</f>
      </c>
      <c r="BD103" s="2313">
        <f t="shared" ref="BD103:BD111" si="40">I79</f>
      </c>
      <c r="BE103" s="2313">
        <f t="shared" ref="BE103:BE111" si="41">K79</f>
      </c>
    </row>
    <row r="104" spans="1:57" x14ac:dyDescent="0.2">
      <c r="A104" s="2592"/>
      <c r="B104" s="2869" t="s">
        <v>168</v>
      </c>
      <c r="C104" s="2885"/>
      <c r="D104" s="2885"/>
      <c r="E104" s="2885"/>
      <c r="F104" s="2885"/>
      <c r="G104" s="2435"/>
      <c r="H104" s="4034" t="str">
        <f t="shared" si="23"/>
        <v/>
      </c>
      <c r="I104" s="2897"/>
      <c r="J104" s="2897"/>
      <c r="K104" s="2991"/>
      <c r="L104" s="2535" t="str">
        <f t="shared" si="24"/>
        <v/>
      </c>
      <c r="M104" s="1485">
        <f t="shared" si="25"/>
        <v>0</v>
      </c>
      <c r="N104" s="1485">
        <f t="shared" ref="N104:N111" si="42">COUNTA(C104:F104)</f>
      </c>
      <c r="O104" s="2912">
        <f>IF($V$116=0,0,IF($T$116=0,0,IF(H80+E104&gt;AF104,AF104-E104,H80)))</f>
      </c>
      <c r="P104" s="2912">
        <f t="shared" si="26"/>
        <v>0</v>
      </c>
      <c r="Q104" s="2912">
        <f t="shared" si="27"/>
        <v>0</v>
      </c>
      <c r="R104" s="2912">
        <f t="shared" si="28"/>
        <v>0</v>
      </c>
      <c r="U104" s="2313">
        <f t="shared" si="29"/>
        <v>0</v>
      </c>
      <c r="V104" s="2313">
        <f t="shared" si="29"/>
        <v>0</v>
      </c>
      <c r="W104" s="2313">
        <f>J80-E104</f>
      </c>
      <c r="X104" s="2313">
        <f t="shared" si="30"/>
        <v>0</v>
      </c>
      <c r="Z104" s="2313" t="e" vm="2">
        <f t="shared" ref="Z104:Z111" si="43">Z103-D103</f>
      </c>
      <c r="AB104" s="2314">
        <f t="shared" si="31"/>
        <v>0</v>
      </c>
      <c r="AC104" s="2314">
        <f t="shared" si="32"/>
        <v>0</v>
      </c>
      <c r="AE104" s="1485" t="e" vm="3">
        <f t="shared" si="33"/>
        <v>#VALUE!</v>
      </c>
      <c r="AF104" s="2861">
        <f>'p4'!O25</f>
      </c>
      <c r="AG104" s="2861">
        <f>'p4'!R25-AJ104</f>
      </c>
      <c r="AI104" s="666" t="s">
        <v>1502</v>
      </c>
      <c r="AJ104" s="2313">
        <f>'TRA30'!M6</f>
      </c>
      <c r="AS104" s="2313">
        <f t="shared" si="34"/>
        <v>0</v>
      </c>
      <c r="AT104" s="2313">
        <f t="shared" si="35"/>
        <v>0</v>
      </c>
      <c r="AV104" s="1485">
        <f>IF($AF$114=0,0,IF(BB104&gt;$AF104-E104,$AF104-E104,BB104))</f>
      </c>
      <c r="AW104" s="1485">
        <f t="shared" ref="AW104:AW111" si="44">IF($AF$114=0,0,IF(BC104&gt;$AF104-C104,$AF104-C104,BC104))</f>
      </c>
      <c r="AX104" s="1485">
        <f t="shared" ref="AX104:AX111" si="45">IF($AG$114=0,0,IF(BD104&gt;$AG104-F104,$AG104-F104,BD104))</f>
      </c>
      <c r="AY104" s="1485">
        <f t="shared" si="37"/>
        <v>0</v>
      </c>
      <c r="BB104" s="2313">
        <f t="shared" si="38"/>
        <v>0</v>
      </c>
      <c r="BC104" s="2313">
        <f t="shared" si="39"/>
        <v>0</v>
      </c>
      <c r="BD104" s="2313">
        <f t="shared" si="40"/>
        <v>0</v>
      </c>
      <c r="BE104" s="2313">
        <f t="shared" si="41"/>
        <v>0</v>
      </c>
    </row>
    <row r="105" spans="1:57" x14ac:dyDescent="0.2">
      <c r="A105" s="2592"/>
      <c r="B105" s="2869" t="s">
        <v>8769</v>
      </c>
      <c r="C105" s="2885"/>
      <c r="D105" s="2885"/>
      <c r="E105" s="2885"/>
      <c r="F105" s="2885"/>
      <c r="G105" s="2435"/>
      <c r="H105" s="4034" t="str">
        <f t="shared" si="23"/>
        <v/>
      </c>
      <c r="I105" s="2897"/>
      <c r="J105" s="2897"/>
      <c r="K105" s="2991"/>
      <c r="L105" s="2535" t="str">
        <f t="shared" si="24"/>
        <v/>
      </c>
      <c r="M105" s="1485">
        <f t="shared" si="25"/>
        <v>0</v>
      </c>
      <c r="N105" s="1485">
        <f t="shared" si="42"/>
        <v>0</v>
      </c>
      <c r="O105" s="2912">
        <f>IF($V$116=0,0,IF(T116=0,0,IF(H81+E105+C112&gt;AF105,AF105-E105-C112,H81-C112)))</f>
      </c>
      <c r="P105" s="2912">
        <f t="shared" si="26"/>
        <v>0</v>
      </c>
      <c r="Q105" s="2912">
        <f t="shared" si="27"/>
        <v>0</v>
      </c>
      <c r="R105" s="2912">
        <f t="shared" si="28"/>
        <v>0</v>
      </c>
      <c r="U105" s="2313">
        <f>H81-C105-C112</f>
      </c>
      <c r="V105" s="2313">
        <f t="shared" ref="V105:W111" si="46">I81-D105</f>
      </c>
      <c r="W105" s="2313">
        <f>J81-E105</f>
      </c>
      <c r="X105" s="2313">
        <f t="shared" si="30"/>
        <v>0</v>
      </c>
      <c r="Z105" s="2313" t="e" vm="4">
        <f t="shared" si="43"/>
        <v>#VALUE!</v>
      </c>
      <c r="AB105" s="2314">
        <f t="shared" si="31"/>
        <v>0</v>
      </c>
      <c r="AC105" s="2314">
        <f t="shared" si="32"/>
        <v>0</v>
      </c>
      <c r="AE105" s="1485" t="e" vm="3">
        <f t="shared" si="33"/>
        <v>#VALUE!</v>
      </c>
      <c r="AF105" s="2861">
        <f>'p4'!O26</f>
      </c>
      <c r="AG105" s="2861">
        <f>'p4'!R26-AJ105</f>
      </c>
      <c r="AI105" s="666" t="s">
        <v>1504</v>
      </c>
      <c r="AJ105" s="2313">
        <f>'TRA30'!M7</f>
      </c>
      <c r="AM105" s="1485">
        <f>625*2</f>
      </c>
      <c r="AS105" s="2313">
        <f t="shared" si="34"/>
        <v>0</v>
      </c>
      <c r="AT105" s="2313">
        <f t="shared" si="35"/>
        <v>0</v>
      </c>
      <c r="AV105" s="1485">
        <f>IF($AF$114=0,0,IF(BB105&gt;$AF105-E105,$AF105-E105,BB105))</f>
      </c>
      <c r="AW105" s="1485">
        <f t="shared" si="44"/>
        <v>0</v>
      </c>
      <c r="AX105" s="1485">
        <f t="shared" si="45"/>
        <v>0</v>
      </c>
      <c r="AY105" s="1485">
        <f t="shared" si="37"/>
        <v>0</v>
      </c>
      <c r="BB105" s="2313">
        <f t="shared" si="38"/>
        <v>0</v>
      </c>
      <c r="BC105" s="2313">
        <f t="shared" si="39"/>
        <v>0</v>
      </c>
      <c r="BD105" s="2313">
        <f t="shared" si="40"/>
        <v>0</v>
      </c>
      <c r="BE105" s="2313">
        <f t="shared" si="41"/>
        <v>0</v>
      </c>
    </row>
    <row r="106" spans="1:57" x14ac:dyDescent="0.2">
      <c r="A106" s="2592"/>
      <c r="B106" s="2869" t="s">
        <v>4835</v>
      </c>
      <c r="C106" s="2885"/>
      <c r="D106" s="2885"/>
      <c r="E106" s="2885"/>
      <c r="F106" s="2885"/>
      <c r="G106" s="2435"/>
      <c r="H106" s="4034" t="str">
        <f t="shared" si="23"/>
        <v/>
      </c>
      <c r="I106" s="2897"/>
      <c r="J106" s="2897"/>
      <c r="K106" s="2991"/>
      <c r="L106" s="2535" t="str">
        <f t="shared" si="24"/>
        <v/>
      </c>
      <c r="M106" s="1485">
        <f t="shared" si="25"/>
        <v>0</v>
      </c>
      <c r="N106" s="1485">
        <f t="shared" si="42"/>
        <v>0</v>
      </c>
      <c r="O106" s="2912">
        <f t="shared" ref="O106:O111" si="47">IF($V$116=0,0,IF($T$116=0,0,IF(H82+E106&gt;AF106,AF106-E106,H82)))</f>
      </c>
      <c r="P106" s="2912">
        <f t="shared" si="26"/>
        <v>0</v>
      </c>
      <c r="Q106" s="2912">
        <f t="shared" si="27"/>
        <v>0</v>
      </c>
      <c r="R106" s="2912">
        <f t="shared" si="28"/>
        <v>0</v>
      </c>
      <c r="U106" s="2313">
        <f t="shared" ref="U106:U111" si="48">H82-C106</f>
      </c>
      <c r="V106" s="2313">
        <f t="shared" si="46"/>
        <v>0</v>
      </c>
      <c r="W106" s="2313">
        <f t="shared" si="46"/>
        <v>0</v>
      </c>
      <c r="X106" s="2313">
        <f t="shared" si="30"/>
        <v>0</v>
      </c>
      <c r="Z106" s="2313" t="e" vm="4">
        <f t="shared" si="43"/>
        <v>#VALUE!</v>
      </c>
      <c r="AB106" s="2314">
        <f t="shared" si="31"/>
        <v>0</v>
      </c>
      <c r="AC106" s="2314">
        <f t="shared" si="32"/>
        <v>0</v>
      </c>
      <c r="AE106" s="1485" t="e" vm="3">
        <f t="shared" si="33"/>
        <v>#VALUE!</v>
      </c>
      <c r="AF106" s="2861">
        <f>'p4'!O27</f>
      </c>
      <c r="AG106" s="2861">
        <f>'p4'!R27-AJ106</f>
      </c>
      <c r="AI106" s="666" t="s">
        <v>1506</v>
      </c>
      <c r="AJ106" s="2313">
        <f>'TRA30'!M8</f>
      </c>
      <c r="AM106" s="1485">
        <v>1264</v>
      </c>
      <c r="AS106" s="2313">
        <f t="shared" si="34"/>
        <v>0</v>
      </c>
      <c r="AT106" s="2313">
        <f t="shared" si="35"/>
        <v>0</v>
      </c>
      <c r="AV106" s="1485">
        <f t="shared" si="36"/>
        <v>0</v>
      </c>
      <c r="AW106" s="1485">
        <f t="shared" si="44"/>
        <v>0</v>
      </c>
      <c r="AX106" s="1485">
        <f t="shared" si="45"/>
        <v>0</v>
      </c>
      <c r="AY106" s="1485">
        <f t="shared" si="37"/>
        <v>0</v>
      </c>
      <c r="BB106" s="2313">
        <f t="shared" si="38"/>
        <v>0</v>
      </c>
      <c r="BC106" s="2313">
        <f t="shared" si="39"/>
        <v>0</v>
      </c>
      <c r="BD106" s="2313">
        <f t="shared" si="40"/>
        <v>0</v>
      </c>
      <c r="BE106" s="2313">
        <f t="shared" si="41"/>
        <v>0</v>
      </c>
    </row>
    <row r="107" spans="1:57" x14ac:dyDescent="0.2">
      <c r="A107" s="2592"/>
      <c r="B107" s="2869" t="s">
        <v>8770</v>
      </c>
      <c r="C107" s="2885"/>
      <c r="D107" s="2885"/>
      <c r="E107" s="2885"/>
      <c r="F107" s="2885"/>
      <c r="G107" s="2435"/>
      <c r="H107" s="4034" t="str">
        <f t="shared" si="23"/>
        <v/>
      </c>
      <c r="I107" s="2897"/>
      <c r="J107" s="2897"/>
      <c r="K107" s="2991"/>
      <c r="L107" s="2535" t="str">
        <f t="shared" si="24"/>
        <v/>
      </c>
      <c r="M107" s="1485">
        <f t="shared" si="25"/>
        <v>0</v>
      </c>
      <c r="N107" s="1485">
        <f t="shared" si="42"/>
        <v>0</v>
      </c>
      <c r="O107" s="2912">
        <f t="shared" si="47"/>
        <v>0</v>
      </c>
      <c r="P107" s="2912">
        <f t="shared" si="26"/>
        <v>0</v>
      </c>
      <c r="Q107" s="2912">
        <f t="shared" si="27"/>
        <v>0</v>
      </c>
      <c r="R107" s="2912">
        <f t="shared" si="28"/>
        <v>0</v>
      </c>
      <c r="U107" s="2313">
        <f t="shared" si="48"/>
        <v>0</v>
      </c>
      <c r="V107" s="2313">
        <f t="shared" si="46"/>
        <v>0</v>
      </c>
      <c r="W107" s="2313">
        <f t="shared" si="46"/>
        <v>0</v>
      </c>
      <c r="X107" s="2313">
        <f t="shared" si="30"/>
        <v>0</v>
      </c>
      <c r="Z107" s="2313" t="e" vm="4">
        <f t="shared" si="43"/>
        <v>#VALUE!</v>
      </c>
      <c r="AB107" s="2314">
        <f t="shared" si="31"/>
        <v>0</v>
      </c>
      <c r="AC107" s="2314">
        <f t="shared" si="32"/>
        <v>0</v>
      </c>
      <c r="AE107" s="1485" t="e" vm="3">
        <f t="shared" si="33"/>
        <v>#VALUE!</v>
      </c>
      <c r="AF107" s="2861">
        <f>'p4'!O28</f>
      </c>
      <c r="AG107" s="2861">
        <f>'p4'!R28-AJ107</f>
      </c>
      <c r="AI107" s="666" t="s">
        <v>1508</v>
      </c>
      <c r="AJ107" s="2313">
        <f>'TRA30'!M9</f>
      </c>
      <c r="AS107" s="2313">
        <f t="shared" si="34"/>
        <v>0</v>
      </c>
      <c r="AT107" s="2313">
        <f t="shared" si="35"/>
        <v>0</v>
      </c>
      <c r="AV107" s="1485">
        <f t="shared" si="36"/>
        <v>0</v>
      </c>
      <c r="AW107" s="1485">
        <f t="shared" si="44"/>
        <v>0</v>
      </c>
      <c r="AX107" s="1485">
        <f t="shared" si="45"/>
        <v>0</v>
      </c>
      <c r="AY107" s="1485">
        <f t="shared" si="37"/>
        <v>0</v>
      </c>
      <c r="BB107" s="2313">
        <f t="shared" si="38"/>
        <v>0</v>
      </c>
      <c r="BC107" s="2313">
        <f t="shared" si="39"/>
        <v>0</v>
      </c>
      <c r="BD107" s="2313">
        <f t="shared" si="40"/>
        <v>0</v>
      </c>
      <c r="BE107" s="2313">
        <f t="shared" si="41"/>
        <v>0</v>
      </c>
    </row>
    <row r="108" spans="1:57" x14ac:dyDescent="0.2">
      <c r="A108" s="2592"/>
      <c r="B108" s="2869" t="s">
        <v>6142</v>
      </c>
      <c r="C108" s="2885"/>
      <c r="D108" s="2885"/>
      <c r="E108" s="2885"/>
      <c r="F108" s="2885"/>
      <c r="G108" s="2435"/>
      <c r="H108" s="4034" t="str">
        <f t="shared" si="23"/>
        <v/>
      </c>
      <c r="I108" s="2897"/>
      <c r="J108" s="2897"/>
      <c r="K108" s="2991"/>
      <c r="L108" s="2535" t="str">
        <f t="shared" si="24"/>
        <v/>
      </c>
      <c r="M108" s="1485">
        <f t="shared" si="25"/>
        <v>0</v>
      </c>
      <c r="N108" s="1485">
        <f t="shared" si="42"/>
        <v>0</v>
      </c>
      <c r="O108" s="2912">
        <f t="shared" si="47"/>
        <v>0</v>
      </c>
      <c r="P108" s="2912">
        <f t="shared" si="26"/>
        <v>0</v>
      </c>
      <c r="Q108" s="2912">
        <f t="shared" si="27"/>
        <v>0</v>
      </c>
      <c r="R108" s="2912">
        <f t="shared" si="28"/>
        <v>0</v>
      </c>
      <c r="U108" s="2313">
        <f t="shared" si="48"/>
        <v>0</v>
      </c>
      <c r="V108" s="2313">
        <f t="shared" si="46"/>
        <v>0</v>
      </c>
      <c r="W108" s="2313">
        <f t="shared" si="46"/>
        <v>0</v>
      </c>
      <c r="X108" s="2313">
        <f t="shared" si="30"/>
        <v>0</v>
      </c>
      <c r="Z108" s="2313" t="e" vm="4">
        <f t="shared" si="43"/>
        <v>#VALUE!</v>
      </c>
      <c r="AB108" s="2314">
        <f t="shared" si="31"/>
        <v>0</v>
      </c>
      <c r="AC108" s="2314">
        <f t="shared" si="32"/>
        <v>0</v>
      </c>
      <c r="AE108" s="1485" t="e" vm="3">
        <f t="shared" si="33"/>
        <v>#VALUE!</v>
      </c>
      <c r="AF108" s="2861">
        <f>'p4'!O29</f>
      </c>
      <c r="AG108" s="2861">
        <f>'p4'!R29-AJ108</f>
      </c>
      <c r="AI108" s="666" t="s">
        <v>3416</v>
      </c>
      <c r="AJ108" s="2313">
        <f>'TRA30'!M10</f>
      </c>
      <c r="AS108" s="2313">
        <f t="shared" si="34"/>
        <v>0</v>
      </c>
      <c r="AT108" s="2313">
        <f t="shared" si="35"/>
        <v>0</v>
      </c>
      <c r="AV108" s="1485">
        <f t="shared" si="36"/>
        <v>0</v>
      </c>
      <c r="AW108" s="1485">
        <f t="shared" si="44"/>
        <v>0</v>
      </c>
      <c r="AX108" s="1485">
        <f t="shared" si="45"/>
        <v>0</v>
      </c>
      <c r="AY108" s="1485">
        <f t="shared" si="37"/>
        <v>0</v>
      </c>
      <c r="BB108" s="2313">
        <f t="shared" si="38"/>
        <v>0</v>
      </c>
      <c r="BC108" s="2313">
        <f t="shared" si="39"/>
        <v>0</v>
      </c>
      <c r="BD108" s="2313">
        <f t="shared" si="40"/>
        <v>0</v>
      </c>
      <c r="BE108" s="2313">
        <f t="shared" si="41"/>
        <v>0</v>
      </c>
    </row>
    <row r="109" spans="1:57" x14ac:dyDescent="0.2">
      <c r="A109" s="2592"/>
      <c r="B109" s="2869" t="s">
        <v>6198</v>
      </c>
      <c r="C109" s="2885"/>
      <c r="D109" s="2885"/>
      <c r="E109" s="2885"/>
      <c r="F109" s="2885"/>
      <c r="G109" s="2435"/>
      <c r="H109" s="4034" t="str">
        <f t="shared" si="23"/>
        <v/>
      </c>
      <c r="I109" s="2897"/>
      <c r="J109" s="2897"/>
      <c r="K109" s="2991"/>
      <c r="L109" s="2535" t="str">
        <f t="shared" si="24"/>
        <v/>
      </c>
      <c r="M109" s="1485">
        <f t="shared" si="25"/>
        <v>0</v>
      </c>
      <c r="N109" s="1485">
        <f t="shared" si="42"/>
        <v>0</v>
      </c>
      <c r="O109" s="2912">
        <f t="shared" si="47"/>
        <v>0</v>
      </c>
      <c r="P109" s="2912">
        <f t="shared" si="26"/>
        <v>0</v>
      </c>
      <c r="Q109" s="2912">
        <f t="shared" si="27"/>
        <v>0</v>
      </c>
      <c r="R109" s="2912">
        <f t="shared" si="28"/>
        <v>0</v>
      </c>
      <c r="U109" s="2313">
        <f t="shared" si="48"/>
        <v>0</v>
      </c>
      <c r="V109" s="2313">
        <f t="shared" si="46"/>
        <v>0</v>
      </c>
      <c r="W109" s="2313">
        <f t="shared" si="46"/>
        <v>0</v>
      </c>
      <c r="X109" s="2313">
        <f t="shared" si="30"/>
        <v>0</v>
      </c>
      <c r="Z109" s="2313" t="e" vm="4">
        <f t="shared" si="43"/>
        <v>#VALUE!</v>
      </c>
      <c r="AB109" s="2314">
        <f t="shared" si="31"/>
        <v>0</v>
      </c>
      <c r="AC109" s="2314">
        <f t="shared" si="32"/>
        <v>0</v>
      </c>
      <c r="AE109" s="1485" t="e" vm="3">
        <f t="shared" si="33"/>
        <v>#VALUE!</v>
      </c>
      <c r="AF109" s="2861">
        <f>'p4'!O30</f>
      </c>
      <c r="AG109" s="2861">
        <f>'p4'!R30-AJ109</f>
      </c>
      <c r="AI109" s="666" t="s">
        <v>3285</v>
      </c>
      <c r="AJ109" s="2313">
        <f>'TRA30'!M11</f>
      </c>
      <c r="AS109" s="2313">
        <f t="shared" si="34"/>
        <v>0</v>
      </c>
      <c r="AT109" s="2313">
        <f t="shared" si="35"/>
        <v>0</v>
      </c>
      <c r="AV109" s="1485">
        <f t="shared" si="36"/>
        <v>0</v>
      </c>
      <c r="AW109" s="1485">
        <f t="shared" si="44"/>
        <v>0</v>
      </c>
      <c r="AX109" s="1485">
        <f t="shared" si="45"/>
        <v>0</v>
      </c>
      <c r="AY109" s="1485">
        <f t="shared" si="37"/>
        <v>0</v>
      </c>
      <c r="BB109" s="2313">
        <f t="shared" si="38"/>
        <v>0</v>
      </c>
      <c r="BC109" s="2313">
        <f t="shared" si="39"/>
        <v>0</v>
      </c>
      <c r="BD109" s="2313">
        <f t="shared" si="40"/>
        <v>0</v>
      </c>
      <c r="BE109" s="2313">
        <f t="shared" si="41"/>
        <v>0</v>
      </c>
    </row>
    <row r="110" spans="1:57" x14ac:dyDescent="0.2">
      <c r="A110" s="2592"/>
      <c r="B110" s="2919" t="s">
        <v>6200</v>
      </c>
      <c r="C110" s="2885"/>
      <c r="D110" s="2885"/>
      <c r="E110" s="2885"/>
      <c r="F110" s="2885"/>
      <c r="G110" s="2435"/>
      <c r="H110" s="4034" t="str">
        <f t="shared" si="23"/>
        <v/>
      </c>
      <c r="I110" s="2897"/>
      <c r="J110" s="2897"/>
      <c r="K110" s="2991"/>
      <c r="L110" s="2535" t="str">
        <f t="shared" si="24"/>
        <v/>
      </c>
      <c r="M110" s="1485">
        <f t="shared" si="25"/>
        <v>0</v>
      </c>
      <c r="N110" s="1485">
        <f t="shared" si="42"/>
        <v>0</v>
      </c>
      <c r="O110" s="2912">
        <f t="shared" si="47"/>
        <v>0</v>
      </c>
      <c r="P110" s="2912">
        <f t="shared" si="26"/>
        <v>0</v>
      </c>
      <c r="Q110" s="2912">
        <f t="shared" si="27"/>
        <v>0</v>
      </c>
      <c r="R110" s="2912">
        <f t="shared" si="28"/>
        <v>0</v>
      </c>
      <c r="U110" s="2313">
        <f t="shared" si="48"/>
        <v>0</v>
      </c>
      <c r="V110" s="2313">
        <f t="shared" si="46"/>
        <v>0</v>
      </c>
      <c r="W110" s="2313">
        <f t="shared" si="46"/>
        <v>0</v>
      </c>
      <c r="X110" s="2313">
        <f t="shared" si="30"/>
        <v>0</v>
      </c>
      <c r="Z110" s="2313" t="e" vm="4">
        <f t="shared" si="43"/>
        <v>#VALUE!</v>
      </c>
      <c r="AB110" s="2314">
        <f t="shared" si="31"/>
        <v>0</v>
      </c>
      <c r="AC110" s="2314">
        <f t="shared" si="32"/>
        <v>0</v>
      </c>
      <c r="AE110" s="1485" t="e" vm="3">
        <f t="shared" si="33"/>
        <v>#VALUE!</v>
      </c>
      <c r="AF110" s="2861">
        <f>'p4'!O31</f>
      </c>
      <c r="AG110" s="2861">
        <f>'p4'!R31-AJ110</f>
      </c>
      <c r="AI110" s="666" t="s">
        <v>3287</v>
      </c>
      <c r="AJ110" s="2313">
        <f>'TRA30'!M12</f>
      </c>
      <c r="AV110" s="1485">
        <f t="shared" si="36"/>
        <v>0</v>
      </c>
      <c r="AW110" s="1485">
        <f t="shared" si="44"/>
        <v>0</v>
      </c>
      <c r="AX110" s="1485">
        <f t="shared" si="45"/>
        <v>0</v>
      </c>
      <c r="AY110" s="1485">
        <f t="shared" si="37"/>
        <v>0</v>
      </c>
      <c r="BB110" s="2313">
        <f t="shared" si="38"/>
        <v>0</v>
      </c>
      <c r="BC110" s="2313">
        <f t="shared" si="39"/>
        <v>0</v>
      </c>
      <c r="BD110" s="2313">
        <f t="shared" si="40"/>
        <v>0</v>
      </c>
      <c r="BE110" s="2313">
        <f t="shared" si="41"/>
        <v>0</v>
      </c>
    </row>
    <row r="111" spans="1:57" x14ac:dyDescent="0.2">
      <c r="A111" s="2592"/>
      <c r="B111" s="2869" t="s">
        <v>8746</v>
      </c>
      <c r="C111" s="2885"/>
      <c r="D111" s="2885"/>
      <c r="E111" s="2885"/>
      <c r="F111" s="2885"/>
      <c r="G111" s="2435"/>
      <c r="H111" s="4034" t="str">
        <f t="shared" si="23"/>
        <v/>
      </c>
      <c r="I111" s="2897"/>
      <c r="J111" s="2897"/>
      <c r="K111" s="2992"/>
      <c r="L111" s="2535" t="str">
        <f t="shared" si="24"/>
        <v/>
      </c>
      <c r="M111" s="1485">
        <f t="shared" si="25"/>
        <v>0</v>
      </c>
      <c r="N111" s="1485">
        <f t="shared" si="42"/>
        <v>0</v>
      </c>
      <c r="O111" s="2912">
        <f t="shared" si="47"/>
        <v>0</v>
      </c>
      <c r="P111" s="2912">
        <f t="shared" si="26"/>
        <v>0</v>
      </c>
      <c r="Q111" s="2912">
        <f t="shared" si="27"/>
        <v>0</v>
      </c>
      <c r="R111" s="2912">
        <f t="shared" si="28"/>
        <v>0</v>
      </c>
      <c r="U111" s="2313">
        <f t="shared" si="48"/>
        <v>0</v>
      </c>
      <c r="V111" s="2313">
        <f t="shared" si="46"/>
        <v>0</v>
      </c>
      <c r="W111" s="2313">
        <f t="shared" si="46"/>
        <v>0</v>
      </c>
      <c r="X111" s="2313">
        <f t="shared" si="30"/>
        <v>0</v>
      </c>
      <c r="Z111" s="2313" t="e" vm="4">
        <f t="shared" si="43"/>
        <v>#VALUE!</v>
      </c>
      <c r="AB111" s="2314">
        <f t="shared" si="31"/>
        <v>0</v>
      </c>
      <c r="AC111" s="2314">
        <f t="shared" si="32"/>
        <v>0</v>
      </c>
      <c r="AE111" s="1485" t="e" vm="3">
        <f t="shared" si="33"/>
        <v>#VALUE!</v>
      </c>
      <c r="AF111" s="2861">
        <f>'p4'!O35</f>
      </c>
      <c r="AG111" s="2861">
        <f>'p4'!R35-AJ111</f>
      </c>
      <c r="AI111" s="667" t="s">
        <v>8750</v>
      </c>
      <c r="AJ111" s="2313">
        <f>'TRA30'!M13</f>
      </c>
      <c r="AV111" s="1485">
        <f t="shared" si="36"/>
        <v>0</v>
      </c>
      <c r="AW111" s="1485">
        <f t="shared" si="44"/>
        <v>0</v>
      </c>
      <c r="AX111" s="1485">
        <f t="shared" si="45"/>
        <v>0</v>
      </c>
      <c r="AY111" s="1485">
        <f t="shared" si="37"/>
        <v>0</v>
      </c>
      <c r="BB111" s="2313">
        <f t="shared" si="38"/>
        <v>0</v>
      </c>
      <c r="BC111" s="2313">
        <f t="shared" si="39"/>
        <v>0</v>
      </c>
      <c r="BD111" s="2313">
        <f t="shared" si="40"/>
        <v>0</v>
      </c>
      <c r="BE111" s="2313">
        <f t="shared" si="41"/>
        <v>0</v>
      </c>
    </row>
    <row r="112" spans="1:57" x14ac:dyDescent="0.2">
      <c r="A112" s="2165"/>
      <c r="B112" s="2998" t="s">
        <v>8837</v>
      </c>
      <c r="C112" s="2947">
        <f>K97+K95</f>
      </c>
      <c r="D112" s="2165"/>
      <c r="E112" s="2165"/>
      <c r="F112" s="2165"/>
      <c r="G112" s="2435"/>
      <c r="H112" s="2165"/>
      <c r="I112" s="2165"/>
      <c r="J112" s="2165"/>
      <c r="K112" s="2897"/>
      <c r="L112" s="2889" t="str">
        <f>IF(AND(X121&gt;2,K112=""),reo,IF(K112&gt;X121,"Excessive!",""))</f>
        <v/>
      </c>
      <c r="N112" s="2066"/>
      <c r="O112" s="2066"/>
      <c r="P112" s="2066"/>
      <c r="Q112" s="2066"/>
      <c r="R112" s="2066"/>
      <c r="V112" s="2314"/>
      <c r="AF112" s="2861">
        <f>SUM(AF103:AF111)</f>
      </c>
      <c r="AG112" s="2861">
        <f>SUM(AG103:AG111)</f>
      </c>
      <c r="AJ112" s="2313">
        <f>'TRA30'!M14</f>
      </c>
      <c r="BB112" s="2313"/>
      <c r="BC112" s="2313"/>
      <c r="BD112" s="2313"/>
      <c r="BE112" s="2313"/>
    </row>
    <row r="113" spans="1:57" hidden="1" x14ac:dyDescent="0.2">
      <c r="A113" s="2592"/>
      <c r="B113" s="1485"/>
      <c r="C113" s="1485"/>
      <c r="D113" s="1485"/>
      <c r="E113" s="2909"/>
      <c r="F113" s="1485"/>
      <c r="G113" s="1485"/>
      <c r="H113" s="1485"/>
      <c r="I113" s="1485"/>
      <c r="L113" s="2906"/>
      <c r="N113" s="2066"/>
      <c r="O113" s="2066"/>
      <c r="P113" s="2066"/>
      <c r="Q113" s="2066"/>
      <c r="R113" s="2927" t="s">
        <v>8819</v>
      </c>
      <c r="T113" s="2922">
        <f>'TRA100'!J53+'TRA100'!K53</f>
      </c>
      <c r="U113" s="2313">
        <f>SUM(U103:U111)</f>
      </c>
      <c r="V113" s="2313">
        <f>SUM(V103:V111)</f>
      </c>
      <c r="W113" s="2313">
        <f>SUM(W103:W111)</f>
      </c>
      <c r="X113" s="2313">
        <f>SUM(X103:X112)</f>
      </c>
      <c r="Y113" s="2993">
        <f>U113+V113</f>
      </c>
      <c r="AF113" s="2923">
        <f>(AF114-AF112)*-1</f>
      </c>
      <c r="AG113" s="2923">
        <f>((AG114-AG112)*-1)</f>
      </c>
      <c r="AJ113" s="2313">
        <f>SUM(AJ103:AJ112)</f>
      </c>
      <c r="BB113" s="2313">
        <f>H89</f>
      </c>
      <c r="BC113" s="2313">
        <f>J89</f>
      </c>
      <c r="BD113" s="2313">
        <f>I89</f>
      </c>
      <c r="BE113" s="2313">
        <f>K89</f>
      </c>
    </row>
    <row r="114" spans="1:57" hidden="1" x14ac:dyDescent="0.2">
      <c r="A114" s="2592"/>
      <c r="B114" s="1485"/>
      <c r="C114" s="1485"/>
      <c r="D114" s="1485"/>
      <c r="E114" s="2909"/>
      <c r="F114" s="1485"/>
      <c r="G114" s="1485"/>
      <c r="H114" s="1485"/>
      <c r="I114" s="1485"/>
      <c r="L114" s="2906"/>
      <c r="N114" s="2066"/>
      <c r="O114" s="2066"/>
      <c r="P114" s="2066"/>
      <c r="Q114" s="2066"/>
      <c r="R114" s="2066" t="s">
        <v>8818</v>
      </c>
      <c r="T114" s="2767">
        <f>'TRA100'!Q51</f>
      </c>
      <c r="AF114" s="2924">
        <f>'p4'!O63-'p4'!O56</f>
      </c>
      <c r="AG114" s="2924">
        <f>'p4'!R63-AJ113-'p4'!R56</f>
      </c>
      <c r="AI114" s="46"/>
      <c r="AJ114" s="46"/>
      <c r="BB114" s="2313">
        <f>SUM(BB103:BB111)</f>
      </c>
      <c r="BC114" s="2313">
        <f>SUM(BC103:BC111)</f>
      </c>
      <c r="BD114" s="2313">
        <f>SUM(BD103:BD111)</f>
      </c>
      <c r="BE114" s="2313">
        <f>SUM(BE103:BE111)</f>
      </c>
    </row>
    <row r="115" spans="1:57" ht="2.25" customHeight="1" x14ac:dyDescent="0.2">
      <c r="A115" s="2592"/>
      <c r="B115" s="2837"/>
      <c r="C115" s="2838"/>
      <c r="D115" s="2838"/>
      <c r="E115" s="2838"/>
      <c r="F115" s="2838"/>
      <c r="G115" s="2435"/>
      <c r="H115" s="2838"/>
      <c r="I115" s="2838"/>
      <c r="J115" s="2592"/>
      <c r="K115" s="2592"/>
      <c r="L115" s="2761"/>
      <c r="T115" s="2767"/>
      <c r="AI115" s="46"/>
      <c r="AJ115" s="46"/>
      <c r="BB115" s="2313"/>
      <c r="BC115" s="2313"/>
      <c r="BD115" s="2313"/>
      <c r="BE115" s="2313"/>
    </row>
    <row r="116" spans="1:57" s="2412" customFormat="1" ht="15" x14ac:dyDescent="0.2">
      <c r="A116" s="2410"/>
      <c r="B116" s="2516" t="s">
        <v>5590</v>
      </c>
      <c r="C116" s="2910">
        <f>SUM(C103:C112)</f>
      </c>
      <c r="D116" s="2910">
        <f>SUM(D103:D112)</f>
      </c>
      <c r="E116" s="2910">
        <f>SUM(E103:E112)</f>
      </c>
      <c r="F116" s="2910">
        <f>SUM(F103:F112)</f>
      </c>
      <c r="G116" s="2435"/>
      <c r="H116" s="2838"/>
      <c r="I116" s="2910">
        <f>SUM(I103:I112)</f>
      </c>
      <c r="J116" s="2910">
        <f>SUM(J103:J112)</f>
      </c>
      <c r="K116" s="2910">
        <f>K112</f>
      </c>
      <c r="L116" s="2535" t="str">
        <f>IF(SUM(C116:F116)-C112&gt;T116," Amounts for NID claimed are Excessive!","")</f>
        <v/>
      </c>
      <c r="M116" s="2412">
        <f>IF(L116="",0,1)</f>
      </c>
      <c r="O116" s="2911">
        <f>J116+K116</f>
      </c>
      <c r="P116" s="2920">
        <f>SUM(H116:K116)</f>
      </c>
      <c r="R116" s="2928">
        <f>IF(T116=T113,0,"(90% limitation applies)")</f>
      </c>
      <c r="S116" s="2926"/>
      <c r="T116" s="2911">
        <f>IF(T114&lt;T113,T114,T113)</f>
      </c>
      <c r="U116" s="2920">
        <f>SUM(C116:F116)</f>
      </c>
      <c r="V116" s="2911">
        <f>AF114</f>
      </c>
      <c r="W116" s="2911">
        <f>AG114</f>
      </c>
      <c r="X116" s="2922">
        <f>X113+W113</f>
      </c>
      <c r="AF116" s="2920">
        <f>SUM(AF103:AF111)</f>
      </c>
      <c r="AG116" s="2920">
        <f>SUM(AG103:AG111)</f>
      </c>
      <c r="BB116" s="2313">
        <v>5346</v>
      </c>
      <c r="BC116" s="2313">
        <v>70</v>
      </c>
      <c r="BD116" s="2313">
        <v>4639</v>
      </c>
      <c r="BE116" s="2313">
        <v>4070</v>
      </c>
    </row>
    <row r="117" spans="1:57" x14ac:dyDescent="0.2">
      <c r="A117" s="2165"/>
      <c r="B117" s="2165"/>
      <c r="C117" s="5236" t="str">
        <f>"Maximum that may be claimed (NET of set-offs - "&amp;C112&amp;", above) is "&amp;K71</f>
      </c>
      <c r="D117" s="5236"/>
      <c r="E117" s="5236"/>
      <c r="F117" s="5236"/>
      <c r="G117" s="2955"/>
      <c r="H117" s="2878"/>
      <c r="I117" s="2878"/>
      <c r="J117" s="2860"/>
      <c r="K117" s="2860"/>
      <c r="L117" s="2535"/>
      <c r="M117" s="1485">
        <f>IF(L116&lt;&gt;"",1,0)</f>
      </c>
      <c r="O117" s="1736" t="s">
        <v>8793</v>
      </c>
      <c r="X117" s="1485">
        <f>ROUND((H29+I29)*K32,0)</f>
      </c>
      <c r="AF117" s="2921">
        <f>AF116+AG116</f>
      </c>
    </row>
    <row r="118" spans="1:57" ht="4.5" customHeight="1" x14ac:dyDescent="0.2">
      <c r="A118" s="2592"/>
      <c r="B118" s="2592"/>
      <c r="C118" s="2592"/>
      <c r="D118" s="2592"/>
      <c r="E118" s="2592"/>
      <c r="F118" s="2592"/>
      <c r="G118" s="2592"/>
      <c r="H118" s="2592"/>
      <c r="I118" s="2592"/>
      <c r="J118" s="2592"/>
      <c r="K118" s="2592"/>
      <c r="L118" s="2905"/>
      <c r="M118" s="1485">
        <f>SUM(M2:M117)</f>
      </c>
    </row>
    <row r="119" spans="1:57" ht="15.75" x14ac:dyDescent="0.25">
      <c r="A119" s="2592"/>
      <c r="B119" s="2592"/>
      <c r="C119" s="2848" t="s">
        <v>8243</v>
      </c>
      <c r="D119" s="2454"/>
      <c r="E119" s="2843" t="str">
        <f>IF(AND(D119="",V1&gt;0),re,"")</f>
        <v/>
      </c>
      <c r="F119" s="2592"/>
      <c r="G119" s="2592"/>
      <c r="H119" s="2592"/>
      <c r="I119" s="2592"/>
      <c r="J119" s="2592"/>
      <c r="K119" s="2592"/>
      <c r="L119" s="2905"/>
      <c r="X119" s="2313">
        <f>I10-(E89+F89)</f>
      </c>
    </row>
    <row r="120" spans="1:57" ht="15.75" x14ac:dyDescent="0.25">
      <c r="A120" s="2592"/>
      <c r="B120" s="2607" t="str">
        <f>_xlfn.SINGLE(MTCA)</f>
      </c>
      <c r="C120" s="2848"/>
      <c r="D120" s="2592"/>
      <c r="E120" s="2607" t="str">
        <f>ver</f>
        <v>TA2_e-CO_2025_Ver 1.1</v>
      </c>
      <c r="F120" s="2592"/>
      <c r="G120" s="2592"/>
      <c r="H120" s="2592"/>
      <c r="I120" s="2592"/>
      <c r="J120" s="2592"/>
      <c r="K120" s="2592"/>
      <c r="L120" s="2608" t="s">
        <v>8780</v>
      </c>
    </row>
    <row r="121" spans="1:57" ht="13.5" customHeight="1" x14ac:dyDescent="0.25">
      <c r="A121" s="2592"/>
      <c r="B121" s="3092" t="s">
        <v>3512</v>
      </c>
      <c r="C121" s="2848"/>
      <c r="D121" s="2848"/>
      <c r="E121" s="2848"/>
      <c r="F121" s="2607"/>
      <c r="G121" s="2607"/>
      <c r="H121" s="2607"/>
      <c r="I121" s="2607"/>
      <c r="J121" s="2607"/>
      <c r="K121" s="2607"/>
      <c r="L121" s="2607"/>
      <c r="M121" s="2883">
        <f>IF(AND(V1=0,O7=0),0,IF(M118&gt;0,100,IF(D119&lt;&gt;y,100,IF(W1=0,0,1))))</f>
      </c>
      <c r="X121" s="2994">
        <f>X116+X117+X119+2</f>
      </c>
    </row>
    <row r="122" spans="1:57" hidden="1" x14ac:dyDescent="0.2">
      <c r="C122" s="2840">
        <f>SUM(C116:F116)</f>
      </c>
      <c r="D122" s="2840">
        <f>T116-C122+C112</f>
      </c>
      <c r="E122" s="2840"/>
      <c r="F122" s="2840">
        <f>SUM(C103:F107)</f>
      </c>
      <c r="G122" s="2840"/>
      <c r="H122" s="2840"/>
      <c r="I122" s="2840"/>
      <c r="N122" s="1485" t="str">
        <f>S2</f>
      </c>
    </row>
    <row r="123" spans="1:57" hidden="1" x14ac:dyDescent="0.2">
      <c r="B123" s="2835" t="s">
        <v>8830</v>
      </c>
      <c r="C123" s="2840">
        <f>C122-C112</f>
      </c>
      <c r="D123" s="2840"/>
      <c r="E123" s="2840"/>
      <c r="F123" s="2840">
        <f>F122+C112</f>
      </c>
      <c r="G123" s="2840"/>
      <c r="H123" s="2840"/>
      <c r="I123" s="2840"/>
      <c r="J123" s="2314">
        <f>SUM(H116:K116)</f>
      </c>
      <c r="N123" s="1485" t="str">
        <f>S1</f>
      </c>
    </row>
    <row r="124" spans="1:57" hidden="1" x14ac:dyDescent="0.2">
      <c r="B124" s="2835" t="s">
        <v>8784</v>
      </c>
      <c r="C124" s="2840"/>
      <c r="D124" s="2840"/>
      <c r="E124" s="2840"/>
      <c r="F124" s="2840"/>
      <c r="G124" s="2840"/>
      <c r="H124" s="2840"/>
      <c r="I124" s="2840"/>
    </row>
    <row r="125" spans="1:57" hidden="1" x14ac:dyDescent="0.2">
      <c r="C125" s="2840"/>
      <c r="D125" s="2840"/>
      <c r="E125" s="2840"/>
      <c r="F125" s="2840"/>
      <c r="G125" s="2840"/>
      <c r="H125" s="2840">
        <f>525-79</f>
      </c>
      <c r="I125" s="2840"/>
    </row>
    <row r="126" spans="1:57" hidden="1" x14ac:dyDescent="0.2">
      <c r="B126" s="2835" t="s">
        <v>8783</v>
      </c>
      <c r="C126" s="2840"/>
      <c r="D126" s="2840"/>
      <c r="E126" s="2840"/>
      <c r="F126" s="2840"/>
      <c r="G126" s="2840"/>
      <c r="H126" s="2840"/>
      <c r="I126" s="2840"/>
    </row>
    <row r="127" spans="1:57" hidden="1" x14ac:dyDescent="0.2">
      <c r="C127" s="2840"/>
      <c r="D127" s="2840"/>
      <c r="E127" s="2840"/>
      <c r="F127" s="2840"/>
      <c r="G127" s="2840"/>
      <c r="H127" s="2840"/>
      <c r="I127" s="2840"/>
    </row>
    <row r="128" spans="1:57" hidden="1" x14ac:dyDescent="0.2">
      <c r="B128" s="2835" t="s">
        <v>8782</v>
      </c>
      <c r="C128" s="2840"/>
      <c r="D128" s="2840"/>
      <c r="E128" s="2840"/>
      <c r="F128" s="2840"/>
      <c r="G128" s="2840"/>
      <c r="H128" s="2840"/>
      <c r="I128" s="2840"/>
    </row>
    <row r="129" spans="2:9" hidden="1" x14ac:dyDescent="0.2">
      <c r="C129" s="2840"/>
      <c r="D129" s="2840"/>
      <c r="E129" s="2840"/>
      <c r="F129" s="2840"/>
      <c r="G129" s="2840"/>
      <c r="H129" s="2840"/>
      <c r="I129" s="2840"/>
    </row>
    <row r="130" spans="2:9" hidden="1" x14ac:dyDescent="0.2">
      <c r="B130" s="2835" t="s">
        <v>8797</v>
      </c>
      <c r="C130" s="2840"/>
      <c r="D130" s="2840"/>
      <c r="E130" s="2840"/>
      <c r="F130" s="2840"/>
      <c r="G130" s="2840"/>
      <c r="H130" s="2840"/>
      <c r="I130" s="2840"/>
    </row>
    <row r="131" spans="2:9" hidden="1" x14ac:dyDescent="0.2">
      <c r="C131" s="2840"/>
      <c r="D131" s="2840"/>
      <c r="E131" s="2840"/>
      <c r="F131" s="2840"/>
      <c r="G131" s="2840"/>
      <c r="H131" s="2840"/>
      <c r="I131" s="2840"/>
    </row>
    <row r="132" spans="2:9" hidden="1" x14ac:dyDescent="0.2">
      <c r="B132" s="2835" t="s">
        <v>8796</v>
      </c>
      <c r="C132" s="2840"/>
      <c r="D132" s="2840"/>
      <c r="E132" s="2840"/>
      <c r="F132" s="2840"/>
      <c r="G132" s="2840"/>
      <c r="H132" s="2840"/>
      <c r="I132" s="2840"/>
    </row>
    <row r="133" spans="2:9" hidden="1" x14ac:dyDescent="0.2">
      <c r="C133" s="2840"/>
      <c r="D133" s="2840"/>
      <c r="E133" s="2840"/>
      <c r="F133" s="2840"/>
      <c r="G133" s="2840"/>
      <c r="H133" s="2840"/>
      <c r="I133" s="2840"/>
    </row>
    <row r="134" spans="2:9" hidden="1" x14ac:dyDescent="0.2">
      <c r="B134" s="2835" t="s">
        <v>8798</v>
      </c>
      <c r="C134" s="2840"/>
      <c r="D134" s="2840"/>
      <c r="E134" s="2840"/>
      <c r="F134" s="2840"/>
      <c r="G134" s="2840"/>
      <c r="H134" s="2840"/>
      <c r="I134" s="2840"/>
    </row>
    <row r="135" spans="2:9" hidden="1" x14ac:dyDescent="0.2">
      <c r="C135" s="2840"/>
      <c r="D135" s="2840"/>
      <c r="E135" s="2840"/>
      <c r="F135" s="2840"/>
      <c r="G135" s="2840"/>
      <c r="H135" s="2840"/>
      <c r="I135" s="2840"/>
    </row>
    <row r="136" spans="2:9" hidden="1" x14ac:dyDescent="0.2">
      <c r="B136" s="2835" t="s">
        <v>8801</v>
      </c>
      <c r="C136" s="2840"/>
      <c r="D136" s="2840"/>
      <c r="E136" s="2840"/>
      <c r="F136" s="2840"/>
      <c r="G136" s="2840"/>
      <c r="H136" s="2840"/>
      <c r="I136" s="2840"/>
    </row>
    <row r="137" spans="2:9" hidden="1" x14ac:dyDescent="0.2">
      <c r="C137" s="2840"/>
      <c r="D137" s="2840"/>
      <c r="E137" s="2840"/>
      <c r="F137" s="2840"/>
      <c r="G137" s="2840"/>
      <c r="H137" s="2840"/>
      <c r="I137" s="2840"/>
    </row>
    <row r="138" spans="2:9" hidden="1" x14ac:dyDescent="0.2">
      <c r="C138" s="2840"/>
      <c r="D138" s="2840"/>
      <c r="E138" s="2840"/>
      <c r="F138" s="2840"/>
      <c r="G138" s="2840"/>
      <c r="H138" s="2840"/>
      <c r="I138" s="2840"/>
    </row>
    <row r="139" spans="2:9" hidden="1" x14ac:dyDescent="0.2">
      <c r="C139" s="2840"/>
      <c r="D139" s="2840"/>
      <c r="E139" s="2840"/>
      <c r="F139" s="2840"/>
      <c r="G139" s="2840"/>
      <c r="H139" s="2840"/>
      <c r="I139" s="2840"/>
    </row>
    <row r="140" spans="2:9" hidden="1" x14ac:dyDescent="0.2">
      <c r="C140" s="2840"/>
      <c r="D140" s="2840"/>
      <c r="E140" s="2840"/>
      <c r="F140" s="2840"/>
      <c r="G140" s="2840"/>
      <c r="H140" s="2840"/>
      <c r="I140" s="2840"/>
    </row>
    <row r="141" spans="2:9" hidden="1" x14ac:dyDescent="0.2">
      <c r="C141" s="2840"/>
      <c r="D141" s="2840"/>
      <c r="E141" s="2840"/>
      <c r="F141" s="2840"/>
      <c r="G141" s="2840"/>
      <c r="H141" s="2840"/>
      <c r="I141" s="2840"/>
    </row>
    <row r="142" spans="2:9" hidden="1" x14ac:dyDescent="0.2">
      <c r="C142" s="2840"/>
      <c r="D142" s="2840"/>
      <c r="E142" s="2840"/>
      <c r="F142" s="2840"/>
      <c r="G142" s="2840"/>
      <c r="H142" s="2840"/>
      <c r="I142" s="2840"/>
    </row>
    <row r="143" spans="2:9" hidden="1" x14ac:dyDescent="0.2">
      <c r="C143" s="2840"/>
      <c r="D143" s="2840"/>
      <c r="E143" s="2840"/>
      <c r="F143" s="2840"/>
      <c r="G143" s="2840"/>
      <c r="H143" s="2840"/>
      <c r="I143" s="2840"/>
    </row>
    <row r="144" spans="2:9" hidden="1" x14ac:dyDescent="0.2">
      <c r="C144" s="2840"/>
      <c r="D144" s="2840"/>
      <c r="E144" s="2840"/>
      <c r="F144" s="2840"/>
      <c r="G144" s="2840"/>
      <c r="H144" s="2840"/>
      <c r="I144" s="2840"/>
    </row>
    <row r="145" spans="3:9" hidden="1" x14ac:dyDescent="0.2">
      <c r="C145" s="2840"/>
      <c r="D145" s="2840"/>
      <c r="E145" s="2840"/>
      <c r="F145" s="2840"/>
      <c r="G145" s="2840"/>
      <c r="H145" s="2840"/>
      <c r="I145" s="2840"/>
    </row>
    <row r="146" spans="3:9" hidden="1" x14ac:dyDescent="0.2">
      <c r="C146" s="2840"/>
      <c r="D146" s="2840"/>
      <c r="E146" s="2840"/>
      <c r="F146" s="2840"/>
      <c r="G146" s="2840"/>
      <c r="H146" s="2840"/>
      <c r="I146" s="2840"/>
    </row>
    <row r="147" spans="3:9" hidden="1" x14ac:dyDescent="0.2">
      <c r="C147" s="2840"/>
      <c r="D147" s="2840"/>
      <c r="E147" s="2840"/>
      <c r="F147" s="2840"/>
      <c r="G147" s="2840"/>
      <c r="H147" s="2840"/>
      <c r="I147" s="2840"/>
    </row>
    <row r="148" spans="3:9" hidden="1" x14ac:dyDescent="0.2">
      <c r="C148" s="2840"/>
      <c r="D148" s="2840"/>
      <c r="E148" s="2840"/>
      <c r="F148" s="2840"/>
      <c r="G148" s="2840"/>
      <c r="H148" s="2840"/>
      <c r="I148" s="2840"/>
    </row>
    <row r="149" spans="3:9" hidden="1" x14ac:dyDescent="0.2">
      <c r="C149" s="2840"/>
      <c r="D149" s="2840"/>
      <c r="E149" s="2840"/>
      <c r="F149" s="2840"/>
      <c r="G149" s="2840"/>
      <c r="H149" s="2840"/>
      <c r="I149" s="2840"/>
    </row>
    <row r="150" spans="3:9" hidden="1" x14ac:dyDescent="0.2">
      <c r="C150" s="2840"/>
      <c r="D150" s="2840"/>
      <c r="E150" s="2840"/>
      <c r="F150" s="2840"/>
      <c r="G150" s="2840"/>
      <c r="H150" s="2840"/>
      <c r="I150" s="2840"/>
    </row>
    <row r="151" spans="3:9" hidden="1" x14ac:dyDescent="0.2">
      <c r="C151" s="2840"/>
      <c r="D151" s="2840"/>
      <c r="E151" s="2840"/>
      <c r="F151" s="2840"/>
      <c r="G151" s="2840"/>
      <c r="H151" s="2840"/>
      <c r="I151" s="2840"/>
    </row>
    <row r="152" spans="3:9" hidden="1" x14ac:dyDescent="0.2">
      <c r="C152" s="2840"/>
      <c r="D152" s="2840"/>
      <c r="E152" s="2840"/>
      <c r="F152" s="2840"/>
      <c r="G152" s="2840"/>
      <c r="H152" s="2840"/>
      <c r="I152" s="2840"/>
    </row>
    <row r="153" spans="3:9" hidden="1" x14ac:dyDescent="0.2">
      <c r="C153" s="2840"/>
      <c r="D153" s="2840"/>
      <c r="E153" s="2840"/>
      <c r="F153" s="2840"/>
      <c r="G153" s="2840"/>
      <c r="H153" s="2840"/>
      <c r="I153" s="2840"/>
    </row>
    <row r="154" spans="3:9" hidden="1" x14ac:dyDescent="0.2">
      <c r="C154" s="2840"/>
      <c r="D154" s="2840"/>
      <c r="E154" s="2840"/>
      <c r="F154" s="2840"/>
      <c r="G154" s="2840"/>
      <c r="H154" s="2840"/>
      <c r="I154" s="2840"/>
    </row>
    <row r="155" spans="3:9" hidden="1" x14ac:dyDescent="0.2">
      <c r="C155" s="2840"/>
      <c r="D155" s="2840"/>
      <c r="E155" s="2840"/>
      <c r="F155" s="2840"/>
      <c r="G155" s="2840"/>
      <c r="H155" s="2840"/>
      <c r="I155" s="2840"/>
    </row>
    <row r="156" spans="3:9" hidden="1" x14ac:dyDescent="0.2">
      <c r="C156" s="2840"/>
      <c r="D156" s="2840"/>
      <c r="E156" s="2840"/>
      <c r="F156" s="2840"/>
      <c r="G156" s="2840"/>
      <c r="H156" s="2840"/>
      <c r="I156" s="2840"/>
    </row>
    <row r="157" spans="3:9" hidden="1" x14ac:dyDescent="0.2">
      <c r="C157" s="2840"/>
      <c r="D157" s="2840"/>
      <c r="E157" s="2840"/>
      <c r="F157" s="2840"/>
      <c r="G157" s="2840"/>
      <c r="H157" s="2840"/>
      <c r="I157" s="2840"/>
    </row>
    <row r="158" spans="3:9" hidden="1" x14ac:dyDescent="0.2">
      <c r="C158" s="2840"/>
      <c r="D158" s="2840"/>
      <c r="E158" s="2840"/>
      <c r="F158" s="2840"/>
      <c r="G158" s="2840"/>
      <c r="H158" s="2840"/>
      <c r="I158" s="2840"/>
    </row>
    <row r="159" spans="3:9" hidden="1" x14ac:dyDescent="0.2">
      <c r="C159" s="2840"/>
      <c r="D159" s="2840"/>
      <c r="E159" s="2840"/>
      <c r="F159" s="2840"/>
      <c r="G159" s="2840"/>
      <c r="H159" s="2840"/>
      <c r="I159" s="2840"/>
    </row>
    <row r="160" spans="3:9" hidden="1" x14ac:dyDescent="0.2">
      <c r="C160" s="2840"/>
      <c r="D160" s="2840"/>
      <c r="E160" s="2840"/>
      <c r="F160" s="2840"/>
      <c r="G160" s="2840"/>
      <c r="H160" s="2840"/>
      <c r="I160" s="2840"/>
    </row>
    <row r="161" spans="3:9" hidden="1" x14ac:dyDescent="0.2">
      <c r="C161" s="2840"/>
      <c r="D161" s="2840"/>
      <c r="E161" s="2840"/>
      <c r="F161" s="2840"/>
      <c r="G161" s="2840"/>
      <c r="H161" s="2840"/>
      <c r="I161" s="2840"/>
    </row>
    <row r="162" spans="3:9" hidden="1" x14ac:dyDescent="0.2">
      <c r="C162" s="2840"/>
      <c r="D162" s="2840"/>
      <c r="E162" s="2840"/>
      <c r="F162" s="2840"/>
      <c r="G162" s="2840"/>
      <c r="H162" s="2840"/>
      <c r="I162" s="2840"/>
    </row>
    <row r="163" spans="3:9" hidden="1" x14ac:dyDescent="0.2">
      <c r="C163" s="2840"/>
      <c r="D163" s="2840"/>
      <c r="E163" s="2840"/>
      <c r="F163" s="2840"/>
      <c r="G163" s="2840"/>
      <c r="H163" s="2840"/>
      <c r="I163" s="2840"/>
    </row>
    <row r="164" spans="3:9" hidden="1" x14ac:dyDescent="0.2">
      <c r="C164" s="2840"/>
      <c r="D164" s="2840"/>
      <c r="E164" s="2840"/>
      <c r="F164" s="2840"/>
      <c r="G164" s="2840"/>
      <c r="H164" s="2840"/>
      <c r="I164" s="2840"/>
    </row>
    <row r="165" spans="3:9" hidden="1" x14ac:dyDescent="0.2">
      <c r="C165" s="2840"/>
      <c r="D165" s="2840"/>
      <c r="E165" s="2840"/>
      <c r="F165" s="2840"/>
      <c r="G165" s="2840"/>
      <c r="H165" s="2840"/>
      <c r="I165" s="2840"/>
    </row>
    <row r="166" spans="3:9" hidden="1" x14ac:dyDescent="0.2">
      <c r="C166" s="2840"/>
      <c r="D166" s="2840"/>
      <c r="E166" s="2840"/>
      <c r="F166" s="2840"/>
      <c r="G166" s="2840"/>
      <c r="H166" s="2840"/>
      <c r="I166" s="2840"/>
    </row>
    <row r="167" spans="3:9" hidden="1" x14ac:dyDescent="0.2">
      <c r="C167" s="2840"/>
      <c r="D167" s="2840"/>
      <c r="E167" s="2840"/>
      <c r="F167" s="2840"/>
      <c r="G167" s="2840"/>
      <c r="H167" s="2840"/>
      <c r="I167" s="2840"/>
    </row>
    <row r="168" spans="3:9" hidden="1" x14ac:dyDescent="0.2">
      <c r="C168" s="2840"/>
      <c r="D168" s="2840"/>
      <c r="E168" s="2840"/>
      <c r="F168" s="2840"/>
      <c r="G168" s="2840"/>
      <c r="H168" s="2840"/>
      <c r="I168" s="2840"/>
    </row>
    <row r="169" spans="3:9" hidden="1" x14ac:dyDescent="0.2">
      <c r="C169" s="2840"/>
      <c r="D169" s="2840"/>
      <c r="E169" s="2840"/>
      <c r="F169" s="2840"/>
      <c r="G169" s="2840"/>
      <c r="H169" s="2840"/>
      <c r="I169" s="2840"/>
    </row>
    <row r="170" spans="3:9" hidden="1" x14ac:dyDescent="0.2">
      <c r="C170" s="2840"/>
      <c r="D170" s="2840"/>
      <c r="E170" s="2840"/>
      <c r="F170" s="2840"/>
      <c r="G170" s="2840"/>
      <c r="H170" s="2840"/>
      <c r="I170" s="2840"/>
    </row>
    <row r="171" spans="3:9" hidden="1" x14ac:dyDescent="0.2">
      <c r="C171" s="2840"/>
      <c r="D171" s="2840"/>
      <c r="E171" s="2840"/>
      <c r="F171" s="2840"/>
      <c r="G171" s="2840"/>
      <c r="H171" s="2840"/>
      <c r="I171" s="2840"/>
    </row>
    <row r="172" spans="3:9" hidden="1" x14ac:dyDescent="0.2">
      <c r="C172" s="2840"/>
      <c r="D172" s="2840"/>
      <c r="E172" s="2840"/>
      <c r="F172" s="2840"/>
      <c r="G172" s="2840"/>
      <c r="H172" s="2840"/>
      <c r="I172" s="2840"/>
    </row>
    <row r="173" spans="3:9" hidden="1" x14ac:dyDescent="0.2">
      <c r="C173" s="2840"/>
      <c r="D173" s="2840"/>
      <c r="E173" s="2840"/>
      <c r="F173" s="2840"/>
      <c r="G173" s="2840"/>
      <c r="H173" s="2840"/>
      <c r="I173" s="2840"/>
    </row>
    <row r="174" spans="3:9" hidden="1" x14ac:dyDescent="0.2">
      <c r="C174" s="2840"/>
      <c r="D174" s="2840"/>
      <c r="E174" s="2840"/>
      <c r="F174" s="2840"/>
      <c r="G174" s="2840"/>
      <c r="H174" s="2840"/>
      <c r="I174" s="2840"/>
    </row>
    <row r="175" spans="3:9" hidden="1" x14ac:dyDescent="0.2">
      <c r="C175" s="2840"/>
      <c r="D175" s="2840"/>
      <c r="E175" s="2840"/>
      <c r="F175" s="2840"/>
      <c r="G175" s="2840"/>
      <c r="H175" s="2840"/>
      <c r="I175" s="2840"/>
    </row>
    <row r="176" spans="3:9" hidden="1" x14ac:dyDescent="0.2">
      <c r="C176" s="2840"/>
      <c r="D176" s="2840"/>
      <c r="E176" s="2840"/>
      <c r="F176" s="2840"/>
      <c r="G176" s="2840"/>
      <c r="H176" s="2840"/>
      <c r="I176" s="2840"/>
    </row>
    <row r="177" spans="3:9" hidden="1" x14ac:dyDescent="0.2">
      <c r="C177" s="2840"/>
      <c r="D177" s="2840"/>
      <c r="E177" s="2840"/>
      <c r="F177" s="2840"/>
      <c r="G177" s="2840"/>
      <c r="H177" s="2840"/>
      <c r="I177" s="2840"/>
    </row>
    <row r="178" spans="3:9" hidden="1" x14ac:dyDescent="0.2">
      <c r="C178" s="2840"/>
      <c r="D178" s="2840"/>
      <c r="E178" s="2840"/>
      <c r="F178" s="2840"/>
      <c r="G178" s="2840"/>
      <c r="H178" s="2840"/>
      <c r="I178" s="2840"/>
    </row>
    <row r="179" spans="3:9" hidden="1" x14ac:dyDescent="0.2">
      <c r="C179" s="2840"/>
      <c r="D179" s="2840"/>
      <c r="E179" s="2840"/>
      <c r="F179" s="2840"/>
      <c r="G179" s="2840"/>
      <c r="H179" s="2840"/>
      <c r="I179" s="2840"/>
    </row>
    <row r="180" spans="3:9" hidden="1" x14ac:dyDescent="0.2">
      <c r="C180" s="2840"/>
      <c r="D180" s="2840"/>
      <c r="E180" s="2840"/>
      <c r="F180" s="2840"/>
      <c r="G180" s="2840"/>
      <c r="H180" s="2840"/>
      <c r="I180" s="2840"/>
    </row>
    <row r="181" spans="3:9" hidden="1" x14ac:dyDescent="0.2">
      <c r="C181" s="2840"/>
      <c r="D181" s="2840"/>
      <c r="E181" s="2840"/>
      <c r="F181" s="2840"/>
      <c r="G181" s="2840"/>
      <c r="H181" s="2840"/>
      <c r="I181" s="2840"/>
    </row>
    <row r="182" spans="3:9" hidden="1" x14ac:dyDescent="0.2">
      <c r="C182" s="2840"/>
      <c r="D182" s="2840"/>
      <c r="E182" s="2840"/>
      <c r="F182" s="2840"/>
      <c r="G182" s="2840"/>
      <c r="H182" s="2840"/>
      <c r="I182" s="2840"/>
    </row>
    <row r="183" spans="3:9" hidden="1" x14ac:dyDescent="0.2">
      <c r="C183" s="2840"/>
      <c r="D183" s="2840"/>
      <c r="E183" s="2840"/>
      <c r="F183" s="2840"/>
      <c r="G183" s="2840"/>
      <c r="H183" s="2840"/>
      <c r="I183" s="2840"/>
    </row>
    <row r="184" spans="3:9" hidden="1" x14ac:dyDescent="0.2">
      <c r="C184" s="2840"/>
      <c r="D184" s="2840"/>
      <c r="E184" s="2840"/>
      <c r="F184" s="2840"/>
      <c r="G184" s="2840"/>
      <c r="H184" s="2840"/>
      <c r="I184" s="2840"/>
    </row>
    <row r="185" spans="3:9" hidden="1" x14ac:dyDescent="0.2">
      <c r="C185" s="2840"/>
      <c r="D185" s="2840"/>
      <c r="E185" s="2840"/>
      <c r="F185" s="2840"/>
      <c r="G185" s="2840"/>
      <c r="H185" s="2840"/>
      <c r="I185" s="2840"/>
    </row>
    <row r="186" spans="3:9" hidden="1" x14ac:dyDescent="0.2">
      <c r="C186" s="2840"/>
      <c r="D186" s="2840"/>
      <c r="E186" s="2840"/>
      <c r="F186" s="2840"/>
      <c r="G186" s="2840"/>
      <c r="H186" s="2840"/>
      <c r="I186" s="2840"/>
    </row>
    <row r="187" spans="3:9" hidden="1" x14ac:dyDescent="0.2">
      <c r="C187" s="2840"/>
      <c r="D187" s="2840"/>
      <c r="E187" s="2840"/>
      <c r="F187" s="2840"/>
      <c r="G187" s="2840"/>
      <c r="H187" s="2840"/>
      <c r="I187" s="2840"/>
    </row>
    <row r="188" spans="3:9" hidden="1" x14ac:dyDescent="0.2">
      <c r="C188" s="2840"/>
      <c r="D188" s="2840"/>
      <c r="E188" s="2840"/>
      <c r="F188" s="2840"/>
      <c r="G188" s="2840"/>
      <c r="H188" s="2840"/>
      <c r="I188" s="2840"/>
    </row>
    <row r="189" spans="3:9" hidden="1" x14ac:dyDescent="0.2">
      <c r="C189" s="2840"/>
      <c r="D189" s="2840"/>
      <c r="E189" s="2840"/>
      <c r="F189" s="2840"/>
      <c r="G189" s="2840"/>
      <c r="H189" s="2840"/>
      <c r="I189" s="2840"/>
    </row>
    <row r="190" spans="3:9" hidden="1" x14ac:dyDescent="0.2">
      <c r="C190" s="2840"/>
      <c r="D190" s="2840"/>
      <c r="E190" s="2840"/>
      <c r="F190" s="2840"/>
      <c r="G190" s="2840"/>
      <c r="H190" s="2840"/>
      <c r="I190" s="2840"/>
    </row>
    <row r="191" spans="3:9" hidden="1" x14ac:dyDescent="0.2">
      <c r="C191" s="2840"/>
      <c r="D191" s="2840"/>
      <c r="E191" s="2840"/>
      <c r="F191" s="2840"/>
      <c r="G191" s="2840"/>
      <c r="H191" s="2840"/>
      <c r="I191" s="2840"/>
    </row>
    <row r="192" spans="3:9" hidden="1" x14ac:dyDescent="0.2">
      <c r="C192" s="2840"/>
      <c r="D192" s="2840"/>
      <c r="E192" s="2840"/>
      <c r="F192" s="2840"/>
      <c r="G192" s="2840"/>
      <c r="H192" s="2840"/>
      <c r="I192" s="2840"/>
    </row>
    <row r="193" spans="3:9" hidden="1" x14ac:dyDescent="0.2">
      <c r="C193" s="2840"/>
      <c r="D193" s="2840"/>
      <c r="E193" s="2840"/>
      <c r="F193" s="2840"/>
      <c r="G193" s="2840"/>
      <c r="H193" s="2840"/>
      <c r="I193" s="2840"/>
    </row>
    <row r="194" spans="3:9" hidden="1" x14ac:dyDescent="0.2">
      <c r="C194" s="2840"/>
      <c r="D194" s="2840"/>
      <c r="E194" s="2840"/>
      <c r="F194" s="2840"/>
      <c r="G194" s="2840"/>
      <c r="H194" s="2840"/>
      <c r="I194" s="2840"/>
    </row>
    <row r="195" spans="3:9" hidden="1" x14ac:dyDescent="0.2">
      <c r="C195" s="2840"/>
      <c r="D195" s="2840"/>
      <c r="E195" s="2840"/>
      <c r="F195" s="2840"/>
      <c r="G195" s="2840"/>
      <c r="H195" s="2840"/>
      <c r="I195" s="2840"/>
    </row>
    <row r="196" spans="3:9" hidden="1" x14ac:dyDescent="0.2">
      <c r="C196" s="2840"/>
      <c r="D196" s="2840"/>
      <c r="E196" s="2840"/>
      <c r="F196" s="2840"/>
      <c r="G196" s="2840"/>
      <c r="H196" s="2840"/>
      <c r="I196" s="2840"/>
    </row>
    <row r="197" spans="3:9" hidden="1" x14ac:dyDescent="0.2">
      <c r="C197" s="2840"/>
      <c r="D197" s="2840"/>
      <c r="E197" s="2840"/>
      <c r="F197" s="2840"/>
      <c r="G197" s="2840"/>
      <c r="H197" s="2840"/>
      <c r="I197" s="2840"/>
    </row>
    <row r="198" spans="3:9" hidden="1" x14ac:dyDescent="0.2">
      <c r="C198" s="2840"/>
      <c r="D198" s="2840"/>
      <c r="E198" s="2840"/>
      <c r="F198" s="2840"/>
      <c r="G198" s="2840"/>
      <c r="H198" s="2840"/>
      <c r="I198" s="2840"/>
    </row>
    <row r="199" spans="3:9" hidden="1" x14ac:dyDescent="0.2">
      <c r="C199" s="2840"/>
      <c r="D199" s="2840"/>
      <c r="E199" s="2840"/>
      <c r="F199" s="2840"/>
      <c r="G199" s="2840"/>
      <c r="H199" s="2840"/>
      <c r="I199" s="2840"/>
    </row>
    <row r="200" spans="3:9" hidden="1" x14ac:dyDescent="0.2">
      <c r="C200" s="2840"/>
      <c r="D200" s="2840"/>
      <c r="E200" s="2840"/>
      <c r="F200" s="2840"/>
      <c r="G200" s="2840"/>
      <c r="H200" s="2840"/>
      <c r="I200" s="2840"/>
    </row>
    <row r="201" spans="3:9" hidden="1" x14ac:dyDescent="0.2">
      <c r="C201" s="2840"/>
      <c r="D201" s="2840"/>
      <c r="E201" s="2840"/>
      <c r="F201" s="2840"/>
      <c r="G201" s="2840"/>
      <c r="H201" s="2840"/>
      <c r="I201" s="2840"/>
    </row>
    <row r="202" spans="3:9" hidden="1" x14ac:dyDescent="0.2">
      <c r="C202" s="2840"/>
      <c r="D202" s="2840"/>
      <c r="E202" s="2840"/>
      <c r="F202" s="2840"/>
      <c r="G202" s="2840"/>
      <c r="H202" s="2840"/>
      <c r="I202" s="2840"/>
    </row>
    <row r="203" spans="3:9" hidden="1" x14ac:dyDescent="0.2">
      <c r="C203" s="2840"/>
      <c r="D203" s="2840"/>
      <c r="E203" s="2840"/>
      <c r="F203" s="2840"/>
      <c r="G203" s="2840"/>
      <c r="H203" s="2840"/>
      <c r="I203" s="2840"/>
    </row>
    <row r="204" spans="3:9" hidden="1" x14ac:dyDescent="0.2">
      <c r="C204" s="2840"/>
      <c r="D204" s="2840"/>
      <c r="E204" s="2840"/>
      <c r="F204" s="2840"/>
      <c r="G204" s="2840"/>
      <c r="H204" s="2840"/>
      <c r="I204" s="2840"/>
    </row>
    <row r="205" spans="3:9" hidden="1" x14ac:dyDescent="0.2">
      <c r="C205" s="2840"/>
      <c r="D205" s="2840"/>
      <c r="E205" s="2840"/>
      <c r="F205" s="2840"/>
      <c r="G205" s="2840"/>
      <c r="H205" s="2840"/>
      <c r="I205" s="2840"/>
    </row>
    <row r="206" spans="3:9" hidden="1" x14ac:dyDescent="0.2">
      <c r="C206" s="2840"/>
      <c r="D206" s="2840"/>
      <c r="E206" s="2840"/>
      <c r="F206" s="2840"/>
      <c r="G206" s="2840"/>
      <c r="H206" s="2840"/>
      <c r="I206" s="2840"/>
    </row>
    <row r="207" spans="3:9" hidden="1" x14ac:dyDescent="0.2">
      <c r="C207" s="2840"/>
      <c r="D207" s="2840"/>
      <c r="E207" s="2840"/>
      <c r="F207" s="2840"/>
      <c r="G207" s="2840"/>
      <c r="H207" s="2840"/>
      <c r="I207" s="2840"/>
    </row>
    <row r="208" spans="3:9" hidden="1" x14ac:dyDescent="0.2">
      <c r="C208" s="2840"/>
      <c r="D208" s="2840"/>
      <c r="E208" s="2840"/>
      <c r="F208" s="2840"/>
      <c r="G208" s="2840"/>
      <c r="H208" s="2840"/>
      <c r="I208" s="2840"/>
    </row>
    <row r="209" spans="3:9" hidden="1" x14ac:dyDescent="0.2">
      <c r="C209" s="2840"/>
      <c r="D209" s="2840"/>
      <c r="E209" s="2840"/>
      <c r="F209" s="2840"/>
      <c r="G209" s="2840"/>
      <c r="H209" s="2840"/>
      <c r="I209" s="2840"/>
    </row>
    <row r="210" spans="3:9" hidden="1" x14ac:dyDescent="0.2">
      <c r="C210" s="2840"/>
      <c r="D210" s="2840"/>
      <c r="E210" s="2840"/>
      <c r="F210" s="2840"/>
      <c r="G210" s="2840"/>
      <c r="H210" s="2840"/>
      <c r="I210" s="2840"/>
    </row>
    <row r="211" spans="3:9" hidden="1" x14ac:dyDescent="0.2">
      <c r="C211" s="2840"/>
      <c r="D211" s="2840"/>
      <c r="E211" s="2840"/>
      <c r="F211" s="2840"/>
      <c r="G211" s="2840"/>
      <c r="H211" s="2840"/>
      <c r="I211" s="2840"/>
    </row>
    <row r="212" spans="3:9" hidden="1" x14ac:dyDescent="0.2">
      <c r="C212" s="2840"/>
      <c r="D212" s="2840"/>
      <c r="E212" s="2840"/>
      <c r="F212" s="2840"/>
      <c r="G212" s="2840"/>
      <c r="H212" s="2840"/>
      <c r="I212" s="2840"/>
    </row>
    <row r="213" spans="3:9" hidden="1" x14ac:dyDescent="0.2">
      <c r="C213" s="2840"/>
      <c r="D213" s="2840"/>
      <c r="E213" s="2840"/>
      <c r="F213" s="2840"/>
      <c r="G213" s="2840"/>
      <c r="H213" s="2840"/>
      <c r="I213" s="2840"/>
    </row>
    <row r="214" spans="3:9" hidden="1" x14ac:dyDescent="0.2">
      <c r="C214" s="2840"/>
      <c r="D214" s="2840"/>
      <c r="E214" s="2840"/>
      <c r="F214" s="2840"/>
      <c r="G214" s="2840"/>
      <c r="H214" s="2840"/>
      <c r="I214" s="2840"/>
    </row>
    <row r="215" spans="3:9" hidden="1" x14ac:dyDescent="0.2">
      <c r="C215" s="2840"/>
      <c r="D215" s="2840"/>
      <c r="E215" s="2840"/>
      <c r="F215" s="2840"/>
      <c r="G215" s="2840"/>
      <c r="H215" s="2840"/>
      <c r="I215" s="2840"/>
    </row>
    <row r="216" spans="3:9" hidden="1" x14ac:dyDescent="0.2">
      <c r="C216" s="2840"/>
      <c r="D216" s="2840"/>
      <c r="E216" s="2840"/>
      <c r="F216" s="2840"/>
      <c r="G216" s="2840"/>
      <c r="H216" s="2840"/>
      <c r="I216" s="2840"/>
    </row>
    <row r="217" spans="3:9" hidden="1" x14ac:dyDescent="0.2">
      <c r="C217" s="2840"/>
      <c r="D217" s="2840"/>
      <c r="E217" s="2840"/>
      <c r="F217" s="2840"/>
      <c r="G217" s="2840"/>
      <c r="H217" s="2840"/>
      <c r="I217" s="2840"/>
    </row>
    <row r="218" spans="3:9" hidden="1" x14ac:dyDescent="0.2">
      <c r="C218" s="2840"/>
      <c r="D218" s="2840"/>
      <c r="E218" s="2840"/>
      <c r="F218" s="2840"/>
      <c r="G218" s="2840"/>
      <c r="H218" s="2840"/>
      <c r="I218" s="2840"/>
    </row>
    <row r="219" spans="3:9" hidden="1" x14ac:dyDescent="0.2">
      <c r="C219" s="2840"/>
      <c r="D219" s="2840"/>
      <c r="E219" s="2840"/>
      <c r="F219" s="2840"/>
      <c r="G219" s="2840"/>
      <c r="H219" s="2840"/>
      <c r="I219" s="2840"/>
    </row>
    <row r="220" spans="3:9" hidden="1" x14ac:dyDescent="0.2">
      <c r="C220" s="2840"/>
      <c r="D220" s="2840"/>
      <c r="E220" s="2840"/>
      <c r="F220" s="2840"/>
      <c r="G220" s="2840"/>
      <c r="H220" s="2840"/>
      <c r="I220" s="2840"/>
    </row>
    <row r="221" spans="3:9" hidden="1" x14ac:dyDescent="0.2">
      <c r="C221" s="2840"/>
      <c r="D221" s="2840"/>
      <c r="E221" s="2840"/>
      <c r="F221" s="2840"/>
      <c r="G221" s="2840"/>
      <c r="H221" s="2840"/>
      <c r="I221" s="2840"/>
    </row>
    <row r="222" spans="3:9" hidden="1" x14ac:dyDescent="0.2">
      <c r="C222" s="2840"/>
      <c r="D222" s="2840"/>
      <c r="E222" s="2840"/>
      <c r="F222" s="2840"/>
      <c r="G222" s="2840"/>
      <c r="H222" s="2840"/>
      <c r="I222" s="2840"/>
    </row>
    <row r="223" spans="3:9" hidden="1" x14ac:dyDescent="0.2">
      <c r="C223" s="2840"/>
      <c r="D223" s="2840"/>
      <c r="E223" s="2840"/>
      <c r="F223" s="2840"/>
      <c r="G223" s="2840"/>
      <c r="H223" s="2840"/>
      <c r="I223" s="2840"/>
    </row>
    <row r="224" spans="3:9" hidden="1" x14ac:dyDescent="0.2">
      <c r="C224" s="2840"/>
      <c r="D224" s="2840"/>
      <c r="E224" s="2840"/>
      <c r="F224" s="2840"/>
      <c r="G224" s="2840"/>
      <c r="H224" s="2840"/>
      <c r="I224" s="2840"/>
    </row>
    <row r="225" spans="3:9" hidden="1" x14ac:dyDescent="0.2">
      <c r="C225" s="2840"/>
      <c r="D225" s="2840"/>
      <c r="E225" s="2840"/>
      <c r="F225" s="2840"/>
      <c r="G225" s="2840"/>
      <c r="H225" s="2840"/>
      <c r="I225" s="2840"/>
    </row>
    <row r="226" spans="3:9" hidden="1" x14ac:dyDescent="0.2">
      <c r="C226" s="2840"/>
      <c r="D226" s="2840"/>
      <c r="E226" s="2840"/>
      <c r="F226" s="2840"/>
      <c r="G226" s="2840"/>
      <c r="H226" s="2840"/>
      <c r="I226" s="2840"/>
    </row>
    <row r="227" spans="3:9" hidden="1" x14ac:dyDescent="0.2">
      <c r="C227" s="2840"/>
      <c r="D227" s="2840"/>
      <c r="E227" s="2840"/>
      <c r="F227" s="2840"/>
      <c r="G227" s="2840"/>
      <c r="H227" s="2840"/>
      <c r="I227" s="2840"/>
    </row>
    <row r="228" spans="3:9" hidden="1" x14ac:dyDescent="0.2">
      <c r="C228" s="2840"/>
      <c r="D228" s="2840"/>
      <c r="E228" s="2840"/>
      <c r="F228" s="2840"/>
      <c r="G228" s="2840"/>
      <c r="H228" s="2840"/>
      <c r="I228" s="2840"/>
    </row>
    <row r="229" spans="3:9" hidden="1" x14ac:dyDescent="0.2">
      <c r="C229" s="2840"/>
      <c r="D229" s="2840"/>
      <c r="E229" s="2840"/>
      <c r="F229" s="2840"/>
      <c r="G229" s="2840"/>
      <c r="H229" s="2840"/>
      <c r="I229" s="2840"/>
    </row>
    <row r="230" spans="3:9" hidden="1" x14ac:dyDescent="0.2">
      <c r="C230" s="2840"/>
      <c r="D230" s="2840"/>
      <c r="E230" s="2840"/>
      <c r="F230" s="2840"/>
      <c r="G230" s="2840"/>
      <c r="H230" s="2840"/>
      <c r="I230" s="2840"/>
    </row>
    <row r="231" spans="3:9" hidden="1" x14ac:dyDescent="0.2">
      <c r="C231" s="2840"/>
      <c r="D231" s="2840"/>
      <c r="E231" s="2840"/>
      <c r="F231" s="2840"/>
      <c r="G231" s="2840"/>
      <c r="H231" s="2840"/>
      <c r="I231" s="2840"/>
    </row>
    <row r="232" spans="3:9" hidden="1" x14ac:dyDescent="0.2">
      <c r="C232" s="2840"/>
      <c r="D232" s="2840"/>
      <c r="E232" s="2840"/>
      <c r="F232" s="2840"/>
      <c r="G232" s="2840"/>
      <c r="H232" s="2840"/>
      <c r="I232" s="2840"/>
    </row>
    <row r="233" spans="3:9" hidden="1" x14ac:dyDescent="0.2">
      <c r="C233" s="2840"/>
      <c r="D233" s="2840"/>
      <c r="E233" s="2840"/>
      <c r="F233" s="2840"/>
      <c r="G233" s="2840"/>
      <c r="H233" s="2840"/>
      <c r="I233" s="2840"/>
    </row>
    <row r="234" spans="3:9" hidden="1" x14ac:dyDescent="0.2">
      <c r="C234" s="2840"/>
      <c r="D234" s="2840"/>
      <c r="E234" s="2840"/>
      <c r="F234" s="2840"/>
      <c r="G234" s="2840"/>
      <c r="H234" s="2840"/>
      <c r="I234" s="2840"/>
    </row>
    <row r="235" spans="3:9" hidden="1" x14ac:dyDescent="0.2">
      <c r="C235" s="2840"/>
      <c r="D235" s="2840"/>
      <c r="E235" s="2840"/>
      <c r="F235" s="2840"/>
      <c r="G235" s="2840"/>
      <c r="H235" s="2840"/>
      <c r="I235" s="2840"/>
    </row>
    <row r="236" spans="3:9" hidden="1" x14ac:dyDescent="0.2">
      <c r="C236" s="2840"/>
      <c r="D236" s="2840"/>
      <c r="E236" s="2840"/>
      <c r="F236" s="2840"/>
      <c r="G236" s="2840"/>
      <c r="H236" s="2840"/>
      <c r="I236" s="2840"/>
    </row>
    <row r="237" spans="3:9" hidden="1" x14ac:dyDescent="0.2">
      <c r="C237" s="2840"/>
      <c r="D237" s="2840"/>
      <c r="E237" s="2840"/>
      <c r="F237" s="2840"/>
      <c r="G237" s="2840"/>
      <c r="H237" s="2840"/>
      <c r="I237" s="2840"/>
    </row>
    <row r="238" spans="3:9" hidden="1" x14ac:dyDescent="0.2">
      <c r="C238" s="2840"/>
      <c r="D238" s="2840"/>
      <c r="E238" s="2840"/>
      <c r="F238" s="2840"/>
      <c r="G238" s="2840"/>
      <c r="H238" s="2840"/>
      <c r="I238" s="2840"/>
    </row>
    <row r="239" spans="3:9" hidden="1" x14ac:dyDescent="0.2">
      <c r="C239" s="2840"/>
      <c r="D239" s="2840"/>
      <c r="E239" s="2840"/>
      <c r="F239" s="2840"/>
      <c r="G239" s="2840"/>
      <c r="H239" s="2840"/>
      <c r="I239" s="2840"/>
    </row>
    <row r="240" spans="3:9" hidden="1" x14ac:dyDescent="0.2">
      <c r="C240" s="2840"/>
      <c r="D240" s="2840"/>
      <c r="E240" s="2840"/>
      <c r="F240" s="2840"/>
      <c r="G240" s="2840"/>
      <c r="H240" s="2840"/>
      <c r="I240" s="2840"/>
    </row>
    <row r="241" spans="3:9" hidden="1" x14ac:dyDescent="0.2">
      <c r="C241" s="2840"/>
      <c r="D241" s="2840"/>
      <c r="E241" s="2840"/>
      <c r="F241" s="2840"/>
      <c r="G241" s="2840"/>
      <c r="H241" s="2840"/>
      <c r="I241" s="2840"/>
    </row>
    <row r="242" spans="3:9" hidden="1" x14ac:dyDescent="0.2">
      <c r="C242" s="2840"/>
      <c r="D242" s="2840"/>
      <c r="E242" s="2840"/>
      <c r="F242" s="2840"/>
      <c r="G242" s="2840"/>
      <c r="H242" s="2840"/>
      <c r="I242" s="2840"/>
    </row>
    <row r="243" spans="3:9" hidden="1" x14ac:dyDescent="0.2">
      <c r="C243" s="2840"/>
      <c r="D243" s="2840"/>
      <c r="E243" s="2840"/>
      <c r="F243" s="2840"/>
      <c r="G243" s="2840"/>
      <c r="H243" s="2840"/>
      <c r="I243" s="2840"/>
    </row>
    <row r="244" spans="3:9" hidden="1" x14ac:dyDescent="0.2">
      <c r="C244" s="2840"/>
      <c r="D244" s="2840"/>
      <c r="E244" s="2840"/>
      <c r="F244" s="2840"/>
      <c r="G244" s="2840"/>
      <c r="H244" s="2840"/>
      <c r="I244" s="2840"/>
    </row>
    <row r="245" spans="3:9" hidden="1" x14ac:dyDescent="0.2">
      <c r="C245" s="2840"/>
      <c r="D245" s="2840"/>
      <c r="E245" s="2840"/>
      <c r="F245" s="2840"/>
      <c r="G245" s="2840"/>
      <c r="H245" s="2840"/>
      <c r="I245" s="2840"/>
    </row>
    <row r="246" spans="3:9" hidden="1" x14ac:dyDescent="0.2">
      <c r="C246" s="2840"/>
      <c r="D246" s="2840"/>
      <c r="E246" s="2840"/>
      <c r="F246" s="2840"/>
      <c r="G246" s="2840"/>
      <c r="H246" s="2840"/>
      <c r="I246" s="2840"/>
    </row>
    <row r="247" spans="3:9" hidden="1" x14ac:dyDescent="0.2">
      <c r="C247" s="2840"/>
      <c r="D247" s="2840"/>
      <c r="E247" s="2840"/>
      <c r="F247" s="2840"/>
      <c r="G247" s="2840"/>
      <c r="H247" s="2840"/>
      <c r="I247" s="2840"/>
    </row>
    <row r="248" spans="3:9" hidden="1" x14ac:dyDescent="0.2">
      <c r="C248" s="2840"/>
      <c r="D248" s="2840"/>
      <c r="E248" s="2840"/>
      <c r="F248" s="2840"/>
      <c r="G248" s="2840"/>
      <c r="H248" s="2840"/>
      <c r="I248" s="2840"/>
    </row>
    <row r="249" spans="3:9" hidden="1" x14ac:dyDescent="0.2">
      <c r="C249" s="2840"/>
      <c r="D249" s="2840"/>
      <c r="E249" s="2840"/>
      <c r="F249" s="2840"/>
      <c r="G249" s="2840"/>
      <c r="H249" s="2840"/>
      <c r="I249" s="2840"/>
    </row>
    <row r="250" spans="3:9" hidden="1" x14ac:dyDescent="0.2">
      <c r="C250" s="2840"/>
      <c r="D250" s="2840"/>
      <c r="E250" s="2840"/>
      <c r="F250" s="2840"/>
      <c r="G250" s="2840"/>
      <c r="H250" s="2840"/>
      <c r="I250" s="2840"/>
    </row>
    <row r="251" spans="3:9" hidden="1" x14ac:dyDescent="0.2">
      <c r="C251" s="2840"/>
      <c r="D251" s="2840"/>
      <c r="E251" s="2840"/>
      <c r="F251" s="2840"/>
      <c r="G251" s="2840"/>
      <c r="H251" s="2840"/>
      <c r="I251" s="2840"/>
    </row>
    <row r="252" spans="3:9" hidden="1" x14ac:dyDescent="0.2">
      <c r="C252" s="2840"/>
      <c r="D252" s="2840"/>
      <c r="E252" s="2840"/>
      <c r="F252" s="2840"/>
      <c r="G252" s="2840"/>
      <c r="H252" s="2840"/>
      <c r="I252" s="2840"/>
    </row>
    <row r="253" spans="3:9" hidden="1" x14ac:dyDescent="0.2">
      <c r="C253" s="2840"/>
      <c r="D253" s="2840"/>
      <c r="E253" s="2840"/>
      <c r="F253" s="2840"/>
      <c r="G253" s="2840"/>
      <c r="H253" s="2840"/>
      <c r="I253" s="2840"/>
    </row>
    <row r="254" spans="3:9" hidden="1" x14ac:dyDescent="0.2">
      <c r="C254" s="2840"/>
      <c r="D254" s="2840"/>
      <c r="E254" s="2840"/>
      <c r="F254" s="2840"/>
      <c r="G254" s="2840"/>
      <c r="H254" s="2840"/>
      <c r="I254" s="2840"/>
    </row>
    <row r="255" spans="3:9" hidden="1" x14ac:dyDescent="0.2">
      <c r="C255" s="2840"/>
      <c r="D255" s="2840"/>
      <c r="E255" s="2840"/>
      <c r="F255" s="2840"/>
      <c r="G255" s="2840"/>
      <c r="H255" s="2840"/>
      <c r="I255" s="2840"/>
    </row>
    <row r="256" spans="3:9" hidden="1" x14ac:dyDescent="0.2">
      <c r="C256" s="2840"/>
      <c r="D256" s="2840"/>
      <c r="E256" s="2840"/>
      <c r="F256" s="2840"/>
      <c r="G256" s="2840"/>
      <c r="H256" s="2840"/>
      <c r="I256" s="2840"/>
    </row>
    <row r="257" spans="3:9" hidden="1" x14ac:dyDescent="0.2">
      <c r="C257" s="2840"/>
      <c r="D257" s="2840"/>
      <c r="E257" s="2840"/>
      <c r="F257" s="2840"/>
      <c r="G257" s="2840"/>
      <c r="H257" s="2840"/>
      <c r="I257" s="2840"/>
    </row>
    <row r="258" spans="3:9" hidden="1" x14ac:dyDescent="0.2">
      <c r="C258" s="2840"/>
      <c r="D258" s="2840"/>
      <c r="E258" s="2840"/>
      <c r="F258" s="2840"/>
      <c r="G258" s="2840"/>
      <c r="H258" s="2840"/>
      <c r="I258" s="2840"/>
    </row>
    <row r="259" spans="3:9" hidden="1" x14ac:dyDescent="0.2">
      <c r="C259" s="2840"/>
      <c r="D259" s="2840"/>
      <c r="E259" s="2840"/>
      <c r="F259" s="2840"/>
      <c r="G259" s="2840"/>
      <c r="H259" s="2840"/>
      <c r="I259" s="2840"/>
    </row>
    <row r="260" spans="3:9" hidden="1" x14ac:dyDescent="0.2">
      <c r="C260" s="2840"/>
      <c r="D260" s="2840"/>
      <c r="E260" s="2840"/>
      <c r="F260" s="2840"/>
      <c r="G260" s="2840"/>
      <c r="H260" s="2840"/>
      <c r="I260" s="2840"/>
    </row>
    <row r="261" spans="3:9" hidden="1" x14ac:dyDescent="0.2">
      <c r="C261" s="2840"/>
      <c r="D261" s="2840"/>
      <c r="E261" s="2840"/>
      <c r="F261" s="2840"/>
      <c r="G261" s="2840"/>
      <c r="H261" s="2840"/>
      <c r="I261" s="2840"/>
    </row>
    <row r="262" spans="3:9" hidden="1" x14ac:dyDescent="0.2">
      <c r="C262" s="2840"/>
      <c r="D262" s="2840"/>
      <c r="E262" s="2840"/>
      <c r="F262" s="2840"/>
      <c r="G262" s="2840"/>
      <c r="H262" s="2840"/>
      <c r="I262" s="2840"/>
    </row>
    <row r="263" spans="3:9" hidden="1" x14ac:dyDescent="0.2">
      <c r="C263" s="2840"/>
      <c r="D263" s="2840"/>
      <c r="E263" s="2840"/>
      <c r="F263" s="2840"/>
      <c r="G263" s="2840"/>
      <c r="H263" s="2840"/>
      <c r="I263" s="2840"/>
    </row>
    <row r="264" spans="3:9" hidden="1" x14ac:dyDescent="0.2">
      <c r="C264" s="2840"/>
      <c r="D264" s="2840"/>
      <c r="E264" s="2840"/>
      <c r="F264" s="2840"/>
      <c r="G264" s="2840"/>
      <c r="H264" s="2840"/>
      <c r="I264" s="2840"/>
    </row>
    <row r="265" spans="3:9" hidden="1" x14ac:dyDescent="0.2">
      <c r="C265" s="2840"/>
      <c r="D265" s="2840"/>
      <c r="E265" s="2840"/>
      <c r="F265" s="2840"/>
      <c r="G265" s="2840"/>
      <c r="H265" s="2840"/>
      <c r="I265" s="2840"/>
    </row>
    <row r="266" spans="3:9" hidden="1" x14ac:dyDescent="0.2">
      <c r="C266" s="2840"/>
      <c r="D266" s="2840"/>
      <c r="E266" s="2840"/>
      <c r="F266" s="2840"/>
      <c r="G266" s="2840"/>
      <c r="H266" s="2840"/>
      <c r="I266" s="2840"/>
    </row>
    <row r="267" spans="3:9" hidden="1" x14ac:dyDescent="0.2">
      <c r="C267" s="2840"/>
      <c r="D267" s="2840"/>
      <c r="E267" s="2840"/>
      <c r="F267" s="2840"/>
      <c r="G267" s="2840"/>
      <c r="H267" s="2840"/>
      <c r="I267" s="2840"/>
    </row>
    <row r="268" spans="3:9" hidden="1" x14ac:dyDescent="0.2">
      <c r="C268" s="2840"/>
      <c r="D268" s="2840"/>
      <c r="E268" s="2840"/>
      <c r="F268" s="2840"/>
      <c r="G268" s="2840"/>
      <c r="H268" s="2840"/>
      <c r="I268" s="2840"/>
    </row>
    <row r="269" spans="3:9" hidden="1" x14ac:dyDescent="0.2">
      <c r="C269" s="2840"/>
      <c r="D269" s="2840"/>
      <c r="E269" s="2840"/>
      <c r="F269" s="2840"/>
      <c r="G269" s="2840"/>
      <c r="H269" s="2840"/>
      <c r="I269" s="2840"/>
    </row>
    <row r="270" spans="3:9" hidden="1" x14ac:dyDescent="0.2">
      <c r="C270" s="2840"/>
      <c r="D270" s="2840"/>
      <c r="E270" s="2840"/>
      <c r="F270" s="2840"/>
      <c r="G270" s="2840"/>
      <c r="H270" s="2840"/>
      <c r="I270" s="2840"/>
    </row>
    <row r="271" spans="3:9" hidden="1" x14ac:dyDescent="0.2">
      <c r="C271" s="2840"/>
      <c r="D271" s="2840"/>
      <c r="E271" s="2840"/>
      <c r="F271" s="2840"/>
      <c r="G271" s="2840"/>
      <c r="H271" s="2840"/>
      <c r="I271" s="2840"/>
    </row>
    <row r="272" spans="3:9" hidden="1" x14ac:dyDescent="0.2">
      <c r="C272" s="2840"/>
      <c r="D272" s="2840"/>
      <c r="E272" s="2840"/>
      <c r="F272" s="2840"/>
      <c r="G272" s="2840"/>
      <c r="H272" s="2840"/>
      <c r="I272" s="2840"/>
    </row>
    <row r="273" spans="3:9" hidden="1" x14ac:dyDescent="0.2">
      <c r="C273" s="2840"/>
      <c r="D273" s="2840"/>
      <c r="E273" s="2840"/>
      <c r="F273" s="2840"/>
      <c r="G273" s="2840"/>
      <c r="H273" s="2840"/>
      <c r="I273" s="2840"/>
    </row>
    <row r="274" spans="3:9" hidden="1" x14ac:dyDescent="0.2">
      <c r="C274" s="2840"/>
      <c r="D274" s="2840"/>
      <c r="E274" s="2840"/>
      <c r="F274" s="2840"/>
      <c r="G274" s="2840"/>
      <c r="H274" s="2840"/>
      <c r="I274" s="2840"/>
    </row>
    <row r="275" spans="3:9" hidden="1" x14ac:dyDescent="0.2">
      <c r="C275" s="2840"/>
      <c r="D275" s="2840"/>
      <c r="E275" s="2840"/>
      <c r="F275" s="2840"/>
      <c r="G275" s="2840"/>
      <c r="H275" s="2840"/>
      <c r="I275" s="2840"/>
    </row>
    <row r="276" spans="3:9" hidden="1" x14ac:dyDescent="0.2">
      <c r="C276" s="2840"/>
      <c r="D276" s="2840"/>
      <c r="E276" s="2840"/>
      <c r="F276" s="2840"/>
      <c r="G276" s="2840"/>
      <c r="H276" s="2840"/>
      <c r="I276" s="2840"/>
    </row>
    <row r="277" spans="3:9" hidden="1" x14ac:dyDescent="0.2">
      <c r="C277" s="2840"/>
      <c r="D277" s="2840"/>
      <c r="E277" s="2840"/>
      <c r="F277" s="2840"/>
      <c r="G277" s="2840"/>
      <c r="H277" s="2840"/>
      <c r="I277" s="2840"/>
    </row>
    <row r="278" spans="3:9" hidden="1" x14ac:dyDescent="0.2">
      <c r="C278" s="2840"/>
      <c r="D278" s="2840"/>
      <c r="E278" s="2840"/>
      <c r="F278" s="2840"/>
      <c r="G278" s="2840"/>
      <c r="H278" s="2840"/>
      <c r="I278" s="2840"/>
    </row>
    <row r="279" spans="3:9" hidden="1" x14ac:dyDescent="0.2">
      <c r="C279" s="2840"/>
      <c r="D279" s="2840"/>
      <c r="E279" s="2840"/>
      <c r="F279" s="2840"/>
      <c r="G279" s="2840"/>
      <c r="H279" s="2840"/>
      <c r="I279" s="2840"/>
    </row>
    <row r="280" spans="3:9" hidden="1" x14ac:dyDescent="0.2">
      <c r="C280" s="2840"/>
      <c r="D280" s="2840"/>
      <c r="E280" s="2840"/>
      <c r="F280" s="2840"/>
      <c r="G280" s="2840"/>
      <c r="H280" s="2840"/>
      <c r="I280" s="2840"/>
    </row>
    <row r="281" spans="3:9" hidden="1" x14ac:dyDescent="0.2">
      <c r="C281" s="2840"/>
      <c r="D281" s="2840"/>
      <c r="E281" s="2840"/>
      <c r="F281" s="2840"/>
      <c r="G281" s="2840"/>
      <c r="H281" s="2840"/>
      <c r="I281" s="2840"/>
    </row>
    <row r="282" spans="3:9" hidden="1" x14ac:dyDescent="0.2">
      <c r="C282" s="2840"/>
      <c r="D282" s="2840"/>
      <c r="E282" s="2840"/>
      <c r="F282" s="2840"/>
      <c r="G282" s="2840"/>
      <c r="H282" s="2840"/>
      <c r="I282" s="2840"/>
    </row>
    <row r="283" spans="3:9" hidden="1" x14ac:dyDescent="0.2">
      <c r="C283" s="2840"/>
      <c r="D283" s="2840"/>
      <c r="E283" s="2840"/>
      <c r="F283" s="2840"/>
      <c r="G283" s="2840"/>
      <c r="H283" s="2840"/>
      <c r="I283" s="2840"/>
    </row>
    <row r="284" spans="3:9" hidden="1" x14ac:dyDescent="0.2">
      <c r="C284" s="2840"/>
      <c r="D284" s="2840"/>
      <c r="E284" s="2840"/>
      <c r="F284" s="2840"/>
      <c r="G284" s="2840"/>
      <c r="H284" s="2840"/>
      <c r="I284" s="2840"/>
    </row>
    <row r="285" spans="3:9" hidden="1" x14ac:dyDescent="0.2">
      <c r="C285" s="2840"/>
      <c r="D285" s="2840"/>
      <c r="E285" s="2840"/>
      <c r="F285" s="2840"/>
      <c r="G285" s="2840"/>
      <c r="H285" s="2840"/>
      <c r="I285" s="2840"/>
    </row>
    <row r="286" spans="3:9" hidden="1" x14ac:dyDescent="0.2">
      <c r="C286" s="2840"/>
      <c r="D286" s="2840"/>
      <c r="E286" s="2840"/>
      <c r="F286" s="2840"/>
      <c r="G286" s="2840"/>
      <c r="H286" s="2840"/>
      <c r="I286" s="2840"/>
    </row>
    <row r="287" spans="3:9" hidden="1" x14ac:dyDescent="0.2">
      <c r="C287" s="2840"/>
      <c r="D287" s="2840"/>
      <c r="E287" s="2840"/>
      <c r="F287" s="2840"/>
      <c r="G287" s="2840"/>
      <c r="H287" s="2840"/>
      <c r="I287" s="2840"/>
    </row>
    <row r="288" spans="3:9" hidden="1" x14ac:dyDescent="0.2">
      <c r="C288" s="2840"/>
      <c r="D288" s="2840"/>
      <c r="E288" s="2840"/>
      <c r="F288" s="2840"/>
      <c r="G288" s="2840"/>
      <c r="H288" s="2840"/>
      <c r="I288" s="2840"/>
    </row>
    <row r="289" spans="3:9" hidden="1" x14ac:dyDescent="0.2">
      <c r="C289" s="2840"/>
      <c r="D289" s="2840"/>
      <c r="E289" s="2840"/>
      <c r="F289" s="2840"/>
      <c r="G289" s="2840"/>
      <c r="H289" s="2840"/>
      <c r="I289" s="2840"/>
    </row>
    <row r="290" spans="3:9" hidden="1" x14ac:dyDescent="0.2">
      <c r="C290" s="2840"/>
      <c r="D290" s="2840"/>
      <c r="E290" s="2840"/>
      <c r="F290" s="2840"/>
      <c r="G290" s="2840"/>
      <c r="H290" s="2840"/>
      <c r="I290" s="2840"/>
    </row>
    <row r="291" spans="3:9" hidden="1" x14ac:dyDescent="0.2">
      <c r="C291" s="2840"/>
      <c r="D291" s="2840"/>
      <c r="E291" s="2840"/>
      <c r="F291" s="2840"/>
      <c r="G291" s="2840"/>
      <c r="H291" s="2840"/>
      <c r="I291" s="2840"/>
    </row>
    <row r="292" spans="3:9" hidden="1" x14ac:dyDescent="0.2">
      <c r="C292" s="2840"/>
      <c r="D292" s="2840"/>
      <c r="E292" s="2840"/>
      <c r="F292" s="2840"/>
      <c r="G292" s="2840"/>
      <c r="H292" s="2840"/>
      <c r="I292" s="2840"/>
    </row>
    <row r="293" spans="3:9" hidden="1" x14ac:dyDescent="0.2">
      <c r="C293" s="2840"/>
      <c r="D293" s="2840"/>
      <c r="E293" s="2840"/>
      <c r="F293" s="2840"/>
      <c r="G293" s="2840"/>
      <c r="H293" s="2840"/>
      <c r="I293" s="2840"/>
    </row>
    <row r="294" spans="3:9" hidden="1" x14ac:dyDescent="0.2">
      <c r="C294" s="2840"/>
      <c r="D294" s="2840"/>
      <c r="E294" s="2840"/>
      <c r="F294" s="2840"/>
      <c r="G294" s="2840"/>
      <c r="H294" s="2840"/>
      <c r="I294" s="2840"/>
    </row>
    <row r="295" spans="3:9" hidden="1" x14ac:dyDescent="0.2">
      <c r="C295" s="2840"/>
      <c r="D295" s="2840"/>
      <c r="E295" s="2840"/>
      <c r="F295" s="2840"/>
      <c r="G295" s="2840"/>
      <c r="H295" s="2840"/>
      <c r="I295" s="2840"/>
    </row>
    <row r="296" spans="3:9" hidden="1" x14ac:dyDescent="0.2">
      <c r="C296" s="2840"/>
      <c r="D296" s="2840"/>
      <c r="E296" s="2840"/>
      <c r="F296" s="2840"/>
      <c r="G296" s="2840"/>
      <c r="H296" s="2840"/>
      <c r="I296" s="2840"/>
    </row>
    <row r="297" spans="3:9" hidden="1" x14ac:dyDescent="0.2">
      <c r="C297" s="2840"/>
      <c r="D297" s="2840"/>
      <c r="E297" s="2840"/>
      <c r="F297" s="2840"/>
      <c r="G297" s="2840"/>
      <c r="H297" s="2840"/>
      <c r="I297" s="2840"/>
    </row>
    <row r="298" spans="3:9" hidden="1" x14ac:dyDescent="0.2">
      <c r="C298" s="2840"/>
      <c r="D298" s="2840"/>
      <c r="E298" s="2840"/>
      <c r="F298" s="2840"/>
      <c r="G298" s="2840"/>
      <c r="H298" s="2840"/>
      <c r="I298" s="2840"/>
    </row>
    <row r="299" spans="3:9" hidden="1" x14ac:dyDescent="0.2">
      <c r="C299" s="2840"/>
      <c r="D299" s="2840"/>
      <c r="E299" s="2840"/>
      <c r="F299" s="2840"/>
      <c r="G299" s="2840"/>
      <c r="H299" s="2840"/>
      <c r="I299" s="2840"/>
    </row>
    <row r="300" spans="3:9" hidden="1" x14ac:dyDescent="0.2">
      <c r="C300" s="2840"/>
      <c r="D300" s="2840"/>
      <c r="E300" s="2840"/>
      <c r="F300" s="2840"/>
      <c r="G300" s="2840"/>
      <c r="H300" s="2840"/>
      <c r="I300" s="2840"/>
    </row>
    <row r="301" spans="3:9" hidden="1" x14ac:dyDescent="0.2">
      <c r="C301" s="2840"/>
      <c r="D301" s="2840"/>
      <c r="E301" s="2840"/>
      <c r="F301" s="2840"/>
      <c r="G301" s="2840"/>
      <c r="H301" s="2840"/>
      <c r="I301" s="2840"/>
    </row>
    <row r="302" spans="3:9" hidden="1" x14ac:dyDescent="0.2">
      <c r="C302" s="2840"/>
      <c r="D302" s="2840"/>
      <c r="E302" s="2840"/>
      <c r="F302" s="2840"/>
      <c r="G302" s="2840"/>
      <c r="H302" s="2840"/>
      <c r="I302" s="2840"/>
    </row>
    <row r="303" spans="3:9" hidden="1" x14ac:dyDescent="0.2">
      <c r="C303" s="2840"/>
      <c r="D303" s="2840"/>
      <c r="E303" s="2840"/>
      <c r="F303" s="2840"/>
      <c r="G303" s="2840"/>
      <c r="H303" s="2840"/>
      <c r="I303" s="2840"/>
    </row>
    <row r="304" spans="3:9" hidden="1" x14ac:dyDescent="0.2">
      <c r="C304" s="2840"/>
      <c r="D304" s="2840"/>
      <c r="E304" s="2840"/>
      <c r="F304" s="2840"/>
      <c r="G304" s="2840"/>
      <c r="H304" s="2840"/>
      <c r="I304" s="2840"/>
    </row>
    <row r="305" spans="3:9" hidden="1" x14ac:dyDescent="0.2">
      <c r="C305" s="2840"/>
      <c r="D305" s="2840"/>
      <c r="E305" s="2840"/>
      <c r="F305" s="2840"/>
      <c r="G305" s="2840"/>
      <c r="H305" s="2840"/>
      <c r="I305" s="2840"/>
    </row>
    <row r="306" spans="3:9" hidden="1" x14ac:dyDescent="0.2">
      <c r="C306" s="2840"/>
      <c r="D306" s="2840"/>
      <c r="E306" s="2840"/>
      <c r="F306" s="2840"/>
      <c r="G306" s="2840"/>
      <c r="H306" s="2840"/>
      <c r="I306" s="2840"/>
    </row>
    <row r="307" spans="3:9" hidden="1" x14ac:dyDescent="0.2">
      <c r="C307" s="2840"/>
      <c r="D307" s="2840"/>
      <c r="E307" s="2840"/>
      <c r="F307" s="2840"/>
      <c r="G307" s="2840"/>
      <c r="H307" s="2840"/>
      <c r="I307" s="2840"/>
    </row>
    <row r="308" spans="3:9" hidden="1" x14ac:dyDescent="0.2">
      <c r="C308" s="2840"/>
      <c r="D308" s="2840"/>
      <c r="E308" s="2840"/>
      <c r="F308" s="2840"/>
      <c r="G308" s="2840"/>
      <c r="H308" s="2840"/>
      <c r="I308" s="2840"/>
    </row>
    <row r="309" spans="3:9" hidden="1" x14ac:dyDescent="0.2">
      <c r="C309" s="2840"/>
      <c r="D309" s="2840"/>
      <c r="E309" s="2840"/>
      <c r="F309" s="2840"/>
      <c r="G309" s="2840"/>
      <c r="H309" s="2840"/>
      <c r="I309" s="2840"/>
    </row>
    <row r="310" spans="3:9" hidden="1" x14ac:dyDescent="0.2">
      <c r="C310" s="2840"/>
      <c r="D310" s="2840"/>
      <c r="E310" s="2840"/>
      <c r="F310" s="2840"/>
      <c r="G310" s="2840"/>
      <c r="H310" s="2840"/>
      <c r="I310" s="2840"/>
    </row>
    <row r="311" spans="3:9" hidden="1" x14ac:dyDescent="0.2">
      <c r="C311" s="2840"/>
      <c r="D311" s="2840"/>
      <c r="E311" s="2840"/>
      <c r="F311" s="2840"/>
      <c r="G311" s="2840"/>
      <c r="H311" s="2840"/>
      <c r="I311" s="2840"/>
    </row>
    <row r="312" spans="3:9" hidden="1" x14ac:dyDescent="0.2">
      <c r="C312" s="2840"/>
      <c r="D312" s="2840"/>
      <c r="E312" s="2840"/>
      <c r="F312" s="2840"/>
      <c r="G312" s="2840"/>
      <c r="H312" s="2840"/>
      <c r="I312" s="2840"/>
    </row>
    <row r="313" spans="3:9" hidden="1" x14ac:dyDescent="0.2">
      <c r="C313" s="2840"/>
      <c r="D313" s="2840"/>
      <c r="E313" s="2840"/>
      <c r="F313" s="2840"/>
      <c r="G313" s="2840"/>
      <c r="H313" s="2840"/>
      <c r="I313" s="2840"/>
    </row>
    <row r="314" spans="3:9" hidden="1" x14ac:dyDescent="0.2">
      <c r="C314" s="2840"/>
      <c r="D314" s="2840"/>
      <c r="E314" s="2840"/>
      <c r="F314" s="2840"/>
      <c r="G314" s="2840"/>
      <c r="H314" s="2840"/>
      <c r="I314" s="2840"/>
    </row>
    <row r="315" spans="3:9" hidden="1" x14ac:dyDescent="0.2">
      <c r="C315" s="2840"/>
      <c r="D315" s="2840"/>
      <c r="E315" s="2840"/>
      <c r="F315" s="2840"/>
      <c r="G315" s="2840"/>
      <c r="H315" s="2840"/>
      <c r="I315" s="2840"/>
    </row>
    <row r="316" spans="3:9" hidden="1" x14ac:dyDescent="0.2">
      <c r="C316" s="2840"/>
      <c r="D316" s="2840"/>
      <c r="E316" s="2840"/>
      <c r="F316" s="2840"/>
      <c r="G316" s="2840"/>
      <c r="H316" s="2840"/>
      <c r="I316" s="2840"/>
    </row>
    <row r="317" spans="3:9" hidden="1" x14ac:dyDescent="0.2">
      <c r="C317" s="2840"/>
      <c r="D317" s="2840"/>
      <c r="E317" s="2840"/>
      <c r="F317" s="2840"/>
      <c r="G317" s="2840"/>
      <c r="H317" s="2840"/>
      <c r="I317" s="2840"/>
    </row>
    <row r="318" spans="3:9" hidden="1" x14ac:dyDescent="0.2">
      <c r="C318" s="2840"/>
      <c r="D318" s="2840"/>
      <c r="E318" s="2840"/>
      <c r="F318" s="2840"/>
      <c r="G318" s="2840"/>
      <c r="H318" s="2840"/>
      <c r="I318" s="2840"/>
    </row>
    <row r="319" spans="3:9" hidden="1" x14ac:dyDescent="0.2">
      <c r="C319" s="2840"/>
      <c r="D319" s="2840"/>
      <c r="E319" s="2840"/>
      <c r="F319" s="2840"/>
      <c r="G319" s="2840"/>
      <c r="H319" s="2840"/>
      <c r="I319" s="2840"/>
    </row>
    <row r="320" spans="3:9" hidden="1" x14ac:dyDescent="0.2">
      <c r="C320" s="2840"/>
      <c r="D320" s="2840"/>
      <c r="E320" s="2840"/>
      <c r="F320" s="2840"/>
      <c r="G320" s="2840"/>
      <c r="H320" s="2840"/>
      <c r="I320" s="2840"/>
    </row>
    <row r="321" spans="3:9" hidden="1" x14ac:dyDescent="0.2">
      <c r="C321" s="2840"/>
      <c r="D321" s="2840"/>
      <c r="E321" s="2840"/>
      <c r="F321" s="2840"/>
      <c r="G321" s="2840"/>
      <c r="H321" s="2840"/>
      <c r="I321" s="2840"/>
    </row>
    <row r="322" spans="3:9" hidden="1" x14ac:dyDescent="0.2">
      <c r="C322" s="2840"/>
      <c r="D322" s="2840"/>
      <c r="E322" s="2840"/>
      <c r="F322" s="2840"/>
      <c r="G322" s="2840"/>
      <c r="H322" s="2840"/>
      <c r="I322" s="2840"/>
    </row>
    <row r="323" spans="3:9" hidden="1" x14ac:dyDescent="0.2">
      <c r="C323" s="2840"/>
      <c r="D323" s="2840"/>
      <c r="E323" s="2840"/>
      <c r="F323" s="2840"/>
      <c r="G323" s="2840"/>
      <c r="H323" s="2840"/>
      <c r="I323" s="2840"/>
    </row>
    <row r="324" spans="3:9" hidden="1" x14ac:dyDescent="0.2">
      <c r="C324" s="2840"/>
      <c r="D324" s="2840"/>
      <c r="E324" s="2840"/>
      <c r="F324" s="2840"/>
      <c r="G324" s="2840"/>
      <c r="H324" s="2840"/>
      <c r="I324" s="2840"/>
    </row>
    <row r="325" spans="3:9" hidden="1" x14ac:dyDescent="0.2">
      <c r="C325" s="2840"/>
      <c r="D325" s="2840"/>
      <c r="E325" s="2840"/>
      <c r="F325" s="2840"/>
      <c r="G325" s="2840"/>
      <c r="H325" s="2840"/>
      <c r="I325" s="2840"/>
    </row>
    <row r="326" spans="3:9" hidden="1" x14ac:dyDescent="0.2">
      <c r="C326" s="2840"/>
      <c r="D326" s="2840"/>
      <c r="E326" s="2840"/>
      <c r="F326" s="2840"/>
      <c r="G326" s="2840"/>
      <c r="H326" s="2840"/>
      <c r="I326" s="2840"/>
    </row>
    <row r="327" spans="3:9" hidden="1" x14ac:dyDescent="0.2">
      <c r="C327" s="2840"/>
      <c r="D327" s="2840"/>
      <c r="E327" s="2840"/>
      <c r="F327" s="2840"/>
      <c r="G327" s="2840"/>
      <c r="H327" s="2840"/>
      <c r="I327" s="2840"/>
    </row>
  </sheetData>
  <sheetProtection algorithmName="SHA-512" hashValue="6ol/KI6Dc05zlcExDi8yRj2gplzfPMvF7bwFAEyiylsiAqpbgJ/klgeTg//Tll4bL8E9CO6UW4QCEFyAHs2GGQ==" saltValue="sAFv4i0QyVXNG4FhlZyb9w==" spinCount="100000" sheet="1" objects="1" scenarios="1"/>
  <mergeCells count="36">
    <mergeCell ref="J3:K3"/>
    <mergeCell ref="J5:J6"/>
    <mergeCell ref="K5:K6"/>
    <mergeCell ref="J77:K77"/>
    <mergeCell ref="B99:D99"/>
    <mergeCell ref="E99:F99"/>
    <mergeCell ref="B27:G27"/>
    <mergeCell ref="E32:F33"/>
    <mergeCell ref="C32:D33"/>
    <mergeCell ref="E77:F77"/>
    <mergeCell ref="H77:I77"/>
    <mergeCell ref="B14:B23"/>
    <mergeCell ref="A1:J1"/>
    <mergeCell ref="AF101:AG101"/>
    <mergeCell ref="B101:B102"/>
    <mergeCell ref="C101:D101"/>
    <mergeCell ref="H33:I33"/>
    <mergeCell ref="B32:B33"/>
    <mergeCell ref="J33:K33"/>
    <mergeCell ref="B77:B78"/>
    <mergeCell ref="O101:R101"/>
    <mergeCell ref="U101:X101"/>
    <mergeCell ref="X77:Y77"/>
    <mergeCell ref="C77:D77"/>
    <mergeCell ref="E101:F101"/>
    <mergeCell ref="B9:E10"/>
    <mergeCell ref="E90:F90"/>
    <mergeCell ref="I99:K99"/>
    <mergeCell ref="BB101:BC101"/>
    <mergeCell ref="BD101:BE101"/>
    <mergeCell ref="AX101:AY101"/>
    <mergeCell ref="AV101:AW101"/>
    <mergeCell ref="C117:F117"/>
    <mergeCell ref="AI101:AJ101"/>
    <mergeCell ref="K101:K102"/>
    <mergeCell ref="I101:J101"/>
  </mergeCells>
  <conditionalFormatting sqref="L32">
    <cfRule type="expression" dxfId="358" priority="3">
      <formula>$L$32=re</formula>
    </cfRule>
  </conditionalFormatting>
  <dataValidations count="21">
    <dataValidation type="whole" operator="greaterThanOrEqual" allowBlank="1" showInputMessage="1" showErrorMessage="1" errorTitle="Risk Capital Component" error="Please enter a positive value or 0!" sqref="K13:K18" xr:uid="{00000000-0002-0000-5800-000000000000}">
      <formula1>0</formula1>
    </dataValidation>
    <dataValidation type="whole" allowBlank="1" showInputMessage="1" showErrorMessage="1" errorTitle="NID for the year" error="Amount entered is Excessive!" sqref="K97" xr:uid="{00000000-0002-0000-5800-000001000000}">
      <formula1>0</formula1>
      <formula2>N97</formula2>
    </dataValidation>
    <dataValidation type="whole" errorStyle="warning" allowBlank="1" showInputMessage="1" showErrorMessage="1" errorTitle="Chargeable Income before NID" error="Please enter a positive value excluding any FRFTC and amounts transferred as the 2nd allocation to the IPA!" sqref="J57:K57" xr:uid="{00000000-0002-0000-5800-000002000000}">
      <formula1>0</formula1>
      <formula2>X57</formula2>
    </dataValidation>
    <dataValidation type="list" allowBlank="1" showInputMessage="1" showErrorMessage="1" sqref="D119" xr:uid="{00000000-0002-0000-5800-000003000000}">
      <formula1>"Yes,No"</formula1>
    </dataValidation>
    <dataValidation type="whole" allowBlank="1" showInputMessage="1" showErrorMessage="1" errorTitle="Excess NI b/fwd (Interests)" error="Cannot be more than the aggregate excess b/fwd reported OR more than the chargeable income reported!" sqref="I94" xr:uid="{00000000-0002-0000-5800-000004000000}">
      <formula1>0</formula1>
      <formula2>N94</formula2>
    </dataValidation>
    <dataValidation type="whole" allowBlank="1" showInputMessage="1" showErrorMessage="1" errorTitle="Excess NID b/fwd set-off" error="Amount entered is Excessive!" sqref="K95" xr:uid="{00000000-0002-0000-5800-000005000000}">
      <formula1>0</formula1>
      <formula2>I94</formula2>
    </dataValidation>
    <dataValidation type="decimal" operator="lessThanOrEqual" allowBlank="1" showInputMessage="1" showErrorMessage="1" errorTitle="Reference rate" error="Please ensure that the correct reference rate has been entered." sqref="K32" xr:uid="{00000000-0002-0000-5800-000006000000}">
      <formula1>N32</formula1>
    </dataValidation>
    <dataValidation type="whole" allowBlank="1" showInputMessage="1" showErrorMessage="1" errorTitle="Direct Attribution" error="Please enter a positive amount that does not exceed Direct attribution!" sqref="C35:D43" xr:uid="{00000000-0002-0000-5800-000007000000}">
      <formula1>0</formula1>
      <formula2>Q35</formula2>
    </dataValidation>
    <dataValidation type="whole" allowBlank="1" showInputMessage="1" showErrorMessage="1" errorTitle="Indirect Attribution" error="Please enter a positive amount that does not exceed Indirect attribution!" sqref="E35:F43" xr:uid="{00000000-0002-0000-5800-000008000000}">
      <formula1>0</formula1>
      <formula2>U35</formula2>
    </dataValidation>
    <dataValidation type="whole" allowBlank="1" showInputMessage="1" showErrorMessage="1" errorTitle="Excess Notional Interest b/fwd " error="Please enter a positive value that does not exceed aggregate Direct Notional Interest b/fwd!" sqref="C79:D87" xr:uid="{00000000-0002-0000-5800-000009000000}">
      <formula1>0</formula1>
      <formula2>T79</formula2>
    </dataValidation>
    <dataValidation type="whole" errorStyle="warning" allowBlank="1" showInputMessage="1" showErrorMessage="1" errorTitle="Chargeable Income" error="Please enter a positive value excluding any FRFTC and amounts transferred as the 2nd allocation to the IPA!" sqref="J7:K7" xr:uid="{00000000-0002-0000-5800-00000B000000}">
      <formula1>0</formula1>
      <formula2>X7</formula2>
    </dataValidation>
    <dataValidation type="whole" operator="greaterThanOrEqual" allowBlank="1" showInputMessage="1" showErrorMessage="1" errorTitle="Excess Notional Interest b/fwd" error="Please enter a positive value!" sqref="I10 J9:K9" xr:uid="{00000000-0002-0000-5800-00000C000000}">
      <formula1>0</formula1>
    </dataValidation>
    <dataValidation type="whole" allowBlank="1" showInputMessage="1" showErrorMessage="1" errorTitle="Excess Notional Interest b/fwd " error="Please enter a positive value that does not exceed aggregate Indirect Notional Interest b/fwd!" sqref="E79:F87" xr:uid="{00000000-0002-0000-5800-00000D000000}">
      <formula1>0</formula1>
      <formula2>$V79</formula2>
    </dataValidation>
    <dataValidation type="whole" allowBlank="1" showInputMessage="1" showErrorMessage="1" errorTitle="Excess NID c/fwd" error="Please enter a positive value that does not exceed available NID less NID claimed!" sqref="I103:J111" xr:uid="{00000000-0002-0000-5800-00000F000000}">
      <formula1>0</formula1>
      <formula2>U103</formula2>
    </dataValidation>
    <dataValidation type="whole" allowBlank="1" showInputMessage="1" showErrorMessage="1" errorTitle="Excess NID c/fwd" error="Please enter a positive value for any unabsorbed Indirect NID!" sqref="K112" xr:uid="{00000000-0002-0000-5800-000010000000}">
      <formula1>0</formula1>
      <formula2>X121</formula2>
    </dataValidation>
    <dataValidation errorStyle="information" allowBlank="1" showInputMessage="1" showErrorMessage="1" promptTitle="FTA" prompt="Income that is Exempt, or subject to a FWT or that stands to be allocated to the FTA._x000a_" sqref="H27" xr:uid="{00000000-0002-0000-5800-000011000000}"/>
    <dataValidation errorStyle="information" allowBlank="1" showInputMessage="1" showErrorMessage="1" promptTitle="Excess Unabsorbed NID c/fwd" prompt="Increased by the Prescibed rate if any._x000a_" sqref="I99:K99" xr:uid="{00000000-0002-0000-5800-000012000000}"/>
    <dataValidation errorStyle="information" allowBlank="1" showInputMessage="1" showErrorMessage="1" promptTitle="Set-off" prompt="Notional Interest Deduction set-off against Deemed Notional Interest Received (above)." sqref="B112:C112" xr:uid="{00000000-0002-0000-5800-000013000000}"/>
    <dataValidation errorStyle="information" allowBlank="1" showInputMessage="1" showErrorMessage="1" prompt="Carry forward in a general pool of indirectly attributable NID to any tax account. _x000a_ " sqref="K101:K111" xr:uid="{00000000-0002-0000-5800-000014000000}"/>
    <dataValidation type="whole" allowBlank="1" showInputMessage="1" showErrorMessage="1" errorTitle="NID claimed INDIRECT" error="Cannot exceed the maximum NID that can be claimed, or no approval from shareholders/partners, or amount claimed exceeds the income from source!" sqref="E103:F111" xr:uid="{663E1394-00E4-4720-9177-52FCABA62D84}">
      <formula1>0</formula1>
      <formula2>Q103</formula2>
    </dataValidation>
    <dataValidation type="whole" allowBlank="1" showInputMessage="1" showErrorMessage="1" errorTitle="DIRECT NID claimed" error="Cannot exceed the maximum NID that can be claimed, or no approval from shareholders/partners, or amount claimed exceeds the income from source!" sqref="C103:D111" xr:uid="{AC09FD85-F672-46EC-B50D-AA0F5F3F2CBC}">
      <formula1>0</formula1>
      <formula2>O103</formula2>
    </dataValidation>
  </dataValidations>
  <hyperlinks>
    <hyperlink ref="J3" location="Notes!B16" display="CfR - Malta  (Disclaimer in NOTES page)" xr:uid="{00000000-0004-0000-5800-000000000000}"/>
    <hyperlink ref="B121" location="Index!A109" display="B A C K  T O  I N D E X" xr:uid="{00000000-0004-0000-5800-000001000000}"/>
  </hyperlinks>
  <printOptions horizontalCentered="1"/>
  <pageMargins left="0" right="0" top="0.35433070866141736" bottom="0.15748031496062992" header="0.11811023622047245" footer="0.19685039370078741"/>
  <pageSetup paperSize="9" scale="90" orientation="landscape" r:id="rId1"/>
  <headerFooter>
    <oddFooter xml:space="preserve">&amp;L&amp;9Name&amp;C&amp;9Signature&amp;R&amp;9Date            </oddFooter>
  </headerFooter>
  <rowBreaks count="1" manualBreakCount="1">
    <brk id="46" max="11" man="1"/>
  </rowBreaks>
  <extLst>
    <ext xmlns:x14="http://schemas.microsoft.com/office/spreadsheetml/2009/9/main" uri="{78C0D931-6437-407d-A8EE-F0AAD7539E65}">
      <x14:conditionalFormattings>
        <x14:conditionalFormatting xmlns:xm="http://schemas.microsoft.com/office/excel/2006/main">
          <x14:cfRule type="expression" priority="1" id="{BC3271B2-5879-4C9D-B3D9-82E603D91A54}">
            <xm:f>$L$7='TRA100'!$Z$18</xm:f>
            <x14:dxf>
              <font>
                <color theme="4" tint="-0.499984740745262"/>
              </font>
            </x14:dxf>
          </x14:cfRule>
          <xm:sqref>L7</xm:sqref>
        </x14:conditionalFormatting>
      </x14:conditionalFormatting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7"/>
  <dimension ref="A1:Z23"/>
  <sheetViews>
    <sheetView showGridLines="0" topLeftCell="A6" workbookViewId="0">
      <selection sqref="A1:G1"/>
    </sheetView>
  </sheetViews>
  <sheetFormatPr defaultColWidth="0" defaultRowHeight="14.25" zeroHeight="1" x14ac:dyDescent="0.2"/>
  <cols>
    <col min="1" max="1" width="2.7109375" style="2673" customWidth="1"/>
    <col min="2" max="2" width="26" style="2673" customWidth="1"/>
    <col min="3" max="3" width="10.5703125" style="2673" customWidth="1"/>
    <col min="4" max="4" width="0.5703125" style="2673" customWidth="1"/>
    <col min="5" max="5" width="11.28515625" style="2673" customWidth="1"/>
    <col min="6" max="6" width="11.5703125" style="2673" customWidth="1"/>
    <col min="7" max="7" width="11.28515625" style="2673" customWidth="1"/>
    <col min="8" max="8" width="11.7109375" style="2673" customWidth="1"/>
    <col min="9" max="9" width="1.42578125" style="2673" customWidth="1"/>
    <col min="10" max="10" width="17.7109375" style="2673" bestFit="1" customWidth="1"/>
    <col min="11" max="11" width="2" style="2673" customWidth="1"/>
    <col min="12" max="12" width="0.7109375" style="2673" hidden="1" customWidth="1"/>
    <col min="13" max="13" width="7.28515625" style="2673" hidden="1" customWidth="1"/>
    <col min="14" max="15" width="4.7109375" style="2673" hidden="1" customWidth="1"/>
    <col min="16" max="16" width="8.7109375" style="2673" hidden="1" customWidth="1"/>
    <col min="17" max="17" width="5.7109375" style="2673" hidden="1" customWidth="1"/>
    <col min="18" max="18" width="9.7109375" style="2673" hidden="1" customWidth="1"/>
    <col min="19" max="19" width="12.28515625" style="2673" hidden="1" customWidth="1"/>
    <col min="20" max="21" width="13.5703125" style="2673" hidden="1" customWidth="1"/>
    <col min="22" max="22" width="12" style="2673" hidden="1" customWidth="1"/>
    <col min="23" max="23" width="11.5703125" style="2673" hidden="1" customWidth="1"/>
    <col min="24" max="26" width="0" style="2673" hidden="1" customWidth="1"/>
    <col min="27" max="16384" width="8.7109375" style="2673" hidden="1"/>
  </cols>
  <sheetData>
    <row r="1" spans="1:26" x14ac:dyDescent="0.2">
      <c r="A1" s="5268" t="str">
        <f>_ref1</f>
      </c>
      <c r="B1" s="5268"/>
      <c r="C1" s="5268"/>
      <c r="D1" s="5268"/>
      <c r="E1" s="5268"/>
      <c r="F1" s="5268"/>
      <c r="G1" s="5268"/>
      <c r="H1" s="2671" t="str">
        <f>_YA1</f>
      </c>
      <c r="I1" s="2672"/>
      <c r="J1" s="2672"/>
      <c r="K1" s="2672"/>
    </row>
    <row r="2" spans="1:26" x14ac:dyDescent="0.2">
      <c r="A2" s="2672"/>
      <c r="B2" s="2672"/>
      <c r="C2" s="2672"/>
      <c r="D2" s="2672"/>
      <c r="E2" s="2672"/>
      <c r="F2" s="2672"/>
      <c r="G2" s="2672"/>
      <c r="H2" s="2672"/>
      <c r="I2" s="2672"/>
      <c r="J2" s="2672"/>
      <c r="K2" s="2672"/>
      <c r="S2" s="2673" t="s">
        <v>3445</v>
      </c>
      <c r="T2" s="2673" t="s">
        <v>8255</v>
      </c>
    </row>
    <row r="3" spans="1:26" x14ac:dyDescent="0.2">
      <c r="A3" s="2672"/>
      <c r="B3" s="2208" t="s">
        <v>8256</v>
      </c>
      <c r="C3" s="1673"/>
      <c r="D3" s="1673"/>
      <c r="E3" s="1673"/>
      <c r="F3" s="1673"/>
      <c r="G3" s="1673"/>
      <c r="H3" s="1673"/>
      <c r="I3" s="1673"/>
      <c r="J3" s="2674"/>
      <c r="K3" s="2672"/>
      <c r="Q3" s="2673" t="s">
        <v>3994</v>
      </c>
      <c r="R3" s="2673">
        <f>ya</f>
      </c>
    </row>
    <row r="4" spans="1:26" x14ac:dyDescent="0.2">
      <c r="A4" s="2672"/>
      <c r="B4" s="2205" t="s">
        <v>8257</v>
      </c>
      <c r="C4" s="1679"/>
      <c r="D4" s="1679"/>
      <c r="E4" s="1679"/>
      <c r="F4" s="1679"/>
      <c r="G4" s="1679"/>
      <c r="H4" s="1679"/>
      <c r="I4" s="1679"/>
      <c r="J4" s="2675"/>
      <c r="K4" s="2672"/>
      <c r="Q4" s="2676" t="s">
        <v>8258</v>
      </c>
      <c r="R4" s="2673">
        <f>YEAR(C7)</f>
      </c>
    </row>
    <row r="5" spans="1:26" x14ac:dyDescent="0.2">
      <c r="A5" s="2672"/>
      <c r="B5" s="2677"/>
      <c r="C5" s="2677"/>
      <c r="D5" s="2677"/>
      <c r="E5" s="2677"/>
      <c r="F5" s="2677"/>
      <c r="G5" s="2677"/>
      <c r="H5" s="2677"/>
      <c r="I5" s="2672"/>
      <c r="J5" s="2672"/>
      <c r="K5" s="2672"/>
    </row>
    <row r="6" spans="1:26" x14ac:dyDescent="0.2">
      <c r="A6" s="2672"/>
      <c r="B6" s="2671" t="s">
        <v>8259</v>
      </c>
      <c r="C6" s="1981"/>
      <c r="D6" s="2677"/>
      <c r="E6" s="2678" t="str">
        <f>IF($O$11=0,"",IF(C6="",re,""))</f>
        <v/>
      </c>
      <c r="F6" s="2671"/>
      <c r="G6" s="2671" t="s">
        <v>8260</v>
      </c>
      <c r="H6" s="1981"/>
      <c r="I6" s="2672"/>
      <c r="J6" s="2678" t="str">
        <f>IF($O$11=0,"",IF(H6="",re,""))</f>
        <v/>
      </c>
      <c r="K6" s="2672"/>
      <c r="M6" s="2673">
        <f>IF(OR(E6&lt;&gt;"",J6&lt;&gt;""),1,0)</f>
      </c>
      <c r="N6" s="2673">
        <f>IF(AND(C6="",H6=""),0,1)</f>
      </c>
      <c r="P6" s="2673">
        <f>COUNTA(C6:C7,H6:H7,H9,H13)</f>
      </c>
    </row>
    <row r="7" spans="1:26" x14ac:dyDescent="0.2">
      <c r="A7" s="2672"/>
      <c r="B7" s="2671" t="s">
        <v>1570</v>
      </c>
      <c r="C7" s="2041"/>
      <c r="D7" s="2677"/>
      <c r="E7" s="2678" t="str">
        <f>IF($O$11=0,"",IF(C7="",re,""))</f>
        <v/>
      </c>
      <c r="F7" s="2671"/>
      <c r="G7" s="2671" t="s">
        <v>1570</v>
      </c>
      <c r="H7" s="2041"/>
      <c r="I7" s="2672"/>
      <c r="J7" s="2678" t="str">
        <f>IF($O$11=0,"",IF(H7="",re,""))</f>
        <v/>
      </c>
      <c r="K7" s="2672"/>
      <c r="M7" s="2673">
        <f>IF(OR(E7&lt;&gt;"",J7&lt;&gt;""),1,0)</f>
      </c>
      <c r="N7" s="2673">
        <f>IF(OR(C7="",H7=""),0,1)</f>
      </c>
      <c r="T7" s="2679">
        <f>IF(ya&lt;T8,DATE(ya-1,12,31),T8)</f>
      </c>
    </row>
    <row r="8" spans="1:26" x14ac:dyDescent="0.2">
      <c r="A8" s="2672"/>
      <c r="B8" s="2680"/>
      <c r="C8" s="2677"/>
      <c r="D8" s="2677"/>
      <c r="E8" s="2681"/>
      <c r="F8" s="2671"/>
      <c r="G8" s="2671"/>
      <c r="H8" s="2677"/>
      <c r="I8" s="2672"/>
      <c r="J8" s="2672"/>
      <c r="K8" s="2672"/>
      <c r="S8" s="2682">
        <v>42736</v>
      </c>
      <c r="T8" s="2682">
        <v>44196</v>
      </c>
      <c r="U8" s="2682"/>
    </row>
    <row r="9" spans="1:26" x14ac:dyDescent="0.2">
      <c r="A9" s="2672"/>
      <c r="B9" s="2677" t="s">
        <v>4018</v>
      </c>
      <c r="C9" s="2677"/>
      <c r="D9" s="2677"/>
      <c r="E9" s="2677"/>
      <c r="F9" s="2677"/>
      <c r="G9" s="2644" t="s">
        <v>951</v>
      </c>
      <c r="H9" s="2628"/>
      <c r="I9" s="2672"/>
      <c r="J9" s="2683" t="str">
        <f>IF($O$11=0,"",IF(H9="",reo,IF(H9&gt;10000,"Excessive!","")))</f>
        <v/>
      </c>
      <c r="K9" s="2672"/>
      <c r="M9" s="2673">
        <f>IF(J9&lt;&gt;"",1,0)</f>
      </c>
      <c r="N9" s="2673">
        <f>IF(H9="",0,1)</f>
      </c>
      <c r="P9" s="2684"/>
      <c r="Q9" s="2673" t="s">
        <v>4018</v>
      </c>
      <c r="V9" s="2673">
        <f>H9</f>
      </c>
    </row>
    <row r="10" spans="1:26" ht="4.5" customHeight="1" x14ac:dyDescent="0.2">
      <c r="A10" s="2672"/>
      <c r="B10" s="2677"/>
      <c r="C10" s="2677"/>
      <c r="D10" s="2677"/>
      <c r="E10" s="2677"/>
      <c r="F10" s="2677"/>
      <c r="G10" s="2677"/>
      <c r="H10" s="2677"/>
      <c r="I10" s="2672"/>
      <c r="J10" s="2672"/>
      <c r="K10" s="2672"/>
    </row>
    <row r="11" spans="1:26" x14ac:dyDescent="0.2">
      <c r="A11" s="2672"/>
      <c r="B11" s="2685" t="str">
        <f>IF(AND(Q13=1,R11&gt;10000),"Maximum benefit cannot exceed 10,000 euro!","")</f>
        <v/>
      </c>
      <c r="C11" s="2677"/>
      <c r="D11" s="2677"/>
      <c r="E11" s="2677"/>
      <c r="F11" s="2677"/>
      <c r="G11" s="2677"/>
      <c r="H11" s="2677"/>
      <c r="I11" s="2672"/>
      <c r="J11" s="2672"/>
      <c r="K11" s="2672"/>
      <c r="O11" s="2673">
        <f>SUM(N3:N8)+SUM(N9:N9)</f>
      </c>
      <c r="Q11" s="2673" t="str">
        <f>cur</f>
      </c>
      <c r="R11" s="2684">
        <f>H9</f>
      </c>
    </row>
    <row r="12" spans="1:26" ht="4.5" customHeight="1" x14ac:dyDescent="0.2">
      <c r="A12" s="2672"/>
      <c r="B12" s="2677"/>
      <c r="C12" s="2677"/>
      <c r="D12" s="2677"/>
      <c r="E12" s="2677"/>
      <c r="F12" s="2677"/>
      <c r="G12" s="2677"/>
      <c r="H12" s="2677"/>
      <c r="I12" s="2672"/>
      <c r="J12" s="2672"/>
      <c r="K12" s="2672"/>
      <c r="Q12" s="2673" t="s">
        <v>4591</v>
      </c>
    </row>
    <row r="13" spans="1:26" x14ac:dyDescent="0.2">
      <c r="A13" s="2672"/>
      <c r="B13" s="2686" t="s">
        <v>5708</v>
      </c>
      <c r="C13" s="2687"/>
      <c r="D13" s="2687"/>
      <c r="E13" s="2687"/>
      <c r="F13" s="2687"/>
      <c r="G13" s="2645" t="s">
        <v>951</v>
      </c>
      <c r="H13" s="2627"/>
      <c r="I13" s="2672"/>
      <c r="J13" s="2683" t="str">
        <f>IF($O$11=0,"",IF(H13="",re,""))</f>
        <v/>
      </c>
      <c r="K13" s="2672"/>
      <c r="M13" s="2673">
        <f>IF(J13&lt;&gt;"",1,0)</f>
      </c>
      <c r="N13" s="2673">
        <f>IF(H13="",0,1)</f>
      </c>
      <c r="Q13" s="2673">
        <f>IF(Q12=Q11,1,0)</f>
      </c>
    </row>
    <row r="14" spans="1:26" x14ac:dyDescent="0.2">
      <c r="A14" s="2672"/>
      <c r="B14" s="2677"/>
      <c r="C14" s="2677"/>
      <c r="D14" s="2677"/>
      <c r="E14" s="2677"/>
      <c r="F14" s="2677"/>
      <c r="G14" s="2677"/>
      <c r="H14" s="2688" t="str">
        <f>IF(H13="","",IF(OR(H13&gt;Y14,H13&lt;Z14),"Check!",""))</f>
        <v/>
      </c>
      <c r="I14" s="2672"/>
      <c r="J14" s="2672"/>
      <c r="K14" s="2672"/>
      <c r="Y14" s="2673">
        <f>ROUND(V9/0.05,0)+1</f>
      </c>
      <c r="Z14" s="2673">
        <f>ROUND(V9/0.35,0)-1</f>
      </c>
    </row>
    <row r="15" spans="1:26" x14ac:dyDescent="0.2">
      <c r="A15" s="2672"/>
      <c r="B15" s="2677" t="s">
        <v>2007</v>
      </c>
      <c r="C15" s="2677"/>
      <c r="D15" s="2677"/>
      <c r="E15" s="2677"/>
      <c r="F15" s="2677"/>
      <c r="G15" s="2677"/>
      <c r="H15" s="2979"/>
      <c r="I15" s="2672"/>
      <c r="J15" s="2683" t="str">
        <f>IF($O$11=0,"",IF(H15="",re,IF(AND(P15="n",V9&gt;0),"No benefit!","")))</f>
        <v/>
      </c>
      <c r="K15" s="2672"/>
      <c r="M15" s="2673">
        <f>IF(J15&lt;&gt;"",1,0)</f>
      </c>
      <c r="N15" s="2673">
        <f>IF(H15="",0,1)</f>
      </c>
      <c r="P15" s="2673" t="str">
        <f>IF(H15="yes","Y","n")</f>
      </c>
    </row>
    <row r="16" spans="1:26" x14ac:dyDescent="0.2">
      <c r="A16" s="2672"/>
      <c r="B16" s="2677"/>
      <c r="C16" s="2677"/>
      <c r="D16" s="2677"/>
      <c r="E16" s="2677"/>
      <c r="F16" s="2677"/>
      <c r="G16" s="2677"/>
      <c r="H16" s="2677"/>
      <c r="I16" s="2672"/>
      <c r="J16" s="2672"/>
      <c r="K16" s="2672"/>
    </row>
    <row r="17" spans="1:16" x14ac:dyDescent="0.2">
      <c r="A17" s="2672"/>
      <c r="B17" s="2677"/>
      <c r="C17" s="2677"/>
      <c r="D17" s="2677"/>
      <c r="E17" s="2677"/>
      <c r="F17" s="2677"/>
      <c r="G17" s="2689" t="s">
        <v>4802</v>
      </c>
      <c r="H17" s="2979"/>
      <c r="I17" s="2672"/>
      <c r="J17" s="2683" t="str">
        <f>IF(N18=0,"",IF(H17="",re,""))</f>
        <v/>
      </c>
      <c r="K17" s="2672"/>
      <c r="M17" s="2673">
        <f>IF(J17&lt;&gt;"",1,0)</f>
      </c>
      <c r="N17" s="2673">
        <f>IF(H17="",0,1)</f>
      </c>
      <c r="P17" s="2673" t="str">
        <f>IF(H17="yes","Y","n")</f>
      </c>
    </row>
    <row r="18" spans="1:16" x14ac:dyDescent="0.2">
      <c r="A18" s="2672"/>
      <c r="B18" s="2672"/>
      <c r="C18" s="2672"/>
      <c r="D18" s="2672"/>
      <c r="E18" s="2672"/>
      <c r="F18" s="2672"/>
      <c r="G18" s="2672"/>
      <c r="H18" s="2672"/>
      <c r="I18" s="2672"/>
      <c r="J18" s="2672"/>
      <c r="K18" s="2672"/>
      <c r="N18" s="2673">
        <f>SUM(N3:N17)</f>
      </c>
    </row>
    <row r="19" spans="1:16" x14ac:dyDescent="0.2">
      <c r="A19" s="2672"/>
      <c r="B19" s="2672"/>
      <c r="C19" s="2672"/>
      <c r="D19" s="2672"/>
      <c r="E19" s="2672"/>
      <c r="F19" s="2672"/>
      <c r="G19" s="2672"/>
      <c r="H19" s="2672"/>
      <c r="I19" s="2672"/>
      <c r="J19" s="2672"/>
      <c r="K19" s="2672"/>
      <c r="M19" s="2673">
        <f>SUM(M3:M17)</f>
      </c>
    </row>
    <row r="20" spans="1:16" x14ac:dyDescent="0.2">
      <c r="A20" s="2677" t="str">
        <f>_xlfn.SINGLE(MTCA)</f>
      </c>
      <c r="B20" s="2677"/>
      <c r="C20" s="2677"/>
      <c r="D20" s="2677" t="str">
        <f>ver</f>
        <v>TA2_e-CO_2025_Ver 1.1</v>
      </c>
      <c r="E20" s="2677"/>
      <c r="F20" s="2677"/>
      <c r="G20" s="2677"/>
      <c r="H20" s="2677"/>
      <c r="I20" s="2677"/>
      <c r="J20" s="2671" t="s">
        <v>7997</v>
      </c>
      <c r="K20" s="2677"/>
      <c r="N20" s="2673">
        <f>IF(P6=0,0,IF(M19&lt;&gt;0,100,IF(P17="Y",1,100)))</f>
      </c>
    </row>
    <row r="21" spans="1:16" x14ac:dyDescent="0.2"/>
    <row r="22" spans="1:16" x14ac:dyDescent="0.2"/>
    <row r="23" spans="1:16" x14ac:dyDescent="0.2">
      <c r="B23" s="1192" t="s">
        <v>6290</v>
      </c>
    </row>
  </sheetData>
  <sheetProtection algorithmName="SHA-512" hashValue="0860H967YcNC59lxaUWnEquiSykGtOIQP1A+U1LI+1ANO7fetKHA3n4as+Jqz2vUaxWqRMnFLavowFu9Jb8LQA==" saltValue="5doq4X0tMtbO7bmGUvYWQg==" spinCount="100000" sheet="1" objects="1" scenarios="1"/>
  <mergeCells count="1">
    <mergeCell ref="A1:G1"/>
  </mergeCells>
  <dataValidations count="7">
    <dataValidation type="textLength" operator="greaterThanOrEqual" allowBlank="1" showInputMessage="1" showErrorMessage="1" errorTitle="Certificate number" error="Please enter the correct reference!" sqref="C6 H6" xr:uid="{00000000-0002-0000-5900-000000000000}">
      <formula1>4</formula1>
    </dataValidation>
    <dataValidation operator="greaterThan" allowBlank="1" showInputMessage="1" showErrorMessage="1" errorTitle="Value" error="Please a positive amount!" sqref="V9" xr:uid="{00000000-0002-0000-5900-000001000000}"/>
    <dataValidation type="whole" operator="greaterThanOrEqual" allowBlank="1" showInputMessage="1" showErrorMessage="1" errorTitle="Value" error="Please a positive amount!" sqref="H9" xr:uid="{00000000-0002-0000-5900-000002000000}">
      <formula1>0</formula1>
    </dataValidation>
    <dataValidation type="whole" allowBlank="1" showInputMessage="1" showErrorMessage="1" errorTitle="Income the tax on which relieved" error="Please enter the correct amount!" sqref="H13" xr:uid="{00000000-0002-0000-5900-000003000000}">
      <formula1>Z14</formula1>
      <formula2>Y14</formula2>
    </dataValidation>
    <dataValidation type="date" errorStyle="warning" allowBlank="1" showInputMessage="1" showErrorMessage="1" errorTitle="Date of approval" error="Please enter the correct date!" promptTitle="Date format" prompt="dd/mm/yyyy" sqref="C7" xr:uid="{00000000-0002-0000-5900-000004000000}">
      <formula1>S8</formula1>
      <formula2>T7</formula2>
    </dataValidation>
    <dataValidation type="date" errorStyle="warning" allowBlank="1" showInputMessage="1" showErrorMessage="1" errorTitle="Date of approval" error="Please enter the correct date!" promptTitle="Date format" prompt="dd/mm/yyyy" sqref="H7" xr:uid="{00000000-0002-0000-5900-000005000000}">
      <formula1>S8</formula1>
      <formula2>T7</formula2>
    </dataValidation>
    <dataValidation type="list" allowBlank="1" showInputMessage="1" showErrorMessage="1" sqref="H15 H17" xr:uid="{00000000-0002-0000-5900-000006000000}">
      <formula1>"Yes,No"</formula1>
    </dataValidation>
  </dataValidations>
  <hyperlinks>
    <hyperlink ref="B23" location="Index!B77" display="B A C K   T O   I N D E X" xr:uid="{00000000-0004-0000-5900-000000000000}"/>
    <hyperlink ref="G13" location="'TRA35'!A25" display="TRA 35" xr:uid="{00000000-0004-0000-5900-000001000000}"/>
    <hyperlink ref="G9" location="'TRA35'!A25" display="TRA 35" xr:uid="{00000000-0004-0000-5900-000002000000}"/>
  </hyperlink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8"/>
  <dimension ref="A1:Y65"/>
  <sheetViews>
    <sheetView showGridLines="0" topLeftCell="A65" workbookViewId="0">
      <selection activeCell="H37" sqref="H37"/>
    </sheetView>
  </sheetViews>
  <sheetFormatPr defaultColWidth="0" defaultRowHeight="12.75" customHeight="1" zeroHeight="1" x14ac:dyDescent="0.2"/>
  <cols>
    <col min="1" max="1" width="4.28515625" style="1736" customWidth="1"/>
    <col min="2" max="2" width="15" style="1736" customWidth="1"/>
    <col min="3" max="3" width="12.42578125" style="1736" customWidth="1"/>
    <col min="4" max="4" width="7.5703125" style="1736" customWidth="1"/>
    <col min="5" max="5" width="13.28515625" style="1736" customWidth="1"/>
    <col min="6" max="6" width="12.28515625" style="1736" customWidth="1"/>
    <col min="7" max="7" width="13" style="1736" customWidth="1"/>
    <col min="8" max="8" width="12.7109375" style="1736" customWidth="1"/>
    <col min="9" max="9" width="14" style="1736" customWidth="1"/>
    <col min="10" max="10" width="11.5703125" style="1736" customWidth="1"/>
    <col min="11" max="11" width="17.28515625" style="1736" bestFit="1" customWidth="1"/>
    <col min="12" max="12" width="3" style="1960" hidden="1" customWidth="1"/>
    <col min="13" max="13" width="4.28515625" style="1960" hidden="1" customWidth="1"/>
    <col min="14" max="15" width="4.7109375" style="1960" hidden="1" customWidth="1"/>
    <col min="16" max="16" width="8.7109375" style="1960" hidden="1" customWidth="1"/>
    <col min="17" max="17" width="5.7109375" style="1960" hidden="1" customWidth="1"/>
    <col min="18" max="18" width="9.7109375" style="1960" hidden="1" customWidth="1"/>
    <col min="19" max="19" width="10.42578125" style="1960" hidden="1" customWidth="1"/>
    <col min="20" max="20" width="10.28515625" style="1960" hidden="1" customWidth="1"/>
    <col min="21" max="21" width="12" style="1960" hidden="1" customWidth="1"/>
    <col min="22" max="22" width="8.42578125" style="1960" hidden="1" customWidth="1"/>
    <col min="23" max="23" width="10.28515625" style="1960" hidden="1" customWidth="1"/>
    <col min="24" max="24" width="11.7109375" style="1960" hidden="1" customWidth="1"/>
    <col min="25" max="16384" width="9.28515625" style="1960" hidden="1"/>
  </cols>
  <sheetData>
    <row r="1" spans="1:25" x14ac:dyDescent="0.2">
      <c r="A1" s="4687" t="str">
        <f>_ref1</f>
      </c>
      <c r="B1" s="4687"/>
      <c r="C1" s="4687"/>
      <c r="D1" s="4687"/>
      <c r="E1" s="4687"/>
      <c r="F1" s="4687"/>
      <c r="G1" s="4687"/>
      <c r="H1" s="4687"/>
      <c r="I1" s="1942"/>
      <c r="J1" s="1938" t="str">
        <f>_YA1</f>
      </c>
      <c r="K1" s="1938"/>
    </row>
    <row r="2" spans="1:25" x14ac:dyDescent="0.2">
      <c r="A2" s="1942"/>
      <c r="B2" s="1942"/>
      <c r="C2" s="1942"/>
      <c r="D2" s="1942"/>
      <c r="E2" s="1942"/>
      <c r="F2" s="1942"/>
      <c r="G2" s="1942"/>
      <c r="H2" s="1942"/>
      <c r="I2" s="1942"/>
      <c r="J2" s="1942"/>
      <c r="K2" s="1942"/>
      <c r="S2" s="1960" t="s">
        <v>3445</v>
      </c>
      <c r="T2" s="1960" t="s">
        <v>8255</v>
      </c>
    </row>
    <row r="3" spans="1:25" hidden="1" x14ac:dyDescent="0.2">
      <c r="A3" s="1736" t="s">
        <v>3447</v>
      </c>
      <c r="B3" s="1736" t="s">
        <v>3448</v>
      </c>
      <c r="D3" s="1887">
        <v>500000</v>
      </c>
      <c r="J3" s="1745"/>
      <c r="K3" s="1745"/>
      <c r="S3" s="1960" t="s">
        <v>3449</v>
      </c>
      <c r="T3" s="1960" t="s">
        <v>3993</v>
      </c>
    </row>
    <row r="4" spans="1:25" hidden="1" x14ac:dyDescent="0.2">
      <c r="B4" s="1760" t="s">
        <v>3451</v>
      </c>
      <c r="C4" s="1760"/>
      <c r="D4" s="1887">
        <v>25000</v>
      </c>
      <c r="J4" s="1745"/>
      <c r="K4" s="1745"/>
    </row>
    <row r="5" spans="1:25" hidden="1" x14ac:dyDescent="0.2">
      <c r="J5" s="1745"/>
      <c r="K5" s="1745"/>
    </row>
    <row r="6" spans="1:25" ht="14.25" x14ac:dyDescent="0.2">
      <c r="A6" s="1942"/>
      <c r="B6" s="2630" t="s">
        <v>8261</v>
      </c>
      <c r="C6" s="2631"/>
      <c r="D6" s="2631"/>
      <c r="E6" s="2631"/>
      <c r="F6" s="2631"/>
      <c r="G6" s="2631"/>
      <c r="H6" s="2631"/>
      <c r="I6" s="2632"/>
      <c r="J6" s="1942"/>
      <c r="K6" s="1942"/>
      <c r="Q6" s="1960" t="s">
        <v>3994</v>
      </c>
      <c r="R6" s="1960">
        <f>ya</f>
      </c>
    </row>
    <row r="7" spans="1:25" ht="14.25" x14ac:dyDescent="0.2">
      <c r="A7" s="1942"/>
      <c r="B7" s="2633" t="s">
        <v>8262</v>
      </c>
      <c r="C7" s="2634"/>
      <c r="D7" s="2634"/>
      <c r="E7" s="2634"/>
      <c r="F7" s="2634"/>
      <c r="G7" s="2634"/>
      <c r="H7" s="2634"/>
      <c r="I7" s="2635"/>
      <c r="J7" s="1942"/>
      <c r="K7" s="1942"/>
      <c r="M7" s="1960" t="s">
        <v>7439</v>
      </c>
      <c r="N7" s="1960" t="s">
        <v>8263</v>
      </c>
    </row>
    <row r="8" spans="1:25" ht="3" customHeight="1" x14ac:dyDescent="0.2">
      <c r="A8" s="1942"/>
      <c r="B8" s="1942"/>
      <c r="C8" s="1942"/>
      <c r="D8" s="1942"/>
      <c r="E8" s="1942"/>
      <c r="F8" s="1942"/>
      <c r="G8" s="1942"/>
      <c r="H8" s="1942"/>
      <c r="I8" s="1942"/>
      <c r="J8" s="1942"/>
      <c r="K8" s="1942"/>
      <c r="M8" s="1960" t="s">
        <v>7754</v>
      </c>
      <c r="N8" s="1960" t="s">
        <v>7161</v>
      </c>
      <c r="T8" s="2275"/>
    </row>
    <row r="9" spans="1:25" ht="4.5" customHeight="1" x14ac:dyDescent="0.2">
      <c r="A9" s="1942"/>
      <c r="B9" s="2266"/>
      <c r="C9" s="2266"/>
      <c r="D9" s="2266"/>
      <c r="E9" s="2266"/>
      <c r="F9" s="2266"/>
      <c r="G9" s="2266"/>
      <c r="H9" s="2266"/>
      <c r="I9" s="2266"/>
      <c r="J9" s="1942"/>
      <c r="K9" s="1942"/>
    </row>
    <row r="10" spans="1:25" x14ac:dyDescent="0.2">
      <c r="A10" s="1942"/>
      <c r="B10" s="1942"/>
      <c r="C10" s="1942"/>
      <c r="D10" s="1942"/>
      <c r="E10" s="1942"/>
      <c r="F10" s="1942"/>
      <c r="G10" s="1942"/>
      <c r="H10" s="1942"/>
      <c r="I10" s="1942"/>
      <c r="J10" s="1942"/>
      <c r="K10" s="1942"/>
      <c r="M10" s="1960">
        <f>IF(J11&lt;&gt;"",1,0)</f>
      </c>
      <c r="N10" s="1960">
        <f>IF(I11="",0,1)</f>
      </c>
      <c r="S10" s="1960" t="s">
        <v>3274</v>
      </c>
      <c r="T10" s="2275">
        <v>0.45</v>
      </c>
    </row>
    <row r="11" spans="1:25" x14ac:dyDescent="0.2">
      <c r="A11" s="1942"/>
      <c r="B11" s="2239" t="s">
        <v>7759</v>
      </c>
      <c r="C11" s="1942"/>
      <c r="D11" s="1942"/>
      <c r="E11" s="2154"/>
      <c r="F11" s="2249" t="str">
        <f>IF($R$11=0,"",IF(E11="",re,""))</f>
        <v/>
      </c>
      <c r="G11" s="2249"/>
      <c r="H11" s="1959" t="s">
        <v>8264</v>
      </c>
      <c r="I11" s="2154"/>
      <c r="J11" s="2249" t="str">
        <f>IF($R$11=0,"",IF(I11="",re,""))</f>
        <v/>
      </c>
      <c r="K11" s="2248" t="s">
        <v>1020</v>
      </c>
      <c r="M11" s="1960">
        <f>IF(F11&lt;&gt;"",1,0)</f>
      </c>
      <c r="N11" s="1960">
        <f>IF(E11="",0,1)</f>
      </c>
      <c r="R11" s="1960">
        <f>COUNTA(E15,E11,I11,I13,E13,I20,I21,I22,I23,I37,I41,G31:G34)</f>
      </c>
      <c r="S11" s="1960" t="s">
        <v>3281</v>
      </c>
      <c r="T11" s="2275">
        <v>0.35</v>
      </c>
      <c r="X11" s="1485" t="str">
        <f>cur</f>
      </c>
      <c r="Y11" s="1736" t="s">
        <v>4591</v>
      </c>
    </row>
    <row r="12" spans="1:25" ht="6" customHeight="1" x14ac:dyDescent="0.2">
      <c r="A12" s="1942"/>
      <c r="B12" s="2239"/>
      <c r="C12" s="1942"/>
      <c r="D12" s="1942"/>
      <c r="E12" s="2253"/>
      <c r="F12" s="2249"/>
      <c r="G12" s="2249"/>
      <c r="H12" s="2239"/>
      <c r="I12" s="2239"/>
      <c r="J12" s="2248"/>
      <c r="K12" s="2248"/>
      <c r="M12" s="1960">
        <f>IF(J13&lt;&gt;"",1,0)</f>
      </c>
      <c r="N12" s="1960">
        <f>IF(I13="",0,1)</f>
      </c>
      <c r="S12" s="1960" t="s">
        <v>3282</v>
      </c>
      <c r="T12" s="2275">
        <v>0.25</v>
      </c>
      <c r="X12" s="1485"/>
      <c r="Y12" s="1736"/>
    </row>
    <row r="13" spans="1:25" x14ac:dyDescent="0.2">
      <c r="A13" s="1942"/>
      <c r="B13" s="2239" t="s">
        <v>7760</v>
      </c>
      <c r="C13" s="1942"/>
      <c r="D13" s="1958"/>
      <c r="E13" s="2278"/>
      <c r="F13" s="2249" t="str">
        <f>IF($R$11=0,"",IF(E13="",re,""))</f>
        <v/>
      </c>
      <c r="G13" s="2249"/>
      <c r="H13" s="2238" t="s">
        <v>8265</v>
      </c>
      <c r="I13" s="2278"/>
      <c r="J13" s="2249" t="str">
        <f>IF($R$11=0,"",IF(I13="",re,""))</f>
        <v/>
      </c>
      <c r="K13" s="2248"/>
      <c r="M13" s="1960">
        <f>IF(F13&lt;&gt;"",1,0)</f>
      </c>
      <c r="N13" s="1960">
        <f>IF(E13="",0,1)</f>
      </c>
      <c r="X13" s="1485"/>
      <c r="Y13" s="1736"/>
    </row>
    <row r="14" spans="1:25" ht="6" customHeight="1" x14ac:dyDescent="0.2">
      <c r="A14" s="1942"/>
      <c r="B14" s="2267"/>
      <c r="C14" s="1942"/>
      <c r="D14" s="1942"/>
      <c r="E14" s="1942"/>
      <c r="F14" s="1942"/>
      <c r="G14" s="1942"/>
      <c r="H14" s="1942"/>
      <c r="I14" s="1942"/>
      <c r="J14" s="1942"/>
      <c r="K14" s="2248"/>
    </row>
    <row r="15" spans="1:25" x14ac:dyDescent="0.2">
      <c r="A15" s="1942"/>
      <c r="B15" s="2239" t="s">
        <v>7783</v>
      </c>
      <c r="C15" s="1942"/>
      <c r="D15" s="1942"/>
      <c r="E15" s="2978"/>
      <c r="F15" s="2248" t="str">
        <f>IF($R$11=0,"",IF(E15="",re,""))</f>
        <v/>
      </c>
      <c r="G15" s="2248"/>
      <c r="H15" s="1942"/>
      <c r="I15" s="1942"/>
      <c r="J15" s="1942"/>
      <c r="K15" s="2248"/>
      <c r="M15" s="1960">
        <f>IF(F15&lt;&gt;"",1,0)</f>
      </c>
      <c r="N15" s="1960">
        <f>IF(E15="",0,1)</f>
      </c>
    </row>
    <row r="16" spans="1:25" ht="5.25" customHeight="1" x14ac:dyDescent="0.2">
      <c r="A16" s="1942"/>
      <c r="B16" s="2267"/>
      <c r="C16" s="1942"/>
      <c r="D16" s="1942"/>
      <c r="E16" s="1942"/>
      <c r="F16" s="1942"/>
      <c r="G16" s="1942"/>
      <c r="H16" s="1942"/>
      <c r="I16" s="1942"/>
      <c r="J16" s="1942"/>
      <c r="K16" s="2248"/>
    </row>
    <row r="17" spans="1:21" x14ac:dyDescent="0.2">
      <c r="A17" s="1942"/>
      <c r="B17" s="2239"/>
      <c r="C17" s="1942"/>
      <c r="D17" s="1942"/>
      <c r="E17" s="1942"/>
      <c r="F17" s="1942"/>
      <c r="G17" s="1942"/>
      <c r="H17" s="1942"/>
      <c r="I17" s="1942"/>
      <c r="J17" s="1942"/>
      <c r="K17" s="1942"/>
    </row>
    <row r="18" spans="1:21" x14ac:dyDescent="0.2">
      <c r="A18" s="1942"/>
      <c r="B18" s="5272" t="s">
        <v>7785</v>
      </c>
      <c r="C18" s="5273"/>
      <c r="D18" s="5273"/>
      <c r="E18" s="5273"/>
      <c r="F18" s="5273"/>
      <c r="G18" s="5273"/>
      <c r="H18" s="5274"/>
      <c r="I18" s="1942"/>
      <c r="J18" s="1942"/>
      <c r="K18" s="1942"/>
      <c r="M18" s="1960">
        <f>IF(F11&lt;&gt;"",1,0)</f>
      </c>
      <c r="N18" s="1960">
        <f>IF(E11="",0,1)</f>
      </c>
      <c r="T18" s="2277">
        <f>MIN(T19:U19)</f>
      </c>
    </row>
    <row r="19" spans="1:21" x14ac:dyDescent="0.2">
      <c r="A19" s="1942"/>
      <c r="B19" s="2268"/>
      <c r="C19" s="1942"/>
      <c r="D19" s="1958"/>
      <c r="E19" s="1942"/>
      <c r="F19" s="1958"/>
      <c r="G19" s="1958"/>
      <c r="H19" s="1942"/>
      <c r="I19" s="1942"/>
      <c r="J19" s="1942"/>
      <c r="K19" s="1942"/>
      <c r="S19" s="2277">
        <v>42736</v>
      </c>
      <c r="T19" s="2277">
        <v>44196</v>
      </c>
      <c r="U19" s="2277">
        <f>DATE(ya-1,12,31)</f>
      </c>
    </row>
    <row r="20" spans="1:21" x14ac:dyDescent="0.2">
      <c r="A20" s="1942"/>
      <c r="B20" s="1958" t="s">
        <v>8266</v>
      </c>
      <c r="C20" s="1958"/>
      <c r="D20" s="1958"/>
      <c r="E20" s="1958"/>
      <c r="F20" s="1958"/>
      <c r="G20" s="1958"/>
      <c r="H20" s="1942"/>
      <c r="I20" s="2279"/>
      <c r="J20" s="2248" t="str">
        <f>IF($R$11=0,"",IF(I20="",reo,""))</f>
        <v/>
      </c>
      <c r="K20" s="1942"/>
      <c r="M20" s="1960">
        <f>IF(J20&lt;&gt;"",1,0)</f>
      </c>
      <c r="N20" s="1960">
        <f>IF(H20="",0,1)</f>
      </c>
    </row>
    <row r="21" spans="1:21" x14ac:dyDescent="0.2">
      <c r="A21" s="1942"/>
      <c r="B21" s="1958" t="s">
        <v>8267</v>
      </c>
      <c r="C21" s="1958"/>
      <c r="D21" s="1958"/>
      <c r="E21" s="1958"/>
      <c r="F21" s="2269"/>
      <c r="G21" s="2269"/>
      <c r="H21" s="1958"/>
      <c r="I21" s="2279"/>
      <c r="J21" s="2248" t="str">
        <f>IF($R$11=0,"",IF(I21="",reo,IF(I21/I24&gt;0.2,"Cannot exceed 20% of Project Cost","")))</f>
        <v/>
      </c>
      <c r="K21" s="1942"/>
      <c r="M21" s="1960">
        <f>IF(J21&lt;&gt;"",1,0)</f>
      </c>
      <c r="N21" s="1960">
        <f>IF(I21="",0,1)</f>
      </c>
      <c r="S21" s="2277"/>
      <c r="T21" s="2277"/>
      <c r="U21" s="2277"/>
    </row>
    <row r="22" spans="1:21" x14ac:dyDescent="0.2">
      <c r="A22" s="1942"/>
      <c r="B22" s="1958" t="s">
        <v>8268</v>
      </c>
      <c r="C22" s="1958"/>
      <c r="D22" s="1958"/>
      <c r="E22" s="1958"/>
      <c r="F22" s="2269"/>
      <c r="G22" s="2269"/>
      <c r="H22" s="1958"/>
      <c r="I22" s="2279"/>
      <c r="J22" s="2248" t="str">
        <f>IF($R$11=0,"",IF(I22="",reo,""))</f>
        <v/>
      </c>
      <c r="K22" s="1942"/>
      <c r="M22" s="1960">
        <f>IF(J22&lt;&gt;"",1,0)</f>
      </c>
      <c r="N22" s="1960">
        <f>IF(I22="",0,1)</f>
      </c>
      <c r="S22" s="2277"/>
      <c r="T22" s="2277"/>
      <c r="U22" s="2277"/>
    </row>
    <row r="23" spans="1:21" x14ac:dyDescent="0.2">
      <c r="A23" s="1942"/>
      <c r="B23" s="1958" t="s">
        <v>8269</v>
      </c>
      <c r="C23" s="1958"/>
      <c r="D23" s="1958"/>
      <c r="E23" s="1958"/>
      <c r="F23" s="2269"/>
      <c r="G23" s="2269"/>
      <c r="H23" s="1958"/>
      <c r="I23" s="2279"/>
      <c r="J23" s="2248" t="str">
        <f>IF($R$11=0,"",IF(I23="",reo,""))</f>
        <v/>
      </c>
      <c r="K23" s="1942"/>
      <c r="M23" s="1960">
        <f>IF(J23&lt;&gt;"",1,0)</f>
      </c>
      <c r="N23" s="1960">
        <f>IF(I23="",0,1)</f>
      </c>
      <c r="S23" s="2277"/>
      <c r="T23" s="2277"/>
      <c r="U23" s="2277"/>
    </row>
    <row r="24" spans="1:21" x14ac:dyDescent="0.2">
      <c r="A24" s="1942"/>
      <c r="B24" s="2270" t="s">
        <v>7782</v>
      </c>
      <c r="C24" s="1942"/>
      <c r="D24" s="1942"/>
      <c r="E24" s="1958"/>
      <c r="F24" s="1958"/>
      <c r="G24" s="2269"/>
      <c r="H24" s="1958"/>
      <c r="I24" s="2636">
        <f>SUM(I20:I23)</f>
      </c>
      <c r="J24" s="2249" t="str">
        <f>IF($R$11=0,"",IF(AND(I24="",$R$11&gt;0),re,""))</f>
        <v/>
      </c>
      <c r="K24" s="2249"/>
      <c r="M24" s="1960">
        <f>IF(J24&lt;&gt;"",1,0)</f>
      </c>
      <c r="T24" s="1960" t="str">
        <f>J24</f>
        <v/>
      </c>
    </row>
    <row r="25" spans="1:21" x14ac:dyDescent="0.2">
      <c r="A25" s="1942"/>
      <c r="B25" s="2239" t="s">
        <v>8270</v>
      </c>
      <c r="C25" s="1942"/>
      <c r="D25" s="1942"/>
      <c r="E25" s="1958"/>
      <c r="F25" s="1958"/>
      <c r="G25" s="2269"/>
      <c r="H25" s="1958"/>
      <c r="I25" s="2637" t="str">
        <f>IF(I24=0,"",IF($E$15=S10,T10,IF($E$15=S11,T11,IF($E$15=S12,T12,""))))</f>
        <v/>
      </c>
      <c r="J25" s="1942"/>
      <c r="K25" s="2248"/>
    </row>
    <row r="26" spans="1:21" x14ac:dyDescent="0.2">
      <c r="A26" s="1942"/>
      <c r="B26" s="2239" t="s">
        <v>7784</v>
      </c>
      <c r="C26" s="1942"/>
      <c r="D26" s="1942"/>
      <c r="E26" s="1958"/>
      <c r="F26" s="1958"/>
      <c r="G26" s="1958"/>
      <c r="H26" s="1958"/>
      <c r="I26" s="2638">
        <f>IF(I25="",0,ROUND(I24*I25,0))</f>
      </c>
      <c r="J26" s="1942"/>
      <c r="K26" s="2248"/>
    </row>
    <row r="27" spans="1:21" x14ac:dyDescent="0.2">
      <c r="A27" s="1942"/>
      <c r="B27" s="2238"/>
      <c r="C27" s="2238"/>
      <c r="D27" s="1942"/>
      <c r="E27" s="2250"/>
      <c r="F27" s="2250"/>
      <c r="G27" s="2250"/>
      <c r="H27" s="1942"/>
      <c r="I27" s="2700"/>
      <c r="J27" s="1942"/>
      <c r="K27" s="2248"/>
    </row>
    <row r="28" spans="1:21" x14ac:dyDescent="0.2">
      <c r="A28" s="1942"/>
      <c r="B28" s="5272" t="s">
        <v>4996</v>
      </c>
      <c r="C28" s="5273"/>
      <c r="D28" s="5273"/>
      <c r="E28" s="5273"/>
      <c r="F28" s="5273"/>
      <c r="G28" s="5273"/>
      <c r="H28" s="5274"/>
      <c r="I28" s="2700"/>
      <c r="J28" s="1942"/>
      <c r="K28" s="2248"/>
    </row>
    <row r="29" spans="1:21" x14ac:dyDescent="0.2">
      <c r="A29" s="1942"/>
      <c r="B29" s="1942"/>
      <c r="C29" s="1942"/>
      <c r="D29" s="1942"/>
      <c r="E29" s="1942"/>
      <c r="F29" s="1942"/>
      <c r="G29" s="1942"/>
      <c r="H29" s="1942"/>
      <c r="I29" s="2700"/>
      <c r="J29" s="1942"/>
      <c r="K29" s="2248"/>
    </row>
    <row r="30" spans="1:21" ht="63.75" x14ac:dyDescent="0.2">
      <c r="A30" s="1942"/>
      <c r="B30" s="1942"/>
      <c r="C30" s="1942"/>
      <c r="D30" s="1942"/>
      <c r="E30" s="1942"/>
      <c r="F30" s="2639" t="s">
        <v>8271</v>
      </c>
      <c r="G30" s="2639" t="s">
        <v>8272</v>
      </c>
      <c r="H30" s="2639" t="s">
        <v>4017</v>
      </c>
      <c r="I30" s="1942"/>
      <c r="J30" s="2248"/>
      <c r="K30" s="2248"/>
      <c r="N30" s="1736" t="s">
        <v>7017</v>
      </c>
      <c r="P30" s="1960" t="s">
        <v>7003</v>
      </c>
      <c r="Q30" s="1960" t="s">
        <v>8273</v>
      </c>
      <c r="S30" s="2701" t="s">
        <v>8274</v>
      </c>
      <c r="T30" s="2701" t="s">
        <v>8275</v>
      </c>
      <c r="U30" s="1960" t="s">
        <v>8276</v>
      </c>
    </row>
    <row r="31" spans="1:21" x14ac:dyDescent="0.2">
      <c r="A31" s="1942"/>
      <c r="B31" s="5269" t="s">
        <v>8277</v>
      </c>
      <c r="C31" s="5269"/>
      <c r="D31" s="5269"/>
      <c r="E31" s="5269"/>
      <c r="F31" s="2322" t="str">
        <f>IF(I26=0,"",IF(P31=ya,$I$26,""))</f>
        <v/>
      </c>
      <c r="G31" s="339"/>
      <c r="H31" s="1889" t="str">
        <f>IF(SUM(S31:T31)=0,"",IF(AND(ya&gt;=P31,ya&lt;=Q31),U31,""))</f>
        <v/>
      </c>
      <c r="I31" s="2248" t="str">
        <f>IF($N$46=0,"",IF(AND($N$46&gt;0,ya&gt;=2019,ya&lt;=Q31,G31=""),reo,""))</f>
        <v/>
      </c>
      <c r="J31" s="2248"/>
      <c r="K31" s="2248"/>
      <c r="M31" s="1960">
        <f>IF(I31&lt;&gt;"",1,0)</f>
      </c>
      <c r="N31" s="1736">
        <f>COUNT(F31:H31)</f>
      </c>
      <c r="P31" s="1960">
        <v>2018</v>
      </c>
      <c r="Q31" s="1960">
        <f>P31+2</f>
      </c>
      <c r="S31" s="1960">
        <f>IF(P31=ya,$I$26,0)</f>
      </c>
      <c r="T31" s="1960">
        <f>IF(P31=ya,0,IF(AND(Q31&gt;=ya,P31&lt;ya),G31,0))</f>
      </c>
      <c r="U31" s="1960">
        <f>S31+T31</f>
      </c>
    </row>
    <row r="32" spans="1:21" x14ac:dyDescent="0.2">
      <c r="A32" s="1942"/>
      <c r="B32" s="5269" t="s">
        <v>8278</v>
      </c>
      <c r="C32" s="5269"/>
      <c r="D32" s="5269"/>
      <c r="E32" s="5269"/>
      <c r="F32" s="2640" t="str">
        <f>IF(I26=0,"",IF(P32=ya,$I$26,""))</f>
        <v/>
      </c>
      <c r="G32" s="339"/>
      <c r="H32" s="1889" t="str">
        <f>IF(SUM(S32:T32)=0,"",IF(AND(ya&gt;=P32,ya&lt;=Q32),U32,""))</f>
        <v/>
      </c>
      <c r="I32" s="2248" t="str">
        <f>IF($N$46=0,"",IF(AND($N$46&gt;0,ya&gt;=2020,ya&lt;=Q32,G32=""),reo,""))</f>
        <v/>
      </c>
      <c r="J32" s="2248"/>
      <c r="K32" s="2248"/>
      <c r="M32" s="1960">
        <f>IF(I32&lt;&gt;"",1,0)</f>
      </c>
      <c r="N32" s="1736">
        <f>COUNT(F32:H32)</f>
      </c>
      <c r="P32" s="1960">
        <v>2019</v>
      </c>
      <c r="Q32" s="1960">
        <f>P32+2</f>
      </c>
      <c r="S32" s="1960">
        <f>IF(P32=ya,$I$26,0)</f>
      </c>
      <c r="T32" s="1960">
        <f>IF(P32=ya,0,IF(AND(Q32&gt;=ya,P32&lt;ya),G32,0))</f>
      </c>
      <c r="U32" s="1960">
        <f>S32+T32</f>
      </c>
    </row>
    <row r="33" spans="1:21" x14ac:dyDescent="0.2">
      <c r="A33" s="1942"/>
      <c r="B33" s="5269" t="s">
        <v>8279</v>
      </c>
      <c r="C33" s="5269"/>
      <c r="D33" s="5269"/>
      <c r="E33" s="5269"/>
      <c r="F33" s="2322" t="str">
        <f>IF(I26=0,"",IF(P33=ya,$I$26,""))</f>
        <v/>
      </c>
      <c r="G33" s="339"/>
      <c r="H33" s="1889" t="str">
        <f>IF(SUM(S33:T33)=0,"",IF(AND(ya&gt;=P33,ya&lt;=Q33),U33,""))</f>
        <v/>
      </c>
      <c r="I33" s="2248" t="str">
        <f>IF($N$46=0,"",IF(AND($N$46&gt;0,ya&gt;=2021,ya&lt;=Q33,G33=""),reo,""))</f>
        <v/>
      </c>
      <c r="J33" s="2248"/>
      <c r="K33" s="2248"/>
      <c r="M33" s="1960">
        <f>IF(I33&lt;&gt;"",1,0)</f>
      </c>
      <c r="N33" s="1736">
        <f>COUNT(F33:H33)</f>
      </c>
      <c r="P33" s="1960">
        <v>2020</v>
      </c>
      <c r="Q33" s="1960">
        <f>P33+2</f>
      </c>
      <c r="S33" s="1960">
        <f>IF(P33=ya,$I$26,0)</f>
      </c>
      <c r="T33" s="1960">
        <f>IF(P33=ya,0,IF(AND(Q33&gt;=ya,P33&lt;ya),G33,0))</f>
      </c>
      <c r="U33" s="1960">
        <f>S33+T33</f>
      </c>
    </row>
    <row r="34" spans="1:21" x14ac:dyDescent="0.2">
      <c r="A34" s="1942"/>
      <c r="B34" s="5269" t="s">
        <v>8280</v>
      </c>
      <c r="C34" s="5269"/>
      <c r="D34" s="5269"/>
      <c r="E34" s="5269"/>
      <c r="F34" s="2322" t="str">
        <f>IF(I26=0,"",IF(P34=ya,$I$26,""))</f>
        <v/>
      </c>
      <c r="G34" s="339"/>
      <c r="H34" s="1889" t="str">
        <f>IF(SUM(S34:T34)=0,"",IF(AND(ya&gt;=P34,ya&lt;=Q34),U34,""))</f>
        <v/>
      </c>
      <c r="I34" s="2248" t="str">
        <f>IF($N$46=0,"",IF(AND($N$46&gt;0,ya&gt;=2022,ya&lt;=Q34,G34=""),reo,""))</f>
        <v/>
      </c>
      <c r="J34" s="2248"/>
      <c r="K34" s="2248"/>
      <c r="M34" s="1960">
        <f>IF(I34&lt;&gt;"",1,0)</f>
      </c>
      <c r="N34" s="1736">
        <f>COUNT(F34:H34)</f>
      </c>
      <c r="P34" s="1960">
        <v>2021</v>
      </c>
      <c r="Q34" s="1960">
        <f>P34+2</f>
      </c>
      <c r="S34" s="1960">
        <f>IF(P34=ya,$I$26,0)</f>
      </c>
      <c r="T34" s="1960">
        <f>IF(P34=ya,0,IF(AND(Q34&gt;=ya,P34&lt;ya),G34,0))</f>
      </c>
      <c r="U34" s="1960">
        <f>S34+T34</f>
      </c>
    </row>
    <row r="35" spans="1:21" x14ac:dyDescent="0.2">
      <c r="A35" s="1942"/>
      <c r="B35" s="1942"/>
      <c r="C35" s="1942"/>
      <c r="D35" s="1942"/>
      <c r="E35" s="1942"/>
      <c r="F35" s="1942"/>
      <c r="G35" s="1942"/>
      <c r="H35" s="1942"/>
      <c r="I35" s="2700"/>
      <c r="J35" s="1942"/>
      <c r="K35" s="2248"/>
      <c r="R35" s="1960" t="s">
        <v>4963</v>
      </c>
    </row>
    <row r="36" spans="1:21" x14ac:dyDescent="0.2">
      <c r="A36" s="1942"/>
      <c r="B36" s="1935" t="s">
        <v>7456</v>
      </c>
      <c r="C36" s="1942"/>
      <c r="D36" s="2253"/>
      <c r="E36" s="1942"/>
      <c r="F36" s="2253"/>
      <c r="G36" s="2253"/>
      <c r="H36" s="1942"/>
      <c r="I36" s="2638" t="str">
        <f>IF(R11=0,"",U36)</f>
        <v/>
      </c>
      <c r="J36" s="2265"/>
      <c r="K36" s="2248"/>
      <c r="R36" s="2280">
        <f>IF(I36="",0,I36)</f>
      </c>
      <c r="T36" s="2280"/>
      <c r="U36" s="1960">
        <f>SUM(U31:U34)</f>
      </c>
    </row>
    <row r="37" spans="1:21" x14ac:dyDescent="0.2">
      <c r="A37" s="1942"/>
      <c r="B37" s="1935" t="s">
        <v>6223</v>
      </c>
      <c r="C37" s="1942"/>
      <c r="D37" s="1942"/>
      <c r="E37" s="1942"/>
      <c r="F37" s="1942"/>
      <c r="G37" s="1942"/>
      <c r="H37" s="2642" t="s">
        <v>951</v>
      </c>
      <c r="I37" s="2279"/>
      <c r="J37" s="2248" t="str">
        <f>IF(R11=0,"",IF(AND(R11&gt;0,I37=""),reo,IF(R37&gt;R36,"Excessive!","")))</f>
        <v/>
      </c>
      <c r="K37" s="1958"/>
      <c r="M37" s="1960">
        <f>IF(J37&lt;&gt;"",1,0)</f>
      </c>
      <c r="N37" s="1960">
        <f>IF(I37="",0,1)</f>
      </c>
      <c r="R37" s="2280">
        <f>I37</f>
      </c>
    </row>
    <row r="38" spans="1:21" x14ac:dyDescent="0.2">
      <c r="A38" s="1942"/>
      <c r="B38" s="1935" t="s">
        <v>3566</v>
      </c>
      <c r="C38" s="1942"/>
      <c r="D38" s="1942"/>
      <c r="E38" s="1942"/>
      <c r="F38" s="1942"/>
      <c r="G38" s="1942"/>
      <c r="H38" s="1942"/>
      <c r="I38" s="2638" t="str">
        <f>R38</f>
        <v/>
      </c>
      <c r="J38" s="2265"/>
      <c r="K38" s="2248"/>
      <c r="N38" s="1960">
        <f>SUM(N31:N37)</f>
      </c>
      <c r="R38" s="2197" t="str">
        <f>IF((R11+N38)=0,"",IF(R36&gt;=R37,R36-R37,""))</f>
        <v/>
      </c>
    </row>
    <row r="39" spans="1:21" x14ac:dyDescent="0.2">
      <c r="A39" s="1942"/>
      <c r="B39" s="1942"/>
      <c r="C39" s="1958"/>
      <c r="D39" s="2272"/>
      <c r="E39" s="1942"/>
      <c r="F39" s="1942"/>
      <c r="G39" s="1942"/>
      <c r="H39" s="1942"/>
      <c r="I39" s="2237"/>
      <c r="J39" s="1942"/>
      <c r="K39" s="2248"/>
    </row>
    <row r="40" spans="1:21" x14ac:dyDescent="0.2">
      <c r="A40" s="1942"/>
      <c r="B40" s="1942"/>
      <c r="C40" s="1942"/>
      <c r="D40" s="1942"/>
      <c r="E40" s="2257"/>
      <c r="F40" s="2257"/>
      <c r="G40" s="2257"/>
      <c r="H40" s="1942"/>
      <c r="I40" s="2237"/>
      <c r="J40" s="1942"/>
      <c r="K40" s="2248"/>
    </row>
    <row r="41" spans="1:21" x14ac:dyDescent="0.2">
      <c r="A41" s="1942"/>
      <c r="B41" s="5270" t="s">
        <v>5708</v>
      </c>
      <c r="C41" s="5271"/>
      <c r="D41" s="5271"/>
      <c r="E41" s="5271"/>
      <c r="F41" s="5271"/>
      <c r="G41" s="2641"/>
      <c r="H41" s="2643" t="s">
        <v>951</v>
      </c>
      <c r="I41" s="2281"/>
      <c r="J41" s="2248" t="str">
        <f>IF($R$11=0,"",IF(AND(I37&gt;=0,I41=""),reo,IF(AND(I37=0,I41&gt;0),"No tax relieved!","")))</f>
        <v/>
      </c>
      <c r="K41" s="1942"/>
      <c r="M41" s="1960">
        <f>IF(J41&lt;&gt;"",1,0)</f>
      </c>
      <c r="N41" s="1960">
        <f>IF(I41="",0,1)</f>
      </c>
      <c r="S41" s="1736">
        <f>ROUND(I37/0.05,0)+1</f>
      </c>
      <c r="T41" s="1736">
        <f>ROUND(I37/0.35,0)-1</f>
      </c>
    </row>
    <row r="42" spans="1:21" x14ac:dyDescent="0.2">
      <c r="A42" s="1942"/>
      <c r="B42" s="1942"/>
      <c r="C42" s="1942"/>
      <c r="D42" s="1942"/>
      <c r="E42" s="2258" t="str">
        <f>IF(I41="","",IF(OR(I41&gt;S41,I41&lt;T41),ck,""))</f>
        <v/>
      </c>
      <c r="F42" s="2258"/>
      <c r="G42" s="2258"/>
      <c r="H42" s="1958"/>
      <c r="I42" s="2246" t="str">
        <f>IF(I41="","",IF(OR(I41&gt;S41,I41&lt;T41),ck,""))</f>
        <v/>
      </c>
      <c r="J42" s="2248"/>
      <c r="K42" s="1942"/>
    </row>
    <row r="43" spans="1:21" x14ac:dyDescent="0.2">
      <c r="A43" s="1942"/>
      <c r="B43" s="1942"/>
      <c r="C43" s="1942"/>
      <c r="D43" s="1942"/>
      <c r="E43" s="2259"/>
      <c r="F43" s="2238"/>
      <c r="G43" s="2238" t="s">
        <v>7803</v>
      </c>
      <c r="H43" s="2977"/>
      <c r="I43" s="2274" t="str">
        <f>IF($R$11=0,"",IF(H43="",re,IF(AND(P43="n",I37&gt;0),"No benefit!","")))</f>
        <v/>
      </c>
      <c r="J43" s="1958"/>
      <c r="K43" s="1942"/>
      <c r="M43" s="1960">
        <f>IF(I43&lt;&gt;"",1,0)</f>
      </c>
      <c r="N43" s="1960">
        <f>IF(H43="",0,1)</f>
      </c>
      <c r="P43" s="1960" t="str">
        <f>IF(H43="yes","Y","n")</f>
      </c>
    </row>
    <row r="44" spans="1:21" x14ac:dyDescent="0.2">
      <c r="A44" s="1942"/>
      <c r="B44" s="1942"/>
      <c r="C44" s="1942"/>
      <c r="D44" s="1942"/>
      <c r="E44" s="2259"/>
      <c r="F44" s="2259"/>
      <c r="G44" s="2259"/>
      <c r="H44" s="2259"/>
      <c r="I44" s="1942"/>
      <c r="J44" s="1942"/>
      <c r="K44" s="1942"/>
    </row>
    <row r="45" spans="1:21" x14ac:dyDescent="0.2">
      <c r="A45" s="1942"/>
      <c r="B45" s="1942"/>
      <c r="C45" s="2260"/>
      <c r="D45" s="2260"/>
      <c r="E45" s="2259"/>
      <c r="F45" s="2261" t="s">
        <v>7804</v>
      </c>
      <c r="G45" s="2261"/>
      <c r="H45" s="2977"/>
      <c r="I45" s="2259" t="str">
        <f>IF(R11=0,"",IF(H45="",re,""))</f>
        <v/>
      </c>
      <c r="J45" s="1942"/>
      <c r="K45" s="1942"/>
      <c r="M45" s="1960">
        <f>IF(I45&lt;&gt;"",1,0)</f>
      </c>
      <c r="N45" s="1960">
        <f>IF(H45="",0,1)</f>
      </c>
      <c r="P45" s="1960" t="str">
        <f>IF(H45="yes","Y","n")</f>
      </c>
    </row>
    <row r="46" spans="1:21" x14ac:dyDescent="0.2">
      <c r="A46" s="1942"/>
      <c r="B46" s="1942"/>
      <c r="C46" s="1942"/>
      <c r="D46" s="1942"/>
      <c r="E46" s="2257"/>
      <c r="F46" s="2257"/>
      <c r="G46" s="2257"/>
      <c r="H46" s="1942"/>
      <c r="I46" s="1942"/>
      <c r="J46" s="1942"/>
      <c r="K46" s="1942"/>
      <c r="N46" s="1960">
        <f>SUM(N10:N45)</f>
      </c>
    </row>
    <row r="47" spans="1:21" x14ac:dyDescent="0.2">
      <c r="A47" s="1942"/>
      <c r="B47" s="1942"/>
      <c r="C47" s="1942"/>
      <c r="D47" s="1942"/>
      <c r="E47" s="2257"/>
      <c r="F47" s="2257"/>
      <c r="G47" s="2257"/>
      <c r="H47" s="1942"/>
      <c r="I47" s="1942"/>
      <c r="J47" s="1942"/>
      <c r="K47" s="1942"/>
      <c r="M47" s="1960">
        <f>SUM(M10:M45)</f>
      </c>
    </row>
    <row r="48" spans="1:21" x14ac:dyDescent="0.2">
      <c r="A48" s="1935" t="str">
        <f>_xlfn.SINGLE(MTCA)</f>
      </c>
      <c r="B48" s="1935"/>
      <c r="C48" s="1935"/>
      <c r="D48" s="1935"/>
      <c r="E48" s="1936" t="str">
        <f>ver</f>
        <v>TA2_e-CO_2025_Ver 1.1</v>
      </c>
      <c r="F48" s="2650"/>
      <c r="G48" s="2650"/>
      <c r="H48" s="1935"/>
      <c r="I48" s="1935"/>
      <c r="J48" s="1935"/>
      <c r="K48" s="1938" t="s">
        <v>8293</v>
      </c>
    </row>
    <row r="49" spans="2:25" x14ac:dyDescent="0.2"/>
    <row r="50" spans="2:25" x14ac:dyDescent="0.2">
      <c r="B50" s="493" t="s">
        <v>6290</v>
      </c>
      <c r="C50" s="493"/>
      <c r="M50" s="1960">
        <f>IF(R11=0,0,IF(M47&lt;&gt;0,100,IF(P45="Y",1,100)))</f>
      </c>
    </row>
    <row r="55" spans="2:25" s="1736" customFormat="1" ht="12.75" hidden="1" customHeight="1" x14ac:dyDescent="0.2">
      <c r="L55" s="1960"/>
      <c r="M55" s="1960"/>
      <c r="N55" s="1960"/>
      <c r="O55" s="1960"/>
      <c r="P55" s="1960"/>
      <c r="Q55" s="1960"/>
      <c r="R55" s="1960"/>
      <c r="S55" s="1960"/>
      <c r="T55" s="1960"/>
      <c r="U55" s="1960"/>
      <c r="V55" s="1960"/>
      <c r="W55" s="1960"/>
      <c r="X55" s="1960"/>
      <c r="Y55" s="1960"/>
    </row>
    <row r="56" spans="2:25" s="1736" customFormat="1" ht="12.75" hidden="1" customHeight="1" x14ac:dyDescent="0.2">
      <c r="L56" s="1960"/>
      <c r="M56" s="1960"/>
      <c r="N56" s="1960"/>
      <c r="O56" s="1960"/>
      <c r="P56" s="1960"/>
      <c r="Q56" s="1960"/>
      <c r="R56" s="1960"/>
      <c r="S56" s="1960"/>
      <c r="T56" s="1960"/>
      <c r="U56" s="1960"/>
      <c r="V56" s="1960"/>
      <c r="W56" s="1960"/>
      <c r="X56" s="1960"/>
      <c r="Y56" s="1960"/>
    </row>
    <row r="57" spans="2:25" s="1736" customFormat="1" ht="12.75" hidden="1" customHeight="1" x14ac:dyDescent="0.2">
      <c r="L57" s="1960"/>
      <c r="M57" s="1960"/>
      <c r="N57" s="1960"/>
      <c r="O57" s="1960"/>
      <c r="P57" s="1960"/>
      <c r="Q57" s="1960"/>
      <c r="R57" s="1960"/>
      <c r="S57" s="1960"/>
      <c r="T57" s="1960"/>
      <c r="U57" s="1960"/>
      <c r="V57" s="1960"/>
      <c r="W57" s="1960"/>
      <c r="X57" s="1960"/>
      <c r="Y57" s="1960"/>
    </row>
    <row r="58" spans="2:25" s="1736" customFormat="1" ht="12.75" hidden="1" customHeight="1" x14ac:dyDescent="0.2">
      <c r="L58" s="1960"/>
      <c r="M58" s="1960"/>
      <c r="N58" s="1960"/>
      <c r="O58" s="1960"/>
      <c r="P58" s="1960"/>
      <c r="Q58" s="1960"/>
      <c r="R58" s="1960"/>
      <c r="S58" s="1960"/>
      <c r="T58" s="1960"/>
      <c r="U58" s="1960"/>
      <c r="V58" s="1960"/>
      <c r="W58" s="1960"/>
      <c r="X58" s="1960"/>
      <c r="Y58" s="1960"/>
    </row>
    <row r="65" x14ac:dyDescent="0.2"/>
  </sheetData>
  <sheetProtection algorithmName="SHA-512" hashValue="c7dnh5ee+hpNdFBdn4Ds601XGCLc7+6NBMEAPeMDrCDE0Uh1B+mDaf6c+hFmzSm9jD0uePzIJ46PZfB9SxlznQ==" saltValue="peJ+fbgT2gdZabyqspd9Zg==" spinCount="100000" sheet="1" objects="1" scenarios="1"/>
  <mergeCells count="8">
    <mergeCell ref="B34:E34"/>
    <mergeCell ref="B41:F41"/>
    <mergeCell ref="A1:H1"/>
    <mergeCell ref="B18:H18"/>
    <mergeCell ref="B28:H28"/>
    <mergeCell ref="B31:E31"/>
    <mergeCell ref="B32:E32"/>
    <mergeCell ref="B33:E33"/>
  </mergeCells>
  <conditionalFormatting sqref="F31">
    <cfRule type="expression" dxfId="357" priority="16">
      <formula>$P$31=ya</formula>
    </cfRule>
    <cfRule type="expression" dxfId="356" priority="17">
      <formula>$P$31&lt;&gt;ya</formula>
    </cfRule>
  </conditionalFormatting>
  <conditionalFormatting sqref="F32">
    <cfRule type="expression" dxfId="355" priority="14">
      <formula>$P$32=ya</formula>
    </cfRule>
    <cfRule type="expression" dxfId="354" priority="15">
      <formula>$P$32&lt;&gt;ya</formula>
    </cfRule>
  </conditionalFormatting>
  <conditionalFormatting sqref="F33">
    <cfRule type="expression" dxfId="353" priority="12">
      <formula>$P$33=ya</formula>
    </cfRule>
    <cfRule type="expression" dxfId="352" priority="13">
      <formula>$P$33&lt;&gt;ya</formula>
    </cfRule>
  </conditionalFormatting>
  <conditionalFormatting sqref="F34">
    <cfRule type="expression" dxfId="351" priority="10">
      <formula>$P$34=ya</formula>
    </cfRule>
    <cfRule type="expression" dxfId="350" priority="11">
      <formula>$P$34&lt;&gt;ya</formula>
    </cfRule>
  </conditionalFormatting>
  <conditionalFormatting sqref="G31">
    <cfRule type="expression" dxfId="349" priority="4">
      <formula>$Q$31&lt;ya</formula>
    </cfRule>
    <cfRule type="expression" dxfId="348" priority="5">
      <formula>$P$31=ya</formula>
    </cfRule>
  </conditionalFormatting>
  <conditionalFormatting sqref="G32">
    <cfRule type="expression" dxfId="347" priority="8">
      <formula>$Q$32&lt;ya</formula>
    </cfRule>
    <cfRule type="expression" dxfId="346" priority="9">
      <formula>$P$32=ya</formula>
    </cfRule>
  </conditionalFormatting>
  <conditionalFormatting sqref="G33">
    <cfRule type="expression" dxfId="345" priority="6">
      <formula>$Q$33&lt;ya</formula>
    </cfRule>
    <cfRule type="expression" dxfId="344" priority="7">
      <formula>$P$33&gt;=ya</formula>
    </cfRule>
  </conditionalFormatting>
  <conditionalFormatting sqref="G34">
    <cfRule type="expression" dxfId="343" priority="2">
      <formula>$Q$34&lt;ya</formula>
    </cfRule>
    <cfRule type="expression" dxfId="342" priority="3">
      <formula>$P$34&gt;=ya</formula>
    </cfRule>
  </conditionalFormatting>
  <conditionalFormatting sqref="G32:H32">
    <cfRule type="expression" dxfId="341" priority="20">
      <formula>$P$32&gt;ya</formula>
    </cfRule>
  </conditionalFormatting>
  <conditionalFormatting sqref="G33:H33">
    <cfRule type="expression" dxfId="340" priority="19">
      <formula>$P$33&gt;ya</formula>
    </cfRule>
  </conditionalFormatting>
  <conditionalFormatting sqref="G34:H34">
    <cfRule type="expression" dxfId="339" priority="18">
      <formula>$P$34&gt;ya</formula>
    </cfRule>
  </conditionalFormatting>
  <conditionalFormatting sqref="H33">
    <cfRule type="expression" dxfId="338" priority="1">
      <formula>$P$32&gt;ya</formula>
    </cfRule>
  </conditionalFormatting>
  <conditionalFormatting sqref="I20:I23">
    <cfRule type="expression" dxfId="337" priority="21" stopIfTrue="1">
      <formula>$R$6&lt;2015</formula>
    </cfRule>
  </conditionalFormatting>
  <dataValidations count="13">
    <dataValidation type="textLength" operator="greaterThanOrEqual" allowBlank="1" showInputMessage="1" showErrorMessage="1" errorTitle="Certificate number" error="Please enter the correct reference!" sqref="E11:E12 I11" xr:uid="{00000000-0002-0000-5A00-000000000000}">
      <formula1>4</formula1>
    </dataValidation>
    <dataValidation type="list" allowBlank="1" showInputMessage="1" showErrorMessage="1" sqref="E15" xr:uid="{00000000-0002-0000-5A00-000001000000}">
      <formula1>$S$9:$S$12</formula1>
    </dataValidation>
    <dataValidation type="whole" operator="greaterThanOrEqual" allowBlank="1" showInputMessage="1" showErrorMessage="1" errorTitle="Value" error="Please a positive amount!" sqref="I20:I24" xr:uid="{00000000-0002-0000-5A00-000002000000}">
      <formula1>0</formula1>
    </dataValidation>
    <dataValidation type="whole" operator="greaterThan" allowBlank="1" showInputMessage="1" showErrorMessage="1" errorTitle="Value" error="Please a positive amount!" sqref="R24:U24" xr:uid="{00000000-0002-0000-5A00-000003000000}">
      <formula1>0</formula1>
    </dataValidation>
    <dataValidation allowBlank="1" showInputMessage="1" showErrorMessage="1" errorTitle="Total Eligible Costs" error="Total eligible costs cannot be more than €20,000 or equivalent!" sqref="I38:J38 R38" xr:uid="{00000000-0002-0000-5A00-000004000000}"/>
    <dataValidation type="list" showInputMessage="1" showErrorMessage="1" sqref="H43 H45" xr:uid="{00000000-0002-0000-5A00-000005000000}">
      <formula1>yn</formula1>
    </dataValidation>
    <dataValidation type="date" allowBlank="1" showInputMessage="1" showErrorMessage="1" errorTitle="Date of approval" error="Please enter the correct date!" promptTitle="Date format" prompt="dd/mm/yyyy" sqref="F23" xr:uid="{00000000-0002-0000-5A00-000006000000}">
      <formula1>T23</formula1>
      <formula2>U21</formula2>
    </dataValidation>
    <dataValidation type="date" errorStyle="warning" allowBlank="1" showInputMessage="1" showErrorMessage="1" errorTitle="Date of approval" error="Please enter the correct date!" promptTitle="Date format" prompt="dd/mm/yyyy" sqref="I13" xr:uid="{00000000-0002-0000-5A00-000007000000}">
      <formula1>S19</formula1>
      <formula2>T18</formula2>
    </dataValidation>
    <dataValidation type="whole" allowBlank="1" showInputMessage="1" showErrorMessage="1" errorTitle="Value" error="Please a positive amount which is less than the credit available!" sqref="I37" xr:uid="{00000000-0002-0000-5A00-000008000000}">
      <formula1>0</formula1>
      <formula2>R36</formula2>
    </dataValidation>
    <dataValidation type="whole" allowBlank="1" showInputMessage="1" showErrorMessage="1" errorTitle="Income on which tax relieved" error="Please enter the correct amount!" sqref="I41" xr:uid="{00000000-0002-0000-5A00-000009000000}">
      <formula1>T41</formula1>
      <formula2>S41</formula2>
    </dataValidation>
    <dataValidation type="date" errorStyle="warning" allowBlank="1" showInputMessage="1" showErrorMessage="1" errorTitle="Date of approval" error="Please enter the correct date!" promptTitle="Date format" prompt="dd/mm/yyyy" sqref="E13" xr:uid="{00000000-0002-0000-5A00-00000A000000}">
      <formula1>S19</formula1>
      <formula2>T18</formula2>
    </dataValidation>
    <dataValidation type="date" allowBlank="1" showInputMessage="1" showErrorMessage="1" errorTitle="Date of approval" error="Please enter the correct date!" promptTitle="Date format" prompt="dd/mm/yyyy" sqref="F22" xr:uid="{00000000-0002-0000-5A00-00000B000000}">
      <formula1>T22</formula1>
      <formula2>U19</formula2>
    </dataValidation>
    <dataValidation type="date" allowBlank="1" showInputMessage="1" showErrorMessage="1" errorTitle="Date of approval" error="Please enter the correct date!" promptTitle="Date format" prompt="dd/mm/yyyy" sqref="G25 F21" xr:uid="{00000000-0002-0000-5A00-00000C000000}">
      <formula1>T21</formula1>
      <formula2>#REF!</formula2>
    </dataValidation>
  </dataValidations>
  <hyperlinks>
    <hyperlink ref="B50" location="Index!B77" display="B A C K   T O   I N D E X" xr:uid="{00000000-0004-0000-5A00-000000000000}"/>
    <hyperlink ref="H41" location="'TRA35'!A26" display="TRA 35" xr:uid="{00000000-0004-0000-5A00-000001000000}"/>
    <hyperlink ref="H37" location="'TRA35'!A26" display="TRA 35" xr:uid="{00000000-0004-0000-5A00-000002000000}"/>
  </hyperlinks>
  <pageMargins left="0.7" right="0.7" top="0.75" bottom="0.75" header="0.3" footer="0.3"/>
  <pageSetup paperSize="9" orientation="portrait" r:id="rId1"/>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9"/>
  <dimension ref="A1:U35"/>
  <sheetViews>
    <sheetView showGridLines="0" workbookViewId="0">
      <selection activeCell="D15" sqref="D15"/>
    </sheetView>
  </sheetViews>
  <sheetFormatPr defaultColWidth="0" defaultRowHeight="12.75" customHeight="1" zeroHeight="1" x14ac:dyDescent="0.2"/>
  <cols>
    <col min="1" max="1" width="3.28515625" style="1736" customWidth="1"/>
    <col min="2" max="2" width="60.7109375" style="1736" customWidth="1"/>
    <col min="3" max="3" width="15.28515625" style="1736" customWidth="1"/>
    <col min="4" max="4" width="7.7109375" style="1736" customWidth="1"/>
    <col min="5" max="5" width="17.28515625" style="1736" bestFit="1" customWidth="1"/>
    <col min="6" max="6" width="3.7109375" style="1736" customWidth="1"/>
    <col min="7" max="7" width="7.7109375" style="1736" hidden="1" customWidth="1"/>
    <col min="8" max="8" width="5" style="1736" hidden="1" customWidth="1"/>
    <col min="9" max="9" width="6" style="1736" hidden="1" customWidth="1"/>
    <col min="10" max="10" width="9.28515625" style="1736" hidden="1" customWidth="1"/>
    <col min="11" max="11" width="3.5703125" style="1736" hidden="1" customWidth="1"/>
    <col min="12" max="12" width="4.5703125" style="1736" hidden="1" customWidth="1"/>
    <col min="13" max="13" width="12.7109375" style="1736" hidden="1" customWidth="1"/>
    <col min="14" max="14" width="30.28515625" style="1736" hidden="1" customWidth="1"/>
    <col min="15" max="16" width="10.28515625" style="1736" hidden="1" customWidth="1"/>
    <col min="17" max="18" width="8" style="1736" hidden="1" customWidth="1"/>
    <col min="19" max="21" width="0" style="1736" hidden="1" customWidth="1"/>
    <col min="22" max="16384" width="9.28515625" style="1736" hidden="1"/>
  </cols>
  <sheetData>
    <row r="1" spans="1:21" x14ac:dyDescent="0.2">
      <c r="A1" s="5080" t="str">
        <f>_ref1</f>
      </c>
      <c r="B1" s="5080"/>
      <c r="C1" s="5080"/>
      <c r="D1" s="5080"/>
      <c r="E1" s="1517" t="str">
        <f>_YA1</f>
      </c>
      <c r="F1" s="66"/>
      <c r="G1" s="66"/>
      <c r="O1" s="1736">
        <f>ya</f>
      </c>
    </row>
    <row r="2" spans="1:21" x14ac:dyDescent="0.2">
      <c r="M2" s="1736">
        <f>COUNTA(C7,C8,C9,C10,C11,C12,C13,C14,C19,C21,C24)</f>
      </c>
      <c r="O2" s="1736">
        <f>IF(O1&gt;2021,2021,O1)</f>
      </c>
    </row>
    <row r="3" spans="1:21" ht="14.25" x14ac:dyDescent="0.2">
      <c r="B3" s="2630" t="s">
        <v>8261</v>
      </c>
      <c r="C3" s="2631"/>
      <c r="D3" s="2631"/>
      <c r="E3" s="2632"/>
      <c r="T3" s="1736">
        <v>1</v>
      </c>
      <c r="U3" s="1736" t="s">
        <v>4457</v>
      </c>
    </row>
    <row r="4" spans="1:21" ht="14.25" x14ac:dyDescent="0.2">
      <c r="B4" s="2633" t="s">
        <v>8281</v>
      </c>
      <c r="C4" s="2634"/>
      <c r="D4" s="2634"/>
      <c r="E4" s="2635"/>
      <c r="T4" s="1736">
        <v>2</v>
      </c>
      <c r="U4" s="1736" t="s">
        <v>1736</v>
      </c>
    </row>
    <row r="5" spans="1:21" x14ac:dyDescent="0.2">
      <c r="B5" s="1942"/>
      <c r="C5" s="1942"/>
      <c r="D5" s="1942"/>
      <c r="E5" s="1942"/>
      <c r="S5" s="1760" t="s">
        <v>7130</v>
      </c>
      <c r="T5" s="1887">
        <f>C7</f>
      </c>
    </row>
    <row r="6" spans="1:21" x14ac:dyDescent="0.2">
      <c r="B6" s="2646" t="s">
        <v>6317</v>
      </c>
      <c r="C6" s="1942"/>
      <c r="D6" s="1942"/>
      <c r="E6" s="1942"/>
      <c r="I6" s="1736" t="s">
        <v>7439</v>
      </c>
      <c r="M6" s="1769" t="s">
        <v>8282</v>
      </c>
      <c r="N6" s="1760" t="s">
        <v>8283</v>
      </c>
      <c r="O6" s="1761">
        <f>DATE(ya-1,1,1)</f>
      </c>
      <c r="P6" s="1761"/>
    </row>
    <row r="7" spans="1:21" x14ac:dyDescent="0.2">
      <c r="B7" s="1938" t="s">
        <v>7133</v>
      </c>
      <c r="C7" s="2704"/>
      <c r="D7" s="1942"/>
      <c r="E7" s="2240" t="str">
        <f>IF(AND(ya=2015,M2&gt;0,C7=""),re,IF($M$16=0,"",IF(C7="",re,"")))</f>
        <v/>
      </c>
      <c r="F7" s="1547"/>
      <c r="G7" s="1547"/>
      <c r="I7" s="1736">
        <f t="shared" ref="I7:I15" si="0">IF(E7="",0,1)</f>
      </c>
      <c r="M7" s="1736">
        <f t="shared" ref="M7:M13" si="1">COUNT(C7)</f>
      </c>
      <c r="N7" s="1760" t="s">
        <v>8284</v>
      </c>
      <c r="O7" s="1761">
        <f>IF(ya&gt;2020,DATE(ya,12,31),DATE(2020,12,31))</f>
      </c>
      <c r="P7" s="1761"/>
    </row>
    <row r="8" spans="1:21" x14ac:dyDescent="0.2">
      <c r="B8" s="1938" t="s">
        <v>8285</v>
      </c>
      <c r="C8" s="2705"/>
      <c r="D8" s="1942"/>
      <c r="E8" s="2240" t="str">
        <f>IF(AND(ya=2015,M2&gt;0,C7=""),re,IF($M$16=0,"",IF(C8="",re,"")))</f>
        <v/>
      </c>
      <c r="F8" s="1547"/>
      <c r="G8" s="1547"/>
      <c r="I8" s="1736">
        <f t="shared" si="0"/>
        <v>0</v>
      </c>
      <c r="M8" s="1736">
        <f t="shared" si="1"/>
        <v>0</v>
      </c>
      <c r="O8" s="1761"/>
      <c r="P8" s="1761"/>
    </row>
    <row r="9" spans="1:21" x14ac:dyDescent="0.2">
      <c r="B9" s="1938" t="s">
        <v>8286</v>
      </c>
      <c r="C9" s="2278"/>
      <c r="D9" s="1942"/>
      <c r="E9" s="2240" t="str">
        <f>IF(AND(ya=2015,M2&gt;0,C7=""),re,IF($M$16=0,"",IF(C9="",re,"")))</f>
        <v/>
      </c>
      <c r="F9" s="1547"/>
      <c r="G9" s="1547"/>
      <c r="I9" s="1736">
        <f t="shared" si="0"/>
        <v>0</v>
      </c>
      <c r="M9" s="1736">
        <f t="shared" si="1"/>
        <v>0</v>
      </c>
    </row>
    <row r="10" spans="1:21" x14ac:dyDescent="0.2">
      <c r="B10" s="1938" t="s">
        <v>8287</v>
      </c>
      <c r="C10" s="2705"/>
      <c r="D10" s="1942"/>
      <c r="E10" s="2240" t="str">
        <f>IF(AND(ya=2015,M2&gt;0,C7=""),re,IF($T$5=1,"",IF($M$16=0,"",IF(C10="",re,""))))</f>
        <v/>
      </c>
      <c r="F10" s="1547"/>
      <c r="G10" s="1547"/>
      <c r="I10" s="1736">
        <f t="shared" si="0"/>
        <v>0</v>
      </c>
      <c r="M10" s="1736">
        <f t="shared" si="1"/>
        <v>0</v>
      </c>
    </row>
    <row r="11" spans="1:21" x14ac:dyDescent="0.2">
      <c r="B11" s="1938" t="s">
        <v>8286</v>
      </c>
      <c r="C11" s="2278"/>
      <c r="D11" s="1942"/>
      <c r="E11" s="2240" t="str">
        <f>IF(AND(ya=2015,M2&gt;0,C7=""),re,IF($T$5=1,"",IF($M$16=0,"",IF(C11="",re,""))))</f>
        <v/>
      </c>
      <c r="F11" s="1547"/>
      <c r="G11" s="1547"/>
      <c r="I11" s="1736">
        <f t="shared" si="0"/>
        <v>0</v>
      </c>
      <c r="M11" s="1736">
        <f t="shared" si="1"/>
        <v>0</v>
      </c>
    </row>
    <row r="12" spans="1:21" x14ac:dyDescent="0.2">
      <c r="B12" s="2238" t="s">
        <v>8288</v>
      </c>
      <c r="C12" s="2706"/>
      <c r="D12" s="1942"/>
      <c r="E12" s="2240" t="str">
        <f>IF(AND(ya=2015,M2&gt;0,C7=""),re,IF($M$16=0,"",IF(C12="",re,"")))</f>
        <v/>
      </c>
      <c r="F12" s="1547"/>
      <c r="G12" s="1547"/>
      <c r="I12" s="1736">
        <f t="shared" si="0"/>
        <v>0</v>
      </c>
      <c r="M12" s="1736">
        <f t="shared" si="1"/>
        <v>0</v>
      </c>
    </row>
    <row r="13" spans="1:21" x14ac:dyDescent="0.2">
      <c r="B13" s="2238" t="s">
        <v>8289</v>
      </c>
      <c r="C13" s="1141"/>
      <c r="D13" s="1942"/>
      <c r="E13" s="2240" t="str">
        <f>IF(AND(ya=2015,M2&gt;0,C7=""),re,IF($M$16=0,"",IF(C13="",re,"")))</f>
        <v/>
      </c>
      <c r="F13" s="1547"/>
      <c r="G13" s="1547"/>
      <c r="I13" s="1736">
        <f t="shared" si="0"/>
        <v>0</v>
      </c>
      <c r="M13" s="1736">
        <f t="shared" si="1"/>
        <v>0</v>
      </c>
    </row>
    <row r="14" spans="1:21" x14ac:dyDescent="0.2">
      <c r="B14" s="2238" t="s">
        <v>8290</v>
      </c>
      <c r="C14" s="2707"/>
      <c r="D14" s="1942"/>
      <c r="E14" s="2240" t="str">
        <f>IF(AND(ya=2015,M2&gt;0,C7=""),re,IF($M$16=0,"",IF(C14="",re,"")))</f>
        <v/>
      </c>
      <c r="F14" s="1547"/>
      <c r="G14" s="1547"/>
      <c r="I14" s="1736">
        <f t="shared" si="0"/>
        <v>0</v>
      </c>
      <c r="M14" s="1736">
        <f>COUNT(C14)</f>
      </c>
    </row>
    <row r="15" spans="1:21" x14ac:dyDescent="0.2">
      <c r="B15" s="2238" t="s">
        <v>8291</v>
      </c>
      <c r="C15" s="1889">
        <f>R15</f>
      </c>
      <c r="D15" s="1942"/>
      <c r="E15" s="2240" t="str">
        <f>IF($M$2=0,"",IF(C15="",re,IF(C15&gt;R15,"Excessive!","")))</f>
        <v/>
      </c>
      <c r="F15" s="1547"/>
      <c r="G15" s="1547"/>
      <c r="I15" s="1736">
        <f t="shared" si="0"/>
        <v>0</v>
      </c>
      <c r="P15" s="1974"/>
      <c r="Q15" s="1974"/>
      <c r="R15" s="1760">
        <f>ROUND(C13*C14,0)</f>
      </c>
    </row>
    <row r="16" spans="1:21" x14ac:dyDescent="0.2">
      <c r="A16" s="1887"/>
      <c r="B16" s="2237"/>
      <c r="C16" s="2237"/>
      <c r="D16" s="2239"/>
      <c r="E16" s="1942"/>
      <c r="M16" s="1736">
        <f>SUM(M7:M15)</f>
      </c>
      <c r="O16" s="1760"/>
    </row>
    <row r="17" spans="2:16" x14ac:dyDescent="0.2">
      <c r="B17" s="2646" t="s">
        <v>5703</v>
      </c>
      <c r="C17" s="1942"/>
      <c r="D17" s="2239"/>
      <c r="E17" s="1942"/>
    </row>
    <row r="18" spans="2:16" x14ac:dyDescent="0.2">
      <c r="B18" s="1938" t="s">
        <v>5054</v>
      </c>
      <c r="C18" s="2647">
        <f>IF(C12&gt;ya,0,C15)</f>
      </c>
      <c r="D18" s="2239"/>
      <c r="E18" s="1942"/>
    </row>
    <row r="19" spans="2:16" x14ac:dyDescent="0.2">
      <c r="B19" s="1938" t="s">
        <v>5704</v>
      </c>
      <c r="C19" s="1141"/>
      <c r="D19" s="2239"/>
      <c r="E19" s="2648" t="str">
        <f>IF(AND(ya=2018,C19&gt;0),"Delete!",IF(M28=0,"",IF(AND(ya&gt;2018,M28&gt;0,C19=""),reo,IF(AND(ya&gt;2018,C19=""),reo,""))))</f>
        <v/>
      </c>
      <c r="F19" s="1547"/>
      <c r="G19" s="1547"/>
      <c r="I19" s="1736">
        <f>IF(E19="",0,1)</f>
      </c>
    </row>
    <row r="20" spans="2:16" x14ac:dyDescent="0.2">
      <c r="B20" s="1938" t="s">
        <v>5705</v>
      </c>
      <c r="C20" s="1889">
        <f>IF(ya=C12,C18,IF(ya&gt;C12,C18+C19,0))</f>
      </c>
      <c r="D20" s="2239"/>
      <c r="E20" s="1942"/>
    </row>
    <row r="21" spans="2:16" x14ac:dyDescent="0.2">
      <c r="B21" s="1938" t="s">
        <v>5706</v>
      </c>
      <c r="C21" s="1141"/>
      <c r="D21" s="2642" t="s">
        <v>951</v>
      </c>
      <c r="E21" s="2240" t="str">
        <f>IF(M28=0,"",IF(C21="",reo,IF(E27=nob,nob,"")))</f>
        <v/>
      </c>
      <c r="F21" s="1547"/>
      <c r="G21" s="1547"/>
      <c r="H21" s="1736">
        <f>IF($E$21=nob,0,C21)</f>
      </c>
      <c r="I21" s="1736">
        <f>IF(E21="",0,1)</f>
      </c>
    </row>
    <row r="22" spans="2:16" x14ac:dyDescent="0.2">
      <c r="B22" s="1938" t="s">
        <v>8292</v>
      </c>
      <c r="C22" s="1889">
        <f>IF(C20-C21&lt;0,0,C20-C21)</f>
      </c>
      <c r="D22" s="2239"/>
      <c r="E22" s="1942"/>
    </row>
    <row r="23" spans="2:16" x14ac:dyDescent="0.2">
      <c r="B23" s="1942"/>
      <c r="C23" s="1942"/>
      <c r="D23" s="2239"/>
      <c r="E23" s="1942"/>
    </row>
    <row r="24" spans="2:16" x14ac:dyDescent="0.2">
      <c r="B24" s="2649" t="s">
        <v>5708</v>
      </c>
      <c r="C24" s="1141"/>
      <c r="D24" s="2642" t="s">
        <v>951</v>
      </c>
      <c r="E24" s="2240" t="str">
        <f>IF(M28=0,"",IF(AND(C21&gt;=0,C24=""),reo,IF(AND(C21=0,C24&gt;0),"No tax relieved!","")))</f>
        <v/>
      </c>
      <c r="F24" s="1547"/>
      <c r="G24" s="1547"/>
      <c r="H24" s="1736">
        <f>IF($E$21=nob,0,C24)</f>
      </c>
      <c r="I24" s="1736">
        <f>IF(E24="",0,1)</f>
      </c>
      <c r="O24" s="1736">
        <f>ROUND(C21/0.05,0)+1</f>
      </c>
      <c r="P24" s="1736">
        <f>ROUND(C21/0.35,0)-1</f>
      </c>
    </row>
    <row r="25" spans="2:16" x14ac:dyDescent="0.2">
      <c r="B25" s="1942"/>
      <c r="C25" s="2246" t="str">
        <f>IF(C24="","",IF(OR(C24&gt;O24,C24&lt;P24),ck,""))</f>
        <v/>
      </c>
      <c r="D25" s="1942"/>
      <c r="E25" s="1942"/>
    </row>
    <row r="26" spans="2:16" x14ac:dyDescent="0.2">
      <c r="B26" s="1942"/>
      <c r="C26" s="1942"/>
      <c r="D26" s="1942"/>
      <c r="E26" s="1942"/>
    </row>
    <row r="27" spans="2:16" x14ac:dyDescent="0.2">
      <c r="B27" s="1942"/>
      <c r="C27" s="2238" t="s">
        <v>7134</v>
      </c>
      <c r="D27" s="2977"/>
      <c r="E27" s="2241" t="str">
        <f>IF(M28=0,"",IF(D27="",re,IF(AND(D27=n,C21&gt;0),nob,"")))</f>
        <v/>
      </c>
      <c r="G27" s="1515"/>
      <c r="I27" s="1736">
        <f>IF(E27="",0,1)</f>
      </c>
      <c r="M27" s="1736">
        <f>COUNT(C19,C21,C24)</f>
      </c>
    </row>
    <row r="28" spans="2:16" x14ac:dyDescent="0.2">
      <c r="B28" s="1942"/>
      <c r="C28" s="1942"/>
      <c r="D28" s="1942"/>
      <c r="E28" s="1942"/>
      <c r="F28" s="1515"/>
      <c r="M28" s="1736">
        <f>M16+M27</f>
      </c>
    </row>
    <row r="29" spans="2:16" x14ac:dyDescent="0.2">
      <c r="B29" s="5275" t="s">
        <v>4802</v>
      </c>
      <c r="C29" s="5275"/>
      <c r="D29" s="2977"/>
      <c r="E29" s="2241" t="str">
        <f>IF(M28=0,"",IF(D29="",re,""))</f>
        <v/>
      </c>
      <c r="F29" s="1515"/>
      <c r="I29" s="1736">
        <f>IF(E29="",0,1)</f>
      </c>
    </row>
    <row r="30" spans="2:16" x14ac:dyDescent="0.2">
      <c r="B30" s="1942"/>
      <c r="C30" s="1942"/>
      <c r="D30" s="1942"/>
      <c r="E30" s="1942"/>
    </row>
    <row r="31" spans="2:16" x14ac:dyDescent="0.2">
      <c r="I31" s="1736">
        <f>SUM(I5:I29)</f>
      </c>
    </row>
    <row r="32" spans="2:16" x14ac:dyDescent="0.2"/>
    <row r="33" spans="1:9" x14ac:dyDescent="0.2">
      <c r="A33" s="66"/>
      <c r="B33" s="1736" t="str">
        <f>_xlfn.SINGLE(MTCA)</f>
      </c>
      <c r="C33" s="69" t="str">
        <f>ver</f>
        <v>TA2_e-CO_2025_Ver 1.1</v>
      </c>
      <c r="E33" s="1517" t="s">
        <v>8294</v>
      </c>
    </row>
    <row r="34" spans="1:9" x14ac:dyDescent="0.2">
      <c r="F34" s="66"/>
      <c r="G34" s="66"/>
      <c r="I34" s="1736">
        <f>IF(M28=0,0,IF(I31&lt;&gt;0,100,IF(D29=y,1,100)))</f>
      </c>
    </row>
    <row r="35" spans="1:9" x14ac:dyDescent="0.2">
      <c r="B35" s="493" t="s">
        <v>6290</v>
      </c>
    </row>
  </sheetData>
  <sheetProtection algorithmName="SHA-512" hashValue="bJFX8HlpWd9kJwQ0m6BH9Tn1a3HxBV9pX8ojDDla+kxu9/LOhblw1NF/83h7FTOFBV1BajqgVM9Ysp+7mTXDiA==" saltValue="RQRM+RcYq9HvFofBcBbqDQ==" spinCount="100000" sheet="1" objects="1" scenarios="1"/>
  <mergeCells count="2">
    <mergeCell ref="A1:D1"/>
    <mergeCell ref="B29:C29"/>
  </mergeCells>
  <conditionalFormatting sqref="B19">
    <cfRule type="expression" dxfId="336" priority="4" stopIfTrue="1">
      <formula>ya=2011</formula>
    </cfRule>
  </conditionalFormatting>
  <conditionalFormatting sqref="C10:C11">
    <cfRule type="expression" dxfId="335" priority="1">
      <formula>$T$5=1</formula>
    </cfRule>
  </conditionalFormatting>
  <conditionalFormatting sqref="C19">
    <cfRule type="expression" dxfId="334" priority="2" stopIfTrue="1">
      <formula>ya=$C$12</formula>
    </cfRule>
  </conditionalFormatting>
  <conditionalFormatting sqref="C21 C24">
    <cfRule type="expression" dxfId="333" priority="3" stopIfTrue="1">
      <formula>$E$21=nob</formula>
    </cfRule>
  </conditionalFormatting>
  <dataValidations count="9">
    <dataValidation type="list" operator="greaterThanOrEqual" allowBlank="1" showInputMessage="1" showErrorMessage="1" errorTitle="Certificate number" error="Please enter the correct reference!" sqref="C7" xr:uid="{00000000-0002-0000-5B00-000000000000}">
      <formula1>$T$3:$T$4</formula1>
    </dataValidation>
    <dataValidation type="decimal" allowBlank="1" showInputMessage="1" showErrorMessage="1" errorTitle="Approved percentage" error="Credit is capped at 50% of the eligible costs_x000a_" sqref="C14" xr:uid="{00000000-0002-0000-5B00-000001000000}">
      <formula1>0</formula1>
      <formula2>0.5</formula2>
    </dataValidation>
    <dataValidation type="textLength" operator="greaterThanOrEqual" allowBlank="1" showInputMessage="1" showErrorMessage="1" errorTitle="Certificate number" error="Please enter the correct reference!" sqref="C10 C8" xr:uid="{00000000-0002-0000-5B00-000002000000}">
      <formula1>5</formula1>
    </dataValidation>
    <dataValidation type="list" showInputMessage="1" showErrorMessage="1" sqref="D27 D29" xr:uid="{00000000-0002-0000-5B00-000003000000}">
      <formula1>yn</formula1>
    </dataValidation>
    <dataValidation type="whole" allowBlank="1" showInputMessage="1" showErrorMessage="1" errorTitle="First year of assessment" error="Please enter the correct year of assessment expressed as four digits!" sqref="C12" xr:uid="{00000000-0002-0000-5B00-000004000000}">
      <formula1>2018</formula1>
      <formula2>O2</formula2>
    </dataValidation>
    <dataValidation type="date" errorStyle="warning" allowBlank="1" showInputMessage="1" showErrorMessage="1" errorTitle="Date of approval" error="Please enter the correct date!" promptTitle="Date format" prompt="dd/mm/yyyy" sqref="C9" xr:uid="{00000000-0002-0000-5B00-000005000000}">
      <formula1>O6</formula1>
      <formula2>O7</formula2>
    </dataValidation>
    <dataValidation type="date" errorStyle="warning" allowBlank="1" showInputMessage="1" showErrorMessage="1" errorTitle="Date of approval" error="Please enter the correct date!" promptTitle="Date format" prompt="dd/mm/yyyy" sqref="C11" xr:uid="{00000000-0002-0000-5B00-000006000000}">
      <formula1>O6</formula1>
      <formula2>O7</formula2>
    </dataValidation>
    <dataValidation type="whole" allowBlank="1" showInputMessage="1" showErrorMessage="1" errorTitle="Tax credit utilised" error="Cannot be more than tax credits available!" sqref="C21" xr:uid="{00000000-0002-0000-5B00-000007000000}">
      <formula1>0</formula1>
      <formula2>C20</formula2>
    </dataValidation>
    <dataValidation type="whole" errorStyle="warning" allowBlank="1" showInputMessage="1" showErrorMessage="1" errorTitle="Income relieved by tax credit" error="Are you sure the amount entered is correct?" sqref="C24" xr:uid="{00000000-0002-0000-5B00-000008000000}">
      <formula1>P24</formula1>
      <formula2>O24</formula2>
    </dataValidation>
  </dataValidations>
  <hyperlinks>
    <hyperlink ref="B35" location="Index!B77" display="B A C K   T O   I N D E X" xr:uid="{00000000-0004-0000-5B00-000000000000}"/>
    <hyperlink ref="D21" location="'TRA35'!A27" display="TRA 35" xr:uid="{00000000-0004-0000-5B00-000001000000}"/>
    <hyperlink ref="D24" location="'TRA35'!A27" display="TRA 35" xr:uid="{00000000-0004-0000-5B00-000002000000}"/>
  </hyperlinks>
  <pageMargins left="0.7" right="0.7" top="0.75" bottom="0.75" header="0.3" footer="0.3"/>
  <pageSetup paperSize="9" orientation="portrait" r:id="rId1"/>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00"/>
  <dimension ref="A1:AN63"/>
  <sheetViews>
    <sheetView topLeftCell="A21" workbookViewId="0">
      <selection activeCell="A48" sqref="A48"/>
    </sheetView>
  </sheetViews>
  <sheetFormatPr defaultColWidth="0" defaultRowHeight="12.75" customHeight="1" zeroHeight="1" x14ac:dyDescent="0.2"/>
  <cols>
    <col min="1" max="1" width="0.7109375" style="1736" customWidth="1"/>
    <col min="2" max="4" width="8" style="1393" customWidth="1"/>
    <col min="5" max="7" width="13.7109375" style="1736" customWidth="1"/>
    <col min="8" max="8" width="14.28515625" style="1769" customWidth="1"/>
    <col min="9" max="9" width="12.28515625" style="1736" customWidth="1"/>
    <col min="10" max="10" width="6.28515625" style="1769" customWidth="1"/>
    <col min="11" max="11" width="10" style="1736" customWidth="1"/>
    <col min="12" max="12" width="23.7109375" style="1736" customWidth="1"/>
    <col min="13" max="13" width="0.7109375" style="1736" customWidth="1"/>
    <col min="14" max="14" width="12.42578125" style="1736" hidden="1" customWidth="1"/>
    <col min="15" max="15" width="10.5703125" style="1736" hidden="1" customWidth="1"/>
    <col min="16" max="16" width="3.5703125" style="1736" hidden="1" customWidth="1"/>
    <col min="17" max="17" width="10.28515625" style="1736" hidden="1" customWidth="1"/>
    <col min="18" max="18" width="9.7109375" style="1736" hidden="1" customWidth="1"/>
    <col min="19" max="34" width="8.28515625" style="1736" hidden="1" customWidth="1"/>
    <col min="35" max="35" width="28.42578125" style="1736" hidden="1" customWidth="1"/>
    <col min="36" max="40" width="5" style="1736" hidden="1" customWidth="1"/>
    <col min="41" max="16384" width="12.28515625" style="1736" hidden="1"/>
  </cols>
  <sheetData>
    <row r="1" spans="1:38" s="66" customFormat="1" ht="12" x14ac:dyDescent="0.2">
      <c r="A1" s="1935"/>
      <c r="B1" s="4687" t="str">
        <f>_ref1</f>
      </c>
      <c r="C1" s="4687"/>
      <c r="D1" s="4687"/>
      <c r="E1" s="4687"/>
      <c r="F1" s="4687"/>
      <c r="G1" s="4687"/>
      <c r="H1" s="4687"/>
      <c r="I1" s="4687"/>
      <c r="J1" s="4687"/>
      <c r="K1" s="1938"/>
      <c r="L1" s="1938" t="str">
        <f>_YA1</f>
      </c>
      <c r="M1" s="1935"/>
      <c r="O1" s="2068">
        <v>42894</v>
      </c>
      <c r="Q1" s="66">
        <f>ya-1</f>
      </c>
      <c r="R1" s="2075"/>
      <c r="U1" s="2076" t="s">
        <v>7458</v>
      </c>
    </row>
    <row r="2" spans="1:38" x14ac:dyDescent="0.2">
      <c r="A2" s="1942"/>
      <c r="B2" s="2247"/>
      <c r="C2" s="2247"/>
      <c r="D2" s="2247"/>
      <c r="E2" s="1942"/>
      <c r="F2" s="1942"/>
      <c r="G2" s="1942"/>
      <c r="H2" s="1942"/>
      <c r="I2" s="1942"/>
      <c r="J2" s="1942"/>
      <c r="K2" s="1942"/>
      <c r="L2" s="1942"/>
      <c r="M2" s="1942"/>
      <c r="O2" s="1761">
        <f>DATE(MIN(Q1,Q2),12,31)</f>
      </c>
      <c r="Q2" s="1736">
        <v>2020</v>
      </c>
      <c r="S2" s="1736" t="s">
        <v>5828</v>
      </c>
    </row>
    <row r="3" spans="1:38" ht="31.5" customHeight="1" x14ac:dyDescent="0.2">
      <c r="A3" s="1942"/>
      <c r="B3" s="5285" t="s">
        <v>8313</v>
      </c>
      <c r="C3" s="5285"/>
      <c r="D3" s="5285"/>
      <c r="E3" s="5285"/>
      <c r="F3" s="5285"/>
      <c r="G3" s="5285"/>
      <c r="H3" s="5285"/>
      <c r="I3" s="5285"/>
      <c r="J3" s="5285"/>
      <c r="K3" s="5285"/>
      <c r="L3" s="5285"/>
      <c r="M3" s="1942"/>
      <c r="O3" s="2068">
        <v>44196</v>
      </c>
      <c r="S3" s="1736" t="s">
        <v>3275</v>
      </c>
    </row>
    <row r="4" spans="1:38" x14ac:dyDescent="0.2">
      <c r="A4" s="1942"/>
      <c r="B4" s="2247"/>
      <c r="C4" s="2247"/>
      <c r="D4" s="2247"/>
      <c r="E4" s="1942"/>
      <c r="F4" s="1942"/>
      <c r="G4" s="1942"/>
      <c r="H4" s="2253"/>
      <c r="I4" s="1942"/>
      <c r="J4" s="2253"/>
      <c r="K4" s="1942"/>
      <c r="L4" s="1942"/>
      <c r="M4" s="1942"/>
      <c r="N4" s="1760" t="s">
        <v>7439</v>
      </c>
      <c r="Q4" s="1760" t="s">
        <v>7445</v>
      </c>
      <c r="S4" s="1736" t="s">
        <v>7450</v>
      </c>
      <c r="AJ4" s="1736" t="s">
        <v>4618</v>
      </c>
      <c r="AK4" s="1736" t="s">
        <v>4613</v>
      </c>
      <c r="AL4" s="1736" t="s">
        <v>4612</v>
      </c>
    </row>
    <row r="5" spans="1:38" ht="15.75" customHeight="1" x14ac:dyDescent="0.2">
      <c r="A5" s="1942"/>
      <c r="B5" s="2247"/>
      <c r="C5" s="2247"/>
      <c r="D5" s="2247"/>
      <c r="E5" s="1942"/>
      <c r="F5" s="1938" t="s">
        <v>3273</v>
      </c>
      <c r="G5" s="275"/>
      <c r="H5" s="2653" t="str">
        <f>IF(Q5=0,"",IF(G5="",re,""))</f>
        <v/>
      </c>
      <c r="I5" s="1942"/>
      <c r="J5" s="1942"/>
      <c r="K5" s="1942"/>
      <c r="L5" s="1942"/>
      <c r="M5" s="1942"/>
      <c r="N5" s="1736">
        <f>IF(H5="",0,1)</f>
      </c>
      <c r="Q5" s="1736">
        <f>SUM(Q6:Q49)</f>
      </c>
      <c r="S5" s="1736" t="s">
        <v>7451</v>
      </c>
      <c r="AB5" s="1736">
        <f>ya</f>
      </c>
      <c r="AI5" s="1195" t="s">
        <v>8306</v>
      </c>
      <c r="AJ5" s="1736">
        <v>0.45</v>
      </c>
      <c r="AK5" s="1736">
        <v>0.35</v>
      </c>
      <c r="AL5" s="1736">
        <v>0.25</v>
      </c>
    </row>
    <row r="6" spans="1:38" ht="12" customHeight="1" x14ac:dyDescent="0.2">
      <c r="A6" s="1942"/>
      <c r="B6" s="2247"/>
      <c r="C6" s="2247"/>
      <c r="D6" s="2247"/>
      <c r="E6" s="1942"/>
      <c r="F6" s="1938"/>
      <c r="G6" s="1938"/>
      <c r="H6" s="2654"/>
      <c r="I6" s="1942"/>
      <c r="J6" s="1942"/>
      <c r="K6" s="1942"/>
      <c r="L6" s="1942"/>
      <c r="M6" s="1942"/>
      <c r="S6" s="1736" t="s">
        <v>7452</v>
      </c>
      <c r="AI6" s="1195" t="s">
        <v>8307</v>
      </c>
      <c r="AJ6" s="1736">
        <v>0.6</v>
      </c>
      <c r="AK6" s="1736">
        <v>0.5</v>
      </c>
      <c r="AL6" s="1736">
        <v>0.4</v>
      </c>
    </row>
    <row r="7" spans="1:38" x14ac:dyDescent="0.2">
      <c r="A7" s="1942"/>
      <c r="B7" s="2247"/>
      <c r="C7" s="2247"/>
      <c r="D7" s="2247"/>
      <c r="E7" s="1942"/>
      <c r="F7" s="1942"/>
      <c r="G7" s="5284" t="s">
        <v>7446</v>
      </c>
      <c r="H7" s="5284"/>
      <c r="I7" s="4681" t="s">
        <v>8308</v>
      </c>
      <c r="J7" s="4681"/>
      <c r="K7" s="4681"/>
      <c r="L7" s="4681"/>
      <c r="M7" s="1943"/>
      <c r="S7" s="1736" t="s">
        <v>7457</v>
      </c>
      <c r="AA7" s="1736" t="s">
        <v>7448</v>
      </c>
      <c r="AB7" s="1736" t="s">
        <v>7449</v>
      </c>
      <c r="AC7" s="1736" t="s">
        <v>7003</v>
      </c>
      <c r="AI7" s="1195"/>
    </row>
    <row r="8" spans="1:38" x14ac:dyDescent="0.2">
      <c r="A8" s="1942"/>
      <c r="B8" s="2655" t="s">
        <v>3278</v>
      </c>
      <c r="C8" s="5279"/>
      <c r="D8" s="5280"/>
      <c r="E8" s="5281"/>
      <c r="F8" s="1942"/>
      <c r="G8" s="5282"/>
      <c r="H8" s="5282"/>
      <c r="I8" s="1943"/>
      <c r="J8" s="5283"/>
      <c r="K8" s="5282"/>
      <c r="L8" s="2653" t="str">
        <f>IF(AND(C8="",Q8=0),"",IF(AND(Q8&gt;0,Q8&lt;&gt;3),$S$4,IF(ya&gt;2021,$S$8,"")))</f>
        <v/>
      </c>
      <c r="M8" s="2653"/>
      <c r="N8" s="1736">
        <f>IF(L8="",0,IF(L8=S8,0,1))</f>
      </c>
      <c r="Q8" s="1736">
        <f>COUNTA(C8,G8,J8)</f>
      </c>
      <c r="S8" s="1736" t="s">
        <v>7464</v>
      </c>
      <c r="AA8" s="1736">
        <f>IF(J8="",0,YEAR(J8))</f>
      </c>
      <c r="AB8" s="1736">
        <f>IF(J8="",0,AA8+4)</f>
      </c>
      <c r="AC8" s="1736">
        <f>AB8+1</f>
      </c>
      <c r="AI8" s="1195"/>
    </row>
    <row r="9" spans="1:38" x14ac:dyDescent="0.2">
      <c r="A9" s="1942"/>
      <c r="B9" s="2655"/>
      <c r="C9" s="1936"/>
      <c r="D9" s="1936"/>
      <c r="E9" s="2239"/>
      <c r="F9" s="1942"/>
      <c r="G9" s="1935"/>
      <c r="H9" s="1935"/>
      <c r="I9" s="1943"/>
      <c r="J9" s="1943"/>
      <c r="K9" s="1943"/>
      <c r="L9" s="2654"/>
      <c r="M9" s="2654"/>
    </row>
    <row r="10" spans="1:38" x14ac:dyDescent="0.2">
      <c r="A10" s="1942"/>
      <c r="B10" s="2655" t="s">
        <v>3280</v>
      </c>
      <c r="C10" s="5279"/>
      <c r="D10" s="5280"/>
      <c r="E10" s="5281"/>
      <c r="F10" s="1942"/>
      <c r="G10" s="5282"/>
      <c r="H10" s="5282"/>
      <c r="I10" s="1943"/>
      <c r="J10" s="5283"/>
      <c r="K10" s="5282"/>
      <c r="L10" s="2653" t="str">
        <f>IF(AND(C10="",Q10=0),"",IF(AND(Q10&gt;0,Q10&lt;&gt;3),$S$4,IF(ya&gt;2021,$S$8,"")))</f>
        <v/>
      </c>
      <c r="M10" s="2653"/>
      <c r="N10" s="1736">
        <f>IF(L10="",0,IF(L10=S10,0,1))</f>
      </c>
      <c r="Q10" s="1736">
        <f>COUNTA(C10,G10,J10)</f>
      </c>
      <c r="AA10" s="1736">
        <f>IF(J10="",0,YEAR(J10))</f>
      </c>
      <c r="AB10" s="1736">
        <f>IF(J10="",0,AA10+4)</f>
      </c>
      <c r="AC10" s="1736">
        <f>IF(J10=0,0,AB10+1)</f>
      </c>
      <c r="AI10" s="1195"/>
    </row>
    <row r="11" spans="1:38" x14ac:dyDescent="0.2">
      <c r="A11" s="1942"/>
      <c r="B11" s="2655"/>
      <c r="C11" s="1936"/>
      <c r="D11" s="1936"/>
      <c r="E11" s="2239"/>
      <c r="F11" s="1942"/>
      <c r="G11" s="1935"/>
      <c r="H11" s="1943"/>
      <c r="I11" s="1943"/>
      <c r="J11" s="1943"/>
      <c r="K11" s="1943"/>
      <c r="L11" s="2654"/>
      <c r="M11" s="2654"/>
      <c r="AA11" s="1195"/>
      <c r="AB11" s="1198"/>
      <c r="AC11" s="1198"/>
      <c r="AD11" s="1198"/>
      <c r="AF11" s="1736" t="s">
        <v>3274</v>
      </c>
      <c r="AG11" s="1736" t="s">
        <v>3281</v>
      </c>
      <c r="AH11" s="1736" t="s">
        <v>3282</v>
      </c>
      <c r="AI11" s="1195"/>
    </row>
    <row r="12" spans="1:38" x14ac:dyDescent="0.2">
      <c r="A12" s="1942"/>
      <c r="B12" s="2655" t="s">
        <v>3283</v>
      </c>
      <c r="C12" s="5279"/>
      <c r="D12" s="5280"/>
      <c r="E12" s="5281"/>
      <c r="F12" s="1942"/>
      <c r="G12" s="5282"/>
      <c r="H12" s="5282"/>
      <c r="I12" s="1943"/>
      <c r="J12" s="5283"/>
      <c r="K12" s="5282"/>
      <c r="L12" s="2653" t="str">
        <f>IF(AND(C12="",Q12=0),"",IF(AND(Q12&gt;0,Q12&lt;&gt;3),$S$4,IF(ya&gt;2021,$S$8,"")))</f>
        <v/>
      </c>
      <c r="M12" s="2653"/>
      <c r="N12" s="1736">
        <f>IF(L12="",0,IF(L12=S12,0,1))</f>
      </c>
      <c r="Q12" s="1736">
        <f>COUNTA(C12,G12,J12)</f>
      </c>
      <c r="AA12" s="1736">
        <f>IF(J12="",0,YEAR(J12))</f>
      </c>
      <c r="AB12" s="1736">
        <f>IF(J12="",0,AA12+4)</f>
      </c>
      <c r="AC12" s="1736">
        <f>IF(J12=0,0,AB12+1)</f>
      </c>
    </row>
    <row r="13" spans="1:38" x14ac:dyDescent="0.2">
      <c r="A13" s="1942"/>
      <c r="B13" s="2247"/>
      <c r="C13" s="2247"/>
      <c r="D13" s="2247"/>
      <c r="E13" s="1942"/>
      <c r="F13" s="1942"/>
      <c r="G13" s="1942"/>
      <c r="H13" s="2253"/>
      <c r="I13" s="1942"/>
      <c r="J13" s="2253"/>
      <c r="K13" s="1942"/>
      <c r="L13" s="1942"/>
      <c r="M13" s="1942"/>
    </row>
    <row r="14" spans="1:38" ht="15" x14ac:dyDescent="0.2">
      <c r="A14" s="1942"/>
      <c r="B14" s="2247"/>
      <c r="C14" s="2247"/>
      <c r="D14" s="2247"/>
      <c r="E14" s="2972" t="s">
        <v>1594</v>
      </c>
      <c r="F14" s="2973"/>
      <c r="G14" s="2973"/>
      <c r="H14" s="2973"/>
      <c r="I14" s="2973"/>
      <c r="J14" s="2656"/>
      <c r="K14" s="2657"/>
      <c r="L14" s="2657"/>
      <c r="M14" s="2657"/>
      <c r="AA14" s="1736" t="s">
        <v>7453</v>
      </c>
      <c r="AC14" s="1778"/>
    </row>
    <row r="15" spans="1:38" ht="36" x14ac:dyDescent="0.2">
      <c r="A15" s="1942"/>
      <c r="B15" s="2247"/>
      <c r="C15" s="2247"/>
      <c r="D15" s="2247"/>
      <c r="E15" s="2974" t="s">
        <v>1595</v>
      </c>
      <c r="F15" s="2974" t="s">
        <v>3211</v>
      </c>
      <c r="G15" s="2974" t="s">
        <v>3210</v>
      </c>
      <c r="H15" s="2974" t="s">
        <v>1596</v>
      </c>
      <c r="I15" s="2974" t="s">
        <v>5889</v>
      </c>
      <c r="J15" s="2656"/>
      <c r="K15" s="2657"/>
      <c r="L15" s="2657"/>
      <c r="M15" s="2657"/>
      <c r="AA15" s="1736">
        <f>IF(AA8=0,0,AA8+1)</f>
      </c>
      <c r="AC15" s="1778"/>
      <c r="AD15" s="1778"/>
    </row>
    <row r="16" spans="1:38" x14ac:dyDescent="0.2">
      <c r="A16" s="1942"/>
      <c r="B16" s="2247"/>
      <c r="C16" s="2658"/>
      <c r="D16" s="2658"/>
      <c r="E16" s="2659"/>
      <c r="F16" s="2659"/>
      <c r="G16" s="2659"/>
      <c r="H16" s="2659"/>
      <c r="I16" s="2659"/>
      <c r="J16" s="2253"/>
      <c r="K16" s="2253"/>
      <c r="L16" s="1942"/>
      <c r="M16" s="1942"/>
      <c r="AA16" s="1736">
        <f>IF(AA10=0,0,AA10+1)</f>
      </c>
    </row>
    <row r="17" spans="1:29" x14ac:dyDescent="0.2">
      <c r="A17" s="1942"/>
      <c r="B17" s="2247"/>
      <c r="C17" s="2247"/>
      <c r="D17" s="2247" t="str">
        <f>IF(C8="","",B8)</f>
        <v/>
      </c>
      <c r="E17" s="2708"/>
      <c r="F17" s="2709"/>
      <c r="G17" s="2709"/>
      <c r="H17" s="2710"/>
      <c r="I17" s="2800">
        <f>ROUND((G17*H17),0)</f>
      </c>
      <c r="J17" s="2653" t="str">
        <f>IF(Q8=0,"",IF(AND(C8="",Q17&gt;0),$S$7,IF(AND(F17&gt;0,AA8+1&gt;=ya),$S$5,IF(AND(ya&gt;AC8,G17&lt;&gt;0),CONCATENATE($S$6,AC8,")"),IF(Q17&lt;&gt;4,$S$4,IF(G17+F17&gt;E17,$S$3,IF(H17&gt;T17,$S$2,"")))))))</f>
        <v/>
      </c>
      <c r="K17" s="2253"/>
      <c r="L17" s="2657"/>
      <c r="M17" s="2657"/>
      <c r="N17" s="1736">
        <f>IF(J17="",0,IF(OR(J17=$S$2,J17=$S$3),0,1))</f>
      </c>
      <c r="Q17" s="1887">
        <f>COUNTA(E17,F17,G17,H17)</f>
      </c>
      <c r="R17" s="1887">
        <f>E17-F17</f>
      </c>
      <c r="T17" s="1736" t="e">
        <f>VLOOKUP(VLOOKUP(D17,$B$8:$E$12,2,FALSE),tle_3,Y17,FALSE)</f>
      </c>
      <c r="Y17" s="66">
        <f>IF(G5=AF11,2,IF(G5=AG11,3,4))</f>
      </c>
      <c r="Z17" s="66"/>
      <c r="AA17" s="1736">
        <f>IF(AA12=0,0,AA12+1)</f>
      </c>
      <c r="AB17" s="1887"/>
      <c r="AC17" s="1778"/>
    </row>
    <row r="18" spans="1:29" x14ac:dyDescent="0.2">
      <c r="A18" s="1942"/>
      <c r="B18" s="2247"/>
      <c r="C18" s="2247"/>
      <c r="D18" s="2247"/>
      <c r="E18" s="2660"/>
      <c r="F18" s="2660"/>
      <c r="G18" s="2660"/>
      <c r="H18" s="2661"/>
      <c r="I18" s="2660"/>
      <c r="J18" s="2253"/>
      <c r="K18" s="2253"/>
      <c r="L18" s="2657"/>
      <c r="M18" s="2657"/>
      <c r="Y18" s="66"/>
      <c r="Z18" s="66"/>
    </row>
    <row r="19" spans="1:29" x14ac:dyDescent="0.2">
      <c r="A19" s="1942"/>
      <c r="B19" s="2247"/>
      <c r="C19" s="2247"/>
      <c r="D19" s="2247" t="str">
        <f>IF(C10="","",B10)</f>
        <v/>
      </c>
      <c r="E19" s="2708"/>
      <c r="F19" s="2709"/>
      <c r="G19" s="2709"/>
      <c r="H19" s="2710"/>
      <c r="I19" s="2800">
        <f>ROUND((G19*H19),0)</f>
      </c>
      <c r="J19" s="2653" t="str">
        <f>IF(Q10=0,"",IF(AND(C10="",Q19&gt;0),$S$7,IF(AND(F19&gt;0,AA10+1&gt;=ya),$S$5,IF(AND(ya&gt;AC10,G19&lt;&gt;0),CONCATENATE($S$6,AC10,")"),IF(Q19&lt;&gt;4,$S$4,IF(G19+F19&gt;E19,$S$3,IF(H19&gt;T19,$S$2,"")))))))</f>
        <v/>
      </c>
      <c r="K19" s="2253"/>
      <c r="L19" s="2657"/>
      <c r="M19" s="2657"/>
      <c r="N19" s="1736">
        <f>IF(J19="",0,IF(OR(J19=$S$2,J19=$S$3),0,1))</f>
      </c>
      <c r="Q19" s="1887">
        <f>COUNTA(E19,F19,G19,H19)</f>
      </c>
      <c r="R19" s="1887">
        <f>E19-F19</f>
      </c>
      <c r="T19" s="1736" t="e">
        <f>VLOOKUP(VLOOKUP(D19,$B$8:$E$12,2,FALSE),tle_3,Y19,FALSE)</f>
      </c>
      <c r="Y19" s="66">
        <f>IF(G5=AF11,2,IF(G5=AG11,3,4))</f>
      </c>
      <c r="Z19" s="66"/>
      <c r="AA19" s="66"/>
      <c r="AB19" s="1887"/>
    </row>
    <row r="20" spans="1:29" x14ac:dyDescent="0.2">
      <c r="A20" s="1942"/>
      <c r="B20" s="2247"/>
      <c r="C20" s="2247"/>
      <c r="D20" s="2247"/>
      <c r="E20" s="2189"/>
      <c r="F20" s="2660"/>
      <c r="G20" s="2660"/>
      <c r="H20" s="2661"/>
      <c r="I20" s="2660"/>
      <c r="J20" s="2253"/>
      <c r="K20" s="2253"/>
      <c r="L20" s="2657"/>
      <c r="M20" s="2657"/>
      <c r="Y20" s="66"/>
      <c r="Z20" s="66"/>
      <c r="AA20" s="66"/>
    </row>
    <row r="21" spans="1:29" x14ac:dyDescent="0.2">
      <c r="A21" s="1942"/>
      <c r="B21" s="2247"/>
      <c r="C21" s="2247"/>
      <c r="D21" s="2247" t="str">
        <f>IF(C12="","",B12)</f>
        <v/>
      </c>
      <c r="E21" s="2708"/>
      <c r="F21" s="2709"/>
      <c r="G21" s="2709"/>
      <c r="H21" s="2710"/>
      <c r="I21" s="2800">
        <f>ROUND((G21*H21),0)</f>
      </c>
      <c r="J21" s="2653" t="str">
        <f>IF(Q12=0,"",IF(AND(C12="",Q21&gt;0),$S$7,IF(AND(F21&gt;0,AA12+1&gt;=ya),$S$5,IF(AND(ya&gt;AC12,G21&lt;&gt;0),CONCATENATE($S$6,AC12,")"),IF(Q21&lt;&gt;4,$S$4,IF(G21+F21&gt;E21,$S$3,IF(H21&gt;T21,$S$2,"")))))))</f>
        <v/>
      </c>
      <c r="K21" s="2253"/>
      <c r="L21" s="2657"/>
      <c r="M21" s="2657"/>
      <c r="N21" s="1736">
        <f>IF(J21="",0,IF(OR(J21=$S$2,J21=$S$3),0,1))</f>
      </c>
      <c r="Q21" s="1887">
        <f>COUNTA(E21,F21,G21,H21)</f>
      </c>
      <c r="R21" s="1887">
        <f>E21-F21</f>
      </c>
      <c r="T21" s="1736" t="e">
        <f>VLOOKUP(VLOOKUP(D21,$B$8:$E$12,2,FALSE),tle_3,Y21,FALSE)</f>
      </c>
      <c r="Y21" s="66">
        <f>IF(G5=AF11,2,IF(G5=AG11,3,4))</f>
      </c>
      <c r="Z21" s="66"/>
      <c r="AA21" s="66"/>
      <c r="AB21" s="1887"/>
    </row>
    <row r="22" spans="1:29" x14ac:dyDescent="0.2">
      <c r="A22" s="1942"/>
      <c r="B22" s="2247"/>
      <c r="C22" s="2247"/>
      <c r="D22" s="2247"/>
      <c r="E22" s="1942"/>
      <c r="F22" s="1942"/>
      <c r="G22" s="1942"/>
      <c r="H22" s="2253"/>
      <c r="I22" s="2237"/>
      <c r="J22" s="2253"/>
      <c r="K22" s="2253"/>
      <c r="L22" s="1942"/>
      <c r="M22" s="1942"/>
      <c r="Y22" s="66"/>
      <c r="Z22" s="66"/>
      <c r="AA22" s="66"/>
    </row>
    <row r="23" spans="1:29" x14ac:dyDescent="0.2">
      <c r="A23" s="1942"/>
      <c r="B23" s="2247"/>
      <c r="C23" s="2247"/>
      <c r="D23" s="2247"/>
      <c r="E23" s="1942" t="s">
        <v>4990</v>
      </c>
      <c r="F23" s="1942"/>
      <c r="G23" s="1942"/>
      <c r="H23" s="2253"/>
      <c r="I23" s="2800">
        <f>SUM(I17,I19,I21)</f>
      </c>
      <c r="J23" s="2253"/>
      <c r="K23" s="2253"/>
      <c r="L23" s="1942"/>
      <c r="M23" s="1942"/>
      <c r="W23" s="1887"/>
      <c r="Y23" s="66"/>
      <c r="Z23" s="66"/>
      <c r="AA23" s="66"/>
      <c r="AB23" s="66"/>
    </row>
    <row r="24" spans="1:29" x14ac:dyDescent="0.2">
      <c r="A24" s="1942"/>
      <c r="B24" s="2247"/>
      <c r="C24" s="2247"/>
      <c r="D24" s="2247"/>
      <c r="E24" s="1942"/>
      <c r="F24" s="1942"/>
      <c r="G24" s="1942"/>
      <c r="H24" s="2253"/>
      <c r="I24" s="2660"/>
      <c r="J24" s="2253"/>
      <c r="K24" s="2253"/>
      <c r="L24" s="1942"/>
      <c r="M24" s="1942"/>
      <c r="Y24" s="66"/>
      <c r="Z24" s="66"/>
      <c r="AA24" s="66"/>
      <c r="AB24" s="66"/>
    </row>
    <row r="25" spans="1:29" x14ac:dyDescent="0.2">
      <c r="A25" s="1942"/>
      <c r="B25" s="2247"/>
      <c r="C25" s="2247"/>
      <c r="D25" s="2247"/>
      <c r="E25" s="1942" t="s">
        <v>4991</v>
      </c>
      <c r="F25" s="2257"/>
      <c r="G25" s="2257"/>
      <c r="H25" s="2253"/>
      <c r="I25" s="532"/>
      <c r="J25" s="2653" t="str">
        <f>IF(Q5=0,"",IF(I25="",reo,""))</f>
        <v/>
      </c>
      <c r="K25" s="2253"/>
      <c r="L25" s="2654"/>
      <c r="M25" s="2654"/>
      <c r="N25" s="1736">
        <f>IF(L25="",0,1)</f>
      </c>
      <c r="Q25" s="1887">
        <f>COUNTA(I25)</f>
      </c>
      <c r="Y25" s="66"/>
      <c r="Z25" s="66"/>
      <c r="AA25" s="66"/>
      <c r="AB25" s="66"/>
    </row>
    <row r="26" spans="1:29" x14ac:dyDescent="0.2">
      <c r="A26" s="1942"/>
      <c r="B26" s="2247"/>
      <c r="C26" s="2247"/>
      <c r="D26" s="2247"/>
      <c r="E26" s="1942"/>
      <c r="F26" s="1942"/>
      <c r="G26" s="1942"/>
      <c r="H26" s="2253"/>
      <c r="I26" s="2660"/>
      <c r="J26" s="2253"/>
      <c r="K26" s="2253"/>
      <c r="L26" s="1942"/>
      <c r="M26" s="1942"/>
      <c r="Y26" s="66"/>
      <c r="Z26" s="66"/>
      <c r="AA26" s="66"/>
      <c r="AB26" s="66"/>
    </row>
    <row r="27" spans="1:29" x14ac:dyDescent="0.2">
      <c r="A27" s="1942"/>
      <c r="B27" s="2247"/>
      <c r="C27" s="2247"/>
      <c r="D27" s="2247"/>
      <c r="E27" s="1942" t="s">
        <v>4992</v>
      </c>
      <c r="F27" s="1942"/>
      <c r="G27" s="1942"/>
      <c r="H27" s="2253"/>
      <c r="I27" s="2800">
        <f>IF(I23+I25&lt;0,0,I23+I25)</f>
      </c>
      <c r="J27" s="2253"/>
      <c r="K27" s="2253"/>
      <c r="L27" s="1942"/>
      <c r="M27" s="1942"/>
      <c r="Y27" s="66"/>
      <c r="Z27" s="66"/>
      <c r="AA27" s="66"/>
      <c r="AB27" s="66"/>
    </row>
    <row r="28" spans="1:29" x14ac:dyDescent="0.2">
      <c r="A28" s="1942"/>
      <c r="B28" s="2247"/>
      <c r="C28" s="2247"/>
      <c r="D28" s="2247"/>
      <c r="E28" s="1942"/>
      <c r="F28" s="1942"/>
      <c r="G28" s="1942"/>
      <c r="H28" s="2253"/>
      <c r="I28" s="1942"/>
      <c r="J28" s="2253"/>
      <c r="K28" s="2253"/>
      <c r="L28" s="2253"/>
      <c r="M28" s="2253"/>
      <c r="Y28" s="66"/>
      <c r="Z28" s="66"/>
      <c r="AA28" s="66"/>
      <c r="AB28" s="66"/>
    </row>
    <row r="29" spans="1:29" x14ac:dyDescent="0.2">
      <c r="A29" s="1942"/>
      <c r="B29" s="2247"/>
      <c r="C29" s="2247"/>
      <c r="D29" s="2247"/>
      <c r="E29" s="1942"/>
      <c r="F29" s="1942"/>
      <c r="G29" s="1942"/>
      <c r="H29" s="2253"/>
      <c r="I29" s="1942"/>
      <c r="J29" s="2253"/>
      <c r="K29" s="1942"/>
      <c r="L29" s="1942"/>
      <c r="M29" s="1942"/>
      <c r="Y29" s="66"/>
      <c r="Z29" s="66"/>
      <c r="AA29" s="66"/>
      <c r="AB29" s="66"/>
    </row>
    <row r="30" spans="1:29" ht="15" x14ac:dyDescent="0.2">
      <c r="A30" s="1942"/>
      <c r="B30" s="2247"/>
      <c r="C30" s="2247"/>
      <c r="D30" s="2247"/>
      <c r="E30" s="5276" t="s">
        <v>4996</v>
      </c>
      <c r="F30" s="5277"/>
      <c r="G30" s="5277"/>
      <c r="H30" s="5278"/>
      <c r="I30" s="1942"/>
      <c r="J30" s="2253"/>
      <c r="K30" s="1942"/>
      <c r="L30" s="1942"/>
      <c r="M30" s="1942"/>
      <c r="Y30" s="66"/>
      <c r="Z30" s="66"/>
      <c r="AA30" s="66"/>
      <c r="AB30" s="66"/>
    </row>
    <row r="31" spans="1:29" x14ac:dyDescent="0.2">
      <c r="A31" s="1942"/>
      <c r="B31" s="2247"/>
      <c r="C31" s="2247"/>
      <c r="D31" s="2247"/>
      <c r="E31" s="1942"/>
      <c r="F31" s="1942"/>
      <c r="G31" s="1942"/>
      <c r="H31" s="2253"/>
      <c r="I31" s="1942"/>
      <c r="J31" s="2253"/>
      <c r="K31" s="1942"/>
      <c r="L31" s="1942"/>
      <c r="M31" s="1942"/>
      <c r="Y31" s="66"/>
      <c r="Z31" s="66"/>
      <c r="AA31" s="66"/>
      <c r="AB31" s="66"/>
    </row>
    <row r="32" spans="1:29" x14ac:dyDescent="0.2">
      <c r="A32" s="1942"/>
      <c r="B32" s="2247"/>
      <c r="C32" s="2247"/>
      <c r="D32" s="2247"/>
      <c r="E32" s="1935" t="s">
        <v>6221</v>
      </c>
      <c r="F32" s="2189"/>
      <c r="G32" s="2189"/>
      <c r="H32" s="2800">
        <f>I27</f>
      </c>
      <c r="I32" s="1942"/>
      <c r="J32" s="1942"/>
      <c r="K32" s="1942"/>
      <c r="L32" s="1942"/>
      <c r="M32" s="1942"/>
      <c r="Y32" s="66"/>
      <c r="Z32" s="66"/>
      <c r="AA32" s="66"/>
      <c r="AB32" s="66"/>
    </row>
    <row r="33" spans="1:28" x14ac:dyDescent="0.2">
      <c r="A33" s="1942"/>
      <c r="B33" s="2247"/>
      <c r="C33" s="2247"/>
      <c r="D33" s="2247"/>
      <c r="E33" s="2650"/>
      <c r="F33" s="1935"/>
      <c r="G33" s="1942"/>
      <c r="H33" s="1942"/>
      <c r="I33" s="1942"/>
      <c r="J33" s="1942"/>
      <c r="K33" s="1942"/>
      <c r="L33" s="1942"/>
      <c r="M33" s="1942"/>
      <c r="Y33" s="66"/>
      <c r="Z33" s="66"/>
      <c r="AA33" s="66"/>
      <c r="AB33" s="66"/>
    </row>
    <row r="34" spans="1:28" x14ac:dyDescent="0.2">
      <c r="A34" s="1942"/>
      <c r="B34" s="2247"/>
      <c r="C34" s="2247"/>
      <c r="D34" s="2247"/>
      <c r="E34" s="1935" t="s">
        <v>6222</v>
      </c>
      <c r="F34" s="2189"/>
      <c r="G34" s="2189"/>
      <c r="H34" s="2708"/>
      <c r="I34" s="2653" t="str">
        <f>IF(Q5=0,"",IF(AND(ya&lt;=MIN(AA15:AA17),H34&lt;&gt;0),S5,IF(H34="",reo,"")))</f>
        <v/>
      </c>
      <c r="J34" s="1942"/>
      <c r="K34" s="1942"/>
      <c r="L34" s="1942"/>
      <c r="M34" s="1942"/>
      <c r="N34" s="1736">
        <f>IF(I34="",0,1)</f>
      </c>
      <c r="Q34" s="1887">
        <f>COUNTA(H34)</f>
      </c>
      <c r="R34" s="1736">
        <f>IF(ya=2010,0,9.99999999999999E+23)</f>
      </c>
      <c r="Y34" s="66"/>
      <c r="Z34" s="66"/>
      <c r="AA34" s="66"/>
      <c r="AB34" s="66"/>
    </row>
    <row r="35" spans="1:28" x14ac:dyDescent="0.2">
      <c r="A35" s="1942"/>
      <c r="B35" s="2247"/>
      <c r="C35" s="2247"/>
      <c r="D35" s="2247"/>
      <c r="E35" s="1935"/>
      <c r="F35" s="1935"/>
      <c r="G35" s="1942"/>
      <c r="H35" s="1942"/>
      <c r="I35" s="1942"/>
      <c r="J35" s="1942"/>
      <c r="K35" s="1942"/>
      <c r="L35" s="1942"/>
      <c r="M35" s="1942"/>
    </row>
    <row r="36" spans="1:28" x14ac:dyDescent="0.2">
      <c r="A36" s="1942"/>
      <c r="B36" s="2247"/>
      <c r="C36" s="2247"/>
      <c r="D36" s="2247"/>
      <c r="E36" s="1935" t="s">
        <v>7456</v>
      </c>
      <c r="F36" s="1935"/>
      <c r="G36" s="1942"/>
      <c r="H36" s="2800">
        <f>IF(H34="",0,H32+H34)</f>
      </c>
      <c r="I36" s="1942"/>
      <c r="J36" s="1942"/>
      <c r="K36" s="1942"/>
      <c r="L36" s="1942"/>
      <c r="M36" s="1942"/>
    </row>
    <row r="37" spans="1:28" x14ac:dyDescent="0.2">
      <c r="A37" s="1942"/>
      <c r="B37" s="2247"/>
      <c r="C37" s="2247"/>
      <c r="D37" s="2247"/>
      <c r="E37" s="1935"/>
      <c r="F37" s="1935"/>
      <c r="G37" s="1942"/>
      <c r="H37" s="1942"/>
      <c r="I37" s="1942"/>
      <c r="J37" s="1942"/>
      <c r="K37" s="1942"/>
      <c r="L37" s="1942"/>
      <c r="M37" s="1942"/>
    </row>
    <row r="38" spans="1:28" x14ac:dyDescent="0.2">
      <c r="A38" s="1942"/>
      <c r="B38" s="2247"/>
      <c r="C38" s="1943"/>
      <c r="D38" s="2662" t="s">
        <v>5145</v>
      </c>
      <c r="E38" s="1935" t="s">
        <v>6223</v>
      </c>
      <c r="F38" s="1935"/>
      <c r="G38" s="2663" t="s">
        <v>951</v>
      </c>
      <c r="H38" s="532"/>
      <c r="I38" s="2653" t="str">
        <f>IF(Q5=0,"",IF(H38="",reo,""))</f>
        <v/>
      </c>
      <c r="J38" s="1942"/>
      <c r="K38" s="1942"/>
      <c r="L38" s="1942"/>
      <c r="M38" s="1942"/>
      <c r="N38" s="1736">
        <f>IF(I38="",0,1)</f>
      </c>
      <c r="Q38" s="1887">
        <f>COUNTA(H38)</f>
      </c>
    </row>
    <row r="39" spans="1:28" x14ac:dyDescent="0.2">
      <c r="A39" s="1942"/>
      <c r="B39" s="2247"/>
      <c r="C39" s="2247"/>
      <c r="D39" s="2247"/>
      <c r="E39" s="1935"/>
      <c r="F39" s="1935"/>
      <c r="G39" s="1942"/>
      <c r="H39" s="1942"/>
      <c r="I39" s="1942"/>
      <c r="J39" s="1942"/>
      <c r="K39" s="1942"/>
      <c r="L39" s="1942"/>
      <c r="M39" s="1942"/>
    </row>
    <row r="40" spans="1:28" x14ac:dyDescent="0.2">
      <c r="A40" s="1942"/>
      <c r="B40" s="2247"/>
      <c r="C40" s="2247"/>
      <c r="D40" s="2247"/>
      <c r="E40" s="1935" t="s">
        <v>3566</v>
      </c>
      <c r="F40" s="1935"/>
      <c r="G40" s="1942"/>
      <c r="H40" s="2800">
        <f>IF(H36-H38&lt;0,0,(H36-H38))</f>
      </c>
      <c r="I40" s="1942"/>
      <c r="J40" s="1942"/>
      <c r="K40" s="1942"/>
      <c r="L40" s="1942"/>
      <c r="M40" s="1942"/>
    </row>
    <row r="41" spans="1:28" x14ac:dyDescent="0.2">
      <c r="A41" s="1942"/>
      <c r="B41" s="2247"/>
      <c r="C41" s="2247"/>
      <c r="D41" s="2247"/>
      <c r="E41" s="1935"/>
      <c r="F41" s="1935"/>
      <c r="G41" s="1942"/>
      <c r="H41" s="1942"/>
      <c r="I41" s="1942"/>
      <c r="J41" s="1942"/>
      <c r="K41" s="1942"/>
      <c r="L41" s="1942"/>
      <c r="M41" s="1942"/>
    </row>
    <row r="42" spans="1:28" ht="14.25" x14ac:dyDescent="0.2">
      <c r="A42" s="2664"/>
      <c r="B42" s="2975" t="s">
        <v>7455</v>
      </c>
      <c r="C42" s="2665"/>
      <c r="D42" s="2665"/>
      <c r="E42" s="2665"/>
      <c r="F42" s="2665"/>
      <c r="G42" s="2665"/>
      <c r="H42" s="2665"/>
      <c r="I42" s="2665"/>
      <c r="J42" s="2976" t="s">
        <v>951</v>
      </c>
      <c r="K42" s="2708"/>
      <c r="L42" s="2666" t="str">
        <f>IF(Q5=0,"",IF(AND(H38&gt;=0,K42=""),reo,IF(AND(H38=0,K42&gt;0),"No tax credit claimed !",IF(AND(H38&gt;0,K42=0),"Amount relieved by tax credit required!",IF(K42&lt;0,"Cannot be negative!",IF(OR(K42&gt;U45,K42&lt;V45),W45,""))))))</f>
        <v/>
      </c>
      <c r="M42" s="2666"/>
      <c r="N42" s="1736">
        <f>IF(L42=re,1,0)</f>
      </c>
      <c r="Q42" s="1887">
        <f>COUNTA(K42)</f>
      </c>
    </row>
    <row r="43" spans="1:28" x14ac:dyDescent="0.2">
      <c r="A43" s="1942"/>
      <c r="B43" s="2247"/>
      <c r="C43" s="2247"/>
      <c r="D43" s="2247"/>
      <c r="E43" s="2667"/>
      <c r="F43" s="2667"/>
      <c r="G43" s="2667"/>
      <c r="H43" s="2667"/>
      <c r="I43" s="2667"/>
      <c r="J43" s="2667"/>
      <c r="K43" s="2667"/>
      <c r="L43" s="1942"/>
      <c r="M43" s="1942"/>
    </row>
    <row r="44" spans="1:28" ht="14.25" x14ac:dyDescent="0.2">
      <c r="A44" s="1942"/>
      <c r="B44" s="1936" t="s">
        <v>3570</v>
      </c>
      <c r="C44" s="1936"/>
      <c r="D44" s="1936"/>
      <c r="E44" s="1936"/>
      <c r="F44" s="1942"/>
      <c r="G44" s="1942"/>
      <c r="H44" s="2253"/>
      <c r="I44" s="1137"/>
      <c r="J44" s="2653" t="str">
        <f>IF(Q5=0,"",IF(I44="",re,IF(I44=n,"No Benefit!!","")))</f>
        <v/>
      </c>
      <c r="K44" s="2667"/>
      <c r="L44" s="2664"/>
      <c r="M44" s="2664"/>
      <c r="N44" s="1736">
        <f>IF(J44="",0,1)</f>
      </c>
      <c r="Q44" s="1887">
        <f>COUNTA(I44)</f>
      </c>
      <c r="R44" s="1736" t="s">
        <v>4457</v>
      </c>
      <c r="U44" s="5124" t="s">
        <v>7073</v>
      </c>
      <c r="V44" s="5125"/>
      <c r="W44" s="5126"/>
    </row>
    <row r="45" spans="1:28" x14ac:dyDescent="0.2">
      <c r="A45" s="1942"/>
      <c r="B45" s="2247"/>
      <c r="C45" s="2247"/>
      <c r="D45" s="2247"/>
      <c r="E45" s="2257"/>
      <c r="F45" s="2257"/>
      <c r="G45" s="2257"/>
      <c r="H45" s="2257"/>
      <c r="I45" s="2257"/>
      <c r="J45" s="2257"/>
      <c r="K45" s="2257"/>
      <c r="L45" s="2257"/>
      <c r="M45" s="2257"/>
      <c r="N45" s="1736">
        <f>IF(I46="",0,1)</f>
      </c>
      <c r="R45" s="1736" t="s">
        <v>1736</v>
      </c>
      <c r="U45" s="1807">
        <f>ROUND(H38/5%,0)+1</f>
      </c>
      <c r="V45" s="1770">
        <f>ROUND(H38/0.35,0)-1</f>
      </c>
      <c r="W45" s="1884" t="s">
        <v>4787</v>
      </c>
    </row>
    <row r="46" spans="1:28" s="66" customFormat="1" x14ac:dyDescent="0.2">
      <c r="A46" s="1935"/>
      <c r="B46" s="2247"/>
      <c r="C46" s="2247"/>
      <c r="D46" s="2247"/>
      <c r="E46" s="2667"/>
      <c r="F46" s="2667"/>
      <c r="G46" s="1926" t="s">
        <v>4456</v>
      </c>
      <c r="H46" s="1137"/>
      <c r="I46" s="2653" t="str">
        <f>IF(Q5=0,"",IF(H46="",re,""))</f>
        <v/>
      </c>
      <c r="J46" s="1935"/>
      <c r="K46" s="1935"/>
      <c r="L46" s="1935"/>
      <c r="M46" s="1935"/>
      <c r="N46" s="66">
        <f>SUM(N1:N45)</f>
      </c>
      <c r="Q46" s="1887">
        <f>COUNTA(H46)</f>
      </c>
    </row>
    <row r="47" spans="1:28" x14ac:dyDescent="0.2">
      <c r="A47" s="1942"/>
      <c r="B47" s="1936" t="str">
        <f>_xlfn.SINGLE(MTCA)</f>
      </c>
      <c r="C47" s="1936"/>
      <c r="D47" s="1936"/>
      <c r="E47" s="1935"/>
      <c r="F47" s="1935"/>
      <c r="G47" s="1935" t="str">
        <f>ver</f>
        <v>TA2_e-CO_2025_Ver 1.1</v>
      </c>
      <c r="H47" s="1943"/>
      <c r="I47" s="1935"/>
      <c r="J47" s="1943"/>
      <c r="K47" s="1935"/>
      <c r="L47" s="1938" t="s">
        <v>8303</v>
      </c>
      <c r="M47" s="1938"/>
      <c r="N47" s="1742">
        <f>IF(AND(Q5=0,N46=0),0,IF(AND(N46=0,H46=R44),1,100))</f>
      </c>
    </row>
    <row r="48" spans="1:28" ht="15" x14ac:dyDescent="0.2">
      <c r="A48" s="1942"/>
      <c r="B48" s="2668" t="s">
        <v>365</v>
      </c>
      <c r="C48" s="2668"/>
      <c r="D48" s="2668"/>
      <c r="E48" s="1942"/>
      <c r="F48" s="1942"/>
      <c r="G48" s="1942"/>
      <c r="H48" s="2253"/>
      <c r="I48" s="1942"/>
      <c r="J48" s="2253"/>
      <c r="K48" s="1942"/>
      <c r="L48" s="1942"/>
      <c r="M48" s="1942"/>
    </row>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sheetData>
  <sheetProtection algorithmName="SHA-512" hashValue="8kzDWehf3awB+43ryAE04lNkPn5zwgJQLYJrFcNRj77Z8ZTBpzqCiPkOCfcBgWaCC0+uEnUyinncLhQLCGi0wg==" saltValue="oVtoPBJJaTCSqO/8biDXeA==" spinCount="100000" sheet="1" objects="1" scenarios="1"/>
  <mergeCells count="15">
    <mergeCell ref="B1:J1"/>
    <mergeCell ref="G7:H7"/>
    <mergeCell ref="I7:L7"/>
    <mergeCell ref="C8:E8"/>
    <mergeCell ref="G8:H8"/>
    <mergeCell ref="J8:K8"/>
    <mergeCell ref="B3:L3"/>
    <mergeCell ref="E30:H30"/>
    <mergeCell ref="U44:W44"/>
    <mergeCell ref="C10:E10"/>
    <mergeCell ref="G10:H10"/>
    <mergeCell ref="J10:K10"/>
    <mergeCell ref="C12:E12"/>
    <mergeCell ref="G12:H12"/>
    <mergeCell ref="J12:K12"/>
  </mergeCells>
  <conditionalFormatting sqref="L8:M8">
    <cfRule type="expression" dxfId="332" priority="3">
      <formula>$L$8=$S$8</formula>
    </cfRule>
  </conditionalFormatting>
  <conditionalFormatting sqref="L10:M10">
    <cfRule type="expression" dxfId="331" priority="2">
      <formula>$L$8=$S$8</formula>
    </cfRule>
  </conditionalFormatting>
  <conditionalFormatting sqref="L12:M12">
    <cfRule type="expression" dxfId="330" priority="1">
      <formula>$L$8=$S$8</formula>
    </cfRule>
  </conditionalFormatting>
  <dataValidations count="15">
    <dataValidation type="date" errorStyle="warning" allowBlank="1" showInputMessage="1" showErrorMessage="1" errorTitle="Certificate date" error="Date is before 8 June 2017 or after the current year of assessment or 31/12/2020!_x000a_" prompt="dd/mm/yyyy" sqref="J8:K8" xr:uid="{00000000-0002-0000-5C00-000000000000}">
      <formula1>$O$1</formula1>
      <formula2>O2</formula2>
    </dataValidation>
    <dataValidation type="date" errorStyle="warning" allowBlank="1" showInputMessage="1" showErrorMessage="1" errorTitle="Certificate date" error="Date is before 8 June 2017 or after the current year of assessment or 31/12/2020!_x000a_" prompt="dd/mm/yyyy" sqref="J10:K10" xr:uid="{00000000-0002-0000-5C00-000001000000}">
      <formula1>$O$1</formula1>
      <formula2>O2</formula2>
    </dataValidation>
    <dataValidation type="textLength" operator="greaterThanOrEqual" allowBlank="1" showInputMessage="1" showErrorMessage="1" errorTitle="Entitlement Certificate Number" error="Enter correct details!" sqref="G10:H10 G8:H8 G12:H12" xr:uid="{00000000-0002-0000-5C00-000002000000}">
      <formula1>4</formula1>
    </dataValidation>
    <dataValidation type="list" allowBlank="1" showInputMessage="1" showErrorMessage="1" sqref="C8:E8 C12:E12 C10:E10" xr:uid="{00000000-0002-0000-5C00-000003000000}">
      <formula1>$AI$4:$AI$6</formula1>
    </dataValidation>
    <dataValidation type="whole" allowBlank="1" showInputMessage="1" showErrorMessage="1" errorTitle="Tax credit brought forward" error="Please enter a positive value!_x000a_OR_x000a_No value expected for the Y/A 2010!" sqref="H34" xr:uid="{00000000-0002-0000-5C00-000004000000}">
      <formula1>0</formula1>
      <formula2>R34</formula2>
    </dataValidation>
    <dataValidation type="whole" errorStyle="warning" allowBlank="1" showInputMessage="1" showErrorMessage="1" errorTitle="Income Relieved by tax credit" error="Ensure that the value entered is not excessive!" sqref="K42" xr:uid="{00000000-0002-0000-5C00-000005000000}">
      <formula1>0</formula1>
      <formula2>P42</formula2>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G17 G19 G21" xr:uid="{00000000-0002-0000-5C00-000006000000}">
      <formula1>0</formula1>
      <formula2>R17</formula2>
    </dataValidation>
    <dataValidation type="decimal" errorStyle="warning" operator="lessThanOrEqual" allowBlank="1" showInputMessage="1" showErrorMessage="1" errorTitle="Tax credit rate" error="Excessive?" promptTitle="Tax credit rate" prompt="Value expressed as a percentage" sqref="H17 H19 H21" xr:uid="{00000000-0002-0000-5C00-000007000000}">
      <formula1>T17</formula1>
    </dataValidation>
    <dataValidation type="whole" allowBlank="1" showInputMessage="1" showErrorMessage="1" errorTitle="Eligible Costs - Previous years" error="Please enter a positive value that does not exceed approved amount!_x000a__x000a_" promptTitle="Eligible costs - previous years" prompt="Please enter value that does not exceed approved amount OR 0. " sqref="F17 F19 F21" xr:uid="{00000000-0002-0000-5C00-000008000000}">
      <formula1>0</formula1>
      <formula2>E17</formula2>
    </dataValidation>
    <dataValidation type="whole" allowBlank="1" showInputMessage="1" showErrorMessage="1" errorTitle="Tax credit utilised" error="Please enter a postive value which is less than or equal to the tax credit available!_x000a_ " sqref="H38" xr:uid="{00000000-0002-0000-5C00-000009000000}">
      <formula1>0</formula1>
      <formula2>H36</formula2>
    </dataValidation>
    <dataValidation type="list" allowBlank="1" showInputMessage="1" showErrorMessage="1" sqref="H46 I44" xr:uid="{00000000-0002-0000-5C00-00000A000000}">
      <formula1>$R$43:$R$45</formula1>
    </dataValidation>
    <dataValidation type="whole" operator="lessThanOrEqual" allowBlank="1" showInputMessage="1" showErrorMessage="1" errorTitle="State Aid Claimed elsewhere" error="Please enter a negative value!" sqref="I25" xr:uid="{00000000-0002-0000-5C00-00000B000000}">
      <formula1>0</formula1>
    </dataValidation>
    <dataValidation type="list" allowBlank="1" showInputMessage="1" showErrorMessage="1" sqref="G5" xr:uid="{00000000-0002-0000-5C00-00000C000000}">
      <formula1>$AE$11:$AH$11</formula1>
    </dataValidation>
    <dataValidation type="whole" operator="greaterThanOrEqual" allowBlank="1" showInputMessage="1" showErrorMessage="1" errorTitle="Approved value" error="Please enter a positive amount!" sqref="E17 E21 E19" xr:uid="{00000000-0002-0000-5C00-00000D000000}">
      <formula1>0</formula1>
    </dataValidation>
    <dataValidation type="date" errorStyle="warning" allowBlank="1" showInputMessage="1" showErrorMessage="1" errorTitle="Certificate date" error="Date is before 8 June 2017 or after the current year of assessment or 31/12/2020!_x000a_" prompt="dd/mm/yyyy" sqref="J12:K12" xr:uid="{00000000-0002-0000-5C00-00000E000000}">
      <formula1>$O$1</formula1>
      <formula2>O2</formula2>
    </dataValidation>
  </dataValidations>
  <hyperlinks>
    <hyperlink ref="B48" location="Index!A72" display="Back to Index" xr:uid="{00000000-0004-0000-5C00-000000000000}"/>
    <hyperlink ref="G38" location="TRA35!A1" display="TRA 35" xr:uid="{00000000-0004-0000-5C00-000001000000}"/>
    <hyperlink ref="J42" location="TRA35!A1" display="TRA 35" xr:uid="{00000000-0004-0000-5C00-000002000000}"/>
  </hyperlinks>
  <pageMargins left="0.7" right="0.7" top="0.75" bottom="0.75" header="0.3" footer="0.3"/>
  <pageSetup paperSize="9" orientation="portrait" r:id="rId1"/>
  <legacy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01"/>
  <dimension ref="A1:Z37"/>
  <sheetViews>
    <sheetView showGridLines="0" topLeftCell="A16" workbookViewId="0">
      <selection activeCell="H30" sqref="H30"/>
    </sheetView>
  </sheetViews>
  <sheetFormatPr defaultColWidth="0" defaultRowHeight="14.25" zeroHeight="1" x14ac:dyDescent="0.2"/>
  <cols>
    <col min="1" max="1" width="2.7109375" style="2692" customWidth="1"/>
    <col min="2" max="2" width="26" style="2692" customWidth="1"/>
    <col min="3" max="3" width="10.5703125" style="2692" customWidth="1"/>
    <col min="4" max="4" width="0.5703125" style="2692" customWidth="1"/>
    <col min="5" max="5" width="11.28515625" style="2692" customWidth="1"/>
    <col min="6" max="6" width="11.5703125" style="2692" customWidth="1"/>
    <col min="7" max="7" width="11.28515625" style="2692" customWidth="1"/>
    <col min="8" max="8" width="11.7109375" style="2692" customWidth="1"/>
    <col min="9" max="9" width="1.42578125" style="2692" customWidth="1"/>
    <col min="10" max="10" width="18.5703125" style="2692" customWidth="1"/>
    <col min="11" max="11" width="2" style="2692" customWidth="1"/>
    <col min="12" max="12" width="0.7109375" style="2692" hidden="1" customWidth="1"/>
    <col min="13" max="13" width="2" style="2692" hidden="1" customWidth="1"/>
    <col min="14" max="15" width="4.7109375" style="2692" hidden="1" customWidth="1"/>
    <col min="16" max="16" width="8.7109375" style="2692" hidden="1" customWidth="1"/>
    <col min="17" max="17" width="5.7109375" style="2692" hidden="1" customWidth="1"/>
    <col min="18" max="18" width="9.7109375" style="2692" hidden="1" customWidth="1"/>
    <col min="19" max="19" width="12.28515625" style="2692" hidden="1" customWidth="1"/>
    <col min="20" max="21" width="13.5703125" style="2692" hidden="1" customWidth="1"/>
    <col min="22" max="22" width="12" style="2692" hidden="1" customWidth="1"/>
    <col min="23" max="23" width="11.5703125" style="2692" hidden="1" customWidth="1"/>
    <col min="24" max="26" width="0" style="2692" hidden="1" customWidth="1"/>
    <col min="27" max="16384" width="8.7109375" style="2692" hidden="1"/>
  </cols>
  <sheetData>
    <row r="1" spans="1:25" x14ac:dyDescent="0.2">
      <c r="A1" s="5286" t="str">
        <f>_ref1</f>
      </c>
      <c r="B1" s="5286"/>
      <c r="C1" s="5286"/>
      <c r="D1" s="5286"/>
      <c r="E1" s="5286"/>
      <c r="F1" s="5286"/>
      <c r="G1" s="5286"/>
      <c r="H1" s="2690"/>
      <c r="I1" s="2691"/>
      <c r="J1" s="2690" t="str">
        <f>_YA1</f>
      </c>
      <c r="K1" s="2691"/>
      <c r="Y1" s="1511" t="s">
        <v>4591</v>
      </c>
    </row>
    <row r="2" spans="1:25" hidden="1" x14ac:dyDescent="0.2">
      <c r="A2" s="2691"/>
      <c r="B2" s="2691"/>
      <c r="C2" s="2691"/>
      <c r="D2" s="2691"/>
      <c r="E2" s="2691"/>
      <c r="F2" s="2691"/>
      <c r="G2" s="2691"/>
      <c r="H2" s="2691"/>
      <c r="I2" s="2691"/>
      <c r="J2" s="2691"/>
      <c r="K2" s="2691"/>
      <c r="S2" s="2692" t="s">
        <v>3445</v>
      </c>
      <c r="T2" s="2692" t="s">
        <v>3990</v>
      </c>
      <c r="Y2" s="2509" t="str">
        <f>cur</f>
      </c>
    </row>
    <row r="3" spans="1:25" hidden="1" x14ac:dyDescent="0.2">
      <c r="A3" s="2691"/>
      <c r="B3" s="2691"/>
      <c r="C3" s="2691"/>
      <c r="D3" s="2691"/>
      <c r="E3" s="2691"/>
      <c r="F3" s="2691"/>
      <c r="G3" s="2691"/>
      <c r="H3" s="2691"/>
      <c r="I3" s="2691"/>
      <c r="J3" s="2691"/>
      <c r="K3" s="2691"/>
      <c r="S3" s="2692" t="s">
        <v>3449</v>
      </c>
      <c r="T3" s="2692" t="s">
        <v>3993</v>
      </c>
      <c r="Y3" s="2412">
        <f>VLOOKUP(Y2,cbmer,8,FALSE)</f>
      </c>
    </row>
    <row r="4" spans="1:25" hidden="1" x14ac:dyDescent="0.2">
      <c r="A4" s="2691"/>
      <c r="B4" s="2691" t="s">
        <v>3451</v>
      </c>
      <c r="C4" s="2691"/>
      <c r="D4" s="2691">
        <v>10000</v>
      </c>
      <c r="E4" s="2691"/>
      <c r="F4" s="2691"/>
      <c r="G4" s="2691"/>
      <c r="H4" s="2691"/>
      <c r="I4" s="2691"/>
      <c r="J4" s="2691"/>
      <c r="K4" s="2691"/>
    </row>
    <row r="5" spans="1:25" x14ac:dyDescent="0.2">
      <c r="A5" s="2691"/>
      <c r="B5" s="2691"/>
      <c r="C5" s="2691"/>
      <c r="D5" s="2691"/>
      <c r="E5" s="2691"/>
      <c r="F5" s="2691"/>
      <c r="G5" s="2691"/>
      <c r="H5" s="2691"/>
      <c r="I5" s="2691"/>
      <c r="J5" s="2691"/>
      <c r="K5" s="2691"/>
      <c r="T5" s="2692">
        <v>1</v>
      </c>
      <c r="Y5" s="2692" t="str">
        <f>cur</f>
      </c>
    </row>
    <row r="6" spans="1:25" ht="15" x14ac:dyDescent="0.2">
      <c r="A6" s="2691"/>
      <c r="B6" s="5287" t="s">
        <v>8296</v>
      </c>
      <c r="C6" s="5287"/>
      <c r="D6" s="5287"/>
      <c r="E6" s="5287"/>
      <c r="F6" s="5287"/>
      <c r="G6" s="5287"/>
      <c r="H6" s="5287"/>
      <c r="I6" s="5287"/>
      <c r="J6" s="5287"/>
      <c r="K6" s="2691"/>
      <c r="Q6" s="2692" t="s">
        <v>3994</v>
      </c>
      <c r="R6" s="2692">
        <f>ya</f>
      </c>
      <c r="T6" s="2692">
        <v>2</v>
      </c>
      <c r="Y6" s="2412">
        <f>VLOOKUP(Y5,cbmer,8,FALSE)</f>
      </c>
    </row>
    <row r="7" spans="1:25" ht="15" x14ac:dyDescent="0.2">
      <c r="A7" s="2691"/>
      <c r="B7" s="5288" t="s">
        <v>8297</v>
      </c>
      <c r="C7" s="5288"/>
      <c r="D7" s="5288"/>
      <c r="E7" s="5288"/>
      <c r="F7" s="5288"/>
      <c r="G7" s="5288"/>
      <c r="H7" s="5288"/>
      <c r="I7" s="5288"/>
      <c r="J7" s="5288"/>
      <c r="K7" s="2691"/>
      <c r="Q7" s="2693" t="s">
        <v>8258</v>
      </c>
      <c r="R7" s="2692">
        <f>YEAR(C12)</f>
      </c>
      <c r="S7" s="2692">
        <f>R7+3</f>
      </c>
    </row>
    <row r="8" spans="1:25" hidden="1" x14ac:dyDescent="0.2">
      <c r="A8" s="2691"/>
      <c r="B8" s="2691"/>
      <c r="C8" s="2691"/>
      <c r="D8" s="2691"/>
      <c r="E8" s="2691"/>
      <c r="F8" s="2691"/>
      <c r="G8" s="2691"/>
      <c r="H8" s="2691"/>
      <c r="I8" s="2691"/>
      <c r="J8" s="2691"/>
      <c r="K8" s="2691"/>
      <c r="Q8" s="2693"/>
    </row>
    <row r="9" spans="1:25" hidden="1" x14ac:dyDescent="0.2">
      <c r="A9" s="2691"/>
      <c r="B9" s="2648" t="str">
        <f>IF(AND(C12="",H12=""),"",IF(ya&gt;S7,"No credit can be claimed! Tax credit can be claimed in the 3 years of assessment following the year in which the certificate is issued.",""))</f>
        <v/>
      </c>
      <c r="C9" s="2691"/>
      <c r="D9" s="2691"/>
      <c r="E9" s="2691"/>
      <c r="F9" s="2691"/>
      <c r="G9" s="2691"/>
      <c r="H9" s="2691"/>
      <c r="I9" s="2691"/>
      <c r="J9" s="2691"/>
      <c r="K9" s="2691"/>
      <c r="M9" s="2692">
        <f>IF(B9&lt;&gt;"",1,0)</f>
      </c>
    </row>
    <row r="10" spans="1:25" x14ac:dyDescent="0.2">
      <c r="A10" s="2691"/>
      <c r="B10" s="2694"/>
      <c r="C10" s="2694"/>
      <c r="D10" s="2694"/>
      <c r="E10" s="2694"/>
      <c r="F10" s="2694"/>
      <c r="G10" s="2694"/>
      <c r="H10" s="2694"/>
      <c r="I10" s="2691"/>
      <c r="J10" s="2691"/>
      <c r="K10" s="2691"/>
    </row>
    <row r="11" spans="1:25" x14ac:dyDescent="0.2">
      <c r="A11" s="2691"/>
      <c r="B11" s="2690" t="s">
        <v>8259</v>
      </c>
      <c r="C11" s="2718"/>
      <c r="D11" s="2694"/>
      <c r="E11" s="2241" t="str">
        <f>IF($O$24=0,"",IF(C11="",re,""))</f>
        <v/>
      </c>
      <c r="F11" s="2690"/>
      <c r="G11" s="2690" t="s">
        <v>8260</v>
      </c>
      <c r="H11" s="2718"/>
      <c r="I11" s="2691"/>
      <c r="J11" s="2241" t="str">
        <f>IF($O$24=0,"",IF(H11="",re,""))</f>
        <v/>
      </c>
      <c r="K11" s="2691"/>
      <c r="M11" s="2692">
        <f>IF(OR(E11&lt;&gt;"",J11&lt;&gt;""),1,0)</f>
      </c>
      <c r="N11" s="2692">
        <f>IF(AND(C11="",H11=""),0,1)</f>
      </c>
      <c r="P11" s="2692">
        <f>COUNTA(C11:C12,H11:H12,F14,F17:G17,E20,H21,H23,H28,H30,H32)</f>
      </c>
    </row>
    <row r="12" spans="1:25" x14ac:dyDescent="0.2">
      <c r="A12" s="2691"/>
      <c r="B12" s="2690" t="s">
        <v>1570</v>
      </c>
      <c r="C12" s="2719"/>
      <c r="D12" s="2694"/>
      <c r="E12" s="2241" t="str">
        <f>IF($O$24=0,"",IF(C12="",re,""))</f>
        <v/>
      </c>
      <c r="F12" s="2690"/>
      <c r="G12" s="2690" t="s">
        <v>1570</v>
      </c>
      <c r="H12" s="2719"/>
      <c r="I12" s="2691"/>
      <c r="J12" s="2241" t="str">
        <f>IF($O$24=0,"",IF(H12="",re,""))</f>
        <v/>
      </c>
      <c r="K12" s="2691"/>
      <c r="M12" s="2692">
        <f>IF(OR(E12&lt;&gt;"",J12&lt;&gt;""),1,0)</f>
      </c>
      <c r="N12" s="2692">
        <f>IF(AND(C12="",H12=""),0,1)</f>
      </c>
    </row>
    <row r="13" spans="1:25" x14ac:dyDescent="0.2">
      <c r="A13" s="2691"/>
      <c r="B13" s="2648"/>
      <c r="C13" s="2694"/>
      <c r="D13" s="2694"/>
      <c r="E13" s="2695"/>
      <c r="F13" s="2690"/>
      <c r="G13" s="2690"/>
      <c r="H13" s="2694"/>
      <c r="I13" s="2691"/>
      <c r="J13" s="2691"/>
      <c r="K13" s="2691"/>
      <c r="S13" s="2696">
        <v>42856</v>
      </c>
      <c r="T13" s="2696">
        <f>IF(ya&lt;=2019,DATE(ya,12,31),DATE(2019,12,31))</f>
      </c>
      <c r="U13" s="2696"/>
    </row>
    <row r="14" spans="1:25" x14ac:dyDescent="0.2">
      <c r="A14" s="2691"/>
      <c r="B14" s="2694"/>
      <c r="C14" s="2694"/>
      <c r="D14" s="2694"/>
      <c r="E14" s="2690" t="s">
        <v>8298</v>
      </c>
      <c r="F14" s="2702"/>
      <c r="G14" s="2241" t="str">
        <f>IF($O$24=0,"",IF(F14="",re,""))</f>
        <v/>
      </c>
      <c r="H14" s="2694"/>
      <c r="I14" s="2691"/>
      <c r="J14" s="2691"/>
      <c r="K14" s="2691"/>
      <c r="M14" s="2692">
        <f>IF(G14&lt;&gt;"",1,0)</f>
      </c>
      <c r="N14" s="2692">
        <f>IF(C12="",0,1)</f>
      </c>
      <c r="S14" s="2696"/>
      <c r="T14" s="2696"/>
      <c r="U14" s="2696"/>
    </row>
    <row r="15" spans="1:25" x14ac:dyDescent="0.2">
      <c r="A15" s="2691"/>
      <c r="B15" s="2694"/>
      <c r="C15" s="2694"/>
      <c r="D15" s="2694"/>
      <c r="E15" s="2690"/>
      <c r="F15" s="2690"/>
      <c r="G15" s="2241"/>
      <c r="H15" s="2694"/>
      <c r="I15" s="2691"/>
      <c r="J15" s="2691"/>
      <c r="K15" s="2691"/>
      <c r="S15" s="2696"/>
      <c r="T15" s="2696"/>
      <c r="U15" s="2696"/>
    </row>
    <row r="16" spans="1:25" ht="24" x14ac:dyDescent="0.2">
      <c r="A16" s="2691"/>
      <c r="B16" s="2694"/>
      <c r="C16" s="2694"/>
      <c r="D16" s="2694"/>
      <c r="E16" s="2694"/>
      <c r="F16" s="2711" t="s">
        <v>8299</v>
      </c>
      <c r="G16" s="2711" t="s">
        <v>8300</v>
      </c>
      <c r="H16" s="2694"/>
      <c r="I16" s="2691"/>
      <c r="J16" s="2691"/>
      <c r="K16" s="2691"/>
      <c r="T16" s="2692" t="s">
        <v>8301</v>
      </c>
      <c r="U16" s="2692" t="s">
        <v>8302</v>
      </c>
      <c r="X16" s="2692" t="s">
        <v>4528</v>
      </c>
    </row>
    <row r="17" spans="1:26" x14ac:dyDescent="0.2">
      <c r="A17" s="2691"/>
      <c r="B17" s="2694" t="s">
        <v>4165</v>
      </c>
      <c r="C17" s="2694"/>
      <c r="D17" s="2694"/>
      <c r="E17" s="2694"/>
      <c r="F17" s="2720"/>
      <c r="G17" s="2720"/>
      <c r="H17" s="2712">
        <f>V17</f>
      </c>
      <c r="I17" s="2691"/>
      <c r="J17" s="2629" t="str">
        <f>IF($O$24=0,"",IF(AND(OR(F17&gt;0,G17&gt;0),R6&gt;2019),"Costs up to YoA 2019",IF(F17="",reo,IF(AND(F14=2,G17=""),reo,IF(AND(F14=1,G17&lt;&gt;""),"Delete","")))))</f>
        <v/>
      </c>
      <c r="K17" s="2691"/>
      <c r="M17" s="2692">
        <f>IF(J17&lt;&gt;"",1,0)</f>
      </c>
      <c r="N17" s="2692">
        <f>IF(AND(F17="",G17=""),0,1)</f>
      </c>
      <c r="Q17" s="2692" t="s">
        <v>4165</v>
      </c>
      <c r="T17" s="2692">
        <f>F17</f>
      </c>
      <c r="U17" s="2692">
        <f>IF(F14=2,G17,0)</f>
      </c>
      <c r="V17" s="2692">
        <f>SUM(T17:U17)</f>
      </c>
      <c r="X17" s="2692">
        <f>V17*75%</f>
      </c>
      <c r="Y17" s="2692">
        <f>ROUND(10000*Y6,0)</f>
      </c>
      <c r="Z17" s="2692">
        <f>MIN(X17:Y17)</f>
      </c>
    </row>
    <row r="18" spans="1:26" x14ac:dyDescent="0.2">
      <c r="A18" s="2691"/>
      <c r="B18" s="2694"/>
      <c r="C18" s="2694"/>
      <c r="D18" s="2694"/>
      <c r="E18" s="2694"/>
      <c r="F18" s="2694"/>
      <c r="G18" s="2694"/>
      <c r="H18" s="2694"/>
      <c r="I18" s="2691"/>
      <c r="J18" s="2691"/>
      <c r="K18" s="2691"/>
    </row>
    <row r="19" spans="1:26" x14ac:dyDescent="0.2">
      <c r="A19" s="2691"/>
      <c r="B19" s="2694" t="s">
        <v>4015</v>
      </c>
      <c r="C19" s="2694"/>
      <c r="D19" s="2694"/>
      <c r="E19" s="2694"/>
      <c r="F19" s="2694"/>
      <c r="G19" s="2694"/>
      <c r="H19" s="2651">
        <f>IF(N17=0,0,V19)</f>
      </c>
      <c r="I19" s="2691"/>
      <c r="J19" s="2691"/>
      <c r="K19" s="2691"/>
      <c r="Q19" s="2692" t="s">
        <v>4015</v>
      </c>
      <c r="V19" s="2692">
        <f>Z17</f>
      </c>
    </row>
    <row r="20" spans="1:26" x14ac:dyDescent="0.2">
      <c r="A20" s="2691"/>
      <c r="B20" s="2694" t="s">
        <v>1567</v>
      </c>
      <c r="C20" s="2694"/>
      <c r="D20" s="2694"/>
      <c r="E20" s="2721"/>
      <c r="F20" s="2241" t="str">
        <f>IF($O$24=0,"",IF(AND(R6=2018,E20&lt;&gt;""),"Delete!",IF(AND(R6&gt;2018,E20=""),reo,IF(AND(E20&gt;0,H19+E20+H21&gt;Y17),"Excessive",""))))</f>
        <v/>
      </c>
      <c r="G20" s="2694"/>
      <c r="H20" s="2694"/>
      <c r="I20" s="2691"/>
      <c r="J20" s="2691"/>
      <c r="K20" s="2691"/>
      <c r="M20" s="2692">
        <f>IF(F20&lt;&gt;"",1,0)</f>
      </c>
      <c r="N20" s="2692">
        <f>IF(E20="",0,1)</f>
      </c>
    </row>
    <row r="21" spans="1:26" x14ac:dyDescent="0.2">
      <c r="A21" s="2691"/>
      <c r="B21" s="2694" t="s">
        <v>1568</v>
      </c>
      <c r="C21" s="2694"/>
      <c r="D21" s="2694"/>
      <c r="E21" s="2694"/>
      <c r="F21" s="2694"/>
      <c r="G21" s="2694"/>
      <c r="H21" s="2721"/>
      <c r="I21" s="2691"/>
      <c r="J21" s="2629" t="str">
        <f>IF($O$24=0,"",IF(AND(R6=2018,H21&lt;&gt;""),"Delete!",IF(AND(R6&gt;2018,H21=""),reo,IF(AND(H21&gt;0,H21+E20+H19&gt;Y17),"Excessive!",""))))</f>
        <v/>
      </c>
      <c r="K21" s="2691"/>
      <c r="M21" s="2692">
        <f>IF(J21&lt;&gt;"",1,0)</f>
      </c>
      <c r="N21" s="2692">
        <f>IF(H21="",0,1)</f>
      </c>
      <c r="Q21" s="2692" t="s">
        <v>4166</v>
      </c>
      <c r="V21" s="2692">
        <f>IF(R6=2018,0,H21)</f>
      </c>
    </row>
    <row r="22" spans="1:26" x14ac:dyDescent="0.2">
      <c r="A22" s="2691"/>
      <c r="B22" s="2694"/>
      <c r="C22" s="2694"/>
      <c r="D22" s="2694"/>
      <c r="E22" s="2694"/>
      <c r="F22" s="2694"/>
      <c r="G22" s="2694"/>
      <c r="H22" s="2694"/>
      <c r="I22" s="2691"/>
      <c r="J22" s="2691"/>
      <c r="K22" s="2691"/>
    </row>
    <row r="23" spans="1:26" x14ac:dyDescent="0.2">
      <c r="A23" s="2691"/>
      <c r="B23" s="2694" t="s">
        <v>4018</v>
      </c>
      <c r="C23" s="2694"/>
      <c r="D23" s="2694"/>
      <c r="E23" s="2694"/>
      <c r="F23" s="2694"/>
      <c r="G23" s="2694" t="s">
        <v>951</v>
      </c>
      <c r="H23" s="2721"/>
      <c r="I23" s="2691"/>
      <c r="J23" s="2629" t="str">
        <f>IF($O$24=0,"",IF(H23="",reo,IF(AND(R6&gt;2018,H23&gt;H21+H19),"Excessive!",IF(AND(R6=2018,H23&gt;H19),"Excessive!",""))))</f>
        <v/>
      </c>
      <c r="K23" s="2691"/>
      <c r="M23" s="2692">
        <f>IF(J23&lt;&gt;"",1,0)</f>
      </c>
      <c r="N23" s="2692">
        <f>IF(H23="",0,1)</f>
      </c>
      <c r="P23" s="2697">
        <f>H21+H19</f>
      </c>
      <c r="Q23" s="2692" t="s">
        <v>4018</v>
      </c>
      <c r="V23" s="2692">
        <f>H23</f>
      </c>
    </row>
    <row r="24" spans="1:26" x14ac:dyDescent="0.2">
      <c r="A24" s="2691"/>
      <c r="B24" s="2694"/>
      <c r="C24" s="2694"/>
      <c r="D24" s="2694"/>
      <c r="E24" s="2694"/>
      <c r="F24" s="2694"/>
      <c r="G24" s="2694"/>
      <c r="H24" s="2694"/>
      <c r="I24" s="2691"/>
      <c r="J24" s="2691"/>
      <c r="K24" s="2691"/>
      <c r="O24" s="2692">
        <f>SUM(N11:N20)+SUM(N21:N23)</f>
      </c>
    </row>
    <row r="25" spans="1:26" x14ac:dyDescent="0.2">
      <c r="A25" s="2691"/>
      <c r="B25" s="2694" t="s">
        <v>4167</v>
      </c>
      <c r="C25" s="2694"/>
      <c r="D25" s="2694"/>
      <c r="E25" s="2694"/>
      <c r="F25" s="2694"/>
      <c r="G25" s="2694"/>
      <c r="H25" s="2651" t="str">
        <f>IF(N23=0,"",V25)</f>
        <v/>
      </c>
      <c r="I25" s="2691"/>
      <c r="J25" s="2691"/>
      <c r="K25" s="2691"/>
      <c r="Q25" s="2692" t="s">
        <v>4167</v>
      </c>
      <c r="V25" s="2692">
        <f>IF(AND(R6=2018,V23&gt;V19),0,IF(AND(R6=2018,V19&gt;V23),V19-V23,IF(V23&gt;SUM(V19:V21),0,SUM(V19:V21)-V23)))</f>
      </c>
    </row>
    <row r="26" spans="1:26" x14ac:dyDescent="0.2">
      <c r="A26" s="2691"/>
      <c r="B26" s="2698" t="str">
        <f>IF(AND(Q28=1,R26&gt;10000),"Maximum benefit cannot exceed 10,000 euro!","")</f>
        <v/>
      </c>
      <c r="C26" s="2694"/>
      <c r="D26" s="2694"/>
      <c r="E26" s="2694"/>
      <c r="F26" s="2694"/>
      <c r="G26" s="2694"/>
      <c r="H26" s="2694"/>
      <c r="I26" s="2691"/>
      <c r="J26" s="2691"/>
      <c r="K26" s="2691"/>
      <c r="Q26" s="2692" t="str">
        <f>cur</f>
      </c>
      <c r="R26" s="2697">
        <f>H19+E20+H21</f>
      </c>
    </row>
    <row r="27" spans="1:26" x14ac:dyDescent="0.2">
      <c r="A27" s="2691"/>
      <c r="B27" s="2694"/>
      <c r="C27" s="2694"/>
      <c r="D27" s="2694"/>
      <c r="E27" s="2694"/>
      <c r="F27" s="2694"/>
      <c r="G27" s="2694"/>
      <c r="H27" s="2694"/>
      <c r="I27" s="2691"/>
      <c r="J27" s="2691"/>
      <c r="K27" s="2691"/>
      <c r="Q27" s="2692" t="s">
        <v>4591</v>
      </c>
    </row>
    <row r="28" spans="1:26" x14ac:dyDescent="0.2">
      <c r="A28" s="2691"/>
      <c r="B28" s="2713" t="s">
        <v>5708</v>
      </c>
      <c r="C28" s="2714"/>
      <c r="D28" s="2714"/>
      <c r="E28" s="2714"/>
      <c r="F28" s="2714"/>
      <c r="G28" s="2715" t="s">
        <v>951</v>
      </c>
      <c r="H28" s="2721"/>
      <c r="I28" s="2691"/>
      <c r="J28" s="2629" t="str">
        <f>IF($O$24=0,"",IF(H28="",re,""))</f>
        <v/>
      </c>
      <c r="K28" s="2691"/>
      <c r="M28" s="2692">
        <f>IF(J28&lt;&gt;"",1,0)</f>
      </c>
      <c r="N28" s="2692">
        <f>IF(H28="",0,1)</f>
      </c>
      <c r="Q28" s="2692">
        <f>IF(Q27=Q26,1,0)</f>
      </c>
    </row>
    <row r="29" spans="1:26" x14ac:dyDescent="0.2">
      <c r="A29" s="2691"/>
      <c r="B29" s="2694"/>
      <c r="C29" s="2694"/>
      <c r="D29" s="2694"/>
      <c r="E29" s="2694"/>
      <c r="F29" s="2694"/>
      <c r="G29" s="2694"/>
      <c r="H29" s="2699" t="str">
        <f>IF(H28="","",IF(OR(H28&gt;Y29,H28&lt;Z29),"Check!",""))</f>
        <v/>
      </c>
      <c r="I29" s="2691"/>
      <c r="J29" s="2691"/>
      <c r="K29" s="2691"/>
      <c r="Y29" s="2692">
        <f>ROUND(V23/0.05,0)+1</f>
      </c>
      <c r="Z29" s="2692">
        <f>ROUND(V23/0.35,0)-1</f>
      </c>
    </row>
    <row r="30" spans="1:26" x14ac:dyDescent="0.2">
      <c r="A30" s="2691"/>
      <c r="B30" s="2694" t="s">
        <v>2007</v>
      </c>
      <c r="C30" s="2694"/>
      <c r="D30" s="2694"/>
      <c r="E30" s="2694"/>
      <c r="F30" s="2694"/>
      <c r="G30" s="2694"/>
      <c r="H30" s="2703"/>
      <c r="I30" s="2691"/>
      <c r="J30" s="2629" t="str">
        <f>IF(O24=0,"",IF(H30="",re,IF(AND(P30="n",V23&gt;0),"No benefit!","")))</f>
        <v/>
      </c>
      <c r="K30" s="2691"/>
      <c r="M30" s="2692">
        <f>IF(J30&lt;&gt;"",1,0)</f>
      </c>
      <c r="N30" s="2692">
        <f>IF(J30="",0,1)</f>
      </c>
      <c r="P30" s="2692" t="str">
        <f>IF(H30="yes","Y","n")</f>
      </c>
    </row>
    <row r="31" spans="1:26" x14ac:dyDescent="0.2">
      <c r="A31" s="2691"/>
      <c r="B31" s="2694"/>
      <c r="C31" s="2694"/>
      <c r="D31" s="2694"/>
      <c r="E31" s="2694"/>
      <c r="F31" s="2694"/>
      <c r="G31" s="2694"/>
      <c r="H31" s="2694"/>
      <c r="I31" s="2691"/>
      <c r="J31" s="2691"/>
      <c r="K31" s="2691"/>
    </row>
    <row r="32" spans="1:26" x14ac:dyDescent="0.2">
      <c r="A32" s="2691"/>
      <c r="B32" s="2694"/>
      <c r="C32" s="2694"/>
      <c r="D32" s="2694"/>
      <c r="E32" s="2694"/>
      <c r="F32" s="2694"/>
      <c r="G32" s="2261" t="s">
        <v>4802</v>
      </c>
      <c r="H32" s="2703"/>
      <c r="I32" s="2691"/>
      <c r="J32" s="2629" t="str">
        <f>IF((O24+N28)=0,"",IF(H32="",re,""))</f>
        <v/>
      </c>
      <c r="K32" s="2691"/>
      <c r="M32" s="2692">
        <f>IF(J32&lt;&gt;"",1,0)</f>
      </c>
      <c r="N32" s="2692">
        <f>IF(J32="",0,1)</f>
      </c>
      <c r="P32" s="2692" t="str">
        <f>IF(H32="yes","Y","n")</f>
      </c>
    </row>
    <row r="33" spans="1:14" x14ac:dyDescent="0.2">
      <c r="A33" s="2691"/>
      <c r="B33" s="2691"/>
      <c r="C33" s="2691"/>
      <c r="D33" s="2691"/>
      <c r="E33" s="2691"/>
      <c r="F33" s="2691"/>
      <c r="G33" s="2691"/>
      <c r="H33" s="2691"/>
      <c r="I33" s="2691"/>
      <c r="J33" s="2691"/>
      <c r="K33" s="2691"/>
      <c r="N33" s="2692">
        <f>SUM(N9:N32)</f>
      </c>
    </row>
    <row r="34" spans="1:14" x14ac:dyDescent="0.2">
      <c r="M34" s="2692">
        <f>SUM(M9:M32)</f>
      </c>
    </row>
    <row r="35" spans="1:14" s="2716" customFormat="1" ht="12" x14ac:dyDescent="0.2">
      <c r="A35" s="2716" t="str">
        <f>_xlfn.SINGLE(MTCA)</f>
      </c>
      <c r="D35" s="2716" t="str">
        <f>ver</f>
        <v>TA2_e-CO_2025_Ver 1.1</v>
      </c>
      <c r="J35" s="2717" t="s">
        <v>8309</v>
      </c>
      <c r="N35" s="2716">
        <f>IF(P11=0,0,IF(M34&lt;&gt;0,100,IF(P32="Y",1,100)))</f>
      </c>
    </row>
    <row r="36" spans="1:14" x14ac:dyDescent="0.2">
      <c r="J36" s="2693"/>
    </row>
    <row r="37" spans="1:14" x14ac:dyDescent="0.2">
      <c r="B37" s="177" t="s">
        <v>6290</v>
      </c>
    </row>
  </sheetData>
  <sheetProtection algorithmName="SHA-512" hashValue="YGvihvebS7ALrYbR5I2/tmAOYBquAPbbGZJ49ICQ2wAdKn9u5mQrWtds3hssWNkYrVoEr5ar+prp5Ss06jWvyA==" saltValue="c1u1PQ7O4Qqw/WzKOcXgtA==" spinCount="100000" sheet="1" objects="1" scenarios="1"/>
  <mergeCells count="3">
    <mergeCell ref="A1:G1"/>
    <mergeCell ref="B6:J6"/>
    <mergeCell ref="B7:J7"/>
  </mergeCells>
  <conditionalFormatting sqref="B20:B21">
    <cfRule type="expression" dxfId="329" priority="3" stopIfTrue="1">
      <formula>ya=2014</formula>
    </cfRule>
  </conditionalFormatting>
  <conditionalFormatting sqref="E20 H21">
    <cfRule type="expression" dxfId="328" priority="4" stopIfTrue="1">
      <formula>ya=2014</formula>
    </cfRule>
  </conditionalFormatting>
  <conditionalFormatting sqref="G16">
    <cfRule type="expression" dxfId="327" priority="2">
      <formula>$F$14=1</formula>
    </cfRule>
  </conditionalFormatting>
  <conditionalFormatting sqref="G17">
    <cfRule type="expression" dxfId="326" priority="1">
      <formula>$F$14=1</formula>
    </cfRule>
  </conditionalFormatting>
  <dataValidations count="12">
    <dataValidation allowBlank="1" showInputMessage="1" showErrorMessage="1" errorTitle="Dropdown list" error="Choose an item from the list!_x000a_" sqref="Y2" xr:uid="{00000000-0002-0000-5D00-000000000000}"/>
    <dataValidation type="date" errorStyle="warning" allowBlank="1" showInputMessage="1" showErrorMessage="1" errorTitle="Date of approval" error="Please enter the correct date!" promptTitle="Date format" prompt="dd/mm/yyyy" sqref="H12" xr:uid="{00000000-0002-0000-5D00-000001000000}">
      <formula1>S13</formula1>
      <formula2>T13</formula2>
    </dataValidation>
    <dataValidation type="textLength" operator="greaterThanOrEqual" allowBlank="1" showInputMessage="1" showErrorMessage="1" errorTitle="Certificate number" error="Please enter the correct reference!" sqref="C11 H11" xr:uid="{00000000-0002-0000-5D00-000002000000}">
      <formula1>4</formula1>
    </dataValidation>
    <dataValidation type="list" allowBlank="1" showInputMessage="1" showErrorMessage="1" sqref="F14" xr:uid="{00000000-0002-0000-5D00-000003000000}">
      <formula1>$T$4:$T$6</formula1>
    </dataValidation>
    <dataValidation allowBlank="1" showInputMessage="1" showErrorMessage="1" errorTitle="Total Eligible Costs" error="Total eligible costs cannot be more than €20,000 or equivalent!" sqref="H25" xr:uid="{00000000-0002-0000-5D00-000004000000}"/>
    <dataValidation type="whole" operator="greaterThanOrEqual" allowBlank="1" showInputMessage="1" showErrorMessage="1" errorTitle="Value" error="Please a positive amount!" sqref="H23" xr:uid="{00000000-0002-0000-5D00-000005000000}">
      <formula1>0</formula1>
    </dataValidation>
    <dataValidation operator="greaterThan" allowBlank="1" showInputMessage="1" showErrorMessage="1" errorTitle="Value" error="Please a positive amount!" sqref="V23" xr:uid="{00000000-0002-0000-5D00-000006000000}"/>
    <dataValidation type="whole" operator="greaterThanOrEqual" allowBlank="1" showInputMessage="1" showErrorMessage="1" errorTitle="Qualifying costs" error="Please enter a positive amount!" sqref="H17" xr:uid="{00000000-0002-0000-5D00-000007000000}">
      <formula1>0</formula1>
    </dataValidation>
    <dataValidation type="whole" operator="greaterThanOrEqual" allowBlank="1" showInputMessage="1" showErrorMessage="1" errorTitle="Tax credit b/fwd" error="Please enter a positive amount!" sqref="H21" xr:uid="{00000000-0002-0000-5D00-000008000000}">
      <formula1>0</formula1>
    </dataValidation>
    <dataValidation type="whole" allowBlank="1" showInputMessage="1" showErrorMessage="1" errorTitle="Income the tax on which relieved" error="Please enter the correct amount!" sqref="H28" xr:uid="{00000000-0002-0000-5D00-000009000000}">
      <formula1>Z29</formula1>
      <formula2>Y29</formula2>
    </dataValidation>
    <dataValidation type="date" errorStyle="warning" allowBlank="1" showInputMessage="1" showErrorMessage="1" errorTitle="Date of approval" error="Please enter the correct date!" promptTitle="Date format" prompt="dd/mm/yyyy" sqref="C12" xr:uid="{00000000-0002-0000-5D00-00000A000000}">
      <formula1>S13</formula1>
      <formula2>T13</formula2>
    </dataValidation>
    <dataValidation type="list" allowBlank="1" showInputMessage="1" showErrorMessage="1" sqref="H30 H32" xr:uid="{00000000-0002-0000-5D00-00000B000000}">
      <formula1>"Yes,No"</formula1>
    </dataValidation>
  </dataValidations>
  <hyperlinks>
    <hyperlink ref="B37" location="Index!B77" display="B A C K   T O   I N D E X" xr:uid="{00000000-0004-0000-5D00-000000000000}"/>
    <hyperlink ref="G28" location="TRA35!A1" display="TRA 35" xr:uid="{00000000-0004-0000-5D00-000001000000}"/>
    <hyperlink ref="G23" location="TRA35!A1" display="TRA 35" xr:uid="{00000000-0004-0000-5D00-000002000000}"/>
  </hyperlinks>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02"/>
  <dimension ref="A1:Q51"/>
  <sheetViews>
    <sheetView workbookViewId="0">
      <selection activeCell="I11" sqref="I11"/>
    </sheetView>
  </sheetViews>
  <sheetFormatPr defaultColWidth="0" defaultRowHeight="12.75" zeroHeight="1" x14ac:dyDescent="0.2"/>
  <cols>
    <col min="1" max="1" width="1.7109375" style="1485" customWidth="1"/>
    <col min="2" max="2" width="9.28515625" style="2779" customWidth="1"/>
    <col min="3" max="5" width="9.28515625" style="1485" customWidth="1"/>
    <col min="6" max="6" width="12.42578125" style="1485" customWidth="1"/>
    <col min="7" max="8" width="9.28515625" style="1485" customWidth="1"/>
    <col min="9" max="9" width="9.28515625" style="2784" customWidth="1"/>
    <col min="10" max="10" width="14.5703125" style="1485" customWidth="1"/>
    <col min="11" max="12" width="9.28515625" style="1485" hidden="1" customWidth="1"/>
    <col min="13" max="14" width="10.42578125" style="1485" hidden="1" customWidth="1"/>
    <col min="15" max="16384" width="9.28515625" style="1485" hidden="1"/>
  </cols>
  <sheetData>
    <row r="1" spans="1:15" ht="13.15" customHeight="1" x14ac:dyDescent="0.2">
      <c r="A1" s="2592"/>
      <c r="B1" s="5289" t="str">
        <f>_ref1</f>
      </c>
      <c r="C1" s="5289"/>
      <c r="D1" s="5289"/>
      <c r="E1" s="5289"/>
      <c r="F1" s="5289"/>
      <c r="G1" s="5289"/>
      <c r="H1" s="5289"/>
      <c r="I1" s="5289"/>
      <c r="J1" s="2775" t="str">
        <f>_YA1</f>
      </c>
      <c r="M1" s="1485">
        <f>COUNTA(F9,F11,I14,I18,I20,I22,I24)</f>
      </c>
    </row>
    <row r="2" spans="1:15" ht="7.15" customHeight="1" x14ac:dyDescent="0.2">
      <c r="A2" s="2592"/>
      <c r="B2" s="2786"/>
      <c r="C2" s="2786"/>
      <c r="D2" s="2786"/>
      <c r="E2" s="2786"/>
      <c r="F2" s="2786"/>
      <c r="G2" s="2786"/>
      <c r="H2" s="2786"/>
      <c r="I2" s="2786"/>
      <c r="J2" s="2775"/>
    </row>
    <row r="3" spans="1:15" ht="15.75" x14ac:dyDescent="0.25">
      <c r="A3" s="2592"/>
      <c r="B3" s="5293" t="s">
        <v>8681</v>
      </c>
      <c r="C3" s="5294"/>
      <c r="D3" s="5294"/>
      <c r="E3" s="5294"/>
      <c r="F3" s="5294"/>
      <c r="G3" s="5294"/>
      <c r="H3" s="5294"/>
      <c r="I3" s="5295"/>
      <c r="J3" s="2592"/>
      <c r="O3" s="1736" t="s">
        <v>8679</v>
      </c>
    </row>
    <row r="4" spans="1:15" ht="15.75" x14ac:dyDescent="0.25">
      <c r="A4" s="2592"/>
      <c r="B4" s="5290" t="s">
        <v>8678</v>
      </c>
      <c r="C4" s="5291"/>
      <c r="D4" s="5291"/>
      <c r="E4" s="5291"/>
      <c r="F4" s="5291"/>
      <c r="G4" s="5291"/>
      <c r="H4" s="5291"/>
      <c r="I4" s="5292"/>
      <c r="J4" s="2592"/>
    </row>
    <row r="5" spans="1:15" ht="24" customHeight="1" x14ac:dyDescent="0.2">
      <c r="A5" s="2592"/>
      <c r="B5" s="5296" t="s">
        <v>10145</v>
      </c>
      <c r="C5" s="5296"/>
      <c r="D5" s="5296"/>
      <c r="E5" s="5296"/>
      <c r="F5" s="5296"/>
      <c r="G5" s="5296"/>
      <c r="H5" s="5296"/>
      <c r="I5" s="5296"/>
      <c r="J5" s="2592"/>
    </row>
    <row r="6" spans="1:15" ht="15.75" x14ac:dyDescent="0.2">
      <c r="A6" s="2592"/>
      <c r="B6" s="2776" t="s">
        <v>8669</v>
      </c>
      <c r="C6" s="2592"/>
      <c r="D6" s="2592"/>
      <c r="E6" s="2592"/>
      <c r="F6" s="2592"/>
      <c r="G6" s="2592"/>
      <c r="H6" s="2592"/>
      <c r="I6" s="2780"/>
      <c r="J6" s="2592"/>
    </row>
    <row r="7" spans="1:15" x14ac:dyDescent="0.2">
      <c r="A7" s="2592"/>
      <c r="B7" s="2778" t="s">
        <v>10575</v>
      </c>
      <c r="C7" s="2592"/>
      <c r="D7" s="2592"/>
      <c r="E7" s="2592"/>
      <c r="F7" s="2592"/>
      <c r="G7" s="2592"/>
      <c r="H7" s="2592"/>
      <c r="I7" s="2780"/>
      <c r="J7" s="2592"/>
    </row>
    <row r="8" spans="1:15" x14ac:dyDescent="0.2">
      <c r="A8" s="2592"/>
      <c r="B8" s="2777"/>
      <c r="C8" s="2592"/>
      <c r="D8" s="2592"/>
      <c r="E8" s="2592"/>
      <c r="F8" s="2592"/>
      <c r="G8" s="2592"/>
      <c r="H8" s="2592"/>
      <c r="I8" s="2780"/>
      <c r="J8" s="2592"/>
    </row>
    <row r="9" spans="1:15" x14ac:dyDescent="0.2">
      <c r="A9" s="2592"/>
      <c r="B9" s="2777"/>
      <c r="C9" s="2592"/>
      <c r="D9" s="2592" t="s">
        <v>8670</v>
      </c>
      <c r="E9" s="2592"/>
      <c r="F9" s="2789"/>
      <c r="G9" s="2761" t="str">
        <f>IF($M$1=0,"",IF(F9="",re,""))</f>
        <v/>
      </c>
      <c r="H9" s="2592"/>
      <c r="I9" s="2780"/>
      <c r="J9" s="2592"/>
      <c r="K9" s="1485">
        <f>IF(G9="",0,1)</f>
      </c>
      <c r="M9" s="1485">
        <v>3</v>
      </c>
      <c r="N9" s="1485" t="s">
        <v>8671</v>
      </c>
    </row>
    <row r="10" spans="1:15" ht="8.1" customHeight="1" x14ac:dyDescent="0.2">
      <c r="A10" s="2592"/>
      <c r="B10" s="2777"/>
      <c r="C10" s="2592"/>
      <c r="D10" s="2592"/>
      <c r="E10" s="2592"/>
      <c r="F10" s="2592"/>
      <c r="G10" s="2592"/>
      <c r="H10" s="2592"/>
      <c r="I10" s="2780"/>
      <c r="J10" s="2592"/>
    </row>
    <row r="11" spans="1:15" x14ac:dyDescent="0.2">
      <c r="A11" s="2592"/>
      <c r="B11" s="2777"/>
      <c r="C11" s="2592"/>
      <c r="D11" s="2592" t="s">
        <v>8672</v>
      </c>
      <c r="E11" s="2592"/>
      <c r="F11" s="202"/>
      <c r="G11" s="2761" t="str">
        <f>IF($M$1=0,"",IF(F11="",re,IF(F11&gt;N11,"Applicable up to 31/12/2019","")))</f>
        <v/>
      </c>
      <c r="H11" s="2592"/>
      <c r="I11" s="2780"/>
      <c r="J11" s="2592"/>
      <c r="K11" s="1485">
        <f>IF(G11="",0,1)</f>
      </c>
      <c r="M11" s="2774"/>
      <c r="N11" s="2774">
        <v>43830</v>
      </c>
      <c r="O11" s="1485" t="s">
        <v>8671</v>
      </c>
    </row>
    <row r="12" spans="1:15" x14ac:dyDescent="0.2">
      <c r="A12" s="2592"/>
      <c r="B12" s="2777"/>
      <c r="C12" s="2592"/>
      <c r="D12" s="2592"/>
      <c r="E12" s="2592"/>
      <c r="F12" s="2592"/>
      <c r="G12" s="2592"/>
      <c r="H12" s="2592"/>
      <c r="I12" s="2780"/>
      <c r="J12" s="2592"/>
    </row>
    <row r="13" spans="1:15" x14ac:dyDescent="0.2">
      <c r="A13" s="2592"/>
      <c r="B13" s="2777"/>
      <c r="C13" s="2592"/>
      <c r="D13" s="2592"/>
      <c r="E13" s="2592"/>
      <c r="F13" s="2592"/>
      <c r="G13" s="2592"/>
      <c r="H13" s="2592"/>
      <c r="I13" s="2780"/>
      <c r="J13" s="2592"/>
    </row>
    <row r="14" spans="1:15" x14ac:dyDescent="0.2">
      <c r="A14" s="2592"/>
      <c r="B14" s="2785" t="s">
        <v>10144</v>
      </c>
      <c r="C14" s="2592"/>
      <c r="D14" s="2592"/>
      <c r="E14" s="2592"/>
      <c r="F14" s="2592"/>
      <c r="G14" s="2592"/>
      <c r="H14" s="2592"/>
      <c r="I14" s="2781"/>
      <c r="J14" s="2761" t="str">
        <f>IF($M$1=0,"",IF(I14="",re,""))</f>
        <v/>
      </c>
      <c r="K14" s="1485">
        <f>IF(J14="",0,1)</f>
      </c>
    </row>
    <row r="15" spans="1:15" ht="7.15" customHeight="1" x14ac:dyDescent="0.2">
      <c r="A15" s="2592"/>
      <c r="B15" s="2777"/>
      <c r="C15" s="2592"/>
      <c r="D15" s="2592"/>
      <c r="E15" s="2592"/>
      <c r="F15" s="2592"/>
      <c r="G15" s="2592"/>
      <c r="H15" s="2592"/>
      <c r="I15" s="2780"/>
      <c r="J15" s="2592"/>
    </row>
    <row r="16" spans="1:15" x14ac:dyDescent="0.2">
      <c r="A16" s="2592"/>
      <c r="B16" s="2777" t="s">
        <v>8673</v>
      </c>
      <c r="C16" s="2592"/>
      <c r="D16" s="2592"/>
      <c r="E16" s="2592"/>
      <c r="F16" s="2592"/>
      <c r="G16" s="2592"/>
      <c r="H16" s="2592"/>
      <c r="I16" s="2782">
        <f>IF(I14="",0,ROUND(I14*0.25,0))</f>
      </c>
      <c r="J16" s="2592"/>
    </row>
    <row r="17" spans="1:17" ht="7.15" customHeight="1" x14ac:dyDescent="0.2">
      <c r="A17" s="2592"/>
      <c r="B17" s="2777"/>
      <c r="C17" s="2592"/>
      <c r="D17" s="2592"/>
      <c r="E17" s="2592"/>
      <c r="F17" s="2592"/>
      <c r="G17" s="2592"/>
      <c r="H17" s="2592"/>
      <c r="I17" s="2780"/>
      <c r="J17" s="2592"/>
    </row>
    <row r="18" spans="1:17" x14ac:dyDescent="0.2">
      <c r="A18" s="2592"/>
      <c r="B18" s="2785" t="s">
        <v>8676</v>
      </c>
      <c r="C18" s="2592"/>
      <c r="D18" s="2592"/>
      <c r="E18" s="2592"/>
      <c r="F18" s="2592"/>
      <c r="G18" s="2592"/>
      <c r="H18" s="2592"/>
      <c r="I18" s="2781"/>
      <c r="J18" s="2761" t="str">
        <f>IF($M$1=0,"",IF(I18="",re,""))</f>
        <v/>
      </c>
      <c r="K18" s="1485">
        <f>IF(J18="",0,1)</f>
      </c>
    </row>
    <row r="19" spans="1:17" ht="7.15" customHeight="1" x14ac:dyDescent="0.2">
      <c r="A19" s="2592"/>
      <c r="B19" s="2777"/>
      <c r="C19" s="2592"/>
      <c r="D19" s="2592"/>
      <c r="E19" s="2592"/>
      <c r="F19" s="2592"/>
      <c r="G19" s="2592"/>
      <c r="H19" s="2592"/>
      <c r="I19" s="2780"/>
      <c r="J19" s="2592"/>
    </row>
    <row r="20" spans="1:17" x14ac:dyDescent="0.2">
      <c r="A20" s="2592"/>
      <c r="B20" s="2777" t="s">
        <v>8674</v>
      </c>
      <c r="C20" s="2592"/>
      <c r="D20" s="2592"/>
      <c r="E20" s="2592"/>
      <c r="F20" s="2592"/>
      <c r="G20" s="2592"/>
      <c r="H20" s="2792" t="s">
        <v>951</v>
      </c>
      <c r="I20" s="2781"/>
      <c r="J20" s="2761" t="str">
        <f>IF($M$1=0,"",IF(I20="",re,""))</f>
        <v/>
      </c>
      <c r="K20" s="1485">
        <f>IF(J20="",0,1)</f>
      </c>
      <c r="M20" s="1485">
        <v>0</v>
      </c>
      <c r="N20" s="1485">
        <f>IF(I18&lt;I16,I18,I16)</f>
      </c>
    </row>
    <row r="21" spans="1:17" ht="7.15" customHeight="1" x14ac:dyDescent="0.2">
      <c r="A21" s="2592"/>
      <c r="B21" s="2777"/>
      <c r="C21" s="2592"/>
      <c r="D21" s="2592"/>
      <c r="E21" s="2592"/>
      <c r="F21" s="2592"/>
      <c r="G21" s="2592"/>
      <c r="H21" s="2592"/>
      <c r="I21" s="2780"/>
      <c r="J21" s="2592"/>
    </row>
    <row r="22" spans="1:17" x14ac:dyDescent="0.2">
      <c r="A22" s="2592"/>
      <c r="B22" s="2777" t="s">
        <v>8675</v>
      </c>
      <c r="C22" s="2592"/>
      <c r="D22" s="2592"/>
      <c r="E22" s="2592"/>
      <c r="F22" s="2592"/>
      <c r="G22" s="2592"/>
      <c r="H22" s="2792" t="s">
        <v>951</v>
      </c>
      <c r="I22" s="2781"/>
      <c r="J22" s="2761" t="str">
        <f>IF($M$1=0,"",IF(I22="",re,""))</f>
        <v/>
      </c>
      <c r="K22" s="1485">
        <f>IF(J22="",0,1)</f>
      </c>
      <c r="M22" s="1485">
        <f>ROUND(I20/0.35,0)</f>
      </c>
      <c r="N22" s="1485">
        <f>ROUND(I20/0.05,0)</f>
      </c>
    </row>
    <row r="23" spans="1:17" ht="7.15" customHeight="1" x14ac:dyDescent="0.2">
      <c r="A23" s="2592"/>
      <c r="B23" s="2777"/>
      <c r="C23" s="2592"/>
      <c r="D23" s="2592"/>
      <c r="E23" s="2592"/>
      <c r="F23" s="2592"/>
      <c r="G23" s="2592"/>
      <c r="H23" s="2592"/>
      <c r="I23" s="2780"/>
      <c r="J23" s="2592"/>
    </row>
    <row r="24" spans="1:17" x14ac:dyDescent="0.2">
      <c r="A24" s="2592"/>
      <c r="B24" s="2785" t="s">
        <v>757</v>
      </c>
      <c r="C24" s="2592"/>
      <c r="D24" s="2592"/>
      <c r="E24" s="2592"/>
      <c r="F24" s="2592"/>
      <c r="G24" s="2592"/>
      <c r="H24" s="2592"/>
      <c r="I24" s="2783"/>
      <c r="J24" s="2761" t="str">
        <f>IF($M$1=0,"",IF(I24="",re,IF(I24=Q25,"No benefit!","")))</f>
        <v/>
      </c>
      <c r="K24" s="1485">
        <f>IF(J24="",0,1)</f>
      </c>
      <c r="Q24" s="1485" t="s">
        <v>4457</v>
      </c>
    </row>
    <row r="25" spans="1:17" ht="7.15" customHeight="1" x14ac:dyDescent="0.2">
      <c r="A25" s="2592"/>
      <c r="B25" s="2777"/>
      <c r="C25" s="2592"/>
      <c r="D25" s="2592"/>
      <c r="E25" s="2592"/>
      <c r="F25" s="2592"/>
      <c r="G25" s="2592"/>
      <c r="H25" s="2592"/>
      <c r="I25" s="2780"/>
      <c r="J25" s="2592"/>
      <c r="Q25" s="1485" t="s">
        <v>1736</v>
      </c>
    </row>
    <row r="26" spans="1:17" x14ac:dyDescent="0.2">
      <c r="A26" s="2592"/>
      <c r="B26" s="2777"/>
      <c r="C26" s="2592"/>
      <c r="D26" s="2592"/>
      <c r="E26" s="2592"/>
      <c r="F26" s="2592"/>
      <c r="G26" s="2592"/>
      <c r="H26" s="2592"/>
      <c r="I26" s="2780"/>
      <c r="J26" s="2592"/>
    </row>
    <row r="27" spans="1:17" x14ac:dyDescent="0.2">
      <c r="A27" s="2592"/>
      <c r="B27" s="2777"/>
      <c r="C27" s="2592"/>
      <c r="D27" s="2592"/>
      <c r="E27" s="2694"/>
      <c r="F27" s="2694"/>
      <c r="G27" s="2261" t="s">
        <v>4802</v>
      </c>
      <c r="H27" s="2783"/>
      <c r="I27" s="2761" t="str">
        <f>IF($M$1=0,"",IF(H27="",re,IF(H27=Q25,"No benefit!","")))</f>
        <v/>
      </c>
      <c r="J27" s="2592"/>
      <c r="K27" s="1485">
        <f>IF(I27="",0,1)</f>
      </c>
    </row>
    <row r="28" spans="1:17" x14ac:dyDescent="0.2">
      <c r="A28" s="2592"/>
      <c r="B28" s="2777"/>
      <c r="C28" s="2592"/>
      <c r="D28" s="2592"/>
      <c r="E28" s="2592"/>
      <c r="F28" s="2592"/>
      <c r="G28" s="2592"/>
      <c r="H28" s="2592"/>
      <c r="I28" s="2780"/>
      <c r="J28" s="2592"/>
    </row>
    <row r="29" spans="1:17" s="46" customFormat="1" ht="11.25" x14ac:dyDescent="0.2">
      <c r="A29" s="2189"/>
      <c r="B29" s="2787" t="str">
        <f>_xlfn.SINGLE(MTCA)</f>
      </c>
      <c r="C29" s="2189"/>
      <c r="D29" s="2189"/>
      <c r="E29" s="2189" t="str">
        <f>ver</f>
        <v>TA2_e-CO_2025_Ver 1.1</v>
      </c>
      <c r="F29" s="2189"/>
      <c r="G29" s="2189"/>
      <c r="H29" s="2189"/>
      <c r="I29" s="2788"/>
      <c r="J29" s="2189" t="s">
        <v>8677</v>
      </c>
    </row>
    <row r="30" spans="1:17" x14ac:dyDescent="0.2">
      <c r="A30" s="2592"/>
      <c r="B30" s="2777"/>
      <c r="C30" s="2592"/>
      <c r="D30" s="2592"/>
      <c r="E30" s="2592"/>
      <c r="F30" s="2592"/>
      <c r="G30" s="2592"/>
      <c r="H30" s="2592"/>
      <c r="I30" s="2780"/>
      <c r="J30" s="2592"/>
    </row>
    <row r="31" spans="1:17" x14ac:dyDescent="0.2">
      <c r="A31" s="2592"/>
      <c r="B31" s="2791" t="s">
        <v>6290</v>
      </c>
      <c r="C31" s="2592"/>
      <c r="D31" s="2592"/>
      <c r="E31" s="2592"/>
      <c r="F31" s="2592"/>
      <c r="G31" s="2592"/>
      <c r="H31" s="2592"/>
      <c r="I31" s="2780"/>
      <c r="J31" s="2592"/>
      <c r="K31" s="2790">
        <f>SUM(K3:K30)</f>
      </c>
    </row>
    <row r="32" spans="1:17" x14ac:dyDescent="0.2">
      <c r="A32" s="2592"/>
      <c r="B32" s="2777"/>
      <c r="C32" s="2592"/>
      <c r="D32" s="2592"/>
      <c r="E32" s="2592"/>
      <c r="F32" s="2592"/>
      <c r="G32" s="2592"/>
      <c r="H32" s="2592"/>
      <c r="I32" s="2780"/>
      <c r="J32" s="2592"/>
      <c r="K32" s="1485">
        <f>IF(M1=0,0,IF(K31&lt;&gt;0,100,1))</f>
      </c>
    </row>
    <row r="33" s="1485" customFormat="1" hidden="1" x14ac:dyDescent="0.2"/>
    <row r="34" s="1485" customFormat="1" hidden="1" x14ac:dyDescent="0.2"/>
    <row r="35" s="1485" customFormat="1" hidden="1" x14ac:dyDescent="0.2"/>
    <row r="36" s="1485" customFormat="1" hidden="1" x14ac:dyDescent="0.2"/>
    <row r="37" s="1485" customFormat="1" hidden="1" x14ac:dyDescent="0.2"/>
    <row r="38" s="1485" customFormat="1" hidden="1" x14ac:dyDescent="0.2"/>
    <row r="39" s="1485" customFormat="1" hidden="1" x14ac:dyDescent="0.2"/>
    <row r="40" s="1485" customFormat="1" hidden="1" x14ac:dyDescent="0.2"/>
    <row r="41" s="1485" customFormat="1" hidden="1" x14ac:dyDescent="0.2"/>
    <row r="42" s="1485" customFormat="1" hidden="1" x14ac:dyDescent="0.2"/>
    <row r="43" s="1485" customFormat="1" hidden="1" x14ac:dyDescent="0.2"/>
    <row r="44" s="1485" customFormat="1" hidden="1" x14ac:dyDescent="0.2"/>
    <row r="45" s="1485" customFormat="1" hidden="1" x14ac:dyDescent="0.2"/>
    <row r="46" s="1485" customFormat="1" hidden="1" x14ac:dyDescent="0.2"/>
    <row r="47" s="1485" customFormat="1" hidden="1" x14ac:dyDescent="0.2"/>
    <row r="48" s="1485" customFormat="1" hidden="1" x14ac:dyDescent="0.2"/>
    <row r="49" s="1485" customFormat="1" hidden="1" x14ac:dyDescent="0.2"/>
    <row r="50" s="1485" customFormat="1" hidden="1" x14ac:dyDescent="0.2"/>
    <row r="51" s="1485" customFormat="1" hidden="1" x14ac:dyDescent="0.2"/>
  </sheetData>
  <sheetProtection algorithmName="SHA-512" hashValue="gyxjsB0643pySrl4eXlJSx0KnhCsfj+0b+4FkzoqEeI4EaPvw2jQpQkHB6USxFosiup/d43FLTLoVAXe2lRSfA==" saltValue="bZcZ8HSif9ieIvcfYfJliw==" spinCount="100000" sheet="1" objects="1" scenarios="1"/>
  <mergeCells count="4">
    <mergeCell ref="B1:I1"/>
    <mergeCell ref="B4:I4"/>
    <mergeCell ref="B3:I3"/>
    <mergeCell ref="B5:I5"/>
  </mergeCells>
  <dataValidations disablePrompts="1" count="5">
    <dataValidation type="textLength" errorStyle="warning" operator="greaterThanOrEqual" allowBlank="1" showInputMessage="1" showErrorMessage="1" errorTitle="Permit reference " error="Please enter the correct permit reference!" sqref="F9" xr:uid="{00000000-0002-0000-5E00-000000000000}">
      <formula1>M9</formula1>
    </dataValidation>
    <dataValidation type="list" allowBlank="1" showInputMessage="1" showErrorMessage="1" sqref="I24 H27" xr:uid="{00000000-0002-0000-5E00-000001000000}">
      <formula1>$Q$23:$Q$25</formula1>
    </dataValidation>
    <dataValidation type="date" operator="lessThanOrEqual" allowBlank="1" showInputMessage="1" showErrorMessage="1" errorTitle="Date of Issue" error="Please enter the correct date!  Applicable up to 31/12/2019" prompt="dd/mm/yyyy" sqref="F11" xr:uid="{00000000-0002-0000-5E00-000002000000}">
      <formula1>N11</formula1>
    </dataValidation>
    <dataValidation type="whole" allowBlank="1" showInputMessage="1" showErrorMessage="1" errorTitle="Income deemed relieved by Tax Cr" error="Please enter the correct amount!" sqref="I22" xr:uid="{00000000-0002-0000-5E00-000003000000}">
      <formula1>M22</formula1>
      <formula2>N22</formula2>
    </dataValidation>
    <dataValidation type="whole" allowBlank="1" showInputMessage="1" showErrorMessage="1" errorTitle="Tax credit claimed" error="The tax credit cannot be more than 25% of gross fees _x000a_OR_x000a_Cannot exceed the tax on chargeable income derived from qualifying services." sqref="I20" xr:uid="{00000000-0002-0000-5E00-000004000000}">
      <formula1>M20</formula1>
      <formula2>N20</formula2>
    </dataValidation>
  </dataValidations>
  <hyperlinks>
    <hyperlink ref="B31" location="Index!B114" display="B A C K   T O   I N D E X" xr:uid="{00000000-0004-0000-5E00-000000000000}"/>
    <hyperlink ref="H22" location="'TRA35'!A30" display="TRA 35" xr:uid="{00000000-0004-0000-5E00-000001000000}"/>
    <hyperlink ref="H20" location="'TRA35'!A30" display="TRA 35" xr:uid="{00000000-0004-0000-5E00-000002000000}"/>
  </hyperlinks>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09"/>
  <dimension ref="A1:CD39"/>
  <sheetViews>
    <sheetView topLeftCell="A16" zoomScale="85" zoomScaleNormal="85" workbookViewId="0">
      <selection activeCell="B38" sqref="B38"/>
    </sheetView>
  </sheetViews>
  <sheetFormatPr defaultColWidth="0" defaultRowHeight="15" x14ac:dyDescent="0.25"/>
  <cols>
    <col min="1" max="1" width="5.7109375" style="4052" customWidth="1"/>
    <col min="2" max="2" width="21.7109375" style="4052" customWidth="1"/>
    <col min="3" max="3" width="25.5703125" style="4052" customWidth="1"/>
    <col min="4" max="4" width="14.28515625" style="4052" customWidth="1"/>
    <col min="5" max="5" width="12.5703125" style="4052" customWidth="1"/>
    <col min="6" max="6" width="9.5703125" style="4052" customWidth="1"/>
    <col min="7" max="8" width="10.7109375" style="4052" customWidth="1"/>
    <col min="9" max="12" width="13.42578125" style="4052" customWidth="1"/>
    <col min="13" max="13" width="15.42578125" style="4052" customWidth="1"/>
    <col min="14" max="15" width="13.7109375" style="4052" customWidth="1"/>
    <col min="16" max="16" width="35.5703125" style="4052" customWidth="1"/>
    <col min="17" max="20" width="9.28515625" style="4052" hidden="1" customWidth="1"/>
    <col min="21" max="21" width="11" style="4052" hidden="1" customWidth="1"/>
    <col min="22" max="22" width="9.28515625" style="4052" hidden="1" customWidth="1"/>
    <col min="23" max="23" width="10.5703125" style="4052" hidden="1" customWidth="1"/>
    <col min="24" max="29" width="9.28515625" style="4052" hidden="1" customWidth="1"/>
    <col min="30" max="30" width="11.42578125" style="4052" hidden="1" customWidth="1"/>
    <col min="31" max="32" width="9.28515625" style="4052" hidden="1" customWidth="1"/>
    <col min="33" max="33" width="12.5703125" style="4052" hidden="1" customWidth="1"/>
    <col min="34" max="34" width="12" style="4052" hidden="1" customWidth="1"/>
    <col min="35" max="35" width="9.28515625" style="4052" hidden="1" customWidth="1"/>
    <col min="36" max="36" width="11.28515625" style="4052" hidden="1" customWidth="1"/>
    <col min="37" max="37" width="11.7109375" style="4052" hidden="1" customWidth="1"/>
    <col min="38" max="38" width="12.42578125" style="4052" hidden="1" customWidth="1"/>
    <col min="39" max="39" width="13" style="4052" hidden="1" customWidth="1"/>
    <col min="40" max="40" width="12.42578125" style="4052" hidden="1" customWidth="1"/>
    <col min="41" max="41" width="13.28515625" style="4052" hidden="1" customWidth="1"/>
    <col min="42" max="42" width="9.28515625" style="4052" hidden="1" customWidth="1"/>
    <col min="43" max="43" width="12" style="4052" hidden="1" customWidth="1"/>
    <col min="44" max="16384" width="9.28515625" style="4052" hidden="1"/>
  </cols>
  <sheetData>
    <row r="1" spans="1:82" ht="15" customHeight="1" x14ac:dyDescent="0.25">
      <c r="A1" s="5297" t="str">
        <f>_ref1</f>
      </c>
      <c r="B1" s="5297"/>
      <c r="C1" s="5297"/>
      <c r="D1" s="5297"/>
      <c r="E1" s="5297"/>
      <c r="F1" s="5297"/>
      <c r="G1" s="5297"/>
      <c r="H1" s="5297"/>
      <c r="I1" s="5297"/>
      <c r="J1" s="4032"/>
      <c r="K1" s="4032"/>
      <c r="L1" s="4032"/>
      <c r="M1" s="4032"/>
      <c r="N1" s="3095" t="str">
        <f>_YA1</f>
      </c>
      <c r="O1" s="3095"/>
      <c r="P1" s="4051"/>
      <c r="X1" s="4052" t="s">
        <v>10464</v>
      </c>
      <c r="AL1" s="4053"/>
    </row>
    <row r="2" spans="1:82" x14ac:dyDescent="0.25">
      <c r="A2" s="4051"/>
      <c r="B2" s="4051"/>
      <c r="C2" s="4051"/>
      <c r="D2" s="4051"/>
      <c r="E2" s="4051"/>
      <c r="F2" s="4051"/>
      <c r="G2" s="4051"/>
      <c r="H2" s="4051"/>
      <c r="I2" s="4051"/>
      <c r="J2" s="4051"/>
      <c r="K2" s="4051"/>
      <c r="L2" s="4051"/>
      <c r="M2" s="4051"/>
      <c r="N2" s="4051"/>
      <c r="O2" s="4051"/>
      <c r="P2" s="4051"/>
      <c r="X2" s="4052" t="s">
        <v>1736</v>
      </c>
      <c r="AL2" s="4053"/>
    </row>
    <row r="3" spans="1:82" ht="15" customHeight="1" x14ac:dyDescent="0.25">
      <c r="A3" s="4051"/>
      <c r="B3" s="4054" t="s">
        <v>8684</v>
      </c>
      <c r="C3" s="4055"/>
      <c r="D3" s="4055"/>
      <c r="E3" s="4055"/>
      <c r="F3" s="4055"/>
      <c r="G3" s="4055"/>
      <c r="H3" s="4055"/>
      <c r="I3" s="4055"/>
      <c r="J3" s="4055"/>
      <c r="K3" s="4055"/>
      <c r="L3" s="4055"/>
      <c r="M3" s="4055"/>
      <c r="N3" s="4055"/>
      <c r="O3" s="4056"/>
      <c r="P3" s="4051"/>
      <c r="AL3" s="4053"/>
    </row>
    <row r="4" spans="1:82" x14ac:dyDescent="0.25">
      <c r="A4" s="4051"/>
      <c r="B4" s="4057" t="s">
        <v>10221</v>
      </c>
      <c r="C4" s="4058"/>
      <c r="D4" s="4058"/>
      <c r="E4" s="4058"/>
      <c r="F4" s="4058"/>
      <c r="G4" s="4058"/>
      <c r="H4" s="4058"/>
      <c r="I4" s="4058"/>
      <c r="J4" s="4058"/>
      <c r="K4" s="4058"/>
      <c r="L4" s="4058"/>
      <c r="M4" s="4058"/>
      <c r="N4" s="4058"/>
      <c r="O4" s="4059"/>
      <c r="P4" s="4051"/>
      <c r="U4" s="2912">
        <f>ya</f>
      </c>
      <c r="V4" s="4060"/>
      <c r="AL4" s="4053"/>
    </row>
    <row r="5" spans="1:82" ht="36.75" customHeight="1" x14ac:dyDescent="0.25">
      <c r="A5" s="4051"/>
      <c r="B5" s="5298" t="s">
        <v>10558</v>
      </c>
      <c r="C5" s="5298"/>
      <c r="D5" s="5298"/>
      <c r="E5" s="5298"/>
      <c r="F5" s="5298"/>
      <c r="G5" s="5298"/>
      <c r="H5" s="5298"/>
      <c r="I5" s="5298"/>
      <c r="J5" s="5298"/>
      <c r="K5" s="5298"/>
      <c r="L5" s="5298"/>
      <c r="M5" s="5298"/>
      <c r="N5" s="5298"/>
      <c r="O5" s="5298"/>
      <c r="P5" s="4051"/>
      <c r="U5" s="5299" t="s">
        <v>10545</v>
      </c>
      <c r="V5" s="5299"/>
      <c r="W5" s="5299"/>
      <c r="X5" s="5299"/>
      <c r="AD5" s="5299" t="s">
        <v>10546</v>
      </c>
      <c r="AE5" s="5299"/>
      <c r="AF5" s="5299"/>
      <c r="AG5" s="5299"/>
      <c r="AH5" s="5299"/>
      <c r="AI5" s="5299"/>
      <c r="AJ5" s="5299"/>
      <c r="AK5" s="5299"/>
      <c r="AL5" s="5299"/>
      <c r="AM5" s="5299"/>
      <c r="AN5" s="5299"/>
      <c r="AO5" s="5299"/>
    </row>
    <row r="6" spans="1:82" s="3116" customFormat="1" ht="78.75" x14ac:dyDescent="0.2">
      <c r="A6" s="4061"/>
      <c r="B6" s="3763" t="s">
        <v>6993</v>
      </c>
      <c r="C6" s="3764" t="s">
        <v>10142</v>
      </c>
      <c r="D6" s="3763" t="s">
        <v>10141</v>
      </c>
      <c r="E6" s="3765" t="s">
        <v>10222</v>
      </c>
      <c r="F6" s="3765" t="s">
        <v>8686</v>
      </c>
      <c r="G6" s="3766" t="s">
        <v>8687</v>
      </c>
      <c r="H6" s="3765" t="s">
        <v>10539</v>
      </c>
      <c r="I6" s="3763" t="s">
        <v>8688</v>
      </c>
      <c r="J6" s="3763" t="s">
        <v>10581</v>
      </c>
      <c r="K6" s="3763" t="s">
        <v>10542</v>
      </c>
      <c r="L6" s="3763" t="s">
        <v>10541</v>
      </c>
      <c r="M6" s="3763" t="s">
        <v>10543</v>
      </c>
      <c r="N6" s="3765" t="s">
        <v>10544</v>
      </c>
      <c r="O6" s="3763" t="s">
        <v>10580</v>
      </c>
      <c r="P6" s="4062"/>
      <c r="R6" s="4063" t="s">
        <v>7439</v>
      </c>
      <c r="S6" s="3116" t="s">
        <v>7017</v>
      </c>
      <c r="U6" s="4035" t="s">
        <v>10548</v>
      </c>
      <c r="V6" s="4035" t="s">
        <v>8689</v>
      </c>
      <c r="W6" s="4035" t="s">
        <v>10143</v>
      </c>
      <c r="X6" s="4036" t="s">
        <v>10549</v>
      </c>
      <c r="Z6" s="3116" t="s">
        <v>8690</v>
      </c>
      <c r="AA6" s="4037" t="s">
        <v>10550</v>
      </c>
      <c r="AD6" s="4038" t="s">
        <v>10540</v>
      </c>
      <c r="AE6" s="3764" t="s">
        <v>8687</v>
      </c>
      <c r="AF6" s="4038" t="s">
        <v>8688</v>
      </c>
      <c r="AG6" s="4038" t="s">
        <v>10551</v>
      </c>
      <c r="AH6" s="3764" t="s">
        <v>10552</v>
      </c>
      <c r="AI6" s="3764" t="s">
        <v>10553</v>
      </c>
      <c r="AJ6" s="3764" t="s">
        <v>10554</v>
      </c>
      <c r="AK6" s="3764" t="s">
        <v>10555</v>
      </c>
      <c r="AL6" s="4038" t="s">
        <v>10547</v>
      </c>
      <c r="AM6" s="3764" t="s">
        <v>10541</v>
      </c>
      <c r="AN6" s="4038" t="s">
        <v>10556</v>
      </c>
      <c r="AO6" s="3764" t="s">
        <v>10544</v>
      </c>
      <c r="AQ6" s="4038" t="s">
        <v>10557</v>
      </c>
      <c r="BA6" s="3096"/>
      <c r="BB6" s="3096"/>
      <c r="BC6" s="3096"/>
      <c r="BD6" s="3096"/>
      <c r="BE6" s="3096"/>
      <c r="BF6" s="3096"/>
      <c r="BG6" s="3096"/>
      <c r="BH6" s="3096"/>
      <c r="BI6" s="3096"/>
      <c r="BJ6" s="3096"/>
      <c r="BK6" s="3096"/>
    </row>
    <row r="7" spans="1:82" s="2912" customFormat="1" x14ac:dyDescent="0.25">
      <c r="A7" s="4051"/>
      <c r="B7" s="4070"/>
      <c r="C7" s="3020"/>
      <c r="D7" s="3107"/>
      <c r="E7" s="2885"/>
      <c r="F7" s="3105"/>
      <c r="G7" s="3106" t="str">
        <f t="shared" ref="G7:G26" si="0">IF(S7=0,"",E7-F7)</f>
        <v/>
      </c>
      <c r="H7" s="4039"/>
      <c r="I7" s="2885"/>
      <c r="J7" s="3105"/>
      <c r="K7" s="2886" t="str">
        <f>IF(H7=$X$2,IF(OR(U7=1,X7=1,),"",ROUND(G7/I7,0)),IF(H7=$X$1,IF(AH7&lt;0,0,AH7),""))</f>
        <v/>
      </c>
      <c r="L7" s="2886" t="str">
        <f>IF(H7=$X$1,IF(AM7&lt;0,0,ROUND(AM7,0)),"")</f>
        <v/>
      </c>
      <c r="M7" s="2885"/>
      <c r="N7" s="2886" t="str">
        <f>IF(H7=$X$2,IF(U7=1,"",IF(X7=1,0,ROUND(G7/I7,0))),IF(H7=$X$1,IF(AO7&lt;0,0,ROUND(AO7,0)),""))</f>
        <v/>
      </c>
      <c r="O7" s="2886" t="str">
        <f>IF(L7="","",IF(AND(H7=$X$1,L7-M7&gt;0),L7-M7,0))</f>
        <v/>
      </c>
      <c r="P7" s="3097" t="str">
        <f t="shared" ref="P7:P26" si="1">IF(AND(S7&gt;0,OR(B7="",C7="",D7="",I7="",H7="")),dat,IF(AND(S7&gt;0,H7=$X$2,OR(E7="",F7="")),reo,IF(AND(S7&gt;0,H7=$X$1,OR(E7="",F7="",J7="",J7="",M7="")),reo,IF(AA7=1,"Delete!",IF(OR(AND(S7&gt;0,I7&lt;3),AND(S7&gt;0,D7&gt;2023,H7=$X$1,I7&lt;&gt;3)),"Check no. of years",IF(AND(S7&gt;0,Z7&lt;&gt;""),Z7,IF(OR(AND(D7&lt;2024,ya=2024,J7&gt;0),AND(D7=ya,J7&gt;0),AND(D7&lt;ya,J7&gt;AJ7)),"Check unutilised amortisation b/fwd",IF(AND(H7=$X$1,M7&gt;AM7),"Check utilised accelerated amortisation!",""))))))))</f>
        <v/>
      </c>
      <c r="R7" s="4052">
        <f>IF(P7&lt;&gt;"",1,0)</f>
      </c>
      <c r="S7" s="3098">
        <f>COUNTA(D7:F7,I7:J7,M7)+COUNTA(B7)+COUNTA(C7)</f>
      </c>
      <c r="U7" s="2912">
        <f t="shared" ref="U7:U26" si="2">IF(I7&lt;3,1,0)</f>
      </c>
      <c r="V7" s="3099">
        <f>IF(S7=0,0,D7+I7-1)</f>
      </c>
      <c r="W7" s="3100">
        <f t="shared" ref="W7:W26" si="3">IF(S7=0,0,ya)</f>
      </c>
      <c r="X7" s="2573">
        <f>IF(W7&gt;V7,1,0)</f>
      </c>
      <c r="Y7" s="2912" t="str">
        <f t="shared" ref="Y7:Y26" si="4">IF(ISBLANK(B7)=TRUE,"",IF(B7=$X$38,$Y$38,IF(B7=$X$39,$Y$39,"")))</f>
        <v/>
      </c>
      <c r="Z7" s="2912" t="str">
        <f t="shared" ref="Z7:Z26" si="5">IF(ISBLANK(B7)=TRUE,"",IF(X7=1,CONCATENATE(Y7," fully amortised"),""))</f>
        <v/>
      </c>
      <c r="AA7" s="2912">
        <f>IF(AND(H7=$X$2,OR(J7&lt;&gt;"",M7&lt;&gt;"")),1,0)</f>
      </c>
      <c r="AD7" s="2573">
        <f>IF(H7=X1,1,0)</f>
      </c>
      <c r="AE7" s="4040" t="str">
        <f>G7</f>
        <v/>
      </c>
      <c r="AF7" s="4041">
        <f>IF(AND(D7&gt;2023,I7&lt;&gt;3),0,I7)</f>
      </c>
      <c r="AG7" s="4042">
        <f>IF(AND(H7=$X$1,D7&gt;2023,I7&lt;&gt;3),1,IF(AND(H7=$X$1,D7&lt;2024,I7&lt;3),1,0))</f>
      </c>
      <c r="AH7" s="4040">
        <f t="shared" ref="AH7:AH26" si="6">IF(OR(AG7=1,AF7=0,ya&gt;V7),0,IF(AND(AG7=0,OR(AI7=0,AND(ya=2024,D7&lt;2024))),AE7/AF7,IF(AI7&gt;0,IF(AL7&lt;(AE7/AF7),AL7,(AE7/AF7)))))</f>
      </c>
      <c r="AI7" s="4040">
        <f t="shared" ref="AI7:AI26" si="7">IF(ya-V7&gt;0,I7,ya-D7)</f>
      </c>
      <c r="AJ7" s="4043">
        <f>IF(OR(G7&lt;0,ISBLANK(E7)=TRUE,ISBLANK(D7)=TRUE,ISBLANK(I7)=TRUE),0,IF(AI7&gt;AF7,0,IF(OR(AND(H7=$X$1,D7&lt;2024),AND(H7=$X$1,AF7=3)),(AE7/AF7)*(AF7-AI7),0)))</f>
      </c>
      <c r="AK7" s="4040">
        <f>AJ7-AH7</f>
      </c>
      <c r="AL7" s="2573">
        <f>J7</f>
      </c>
      <c r="AM7" s="4040">
        <f t="shared" ref="AM7:AM26" si="8">IF(OR(AI7=0,AND(ya=2024,D7&lt;2024)),AK7,IF(AL7&gt;AH7,AL7-AH7,0))</f>
      </c>
      <c r="AN7" s="4044">
        <f>M7</f>
      </c>
      <c r="AO7" s="4045">
        <f>AH7+AN7</f>
      </c>
      <c r="AQ7" s="2912">
        <f>IF(OR(AG7=1,U7=1),1,0)</f>
      </c>
      <c r="BA7" s="3101"/>
      <c r="BB7" s="3101"/>
      <c r="BC7" s="3101"/>
      <c r="BD7" s="3101"/>
      <c r="BE7" s="3101"/>
      <c r="BF7" s="3101"/>
      <c r="BG7" s="3101"/>
      <c r="BH7" s="3101"/>
      <c r="BI7" s="3101"/>
      <c r="BJ7" s="3101"/>
      <c r="BK7" s="3101"/>
      <c r="BY7" s="3116"/>
      <c r="BZ7" s="3116"/>
      <c r="CA7" s="3116"/>
      <c r="CB7" s="3116"/>
      <c r="CC7" s="3116"/>
      <c r="CD7" s="3116"/>
    </row>
    <row r="8" spans="1:82" s="2912" customFormat="1" x14ac:dyDescent="0.25">
      <c r="A8" s="4051"/>
      <c r="B8" s="4070"/>
      <c r="C8" s="3020"/>
      <c r="D8" s="3107"/>
      <c r="E8" s="2885"/>
      <c r="F8" s="3105"/>
      <c r="G8" s="3106" t="str">
        <f t="shared" si="0"/>
        <v/>
      </c>
      <c r="H8" s="4039"/>
      <c r="I8" s="2885"/>
      <c r="J8" s="3105"/>
      <c r="K8" s="2886" t="str">
        <f>IF(H8=$X$2,IF(OR(U8=1,X8=1,),"",ROUND(G8/I8,0)),IF(H8=$X$1,IF(AH8&lt;0,0,AH8),""))</f>
        <v/>
      </c>
      <c r="L8" s="2886" t="str">
        <f t="shared" ref="L8:L26" si="9">IF(H8=$X$1,IF(AM8&lt;0,0,ROUND(AM8,0)),"")</f>
        <v/>
      </c>
      <c r="M8" s="2885"/>
      <c r="N8" s="2886" t="str">
        <f>IF(H8=$X$2,IF(U8=1,"",IF(X8=1,0,ROUND(G8/I8,0))),IF(H8=$X$1,IF(AO8&lt;0,0,ROUND(AO8,0)),""))</f>
        <v/>
      </c>
      <c r="O8" s="2886" t="str">
        <f t="shared" ref="O8:O26" si="10">IF(L8="","",IF(AND(H8=$X$1,L8-M8&gt;0),L8-M8,0))</f>
        <v/>
      </c>
      <c r="P8" s="3097" t="str">
        <f>IF(AND(S8&gt;0,OR(B8="",C8="",D8="",I8="",H8="")),dat,IF(AND(S8&gt;0,H8=$X$2,OR(E8="",F8="")),reo,IF(AND(S8&gt;0,H8=$X$1,OR(E8="",F8="",J8="",J8="",M8="")),reo,IF(AA8=1,"Delete!",IF(OR(AND(S8&gt;0,I8&lt;3),AND(S8&gt;0,D8&gt;2023,H8=$X$1,I8&lt;&gt;3)),"Check no. of years",IF(AND(S8&gt;0,Z8&lt;&gt;""),Z8,IF(OR(AND(D8&lt;2024,ya=2024,J8&gt;0),AND(D8=ya,J8&gt;0),AND(D8&lt;ya,J8&gt;AJ8)),"Check unutilised amortisation b/fwd",IF(AND(H8=$X$1,M8&gt;AM8),"Check utilised accelerated amortisation!",""))))))))</f>
        <v/>
      </c>
      <c r="R8" s="4052">
        <f t="shared" ref="R8:R22" si="11">IF(P8&lt;&gt;"",1,0)</f>
      </c>
      <c r="S8" s="3098">
        <f>COUNTA(D8:F8,I8:J8,M8)+COUNTA(B8)+COUNTA(C8)</f>
      </c>
      <c r="U8" s="2912">
        <f>IF(I8&lt;3,1,0)</f>
      </c>
      <c r="V8" s="3099">
        <f>IF(S8=0,0,D8+I8-1)</f>
      </c>
      <c r="W8" s="3100">
        <f t="shared" si="3"/>
        <v>0</v>
      </c>
      <c r="X8" s="2573">
        <f t="shared" ref="X8:X22" si="12">IF(W8&gt;V8,1,0)</f>
      </c>
      <c r="Y8" s="2912" t="str">
        <f t="shared" si="4"/>
        <v/>
      </c>
      <c r="Z8" s="2912" t="str">
        <f t="shared" si="5"/>
        <v/>
      </c>
      <c r="AA8" s="2912">
        <f t="shared" ref="AA8:AA26" si="13">IF(AND(H8=$X$2,OR(J8&lt;&gt;"",M8&lt;&gt;"")),1,0)</f>
      </c>
      <c r="AD8" s="2573">
        <f t="shared" ref="AD8:AD26" si="14">IF(H8=X2,1,0)</f>
      </c>
      <c r="AE8" s="4043" t="str">
        <f t="shared" ref="AE8:AE26" si="15">G8</f>
        <v/>
      </c>
      <c r="AF8" s="2573">
        <f>IF(AND(D8&gt;2023,I8&lt;&gt;3),0,I8)</f>
      </c>
      <c r="AG8" s="2912">
        <f>IF(AND(H8=$X$1,D8&gt;2023,I8&lt;&gt;3),1,IF(AND(H8=$X$1,D8&lt;2024,I8&lt;3),1,0))</f>
      </c>
      <c r="AH8" s="4043">
        <f t="shared" si="6"/>
        <v>0</v>
      </c>
      <c r="AI8" s="4043">
        <f>IF(ya-V8&gt;0,I8,ya-D8)</f>
      </c>
      <c r="AJ8" s="4043">
        <f>IF(OR(G8&lt;0,ISBLANK(E8)=TRUE,ISBLANK(D8)=TRUE,ISBLANK(I8)=TRUE),0,IF(AI8&gt;AF8,0,IF(OR(AND(H8=$X$1,D8&lt;2024),AND(H8=$X$1,AF8=3)),(AE8/AF8)*(AF8-AI8),0)))</f>
      </c>
      <c r="AK8" s="4043">
        <f t="shared" ref="AK8:AK26" si="16">AJ8-AH8</f>
      </c>
      <c r="AL8" s="2573">
        <f t="shared" ref="AL8:AL26" si="17">J8</f>
      </c>
      <c r="AM8" s="4043">
        <f t="shared" si="8"/>
        <v>0</v>
      </c>
      <c r="AN8" s="4046">
        <f t="shared" ref="AN8:AN26" si="18">M8</f>
      </c>
      <c r="AO8" s="4047">
        <f t="shared" ref="AO8:AO26" si="19">AH8+AN8</f>
      </c>
      <c r="AQ8" s="2912">
        <f t="shared" ref="AQ8:AQ26" si="20">IF(OR(AG8=1,U8=1),1,0)</f>
      </c>
      <c r="BA8" s="3101"/>
      <c r="BB8" s="3101"/>
      <c r="BC8" s="3101"/>
      <c r="BD8" s="3101"/>
      <c r="BE8" s="3101"/>
      <c r="BF8" s="3101"/>
      <c r="BG8" s="3101"/>
      <c r="BH8" s="3101"/>
      <c r="BI8" s="3101"/>
      <c r="BJ8" s="3101"/>
      <c r="BK8" s="3101"/>
      <c r="BY8" s="3116"/>
      <c r="BZ8" s="3116"/>
      <c r="CA8" s="3116"/>
      <c r="CB8" s="3116"/>
      <c r="CC8" s="3116"/>
      <c r="CD8" s="3116"/>
    </row>
    <row r="9" spans="1:82" s="2912" customFormat="1" x14ac:dyDescent="0.25">
      <c r="A9" s="4051"/>
      <c r="B9" s="4070"/>
      <c r="C9" s="3020"/>
      <c r="D9" s="3107"/>
      <c r="E9" s="2885"/>
      <c r="F9" s="3105"/>
      <c r="G9" s="3106" t="str">
        <f t="shared" si="0"/>
        <v/>
      </c>
      <c r="H9" s="4039"/>
      <c r="I9" s="2885"/>
      <c r="J9" s="3105"/>
      <c r="K9" s="2886" t="str">
        <f>IF(H9=$X$2,IF(OR(U9=1,X9=1,),"",ROUND(G9/I9,0)),IF(H9=$X$1,IF(AH9&lt;0,0,AH9),""))</f>
        <v/>
      </c>
      <c r="L9" s="2886" t="str">
        <f t="shared" si="9"/>
        <v/>
      </c>
      <c r="M9" s="2885"/>
      <c r="N9" s="2886" t="str">
        <f>IF(H9=$X$2,IF(U9=1,"",IF(X9=1,0,ROUND(G9/I9,0))),IF(H9=$X$1,IF(AO9&lt;0,0,ROUND(AO9,0)),""))</f>
        <v/>
      </c>
      <c r="O9" s="2886" t="str">
        <f t="shared" si="10"/>
        <v/>
      </c>
      <c r="P9" s="3097" t="str">
        <f>IF(AND(S9&gt;0,OR(B9="",C9="",D9="",I9="",H9="")),dat,IF(AND(S9&gt;0,H9=$X$2,OR(E9="",F9="")),reo,IF(AND(S9&gt;0,H9=$X$1,OR(E9="",F9="",J9="",J9="",M9="")),reo,IF(AA9=1,"Delete!",IF(OR(AND(S9&gt;0,I9&lt;3),AND(S9&gt;0,D9&gt;2023,H9=$X$1,I9&lt;&gt;3)),"Check no. of years",IF(AND(S9&gt;0,Z9&lt;&gt;""),Z9,IF(OR(AND(D9&lt;2024,ya=2024,J9&gt;0),AND(D9=ya,J9&gt;0),AND(D9&lt;ya,J9&gt;AJ9)),"Check unutilised amortisation b/fwd",IF(AND(H9=$X$1,M9&gt;AM9),"Check utilised accelerated amortisation!",""))))))))</f>
        <v/>
      </c>
      <c r="R9" s="4052">
        <f t="shared" si="11"/>
        <v>0</v>
      </c>
      <c r="S9" s="3098">
        <f t="shared" ref="S9:S26" si="21">COUNTA(D9:F9,I9:J9,M9)+COUNTA(B9)+COUNTA(C9)</f>
      </c>
      <c r="U9" s="2912">
        <f>IF(I9&lt;3,1,0)</f>
      </c>
      <c r="V9" s="3099">
        <f>IF(S9=0,0,D9+I9-1)</f>
      </c>
      <c r="W9" s="3100">
        <f t="shared" si="3"/>
        <v>0</v>
      </c>
      <c r="X9" s="2573">
        <f t="shared" si="12"/>
        <v>0</v>
      </c>
      <c r="Y9" s="2912" t="str">
        <f t="shared" si="4"/>
        <v/>
      </c>
      <c r="Z9" s="2912" t="str">
        <f t="shared" si="5"/>
        <v/>
      </c>
      <c r="AA9" s="2912">
        <f t="shared" si="13"/>
        <v>0</v>
      </c>
      <c r="AD9" s="2573">
        <f t="shared" si="14"/>
        <v>1</v>
      </c>
      <c r="AE9" s="4043" t="str">
        <f t="shared" si="15"/>
        <v/>
      </c>
      <c r="AF9" s="2573">
        <f>IF(AND(D9&gt;2023,I9&lt;&gt;3),0,I9)</f>
      </c>
      <c r="AG9" s="2912">
        <f>IF(AND(H9=$X$1,D9&gt;2023,I9&lt;&gt;3),1,IF(AND(H9=$X$1,D9&lt;2024,I9&lt;3),1,0))</f>
      </c>
      <c r="AH9" s="4043">
        <f t="shared" si="6"/>
        <v>0</v>
      </c>
      <c r="AI9" s="4043">
        <f>IF(ya-V9&gt;0,I9,ya-D9)</f>
      </c>
      <c r="AJ9" s="4043">
        <f>IF(OR(G9&lt;0,ISBLANK(E9)=TRUE,ISBLANK(D9)=TRUE,ISBLANK(I9)=TRUE),0,IF(AI9&gt;AF9,0,IF(OR(AND(H9=$X$1,D9&lt;2024),AND(H9=$X$1,AF9=3)),(AE9/AF9)*(AF9-AI9),0)))</f>
      </c>
      <c r="AK9" s="4043">
        <f t="shared" si="16"/>
        <v>0</v>
      </c>
      <c r="AL9" s="2573">
        <f t="shared" si="17"/>
        <v>0</v>
      </c>
      <c r="AM9" s="4043">
        <f t="shared" si="8"/>
        <v>0</v>
      </c>
      <c r="AN9" s="4046">
        <f t="shared" si="18"/>
        <v>0</v>
      </c>
      <c r="AO9" s="4047">
        <f t="shared" si="19"/>
        <v>0</v>
      </c>
      <c r="AQ9" s="2912">
        <f t="shared" si="20"/>
        <v>1</v>
      </c>
      <c r="BA9" s="3101"/>
      <c r="BB9" s="3101"/>
      <c r="BC9" s="3101"/>
      <c r="BD9" s="3101"/>
      <c r="BE9" s="3101"/>
      <c r="BF9" s="3101"/>
      <c r="BG9" s="3101"/>
      <c r="BH9" s="3101"/>
      <c r="BI9" s="3101"/>
      <c r="BJ9" s="3101"/>
      <c r="BK9" s="3101"/>
      <c r="BY9" s="3116"/>
      <c r="BZ9" s="3116"/>
      <c r="CA9" s="3116"/>
      <c r="CB9" s="3116"/>
      <c r="CC9" s="3116"/>
      <c r="CD9" s="3116"/>
    </row>
    <row r="10" spans="1:82" s="2912" customFormat="1" x14ac:dyDescent="0.25">
      <c r="A10" s="4051"/>
      <c r="B10" s="4070"/>
      <c r="C10" s="3020"/>
      <c r="D10" s="3107"/>
      <c r="E10" s="2885"/>
      <c r="F10" s="3105"/>
      <c r="G10" s="3106" t="str">
        <f t="shared" si="0"/>
        <v/>
      </c>
      <c r="H10" s="4039"/>
      <c r="I10" s="2885"/>
      <c r="J10" s="3105"/>
      <c r="K10" s="2886" t="str">
        <f t="shared" ref="K10:K26" si="22">IF(H10=$X$2,IF(OR(U10=1,X10=1,),"",ROUND(G10/I10,0)),IF(H10=$X$1,IF(AH10&lt;0,0,AH10),""))</f>
        <v/>
      </c>
      <c r="L10" s="2886" t="str">
        <f t="shared" si="9"/>
        <v/>
      </c>
      <c r="M10" s="2885"/>
      <c r="N10" s="2886" t="str">
        <f t="shared" ref="N10:N26" si="23">IF(H10=$X$2,IF(U10=1,"",IF(X10=1,0,ROUND(G10/I10,0))),IF(H10=$X$1,IF(AO10&lt;0,0,ROUND(AO10,0)),""))</f>
        <v/>
      </c>
      <c r="O10" s="2886" t="str">
        <f t="shared" si="10"/>
        <v/>
      </c>
      <c r="P10" s="3097" t="str">
        <f t="shared" si="1"/>
        <v/>
      </c>
      <c r="R10" s="4052">
        <f t="shared" si="11"/>
        <v>0</v>
      </c>
      <c r="S10" s="3098">
        <f t="shared" si="21"/>
        <v>0</v>
      </c>
      <c r="U10" s="2912">
        <f t="shared" si="2"/>
        <v>1</v>
      </c>
      <c r="V10" s="3099">
        <f t="shared" ref="V10:V26" si="24">IF(S10=0,0,D10+I10-1)</f>
      </c>
      <c r="W10" s="3100">
        <f t="shared" si="3"/>
        <v>0</v>
      </c>
      <c r="X10" s="2573">
        <f t="shared" si="12"/>
        <v>0</v>
      </c>
      <c r="Y10" s="2912" t="str">
        <f t="shared" si="4"/>
        <v/>
      </c>
      <c r="Z10" s="2912" t="str">
        <f t="shared" si="5"/>
        <v/>
      </c>
      <c r="AA10" s="2912">
        <f t="shared" si="13"/>
        <v>0</v>
      </c>
      <c r="AD10" s="2573">
        <f t="shared" si="14"/>
        <v>1</v>
      </c>
      <c r="AE10" s="4043" t="str">
        <f t="shared" si="15"/>
        <v/>
      </c>
      <c r="AF10" s="2573">
        <f t="shared" ref="AF10:AF26" si="25">IF(AND(D10&gt;2023,I10&lt;&gt;3),0,I10)</f>
      </c>
      <c r="AG10" s="2912">
        <f t="shared" ref="AG10:AG26" si="26">IF(AND(H10=$X$1,D10&gt;2023,I10&lt;&gt;3),1,IF(AND(H10=$X$1,D10&lt;2024,I10&lt;3),1,0))</f>
      </c>
      <c r="AH10" s="4043">
        <f t="shared" si="6"/>
        <v>0</v>
      </c>
      <c r="AI10" s="4043">
        <f t="shared" si="7"/>
        <v>0</v>
      </c>
      <c r="AJ10" s="4043">
        <f t="shared" ref="AJ10:AJ26" si="27">IF(OR(G10&lt;0,ISBLANK(E10)=TRUE,ISBLANK(D10)=TRUE,ISBLANK(I10)=TRUE),0,IF(AI10&gt;AF10,0,IF(OR(AND(H10=$X$1,D10&lt;2024),AND(H10=$X$1,AF10=3)),(AE10/AF10)*(AF10-AI10),0)))</f>
      </c>
      <c r="AK10" s="4043">
        <f t="shared" si="16"/>
        <v>0</v>
      </c>
      <c r="AL10" s="2573">
        <f t="shared" si="17"/>
        <v>0</v>
      </c>
      <c r="AM10" s="4043">
        <f t="shared" si="8"/>
        <v>0</v>
      </c>
      <c r="AN10" s="4046">
        <f t="shared" si="18"/>
        <v>0</v>
      </c>
      <c r="AO10" s="4047">
        <f t="shared" si="19"/>
        <v>0</v>
      </c>
      <c r="AQ10" s="2912">
        <f t="shared" si="20"/>
        <v>1</v>
      </c>
      <c r="BA10" s="3101"/>
      <c r="BB10" s="3101"/>
      <c r="BC10" s="3101"/>
      <c r="BD10" s="3101"/>
      <c r="BE10" s="3101"/>
      <c r="BF10" s="3101"/>
      <c r="BG10" s="3101"/>
      <c r="BH10" s="3101"/>
      <c r="BI10" s="3101"/>
      <c r="BJ10" s="3101"/>
      <c r="BK10" s="3101"/>
      <c r="BY10" s="3116"/>
      <c r="BZ10" s="3116"/>
      <c r="CA10" s="3116"/>
      <c r="CB10" s="3116"/>
      <c r="CC10" s="3116"/>
      <c r="CD10" s="3116"/>
    </row>
    <row r="11" spans="1:82" s="2912" customFormat="1" x14ac:dyDescent="0.25">
      <c r="A11" s="4051"/>
      <c r="B11" s="4070"/>
      <c r="C11" s="3020"/>
      <c r="D11" s="3107"/>
      <c r="E11" s="2885"/>
      <c r="F11" s="3105"/>
      <c r="G11" s="3106" t="str">
        <f t="shared" si="0"/>
        <v/>
      </c>
      <c r="H11" s="4039"/>
      <c r="I11" s="2885"/>
      <c r="J11" s="3105"/>
      <c r="K11" s="2886" t="str">
        <f t="shared" si="22"/>
        <v/>
      </c>
      <c r="L11" s="2886" t="str">
        <f t="shared" si="9"/>
        <v/>
      </c>
      <c r="M11" s="2885"/>
      <c r="N11" s="2886" t="str">
        <f t="shared" si="23"/>
        <v/>
      </c>
      <c r="O11" s="2886" t="str">
        <f t="shared" si="10"/>
        <v/>
      </c>
      <c r="P11" s="3097" t="str">
        <f t="shared" si="1"/>
        <v/>
      </c>
      <c r="R11" s="4052">
        <f t="shared" si="11"/>
        <v>0</v>
      </c>
      <c r="S11" s="3098">
        <f t="shared" si="21"/>
        <v>0</v>
      </c>
      <c r="U11" s="2912">
        <f t="shared" si="2"/>
        <v>1</v>
      </c>
      <c r="V11" s="3099">
        <f t="shared" si="24"/>
        <v>0</v>
      </c>
      <c r="W11" s="3100">
        <f t="shared" si="3"/>
        <v>0</v>
      </c>
      <c r="X11" s="2573">
        <f>IF(W11&gt;V11,1,0)</f>
      </c>
      <c r="Y11" s="2912" t="str">
        <f t="shared" si="4"/>
        <v/>
      </c>
      <c r="Z11" s="2912" t="str">
        <f>IF(ISBLANK(B11)=TRUE,"",IF(X11=1,CONCATENATE(Y11," fully amortised"),""))</f>
        <v/>
      </c>
      <c r="AA11" s="2912">
        <f t="shared" si="13"/>
        <v>0</v>
      </c>
      <c r="AD11" s="2573">
        <f t="shared" si="14"/>
        <v>1</v>
      </c>
      <c r="AE11" s="4043" t="str">
        <f t="shared" si="15"/>
        <v/>
      </c>
      <c r="AF11" s="2573">
        <f t="shared" si="25"/>
        <v>0</v>
      </c>
      <c r="AG11" s="2912">
        <f t="shared" si="26"/>
        <v>0</v>
      </c>
      <c r="AH11" s="4043">
        <f t="shared" si="6"/>
        <v>0</v>
      </c>
      <c r="AI11" s="4043">
        <f t="shared" si="7"/>
        <v>0</v>
      </c>
      <c r="AJ11" s="4043">
        <f t="shared" si="27"/>
        <v>0</v>
      </c>
      <c r="AK11" s="4043">
        <f t="shared" si="16"/>
        <v>0</v>
      </c>
      <c r="AL11" s="2573">
        <f t="shared" si="17"/>
        <v>0</v>
      </c>
      <c r="AM11" s="4043">
        <f t="shared" si="8"/>
        <v>0</v>
      </c>
      <c r="AN11" s="4046">
        <f t="shared" si="18"/>
        <v>0</v>
      </c>
      <c r="AO11" s="4047">
        <f t="shared" si="19"/>
        <v>0</v>
      </c>
      <c r="AQ11" s="2912">
        <f t="shared" si="20"/>
        <v>1</v>
      </c>
      <c r="BA11" s="3101"/>
      <c r="BB11" s="3101"/>
      <c r="BC11" s="3101"/>
      <c r="BD11" s="3101"/>
      <c r="BE11" s="3101"/>
      <c r="BF11" s="3101"/>
      <c r="BG11" s="3101"/>
      <c r="BH11" s="3101"/>
      <c r="BI11" s="3101"/>
      <c r="BJ11" s="3101"/>
      <c r="BK11" s="3101"/>
      <c r="BY11" s="3116"/>
      <c r="BZ11" s="3116"/>
      <c r="CA11" s="3116"/>
      <c r="CB11" s="3116"/>
      <c r="CC11" s="3116"/>
      <c r="CD11" s="3116"/>
    </row>
    <row r="12" spans="1:82" s="2912" customFormat="1" x14ac:dyDescent="0.25">
      <c r="A12" s="4051"/>
      <c r="B12" s="4070"/>
      <c r="C12" s="3020"/>
      <c r="D12" s="3107"/>
      <c r="E12" s="2885"/>
      <c r="F12" s="3105"/>
      <c r="G12" s="3106" t="str">
        <f t="shared" si="0"/>
        <v/>
      </c>
      <c r="H12" s="4039"/>
      <c r="I12" s="2885"/>
      <c r="J12" s="3105"/>
      <c r="K12" s="2886" t="str">
        <f t="shared" si="22"/>
        <v/>
      </c>
      <c r="L12" s="2886" t="str">
        <f t="shared" si="9"/>
        <v/>
      </c>
      <c r="M12" s="2885"/>
      <c r="N12" s="2886" t="str">
        <f t="shared" si="23"/>
        <v/>
      </c>
      <c r="O12" s="2886" t="str">
        <f t="shared" si="10"/>
        <v/>
      </c>
      <c r="P12" s="3097" t="str">
        <f t="shared" si="1"/>
        <v/>
      </c>
      <c r="R12" s="4052">
        <f t="shared" si="11"/>
        <v>0</v>
      </c>
      <c r="S12" s="3098">
        <f t="shared" si="21"/>
        <v>0</v>
      </c>
      <c r="U12" s="2912">
        <f t="shared" si="2"/>
        <v>1</v>
      </c>
      <c r="V12" s="3099">
        <f t="shared" si="24"/>
        <v>0</v>
      </c>
      <c r="W12" s="3100">
        <f t="shared" si="3"/>
        <v>0</v>
      </c>
      <c r="X12" s="2573">
        <f t="shared" si="12"/>
        <v>0</v>
      </c>
      <c r="Y12" s="2912" t="str">
        <f t="shared" si="4"/>
        <v/>
      </c>
      <c r="Z12" s="2912" t="str">
        <f t="shared" si="5"/>
        <v/>
      </c>
      <c r="AA12" s="2912">
        <f t="shared" si="13"/>
        <v>0</v>
      </c>
      <c r="AD12" s="2573">
        <f t="shared" si="14"/>
        <v>0</v>
      </c>
      <c r="AE12" s="4043" t="str">
        <f t="shared" si="15"/>
        <v/>
      </c>
      <c r="AF12" s="2573">
        <f t="shared" si="25"/>
        <v>0</v>
      </c>
      <c r="AG12" s="2912">
        <f t="shared" si="26"/>
        <v>0</v>
      </c>
      <c r="AH12" s="4043">
        <f t="shared" si="6"/>
        <v>0</v>
      </c>
      <c r="AI12" s="4043">
        <f t="shared" si="7"/>
        <v>0</v>
      </c>
      <c r="AJ12" s="4043">
        <f t="shared" si="27"/>
        <v>0</v>
      </c>
      <c r="AK12" s="4043">
        <f t="shared" si="16"/>
        <v>0</v>
      </c>
      <c r="AL12" s="2573">
        <f t="shared" si="17"/>
        <v>0</v>
      </c>
      <c r="AM12" s="4043">
        <f t="shared" si="8"/>
        <v>0</v>
      </c>
      <c r="AN12" s="4046">
        <f t="shared" si="18"/>
        <v>0</v>
      </c>
      <c r="AO12" s="4047">
        <f t="shared" si="19"/>
        <v>0</v>
      </c>
      <c r="AQ12" s="2912">
        <f t="shared" si="20"/>
        <v>1</v>
      </c>
      <c r="BA12" s="3101"/>
      <c r="BB12" s="3101"/>
      <c r="BC12" s="3101"/>
      <c r="BD12" s="3101"/>
      <c r="BE12" s="3101"/>
      <c r="BF12" s="3101"/>
      <c r="BG12" s="3101"/>
      <c r="BH12" s="3101"/>
      <c r="BI12" s="3101"/>
      <c r="BJ12" s="3101"/>
      <c r="BK12" s="3101"/>
      <c r="BY12" s="3116"/>
      <c r="BZ12" s="3116"/>
      <c r="CA12" s="3116"/>
      <c r="CB12" s="3116"/>
      <c r="CC12" s="3116"/>
      <c r="CD12" s="3116"/>
    </row>
    <row r="13" spans="1:82" s="2912" customFormat="1" x14ac:dyDescent="0.25">
      <c r="A13" s="4051"/>
      <c r="B13" s="4070"/>
      <c r="C13" s="3020"/>
      <c r="D13" s="3107"/>
      <c r="E13" s="2885"/>
      <c r="F13" s="3105"/>
      <c r="G13" s="3106" t="str">
        <f t="shared" si="0"/>
        <v/>
      </c>
      <c r="H13" s="4039"/>
      <c r="I13" s="2885"/>
      <c r="J13" s="3105"/>
      <c r="K13" s="2886" t="str">
        <f t="shared" si="22"/>
        <v/>
      </c>
      <c r="L13" s="2886" t="str">
        <f t="shared" si="9"/>
        <v/>
      </c>
      <c r="M13" s="2885"/>
      <c r="N13" s="2886" t="str">
        <f t="shared" si="23"/>
        <v/>
      </c>
      <c r="O13" s="2886" t="str">
        <f t="shared" si="10"/>
        <v/>
      </c>
      <c r="P13" s="3097" t="str">
        <f t="shared" si="1"/>
        <v/>
      </c>
      <c r="R13" s="4052">
        <f t="shared" si="11"/>
        <v>0</v>
      </c>
      <c r="S13" s="3098">
        <f t="shared" si="21"/>
        <v>0</v>
      </c>
      <c r="U13" s="2912">
        <f t="shared" si="2"/>
        <v>1</v>
      </c>
      <c r="V13" s="3099">
        <f t="shared" si="24"/>
        <v>0</v>
      </c>
      <c r="W13" s="3100">
        <f t="shared" si="3"/>
        <v>0</v>
      </c>
      <c r="X13" s="2573">
        <f t="shared" si="12"/>
        <v>0</v>
      </c>
      <c r="Y13" s="2912" t="str">
        <f t="shared" si="4"/>
        <v/>
      </c>
      <c r="Z13" s="2912" t="str">
        <f t="shared" si="5"/>
        <v/>
      </c>
      <c r="AA13" s="2912">
        <f t="shared" si="13"/>
        <v>0</v>
      </c>
      <c r="AD13" s="2573">
        <f t="shared" si="14"/>
        <v>1</v>
      </c>
      <c r="AE13" s="4043" t="str">
        <f t="shared" si="15"/>
        <v/>
      </c>
      <c r="AF13" s="2573">
        <f t="shared" si="25"/>
        <v>0</v>
      </c>
      <c r="AG13" s="2912">
        <f t="shared" si="26"/>
        <v>0</v>
      </c>
      <c r="AH13" s="4043">
        <f t="shared" si="6"/>
        <v>0</v>
      </c>
      <c r="AI13" s="4043">
        <f t="shared" si="7"/>
        <v>0</v>
      </c>
      <c r="AJ13" s="4043">
        <f t="shared" si="27"/>
        <v>0</v>
      </c>
      <c r="AK13" s="4043">
        <f t="shared" si="16"/>
        <v>0</v>
      </c>
      <c r="AL13" s="2573">
        <f t="shared" si="17"/>
        <v>0</v>
      </c>
      <c r="AM13" s="4043">
        <f t="shared" si="8"/>
        <v>0</v>
      </c>
      <c r="AN13" s="4046">
        <f t="shared" si="18"/>
        <v>0</v>
      </c>
      <c r="AO13" s="4047">
        <f t="shared" si="19"/>
        <v>0</v>
      </c>
      <c r="AQ13" s="2912">
        <f t="shared" si="20"/>
        <v>1</v>
      </c>
      <c r="BA13" s="3101"/>
      <c r="BB13" s="3101"/>
      <c r="BC13" s="3101"/>
      <c r="BD13" s="3101"/>
      <c r="BE13" s="3101"/>
      <c r="BF13" s="3101"/>
      <c r="BG13" s="3101"/>
      <c r="BH13" s="3101"/>
      <c r="BI13" s="3101"/>
      <c r="BJ13" s="3101"/>
      <c r="BK13" s="3101"/>
      <c r="BY13" s="3116"/>
      <c r="BZ13" s="3116"/>
      <c r="CA13" s="3116"/>
      <c r="CB13" s="3116"/>
      <c r="CC13" s="3116"/>
      <c r="CD13" s="3116"/>
    </row>
    <row r="14" spans="1:82" s="2912" customFormat="1" x14ac:dyDescent="0.25">
      <c r="A14" s="4051"/>
      <c r="B14" s="4070"/>
      <c r="C14" s="3020"/>
      <c r="D14" s="3107"/>
      <c r="E14" s="2885"/>
      <c r="F14" s="3105"/>
      <c r="G14" s="3106" t="str">
        <f t="shared" si="0"/>
        <v/>
      </c>
      <c r="H14" s="4039"/>
      <c r="I14" s="2885"/>
      <c r="J14" s="3105"/>
      <c r="K14" s="2886" t="str">
        <f t="shared" si="22"/>
        <v/>
      </c>
      <c r="L14" s="2886" t="str">
        <f t="shared" si="9"/>
        <v/>
      </c>
      <c r="M14" s="2885"/>
      <c r="N14" s="2886" t="str">
        <f t="shared" si="23"/>
        <v/>
      </c>
      <c r="O14" s="2886" t="str">
        <f t="shared" si="10"/>
        <v/>
      </c>
      <c r="P14" s="3097" t="str">
        <f t="shared" si="1"/>
        <v/>
      </c>
      <c r="R14" s="4052">
        <f t="shared" si="11"/>
        <v>0</v>
      </c>
      <c r="S14" s="3098">
        <f t="shared" si="21"/>
        <v>0</v>
      </c>
      <c r="U14" s="2912">
        <f t="shared" si="2"/>
        <v>1</v>
      </c>
      <c r="V14" s="3099">
        <f t="shared" si="24"/>
        <v>0</v>
      </c>
      <c r="W14" s="3100">
        <f t="shared" si="3"/>
        <v>0</v>
      </c>
      <c r="X14" s="2573">
        <f t="shared" si="12"/>
        <v>0</v>
      </c>
      <c r="Y14" s="2912" t="str">
        <f t="shared" si="4"/>
        <v/>
      </c>
      <c r="Z14" s="2912" t="str">
        <f t="shared" si="5"/>
        <v/>
      </c>
      <c r="AA14" s="2912">
        <f t="shared" si="13"/>
        <v>0</v>
      </c>
      <c r="AD14" s="2573">
        <f t="shared" si="14"/>
        <v>1</v>
      </c>
      <c r="AE14" s="4043" t="str">
        <f t="shared" si="15"/>
        <v/>
      </c>
      <c r="AF14" s="2573">
        <f t="shared" si="25"/>
        <v>0</v>
      </c>
      <c r="AG14" s="2912">
        <f t="shared" si="26"/>
        <v>0</v>
      </c>
      <c r="AH14" s="4043">
        <f t="shared" si="6"/>
        <v>0</v>
      </c>
      <c r="AI14" s="4043">
        <f t="shared" si="7"/>
        <v>0</v>
      </c>
      <c r="AJ14" s="4043">
        <f t="shared" si="27"/>
        <v>0</v>
      </c>
      <c r="AK14" s="4043">
        <f t="shared" si="16"/>
        <v>0</v>
      </c>
      <c r="AL14" s="2573">
        <f t="shared" si="17"/>
        <v>0</v>
      </c>
      <c r="AM14" s="4043">
        <f t="shared" si="8"/>
        <v>0</v>
      </c>
      <c r="AN14" s="4046">
        <f t="shared" si="18"/>
        <v>0</v>
      </c>
      <c r="AO14" s="4047">
        <f t="shared" si="19"/>
        <v>0</v>
      </c>
      <c r="AQ14" s="2912">
        <f t="shared" si="20"/>
        <v>1</v>
      </c>
      <c r="BA14" s="3101"/>
      <c r="BB14" s="3101"/>
      <c r="BC14" s="3101"/>
      <c r="BD14" s="3101"/>
      <c r="BE14" s="3101"/>
      <c r="BF14" s="3101"/>
      <c r="BG14" s="3101"/>
      <c r="BH14" s="3101"/>
      <c r="BI14" s="3101"/>
      <c r="BJ14" s="3101"/>
      <c r="BK14" s="3101"/>
      <c r="BY14" s="3116"/>
      <c r="BZ14" s="3116"/>
      <c r="CA14" s="3116"/>
      <c r="CB14" s="3116"/>
      <c r="CC14" s="3116"/>
      <c r="CD14" s="3116"/>
    </row>
    <row r="15" spans="1:82" s="2912" customFormat="1" x14ac:dyDescent="0.25">
      <c r="A15" s="4051"/>
      <c r="B15" s="4070"/>
      <c r="C15" s="3020"/>
      <c r="D15" s="3107"/>
      <c r="E15" s="2885"/>
      <c r="F15" s="3105"/>
      <c r="G15" s="3106" t="str">
        <f t="shared" si="0"/>
        <v/>
      </c>
      <c r="H15" s="4039"/>
      <c r="I15" s="2885"/>
      <c r="J15" s="3105"/>
      <c r="K15" s="2886" t="str">
        <f t="shared" si="22"/>
        <v/>
      </c>
      <c r="L15" s="2886" t="str">
        <f t="shared" si="9"/>
        <v/>
      </c>
      <c r="M15" s="2885"/>
      <c r="N15" s="2886" t="str">
        <f t="shared" si="23"/>
        <v/>
      </c>
      <c r="O15" s="2886" t="str">
        <f t="shared" si="10"/>
        <v/>
      </c>
      <c r="P15" s="3097" t="str">
        <f t="shared" si="1"/>
        <v/>
      </c>
      <c r="R15" s="4052">
        <f t="shared" si="11"/>
        <v>0</v>
      </c>
      <c r="S15" s="3098">
        <f t="shared" si="21"/>
        <v>0</v>
      </c>
      <c r="U15" s="2912">
        <f t="shared" si="2"/>
        <v>1</v>
      </c>
      <c r="V15" s="3099">
        <f t="shared" si="24"/>
        <v>0</v>
      </c>
      <c r="W15" s="3100">
        <f t="shared" si="3"/>
        <v>0</v>
      </c>
      <c r="X15" s="2573">
        <f t="shared" si="12"/>
        <v>0</v>
      </c>
      <c r="Y15" s="2912" t="str">
        <f t="shared" si="4"/>
        <v/>
      </c>
      <c r="Z15" s="2912" t="str">
        <f t="shared" si="5"/>
        <v/>
      </c>
      <c r="AA15" s="2912">
        <f t="shared" si="13"/>
        <v>0</v>
      </c>
      <c r="AD15" s="2573">
        <f t="shared" si="14"/>
        <v>1</v>
      </c>
      <c r="AE15" s="4043" t="str">
        <f t="shared" si="15"/>
        <v/>
      </c>
      <c r="AF15" s="2573">
        <f t="shared" si="25"/>
        <v>0</v>
      </c>
      <c r="AG15" s="2912">
        <f t="shared" si="26"/>
        <v>0</v>
      </c>
      <c r="AH15" s="4043">
        <f t="shared" si="6"/>
        <v>0</v>
      </c>
      <c r="AI15" s="4043">
        <f t="shared" si="7"/>
        <v>0</v>
      </c>
      <c r="AJ15" s="4043">
        <f t="shared" si="27"/>
        <v>0</v>
      </c>
      <c r="AK15" s="4043">
        <f t="shared" si="16"/>
        <v>0</v>
      </c>
      <c r="AL15" s="2573">
        <f t="shared" si="17"/>
        <v>0</v>
      </c>
      <c r="AM15" s="4043">
        <f t="shared" si="8"/>
        <v>0</v>
      </c>
      <c r="AN15" s="4046">
        <f t="shared" si="18"/>
        <v>0</v>
      </c>
      <c r="AO15" s="4047">
        <f t="shared" si="19"/>
        <v>0</v>
      </c>
      <c r="AQ15" s="2912">
        <f t="shared" si="20"/>
        <v>1</v>
      </c>
      <c r="BA15" s="3101"/>
      <c r="BB15" s="3101"/>
      <c r="BC15" s="3101"/>
      <c r="BD15" s="3101"/>
      <c r="BE15" s="3101"/>
      <c r="BF15" s="3101"/>
      <c r="BG15" s="3101"/>
      <c r="BH15" s="3101"/>
      <c r="BI15" s="3101"/>
      <c r="BJ15" s="3101"/>
      <c r="BK15" s="3101"/>
      <c r="BY15" s="3116"/>
      <c r="BZ15" s="3116"/>
      <c r="CA15" s="3116"/>
      <c r="CB15" s="3116"/>
      <c r="CC15" s="3116"/>
      <c r="CD15" s="3116"/>
    </row>
    <row r="16" spans="1:82" s="2912" customFormat="1" x14ac:dyDescent="0.25">
      <c r="A16" s="4051"/>
      <c r="B16" s="4070"/>
      <c r="C16" s="3020"/>
      <c r="D16" s="3107"/>
      <c r="E16" s="2885"/>
      <c r="F16" s="3105"/>
      <c r="G16" s="3106" t="str">
        <f t="shared" si="0"/>
        <v/>
      </c>
      <c r="H16" s="4039"/>
      <c r="I16" s="2885"/>
      <c r="J16" s="3105"/>
      <c r="K16" s="2886" t="str">
        <f t="shared" si="22"/>
        <v/>
      </c>
      <c r="L16" s="2886" t="str">
        <f t="shared" si="9"/>
        <v/>
      </c>
      <c r="M16" s="2885"/>
      <c r="N16" s="2886" t="str">
        <f t="shared" si="23"/>
        <v/>
      </c>
      <c r="O16" s="2886" t="str">
        <f t="shared" si="10"/>
        <v/>
      </c>
      <c r="P16" s="3097" t="str">
        <f t="shared" si="1"/>
        <v/>
      </c>
      <c r="R16" s="4052">
        <f t="shared" si="11"/>
        <v>0</v>
      </c>
      <c r="S16" s="3098">
        <f t="shared" si="21"/>
        <v>0</v>
      </c>
      <c r="U16" s="2912">
        <f t="shared" si="2"/>
        <v>1</v>
      </c>
      <c r="V16" s="3099">
        <f t="shared" si="24"/>
        <v>0</v>
      </c>
      <c r="W16" s="3100">
        <f t="shared" si="3"/>
        <v>0</v>
      </c>
      <c r="X16" s="2573">
        <f t="shared" si="12"/>
        <v>0</v>
      </c>
      <c r="Y16" s="2912" t="str">
        <f t="shared" si="4"/>
        <v/>
      </c>
      <c r="Z16" s="2912" t="str">
        <f t="shared" si="5"/>
        <v/>
      </c>
      <c r="AA16" s="2912">
        <f t="shared" si="13"/>
        <v>0</v>
      </c>
      <c r="AD16" s="2573">
        <f t="shared" si="14"/>
        <v>1</v>
      </c>
      <c r="AE16" s="4043" t="str">
        <f t="shared" si="15"/>
        <v/>
      </c>
      <c r="AF16" s="2573">
        <f t="shared" si="25"/>
        <v>0</v>
      </c>
      <c r="AG16" s="2912">
        <f t="shared" si="26"/>
        <v>0</v>
      </c>
      <c r="AH16" s="4043">
        <f t="shared" si="6"/>
        <v>0</v>
      </c>
      <c r="AI16" s="4043">
        <f t="shared" si="7"/>
        <v>0</v>
      </c>
      <c r="AJ16" s="4043">
        <f t="shared" si="27"/>
        <v>0</v>
      </c>
      <c r="AK16" s="4043">
        <f t="shared" si="16"/>
        <v>0</v>
      </c>
      <c r="AL16" s="2573">
        <f t="shared" si="17"/>
        <v>0</v>
      </c>
      <c r="AM16" s="4043">
        <f t="shared" si="8"/>
        <v>0</v>
      </c>
      <c r="AN16" s="4046">
        <f t="shared" si="18"/>
        <v>0</v>
      </c>
      <c r="AO16" s="4047">
        <f t="shared" si="19"/>
        <v>0</v>
      </c>
      <c r="AQ16" s="2912">
        <f t="shared" si="20"/>
        <v>1</v>
      </c>
      <c r="BA16" s="3101"/>
      <c r="BB16" s="3101"/>
      <c r="BC16" s="3101"/>
      <c r="BD16" s="3101"/>
      <c r="BE16" s="3101"/>
      <c r="BF16" s="3101"/>
      <c r="BG16" s="3101"/>
      <c r="BH16" s="3101"/>
      <c r="BI16" s="3101"/>
      <c r="BJ16" s="3101"/>
      <c r="BK16" s="3101"/>
      <c r="BY16" s="3116"/>
      <c r="BZ16" s="3116"/>
      <c r="CA16" s="3116"/>
      <c r="CB16" s="3116"/>
      <c r="CC16" s="3116"/>
      <c r="CD16" s="3116"/>
    </row>
    <row r="17" spans="1:82" s="2912" customFormat="1" x14ac:dyDescent="0.25">
      <c r="A17" s="4051"/>
      <c r="B17" s="4070"/>
      <c r="C17" s="3020"/>
      <c r="D17" s="3107"/>
      <c r="E17" s="2885"/>
      <c r="F17" s="3105"/>
      <c r="G17" s="3106" t="str">
        <f t="shared" si="0"/>
        <v/>
      </c>
      <c r="H17" s="4039"/>
      <c r="I17" s="2885"/>
      <c r="J17" s="3105"/>
      <c r="K17" s="2886" t="str">
        <f t="shared" si="22"/>
        <v/>
      </c>
      <c r="L17" s="2886" t="str">
        <f t="shared" si="9"/>
        <v/>
      </c>
      <c r="M17" s="2885"/>
      <c r="N17" s="2886" t="str">
        <f t="shared" si="23"/>
        <v/>
      </c>
      <c r="O17" s="2886" t="str">
        <f t="shared" si="10"/>
        <v/>
      </c>
      <c r="P17" s="3097" t="str">
        <f t="shared" si="1"/>
        <v/>
      </c>
      <c r="R17" s="4052">
        <f t="shared" si="11"/>
        <v>0</v>
      </c>
      <c r="S17" s="3098">
        <f t="shared" si="21"/>
        <v>0</v>
      </c>
      <c r="U17" s="2912">
        <f t="shared" si="2"/>
        <v>1</v>
      </c>
      <c r="V17" s="3099">
        <f t="shared" si="24"/>
        <v>0</v>
      </c>
      <c r="W17" s="3100">
        <f t="shared" si="3"/>
        <v>0</v>
      </c>
      <c r="X17" s="2573">
        <f t="shared" si="12"/>
        <v>0</v>
      </c>
      <c r="Y17" s="2912" t="str">
        <f t="shared" si="4"/>
        <v/>
      </c>
      <c r="Z17" s="2912" t="str">
        <f t="shared" si="5"/>
        <v/>
      </c>
      <c r="AA17" s="2912">
        <f t="shared" si="13"/>
        <v>0</v>
      </c>
      <c r="AD17" s="2573">
        <f t="shared" si="14"/>
        <v>1</v>
      </c>
      <c r="AE17" s="4043" t="str">
        <f t="shared" si="15"/>
        <v/>
      </c>
      <c r="AF17" s="2573">
        <f t="shared" si="25"/>
        <v>0</v>
      </c>
      <c r="AG17" s="2912">
        <f t="shared" si="26"/>
        <v>0</v>
      </c>
      <c r="AH17" s="4043">
        <f t="shared" si="6"/>
        <v>0</v>
      </c>
      <c r="AI17" s="4043">
        <f t="shared" si="7"/>
        <v>0</v>
      </c>
      <c r="AJ17" s="4043">
        <f t="shared" si="27"/>
        <v>0</v>
      </c>
      <c r="AK17" s="4043">
        <f t="shared" si="16"/>
        <v>0</v>
      </c>
      <c r="AL17" s="2573">
        <f t="shared" si="17"/>
        <v>0</v>
      </c>
      <c r="AM17" s="4043">
        <f t="shared" si="8"/>
        <v>0</v>
      </c>
      <c r="AN17" s="4046">
        <f t="shared" si="18"/>
        <v>0</v>
      </c>
      <c r="AO17" s="4047">
        <f t="shared" si="19"/>
        <v>0</v>
      </c>
      <c r="AQ17" s="2912">
        <f t="shared" si="20"/>
        <v>1</v>
      </c>
      <c r="BA17" s="3101"/>
      <c r="BB17" s="3101"/>
      <c r="BC17" s="3101"/>
      <c r="BD17" s="3101"/>
      <c r="BE17" s="3101"/>
      <c r="BF17" s="3101"/>
      <c r="BG17" s="3101"/>
      <c r="BH17" s="3101"/>
      <c r="BI17" s="3101"/>
      <c r="BJ17" s="3101"/>
      <c r="BK17" s="3101"/>
      <c r="BY17" s="3116"/>
      <c r="BZ17" s="3116"/>
      <c r="CA17" s="3116"/>
      <c r="CB17" s="3116"/>
      <c r="CC17" s="3116"/>
      <c r="CD17" s="3116"/>
    </row>
    <row r="18" spans="1:82" s="2912" customFormat="1" x14ac:dyDescent="0.25">
      <c r="A18" s="4051"/>
      <c r="B18" s="4070"/>
      <c r="C18" s="3020"/>
      <c r="D18" s="3107"/>
      <c r="E18" s="2885"/>
      <c r="F18" s="3105"/>
      <c r="G18" s="3106" t="str">
        <f t="shared" si="0"/>
        <v/>
      </c>
      <c r="H18" s="4039"/>
      <c r="I18" s="2885"/>
      <c r="J18" s="3105"/>
      <c r="K18" s="2886" t="str">
        <f t="shared" si="22"/>
        <v/>
      </c>
      <c r="L18" s="2886" t="str">
        <f t="shared" si="9"/>
        <v/>
      </c>
      <c r="M18" s="2885"/>
      <c r="N18" s="2886" t="str">
        <f t="shared" si="23"/>
        <v/>
      </c>
      <c r="O18" s="2886" t="str">
        <f t="shared" si="10"/>
        <v/>
      </c>
      <c r="P18" s="3097" t="str">
        <f t="shared" si="1"/>
        <v/>
      </c>
      <c r="R18" s="4052">
        <f t="shared" si="11"/>
        <v>0</v>
      </c>
      <c r="S18" s="3098">
        <f t="shared" si="21"/>
        <v>0</v>
      </c>
      <c r="U18" s="2912">
        <f t="shared" si="2"/>
        <v>1</v>
      </c>
      <c r="V18" s="3099">
        <f t="shared" si="24"/>
        <v>0</v>
      </c>
      <c r="W18" s="3100">
        <f t="shared" si="3"/>
        <v>0</v>
      </c>
      <c r="X18" s="2573">
        <f t="shared" si="12"/>
        <v>0</v>
      </c>
      <c r="Y18" s="2912" t="str">
        <f t="shared" si="4"/>
        <v/>
      </c>
      <c r="Z18" s="2912" t="str">
        <f t="shared" si="5"/>
        <v/>
      </c>
      <c r="AA18" s="2912">
        <f t="shared" si="13"/>
        <v>0</v>
      </c>
      <c r="AD18" s="2573">
        <f t="shared" si="14"/>
        <v>1</v>
      </c>
      <c r="AE18" s="4043" t="str">
        <f t="shared" si="15"/>
        <v/>
      </c>
      <c r="AF18" s="2573">
        <f t="shared" si="25"/>
        <v>0</v>
      </c>
      <c r="AG18" s="2912">
        <f t="shared" si="26"/>
        <v>0</v>
      </c>
      <c r="AH18" s="4043">
        <f t="shared" si="6"/>
        <v>0</v>
      </c>
      <c r="AI18" s="4043">
        <f t="shared" si="7"/>
        <v>0</v>
      </c>
      <c r="AJ18" s="4043">
        <f t="shared" si="27"/>
        <v>0</v>
      </c>
      <c r="AK18" s="4043">
        <f t="shared" si="16"/>
        <v>0</v>
      </c>
      <c r="AL18" s="2573">
        <f t="shared" si="17"/>
        <v>0</v>
      </c>
      <c r="AM18" s="4043">
        <f t="shared" si="8"/>
        <v>0</v>
      </c>
      <c r="AN18" s="4046">
        <f t="shared" si="18"/>
        <v>0</v>
      </c>
      <c r="AO18" s="4047">
        <f t="shared" si="19"/>
        <v>0</v>
      </c>
      <c r="AQ18" s="2912">
        <f t="shared" si="20"/>
        <v>1</v>
      </c>
      <c r="BA18" s="3101"/>
      <c r="BB18" s="3101"/>
      <c r="BC18" s="3101"/>
      <c r="BD18" s="3101"/>
      <c r="BE18" s="3101"/>
      <c r="BF18" s="3101"/>
      <c r="BG18" s="3101"/>
      <c r="BH18" s="3101"/>
      <c r="BI18" s="3101"/>
      <c r="BJ18" s="3101"/>
      <c r="BK18" s="3101"/>
      <c r="BY18" s="3116"/>
      <c r="BZ18" s="3116"/>
      <c r="CA18" s="3116"/>
      <c r="CB18" s="3116"/>
      <c r="CC18" s="3116"/>
      <c r="CD18" s="3116"/>
    </row>
    <row r="19" spans="1:82" s="2912" customFormat="1" x14ac:dyDescent="0.25">
      <c r="A19" s="4051"/>
      <c r="B19" s="4070"/>
      <c r="C19" s="3020"/>
      <c r="D19" s="3107"/>
      <c r="E19" s="2885"/>
      <c r="F19" s="3105"/>
      <c r="G19" s="3106" t="str">
        <f t="shared" si="0"/>
        <v/>
      </c>
      <c r="H19" s="4039"/>
      <c r="I19" s="2885"/>
      <c r="J19" s="3105"/>
      <c r="K19" s="2886" t="str">
        <f t="shared" si="22"/>
        <v/>
      </c>
      <c r="L19" s="2886" t="str">
        <f t="shared" si="9"/>
        <v/>
      </c>
      <c r="M19" s="2885"/>
      <c r="N19" s="2886" t="str">
        <f t="shared" si="23"/>
        <v/>
      </c>
      <c r="O19" s="2886" t="str">
        <f t="shared" si="10"/>
        <v/>
      </c>
      <c r="P19" s="3097" t="str">
        <f t="shared" si="1"/>
        <v/>
      </c>
      <c r="R19" s="4052">
        <f t="shared" si="11"/>
        <v>0</v>
      </c>
      <c r="S19" s="3098">
        <f t="shared" si="21"/>
        <v>0</v>
      </c>
      <c r="U19" s="2912">
        <f t="shared" si="2"/>
        <v>1</v>
      </c>
      <c r="V19" s="3099">
        <f t="shared" si="24"/>
        <v>0</v>
      </c>
      <c r="W19" s="3100">
        <f t="shared" si="3"/>
        <v>0</v>
      </c>
      <c r="X19" s="2573">
        <f t="shared" si="12"/>
        <v>0</v>
      </c>
      <c r="Y19" s="2912" t="str">
        <f t="shared" si="4"/>
        <v/>
      </c>
      <c r="Z19" s="2912" t="str">
        <f t="shared" si="5"/>
        <v/>
      </c>
      <c r="AA19" s="2912">
        <f t="shared" si="13"/>
        <v>0</v>
      </c>
      <c r="AD19" s="2573">
        <f t="shared" si="14"/>
        <v>1</v>
      </c>
      <c r="AE19" s="4043" t="str">
        <f t="shared" si="15"/>
        <v/>
      </c>
      <c r="AF19" s="2573">
        <f t="shared" si="25"/>
        <v>0</v>
      </c>
      <c r="AG19" s="2912">
        <f t="shared" si="26"/>
        <v>0</v>
      </c>
      <c r="AH19" s="4043">
        <f t="shared" si="6"/>
        <v>0</v>
      </c>
      <c r="AI19" s="4043">
        <f t="shared" si="7"/>
        <v>0</v>
      </c>
      <c r="AJ19" s="4043">
        <f t="shared" si="27"/>
        <v>0</v>
      </c>
      <c r="AK19" s="4043">
        <f t="shared" si="16"/>
        <v>0</v>
      </c>
      <c r="AL19" s="2573">
        <f t="shared" si="17"/>
        <v>0</v>
      </c>
      <c r="AM19" s="4043">
        <f t="shared" si="8"/>
        <v>0</v>
      </c>
      <c r="AN19" s="4046">
        <f t="shared" si="18"/>
        <v>0</v>
      </c>
      <c r="AO19" s="4047">
        <f t="shared" si="19"/>
        <v>0</v>
      </c>
      <c r="AQ19" s="2912">
        <f t="shared" si="20"/>
        <v>1</v>
      </c>
      <c r="BA19" s="3101"/>
      <c r="BB19" s="3101"/>
      <c r="BC19" s="3101"/>
      <c r="BD19" s="3101"/>
      <c r="BE19" s="3101"/>
      <c r="BF19" s="3101"/>
      <c r="BG19" s="3101"/>
      <c r="BH19" s="3101"/>
      <c r="BI19" s="3101"/>
      <c r="BJ19" s="3101"/>
      <c r="BK19" s="3101"/>
      <c r="BY19" s="3116"/>
      <c r="BZ19" s="3116"/>
      <c r="CA19" s="3116"/>
      <c r="CB19" s="3116"/>
      <c r="CC19" s="3116"/>
      <c r="CD19" s="3116"/>
    </row>
    <row r="20" spans="1:82" s="2912" customFormat="1" x14ac:dyDescent="0.25">
      <c r="A20" s="4051"/>
      <c r="B20" s="4070"/>
      <c r="C20" s="3020"/>
      <c r="D20" s="3107"/>
      <c r="E20" s="2885"/>
      <c r="F20" s="3105"/>
      <c r="G20" s="3106" t="str">
        <f t="shared" si="0"/>
        <v/>
      </c>
      <c r="H20" s="4039"/>
      <c r="I20" s="2885"/>
      <c r="J20" s="3105"/>
      <c r="K20" s="2886" t="str">
        <f t="shared" si="22"/>
        <v/>
      </c>
      <c r="L20" s="2886" t="str">
        <f t="shared" si="9"/>
        <v/>
      </c>
      <c r="M20" s="2885"/>
      <c r="N20" s="2886" t="str">
        <f t="shared" si="23"/>
        <v/>
      </c>
      <c r="O20" s="2886" t="str">
        <f t="shared" si="10"/>
        <v/>
      </c>
      <c r="P20" s="3097" t="str">
        <f t="shared" si="1"/>
        <v/>
      </c>
      <c r="R20" s="4052">
        <f t="shared" si="11"/>
        <v>0</v>
      </c>
      <c r="S20" s="3098">
        <f t="shared" si="21"/>
        <v>0</v>
      </c>
      <c r="U20" s="2912">
        <f t="shared" si="2"/>
        <v>1</v>
      </c>
      <c r="V20" s="3099">
        <f t="shared" si="24"/>
        <v>0</v>
      </c>
      <c r="W20" s="3100">
        <f t="shared" si="3"/>
        <v>0</v>
      </c>
      <c r="X20" s="2573">
        <f t="shared" si="12"/>
        <v>0</v>
      </c>
      <c r="Y20" s="2912" t="str">
        <f t="shared" si="4"/>
        <v/>
      </c>
      <c r="Z20" s="2912" t="str">
        <f t="shared" si="5"/>
        <v/>
      </c>
      <c r="AA20" s="2912">
        <f t="shared" si="13"/>
        <v>0</v>
      </c>
      <c r="AD20" s="2573">
        <f t="shared" si="14"/>
        <v>1</v>
      </c>
      <c r="AE20" s="4043" t="str">
        <f t="shared" si="15"/>
        <v/>
      </c>
      <c r="AF20" s="2573">
        <f t="shared" si="25"/>
        <v>0</v>
      </c>
      <c r="AG20" s="2912">
        <f t="shared" si="26"/>
        <v>0</v>
      </c>
      <c r="AH20" s="4043">
        <f t="shared" si="6"/>
        <v>0</v>
      </c>
      <c r="AI20" s="4043">
        <f t="shared" si="7"/>
        <v>0</v>
      </c>
      <c r="AJ20" s="4043">
        <f t="shared" si="27"/>
        <v>0</v>
      </c>
      <c r="AK20" s="4043">
        <f t="shared" si="16"/>
        <v>0</v>
      </c>
      <c r="AL20" s="2573">
        <f t="shared" si="17"/>
        <v>0</v>
      </c>
      <c r="AM20" s="4043">
        <f t="shared" si="8"/>
        <v>0</v>
      </c>
      <c r="AN20" s="4046">
        <f t="shared" si="18"/>
        <v>0</v>
      </c>
      <c r="AO20" s="4047">
        <f t="shared" si="19"/>
        <v>0</v>
      </c>
      <c r="AQ20" s="2912">
        <f t="shared" si="20"/>
        <v>1</v>
      </c>
      <c r="BA20" s="3101"/>
      <c r="BB20" s="3101"/>
      <c r="BC20" s="3101"/>
      <c r="BD20" s="3101"/>
      <c r="BE20" s="3101"/>
      <c r="BF20" s="3101"/>
      <c r="BG20" s="3101"/>
      <c r="BH20" s="3101"/>
      <c r="BI20" s="3101"/>
      <c r="BJ20" s="3101"/>
      <c r="BK20" s="3101"/>
      <c r="BY20" s="3116"/>
      <c r="BZ20" s="3116"/>
      <c r="CA20" s="3116"/>
      <c r="CB20" s="3116"/>
      <c r="CC20" s="3116"/>
      <c r="CD20" s="3116"/>
    </row>
    <row r="21" spans="1:82" s="2912" customFormat="1" x14ac:dyDescent="0.25">
      <c r="A21" s="4051"/>
      <c r="B21" s="4070"/>
      <c r="C21" s="3020"/>
      <c r="D21" s="3107"/>
      <c r="E21" s="2885"/>
      <c r="F21" s="3105"/>
      <c r="G21" s="3106" t="str">
        <f t="shared" si="0"/>
        <v/>
      </c>
      <c r="H21" s="4039"/>
      <c r="I21" s="2885"/>
      <c r="J21" s="3105"/>
      <c r="K21" s="2886" t="str">
        <f t="shared" si="22"/>
        <v/>
      </c>
      <c r="L21" s="2886" t="str">
        <f t="shared" si="9"/>
        <v/>
      </c>
      <c r="M21" s="2885"/>
      <c r="N21" s="2886" t="str">
        <f t="shared" si="23"/>
        <v/>
      </c>
      <c r="O21" s="2886" t="str">
        <f t="shared" si="10"/>
        <v/>
      </c>
      <c r="P21" s="3097" t="str">
        <f t="shared" si="1"/>
        <v/>
      </c>
      <c r="R21" s="4052">
        <f t="shared" si="11"/>
        <v>0</v>
      </c>
      <c r="S21" s="3098">
        <f t="shared" si="21"/>
        <v>0</v>
      </c>
      <c r="U21" s="2912">
        <f t="shared" si="2"/>
        <v>1</v>
      </c>
      <c r="V21" s="3099">
        <f t="shared" si="24"/>
        <v>0</v>
      </c>
      <c r="W21" s="3100">
        <f t="shared" si="3"/>
        <v>0</v>
      </c>
      <c r="X21" s="2573">
        <f t="shared" si="12"/>
        <v>0</v>
      </c>
      <c r="Y21" s="2912" t="str">
        <f t="shared" si="4"/>
        <v/>
      </c>
      <c r="Z21" s="2912" t="str">
        <f t="shared" si="5"/>
        <v/>
      </c>
      <c r="AA21" s="2912">
        <f t="shared" si="13"/>
        <v>0</v>
      </c>
      <c r="AD21" s="2573">
        <f t="shared" si="14"/>
        <v>1</v>
      </c>
      <c r="AE21" s="4043" t="str">
        <f t="shared" si="15"/>
        <v/>
      </c>
      <c r="AF21" s="2573">
        <f t="shared" si="25"/>
        <v>0</v>
      </c>
      <c r="AG21" s="2912">
        <f t="shared" si="26"/>
        <v>0</v>
      </c>
      <c r="AH21" s="4043">
        <f t="shared" si="6"/>
        <v>0</v>
      </c>
      <c r="AI21" s="4043">
        <f t="shared" si="7"/>
        <v>0</v>
      </c>
      <c r="AJ21" s="4043">
        <f t="shared" si="27"/>
        <v>0</v>
      </c>
      <c r="AK21" s="4043">
        <f t="shared" si="16"/>
        <v>0</v>
      </c>
      <c r="AL21" s="2573">
        <f t="shared" si="17"/>
        <v>0</v>
      </c>
      <c r="AM21" s="4043">
        <f t="shared" si="8"/>
        <v>0</v>
      </c>
      <c r="AN21" s="4046">
        <f t="shared" si="18"/>
        <v>0</v>
      </c>
      <c r="AO21" s="4047">
        <f t="shared" si="19"/>
        <v>0</v>
      </c>
      <c r="AQ21" s="2912">
        <f t="shared" si="20"/>
        <v>1</v>
      </c>
      <c r="BA21" s="3101"/>
      <c r="BB21" s="3101"/>
      <c r="BC21" s="3101"/>
      <c r="BD21" s="3101"/>
      <c r="BE21" s="3101"/>
      <c r="BF21" s="3101"/>
      <c r="BG21" s="3101"/>
      <c r="BH21" s="3101"/>
      <c r="BI21" s="3101"/>
      <c r="BJ21" s="3101"/>
      <c r="BK21" s="3101"/>
      <c r="BY21" s="3116"/>
      <c r="BZ21" s="3116"/>
      <c r="CA21" s="3116"/>
      <c r="CB21" s="3116"/>
      <c r="CC21" s="3116"/>
      <c r="CD21" s="3116"/>
    </row>
    <row r="22" spans="1:82" s="2912" customFormat="1" x14ac:dyDescent="0.25">
      <c r="A22" s="4051"/>
      <c r="B22" s="4070"/>
      <c r="C22" s="3020"/>
      <c r="D22" s="3107"/>
      <c r="E22" s="2885"/>
      <c r="F22" s="3105"/>
      <c r="G22" s="3106" t="str">
        <f t="shared" si="0"/>
        <v/>
      </c>
      <c r="H22" s="4039"/>
      <c r="I22" s="2885"/>
      <c r="J22" s="3105"/>
      <c r="K22" s="2886" t="str">
        <f t="shared" si="22"/>
        <v/>
      </c>
      <c r="L22" s="2886" t="str">
        <f t="shared" si="9"/>
        <v/>
      </c>
      <c r="M22" s="2885"/>
      <c r="N22" s="2886" t="str">
        <f t="shared" si="23"/>
        <v/>
      </c>
      <c r="O22" s="2886" t="str">
        <f t="shared" si="10"/>
        <v/>
      </c>
      <c r="P22" s="3097" t="str">
        <f t="shared" si="1"/>
        <v/>
      </c>
      <c r="R22" s="4052">
        <f t="shared" si="11"/>
        <v>0</v>
      </c>
      <c r="S22" s="3098">
        <f t="shared" si="21"/>
        <v>0</v>
      </c>
      <c r="U22" s="2912">
        <f t="shared" si="2"/>
        <v>1</v>
      </c>
      <c r="V22" s="3099">
        <f t="shared" si="24"/>
        <v>0</v>
      </c>
      <c r="W22" s="3100">
        <f t="shared" si="3"/>
        <v>0</v>
      </c>
      <c r="X22" s="2573">
        <f t="shared" si="12"/>
        <v>0</v>
      </c>
      <c r="Y22" s="2912" t="str">
        <f t="shared" si="4"/>
        <v/>
      </c>
      <c r="Z22" s="2912" t="str">
        <f t="shared" si="5"/>
        <v/>
      </c>
      <c r="AA22" s="2912">
        <f t="shared" si="13"/>
        <v>0</v>
      </c>
      <c r="AD22" s="2573">
        <f t="shared" si="14"/>
        <v>1</v>
      </c>
      <c r="AE22" s="4043" t="str">
        <f t="shared" si="15"/>
        <v/>
      </c>
      <c r="AF22" s="2573">
        <f t="shared" si="25"/>
        <v>0</v>
      </c>
      <c r="AG22" s="2912">
        <f t="shared" si="26"/>
        <v>0</v>
      </c>
      <c r="AH22" s="4043">
        <f t="shared" si="6"/>
        <v>0</v>
      </c>
      <c r="AI22" s="4043">
        <f t="shared" si="7"/>
        <v>0</v>
      </c>
      <c r="AJ22" s="4043">
        <f t="shared" si="27"/>
        <v>0</v>
      </c>
      <c r="AK22" s="4043">
        <f t="shared" si="16"/>
        <v>0</v>
      </c>
      <c r="AL22" s="2573">
        <f t="shared" si="17"/>
        <v>0</v>
      </c>
      <c r="AM22" s="4043">
        <f t="shared" si="8"/>
        <v>0</v>
      </c>
      <c r="AN22" s="4046">
        <f t="shared" si="18"/>
        <v>0</v>
      </c>
      <c r="AO22" s="4047">
        <f t="shared" si="19"/>
        <v>0</v>
      </c>
      <c r="AQ22" s="2912">
        <f t="shared" si="20"/>
        <v>1</v>
      </c>
      <c r="BA22" s="3101"/>
      <c r="BB22" s="3101"/>
      <c r="BC22" s="3101"/>
      <c r="BD22" s="3101"/>
      <c r="BE22" s="3101"/>
      <c r="BF22" s="3101"/>
      <c r="BG22" s="3101"/>
      <c r="BH22" s="3101"/>
      <c r="BI22" s="3101"/>
      <c r="BJ22" s="3101"/>
      <c r="BK22" s="3101"/>
      <c r="BY22" s="3116"/>
      <c r="BZ22" s="3116"/>
      <c r="CA22" s="3116"/>
      <c r="CB22" s="3116"/>
      <c r="CC22" s="3116"/>
      <c r="CD22" s="3116"/>
    </row>
    <row r="23" spans="1:82" s="2912" customFormat="1" x14ac:dyDescent="0.25">
      <c r="A23" s="4051"/>
      <c r="B23" s="4070"/>
      <c r="C23" s="3020"/>
      <c r="D23" s="3107"/>
      <c r="E23" s="2885"/>
      <c r="F23" s="3105"/>
      <c r="G23" s="3106" t="str">
        <f t="shared" si="0"/>
        <v/>
      </c>
      <c r="H23" s="4039"/>
      <c r="I23" s="2885"/>
      <c r="J23" s="3105"/>
      <c r="K23" s="2886" t="str">
        <f t="shared" si="22"/>
        <v/>
      </c>
      <c r="L23" s="2886" t="str">
        <f t="shared" si="9"/>
        <v/>
      </c>
      <c r="M23" s="2885"/>
      <c r="N23" s="2886" t="str">
        <f t="shared" si="23"/>
        <v/>
      </c>
      <c r="O23" s="2886" t="str">
        <f t="shared" si="10"/>
        <v/>
      </c>
      <c r="P23" s="3097" t="str">
        <f t="shared" si="1"/>
        <v/>
      </c>
      <c r="R23" s="4052">
        <f>IF(P23&lt;&gt;"",1,0)</f>
      </c>
      <c r="S23" s="3098">
        <f t="shared" si="21"/>
        <v>0</v>
      </c>
      <c r="U23" s="2912">
        <f t="shared" si="2"/>
        <v>1</v>
      </c>
      <c r="V23" s="3099">
        <f t="shared" si="24"/>
        <v>0</v>
      </c>
      <c r="W23" s="3100">
        <f t="shared" si="3"/>
        <v>0</v>
      </c>
      <c r="X23" s="2573">
        <f>IF(W23&gt;V23,1,0)</f>
      </c>
      <c r="Y23" s="2912" t="str">
        <f t="shared" si="4"/>
        <v/>
      </c>
      <c r="Z23" s="2912" t="str">
        <f t="shared" si="5"/>
        <v/>
      </c>
      <c r="AA23" s="2912">
        <f t="shared" si="13"/>
        <v>0</v>
      </c>
      <c r="AD23" s="2573">
        <f t="shared" si="14"/>
        <v>1</v>
      </c>
      <c r="AE23" s="4043" t="str">
        <f t="shared" si="15"/>
        <v/>
      </c>
      <c r="AF23" s="2573">
        <f t="shared" si="25"/>
        <v>0</v>
      </c>
      <c r="AG23" s="2912">
        <f t="shared" si="26"/>
        <v>0</v>
      </c>
      <c r="AH23" s="4043">
        <f t="shared" si="6"/>
        <v>0</v>
      </c>
      <c r="AI23" s="4043">
        <f t="shared" si="7"/>
        <v>0</v>
      </c>
      <c r="AJ23" s="4043">
        <f t="shared" si="27"/>
        <v>0</v>
      </c>
      <c r="AK23" s="4043">
        <f t="shared" si="16"/>
        <v>0</v>
      </c>
      <c r="AL23" s="2573">
        <f t="shared" si="17"/>
        <v>0</v>
      </c>
      <c r="AM23" s="4043">
        <f t="shared" si="8"/>
        <v>0</v>
      </c>
      <c r="AN23" s="4046">
        <f t="shared" si="18"/>
        <v>0</v>
      </c>
      <c r="AO23" s="4047">
        <f t="shared" si="19"/>
        <v>0</v>
      </c>
      <c r="AQ23" s="2912">
        <f t="shared" si="20"/>
        <v>1</v>
      </c>
      <c r="BA23" s="3101"/>
      <c r="BB23" s="3101"/>
      <c r="BC23" s="3101"/>
      <c r="BD23" s="3101"/>
      <c r="BE23" s="3101"/>
      <c r="BF23" s="3101"/>
      <c r="BG23" s="3101"/>
      <c r="BH23" s="3101"/>
      <c r="BI23" s="3101"/>
      <c r="BJ23" s="3101"/>
      <c r="BK23" s="3101"/>
      <c r="BY23" s="3116"/>
      <c r="BZ23" s="3116"/>
      <c r="CA23" s="3116"/>
      <c r="CB23" s="3116"/>
      <c r="CC23" s="3116"/>
      <c r="CD23" s="3116"/>
    </row>
    <row r="24" spans="1:82" s="2912" customFormat="1" x14ac:dyDescent="0.25">
      <c r="A24" s="4051"/>
      <c r="B24" s="4070"/>
      <c r="C24" s="3020"/>
      <c r="D24" s="3107"/>
      <c r="E24" s="2885"/>
      <c r="F24" s="3105"/>
      <c r="G24" s="3106" t="str">
        <f t="shared" si="0"/>
        <v/>
      </c>
      <c r="H24" s="4039"/>
      <c r="I24" s="2885"/>
      <c r="J24" s="3105"/>
      <c r="K24" s="2886" t="str">
        <f t="shared" si="22"/>
        <v/>
      </c>
      <c r="L24" s="2886" t="str">
        <f t="shared" si="9"/>
        <v/>
      </c>
      <c r="M24" s="2885"/>
      <c r="N24" s="2886" t="str">
        <f t="shared" si="23"/>
        <v/>
      </c>
      <c r="O24" s="2886" t="str">
        <f t="shared" si="10"/>
        <v/>
      </c>
      <c r="P24" s="3097" t="str">
        <f t="shared" si="1"/>
        <v/>
      </c>
      <c r="R24" s="4052">
        <f>IF(P24&lt;&gt;"",1,0)</f>
      </c>
      <c r="S24" s="3098">
        <f t="shared" si="21"/>
        <v>0</v>
      </c>
      <c r="U24" s="2912">
        <f t="shared" si="2"/>
        <v>1</v>
      </c>
      <c r="V24" s="3099">
        <f t="shared" si="24"/>
        <v>0</v>
      </c>
      <c r="W24" s="3100">
        <f t="shared" si="3"/>
        <v>0</v>
      </c>
      <c r="X24" s="2573">
        <f>IF(W24&gt;V24,1,0)</f>
      </c>
      <c r="Y24" s="2912" t="str">
        <f t="shared" si="4"/>
        <v/>
      </c>
      <c r="Z24" s="2912" t="str">
        <f t="shared" si="5"/>
        <v/>
      </c>
      <c r="AA24" s="2912">
        <f t="shared" si="13"/>
        <v>0</v>
      </c>
      <c r="AD24" s="2573">
        <f t="shared" si="14"/>
        <v>1</v>
      </c>
      <c r="AE24" s="4043" t="str">
        <f t="shared" si="15"/>
        <v/>
      </c>
      <c r="AF24" s="2573">
        <f t="shared" si="25"/>
        <v>0</v>
      </c>
      <c r="AG24" s="2912">
        <f t="shared" si="26"/>
        <v>0</v>
      </c>
      <c r="AH24" s="4043">
        <f t="shared" si="6"/>
        <v>0</v>
      </c>
      <c r="AI24" s="4043">
        <f t="shared" si="7"/>
        <v>0</v>
      </c>
      <c r="AJ24" s="4043">
        <f t="shared" si="27"/>
        <v>0</v>
      </c>
      <c r="AK24" s="4043">
        <f t="shared" si="16"/>
        <v>0</v>
      </c>
      <c r="AL24" s="2573">
        <f t="shared" si="17"/>
        <v>0</v>
      </c>
      <c r="AM24" s="4043">
        <f t="shared" si="8"/>
        <v>0</v>
      </c>
      <c r="AN24" s="4046">
        <f t="shared" si="18"/>
        <v>0</v>
      </c>
      <c r="AO24" s="4047">
        <f t="shared" si="19"/>
        <v>0</v>
      </c>
      <c r="AQ24" s="2912">
        <f t="shared" si="20"/>
        <v>1</v>
      </c>
      <c r="BA24" s="3101"/>
      <c r="BB24" s="3101"/>
      <c r="BC24" s="3101"/>
      <c r="BD24" s="3101"/>
      <c r="BE24" s="3101"/>
      <c r="BF24" s="3101"/>
      <c r="BG24" s="3101"/>
      <c r="BH24" s="3101"/>
      <c r="BI24" s="3101"/>
      <c r="BJ24" s="3101"/>
      <c r="BK24" s="3101"/>
      <c r="BY24" s="3116"/>
      <c r="BZ24" s="3116"/>
      <c r="CA24" s="3116"/>
      <c r="CB24" s="3116"/>
      <c r="CC24" s="3116"/>
      <c r="CD24" s="3116"/>
    </row>
    <row r="25" spans="1:82" s="2912" customFormat="1" x14ac:dyDescent="0.25">
      <c r="A25" s="4051"/>
      <c r="B25" s="4070"/>
      <c r="C25" s="3020"/>
      <c r="D25" s="3107"/>
      <c r="E25" s="2885"/>
      <c r="F25" s="3105"/>
      <c r="G25" s="3106" t="str">
        <f t="shared" si="0"/>
        <v/>
      </c>
      <c r="H25" s="4039"/>
      <c r="I25" s="2885"/>
      <c r="J25" s="3105"/>
      <c r="K25" s="2886" t="str">
        <f t="shared" si="22"/>
        <v/>
      </c>
      <c r="L25" s="2886" t="str">
        <f t="shared" si="9"/>
        <v/>
      </c>
      <c r="M25" s="2885"/>
      <c r="N25" s="2886" t="str">
        <f t="shared" si="23"/>
        <v/>
      </c>
      <c r="O25" s="2886" t="str">
        <f t="shared" si="10"/>
        <v/>
      </c>
      <c r="P25" s="3097" t="str">
        <f t="shared" si="1"/>
        <v/>
      </c>
      <c r="R25" s="4052">
        <f>IF(P25&lt;&gt;"",1,0)</f>
      </c>
      <c r="S25" s="3098">
        <f t="shared" si="21"/>
        <v>0</v>
      </c>
      <c r="U25" s="2912">
        <f t="shared" si="2"/>
        <v>1</v>
      </c>
      <c r="V25" s="3099">
        <f t="shared" si="24"/>
        <v>0</v>
      </c>
      <c r="W25" s="3100">
        <f t="shared" si="3"/>
        <v>0</v>
      </c>
      <c r="X25" s="2573">
        <f>IF(W25&gt;V25,1,0)</f>
      </c>
      <c r="Y25" s="2912" t="str">
        <f t="shared" si="4"/>
        <v/>
      </c>
      <c r="Z25" s="2912" t="str">
        <f t="shared" si="5"/>
        <v/>
      </c>
      <c r="AA25" s="2912">
        <f t="shared" si="13"/>
        <v>0</v>
      </c>
      <c r="AD25" s="2573">
        <f t="shared" si="14"/>
        <v>1</v>
      </c>
      <c r="AE25" s="4043" t="str">
        <f t="shared" si="15"/>
        <v/>
      </c>
      <c r="AF25" s="2573">
        <f t="shared" si="25"/>
        <v>0</v>
      </c>
      <c r="AG25" s="2912">
        <f t="shared" si="26"/>
        <v>0</v>
      </c>
      <c r="AH25" s="4043">
        <f t="shared" si="6"/>
        <v>0</v>
      </c>
      <c r="AI25" s="4043">
        <f t="shared" si="7"/>
        <v>0</v>
      </c>
      <c r="AJ25" s="4043">
        <f t="shared" si="27"/>
        <v>0</v>
      </c>
      <c r="AK25" s="4043">
        <f t="shared" si="16"/>
        <v>0</v>
      </c>
      <c r="AL25" s="2573">
        <f t="shared" si="17"/>
        <v>0</v>
      </c>
      <c r="AM25" s="4043">
        <f t="shared" si="8"/>
        <v>0</v>
      </c>
      <c r="AN25" s="4046">
        <f t="shared" si="18"/>
        <v>0</v>
      </c>
      <c r="AO25" s="4047">
        <f t="shared" si="19"/>
        <v>0</v>
      </c>
      <c r="AQ25" s="2912">
        <f t="shared" si="20"/>
        <v>1</v>
      </c>
      <c r="BA25" s="3101"/>
      <c r="BB25" s="3101"/>
      <c r="BC25" s="3101"/>
      <c r="BD25" s="3101"/>
      <c r="BE25" s="3101"/>
      <c r="BF25" s="3101"/>
      <c r="BG25" s="3101"/>
      <c r="BH25" s="3101"/>
      <c r="BI25" s="3101"/>
      <c r="BJ25" s="3101"/>
      <c r="BK25" s="3101"/>
      <c r="BY25" s="3116"/>
      <c r="BZ25" s="3116"/>
      <c r="CA25" s="3116"/>
      <c r="CB25" s="3116"/>
      <c r="CC25" s="3116"/>
      <c r="CD25" s="3116"/>
    </row>
    <row r="26" spans="1:82" s="2912" customFormat="1" x14ac:dyDescent="0.25">
      <c r="A26" s="4051"/>
      <c r="B26" s="4070"/>
      <c r="C26" s="3020"/>
      <c r="D26" s="3107"/>
      <c r="E26" s="2885"/>
      <c r="F26" s="3105"/>
      <c r="G26" s="3106" t="str">
        <f t="shared" si="0"/>
        <v/>
      </c>
      <c r="H26" s="4039"/>
      <c r="I26" s="2885"/>
      <c r="J26" s="3105"/>
      <c r="K26" s="2886" t="str">
        <f t="shared" si="22"/>
        <v/>
      </c>
      <c r="L26" s="2886" t="str">
        <f t="shared" si="9"/>
        <v/>
      </c>
      <c r="M26" s="2885"/>
      <c r="N26" s="2886" t="str">
        <f t="shared" si="23"/>
        <v/>
      </c>
      <c r="O26" s="2886" t="str">
        <f t="shared" si="10"/>
        <v/>
      </c>
      <c r="P26" s="3097" t="str">
        <f t="shared" si="1"/>
        <v/>
      </c>
      <c r="R26" s="4052">
        <f>IF(P26&lt;&gt;"",1,0)</f>
      </c>
      <c r="S26" s="3098">
        <f t="shared" si="21"/>
        <v>0</v>
      </c>
      <c r="U26" s="2912">
        <f t="shared" si="2"/>
        <v>1</v>
      </c>
      <c r="V26" s="3099">
        <f t="shared" si="24"/>
        <v>0</v>
      </c>
      <c r="W26" s="3100">
        <f t="shared" si="3"/>
        <v>0</v>
      </c>
      <c r="X26" s="2573">
        <f>IF(W26&gt;V26,1,0)</f>
      </c>
      <c r="Y26" s="2912" t="str">
        <f t="shared" si="4"/>
        <v/>
      </c>
      <c r="Z26" s="2912" t="str">
        <f t="shared" si="5"/>
        <v/>
      </c>
      <c r="AA26" s="2912">
        <f t="shared" si="13"/>
        <v>0</v>
      </c>
      <c r="AD26" s="2573">
        <f t="shared" si="14"/>
        <v>1</v>
      </c>
      <c r="AE26" s="4043" t="str">
        <f t="shared" si="15"/>
        <v/>
      </c>
      <c r="AF26" s="2573">
        <f t="shared" si="25"/>
        <v>0</v>
      </c>
      <c r="AG26" s="2912">
        <f t="shared" si="26"/>
        <v>0</v>
      </c>
      <c r="AH26" s="4043">
        <f t="shared" si="6"/>
        <v>0</v>
      </c>
      <c r="AI26" s="4043">
        <f t="shared" si="7"/>
        <v>0</v>
      </c>
      <c r="AJ26" s="4043">
        <f t="shared" si="27"/>
        <v>0</v>
      </c>
      <c r="AK26" s="4043">
        <f t="shared" si="16"/>
        <v>0</v>
      </c>
      <c r="AL26" s="2573">
        <f t="shared" si="17"/>
        <v>0</v>
      </c>
      <c r="AM26" s="4043">
        <f t="shared" si="8"/>
        <v>0</v>
      </c>
      <c r="AN26" s="4046">
        <f t="shared" si="18"/>
        <v>0</v>
      </c>
      <c r="AO26" s="4047">
        <f t="shared" si="19"/>
        <v>0</v>
      </c>
      <c r="AQ26" s="2912">
        <f t="shared" si="20"/>
        <v>1</v>
      </c>
      <c r="BA26" s="3101"/>
      <c r="BB26" s="3101"/>
      <c r="BC26" s="3101"/>
      <c r="BD26" s="3101"/>
      <c r="BE26" s="3101"/>
      <c r="BF26" s="3101"/>
      <c r="BG26" s="3101"/>
      <c r="BH26" s="3101"/>
      <c r="BI26" s="3101"/>
      <c r="BJ26" s="3101"/>
      <c r="BK26" s="3101"/>
      <c r="BY26" s="3116"/>
      <c r="BZ26" s="3116"/>
      <c r="CA26" s="3116"/>
      <c r="CB26" s="3116"/>
      <c r="CC26" s="3116"/>
      <c r="CD26" s="3116"/>
    </row>
    <row r="27" spans="1:82" x14ac:dyDescent="0.25">
      <c r="A27" s="4051"/>
      <c r="B27" s="4051"/>
      <c r="C27" s="4051"/>
      <c r="D27" s="4051"/>
      <c r="E27" s="2938"/>
      <c r="F27" s="2938"/>
      <c r="G27" s="2938"/>
      <c r="H27" s="2938"/>
      <c r="I27" s="3095"/>
      <c r="J27" s="3095"/>
      <c r="K27" s="3095"/>
      <c r="L27" s="3095"/>
      <c r="M27" s="3095" t="s">
        <v>9109</v>
      </c>
      <c r="N27" s="2886">
        <f>ROUND(SUM(N7:N26),0)</f>
      </c>
      <c r="O27" s="3097"/>
      <c r="P27" s="3097"/>
      <c r="R27" s="4052">
        <f>SUM(R7:R26)</f>
      </c>
      <c r="BY27" s="3116"/>
      <c r="BZ27" s="3116"/>
      <c r="CA27" s="3116"/>
      <c r="CB27" s="3116"/>
      <c r="CC27" s="3116"/>
      <c r="CD27" s="3116"/>
    </row>
    <row r="28" spans="1:82" x14ac:dyDescent="0.25">
      <c r="A28" s="4051"/>
      <c r="B28" s="4051"/>
      <c r="C28" s="4051"/>
      <c r="D28" s="4051"/>
      <c r="E28" s="4051"/>
      <c r="F28" s="4051"/>
      <c r="G28" s="4051"/>
      <c r="H28" s="4051"/>
      <c r="I28" s="3095"/>
      <c r="J28" s="3095"/>
      <c r="K28" s="3095"/>
      <c r="L28" s="3095"/>
      <c r="M28" s="3095"/>
      <c r="N28" s="3095"/>
      <c r="O28" s="3095"/>
      <c r="P28" s="4048"/>
      <c r="T28" s="4064">
        <f>N27</f>
      </c>
    </row>
    <row r="29" spans="1:82" x14ac:dyDescent="0.25">
      <c r="A29" s="4051"/>
      <c r="B29" s="4051"/>
      <c r="C29" s="4051"/>
      <c r="D29" s="4051"/>
      <c r="E29" s="4051"/>
      <c r="F29" s="4051"/>
      <c r="G29" s="4051"/>
      <c r="H29" s="4049"/>
      <c r="I29" s="3095"/>
      <c r="J29" s="3095"/>
      <c r="K29" s="3095"/>
      <c r="L29" s="4065" t="s">
        <v>9110</v>
      </c>
      <c r="M29" s="4049" t="s">
        <v>10140</v>
      </c>
      <c r="N29" s="2885"/>
      <c r="O29" s="3095"/>
      <c r="P29" s="4050" t="str">
        <f>IF(AND(T28&lt;&gt;0,N29=""),reo,IF(T29&lt;0,"Check value entered!",""))</f>
        <v/>
      </c>
      <c r="R29" s="4052">
        <f>IF(P29&lt;&gt;"",1,0)</f>
      </c>
      <c r="T29" s="4064">
        <f>IF(T28-N29&lt;=0,0,T28-N29)</f>
      </c>
      <c r="X29" s="4052" t="s">
        <v>5806</v>
      </c>
      <c r="Y29" s="4052" t="s">
        <v>5806</v>
      </c>
      <c r="Z29" s="4052" t="s">
        <v>363</v>
      </c>
      <c r="AA29" s="4052" t="s">
        <v>2372</v>
      </c>
    </row>
    <row r="30" spans="1:82" x14ac:dyDescent="0.25">
      <c r="A30" s="4051"/>
      <c r="B30" s="4051"/>
      <c r="C30" s="4051"/>
      <c r="D30" s="4051"/>
      <c r="E30" s="4051"/>
      <c r="F30" s="4051"/>
      <c r="G30" s="4051"/>
      <c r="H30" s="4049"/>
      <c r="I30" s="3095"/>
      <c r="J30" s="3095"/>
      <c r="K30" s="3095"/>
      <c r="L30" s="4065" t="s">
        <v>9111</v>
      </c>
      <c r="M30" s="4049" t="s">
        <v>9112</v>
      </c>
      <c r="N30" s="2885"/>
      <c r="O30" s="4039"/>
      <c r="P30" s="4050" t="str">
        <f>IF(T29&lt;0,"",IF(AND(T29&lt;&gt;0,U30&lt;&gt;2),"All details required!",IF(T30&lt;0,"Check value entered!",IF(AND(SUM(O7:O26)&gt;0,R32=0,N29=0),"No unutilised amortisation can be c/fwd!",""))))</f>
        <v/>
      </c>
      <c r="R30" s="4052">
        <f>IF(P30&lt;&gt;"",1,0)</f>
      </c>
      <c r="T30" s="4064">
        <f>T29-N30</f>
      </c>
      <c r="U30" s="4052">
        <f>COUNTA(N30:O30)</f>
      </c>
      <c r="X30" s="4052" t="s">
        <v>363</v>
      </c>
      <c r="Y30" s="4052">
        <f>IF($O30=Y$29,$N30,0)</f>
      </c>
      <c r="Z30" s="4052">
        <f>IF($O30=Z$29,$N30,0)</f>
      </c>
      <c r="AA30" s="4052">
        <f>IF($O30=AA$29,$N30,0)</f>
      </c>
    </row>
    <row r="31" spans="1:82" x14ac:dyDescent="0.25">
      <c r="A31" s="4051"/>
      <c r="B31" s="4051"/>
      <c r="C31" s="2938"/>
      <c r="D31" s="2938"/>
      <c r="E31" s="2938"/>
      <c r="F31" s="2938"/>
      <c r="G31" s="2938"/>
      <c r="H31" s="2938"/>
      <c r="I31" s="3095"/>
      <c r="J31" s="3095"/>
      <c r="K31" s="3095"/>
      <c r="L31" s="3095"/>
      <c r="M31" s="3095"/>
      <c r="N31" s="4066"/>
      <c r="O31" s="2938"/>
      <c r="P31" s="2938"/>
      <c r="R31" s="4052">
        <f>IF(P31&lt;&gt;"",1,0)</f>
      </c>
      <c r="T31" s="4064">
        <f>T30-N32</f>
      </c>
      <c r="U31" s="4052">
        <f>COUNTA(K31:O31)</f>
      </c>
      <c r="X31" s="4052" t="s">
        <v>2372</v>
      </c>
      <c r="Y31" s="4052">
        <f>IF(O30=Y$29,$N30,0)</f>
      </c>
      <c r="Z31" s="4052">
        <f>IF(O30=Z$29,$N30,0)</f>
      </c>
      <c r="AA31" s="4052">
        <f>IF(O30=AA$29,$N30,0)</f>
      </c>
    </row>
    <row r="32" spans="1:82" x14ac:dyDescent="0.25">
      <c r="A32" s="4051"/>
      <c r="B32" s="2938"/>
      <c r="C32" s="2938"/>
      <c r="D32" s="2938"/>
      <c r="E32" s="2938"/>
      <c r="F32" s="2938"/>
      <c r="G32" s="2938"/>
      <c r="H32" s="2938"/>
      <c r="I32" s="3095"/>
      <c r="J32" s="3095"/>
      <c r="K32" s="2938"/>
      <c r="L32" s="2938"/>
      <c r="M32" s="2938"/>
      <c r="N32" s="2886">
        <f>SUM(N29:N30)</f>
      </c>
      <c r="O32" s="2938"/>
      <c r="P32" s="4067" t="str">
        <f>IF(SUM(N29:N30)&lt;&gt;N27,"Totals mismatch!","")</f>
        <v/>
      </c>
      <c r="R32" s="4052">
        <f>IF(P32&lt;&gt;"",1,0)</f>
      </c>
    </row>
    <row r="33" spans="1:25" x14ac:dyDescent="0.25">
      <c r="A33" s="4051"/>
      <c r="B33" s="2938"/>
      <c r="C33" s="2938"/>
      <c r="D33" s="2938"/>
      <c r="E33" s="2938"/>
      <c r="F33" s="2938"/>
      <c r="G33" s="2938"/>
      <c r="H33" s="2938"/>
      <c r="I33" s="2938"/>
      <c r="J33" s="2938"/>
      <c r="K33" s="2938"/>
      <c r="L33" s="2938"/>
      <c r="M33" s="2938"/>
      <c r="N33" s="2938"/>
      <c r="O33" s="2938"/>
      <c r="P33" s="4068"/>
    </row>
    <row r="34" spans="1:25" x14ac:dyDescent="0.25">
      <c r="A34" s="4051"/>
      <c r="B34" s="2938"/>
      <c r="C34" s="2938"/>
      <c r="D34" s="2938"/>
      <c r="E34" s="2938"/>
      <c r="F34" s="2938"/>
      <c r="G34" s="2938"/>
      <c r="H34" s="2938"/>
      <c r="I34" s="4069" t="s">
        <v>4802</v>
      </c>
      <c r="J34" s="4039"/>
      <c r="K34" s="3083" t="str">
        <f>IF(S35=0,"",IF(J34="",re,""))</f>
        <v/>
      </c>
      <c r="L34" s="3083"/>
      <c r="M34" s="3083"/>
      <c r="N34" s="4051"/>
      <c r="O34" s="4051"/>
      <c r="P34" s="4051"/>
      <c r="R34" s="4052">
        <f>IF(K34&lt;&gt;"",1,0)</f>
      </c>
      <c r="S34" s="4052">
        <f>IF(J34="",0,1)</f>
      </c>
      <c r="T34" s="4052" t="str">
        <f>IF(J34="yes","Y","n")</f>
      </c>
    </row>
    <row r="35" spans="1:25" x14ac:dyDescent="0.25">
      <c r="A35" s="4051"/>
      <c r="B35" s="4051"/>
      <c r="C35" s="4051"/>
      <c r="D35" s="4051"/>
      <c r="E35" s="4051"/>
      <c r="F35" s="4051"/>
      <c r="G35" s="4051"/>
      <c r="H35" s="4051"/>
      <c r="I35" s="4051"/>
      <c r="J35" s="4051"/>
      <c r="K35" s="4051"/>
      <c r="L35" s="4051"/>
      <c r="M35" s="4051"/>
      <c r="N35" s="4051"/>
      <c r="O35" s="4051"/>
      <c r="P35" s="4051"/>
      <c r="R35" s="4052">
        <f>SUM(R7:R34)</f>
      </c>
      <c r="S35" s="4052">
        <f>SUM(S3:S34)</f>
      </c>
    </row>
    <row r="36" spans="1:25" x14ac:dyDescent="0.25">
      <c r="A36" s="2905" t="str">
        <f>_xlfn.SINGLE(MTCA)</f>
      </c>
      <c r="B36" s="4051"/>
      <c r="C36" s="4051"/>
      <c r="D36" s="3050"/>
      <c r="E36" s="4051"/>
      <c r="F36" s="4051"/>
      <c r="G36" s="4051"/>
      <c r="H36" s="3102" t="str">
        <f>ver</f>
        <v>TA2_e-CO_2025_Ver 1.1</v>
      </c>
      <c r="I36" s="4051"/>
      <c r="J36" s="4051"/>
      <c r="K36" s="4051"/>
      <c r="L36" s="4051"/>
      <c r="M36" s="4051"/>
      <c r="N36" s="3102" t="s">
        <v>8732</v>
      </c>
      <c r="O36" s="3102"/>
      <c r="P36" s="4051"/>
      <c r="R36" s="4052">
        <f>IF(S35=0,0,IF(R35&lt;&gt;0,100,IF(T34="Y",1,100)))</f>
      </c>
    </row>
    <row r="37" spans="1:25" x14ac:dyDescent="0.25">
      <c r="A37" s="3050"/>
      <c r="B37" s="3050"/>
      <c r="C37" s="3050"/>
      <c r="D37" s="3050"/>
      <c r="E37" s="3050"/>
      <c r="F37" s="4051"/>
      <c r="G37" s="4051"/>
      <c r="H37" s="4051"/>
      <c r="I37" s="4051"/>
      <c r="J37" s="4051"/>
      <c r="K37" s="4051"/>
      <c r="L37" s="4051"/>
      <c r="M37" s="4051"/>
      <c r="N37" s="4051"/>
      <c r="O37" s="4051"/>
      <c r="P37" s="4051"/>
    </row>
    <row r="38" spans="1:25" x14ac:dyDescent="0.25">
      <c r="A38" s="3050"/>
      <c r="B38" s="3103" t="s">
        <v>6290</v>
      </c>
      <c r="C38" s="3050"/>
      <c r="D38" s="3050"/>
      <c r="E38" s="3050"/>
      <c r="F38" s="4051"/>
      <c r="G38" s="4051"/>
      <c r="H38" s="4051"/>
      <c r="I38" s="4051"/>
      <c r="J38" s="4051"/>
      <c r="K38" s="4051"/>
      <c r="L38" s="4051"/>
      <c r="M38" s="4051"/>
      <c r="N38" s="4051"/>
      <c r="O38" s="4051"/>
      <c r="P38" s="4051"/>
      <c r="X38" s="4052" t="s">
        <v>8691</v>
      </c>
      <c r="Y38" s="4052" t="s">
        <v>8692</v>
      </c>
    </row>
    <row r="39" spans="1:25" ht="7.15" customHeight="1" x14ac:dyDescent="0.25">
      <c r="X39" s="4052" t="s">
        <v>8693</v>
      </c>
      <c r="Y39" s="4052" t="s">
        <v>8694</v>
      </c>
    </row>
  </sheetData>
  <sheetProtection algorithmName="SHA-512" hashValue="/xx6AsHt0b+Dnjt2XytqyF5DN9fKE+5LILXJznYNkNPpta6Q5WYrZEqfc83vT6z6fJREHU3Z0DwgmvWbGfWhZg==" saltValue="eWcwkga8cxNiZY9BmZL4Mw==" spinCount="100000" sheet="1" objects="1" scenarios="1"/>
  <mergeCells count="4">
    <mergeCell ref="A1:I1"/>
    <mergeCell ref="B5:O5"/>
    <mergeCell ref="U5:X5"/>
    <mergeCell ref="AD5:AO5"/>
  </mergeCells>
  <conditionalFormatting sqref="I6:J6 O6">
    <cfRule type="expression" dxfId="325" priority="15" stopIfTrue="1">
      <formula>#REF!=1</formula>
    </cfRule>
  </conditionalFormatting>
  <conditionalFormatting sqref="J7:J26">
    <cfRule type="expression" dxfId="324" priority="7">
      <formula>$AA$7=1</formula>
    </cfRule>
  </conditionalFormatting>
  <conditionalFormatting sqref="K6">
    <cfRule type="expression" dxfId="323" priority="14" stopIfTrue="1">
      <formula>$AF$1=1</formula>
    </cfRule>
  </conditionalFormatting>
  <conditionalFormatting sqref="L6:M6">
    <cfRule type="expression" dxfId="322" priority="17" stopIfTrue="1">
      <formula>$AD$1=1</formula>
    </cfRule>
  </conditionalFormatting>
  <conditionalFormatting sqref="M7:M26">
    <cfRule type="expression" dxfId="321" priority="6">
      <formula>$AA$7=1</formula>
    </cfRule>
  </conditionalFormatting>
  <conditionalFormatting sqref="AE6:AE26">
    <cfRule type="expression" dxfId="320" priority="12" stopIfTrue="1">
      <formula>$AD$1=1</formula>
    </cfRule>
  </conditionalFormatting>
  <conditionalFormatting sqref="AH6:AK26">
    <cfRule type="expression" dxfId="319" priority="10" stopIfTrue="1">
      <formula>$AD$1=1</formula>
    </cfRule>
  </conditionalFormatting>
  <conditionalFormatting sqref="AM6:AO26">
    <cfRule type="expression" dxfId="318" priority="8" stopIfTrue="1">
      <formula>$AD$1=1</formula>
    </cfRule>
  </conditionalFormatting>
  <conditionalFormatting sqref="AQ6">
    <cfRule type="expression" dxfId="317" priority="5" stopIfTrue="1">
      <formula>$AD$1=1</formula>
    </cfRule>
  </conditionalFormatting>
  <dataValidations count="12">
    <dataValidation type="list" allowBlank="1" showInputMessage="1" showErrorMessage="1" sqref="J34" xr:uid="{5F3924B3-0501-4276-9BE3-B26D1FEEC681}">
      <formula1>yn</formula1>
    </dataValidation>
    <dataValidation type="list" allowBlank="1" showInputMessage="1" showErrorMessage="1" sqref="O30" xr:uid="{54432B97-E911-4168-A7F0-93F0C51521E1}">
      <formula1>$X$28:$X$31</formula1>
    </dataValidation>
    <dataValidation type="textLength" operator="greaterThan" allowBlank="1" showInputMessage="1" showErrorMessage="1" errorTitle="Brief description of asset" error="Please provide proper details" sqref="C7:C26" xr:uid="{09C1198F-77EF-43AC-B298-CEC4339955C7}">
      <formula1>5</formula1>
    </dataValidation>
    <dataValidation type="list" errorStyle="information" allowBlank="1" showInputMessage="1" showErrorMessage="1" errorTitle="Assets" error="The asset indicated is not included in the wear and tear rules!" sqref="B7:B26" xr:uid="{4DC28A3F-0E2E-4DDF-BD0C-ECB21872D47D}">
      <formula1>$X$38:$X$39</formula1>
    </dataValidation>
    <dataValidation type="whole" allowBlank="1" showInputMessage="1" showErrorMessage="1" errorTitle="YEAR OF PURCHASE" error="Cannot be less than Y/A 2002 or more than the current Y/A!" sqref="D7:D26" xr:uid="{4FDA5BAD-4865-4D4A-97A2-839496649A73}">
      <formula1>2002</formula1>
      <formula2>ya</formula2>
    </dataValidation>
    <dataValidation type="whole" operator="greaterThan" allowBlank="1" showInputMessage="1" showErrorMessage="1" errorTitle="Assets at cost" error="Please enter a positive numeric value!" sqref="E7:E26" xr:uid="{9AB85452-A78D-4FF2-930A-4F8E1AB390B5}">
      <formula1>0</formula1>
    </dataValidation>
    <dataValidation type="whole" allowBlank="1" showInputMessage="1" showErrorMessage="1" errorTitle="Number of years" error="Number cannot be more than 2 digits!" sqref="I7:I26" xr:uid="{C289090B-63AF-4F76-8744-B2789957A19D}">
      <formula1>0</formula1>
      <formula2>99</formula2>
    </dataValidation>
    <dataValidation type="whole" operator="lessThanOrEqual" allowBlank="1" showInputMessage="1" showErrorMessage="1" errorTitle="DISPOSALS" error="Cannot exceed cost_x000a_" sqref="F7:F26" xr:uid="{DFFEA20F-BF00-4894-8B67-1087C5DA9938}">
      <formula1>E7</formula1>
    </dataValidation>
    <dataValidation type="list" allowBlank="1" showInputMessage="1" showErrorMessage="1" sqref="H7:H26" xr:uid="{DB7594F9-A456-408B-8970-64B760E96275}">
      <formula1>$X$1:$X$2</formula1>
    </dataValidation>
    <dataValidation type="whole" operator="greaterThanOrEqual" allowBlank="1" showInputMessage="1" showErrorMessage="1" errorTitle="Utilised acc. amortisation" error="Figure must be a whole number greater than 0!" sqref="M7:M26" xr:uid="{D9226547-3268-4FC5-8AAB-0CFBF350968D}">
      <formula1>0</formula1>
    </dataValidation>
    <dataValidation type="whole" allowBlank="1" showInputMessage="1" showErrorMessage="1" errorTitle="Deduction allocation" error="Please enter a positive value that does not exceed the Total Amortisation for the year!" sqref="N29:N30 O30" xr:uid="{C9E4BB2B-CF3E-4494-B8BF-A72670C00D1C}">
      <formula1>0</formula1>
      <formula2>T28</formula2>
    </dataValidation>
    <dataValidation type="whole" operator="greaterThanOrEqual" allowBlank="1" showInputMessage="1" showErrorMessage="1" errorTitle="Unutilised amortisation b/fwd" error="Number must be greater than 0!_x000a_" sqref="J7:J26" xr:uid="{C3EDF961-0C6F-40A6-825D-7E01B9F834E1}">
      <formula1>0</formula1>
    </dataValidation>
  </dataValidations>
  <hyperlinks>
    <hyperlink ref="B38" location="Index!B77" display="B A C K   T O   I N D E X" xr:uid="{DC3D6960-2D49-486E-827F-ADD728B36C5A}"/>
    <hyperlink ref="M29" location="'p3'!E84" display=" P 3 {field 32a} " xr:uid="{0C3702D5-99D9-4804-9CEB-1B34F173904A}"/>
    <hyperlink ref="M30" location="TRA9_14!A116" display=" TRA 13" xr:uid="{E577D2A2-916A-41EA-B222-82E44BF34024}"/>
  </hyperlinks>
  <printOptions horizontalCentered="1" verticalCentered="1"/>
  <pageMargins left="0.51181102362204722" right="0.51181102362204722" top="0.35433070866141736" bottom="0.35433070866141736" header="0" footer="0.31496062992125984"/>
  <pageSetup paperSize="9" orientation="landscape" r:id="rId1"/>
  <legacy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4"/>
  <dimension ref="A1:AA43"/>
  <sheetViews>
    <sheetView topLeftCell="A30" workbookViewId="0">
      <selection activeCell="H9" sqref="H9"/>
    </sheetView>
  </sheetViews>
  <sheetFormatPr defaultColWidth="0" defaultRowHeight="14.25" zeroHeight="1" x14ac:dyDescent="0.2"/>
  <cols>
    <col min="1" max="1" width="2.7109375" style="2673" customWidth="1"/>
    <col min="2" max="2" width="23.28515625" style="2673" customWidth="1"/>
    <col min="3" max="3" width="10.5703125" style="2673" customWidth="1"/>
    <col min="4" max="4" width="0.5703125" style="2673" customWidth="1"/>
    <col min="5" max="5" width="11.28515625" style="2673" customWidth="1"/>
    <col min="6" max="6" width="11.5703125" style="2673" customWidth="1"/>
    <col min="7" max="7" width="11.28515625" style="2673" customWidth="1"/>
    <col min="8" max="8" width="11.7109375" style="2673" customWidth="1"/>
    <col min="9" max="9" width="1.42578125" style="2673" customWidth="1"/>
    <col min="10" max="10" width="19" style="2673" customWidth="1"/>
    <col min="11" max="11" width="3" style="2673" customWidth="1"/>
    <col min="12" max="12" width="0.7109375" style="2673" hidden="1" customWidth="1"/>
    <col min="13" max="13" width="7.28515625" style="2673" hidden="1" customWidth="1"/>
    <col min="14" max="15" width="4.7109375" style="2673" hidden="1" customWidth="1"/>
    <col min="16" max="16" width="8.7109375" style="2673" hidden="1" customWidth="1"/>
    <col min="17" max="17" width="5.7109375" style="2673" hidden="1" customWidth="1"/>
    <col min="18" max="18" width="9.7109375" style="2673" hidden="1" customWidth="1"/>
    <col min="19" max="19" width="12.28515625" style="2673" hidden="1" customWidth="1"/>
    <col min="20" max="21" width="13.5703125" style="2673" hidden="1" customWidth="1"/>
    <col min="22" max="22" width="12" style="2673" hidden="1" customWidth="1"/>
    <col min="23" max="23" width="15.7109375" style="2673" hidden="1" customWidth="1"/>
    <col min="24" max="25" width="8.7109375" style="2673" hidden="1" customWidth="1"/>
    <col min="26" max="27" width="9.28515625" style="2673" hidden="1" customWidth="1"/>
    <col min="28" max="16384" width="8.7109375" style="2673" hidden="1"/>
  </cols>
  <sheetData>
    <row r="1" spans="1:27" x14ac:dyDescent="0.2">
      <c r="A1" s="5300" t="str">
        <f>_ref1</f>
      </c>
      <c r="B1" s="5300"/>
      <c r="C1" s="5300"/>
      <c r="D1" s="5300"/>
      <c r="E1" s="5300"/>
      <c r="F1" s="5300"/>
      <c r="G1" s="5300"/>
      <c r="H1" s="3038" t="str">
        <f>_YA1</f>
      </c>
      <c r="I1" s="2672"/>
      <c r="J1" s="2672"/>
      <c r="K1" s="2672"/>
    </row>
    <row r="2" spans="1:27" x14ac:dyDescent="0.2">
      <c r="A2" s="2672"/>
      <c r="B2" s="2672"/>
      <c r="C2" s="2672"/>
      <c r="D2" s="2672"/>
      <c r="E2" s="2672"/>
      <c r="F2" s="2672"/>
      <c r="G2" s="2672"/>
      <c r="H2" s="2672"/>
      <c r="I2" s="2672"/>
      <c r="J2" s="2672"/>
      <c r="K2" s="2672"/>
      <c r="S2" s="2673" t="s">
        <v>3445</v>
      </c>
      <c r="T2" s="2673" t="s">
        <v>7752</v>
      </c>
      <c r="X2" s="2676" t="s">
        <v>8879</v>
      </c>
      <c r="Y2" s="3032" t="s">
        <v>4591</v>
      </c>
      <c r="Z2" s="3032"/>
    </row>
    <row r="3" spans="1:27" s="3085" customFormat="1" hidden="1" x14ac:dyDescent="0.2">
      <c r="A3" s="3084"/>
      <c r="B3" s="3084"/>
      <c r="C3" s="3084"/>
      <c r="D3" s="3084"/>
      <c r="E3" s="3084"/>
      <c r="F3" s="3084"/>
      <c r="G3" s="3084"/>
      <c r="H3" s="3084"/>
      <c r="I3" s="3084"/>
      <c r="J3" s="3084"/>
      <c r="K3" s="3084"/>
      <c r="Y3" s="3086" t="str">
        <f>cur</f>
      </c>
      <c r="Z3" s="3086">
        <f>VLOOKUP(Y3,cbmer,8,FALSE)</f>
      </c>
    </row>
    <row r="4" spans="1:27" s="3085" customFormat="1" hidden="1" x14ac:dyDescent="0.2">
      <c r="A4" s="3084"/>
      <c r="B4" s="3084" t="s">
        <v>3451</v>
      </c>
      <c r="C4" s="3084">
        <v>200000</v>
      </c>
      <c r="D4" s="3084">
        <v>10000</v>
      </c>
      <c r="E4" s="3084"/>
      <c r="F4" s="3084"/>
      <c r="G4" s="3084"/>
      <c r="H4" s="3084"/>
      <c r="I4" s="3084"/>
      <c r="J4" s="3084"/>
      <c r="K4" s="3084"/>
    </row>
    <row r="5" spans="1:27" s="3085" customFormat="1" hidden="1" x14ac:dyDescent="0.2">
      <c r="A5" s="3084"/>
      <c r="B5" s="3084"/>
      <c r="C5" s="3084"/>
      <c r="D5" s="3084"/>
      <c r="E5" s="3084"/>
      <c r="F5" s="3084"/>
      <c r="G5" s="3084"/>
      <c r="H5" s="3084"/>
      <c r="I5" s="3084"/>
      <c r="J5" s="3084"/>
      <c r="K5" s="3084"/>
      <c r="T5" s="3085">
        <v>1</v>
      </c>
    </row>
    <row r="6" spans="1:27" x14ac:dyDescent="0.2">
      <c r="A6" s="2672"/>
      <c r="B6" s="2962" t="s">
        <v>8695</v>
      </c>
      <c r="C6" s="2963"/>
      <c r="D6" s="2963"/>
      <c r="E6" s="2963"/>
      <c r="F6" s="2963"/>
      <c r="G6" s="2963"/>
      <c r="H6" s="2963"/>
      <c r="I6" s="2963"/>
      <c r="J6" s="2964"/>
      <c r="K6" s="2672"/>
      <c r="Q6" s="2673" t="s">
        <v>3994</v>
      </c>
      <c r="R6" s="2673">
        <f>ya</f>
      </c>
      <c r="T6" s="2673">
        <v>2</v>
      </c>
      <c r="W6" s="2673" t="s">
        <v>7166</v>
      </c>
    </row>
    <row r="7" spans="1:27" x14ac:dyDescent="0.2">
      <c r="A7" s="2672"/>
      <c r="B7" s="2965" t="s">
        <v>8696</v>
      </c>
      <c r="C7" s="2966"/>
      <c r="D7" s="2966"/>
      <c r="E7" s="2966"/>
      <c r="F7" s="2966"/>
      <c r="G7" s="2966"/>
      <c r="H7" s="2966"/>
      <c r="I7" s="2966"/>
      <c r="J7" s="2967"/>
      <c r="K7" s="2672"/>
      <c r="Q7" s="2676" t="s">
        <v>8258</v>
      </c>
      <c r="R7" s="2673">
        <f>YEAR(H9)</f>
      </c>
    </row>
    <row r="8" spans="1:27" x14ac:dyDescent="0.2">
      <c r="A8" s="2672"/>
      <c r="B8" s="2672"/>
      <c r="C8" s="2672"/>
      <c r="D8" s="2672"/>
      <c r="E8" s="2672"/>
      <c r="F8" s="2672"/>
      <c r="G8" s="2672"/>
      <c r="H8" s="2672"/>
      <c r="I8" s="2672"/>
      <c r="J8" s="2672"/>
      <c r="K8" s="2672"/>
      <c r="Q8" s="2676"/>
      <c r="V8" s="2673" t="s">
        <v>8697</v>
      </c>
      <c r="W8" s="3033">
        <f>ROUND(200000*Z3,0)</f>
      </c>
      <c r="X8" s="2673" t="s">
        <v>8879</v>
      </c>
      <c r="Z8" s="2806"/>
      <c r="AA8" s="2806"/>
    </row>
    <row r="9" spans="1:27" x14ac:dyDescent="0.2">
      <c r="A9" s="2672"/>
      <c r="B9" s="2798" t="s">
        <v>8259</v>
      </c>
      <c r="C9" s="1981"/>
      <c r="D9" s="2799"/>
      <c r="E9" s="2241" t="str">
        <f>IF($O$30=0,"",IF(C9="",re,""))</f>
        <v/>
      </c>
      <c r="F9" s="2798"/>
      <c r="G9" s="2798" t="s">
        <v>1570</v>
      </c>
      <c r="H9" s="2041"/>
      <c r="I9" s="2672"/>
      <c r="J9" s="3080" t="str">
        <f>IF($O$30=0,"",IF(H9="",re,IF(H9&gt;S12,"Future date!","")))</f>
        <v/>
      </c>
      <c r="K9" s="2672"/>
      <c r="M9" s="2673">
        <f>IF(OR(E9&lt;&gt;"",J9&lt;&gt;""),1,0)</f>
      </c>
      <c r="N9" s="2673">
        <f>IF(AND(C9="",H9=""),0,1)</f>
      </c>
      <c r="P9" s="1960">
        <f>COUNTA(C9,H9,H13,C11,H16,H17,H18,H21,H24,H34,H27,H29,H36,H38)</f>
      </c>
      <c r="V9" s="2673" t="s">
        <v>8698</v>
      </c>
      <c r="W9" s="3033">
        <f>ROUND(50000*Z3,0)</f>
      </c>
      <c r="X9" s="2673" t="s">
        <v>8879</v>
      </c>
    </row>
    <row r="10" spans="1:27" x14ac:dyDescent="0.2">
      <c r="A10" s="2672"/>
      <c r="B10" s="2680"/>
      <c r="C10" s="2799"/>
      <c r="D10" s="2799"/>
      <c r="E10" s="2802"/>
      <c r="F10" s="2798"/>
      <c r="G10" s="2798"/>
      <c r="H10" s="3000" t="str">
        <f>IF(H9="","",IF(OR(H9&lt;S10,H9&gt;T10),"Check date!",""))</f>
        <v/>
      </c>
      <c r="I10" s="2672"/>
      <c r="J10" s="2672"/>
      <c r="K10" s="2672"/>
      <c r="S10" s="2682">
        <v>43344</v>
      </c>
      <c r="T10" s="3077">
        <f>MIN(S11,S12)</f>
      </c>
      <c r="U10" s="2682"/>
    </row>
    <row r="11" spans="1:27" x14ac:dyDescent="0.2">
      <c r="A11" s="2672"/>
      <c r="B11" s="2803" t="s">
        <v>8699</v>
      </c>
      <c r="C11" s="5301"/>
      <c r="D11" s="5302"/>
      <c r="E11" s="5302"/>
      <c r="F11" s="5302"/>
      <c r="G11" s="5302"/>
      <c r="H11" s="5303"/>
      <c r="I11" s="2672"/>
      <c r="J11" s="2241" t="str">
        <f>IF($O$30=0,"",IF(C11="",re,""))</f>
        <v/>
      </c>
      <c r="K11" s="2672"/>
      <c r="M11" s="2673">
        <f>IF(J11&lt;&gt;"",1,0)</f>
      </c>
      <c r="N11" s="2673">
        <f>IF(G11="",0,1)</f>
      </c>
      <c r="R11" s="2673" t="s">
        <v>7078</v>
      </c>
      <c r="S11" s="3078">
        <v>43797</v>
      </c>
      <c r="T11" s="2682"/>
      <c r="U11" s="2682"/>
    </row>
    <row r="12" spans="1:27" x14ac:dyDescent="0.2">
      <c r="A12" s="2672"/>
      <c r="B12" s="2804"/>
      <c r="C12" s="2241"/>
      <c r="D12" s="2241"/>
      <c r="E12" s="2241"/>
      <c r="F12" s="2241"/>
      <c r="G12" s="2241"/>
      <c r="H12" s="2241"/>
      <c r="I12" s="2241"/>
      <c r="J12" s="2241"/>
      <c r="K12" s="2672"/>
      <c r="R12" s="2676" t="s">
        <v>9103</v>
      </c>
      <c r="S12" s="3079">
        <f>IF(ISBLANK('p1'!M66)=TRUE,DATE(ya-1,12,31),'p1'!M66)</f>
      </c>
      <c r="T12" s="2682"/>
      <c r="U12" s="2682"/>
    </row>
    <row r="13" spans="1:27" x14ac:dyDescent="0.2">
      <c r="A13" s="2672"/>
      <c r="B13" s="2803" t="s">
        <v>8700</v>
      </c>
      <c r="C13" s="2241"/>
      <c r="D13" s="2241"/>
      <c r="E13" s="2241"/>
      <c r="F13" s="2241"/>
      <c r="G13" s="2241"/>
      <c r="H13" s="3087"/>
      <c r="I13" s="2672"/>
      <c r="J13" s="2241" t="str">
        <f>IF($O$30=0,"",IF(H13="",re,""))</f>
        <v/>
      </c>
      <c r="K13" s="2672"/>
      <c r="M13" s="2673">
        <f>IF(J13&lt;&gt;"",1,0)</f>
      </c>
      <c r="N13" s="2673">
        <f>IF(H13="",0,1)</f>
      </c>
      <c r="S13" s="2682"/>
      <c r="T13" s="2682"/>
      <c r="U13" s="2682"/>
    </row>
    <row r="14" spans="1:27" x14ac:dyDescent="0.2">
      <c r="A14" s="2672"/>
      <c r="B14" s="2804"/>
      <c r="C14" s="2241"/>
      <c r="D14" s="2241"/>
      <c r="E14" s="2241"/>
      <c r="F14" s="2241"/>
      <c r="G14" s="2241"/>
      <c r="H14" s="2688" t="str">
        <f>IF(H13="no","Proceed to cell H27","")</f>
        <v/>
      </c>
      <c r="I14" s="2804"/>
      <c r="J14" s="2241"/>
      <c r="K14" s="2672"/>
      <c r="Q14" s="2673" t="s">
        <v>7166</v>
      </c>
      <c r="S14" s="2682">
        <f>C11</f>
      </c>
      <c r="T14" s="3034">
        <f>W8</f>
      </c>
      <c r="U14" s="2682" t="s">
        <v>8879</v>
      </c>
    </row>
    <row r="15" spans="1:27" x14ac:dyDescent="0.2">
      <c r="A15" s="2672"/>
      <c r="B15" s="2805" t="s">
        <v>8701</v>
      </c>
      <c r="C15" s="2799"/>
      <c r="D15" s="2799"/>
      <c r="E15" s="2798"/>
      <c r="F15" s="2798"/>
      <c r="G15" s="2241"/>
      <c r="H15" s="2799"/>
      <c r="I15" s="2672"/>
      <c r="J15" s="2672"/>
      <c r="K15" s="2672"/>
      <c r="S15" s="2682" t="s">
        <v>8702</v>
      </c>
      <c r="T15" s="3034">
        <f>W9</f>
      </c>
      <c r="U15" s="2682" t="s">
        <v>8879</v>
      </c>
    </row>
    <row r="16" spans="1:27" x14ac:dyDescent="0.2">
      <c r="A16" s="2672"/>
      <c r="B16" s="2799" t="s">
        <v>8703</v>
      </c>
      <c r="C16" s="2799"/>
      <c r="D16" s="2799"/>
      <c r="E16" s="2798"/>
      <c r="F16" s="2798"/>
      <c r="G16" s="2241"/>
      <c r="H16" s="3088"/>
      <c r="I16" s="2672"/>
      <c r="J16" s="2241" t="str">
        <f>IF($O$30=0,"",IF(AND(H13="No",H16&lt;&gt;""),"Delete!",IF(AND(H13="yes",H16=""),re,IF(AND(SUM(N17:N18)=2,H13="yes",W16&gt;0.05),"Cost &gt; 5% of project cost",""))))</f>
        <v/>
      </c>
      <c r="K16" s="2672"/>
      <c r="M16" s="2673">
        <f>IF(J16&lt;&gt;"",1,0)</f>
      </c>
      <c r="N16" s="2673">
        <f>IF(H16="",0,1)</f>
      </c>
      <c r="S16" s="2682"/>
      <c r="T16" s="2682"/>
      <c r="U16" s="2682"/>
      <c r="V16" s="2806">
        <f>H16</f>
      </c>
      <c r="W16" s="2807" t="str">
        <f>IF(V16=0,"",V16/V19)</f>
        <v/>
      </c>
    </row>
    <row r="17" spans="1:26" x14ac:dyDescent="0.2">
      <c r="A17" s="2672"/>
      <c r="B17" s="2799" t="s">
        <v>8704</v>
      </c>
      <c r="C17" s="2799"/>
      <c r="D17" s="2799"/>
      <c r="E17" s="2798"/>
      <c r="F17" s="2798"/>
      <c r="G17" s="2241"/>
      <c r="H17" s="3088"/>
      <c r="I17" s="2672"/>
      <c r="J17" s="2241" t="str">
        <f>IF($O$30=0,"",IF(AND(H13="No",H17&lt;&gt;""),"Delete!",IF(AND(H13="yes",H17=""),re,"")))</f>
        <v/>
      </c>
      <c r="K17" s="2672"/>
      <c r="M17" s="2673">
        <f>IF(J17&lt;&gt;"",1,0)</f>
      </c>
      <c r="N17" s="2673">
        <f>IF(H17="",0,1)</f>
      </c>
      <c r="S17" s="2682"/>
      <c r="T17" s="2801">
        <f>IF(C11=S14,T14,IF(C11=S15,T15,""))</f>
      </c>
      <c r="U17" s="2682"/>
      <c r="V17" s="2806">
        <f>H17</f>
      </c>
    </row>
    <row r="18" spans="1:26" x14ac:dyDescent="0.2">
      <c r="A18" s="2672"/>
      <c r="B18" s="2799" t="s">
        <v>8705</v>
      </c>
      <c r="C18" s="2799"/>
      <c r="D18" s="2799"/>
      <c r="E18" s="2799"/>
      <c r="F18" s="2798"/>
      <c r="G18" s="2798"/>
      <c r="H18" s="3088"/>
      <c r="I18" s="2672"/>
      <c r="J18" s="2241" t="str">
        <f>IF($O$30=0,"",IF(AND(H13="No",H18&lt;&gt;""),"Delete!",IF(AND(H13="yes",H18=""),re,"")))</f>
        <v/>
      </c>
      <c r="K18" s="2672"/>
      <c r="M18" s="2673">
        <f>IF(J18&lt;&gt;"",1,0)</f>
      </c>
      <c r="N18" s="2673">
        <f>IF(H18="",0,1)</f>
      </c>
      <c r="V18" s="2806">
        <f>H18</f>
      </c>
      <c r="X18" s="2673" t="s">
        <v>4528</v>
      </c>
    </row>
    <row r="19" spans="1:26" x14ac:dyDescent="0.2">
      <c r="A19" s="2672"/>
      <c r="B19" s="2799" t="s">
        <v>8706</v>
      </c>
      <c r="C19" s="2799"/>
      <c r="D19" s="2799"/>
      <c r="E19" s="2799"/>
      <c r="F19" s="2798"/>
      <c r="G19" s="2798"/>
      <c r="H19" s="3037">
        <f>V19</f>
      </c>
      <c r="I19" s="2672"/>
      <c r="J19" s="2629"/>
      <c r="K19" s="2672"/>
      <c r="Q19" s="2673" t="s">
        <v>4165</v>
      </c>
      <c r="V19" s="2806">
        <f>SUM(V16:V18)</f>
      </c>
      <c r="X19" s="2673">
        <f>V22</f>
      </c>
      <c r="Y19" s="2684">
        <f>H21</f>
      </c>
      <c r="Z19" s="2673">
        <f>MIN(X19:Y19)</f>
      </c>
    </row>
    <row r="20" spans="1:26" x14ac:dyDescent="0.2">
      <c r="A20" s="2672"/>
      <c r="B20" s="2799"/>
      <c r="C20" s="2799"/>
      <c r="D20" s="2799"/>
      <c r="E20" s="2799"/>
      <c r="F20" s="2799"/>
      <c r="G20" s="2799"/>
      <c r="H20" s="2799"/>
      <c r="I20" s="2672"/>
      <c r="J20" s="2691"/>
      <c r="K20" s="2672"/>
    </row>
    <row r="21" spans="1:26" x14ac:dyDescent="0.2">
      <c r="A21" s="2672"/>
      <c r="B21" s="2799" t="s">
        <v>8707</v>
      </c>
      <c r="C21" s="2799"/>
      <c r="D21" s="2799"/>
      <c r="E21" s="2799"/>
      <c r="F21" s="2799"/>
      <c r="G21" s="2799"/>
      <c r="H21" s="2628"/>
      <c r="I21" s="2672"/>
      <c r="J21" s="2241" t="str">
        <f>IF($O$30=0,"",IF(AND(H13="No",H21&lt;&gt;""),"Delete!",IF(AND(H13="yes",H21=""),re,IF(AND(C11=V8,H13="yes",H21&gt;W8),"Tax credit excessive!",IF(AND(C11=V9,H13="yes",H21&gt;W9),"Tax credit excecssive!","")))))</f>
        <v/>
      </c>
      <c r="K21" s="2672"/>
      <c r="M21" s="2673">
        <f>IF(J21&lt;&gt;"",1,0)</f>
      </c>
      <c r="N21" s="2673">
        <f>IF(H21="",0,1)</f>
      </c>
    </row>
    <row r="22" spans="1:26" x14ac:dyDescent="0.2">
      <c r="A22" s="2672"/>
      <c r="B22" s="2799"/>
      <c r="C22" s="2799"/>
      <c r="D22" s="2799"/>
      <c r="E22" s="2799"/>
      <c r="F22" s="2799"/>
      <c r="G22" s="2799"/>
      <c r="H22" s="2799"/>
      <c r="I22" s="2672"/>
      <c r="J22" s="2241"/>
      <c r="K22" s="2672"/>
      <c r="S22" s="2673" t="s">
        <v>8708</v>
      </c>
      <c r="U22" s="2808">
        <v>0.2</v>
      </c>
      <c r="V22" s="2806">
        <f>ROUND(V19*U22,0)</f>
      </c>
    </row>
    <row r="23" spans="1:26" x14ac:dyDescent="0.2">
      <c r="A23" s="2672"/>
      <c r="B23" s="2799" t="s">
        <v>8709</v>
      </c>
      <c r="C23" s="2799"/>
      <c r="D23" s="2799"/>
      <c r="E23" s="2799"/>
      <c r="F23" s="2799"/>
      <c r="G23" s="2799"/>
      <c r="H23" s="3001">
        <f>V23</f>
      </c>
      <c r="I23" s="2672"/>
      <c r="J23" s="2241"/>
      <c r="K23" s="2672"/>
      <c r="S23" s="2673" t="s">
        <v>2961</v>
      </c>
      <c r="V23" s="2684">
        <f>IF(M21=1,0,Z19)</f>
      </c>
    </row>
    <row r="24" spans="1:26" x14ac:dyDescent="0.2">
      <c r="A24" s="2672"/>
      <c r="B24" s="2799" t="s">
        <v>1567</v>
      </c>
      <c r="C24" s="2799"/>
      <c r="D24" s="2799">
        <v>30</v>
      </c>
      <c r="E24" s="2799"/>
      <c r="F24" s="2799"/>
      <c r="G24" s="2799"/>
      <c r="H24" s="2628"/>
      <c r="I24" s="2672"/>
      <c r="J24" s="2241" t="str">
        <f>IF($O$30=0,"",IF(AND(H13="no",H24&lt;&gt;""),"Delete!",IF(AND(R6=2019,H24&lt;&gt;""),"Delete!",IF(AND(R6&gt;2019,H13="yes",H24=""),reo,IF(AND(H24&gt;0,H13="yes",H24&gt;Y19),"Excessive","")))))</f>
        <v/>
      </c>
      <c r="K24" s="2672"/>
      <c r="M24" s="2673">
        <f>IF(J24&lt;&gt;"",1,0)</f>
      </c>
      <c r="N24" s="2673">
        <f>IF(H24="",0,1)</f>
      </c>
      <c r="Q24" s="2673" t="s">
        <v>8710</v>
      </c>
      <c r="V24" s="2673">
        <f>IF(R6&lt;=2019,0,H24)</f>
      </c>
    </row>
    <row r="25" spans="1:26" x14ac:dyDescent="0.2">
      <c r="A25" s="2672"/>
      <c r="B25" s="2799" t="s">
        <v>8711</v>
      </c>
      <c r="C25" s="2799"/>
      <c r="D25" s="2799"/>
      <c r="E25" s="2799"/>
      <c r="F25" s="2799"/>
      <c r="G25" s="2799"/>
      <c r="H25" s="3001">
        <f>V25</f>
      </c>
      <c r="I25" s="2672"/>
      <c r="J25" s="2629"/>
      <c r="K25" s="2672"/>
      <c r="Q25" s="2673" t="s">
        <v>8711</v>
      </c>
      <c r="V25" s="2684">
        <f>V23+V24</f>
      </c>
    </row>
    <row r="26" spans="1:26" x14ac:dyDescent="0.2">
      <c r="A26" s="2672"/>
      <c r="B26" s="2799"/>
      <c r="C26" s="2799"/>
      <c r="D26" s="2799"/>
      <c r="E26" s="2799"/>
      <c r="F26" s="2799"/>
      <c r="G26" s="2799"/>
      <c r="H26" s="2799"/>
      <c r="I26" s="2672"/>
      <c r="J26" s="2691"/>
      <c r="K26" s="2672"/>
    </row>
    <row r="27" spans="1:26" x14ac:dyDescent="0.2">
      <c r="A27" s="2672"/>
      <c r="B27" s="2799" t="s">
        <v>8878</v>
      </c>
      <c r="C27" s="2799"/>
      <c r="D27" s="2799"/>
      <c r="E27" s="2799"/>
      <c r="F27" s="2799"/>
      <c r="G27" s="2799"/>
      <c r="H27" s="3089"/>
      <c r="I27" s="2672"/>
      <c r="J27" s="3083" t="str">
        <f>IF($O$30=0,"",IF(AND(R6=2019,H27&lt;&gt;""),"Delete!",IF(AND(R6&gt;2019,H13="no",H27=""),reo,IF(AND(H27&gt;0,Z27&gt;T17),"Excessive!",""))))</f>
        <v/>
      </c>
      <c r="K27" s="2672"/>
      <c r="M27" s="2673">
        <f>IF(J27&lt;&gt;"",1,0)</f>
      </c>
      <c r="N27" s="2673">
        <f>IF(H27="",0,1)</f>
      </c>
      <c r="V27" s="2673">
        <f>IF(H13=y,0,H27)</f>
      </c>
      <c r="X27" s="2673" t="s">
        <v>9104</v>
      </c>
      <c r="Y27" s="3081"/>
      <c r="Z27" s="3082">
        <f>-H24+H25+H27</f>
      </c>
    </row>
    <row r="28" spans="1:26" x14ac:dyDescent="0.2">
      <c r="A28" s="2672"/>
      <c r="B28" s="2799"/>
      <c r="C28" s="2799"/>
      <c r="D28" s="2799"/>
      <c r="E28" s="2799"/>
      <c r="F28" s="2799"/>
      <c r="G28" s="2799"/>
      <c r="H28" s="2799"/>
      <c r="I28" s="2672"/>
      <c r="J28" s="2691"/>
      <c r="K28" s="2672"/>
    </row>
    <row r="29" spans="1:26" x14ac:dyDescent="0.2">
      <c r="A29" s="2672"/>
      <c r="B29" s="2799" t="s">
        <v>4018</v>
      </c>
      <c r="C29" s="2799"/>
      <c r="D29" s="2799"/>
      <c r="E29" s="2799"/>
      <c r="F29" s="2799"/>
      <c r="G29" s="2970" t="s">
        <v>951</v>
      </c>
      <c r="H29" s="2628"/>
      <c r="I29" s="2672"/>
      <c r="J29" s="2629" t="str">
        <f>IF($O$30=0,"",IF(H29="",reo,IF(AND(R6=2019,H29&gt;H23),"Excessive!",IF(AND(R6&gt;2019,H13="no",H29&gt;H27),"Excessive!",IF(AND(R6&gt;2019,H13="yes",H29&gt;H25),"Excessive!","")))))</f>
        <v/>
      </c>
      <c r="K29" s="2672"/>
      <c r="M29" s="2673">
        <f>IF(J29&lt;&gt;"",1,0)</f>
      </c>
      <c r="N29" s="2673">
        <f>IF(H29="",0,1)</f>
      </c>
      <c r="P29" s="2684">
        <f>H25+H21</f>
      </c>
      <c r="Q29" s="2673" t="s">
        <v>4018</v>
      </c>
      <c r="V29" s="2673">
        <f>H29</f>
      </c>
    </row>
    <row r="30" spans="1:26" x14ac:dyDescent="0.2">
      <c r="A30" s="2672"/>
      <c r="B30" s="2799"/>
      <c r="C30" s="2799"/>
      <c r="D30" s="2799"/>
      <c r="E30" s="2799"/>
      <c r="F30" s="2799"/>
      <c r="G30" s="2799"/>
      <c r="H30" s="2799"/>
      <c r="I30" s="2672"/>
      <c r="J30" s="2691"/>
      <c r="K30" s="2672"/>
      <c r="O30" s="2673">
        <f>SUM(N9:N24)+SUM(N25:N29)</f>
      </c>
    </row>
    <row r="31" spans="1:26" x14ac:dyDescent="0.2">
      <c r="A31" s="2672"/>
      <c r="B31" s="2799" t="s">
        <v>4167</v>
      </c>
      <c r="C31" s="2799"/>
      <c r="D31" s="2799"/>
      <c r="E31" s="2799"/>
      <c r="F31" s="2799"/>
      <c r="G31" s="2799"/>
      <c r="H31" s="1889">
        <f>IF(N29=0,0,V31)</f>
      </c>
      <c r="I31" s="2672"/>
      <c r="J31" s="2691"/>
      <c r="K31" s="2672"/>
      <c r="Q31" s="2673" t="s">
        <v>4167</v>
      </c>
      <c r="V31" s="2673">
        <f>IF(H13="yes",V25-V29,V27-V29)</f>
      </c>
    </row>
    <row r="32" spans="1:26" x14ac:dyDescent="0.2">
      <c r="A32" s="2672"/>
      <c r="B32" s="2685"/>
      <c r="C32" s="2799"/>
      <c r="D32" s="2799"/>
      <c r="E32" s="2799"/>
      <c r="F32" s="2799"/>
      <c r="G32" s="2799"/>
      <c r="H32" s="2799"/>
      <c r="I32" s="2672"/>
      <c r="J32" s="2691"/>
      <c r="K32" s="2672"/>
      <c r="Q32" s="2673" t="str">
        <f>cur</f>
      </c>
      <c r="R32" s="2684">
        <f>H21+H24+H25</f>
      </c>
    </row>
    <row r="33" spans="1:26" x14ac:dyDescent="0.2">
      <c r="A33" s="2672"/>
      <c r="B33" s="2799"/>
      <c r="C33" s="2799"/>
      <c r="D33" s="2799"/>
      <c r="E33" s="2799"/>
      <c r="F33" s="2799"/>
      <c r="G33" s="2799"/>
      <c r="H33" s="2799"/>
      <c r="I33" s="2672"/>
      <c r="J33" s="2691"/>
      <c r="K33" s="2672"/>
      <c r="Q33" s="2673" t="s">
        <v>4591</v>
      </c>
    </row>
    <row r="34" spans="1:26" x14ac:dyDescent="0.2">
      <c r="A34" s="2672"/>
      <c r="B34" s="2968" t="s">
        <v>5708</v>
      </c>
      <c r="C34" s="2969"/>
      <c r="D34" s="2969"/>
      <c r="E34" s="2969"/>
      <c r="F34" s="2969"/>
      <c r="G34" s="2971" t="s">
        <v>951</v>
      </c>
      <c r="H34" s="2628"/>
      <c r="I34" s="2672"/>
      <c r="J34" s="2629" t="str">
        <f>IF($O$30=0,"",IF(H34="",re,""))</f>
        <v/>
      </c>
      <c r="K34" s="2672"/>
      <c r="M34" s="2673">
        <f>IF(J34&lt;&gt;"",1,0)</f>
      </c>
      <c r="N34" s="2673">
        <f>IF(H34="",0,1)</f>
      </c>
      <c r="Q34" s="2673">
        <f>IF(Q33=Q32,1,0)</f>
      </c>
    </row>
    <row r="35" spans="1:26" x14ac:dyDescent="0.2">
      <c r="A35" s="2672"/>
      <c r="B35" s="2799"/>
      <c r="C35" s="2799"/>
      <c r="D35" s="2799"/>
      <c r="E35" s="2799"/>
      <c r="F35" s="2799"/>
      <c r="G35" s="2799"/>
      <c r="H35" s="2688" t="str">
        <f>IF(H34="","",IF(OR(H34&gt;Y35,H34&lt;Z35),"Check!",""))</f>
        <v/>
      </c>
      <c r="I35" s="2672"/>
      <c r="J35" s="2691"/>
      <c r="K35" s="2672"/>
      <c r="Y35" s="2673">
        <f>ROUND(V29/0.05,0)</f>
      </c>
      <c r="Z35" s="2673">
        <f>ROUND(V29/0.35,0)</f>
      </c>
    </row>
    <row r="36" spans="1:26" x14ac:dyDescent="0.2">
      <c r="A36" s="2672"/>
      <c r="B36" s="2799" t="s">
        <v>2007</v>
      </c>
      <c r="C36" s="2799"/>
      <c r="D36" s="2799"/>
      <c r="E36" s="2799"/>
      <c r="F36" s="2799"/>
      <c r="G36" s="2799"/>
      <c r="H36" s="3035"/>
      <c r="I36" s="2672"/>
      <c r="J36" s="2629" t="str">
        <f>IF(O30=0,"",IF(H36="",re,IF(AND(P36="n",V29&gt;0),"No benefit!","")))</f>
        <v/>
      </c>
      <c r="K36" s="2672"/>
      <c r="M36" s="2673">
        <f>IF(J36&lt;&gt;"",1,0)</f>
      </c>
      <c r="N36" s="2673">
        <f>IF(J36="",0,1)</f>
      </c>
      <c r="P36" s="2673" t="str">
        <f>IF(H36="yes","Y","n")</f>
      </c>
    </row>
    <row r="37" spans="1:26" x14ac:dyDescent="0.2">
      <c r="A37" s="2672"/>
      <c r="B37" s="2799"/>
      <c r="C37" s="2799"/>
      <c r="D37" s="2799"/>
      <c r="E37" s="2799"/>
      <c r="F37" s="2799"/>
      <c r="G37" s="2799"/>
      <c r="H37" s="2799"/>
      <c r="I37" s="2672"/>
      <c r="J37" s="2672"/>
      <c r="K37" s="2672"/>
    </row>
    <row r="38" spans="1:26" x14ac:dyDescent="0.2">
      <c r="A38" s="2672"/>
      <c r="B38" s="2799"/>
      <c r="C38" s="2799"/>
      <c r="D38" s="2799"/>
      <c r="E38" s="2799"/>
      <c r="F38" s="2799"/>
      <c r="G38" s="2689" t="s">
        <v>4802</v>
      </c>
      <c r="H38" s="3035"/>
      <c r="I38" s="2672"/>
      <c r="J38" s="2629" t="str">
        <f>IF((O30+N34)=0,"",IF(H38="",re,""))</f>
        <v/>
      </c>
      <c r="K38" s="2672"/>
      <c r="M38" s="2673">
        <f>IF(J38&lt;&gt;"",1,0)</f>
      </c>
      <c r="N38" s="2673">
        <f>IF(J38="",0,1)</f>
      </c>
      <c r="P38" s="2673" t="str">
        <f>IF(H38="yes","Y","n")</f>
      </c>
    </row>
    <row r="39" spans="1:26" x14ac:dyDescent="0.2">
      <c r="A39" s="2672"/>
      <c r="B39" s="2672"/>
      <c r="C39" s="2672"/>
      <c r="D39" s="2672"/>
      <c r="E39" s="2672"/>
      <c r="F39" s="2672"/>
      <c r="G39" s="2672"/>
      <c r="H39" s="2672"/>
      <c r="I39" s="2672"/>
      <c r="J39" s="2672"/>
      <c r="K39" s="2672"/>
      <c r="N39" s="2673">
        <f>SUM(N9:N38)</f>
      </c>
    </row>
    <row r="40" spans="1:26" x14ac:dyDescent="0.2">
      <c r="A40" s="2672"/>
      <c r="B40" s="2672"/>
      <c r="C40" s="2672"/>
      <c r="D40" s="2672"/>
      <c r="E40" s="2672"/>
      <c r="F40" s="2672"/>
      <c r="G40" s="2672"/>
      <c r="H40" s="2672"/>
      <c r="I40" s="2672"/>
      <c r="J40" s="2672"/>
      <c r="K40" s="2672"/>
      <c r="M40" s="2673">
        <f>SUM(M9:M38)</f>
      </c>
    </row>
    <row r="41" spans="1:26" x14ac:dyDescent="0.2">
      <c r="A41" s="2799" t="str">
        <f>_xlfn.SINGLE(MTCA)</f>
      </c>
      <c r="B41" s="2799"/>
      <c r="C41" s="2799"/>
      <c r="D41" s="2799" t="str">
        <f>ver</f>
        <v>TA2_e-CO_2025_Ver 1.1</v>
      </c>
      <c r="E41" s="2799"/>
      <c r="F41" s="2799"/>
      <c r="G41" s="2799"/>
      <c r="H41" s="2799"/>
      <c r="I41" s="2799"/>
      <c r="J41" s="2799" t="s">
        <v>8733</v>
      </c>
      <c r="K41" s="2672"/>
      <c r="N41" s="2673">
        <f>IF(P9=0,0,IF(M40&lt;&gt;0,100,IF(P38="Y",1,100)))</f>
      </c>
    </row>
    <row r="42" spans="1:26" x14ac:dyDescent="0.2">
      <c r="A42" s="2672"/>
      <c r="B42" s="2672"/>
      <c r="C42" s="2672"/>
      <c r="D42" s="2672"/>
      <c r="E42" s="2672"/>
      <c r="F42" s="2672"/>
      <c r="G42" s="2672"/>
      <c r="H42" s="2672"/>
      <c r="I42" s="2672"/>
      <c r="J42" s="2672"/>
      <c r="K42" s="2672"/>
    </row>
    <row r="43" spans="1:26" x14ac:dyDescent="0.2">
      <c r="A43" s="2672"/>
      <c r="B43" s="2819" t="s">
        <v>6290</v>
      </c>
      <c r="C43" s="2672"/>
      <c r="D43" s="2672"/>
      <c r="E43" s="2672"/>
      <c r="F43" s="2672"/>
      <c r="G43" s="2672"/>
      <c r="H43" s="2672"/>
      <c r="I43" s="2672"/>
      <c r="J43" s="2672"/>
      <c r="K43" s="2672"/>
    </row>
  </sheetData>
  <sheetProtection algorithmName="SHA-512" hashValue="EDfvGAaBjS3ZQZxwJtvUG4TqaGkY/NIzN87xpG1Mt5RbECZ45rByTvqpju2Z3Mh1sJ7sIw9KJ1pelihJD1xSvQ==" saltValue="DlqX3UCNvNyQFv/SfwZXLA==" spinCount="100000" sheet="1" objects="1" scenarios="1"/>
  <mergeCells count="2">
    <mergeCell ref="A1:G1"/>
    <mergeCell ref="C11:H11"/>
  </mergeCells>
  <conditionalFormatting sqref="B24:B25">
    <cfRule type="expression" dxfId="316" priority="2" stopIfTrue="1">
      <formula>ya=2014</formula>
    </cfRule>
  </conditionalFormatting>
  <conditionalFormatting sqref="H21">
    <cfRule type="expression" dxfId="315" priority="3" stopIfTrue="1">
      <formula>ya=2014</formula>
    </cfRule>
  </conditionalFormatting>
  <conditionalFormatting sqref="H24">
    <cfRule type="expression" dxfId="314" priority="1" stopIfTrue="1">
      <formula>ya=2014</formula>
    </cfRule>
  </conditionalFormatting>
  <dataValidations count="14">
    <dataValidation type="whole" allowBlank="1" showInputMessage="1" showErrorMessage="1" errorTitle="Unutilised credit b/fwd" error="Cannot exceed maximum limit!" sqref="H27" xr:uid="{00000000-0002-0000-6000-000000000000}">
      <formula1>0</formula1>
      <formula2>T17</formula2>
    </dataValidation>
    <dataValidation operator="greaterThanOrEqual" allowBlank="1" showInputMessage="1" showErrorMessage="1" errorTitle="Tax credit b/fwd" error="Please enter a positive amount!" sqref="H25" xr:uid="{00000000-0002-0000-6000-000001000000}"/>
    <dataValidation type="list" allowBlank="1" showInputMessage="1" showErrorMessage="1" sqref="C11:H11" xr:uid="{00000000-0002-0000-6000-000002000000}">
      <formula1>$V$7:$V$9</formula1>
    </dataValidation>
    <dataValidation type="textLength" operator="greaterThanOrEqual" allowBlank="1" showInputMessage="1" showErrorMessage="1" errorTitle="Certificate number" error="Please enter the correct reference!" sqref="C9" xr:uid="{00000000-0002-0000-6000-000003000000}">
      <formula1>4</formula1>
    </dataValidation>
    <dataValidation type="whole" operator="greaterThanOrEqual" allowBlank="1" showInputMessage="1" showErrorMessage="1" errorTitle="Approved Tax credit" error="Please enter a positive amount!" sqref="H21" xr:uid="{00000000-0002-0000-6000-000004000000}">
      <formula1>0</formula1>
    </dataValidation>
    <dataValidation type="whole" operator="greaterThanOrEqual" allowBlank="1" showInputMessage="1" showErrorMessage="1" errorTitle="Qualifying costs" error="Please enter a positive amount!" sqref="H19 H23" xr:uid="{00000000-0002-0000-6000-000005000000}">
      <formula1>0</formula1>
    </dataValidation>
    <dataValidation type="list" allowBlank="1" showInputMessage="1" showErrorMessage="1" sqref="H38 H36 H13" xr:uid="{00000000-0002-0000-6000-000006000000}">
      <formula1>yn</formula1>
    </dataValidation>
    <dataValidation operator="greaterThan" allowBlank="1" showInputMessage="1" showErrorMessage="1" errorTitle="Value" error="Please a positive amount!" sqref="V29" xr:uid="{00000000-0002-0000-6000-000007000000}"/>
    <dataValidation type="whole" operator="greaterThanOrEqual" allowBlank="1" showInputMessage="1" showErrorMessage="1" errorTitle="Value" error="Please a positive amount!" sqref="H29" xr:uid="{00000000-0002-0000-6000-000008000000}">
      <formula1>0</formula1>
    </dataValidation>
    <dataValidation allowBlank="1" showInputMessage="1" showErrorMessage="1" errorTitle="Total Eligible Costs" error="Total eligible costs cannot be more than €20,000 or equivalent!" sqref="H31" xr:uid="{00000000-0002-0000-6000-000009000000}"/>
    <dataValidation type="date" errorStyle="warning" allowBlank="1" showInputMessage="1" showErrorMessage="1" errorTitle="Date of approval" error="Please enter the correct date!" promptTitle="Date format" prompt="dd/mm/yyyy" sqref="H9" xr:uid="{00000000-0002-0000-6000-00000A000000}">
      <formula1>S10</formula1>
      <formula2>T10</formula2>
    </dataValidation>
    <dataValidation type="whole" allowBlank="1" showInputMessage="1" showErrorMessage="1" errorTitle="Income the tax on which relieved" error="Please enter the correct amount!" sqref="H34" xr:uid="{00000000-0002-0000-6000-00000B000000}">
      <formula1>Z35</formula1>
      <formula2>Y35</formula2>
    </dataValidation>
    <dataValidation type="list" allowBlank="1" showInputMessage="1" showErrorMessage="1" errorTitle="Dropdown list" error="Choose an item from the list!_x000a_" sqref="Y2" xr:uid="{00000000-0002-0000-6000-00000C000000}">
      <formula1>$BB$1:$BB$25</formula1>
    </dataValidation>
    <dataValidation type="whole" operator="lessThanOrEqual" allowBlank="1" showInputMessage="1" showErrorMessage="1" errorTitle="Previous tax credits claimed" error="Please enter a negative value!" sqref="H24" xr:uid="{00000000-0002-0000-6000-00000D000000}">
      <formula1>0</formula1>
    </dataValidation>
  </dataValidations>
  <hyperlinks>
    <hyperlink ref="B43" location="Index!B77" display="B A C K   T O   I N D E X" xr:uid="{00000000-0004-0000-6000-000000000000}"/>
    <hyperlink ref="G34" location="TRA35!A1" display="TRA 35" xr:uid="{00000000-0004-0000-6000-000001000000}"/>
    <hyperlink ref="G29" location="TRA35!A1" display="TRA 35" xr:uid="{00000000-0004-0000-6000-000002000000}"/>
  </hyperlinks>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05"/>
  <dimension ref="A1:X44"/>
  <sheetViews>
    <sheetView topLeftCell="A22" zoomScale="115" zoomScaleNormal="115" workbookViewId="0">
      <selection activeCell="F30" sqref="F30"/>
    </sheetView>
  </sheetViews>
  <sheetFormatPr defaultColWidth="0" defaultRowHeight="12.75" customHeight="1" zeroHeight="1" x14ac:dyDescent="0.2"/>
  <cols>
    <col min="1" max="1" width="4.28515625" style="1736" customWidth="1"/>
    <col min="2" max="2" width="31.28515625" style="1736" customWidth="1"/>
    <col min="3" max="3" width="4.28515625" style="1736" customWidth="1"/>
    <col min="4" max="4" width="10.28515625" style="1736" customWidth="1"/>
    <col min="5" max="8" width="10.7109375" style="1736" customWidth="1"/>
    <col min="9" max="9" width="7.28515625" style="1736" customWidth="1"/>
    <col min="10" max="10" width="4.42578125" style="1736" customWidth="1"/>
    <col min="11" max="11" width="3" style="1960" hidden="1" customWidth="1"/>
    <col min="12" max="12" width="4.28515625" style="1960" hidden="1" customWidth="1"/>
    <col min="13" max="14" width="4.7109375" style="1960" hidden="1" customWidth="1"/>
    <col min="15" max="15" width="8.7109375" style="1960" hidden="1" customWidth="1"/>
    <col min="16" max="16" width="5.7109375" style="1960" hidden="1" customWidth="1"/>
    <col min="17" max="17" width="9.7109375" style="1960" hidden="1" customWidth="1"/>
    <col min="18" max="18" width="12.5703125" style="1960" hidden="1" customWidth="1"/>
    <col min="19" max="19" width="13.28515625" style="1960" hidden="1" customWidth="1"/>
    <col min="20" max="20" width="12" style="1960" hidden="1" customWidth="1"/>
    <col min="21" max="21" width="8.42578125" style="1960" hidden="1" customWidth="1"/>
    <col min="22" max="22" width="10.28515625" style="1960" hidden="1" customWidth="1"/>
    <col min="23" max="23" width="11.7109375" style="1960" hidden="1" customWidth="1"/>
    <col min="24" max="24" width="0" style="1960" hidden="1" customWidth="1"/>
    <col min="25" max="16384" width="9.28515625" style="1960" hidden="1"/>
  </cols>
  <sheetData>
    <row r="1" spans="1:24" x14ac:dyDescent="0.2">
      <c r="A1" s="4687" t="str">
        <f>_ref1</f>
      </c>
      <c r="B1" s="4687"/>
      <c r="C1" s="4687"/>
      <c r="D1" s="4687"/>
      <c r="E1" s="4687"/>
      <c r="F1" s="4687"/>
      <c r="G1" s="4687"/>
      <c r="H1" s="1938" t="str">
        <f>_YA1</f>
      </c>
      <c r="I1" s="1936"/>
      <c r="J1" s="1938"/>
      <c r="R1" s="1960" t="s">
        <v>7753</v>
      </c>
    </row>
    <row r="2" spans="1:24" x14ac:dyDescent="0.2">
      <c r="A2" s="1942"/>
      <c r="B2" s="1942"/>
      <c r="C2" s="1942"/>
      <c r="D2" s="1942"/>
      <c r="E2" s="1942"/>
      <c r="F2" s="1942"/>
      <c r="G2" s="1942"/>
      <c r="H2" s="1942"/>
      <c r="I2" s="1942"/>
      <c r="J2" s="1942"/>
      <c r="R2" s="2809" t="s">
        <v>8712</v>
      </c>
      <c r="S2" s="2810">
        <f>YEAR(S16)+1</f>
      </c>
    </row>
    <row r="3" spans="1:24" hidden="1" x14ac:dyDescent="0.2">
      <c r="A3" s="1736" t="s">
        <v>3447</v>
      </c>
      <c r="B3" s="1736" t="s">
        <v>3448</v>
      </c>
      <c r="D3" s="1887">
        <v>500000</v>
      </c>
      <c r="R3" s="1960" t="s">
        <v>3449</v>
      </c>
      <c r="S3" s="1960" t="s">
        <v>3993</v>
      </c>
    </row>
    <row r="4" spans="1:24" hidden="1" x14ac:dyDescent="0.2">
      <c r="B4" s="1760" t="s">
        <v>3451</v>
      </c>
      <c r="C4" s="1760"/>
      <c r="D4" s="1887">
        <v>25000</v>
      </c>
    </row>
    <row r="6" spans="1:24" ht="14.25" x14ac:dyDescent="0.2">
      <c r="A6" s="1942"/>
      <c r="B6" s="2811" t="s">
        <v>8713</v>
      </c>
      <c r="C6" s="2631"/>
      <c r="D6" s="2631"/>
      <c r="E6" s="2631"/>
      <c r="F6" s="2631"/>
      <c r="G6" s="2631"/>
      <c r="H6" s="2632"/>
      <c r="I6" s="1942"/>
      <c r="J6" s="1942"/>
      <c r="P6" s="1960" t="s">
        <v>3994</v>
      </c>
      <c r="Q6" s="1960">
        <f>ya</f>
      </c>
    </row>
    <row r="7" spans="1:24" ht="14.25" x14ac:dyDescent="0.2">
      <c r="A7" s="1942"/>
      <c r="B7" s="2812" t="s">
        <v>8714</v>
      </c>
      <c r="C7" s="2634"/>
      <c r="D7" s="2634"/>
      <c r="E7" s="2634"/>
      <c r="F7" s="2634"/>
      <c r="G7" s="2634"/>
      <c r="H7" s="2635"/>
      <c r="I7" s="1942"/>
      <c r="J7" s="1942"/>
    </row>
    <row r="8" spans="1:24" x14ac:dyDescent="0.2">
      <c r="A8" s="1942"/>
      <c r="B8" s="1942"/>
      <c r="C8" s="1942"/>
      <c r="D8" s="1942"/>
      <c r="E8" s="1942"/>
      <c r="F8" s="1942"/>
      <c r="G8" s="1942"/>
      <c r="H8" s="1942"/>
      <c r="I8" s="1942"/>
      <c r="J8" s="1942"/>
      <c r="L8" s="1960" t="s">
        <v>7754</v>
      </c>
      <c r="M8" s="1960" t="s">
        <v>7161</v>
      </c>
      <c r="R8" s="1960" t="s">
        <v>3274</v>
      </c>
      <c r="S8" s="2275">
        <v>0.5</v>
      </c>
    </row>
    <row r="9" spans="1:24" x14ac:dyDescent="0.2">
      <c r="A9" s="1942"/>
      <c r="B9" s="5269" t="s">
        <v>6317</v>
      </c>
      <c r="C9" s="5269"/>
      <c r="D9" s="5269"/>
      <c r="E9" s="5269"/>
      <c r="F9" s="5269"/>
      <c r="G9" s="1942"/>
      <c r="H9" s="1942"/>
      <c r="I9" s="1942"/>
      <c r="J9" s="1942"/>
      <c r="R9" s="1960" t="s">
        <v>3281</v>
      </c>
      <c r="S9" s="2275">
        <v>0.4</v>
      </c>
    </row>
    <row r="10" spans="1:24" x14ac:dyDescent="0.2">
      <c r="A10" s="1942"/>
      <c r="B10" s="1942"/>
      <c r="C10" s="1942"/>
      <c r="D10" s="1942"/>
      <c r="E10" s="1942"/>
      <c r="F10" s="1942"/>
      <c r="G10" s="1942"/>
      <c r="H10" s="1942"/>
      <c r="I10" s="1942"/>
      <c r="J10" s="1942"/>
      <c r="R10" s="1960" t="s">
        <v>3282</v>
      </c>
      <c r="S10" s="2275">
        <v>0.3</v>
      </c>
    </row>
    <row r="11" spans="1:24" x14ac:dyDescent="0.2">
      <c r="A11" s="1942"/>
      <c r="B11" s="1958"/>
      <c r="C11" s="2238" t="s">
        <v>7755</v>
      </c>
      <c r="D11" s="1942"/>
      <c r="E11" s="5170"/>
      <c r="F11" s="5170"/>
      <c r="G11" s="2248" t="str">
        <f>IF($O$11=0,"",IF(E11="",re,""))</f>
        <v/>
      </c>
      <c r="H11" s="1942"/>
      <c r="I11" s="1942"/>
      <c r="J11" s="2248" t="s">
        <v>1020</v>
      </c>
      <c r="L11" s="1960">
        <f>IF(G11&lt;&gt;"",1,0)</f>
      </c>
      <c r="M11" s="1960">
        <f>IF(E11="",0,1)</f>
      </c>
      <c r="O11" s="1960">
        <f>COUNTA(E11,F15,C13,F16,F17,F18,F26,F30,G35,G37,G39)</f>
      </c>
      <c r="W11" s="1485" t="str">
        <f>cur</f>
      </c>
      <c r="X11" s="1736" t="s">
        <v>4591</v>
      </c>
    </row>
    <row r="12" spans="1:24" x14ac:dyDescent="0.2">
      <c r="A12" s="1942"/>
      <c r="B12" s="1958"/>
      <c r="C12" s="2252"/>
      <c r="D12" s="1942"/>
      <c r="E12" s="1942"/>
      <c r="F12" s="1942"/>
      <c r="G12" s="1942"/>
      <c r="H12" s="1942"/>
      <c r="I12" s="1942"/>
      <c r="J12" s="2248"/>
      <c r="V12" s="1960" t="s">
        <v>8879</v>
      </c>
      <c r="W12" s="3036">
        <f>VLOOKUP(W11,cbmer,8,FALSE)</f>
      </c>
    </row>
    <row r="13" spans="1:24" ht="15" customHeight="1" x14ac:dyDescent="0.2">
      <c r="A13" s="1942"/>
      <c r="B13" s="2238" t="s">
        <v>8715</v>
      </c>
      <c r="C13" s="5170"/>
      <c r="D13" s="5170"/>
      <c r="E13" s="5170"/>
      <c r="F13" s="5170"/>
      <c r="G13" s="2248" t="str">
        <f>IF($O$11=0,"",IF(C13="",re,""))</f>
        <v/>
      </c>
      <c r="H13" s="1942"/>
      <c r="I13" s="1942"/>
      <c r="J13" s="2248"/>
      <c r="L13" s="1960">
        <f>IF(G13&lt;&gt;"",1,0)</f>
      </c>
      <c r="M13" s="1960">
        <f>IF(C13="",0,1)</f>
      </c>
    </row>
    <row r="14" spans="1:24" x14ac:dyDescent="0.2">
      <c r="A14" s="1942"/>
      <c r="B14" s="1958"/>
      <c r="C14" s="1942"/>
      <c r="D14" s="1942"/>
      <c r="E14" s="1942"/>
      <c r="F14" s="1942"/>
      <c r="G14" s="1942"/>
      <c r="H14" s="1942"/>
      <c r="I14" s="1942"/>
      <c r="J14" s="1942"/>
      <c r="R14" s="1960" t="s">
        <v>7763</v>
      </c>
      <c r="T14" s="3036">
        <f>25000*W12</f>
      </c>
      <c r="U14" s="1960" t="s">
        <v>8879</v>
      </c>
    </row>
    <row r="15" spans="1:24" x14ac:dyDescent="0.2">
      <c r="A15" s="1942"/>
      <c r="B15" s="1942"/>
      <c r="C15" s="1942"/>
      <c r="D15" s="2238" t="s">
        <v>7759</v>
      </c>
      <c r="E15" s="1958"/>
      <c r="F15" s="2705"/>
      <c r="G15" s="2249" t="str">
        <f>IF($O$11=0,"",IF(F15="",re,""))</f>
        <v/>
      </c>
      <c r="H15" s="1942"/>
      <c r="I15" s="1942"/>
      <c r="J15" s="1942"/>
      <c r="L15" s="1960">
        <f>IF(G15&lt;&gt;"",1,0)</f>
      </c>
      <c r="M15" s="1960">
        <f>IF(F15="",0,1)</f>
      </c>
      <c r="S15" s="2277">
        <f>MIN(S16:T16)</f>
      </c>
      <c r="W15" s="1960" t="s">
        <v>7024</v>
      </c>
    </row>
    <row r="16" spans="1:24" x14ac:dyDescent="0.2">
      <c r="A16" s="1942"/>
      <c r="B16" s="1942"/>
      <c r="C16" s="1942"/>
      <c r="D16" s="2238" t="s">
        <v>7760</v>
      </c>
      <c r="E16" s="1958"/>
      <c r="F16" s="2278"/>
      <c r="G16" s="2249" t="str">
        <f>IF($O$11=0,"",IF(F16="",re,""))</f>
        <v/>
      </c>
      <c r="H16" s="2999" t="str">
        <f>IF(O11=0,"",IF(F16="","",IF(F16&lt;R16,"Check date!","")))</f>
        <v/>
      </c>
      <c r="I16" s="1942"/>
      <c r="J16" s="1942"/>
      <c r="L16" s="1960">
        <f>IF(G16&lt;&gt;"",1,0)</f>
      </c>
      <c r="M16" s="1960">
        <f>IF(F16="",0,1)</f>
      </c>
      <c r="O16" s="1960">
        <f>YEAR(F16)</f>
      </c>
      <c r="R16" s="2277">
        <v>43238</v>
      </c>
      <c r="S16" s="2277">
        <v>44196</v>
      </c>
      <c r="T16" s="2277">
        <f>DATE(ya-1,12,31)</f>
      </c>
      <c r="W16" s="1960" t="s">
        <v>8716</v>
      </c>
    </row>
    <row r="17" spans="1:23" x14ac:dyDescent="0.2">
      <c r="A17" s="1942"/>
      <c r="B17" s="1942"/>
      <c r="C17" s="1942"/>
      <c r="D17" s="2238" t="s">
        <v>7761</v>
      </c>
      <c r="E17" s="1942"/>
      <c r="F17" s="2279"/>
      <c r="G17" s="2249" t="str">
        <f>IF($O$11=0,"",IF(AND(F17&gt;0,Q6&gt;T21),"No new investments in current year!",IF(AND(Q6&lt;=T21,F17="",$O$11&gt;0),re,IF(AND(F17&gt;0,W11=X11,F17&lt;T14),"Minimum Investment of €25,000!",IF(AND(F17&gt;0,W11&lt;&gt;X11,F17&lt;T14),"Less than Minimum Investment required!","")))))</f>
        <v/>
      </c>
      <c r="H17" s="1942"/>
      <c r="I17" s="1942"/>
      <c r="J17" s="2249" t="s">
        <v>1020</v>
      </c>
      <c r="L17" s="1960">
        <f>IF(G17&lt;&gt;"",1,0)</f>
      </c>
      <c r="M17" s="1960">
        <f>IF(F17="",0,1)</f>
      </c>
      <c r="S17" s="2810"/>
      <c r="W17" s="1960" t="s">
        <v>8717</v>
      </c>
    </row>
    <row r="18" spans="1:23" x14ac:dyDescent="0.2">
      <c r="A18" s="1942"/>
      <c r="B18" s="1942"/>
      <c r="C18" s="1942"/>
      <c r="D18" s="2238" t="s">
        <v>7762</v>
      </c>
      <c r="E18" s="1942"/>
      <c r="F18" s="2279"/>
      <c r="G18" s="1928" t="str">
        <f>IF($O$11=0,"",IF(AND(F18&gt;0,Q6&gt;T21),"No new investment in current year",IF(AND(Q6&lt;=T21,F18="",$O$11&gt;0),re,IF(F18&gt;F17,"Excessive",""))))</f>
        <v/>
      </c>
      <c r="H18" s="1942"/>
      <c r="I18" s="1942"/>
      <c r="J18" s="2249" t="s">
        <v>1020</v>
      </c>
      <c r="L18" s="1960">
        <f>IF(G18&lt;&gt;"",1,0)</f>
      </c>
      <c r="M18" s="1960">
        <f>IF(F18="",0,1)</f>
      </c>
      <c r="R18" s="1960" t="s">
        <v>8718</v>
      </c>
      <c r="T18" s="2277">
        <v>44196</v>
      </c>
      <c r="W18" s="1960" t="s">
        <v>8719</v>
      </c>
    </row>
    <row r="19" spans="1:23" x14ac:dyDescent="0.2">
      <c r="A19" s="1942"/>
      <c r="B19" s="1942"/>
      <c r="C19" s="1942"/>
      <c r="D19" s="2238" t="s">
        <v>7764</v>
      </c>
      <c r="E19" s="1942"/>
      <c r="F19" s="2637" t="str">
        <f>IF(F18="","",IF($E$11=R8,S8,IF($E$11=R9,S9,IF($E$11=R10,S10,""))))</f>
        <v/>
      </c>
      <c r="G19" s="1942"/>
      <c r="H19" s="2250"/>
      <c r="I19" s="1942"/>
      <c r="J19" s="2248"/>
      <c r="R19" s="1960" t="s">
        <v>8720</v>
      </c>
      <c r="T19" s="2277">
        <v>44377</v>
      </c>
      <c r="W19" s="1960" t="s">
        <v>8721</v>
      </c>
    </row>
    <row r="20" spans="1:23" x14ac:dyDescent="0.2">
      <c r="A20" s="1942"/>
      <c r="B20" s="1942"/>
      <c r="C20" s="1942"/>
      <c r="D20" s="2238" t="s">
        <v>4015</v>
      </c>
      <c r="E20" s="1942"/>
      <c r="F20" s="2638" t="str">
        <f>IF(F19="","",ROUND(F18*F19,0))</f>
        <v/>
      </c>
      <c r="G20" s="1942"/>
      <c r="H20" s="1958"/>
      <c r="I20" s="1942"/>
      <c r="J20" s="2248"/>
      <c r="R20" s="1960" t="s">
        <v>8722</v>
      </c>
      <c r="T20" s="2277">
        <v>45290</v>
      </c>
      <c r="W20" s="1960" t="s">
        <v>8723</v>
      </c>
    </row>
    <row r="21" spans="1:23" x14ac:dyDescent="0.2">
      <c r="A21" s="1942"/>
      <c r="B21" s="2238"/>
      <c r="C21" s="2238"/>
      <c r="D21" s="1942"/>
      <c r="E21" s="1942"/>
      <c r="F21" s="2250"/>
      <c r="G21" s="1942"/>
      <c r="H21" s="1958"/>
      <c r="I21" s="1942"/>
      <c r="J21" s="2248"/>
      <c r="R21" s="1960" t="s">
        <v>8724</v>
      </c>
      <c r="T21" s="2810">
        <f>YEAR(T20)+1</f>
      </c>
      <c r="W21" s="1960" t="s">
        <v>8725</v>
      </c>
    </row>
    <row r="22" spans="1:23" x14ac:dyDescent="0.2">
      <c r="A22" s="1942"/>
      <c r="B22" s="2813" t="s">
        <v>4996</v>
      </c>
      <c r="C22" s="2814"/>
      <c r="D22" s="2814"/>
      <c r="E22" s="2814"/>
      <c r="F22" s="2815"/>
      <c r="G22" s="1942"/>
      <c r="H22" s="1958"/>
      <c r="I22" s="1942"/>
      <c r="J22" s="2248"/>
      <c r="Q22" s="1960" t="s">
        <v>4963</v>
      </c>
      <c r="W22" s="1960" t="s">
        <v>8726</v>
      </c>
    </row>
    <row r="23" spans="1:23" x14ac:dyDescent="0.2">
      <c r="A23" s="1942"/>
      <c r="B23" s="2253"/>
      <c r="C23" s="2253"/>
      <c r="D23" s="2253"/>
      <c r="E23" s="2253"/>
      <c r="F23" s="1942"/>
      <c r="G23" s="1942"/>
      <c r="H23" s="1958"/>
      <c r="I23" s="1942"/>
      <c r="J23" s="2248"/>
      <c r="W23" s="1960" t="s">
        <v>8727</v>
      </c>
    </row>
    <row r="24" spans="1:23" x14ac:dyDescent="0.2">
      <c r="A24" s="1942"/>
      <c r="B24" s="1938"/>
      <c r="C24" s="1942"/>
      <c r="D24" s="1938" t="s">
        <v>6221</v>
      </c>
      <c r="E24" s="2253"/>
      <c r="F24" s="2638" t="str">
        <f>F20</f>
        <v/>
      </c>
      <c r="G24" s="1942"/>
      <c r="H24" s="1958"/>
      <c r="I24" s="1942"/>
      <c r="J24" s="2248"/>
      <c r="Q24" s="2280">
        <f>IF(F24="",0,F24)</f>
      </c>
      <c r="W24" s="1960" t="s">
        <v>8728</v>
      </c>
    </row>
    <row r="25" spans="1:23" x14ac:dyDescent="0.2">
      <c r="A25" s="1942"/>
      <c r="B25" s="2254"/>
      <c r="C25" s="1942"/>
      <c r="D25" s="2254"/>
      <c r="E25" s="2253"/>
      <c r="F25" s="1942"/>
      <c r="G25" s="1942"/>
      <c r="H25" s="1958"/>
      <c r="I25" s="1942"/>
      <c r="J25" s="2248"/>
    </row>
    <row r="26" spans="1:23" x14ac:dyDescent="0.2">
      <c r="A26" s="1942"/>
      <c r="B26" s="1938"/>
      <c r="C26" s="1942"/>
      <c r="D26" s="1938" t="s">
        <v>6222</v>
      </c>
      <c r="E26" s="2255"/>
      <c r="F26" s="2279"/>
      <c r="G26" s="2248" t="str">
        <f>IF($O$11=0,"",IF(AND(Q6&lt;=2019,F26&gt;0),"Delete!",IF(AND(Q6&gt;2017,F26=""),reo,"")))</f>
        <v/>
      </c>
      <c r="H26" s="1958"/>
      <c r="I26" s="1942"/>
      <c r="J26" s="1958"/>
      <c r="L26" s="1960">
        <f>IF(G26&lt;&gt;"",1,0)</f>
      </c>
      <c r="M26" s="1960">
        <f>IF(F26="",0,1)</f>
      </c>
      <c r="Q26" s="2280">
        <f>IF(Q6=2017,0,F26)</f>
      </c>
    </row>
    <row r="27" spans="1:23" x14ac:dyDescent="0.2">
      <c r="A27" s="1942"/>
      <c r="B27" s="1938"/>
      <c r="C27" s="1942"/>
      <c r="D27" s="1938"/>
      <c r="E27" s="2253"/>
      <c r="F27" s="1942"/>
      <c r="G27" s="1942"/>
      <c r="H27" s="1958"/>
      <c r="I27" s="1942"/>
      <c r="J27" s="2248"/>
    </row>
    <row r="28" spans="1:23" x14ac:dyDescent="0.2">
      <c r="A28" s="1942"/>
      <c r="B28" s="1938"/>
      <c r="C28" s="1942"/>
      <c r="D28" s="1938" t="s">
        <v>7456</v>
      </c>
      <c r="E28" s="2255"/>
      <c r="F28" s="2638" t="str">
        <f>IF(Q28=0,"",Q28)</f>
        <v/>
      </c>
      <c r="G28" s="1942"/>
      <c r="H28" s="1958"/>
      <c r="I28" s="1942"/>
      <c r="J28" s="2248"/>
      <c r="Q28" s="2280">
        <f>Q24+Q26</f>
      </c>
    </row>
    <row r="29" spans="1:23" x14ac:dyDescent="0.2">
      <c r="A29" s="1942"/>
      <c r="B29" s="1938"/>
      <c r="C29" s="1942"/>
      <c r="D29" s="1938"/>
      <c r="E29" s="2253"/>
      <c r="F29" s="1942"/>
      <c r="G29" s="1942"/>
      <c r="H29" s="1958"/>
      <c r="I29" s="1942"/>
      <c r="J29" s="2248"/>
    </row>
    <row r="30" spans="1:23" x14ac:dyDescent="0.2">
      <c r="A30" s="1942"/>
      <c r="B30" s="1938"/>
      <c r="C30" s="1942"/>
      <c r="D30" s="1938" t="s">
        <v>6223</v>
      </c>
      <c r="E30" s="2256" t="s">
        <v>951</v>
      </c>
      <c r="F30" s="2279"/>
      <c r="G30" s="2248" t="str">
        <f>IF(O11=0,"",IF(AND(O11&gt;0,F30=""),reo,IF(Q30&gt;Q28,"Excessive!","")))</f>
        <v/>
      </c>
      <c r="H30" s="1958"/>
      <c r="I30" s="1942"/>
      <c r="J30" s="1958"/>
      <c r="L30" s="1960">
        <f>IF(G30&lt;&gt;"",1,0)</f>
      </c>
      <c r="M30" s="1960">
        <f>IF(F30="",0,1)</f>
      </c>
      <c r="Q30" s="2280">
        <f>F30</f>
      </c>
    </row>
    <row r="31" spans="1:23" x14ac:dyDescent="0.2">
      <c r="A31" s="1942"/>
      <c r="B31" s="1938"/>
      <c r="C31" s="1942"/>
      <c r="D31" s="1938"/>
      <c r="E31" s="2253"/>
      <c r="F31" s="1942"/>
      <c r="G31" s="1942"/>
      <c r="H31" s="1958"/>
      <c r="I31" s="1942"/>
      <c r="J31" s="2248"/>
    </row>
    <row r="32" spans="1:23" x14ac:dyDescent="0.2">
      <c r="A32" s="1942"/>
      <c r="B32" s="1938"/>
      <c r="C32" s="1942"/>
      <c r="D32" s="1938" t="s">
        <v>3566</v>
      </c>
      <c r="E32" s="1942"/>
      <c r="F32" s="2638" t="str">
        <f>IF(F28="","",IF(F28&gt;F30,F28-F30,""))</f>
        <v/>
      </c>
      <c r="G32" s="1942"/>
      <c r="H32" s="1958"/>
      <c r="I32" s="1942"/>
      <c r="J32" s="2248"/>
      <c r="Q32" s="2280"/>
    </row>
    <row r="33" spans="1:19" x14ac:dyDescent="0.2">
      <c r="A33" s="1942"/>
      <c r="B33" s="1942"/>
      <c r="C33" s="1942"/>
      <c r="D33" s="1942"/>
      <c r="E33" s="1942"/>
      <c r="F33" s="1942"/>
      <c r="G33" s="1942"/>
      <c r="H33" s="1942"/>
      <c r="I33" s="1942"/>
      <c r="J33" s="2248"/>
    </row>
    <row r="34" spans="1:19" x14ac:dyDescent="0.2">
      <c r="A34" s="1942"/>
      <c r="B34" s="1942"/>
      <c r="C34" s="1942"/>
      <c r="D34" s="1942"/>
      <c r="E34" s="2239"/>
      <c r="F34" s="2257"/>
      <c r="G34" s="1942"/>
      <c r="H34" s="1942"/>
      <c r="I34" s="1942"/>
      <c r="J34" s="2248"/>
    </row>
    <row r="35" spans="1:19" x14ac:dyDescent="0.2">
      <c r="A35" s="1942"/>
      <c r="B35" s="2813" t="s">
        <v>5708</v>
      </c>
      <c r="C35" s="2816"/>
      <c r="D35" s="2816"/>
      <c r="E35" s="2816"/>
      <c r="F35" s="2817" t="s">
        <v>951</v>
      </c>
      <c r="G35" s="2281"/>
      <c r="H35" s="2248" t="str">
        <f>IF($O$11=0,"",IF(AND(F30&gt;=0,G35=""),reo,IF(AND(F30=0,G35&gt;0),"No tax relieved!","")))</f>
        <v/>
      </c>
      <c r="I35" s="1942"/>
      <c r="J35" s="1942"/>
      <c r="L35" s="1960">
        <f>IF(H35&lt;&gt;"",1,0)</f>
      </c>
      <c r="M35" s="1960">
        <f>IF(G35="",0,1)</f>
      </c>
      <c r="R35" s="1736">
        <f>ROUND(F30/0.05,0)+1</f>
      </c>
      <c r="S35" s="1736">
        <f>ROUND(F30/0.35,0)-1</f>
      </c>
    </row>
    <row r="36" spans="1:19" x14ac:dyDescent="0.2">
      <c r="A36" s="1942"/>
      <c r="B36" s="1942"/>
      <c r="C36" s="1942"/>
      <c r="D36" s="1942"/>
      <c r="E36" s="1942"/>
      <c r="F36" s="2258" t="s">
        <v>1020</v>
      </c>
      <c r="G36" s="2246" t="s">
        <v>1020</v>
      </c>
      <c r="H36" s="2248"/>
      <c r="I36" s="1942"/>
      <c r="J36" s="1942"/>
    </row>
    <row r="37" spans="1:19" x14ac:dyDescent="0.2">
      <c r="A37" s="1942"/>
      <c r="B37" s="1942" t="s">
        <v>2007</v>
      </c>
      <c r="C37" s="1942"/>
      <c r="D37" s="1942"/>
      <c r="E37" s="1942"/>
      <c r="F37" s="2259"/>
      <c r="G37" s="2282"/>
      <c r="H37" s="2259" t="str">
        <f>IF($O$11=0,"",IF(G37="",re,IF(AND(O37="n",F30&gt;0),"No benefit!","")))</f>
        <v/>
      </c>
      <c r="I37" s="1939"/>
      <c r="J37" s="1942"/>
      <c r="L37" s="1960">
        <f>IF(H37&lt;&gt;"",1,0)</f>
      </c>
      <c r="M37" s="1960">
        <f>IF(G37="",0,1)</f>
      </c>
      <c r="O37" s="1960" t="str">
        <f>IF(G37="yes","Y","n")</f>
      </c>
    </row>
    <row r="38" spans="1:19" x14ac:dyDescent="0.2">
      <c r="A38" s="1942"/>
      <c r="B38" s="1942"/>
      <c r="C38" s="1942"/>
      <c r="D38" s="1942"/>
      <c r="E38" s="1942"/>
      <c r="F38" s="2259"/>
      <c r="G38" s="2262"/>
      <c r="H38" s="1942"/>
      <c r="I38" s="1942"/>
      <c r="J38" s="1942"/>
    </row>
    <row r="39" spans="1:19" x14ac:dyDescent="0.2">
      <c r="A39" s="1942"/>
      <c r="B39" s="1942"/>
      <c r="C39" s="2260"/>
      <c r="D39" s="2260"/>
      <c r="E39" s="1942"/>
      <c r="F39" s="2261" t="s">
        <v>4802</v>
      </c>
      <c r="G39" s="2282"/>
      <c r="H39" s="2259" t="str">
        <f>IF(O11=0,"",IF(G39="",re,""))</f>
        <v/>
      </c>
      <c r="I39" s="1942"/>
      <c r="J39" s="1942"/>
      <c r="L39" s="1960">
        <f>IF(H39&lt;&gt;"",1,0)</f>
      </c>
      <c r="M39" s="1960">
        <f>IF(G39="",0,1)</f>
      </c>
      <c r="O39" s="1960" t="str">
        <f>IF(G39="yes","Y","n")</f>
      </c>
    </row>
    <row r="40" spans="1:19" x14ac:dyDescent="0.2">
      <c r="A40" s="1942"/>
      <c r="B40" s="1942"/>
      <c r="C40" s="1942"/>
      <c r="D40" s="1942"/>
      <c r="E40" s="1942"/>
      <c r="F40" s="2257"/>
      <c r="G40" s="1942"/>
      <c r="H40" s="1942"/>
      <c r="I40" s="1942"/>
      <c r="J40" s="1942"/>
      <c r="M40" s="1960">
        <f>SUM(M9:M39)</f>
      </c>
    </row>
    <row r="41" spans="1:19" x14ac:dyDescent="0.2">
      <c r="A41" s="1942"/>
      <c r="B41" s="1942"/>
      <c r="C41" s="1942"/>
      <c r="D41" s="1942"/>
      <c r="E41" s="1942"/>
      <c r="F41" s="2257"/>
      <c r="G41" s="1942"/>
      <c r="H41" s="1942"/>
      <c r="I41" s="1942"/>
      <c r="J41" s="1942"/>
      <c r="L41" s="1960">
        <f>SUM(L9:L39)</f>
      </c>
    </row>
    <row r="42" spans="1:19" x14ac:dyDescent="0.2">
      <c r="A42" s="1935" t="str">
        <f>_xlfn.SINGLE(MTCA)</f>
      </c>
      <c r="B42" s="1942"/>
      <c r="C42" s="1936" t="s">
        <v>8729</v>
      </c>
      <c r="D42" s="1942"/>
      <c r="E42" s="1942"/>
      <c r="F42" s="2257"/>
      <c r="G42" s="1942"/>
      <c r="H42" s="1935" t="s">
        <v>8734</v>
      </c>
      <c r="I42" s="1942"/>
      <c r="J42" s="1942"/>
    </row>
    <row r="43" spans="1:19" x14ac:dyDescent="0.2">
      <c r="A43" s="1942"/>
      <c r="B43" s="1942"/>
      <c r="C43" s="1942"/>
      <c r="D43" s="1942"/>
      <c r="E43" s="1942"/>
      <c r="F43" s="1942"/>
      <c r="G43" s="1942"/>
      <c r="H43" s="1942"/>
      <c r="I43" s="1942"/>
      <c r="J43" s="1942"/>
    </row>
    <row r="44" spans="1:19" x14ac:dyDescent="0.2">
      <c r="A44" s="1942"/>
      <c r="B44" s="2818" t="s">
        <v>6290</v>
      </c>
      <c r="C44" s="2818"/>
      <c r="D44" s="1942"/>
      <c r="E44" s="1942"/>
      <c r="F44" s="1942"/>
      <c r="G44" s="1942"/>
      <c r="H44" s="1942"/>
      <c r="I44" s="1942"/>
      <c r="J44" s="1942"/>
      <c r="L44" s="1960">
        <f>IF(O11=0,0,IF(L41&lt;&gt;0,100,IF(O39="Y",1,100)))</f>
      </c>
    </row>
  </sheetData>
  <sheetProtection algorithmName="SHA-512" hashValue="1+cD2OXG2upMHJ2+opGmXD4BzyIJ/WjaEaseFjF3gr+6h3fEdyrAuRCw9JngFTbKoYkyxYKmui2MmVE82BogUw==" saltValue="JD6jobkjEjaxMabkChBi9Q==" spinCount="100000" sheet="1" objects="1" scenarios="1"/>
  <mergeCells count="4">
    <mergeCell ref="A1:G1"/>
    <mergeCell ref="B9:F9"/>
    <mergeCell ref="E11:F11"/>
    <mergeCell ref="C13:F13"/>
  </mergeCells>
  <conditionalFormatting sqref="F17:F18">
    <cfRule type="expression" dxfId="313" priority="2" stopIfTrue="1">
      <formula>$Q$6&lt;2015</formula>
    </cfRule>
  </conditionalFormatting>
  <conditionalFormatting sqref="F26">
    <cfRule type="expression" dxfId="312" priority="1">
      <formula>$F$26&lt;&gt;$Q$26</formula>
    </cfRule>
  </conditionalFormatting>
  <dataValidations count="13">
    <dataValidation type="list" allowBlank="1" showInputMessage="1" showErrorMessage="1" sqref="C13" xr:uid="{00000000-0002-0000-6100-000000000000}">
      <formula1>$W$14:$W$24</formula1>
    </dataValidation>
    <dataValidation allowBlank="1" showInputMessage="1" showErrorMessage="1" errorTitle="Total Eligible Costs" error="Total eligible costs cannot be more than €20,000 or equivalent!" sqref="F32" xr:uid="{00000000-0002-0000-6100-000001000000}"/>
    <dataValidation operator="greaterThan" allowBlank="1" showInputMessage="1" showErrorMessage="1" errorTitle="Value" error="Please a positive amount!" sqref="T26 R18" xr:uid="{00000000-0002-0000-6100-000002000000}"/>
    <dataValidation type="whole" operator="greaterThan" allowBlank="1" showInputMessage="1" showErrorMessage="1" errorTitle="Value" error="Please a positive amount!" sqref="S2 T18 R17:T17 Q17:Q18" xr:uid="{00000000-0002-0000-6100-000003000000}">
      <formula1>0</formula1>
    </dataValidation>
    <dataValidation type="textLength" operator="greaterThanOrEqual" allowBlank="1" showInputMessage="1" showErrorMessage="1" errorTitle="Certificate number" error="Please enter the correct reference!" sqref="F15" xr:uid="{00000000-0002-0000-6100-000004000000}">
      <formula1>4</formula1>
    </dataValidation>
    <dataValidation type="list" allowBlank="1" showInputMessage="1" showErrorMessage="1" sqref="E11:F11" xr:uid="{00000000-0002-0000-6100-000005000000}">
      <formula1>$R$7:$R$10</formula1>
    </dataValidation>
    <dataValidation type="whole" operator="greaterThanOrEqual" allowBlank="1" showInputMessage="1" showErrorMessage="1" sqref="F26" xr:uid="{00000000-0002-0000-6100-000006000000}">
      <formula1>0</formula1>
    </dataValidation>
    <dataValidation type="list" showInputMessage="1" showErrorMessage="1" sqref="G37 G39" xr:uid="{00000000-0002-0000-6100-000007000000}">
      <formula1>yn</formula1>
    </dataValidation>
    <dataValidation type="whole" operator="greaterThanOrEqual" allowBlank="1" showInputMessage="1" showErrorMessage="1" errorTitle="Value" error="Please a positive amount greater than the statutory minimum!" sqref="F17" xr:uid="{00000000-0002-0000-6100-000008000000}">
      <formula1>T14</formula1>
    </dataValidation>
    <dataValidation type="whole" operator="greaterThanOrEqual" allowBlank="1" showInputMessage="1" showErrorMessage="1" errorTitle="Value" error="Please enter a positive amount that is equal or greater than than the statutory Minimum!" sqref="F18" xr:uid="{00000000-0002-0000-6100-000009000000}">
      <formula1>T14</formula1>
    </dataValidation>
    <dataValidation type="whole" allowBlank="1" showInputMessage="1" showErrorMessage="1" errorTitle="Income on which tax relieved" error="Please enter the correct amount!" sqref="G35" xr:uid="{00000000-0002-0000-6100-00000A000000}">
      <formula1>S35</formula1>
      <formula2>R35</formula2>
    </dataValidation>
    <dataValidation type="whole" allowBlank="1" showInputMessage="1" showErrorMessage="1" errorTitle="Value" error="Please a positive amount which is less than the credit available!" sqref="F30" xr:uid="{00000000-0002-0000-6100-00000B000000}">
      <formula1>0</formula1>
      <formula2>F28</formula2>
    </dataValidation>
    <dataValidation type="date" errorStyle="warning" allowBlank="1" showInputMessage="1" showErrorMessage="1" errorTitle="Date of approval" error="Please enter the correct date!  Date cannot be before 18 May 2018 and after 31 December 2020!_x000a_" promptTitle="Date format" prompt="dd/mm/yyyy" sqref="F16" xr:uid="{00000000-0002-0000-6100-00000C000000}">
      <formula1>R16</formula1>
      <formula2>S15</formula2>
    </dataValidation>
  </dataValidations>
  <hyperlinks>
    <hyperlink ref="B44" location="Index!B77" display="B A C K   T O   I N D E X" xr:uid="{00000000-0004-0000-6100-000000000000}"/>
    <hyperlink ref="F35" location="TRA35!A21" display="TRA 35" xr:uid="{00000000-0004-0000-6100-000001000000}"/>
    <hyperlink ref="E30" location="TRA35!A21" display="TRA 35" xr:uid="{00000000-0004-0000-6100-000002000000}"/>
  </hyperlinks>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06">
    <pageSetUpPr fitToPage="1"/>
  </sheetPr>
  <dimension ref="A1:AG488"/>
  <sheetViews>
    <sheetView topLeftCell="A241" zoomScaleNormal="100" workbookViewId="0">
      <selection activeCell="K170" sqref="K170"/>
    </sheetView>
  </sheetViews>
  <sheetFormatPr defaultColWidth="0" defaultRowHeight="12.75" zeroHeight="1" x14ac:dyDescent="0.2"/>
  <cols>
    <col min="1" max="1" width="3.42578125" style="3041" customWidth="1"/>
    <col min="2" max="2" width="33.7109375" customWidth="1"/>
    <col min="3" max="3" width="7.28515625" style="3006" customWidth="1"/>
    <col min="4" max="4" width="11.42578125" customWidth="1"/>
    <col min="5" max="5" width="25.42578125" customWidth="1"/>
    <col min="6" max="6" width="9.28515625" customWidth="1"/>
    <col min="7" max="7" width="11.28515625" customWidth="1"/>
    <col min="8" max="8" width="10.7109375" customWidth="1"/>
    <col min="9" max="11" width="22.5703125" customWidth="1"/>
    <col min="12" max="12" width="34" customWidth="1"/>
    <col min="13" max="13" width="23.7109375" customWidth="1"/>
    <col min="14" max="31" width="9.28515625" hidden="1" customWidth="1"/>
    <col min="32" max="32" width="9.28515625" style="1707" hidden="1" customWidth="1"/>
    <col min="33" max="16384" width="9.28515625" hidden="1"/>
  </cols>
  <sheetData>
    <row r="1" spans="1:32" x14ac:dyDescent="0.2">
      <c r="A1" s="3007" t="str">
        <f>_ref1</f>
      </c>
      <c r="B1" s="3007"/>
      <c r="C1" s="3008"/>
      <c r="D1" s="3007"/>
      <c r="E1" s="3007"/>
      <c r="F1" s="3007"/>
      <c r="G1" s="3007"/>
      <c r="H1" s="3007"/>
      <c r="I1" s="3007"/>
      <c r="J1" s="2822"/>
      <c r="K1" s="2822"/>
      <c r="L1" s="2822" t="str">
        <f>_YA1</f>
      </c>
      <c r="M1" s="2592"/>
      <c r="X1" s="1634" t="s">
        <v>10237</v>
      </c>
      <c r="Y1" t="str">
        <f>'p2'!G26</f>
      </c>
      <c r="AC1">
        <f>IF(OR(AD1="N",AD1=0),0,1)</f>
      </c>
      <c r="AD1" t="str">
        <f>'p2'!G33</f>
      </c>
    </row>
    <row r="2" spans="1:32" ht="6" customHeight="1" x14ac:dyDescent="0.2">
      <c r="A2" s="3007"/>
      <c r="B2" s="2592"/>
      <c r="C2" s="3008"/>
      <c r="D2" s="2592"/>
      <c r="E2" s="2592"/>
      <c r="F2" s="2592"/>
      <c r="G2" s="2592"/>
      <c r="H2" s="2592"/>
      <c r="I2" s="3009"/>
      <c r="J2" s="2822"/>
      <c r="K2" s="2822"/>
      <c r="L2" s="2822"/>
      <c r="M2" s="2592"/>
      <c r="V2" t="s">
        <v>4457</v>
      </c>
    </row>
    <row r="3" spans="1:32" ht="18.75" x14ac:dyDescent="0.2">
      <c r="A3" s="3007"/>
      <c r="B3" s="5313" t="s">
        <v>8856</v>
      </c>
      <c r="C3" s="5314"/>
      <c r="D3" s="5314"/>
      <c r="E3" s="5314"/>
      <c r="F3" s="5314"/>
      <c r="G3" s="5314"/>
      <c r="H3" s="5314"/>
      <c r="I3" s="5315"/>
      <c r="J3" s="2447" t="str">
        <f>IF(AND(AC1=0,O246&gt;0),"Check reply on Page 2 (No 27)!","")</f>
        <v/>
      </c>
      <c r="K3" s="2447"/>
      <c r="L3" s="2822"/>
      <c r="M3" s="2592"/>
      <c r="N3">
        <f>IF(J3="",0,1)</f>
      </c>
      <c r="V3" t="s">
        <v>1736</v>
      </c>
    </row>
    <row r="4" spans="1:32" ht="4.3499999999999996" customHeight="1" x14ac:dyDescent="0.2">
      <c r="A4" s="3007"/>
      <c r="B4" s="3010"/>
      <c r="C4" s="3008"/>
      <c r="D4" s="2592"/>
      <c r="E4" s="2592"/>
      <c r="F4" s="2592"/>
      <c r="G4" s="2592"/>
      <c r="H4" s="2592"/>
      <c r="I4" s="2592"/>
      <c r="J4" s="2822"/>
      <c r="K4" s="2822"/>
      <c r="L4" s="2822"/>
      <c r="M4" s="2592"/>
    </row>
    <row r="5" spans="1:32" ht="14.65" customHeight="1" x14ac:dyDescent="0.2">
      <c r="A5" s="3007"/>
      <c r="B5" s="2592"/>
      <c r="C5" s="3008"/>
      <c r="D5" s="5310" t="s">
        <v>8857</v>
      </c>
      <c r="E5" s="5310" t="s">
        <v>8858</v>
      </c>
      <c r="F5" s="5308" t="s">
        <v>8859</v>
      </c>
      <c r="G5" s="5308"/>
      <c r="H5" s="5308"/>
      <c r="I5" s="5308"/>
      <c r="J5" s="2822"/>
      <c r="K5" s="2822"/>
      <c r="L5" s="2822"/>
      <c r="M5" s="2592"/>
      <c r="N5">
        <f>IF(C15="",0,1)</f>
      </c>
      <c r="AF5" s="3025">
        <v>1000</v>
      </c>
    </row>
    <row r="6" spans="1:32" ht="12.4" customHeight="1" x14ac:dyDescent="0.2">
      <c r="A6" s="3007"/>
      <c r="B6" s="2592"/>
      <c r="C6" s="3008"/>
      <c r="D6" s="5310"/>
      <c r="E6" s="5310"/>
      <c r="F6" s="2870" t="s">
        <v>4450</v>
      </c>
      <c r="G6" s="2870" t="s">
        <v>4693</v>
      </c>
      <c r="H6" s="5308" t="s">
        <v>8860</v>
      </c>
      <c r="I6" s="5308"/>
      <c r="J6" s="2822"/>
      <c r="K6" s="2822"/>
      <c r="L6" s="2822"/>
      <c r="M6" s="2592"/>
      <c r="N6">
        <f>IF(C17="",0,1)</f>
      </c>
      <c r="AF6" s="3025">
        <v>1001</v>
      </c>
    </row>
    <row r="7" spans="1:32" ht="14.65" customHeight="1" x14ac:dyDescent="0.2">
      <c r="A7" s="2960">
        <v>1</v>
      </c>
      <c r="B7" s="5305" t="s">
        <v>8880</v>
      </c>
      <c r="C7" s="3008"/>
      <c r="D7" s="3020"/>
      <c r="E7" s="3020"/>
      <c r="F7" s="3021"/>
      <c r="G7" s="2885"/>
      <c r="H7" s="5304"/>
      <c r="I7" s="5304"/>
      <c r="J7" s="2761" t="str">
        <f t="shared" ref="J7:J70" si="0">IF(AND(P7=0,COUNTA(D7:G7)&gt;0),"Delete!",IF(AND(P7&gt;0,COUNTA(D7:G7)&lt;&gt;4),"All details required!",IF(AND(P7&gt;0,AB7=0),"Wrong TIFD code!","")))</f>
        <v/>
      </c>
      <c r="K7" s="2761"/>
      <c r="L7" s="2822"/>
      <c r="M7" s="2592"/>
      <c r="N7">
        <f t="shared" ref="N7:N17" si="1">IF(J7="",0,1)</f>
      </c>
      <c r="O7">
        <f>COUNTA(D7:I76)</f>
      </c>
      <c r="P7">
        <f>C16</f>
      </c>
      <c r="S7">
        <f>COUNTA(D7:E7)</f>
      </c>
      <c r="T7">
        <f>COUNT(F7:G7)</f>
      </c>
      <c r="AB7">
        <f t="shared" ref="AB7:AB17" si="2">IFERROR(AC7,0)</f>
      </c>
      <c r="AC7" t="e">
        <f t="shared" ref="AC7:AC38" si="3">VLOOKUP(F7,$AF$5:$AF$484,1,FALSE)</f>
      </c>
      <c r="AF7" s="3025">
        <v>1002</v>
      </c>
    </row>
    <row r="8" spans="1:32" ht="12.4" customHeight="1" x14ac:dyDescent="0.2">
      <c r="A8" s="3007"/>
      <c r="B8" s="5305"/>
      <c r="C8" s="3008"/>
      <c r="D8" s="3020"/>
      <c r="E8" s="3020"/>
      <c r="F8" s="3021"/>
      <c r="G8" s="2885"/>
      <c r="H8" s="5304"/>
      <c r="I8" s="5304"/>
      <c r="J8" s="2761" t="str">
        <f t="shared" si="0"/>
        <v/>
      </c>
      <c r="K8" s="2761"/>
      <c r="L8" s="2822"/>
      <c r="M8" s="2592"/>
      <c r="N8">
        <f t="shared" si="1"/>
        <v>0</v>
      </c>
      <c r="P8">
        <f>IF(P7=0,0,P7-1)</f>
      </c>
      <c r="AB8">
        <f t="shared" si="2"/>
        <v>0</v>
      </c>
      <c r="AC8" t="e">
        <f t="shared" si="3"/>
        <v>#N/A</v>
      </c>
      <c r="AF8" s="3025">
        <v>1003</v>
      </c>
    </row>
    <row r="9" spans="1:32" ht="12.4" customHeight="1" x14ac:dyDescent="0.2">
      <c r="A9" s="3007"/>
      <c r="B9" s="5305"/>
      <c r="C9" s="3008"/>
      <c r="D9" s="3020"/>
      <c r="E9" s="3020"/>
      <c r="F9" s="3021"/>
      <c r="G9" s="2885"/>
      <c r="H9" s="5304"/>
      <c r="I9" s="5304"/>
      <c r="J9" s="2761" t="str">
        <f t="shared" si="0"/>
        <v/>
      </c>
      <c r="K9" s="2761"/>
      <c r="L9" s="2822"/>
      <c r="M9" s="2592"/>
      <c r="N9">
        <f t="shared" si="1"/>
        <v>0</v>
      </c>
      <c r="P9">
        <f t="shared" ref="P9:P76" si="4">IF(P8=0,0,P8-1)</f>
      </c>
      <c r="AB9">
        <f t="shared" si="2"/>
        <v>0</v>
      </c>
      <c r="AC9" t="e">
        <f t="shared" si="3"/>
        <v>#N/A</v>
      </c>
      <c r="AF9" s="3025">
        <v>1004</v>
      </c>
    </row>
    <row r="10" spans="1:32" ht="12.4" customHeight="1" x14ac:dyDescent="0.2">
      <c r="A10" s="3007"/>
      <c r="B10" s="5305"/>
      <c r="C10" s="3008"/>
      <c r="D10" s="3020"/>
      <c r="E10" s="3020"/>
      <c r="F10" s="3021"/>
      <c r="G10" s="2885"/>
      <c r="H10" s="5304"/>
      <c r="I10" s="5304"/>
      <c r="J10" s="2761" t="str">
        <f t="shared" si="0"/>
        <v/>
      </c>
      <c r="K10" s="2761"/>
      <c r="L10" s="2822"/>
      <c r="M10" s="2592"/>
      <c r="N10">
        <f t="shared" si="1"/>
        <v>0</v>
      </c>
      <c r="P10">
        <f t="shared" si="4"/>
        <v>0</v>
      </c>
      <c r="AB10">
        <f t="shared" si="2"/>
        <v>0</v>
      </c>
      <c r="AC10" t="e">
        <f t="shared" si="3"/>
        <v>#N/A</v>
      </c>
      <c r="AF10" s="3025">
        <v>1005</v>
      </c>
    </row>
    <row r="11" spans="1:32" ht="12.4" customHeight="1" x14ac:dyDescent="0.2">
      <c r="A11" s="3007"/>
      <c r="B11" s="5305"/>
      <c r="C11" s="3008"/>
      <c r="D11" s="3020"/>
      <c r="E11" s="3020"/>
      <c r="F11" s="3021"/>
      <c r="G11" s="2885"/>
      <c r="H11" s="5304"/>
      <c r="I11" s="5304"/>
      <c r="J11" s="2761" t="str">
        <f t="shared" si="0"/>
        <v/>
      </c>
      <c r="K11" s="2761"/>
      <c r="L11" s="2822"/>
      <c r="M11" s="2592"/>
      <c r="N11">
        <f t="shared" si="1"/>
        <v>0</v>
      </c>
      <c r="P11">
        <f t="shared" si="4"/>
        <v>0</v>
      </c>
      <c r="AB11">
        <f t="shared" si="2"/>
        <v>0</v>
      </c>
      <c r="AC11" t="e">
        <f t="shared" si="3"/>
        <v>#N/A</v>
      </c>
      <c r="AF11" s="3025">
        <v>1006</v>
      </c>
    </row>
    <row r="12" spans="1:32" ht="12.4" customHeight="1" x14ac:dyDescent="0.2">
      <c r="A12" s="3007"/>
      <c r="B12" s="5305"/>
      <c r="C12" s="3008"/>
      <c r="D12" s="3020"/>
      <c r="E12" s="3020"/>
      <c r="F12" s="3021"/>
      <c r="G12" s="2885"/>
      <c r="H12" s="5304"/>
      <c r="I12" s="5304"/>
      <c r="J12" s="2761" t="str">
        <f t="shared" si="0"/>
        <v/>
      </c>
      <c r="K12" s="2761"/>
      <c r="L12" s="2822"/>
      <c r="M12" s="2592"/>
      <c r="N12">
        <f t="shared" si="1"/>
        <v>0</v>
      </c>
      <c r="P12">
        <f t="shared" si="4"/>
        <v>0</v>
      </c>
      <c r="AB12">
        <f t="shared" si="2"/>
        <v>0</v>
      </c>
      <c r="AC12" t="e">
        <f t="shared" si="3"/>
        <v>#N/A</v>
      </c>
      <c r="AF12" s="3025">
        <v>1007</v>
      </c>
    </row>
    <row r="13" spans="1:32" ht="12.4" customHeight="1" x14ac:dyDescent="0.2">
      <c r="A13" s="3007"/>
      <c r="B13" s="5305"/>
      <c r="C13" s="3008"/>
      <c r="D13" s="3020"/>
      <c r="E13" s="3020"/>
      <c r="F13" s="3021"/>
      <c r="G13" s="2885"/>
      <c r="H13" s="5304"/>
      <c r="I13" s="5304"/>
      <c r="J13" s="2761" t="str">
        <f t="shared" si="0"/>
        <v/>
      </c>
      <c r="K13" s="2761"/>
      <c r="L13" s="2822"/>
      <c r="M13" s="2592"/>
      <c r="N13">
        <f t="shared" si="1"/>
        <v>0</v>
      </c>
      <c r="P13">
        <f t="shared" si="4"/>
        <v>0</v>
      </c>
      <c r="AB13">
        <f t="shared" si="2"/>
        <v>0</v>
      </c>
      <c r="AC13" t="e">
        <f t="shared" si="3"/>
        <v>#N/A</v>
      </c>
      <c r="AF13" s="3025">
        <v>1008</v>
      </c>
    </row>
    <row r="14" spans="1:32" ht="12.4" customHeight="1" x14ac:dyDescent="0.2">
      <c r="A14" s="3007"/>
      <c r="B14" s="5305"/>
      <c r="C14" s="3023"/>
      <c r="D14" s="3020"/>
      <c r="E14" s="3020"/>
      <c r="F14" s="3021"/>
      <c r="G14" s="2885"/>
      <c r="H14" s="5304"/>
      <c r="I14" s="5304"/>
      <c r="J14" s="2761" t="str">
        <f>IF(AND(P14=0,COUNTA(D14:G14)&gt;0),"Delete!",IF(AND(P14&gt;0,COUNTA(D14:G14)&lt;&gt;4),"All details required!",IF(AND(P14&gt;0,AB14=0),"Wrong TIFD code!","")))</f>
        <v/>
      </c>
      <c r="K14" s="2761"/>
      <c r="L14" s="2822"/>
      <c r="M14" s="2592"/>
      <c r="N14">
        <f t="shared" si="1"/>
        <v>0</v>
      </c>
      <c r="P14">
        <f t="shared" si="4"/>
        <v>0</v>
      </c>
      <c r="AB14">
        <f t="shared" si="2"/>
        <v>0</v>
      </c>
      <c r="AC14" t="e">
        <f t="shared" si="3"/>
        <v>#N/A</v>
      </c>
      <c r="AF14" s="3025">
        <v>1009</v>
      </c>
    </row>
    <row r="15" spans="1:32" ht="12.4" customHeight="1" x14ac:dyDescent="0.2">
      <c r="A15" s="3007"/>
      <c r="B15" s="3011"/>
      <c r="C15" s="3090" t="str">
        <f>IF($AC$1=0,"",IF(C14="",re,IF(AND(C14=n,C16&gt;0),"Transactions indicated below!","")))</f>
        <v/>
      </c>
      <c r="D15" s="3020"/>
      <c r="E15" s="3020"/>
      <c r="F15" s="3021"/>
      <c r="G15" s="2885"/>
      <c r="H15" s="5304"/>
      <c r="I15" s="5304"/>
      <c r="J15" s="2761" t="str">
        <f t="shared" si="0"/>
        <v/>
      </c>
      <c r="K15" s="2761"/>
      <c r="L15" s="2822"/>
      <c r="M15" s="2592"/>
      <c r="N15">
        <f t="shared" si="1"/>
        <v>0</v>
      </c>
      <c r="P15">
        <f t="shared" si="4"/>
        <v>0</v>
      </c>
      <c r="AB15">
        <f t="shared" si="2"/>
        <v>0</v>
      </c>
      <c r="AC15" t="e">
        <f t="shared" si="3"/>
        <v>#N/A</v>
      </c>
      <c r="AF15" s="3026">
        <v>1198</v>
      </c>
    </row>
    <row r="16" spans="1:32" x14ac:dyDescent="0.2">
      <c r="A16" s="3007"/>
      <c r="B16" s="3013" t="s">
        <v>8868</v>
      </c>
      <c r="C16" s="3022"/>
      <c r="D16" s="3020"/>
      <c r="E16" s="3020"/>
      <c r="F16" s="3021"/>
      <c r="G16" s="2885"/>
      <c r="H16" s="5304"/>
      <c r="I16" s="5304"/>
      <c r="J16" s="2761" t="str">
        <f t="shared" si="0"/>
        <v/>
      </c>
      <c r="K16" s="2761"/>
      <c r="L16" s="2822"/>
      <c r="M16" s="2592"/>
      <c r="N16">
        <f t="shared" si="1"/>
        <v>0</v>
      </c>
      <c r="P16">
        <f t="shared" si="4"/>
        <v>0</v>
      </c>
      <c r="AB16">
        <f t="shared" si="2"/>
        <v>0</v>
      </c>
      <c r="AC16" t="e">
        <f t="shared" si="3"/>
        <v>#N/A</v>
      </c>
      <c r="AF16" s="3026">
        <v>1199</v>
      </c>
    </row>
    <row r="17" spans="1:32" x14ac:dyDescent="0.2">
      <c r="A17" s="3007"/>
      <c r="B17" s="3011"/>
      <c r="C17" s="3090" t="str">
        <f>IF($AC$1=0,"",IF(C16="",re,IF(AND(C14=n,O7&lt;&gt;0),"Check reply above!",IF(AND(C14=y,C16=0),"Check reply above!",""))))</f>
        <v/>
      </c>
      <c r="D17" s="3020"/>
      <c r="E17" s="3020"/>
      <c r="F17" s="3021"/>
      <c r="G17" s="2885"/>
      <c r="H17" s="5304"/>
      <c r="I17" s="5304"/>
      <c r="J17" s="2761" t="str">
        <f t="shared" si="0"/>
        <v/>
      </c>
      <c r="K17" s="2761"/>
      <c r="L17" s="2822"/>
      <c r="M17" s="2592"/>
      <c r="N17">
        <f t="shared" si="1"/>
        <v>0</v>
      </c>
      <c r="P17">
        <f t="shared" si="4"/>
        <v>0</v>
      </c>
      <c r="AB17">
        <f t="shared" si="2"/>
        <v>0</v>
      </c>
      <c r="AC17" t="e">
        <f t="shared" si="3"/>
        <v>#N/A</v>
      </c>
      <c r="AF17" s="3025">
        <v>1200</v>
      </c>
    </row>
    <row r="18" spans="1:32" x14ac:dyDescent="0.2">
      <c r="A18" s="3007"/>
      <c r="B18" s="3011"/>
      <c r="C18" s="3090"/>
      <c r="D18" s="3020"/>
      <c r="E18" s="3020"/>
      <c r="F18" s="3021"/>
      <c r="G18" s="2885"/>
      <c r="H18" s="5304"/>
      <c r="I18" s="5304"/>
      <c r="J18" s="2761" t="str">
        <f t="shared" si="0"/>
        <v/>
      </c>
      <c r="K18" s="2761"/>
      <c r="L18" s="2822"/>
      <c r="M18" s="2592"/>
      <c r="N18">
        <f t="shared" ref="N18:N68" si="5">IF(J18="",0,1)</f>
      </c>
      <c r="P18">
        <f t="shared" si="4"/>
        <v>0</v>
      </c>
      <c r="AB18">
        <f t="shared" ref="AB18:AB68" si="6">IFERROR(AC18,0)</f>
      </c>
      <c r="AC18" t="e">
        <f t="shared" si="3"/>
        <v>#N/A</v>
      </c>
      <c r="AF18" s="3025">
        <v>1201</v>
      </c>
    </row>
    <row r="19" spans="1:32" x14ac:dyDescent="0.2">
      <c r="A19" s="3007"/>
      <c r="B19" s="3011"/>
      <c r="C19" s="3090"/>
      <c r="D19" s="3020"/>
      <c r="E19" s="3020"/>
      <c r="F19" s="3021"/>
      <c r="G19" s="2885"/>
      <c r="H19" s="5304"/>
      <c r="I19" s="5304"/>
      <c r="J19" s="2761" t="str">
        <f t="shared" si="0"/>
        <v/>
      </c>
      <c r="K19" s="2761"/>
      <c r="L19" s="2822"/>
      <c r="M19" s="2592"/>
      <c r="N19">
        <f t="shared" si="5"/>
        <v>0</v>
      </c>
      <c r="P19">
        <f t="shared" si="4"/>
        <v>0</v>
      </c>
      <c r="AB19">
        <f t="shared" si="6"/>
        <v>0</v>
      </c>
      <c r="AC19" t="e">
        <f t="shared" si="3"/>
        <v>#N/A</v>
      </c>
      <c r="AF19" s="3025">
        <v>1202</v>
      </c>
    </row>
    <row r="20" spans="1:32" x14ac:dyDescent="0.2">
      <c r="A20" s="3007"/>
      <c r="B20" s="3011"/>
      <c r="C20" s="3090"/>
      <c r="D20" s="3020"/>
      <c r="E20" s="3020"/>
      <c r="F20" s="3021"/>
      <c r="G20" s="2885"/>
      <c r="H20" s="5304"/>
      <c r="I20" s="5304"/>
      <c r="J20" s="2761" t="str">
        <f t="shared" si="0"/>
        <v/>
      </c>
      <c r="K20" s="2761"/>
      <c r="L20" s="2822"/>
      <c r="M20" s="2592"/>
      <c r="N20">
        <f t="shared" si="5"/>
        <v>0</v>
      </c>
      <c r="P20">
        <f t="shared" si="4"/>
        <v>0</v>
      </c>
      <c r="AB20">
        <f t="shared" si="6"/>
        <v>0</v>
      </c>
      <c r="AC20" t="e">
        <f t="shared" si="3"/>
        <v>#N/A</v>
      </c>
      <c r="AF20" s="3025">
        <v>1203</v>
      </c>
    </row>
    <row r="21" spans="1:32" x14ac:dyDescent="0.2">
      <c r="A21" s="3007"/>
      <c r="B21" s="3011"/>
      <c r="C21" s="3090"/>
      <c r="D21" s="3020"/>
      <c r="E21" s="3020"/>
      <c r="F21" s="3021"/>
      <c r="G21" s="2885"/>
      <c r="H21" s="5304"/>
      <c r="I21" s="5304"/>
      <c r="J21" s="2761" t="str">
        <f t="shared" si="0"/>
        <v/>
      </c>
      <c r="K21" s="2761"/>
      <c r="L21" s="2822"/>
      <c r="M21" s="2592"/>
      <c r="N21">
        <f t="shared" si="5"/>
        <v>0</v>
      </c>
      <c r="P21">
        <f t="shared" si="4"/>
        <v>0</v>
      </c>
      <c r="AB21">
        <f t="shared" si="6"/>
        <v>0</v>
      </c>
      <c r="AC21" t="e">
        <f t="shared" si="3"/>
        <v>#N/A</v>
      </c>
      <c r="AF21" s="3025">
        <v>1204</v>
      </c>
    </row>
    <row r="22" spans="1:32" x14ac:dyDescent="0.2">
      <c r="A22" s="3007"/>
      <c r="B22" s="3011"/>
      <c r="C22" s="3090"/>
      <c r="D22" s="3020"/>
      <c r="E22" s="3020"/>
      <c r="F22" s="3021"/>
      <c r="G22" s="2885"/>
      <c r="H22" s="5304"/>
      <c r="I22" s="5304"/>
      <c r="J22" s="2761" t="str">
        <f t="shared" si="0"/>
        <v/>
      </c>
      <c r="K22" s="2761"/>
      <c r="L22" s="2822"/>
      <c r="M22" s="2592"/>
      <c r="N22">
        <f t="shared" si="5"/>
        <v>0</v>
      </c>
      <c r="P22">
        <f t="shared" si="4"/>
        <v>0</v>
      </c>
      <c r="AB22">
        <f t="shared" si="6"/>
        <v>0</v>
      </c>
      <c r="AC22" t="e">
        <f t="shared" si="3"/>
        <v>#N/A</v>
      </c>
      <c r="AF22" s="3025">
        <v>1205</v>
      </c>
    </row>
    <row r="23" spans="1:32" x14ac:dyDescent="0.2">
      <c r="A23" s="3007"/>
      <c r="B23" s="3011"/>
      <c r="C23" s="3090"/>
      <c r="D23" s="3020"/>
      <c r="E23" s="3020"/>
      <c r="F23" s="3021"/>
      <c r="G23" s="2885"/>
      <c r="H23" s="5304"/>
      <c r="I23" s="5304"/>
      <c r="J23" s="2761" t="str">
        <f t="shared" si="0"/>
        <v/>
      </c>
      <c r="K23" s="2761"/>
      <c r="L23" s="2822"/>
      <c r="M23" s="2592"/>
      <c r="N23">
        <f t="shared" si="5"/>
        <v>0</v>
      </c>
      <c r="P23">
        <f t="shared" si="4"/>
        <v>0</v>
      </c>
      <c r="AB23">
        <f t="shared" si="6"/>
        <v>0</v>
      </c>
      <c r="AC23" t="e">
        <f t="shared" si="3"/>
        <v>#N/A</v>
      </c>
      <c r="AF23" s="3025">
        <v>1206</v>
      </c>
    </row>
    <row r="24" spans="1:32" x14ac:dyDescent="0.2">
      <c r="A24" s="3007"/>
      <c r="B24" s="3011"/>
      <c r="C24" s="3090"/>
      <c r="D24" s="3020"/>
      <c r="E24" s="3020"/>
      <c r="F24" s="3021"/>
      <c r="G24" s="2885"/>
      <c r="H24" s="5304"/>
      <c r="I24" s="5304"/>
      <c r="J24" s="2761" t="str">
        <f t="shared" si="0"/>
        <v/>
      </c>
      <c r="K24" s="2761"/>
      <c r="L24" s="2822"/>
      <c r="M24" s="2592"/>
      <c r="N24">
        <f t="shared" si="5"/>
        <v>0</v>
      </c>
      <c r="P24">
        <f t="shared" si="4"/>
        <v>0</v>
      </c>
      <c r="AB24">
        <f t="shared" si="6"/>
        <v>0</v>
      </c>
      <c r="AC24" t="e">
        <f t="shared" si="3"/>
        <v>#N/A</v>
      </c>
      <c r="AF24" s="3025">
        <v>1207</v>
      </c>
    </row>
    <row r="25" spans="1:32" x14ac:dyDescent="0.2">
      <c r="A25" s="3007"/>
      <c r="B25" s="3011"/>
      <c r="C25" s="3090"/>
      <c r="D25" s="3020"/>
      <c r="E25" s="3020"/>
      <c r="F25" s="3021"/>
      <c r="G25" s="2885"/>
      <c r="H25" s="5304"/>
      <c r="I25" s="5304"/>
      <c r="J25" s="2761" t="str">
        <f t="shared" si="0"/>
        <v/>
      </c>
      <c r="K25" s="2761"/>
      <c r="L25" s="2822"/>
      <c r="M25" s="2592"/>
      <c r="N25">
        <f t="shared" si="5"/>
        <v>0</v>
      </c>
      <c r="P25">
        <f t="shared" si="4"/>
        <v>0</v>
      </c>
      <c r="AB25">
        <f t="shared" si="6"/>
        <v>0</v>
      </c>
      <c r="AC25" t="e">
        <f t="shared" si="3"/>
        <v>#N/A</v>
      </c>
      <c r="AF25" s="3025">
        <v>1208</v>
      </c>
    </row>
    <row r="26" spans="1:32" x14ac:dyDescent="0.2">
      <c r="A26" s="3007"/>
      <c r="B26" s="3011"/>
      <c r="C26" s="3090"/>
      <c r="D26" s="3020"/>
      <c r="E26" s="3020"/>
      <c r="F26" s="3021"/>
      <c r="G26" s="2885"/>
      <c r="H26" s="5304"/>
      <c r="I26" s="5304"/>
      <c r="J26" s="2761" t="str">
        <f t="shared" si="0"/>
        <v/>
      </c>
      <c r="K26" s="2761"/>
      <c r="L26" s="2822"/>
      <c r="M26" s="2592"/>
      <c r="N26">
        <f t="shared" si="5"/>
        <v>0</v>
      </c>
      <c r="P26">
        <f t="shared" si="4"/>
        <v>0</v>
      </c>
      <c r="AB26">
        <f t="shared" si="6"/>
        <v>0</v>
      </c>
      <c r="AC26" t="e">
        <f t="shared" si="3"/>
        <v>#N/A</v>
      </c>
      <c r="AF26" s="3025">
        <v>1209</v>
      </c>
    </row>
    <row r="27" spans="1:32" hidden="1" x14ac:dyDescent="0.2">
      <c r="A27" s="3007"/>
      <c r="B27" s="3011"/>
      <c r="C27" s="3090"/>
      <c r="D27" s="3020"/>
      <c r="E27" s="3020"/>
      <c r="F27" s="3021"/>
      <c r="G27" s="2885"/>
      <c r="H27" s="5304"/>
      <c r="I27" s="5304"/>
      <c r="J27" s="2761" t="str">
        <f t="shared" si="0"/>
        <v/>
      </c>
      <c r="K27" s="2761"/>
      <c r="L27" s="2822"/>
      <c r="M27" s="2592"/>
      <c r="N27">
        <f t="shared" si="5"/>
        <v>0</v>
      </c>
      <c r="P27">
        <f t="shared" si="4"/>
        <v>0</v>
      </c>
      <c r="AB27">
        <f t="shared" si="6"/>
        <v>0</v>
      </c>
      <c r="AC27" t="e">
        <f t="shared" si="3"/>
        <v>#N/A</v>
      </c>
      <c r="AF27" s="3025">
        <v>1210</v>
      </c>
    </row>
    <row r="28" spans="1:32" hidden="1" x14ac:dyDescent="0.2">
      <c r="A28" s="3007"/>
      <c r="B28" s="3011"/>
      <c r="C28" s="3090"/>
      <c r="D28" s="3020"/>
      <c r="E28" s="3020"/>
      <c r="F28" s="3021"/>
      <c r="G28" s="2885"/>
      <c r="H28" s="5304"/>
      <c r="I28" s="5304"/>
      <c r="J28" s="2761" t="str">
        <f t="shared" si="0"/>
        <v/>
      </c>
      <c r="K28" s="2761"/>
      <c r="L28" s="2822"/>
      <c r="M28" s="2592"/>
      <c r="N28">
        <f t="shared" si="5"/>
        <v>0</v>
      </c>
      <c r="P28">
        <f t="shared" si="4"/>
        <v>0</v>
      </c>
      <c r="AB28">
        <f t="shared" si="6"/>
        <v>0</v>
      </c>
      <c r="AC28" t="e">
        <f t="shared" si="3"/>
        <v>#N/A</v>
      </c>
      <c r="AF28" s="3025">
        <v>1300</v>
      </c>
    </row>
    <row r="29" spans="1:32" hidden="1" x14ac:dyDescent="0.2">
      <c r="A29" s="3007"/>
      <c r="B29" s="3011"/>
      <c r="C29" s="3090"/>
      <c r="D29" s="3020"/>
      <c r="E29" s="3020"/>
      <c r="F29" s="3021"/>
      <c r="G29" s="2885"/>
      <c r="H29" s="5304"/>
      <c r="I29" s="5304"/>
      <c r="J29" s="2761" t="str">
        <f t="shared" si="0"/>
        <v/>
      </c>
      <c r="K29" s="2761"/>
      <c r="L29" s="2822"/>
      <c r="M29" s="2592"/>
      <c r="N29">
        <f t="shared" si="5"/>
        <v>0</v>
      </c>
      <c r="P29">
        <f t="shared" si="4"/>
        <v>0</v>
      </c>
      <c r="AB29">
        <f t="shared" si="6"/>
        <v>0</v>
      </c>
      <c r="AC29" t="e">
        <f t="shared" si="3"/>
        <v>#N/A</v>
      </c>
      <c r="AF29" s="3025">
        <v>1301</v>
      </c>
    </row>
    <row r="30" spans="1:32" hidden="1" x14ac:dyDescent="0.2">
      <c r="A30" s="3007"/>
      <c r="B30" s="3011"/>
      <c r="C30" s="3090"/>
      <c r="D30" s="3020"/>
      <c r="E30" s="3020"/>
      <c r="F30" s="3021"/>
      <c r="G30" s="2885"/>
      <c r="H30" s="5304"/>
      <c r="I30" s="5304"/>
      <c r="J30" s="2761" t="str">
        <f t="shared" si="0"/>
        <v/>
      </c>
      <c r="K30" s="2761"/>
      <c r="L30" s="2822"/>
      <c r="M30" s="2592"/>
      <c r="N30">
        <f t="shared" si="5"/>
        <v>0</v>
      </c>
      <c r="P30">
        <f t="shared" si="4"/>
        <v>0</v>
      </c>
      <c r="AB30">
        <f t="shared" si="6"/>
        <v>0</v>
      </c>
      <c r="AC30" t="e">
        <f t="shared" si="3"/>
        <v>#N/A</v>
      </c>
      <c r="AF30" s="3025">
        <v>1302</v>
      </c>
    </row>
    <row r="31" spans="1:32" hidden="1" x14ac:dyDescent="0.2">
      <c r="A31" s="3007"/>
      <c r="B31" s="3011"/>
      <c r="C31" s="3090"/>
      <c r="D31" s="3020"/>
      <c r="E31" s="3020"/>
      <c r="F31" s="3021"/>
      <c r="G31" s="2885"/>
      <c r="H31" s="5304"/>
      <c r="I31" s="5304"/>
      <c r="J31" s="2761" t="str">
        <f t="shared" si="0"/>
        <v/>
      </c>
      <c r="K31" s="2761"/>
      <c r="L31" s="2822"/>
      <c r="M31" s="2592"/>
      <c r="N31">
        <f t="shared" si="5"/>
        <v>0</v>
      </c>
      <c r="P31">
        <f t="shared" si="4"/>
        <v>0</v>
      </c>
      <c r="AB31">
        <f t="shared" si="6"/>
        <v>0</v>
      </c>
      <c r="AC31" t="e">
        <f t="shared" si="3"/>
        <v>#N/A</v>
      </c>
      <c r="AF31" s="3025">
        <v>1303</v>
      </c>
    </row>
    <row r="32" spans="1:32" hidden="1" x14ac:dyDescent="0.2">
      <c r="A32" s="3007"/>
      <c r="B32" s="3011"/>
      <c r="C32" s="3090"/>
      <c r="D32" s="3020"/>
      <c r="E32" s="3020"/>
      <c r="F32" s="3021"/>
      <c r="G32" s="2885"/>
      <c r="H32" s="5304"/>
      <c r="I32" s="5304"/>
      <c r="J32" s="2761" t="str">
        <f t="shared" si="0"/>
        <v/>
      </c>
      <c r="K32" s="2761"/>
      <c r="L32" s="2822"/>
      <c r="M32" s="2592"/>
      <c r="N32">
        <f t="shared" si="5"/>
        <v>0</v>
      </c>
      <c r="P32">
        <f t="shared" si="4"/>
        <v>0</v>
      </c>
      <c r="AB32">
        <f t="shared" si="6"/>
        <v>0</v>
      </c>
      <c r="AC32" t="e">
        <f t="shared" si="3"/>
        <v>#N/A</v>
      </c>
      <c r="AF32" s="3025">
        <v>1304</v>
      </c>
    </row>
    <row r="33" spans="1:32" hidden="1" x14ac:dyDescent="0.2">
      <c r="A33" s="3007"/>
      <c r="B33" s="3011"/>
      <c r="C33" s="3090"/>
      <c r="D33" s="3020"/>
      <c r="E33" s="3020"/>
      <c r="F33" s="3021"/>
      <c r="G33" s="2885"/>
      <c r="H33" s="5304"/>
      <c r="I33" s="5304"/>
      <c r="J33" s="2761" t="str">
        <f t="shared" si="0"/>
        <v/>
      </c>
      <c r="K33" s="2761"/>
      <c r="L33" s="2822"/>
      <c r="M33" s="2592"/>
      <c r="N33">
        <f t="shared" si="5"/>
        <v>0</v>
      </c>
      <c r="P33">
        <f t="shared" si="4"/>
        <v>0</v>
      </c>
      <c r="AB33">
        <f t="shared" si="6"/>
        <v>0</v>
      </c>
      <c r="AC33" t="e">
        <f t="shared" si="3"/>
        <v>#N/A</v>
      </c>
      <c r="AF33" s="3025">
        <v>1305</v>
      </c>
    </row>
    <row r="34" spans="1:32" hidden="1" x14ac:dyDescent="0.2">
      <c r="A34" s="3007"/>
      <c r="B34" s="3011"/>
      <c r="C34" s="3090"/>
      <c r="D34" s="3020"/>
      <c r="E34" s="3020"/>
      <c r="F34" s="3021"/>
      <c r="G34" s="2885"/>
      <c r="H34" s="5304"/>
      <c r="I34" s="5304"/>
      <c r="J34" s="2761" t="str">
        <f t="shared" si="0"/>
        <v/>
      </c>
      <c r="K34" s="2761"/>
      <c r="L34" s="2822"/>
      <c r="M34" s="2592"/>
      <c r="N34">
        <f t="shared" si="5"/>
        <v>0</v>
      </c>
      <c r="P34">
        <f t="shared" si="4"/>
        <v>0</v>
      </c>
      <c r="AB34">
        <f t="shared" si="6"/>
        <v>0</v>
      </c>
      <c r="AC34" t="e">
        <f t="shared" si="3"/>
        <v>#N/A</v>
      </c>
      <c r="AF34" s="3025">
        <v>1306</v>
      </c>
    </row>
    <row r="35" spans="1:32" hidden="1" x14ac:dyDescent="0.2">
      <c r="A35" s="3007"/>
      <c r="B35" s="3011"/>
      <c r="C35" s="3090"/>
      <c r="D35" s="3020"/>
      <c r="E35" s="3020"/>
      <c r="F35" s="3021"/>
      <c r="G35" s="2885"/>
      <c r="H35" s="5304"/>
      <c r="I35" s="5304"/>
      <c r="J35" s="2761" t="str">
        <f t="shared" si="0"/>
        <v/>
      </c>
      <c r="K35" s="2761"/>
      <c r="L35" s="2822"/>
      <c r="M35" s="2592"/>
      <c r="N35">
        <f t="shared" si="5"/>
        <v>0</v>
      </c>
      <c r="P35">
        <f t="shared" si="4"/>
        <v>0</v>
      </c>
      <c r="AB35">
        <f t="shared" si="6"/>
        <v>0</v>
      </c>
      <c r="AC35" t="e">
        <f t="shared" si="3"/>
        <v>#N/A</v>
      </c>
      <c r="AF35" s="3025">
        <v>1307</v>
      </c>
    </row>
    <row r="36" spans="1:32" hidden="1" x14ac:dyDescent="0.2">
      <c r="A36" s="3007"/>
      <c r="B36" s="3011"/>
      <c r="C36" s="3090"/>
      <c r="D36" s="3020"/>
      <c r="E36" s="3020"/>
      <c r="F36" s="3021"/>
      <c r="G36" s="2885"/>
      <c r="H36" s="5304"/>
      <c r="I36" s="5304"/>
      <c r="J36" s="2761" t="str">
        <f t="shared" si="0"/>
        <v/>
      </c>
      <c r="K36" s="2761"/>
      <c r="L36" s="2822"/>
      <c r="M36" s="2592"/>
      <c r="N36">
        <f t="shared" si="5"/>
        <v>0</v>
      </c>
      <c r="P36">
        <f t="shared" si="4"/>
        <v>0</v>
      </c>
      <c r="AB36">
        <f t="shared" si="6"/>
        <v>0</v>
      </c>
      <c r="AC36" t="e">
        <f t="shared" si="3"/>
        <v>#N/A</v>
      </c>
      <c r="AF36" s="3025">
        <v>1350</v>
      </c>
    </row>
    <row r="37" spans="1:32" hidden="1" x14ac:dyDescent="0.2">
      <c r="A37" s="3007"/>
      <c r="B37" s="3011"/>
      <c r="C37" s="3090"/>
      <c r="D37" s="3020"/>
      <c r="E37" s="3020"/>
      <c r="F37" s="3021"/>
      <c r="G37" s="2885"/>
      <c r="H37" s="5304"/>
      <c r="I37" s="5304"/>
      <c r="J37" s="2761" t="str">
        <f t="shared" si="0"/>
        <v/>
      </c>
      <c r="K37" s="2761"/>
      <c r="L37" s="2822"/>
      <c r="M37" s="2592"/>
      <c r="N37">
        <f t="shared" si="5"/>
        <v>0</v>
      </c>
      <c r="P37">
        <f t="shared" si="4"/>
        <v>0</v>
      </c>
      <c r="AB37">
        <f t="shared" si="6"/>
        <v>0</v>
      </c>
      <c r="AC37" t="e">
        <f t="shared" si="3"/>
        <v>#N/A</v>
      </c>
      <c r="AF37" s="3025">
        <v>1351</v>
      </c>
    </row>
    <row r="38" spans="1:32" hidden="1" x14ac:dyDescent="0.2">
      <c r="A38" s="3007"/>
      <c r="B38" s="3011"/>
      <c r="C38" s="3090"/>
      <c r="D38" s="3020"/>
      <c r="E38" s="3020"/>
      <c r="F38" s="3021"/>
      <c r="G38" s="2885"/>
      <c r="H38" s="5304"/>
      <c r="I38" s="5304"/>
      <c r="J38" s="2761" t="str">
        <f t="shared" si="0"/>
        <v/>
      </c>
      <c r="K38" s="2761"/>
      <c r="L38" s="2822"/>
      <c r="M38" s="2592"/>
      <c r="N38">
        <f t="shared" si="5"/>
        <v>0</v>
      </c>
      <c r="P38">
        <f t="shared" si="4"/>
        <v>0</v>
      </c>
      <c r="AB38">
        <f t="shared" si="6"/>
        <v>0</v>
      </c>
      <c r="AC38" t="e">
        <f t="shared" si="3"/>
        <v>#N/A</v>
      </c>
      <c r="AF38" s="3025">
        <v>1352</v>
      </c>
    </row>
    <row r="39" spans="1:32" hidden="1" x14ac:dyDescent="0.2">
      <c r="A39" s="3007"/>
      <c r="B39" s="3011"/>
      <c r="C39" s="3090"/>
      <c r="D39" s="3020"/>
      <c r="E39" s="3020"/>
      <c r="F39" s="3021"/>
      <c r="G39" s="2885"/>
      <c r="H39" s="5304"/>
      <c r="I39" s="5304"/>
      <c r="J39" s="2761" t="str">
        <f t="shared" si="0"/>
        <v/>
      </c>
      <c r="K39" s="2761"/>
      <c r="L39" s="2822"/>
      <c r="M39" s="2592"/>
      <c r="N39">
        <f t="shared" si="5"/>
        <v>0</v>
      </c>
      <c r="P39">
        <f t="shared" si="4"/>
        <v>0</v>
      </c>
      <c r="AB39">
        <f t="shared" si="6"/>
        <v>0</v>
      </c>
      <c r="AC39" t="e">
        <f t="shared" ref="AC39:AC70" si="7">VLOOKUP(F39,$AF$5:$AF$484,1,FALSE)</f>
      </c>
      <c r="AF39" s="3025">
        <v>1353</v>
      </c>
    </row>
    <row r="40" spans="1:32" hidden="1" x14ac:dyDescent="0.2">
      <c r="A40" s="3007"/>
      <c r="B40" s="3011"/>
      <c r="C40" s="3090"/>
      <c r="D40" s="3020"/>
      <c r="E40" s="3020"/>
      <c r="F40" s="3021"/>
      <c r="G40" s="2885"/>
      <c r="H40" s="5304"/>
      <c r="I40" s="5304"/>
      <c r="J40" s="2761" t="str">
        <f t="shared" si="0"/>
        <v/>
      </c>
      <c r="K40" s="2761"/>
      <c r="L40" s="2822"/>
      <c r="M40" s="2592"/>
      <c r="N40">
        <f t="shared" si="5"/>
        <v>0</v>
      </c>
      <c r="P40">
        <f t="shared" si="4"/>
        <v>0</v>
      </c>
      <c r="AB40">
        <f t="shared" si="6"/>
        <v>0</v>
      </c>
      <c r="AC40" t="e">
        <f t="shared" si="7"/>
        <v>#N/A</v>
      </c>
      <c r="AF40" s="3025">
        <v>1354</v>
      </c>
    </row>
    <row r="41" spans="1:32" hidden="1" x14ac:dyDescent="0.2">
      <c r="A41" s="3007"/>
      <c r="B41" s="3011"/>
      <c r="C41" s="3090"/>
      <c r="D41" s="3020"/>
      <c r="E41" s="3020"/>
      <c r="F41" s="3021"/>
      <c r="G41" s="2885"/>
      <c r="H41" s="5304"/>
      <c r="I41" s="5304"/>
      <c r="J41" s="2761" t="str">
        <f t="shared" si="0"/>
        <v/>
      </c>
      <c r="K41" s="2761"/>
      <c r="L41" s="2822"/>
      <c r="M41" s="2592"/>
      <c r="N41">
        <f t="shared" si="5"/>
        <v>0</v>
      </c>
      <c r="P41">
        <f t="shared" si="4"/>
        <v>0</v>
      </c>
      <c r="AB41">
        <f t="shared" si="6"/>
        <v>0</v>
      </c>
      <c r="AC41" t="e">
        <f t="shared" si="7"/>
        <v>#N/A</v>
      </c>
      <c r="AF41" s="3025">
        <v>1355</v>
      </c>
    </row>
    <row r="42" spans="1:32" hidden="1" x14ac:dyDescent="0.2">
      <c r="A42" s="3007"/>
      <c r="B42" s="3011"/>
      <c r="C42" s="3090"/>
      <c r="D42" s="3020"/>
      <c r="E42" s="3020"/>
      <c r="F42" s="3021"/>
      <c r="G42" s="2885"/>
      <c r="H42" s="5304"/>
      <c r="I42" s="5304"/>
      <c r="J42" s="2761" t="str">
        <f t="shared" si="0"/>
        <v/>
      </c>
      <c r="K42" s="2761"/>
      <c r="L42" s="2822"/>
      <c r="M42" s="2592"/>
      <c r="N42">
        <f t="shared" si="5"/>
        <v>0</v>
      </c>
      <c r="P42">
        <f t="shared" si="4"/>
        <v>0</v>
      </c>
      <c r="AB42">
        <f t="shared" si="6"/>
        <v>0</v>
      </c>
      <c r="AC42" t="e">
        <f t="shared" si="7"/>
        <v>#N/A</v>
      </c>
      <c r="AF42" s="3025">
        <v>1356</v>
      </c>
    </row>
    <row r="43" spans="1:32" hidden="1" x14ac:dyDescent="0.2">
      <c r="A43" s="3007"/>
      <c r="B43" s="3011"/>
      <c r="C43" s="3090"/>
      <c r="D43" s="3020"/>
      <c r="E43" s="3020"/>
      <c r="F43" s="3021"/>
      <c r="G43" s="2885"/>
      <c r="H43" s="5304"/>
      <c r="I43" s="5304"/>
      <c r="J43" s="2761" t="str">
        <f t="shared" si="0"/>
        <v/>
      </c>
      <c r="K43" s="2761"/>
      <c r="L43" s="2822"/>
      <c r="M43" s="2592"/>
      <c r="N43">
        <f t="shared" si="5"/>
        <v>0</v>
      </c>
      <c r="P43">
        <f t="shared" si="4"/>
        <v>0</v>
      </c>
      <c r="AB43">
        <f t="shared" si="6"/>
        <v>0</v>
      </c>
      <c r="AC43" t="e">
        <f t="shared" si="7"/>
        <v>#N/A</v>
      </c>
      <c r="AF43" s="3025">
        <v>1357</v>
      </c>
    </row>
    <row r="44" spans="1:32" hidden="1" x14ac:dyDescent="0.2">
      <c r="A44" s="3007"/>
      <c r="B44" s="3011"/>
      <c r="C44" s="3090"/>
      <c r="D44" s="3020"/>
      <c r="E44" s="3020"/>
      <c r="F44" s="3021"/>
      <c r="G44" s="2885"/>
      <c r="H44" s="5304"/>
      <c r="I44" s="5304"/>
      <c r="J44" s="2761" t="str">
        <f t="shared" si="0"/>
        <v/>
      </c>
      <c r="K44" s="2761"/>
      <c r="L44" s="2822"/>
      <c r="M44" s="2592"/>
      <c r="N44">
        <f t="shared" si="5"/>
        <v>0</v>
      </c>
      <c r="P44">
        <f t="shared" si="4"/>
        <v>0</v>
      </c>
      <c r="AB44">
        <f t="shared" si="6"/>
        <v>0</v>
      </c>
      <c r="AC44" t="e">
        <f t="shared" si="7"/>
        <v>#N/A</v>
      </c>
      <c r="AF44" s="3025">
        <v>1358</v>
      </c>
    </row>
    <row r="45" spans="1:32" hidden="1" x14ac:dyDescent="0.2">
      <c r="A45" s="3007"/>
      <c r="B45" s="3011"/>
      <c r="C45" s="3090"/>
      <c r="D45" s="3020"/>
      <c r="E45" s="3020"/>
      <c r="F45" s="3021"/>
      <c r="G45" s="2885"/>
      <c r="H45" s="5304"/>
      <c r="I45" s="5304"/>
      <c r="J45" s="2761" t="str">
        <f t="shared" si="0"/>
        <v/>
      </c>
      <c r="K45" s="2761"/>
      <c r="L45" s="2822"/>
      <c r="M45" s="2592"/>
      <c r="N45">
        <f t="shared" si="5"/>
        <v>0</v>
      </c>
      <c r="P45">
        <f t="shared" si="4"/>
        <v>0</v>
      </c>
      <c r="AB45">
        <f t="shared" si="6"/>
        <v>0</v>
      </c>
      <c r="AC45" t="e">
        <f t="shared" si="7"/>
        <v>#N/A</v>
      </c>
      <c r="AF45" s="3025">
        <v>1359</v>
      </c>
    </row>
    <row r="46" spans="1:32" hidden="1" x14ac:dyDescent="0.2">
      <c r="A46" s="3007"/>
      <c r="B46" s="3011"/>
      <c r="C46" s="3090"/>
      <c r="D46" s="3020"/>
      <c r="E46" s="3020"/>
      <c r="F46" s="3021"/>
      <c r="G46" s="2885"/>
      <c r="H46" s="5304"/>
      <c r="I46" s="5304"/>
      <c r="J46" s="2761" t="str">
        <f t="shared" si="0"/>
        <v/>
      </c>
      <c r="K46" s="2761"/>
      <c r="L46" s="2822"/>
      <c r="M46" s="2592"/>
      <c r="N46">
        <f t="shared" si="5"/>
        <v>0</v>
      </c>
      <c r="P46">
        <f t="shared" si="4"/>
        <v>0</v>
      </c>
      <c r="AB46">
        <f t="shared" si="6"/>
        <v>0</v>
      </c>
      <c r="AC46" t="e">
        <f t="shared" si="7"/>
        <v>#N/A</v>
      </c>
      <c r="AF46" s="3025">
        <v>1360</v>
      </c>
    </row>
    <row r="47" spans="1:32" hidden="1" x14ac:dyDescent="0.2">
      <c r="A47" s="3007"/>
      <c r="B47" s="3011"/>
      <c r="C47" s="3090"/>
      <c r="D47" s="3020"/>
      <c r="E47" s="3020"/>
      <c r="F47" s="3021"/>
      <c r="G47" s="2885"/>
      <c r="H47" s="5304"/>
      <c r="I47" s="5304"/>
      <c r="J47" s="2761" t="str">
        <f t="shared" si="0"/>
        <v/>
      </c>
      <c r="K47" s="2761"/>
      <c r="L47" s="2822"/>
      <c r="M47" s="2592"/>
      <c r="N47">
        <f t="shared" si="5"/>
        <v>0</v>
      </c>
      <c r="P47">
        <f t="shared" si="4"/>
        <v>0</v>
      </c>
      <c r="AB47">
        <f t="shared" si="6"/>
        <v>0</v>
      </c>
      <c r="AC47" t="e">
        <f t="shared" si="7"/>
        <v>#N/A</v>
      </c>
      <c r="AF47" s="3025">
        <v>1361</v>
      </c>
    </row>
    <row r="48" spans="1:32" hidden="1" x14ac:dyDescent="0.2">
      <c r="A48" s="3007"/>
      <c r="B48" s="3011"/>
      <c r="C48" s="3090"/>
      <c r="D48" s="3020"/>
      <c r="E48" s="3020"/>
      <c r="F48" s="3021"/>
      <c r="G48" s="2885"/>
      <c r="H48" s="5304"/>
      <c r="I48" s="5304"/>
      <c r="J48" s="2761" t="str">
        <f t="shared" si="0"/>
        <v/>
      </c>
      <c r="K48" s="2761"/>
      <c r="L48" s="2822"/>
      <c r="M48" s="2592"/>
      <c r="N48">
        <f t="shared" si="5"/>
        <v>0</v>
      </c>
      <c r="P48">
        <f t="shared" si="4"/>
        <v>0</v>
      </c>
      <c r="AB48">
        <f t="shared" si="6"/>
        <v>0</v>
      </c>
      <c r="AC48" t="e">
        <f t="shared" si="7"/>
        <v>#N/A</v>
      </c>
      <c r="AF48" s="3025">
        <v>1362</v>
      </c>
    </row>
    <row r="49" spans="1:32" hidden="1" x14ac:dyDescent="0.2">
      <c r="A49" s="3007"/>
      <c r="B49" s="3011"/>
      <c r="C49" s="3090"/>
      <c r="D49" s="3020"/>
      <c r="E49" s="3020"/>
      <c r="F49" s="3021"/>
      <c r="G49" s="2885"/>
      <c r="H49" s="5304"/>
      <c r="I49" s="5304"/>
      <c r="J49" s="2761" t="str">
        <f t="shared" si="0"/>
        <v/>
      </c>
      <c r="K49" s="2761"/>
      <c r="L49" s="2822"/>
      <c r="M49" s="2592"/>
      <c r="N49">
        <f t="shared" si="5"/>
        <v>0</v>
      </c>
      <c r="P49">
        <f t="shared" si="4"/>
        <v>0</v>
      </c>
      <c r="AB49">
        <f t="shared" si="6"/>
        <v>0</v>
      </c>
      <c r="AC49" t="e">
        <f t="shared" si="7"/>
        <v>#N/A</v>
      </c>
      <c r="AF49" s="3025">
        <v>1363</v>
      </c>
    </row>
    <row r="50" spans="1:32" hidden="1" x14ac:dyDescent="0.2">
      <c r="A50" s="3007"/>
      <c r="B50" s="3011"/>
      <c r="C50" s="3090"/>
      <c r="D50" s="3020"/>
      <c r="E50" s="3020"/>
      <c r="F50" s="3021"/>
      <c r="G50" s="2885"/>
      <c r="H50" s="5304"/>
      <c r="I50" s="5304"/>
      <c r="J50" s="2761" t="str">
        <f t="shared" si="0"/>
        <v/>
      </c>
      <c r="K50" s="2761"/>
      <c r="L50" s="2822"/>
      <c r="M50" s="2592"/>
      <c r="N50">
        <f t="shared" si="5"/>
        <v>0</v>
      </c>
      <c r="P50">
        <f t="shared" si="4"/>
        <v>0</v>
      </c>
      <c r="AB50">
        <f t="shared" si="6"/>
        <v>0</v>
      </c>
      <c r="AC50" t="e">
        <f t="shared" si="7"/>
        <v>#N/A</v>
      </c>
      <c r="AF50" s="3025">
        <v>1364</v>
      </c>
    </row>
    <row r="51" spans="1:32" hidden="1" x14ac:dyDescent="0.2">
      <c r="A51" s="3007"/>
      <c r="B51" s="3011"/>
      <c r="C51" s="3090"/>
      <c r="D51" s="3020"/>
      <c r="E51" s="3020"/>
      <c r="F51" s="3021"/>
      <c r="G51" s="2885"/>
      <c r="H51" s="5304"/>
      <c r="I51" s="5304"/>
      <c r="J51" s="2761" t="str">
        <f t="shared" si="0"/>
        <v/>
      </c>
      <c r="K51" s="2761"/>
      <c r="L51" s="2822"/>
      <c r="M51" s="2592"/>
      <c r="N51">
        <f t="shared" si="5"/>
        <v>0</v>
      </c>
      <c r="P51">
        <f t="shared" si="4"/>
        <v>0</v>
      </c>
      <c r="AB51">
        <f t="shared" si="6"/>
        <v>0</v>
      </c>
      <c r="AC51" t="e">
        <f t="shared" si="7"/>
        <v>#N/A</v>
      </c>
      <c r="AF51" s="3025">
        <v>1365</v>
      </c>
    </row>
    <row r="52" spans="1:32" hidden="1" x14ac:dyDescent="0.2">
      <c r="A52" s="3007"/>
      <c r="B52" s="3011"/>
      <c r="C52" s="3090"/>
      <c r="D52" s="3020"/>
      <c r="E52" s="3020"/>
      <c r="F52" s="3021"/>
      <c r="G52" s="2885"/>
      <c r="H52" s="5304"/>
      <c r="I52" s="5304"/>
      <c r="J52" s="2761" t="str">
        <f t="shared" si="0"/>
        <v/>
      </c>
      <c r="K52" s="2761"/>
      <c r="L52" s="2822"/>
      <c r="M52" s="2592"/>
      <c r="N52">
        <f t="shared" si="5"/>
        <v>0</v>
      </c>
      <c r="P52">
        <f t="shared" si="4"/>
        <v>0</v>
      </c>
      <c r="AB52">
        <f t="shared" si="6"/>
        <v>0</v>
      </c>
      <c r="AC52" t="e">
        <f t="shared" si="7"/>
        <v>#N/A</v>
      </c>
      <c r="AF52" s="3025">
        <v>1366</v>
      </c>
    </row>
    <row r="53" spans="1:32" hidden="1" x14ac:dyDescent="0.2">
      <c r="A53" s="3007"/>
      <c r="B53" s="3011"/>
      <c r="C53" s="3090"/>
      <c r="D53" s="3020"/>
      <c r="E53" s="3020"/>
      <c r="F53" s="3021"/>
      <c r="G53" s="2885"/>
      <c r="H53" s="5304"/>
      <c r="I53" s="5304"/>
      <c r="J53" s="2761" t="str">
        <f t="shared" si="0"/>
        <v/>
      </c>
      <c r="K53" s="2761"/>
      <c r="L53" s="2822"/>
      <c r="M53" s="2592"/>
      <c r="N53">
        <f t="shared" si="5"/>
        <v>0</v>
      </c>
      <c r="P53">
        <f t="shared" si="4"/>
        <v>0</v>
      </c>
      <c r="AB53">
        <f t="shared" si="6"/>
        <v>0</v>
      </c>
      <c r="AC53" t="e">
        <f t="shared" si="7"/>
        <v>#N/A</v>
      </c>
      <c r="AF53" s="3025">
        <v>1367</v>
      </c>
    </row>
    <row r="54" spans="1:32" hidden="1" x14ac:dyDescent="0.2">
      <c r="A54" s="3007"/>
      <c r="B54" s="3011"/>
      <c r="C54" s="3090"/>
      <c r="D54" s="3020"/>
      <c r="E54" s="3020"/>
      <c r="F54" s="3021"/>
      <c r="G54" s="2885"/>
      <c r="H54" s="5304"/>
      <c r="I54" s="5304"/>
      <c r="J54" s="2761" t="str">
        <f t="shared" si="0"/>
        <v/>
      </c>
      <c r="K54" s="2761"/>
      <c r="L54" s="2822"/>
      <c r="M54" s="2592"/>
      <c r="N54">
        <f t="shared" si="5"/>
        <v>0</v>
      </c>
      <c r="P54">
        <f t="shared" si="4"/>
        <v>0</v>
      </c>
      <c r="AB54">
        <f t="shared" si="6"/>
        <v>0</v>
      </c>
      <c r="AC54" t="e">
        <f t="shared" si="7"/>
        <v>#N/A</v>
      </c>
      <c r="AF54" s="3025">
        <v>1368</v>
      </c>
    </row>
    <row r="55" spans="1:32" hidden="1" x14ac:dyDescent="0.2">
      <c r="A55" s="3007"/>
      <c r="B55" s="3011"/>
      <c r="C55" s="3090"/>
      <c r="D55" s="3020"/>
      <c r="E55" s="3020"/>
      <c r="F55" s="3021"/>
      <c r="G55" s="2885"/>
      <c r="H55" s="5304"/>
      <c r="I55" s="5304"/>
      <c r="J55" s="2761" t="str">
        <f t="shared" si="0"/>
        <v/>
      </c>
      <c r="K55" s="2761"/>
      <c r="L55" s="2822"/>
      <c r="M55" s="2592"/>
      <c r="N55">
        <f t="shared" si="5"/>
        <v>0</v>
      </c>
      <c r="P55">
        <f t="shared" si="4"/>
        <v>0</v>
      </c>
      <c r="AB55">
        <f t="shared" si="6"/>
        <v>0</v>
      </c>
      <c r="AC55" t="e">
        <f t="shared" si="7"/>
        <v>#N/A</v>
      </c>
      <c r="AF55" s="3025">
        <v>1369</v>
      </c>
    </row>
    <row r="56" spans="1:32" hidden="1" x14ac:dyDescent="0.2">
      <c r="A56" s="3007"/>
      <c r="B56" s="3011"/>
      <c r="C56" s="3090"/>
      <c r="D56" s="3020"/>
      <c r="E56" s="3020"/>
      <c r="F56" s="3021"/>
      <c r="G56" s="2885"/>
      <c r="H56" s="5304"/>
      <c r="I56" s="5304"/>
      <c r="J56" s="2761" t="str">
        <f t="shared" si="0"/>
        <v/>
      </c>
      <c r="K56" s="2761"/>
      <c r="L56" s="2822"/>
      <c r="M56" s="2592"/>
      <c r="N56">
        <f t="shared" si="5"/>
        <v>0</v>
      </c>
      <c r="P56">
        <f t="shared" si="4"/>
        <v>0</v>
      </c>
      <c r="AB56">
        <f t="shared" si="6"/>
        <v>0</v>
      </c>
      <c r="AC56" t="e">
        <f t="shared" si="7"/>
        <v>#N/A</v>
      </c>
      <c r="AF56" s="3025">
        <v>1370</v>
      </c>
    </row>
    <row r="57" spans="1:32" hidden="1" x14ac:dyDescent="0.2">
      <c r="A57" s="3007"/>
      <c r="B57" s="3011"/>
      <c r="C57" s="3090"/>
      <c r="D57" s="3020"/>
      <c r="E57" s="3020"/>
      <c r="F57" s="3021"/>
      <c r="G57" s="2885"/>
      <c r="H57" s="5304"/>
      <c r="I57" s="5304"/>
      <c r="J57" s="2761" t="str">
        <f t="shared" si="0"/>
        <v/>
      </c>
      <c r="K57" s="2761"/>
      <c r="L57" s="2822"/>
      <c r="M57" s="2592"/>
      <c r="N57">
        <f t="shared" si="5"/>
        <v>0</v>
      </c>
      <c r="P57">
        <f t="shared" si="4"/>
        <v>0</v>
      </c>
      <c r="AB57">
        <f t="shared" si="6"/>
        <v>0</v>
      </c>
      <c r="AC57" t="e">
        <f t="shared" si="7"/>
        <v>#N/A</v>
      </c>
      <c r="AF57" s="3025">
        <v>1371</v>
      </c>
    </row>
    <row r="58" spans="1:32" hidden="1" x14ac:dyDescent="0.2">
      <c r="A58" s="3007"/>
      <c r="B58" s="3011"/>
      <c r="C58" s="3090"/>
      <c r="D58" s="3020"/>
      <c r="E58" s="3020"/>
      <c r="F58" s="3021"/>
      <c r="G58" s="2885"/>
      <c r="H58" s="5304"/>
      <c r="I58" s="5304"/>
      <c r="J58" s="2761" t="str">
        <f t="shared" si="0"/>
        <v/>
      </c>
      <c r="K58" s="2761"/>
      <c r="L58" s="2822"/>
      <c r="M58" s="2592"/>
      <c r="N58">
        <f t="shared" si="5"/>
        <v>0</v>
      </c>
      <c r="P58">
        <f t="shared" si="4"/>
        <v>0</v>
      </c>
      <c r="AB58">
        <f t="shared" si="6"/>
        <v>0</v>
      </c>
      <c r="AC58" t="e">
        <f t="shared" si="7"/>
        <v>#N/A</v>
      </c>
      <c r="AF58" s="3025">
        <v>1372</v>
      </c>
    </row>
    <row r="59" spans="1:32" hidden="1" x14ac:dyDescent="0.2">
      <c r="A59" s="3007"/>
      <c r="B59" s="3011"/>
      <c r="C59" s="3090"/>
      <c r="D59" s="3020"/>
      <c r="E59" s="3020"/>
      <c r="F59" s="3021"/>
      <c r="G59" s="2885"/>
      <c r="H59" s="5304"/>
      <c r="I59" s="5304"/>
      <c r="J59" s="2761" t="str">
        <f t="shared" si="0"/>
        <v/>
      </c>
      <c r="K59" s="2761"/>
      <c r="L59" s="2822"/>
      <c r="M59" s="2592"/>
      <c r="N59">
        <f t="shared" si="5"/>
        <v>0</v>
      </c>
      <c r="P59">
        <f t="shared" si="4"/>
        <v>0</v>
      </c>
      <c r="AB59">
        <f t="shared" si="6"/>
        <v>0</v>
      </c>
      <c r="AC59" t="e">
        <f t="shared" si="7"/>
        <v>#N/A</v>
      </c>
      <c r="AF59" s="3025">
        <v>1373</v>
      </c>
    </row>
    <row r="60" spans="1:32" hidden="1" x14ac:dyDescent="0.2">
      <c r="A60" s="3007"/>
      <c r="B60" s="3011"/>
      <c r="C60" s="3090"/>
      <c r="D60" s="3020"/>
      <c r="E60" s="3020"/>
      <c r="F60" s="3021"/>
      <c r="G60" s="2885"/>
      <c r="H60" s="5304"/>
      <c r="I60" s="5304"/>
      <c r="J60" s="2761" t="str">
        <f t="shared" si="0"/>
        <v/>
      </c>
      <c r="K60" s="2761"/>
      <c r="L60" s="2822"/>
      <c r="M60" s="2592"/>
      <c r="N60">
        <f t="shared" si="5"/>
        <v>0</v>
      </c>
      <c r="P60">
        <f t="shared" si="4"/>
        <v>0</v>
      </c>
      <c r="AB60">
        <f t="shared" si="6"/>
        <v>0</v>
      </c>
      <c r="AC60" t="e">
        <f t="shared" si="7"/>
        <v>#N/A</v>
      </c>
      <c r="AF60" s="3025">
        <v>1374</v>
      </c>
    </row>
    <row r="61" spans="1:32" hidden="1" x14ac:dyDescent="0.2">
      <c r="A61" s="3007"/>
      <c r="B61" s="3011"/>
      <c r="C61" s="3090"/>
      <c r="D61" s="3020"/>
      <c r="E61" s="3020"/>
      <c r="F61" s="3021"/>
      <c r="G61" s="2885"/>
      <c r="H61" s="5304"/>
      <c r="I61" s="5304"/>
      <c r="J61" s="2761" t="str">
        <f t="shared" si="0"/>
        <v/>
      </c>
      <c r="K61" s="2761"/>
      <c r="L61" s="2822"/>
      <c r="M61" s="2592"/>
      <c r="N61">
        <f t="shared" si="5"/>
        <v>0</v>
      </c>
      <c r="P61">
        <f t="shared" si="4"/>
        <v>0</v>
      </c>
      <c r="AB61">
        <f t="shared" si="6"/>
        <v>0</v>
      </c>
      <c r="AC61" t="e">
        <f t="shared" si="7"/>
        <v>#N/A</v>
      </c>
      <c r="AF61" s="3025">
        <v>1375</v>
      </c>
    </row>
    <row r="62" spans="1:32" hidden="1" x14ac:dyDescent="0.2">
      <c r="A62" s="3007"/>
      <c r="B62" s="3011"/>
      <c r="C62" s="3090"/>
      <c r="D62" s="3020"/>
      <c r="E62" s="3020"/>
      <c r="F62" s="3021"/>
      <c r="G62" s="2885"/>
      <c r="H62" s="5304"/>
      <c r="I62" s="5304"/>
      <c r="J62" s="2761" t="str">
        <f t="shared" si="0"/>
        <v/>
      </c>
      <c r="K62" s="2761"/>
      <c r="L62" s="2822"/>
      <c r="M62" s="2592"/>
      <c r="N62">
        <f t="shared" si="5"/>
        <v>0</v>
      </c>
      <c r="P62">
        <f t="shared" si="4"/>
        <v>0</v>
      </c>
      <c r="AB62">
        <f t="shared" si="6"/>
        <v>0</v>
      </c>
      <c r="AC62" t="e">
        <f t="shared" si="7"/>
        <v>#N/A</v>
      </c>
      <c r="AF62" s="3025">
        <v>1376</v>
      </c>
    </row>
    <row r="63" spans="1:32" hidden="1" x14ac:dyDescent="0.2">
      <c r="A63" s="3007"/>
      <c r="B63" s="3011"/>
      <c r="C63" s="3090"/>
      <c r="D63" s="3020"/>
      <c r="E63" s="3020"/>
      <c r="F63" s="3021"/>
      <c r="G63" s="2885"/>
      <c r="H63" s="5304"/>
      <c r="I63" s="5304"/>
      <c r="J63" s="2761" t="str">
        <f t="shared" si="0"/>
        <v/>
      </c>
      <c r="K63" s="2761"/>
      <c r="L63" s="2822"/>
      <c r="M63" s="2592"/>
      <c r="N63">
        <f t="shared" si="5"/>
        <v>0</v>
      </c>
      <c r="P63">
        <f t="shared" si="4"/>
        <v>0</v>
      </c>
      <c r="AB63">
        <f t="shared" si="6"/>
        <v>0</v>
      </c>
      <c r="AC63" t="e">
        <f t="shared" si="7"/>
        <v>#N/A</v>
      </c>
      <c r="AF63" s="3025">
        <v>1377</v>
      </c>
    </row>
    <row r="64" spans="1:32" hidden="1" x14ac:dyDescent="0.2">
      <c r="A64" s="3007"/>
      <c r="B64" s="3011"/>
      <c r="C64" s="3090"/>
      <c r="D64" s="3020"/>
      <c r="E64" s="3020"/>
      <c r="F64" s="3021"/>
      <c r="G64" s="2885"/>
      <c r="H64" s="5304"/>
      <c r="I64" s="5304"/>
      <c r="J64" s="2761" t="str">
        <f t="shared" si="0"/>
        <v/>
      </c>
      <c r="K64" s="2761"/>
      <c r="L64" s="2822"/>
      <c r="M64" s="2592"/>
      <c r="N64">
        <f t="shared" si="5"/>
        <v>0</v>
      </c>
      <c r="P64">
        <f t="shared" si="4"/>
        <v>0</v>
      </c>
      <c r="AB64">
        <f t="shared" si="6"/>
        <v>0</v>
      </c>
      <c r="AC64" t="e">
        <f t="shared" si="7"/>
        <v>#N/A</v>
      </c>
      <c r="AF64" s="3025">
        <v>1378</v>
      </c>
    </row>
    <row r="65" spans="1:32" hidden="1" x14ac:dyDescent="0.2">
      <c r="A65" s="3007"/>
      <c r="B65" s="3011"/>
      <c r="C65" s="3090"/>
      <c r="D65" s="3020"/>
      <c r="E65" s="3020"/>
      <c r="F65" s="3021"/>
      <c r="G65" s="2885"/>
      <c r="H65" s="5304"/>
      <c r="I65" s="5304"/>
      <c r="J65" s="2761" t="str">
        <f t="shared" si="0"/>
        <v/>
      </c>
      <c r="K65" s="2761"/>
      <c r="L65" s="2822"/>
      <c r="M65" s="2592"/>
      <c r="N65">
        <f t="shared" si="5"/>
        <v>0</v>
      </c>
      <c r="P65">
        <f t="shared" si="4"/>
        <v>0</v>
      </c>
      <c r="AB65">
        <f t="shared" si="6"/>
        <v>0</v>
      </c>
      <c r="AC65" t="e">
        <f t="shared" si="7"/>
        <v>#N/A</v>
      </c>
      <c r="AF65" s="3025">
        <v>1379</v>
      </c>
    </row>
    <row r="66" spans="1:32" hidden="1" x14ac:dyDescent="0.2">
      <c r="A66" s="3007"/>
      <c r="B66" s="3011"/>
      <c r="C66" s="3090"/>
      <c r="D66" s="3020"/>
      <c r="E66" s="3020"/>
      <c r="F66" s="3021"/>
      <c r="G66" s="2885"/>
      <c r="H66" s="5304"/>
      <c r="I66" s="5304"/>
      <c r="J66" s="2761" t="str">
        <f t="shared" si="0"/>
        <v/>
      </c>
      <c r="K66" s="2761"/>
      <c r="L66" s="2822"/>
      <c r="M66" s="2592"/>
      <c r="N66">
        <f t="shared" si="5"/>
        <v>0</v>
      </c>
      <c r="P66">
        <f t="shared" si="4"/>
        <v>0</v>
      </c>
      <c r="AB66">
        <f t="shared" si="6"/>
        <v>0</v>
      </c>
      <c r="AC66" t="e">
        <f t="shared" si="7"/>
        <v>#N/A</v>
      </c>
      <c r="AF66" s="3025">
        <v>1380</v>
      </c>
    </row>
    <row r="67" spans="1:32" hidden="1" x14ac:dyDescent="0.2">
      <c r="A67" s="3007"/>
      <c r="B67" s="3011"/>
      <c r="C67" s="3090"/>
      <c r="D67" s="3020"/>
      <c r="E67" s="3020"/>
      <c r="F67" s="3021"/>
      <c r="G67" s="2885"/>
      <c r="H67" s="5304"/>
      <c r="I67" s="5304"/>
      <c r="J67" s="2761" t="str">
        <f t="shared" si="0"/>
        <v/>
      </c>
      <c r="K67" s="2761"/>
      <c r="L67" s="2822"/>
      <c r="M67" s="2592"/>
      <c r="N67">
        <f t="shared" si="5"/>
        <v>0</v>
      </c>
      <c r="P67">
        <f t="shared" si="4"/>
        <v>0</v>
      </c>
      <c r="AB67">
        <f t="shared" si="6"/>
        <v>0</v>
      </c>
      <c r="AC67" t="e">
        <f t="shared" si="7"/>
        <v>#N/A</v>
      </c>
      <c r="AF67" s="3025">
        <v>1381</v>
      </c>
    </row>
    <row r="68" spans="1:32" hidden="1" x14ac:dyDescent="0.2">
      <c r="A68" s="3007"/>
      <c r="B68" s="3011"/>
      <c r="C68" s="3090"/>
      <c r="D68" s="3020"/>
      <c r="E68" s="3020"/>
      <c r="F68" s="3021"/>
      <c r="G68" s="2885"/>
      <c r="H68" s="5304"/>
      <c r="I68" s="5304"/>
      <c r="J68" s="2761" t="str">
        <f t="shared" si="0"/>
        <v/>
      </c>
      <c r="K68" s="2761"/>
      <c r="L68" s="2822"/>
      <c r="M68" s="2592"/>
      <c r="N68">
        <f t="shared" si="5"/>
        <v>0</v>
      </c>
      <c r="P68">
        <f t="shared" si="4"/>
        <v>0</v>
      </c>
      <c r="AB68">
        <f t="shared" si="6"/>
        <v>0</v>
      </c>
      <c r="AC68" t="e">
        <f t="shared" si="7"/>
        <v>#N/A</v>
      </c>
      <c r="AF68" s="3025">
        <v>1382</v>
      </c>
    </row>
    <row r="69" spans="1:32" hidden="1" x14ac:dyDescent="0.2">
      <c r="A69" s="3007"/>
      <c r="B69" s="3011"/>
      <c r="C69" s="3012"/>
      <c r="D69" s="3020"/>
      <c r="E69" s="3020"/>
      <c r="F69" s="3021"/>
      <c r="G69" s="2885"/>
      <c r="H69" s="5304"/>
      <c r="I69" s="5304"/>
      <c r="J69" s="2761" t="str">
        <f t="shared" si="0"/>
        <v/>
      </c>
      <c r="K69" s="2761"/>
      <c r="L69" s="2822"/>
      <c r="M69" s="2592"/>
      <c r="N69">
        <f t="shared" ref="N69:N76" si="8">IF(J69="",0,1)</f>
      </c>
      <c r="P69">
        <f t="shared" si="4"/>
        <v>0</v>
      </c>
      <c r="AB69">
        <f t="shared" ref="AB69:AB76" si="9">IFERROR(AC69,0)</f>
      </c>
      <c r="AC69" t="e">
        <f t="shared" si="7"/>
        <v>#N/A</v>
      </c>
      <c r="AF69" s="3025">
        <v>1383</v>
      </c>
    </row>
    <row r="70" spans="1:32" hidden="1" x14ac:dyDescent="0.2">
      <c r="A70" s="3007"/>
      <c r="B70" s="3011"/>
      <c r="C70" s="3012"/>
      <c r="D70" s="3020"/>
      <c r="E70" s="3020"/>
      <c r="F70" s="3021"/>
      <c r="G70" s="2885"/>
      <c r="H70" s="5304"/>
      <c r="I70" s="5304"/>
      <c r="J70" s="2761" t="str">
        <f t="shared" si="0"/>
        <v/>
      </c>
      <c r="K70" s="2761"/>
      <c r="L70" s="2822"/>
      <c r="M70" s="2592"/>
      <c r="N70">
        <f t="shared" si="8"/>
        <v>0</v>
      </c>
      <c r="P70">
        <f t="shared" si="4"/>
        <v>0</v>
      </c>
      <c r="AB70">
        <f t="shared" si="9"/>
        <v>0</v>
      </c>
      <c r="AC70" t="e">
        <f t="shared" si="7"/>
        <v>#N/A</v>
      </c>
      <c r="AF70" s="3025">
        <v>1384</v>
      </c>
    </row>
    <row r="71" spans="1:32" hidden="1" x14ac:dyDescent="0.2">
      <c r="A71" s="3007"/>
      <c r="B71" s="3011"/>
      <c r="C71" s="3012"/>
      <c r="D71" s="3020"/>
      <c r="E71" s="3020"/>
      <c r="F71" s="3021"/>
      <c r="G71" s="2885"/>
      <c r="H71" s="5304"/>
      <c r="I71" s="5304"/>
      <c r="J71" s="2761" t="str">
        <f t="shared" ref="J71:J76" si="10">IF(AND(P71=0,COUNTA(D71:G71)&gt;0),"Delete!",IF(AND(P71&gt;0,COUNTA(D71:G71)&lt;&gt;4),"All details required!",IF(AND(P71&gt;0,AB71=0),"Wrong TIFD code!","")))</f>
        <v/>
      </c>
      <c r="K71" s="2761"/>
      <c r="L71" s="2822"/>
      <c r="M71" s="2592"/>
      <c r="N71">
        <f t="shared" si="8"/>
        <v>0</v>
      </c>
      <c r="P71">
        <f t="shared" si="4"/>
        <v>0</v>
      </c>
      <c r="AB71">
        <f t="shared" si="9"/>
        <v>0</v>
      </c>
      <c r="AC71" t="e">
        <f t="shared" ref="AC71:AC76" si="11">VLOOKUP(F71,$AF$5:$AF$484,1,FALSE)</f>
      </c>
      <c r="AF71" s="3025">
        <v>1385</v>
      </c>
    </row>
    <row r="72" spans="1:32" hidden="1" x14ac:dyDescent="0.2">
      <c r="A72" s="3007"/>
      <c r="B72" s="3011"/>
      <c r="C72" s="3012"/>
      <c r="D72" s="3020"/>
      <c r="E72" s="3020"/>
      <c r="F72" s="3021"/>
      <c r="G72" s="2885"/>
      <c r="H72" s="5304"/>
      <c r="I72" s="5304"/>
      <c r="J72" s="2761" t="str">
        <f t="shared" si="10"/>
        <v/>
      </c>
      <c r="K72" s="2761"/>
      <c r="L72" s="2822"/>
      <c r="M72" s="2592"/>
      <c r="N72">
        <f t="shared" si="8"/>
        <v>0</v>
      </c>
      <c r="P72">
        <f t="shared" si="4"/>
        <v>0</v>
      </c>
      <c r="AB72">
        <f t="shared" si="9"/>
        <v>0</v>
      </c>
      <c r="AC72" t="e">
        <f t="shared" si="11"/>
        <v>#N/A</v>
      </c>
      <c r="AF72" s="3025">
        <v>1386</v>
      </c>
    </row>
    <row r="73" spans="1:32" hidden="1" x14ac:dyDescent="0.2">
      <c r="A73" s="3007"/>
      <c r="B73" s="3011"/>
      <c r="C73" s="3008"/>
      <c r="D73" s="3020"/>
      <c r="E73" s="3020"/>
      <c r="F73" s="3021"/>
      <c r="G73" s="2885"/>
      <c r="H73" s="5304"/>
      <c r="I73" s="5304"/>
      <c r="J73" s="2761" t="str">
        <f t="shared" si="10"/>
        <v/>
      </c>
      <c r="K73" s="2761"/>
      <c r="L73" s="2822"/>
      <c r="M73" s="2592"/>
      <c r="N73">
        <f t="shared" si="8"/>
        <v>0</v>
      </c>
      <c r="P73">
        <f t="shared" si="4"/>
        <v>0</v>
      </c>
      <c r="AB73">
        <f t="shared" si="9"/>
        <v>0</v>
      </c>
      <c r="AC73" t="e">
        <f t="shared" si="11"/>
        <v>#N/A</v>
      </c>
      <c r="AF73" s="3025">
        <v>1387</v>
      </c>
    </row>
    <row r="74" spans="1:32" hidden="1" x14ac:dyDescent="0.2">
      <c r="A74" s="3007"/>
      <c r="B74" s="3011"/>
      <c r="C74" s="3008"/>
      <c r="D74" s="3020"/>
      <c r="E74" s="3020"/>
      <c r="F74" s="3021"/>
      <c r="G74" s="2885"/>
      <c r="H74" s="5304"/>
      <c r="I74" s="5304"/>
      <c r="J74" s="2761" t="str">
        <f t="shared" si="10"/>
        <v/>
      </c>
      <c r="K74" s="2761"/>
      <c r="L74" s="2822"/>
      <c r="M74" s="2592"/>
      <c r="N74">
        <f t="shared" si="8"/>
        <v>0</v>
      </c>
      <c r="P74">
        <f t="shared" si="4"/>
        <v>0</v>
      </c>
      <c r="AB74">
        <f t="shared" si="9"/>
        <v>0</v>
      </c>
      <c r="AC74" t="e">
        <f t="shared" si="11"/>
        <v>#N/A</v>
      </c>
      <c r="AF74" s="3025">
        <v>1388</v>
      </c>
    </row>
    <row r="75" spans="1:32" hidden="1" x14ac:dyDescent="0.2">
      <c r="A75" s="3007"/>
      <c r="B75" s="2592"/>
      <c r="C75" s="3008"/>
      <c r="D75" s="3020"/>
      <c r="E75" s="3020"/>
      <c r="F75" s="3021"/>
      <c r="G75" s="2885"/>
      <c r="H75" s="5304"/>
      <c r="I75" s="5304"/>
      <c r="J75" s="2761" t="str">
        <f t="shared" si="10"/>
        <v/>
      </c>
      <c r="K75" s="2761"/>
      <c r="L75" s="2822"/>
      <c r="M75" s="2592"/>
      <c r="N75">
        <f t="shared" si="8"/>
        <v>0</v>
      </c>
      <c r="P75">
        <f t="shared" si="4"/>
        <v>0</v>
      </c>
      <c r="T75" t="s">
        <v>10230</v>
      </c>
      <c r="AB75">
        <f t="shared" si="9"/>
        <v>0</v>
      </c>
      <c r="AC75" t="e">
        <f t="shared" si="11"/>
        <v>#N/A</v>
      </c>
      <c r="AF75" s="3025">
        <v>1389</v>
      </c>
    </row>
    <row r="76" spans="1:32" hidden="1" x14ac:dyDescent="0.2">
      <c r="A76" s="3007"/>
      <c r="B76" s="2592"/>
      <c r="C76" s="3008"/>
      <c r="D76" s="3020"/>
      <c r="E76" s="3020"/>
      <c r="F76" s="3021"/>
      <c r="G76" s="2885"/>
      <c r="H76" s="5304"/>
      <c r="I76" s="5304"/>
      <c r="J76" s="2761" t="str">
        <f t="shared" si="10"/>
        <v/>
      </c>
      <c r="K76" s="2761"/>
      <c r="L76" s="2822"/>
      <c r="M76" s="2592"/>
      <c r="N76">
        <f t="shared" si="8"/>
        <v>0</v>
      </c>
      <c r="P76">
        <f t="shared" si="4"/>
        <v>0</v>
      </c>
      <c r="T76">
        <v>5112</v>
      </c>
      <c r="AB76">
        <f t="shared" si="9"/>
        <v>0</v>
      </c>
      <c r="AC76" t="e">
        <f t="shared" si="11"/>
        <v>#N/A</v>
      </c>
      <c r="AF76" s="3025">
        <v>1390</v>
      </c>
    </row>
    <row r="77" spans="1:32" x14ac:dyDescent="0.2">
      <c r="A77" s="3007"/>
      <c r="B77" s="2592"/>
      <c r="C77" s="3008"/>
      <c r="D77" s="2592"/>
      <c r="E77" s="2592"/>
      <c r="F77" s="2592"/>
      <c r="G77" s="2592"/>
      <c r="H77" s="2592"/>
      <c r="I77" s="2592"/>
      <c r="J77" s="2592"/>
      <c r="K77" s="2592"/>
      <c r="L77" s="2592"/>
      <c r="M77" s="2592"/>
      <c r="T77">
        <v>5100</v>
      </c>
      <c r="AF77" s="3025">
        <v>1391</v>
      </c>
    </row>
    <row r="78" spans="1:32" ht="15" customHeight="1" x14ac:dyDescent="0.2">
      <c r="A78" s="3007"/>
      <c r="B78" s="2592"/>
      <c r="C78" s="3008"/>
      <c r="D78" s="5310" t="s">
        <v>8857</v>
      </c>
      <c r="E78" s="5308" t="s">
        <v>8861</v>
      </c>
      <c r="F78" s="5310" t="s">
        <v>8862</v>
      </c>
      <c r="G78" s="5310" t="s">
        <v>8863</v>
      </c>
      <c r="H78" s="5310"/>
      <c r="I78" s="5310"/>
      <c r="J78" s="5306" t="s">
        <v>10238</v>
      </c>
      <c r="K78" s="5325" t="s">
        <v>10239</v>
      </c>
      <c r="L78" s="5308" t="s">
        <v>10306</v>
      </c>
      <c r="M78" s="2592"/>
      <c r="N78">
        <f>IF(C90="",0,1)</f>
      </c>
      <c r="T78">
        <v>5300</v>
      </c>
      <c r="AF78" s="3025">
        <v>1392</v>
      </c>
    </row>
    <row r="79" spans="1:32" ht="22.5" customHeight="1" x14ac:dyDescent="0.2">
      <c r="A79" s="3007"/>
      <c r="B79" s="3011"/>
      <c r="C79" s="3008"/>
      <c r="D79" s="5310"/>
      <c r="E79" s="5308"/>
      <c r="F79" s="5310"/>
      <c r="G79" s="2870" t="s">
        <v>4450</v>
      </c>
      <c r="H79" s="2870" t="s">
        <v>4693</v>
      </c>
      <c r="I79" s="3799" t="s">
        <v>8860</v>
      </c>
      <c r="J79" s="5307"/>
      <c r="K79" s="5326"/>
      <c r="L79" s="5308"/>
      <c r="M79" s="2592"/>
      <c r="N79">
        <f>IF(C92="",0,1)</f>
      </c>
      <c r="R79" s="3801" t="s">
        <v>10231</v>
      </c>
      <c r="S79" s="3803" t="s">
        <v>10232</v>
      </c>
      <c r="T79" s="3803" t="s">
        <v>10236</v>
      </c>
      <c r="U79" s="3803" t="s">
        <v>10240</v>
      </c>
      <c r="AF79" s="3025">
        <v>1393</v>
      </c>
    </row>
    <row r="80" spans="1:32" ht="14.65" customHeight="1" x14ac:dyDescent="0.2">
      <c r="A80" s="3039">
        <v>2</v>
      </c>
      <c r="B80" s="5305" t="s">
        <v>8881</v>
      </c>
      <c r="C80" s="3008"/>
      <c r="D80" s="3020"/>
      <c r="E80" s="3020"/>
      <c r="F80" s="3020"/>
      <c r="G80" s="3021"/>
      <c r="H80" s="2885"/>
      <c r="I80" s="3024"/>
      <c r="J80" s="3802"/>
      <c r="K80" s="3802"/>
      <c r="L80" s="3802"/>
      <c r="M80" s="2761" t="str">
        <f>IF(AND(P80=0,COUNTA(D80:I80)&gt;0),"Delete!",IF(AND(P80&gt;0,R80=0,COUNTA(D80:H80)&lt;&gt;5),"All details required!",IF(AND(K80="yes",$Y$1="n"),"Check pg 2 Q20",IF(AND(P80&gt;0,R80=1,OR(J80="",J80="yes"),K80="yes",COUNTA(D80:H80)+COUNTA(J80:L80)&lt;&gt;8),"All details required!",IF(AND(P80&gt;0,R80=1,OR(J80="",J80="yes",K80="no"),COUNTA(D80:H80)+COUNTA(J80:K80)&lt;&gt;7),"All details required!",IF(AND(P80&gt;0,R80=1,J80="no",COUNTA(D80:H80)+COUNTA(J80:L80)&lt;6),"All details required!",IF(AND(P80&gt;0,AB80=0),"Wrong TIFD code!",IF(OR(AND(OR(J80="no",J80=""),OR(K80&lt;&gt;"",L80&lt;&gt;"")),AND(P80&gt;0,J80="Yes",K80="no",L80&lt;&gt;""),S80=1),"Delete!",""))))))))</f>
        <v/>
      </c>
      <c r="N80">
        <f t="shared" ref="N80:N92" si="12">IF(M80="",0,1)</f>
      </c>
      <c r="O80">
        <f>COUNTA(D80:I150)</f>
      </c>
      <c r="P80">
        <f>C91</f>
      </c>
      <c r="R80">
        <f t="shared" ref="R80:R92" si="13">IF(OR($T$76=G80,$T$77=G80,$T$78=G80),1,0)</f>
      </c>
      <c r="S80">
        <f t="shared" ref="S80:S92" si="14">IF(AND(R80=0,J80&lt;&gt;""),1,0)</f>
      </c>
      <c r="T80">
        <f t="shared" ref="T80:T92" si="15">IF(OR(J80="",J80="no",S80=1),1,0)</f>
      </c>
      <c r="U80">
        <f t="shared" ref="U80:U92" si="16">IF(OR(J80="",J80="no",K80="",K80="no",S80=1),1,0)</f>
      </c>
      <c r="W80" s="1634" t="s">
        <v>10233</v>
      </c>
      <c r="AB80">
        <f t="shared" ref="AB80:AB92" si="17">IFERROR(AC80,0)</f>
      </c>
      <c r="AC80" t="e">
        <f t="shared" ref="AC80:AC111" si="18">VLOOKUP(G80,$AF$5:$AF$484,1,FALSE)</f>
      </c>
      <c r="AF80" s="3025">
        <v>1394</v>
      </c>
    </row>
    <row r="81" spans="1:32" x14ac:dyDescent="0.2">
      <c r="A81" s="3007"/>
      <c r="B81" s="5305"/>
      <c r="C81" s="3008"/>
      <c r="D81" s="3020"/>
      <c r="E81" s="3020"/>
      <c r="F81" s="3020"/>
      <c r="G81" s="3021"/>
      <c r="H81" s="2885"/>
      <c r="I81" s="3024"/>
      <c r="J81" s="3802"/>
      <c r="K81" s="3802"/>
      <c r="L81" s="3802"/>
      <c r="M81" s="2761" t="str">
        <f t="shared" ref="M81:M144" si="19">IF(AND(P81=0,COUNTA(D81:I81)&gt;0),"Delete!",IF(AND(P81&gt;0,R81=0,COUNTA(D81:H81)&lt;&gt;5),"All details required!",IF(AND(K81="yes",$Y$1="n"),"Check pg 2 Q20",IF(AND(P81&gt;0,R81=1,OR(J81="",J81="yes"),K81="yes",COUNTA(D81:H81)+COUNTA(J81:L81)&lt;&gt;8),"All details required!",IF(AND(P81&gt;0,R81=1,OR(J81="",J81="yes",K81="no"),COUNTA(D81:H81)+COUNTA(J81:K81)&lt;&gt;7),"All details required!",IF(AND(P81&gt;0,R81=1,J81="no",COUNTA(D81:H81)+COUNTA(J81:L81)&lt;6),"All details required!",IF(AND(P81&gt;0,AB81=0),"Wrong TIFD code!",IF(OR(AND(OR(J81="no",J81=""),OR(K81&lt;&gt;"",L81&lt;&gt;"")),AND(P81&gt;0,J81="Yes",K81="no",L81&lt;&gt;""),S81=1),"Delete!",""))))))))</f>
        <v/>
      </c>
      <c r="N81">
        <f t="shared" si="12"/>
        <v>0</v>
      </c>
      <c r="P81">
        <f t="shared" ref="P81:P150" si="20">IF(P80=0,0,P80-1)</f>
      </c>
      <c r="R81">
        <f t="shared" si="13"/>
        <v>0</v>
      </c>
      <c r="S81">
        <f t="shared" si="14"/>
        <v>0</v>
      </c>
      <c r="T81">
        <f t="shared" si="15"/>
        <v>1</v>
      </c>
      <c r="U81">
        <f t="shared" si="16"/>
        <v>1</v>
      </c>
      <c r="W81" s="1634" t="s">
        <v>10234</v>
      </c>
      <c r="AB81">
        <f t="shared" si="17"/>
        <v>0</v>
      </c>
      <c r="AC81" t="e">
        <f t="shared" si="18"/>
        <v>#N/A</v>
      </c>
      <c r="AF81" s="3025">
        <v>1395</v>
      </c>
    </row>
    <row r="82" spans="1:32" x14ac:dyDescent="0.2">
      <c r="A82" s="3007"/>
      <c r="B82" s="5305"/>
      <c r="C82" s="3008"/>
      <c r="D82" s="3020"/>
      <c r="E82" s="3020"/>
      <c r="F82" s="3020"/>
      <c r="G82" s="3021"/>
      <c r="H82" s="2885"/>
      <c r="I82" s="3024"/>
      <c r="J82" s="3802"/>
      <c r="K82" s="3802"/>
      <c r="L82" s="3802"/>
      <c r="M82" s="2761" t="str">
        <f t="shared" si="19"/>
        <v/>
      </c>
      <c r="N82">
        <f t="shared" si="12"/>
        <v>0</v>
      </c>
      <c r="P82">
        <f t="shared" si="20"/>
        <v>0</v>
      </c>
      <c r="R82">
        <f t="shared" si="13"/>
        <v>0</v>
      </c>
      <c r="S82">
        <f t="shared" si="14"/>
        <v>0</v>
      </c>
      <c r="T82">
        <f t="shared" si="15"/>
        <v>1</v>
      </c>
      <c r="U82">
        <f t="shared" si="16"/>
        <v>1</v>
      </c>
      <c r="W82" s="1634" t="s">
        <v>10235</v>
      </c>
      <c r="AB82">
        <f t="shared" si="17"/>
        <v>0</v>
      </c>
      <c r="AC82" t="e">
        <f t="shared" si="18"/>
        <v>#N/A</v>
      </c>
      <c r="AF82" s="3025">
        <v>1396</v>
      </c>
    </row>
    <row r="83" spans="1:32" x14ac:dyDescent="0.2">
      <c r="A83" s="3007"/>
      <c r="B83" s="5305"/>
      <c r="C83" s="3008"/>
      <c r="D83" s="3020"/>
      <c r="E83" s="3020"/>
      <c r="F83" s="3020"/>
      <c r="G83" s="3021"/>
      <c r="H83" s="2885"/>
      <c r="I83" s="3024"/>
      <c r="J83" s="3802"/>
      <c r="K83" s="3802"/>
      <c r="L83" s="3802"/>
      <c r="M83" s="2761" t="str">
        <f t="shared" si="19"/>
        <v/>
      </c>
      <c r="N83">
        <f t="shared" si="12"/>
        <v>0</v>
      </c>
      <c r="P83">
        <f t="shared" si="20"/>
        <v>0</v>
      </c>
      <c r="R83">
        <f t="shared" si="13"/>
        <v>0</v>
      </c>
      <c r="S83">
        <f t="shared" si="14"/>
        <v>0</v>
      </c>
      <c r="T83">
        <f t="shared" si="15"/>
        <v>1</v>
      </c>
      <c r="U83">
        <f t="shared" si="16"/>
        <v>1</v>
      </c>
      <c r="AB83">
        <f t="shared" si="17"/>
        <v>0</v>
      </c>
      <c r="AC83" t="e">
        <f t="shared" si="18"/>
        <v>#N/A</v>
      </c>
      <c r="AF83" s="3025">
        <v>1397</v>
      </c>
    </row>
    <row r="84" spans="1:32" x14ac:dyDescent="0.2">
      <c r="A84" s="3007"/>
      <c r="B84" s="5305"/>
      <c r="C84" s="3008"/>
      <c r="D84" s="3020"/>
      <c r="E84" s="3020"/>
      <c r="F84" s="3020"/>
      <c r="G84" s="3021"/>
      <c r="H84" s="2885"/>
      <c r="I84" s="3024"/>
      <c r="J84" s="3802"/>
      <c r="K84" s="3802"/>
      <c r="L84" s="3802"/>
      <c r="M84" s="2761" t="str">
        <f t="shared" si="19"/>
        <v/>
      </c>
      <c r="N84">
        <f t="shared" si="12"/>
        <v>0</v>
      </c>
      <c r="P84">
        <f t="shared" si="20"/>
        <v>0</v>
      </c>
      <c r="R84">
        <f t="shared" si="13"/>
        <v>0</v>
      </c>
      <c r="S84">
        <f t="shared" si="14"/>
        <v>0</v>
      </c>
      <c r="T84">
        <f t="shared" si="15"/>
        <v>1</v>
      </c>
      <c r="U84">
        <f t="shared" si="16"/>
        <v>1</v>
      </c>
      <c r="AB84">
        <f t="shared" si="17"/>
        <v>0</v>
      </c>
      <c r="AC84" t="e">
        <f t="shared" si="18"/>
        <v>#N/A</v>
      </c>
      <c r="AF84" s="3025">
        <v>1398</v>
      </c>
    </row>
    <row r="85" spans="1:32" x14ac:dyDescent="0.2">
      <c r="A85" s="3007"/>
      <c r="B85" s="5305"/>
      <c r="C85" s="3008"/>
      <c r="D85" s="3020"/>
      <c r="E85" s="3020"/>
      <c r="F85" s="3020"/>
      <c r="G85" s="3021"/>
      <c r="H85" s="2885"/>
      <c r="I85" s="3024"/>
      <c r="J85" s="3802"/>
      <c r="K85" s="3802"/>
      <c r="L85" s="3802"/>
      <c r="M85" s="2761" t="str">
        <f t="shared" si="19"/>
        <v/>
      </c>
      <c r="N85">
        <f t="shared" si="12"/>
        <v>0</v>
      </c>
      <c r="P85">
        <f t="shared" si="20"/>
        <v>0</v>
      </c>
      <c r="R85">
        <f t="shared" si="13"/>
        <v>0</v>
      </c>
      <c r="S85">
        <f t="shared" si="14"/>
        <v>0</v>
      </c>
      <c r="T85">
        <f t="shared" si="15"/>
        <v>1</v>
      </c>
      <c r="U85">
        <f t="shared" si="16"/>
        <v>1</v>
      </c>
      <c r="AB85">
        <f t="shared" si="17"/>
        <v>0</v>
      </c>
      <c r="AC85" t="e">
        <f t="shared" si="18"/>
        <v>#N/A</v>
      </c>
      <c r="AF85" s="3025">
        <v>1600</v>
      </c>
    </row>
    <row r="86" spans="1:32" x14ac:dyDescent="0.2">
      <c r="A86" s="3007"/>
      <c r="B86" s="5305"/>
      <c r="C86" s="3008"/>
      <c r="D86" s="3020"/>
      <c r="E86" s="3020"/>
      <c r="F86" s="3020"/>
      <c r="G86" s="3021"/>
      <c r="H86" s="2885"/>
      <c r="I86" s="3024"/>
      <c r="J86" s="3802"/>
      <c r="K86" s="3802"/>
      <c r="L86" s="3802"/>
      <c r="M86" s="2761" t="str">
        <f t="shared" si="19"/>
        <v/>
      </c>
      <c r="N86">
        <f t="shared" si="12"/>
        <v>0</v>
      </c>
      <c r="P86">
        <f t="shared" si="20"/>
        <v>0</v>
      </c>
      <c r="R86">
        <f t="shared" si="13"/>
        <v>0</v>
      </c>
      <c r="S86">
        <f t="shared" si="14"/>
        <v>0</v>
      </c>
      <c r="T86">
        <f t="shared" si="15"/>
        <v>1</v>
      </c>
      <c r="U86">
        <f t="shared" si="16"/>
        <v>1</v>
      </c>
      <c r="AB86">
        <f t="shared" si="17"/>
        <v>0</v>
      </c>
      <c r="AC86" t="e">
        <f t="shared" si="18"/>
        <v>#N/A</v>
      </c>
      <c r="AF86" s="3025">
        <v>1601</v>
      </c>
    </row>
    <row r="87" spans="1:32" x14ac:dyDescent="0.2">
      <c r="A87" s="3007"/>
      <c r="B87" s="5305"/>
      <c r="C87" s="3008"/>
      <c r="D87" s="3020"/>
      <c r="E87" s="3020"/>
      <c r="F87" s="3020"/>
      <c r="G87" s="3021"/>
      <c r="H87" s="2885"/>
      <c r="I87" s="3024"/>
      <c r="J87" s="3802"/>
      <c r="K87" s="3802"/>
      <c r="L87" s="3802"/>
      <c r="M87" s="2761" t="str">
        <f t="shared" si="19"/>
        <v/>
      </c>
      <c r="N87">
        <f t="shared" si="12"/>
        <v>0</v>
      </c>
      <c r="P87">
        <f t="shared" si="20"/>
        <v>0</v>
      </c>
      <c r="R87">
        <f t="shared" si="13"/>
        <v>0</v>
      </c>
      <c r="S87">
        <f t="shared" si="14"/>
        <v>0</v>
      </c>
      <c r="T87">
        <f t="shared" si="15"/>
        <v>1</v>
      </c>
      <c r="U87">
        <f t="shared" si="16"/>
        <v>1</v>
      </c>
      <c r="AB87">
        <f t="shared" si="17"/>
        <v>0</v>
      </c>
      <c r="AC87" t="e">
        <f t="shared" si="18"/>
        <v>#N/A</v>
      </c>
      <c r="AF87" s="3025">
        <v>1602</v>
      </c>
    </row>
    <row r="88" spans="1:32" x14ac:dyDescent="0.2">
      <c r="A88" s="3007"/>
      <c r="B88" s="5305"/>
      <c r="C88" s="3008"/>
      <c r="D88" s="3020"/>
      <c r="E88" s="3020"/>
      <c r="F88" s="3020"/>
      <c r="G88" s="3021"/>
      <c r="H88" s="2885"/>
      <c r="I88" s="3024"/>
      <c r="J88" s="3802"/>
      <c r="K88" s="3802"/>
      <c r="L88" s="3802"/>
      <c r="M88" s="2761" t="str">
        <f t="shared" si="19"/>
        <v/>
      </c>
      <c r="N88">
        <f t="shared" si="12"/>
        <v>0</v>
      </c>
      <c r="P88">
        <f t="shared" si="20"/>
        <v>0</v>
      </c>
      <c r="R88">
        <f t="shared" si="13"/>
        <v>0</v>
      </c>
      <c r="S88">
        <f t="shared" si="14"/>
        <v>0</v>
      </c>
      <c r="T88">
        <f t="shared" si="15"/>
        <v>1</v>
      </c>
      <c r="U88">
        <f t="shared" si="16"/>
        <v>1</v>
      </c>
      <c r="AB88">
        <f t="shared" si="17"/>
        <v>0</v>
      </c>
      <c r="AC88" t="e">
        <f t="shared" si="18"/>
        <v>#N/A</v>
      </c>
      <c r="AF88" s="3025">
        <v>1603</v>
      </c>
    </row>
    <row r="89" spans="1:32" x14ac:dyDescent="0.2">
      <c r="A89" s="3007"/>
      <c r="B89" s="5305"/>
      <c r="C89" s="3023"/>
      <c r="D89" s="3020"/>
      <c r="E89" s="3020"/>
      <c r="F89" s="3020"/>
      <c r="G89" s="3021"/>
      <c r="H89" s="2885"/>
      <c r="I89" s="3024"/>
      <c r="J89" s="3802"/>
      <c r="K89" s="3802"/>
      <c r="L89" s="3802"/>
      <c r="M89" s="2761" t="str">
        <f t="shared" si="19"/>
        <v/>
      </c>
      <c r="N89">
        <f t="shared" si="12"/>
        <v>0</v>
      </c>
      <c r="P89">
        <f t="shared" si="20"/>
        <v>0</v>
      </c>
      <c r="R89">
        <f t="shared" si="13"/>
        <v>0</v>
      </c>
      <c r="S89">
        <f t="shared" si="14"/>
        <v>0</v>
      </c>
      <c r="T89">
        <f t="shared" si="15"/>
        <v>1</v>
      </c>
      <c r="U89">
        <f t="shared" si="16"/>
        <v>1</v>
      </c>
      <c r="AB89">
        <f t="shared" si="17"/>
        <v>0</v>
      </c>
      <c r="AC89" t="e">
        <f t="shared" si="18"/>
        <v>#N/A</v>
      </c>
      <c r="AF89" s="3025">
        <v>1604</v>
      </c>
    </row>
    <row r="90" spans="1:32" x14ac:dyDescent="0.2">
      <c r="A90" s="3007"/>
      <c r="B90" s="3014"/>
      <c r="C90" s="3090" t="str">
        <f>IF($AC$1=0,"",IF(C89="",re,IF(AND(C89=n,C91&gt;0),"Transactions indicated below!","")))</f>
        <v/>
      </c>
      <c r="D90" s="3020"/>
      <c r="E90" s="3020"/>
      <c r="F90" s="3020"/>
      <c r="G90" s="3021"/>
      <c r="H90" s="2885"/>
      <c r="I90" s="3024"/>
      <c r="J90" s="3802"/>
      <c r="K90" s="3802"/>
      <c r="L90" s="3802"/>
      <c r="M90" s="2761" t="str">
        <f t="shared" si="19"/>
        <v/>
      </c>
      <c r="N90">
        <f t="shared" si="12"/>
        <v>0</v>
      </c>
      <c r="P90">
        <f t="shared" si="20"/>
        <v>0</v>
      </c>
      <c r="R90">
        <f t="shared" si="13"/>
        <v>0</v>
      </c>
      <c r="S90">
        <f t="shared" si="14"/>
        <v>0</v>
      </c>
      <c r="T90">
        <f t="shared" si="15"/>
        <v>1</v>
      </c>
      <c r="U90">
        <f t="shared" si="16"/>
        <v>1</v>
      </c>
      <c r="AB90">
        <f t="shared" si="17"/>
        <v>0</v>
      </c>
      <c r="AC90" t="e">
        <f t="shared" si="18"/>
        <v>#N/A</v>
      </c>
      <c r="AF90" s="3025">
        <v>1605</v>
      </c>
    </row>
    <row r="91" spans="1:32" ht="15" x14ac:dyDescent="0.2">
      <c r="A91" s="3007"/>
      <c r="B91" s="3015" t="s">
        <v>8869</v>
      </c>
      <c r="C91" s="3022"/>
      <c r="D91" s="3020"/>
      <c r="E91" s="3020"/>
      <c r="F91" s="3020"/>
      <c r="G91" s="3021"/>
      <c r="H91" s="2885"/>
      <c r="I91" s="3024"/>
      <c r="J91" s="3802"/>
      <c r="K91" s="3802"/>
      <c r="L91" s="3802"/>
      <c r="M91" s="2761" t="str">
        <f t="shared" si="19"/>
        <v/>
      </c>
      <c r="N91">
        <f t="shared" si="12"/>
        <v>0</v>
      </c>
      <c r="P91">
        <f t="shared" si="20"/>
        <v>0</v>
      </c>
      <c r="R91">
        <f t="shared" si="13"/>
        <v>0</v>
      </c>
      <c r="S91">
        <f t="shared" si="14"/>
        <v>0</v>
      </c>
      <c r="T91">
        <f t="shared" si="15"/>
        <v>1</v>
      </c>
      <c r="U91">
        <f t="shared" si="16"/>
        <v>1</v>
      </c>
      <c r="AB91">
        <f t="shared" si="17"/>
        <v>0</v>
      </c>
      <c r="AC91" t="e">
        <f t="shared" si="18"/>
        <v>#N/A</v>
      </c>
      <c r="AF91" s="3025">
        <v>1606</v>
      </c>
    </row>
    <row r="92" spans="1:32" x14ac:dyDescent="0.2">
      <c r="A92" s="3007"/>
      <c r="B92" s="3014"/>
      <c r="C92" s="3090" t="str">
        <f>IF($AC$1=0,"",IF(C91="",re,IF(AND(C89=n,O80&lt;&gt;0),"Check reply above!",IF(AND(C89=y,C91=0),"Check reply above!",""))))</f>
        <v/>
      </c>
      <c r="D92" s="3020"/>
      <c r="E92" s="3020"/>
      <c r="F92" s="3020"/>
      <c r="G92" s="3021"/>
      <c r="H92" s="2885"/>
      <c r="I92" s="3024"/>
      <c r="J92" s="3802"/>
      <c r="K92" s="3802"/>
      <c r="L92" s="3802"/>
      <c r="M92" s="2761" t="str">
        <f t="shared" si="19"/>
        <v/>
      </c>
      <c r="N92">
        <f t="shared" si="12"/>
        <v>0</v>
      </c>
      <c r="P92">
        <f t="shared" si="20"/>
        <v>0</v>
      </c>
      <c r="R92">
        <f t="shared" si="13"/>
        <v>0</v>
      </c>
      <c r="S92">
        <f t="shared" si="14"/>
        <v>0</v>
      </c>
      <c r="T92">
        <f t="shared" si="15"/>
        <v>1</v>
      </c>
      <c r="U92">
        <f t="shared" si="16"/>
        <v>1</v>
      </c>
      <c r="AB92">
        <f t="shared" si="17"/>
        <v>0</v>
      </c>
      <c r="AC92" t="e">
        <f t="shared" si="18"/>
        <v>#N/A</v>
      </c>
      <c r="AF92" s="3025">
        <v>1607</v>
      </c>
    </row>
    <row r="93" spans="1:32" x14ac:dyDescent="0.2">
      <c r="A93" s="3007"/>
      <c r="B93" s="3014"/>
      <c r="C93" s="3090"/>
      <c r="D93" s="3020"/>
      <c r="E93" s="3020"/>
      <c r="F93" s="3020"/>
      <c r="G93" s="3021"/>
      <c r="H93" s="2885"/>
      <c r="I93" s="3024"/>
      <c r="J93" s="3802"/>
      <c r="K93" s="3802"/>
      <c r="L93" s="3802"/>
      <c r="M93" s="2761" t="str">
        <f t="shared" si="19"/>
        <v/>
      </c>
      <c r="N93">
        <f t="shared" ref="N93:N144" si="21">IF(M93="",0,1)</f>
      </c>
      <c r="P93">
        <f t="shared" si="20"/>
        <v>0</v>
      </c>
      <c r="R93">
        <f t="shared" ref="R93:R144" si="22">IF(OR($T$76=G93,$T$77=G93,$T$78=G93),1,0)</f>
      </c>
      <c r="S93">
        <f t="shared" ref="S93:S144" si="23">IF(AND(R93=0,J93&lt;&gt;""),1,0)</f>
      </c>
      <c r="T93">
        <f t="shared" ref="T93:T144" si="24">IF(OR(J93="",J93="no",S93=1),1,0)</f>
      </c>
      <c r="U93">
        <f t="shared" ref="U93:U144" si="25">IF(OR(J93="",J93="no",K93="",K93="no",S93=1),1,0)</f>
      </c>
      <c r="AB93">
        <f t="shared" ref="AB93:AB144" si="26">IFERROR(AC93,0)</f>
      </c>
      <c r="AC93" t="e">
        <f t="shared" si="18"/>
        <v>#N/A</v>
      </c>
      <c r="AF93" s="3025">
        <v>1608</v>
      </c>
    </row>
    <row r="94" spans="1:32" x14ac:dyDescent="0.2">
      <c r="A94" s="3007"/>
      <c r="B94" s="3014"/>
      <c r="C94" s="3090"/>
      <c r="D94" s="3020"/>
      <c r="E94" s="3020"/>
      <c r="F94" s="3020"/>
      <c r="G94" s="3021"/>
      <c r="H94" s="2885"/>
      <c r="I94" s="3024"/>
      <c r="J94" s="3802"/>
      <c r="K94" s="3802"/>
      <c r="L94" s="3802"/>
      <c r="M94" s="2761" t="str">
        <f t="shared" si="19"/>
        <v/>
      </c>
      <c r="N94">
        <f t="shared" si="21"/>
        <v>0</v>
      </c>
      <c r="P94">
        <f t="shared" si="20"/>
        <v>0</v>
      </c>
      <c r="R94">
        <f t="shared" si="22"/>
        <v>0</v>
      </c>
      <c r="S94">
        <f t="shared" si="23"/>
        <v>0</v>
      </c>
      <c r="T94">
        <f t="shared" si="24"/>
        <v>1</v>
      </c>
      <c r="U94">
        <f t="shared" si="25"/>
        <v>1</v>
      </c>
      <c r="AB94">
        <f t="shared" si="26"/>
        <v>0</v>
      </c>
      <c r="AC94" t="e">
        <f t="shared" si="18"/>
        <v>#N/A</v>
      </c>
      <c r="AF94" s="3025">
        <v>1609</v>
      </c>
    </row>
    <row r="95" spans="1:32" x14ac:dyDescent="0.2">
      <c r="A95" s="3007"/>
      <c r="B95" s="3014"/>
      <c r="C95" s="3090"/>
      <c r="D95" s="3020"/>
      <c r="E95" s="3020"/>
      <c r="F95" s="3020"/>
      <c r="G95" s="3021"/>
      <c r="H95" s="2885"/>
      <c r="I95" s="3024"/>
      <c r="J95" s="3802"/>
      <c r="K95" s="3802"/>
      <c r="L95" s="3802"/>
      <c r="M95" s="2761" t="str">
        <f t="shared" si="19"/>
        <v/>
      </c>
      <c r="N95">
        <f t="shared" si="21"/>
        <v>0</v>
      </c>
      <c r="P95">
        <f t="shared" si="20"/>
        <v>0</v>
      </c>
      <c r="R95">
        <f t="shared" si="22"/>
        <v>0</v>
      </c>
      <c r="S95">
        <f t="shared" si="23"/>
        <v>0</v>
      </c>
      <c r="T95">
        <f t="shared" si="24"/>
        <v>1</v>
      </c>
      <c r="U95">
        <f t="shared" si="25"/>
        <v>1</v>
      </c>
      <c r="AB95">
        <f t="shared" si="26"/>
        <v>0</v>
      </c>
      <c r="AC95" t="e">
        <f t="shared" si="18"/>
        <v>#N/A</v>
      </c>
      <c r="AF95" s="3025">
        <v>1610</v>
      </c>
    </row>
    <row r="96" spans="1:32" x14ac:dyDescent="0.2">
      <c r="A96" s="3007"/>
      <c r="B96" s="3014"/>
      <c r="C96" s="3090"/>
      <c r="D96" s="3020"/>
      <c r="E96" s="3020"/>
      <c r="F96" s="3020"/>
      <c r="G96" s="3021"/>
      <c r="H96" s="2885"/>
      <c r="I96" s="3024"/>
      <c r="J96" s="3802"/>
      <c r="K96" s="3802"/>
      <c r="L96" s="3802"/>
      <c r="M96" s="2761" t="str">
        <f t="shared" si="19"/>
        <v/>
      </c>
      <c r="N96">
        <f t="shared" si="21"/>
        <v>0</v>
      </c>
      <c r="P96">
        <f t="shared" si="20"/>
        <v>0</v>
      </c>
      <c r="R96">
        <f t="shared" si="22"/>
        <v>0</v>
      </c>
      <c r="S96">
        <f t="shared" si="23"/>
        <v>0</v>
      </c>
      <c r="T96">
        <f t="shared" si="24"/>
        <v>1</v>
      </c>
      <c r="U96">
        <f t="shared" si="25"/>
        <v>1</v>
      </c>
      <c r="AB96">
        <f t="shared" si="26"/>
        <v>0</v>
      </c>
      <c r="AC96" t="e">
        <f t="shared" si="18"/>
        <v>#N/A</v>
      </c>
      <c r="AF96" s="3025">
        <v>1611</v>
      </c>
    </row>
    <row r="97" spans="1:32" x14ac:dyDescent="0.2">
      <c r="A97" s="3007"/>
      <c r="B97" s="3014"/>
      <c r="C97" s="3090"/>
      <c r="D97" s="3020"/>
      <c r="E97" s="3020"/>
      <c r="F97" s="3020"/>
      <c r="G97" s="3021"/>
      <c r="H97" s="2885"/>
      <c r="I97" s="3024"/>
      <c r="J97" s="3802"/>
      <c r="K97" s="3802"/>
      <c r="L97" s="3802"/>
      <c r="M97" s="2761" t="str">
        <f t="shared" si="19"/>
        <v/>
      </c>
      <c r="N97">
        <f t="shared" si="21"/>
        <v>0</v>
      </c>
      <c r="P97">
        <f t="shared" si="20"/>
        <v>0</v>
      </c>
      <c r="R97">
        <f t="shared" si="22"/>
        <v>0</v>
      </c>
      <c r="S97">
        <f t="shared" si="23"/>
        <v>0</v>
      </c>
      <c r="T97">
        <f t="shared" si="24"/>
        <v>1</v>
      </c>
      <c r="U97">
        <f t="shared" si="25"/>
        <v>1</v>
      </c>
      <c r="AB97">
        <f t="shared" si="26"/>
        <v>0</v>
      </c>
      <c r="AC97" t="e">
        <f t="shared" si="18"/>
        <v>#N/A</v>
      </c>
      <c r="AF97" s="3025">
        <v>1612</v>
      </c>
    </row>
    <row r="98" spans="1:32" x14ac:dyDescent="0.2">
      <c r="A98" s="3007"/>
      <c r="B98" s="3014"/>
      <c r="C98" s="3090"/>
      <c r="D98" s="3020"/>
      <c r="E98" s="3020"/>
      <c r="F98" s="3020"/>
      <c r="G98" s="3021"/>
      <c r="H98" s="2885"/>
      <c r="I98" s="3024"/>
      <c r="J98" s="3802"/>
      <c r="K98" s="3802"/>
      <c r="L98" s="3802"/>
      <c r="M98" s="2761" t="str">
        <f t="shared" si="19"/>
        <v/>
      </c>
      <c r="N98">
        <f t="shared" si="21"/>
        <v>0</v>
      </c>
      <c r="P98">
        <f t="shared" si="20"/>
        <v>0</v>
      </c>
      <c r="R98">
        <f t="shared" si="22"/>
        <v>0</v>
      </c>
      <c r="S98">
        <f t="shared" si="23"/>
        <v>0</v>
      </c>
      <c r="T98">
        <f t="shared" si="24"/>
        <v>1</v>
      </c>
      <c r="U98">
        <f t="shared" si="25"/>
        <v>1</v>
      </c>
      <c r="AB98">
        <f t="shared" si="26"/>
        <v>0</v>
      </c>
      <c r="AC98" t="e">
        <f t="shared" si="18"/>
        <v>#N/A</v>
      </c>
      <c r="AF98" s="3026">
        <v>1698</v>
      </c>
    </row>
    <row r="99" spans="1:32" x14ac:dyDescent="0.2">
      <c r="A99" s="3007"/>
      <c r="B99" s="3014"/>
      <c r="C99" s="3090"/>
      <c r="D99" s="3020"/>
      <c r="E99" s="3020"/>
      <c r="F99" s="3020"/>
      <c r="G99" s="3021"/>
      <c r="H99" s="2885"/>
      <c r="I99" s="3024"/>
      <c r="J99" s="3802"/>
      <c r="K99" s="3802"/>
      <c r="L99" s="3802"/>
      <c r="M99" s="2761" t="str">
        <f t="shared" si="19"/>
        <v/>
      </c>
      <c r="N99">
        <f t="shared" si="21"/>
        <v>0</v>
      </c>
      <c r="P99">
        <f t="shared" si="20"/>
        <v>0</v>
      </c>
      <c r="R99">
        <f t="shared" si="22"/>
        <v>0</v>
      </c>
      <c r="S99">
        <f t="shared" si="23"/>
        <v>0</v>
      </c>
      <c r="T99">
        <f t="shared" si="24"/>
        <v>1</v>
      </c>
      <c r="U99">
        <f t="shared" si="25"/>
        <v>1</v>
      </c>
      <c r="AB99">
        <f t="shared" si="26"/>
        <v>0</v>
      </c>
      <c r="AC99" t="e">
        <f t="shared" si="18"/>
        <v>#N/A</v>
      </c>
      <c r="AF99" s="3026">
        <v>1699</v>
      </c>
    </row>
    <row r="100" spans="1:32" hidden="1" x14ac:dyDescent="0.2">
      <c r="A100" s="3007"/>
      <c r="B100" s="3014"/>
      <c r="C100" s="3090"/>
      <c r="D100" s="3020"/>
      <c r="E100" s="3020"/>
      <c r="F100" s="3020"/>
      <c r="G100" s="3021"/>
      <c r="H100" s="2885"/>
      <c r="I100" s="3024"/>
      <c r="J100" s="3802"/>
      <c r="K100" s="3802"/>
      <c r="L100" s="3802"/>
      <c r="M100" s="2761" t="str">
        <f t="shared" si="19"/>
        <v/>
      </c>
      <c r="N100">
        <f t="shared" si="21"/>
        <v>0</v>
      </c>
      <c r="P100">
        <f t="shared" si="20"/>
        <v>0</v>
      </c>
      <c r="R100">
        <f t="shared" si="22"/>
        <v>0</v>
      </c>
      <c r="S100">
        <f t="shared" si="23"/>
        <v>0</v>
      </c>
      <c r="T100">
        <f t="shared" si="24"/>
        <v>1</v>
      </c>
      <c r="U100">
        <f t="shared" si="25"/>
        <v>1</v>
      </c>
      <c r="AB100">
        <f t="shared" si="26"/>
        <v>0</v>
      </c>
      <c r="AC100" t="e">
        <f t="shared" si="18"/>
        <v>#N/A</v>
      </c>
      <c r="AF100" s="3025">
        <v>1700</v>
      </c>
    </row>
    <row r="101" spans="1:32" hidden="1" x14ac:dyDescent="0.2">
      <c r="A101" s="3007"/>
      <c r="B101" s="3014"/>
      <c r="C101" s="3090"/>
      <c r="D101" s="3020"/>
      <c r="E101" s="3020"/>
      <c r="F101" s="3020"/>
      <c r="G101" s="3021"/>
      <c r="H101" s="2885"/>
      <c r="I101" s="3024"/>
      <c r="J101" s="3802"/>
      <c r="K101" s="3802"/>
      <c r="L101" s="3802"/>
      <c r="M101" s="2761" t="str">
        <f t="shared" si="19"/>
        <v/>
      </c>
      <c r="N101">
        <f t="shared" si="21"/>
        <v>0</v>
      </c>
      <c r="P101">
        <f t="shared" si="20"/>
        <v>0</v>
      </c>
      <c r="R101">
        <f t="shared" si="22"/>
        <v>0</v>
      </c>
      <c r="S101">
        <f t="shared" si="23"/>
        <v>0</v>
      </c>
      <c r="T101">
        <f t="shared" si="24"/>
        <v>1</v>
      </c>
      <c r="U101">
        <f t="shared" si="25"/>
        <v>1</v>
      </c>
      <c r="AB101">
        <f t="shared" si="26"/>
        <v>0</v>
      </c>
      <c r="AC101" t="e">
        <f t="shared" si="18"/>
        <v>#N/A</v>
      </c>
      <c r="AF101" s="3025">
        <v>1701</v>
      </c>
    </row>
    <row r="102" spans="1:32" hidden="1" x14ac:dyDescent="0.2">
      <c r="A102" s="3007"/>
      <c r="B102" s="3014"/>
      <c r="C102" s="3090"/>
      <c r="D102" s="3020"/>
      <c r="E102" s="3020"/>
      <c r="F102" s="3020"/>
      <c r="G102" s="3021"/>
      <c r="H102" s="2885"/>
      <c r="I102" s="3024"/>
      <c r="J102" s="3802"/>
      <c r="K102" s="3802"/>
      <c r="L102" s="3802"/>
      <c r="M102" s="2761" t="str">
        <f t="shared" si="19"/>
        <v/>
      </c>
      <c r="N102">
        <f t="shared" si="21"/>
        <v>0</v>
      </c>
      <c r="P102">
        <f t="shared" si="20"/>
        <v>0</v>
      </c>
      <c r="R102">
        <f t="shared" si="22"/>
        <v>0</v>
      </c>
      <c r="S102">
        <f t="shared" si="23"/>
        <v>0</v>
      </c>
      <c r="T102">
        <f t="shared" si="24"/>
        <v>1</v>
      </c>
      <c r="U102">
        <f t="shared" si="25"/>
        <v>1</v>
      </c>
      <c r="AB102">
        <f t="shared" si="26"/>
        <v>0</v>
      </c>
      <c r="AC102" t="e">
        <f t="shared" si="18"/>
        <v>#N/A</v>
      </c>
      <c r="AF102" s="3025">
        <v>1702</v>
      </c>
    </row>
    <row r="103" spans="1:32" hidden="1" x14ac:dyDescent="0.2">
      <c r="A103" s="3007"/>
      <c r="B103" s="3014"/>
      <c r="C103" s="3090"/>
      <c r="D103" s="3020"/>
      <c r="E103" s="3020"/>
      <c r="F103" s="3020"/>
      <c r="G103" s="3021"/>
      <c r="H103" s="2885"/>
      <c r="I103" s="3024"/>
      <c r="J103" s="3802"/>
      <c r="K103" s="3802"/>
      <c r="L103" s="3802"/>
      <c r="M103" s="2761" t="str">
        <f t="shared" si="19"/>
        <v/>
      </c>
      <c r="N103">
        <f t="shared" si="21"/>
        <v>0</v>
      </c>
      <c r="P103">
        <f t="shared" si="20"/>
        <v>0</v>
      </c>
      <c r="R103">
        <f t="shared" si="22"/>
        <v>0</v>
      </c>
      <c r="S103">
        <f t="shared" si="23"/>
        <v>0</v>
      </c>
      <c r="T103">
        <f t="shared" si="24"/>
        <v>1</v>
      </c>
      <c r="U103">
        <f t="shared" si="25"/>
        <v>1</v>
      </c>
      <c r="AB103">
        <f t="shared" si="26"/>
        <v>0</v>
      </c>
      <c r="AC103" t="e">
        <f t="shared" si="18"/>
        <v>#N/A</v>
      </c>
      <c r="AF103" s="3025">
        <v>1703</v>
      </c>
    </row>
    <row r="104" spans="1:32" hidden="1" x14ac:dyDescent="0.2">
      <c r="A104" s="3007"/>
      <c r="B104" s="3014"/>
      <c r="C104" s="3090"/>
      <c r="D104" s="3020"/>
      <c r="E104" s="3020"/>
      <c r="F104" s="3020"/>
      <c r="G104" s="3021"/>
      <c r="H104" s="2885"/>
      <c r="I104" s="3024"/>
      <c r="J104" s="3802"/>
      <c r="K104" s="3802"/>
      <c r="L104" s="3802"/>
      <c r="M104" s="2761" t="str">
        <f t="shared" si="19"/>
        <v/>
      </c>
      <c r="N104">
        <f t="shared" si="21"/>
        <v>0</v>
      </c>
      <c r="P104">
        <f t="shared" si="20"/>
        <v>0</v>
      </c>
      <c r="R104">
        <f t="shared" si="22"/>
        <v>0</v>
      </c>
      <c r="S104">
        <f t="shared" si="23"/>
        <v>0</v>
      </c>
      <c r="T104">
        <f t="shared" si="24"/>
        <v>1</v>
      </c>
      <c r="U104">
        <f t="shared" si="25"/>
        <v>1</v>
      </c>
      <c r="AB104">
        <f t="shared" si="26"/>
        <v>0</v>
      </c>
      <c r="AC104" t="e">
        <f t="shared" si="18"/>
        <v>#N/A</v>
      </c>
      <c r="AF104" s="3025">
        <v>1715</v>
      </c>
    </row>
    <row r="105" spans="1:32" hidden="1" x14ac:dyDescent="0.2">
      <c r="A105" s="3007"/>
      <c r="B105" s="3014"/>
      <c r="C105" s="3090"/>
      <c r="D105" s="3020"/>
      <c r="E105" s="3020"/>
      <c r="F105" s="3020"/>
      <c r="G105" s="3021"/>
      <c r="H105" s="2885"/>
      <c r="I105" s="3024"/>
      <c r="J105" s="3802"/>
      <c r="K105" s="3802"/>
      <c r="L105" s="3802"/>
      <c r="M105" s="2761" t="str">
        <f t="shared" si="19"/>
        <v/>
      </c>
      <c r="N105">
        <f t="shared" si="21"/>
        <v>0</v>
      </c>
      <c r="P105">
        <f t="shared" si="20"/>
        <v>0</v>
      </c>
      <c r="R105">
        <f t="shared" si="22"/>
        <v>0</v>
      </c>
      <c r="S105">
        <f t="shared" si="23"/>
        <v>0</v>
      </c>
      <c r="T105">
        <f t="shared" si="24"/>
        <v>1</v>
      </c>
      <c r="U105">
        <f t="shared" si="25"/>
        <v>1</v>
      </c>
      <c r="AB105">
        <f t="shared" si="26"/>
        <v>0</v>
      </c>
      <c r="AC105" t="e">
        <f t="shared" si="18"/>
        <v>#N/A</v>
      </c>
      <c r="AF105" s="3025">
        <v>1720</v>
      </c>
    </row>
    <row r="106" spans="1:32" hidden="1" x14ac:dyDescent="0.2">
      <c r="A106" s="3007"/>
      <c r="B106" s="3014"/>
      <c r="C106" s="3090"/>
      <c r="D106" s="3020"/>
      <c r="E106" s="3020"/>
      <c r="F106" s="3020"/>
      <c r="G106" s="3021"/>
      <c r="H106" s="2885"/>
      <c r="I106" s="3024"/>
      <c r="J106" s="3802"/>
      <c r="K106" s="3802"/>
      <c r="L106" s="3802"/>
      <c r="M106" s="2761" t="str">
        <f t="shared" si="19"/>
        <v/>
      </c>
      <c r="N106">
        <f t="shared" si="21"/>
        <v>0</v>
      </c>
      <c r="P106">
        <f t="shared" si="20"/>
        <v>0</v>
      </c>
      <c r="R106">
        <f t="shared" si="22"/>
        <v>0</v>
      </c>
      <c r="S106">
        <f t="shared" si="23"/>
        <v>0</v>
      </c>
      <c r="T106">
        <f t="shared" si="24"/>
        <v>1</v>
      </c>
      <c r="U106">
        <f t="shared" si="25"/>
        <v>1</v>
      </c>
      <c r="AB106">
        <f t="shared" si="26"/>
        <v>0</v>
      </c>
      <c r="AC106" t="e">
        <f t="shared" si="18"/>
        <v>#N/A</v>
      </c>
      <c r="AF106" s="3025">
        <v>1730</v>
      </c>
    </row>
    <row r="107" spans="1:32" hidden="1" x14ac:dyDescent="0.2">
      <c r="A107" s="3007"/>
      <c r="B107" s="3014"/>
      <c r="C107" s="3090"/>
      <c r="D107" s="3020"/>
      <c r="E107" s="3020"/>
      <c r="F107" s="3020"/>
      <c r="G107" s="3021"/>
      <c r="H107" s="2885"/>
      <c r="I107" s="3024"/>
      <c r="J107" s="3802"/>
      <c r="K107" s="3802"/>
      <c r="L107" s="3802"/>
      <c r="M107" s="2761" t="str">
        <f t="shared" si="19"/>
        <v/>
      </c>
      <c r="N107">
        <f t="shared" si="21"/>
        <v>0</v>
      </c>
      <c r="P107">
        <f t="shared" si="20"/>
        <v>0</v>
      </c>
      <c r="R107">
        <f t="shared" si="22"/>
        <v>0</v>
      </c>
      <c r="S107">
        <f t="shared" si="23"/>
        <v>0</v>
      </c>
      <c r="T107">
        <f t="shared" si="24"/>
        <v>1</v>
      </c>
      <c r="U107">
        <f t="shared" si="25"/>
        <v>1</v>
      </c>
      <c r="AB107">
        <f t="shared" si="26"/>
        <v>0</v>
      </c>
      <c r="AC107" t="e">
        <f t="shared" si="18"/>
        <v>#N/A</v>
      </c>
      <c r="AF107" s="3025">
        <v>1731</v>
      </c>
    </row>
    <row r="108" spans="1:32" hidden="1" x14ac:dyDescent="0.2">
      <c r="A108" s="3007"/>
      <c r="B108" s="3014"/>
      <c r="C108" s="3090"/>
      <c r="D108" s="3020"/>
      <c r="E108" s="3020"/>
      <c r="F108" s="3020"/>
      <c r="G108" s="3021"/>
      <c r="H108" s="2885"/>
      <c r="I108" s="3024"/>
      <c r="J108" s="3802"/>
      <c r="K108" s="3802"/>
      <c r="L108" s="3802"/>
      <c r="M108" s="2761" t="str">
        <f t="shared" si="19"/>
        <v/>
      </c>
      <c r="N108">
        <f t="shared" si="21"/>
        <v>0</v>
      </c>
      <c r="P108">
        <f t="shared" si="20"/>
        <v>0</v>
      </c>
      <c r="R108">
        <f t="shared" si="22"/>
        <v>0</v>
      </c>
      <c r="S108">
        <f t="shared" si="23"/>
        <v>0</v>
      </c>
      <c r="T108">
        <f t="shared" si="24"/>
        <v>1</v>
      </c>
      <c r="U108">
        <f t="shared" si="25"/>
        <v>1</v>
      </c>
      <c r="AB108">
        <f t="shared" si="26"/>
        <v>0</v>
      </c>
      <c r="AC108" t="e">
        <f t="shared" si="18"/>
        <v>#N/A</v>
      </c>
      <c r="AF108" s="3025">
        <v>1732</v>
      </c>
    </row>
    <row r="109" spans="1:32" hidden="1" x14ac:dyDescent="0.2">
      <c r="A109" s="3007"/>
      <c r="B109" s="3014"/>
      <c r="C109" s="3090"/>
      <c r="D109" s="3020"/>
      <c r="E109" s="3020"/>
      <c r="F109" s="3020"/>
      <c r="G109" s="3021"/>
      <c r="H109" s="2885"/>
      <c r="I109" s="3024"/>
      <c r="J109" s="3802"/>
      <c r="K109" s="3802"/>
      <c r="L109" s="3802"/>
      <c r="M109" s="2761" t="str">
        <f t="shared" si="19"/>
        <v/>
      </c>
      <c r="N109">
        <f t="shared" si="21"/>
        <v>0</v>
      </c>
      <c r="P109">
        <f t="shared" si="20"/>
        <v>0</v>
      </c>
      <c r="R109">
        <f t="shared" si="22"/>
        <v>0</v>
      </c>
      <c r="S109">
        <f t="shared" si="23"/>
        <v>0</v>
      </c>
      <c r="T109">
        <f t="shared" si="24"/>
        <v>1</v>
      </c>
      <c r="U109">
        <f t="shared" si="25"/>
        <v>1</v>
      </c>
      <c r="AB109">
        <f t="shared" si="26"/>
        <v>0</v>
      </c>
      <c r="AC109" t="e">
        <f t="shared" si="18"/>
        <v>#N/A</v>
      </c>
      <c r="AF109" s="3025">
        <v>1733</v>
      </c>
    </row>
    <row r="110" spans="1:32" hidden="1" x14ac:dyDescent="0.2">
      <c r="A110" s="3007"/>
      <c r="B110" s="3014"/>
      <c r="C110" s="3090"/>
      <c r="D110" s="3020"/>
      <c r="E110" s="3020"/>
      <c r="F110" s="3020"/>
      <c r="G110" s="3021"/>
      <c r="H110" s="2885"/>
      <c r="I110" s="3024"/>
      <c r="J110" s="3802"/>
      <c r="K110" s="3802"/>
      <c r="L110" s="3802"/>
      <c r="M110" s="2761" t="str">
        <f t="shared" si="19"/>
        <v/>
      </c>
      <c r="N110">
        <f t="shared" si="21"/>
        <v>0</v>
      </c>
      <c r="P110">
        <f t="shared" si="20"/>
        <v>0</v>
      </c>
      <c r="R110">
        <f t="shared" si="22"/>
        <v>0</v>
      </c>
      <c r="S110">
        <f t="shared" si="23"/>
        <v>0</v>
      </c>
      <c r="T110">
        <f t="shared" si="24"/>
        <v>1</v>
      </c>
      <c r="U110">
        <f t="shared" si="25"/>
        <v>1</v>
      </c>
      <c r="AB110">
        <f t="shared" si="26"/>
        <v>0</v>
      </c>
      <c r="AC110" t="e">
        <f t="shared" si="18"/>
        <v>#N/A</v>
      </c>
      <c r="AF110" s="3025">
        <v>1734</v>
      </c>
    </row>
    <row r="111" spans="1:32" hidden="1" x14ac:dyDescent="0.2">
      <c r="A111" s="3007"/>
      <c r="B111" s="3014"/>
      <c r="C111" s="3090"/>
      <c r="D111" s="3020"/>
      <c r="E111" s="3020"/>
      <c r="F111" s="3020"/>
      <c r="G111" s="3021"/>
      <c r="H111" s="2885"/>
      <c r="I111" s="3024"/>
      <c r="J111" s="3802"/>
      <c r="K111" s="3802"/>
      <c r="L111" s="3802"/>
      <c r="M111" s="2761" t="str">
        <f t="shared" si="19"/>
        <v/>
      </c>
      <c r="N111">
        <f t="shared" si="21"/>
        <v>0</v>
      </c>
      <c r="P111">
        <f t="shared" si="20"/>
        <v>0</v>
      </c>
      <c r="R111">
        <f t="shared" si="22"/>
        <v>0</v>
      </c>
      <c r="S111">
        <f t="shared" si="23"/>
        <v>0</v>
      </c>
      <c r="T111">
        <f t="shared" si="24"/>
        <v>1</v>
      </c>
      <c r="U111">
        <f t="shared" si="25"/>
        <v>1</v>
      </c>
      <c r="AB111">
        <f t="shared" si="26"/>
        <v>0</v>
      </c>
      <c r="AC111" t="e">
        <f t="shared" si="18"/>
        <v>#N/A</v>
      </c>
      <c r="AF111" s="3025">
        <v>1735</v>
      </c>
    </row>
    <row r="112" spans="1:32" hidden="1" x14ac:dyDescent="0.2">
      <c r="A112" s="3007"/>
      <c r="B112" s="3014"/>
      <c r="C112" s="3090"/>
      <c r="D112" s="3020"/>
      <c r="E112" s="3020"/>
      <c r="F112" s="3020"/>
      <c r="G112" s="3021"/>
      <c r="H112" s="2885"/>
      <c r="I112" s="3024"/>
      <c r="J112" s="3802"/>
      <c r="K112" s="3802"/>
      <c r="L112" s="3802"/>
      <c r="M112" s="2761" t="str">
        <f t="shared" si="19"/>
        <v/>
      </c>
      <c r="N112">
        <f t="shared" si="21"/>
        <v>0</v>
      </c>
      <c r="P112">
        <f t="shared" si="20"/>
        <v>0</v>
      </c>
      <c r="R112">
        <f t="shared" si="22"/>
        <v>0</v>
      </c>
      <c r="S112">
        <f t="shared" si="23"/>
        <v>0</v>
      </c>
      <c r="T112">
        <f t="shared" si="24"/>
        <v>1</v>
      </c>
      <c r="U112">
        <f t="shared" si="25"/>
        <v>1</v>
      </c>
      <c r="AB112">
        <f t="shared" si="26"/>
        <v>0</v>
      </c>
      <c r="AC112" t="e">
        <f t="shared" ref="AC112:AC143" si="27">VLOOKUP(G112,$AF$5:$AF$484,1,FALSE)</f>
      </c>
      <c r="AF112" s="3025">
        <v>1736</v>
      </c>
    </row>
    <row r="113" spans="1:32" hidden="1" x14ac:dyDescent="0.2">
      <c r="A113" s="3007"/>
      <c r="B113" s="3014"/>
      <c r="C113" s="3090"/>
      <c r="D113" s="3020"/>
      <c r="E113" s="3020"/>
      <c r="F113" s="3020"/>
      <c r="G113" s="3021"/>
      <c r="H113" s="2885"/>
      <c r="I113" s="3024"/>
      <c r="J113" s="3802"/>
      <c r="K113" s="3802"/>
      <c r="L113" s="3802"/>
      <c r="M113" s="2761" t="str">
        <f t="shared" si="19"/>
        <v/>
      </c>
      <c r="N113">
        <f t="shared" si="21"/>
        <v>0</v>
      </c>
      <c r="P113">
        <f t="shared" si="20"/>
        <v>0</v>
      </c>
      <c r="R113">
        <f t="shared" si="22"/>
        <v>0</v>
      </c>
      <c r="S113">
        <f t="shared" si="23"/>
        <v>0</v>
      </c>
      <c r="T113">
        <f t="shared" si="24"/>
        <v>1</v>
      </c>
      <c r="U113">
        <f t="shared" si="25"/>
        <v>1</v>
      </c>
      <c r="AB113">
        <f t="shared" si="26"/>
        <v>0</v>
      </c>
      <c r="AC113" t="e">
        <f t="shared" si="27"/>
        <v>#N/A</v>
      </c>
      <c r="AF113" s="3025">
        <v>1740</v>
      </c>
    </row>
    <row r="114" spans="1:32" hidden="1" x14ac:dyDescent="0.2">
      <c r="A114" s="3007"/>
      <c r="B114" s="3014"/>
      <c r="C114" s="3090"/>
      <c r="D114" s="3020"/>
      <c r="E114" s="3020"/>
      <c r="F114" s="3020"/>
      <c r="G114" s="3021"/>
      <c r="H114" s="2885"/>
      <c r="I114" s="3024"/>
      <c r="J114" s="3802"/>
      <c r="K114" s="3802"/>
      <c r="L114" s="3802"/>
      <c r="M114" s="2761" t="str">
        <f t="shared" si="19"/>
        <v/>
      </c>
      <c r="N114">
        <f t="shared" si="21"/>
        <v>0</v>
      </c>
      <c r="P114">
        <f t="shared" si="20"/>
        <v>0</v>
      </c>
      <c r="R114">
        <f t="shared" si="22"/>
        <v>0</v>
      </c>
      <c r="S114">
        <f t="shared" si="23"/>
        <v>0</v>
      </c>
      <c r="T114">
        <f t="shared" si="24"/>
        <v>1</v>
      </c>
      <c r="U114">
        <f t="shared" si="25"/>
        <v>1</v>
      </c>
      <c r="AB114">
        <f t="shared" si="26"/>
        <v>0</v>
      </c>
      <c r="AC114" t="e">
        <f t="shared" si="27"/>
        <v>#N/A</v>
      </c>
      <c r="AF114" s="3025">
        <v>1750</v>
      </c>
    </row>
    <row r="115" spans="1:32" hidden="1" x14ac:dyDescent="0.2">
      <c r="A115" s="3007"/>
      <c r="B115" s="3014"/>
      <c r="C115" s="3090"/>
      <c r="D115" s="3020"/>
      <c r="E115" s="3020"/>
      <c r="F115" s="3020"/>
      <c r="G115" s="3021"/>
      <c r="H115" s="2885"/>
      <c r="I115" s="3024"/>
      <c r="J115" s="3802"/>
      <c r="K115" s="3802"/>
      <c r="L115" s="3802"/>
      <c r="M115" s="2761" t="str">
        <f t="shared" si="19"/>
        <v/>
      </c>
      <c r="N115">
        <f t="shared" si="21"/>
        <v>0</v>
      </c>
      <c r="P115">
        <f t="shared" si="20"/>
        <v>0</v>
      </c>
      <c r="R115">
        <f t="shared" si="22"/>
        <v>0</v>
      </c>
      <c r="S115">
        <f t="shared" si="23"/>
        <v>0</v>
      </c>
      <c r="T115">
        <f t="shared" si="24"/>
        <v>1</v>
      </c>
      <c r="U115">
        <f t="shared" si="25"/>
        <v>1</v>
      </c>
      <c r="AB115">
        <f t="shared" si="26"/>
        <v>0</v>
      </c>
      <c r="AC115" t="e">
        <f t="shared" si="27"/>
        <v>#N/A</v>
      </c>
      <c r="AF115" s="3025">
        <v>1760</v>
      </c>
    </row>
    <row r="116" spans="1:32" hidden="1" x14ac:dyDescent="0.2">
      <c r="A116" s="3007"/>
      <c r="B116" s="3014"/>
      <c r="C116" s="3090"/>
      <c r="D116" s="3020"/>
      <c r="E116" s="3020"/>
      <c r="F116" s="3020"/>
      <c r="G116" s="3021"/>
      <c r="H116" s="2885"/>
      <c r="I116" s="3024"/>
      <c r="J116" s="3802"/>
      <c r="K116" s="3802"/>
      <c r="L116" s="3802"/>
      <c r="M116" s="2761" t="str">
        <f t="shared" si="19"/>
        <v/>
      </c>
      <c r="N116">
        <f t="shared" si="21"/>
        <v>0</v>
      </c>
      <c r="P116">
        <f t="shared" si="20"/>
        <v>0</v>
      </c>
      <c r="R116">
        <f t="shared" si="22"/>
        <v>0</v>
      </c>
      <c r="S116">
        <f t="shared" si="23"/>
        <v>0</v>
      </c>
      <c r="T116">
        <f t="shared" si="24"/>
        <v>1</v>
      </c>
      <c r="U116">
        <f t="shared" si="25"/>
        <v>1</v>
      </c>
      <c r="AB116">
        <f t="shared" si="26"/>
        <v>0</v>
      </c>
      <c r="AC116" t="e">
        <f t="shared" si="27"/>
        <v>#N/A</v>
      </c>
      <c r="AF116" s="3025">
        <v>1761</v>
      </c>
    </row>
    <row r="117" spans="1:32" hidden="1" x14ac:dyDescent="0.2">
      <c r="A117" s="3007"/>
      <c r="B117" s="3014"/>
      <c r="C117" s="3090"/>
      <c r="D117" s="3020"/>
      <c r="E117" s="3020"/>
      <c r="F117" s="3020"/>
      <c r="G117" s="3021"/>
      <c r="H117" s="2885"/>
      <c r="I117" s="3024"/>
      <c r="J117" s="3802"/>
      <c r="K117" s="3802"/>
      <c r="L117" s="3802"/>
      <c r="M117" s="2761" t="str">
        <f t="shared" si="19"/>
        <v/>
      </c>
      <c r="N117">
        <f t="shared" si="21"/>
        <v>0</v>
      </c>
      <c r="P117">
        <f t="shared" si="20"/>
        <v>0</v>
      </c>
      <c r="R117">
        <f t="shared" si="22"/>
        <v>0</v>
      </c>
      <c r="S117">
        <f t="shared" si="23"/>
        <v>0</v>
      </c>
      <c r="T117">
        <f t="shared" si="24"/>
        <v>1</v>
      </c>
      <c r="U117">
        <f t="shared" si="25"/>
        <v>1</v>
      </c>
      <c r="AB117">
        <f t="shared" si="26"/>
        <v>0</v>
      </c>
      <c r="AC117" t="e">
        <f t="shared" si="27"/>
        <v>#N/A</v>
      </c>
      <c r="AF117" s="3025">
        <v>1762</v>
      </c>
    </row>
    <row r="118" spans="1:32" hidden="1" x14ac:dyDescent="0.2">
      <c r="A118" s="3007"/>
      <c r="B118" s="3014"/>
      <c r="C118" s="3090"/>
      <c r="D118" s="3020"/>
      <c r="E118" s="3020"/>
      <c r="F118" s="3020"/>
      <c r="G118" s="3021"/>
      <c r="H118" s="2885"/>
      <c r="I118" s="3024"/>
      <c r="J118" s="3802"/>
      <c r="K118" s="3802"/>
      <c r="L118" s="3802"/>
      <c r="M118" s="2761" t="str">
        <f t="shared" si="19"/>
        <v/>
      </c>
      <c r="N118">
        <f t="shared" si="21"/>
        <v>0</v>
      </c>
      <c r="P118">
        <f t="shared" si="20"/>
        <v>0</v>
      </c>
      <c r="R118">
        <f t="shared" si="22"/>
        <v>0</v>
      </c>
      <c r="S118">
        <f t="shared" si="23"/>
        <v>0</v>
      </c>
      <c r="T118">
        <f t="shared" si="24"/>
        <v>1</v>
      </c>
      <c r="U118">
        <f t="shared" si="25"/>
        <v>1</v>
      </c>
      <c r="AB118">
        <f t="shared" si="26"/>
        <v>0</v>
      </c>
      <c r="AC118" t="e">
        <f t="shared" si="27"/>
        <v>#N/A</v>
      </c>
      <c r="AF118" s="3025">
        <v>1763</v>
      </c>
    </row>
    <row r="119" spans="1:32" hidden="1" x14ac:dyDescent="0.2">
      <c r="A119" s="3007"/>
      <c r="B119" s="3014"/>
      <c r="C119" s="3090"/>
      <c r="D119" s="3020"/>
      <c r="E119" s="3020"/>
      <c r="F119" s="3020"/>
      <c r="G119" s="3021"/>
      <c r="H119" s="2885"/>
      <c r="I119" s="3024"/>
      <c r="J119" s="3802"/>
      <c r="K119" s="3802"/>
      <c r="L119" s="3802"/>
      <c r="M119" s="2761" t="str">
        <f t="shared" si="19"/>
        <v/>
      </c>
      <c r="N119">
        <f t="shared" si="21"/>
        <v>0</v>
      </c>
      <c r="P119">
        <f t="shared" si="20"/>
        <v>0</v>
      </c>
      <c r="R119">
        <f t="shared" si="22"/>
        <v>0</v>
      </c>
      <c r="S119">
        <f t="shared" si="23"/>
        <v>0</v>
      </c>
      <c r="T119">
        <f t="shared" si="24"/>
        <v>1</v>
      </c>
      <c r="U119">
        <f t="shared" si="25"/>
        <v>1</v>
      </c>
      <c r="AB119">
        <f t="shared" si="26"/>
        <v>0</v>
      </c>
      <c r="AC119" t="e">
        <f t="shared" si="27"/>
        <v>#N/A</v>
      </c>
      <c r="AF119" s="3025">
        <v>1764</v>
      </c>
    </row>
    <row r="120" spans="1:32" hidden="1" x14ac:dyDescent="0.2">
      <c r="A120" s="3007"/>
      <c r="B120" s="3014"/>
      <c r="C120" s="3090"/>
      <c r="D120" s="3020"/>
      <c r="E120" s="3020"/>
      <c r="F120" s="3020"/>
      <c r="G120" s="3021"/>
      <c r="H120" s="2885"/>
      <c r="I120" s="3024"/>
      <c r="J120" s="3802"/>
      <c r="K120" s="3802"/>
      <c r="L120" s="3802"/>
      <c r="M120" s="2761" t="str">
        <f t="shared" si="19"/>
        <v/>
      </c>
      <c r="N120">
        <f t="shared" si="21"/>
        <v>0</v>
      </c>
      <c r="P120">
        <f t="shared" si="20"/>
        <v>0</v>
      </c>
      <c r="R120">
        <f t="shared" si="22"/>
        <v>0</v>
      </c>
      <c r="S120">
        <f t="shared" si="23"/>
        <v>0</v>
      </c>
      <c r="T120">
        <f t="shared" si="24"/>
        <v>1</v>
      </c>
      <c r="U120">
        <f t="shared" si="25"/>
        <v>1</v>
      </c>
      <c r="AB120">
        <f t="shared" si="26"/>
        <v>0</v>
      </c>
      <c r="AC120" t="e">
        <f t="shared" si="27"/>
        <v>#N/A</v>
      </c>
      <c r="AF120" s="3025">
        <v>1765</v>
      </c>
    </row>
    <row r="121" spans="1:32" hidden="1" x14ac:dyDescent="0.2">
      <c r="A121" s="3007"/>
      <c r="B121" s="3014"/>
      <c r="C121" s="3090"/>
      <c r="D121" s="3020"/>
      <c r="E121" s="3020"/>
      <c r="F121" s="3020"/>
      <c r="G121" s="3021"/>
      <c r="H121" s="2885"/>
      <c r="I121" s="3024"/>
      <c r="J121" s="3802"/>
      <c r="K121" s="3802"/>
      <c r="L121" s="3802"/>
      <c r="M121" s="2761" t="str">
        <f t="shared" si="19"/>
        <v/>
      </c>
      <c r="N121">
        <f t="shared" si="21"/>
        <v>0</v>
      </c>
      <c r="P121">
        <f t="shared" si="20"/>
        <v>0</v>
      </c>
      <c r="R121">
        <f t="shared" si="22"/>
        <v>0</v>
      </c>
      <c r="S121">
        <f t="shared" si="23"/>
        <v>0</v>
      </c>
      <c r="T121">
        <f t="shared" si="24"/>
        <v>1</v>
      </c>
      <c r="U121">
        <f t="shared" si="25"/>
        <v>1</v>
      </c>
      <c r="AB121">
        <f t="shared" si="26"/>
        <v>0</v>
      </c>
      <c r="AC121" t="e">
        <f t="shared" si="27"/>
        <v>#N/A</v>
      </c>
      <c r="AF121" s="3025">
        <v>1766</v>
      </c>
    </row>
    <row r="122" spans="1:32" hidden="1" x14ac:dyDescent="0.2">
      <c r="A122" s="3007"/>
      <c r="B122" s="3014"/>
      <c r="C122" s="3090"/>
      <c r="D122" s="3020"/>
      <c r="E122" s="3020"/>
      <c r="F122" s="3020"/>
      <c r="G122" s="3021"/>
      <c r="H122" s="2885"/>
      <c r="I122" s="3024"/>
      <c r="J122" s="3802"/>
      <c r="K122" s="3802"/>
      <c r="L122" s="3802"/>
      <c r="M122" s="2761" t="str">
        <f t="shared" si="19"/>
        <v/>
      </c>
      <c r="N122">
        <f t="shared" si="21"/>
        <v>0</v>
      </c>
      <c r="P122">
        <f t="shared" si="20"/>
        <v>0</v>
      </c>
      <c r="R122">
        <f t="shared" si="22"/>
        <v>0</v>
      </c>
      <c r="S122">
        <f t="shared" si="23"/>
        <v>0</v>
      </c>
      <c r="T122">
        <f t="shared" si="24"/>
        <v>1</v>
      </c>
      <c r="U122">
        <f t="shared" si="25"/>
        <v>1</v>
      </c>
      <c r="AB122">
        <f t="shared" si="26"/>
        <v>0</v>
      </c>
      <c r="AC122" t="e">
        <f t="shared" si="27"/>
        <v>#N/A</v>
      </c>
      <c r="AF122" s="3025">
        <v>1767</v>
      </c>
    </row>
    <row r="123" spans="1:32" hidden="1" x14ac:dyDescent="0.2">
      <c r="A123" s="3007"/>
      <c r="B123" s="3014"/>
      <c r="C123" s="3090"/>
      <c r="D123" s="3020"/>
      <c r="E123" s="3020"/>
      <c r="F123" s="3020"/>
      <c r="G123" s="3021"/>
      <c r="H123" s="2885"/>
      <c r="I123" s="3024"/>
      <c r="J123" s="3802"/>
      <c r="K123" s="3802"/>
      <c r="L123" s="3802"/>
      <c r="M123" s="2761" t="str">
        <f t="shared" si="19"/>
        <v/>
      </c>
      <c r="N123">
        <f t="shared" si="21"/>
        <v>0</v>
      </c>
      <c r="P123">
        <f t="shared" si="20"/>
        <v>0</v>
      </c>
      <c r="R123">
        <f t="shared" si="22"/>
        <v>0</v>
      </c>
      <c r="S123">
        <f t="shared" si="23"/>
        <v>0</v>
      </c>
      <c r="T123">
        <f t="shared" si="24"/>
        <v>1</v>
      </c>
      <c r="U123">
        <f t="shared" si="25"/>
        <v>1</v>
      </c>
      <c r="AB123">
        <f t="shared" si="26"/>
        <v>0</v>
      </c>
      <c r="AC123" t="e">
        <f t="shared" si="27"/>
        <v>#N/A</v>
      </c>
      <c r="AF123" s="3025">
        <v>1768</v>
      </c>
    </row>
    <row r="124" spans="1:32" hidden="1" x14ac:dyDescent="0.2">
      <c r="A124" s="3007"/>
      <c r="B124" s="3014"/>
      <c r="C124" s="3090"/>
      <c r="D124" s="3020"/>
      <c r="E124" s="3020"/>
      <c r="F124" s="3020"/>
      <c r="G124" s="3021"/>
      <c r="H124" s="2885"/>
      <c r="I124" s="3024"/>
      <c r="J124" s="3802"/>
      <c r="K124" s="3802"/>
      <c r="L124" s="3802"/>
      <c r="M124" s="2761" t="str">
        <f t="shared" si="19"/>
        <v/>
      </c>
      <c r="N124">
        <f t="shared" si="21"/>
        <v>0</v>
      </c>
      <c r="P124">
        <f t="shared" si="20"/>
        <v>0</v>
      </c>
      <c r="R124">
        <f t="shared" si="22"/>
        <v>0</v>
      </c>
      <c r="S124">
        <f t="shared" si="23"/>
        <v>0</v>
      </c>
      <c r="T124">
        <f t="shared" si="24"/>
        <v>1</v>
      </c>
      <c r="U124">
        <f t="shared" si="25"/>
        <v>1</v>
      </c>
      <c r="AB124">
        <f t="shared" si="26"/>
        <v>0</v>
      </c>
      <c r="AC124" t="e">
        <f t="shared" si="27"/>
        <v>#N/A</v>
      </c>
      <c r="AF124" s="3025">
        <v>1769</v>
      </c>
    </row>
    <row r="125" spans="1:32" hidden="1" x14ac:dyDescent="0.2">
      <c r="A125" s="3007"/>
      <c r="B125" s="3014"/>
      <c r="C125" s="3090"/>
      <c r="D125" s="3020"/>
      <c r="E125" s="3020"/>
      <c r="F125" s="3020"/>
      <c r="G125" s="3021"/>
      <c r="H125" s="2885"/>
      <c r="I125" s="3024"/>
      <c r="J125" s="3802"/>
      <c r="K125" s="3802"/>
      <c r="L125" s="3802"/>
      <c r="M125" s="2761" t="str">
        <f t="shared" si="19"/>
        <v/>
      </c>
      <c r="N125">
        <f t="shared" si="21"/>
        <v>0</v>
      </c>
      <c r="P125">
        <f t="shared" si="20"/>
        <v>0</v>
      </c>
      <c r="R125">
        <f t="shared" si="22"/>
        <v>0</v>
      </c>
      <c r="S125">
        <f t="shared" si="23"/>
        <v>0</v>
      </c>
      <c r="T125">
        <f t="shared" si="24"/>
        <v>1</v>
      </c>
      <c r="U125">
        <f t="shared" si="25"/>
        <v>1</v>
      </c>
      <c r="AB125">
        <f t="shared" si="26"/>
        <v>0</v>
      </c>
      <c r="AC125" t="e">
        <f t="shared" si="27"/>
        <v>#N/A</v>
      </c>
      <c r="AF125" s="3025">
        <v>1770</v>
      </c>
    </row>
    <row r="126" spans="1:32" hidden="1" x14ac:dyDescent="0.2">
      <c r="A126" s="3007"/>
      <c r="B126" s="3014"/>
      <c r="C126" s="3090"/>
      <c r="D126" s="3020"/>
      <c r="E126" s="3020"/>
      <c r="F126" s="3020"/>
      <c r="G126" s="3021"/>
      <c r="H126" s="2885"/>
      <c r="I126" s="3024"/>
      <c r="J126" s="3802"/>
      <c r="K126" s="3802"/>
      <c r="L126" s="3802"/>
      <c r="M126" s="2761" t="str">
        <f t="shared" si="19"/>
        <v/>
      </c>
      <c r="N126">
        <f t="shared" si="21"/>
        <v>0</v>
      </c>
      <c r="P126">
        <f t="shared" si="20"/>
        <v>0</v>
      </c>
      <c r="R126">
        <f t="shared" si="22"/>
        <v>0</v>
      </c>
      <c r="S126">
        <f t="shared" si="23"/>
        <v>0</v>
      </c>
      <c r="T126">
        <f t="shared" si="24"/>
        <v>1</v>
      </c>
      <c r="U126">
        <f t="shared" si="25"/>
        <v>1</v>
      </c>
      <c r="AB126">
        <f t="shared" si="26"/>
        <v>0</v>
      </c>
      <c r="AC126" t="e">
        <f t="shared" si="27"/>
        <v>#N/A</v>
      </c>
      <c r="AF126" s="3025">
        <v>1800</v>
      </c>
    </row>
    <row r="127" spans="1:32" hidden="1" x14ac:dyDescent="0.2">
      <c r="A127" s="3007"/>
      <c r="B127" s="3014"/>
      <c r="C127" s="3090"/>
      <c r="D127" s="3020"/>
      <c r="E127" s="3020"/>
      <c r="F127" s="3020"/>
      <c r="G127" s="3021"/>
      <c r="H127" s="2885"/>
      <c r="I127" s="3024"/>
      <c r="J127" s="3802"/>
      <c r="K127" s="3802"/>
      <c r="L127" s="3802"/>
      <c r="M127" s="2761" t="str">
        <f t="shared" si="19"/>
        <v/>
      </c>
      <c r="N127">
        <f t="shared" si="21"/>
        <v>0</v>
      </c>
      <c r="P127">
        <f t="shared" si="20"/>
        <v>0</v>
      </c>
      <c r="R127">
        <f t="shared" si="22"/>
        <v>0</v>
      </c>
      <c r="S127">
        <f t="shared" si="23"/>
        <v>0</v>
      </c>
      <c r="T127">
        <f t="shared" si="24"/>
        <v>1</v>
      </c>
      <c r="U127">
        <f t="shared" si="25"/>
        <v>1</v>
      </c>
      <c r="AB127">
        <f t="shared" si="26"/>
        <v>0</v>
      </c>
      <c r="AC127" t="e">
        <f t="shared" si="27"/>
        <v>#N/A</v>
      </c>
      <c r="AF127" s="3025">
        <v>1801</v>
      </c>
    </row>
    <row r="128" spans="1:32" hidden="1" x14ac:dyDescent="0.2">
      <c r="A128" s="3007"/>
      <c r="B128" s="3014"/>
      <c r="C128" s="3090"/>
      <c r="D128" s="3020"/>
      <c r="E128" s="3020"/>
      <c r="F128" s="3020"/>
      <c r="G128" s="3021"/>
      <c r="H128" s="2885"/>
      <c r="I128" s="3024"/>
      <c r="J128" s="3802"/>
      <c r="K128" s="3802"/>
      <c r="L128" s="3802"/>
      <c r="M128" s="2761" t="str">
        <f t="shared" si="19"/>
        <v/>
      </c>
      <c r="N128">
        <f t="shared" si="21"/>
        <v>0</v>
      </c>
      <c r="P128">
        <f t="shared" si="20"/>
        <v>0</v>
      </c>
      <c r="R128">
        <f t="shared" si="22"/>
        <v>0</v>
      </c>
      <c r="S128">
        <f t="shared" si="23"/>
        <v>0</v>
      </c>
      <c r="T128">
        <f t="shared" si="24"/>
        <v>1</v>
      </c>
      <c r="U128">
        <f t="shared" si="25"/>
        <v>1</v>
      </c>
      <c r="AB128">
        <f t="shared" si="26"/>
        <v>0</v>
      </c>
      <c r="AC128" t="e">
        <f t="shared" si="27"/>
        <v>#N/A</v>
      </c>
      <c r="AF128" s="3025">
        <v>1802</v>
      </c>
    </row>
    <row r="129" spans="1:32" hidden="1" x14ac:dyDescent="0.2">
      <c r="A129" s="3007"/>
      <c r="B129" s="3014"/>
      <c r="C129" s="3090"/>
      <c r="D129" s="3020"/>
      <c r="E129" s="3020"/>
      <c r="F129" s="3020"/>
      <c r="G129" s="3021"/>
      <c r="H129" s="2885"/>
      <c r="I129" s="3024"/>
      <c r="J129" s="3802"/>
      <c r="K129" s="3802"/>
      <c r="L129" s="3802"/>
      <c r="M129" s="2761" t="str">
        <f t="shared" si="19"/>
        <v/>
      </c>
      <c r="N129">
        <f t="shared" si="21"/>
        <v>0</v>
      </c>
      <c r="P129">
        <f t="shared" si="20"/>
        <v>0</v>
      </c>
      <c r="R129">
        <f t="shared" si="22"/>
        <v>0</v>
      </c>
      <c r="S129">
        <f t="shared" si="23"/>
        <v>0</v>
      </c>
      <c r="T129">
        <f t="shared" si="24"/>
        <v>1</v>
      </c>
      <c r="U129">
        <f t="shared" si="25"/>
        <v>1</v>
      </c>
      <c r="AB129">
        <f t="shared" si="26"/>
        <v>0</v>
      </c>
      <c r="AC129" t="e">
        <f t="shared" si="27"/>
        <v>#N/A</v>
      </c>
      <c r="AF129" s="3025">
        <v>1803</v>
      </c>
    </row>
    <row r="130" spans="1:32" hidden="1" x14ac:dyDescent="0.2">
      <c r="A130" s="3007"/>
      <c r="B130" s="3014"/>
      <c r="C130" s="3090"/>
      <c r="D130" s="3020"/>
      <c r="E130" s="3020"/>
      <c r="F130" s="3020"/>
      <c r="G130" s="3021"/>
      <c r="H130" s="2885"/>
      <c r="I130" s="3024"/>
      <c r="J130" s="3802"/>
      <c r="K130" s="3802"/>
      <c r="L130" s="3802"/>
      <c r="M130" s="2761" t="str">
        <f t="shared" si="19"/>
        <v/>
      </c>
      <c r="N130">
        <f t="shared" si="21"/>
        <v>0</v>
      </c>
      <c r="P130">
        <f t="shared" si="20"/>
        <v>0</v>
      </c>
      <c r="R130">
        <f t="shared" si="22"/>
        <v>0</v>
      </c>
      <c r="S130">
        <f t="shared" si="23"/>
        <v>0</v>
      </c>
      <c r="T130">
        <f t="shared" si="24"/>
        <v>1</v>
      </c>
      <c r="U130">
        <f t="shared" si="25"/>
        <v>1</v>
      </c>
      <c r="AB130">
        <f t="shared" si="26"/>
        <v>0</v>
      </c>
      <c r="AC130" t="e">
        <f t="shared" si="27"/>
        <v>#N/A</v>
      </c>
      <c r="AF130" s="3026">
        <v>1998</v>
      </c>
    </row>
    <row r="131" spans="1:32" hidden="1" x14ac:dyDescent="0.2">
      <c r="A131" s="3007"/>
      <c r="B131" s="3014"/>
      <c r="C131" s="3090"/>
      <c r="D131" s="3020"/>
      <c r="E131" s="3020"/>
      <c r="F131" s="3020"/>
      <c r="G131" s="3021"/>
      <c r="H131" s="2885"/>
      <c r="I131" s="3024"/>
      <c r="J131" s="3802"/>
      <c r="K131" s="3802"/>
      <c r="L131" s="3802"/>
      <c r="M131" s="2761" t="str">
        <f t="shared" si="19"/>
        <v/>
      </c>
      <c r="N131">
        <f t="shared" si="21"/>
        <v>0</v>
      </c>
      <c r="P131">
        <f t="shared" si="20"/>
        <v>0</v>
      </c>
      <c r="R131">
        <f t="shared" si="22"/>
        <v>0</v>
      </c>
      <c r="S131">
        <f t="shared" si="23"/>
        <v>0</v>
      </c>
      <c r="T131">
        <f t="shared" si="24"/>
        <v>1</v>
      </c>
      <c r="U131">
        <f t="shared" si="25"/>
        <v>1</v>
      </c>
      <c r="AB131">
        <f t="shared" si="26"/>
        <v>0</v>
      </c>
      <c r="AC131" t="e">
        <f t="shared" si="27"/>
        <v>#N/A</v>
      </c>
      <c r="AF131" s="3026">
        <v>1999</v>
      </c>
    </row>
    <row r="132" spans="1:32" hidden="1" x14ac:dyDescent="0.2">
      <c r="A132" s="3007"/>
      <c r="B132" s="3014"/>
      <c r="C132" s="3090"/>
      <c r="D132" s="3020"/>
      <c r="E132" s="3020"/>
      <c r="F132" s="3020"/>
      <c r="G132" s="3021"/>
      <c r="H132" s="2885"/>
      <c r="I132" s="3024"/>
      <c r="J132" s="3802"/>
      <c r="K132" s="3802"/>
      <c r="L132" s="3802"/>
      <c r="M132" s="2761" t="str">
        <f t="shared" si="19"/>
        <v/>
      </c>
      <c r="N132">
        <f t="shared" si="21"/>
        <v>0</v>
      </c>
      <c r="P132">
        <f t="shared" si="20"/>
        <v>0</v>
      </c>
      <c r="R132">
        <f t="shared" si="22"/>
        <v>0</v>
      </c>
      <c r="S132">
        <f t="shared" si="23"/>
        <v>0</v>
      </c>
      <c r="T132">
        <f t="shared" si="24"/>
        <v>1</v>
      </c>
      <c r="U132">
        <f t="shared" si="25"/>
        <v>1</v>
      </c>
      <c r="AB132">
        <f t="shared" si="26"/>
        <v>0</v>
      </c>
      <c r="AC132" t="e">
        <f t="shared" si="27"/>
        <v>#N/A</v>
      </c>
      <c r="AF132" s="3025">
        <v>2000</v>
      </c>
    </row>
    <row r="133" spans="1:32" hidden="1" x14ac:dyDescent="0.2">
      <c r="A133" s="3007"/>
      <c r="B133" s="3014"/>
      <c r="C133" s="3090"/>
      <c r="D133" s="3020"/>
      <c r="E133" s="3020"/>
      <c r="F133" s="3020"/>
      <c r="G133" s="3021"/>
      <c r="H133" s="2885"/>
      <c r="I133" s="3024"/>
      <c r="J133" s="3802"/>
      <c r="K133" s="3802"/>
      <c r="L133" s="3802"/>
      <c r="M133" s="2761" t="str">
        <f t="shared" si="19"/>
        <v/>
      </c>
      <c r="N133">
        <f t="shared" si="21"/>
        <v>0</v>
      </c>
      <c r="P133">
        <f t="shared" si="20"/>
        <v>0</v>
      </c>
      <c r="R133">
        <f t="shared" si="22"/>
        <v>0</v>
      </c>
      <c r="S133">
        <f t="shared" si="23"/>
        <v>0</v>
      </c>
      <c r="T133">
        <f t="shared" si="24"/>
        <v>1</v>
      </c>
      <c r="U133">
        <f t="shared" si="25"/>
        <v>1</v>
      </c>
      <c r="AB133">
        <f t="shared" si="26"/>
        <v>0</v>
      </c>
      <c r="AC133" t="e">
        <f t="shared" si="27"/>
        <v>#N/A</v>
      </c>
      <c r="AF133" s="3025">
        <v>2001</v>
      </c>
    </row>
    <row r="134" spans="1:32" hidden="1" x14ac:dyDescent="0.2">
      <c r="A134" s="3007"/>
      <c r="B134" s="3014"/>
      <c r="C134" s="3090"/>
      <c r="D134" s="3020"/>
      <c r="E134" s="3020"/>
      <c r="F134" s="3020"/>
      <c r="G134" s="3021"/>
      <c r="H134" s="2885"/>
      <c r="I134" s="3024"/>
      <c r="J134" s="3802"/>
      <c r="K134" s="3802"/>
      <c r="L134" s="3802"/>
      <c r="M134" s="2761" t="str">
        <f t="shared" si="19"/>
        <v/>
      </c>
      <c r="N134">
        <f t="shared" si="21"/>
        <v>0</v>
      </c>
      <c r="P134">
        <f t="shared" si="20"/>
        <v>0</v>
      </c>
      <c r="R134">
        <f t="shared" si="22"/>
        <v>0</v>
      </c>
      <c r="S134">
        <f t="shared" si="23"/>
        <v>0</v>
      </c>
      <c r="T134">
        <f t="shared" si="24"/>
        <v>1</v>
      </c>
      <c r="U134">
        <f t="shared" si="25"/>
        <v>1</v>
      </c>
      <c r="AB134">
        <f t="shared" si="26"/>
        <v>0</v>
      </c>
      <c r="AC134" t="e">
        <f t="shared" si="27"/>
        <v>#N/A</v>
      </c>
      <c r="AF134" s="3025">
        <v>2002</v>
      </c>
    </row>
    <row r="135" spans="1:32" hidden="1" x14ac:dyDescent="0.2">
      <c r="A135" s="3007"/>
      <c r="B135" s="3014"/>
      <c r="C135" s="3090"/>
      <c r="D135" s="3020"/>
      <c r="E135" s="3020"/>
      <c r="F135" s="3020"/>
      <c r="G135" s="3021"/>
      <c r="H135" s="2885"/>
      <c r="I135" s="3024"/>
      <c r="J135" s="3802"/>
      <c r="K135" s="3802"/>
      <c r="L135" s="3802"/>
      <c r="M135" s="2761" t="str">
        <f t="shared" si="19"/>
        <v/>
      </c>
      <c r="N135">
        <f t="shared" si="21"/>
        <v>0</v>
      </c>
      <c r="P135">
        <f t="shared" si="20"/>
        <v>0</v>
      </c>
      <c r="R135">
        <f t="shared" si="22"/>
        <v>0</v>
      </c>
      <c r="S135">
        <f t="shared" si="23"/>
        <v>0</v>
      </c>
      <c r="T135">
        <f t="shared" si="24"/>
        <v>1</v>
      </c>
      <c r="U135">
        <f t="shared" si="25"/>
        <v>1</v>
      </c>
      <c r="AB135">
        <f t="shared" si="26"/>
        <v>0</v>
      </c>
      <c r="AC135" t="e">
        <f t="shared" si="27"/>
        <v>#N/A</v>
      </c>
      <c r="AF135" s="3025">
        <v>2003</v>
      </c>
    </row>
    <row r="136" spans="1:32" hidden="1" x14ac:dyDescent="0.2">
      <c r="A136" s="3007"/>
      <c r="B136" s="3014"/>
      <c r="C136" s="3090"/>
      <c r="D136" s="3020"/>
      <c r="E136" s="3020"/>
      <c r="F136" s="3020"/>
      <c r="G136" s="3021"/>
      <c r="H136" s="2885"/>
      <c r="I136" s="3024"/>
      <c r="J136" s="3802"/>
      <c r="K136" s="3802"/>
      <c r="L136" s="3802"/>
      <c r="M136" s="2761" t="str">
        <f t="shared" si="19"/>
        <v/>
      </c>
      <c r="N136">
        <f t="shared" si="21"/>
        <v>0</v>
      </c>
      <c r="P136">
        <f t="shared" si="20"/>
        <v>0</v>
      </c>
      <c r="R136">
        <f t="shared" si="22"/>
        <v>0</v>
      </c>
      <c r="S136">
        <f t="shared" si="23"/>
        <v>0</v>
      </c>
      <c r="T136">
        <f t="shared" si="24"/>
        <v>1</v>
      </c>
      <c r="U136">
        <f t="shared" si="25"/>
        <v>1</v>
      </c>
      <c r="AB136">
        <f t="shared" si="26"/>
        <v>0</v>
      </c>
      <c r="AC136" t="e">
        <f t="shared" si="27"/>
        <v>#N/A</v>
      </c>
      <c r="AF136" s="3025">
        <v>2004</v>
      </c>
    </row>
    <row r="137" spans="1:32" hidden="1" x14ac:dyDescent="0.2">
      <c r="A137" s="3007"/>
      <c r="B137" s="3014"/>
      <c r="C137" s="3090"/>
      <c r="D137" s="3020"/>
      <c r="E137" s="3020"/>
      <c r="F137" s="3020"/>
      <c r="G137" s="3021"/>
      <c r="H137" s="2885"/>
      <c r="I137" s="3024"/>
      <c r="J137" s="3802"/>
      <c r="K137" s="3802"/>
      <c r="L137" s="3802"/>
      <c r="M137" s="2761" t="str">
        <f t="shared" si="19"/>
        <v/>
      </c>
      <c r="N137">
        <f t="shared" si="21"/>
        <v>0</v>
      </c>
      <c r="P137">
        <f t="shared" si="20"/>
        <v>0</v>
      </c>
      <c r="R137">
        <f t="shared" si="22"/>
        <v>0</v>
      </c>
      <c r="S137">
        <f t="shared" si="23"/>
        <v>0</v>
      </c>
      <c r="T137">
        <f t="shared" si="24"/>
        <v>1</v>
      </c>
      <c r="U137">
        <f t="shared" si="25"/>
        <v>1</v>
      </c>
      <c r="AB137">
        <f t="shared" si="26"/>
        <v>0</v>
      </c>
      <c r="AC137" t="e">
        <f t="shared" si="27"/>
        <v>#N/A</v>
      </c>
      <c r="AF137" s="3025">
        <v>2005</v>
      </c>
    </row>
    <row r="138" spans="1:32" hidden="1" x14ac:dyDescent="0.2">
      <c r="A138" s="3007"/>
      <c r="B138" s="3014"/>
      <c r="C138" s="3090"/>
      <c r="D138" s="3020"/>
      <c r="E138" s="3020"/>
      <c r="F138" s="3020"/>
      <c r="G138" s="3021"/>
      <c r="H138" s="2885"/>
      <c r="I138" s="3024"/>
      <c r="J138" s="3802"/>
      <c r="K138" s="3802"/>
      <c r="L138" s="3802"/>
      <c r="M138" s="2761" t="str">
        <f t="shared" si="19"/>
        <v/>
      </c>
      <c r="N138">
        <f t="shared" si="21"/>
        <v>0</v>
      </c>
      <c r="P138">
        <f t="shared" si="20"/>
        <v>0</v>
      </c>
      <c r="R138">
        <f t="shared" si="22"/>
        <v>0</v>
      </c>
      <c r="S138">
        <f t="shared" si="23"/>
        <v>0</v>
      </c>
      <c r="T138">
        <f t="shared" si="24"/>
        <v>1</v>
      </c>
      <c r="U138">
        <f t="shared" si="25"/>
        <v>1</v>
      </c>
      <c r="AB138">
        <f t="shared" si="26"/>
        <v>0</v>
      </c>
      <c r="AC138" t="e">
        <f t="shared" si="27"/>
        <v>#N/A</v>
      </c>
      <c r="AF138" s="3025">
        <v>2006</v>
      </c>
    </row>
    <row r="139" spans="1:32" hidden="1" x14ac:dyDescent="0.2">
      <c r="A139" s="3007"/>
      <c r="B139" s="3014"/>
      <c r="C139" s="3090"/>
      <c r="D139" s="3020"/>
      <c r="E139" s="3020"/>
      <c r="F139" s="3020"/>
      <c r="G139" s="3021"/>
      <c r="H139" s="2885"/>
      <c r="I139" s="3024"/>
      <c r="J139" s="3802"/>
      <c r="K139" s="3802"/>
      <c r="L139" s="3802"/>
      <c r="M139" s="2761" t="str">
        <f t="shared" si="19"/>
        <v/>
      </c>
      <c r="N139">
        <f t="shared" si="21"/>
        <v>0</v>
      </c>
      <c r="P139">
        <f t="shared" si="20"/>
        <v>0</v>
      </c>
      <c r="R139">
        <f t="shared" si="22"/>
        <v>0</v>
      </c>
      <c r="S139">
        <f t="shared" si="23"/>
        <v>0</v>
      </c>
      <c r="T139">
        <f t="shared" si="24"/>
        <v>1</v>
      </c>
      <c r="U139">
        <f t="shared" si="25"/>
        <v>1</v>
      </c>
      <c r="AB139">
        <f t="shared" si="26"/>
        <v>0</v>
      </c>
      <c r="AC139" t="e">
        <f t="shared" si="27"/>
        <v>#N/A</v>
      </c>
      <c r="AF139" s="3025">
        <v>2007</v>
      </c>
    </row>
    <row r="140" spans="1:32" hidden="1" x14ac:dyDescent="0.2">
      <c r="A140" s="3007"/>
      <c r="B140" s="3014"/>
      <c r="C140" s="3090"/>
      <c r="D140" s="3020"/>
      <c r="E140" s="3020"/>
      <c r="F140" s="3020"/>
      <c r="G140" s="3021"/>
      <c r="H140" s="2885"/>
      <c r="I140" s="3024"/>
      <c r="J140" s="3802"/>
      <c r="K140" s="3802"/>
      <c r="L140" s="3802"/>
      <c r="M140" s="2761" t="str">
        <f t="shared" si="19"/>
        <v/>
      </c>
      <c r="N140">
        <f t="shared" si="21"/>
        <v>0</v>
      </c>
      <c r="P140">
        <f t="shared" si="20"/>
        <v>0</v>
      </c>
      <c r="R140">
        <f t="shared" si="22"/>
        <v>0</v>
      </c>
      <c r="S140">
        <f t="shared" si="23"/>
        <v>0</v>
      </c>
      <c r="T140">
        <f t="shared" si="24"/>
        <v>1</v>
      </c>
      <c r="U140">
        <f t="shared" si="25"/>
        <v>1</v>
      </c>
      <c r="AB140">
        <f t="shared" si="26"/>
        <v>0</v>
      </c>
      <c r="AC140" t="e">
        <f t="shared" si="27"/>
        <v>#N/A</v>
      </c>
      <c r="AF140" s="3025">
        <v>2050</v>
      </c>
    </row>
    <row r="141" spans="1:32" hidden="1" x14ac:dyDescent="0.2">
      <c r="A141" s="3007"/>
      <c r="B141" s="3014"/>
      <c r="C141" s="3090"/>
      <c r="D141" s="3020"/>
      <c r="E141" s="3020"/>
      <c r="F141" s="3020"/>
      <c r="G141" s="3021"/>
      <c r="H141" s="2885"/>
      <c r="I141" s="3024"/>
      <c r="J141" s="3802"/>
      <c r="K141" s="3802"/>
      <c r="L141" s="3802"/>
      <c r="M141" s="2761" t="str">
        <f t="shared" si="19"/>
        <v/>
      </c>
      <c r="N141">
        <f t="shared" si="21"/>
        <v>0</v>
      </c>
      <c r="P141">
        <f t="shared" si="20"/>
        <v>0</v>
      </c>
      <c r="R141">
        <f t="shared" si="22"/>
        <v>0</v>
      </c>
      <c r="S141">
        <f t="shared" si="23"/>
        <v>0</v>
      </c>
      <c r="T141">
        <f t="shared" si="24"/>
        <v>1</v>
      </c>
      <c r="U141">
        <f t="shared" si="25"/>
        <v>1</v>
      </c>
      <c r="AB141">
        <f t="shared" si="26"/>
        <v>0</v>
      </c>
      <c r="AC141" t="e">
        <f t="shared" si="27"/>
        <v>#N/A</v>
      </c>
      <c r="AF141" s="3025">
        <v>2051</v>
      </c>
    </row>
    <row r="142" spans="1:32" hidden="1" x14ac:dyDescent="0.2">
      <c r="A142" s="3007"/>
      <c r="B142" s="3014"/>
      <c r="C142" s="3090"/>
      <c r="D142" s="3020"/>
      <c r="E142" s="3020"/>
      <c r="F142" s="3020"/>
      <c r="G142" s="3021"/>
      <c r="H142" s="2885"/>
      <c r="I142" s="3024"/>
      <c r="J142" s="3802"/>
      <c r="K142" s="3802"/>
      <c r="L142" s="3802"/>
      <c r="M142" s="2761" t="str">
        <f t="shared" si="19"/>
        <v/>
      </c>
      <c r="N142">
        <f t="shared" si="21"/>
        <v>0</v>
      </c>
      <c r="P142">
        <f t="shared" si="20"/>
        <v>0</v>
      </c>
      <c r="R142">
        <f t="shared" si="22"/>
        <v>0</v>
      </c>
      <c r="S142">
        <f t="shared" si="23"/>
        <v>0</v>
      </c>
      <c r="T142">
        <f t="shared" si="24"/>
        <v>1</v>
      </c>
      <c r="U142">
        <f t="shared" si="25"/>
        <v>1</v>
      </c>
      <c r="AB142">
        <f t="shared" si="26"/>
        <v>0</v>
      </c>
      <c r="AC142" t="e">
        <f t="shared" si="27"/>
        <v>#N/A</v>
      </c>
      <c r="AF142" s="3025">
        <v>2052</v>
      </c>
    </row>
    <row r="143" spans="1:32" hidden="1" x14ac:dyDescent="0.2">
      <c r="A143" s="3007"/>
      <c r="B143" s="3014"/>
      <c r="C143" s="3090"/>
      <c r="D143" s="3020"/>
      <c r="E143" s="3020"/>
      <c r="F143" s="3020"/>
      <c r="G143" s="3021"/>
      <c r="H143" s="2885"/>
      <c r="I143" s="3024"/>
      <c r="J143" s="3802"/>
      <c r="K143" s="3802"/>
      <c r="L143" s="3802"/>
      <c r="M143" s="2761" t="str">
        <f t="shared" si="19"/>
        <v/>
      </c>
      <c r="N143">
        <f t="shared" si="21"/>
        <v>0</v>
      </c>
      <c r="P143">
        <f t="shared" si="20"/>
        <v>0</v>
      </c>
      <c r="R143">
        <f t="shared" si="22"/>
        <v>0</v>
      </c>
      <c r="S143">
        <f t="shared" si="23"/>
        <v>0</v>
      </c>
      <c r="T143">
        <f t="shared" si="24"/>
        <v>1</v>
      </c>
      <c r="U143">
        <f t="shared" si="25"/>
        <v>1</v>
      </c>
      <c r="AB143">
        <f t="shared" si="26"/>
        <v>0</v>
      </c>
      <c r="AC143" t="e">
        <f t="shared" si="27"/>
        <v>#N/A</v>
      </c>
      <c r="AF143" s="3025">
        <v>2053</v>
      </c>
    </row>
    <row r="144" spans="1:32" hidden="1" x14ac:dyDescent="0.2">
      <c r="A144" s="3007"/>
      <c r="B144" s="3014"/>
      <c r="C144" s="3090"/>
      <c r="D144" s="3020"/>
      <c r="E144" s="3020"/>
      <c r="F144" s="3020"/>
      <c r="G144" s="3021"/>
      <c r="H144" s="2885"/>
      <c r="I144" s="3024"/>
      <c r="J144" s="3802"/>
      <c r="K144" s="3802"/>
      <c r="L144" s="3802"/>
      <c r="M144" s="2761" t="str">
        <f t="shared" si="19"/>
        <v/>
      </c>
      <c r="N144">
        <f t="shared" si="21"/>
        <v>0</v>
      </c>
      <c r="P144">
        <f t="shared" si="20"/>
        <v>0</v>
      </c>
      <c r="R144">
        <f t="shared" si="22"/>
        <v>0</v>
      </c>
      <c r="S144">
        <f t="shared" si="23"/>
        <v>0</v>
      </c>
      <c r="T144">
        <f t="shared" si="24"/>
        <v>1</v>
      </c>
      <c r="U144">
        <f t="shared" si="25"/>
        <v>1</v>
      </c>
      <c r="AB144">
        <f t="shared" si="26"/>
        <v>0</v>
      </c>
      <c r="AC144" t="e">
        <f t="shared" ref="AC144:AC150" si="28">VLOOKUP(G144,$AF$5:$AF$484,1,FALSE)</f>
      </c>
      <c r="AF144" s="3025">
        <v>2054</v>
      </c>
    </row>
    <row r="145" spans="1:33" hidden="1" x14ac:dyDescent="0.2">
      <c r="A145" s="3007"/>
      <c r="B145" s="3014"/>
      <c r="C145" s="3012"/>
      <c r="D145" s="3020"/>
      <c r="E145" s="3020"/>
      <c r="F145" s="3020"/>
      <c r="G145" s="3021"/>
      <c r="H145" s="2885"/>
      <c r="I145" s="3024"/>
      <c r="J145" s="3802"/>
      <c r="K145" s="3802"/>
      <c r="L145" s="3802"/>
      <c r="M145" s="2761" t="str">
        <f t="shared" ref="M145:M150" si="29">IF(AND(P145=0,COUNTA(D145:I145)&gt;0),"Delete!",IF(AND(P145&gt;0,R145=0,COUNTA(D145:H145)&lt;&gt;5),"All details required!",IF(AND(K145="yes",$Y$1="n"),"Check pg 2 Q20",IF(AND(P145&gt;0,R145=1,OR(J145="",J145="yes"),K145="yes",COUNTA(D145:H145)+COUNTA(J145:L145)&lt;&gt;8),"All details required!",IF(AND(P145&gt;0,R145=1,OR(J145="",J145="yes",K145="no"),COUNTA(D145:H145)+COUNTA(J145:K145)&lt;&gt;7),"All details required!",IF(AND(P145&gt;0,R145=1,J145="no",COUNTA(D145:H145)+COUNTA(J145:L145)&lt;6),"All details required!",IF(AND(P145&gt;0,AB145=0),"Wrong TIFD code!",IF(OR(AND(OR(J145="no",J145=""),OR(K145&lt;&gt;"",L145&lt;&gt;"")),AND(P145&gt;0,J145="Yes",K145="no",L145&lt;&gt;""),S145=1),"Delete!",""))))))))</f>
        <v/>
      </c>
      <c r="N145">
        <f t="shared" ref="N145:N150" si="30">IF(M145="",0,1)</f>
      </c>
      <c r="P145">
        <f t="shared" si="20"/>
        <v>0</v>
      </c>
      <c r="R145">
        <f t="shared" ref="R145:R150" si="31">IF(OR($T$76=G145,$T$77=G145,$T$78=G145),1,0)</f>
      </c>
      <c r="S145">
        <f t="shared" ref="S145:S150" si="32">IF(AND(R145=0,J145&lt;&gt;""),1,0)</f>
      </c>
      <c r="T145">
        <f t="shared" ref="T145:T150" si="33">IF(OR(J145="",J145="no",S145=1),1,0)</f>
      </c>
      <c r="U145">
        <f t="shared" ref="U145:U150" si="34">IF(OR(J145="",J145="no",K145="",K145="no",S145=1),1,0)</f>
      </c>
      <c r="AB145">
        <f t="shared" ref="AB145:AB150" si="35">IFERROR(AC145,0)</f>
      </c>
      <c r="AC145" t="e">
        <f t="shared" si="28"/>
        <v>#N/A</v>
      </c>
      <c r="AF145" s="3025">
        <v>2055</v>
      </c>
    </row>
    <row r="146" spans="1:33" hidden="1" x14ac:dyDescent="0.2">
      <c r="A146" s="3007"/>
      <c r="B146" s="3014"/>
      <c r="C146" s="3012"/>
      <c r="D146" s="3020"/>
      <c r="E146" s="3020"/>
      <c r="F146" s="3020"/>
      <c r="G146" s="3021"/>
      <c r="H146" s="2885"/>
      <c r="I146" s="3024"/>
      <c r="J146" s="3802"/>
      <c r="K146" s="3802"/>
      <c r="L146" s="3802"/>
      <c r="M146" s="2761" t="str">
        <f t="shared" si="29"/>
        <v/>
      </c>
      <c r="N146">
        <f t="shared" si="30"/>
        <v>0</v>
      </c>
      <c r="P146">
        <f t="shared" si="20"/>
        <v>0</v>
      </c>
      <c r="R146">
        <f t="shared" si="31"/>
        <v>0</v>
      </c>
      <c r="S146">
        <f t="shared" si="32"/>
        <v>0</v>
      </c>
      <c r="T146">
        <f t="shared" si="33"/>
        <v>1</v>
      </c>
      <c r="U146">
        <f t="shared" si="34"/>
        <v>1</v>
      </c>
      <c r="AB146">
        <f t="shared" si="35"/>
        <v>0</v>
      </c>
      <c r="AC146" t="e">
        <f t="shared" si="28"/>
        <v>#N/A</v>
      </c>
      <c r="AF146" s="3025">
        <v>2056</v>
      </c>
    </row>
    <row r="147" spans="1:33" hidden="1" x14ac:dyDescent="0.2">
      <c r="A147" s="3007"/>
      <c r="B147" s="3014"/>
      <c r="C147" s="3012"/>
      <c r="D147" s="3020"/>
      <c r="E147" s="3020"/>
      <c r="F147" s="3020"/>
      <c r="G147" s="3021"/>
      <c r="H147" s="2885"/>
      <c r="I147" s="3024"/>
      <c r="J147" s="3802"/>
      <c r="K147" s="3802"/>
      <c r="L147" s="3802"/>
      <c r="M147" s="2761" t="str">
        <f t="shared" si="29"/>
        <v/>
      </c>
      <c r="N147">
        <f t="shared" si="30"/>
        <v>0</v>
      </c>
      <c r="P147">
        <f t="shared" si="20"/>
        <v>0</v>
      </c>
      <c r="R147">
        <f t="shared" si="31"/>
        <v>0</v>
      </c>
      <c r="S147">
        <f t="shared" si="32"/>
        <v>0</v>
      </c>
      <c r="T147">
        <f t="shared" si="33"/>
        <v>1</v>
      </c>
      <c r="U147">
        <f t="shared" si="34"/>
        <v>1</v>
      </c>
      <c r="AB147">
        <f t="shared" si="35"/>
        <v>0</v>
      </c>
      <c r="AC147" t="e">
        <f t="shared" si="28"/>
        <v>#N/A</v>
      </c>
      <c r="AF147" s="3025">
        <v>2057</v>
      </c>
    </row>
    <row r="148" spans="1:33" hidden="1" x14ac:dyDescent="0.2">
      <c r="A148" s="3007"/>
      <c r="B148" s="3014"/>
      <c r="C148" s="3012"/>
      <c r="D148" s="3020"/>
      <c r="E148" s="3020"/>
      <c r="F148" s="3020"/>
      <c r="G148" s="3021"/>
      <c r="H148" s="2885"/>
      <c r="I148" s="3024"/>
      <c r="J148" s="3802"/>
      <c r="K148" s="3802"/>
      <c r="L148" s="3802"/>
      <c r="M148" s="2761" t="str">
        <f t="shared" si="29"/>
        <v/>
      </c>
      <c r="N148">
        <f t="shared" si="30"/>
        <v>0</v>
      </c>
      <c r="P148">
        <f t="shared" si="20"/>
        <v>0</v>
      </c>
      <c r="R148">
        <f t="shared" si="31"/>
        <v>0</v>
      </c>
      <c r="S148">
        <f t="shared" si="32"/>
        <v>0</v>
      </c>
      <c r="T148">
        <f t="shared" si="33"/>
        <v>1</v>
      </c>
      <c r="U148">
        <f t="shared" si="34"/>
        <v>1</v>
      </c>
      <c r="AB148">
        <f t="shared" si="35"/>
        <v>0</v>
      </c>
      <c r="AC148" t="e">
        <f t="shared" si="28"/>
        <v>#N/A</v>
      </c>
      <c r="AF148" s="3025">
        <v>2058</v>
      </c>
    </row>
    <row r="149" spans="1:33" hidden="1" x14ac:dyDescent="0.2">
      <c r="A149" s="3007"/>
      <c r="B149" s="3014"/>
      <c r="C149" s="3012"/>
      <c r="D149" s="3020"/>
      <c r="E149" s="3020"/>
      <c r="F149" s="3020"/>
      <c r="G149" s="3021"/>
      <c r="H149" s="2885"/>
      <c r="I149" s="3024"/>
      <c r="J149" s="3802"/>
      <c r="K149" s="3802"/>
      <c r="L149" s="3802"/>
      <c r="M149" s="2761" t="str">
        <f t="shared" si="29"/>
        <v/>
      </c>
      <c r="N149">
        <f t="shared" si="30"/>
        <v>0</v>
      </c>
      <c r="P149">
        <f t="shared" si="20"/>
        <v>0</v>
      </c>
      <c r="R149">
        <f t="shared" si="31"/>
        <v>0</v>
      </c>
      <c r="S149">
        <f t="shared" si="32"/>
        <v>0</v>
      </c>
      <c r="T149">
        <f t="shared" si="33"/>
        <v>1</v>
      </c>
      <c r="U149">
        <f t="shared" si="34"/>
        <v>1</v>
      </c>
      <c r="AB149">
        <f t="shared" si="35"/>
        <v>0</v>
      </c>
      <c r="AC149" t="e">
        <f t="shared" si="28"/>
        <v>#N/A</v>
      </c>
      <c r="AF149" s="3025">
        <v>2059</v>
      </c>
    </row>
    <row r="150" spans="1:33" hidden="1" x14ac:dyDescent="0.2">
      <c r="A150" s="3007"/>
      <c r="B150" s="2592"/>
      <c r="C150" s="3008"/>
      <c r="D150" s="3020"/>
      <c r="E150" s="3020"/>
      <c r="F150" s="3020"/>
      <c r="G150" s="3021"/>
      <c r="H150" s="2885"/>
      <c r="I150" s="3024"/>
      <c r="J150" s="3802"/>
      <c r="K150" s="3802"/>
      <c r="L150" s="3802"/>
      <c r="M150" s="2761" t="str">
        <f t="shared" si="29"/>
        <v/>
      </c>
      <c r="N150">
        <f t="shared" si="30"/>
        <v>0</v>
      </c>
      <c r="P150">
        <f t="shared" si="20"/>
        <v>0</v>
      </c>
      <c r="R150">
        <f t="shared" si="31"/>
        <v>0</v>
      </c>
      <c r="S150">
        <f t="shared" si="32"/>
        <v>0</v>
      </c>
      <c r="T150">
        <f t="shared" si="33"/>
        <v>1</v>
      </c>
      <c r="U150">
        <f t="shared" si="34"/>
        <v>1</v>
      </c>
      <c r="AB150">
        <f t="shared" si="35"/>
        <v>0</v>
      </c>
      <c r="AC150" t="e">
        <f t="shared" si="28"/>
        <v>#N/A</v>
      </c>
      <c r="AF150" s="3025">
        <v>2060</v>
      </c>
    </row>
    <row r="151" spans="1:33" x14ac:dyDescent="0.2">
      <c r="A151" s="3007"/>
      <c r="B151" s="2592"/>
      <c r="C151" s="3008"/>
      <c r="D151" s="2592"/>
      <c r="E151" s="2592"/>
      <c r="F151" s="2592"/>
      <c r="G151" s="2592"/>
      <c r="H151" s="2592"/>
      <c r="I151" s="2592"/>
      <c r="J151" s="2592"/>
      <c r="K151" s="2592"/>
      <c r="L151" s="2592"/>
      <c r="M151" s="2592"/>
      <c r="AF151" s="3025">
        <v>2100</v>
      </c>
    </row>
    <row r="152" spans="1:33" s="3003" customFormat="1" x14ac:dyDescent="0.2">
      <c r="A152" s="2866" t="str">
        <f>_xlfn.SINGLE(MTCA)</f>
      </c>
      <c r="B152" s="2866"/>
      <c r="C152" s="3008"/>
      <c r="D152" s="2866"/>
      <c r="E152" s="2866" t="str">
        <f>ver</f>
        <v>TA2_e-CO_2025_Ver 1.1</v>
      </c>
      <c r="F152" s="2866"/>
      <c r="G152" s="2866"/>
      <c r="H152" s="2866"/>
      <c r="I152" s="3016" t="s">
        <v>8867</v>
      </c>
      <c r="J152" s="3016"/>
      <c r="K152" s="3016"/>
      <c r="L152" s="3016"/>
      <c r="M152" s="2866"/>
      <c r="N152"/>
      <c r="AF152" s="3025">
        <v>2101</v>
      </c>
      <c r="AG152"/>
    </row>
    <row r="153" spans="1:33" s="3003" customFormat="1" ht="3" customHeight="1" x14ac:dyDescent="0.2">
      <c r="A153" s="2866"/>
      <c r="B153" s="2866"/>
      <c r="C153" s="3008"/>
      <c r="D153" s="2866"/>
      <c r="E153" s="2866"/>
      <c r="F153" s="2866"/>
      <c r="G153" s="2866"/>
      <c r="H153" s="2866"/>
      <c r="I153" s="3016"/>
      <c r="J153" s="3016"/>
      <c r="K153" s="3016"/>
      <c r="L153" s="3016"/>
      <c r="M153" s="2866"/>
      <c r="N153">
        <f>IF(C161="",0,1)</f>
      </c>
      <c r="AF153" s="3025">
        <v>2102</v>
      </c>
      <c r="AG153"/>
    </row>
    <row r="154" spans="1:33" ht="14.65" customHeight="1" x14ac:dyDescent="0.2">
      <c r="A154" s="3007"/>
      <c r="B154" s="2592"/>
      <c r="C154" s="3008"/>
      <c r="D154" s="2870" t="s">
        <v>8857</v>
      </c>
      <c r="E154" s="2870" t="s">
        <v>8864</v>
      </c>
      <c r="F154" s="5310" t="s">
        <v>8865</v>
      </c>
      <c r="G154" s="5310"/>
      <c r="H154" s="5308" t="s">
        <v>8860</v>
      </c>
      <c r="I154" s="5308"/>
      <c r="J154" s="3016"/>
      <c r="K154" s="3016"/>
      <c r="L154" s="3016"/>
      <c r="M154" s="2592"/>
      <c r="N154">
        <f>IF(C163="",0,1)</f>
      </c>
      <c r="AF154" s="3025">
        <v>2103</v>
      </c>
    </row>
    <row r="155" spans="1:33" ht="14.65" customHeight="1" x14ac:dyDescent="0.2">
      <c r="A155" s="3039">
        <v>3</v>
      </c>
      <c r="B155" s="5305" t="s">
        <v>8882</v>
      </c>
      <c r="C155" s="3008"/>
      <c r="D155" s="3020"/>
      <c r="E155" s="3020"/>
      <c r="F155" s="5311"/>
      <c r="G155" s="5312"/>
      <c r="H155" s="5304"/>
      <c r="I155" s="5304"/>
      <c r="J155" s="2761" t="str">
        <f t="shared" ref="J155:J218" si="36">IF(AND(P155=0,COUNTA(D155:G155)&gt;0),"Delete!",IF(AND(P155&gt;0,COUNTA(D155:G155)&lt;&gt;3),"All details required!",""))</f>
        <v/>
      </c>
      <c r="K155" s="2761"/>
      <c r="L155" s="3016"/>
      <c r="M155" s="2592"/>
      <c r="N155">
        <f t="shared" ref="N155:N164" si="37">IF(J155="",0,1)</f>
      </c>
      <c r="O155">
        <f>COUNTA(D155:I224)</f>
      </c>
      <c r="P155">
        <f>C162</f>
      </c>
      <c r="AF155" s="3025">
        <v>2104</v>
      </c>
    </row>
    <row r="156" spans="1:33" ht="12.4" customHeight="1" x14ac:dyDescent="0.2">
      <c r="A156" s="3007"/>
      <c r="B156" s="5305"/>
      <c r="C156" s="3008"/>
      <c r="D156" s="3020"/>
      <c r="E156" s="3020"/>
      <c r="F156" s="5311"/>
      <c r="G156" s="5312"/>
      <c r="H156" s="5311"/>
      <c r="I156" s="5312"/>
      <c r="J156" s="2761" t="str">
        <f t="shared" si="36"/>
        <v/>
      </c>
      <c r="K156" s="2761"/>
      <c r="L156" s="3016"/>
      <c r="M156" s="2592"/>
      <c r="N156">
        <f t="shared" si="37"/>
        <v>0</v>
      </c>
      <c r="P156">
        <f t="shared" ref="P156:P224" si="38">IF(P155=0,0,P155-1)</f>
      </c>
      <c r="AF156" s="3025">
        <v>2105</v>
      </c>
    </row>
    <row r="157" spans="1:33" ht="12.4" customHeight="1" x14ac:dyDescent="0.2">
      <c r="A157" s="3007"/>
      <c r="B157" s="5305"/>
      <c r="C157" s="3008"/>
      <c r="D157" s="3020"/>
      <c r="E157" s="3020"/>
      <c r="F157" s="5311"/>
      <c r="G157" s="5312"/>
      <c r="H157" s="5311"/>
      <c r="I157" s="5312"/>
      <c r="J157" s="2761" t="str">
        <f t="shared" si="36"/>
        <v/>
      </c>
      <c r="K157" s="2761"/>
      <c r="L157" s="3016"/>
      <c r="M157" s="2592"/>
      <c r="N157">
        <f t="shared" si="37"/>
        <v>0</v>
      </c>
      <c r="P157">
        <f t="shared" si="38"/>
        <v>0</v>
      </c>
      <c r="AF157" s="3025">
        <v>2106</v>
      </c>
    </row>
    <row r="158" spans="1:33" ht="12.4" customHeight="1" x14ac:dyDescent="0.2">
      <c r="A158" s="3007"/>
      <c r="B158" s="5305"/>
      <c r="C158" s="3008"/>
      <c r="D158" s="3020"/>
      <c r="E158" s="3020"/>
      <c r="F158" s="5311"/>
      <c r="G158" s="5312"/>
      <c r="H158" s="5311"/>
      <c r="I158" s="5312"/>
      <c r="J158" s="2761" t="str">
        <f t="shared" si="36"/>
        <v/>
      </c>
      <c r="K158" s="2761"/>
      <c r="L158" s="3016"/>
      <c r="M158" s="2592"/>
      <c r="N158">
        <f t="shared" si="37"/>
        <v>0</v>
      </c>
      <c r="P158">
        <f t="shared" si="38"/>
        <v>0</v>
      </c>
      <c r="AF158" s="3025">
        <v>2130</v>
      </c>
    </row>
    <row r="159" spans="1:33" ht="12.4" customHeight="1" x14ac:dyDescent="0.2">
      <c r="A159" s="3007"/>
      <c r="B159" s="5305"/>
      <c r="C159" s="3008"/>
      <c r="D159" s="3020"/>
      <c r="E159" s="3020"/>
      <c r="F159" s="5311"/>
      <c r="G159" s="5312"/>
      <c r="H159" s="5311"/>
      <c r="I159" s="5312"/>
      <c r="J159" s="2761" t="str">
        <f t="shared" si="36"/>
        <v/>
      </c>
      <c r="K159" s="2761"/>
      <c r="L159" s="3016"/>
      <c r="M159" s="2592"/>
      <c r="N159">
        <f t="shared" si="37"/>
        <v>0</v>
      </c>
      <c r="P159">
        <f t="shared" si="38"/>
        <v>0</v>
      </c>
      <c r="AF159" s="3025">
        <v>2140</v>
      </c>
    </row>
    <row r="160" spans="1:33" x14ac:dyDescent="0.2">
      <c r="A160" s="3007"/>
      <c r="B160" s="5305"/>
      <c r="C160" s="3023"/>
      <c r="D160" s="3020"/>
      <c r="E160" s="3020"/>
      <c r="F160" s="5311"/>
      <c r="G160" s="5312"/>
      <c r="H160" s="5311"/>
      <c r="I160" s="5312"/>
      <c r="J160" s="2761" t="str">
        <f t="shared" si="36"/>
        <v/>
      </c>
      <c r="K160" s="2761"/>
      <c r="L160" s="3016"/>
      <c r="M160" s="2592"/>
      <c r="N160">
        <f t="shared" si="37"/>
        <v>0</v>
      </c>
      <c r="P160">
        <f t="shared" si="38"/>
        <v>0</v>
      </c>
      <c r="AF160" s="3025">
        <v>2150</v>
      </c>
    </row>
    <row r="161" spans="1:32" x14ac:dyDescent="0.2">
      <c r="A161" s="3007"/>
      <c r="B161" s="2592"/>
      <c r="C161" s="3090" t="str">
        <f>IF($AC$1=0,"",IF(C160="",re,IF(AND(C160=n,C162&gt;0),"Transactions indicated below!","")))</f>
        <v/>
      </c>
      <c r="D161" s="3020"/>
      <c r="E161" s="3020"/>
      <c r="F161" s="5311"/>
      <c r="G161" s="5312"/>
      <c r="H161" s="5311"/>
      <c r="I161" s="5312"/>
      <c r="J161" s="2761" t="str">
        <f t="shared" si="36"/>
        <v/>
      </c>
      <c r="K161" s="2761"/>
      <c r="L161" s="3016"/>
      <c r="M161" s="2592"/>
      <c r="N161">
        <f t="shared" si="37"/>
        <v>0</v>
      </c>
      <c r="P161">
        <f t="shared" si="38"/>
        <v>0</v>
      </c>
      <c r="AF161" s="3025">
        <v>2151</v>
      </c>
    </row>
    <row r="162" spans="1:32" ht="15" x14ac:dyDescent="0.2">
      <c r="A162" s="3007"/>
      <c r="B162" s="3015" t="s">
        <v>8870</v>
      </c>
      <c r="C162" s="3022"/>
      <c r="D162" s="3020"/>
      <c r="E162" s="3020"/>
      <c r="F162" s="5311"/>
      <c r="G162" s="5312"/>
      <c r="H162" s="5311"/>
      <c r="I162" s="5312"/>
      <c r="J162" s="2761" t="str">
        <f t="shared" si="36"/>
        <v/>
      </c>
      <c r="K162" s="2761"/>
      <c r="L162" s="3016"/>
      <c r="M162" s="2592"/>
      <c r="N162">
        <f t="shared" si="37"/>
        <v>0</v>
      </c>
      <c r="P162">
        <f t="shared" si="38"/>
        <v>0</v>
      </c>
      <c r="AF162" s="3025">
        <v>2152</v>
      </c>
    </row>
    <row r="163" spans="1:32" x14ac:dyDescent="0.2">
      <c r="A163" s="3007"/>
      <c r="B163" s="3011"/>
      <c r="C163" s="3090" t="str">
        <f>IF($AC$1=0,"",IF(C162="",re,IF(AND(C160=n,O155&lt;&gt;0),"Check reply above!",IF(AND(C160=y,C162=0),"Check reply above!",""))))</f>
        <v/>
      </c>
      <c r="D163" s="3020"/>
      <c r="E163" s="3020"/>
      <c r="F163" s="5311"/>
      <c r="G163" s="5312"/>
      <c r="H163" s="5311"/>
      <c r="I163" s="5312"/>
      <c r="J163" s="2761" t="str">
        <f t="shared" si="36"/>
        <v/>
      </c>
      <c r="K163" s="2761"/>
      <c r="L163" s="3016"/>
      <c r="M163" s="2592"/>
      <c r="N163">
        <f t="shared" si="37"/>
        <v>0</v>
      </c>
      <c r="P163">
        <f t="shared" si="38"/>
        <v>0</v>
      </c>
      <c r="AF163" s="3025">
        <v>2153</v>
      </c>
    </row>
    <row r="164" spans="1:32" x14ac:dyDescent="0.2">
      <c r="A164" s="3007"/>
      <c r="B164" s="2592"/>
      <c r="C164" s="3008"/>
      <c r="D164" s="3020"/>
      <c r="E164" s="3020"/>
      <c r="F164" s="5311"/>
      <c r="G164" s="5312"/>
      <c r="H164" s="5311"/>
      <c r="I164" s="5312"/>
      <c r="J164" s="2761" t="str">
        <f>IF(AND(P164=0,COUNTA(D164:G164)&gt;0),"Delete!",IF(AND(P164&gt;0,COUNTA(D164:G164)&lt;&gt;3),"All details required!",""))</f>
        <v/>
      </c>
      <c r="K164" s="2761"/>
      <c r="L164" s="3016"/>
      <c r="M164" s="2592"/>
      <c r="N164">
        <f t="shared" si="37"/>
        <v>0</v>
      </c>
      <c r="P164">
        <f t="shared" si="38"/>
        <v>0</v>
      </c>
      <c r="AF164" s="3025">
        <v>2154</v>
      </c>
    </row>
    <row r="165" spans="1:32" x14ac:dyDescent="0.2">
      <c r="A165" s="3007"/>
      <c r="B165" s="2592"/>
      <c r="C165" s="3008"/>
      <c r="D165" s="3020"/>
      <c r="E165" s="3020"/>
      <c r="F165" s="5311"/>
      <c r="G165" s="5312"/>
      <c r="H165" s="5311"/>
      <c r="I165" s="5312"/>
      <c r="J165" s="2761" t="str">
        <f t="shared" si="36"/>
        <v/>
      </c>
      <c r="K165" s="2761"/>
      <c r="L165" s="3016"/>
      <c r="M165" s="2592"/>
      <c r="N165">
        <f t="shared" ref="N165:N215" si="39">IF(J165="",0,1)</f>
      </c>
      <c r="P165">
        <f t="shared" si="38"/>
        <v>0</v>
      </c>
      <c r="AF165" s="3025">
        <v>2155</v>
      </c>
    </row>
    <row r="166" spans="1:32" x14ac:dyDescent="0.2">
      <c r="A166" s="3007"/>
      <c r="B166" s="2592"/>
      <c r="C166" s="3008"/>
      <c r="D166" s="3020"/>
      <c r="E166" s="3020"/>
      <c r="F166" s="5311"/>
      <c r="G166" s="5312"/>
      <c r="H166" s="5311"/>
      <c r="I166" s="5312"/>
      <c r="J166" s="2761" t="str">
        <f t="shared" si="36"/>
        <v/>
      </c>
      <c r="K166" s="2761"/>
      <c r="L166" s="3016"/>
      <c r="M166" s="2592"/>
      <c r="N166">
        <f t="shared" si="39"/>
        <v>0</v>
      </c>
      <c r="P166">
        <f t="shared" si="38"/>
        <v>0</v>
      </c>
      <c r="AF166" s="3025">
        <v>2200</v>
      </c>
    </row>
    <row r="167" spans="1:32" x14ac:dyDescent="0.2">
      <c r="A167" s="3007"/>
      <c r="B167" s="2592"/>
      <c r="C167" s="3008"/>
      <c r="D167" s="3020"/>
      <c r="E167" s="3020"/>
      <c r="F167" s="5311"/>
      <c r="G167" s="5312"/>
      <c r="H167" s="5311"/>
      <c r="I167" s="5312"/>
      <c r="J167" s="2761" t="str">
        <f t="shared" si="36"/>
        <v/>
      </c>
      <c r="K167" s="2761"/>
      <c r="L167" s="3016"/>
      <c r="M167" s="2592"/>
      <c r="N167">
        <f t="shared" si="39"/>
        <v>0</v>
      </c>
      <c r="P167">
        <f t="shared" si="38"/>
        <v>0</v>
      </c>
      <c r="AF167" s="3025">
        <v>2201</v>
      </c>
    </row>
    <row r="168" spans="1:32" x14ac:dyDescent="0.2">
      <c r="A168" s="3007"/>
      <c r="B168" s="2592"/>
      <c r="C168" s="3008"/>
      <c r="D168" s="3020"/>
      <c r="E168" s="3020"/>
      <c r="F168" s="5311"/>
      <c r="G168" s="5312"/>
      <c r="H168" s="5311"/>
      <c r="I168" s="5312"/>
      <c r="J168" s="2761" t="str">
        <f t="shared" si="36"/>
        <v/>
      </c>
      <c r="K168" s="2761"/>
      <c r="L168" s="3016"/>
      <c r="M168" s="2592"/>
      <c r="N168">
        <f t="shared" si="39"/>
        <v>0</v>
      </c>
      <c r="P168">
        <f t="shared" si="38"/>
        <v>0</v>
      </c>
      <c r="AF168" s="3025">
        <v>2202</v>
      </c>
    </row>
    <row r="169" spans="1:32" x14ac:dyDescent="0.2">
      <c r="A169" s="3007"/>
      <c r="B169" s="2592"/>
      <c r="C169" s="3008"/>
      <c r="D169" s="3020"/>
      <c r="E169" s="3020"/>
      <c r="F169" s="5311"/>
      <c r="G169" s="5312"/>
      <c r="H169" s="5311"/>
      <c r="I169" s="5312"/>
      <c r="J169" s="2761" t="str">
        <f t="shared" si="36"/>
        <v/>
      </c>
      <c r="K169" s="2761"/>
      <c r="L169" s="3016"/>
      <c r="M169" s="2592"/>
      <c r="N169">
        <f t="shared" si="39"/>
        <v>0</v>
      </c>
      <c r="P169">
        <f t="shared" si="38"/>
        <v>0</v>
      </c>
      <c r="AF169" s="3025">
        <v>2203</v>
      </c>
    </row>
    <row r="170" spans="1:32" x14ac:dyDescent="0.2">
      <c r="A170" s="3007"/>
      <c r="B170" s="2592"/>
      <c r="C170" s="3008"/>
      <c r="D170" s="3020"/>
      <c r="E170" s="3020"/>
      <c r="F170" s="5311"/>
      <c r="G170" s="5312"/>
      <c r="H170" s="5311"/>
      <c r="I170" s="5312"/>
      <c r="J170" s="2761" t="str">
        <f t="shared" si="36"/>
        <v/>
      </c>
      <c r="K170" s="2761"/>
      <c r="L170" s="3016"/>
      <c r="M170" s="2592"/>
      <c r="N170">
        <f t="shared" si="39"/>
        <v>0</v>
      </c>
      <c r="P170">
        <f t="shared" si="38"/>
        <v>0</v>
      </c>
      <c r="AF170" s="3025">
        <v>2204</v>
      </c>
    </row>
    <row r="171" spans="1:32" x14ac:dyDescent="0.2">
      <c r="A171" s="3007"/>
      <c r="B171" s="2592"/>
      <c r="C171" s="3008"/>
      <c r="D171" s="3020"/>
      <c r="E171" s="3020"/>
      <c r="F171" s="5311"/>
      <c r="G171" s="5312"/>
      <c r="H171" s="5311"/>
      <c r="I171" s="5312"/>
      <c r="J171" s="2761" t="str">
        <f t="shared" si="36"/>
        <v/>
      </c>
      <c r="K171" s="2761"/>
      <c r="L171" s="3016"/>
      <c r="M171" s="2592"/>
      <c r="N171">
        <f t="shared" si="39"/>
        <v>0</v>
      </c>
      <c r="P171">
        <f t="shared" si="38"/>
        <v>0</v>
      </c>
      <c r="AF171" s="3025">
        <v>2205</v>
      </c>
    </row>
    <row r="172" spans="1:32" x14ac:dyDescent="0.2">
      <c r="A172" s="3007"/>
      <c r="B172" s="2592"/>
      <c r="C172" s="3008"/>
      <c r="D172" s="3020"/>
      <c r="E172" s="3020"/>
      <c r="F172" s="5311"/>
      <c r="G172" s="5312"/>
      <c r="H172" s="5311"/>
      <c r="I172" s="5312"/>
      <c r="J172" s="2761" t="str">
        <f t="shared" si="36"/>
        <v/>
      </c>
      <c r="K172" s="2761"/>
      <c r="L172" s="3016"/>
      <c r="M172" s="2592"/>
      <c r="N172">
        <f t="shared" si="39"/>
        <v>0</v>
      </c>
      <c r="P172">
        <f t="shared" si="38"/>
        <v>0</v>
      </c>
      <c r="AF172" s="3026">
        <v>2298</v>
      </c>
    </row>
    <row r="173" spans="1:32" x14ac:dyDescent="0.2">
      <c r="A173" s="3007"/>
      <c r="B173" s="2592"/>
      <c r="C173" s="3008"/>
      <c r="D173" s="3020"/>
      <c r="E173" s="3020"/>
      <c r="F173" s="5311"/>
      <c r="G173" s="5312"/>
      <c r="H173" s="5311"/>
      <c r="I173" s="5312"/>
      <c r="J173" s="2761" t="str">
        <f t="shared" si="36"/>
        <v/>
      </c>
      <c r="K173" s="2761"/>
      <c r="L173" s="3016"/>
      <c r="M173" s="2592"/>
      <c r="N173">
        <f t="shared" si="39"/>
        <v>0</v>
      </c>
      <c r="P173">
        <f t="shared" si="38"/>
        <v>0</v>
      </c>
      <c r="AF173" s="3027">
        <v>3000</v>
      </c>
    </row>
    <row r="174" spans="1:32" x14ac:dyDescent="0.2">
      <c r="A174" s="3007"/>
      <c r="B174" s="2592"/>
      <c r="C174" s="3008"/>
      <c r="D174" s="3020"/>
      <c r="E174" s="3020"/>
      <c r="F174" s="5311"/>
      <c r="G174" s="5312"/>
      <c r="H174" s="5311"/>
      <c r="I174" s="5312"/>
      <c r="J174" s="2761" t="str">
        <f t="shared" si="36"/>
        <v/>
      </c>
      <c r="K174" s="2761"/>
      <c r="L174" s="3016"/>
      <c r="M174" s="2592"/>
      <c r="N174">
        <f t="shared" si="39"/>
        <v>0</v>
      </c>
      <c r="P174">
        <f t="shared" si="38"/>
        <v>0</v>
      </c>
      <c r="AF174" s="3028">
        <v>3020</v>
      </c>
    </row>
    <row r="175" spans="1:32" hidden="1" x14ac:dyDescent="0.2">
      <c r="A175" s="3007"/>
      <c r="B175" s="2592"/>
      <c r="C175" s="3008"/>
      <c r="D175" s="3020"/>
      <c r="E175" s="3020"/>
      <c r="F175" s="5311"/>
      <c r="G175" s="5312"/>
      <c r="H175" s="5311"/>
      <c r="I175" s="5312"/>
      <c r="J175" s="2761" t="str">
        <f t="shared" si="36"/>
        <v/>
      </c>
      <c r="K175" s="2761"/>
      <c r="L175" s="3016"/>
      <c r="M175" s="2592"/>
      <c r="N175">
        <f t="shared" si="39"/>
        <v>0</v>
      </c>
      <c r="P175">
        <f t="shared" si="38"/>
        <v>0</v>
      </c>
      <c r="AF175" s="3025">
        <v>3021</v>
      </c>
    </row>
    <row r="176" spans="1:32" hidden="1" x14ac:dyDescent="0.2">
      <c r="A176" s="3007"/>
      <c r="B176" s="2592"/>
      <c r="C176" s="3008"/>
      <c r="D176" s="3020"/>
      <c r="E176" s="3020"/>
      <c r="F176" s="5311"/>
      <c r="G176" s="5312"/>
      <c r="H176" s="5311"/>
      <c r="I176" s="5312"/>
      <c r="J176" s="2761" t="str">
        <f t="shared" si="36"/>
        <v/>
      </c>
      <c r="K176" s="2761"/>
      <c r="L176" s="3016"/>
      <c r="M176" s="2592"/>
      <c r="N176">
        <f t="shared" si="39"/>
        <v>0</v>
      </c>
      <c r="P176">
        <f t="shared" si="38"/>
        <v>0</v>
      </c>
      <c r="AF176" s="3025">
        <v>3022</v>
      </c>
    </row>
    <row r="177" spans="1:32" hidden="1" x14ac:dyDescent="0.2">
      <c r="A177" s="3007"/>
      <c r="B177" s="2592"/>
      <c r="C177" s="3008"/>
      <c r="D177" s="3020"/>
      <c r="E177" s="3020"/>
      <c r="F177" s="5311"/>
      <c r="G177" s="5312"/>
      <c r="H177" s="5311"/>
      <c r="I177" s="5312"/>
      <c r="J177" s="2761" t="str">
        <f t="shared" si="36"/>
        <v/>
      </c>
      <c r="K177" s="2761"/>
      <c r="L177" s="3016"/>
      <c r="M177" s="2592"/>
      <c r="N177">
        <f t="shared" si="39"/>
        <v>0</v>
      </c>
      <c r="P177">
        <f t="shared" si="38"/>
        <v>0</v>
      </c>
      <c r="AF177" s="3025">
        <v>3023</v>
      </c>
    </row>
    <row r="178" spans="1:32" hidden="1" x14ac:dyDescent="0.2">
      <c r="A178" s="3007"/>
      <c r="B178" s="2592"/>
      <c r="C178" s="3008"/>
      <c r="D178" s="3020"/>
      <c r="E178" s="3020"/>
      <c r="F178" s="5311"/>
      <c r="G178" s="5312"/>
      <c r="H178" s="5311"/>
      <c r="I178" s="5312"/>
      <c r="J178" s="2761" t="str">
        <f t="shared" si="36"/>
        <v/>
      </c>
      <c r="K178" s="2761"/>
      <c r="L178" s="3016"/>
      <c r="M178" s="2592"/>
      <c r="N178">
        <f t="shared" si="39"/>
        <v>0</v>
      </c>
      <c r="P178">
        <f t="shared" si="38"/>
        <v>0</v>
      </c>
      <c r="AF178" s="3025">
        <v>3024</v>
      </c>
    </row>
    <row r="179" spans="1:32" hidden="1" x14ac:dyDescent="0.2">
      <c r="A179" s="3007"/>
      <c r="B179" s="2592"/>
      <c r="C179" s="3008"/>
      <c r="D179" s="3020"/>
      <c r="E179" s="3020"/>
      <c r="F179" s="5311"/>
      <c r="G179" s="5312"/>
      <c r="H179" s="5311"/>
      <c r="I179" s="5312"/>
      <c r="J179" s="2761" t="str">
        <f t="shared" si="36"/>
        <v/>
      </c>
      <c r="K179" s="2761"/>
      <c r="L179" s="3016"/>
      <c r="M179" s="2592"/>
      <c r="N179">
        <f t="shared" si="39"/>
        <v>0</v>
      </c>
      <c r="P179">
        <f t="shared" si="38"/>
        <v>0</v>
      </c>
      <c r="AF179" s="3025">
        <v>3040</v>
      </c>
    </row>
    <row r="180" spans="1:32" hidden="1" x14ac:dyDescent="0.2">
      <c r="A180" s="3007"/>
      <c r="B180" s="2592"/>
      <c r="C180" s="3008"/>
      <c r="D180" s="3020"/>
      <c r="E180" s="3020"/>
      <c r="F180" s="5311"/>
      <c r="G180" s="5312"/>
      <c r="H180" s="5311"/>
      <c r="I180" s="5312"/>
      <c r="J180" s="2761" t="str">
        <f t="shared" si="36"/>
        <v/>
      </c>
      <c r="K180" s="2761"/>
      <c r="L180" s="3016"/>
      <c r="M180" s="2592"/>
      <c r="N180">
        <f t="shared" si="39"/>
        <v>0</v>
      </c>
      <c r="P180">
        <f t="shared" si="38"/>
        <v>0</v>
      </c>
      <c r="AF180" s="3025">
        <v>3050</v>
      </c>
    </row>
    <row r="181" spans="1:32" hidden="1" x14ac:dyDescent="0.2">
      <c r="A181" s="3007"/>
      <c r="B181" s="2592"/>
      <c r="C181" s="3008"/>
      <c r="D181" s="3020"/>
      <c r="E181" s="3020"/>
      <c r="F181" s="5311"/>
      <c r="G181" s="5312"/>
      <c r="H181" s="5311"/>
      <c r="I181" s="5312"/>
      <c r="J181" s="2761" t="str">
        <f t="shared" si="36"/>
        <v/>
      </c>
      <c r="K181" s="2761"/>
      <c r="L181" s="3016"/>
      <c r="M181" s="2592"/>
      <c r="N181">
        <f t="shared" si="39"/>
        <v>0</v>
      </c>
      <c r="P181">
        <f t="shared" si="38"/>
        <v>0</v>
      </c>
      <c r="AF181" s="3025">
        <v>3080</v>
      </c>
    </row>
    <row r="182" spans="1:32" hidden="1" x14ac:dyDescent="0.2">
      <c r="A182" s="3007"/>
      <c r="B182" s="2592"/>
      <c r="C182" s="3008"/>
      <c r="D182" s="3020"/>
      <c r="E182" s="3020"/>
      <c r="F182" s="5311"/>
      <c r="G182" s="5312"/>
      <c r="H182" s="5311"/>
      <c r="I182" s="5312"/>
      <c r="J182" s="2761" t="str">
        <f t="shared" si="36"/>
        <v/>
      </c>
      <c r="K182" s="2761"/>
      <c r="L182" s="3016"/>
      <c r="M182" s="2592"/>
      <c r="N182">
        <f t="shared" si="39"/>
        <v>0</v>
      </c>
      <c r="P182">
        <f t="shared" si="38"/>
        <v>0</v>
      </c>
      <c r="AF182" s="3025">
        <v>3100</v>
      </c>
    </row>
    <row r="183" spans="1:32" hidden="1" x14ac:dyDescent="0.2">
      <c r="A183" s="3007"/>
      <c r="B183" s="2592"/>
      <c r="C183" s="3008"/>
      <c r="D183" s="3020"/>
      <c r="E183" s="3020"/>
      <c r="F183" s="5311"/>
      <c r="G183" s="5312"/>
      <c r="H183" s="5311"/>
      <c r="I183" s="5312"/>
      <c r="J183" s="2761" t="str">
        <f t="shared" si="36"/>
        <v/>
      </c>
      <c r="K183" s="2761"/>
      <c r="L183" s="3016"/>
      <c r="M183" s="2592"/>
      <c r="N183">
        <f t="shared" si="39"/>
        <v>0</v>
      </c>
      <c r="P183">
        <f t="shared" si="38"/>
        <v>0</v>
      </c>
      <c r="AF183" s="3025">
        <v>3101</v>
      </c>
    </row>
    <row r="184" spans="1:32" hidden="1" x14ac:dyDescent="0.2">
      <c r="A184" s="3007"/>
      <c r="B184" s="2592"/>
      <c r="C184" s="3008"/>
      <c r="D184" s="3020"/>
      <c r="E184" s="3020"/>
      <c r="F184" s="5311"/>
      <c r="G184" s="5312"/>
      <c r="H184" s="5311"/>
      <c r="I184" s="5312"/>
      <c r="J184" s="2761" t="str">
        <f t="shared" si="36"/>
        <v/>
      </c>
      <c r="K184" s="2761"/>
      <c r="L184" s="3016"/>
      <c r="M184" s="2592"/>
      <c r="N184">
        <f t="shared" si="39"/>
        <v>0</v>
      </c>
      <c r="P184">
        <f t="shared" si="38"/>
        <v>0</v>
      </c>
      <c r="AF184" s="3025">
        <v>3102</v>
      </c>
    </row>
    <row r="185" spans="1:32" hidden="1" x14ac:dyDescent="0.2">
      <c r="A185" s="3007"/>
      <c r="B185" s="2592"/>
      <c r="C185" s="3008"/>
      <c r="D185" s="3020"/>
      <c r="E185" s="3020"/>
      <c r="F185" s="5311"/>
      <c r="G185" s="5312"/>
      <c r="H185" s="5311"/>
      <c r="I185" s="5312"/>
      <c r="J185" s="2761" t="str">
        <f t="shared" si="36"/>
        <v/>
      </c>
      <c r="K185" s="2761"/>
      <c r="L185" s="3016"/>
      <c r="M185" s="2592"/>
      <c r="N185">
        <f t="shared" si="39"/>
        <v>0</v>
      </c>
      <c r="P185">
        <f t="shared" si="38"/>
        <v>0</v>
      </c>
      <c r="AF185" s="3025">
        <v>3103</v>
      </c>
    </row>
    <row r="186" spans="1:32" hidden="1" x14ac:dyDescent="0.2">
      <c r="A186" s="3007"/>
      <c r="B186" s="2592"/>
      <c r="C186" s="3008"/>
      <c r="D186" s="3020"/>
      <c r="E186" s="3020"/>
      <c r="F186" s="5311"/>
      <c r="G186" s="5312"/>
      <c r="H186" s="5311"/>
      <c r="I186" s="5312"/>
      <c r="J186" s="2761" t="str">
        <f t="shared" si="36"/>
        <v/>
      </c>
      <c r="K186" s="2761"/>
      <c r="L186" s="3016"/>
      <c r="M186" s="2592"/>
      <c r="N186">
        <f t="shared" si="39"/>
        <v>0</v>
      </c>
      <c r="P186">
        <f t="shared" si="38"/>
        <v>0</v>
      </c>
      <c r="AF186" s="3025">
        <v>3104</v>
      </c>
    </row>
    <row r="187" spans="1:32" hidden="1" x14ac:dyDescent="0.2">
      <c r="A187" s="3007"/>
      <c r="B187" s="2592"/>
      <c r="C187" s="3008"/>
      <c r="D187" s="3020"/>
      <c r="E187" s="3020"/>
      <c r="F187" s="5311"/>
      <c r="G187" s="5312"/>
      <c r="H187" s="5311"/>
      <c r="I187" s="5312"/>
      <c r="J187" s="2761" t="str">
        <f t="shared" si="36"/>
        <v/>
      </c>
      <c r="K187" s="2761"/>
      <c r="L187" s="3016"/>
      <c r="M187" s="2592"/>
      <c r="N187">
        <f t="shared" si="39"/>
        <v>0</v>
      </c>
      <c r="P187">
        <f t="shared" si="38"/>
        <v>0</v>
      </c>
      <c r="AF187" s="3025">
        <v>3105</v>
      </c>
    </row>
    <row r="188" spans="1:32" hidden="1" x14ac:dyDescent="0.2">
      <c r="A188" s="3007"/>
      <c r="B188" s="2592"/>
      <c r="C188" s="3008"/>
      <c r="D188" s="3020"/>
      <c r="E188" s="3020"/>
      <c r="F188" s="5311"/>
      <c r="G188" s="5312"/>
      <c r="H188" s="5311"/>
      <c r="I188" s="5312"/>
      <c r="J188" s="2761" t="str">
        <f t="shared" si="36"/>
        <v/>
      </c>
      <c r="K188" s="2761"/>
      <c r="L188" s="3016"/>
      <c r="M188" s="2592"/>
      <c r="N188">
        <f t="shared" si="39"/>
        <v>0</v>
      </c>
      <c r="P188">
        <f t="shared" si="38"/>
        <v>0</v>
      </c>
      <c r="AF188" s="3025">
        <v>3106</v>
      </c>
    </row>
    <row r="189" spans="1:32" hidden="1" x14ac:dyDescent="0.2">
      <c r="A189" s="3007"/>
      <c r="B189" s="2592"/>
      <c r="C189" s="3008"/>
      <c r="D189" s="3020"/>
      <c r="E189" s="3020"/>
      <c r="F189" s="5311"/>
      <c r="G189" s="5312"/>
      <c r="H189" s="5311"/>
      <c r="I189" s="5312"/>
      <c r="J189" s="2761" t="str">
        <f t="shared" si="36"/>
        <v/>
      </c>
      <c r="K189" s="2761"/>
      <c r="L189" s="3016"/>
      <c r="M189" s="2592"/>
      <c r="N189">
        <f t="shared" si="39"/>
        <v>0</v>
      </c>
      <c r="P189">
        <f t="shared" si="38"/>
        <v>0</v>
      </c>
      <c r="AF189" s="3025">
        <v>3107</v>
      </c>
    </row>
    <row r="190" spans="1:32" hidden="1" x14ac:dyDescent="0.2">
      <c r="A190" s="3007"/>
      <c r="B190" s="2592"/>
      <c r="C190" s="3008"/>
      <c r="D190" s="3020"/>
      <c r="E190" s="3020"/>
      <c r="F190" s="5311"/>
      <c r="G190" s="5312"/>
      <c r="H190" s="5311"/>
      <c r="I190" s="5312"/>
      <c r="J190" s="2761" t="str">
        <f t="shared" si="36"/>
        <v/>
      </c>
      <c r="K190" s="2761"/>
      <c r="L190" s="3016"/>
      <c r="M190" s="2592"/>
      <c r="N190">
        <f t="shared" si="39"/>
        <v>0</v>
      </c>
      <c r="P190">
        <f t="shared" si="38"/>
        <v>0</v>
      </c>
      <c r="AF190" s="3025">
        <v>3108</v>
      </c>
    </row>
    <row r="191" spans="1:32" hidden="1" x14ac:dyDescent="0.2">
      <c r="A191" s="3007"/>
      <c r="B191" s="2592"/>
      <c r="C191" s="3008"/>
      <c r="D191" s="3020"/>
      <c r="E191" s="3020"/>
      <c r="F191" s="5311"/>
      <c r="G191" s="5312"/>
      <c r="H191" s="5311"/>
      <c r="I191" s="5312"/>
      <c r="J191" s="2761" t="str">
        <f t="shared" si="36"/>
        <v/>
      </c>
      <c r="K191" s="2761"/>
      <c r="L191" s="3016"/>
      <c r="M191" s="2592"/>
      <c r="N191">
        <f t="shared" si="39"/>
        <v>0</v>
      </c>
      <c r="P191">
        <f t="shared" si="38"/>
        <v>0</v>
      </c>
      <c r="AF191" s="3025">
        <v>3200</v>
      </c>
    </row>
    <row r="192" spans="1:32" hidden="1" x14ac:dyDescent="0.2">
      <c r="A192" s="3007"/>
      <c r="B192" s="2592"/>
      <c r="C192" s="3008"/>
      <c r="D192" s="3020"/>
      <c r="E192" s="3020"/>
      <c r="F192" s="5311"/>
      <c r="G192" s="5312"/>
      <c r="H192" s="5311"/>
      <c r="I192" s="5312"/>
      <c r="J192" s="2761" t="str">
        <f t="shared" si="36"/>
        <v/>
      </c>
      <c r="K192" s="2761"/>
      <c r="L192" s="3016"/>
      <c r="M192" s="2592"/>
      <c r="N192">
        <f t="shared" si="39"/>
        <v>0</v>
      </c>
      <c r="P192">
        <f t="shared" si="38"/>
        <v>0</v>
      </c>
      <c r="AF192" s="3025">
        <v>3201</v>
      </c>
    </row>
    <row r="193" spans="1:32" hidden="1" x14ac:dyDescent="0.2">
      <c r="A193" s="3007"/>
      <c r="B193" s="2592"/>
      <c r="C193" s="3008"/>
      <c r="D193" s="3020"/>
      <c r="E193" s="3020"/>
      <c r="F193" s="5311"/>
      <c r="G193" s="5312"/>
      <c r="H193" s="5311"/>
      <c r="I193" s="5312"/>
      <c r="J193" s="2761" t="str">
        <f t="shared" si="36"/>
        <v/>
      </c>
      <c r="K193" s="2761"/>
      <c r="L193" s="3016"/>
      <c r="M193" s="2592"/>
      <c r="N193">
        <f t="shared" si="39"/>
        <v>0</v>
      </c>
      <c r="P193">
        <f t="shared" si="38"/>
        <v>0</v>
      </c>
      <c r="AF193" s="3025">
        <v>3202</v>
      </c>
    </row>
    <row r="194" spans="1:32" hidden="1" x14ac:dyDescent="0.2">
      <c r="A194" s="3007"/>
      <c r="B194" s="2592"/>
      <c r="C194" s="3008"/>
      <c r="D194" s="3020"/>
      <c r="E194" s="3020"/>
      <c r="F194" s="5311"/>
      <c r="G194" s="5312"/>
      <c r="H194" s="5311"/>
      <c r="I194" s="5312"/>
      <c r="J194" s="2761" t="str">
        <f t="shared" si="36"/>
        <v/>
      </c>
      <c r="K194" s="2761"/>
      <c r="L194" s="3016"/>
      <c r="M194" s="2592"/>
      <c r="N194">
        <f t="shared" si="39"/>
        <v>0</v>
      </c>
      <c r="P194">
        <f t="shared" si="38"/>
        <v>0</v>
      </c>
      <c r="AF194" s="3025">
        <v>3203</v>
      </c>
    </row>
    <row r="195" spans="1:32" hidden="1" x14ac:dyDescent="0.2">
      <c r="A195" s="3007"/>
      <c r="B195" s="2592"/>
      <c r="C195" s="3008"/>
      <c r="D195" s="3020"/>
      <c r="E195" s="3020"/>
      <c r="F195" s="5311"/>
      <c r="G195" s="5312"/>
      <c r="H195" s="5311"/>
      <c r="I195" s="5312"/>
      <c r="J195" s="2761" t="str">
        <f t="shared" si="36"/>
        <v/>
      </c>
      <c r="K195" s="2761"/>
      <c r="L195" s="3016"/>
      <c r="M195" s="2592"/>
      <c r="N195">
        <f t="shared" si="39"/>
        <v>0</v>
      </c>
      <c r="P195">
        <f t="shared" si="38"/>
        <v>0</v>
      </c>
      <c r="AF195" s="3025">
        <v>3204</v>
      </c>
    </row>
    <row r="196" spans="1:32" hidden="1" x14ac:dyDescent="0.2">
      <c r="A196" s="3007"/>
      <c r="B196" s="2592"/>
      <c r="C196" s="3008"/>
      <c r="D196" s="3020"/>
      <c r="E196" s="3020"/>
      <c r="F196" s="5311"/>
      <c r="G196" s="5312"/>
      <c r="H196" s="5311"/>
      <c r="I196" s="5312"/>
      <c r="J196" s="2761" t="str">
        <f t="shared" si="36"/>
        <v/>
      </c>
      <c r="K196" s="2761"/>
      <c r="L196" s="3016"/>
      <c r="M196" s="2592"/>
      <c r="N196">
        <f t="shared" si="39"/>
        <v>0</v>
      </c>
      <c r="P196">
        <f t="shared" si="38"/>
        <v>0</v>
      </c>
      <c r="AF196" s="3025">
        <v>3205</v>
      </c>
    </row>
    <row r="197" spans="1:32" hidden="1" x14ac:dyDescent="0.2">
      <c r="A197" s="3007"/>
      <c r="B197" s="2592"/>
      <c r="C197" s="3008"/>
      <c r="D197" s="3020"/>
      <c r="E197" s="3020"/>
      <c r="F197" s="5311"/>
      <c r="G197" s="5312"/>
      <c r="H197" s="5311"/>
      <c r="I197" s="5312"/>
      <c r="J197" s="2761" t="str">
        <f t="shared" si="36"/>
        <v/>
      </c>
      <c r="K197" s="2761"/>
      <c r="L197" s="3016"/>
      <c r="M197" s="2592"/>
      <c r="N197">
        <f t="shared" si="39"/>
        <v>0</v>
      </c>
      <c r="P197">
        <f t="shared" si="38"/>
        <v>0</v>
      </c>
      <c r="AF197" s="3025">
        <v>3206</v>
      </c>
    </row>
    <row r="198" spans="1:32" hidden="1" x14ac:dyDescent="0.2">
      <c r="A198" s="3007"/>
      <c r="B198" s="2592"/>
      <c r="C198" s="3008"/>
      <c r="D198" s="3020"/>
      <c r="E198" s="3020"/>
      <c r="F198" s="5311"/>
      <c r="G198" s="5312"/>
      <c r="H198" s="5311"/>
      <c r="I198" s="5312"/>
      <c r="J198" s="2761" t="str">
        <f t="shared" si="36"/>
        <v/>
      </c>
      <c r="K198" s="2761"/>
      <c r="L198" s="3016"/>
      <c r="M198" s="2592"/>
      <c r="N198">
        <f t="shared" si="39"/>
        <v>0</v>
      </c>
      <c r="P198">
        <f t="shared" si="38"/>
        <v>0</v>
      </c>
      <c r="AF198" s="3025">
        <v>3300</v>
      </c>
    </row>
    <row r="199" spans="1:32" hidden="1" x14ac:dyDescent="0.2">
      <c r="A199" s="3007"/>
      <c r="B199" s="2592"/>
      <c r="C199" s="3008"/>
      <c r="D199" s="3020"/>
      <c r="E199" s="3020"/>
      <c r="F199" s="5311"/>
      <c r="G199" s="5312"/>
      <c r="H199" s="5311"/>
      <c r="I199" s="5312"/>
      <c r="J199" s="2761" t="str">
        <f t="shared" si="36"/>
        <v/>
      </c>
      <c r="K199" s="2761"/>
      <c r="L199" s="3016"/>
      <c r="M199" s="2592"/>
      <c r="N199">
        <f t="shared" si="39"/>
        <v>0</v>
      </c>
      <c r="P199">
        <f t="shared" si="38"/>
        <v>0</v>
      </c>
      <c r="AF199" s="3025">
        <v>3301</v>
      </c>
    </row>
    <row r="200" spans="1:32" hidden="1" x14ac:dyDescent="0.2">
      <c r="A200" s="3007"/>
      <c r="B200" s="2592"/>
      <c r="C200" s="3008"/>
      <c r="D200" s="3020"/>
      <c r="E200" s="3020"/>
      <c r="F200" s="5311"/>
      <c r="G200" s="5312"/>
      <c r="H200" s="5311"/>
      <c r="I200" s="5312"/>
      <c r="J200" s="2761" t="str">
        <f t="shared" si="36"/>
        <v/>
      </c>
      <c r="K200" s="2761"/>
      <c r="L200" s="3016"/>
      <c r="M200" s="2592"/>
      <c r="N200">
        <f t="shared" si="39"/>
        <v>0</v>
      </c>
      <c r="P200">
        <f t="shared" si="38"/>
        <v>0</v>
      </c>
      <c r="AF200" s="3025">
        <v>3302</v>
      </c>
    </row>
    <row r="201" spans="1:32" hidden="1" x14ac:dyDescent="0.2">
      <c r="A201" s="3007"/>
      <c r="B201" s="2592"/>
      <c r="C201" s="3008"/>
      <c r="D201" s="3020"/>
      <c r="E201" s="3020"/>
      <c r="F201" s="5311"/>
      <c r="G201" s="5312"/>
      <c r="H201" s="5311"/>
      <c r="I201" s="5312"/>
      <c r="J201" s="2761" t="str">
        <f t="shared" si="36"/>
        <v/>
      </c>
      <c r="K201" s="2761"/>
      <c r="L201" s="3016"/>
      <c r="M201" s="2592"/>
      <c r="N201">
        <f t="shared" si="39"/>
        <v>0</v>
      </c>
      <c r="P201">
        <f t="shared" si="38"/>
        <v>0</v>
      </c>
      <c r="AF201" s="3025">
        <v>3303</v>
      </c>
    </row>
    <row r="202" spans="1:32" hidden="1" x14ac:dyDescent="0.2">
      <c r="A202" s="3007"/>
      <c r="B202" s="2592"/>
      <c r="C202" s="3008"/>
      <c r="D202" s="3020"/>
      <c r="E202" s="3020"/>
      <c r="F202" s="5311"/>
      <c r="G202" s="5312"/>
      <c r="H202" s="5311"/>
      <c r="I202" s="5312"/>
      <c r="J202" s="2761" t="str">
        <f t="shared" si="36"/>
        <v/>
      </c>
      <c r="K202" s="2761"/>
      <c r="L202" s="3016"/>
      <c r="M202" s="2592"/>
      <c r="N202">
        <f t="shared" si="39"/>
        <v>0</v>
      </c>
      <c r="P202">
        <f t="shared" si="38"/>
        <v>0</v>
      </c>
      <c r="AF202" s="3025">
        <v>3304</v>
      </c>
    </row>
    <row r="203" spans="1:32" hidden="1" x14ac:dyDescent="0.2">
      <c r="A203" s="3007"/>
      <c r="B203" s="2592"/>
      <c r="C203" s="3008"/>
      <c r="D203" s="3020"/>
      <c r="E203" s="3020"/>
      <c r="F203" s="5311"/>
      <c r="G203" s="5312"/>
      <c r="H203" s="5311"/>
      <c r="I203" s="5312"/>
      <c r="J203" s="2761" t="str">
        <f t="shared" si="36"/>
        <v/>
      </c>
      <c r="K203" s="2761"/>
      <c r="L203" s="3016"/>
      <c r="M203" s="2592"/>
      <c r="N203">
        <f t="shared" si="39"/>
        <v>0</v>
      </c>
      <c r="P203">
        <f t="shared" si="38"/>
        <v>0</v>
      </c>
      <c r="AF203" s="3025">
        <v>3305</v>
      </c>
    </row>
    <row r="204" spans="1:32" hidden="1" x14ac:dyDescent="0.2">
      <c r="A204" s="3007"/>
      <c r="B204" s="2592"/>
      <c r="C204" s="3008"/>
      <c r="D204" s="3020"/>
      <c r="E204" s="3020"/>
      <c r="F204" s="5311"/>
      <c r="G204" s="5312"/>
      <c r="H204" s="5311"/>
      <c r="I204" s="5312"/>
      <c r="J204" s="2761" t="str">
        <f t="shared" si="36"/>
        <v/>
      </c>
      <c r="K204" s="2761"/>
      <c r="L204" s="3016"/>
      <c r="M204" s="2592"/>
      <c r="N204">
        <f t="shared" si="39"/>
        <v>0</v>
      </c>
      <c r="P204">
        <f t="shared" si="38"/>
        <v>0</v>
      </c>
      <c r="AF204" s="3025">
        <v>3306</v>
      </c>
    </row>
    <row r="205" spans="1:32" hidden="1" x14ac:dyDescent="0.2">
      <c r="A205" s="3007"/>
      <c r="B205" s="2592"/>
      <c r="C205" s="3008"/>
      <c r="D205" s="3020"/>
      <c r="E205" s="3020"/>
      <c r="F205" s="5311"/>
      <c r="G205" s="5312"/>
      <c r="H205" s="5311"/>
      <c r="I205" s="5312"/>
      <c r="J205" s="2761" t="str">
        <f t="shared" si="36"/>
        <v/>
      </c>
      <c r="K205" s="2761"/>
      <c r="L205" s="3016"/>
      <c r="M205" s="2592"/>
      <c r="N205">
        <f t="shared" si="39"/>
        <v>0</v>
      </c>
      <c r="P205">
        <f t="shared" si="38"/>
        <v>0</v>
      </c>
      <c r="AF205" s="3025">
        <v>3370</v>
      </c>
    </row>
    <row r="206" spans="1:32" hidden="1" x14ac:dyDescent="0.2">
      <c r="A206" s="3007"/>
      <c r="B206" s="2592"/>
      <c r="C206" s="3008"/>
      <c r="D206" s="3020"/>
      <c r="E206" s="3020"/>
      <c r="F206" s="5311"/>
      <c r="G206" s="5312"/>
      <c r="H206" s="5311"/>
      <c r="I206" s="5312"/>
      <c r="J206" s="2761" t="str">
        <f t="shared" si="36"/>
        <v/>
      </c>
      <c r="K206" s="2761"/>
      <c r="L206" s="3016"/>
      <c r="M206" s="2592"/>
      <c r="N206">
        <f t="shared" si="39"/>
        <v>0</v>
      </c>
      <c r="P206">
        <f t="shared" si="38"/>
        <v>0</v>
      </c>
      <c r="AF206" s="3025">
        <v>3380</v>
      </c>
    </row>
    <row r="207" spans="1:32" hidden="1" x14ac:dyDescent="0.2">
      <c r="A207" s="3007"/>
      <c r="B207" s="2592"/>
      <c r="C207" s="3008"/>
      <c r="D207" s="3020"/>
      <c r="E207" s="3020"/>
      <c r="F207" s="5311"/>
      <c r="G207" s="5312"/>
      <c r="H207" s="5311"/>
      <c r="I207" s="5312"/>
      <c r="J207" s="2761" t="str">
        <f t="shared" si="36"/>
        <v/>
      </c>
      <c r="K207" s="2761"/>
      <c r="L207" s="3016"/>
      <c r="M207" s="2592"/>
      <c r="N207">
        <f t="shared" si="39"/>
        <v>0</v>
      </c>
      <c r="P207">
        <f t="shared" si="38"/>
        <v>0</v>
      </c>
      <c r="AF207" s="3025">
        <v>3390</v>
      </c>
    </row>
    <row r="208" spans="1:32" hidden="1" x14ac:dyDescent="0.2">
      <c r="A208" s="3007"/>
      <c r="B208" s="2592"/>
      <c r="C208" s="3008"/>
      <c r="D208" s="3020"/>
      <c r="E208" s="3020"/>
      <c r="F208" s="5311"/>
      <c r="G208" s="5312"/>
      <c r="H208" s="5311"/>
      <c r="I208" s="5312"/>
      <c r="J208" s="2761" t="str">
        <f t="shared" si="36"/>
        <v/>
      </c>
      <c r="K208" s="2761"/>
      <c r="L208" s="3016"/>
      <c r="M208" s="2592"/>
      <c r="N208">
        <f t="shared" si="39"/>
        <v>0</v>
      </c>
      <c r="P208">
        <f t="shared" si="38"/>
        <v>0</v>
      </c>
      <c r="AF208" s="3025">
        <v>3400</v>
      </c>
    </row>
    <row r="209" spans="1:32" hidden="1" x14ac:dyDescent="0.2">
      <c r="A209" s="3007"/>
      <c r="B209" s="2592"/>
      <c r="C209" s="3008"/>
      <c r="D209" s="3020"/>
      <c r="E209" s="3020"/>
      <c r="F209" s="5311"/>
      <c r="G209" s="5312"/>
      <c r="H209" s="5311"/>
      <c r="I209" s="5312"/>
      <c r="J209" s="2761" t="str">
        <f t="shared" si="36"/>
        <v/>
      </c>
      <c r="K209" s="2761"/>
      <c r="L209" s="3016"/>
      <c r="M209" s="2592"/>
      <c r="N209">
        <f t="shared" si="39"/>
        <v>0</v>
      </c>
      <c r="P209">
        <f t="shared" si="38"/>
        <v>0</v>
      </c>
      <c r="AF209" s="3025">
        <v>3401</v>
      </c>
    </row>
    <row r="210" spans="1:32" hidden="1" x14ac:dyDescent="0.2">
      <c r="A210" s="3007"/>
      <c r="B210" s="2592"/>
      <c r="C210" s="3008"/>
      <c r="D210" s="3020"/>
      <c r="E210" s="3020"/>
      <c r="F210" s="5311"/>
      <c r="G210" s="5312"/>
      <c r="H210" s="5311"/>
      <c r="I210" s="5312"/>
      <c r="J210" s="2761" t="str">
        <f t="shared" si="36"/>
        <v/>
      </c>
      <c r="K210" s="2761"/>
      <c r="L210" s="3016"/>
      <c r="M210" s="2592"/>
      <c r="N210">
        <f t="shared" si="39"/>
        <v>0</v>
      </c>
      <c r="P210">
        <f t="shared" si="38"/>
        <v>0</v>
      </c>
      <c r="AF210" s="3025">
        <v>3402</v>
      </c>
    </row>
    <row r="211" spans="1:32" hidden="1" x14ac:dyDescent="0.2">
      <c r="A211" s="3007"/>
      <c r="B211" s="2592"/>
      <c r="C211" s="3008"/>
      <c r="D211" s="3020"/>
      <c r="E211" s="3020"/>
      <c r="F211" s="5311"/>
      <c r="G211" s="5312"/>
      <c r="H211" s="5311"/>
      <c r="I211" s="5312"/>
      <c r="J211" s="2761" t="str">
        <f t="shared" si="36"/>
        <v/>
      </c>
      <c r="K211" s="2761"/>
      <c r="L211" s="3016"/>
      <c r="M211" s="2592"/>
      <c r="N211">
        <f t="shared" si="39"/>
        <v>0</v>
      </c>
      <c r="P211">
        <f t="shared" si="38"/>
        <v>0</v>
      </c>
      <c r="AF211" s="3025">
        <v>3403</v>
      </c>
    </row>
    <row r="212" spans="1:32" hidden="1" x14ac:dyDescent="0.2">
      <c r="A212" s="3007"/>
      <c r="B212" s="2592"/>
      <c r="C212" s="3008"/>
      <c r="D212" s="3020"/>
      <c r="E212" s="3020"/>
      <c r="F212" s="5311"/>
      <c r="G212" s="5312"/>
      <c r="H212" s="5311"/>
      <c r="I212" s="5312"/>
      <c r="J212" s="2761" t="str">
        <f t="shared" si="36"/>
        <v/>
      </c>
      <c r="K212" s="2761"/>
      <c r="L212" s="3016"/>
      <c r="M212" s="2592"/>
      <c r="N212">
        <f t="shared" si="39"/>
        <v>0</v>
      </c>
      <c r="P212">
        <f t="shared" si="38"/>
        <v>0</v>
      </c>
      <c r="AF212" s="3025">
        <v>3404</v>
      </c>
    </row>
    <row r="213" spans="1:32" hidden="1" x14ac:dyDescent="0.2">
      <c r="A213" s="3007"/>
      <c r="B213" s="2592"/>
      <c r="C213" s="3008"/>
      <c r="D213" s="3020"/>
      <c r="E213" s="3020"/>
      <c r="F213" s="5311"/>
      <c r="G213" s="5312"/>
      <c r="H213" s="5311"/>
      <c r="I213" s="5312"/>
      <c r="J213" s="2761" t="str">
        <f t="shared" si="36"/>
        <v/>
      </c>
      <c r="K213" s="2761"/>
      <c r="L213" s="3016"/>
      <c r="M213" s="2592"/>
      <c r="N213">
        <f t="shared" si="39"/>
        <v>0</v>
      </c>
      <c r="P213">
        <f t="shared" si="38"/>
        <v>0</v>
      </c>
      <c r="AF213" s="3025">
        <v>3405</v>
      </c>
    </row>
    <row r="214" spans="1:32" hidden="1" x14ac:dyDescent="0.2">
      <c r="A214" s="3007"/>
      <c r="B214" s="2592"/>
      <c r="C214" s="3008"/>
      <c r="D214" s="3020"/>
      <c r="E214" s="3020"/>
      <c r="F214" s="5311"/>
      <c r="G214" s="5312"/>
      <c r="H214" s="5311"/>
      <c r="I214" s="5312"/>
      <c r="J214" s="2761" t="str">
        <f t="shared" si="36"/>
        <v/>
      </c>
      <c r="K214" s="2761"/>
      <c r="L214" s="3016"/>
      <c r="M214" s="2592"/>
      <c r="N214">
        <f t="shared" si="39"/>
        <v>0</v>
      </c>
      <c r="P214">
        <f t="shared" si="38"/>
        <v>0</v>
      </c>
      <c r="AF214" s="3026">
        <v>3499</v>
      </c>
    </row>
    <row r="215" spans="1:32" hidden="1" x14ac:dyDescent="0.2">
      <c r="A215" s="3007"/>
      <c r="B215" s="2592"/>
      <c r="C215" s="3008"/>
      <c r="D215" s="3020"/>
      <c r="E215" s="3020"/>
      <c r="F215" s="5311"/>
      <c r="G215" s="5312"/>
      <c r="H215" s="5311"/>
      <c r="I215" s="5312"/>
      <c r="J215" s="2761" t="str">
        <f t="shared" si="36"/>
        <v/>
      </c>
      <c r="K215" s="2761"/>
      <c r="L215" s="3016"/>
      <c r="M215" s="2592"/>
      <c r="N215">
        <f t="shared" si="39"/>
        <v>0</v>
      </c>
      <c r="P215">
        <f t="shared" si="38"/>
        <v>0</v>
      </c>
      <c r="AF215" s="3025">
        <v>3500</v>
      </c>
    </row>
    <row r="216" spans="1:32" hidden="1" x14ac:dyDescent="0.2">
      <c r="A216" s="3007"/>
      <c r="B216" s="2592"/>
      <c r="C216" s="3008"/>
      <c r="D216" s="3020"/>
      <c r="E216" s="3020"/>
      <c r="F216" s="5311"/>
      <c r="G216" s="5312"/>
      <c r="H216" s="5311"/>
      <c r="I216" s="5312"/>
      <c r="J216" s="2761" t="str">
        <f t="shared" si="36"/>
        <v/>
      </c>
      <c r="K216" s="2761"/>
      <c r="L216" s="3016"/>
      <c r="M216" s="2592"/>
      <c r="N216">
        <f t="shared" ref="N216:N224" si="40">IF(J216="",0,1)</f>
      </c>
      <c r="P216">
        <f t="shared" si="38"/>
        <v>0</v>
      </c>
      <c r="AF216" s="3025">
        <v>3501</v>
      </c>
    </row>
    <row r="217" spans="1:32" hidden="1" x14ac:dyDescent="0.2">
      <c r="A217" s="3007"/>
      <c r="B217" s="2592"/>
      <c r="C217" s="3008"/>
      <c r="D217" s="3020"/>
      <c r="E217" s="3020"/>
      <c r="F217" s="5311"/>
      <c r="G217" s="5312"/>
      <c r="H217" s="5311"/>
      <c r="I217" s="5312"/>
      <c r="J217" s="2761" t="str">
        <f t="shared" si="36"/>
        <v/>
      </c>
      <c r="K217" s="2761"/>
      <c r="L217" s="3016"/>
      <c r="M217" s="2592"/>
      <c r="N217">
        <f t="shared" si="40"/>
        <v>0</v>
      </c>
      <c r="P217">
        <f t="shared" si="38"/>
        <v>0</v>
      </c>
      <c r="AF217" s="3025">
        <v>3502</v>
      </c>
    </row>
    <row r="218" spans="1:32" hidden="1" x14ac:dyDescent="0.2">
      <c r="A218" s="3007"/>
      <c r="B218" s="2592"/>
      <c r="C218" s="3008"/>
      <c r="D218" s="3020"/>
      <c r="E218" s="3020"/>
      <c r="F218" s="5311"/>
      <c r="G218" s="5312"/>
      <c r="H218" s="5311"/>
      <c r="I218" s="5312"/>
      <c r="J218" s="2761" t="str">
        <f t="shared" si="36"/>
        <v/>
      </c>
      <c r="K218" s="2761"/>
      <c r="L218" s="3016"/>
      <c r="M218" s="2592"/>
      <c r="N218">
        <f t="shared" si="40"/>
        <v>0</v>
      </c>
      <c r="P218">
        <f t="shared" si="38"/>
        <v>0</v>
      </c>
      <c r="AF218" s="3025">
        <v>3503</v>
      </c>
    </row>
    <row r="219" spans="1:32" hidden="1" x14ac:dyDescent="0.2">
      <c r="A219" s="3007"/>
      <c r="B219" s="2592"/>
      <c r="C219" s="3008"/>
      <c r="D219" s="3020"/>
      <c r="E219" s="3020"/>
      <c r="F219" s="5311"/>
      <c r="G219" s="5312"/>
      <c r="H219" s="5311"/>
      <c r="I219" s="5312"/>
      <c r="J219" s="2761" t="str">
        <f t="shared" ref="J219:J224" si="41">IF(AND(P219=0,COUNTA(D219:G219)&gt;0),"Delete!",IF(AND(P219&gt;0,COUNTA(D219:G219)&lt;&gt;3),"All details required!",""))</f>
        <v/>
      </c>
      <c r="K219" s="2761"/>
      <c r="L219" s="3016"/>
      <c r="M219" s="2592"/>
      <c r="N219">
        <f t="shared" si="40"/>
        <v>0</v>
      </c>
      <c r="P219">
        <f t="shared" si="38"/>
        <v>0</v>
      </c>
      <c r="AF219" s="3025">
        <v>3504</v>
      </c>
    </row>
    <row r="220" spans="1:32" hidden="1" x14ac:dyDescent="0.2">
      <c r="A220" s="3007"/>
      <c r="B220" s="2592"/>
      <c r="C220" s="3008"/>
      <c r="D220" s="3020"/>
      <c r="E220" s="3020"/>
      <c r="F220" s="5311"/>
      <c r="G220" s="5312"/>
      <c r="H220" s="5311"/>
      <c r="I220" s="5312"/>
      <c r="J220" s="2761" t="str">
        <f t="shared" si="41"/>
        <v/>
      </c>
      <c r="K220" s="2761"/>
      <c r="L220" s="3016"/>
      <c r="M220" s="2592"/>
      <c r="N220">
        <f t="shared" si="40"/>
        <v>0</v>
      </c>
      <c r="P220">
        <f t="shared" si="38"/>
        <v>0</v>
      </c>
      <c r="AF220" s="3025">
        <v>3520</v>
      </c>
    </row>
    <row r="221" spans="1:32" hidden="1" x14ac:dyDescent="0.2">
      <c r="A221" s="3007"/>
      <c r="B221" s="2592"/>
      <c r="C221" s="3008"/>
      <c r="D221" s="3020"/>
      <c r="E221" s="3020"/>
      <c r="F221" s="5311"/>
      <c r="G221" s="5312"/>
      <c r="H221" s="5311"/>
      <c r="I221" s="5312"/>
      <c r="J221" s="2761" t="str">
        <f t="shared" si="41"/>
        <v/>
      </c>
      <c r="K221" s="2761"/>
      <c r="L221" s="3016"/>
      <c r="M221" s="2592"/>
      <c r="N221">
        <f t="shared" si="40"/>
        <v>0</v>
      </c>
      <c r="P221">
        <f t="shared" si="38"/>
        <v>0</v>
      </c>
      <c r="AF221" s="3025">
        <v>3530</v>
      </c>
    </row>
    <row r="222" spans="1:32" hidden="1" x14ac:dyDescent="0.2">
      <c r="A222" s="3007"/>
      <c r="B222" s="2592"/>
      <c r="C222" s="3008"/>
      <c r="D222" s="3020"/>
      <c r="E222" s="3020"/>
      <c r="F222" s="5311"/>
      <c r="G222" s="5312"/>
      <c r="H222" s="5311"/>
      <c r="I222" s="5312"/>
      <c r="J222" s="2761" t="str">
        <f t="shared" si="41"/>
        <v/>
      </c>
      <c r="K222" s="2761"/>
      <c r="L222" s="3016"/>
      <c r="M222" s="2592"/>
      <c r="N222">
        <f t="shared" si="40"/>
        <v>0</v>
      </c>
      <c r="P222">
        <f t="shared" si="38"/>
        <v>0</v>
      </c>
      <c r="AF222" s="3025">
        <v>3540</v>
      </c>
    </row>
    <row r="223" spans="1:32" hidden="1" x14ac:dyDescent="0.2">
      <c r="A223" s="3007"/>
      <c r="B223" s="2592"/>
      <c r="C223" s="3008"/>
      <c r="D223" s="3020"/>
      <c r="E223" s="3020"/>
      <c r="F223" s="5311"/>
      <c r="G223" s="5312"/>
      <c r="H223" s="5311"/>
      <c r="I223" s="5312"/>
      <c r="J223" s="2761" t="str">
        <f t="shared" si="41"/>
        <v/>
      </c>
      <c r="K223" s="2761"/>
      <c r="L223" s="3016"/>
      <c r="M223" s="2592"/>
      <c r="N223">
        <f t="shared" si="40"/>
        <v>0</v>
      </c>
      <c r="P223">
        <f t="shared" si="38"/>
        <v>0</v>
      </c>
      <c r="AF223" s="3025">
        <v>3550</v>
      </c>
    </row>
    <row r="224" spans="1:32" hidden="1" x14ac:dyDescent="0.2">
      <c r="A224" s="3007"/>
      <c r="B224" s="2592"/>
      <c r="C224" s="3008"/>
      <c r="D224" s="3020"/>
      <c r="E224" s="3020"/>
      <c r="F224" s="5311"/>
      <c r="G224" s="5312"/>
      <c r="H224" s="5311"/>
      <c r="I224" s="5312"/>
      <c r="J224" s="2761" t="str">
        <f t="shared" si="41"/>
        <v/>
      </c>
      <c r="K224" s="2761"/>
      <c r="L224" s="3016"/>
      <c r="M224" s="2592"/>
      <c r="N224">
        <f t="shared" si="40"/>
        <v>0</v>
      </c>
      <c r="P224">
        <f t="shared" si="38"/>
        <v>0</v>
      </c>
      <c r="AF224" s="3025">
        <v>3551</v>
      </c>
    </row>
    <row r="225" spans="1:32" ht="7.15" customHeight="1" x14ac:dyDescent="0.2">
      <c r="A225" s="3007"/>
      <c r="B225" s="2592"/>
      <c r="C225" s="3008"/>
      <c r="D225" s="3017"/>
      <c r="E225" s="3017"/>
      <c r="F225" s="3017"/>
      <c r="G225" s="3017"/>
      <c r="H225" s="3017"/>
      <c r="I225" s="3017"/>
      <c r="J225" s="3016"/>
      <c r="K225" s="3016"/>
      <c r="L225" s="3016"/>
      <c r="M225" s="3017"/>
      <c r="AF225" s="3025">
        <v>3552</v>
      </c>
    </row>
    <row r="226" spans="1:32" ht="15" x14ac:dyDescent="0.25">
      <c r="A226" s="3007"/>
      <c r="B226" s="3018" t="s">
        <v>8873</v>
      </c>
      <c r="C226" s="3008"/>
      <c r="D226" s="3017"/>
      <c r="E226" s="3017"/>
      <c r="F226" s="3017"/>
      <c r="G226" s="3017"/>
      <c r="H226" s="3017"/>
      <c r="I226" s="3017"/>
      <c r="J226" s="3016"/>
      <c r="K226" s="3016"/>
      <c r="L226" s="3016"/>
      <c r="M226" s="3017"/>
      <c r="AF226" s="3025">
        <v>3553</v>
      </c>
    </row>
    <row r="227" spans="1:32" ht="5.65" customHeight="1" x14ac:dyDescent="0.2">
      <c r="A227" s="3007"/>
      <c r="B227" s="2592"/>
      <c r="C227" s="3008"/>
      <c r="D227" s="3017"/>
      <c r="E227" s="3017"/>
      <c r="F227" s="3017"/>
      <c r="G227" s="3017"/>
      <c r="H227" s="3017"/>
      <c r="I227" s="3017"/>
      <c r="J227" s="3016"/>
      <c r="K227" s="3016"/>
      <c r="L227" s="3016"/>
      <c r="M227" s="3017"/>
      <c r="AF227" s="3025">
        <v>3554</v>
      </c>
    </row>
    <row r="228" spans="1:32" x14ac:dyDescent="0.2">
      <c r="A228" s="3007"/>
      <c r="B228" s="5316"/>
      <c r="C228" s="5317"/>
      <c r="D228" s="5317"/>
      <c r="E228" s="5317"/>
      <c r="F228" s="5317"/>
      <c r="G228" s="5317"/>
      <c r="H228" s="5317"/>
      <c r="I228" s="5318"/>
      <c r="J228" s="3016"/>
      <c r="K228" s="3016"/>
      <c r="L228" s="3016"/>
      <c r="M228" s="3017"/>
      <c r="O228">
        <f>COUNTA(B228)</f>
      </c>
      <c r="AF228" s="3025">
        <v>3555</v>
      </c>
    </row>
    <row r="229" spans="1:32" x14ac:dyDescent="0.2">
      <c r="A229" s="3007"/>
      <c r="B229" s="5319"/>
      <c r="C229" s="5320"/>
      <c r="D229" s="5320"/>
      <c r="E229" s="5320"/>
      <c r="F229" s="5320"/>
      <c r="G229" s="5320"/>
      <c r="H229" s="5320"/>
      <c r="I229" s="5321"/>
      <c r="J229" s="3016"/>
      <c r="K229" s="3016"/>
      <c r="L229" s="3016"/>
      <c r="M229" s="3017"/>
      <c r="AF229" s="3025">
        <v>3570</v>
      </c>
    </row>
    <row r="230" spans="1:32" x14ac:dyDescent="0.2">
      <c r="A230" s="3007"/>
      <c r="B230" s="5319"/>
      <c r="C230" s="5320"/>
      <c r="D230" s="5320"/>
      <c r="E230" s="5320"/>
      <c r="F230" s="5320"/>
      <c r="G230" s="5320"/>
      <c r="H230" s="5320"/>
      <c r="I230" s="5321"/>
      <c r="J230" s="3016"/>
      <c r="K230" s="3016"/>
      <c r="L230" s="3016"/>
      <c r="M230" s="3017"/>
      <c r="AF230" s="3025">
        <v>3580</v>
      </c>
    </row>
    <row r="231" spans="1:32" x14ac:dyDescent="0.2">
      <c r="A231" s="3007"/>
      <c r="B231" s="5319"/>
      <c r="C231" s="5320"/>
      <c r="D231" s="5320"/>
      <c r="E231" s="5320"/>
      <c r="F231" s="5320"/>
      <c r="G231" s="5320"/>
      <c r="H231" s="5320"/>
      <c r="I231" s="5321"/>
      <c r="J231" s="3016"/>
      <c r="K231" s="3016"/>
      <c r="L231" s="3016"/>
      <c r="M231" s="3017"/>
      <c r="AF231" s="3025">
        <v>3600</v>
      </c>
    </row>
    <row r="232" spans="1:32" x14ac:dyDescent="0.2">
      <c r="A232" s="3007"/>
      <c r="B232" s="5319"/>
      <c r="C232" s="5320"/>
      <c r="D232" s="5320"/>
      <c r="E232" s="5320"/>
      <c r="F232" s="5320"/>
      <c r="G232" s="5320"/>
      <c r="H232" s="5320"/>
      <c r="I232" s="5321"/>
      <c r="J232" s="3016"/>
      <c r="K232" s="3016"/>
      <c r="L232" s="3016"/>
      <c r="M232" s="3017"/>
      <c r="AF232" s="3025">
        <v>3601</v>
      </c>
    </row>
    <row r="233" spans="1:32" x14ac:dyDescent="0.2">
      <c r="A233" s="3007"/>
      <c r="B233" s="5319"/>
      <c r="C233" s="5320"/>
      <c r="D233" s="5320"/>
      <c r="E233" s="5320"/>
      <c r="F233" s="5320"/>
      <c r="G233" s="5320"/>
      <c r="H233" s="5320"/>
      <c r="I233" s="5321"/>
      <c r="J233" s="3016"/>
      <c r="K233" s="3016"/>
      <c r="L233" s="3016"/>
      <c r="M233" s="3017"/>
      <c r="AF233" s="3025">
        <v>3602</v>
      </c>
    </row>
    <row r="234" spans="1:32" x14ac:dyDescent="0.2">
      <c r="A234" s="3007"/>
      <c r="B234" s="5319"/>
      <c r="C234" s="5320"/>
      <c r="D234" s="5320"/>
      <c r="E234" s="5320"/>
      <c r="F234" s="5320"/>
      <c r="G234" s="5320"/>
      <c r="H234" s="5320"/>
      <c r="I234" s="5321"/>
      <c r="J234" s="3016"/>
      <c r="K234" s="3016"/>
      <c r="L234" s="3016"/>
      <c r="M234" s="3017"/>
      <c r="AF234" s="3025">
        <v>3603</v>
      </c>
    </row>
    <row r="235" spans="1:32" x14ac:dyDescent="0.2">
      <c r="A235" s="3007"/>
      <c r="B235" s="5319"/>
      <c r="C235" s="5320"/>
      <c r="D235" s="5320"/>
      <c r="E235" s="5320"/>
      <c r="F235" s="5320"/>
      <c r="G235" s="5320"/>
      <c r="H235" s="5320"/>
      <c r="I235" s="5321"/>
      <c r="J235" s="3016"/>
      <c r="K235" s="3016"/>
      <c r="L235" s="3016"/>
      <c r="M235" s="3017"/>
      <c r="AF235" s="3025">
        <v>3604</v>
      </c>
    </row>
    <row r="236" spans="1:32" x14ac:dyDescent="0.2">
      <c r="A236" s="3007"/>
      <c r="B236" s="5319"/>
      <c r="C236" s="5320"/>
      <c r="D236" s="5320"/>
      <c r="E236" s="5320"/>
      <c r="F236" s="5320"/>
      <c r="G236" s="5320"/>
      <c r="H236" s="5320"/>
      <c r="I236" s="5321"/>
      <c r="J236" s="3016"/>
      <c r="K236" s="3016"/>
      <c r="L236" s="3016"/>
      <c r="M236" s="3017"/>
      <c r="AF236" s="3026">
        <v>3798</v>
      </c>
    </row>
    <row r="237" spans="1:32" x14ac:dyDescent="0.2">
      <c r="A237" s="3007"/>
      <c r="B237" s="5319"/>
      <c r="C237" s="5320"/>
      <c r="D237" s="5320"/>
      <c r="E237" s="5320"/>
      <c r="F237" s="5320"/>
      <c r="G237" s="5320"/>
      <c r="H237" s="5320"/>
      <c r="I237" s="5321"/>
      <c r="J237" s="3016"/>
      <c r="K237" s="3016"/>
      <c r="L237" s="3016"/>
      <c r="M237" s="3017"/>
      <c r="AF237" s="3025">
        <v>3800</v>
      </c>
    </row>
    <row r="238" spans="1:32" x14ac:dyDescent="0.2">
      <c r="A238" s="3007"/>
      <c r="B238" s="5319"/>
      <c r="C238" s="5320"/>
      <c r="D238" s="5320"/>
      <c r="E238" s="5320"/>
      <c r="F238" s="5320"/>
      <c r="G238" s="5320"/>
      <c r="H238" s="5320"/>
      <c r="I238" s="5321"/>
      <c r="J238" s="3016"/>
      <c r="K238" s="3016"/>
      <c r="L238" s="3016"/>
      <c r="M238" s="3017"/>
      <c r="AF238" s="3025">
        <v>3801</v>
      </c>
    </row>
    <row r="239" spans="1:32" x14ac:dyDescent="0.2">
      <c r="A239" s="3007"/>
      <c r="B239" s="5319"/>
      <c r="C239" s="5320"/>
      <c r="D239" s="5320"/>
      <c r="E239" s="5320"/>
      <c r="F239" s="5320"/>
      <c r="G239" s="5320"/>
      <c r="H239" s="5320"/>
      <c r="I239" s="5321"/>
      <c r="J239" s="3016"/>
      <c r="K239" s="3016"/>
      <c r="L239" s="3016"/>
      <c r="M239" s="3017"/>
      <c r="AF239" s="3025">
        <v>3802</v>
      </c>
    </row>
    <row r="240" spans="1:32" x14ac:dyDescent="0.2">
      <c r="A240" s="3007"/>
      <c r="B240" s="5319"/>
      <c r="C240" s="5320"/>
      <c r="D240" s="5320"/>
      <c r="E240" s="5320"/>
      <c r="F240" s="5320"/>
      <c r="G240" s="5320"/>
      <c r="H240" s="5320"/>
      <c r="I240" s="5321"/>
      <c r="J240" s="3016"/>
      <c r="K240" s="3016"/>
      <c r="L240" s="3016"/>
      <c r="M240" s="3017"/>
      <c r="AF240" s="3028">
        <v>3803</v>
      </c>
    </row>
    <row r="241" spans="1:33" x14ac:dyDescent="0.2">
      <c r="A241" s="3007"/>
      <c r="B241" s="5319"/>
      <c r="C241" s="5320"/>
      <c r="D241" s="5320"/>
      <c r="E241" s="5320"/>
      <c r="F241" s="5320"/>
      <c r="G241" s="5320"/>
      <c r="H241" s="5320"/>
      <c r="I241" s="5321"/>
      <c r="J241" s="3016"/>
      <c r="K241" s="3016"/>
      <c r="L241" s="3016"/>
      <c r="M241" s="3017"/>
      <c r="AF241" s="3025">
        <v>3804</v>
      </c>
    </row>
    <row r="242" spans="1:33" x14ac:dyDescent="0.2">
      <c r="A242" s="3007"/>
      <c r="B242" s="5319"/>
      <c r="C242" s="5320"/>
      <c r="D242" s="5320"/>
      <c r="E242" s="5320"/>
      <c r="F242" s="5320"/>
      <c r="G242" s="5320"/>
      <c r="H242" s="5320"/>
      <c r="I242" s="5321"/>
      <c r="J242" s="3016"/>
      <c r="K242" s="3016"/>
      <c r="L242" s="3016"/>
      <c r="M242" s="3017"/>
      <c r="AF242" s="3025">
        <v>3805</v>
      </c>
    </row>
    <row r="243" spans="1:33" x14ac:dyDescent="0.2">
      <c r="A243" s="3007"/>
      <c r="B243" s="5319"/>
      <c r="C243" s="5320"/>
      <c r="D243" s="5320"/>
      <c r="E243" s="5320"/>
      <c r="F243" s="5320"/>
      <c r="G243" s="5320"/>
      <c r="H243" s="5320"/>
      <c r="I243" s="5321"/>
      <c r="J243" s="3016"/>
      <c r="K243" s="3016"/>
      <c r="L243" s="3016"/>
      <c r="M243" s="3017"/>
      <c r="AF243" s="3025">
        <v>3806</v>
      </c>
    </row>
    <row r="244" spans="1:33" x14ac:dyDescent="0.2">
      <c r="A244" s="3007"/>
      <c r="B244" s="5319"/>
      <c r="C244" s="5320"/>
      <c r="D244" s="5320"/>
      <c r="E244" s="5320"/>
      <c r="F244" s="5320"/>
      <c r="G244" s="5320"/>
      <c r="H244" s="5320"/>
      <c r="I244" s="5321"/>
      <c r="J244" s="3016"/>
      <c r="K244" s="3016"/>
      <c r="L244" s="3016"/>
      <c r="M244" s="3017"/>
      <c r="N244">
        <f>IF(G248="",0,1)</f>
      </c>
      <c r="AF244" s="3025">
        <v>3807</v>
      </c>
    </row>
    <row r="245" spans="1:33" x14ac:dyDescent="0.2">
      <c r="A245" s="3007"/>
      <c r="B245" s="5319"/>
      <c r="C245" s="5320"/>
      <c r="D245" s="5320"/>
      <c r="E245" s="5320"/>
      <c r="F245" s="5320"/>
      <c r="G245" s="5320"/>
      <c r="H245" s="5320"/>
      <c r="I245" s="5321"/>
      <c r="J245" s="3016"/>
      <c r="K245" s="3016"/>
      <c r="L245" s="3016"/>
      <c r="M245" s="3017"/>
      <c r="N245" s="1634">
        <f>IF(B247="",0,1)</f>
      </c>
      <c r="O245" s="1634"/>
      <c r="P245" s="1634"/>
      <c r="AF245" s="3026">
        <v>3890</v>
      </c>
    </row>
    <row r="246" spans="1:33" x14ac:dyDescent="0.2">
      <c r="A246" s="3007"/>
      <c r="B246" s="5322"/>
      <c r="C246" s="5323"/>
      <c r="D246" s="5323"/>
      <c r="E246" s="5323"/>
      <c r="F246" s="5323"/>
      <c r="G246" s="5323"/>
      <c r="H246" s="5323"/>
      <c r="I246" s="5324"/>
      <c r="J246" s="3016"/>
      <c r="K246" s="3016"/>
      <c r="L246" s="3016"/>
      <c r="M246" s="3017"/>
      <c r="N246">
        <f>SUM(N3:N245)</f>
      </c>
      <c r="O246">
        <f>SUM(O3:O245)</f>
      </c>
      <c r="P246">
        <f>SUM(C162,C91,C16)</f>
      </c>
      <c r="AF246" s="3025">
        <v>3900</v>
      </c>
    </row>
    <row r="247" spans="1:33" x14ac:dyDescent="0.2">
      <c r="A247" s="3007"/>
      <c r="B247" s="5309" t="str">
        <f>IF(AND(AC1=1,O246=0),"Full details relating to the Nexus with the EU List of Non-Cooperative Tax Jurisdictions are required!","")</f>
        <v/>
      </c>
      <c r="C247" s="5309"/>
      <c r="D247" s="5309"/>
      <c r="E247" s="5309"/>
      <c r="F247" s="5309"/>
      <c r="G247" s="5309"/>
      <c r="H247" s="5309"/>
      <c r="I247" s="5309"/>
      <c r="J247" s="3016"/>
      <c r="K247" s="3016"/>
      <c r="L247" s="3016"/>
      <c r="M247" s="3017"/>
      <c r="N247" t="s">
        <v>8875</v>
      </c>
      <c r="O247" t="s">
        <v>8263</v>
      </c>
      <c r="P247" t="s">
        <v>8874</v>
      </c>
      <c r="AF247" s="3025">
        <v>3901</v>
      </c>
    </row>
    <row r="248" spans="1:33" ht="15" x14ac:dyDescent="0.2">
      <c r="A248" s="3007"/>
      <c r="B248" s="2592"/>
      <c r="C248" s="3008"/>
      <c r="D248" s="3017"/>
      <c r="E248" s="3019" t="s">
        <v>8872</v>
      </c>
      <c r="F248" s="3023"/>
      <c r="G248" s="2902" t="str">
        <f>IF(AND(O246&gt;0,F248=""),re,"")</f>
        <v/>
      </c>
      <c r="H248" s="3017"/>
      <c r="I248" s="3017"/>
      <c r="J248" s="3017"/>
      <c r="K248" s="3017"/>
      <c r="L248" s="3017"/>
      <c r="M248" s="3017"/>
      <c r="N248">
        <f>IF(AND(AC1=0,O246=0,N246=0,P246=0),0,IF(N246&gt;0,100,IF(F248=n,100,1)))</f>
      </c>
      <c r="AF248" s="3025">
        <v>3902</v>
      </c>
    </row>
    <row r="249" spans="1:33" x14ac:dyDescent="0.2">
      <c r="A249" s="3007"/>
      <c r="B249" s="2592"/>
      <c r="C249" s="3008"/>
      <c r="D249" s="3017"/>
      <c r="E249" s="3017"/>
      <c r="F249" s="3017"/>
      <c r="G249" s="3017"/>
      <c r="H249" s="3017"/>
      <c r="I249" s="3017"/>
      <c r="J249" s="3017"/>
      <c r="K249" s="3017"/>
      <c r="L249" s="3017"/>
      <c r="M249" s="3017"/>
      <c r="AF249" s="3025">
        <v>3903</v>
      </c>
    </row>
    <row r="250" spans="1:33" s="3002" customFormat="1" x14ac:dyDescent="0.2">
      <c r="A250" s="2888" t="str">
        <f>_xlfn.SINGLE(MTCA)</f>
      </c>
      <c r="B250" s="2888"/>
      <c r="C250" s="3008"/>
      <c r="D250" s="3008"/>
      <c r="E250" s="3017"/>
      <c r="F250" s="3008" t="str">
        <f>ver</f>
        <v>TA2_e-CO_2025_Ver 1.1</v>
      </c>
      <c r="G250" s="3008"/>
      <c r="H250" s="3008"/>
      <c r="I250" s="3017"/>
      <c r="J250" s="3008"/>
      <c r="K250" s="3008"/>
      <c r="L250" s="3008" t="s">
        <v>8871</v>
      </c>
      <c r="M250" s="3008"/>
      <c r="AF250" s="3025">
        <v>3904</v>
      </c>
      <c r="AG250"/>
    </row>
    <row r="251" spans="1:33" x14ac:dyDescent="0.2">
      <c r="A251" s="3040"/>
      <c r="B251" s="3031" t="s">
        <v>8877</v>
      </c>
      <c r="C251" s="3005"/>
      <c r="D251" s="3004"/>
      <c r="E251" s="3004"/>
      <c r="F251" s="3004"/>
      <c r="G251" s="3004"/>
      <c r="H251" s="3004"/>
      <c r="I251" s="3004"/>
      <c r="J251" s="3004"/>
      <c r="K251" s="3004"/>
      <c r="L251" s="3004"/>
      <c r="M251" s="3004"/>
      <c r="AF251" s="3025">
        <v>3905</v>
      </c>
    </row>
    <row r="252" spans="1:33" x14ac:dyDescent="0.2">
      <c r="A252" s="3040"/>
      <c r="B252" s="1922"/>
      <c r="C252" s="3005"/>
      <c r="D252" s="3004"/>
      <c r="E252" s="3004"/>
      <c r="F252" s="3004"/>
      <c r="G252" s="3004"/>
      <c r="H252" s="3004"/>
      <c r="I252" s="3004"/>
      <c r="J252" s="3004"/>
      <c r="K252" s="3004"/>
      <c r="L252" s="3004"/>
      <c r="M252" s="3004"/>
      <c r="AF252" s="3025">
        <v>3906</v>
      </c>
    </row>
    <row r="253" spans="1:33" hidden="1" x14ac:dyDescent="0.2">
      <c r="AF253" s="3026">
        <v>3950</v>
      </c>
    </row>
    <row r="254" spans="1:33" hidden="1" x14ac:dyDescent="0.2">
      <c r="AF254" s="3025">
        <v>5000</v>
      </c>
    </row>
    <row r="255" spans="1:33" hidden="1" x14ac:dyDescent="0.2">
      <c r="AF255" s="3025">
        <v>5001</v>
      </c>
    </row>
    <row r="256" spans="1:33" hidden="1" x14ac:dyDescent="0.2">
      <c r="AF256" s="3025">
        <v>5002</v>
      </c>
    </row>
    <row r="257" spans="32:32" hidden="1" x14ac:dyDescent="0.2">
      <c r="AF257" s="3025">
        <v>5003</v>
      </c>
    </row>
    <row r="258" spans="32:32" hidden="1" x14ac:dyDescent="0.2">
      <c r="AF258" s="3025">
        <v>5004</v>
      </c>
    </row>
    <row r="259" spans="32:32" hidden="1" x14ac:dyDescent="0.2">
      <c r="AF259" s="3025">
        <v>5005</v>
      </c>
    </row>
    <row r="260" spans="32:32" hidden="1" x14ac:dyDescent="0.2">
      <c r="AF260" s="3025">
        <v>5006</v>
      </c>
    </row>
    <row r="261" spans="32:32" hidden="1" x14ac:dyDescent="0.2">
      <c r="AF261" s="3025">
        <v>5007</v>
      </c>
    </row>
    <row r="262" spans="32:32" hidden="1" x14ac:dyDescent="0.2">
      <c r="AF262" s="3025">
        <v>5008</v>
      </c>
    </row>
    <row r="263" spans="32:32" hidden="1" x14ac:dyDescent="0.2">
      <c r="AF263" s="3025">
        <v>5009</v>
      </c>
    </row>
    <row r="264" spans="32:32" hidden="1" x14ac:dyDescent="0.2">
      <c r="AF264" s="3025">
        <v>5010</v>
      </c>
    </row>
    <row r="265" spans="32:32" hidden="1" x14ac:dyDescent="0.2">
      <c r="AF265" s="3025">
        <v>5011</v>
      </c>
    </row>
    <row r="266" spans="32:32" hidden="1" x14ac:dyDescent="0.2">
      <c r="AF266" s="3026">
        <v>5099</v>
      </c>
    </row>
    <row r="267" spans="32:32" hidden="1" x14ac:dyDescent="0.2">
      <c r="AF267" s="3025">
        <v>5100</v>
      </c>
    </row>
    <row r="268" spans="32:32" hidden="1" x14ac:dyDescent="0.2">
      <c r="AF268" s="3025">
        <v>5101</v>
      </c>
    </row>
    <row r="269" spans="32:32" hidden="1" x14ac:dyDescent="0.2">
      <c r="AF269" s="3025">
        <v>5102</v>
      </c>
    </row>
    <row r="270" spans="32:32" hidden="1" x14ac:dyDescent="0.2">
      <c r="AF270" s="3025">
        <v>5103</v>
      </c>
    </row>
    <row r="271" spans="32:32" hidden="1" x14ac:dyDescent="0.2">
      <c r="AF271" s="3025">
        <v>5104</v>
      </c>
    </row>
    <row r="272" spans="32:32" hidden="1" x14ac:dyDescent="0.2">
      <c r="AF272" s="3025">
        <v>5105</v>
      </c>
    </row>
    <row r="273" spans="32:32" hidden="1" x14ac:dyDescent="0.2">
      <c r="AF273" s="3025">
        <v>5106</v>
      </c>
    </row>
    <row r="274" spans="32:32" hidden="1" x14ac:dyDescent="0.2">
      <c r="AF274" s="3025">
        <v>5107</v>
      </c>
    </row>
    <row r="275" spans="32:32" hidden="1" x14ac:dyDescent="0.2">
      <c r="AF275" s="3025">
        <v>5108</v>
      </c>
    </row>
    <row r="276" spans="32:32" hidden="1" x14ac:dyDescent="0.2">
      <c r="AF276" s="3025">
        <v>5109</v>
      </c>
    </row>
    <row r="277" spans="32:32" hidden="1" x14ac:dyDescent="0.2">
      <c r="AF277" s="3025">
        <v>5110</v>
      </c>
    </row>
    <row r="278" spans="32:32" hidden="1" x14ac:dyDescent="0.2">
      <c r="AF278" s="3025">
        <v>5111</v>
      </c>
    </row>
    <row r="279" spans="32:32" hidden="1" x14ac:dyDescent="0.2">
      <c r="AF279" s="3025">
        <v>5112</v>
      </c>
    </row>
    <row r="280" spans="32:32" hidden="1" x14ac:dyDescent="0.2">
      <c r="AF280" s="3025">
        <v>5190</v>
      </c>
    </row>
    <row r="281" spans="32:32" hidden="1" x14ac:dyDescent="0.2">
      <c r="AF281" s="3025">
        <v>5191</v>
      </c>
    </row>
    <row r="282" spans="32:32" hidden="1" x14ac:dyDescent="0.2">
      <c r="AF282" s="3025">
        <v>5200</v>
      </c>
    </row>
    <row r="283" spans="32:32" hidden="1" x14ac:dyDescent="0.2">
      <c r="AF283" s="3025">
        <v>5201</v>
      </c>
    </row>
    <row r="284" spans="32:32" hidden="1" x14ac:dyDescent="0.2">
      <c r="AF284" s="3025">
        <v>5202</v>
      </c>
    </row>
    <row r="285" spans="32:32" hidden="1" x14ac:dyDescent="0.2">
      <c r="AF285" s="3025">
        <v>5203</v>
      </c>
    </row>
    <row r="286" spans="32:32" hidden="1" x14ac:dyDescent="0.2">
      <c r="AF286" s="3025">
        <v>5204</v>
      </c>
    </row>
    <row r="287" spans="32:32" hidden="1" x14ac:dyDescent="0.2">
      <c r="AF287" s="3025">
        <v>5250</v>
      </c>
    </row>
    <row r="288" spans="32:32" hidden="1" x14ac:dyDescent="0.2">
      <c r="AF288" s="3025">
        <v>5251</v>
      </c>
    </row>
    <row r="289" spans="32:32" hidden="1" x14ac:dyDescent="0.2">
      <c r="AF289" s="3025">
        <v>5252</v>
      </c>
    </row>
    <row r="290" spans="32:32" hidden="1" x14ac:dyDescent="0.2">
      <c r="AF290" s="3025">
        <v>5253</v>
      </c>
    </row>
    <row r="291" spans="32:32" hidden="1" x14ac:dyDescent="0.2">
      <c r="AF291" s="3025">
        <v>5280</v>
      </c>
    </row>
    <row r="292" spans="32:32" hidden="1" x14ac:dyDescent="0.2">
      <c r="AF292" s="3025">
        <v>5281</v>
      </c>
    </row>
    <row r="293" spans="32:32" hidden="1" x14ac:dyDescent="0.2">
      <c r="AF293" s="3025">
        <v>5282</v>
      </c>
    </row>
    <row r="294" spans="32:32" hidden="1" x14ac:dyDescent="0.2">
      <c r="AF294" s="3025">
        <v>5283</v>
      </c>
    </row>
    <row r="295" spans="32:32" hidden="1" x14ac:dyDescent="0.2">
      <c r="AF295" s="3025">
        <v>5284</v>
      </c>
    </row>
    <row r="296" spans="32:32" hidden="1" x14ac:dyDescent="0.2">
      <c r="AF296" s="3025">
        <v>5300</v>
      </c>
    </row>
    <row r="297" spans="32:32" hidden="1" x14ac:dyDescent="0.2">
      <c r="AF297" s="3025">
        <v>5301</v>
      </c>
    </row>
    <row r="298" spans="32:32" hidden="1" x14ac:dyDescent="0.2">
      <c r="AF298" s="3025">
        <v>5302</v>
      </c>
    </row>
    <row r="299" spans="32:32" hidden="1" x14ac:dyDescent="0.2">
      <c r="AF299" s="3025">
        <v>5303</v>
      </c>
    </row>
    <row r="300" spans="32:32" hidden="1" x14ac:dyDescent="0.2">
      <c r="AF300" s="3025">
        <v>5304</v>
      </c>
    </row>
    <row r="301" spans="32:32" hidden="1" x14ac:dyDescent="0.2">
      <c r="AF301" s="3025">
        <v>5305</v>
      </c>
    </row>
    <row r="302" spans="32:32" hidden="1" x14ac:dyDescent="0.2">
      <c r="AF302" s="3025">
        <v>5306</v>
      </c>
    </row>
    <row r="303" spans="32:32" hidden="1" x14ac:dyDescent="0.2">
      <c r="AF303" s="3025">
        <v>5307</v>
      </c>
    </row>
    <row r="304" spans="32:32" hidden="1" x14ac:dyDescent="0.2">
      <c r="AF304" s="3025">
        <v>5308</v>
      </c>
    </row>
    <row r="305" spans="32:32" hidden="1" x14ac:dyDescent="0.2">
      <c r="AF305" s="3025">
        <v>5309</v>
      </c>
    </row>
    <row r="306" spans="32:32" hidden="1" x14ac:dyDescent="0.2">
      <c r="AF306" s="3025">
        <v>5310</v>
      </c>
    </row>
    <row r="307" spans="32:32" hidden="1" x14ac:dyDescent="0.2">
      <c r="AF307" s="3025">
        <v>5311</v>
      </c>
    </row>
    <row r="308" spans="32:32" hidden="1" x14ac:dyDescent="0.2">
      <c r="AF308" s="3026">
        <v>5498</v>
      </c>
    </row>
    <row r="309" spans="32:32" hidden="1" x14ac:dyDescent="0.2">
      <c r="AF309" s="3025">
        <v>5500</v>
      </c>
    </row>
    <row r="310" spans="32:32" hidden="1" x14ac:dyDescent="0.2">
      <c r="AF310" s="3025">
        <v>5501</v>
      </c>
    </row>
    <row r="311" spans="32:32" hidden="1" x14ac:dyDescent="0.2">
      <c r="AF311" s="3025">
        <v>5502</v>
      </c>
    </row>
    <row r="312" spans="32:32" hidden="1" x14ac:dyDescent="0.2">
      <c r="AF312" s="3025">
        <v>5503</v>
      </c>
    </row>
    <row r="313" spans="32:32" hidden="1" x14ac:dyDescent="0.2">
      <c r="AF313" s="3025">
        <v>5504</v>
      </c>
    </row>
    <row r="314" spans="32:32" hidden="1" x14ac:dyDescent="0.2">
      <c r="AF314" s="3025">
        <v>5550</v>
      </c>
    </row>
    <row r="315" spans="32:32" hidden="1" x14ac:dyDescent="0.2">
      <c r="AF315" s="3025">
        <v>5551</v>
      </c>
    </row>
    <row r="316" spans="32:32" hidden="1" x14ac:dyDescent="0.2">
      <c r="AF316" s="3025">
        <v>5552</v>
      </c>
    </row>
    <row r="317" spans="32:32" hidden="1" x14ac:dyDescent="0.2">
      <c r="AF317" s="3025">
        <v>5553</v>
      </c>
    </row>
    <row r="318" spans="32:32" hidden="1" x14ac:dyDescent="0.2">
      <c r="AF318" s="3025">
        <v>5554</v>
      </c>
    </row>
    <row r="319" spans="32:32" hidden="1" x14ac:dyDescent="0.2">
      <c r="AF319" s="3025">
        <v>5555</v>
      </c>
    </row>
    <row r="320" spans="32:32" hidden="1" x14ac:dyDescent="0.2">
      <c r="AF320" s="3025">
        <v>5556</v>
      </c>
    </row>
    <row r="321" spans="32:32" hidden="1" x14ac:dyDescent="0.2">
      <c r="AF321" s="3025">
        <v>5557</v>
      </c>
    </row>
    <row r="322" spans="32:32" hidden="1" x14ac:dyDescent="0.2">
      <c r="AF322" s="3025">
        <v>5600</v>
      </c>
    </row>
    <row r="323" spans="32:32" hidden="1" x14ac:dyDescent="0.2">
      <c r="AF323" s="3025">
        <v>5601</v>
      </c>
    </row>
    <row r="324" spans="32:32" hidden="1" x14ac:dyDescent="0.2">
      <c r="AF324" s="3025">
        <v>5602</v>
      </c>
    </row>
    <row r="325" spans="32:32" hidden="1" x14ac:dyDescent="0.2">
      <c r="AF325" s="3025">
        <v>5603</v>
      </c>
    </row>
    <row r="326" spans="32:32" hidden="1" x14ac:dyDescent="0.2">
      <c r="AF326" s="3025">
        <v>5604</v>
      </c>
    </row>
    <row r="327" spans="32:32" hidden="1" x14ac:dyDescent="0.2">
      <c r="AF327" s="3025">
        <v>5605</v>
      </c>
    </row>
    <row r="328" spans="32:32" hidden="1" x14ac:dyDescent="0.2">
      <c r="AF328" s="3025">
        <v>5606</v>
      </c>
    </row>
    <row r="329" spans="32:32" hidden="1" x14ac:dyDescent="0.2">
      <c r="AF329" s="3025">
        <v>5607</v>
      </c>
    </row>
    <row r="330" spans="32:32" hidden="1" x14ac:dyDescent="0.2">
      <c r="AF330" s="3025">
        <v>5608</v>
      </c>
    </row>
    <row r="331" spans="32:32" hidden="1" x14ac:dyDescent="0.2">
      <c r="AF331" s="3025">
        <v>5609</v>
      </c>
    </row>
    <row r="332" spans="32:32" hidden="1" x14ac:dyDescent="0.2">
      <c r="AF332" s="3025">
        <v>5610</v>
      </c>
    </row>
    <row r="333" spans="32:32" hidden="1" x14ac:dyDescent="0.2">
      <c r="AF333" s="3025">
        <v>5611</v>
      </c>
    </row>
    <row r="334" spans="32:32" hidden="1" x14ac:dyDescent="0.2">
      <c r="AF334" s="3025">
        <v>5700</v>
      </c>
    </row>
    <row r="335" spans="32:32" hidden="1" x14ac:dyDescent="0.2">
      <c r="AF335" s="3025">
        <v>5701</v>
      </c>
    </row>
    <row r="336" spans="32:32" hidden="1" x14ac:dyDescent="0.2">
      <c r="AF336" s="3025">
        <v>5702</v>
      </c>
    </row>
    <row r="337" spans="32:32" hidden="1" x14ac:dyDescent="0.2">
      <c r="AF337" s="3025">
        <v>5703</v>
      </c>
    </row>
    <row r="338" spans="32:32" hidden="1" x14ac:dyDescent="0.2">
      <c r="AF338" s="3025">
        <v>5704</v>
      </c>
    </row>
    <row r="339" spans="32:32" hidden="1" x14ac:dyDescent="0.2">
      <c r="AF339" s="3026">
        <v>5999</v>
      </c>
    </row>
    <row r="340" spans="32:32" hidden="1" x14ac:dyDescent="0.2">
      <c r="AF340" s="3025">
        <v>6000</v>
      </c>
    </row>
    <row r="341" spans="32:32" hidden="1" x14ac:dyDescent="0.2">
      <c r="AF341" s="3025">
        <v>6001</v>
      </c>
    </row>
    <row r="342" spans="32:32" hidden="1" x14ac:dyDescent="0.2">
      <c r="AF342" s="3025">
        <v>6002</v>
      </c>
    </row>
    <row r="343" spans="32:32" hidden="1" x14ac:dyDescent="0.2">
      <c r="AF343" s="3025">
        <v>6003</v>
      </c>
    </row>
    <row r="344" spans="32:32" hidden="1" x14ac:dyDescent="0.2">
      <c r="AF344" s="3025">
        <v>6004</v>
      </c>
    </row>
    <row r="345" spans="32:32" hidden="1" x14ac:dyDescent="0.2">
      <c r="AF345" s="3025">
        <v>6020</v>
      </c>
    </row>
    <row r="346" spans="32:32" hidden="1" x14ac:dyDescent="0.2">
      <c r="AF346" s="3025">
        <v>6021</v>
      </c>
    </row>
    <row r="347" spans="32:32" hidden="1" x14ac:dyDescent="0.2">
      <c r="AF347" s="3025">
        <v>6022</v>
      </c>
    </row>
    <row r="348" spans="32:32" hidden="1" x14ac:dyDescent="0.2">
      <c r="AF348" s="3025">
        <v>6023</v>
      </c>
    </row>
    <row r="349" spans="32:32" hidden="1" x14ac:dyDescent="0.2">
      <c r="AF349" s="3025">
        <v>6024</v>
      </c>
    </row>
    <row r="350" spans="32:32" hidden="1" x14ac:dyDescent="0.2">
      <c r="AF350" s="3025">
        <v>6025</v>
      </c>
    </row>
    <row r="351" spans="32:32" hidden="1" x14ac:dyDescent="0.2">
      <c r="AF351" s="3025">
        <v>6026</v>
      </c>
    </row>
    <row r="352" spans="32:32" hidden="1" x14ac:dyDescent="0.2">
      <c r="AF352" s="3025">
        <v>6027</v>
      </c>
    </row>
    <row r="353" spans="32:32" hidden="1" x14ac:dyDescent="0.2">
      <c r="AF353" s="3025">
        <v>6028</v>
      </c>
    </row>
    <row r="354" spans="32:32" hidden="1" x14ac:dyDescent="0.2">
      <c r="AF354" s="3025">
        <v>6029</v>
      </c>
    </row>
    <row r="355" spans="32:32" hidden="1" x14ac:dyDescent="0.2">
      <c r="AF355" s="3025">
        <v>6030</v>
      </c>
    </row>
    <row r="356" spans="32:32" hidden="1" x14ac:dyDescent="0.2">
      <c r="AF356" s="3025">
        <v>6031</v>
      </c>
    </row>
    <row r="357" spans="32:32" hidden="1" x14ac:dyDescent="0.2">
      <c r="AF357" s="3025">
        <v>6032</v>
      </c>
    </row>
    <row r="358" spans="32:32" hidden="1" x14ac:dyDescent="0.2">
      <c r="AF358" s="3025">
        <v>6033</v>
      </c>
    </row>
    <row r="359" spans="32:32" hidden="1" x14ac:dyDescent="0.2">
      <c r="AF359" s="3025">
        <v>6034</v>
      </c>
    </row>
    <row r="360" spans="32:32" hidden="1" x14ac:dyDescent="0.2">
      <c r="AF360" s="3025">
        <v>6035</v>
      </c>
    </row>
    <row r="361" spans="32:32" hidden="1" x14ac:dyDescent="0.2">
      <c r="AF361" s="3025">
        <v>6036</v>
      </c>
    </row>
    <row r="362" spans="32:32" hidden="1" x14ac:dyDescent="0.2">
      <c r="AF362" s="3025">
        <v>6037</v>
      </c>
    </row>
    <row r="363" spans="32:32" hidden="1" x14ac:dyDescent="0.2">
      <c r="AF363" s="3025">
        <v>6099</v>
      </c>
    </row>
    <row r="364" spans="32:32" hidden="1" x14ac:dyDescent="0.2">
      <c r="AF364" s="3025">
        <v>6100</v>
      </c>
    </row>
    <row r="365" spans="32:32" hidden="1" x14ac:dyDescent="0.2">
      <c r="AF365" s="3025">
        <v>6101</v>
      </c>
    </row>
    <row r="366" spans="32:32" hidden="1" x14ac:dyDescent="0.2">
      <c r="AF366" s="3025">
        <v>6120</v>
      </c>
    </row>
    <row r="367" spans="32:32" hidden="1" x14ac:dyDescent="0.2">
      <c r="AF367" s="3025">
        <v>6121</v>
      </c>
    </row>
    <row r="368" spans="32:32" hidden="1" x14ac:dyDescent="0.2">
      <c r="AF368" s="3025">
        <v>6122</v>
      </c>
    </row>
    <row r="369" spans="32:32" hidden="1" x14ac:dyDescent="0.2">
      <c r="AF369" s="3025">
        <v>6140</v>
      </c>
    </row>
    <row r="370" spans="32:32" hidden="1" x14ac:dyDescent="0.2">
      <c r="AF370" s="3025">
        <v>6141</v>
      </c>
    </row>
    <row r="371" spans="32:32" hidden="1" x14ac:dyDescent="0.2">
      <c r="AF371" s="3025">
        <v>6142</v>
      </c>
    </row>
    <row r="372" spans="32:32" hidden="1" x14ac:dyDescent="0.2">
      <c r="AF372" s="3025">
        <v>6143</v>
      </c>
    </row>
    <row r="373" spans="32:32" hidden="1" x14ac:dyDescent="0.2">
      <c r="AF373" s="3025">
        <v>6170</v>
      </c>
    </row>
    <row r="374" spans="32:32" hidden="1" x14ac:dyDescent="0.2">
      <c r="AF374" s="3025">
        <v>6171</v>
      </c>
    </row>
    <row r="375" spans="32:32" hidden="1" x14ac:dyDescent="0.2">
      <c r="AF375" s="3025">
        <v>6172</v>
      </c>
    </row>
    <row r="376" spans="32:32" hidden="1" x14ac:dyDescent="0.2">
      <c r="AF376" s="3025">
        <v>6173</v>
      </c>
    </row>
    <row r="377" spans="32:32" hidden="1" x14ac:dyDescent="0.2">
      <c r="AF377" s="3025">
        <v>6174</v>
      </c>
    </row>
    <row r="378" spans="32:32" hidden="1" x14ac:dyDescent="0.2">
      <c r="AF378" s="3025">
        <v>6175</v>
      </c>
    </row>
    <row r="379" spans="32:32" hidden="1" x14ac:dyDescent="0.2">
      <c r="AF379" s="3025">
        <v>6176</v>
      </c>
    </row>
    <row r="380" spans="32:32" hidden="1" x14ac:dyDescent="0.2">
      <c r="AF380" s="3025">
        <v>6177</v>
      </c>
    </row>
    <row r="381" spans="32:32" hidden="1" x14ac:dyDescent="0.2">
      <c r="AF381" s="3025">
        <v>6178</v>
      </c>
    </row>
    <row r="382" spans="32:32" hidden="1" x14ac:dyDescent="0.2">
      <c r="AF382" s="3025">
        <v>6179</v>
      </c>
    </row>
    <row r="383" spans="32:32" hidden="1" x14ac:dyDescent="0.2">
      <c r="AF383" s="3025">
        <v>6180</v>
      </c>
    </row>
    <row r="384" spans="32:32" hidden="1" x14ac:dyDescent="0.2">
      <c r="AF384" s="3025">
        <v>6200</v>
      </c>
    </row>
    <row r="385" spans="32:32" hidden="1" x14ac:dyDescent="0.2">
      <c r="AF385" s="3025">
        <v>6201</v>
      </c>
    </row>
    <row r="386" spans="32:32" hidden="1" x14ac:dyDescent="0.2">
      <c r="AF386" s="3025">
        <v>6202</v>
      </c>
    </row>
    <row r="387" spans="32:32" hidden="1" x14ac:dyDescent="0.2">
      <c r="AF387" s="3025">
        <v>6203</v>
      </c>
    </row>
    <row r="388" spans="32:32" hidden="1" x14ac:dyDescent="0.2">
      <c r="AF388" s="3025">
        <v>6204</v>
      </c>
    </row>
    <row r="389" spans="32:32" hidden="1" x14ac:dyDescent="0.2">
      <c r="AF389" s="3025">
        <v>6220</v>
      </c>
    </row>
    <row r="390" spans="32:32" hidden="1" x14ac:dyDescent="0.2">
      <c r="AF390" s="3025">
        <v>6221</v>
      </c>
    </row>
    <row r="391" spans="32:32" hidden="1" x14ac:dyDescent="0.2">
      <c r="AF391" s="3025">
        <v>6222</v>
      </c>
    </row>
    <row r="392" spans="32:32" hidden="1" x14ac:dyDescent="0.2">
      <c r="AF392" s="3025">
        <v>6223</v>
      </c>
    </row>
    <row r="393" spans="32:32" hidden="1" x14ac:dyDescent="0.2">
      <c r="AF393" s="3025">
        <v>6224</v>
      </c>
    </row>
    <row r="394" spans="32:32" hidden="1" x14ac:dyDescent="0.2">
      <c r="AF394" s="3025">
        <v>6225</v>
      </c>
    </row>
    <row r="395" spans="32:32" hidden="1" x14ac:dyDescent="0.2">
      <c r="AF395" s="3025">
        <v>6226</v>
      </c>
    </row>
    <row r="396" spans="32:32" hidden="1" x14ac:dyDescent="0.2">
      <c r="AF396" s="3025">
        <v>6227</v>
      </c>
    </row>
    <row r="397" spans="32:32" hidden="1" x14ac:dyDescent="0.2">
      <c r="AF397" s="3025">
        <v>6228</v>
      </c>
    </row>
    <row r="398" spans="32:32" hidden="1" x14ac:dyDescent="0.2">
      <c r="AF398" s="3025">
        <v>6250</v>
      </c>
    </row>
    <row r="399" spans="32:32" hidden="1" x14ac:dyDescent="0.2">
      <c r="AF399" s="3025">
        <v>6251</v>
      </c>
    </row>
    <row r="400" spans="32:32" hidden="1" x14ac:dyDescent="0.2">
      <c r="AF400" s="3025">
        <v>6252</v>
      </c>
    </row>
    <row r="401" spans="32:32" hidden="1" x14ac:dyDescent="0.2">
      <c r="AF401" s="3025">
        <v>6253</v>
      </c>
    </row>
    <row r="402" spans="32:32" hidden="1" x14ac:dyDescent="0.2">
      <c r="AF402" s="3025">
        <v>6254</v>
      </c>
    </row>
    <row r="403" spans="32:32" hidden="1" x14ac:dyDescent="0.2">
      <c r="AF403" s="3025">
        <v>6255</v>
      </c>
    </row>
    <row r="404" spans="32:32" hidden="1" x14ac:dyDescent="0.2">
      <c r="AF404" s="3025">
        <v>6290</v>
      </c>
    </row>
    <row r="405" spans="32:32" hidden="1" x14ac:dyDescent="0.2">
      <c r="AF405" s="3025">
        <v>6291</v>
      </c>
    </row>
    <row r="406" spans="32:32" hidden="1" x14ac:dyDescent="0.2">
      <c r="AF406" s="3025">
        <v>6292</v>
      </c>
    </row>
    <row r="407" spans="32:32" hidden="1" x14ac:dyDescent="0.2">
      <c r="AF407" s="3025">
        <v>6293</v>
      </c>
    </row>
    <row r="408" spans="32:32" hidden="1" x14ac:dyDescent="0.2">
      <c r="AF408" s="3025">
        <v>6294</v>
      </c>
    </row>
    <row r="409" spans="32:32" hidden="1" x14ac:dyDescent="0.2">
      <c r="AF409" s="3025">
        <v>6295</v>
      </c>
    </row>
    <row r="410" spans="32:32" hidden="1" x14ac:dyDescent="0.2">
      <c r="AF410" s="3025">
        <v>6310</v>
      </c>
    </row>
    <row r="411" spans="32:32" hidden="1" x14ac:dyDescent="0.2">
      <c r="AF411" s="3025">
        <v>6311</v>
      </c>
    </row>
    <row r="412" spans="32:32" hidden="1" x14ac:dyDescent="0.2">
      <c r="AF412" s="3025">
        <v>6312</v>
      </c>
    </row>
    <row r="413" spans="32:32" hidden="1" x14ac:dyDescent="0.2">
      <c r="AF413" s="3025">
        <v>6313</v>
      </c>
    </row>
    <row r="414" spans="32:32" hidden="1" x14ac:dyDescent="0.2">
      <c r="AF414" s="3025">
        <v>6314</v>
      </c>
    </row>
    <row r="415" spans="32:32" hidden="1" x14ac:dyDescent="0.2">
      <c r="AF415" s="3025">
        <v>6340</v>
      </c>
    </row>
    <row r="416" spans="32:32" hidden="1" x14ac:dyDescent="0.2">
      <c r="AF416" s="3025">
        <v>6341</v>
      </c>
    </row>
    <row r="417" spans="32:32" hidden="1" x14ac:dyDescent="0.2">
      <c r="AF417" s="3025">
        <v>6342</v>
      </c>
    </row>
    <row r="418" spans="32:32" hidden="1" x14ac:dyDescent="0.2">
      <c r="AF418" s="3025">
        <v>6343</v>
      </c>
    </row>
    <row r="419" spans="32:32" hidden="1" x14ac:dyDescent="0.2">
      <c r="AF419" s="3025">
        <v>6344</v>
      </c>
    </row>
    <row r="420" spans="32:32" hidden="1" x14ac:dyDescent="0.2">
      <c r="AF420" s="3025">
        <v>6345</v>
      </c>
    </row>
    <row r="421" spans="32:32" hidden="1" x14ac:dyDescent="0.2">
      <c r="AF421" s="3025">
        <v>6346</v>
      </c>
    </row>
    <row r="422" spans="32:32" hidden="1" x14ac:dyDescent="0.2">
      <c r="AF422" s="3025">
        <v>6347</v>
      </c>
    </row>
    <row r="423" spans="32:32" hidden="1" x14ac:dyDescent="0.2">
      <c r="AF423" s="3025">
        <v>6348</v>
      </c>
    </row>
    <row r="424" spans="32:32" hidden="1" x14ac:dyDescent="0.2">
      <c r="AF424" s="3025">
        <v>6380</v>
      </c>
    </row>
    <row r="425" spans="32:32" hidden="1" x14ac:dyDescent="0.2">
      <c r="AF425" s="3025">
        <v>6381</v>
      </c>
    </row>
    <row r="426" spans="32:32" hidden="1" x14ac:dyDescent="0.2">
      <c r="AF426" s="3025">
        <v>6382</v>
      </c>
    </row>
    <row r="427" spans="32:32" hidden="1" x14ac:dyDescent="0.2">
      <c r="AF427" s="3025">
        <v>6383</v>
      </c>
    </row>
    <row r="428" spans="32:32" hidden="1" x14ac:dyDescent="0.2">
      <c r="AF428" s="3025">
        <v>6384</v>
      </c>
    </row>
    <row r="429" spans="32:32" hidden="1" x14ac:dyDescent="0.2">
      <c r="AF429" s="3025">
        <v>6385</v>
      </c>
    </row>
    <row r="430" spans="32:32" hidden="1" x14ac:dyDescent="0.2">
      <c r="AF430" s="3025">
        <v>6400</v>
      </c>
    </row>
    <row r="431" spans="32:32" hidden="1" x14ac:dyDescent="0.2">
      <c r="AF431" s="3025">
        <v>6401</v>
      </c>
    </row>
    <row r="432" spans="32:32" hidden="1" x14ac:dyDescent="0.2">
      <c r="AF432" s="3025">
        <v>6402</v>
      </c>
    </row>
    <row r="433" spans="32:32" hidden="1" x14ac:dyDescent="0.2">
      <c r="AF433" s="3025">
        <v>6403</v>
      </c>
    </row>
    <row r="434" spans="32:32" hidden="1" x14ac:dyDescent="0.2">
      <c r="AF434" s="3025">
        <v>6404</v>
      </c>
    </row>
    <row r="435" spans="32:32" hidden="1" x14ac:dyDescent="0.2">
      <c r="AF435" s="3025">
        <v>6410</v>
      </c>
    </row>
    <row r="436" spans="32:32" hidden="1" x14ac:dyDescent="0.2">
      <c r="AF436" s="3025">
        <v>6411</v>
      </c>
    </row>
    <row r="437" spans="32:32" hidden="1" x14ac:dyDescent="0.2">
      <c r="AF437" s="3025">
        <v>6412</v>
      </c>
    </row>
    <row r="438" spans="32:32" hidden="1" x14ac:dyDescent="0.2">
      <c r="AF438" s="3025">
        <v>6413</v>
      </c>
    </row>
    <row r="439" spans="32:32" hidden="1" x14ac:dyDescent="0.2">
      <c r="AF439" s="3025">
        <v>6420</v>
      </c>
    </row>
    <row r="440" spans="32:32" hidden="1" x14ac:dyDescent="0.2">
      <c r="AF440" s="3025">
        <v>6421</v>
      </c>
    </row>
    <row r="441" spans="32:32" hidden="1" x14ac:dyDescent="0.2">
      <c r="AF441" s="3025">
        <v>6422</v>
      </c>
    </row>
    <row r="442" spans="32:32" hidden="1" x14ac:dyDescent="0.2">
      <c r="AF442" s="3025">
        <v>6423</v>
      </c>
    </row>
    <row r="443" spans="32:32" hidden="1" x14ac:dyDescent="0.2">
      <c r="AF443" s="3025">
        <v>6430</v>
      </c>
    </row>
    <row r="444" spans="32:32" hidden="1" x14ac:dyDescent="0.2">
      <c r="AF444" s="3025">
        <v>6431</v>
      </c>
    </row>
    <row r="445" spans="32:32" hidden="1" x14ac:dyDescent="0.2">
      <c r="AF445" s="3025">
        <v>6432</v>
      </c>
    </row>
    <row r="446" spans="32:32" hidden="1" x14ac:dyDescent="0.2">
      <c r="AF446" s="3025">
        <v>6433</v>
      </c>
    </row>
    <row r="447" spans="32:32" hidden="1" x14ac:dyDescent="0.2">
      <c r="AF447" s="3025">
        <v>6434</v>
      </c>
    </row>
    <row r="448" spans="32:32" hidden="1" x14ac:dyDescent="0.2">
      <c r="AF448" s="3025">
        <v>6435</v>
      </c>
    </row>
    <row r="449" spans="32:32" hidden="1" x14ac:dyDescent="0.2">
      <c r="AF449" s="3025">
        <v>6436</v>
      </c>
    </row>
    <row r="450" spans="32:32" hidden="1" x14ac:dyDescent="0.2">
      <c r="AF450" s="3025">
        <v>6437</v>
      </c>
    </row>
    <row r="451" spans="32:32" hidden="1" x14ac:dyDescent="0.2">
      <c r="AF451" s="3025">
        <v>6438</v>
      </c>
    </row>
    <row r="452" spans="32:32" hidden="1" x14ac:dyDescent="0.2">
      <c r="AF452" s="3025">
        <v>6439</v>
      </c>
    </row>
    <row r="453" spans="32:32" hidden="1" x14ac:dyDescent="0.2">
      <c r="AF453" s="3025">
        <v>6440</v>
      </c>
    </row>
    <row r="454" spans="32:32" hidden="1" x14ac:dyDescent="0.2">
      <c r="AF454" s="3025">
        <v>6441</v>
      </c>
    </row>
    <row r="455" spans="32:32" hidden="1" x14ac:dyDescent="0.2">
      <c r="AF455" s="3025">
        <v>6442</v>
      </c>
    </row>
    <row r="456" spans="32:32" hidden="1" x14ac:dyDescent="0.2">
      <c r="AF456" s="3025">
        <v>6443</v>
      </c>
    </row>
    <row r="457" spans="32:32" hidden="1" x14ac:dyDescent="0.2">
      <c r="AF457" s="3025">
        <v>6444</v>
      </c>
    </row>
    <row r="458" spans="32:32" hidden="1" x14ac:dyDescent="0.2">
      <c r="AF458" s="3025">
        <v>6445</v>
      </c>
    </row>
    <row r="459" spans="32:32" hidden="1" x14ac:dyDescent="0.2">
      <c r="AF459" s="3025">
        <v>6446</v>
      </c>
    </row>
    <row r="460" spans="32:32" hidden="1" x14ac:dyDescent="0.2">
      <c r="AF460" s="3025">
        <v>6447</v>
      </c>
    </row>
    <row r="461" spans="32:32" hidden="1" x14ac:dyDescent="0.2">
      <c r="AF461" s="3025">
        <v>6448</v>
      </c>
    </row>
    <row r="462" spans="32:32" hidden="1" x14ac:dyDescent="0.2">
      <c r="AF462" s="3025">
        <v>6449</v>
      </c>
    </row>
    <row r="463" spans="32:32" hidden="1" x14ac:dyDescent="0.2">
      <c r="AF463" s="3025">
        <v>6450</v>
      </c>
    </row>
    <row r="464" spans="32:32" hidden="1" x14ac:dyDescent="0.2">
      <c r="AF464" s="3025">
        <v>6451</v>
      </c>
    </row>
    <row r="465" spans="32:32" hidden="1" x14ac:dyDescent="0.2">
      <c r="AF465" s="3025">
        <v>6452</v>
      </c>
    </row>
    <row r="466" spans="32:32" hidden="1" x14ac:dyDescent="0.2">
      <c r="AF466" s="3025">
        <v>6453</v>
      </c>
    </row>
    <row r="467" spans="32:32" hidden="1" x14ac:dyDescent="0.2">
      <c r="AF467" s="3025">
        <v>6454</v>
      </c>
    </row>
    <row r="468" spans="32:32" hidden="1" x14ac:dyDescent="0.2">
      <c r="AF468" s="3025">
        <v>6455</v>
      </c>
    </row>
    <row r="469" spans="32:32" hidden="1" x14ac:dyDescent="0.2">
      <c r="AF469" s="3025">
        <v>6456</v>
      </c>
    </row>
    <row r="470" spans="32:32" hidden="1" x14ac:dyDescent="0.2">
      <c r="AF470" s="3025">
        <v>6457</v>
      </c>
    </row>
    <row r="471" spans="32:32" hidden="1" x14ac:dyDescent="0.2">
      <c r="AF471" s="3025">
        <v>6600</v>
      </c>
    </row>
    <row r="472" spans="32:32" hidden="1" x14ac:dyDescent="0.2">
      <c r="AF472" s="3025">
        <v>6601</v>
      </c>
    </row>
    <row r="473" spans="32:32" hidden="1" x14ac:dyDescent="0.2">
      <c r="AF473" s="3025">
        <v>6602</v>
      </c>
    </row>
    <row r="474" spans="32:32" hidden="1" x14ac:dyDescent="0.2">
      <c r="AF474" s="3025">
        <v>6603</v>
      </c>
    </row>
    <row r="475" spans="32:32" hidden="1" x14ac:dyDescent="0.2">
      <c r="AF475" s="3025">
        <v>6604</v>
      </c>
    </row>
    <row r="476" spans="32:32" hidden="1" x14ac:dyDescent="0.2">
      <c r="AF476" s="3025">
        <v>6605</v>
      </c>
    </row>
    <row r="477" spans="32:32" hidden="1" x14ac:dyDescent="0.2">
      <c r="AF477" s="3025">
        <v>6606</v>
      </c>
    </row>
    <row r="478" spans="32:32" hidden="1" x14ac:dyDescent="0.2">
      <c r="AF478" s="3025">
        <v>6607</v>
      </c>
    </row>
    <row r="479" spans="32:32" hidden="1" x14ac:dyDescent="0.2">
      <c r="AF479" s="3025">
        <v>6608</v>
      </c>
    </row>
    <row r="480" spans="32:32" hidden="1" x14ac:dyDescent="0.2">
      <c r="AF480" s="3025">
        <v>6609</v>
      </c>
    </row>
    <row r="481" spans="32:32" hidden="1" x14ac:dyDescent="0.2">
      <c r="AF481" s="3025">
        <v>6610</v>
      </c>
    </row>
    <row r="482" spans="32:32" hidden="1" x14ac:dyDescent="0.2">
      <c r="AF482" s="3025">
        <v>6611</v>
      </c>
    </row>
    <row r="483" spans="32:32" hidden="1" x14ac:dyDescent="0.2">
      <c r="AF483" s="3025">
        <v>6612</v>
      </c>
    </row>
    <row r="484" spans="32:32" hidden="1" x14ac:dyDescent="0.2">
      <c r="AF484" s="3025">
        <v>6613</v>
      </c>
    </row>
    <row r="485" spans="32:32" hidden="1" x14ac:dyDescent="0.2">
      <c r="AF485" s="3029"/>
    </row>
    <row r="486" spans="32:32" hidden="1" x14ac:dyDescent="0.2">
      <c r="AF486" s="3030"/>
    </row>
    <row r="487" spans="32:32" hidden="1" x14ac:dyDescent="0.2">
      <c r="AF487" s="3029"/>
    </row>
    <row r="488" spans="32:32" hidden="1" x14ac:dyDescent="0.2">
      <c r="AF488" s="3030"/>
    </row>
  </sheetData>
  <sheetProtection algorithmName="SHA-512" hashValue="MYbM6Pt4g1+cUXvJkBH2wAA7O+NXGQx4RI4bneQO5EZY2e6EYhyrjH+R9BjBylmM8ZUEwJ/NMsLNBiMg4PS7uQ==" saltValue="28BY+7dbuhza23hiRugzTw==" spinCount="100000" sheet="1" objects="1" scenarios="1"/>
  <sortState xmlns:xlrd2="http://schemas.microsoft.com/office/spreadsheetml/2017/richdata2" ref="AF5:AF488">
    <sortCondition ref="AF5"/>
  </sortState>
  <mergeCells count="229">
    <mergeCell ref="F214:G214"/>
    <mergeCell ref="H214:I214"/>
    <mergeCell ref="F215:G215"/>
    <mergeCell ref="H215:I215"/>
    <mergeCell ref="F211:G211"/>
    <mergeCell ref="H211:I211"/>
    <mergeCell ref="F212:G212"/>
    <mergeCell ref="H212:I212"/>
    <mergeCell ref="F213:G213"/>
    <mergeCell ref="H213:I213"/>
    <mergeCell ref="F208:G208"/>
    <mergeCell ref="H208:I208"/>
    <mergeCell ref="F209:G209"/>
    <mergeCell ref="H209:I209"/>
    <mergeCell ref="F210:G210"/>
    <mergeCell ref="H210:I210"/>
    <mergeCell ref="F205:G205"/>
    <mergeCell ref="H205:I205"/>
    <mergeCell ref="F206:G206"/>
    <mergeCell ref="H206:I206"/>
    <mergeCell ref="F207:G207"/>
    <mergeCell ref="H207:I207"/>
    <mergeCell ref="F202:G202"/>
    <mergeCell ref="H202:I202"/>
    <mergeCell ref="F203:G203"/>
    <mergeCell ref="H203:I203"/>
    <mergeCell ref="F204:G204"/>
    <mergeCell ref="H204:I204"/>
    <mergeCell ref="F199:G199"/>
    <mergeCell ref="H199:I199"/>
    <mergeCell ref="F200:G200"/>
    <mergeCell ref="H200:I200"/>
    <mergeCell ref="F201:G201"/>
    <mergeCell ref="H201:I201"/>
    <mergeCell ref="F196:G196"/>
    <mergeCell ref="H196:I196"/>
    <mergeCell ref="F197:G197"/>
    <mergeCell ref="H197:I197"/>
    <mergeCell ref="F198:G198"/>
    <mergeCell ref="H198:I198"/>
    <mergeCell ref="F193:G193"/>
    <mergeCell ref="H193:I193"/>
    <mergeCell ref="F194:G194"/>
    <mergeCell ref="H194:I194"/>
    <mergeCell ref="F195:G195"/>
    <mergeCell ref="H195:I195"/>
    <mergeCell ref="F190:G190"/>
    <mergeCell ref="H190:I190"/>
    <mergeCell ref="F191:G191"/>
    <mergeCell ref="H191:I191"/>
    <mergeCell ref="F192:G192"/>
    <mergeCell ref="H192:I192"/>
    <mergeCell ref="F187:G187"/>
    <mergeCell ref="H187:I187"/>
    <mergeCell ref="F188:G188"/>
    <mergeCell ref="H188:I188"/>
    <mergeCell ref="F189:G189"/>
    <mergeCell ref="H189:I189"/>
    <mergeCell ref="F184:G184"/>
    <mergeCell ref="H184:I184"/>
    <mergeCell ref="F185:G185"/>
    <mergeCell ref="H185:I185"/>
    <mergeCell ref="F186:G186"/>
    <mergeCell ref="H186:I186"/>
    <mergeCell ref="F181:G181"/>
    <mergeCell ref="H181:I181"/>
    <mergeCell ref="F182:G182"/>
    <mergeCell ref="H182:I182"/>
    <mergeCell ref="F183:G183"/>
    <mergeCell ref="H183:I183"/>
    <mergeCell ref="F178:G178"/>
    <mergeCell ref="H178:I178"/>
    <mergeCell ref="F179:G179"/>
    <mergeCell ref="H179:I179"/>
    <mergeCell ref="F180:G180"/>
    <mergeCell ref="H180:I180"/>
    <mergeCell ref="F175:G175"/>
    <mergeCell ref="H175:I175"/>
    <mergeCell ref="F176:G176"/>
    <mergeCell ref="H176:I176"/>
    <mergeCell ref="F177:G177"/>
    <mergeCell ref="H177:I177"/>
    <mergeCell ref="H66:I66"/>
    <mergeCell ref="H67:I67"/>
    <mergeCell ref="H68:I68"/>
    <mergeCell ref="F165:G165"/>
    <mergeCell ref="H165:I165"/>
    <mergeCell ref="F172:G172"/>
    <mergeCell ref="H172:I172"/>
    <mergeCell ref="F173:G173"/>
    <mergeCell ref="H173:I173"/>
    <mergeCell ref="F169:G169"/>
    <mergeCell ref="H169:I169"/>
    <mergeCell ref="F170:G170"/>
    <mergeCell ref="H170:I170"/>
    <mergeCell ref="F171:G171"/>
    <mergeCell ref="H171:I171"/>
    <mergeCell ref="H156:I156"/>
    <mergeCell ref="H157:I157"/>
    <mergeCell ref="H161:I161"/>
    <mergeCell ref="H154:I154"/>
    <mergeCell ref="H160:I160"/>
    <mergeCell ref="H159:I159"/>
    <mergeCell ref="H75:I75"/>
    <mergeCell ref="H76:I76"/>
    <mergeCell ref="H73:I73"/>
    <mergeCell ref="H62:I62"/>
    <mergeCell ref="H63:I63"/>
    <mergeCell ref="H64:I64"/>
    <mergeCell ref="H65:I65"/>
    <mergeCell ref="H56:I56"/>
    <mergeCell ref="H57:I57"/>
    <mergeCell ref="H58:I58"/>
    <mergeCell ref="H59:I59"/>
    <mergeCell ref="H60:I60"/>
    <mergeCell ref="H53:I53"/>
    <mergeCell ref="H54:I54"/>
    <mergeCell ref="H55:I55"/>
    <mergeCell ref="H46:I46"/>
    <mergeCell ref="H47:I47"/>
    <mergeCell ref="H48:I48"/>
    <mergeCell ref="H49:I49"/>
    <mergeCell ref="H50:I50"/>
    <mergeCell ref="H61:I61"/>
    <mergeCell ref="H44:I44"/>
    <mergeCell ref="H45:I45"/>
    <mergeCell ref="H36:I36"/>
    <mergeCell ref="H37:I37"/>
    <mergeCell ref="H38:I38"/>
    <mergeCell ref="H39:I39"/>
    <mergeCell ref="H40:I40"/>
    <mergeCell ref="H51:I51"/>
    <mergeCell ref="H52:I52"/>
    <mergeCell ref="F221:G221"/>
    <mergeCell ref="H221:I221"/>
    <mergeCell ref="K78:K79"/>
    <mergeCell ref="F220:G220"/>
    <mergeCell ref="F164:G164"/>
    <mergeCell ref="H219:I219"/>
    <mergeCell ref="F161:G161"/>
    <mergeCell ref="F154:G154"/>
    <mergeCell ref="F155:G155"/>
    <mergeCell ref="F156:G156"/>
    <mergeCell ref="F157:G157"/>
    <mergeCell ref="F158:G158"/>
    <mergeCell ref="F218:G218"/>
    <mergeCell ref="F219:G219"/>
    <mergeCell ref="F160:G160"/>
    <mergeCell ref="F159:G159"/>
    <mergeCell ref="F166:G166"/>
    <mergeCell ref="H166:I166"/>
    <mergeCell ref="F167:G167"/>
    <mergeCell ref="H167:I167"/>
    <mergeCell ref="F168:G168"/>
    <mergeCell ref="H168:I168"/>
    <mergeCell ref="F174:G174"/>
    <mergeCell ref="H174:I174"/>
    <mergeCell ref="H28:I28"/>
    <mergeCell ref="H29:I29"/>
    <mergeCell ref="H30:I30"/>
    <mergeCell ref="H41:I41"/>
    <mergeCell ref="H42:I42"/>
    <mergeCell ref="H43:I43"/>
    <mergeCell ref="H21:I21"/>
    <mergeCell ref="H22:I22"/>
    <mergeCell ref="H23:I23"/>
    <mergeCell ref="H24:I24"/>
    <mergeCell ref="H25:I25"/>
    <mergeCell ref="H31:I31"/>
    <mergeCell ref="H32:I32"/>
    <mergeCell ref="H33:I33"/>
    <mergeCell ref="H34:I34"/>
    <mergeCell ref="H18:I18"/>
    <mergeCell ref="H19:I19"/>
    <mergeCell ref="H20:I20"/>
    <mergeCell ref="B228:I246"/>
    <mergeCell ref="H69:I69"/>
    <mergeCell ref="H70:I70"/>
    <mergeCell ref="H71:I71"/>
    <mergeCell ref="H72:I72"/>
    <mergeCell ref="F217:G217"/>
    <mergeCell ref="H217:I217"/>
    <mergeCell ref="F222:G222"/>
    <mergeCell ref="H222:I222"/>
    <mergeCell ref="F223:G223"/>
    <mergeCell ref="H223:I223"/>
    <mergeCell ref="F224:G224"/>
    <mergeCell ref="H224:I224"/>
    <mergeCell ref="H216:I216"/>
    <mergeCell ref="H220:I220"/>
    <mergeCell ref="H218:I218"/>
    <mergeCell ref="H164:I164"/>
    <mergeCell ref="H155:I155"/>
    <mergeCell ref="H35:I35"/>
    <mergeCell ref="H26:I26"/>
    <mergeCell ref="H27:I27"/>
    <mergeCell ref="B3:I3"/>
    <mergeCell ref="D5:D6"/>
    <mergeCell ref="E5:E6"/>
    <mergeCell ref="F5:I5"/>
    <mergeCell ref="H6:I6"/>
    <mergeCell ref="H7:I7"/>
    <mergeCell ref="H8:I8"/>
    <mergeCell ref="H9:I9"/>
    <mergeCell ref="H10:I10"/>
    <mergeCell ref="H11:I11"/>
    <mergeCell ref="B155:B160"/>
    <mergeCell ref="J78:J79"/>
    <mergeCell ref="L78:L79"/>
    <mergeCell ref="B7:B14"/>
    <mergeCell ref="B247:I247"/>
    <mergeCell ref="D78:D79"/>
    <mergeCell ref="E78:E79"/>
    <mergeCell ref="F78:F79"/>
    <mergeCell ref="G78:I78"/>
    <mergeCell ref="B80:B89"/>
    <mergeCell ref="F163:G163"/>
    <mergeCell ref="H163:I163"/>
    <mergeCell ref="F216:G216"/>
    <mergeCell ref="F162:G162"/>
    <mergeCell ref="H162:I162"/>
    <mergeCell ref="H158:I158"/>
    <mergeCell ref="H12:I12"/>
    <mergeCell ref="H13:I13"/>
    <mergeCell ref="H14:I14"/>
    <mergeCell ref="H15:I15"/>
    <mergeCell ref="H16:I16"/>
    <mergeCell ref="H17:I17"/>
    <mergeCell ref="H74:I74"/>
  </mergeCells>
  <conditionalFormatting sqref="J81">
    <cfRule type="expression" dxfId="311" priority="168">
      <formula>$S$81=1</formula>
    </cfRule>
  </conditionalFormatting>
  <conditionalFormatting sqref="J82">
    <cfRule type="expression" dxfId="310" priority="167">
      <formula>$S$82=1</formula>
    </cfRule>
  </conditionalFormatting>
  <conditionalFormatting sqref="J83">
    <cfRule type="expression" dxfId="309" priority="166">
      <formula>$S$83=1</formula>
    </cfRule>
  </conditionalFormatting>
  <conditionalFormatting sqref="J84">
    <cfRule type="expression" dxfId="308" priority="165">
      <formula>$S$84=1</formula>
    </cfRule>
  </conditionalFormatting>
  <conditionalFormatting sqref="J85">
    <cfRule type="expression" dxfId="307" priority="164">
      <formula>$S$85=1</formula>
    </cfRule>
  </conditionalFormatting>
  <conditionalFormatting sqref="J86">
    <cfRule type="expression" dxfId="306" priority="163">
      <formula>$S$86=1</formula>
    </cfRule>
  </conditionalFormatting>
  <conditionalFormatting sqref="J87">
    <cfRule type="expression" dxfId="305" priority="162">
      <formula>$S$87=1</formula>
    </cfRule>
  </conditionalFormatting>
  <conditionalFormatting sqref="J88">
    <cfRule type="expression" dxfId="304" priority="161">
      <formula>$S$88=1</formula>
    </cfRule>
  </conditionalFormatting>
  <conditionalFormatting sqref="J89">
    <cfRule type="expression" dxfId="303" priority="159">
      <formula>$S$89=1</formula>
    </cfRule>
  </conditionalFormatting>
  <conditionalFormatting sqref="J90">
    <cfRule type="expression" dxfId="302" priority="158">
      <formula>$S$90=1</formula>
    </cfRule>
  </conditionalFormatting>
  <conditionalFormatting sqref="J91">
    <cfRule type="expression" dxfId="301" priority="157">
      <formula>$S$91=1</formula>
    </cfRule>
  </conditionalFormatting>
  <conditionalFormatting sqref="J92:J144">
    <cfRule type="expression" dxfId="300" priority="156">
      <formula>$S$92=1</formula>
    </cfRule>
  </conditionalFormatting>
  <conditionalFormatting sqref="J145">
    <cfRule type="expression" dxfId="299" priority="155">
      <formula>$S$145=1</formula>
    </cfRule>
  </conditionalFormatting>
  <conditionalFormatting sqref="J146">
    <cfRule type="expression" dxfId="298" priority="154">
      <formula>$S$146=1</formula>
    </cfRule>
  </conditionalFormatting>
  <conditionalFormatting sqref="J147">
    <cfRule type="expression" dxfId="297" priority="153">
      <formula>$S$147=1</formula>
    </cfRule>
  </conditionalFormatting>
  <conditionalFormatting sqref="J148">
    <cfRule type="expression" dxfId="296" priority="152">
      <formula>$S$148=1</formula>
    </cfRule>
  </conditionalFormatting>
  <conditionalFormatting sqref="J149">
    <cfRule type="expression" dxfId="295" priority="151">
      <formula>$S$149=1</formula>
    </cfRule>
  </conditionalFormatting>
  <conditionalFormatting sqref="J150">
    <cfRule type="expression" dxfId="294" priority="150">
      <formula>$S$150=1</formula>
    </cfRule>
  </conditionalFormatting>
  <conditionalFormatting sqref="K80:K150">
    <cfRule type="expression" dxfId="293" priority="169">
      <formula>T80=1</formula>
    </cfRule>
  </conditionalFormatting>
  <conditionalFormatting sqref="L80">
    <cfRule type="expression" dxfId="292" priority="2986">
      <formula>$U$80=1</formula>
    </cfRule>
  </conditionalFormatting>
  <conditionalFormatting sqref="L81">
    <cfRule type="expression" dxfId="291" priority="2987">
      <formula>$U$81=1</formula>
    </cfRule>
  </conditionalFormatting>
  <conditionalFormatting sqref="L82">
    <cfRule type="expression" dxfId="290" priority="2988">
      <formula>$U$82=1</formula>
    </cfRule>
  </conditionalFormatting>
  <conditionalFormatting sqref="L83">
    <cfRule type="expression" dxfId="289" priority="2">
      <formula>$U$83=1</formula>
    </cfRule>
  </conditionalFormatting>
  <conditionalFormatting sqref="L84">
    <cfRule type="expression" dxfId="288" priority="1">
      <formula>$U$84=1</formula>
    </cfRule>
  </conditionalFormatting>
  <conditionalFormatting sqref="L85">
    <cfRule type="expression" dxfId="287" priority="71">
      <formula>$U$85=1</formula>
    </cfRule>
  </conditionalFormatting>
  <conditionalFormatting sqref="L86">
    <cfRule type="expression" dxfId="286" priority="70">
      <formula>$U$86=1</formula>
    </cfRule>
  </conditionalFormatting>
  <conditionalFormatting sqref="L87">
    <cfRule type="expression" dxfId="285" priority="69">
      <formula>$U$87=1</formula>
    </cfRule>
  </conditionalFormatting>
  <conditionalFormatting sqref="L88">
    <cfRule type="expression" dxfId="284" priority="68">
      <formula>$U$88=1</formula>
    </cfRule>
  </conditionalFormatting>
  <conditionalFormatting sqref="L89">
    <cfRule type="expression" dxfId="283" priority="67">
      <formula>$U$89=1</formula>
    </cfRule>
  </conditionalFormatting>
  <conditionalFormatting sqref="L90">
    <cfRule type="expression" dxfId="282" priority="66">
      <formula>$U$90=1</formula>
    </cfRule>
  </conditionalFormatting>
  <conditionalFormatting sqref="L91">
    <cfRule type="expression" dxfId="281" priority="65">
      <formula>$U$91=1</formula>
    </cfRule>
  </conditionalFormatting>
  <conditionalFormatting sqref="L92">
    <cfRule type="expression" dxfId="280" priority="64">
      <formula>$U$92=1</formula>
    </cfRule>
  </conditionalFormatting>
  <conditionalFormatting sqref="L93">
    <cfRule type="expression" dxfId="279" priority="63">
      <formula>$U$93=1</formula>
    </cfRule>
  </conditionalFormatting>
  <conditionalFormatting sqref="L94">
    <cfRule type="expression" dxfId="278" priority="62">
      <formula>$U$94=1</formula>
    </cfRule>
  </conditionalFormatting>
  <conditionalFormatting sqref="L95">
    <cfRule type="expression" dxfId="277" priority="61">
      <formula>$U$95=1</formula>
    </cfRule>
  </conditionalFormatting>
  <conditionalFormatting sqref="L96">
    <cfRule type="expression" dxfId="276" priority="60">
      <formula>$U$96=1</formula>
    </cfRule>
  </conditionalFormatting>
  <conditionalFormatting sqref="L97">
    <cfRule type="expression" dxfId="275" priority="59">
      <formula>$U$97=1</formula>
    </cfRule>
  </conditionalFormatting>
  <conditionalFormatting sqref="L98">
    <cfRule type="expression" dxfId="274" priority="58">
      <formula>$U$98=1</formula>
    </cfRule>
  </conditionalFormatting>
  <conditionalFormatting sqref="L99">
    <cfRule type="expression" dxfId="273" priority="57">
      <formula>$U$99=1</formula>
    </cfRule>
  </conditionalFormatting>
  <conditionalFormatting sqref="L100">
    <cfRule type="expression" dxfId="272" priority="56">
      <formula>$U$100=1</formula>
    </cfRule>
  </conditionalFormatting>
  <conditionalFormatting sqref="L101">
    <cfRule type="expression" dxfId="271" priority="55">
      <formula>$U$101=1</formula>
    </cfRule>
  </conditionalFormatting>
  <conditionalFormatting sqref="L102">
    <cfRule type="expression" dxfId="270" priority="54">
      <formula>$U$102=1</formula>
    </cfRule>
  </conditionalFormatting>
  <conditionalFormatting sqref="L103">
    <cfRule type="expression" dxfId="269" priority="53">
      <formula>$U$103=1</formula>
    </cfRule>
  </conditionalFormatting>
  <conditionalFormatting sqref="L104">
    <cfRule type="expression" dxfId="268" priority="52">
      <formula>$U$104=1</formula>
    </cfRule>
  </conditionalFormatting>
  <conditionalFormatting sqref="L105">
    <cfRule type="expression" dxfId="267" priority="51">
      <formula>$U$105=1</formula>
    </cfRule>
  </conditionalFormatting>
  <conditionalFormatting sqref="L106">
    <cfRule type="expression" dxfId="266" priority="50">
      <formula>$U$106=1</formula>
    </cfRule>
  </conditionalFormatting>
  <conditionalFormatting sqref="L107">
    <cfRule type="expression" dxfId="265" priority="49">
      <formula>$U$107=1</formula>
    </cfRule>
  </conditionalFormatting>
  <conditionalFormatting sqref="L108">
    <cfRule type="expression" dxfId="264" priority="48">
      <formula>$U$108=1</formula>
    </cfRule>
  </conditionalFormatting>
  <conditionalFormatting sqref="L109">
    <cfRule type="expression" dxfId="263" priority="47">
      <formula>$U$109=1</formula>
    </cfRule>
  </conditionalFormatting>
  <conditionalFormatting sqref="L110">
    <cfRule type="expression" dxfId="262" priority="46">
      <formula>$U$110=1</formula>
    </cfRule>
  </conditionalFormatting>
  <conditionalFormatting sqref="L111">
    <cfRule type="expression" dxfId="261" priority="45">
      <formula>$U$111=1</formula>
    </cfRule>
  </conditionalFormatting>
  <conditionalFormatting sqref="L112">
    <cfRule type="expression" dxfId="260" priority="44">
      <formula>$U$112=1</formula>
    </cfRule>
  </conditionalFormatting>
  <conditionalFormatting sqref="L113">
    <cfRule type="expression" dxfId="259" priority="43">
      <formula>$U$113=1</formula>
    </cfRule>
  </conditionalFormatting>
  <conditionalFormatting sqref="L114">
    <cfRule type="expression" dxfId="258" priority="42">
      <formula>$U$114=1</formula>
    </cfRule>
  </conditionalFormatting>
  <conditionalFormatting sqref="L115">
    <cfRule type="expression" dxfId="257" priority="41">
      <formula>$U$115=1</formula>
    </cfRule>
  </conditionalFormatting>
  <conditionalFormatting sqref="L116">
    <cfRule type="expression" dxfId="256" priority="40">
      <formula>$U$116=1</formula>
    </cfRule>
  </conditionalFormatting>
  <conditionalFormatting sqref="L117">
    <cfRule type="expression" dxfId="255" priority="39">
      <formula>$U$117=1</formula>
    </cfRule>
  </conditionalFormatting>
  <conditionalFormatting sqref="L118">
    <cfRule type="expression" dxfId="254" priority="38">
      <formula>$U$118=1</formula>
    </cfRule>
  </conditionalFormatting>
  <conditionalFormatting sqref="L119">
    <cfRule type="expression" dxfId="253" priority="37">
      <formula>$U$119=1</formula>
    </cfRule>
  </conditionalFormatting>
  <conditionalFormatting sqref="L120">
    <cfRule type="expression" dxfId="252" priority="36">
      <formula>$U$120=1</formula>
    </cfRule>
  </conditionalFormatting>
  <conditionalFormatting sqref="L121">
    <cfRule type="expression" dxfId="251" priority="35">
      <formula>$U$121=1</formula>
    </cfRule>
  </conditionalFormatting>
  <conditionalFormatting sqref="L122">
    <cfRule type="expression" dxfId="250" priority="34">
      <formula>$U$122=1</formula>
    </cfRule>
  </conditionalFormatting>
  <conditionalFormatting sqref="L123">
    <cfRule type="expression" dxfId="249" priority="33">
      <formula>$U$123=1</formula>
    </cfRule>
  </conditionalFormatting>
  <conditionalFormatting sqref="L124">
    <cfRule type="expression" dxfId="248" priority="32">
      <formula>$U$124=1</formula>
    </cfRule>
  </conditionalFormatting>
  <conditionalFormatting sqref="L125">
    <cfRule type="expression" dxfId="247" priority="31">
      <formula>$U$125=1</formula>
    </cfRule>
  </conditionalFormatting>
  <conditionalFormatting sqref="L126">
    <cfRule type="expression" dxfId="246" priority="30">
      <formula>$U$126=1</formula>
    </cfRule>
  </conditionalFormatting>
  <conditionalFormatting sqref="L127">
    <cfRule type="expression" dxfId="245" priority="29">
      <formula>$U$127=1</formula>
    </cfRule>
  </conditionalFormatting>
  <conditionalFormatting sqref="L128">
    <cfRule type="expression" dxfId="244" priority="28">
      <formula>$U$128=1</formula>
    </cfRule>
  </conditionalFormatting>
  <conditionalFormatting sqref="L129">
    <cfRule type="expression" dxfId="243" priority="27">
      <formula>$U$129=1</formula>
    </cfRule>
  </conditionalFormatting>
  <conditionalFormatting sqref="L130">
    <cfRule type="expression" dxfId="242" priority="26">
      <formula>$U$130=1</formula>
    </cfRule>
  </conditionalFormatting>
  <conditionalFormatting sqref="L131">
    <cfRule type="expression" dxfId="241" priority="22">
      <formula>$U$131=1</formula>
    </cfRule>
  </conditionalFormatting>
  <conditionalFormatting sqref="L132">
    <cfRule type="expression" dxfId="240" priority="21">
      <formula>$U$132=1</formula>
    </cfRule>
  </conditionalFormatting>
  <conditionalFormatting sqref="L133">
    <cfRule type="expression" dxfId="239" priority="20">
      <formula>$U$133=1</formula>
    </cfRule>
  </conditionalFormatting>
  <conditionalFormatting sqref="L134">
    <cfRule type="expression" dxfId="238" priority="19">
      <formula>$U$134=1</formula>
    </cfRule>
  </conditionalFormatting>
  <conditionalFormatting sqref="L135">
    <cfRule type="expression" dxfId="237" priority="18">
      <formula>$U$135=1</formula>
    </cfRule>
  </conditionalFormatting>
  <conditionalFormatting sqref="L136">
    <cfRule type="expression" dxfId="236" priority="17">
      <formula>$U$136=1</formula>
    </cfRule>
  </conditionalFormatting>
  <conditionalFormatting sqref="L137">
    <cfRule type="expression" dxfId="235" priority="16">
      <formula>$U$137=1</formula>
    </cfRule>
  </conditionalFormatting>
  <conditionalFormatting sqref="L138">
    <cfRule type="expression" dxfId="234" priority="15">
      <formula>$U$138=1</formula>
    </cfRule>
  </conditionalFormatting>
  <conditionalFormatting sqref="L139">
    <cfRule type="expression" dxfId="233" priority="14">
      <formula>$U$139=1</formula>
    </cfRule>
  </conditionalFormatting>
  <conditionalFormatting sqref="L140">
    <cfRule type="expression" dxfId="232" priority="13">
      <formula>$U$140=1</formula>
    </cfRule>
  </conditionalFormatting>
  <conditionalFormatting sqref="L141">
    <cfRule type="expression" dxfId="231" priority="12">
      <formula>$U$141=1</formula>
    </cfRule>
  </conditionalFormatting>
  <conditionalFormatting sqref="L142">
    <cfRule type="expression" dxfId="230" priority="11">
      <formula>$U$142=1</formula>
    </cfRule>
  </conditionalFormatting>
  <conditionalFormatting sqref="L143">
    <cfRule type="expression" dxfId="229" priority="10">
      <formula>$U$143=1</formula>
    </cfRule>
  </conditionalFormatting>
  <conditionalFormatting sqref="L144">
    <cfRule type="expression" dxfId="228" priority="9">
      <formula>$U$144=1</formula>
    </cfRule>
  </conditionalFormatting>
  <conditionalFormatting sqref="L145">
    <cfRule type="expression" dxfId="227" priority="8">
      <formula>$U$145=1</formula>
    </cfRule>
  </conditionalFormatting>
  <conditionalFormatting sqref="L146">
    <cfRule type="expression" dxfId="226" priority="7">
      <formula>$U$146=1</formula>
    </cfRule>
  </conditionalFormatting>
  <conditionalFormatting sqref="L147">
    <cfRule type="expression" dxfId="225" priority="6">
      <formula>$U$147=1</formula>
    </cfRule>
  </conditionalFormatting>
  <conditionalFormatting sqref="L148">
    <cfRule type="expression" dxfId="224" priority="5">
      <formula>$U$148=1</formula>
    </cfRule>
  </conditionalFormatting>
  <conditionalFormatting sqref="L149">
    <cfRule type="expression" dxfId="223" priority="4">
      <formula>$U$149=1</formula>
    </cfRule>
  </conditionalFormatting>
  <conditionalFormatting sqref="L150">
    <cfRule type="expression" dxfId="222" priority="3">
      <formula>$U$150=1</formula>
    </cfRule>
  </conditionalFormatting>
  <conditionalFormatting sqref="T82">
    <cfRule type="expression" dxfId="221" priority="72">
      <formula>AC82=1</formula>
    </cfRule>
  </conditionalFormatting>
  <dataValidations count="14">
    <dataValidation type="list" allowBlank="1" showInputMessage="1" showErrorMessage="1" sqref="C14 C160 C89 F248" xr:uid="{00000000-0002-0000-6200-000000000000}">
      <formula1>yn</formula1>
    </dataValidation>
    <dataValidation errorStyle="warning" allowBlank="1" showInputMessage="1" showErrorMessage="1" sqref="AF254:AF488" xr:uid="{00000000-0002-0000-6200-000001000000}"/>
    <dataValidation type="textLength" operator="greaterThanOrEqual" allowBlank="1" showInputMessage="1" showErrorMessage="1" errorTitle="Jurisdiction" error="Please indicate the correct jurisdiction!" sqref="D7:D76 D80:D150 D155" xr:uid="{00000000-0002-0000-6200-000002000000}">
      <formula1>5</formula1>
    </dataValidation>
    <dataValidation type="textLength" operator="greaterThanOrEqual" allowBlank="1" showInputMessage="1" showErrorMessage="1" errorTitle="Nature of Nexus" error="Please indicate the correct nature of Nexus!" sqref="E7:E76" xr:uid="{00000000-0002-0000-6200-000003000000}">
      <formula1>7</formula1>
    </dataValidation>
    <dataValidation type="whole" operator="greaterThan" allowBlank="1" showInputMessage="1" showErrorMessage="1" errorTitle="Amount" error="Please enter a positive value!" sqref="G7:G76 H80:H150" xr:uid="{00000000-0002-0000-6200-000004000000}">
      <formula1>0</formula1>
    </dataValidation>
    <dataValidation type="textLength" operator="greaterThanOrEqual" allowBlank="1" showInputMessage="1" showErrorMessage="1" errorTitle="Person or arrangement" error="Please indicate the correct description!" sqref="E80:E150" xr:uid="{00000000-0002-0000-6200-000005000000}">
      <formula1>7</formula1>
    </dataValidation>
    <dataValidation type="textLength" operator="greaterThanOrEqual" allowBlank="1" showInputMessage="1" showErrorMessage="1" errorTitle="TIN" error="Please enter the correct TIN!" sqref="F80:F150" xr:uid="{00000000-0002-0000-6200-000006000000}">
      <formula1>4</formula1>
    </dataValidation>
    <dataValidation type="whole" allowBlank="1" showInputMessage="1" showErrorMessage="1" errorTitle="TIFD code" error="Please enter the correct TIFD code!" sqref="F7:F76 G80:G150" xr:uid="{00000000-0002-0000-6200-000007000000}">
      <formula1>1000</formula1>
      <formula2>6613</formula2>
    </dataValidation>
    <dataValidation allowBlank="1" showInputMessage="1" showErrorMessage="1" promptTitle="Additional Information" prompt="More space is provided on the bottom part of this attachment." sqref="I80:I150 H155:I155 H7:I76" xr:uid="{00000000-0002-0000-6200-000008000000}"/>
    <dataValidation type="textLength" operator="greaterThanOrEqual" allowBlank="1" showInputMessage="1" showErrorMessage="1" errorTitle="Nature of link" error="Please indicate the correct description!" sqref="E155" xr:uid="{00000000-0002-0000-6200-000009000000}">
      <formula1>7</formula1>
    </dataValidation>
    <dataValidation type="textLength" operator="greaterThanOrEqual" allowBlank="1" showInputMessage="1" showErrorMessage="1" errorTitle="Details of Link" error="Please enter the correct details!" promptTitle="Details of link" prompt="More space is provided in the bottom part of this attachment." sqref="F155:G155" xr:uid="{00000000-0002-0000-6200-00000A000000}">
      <formula1>6</formula1>
    </dataValidation>
    <dataValidation type="whole" operator="greaterThanOrEqual" allowBlank="1" showInputMessage="1" showErrorMessage="1" errorTitle="Number of Transactions" error="Please enter a positive value!" sqref="C91 C16 C162" xr:uid="{00000000-0002-0000-6200-00000B000000}">
      <formula1>0</formula1>
    </dataValidation>
    <dataValidation type="list" allowBlank="1" showInputMessage="1" showErrorMessage="1" sqref="J80:K150" xr:uid="{00000000-0002-0000-6200-00000C000000}">
      <formula1>$V$1:$V$3</formula1>
    </dataValidation>
    <dataValidation type="list" allowBlank="1" showInputMessage="1" showErrorMessage="1" sqref="L80:L150" xr:uid="{00000000-0002-0000-6200-00000D000000}">
      <formula1>$W$79:$W$82</formula1>
    </dataValidation>
  </dataValidations>
  <hyperlinks>
    <hyperlink ref="B251" location="Index!A119" display="B A C K   TO   I N D E X" xr:uid="{00000000-0004-0000-6200-000000000000}"/>
  </hyperlinks>
  <pageMargins left="0.7" right="0.7" top="0.75" bottom="0.75" header="0.3" footer="0.3"/>
  <pageSetup paperSize="9" scale="35" fitToHeight="0" orientation="landscape" r:id="rId1"/>
  <rowBreaks count="1" manualBreakCount="1">
    <brk id="152" max="16383" man="1"/>
  </rowBreaks>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0"/>
  <dimension ref="A1:AI99"/>
  <sheetViews>
    <sheetView zoomScale="40" zoomScaleNormal="40" workbookViewId="0"/>
  </sheetViews>
  <sheetFormatPr defaultColWidth="0" defaultRowHeight="12.75" zeroHeight="1" x14ac:dyDescent="0.2"/>
  <cols>
    <col min="1" max="1" width="2.5703125" style="1485" customWidth="1"/>
    <col min="2" max="2" width="12" style="1485" customWidth="1"/>
    <col min="3" max="3" width="9.28515625" style="1485" customWidth="1"/>
    <col min="4" max="6" width="13.7109375" style="1485" customWidth="1"/>
    <col min="7" max="7" width="15.7109375" style="1485" customWidth="1"/>
    <col min="8" max="10" width="13.7109375" style="1485" customWidth="1"/>
    <col min="11" max="11" width="13.42578125" style="1485" customWidth="1"/>
    <col min="12" max="12" width="11.7109375" style="1485" customWidth="1"/>
    <col min="13" max="13" width="12.7109375" style="1485" customWidth="1"/>
    <col min="14" max="14" width="10.42578125" style="1485" customWidth="1"/>
    <col min="15" max="15" width="25.28515625" style="1485" customWidth="1"/>
    <col min="16" max="16" width="2.42578125" style="1485" customWidth="1"/>
    <col min="17" max="17" width="2.28515625" style="1485" hidden="1" customWidth="1"/>
    <col min="18" max="26" width="9.28515625" style="1485" hidden="1" customWidth="1"/>
    <col min="27" max="27" width="10.42578125" style="1485" hidden="1" customWidth="1"/>
    <col min="28" max="16384" width="9.28515625" style="1485" hidden="1"/>
  </cols>
  <sheetData>
    <row r="1" spans="1:28" x14ac:dyDescent="0.2">
      <c r="A1" s="2592"/>
      <c r="B1" s="3121" t="str">
        <f>_ref1</f>
      </c>
      <c r="C1" s="3121"/>
      <c r="D1" s="3121"/>
      <c r="E1" s="3121"/>
      <c r="F1" s="3121"/>
      <c r="G1" s="3121"/>
      <c r="H1" s="3121"/>
      <c r="I1" s="3121"/>
      <c r="J1" s="3121"/>
      <c r="K1" s="3121"/>
      <c r="L1" s="3121"/>
      <c r="M1" s="3121"/>
      <c r="N1" s="3121"/>
      <c r="O1" s="3122" t="str">
        <f>_YA1</f>
      </c>
      <c r="P1" s="3122"/>
      <c r="R1" s="1871" t="s">
        <v>9147</v>
      </c>
      <c r="S1" s="1485">
        <f>IF('p2'!O34=0,1,0)</f>
      </c>
      <c r="U1" s="1485">
        <f>ya</f>
      </c>
      <c r="W1" s="1485" t="s">
        <v>9148</v>
      </c>
      <c r="Y1" s="3123" t="str">
        <f>cur</f>
      </c>
      <c r="Z1" s="3123" t="s">
        <v>4591</v>
      </c>
    </row>
    <row r="2" spans="1:28" x14ac:dyDescent="0.2">
      <c r="A2" s="2592"/>
      <c r="B2" s="3121"/>
      <c r="C2" s="3121"/>
      <c r="D2" s="3121"/>
      <c r="E2" s="3121"/>
      <c r="F2" s="3121"/>
      <c r="G2" s="3121"/>
      <c r="H2" s="3124"/>
      <c r="I2" s="3125"/>
      <c r="J2" s="3125"/>
      <c r="K2" s="3124"/>
      <c r="L2" s="3126"/>
      <c r="M2" s="3126"/>
      <c r="N2" s="3126"/>
      <c r="O2" s="3124"/>
      <c r="P2" s="3122"/>
      <c r="R2" s="1736" t="s">
        <v>9897</v>
      </c>
      <c r="S2" s="1871" t="str">
        <f>'p2'!G36</f>
      </c>
    </row>
    <row r="3" spans="1:28" ht="15.75" x14ac:dyDescent="0.25">
      <c r="A3" s="2592"/>
      <c r="B3" s="3127" t="s">
        <v>9149</v>
      </c>
      <c r="C3" s="3128"/>
      <c r="D3" s="3128"/>
      <c r="E3" s="3128"/>
      <c r="F3" s="3128"/>
      <c r="G3" s="3128"/>
      <c r="H3" s="3129"/>
      <c r="I3" s="3130"/>
      <c r="J3" s="3130"/>
      <c r="K3" s="3129"/>
      <c r="L3" s="3131"/>
      <c r="M3" s="3131"/>
      <c r="N3" s="3131"/>
      <c r="O3" s="3132"/>
      <c r="P3" s="3122"/>
      <c r="R3" s="1485" t="s">
        <v>7445</v>
      </c>
      <c r="S3" s="1485" t="s">
        <v>7439</v>
      </c>
      <c r="AB3" s="1485" t="s">
        <v>4457</v>
      </c>
    </row>
    <row r="4" spans="1:28" ht="15.75" x14ac:dyDescent="0.25">
      <c r="A4" s="2592"/>
      <c r="B4" s="3133" t="s">
        <v>10157</v>
      </c>
      <c r="C4" s="3134"/>
      <c r="D4" s="3134"/>
      <c r="E4" s="3134"/>
      <c r="F4" s="3134"/>
      <c r="G4" s="3134"/>
      <c r="H4" s="3135"/>
      <c r="I4" s="3136"/>
      <c r="J4" s="3136"/>
      <c r="K4" s="3135"/>
      <c r="L4" s="3137"/>
      <c r="M4" s="3137"/>
      <c r="N4" s="3137"/>
      <c r="O4" s="3138"/>
      <c r="P4" s="3122"/>
      <c r="R4" s="1873">
        <f>IF(K11="yes",SUM(R12:R92),SUM(R11:R92))</f>
      </c>
      <c r="S4" s="1873">
        <f>SUM(S5:S93)</f>
      </c>
      <c r="AB4" s="1485" t="s">
        <v>1736</v>
      </c>
    </row>
    <row r="5" spans="1:28" s="3140" customFormat="1" x14ac:dyDescent="0.2">
      <c r="A5" s="3139"/>
      <c r="B5" s="3139"/>
      <c r="C5" s="3139"/>
      <c r="D5" s="3139"/>
      <c r="E5" s="3139"/>
      <c r="F5" s="3139"/>
      <c r="G5" s="3049" t="str">
        <f>IF(R4=0,"",IF(S1=0,"Check question 28 on page 2 of the return",""))</f>
        <v/>
      </c>
      <c r="H5" s="3139"/>
      <c r="I5" s="3139"/>
      <c r="J5" s="3139"/>
      <c r="K5" s="3139"/>
      <c r="L5" s="3139"/>
      <c r="M5" s="3139"/>
      <c r="N5" s="3139"/>
      <c r="O5" s="3139"/>
      <c r="P5" s="3139"/>
      <c r="S5" s="3140">
        <f>IF(G5&lt;&gt;"",1,0)</f>
      </c>
    </row>
    <row r="6" spans="1:28" s="3140" customFormat="1" x14ac:dyDescent="0.2">
      <c r="A6" s="3139"/>
      <c r="B6" s="2600" t="s">
        <v>10172</v>
      </c>
      <c r="C6" s="3139"/>
      <c r="D6" s="3139"/>
      <c r="E6" s="3139"/>
      <c r="F6" s="3139"/>
      <c r="G6" s="3049"/>
      <c r="H6" s="3139"/>
      <c r="I6" s="3139"/>
      <c r="J6" s="3139"/>
      <c r="K6" s="1038"/>
      <c r="L6" s="3049" t="str">
        <f>IF(AND('p2'!$O$34=0,K6=""),re,"")</f>
        <v/>
      </c>
      <c r="M6" s="3139"/>
      <c r="N6" s="3139"/>
      <c r="O6" s="3139"/>
      <c r="P6" s="3139"/>
      <c r="R6" s="3140">
        <f>IF(K6="",0,1)</f>
      </c>
      <c r="S6" s="3140">
        <f>IF(L6&lt;&gt;"",1,0)</f>
      </c>
    </row>
    <row r="7" spans="1:28" s="3140" customFormat="1" hidden="1" x14ac:dyDescent="0.2">
      <c r="A7" s="3139"/>
      <c r="B7" s="3139"/>
      <c r="C7" s="3139"/>
      <c r="D7" s="3139"/>
      <c r="E7" s="3139"/>
      <c r="F7" s="3139"/>
      <c r="G7" s="3049"/>
      <c r="H7" s="3139"/>
      <c r="I7" s="3139"/>
      <c r="J7" s="3139"/>
      <c r="K7" s="3139"/>
      <c r="L7" s="3139"/>
      <c r="M7" s="3139"/>
      <c r="N7" s="3139"/>
      <c r="O7" s="3139"/>
      <c r="P7" s="3139"/>
    </row>
    <row r="8" spans="1:28" s="3140" customFormat="1" hidden="1" x14ac:dyDescent="0.2">
      <c r="A8" s="3139"/>
      <c r="B8" s="3139"/>
      <c r="C8" s="3139"/>
      <c r="D8" s="3139"/>
      <c r="E8" s="3139"/>
      <c r="F8" s="3139"/>
      <c r="G8" s="3049"/>
      <c r="H8" s="3139"/>
      <c r="I8" s="3139"/>
      <c r="J8" s="3139"/>
      <c r="K8" s="3139"/>
      <c r="L8" s="3139"/>
      <c r="M8" s="3139"/>
      <c r="N8" s="3139"/>
      <c r="O8" s="3139"/>
      <c r="P8" s="3139"/>
    </row>
    <row r="9" spans="1:28" s="3140" customFormat="1" hidden="1" x14ac:dyDescent="0.2">
      <c r="A9" s="3139"/>
      <c r="B9" s="3139"/>
      <c r="C9" s="3139"/>
      <c r="D9" s="3139"/>
      <c r="E9" s="3139"/>
      <c r="F9" s="3139"/>
      <c r="G9" s="3049"/>
      <c r="H9" s="3139"/>
      <c r="I9" s="3139"/>
      <c r="J9" s="3139"/>
      <c r="K9" s="3139"/>
      <c r="L9" s="3139"/>
      <c r="M9" s="3139"/>
      <c r="N9" s="3139"/>
      <c r="O9" s="3139"/>
      <c r="P9" s="3139"/>
    </row>
    <row r="10" spans="1:28" s="3140" customFormat="1" hidden="1" x14ac:dyDescent="0.2">
      <c r="A10" s="3139"/>
      <c r="B10" s="3139"/>
      <c r="C10" s="3139"/>
      <c r="D10" s="3139"/>
      <c r="E10" s="3139"/>
      <c r="F10" s="3139"/>
      <c r="G10" s="3049"/>
      <c r="H10" s="3139"/>
      <c r="I10" s="3139"/>
      <c r="J10" s="3139"/>
      <c r="K10" s="3139"/>
      <c r="L10" s="3139"/>
      <c r="M10" s="3139"/>
      <c r="N10" s="3139"/>
      <c r="O10" s="3139"/>
      <c r="P10" s="3139"/>
    </row>
    <row r="11" spans="1:28" s="3140" customFormat="1" x14ac:dyDescent="0.2">
      <c r="A11" s="3139"/>
      <c r="B11" s="2600" t="s">
        <v>10026</v>
      </c>
      <c r="C11" s="3139"/>
      <c r="D11" s="3139"/>
      <c r="E11" s="3139"/>
      <c r="F11" s="3139"/>
      <c r="G11" s="3049"/>
      <c r="H11" s="3139"/>
      <c r="I11" s="3139"/>
      <c r="J11" s="3139"/>
      <c r="K11" s="1038"/>
      <c r="L11" s="3049" t="str">
        <f>IF(AND('p2'!$O$34=0,K11=""),re,"")</f>
        <v/>
      </c>
      <c r="M11" s="3612" t="s">
        <v>10025</v>
      </c>
      <c r="N11" s="3783"/>
      <c r="O11" s="3049" t="str">
        <f>IF(AND(K11="yes",N11=""),reo,IF(AND(OR(K11="",K11="no"),N11&lt;&gt;""),"Delete!",IF(AND(Y1=Z1,N11&gt;3000000),"TRA must be completed!","")))</f>
        <v/>
      </c>
      <c r="P11" s="3049"/>
      <c r="R11" s="3140">
        <f>SUM((IF(K11="",0,1)+(IF(OR(N11="",AND(U11=1,N11&gt;0)),0,1))))</f>
      </c>
      <c r="S11" s="3140">
        <f>SUM(IF(L11&lt;&gt;"",1,0)+IF(O11&lt;&gt;"",1,0))</f>
      </c>
      <c r="U11" s="3140">
        <f>IF(OR(K11="no",K11=""),1,0)</f>
      </c>
    </row>
    <row r="12" spans="1:28" s="3140" customFormat="1" ht="12.75" customHeight="1" x14ac:dyDescent="0.2">
      <c r="A12" s="3139"/>
      <c r="B12" s="2600" t="s">
        <v>10159</v>
      </c>
      <c r="C12" s="3141"/>
      <c r="D12" s="3141"/>
      <c r="E12" s="3141"/>
      <c r="F12" s="3141"/>
      <c r="G12" s="3141"/>
      <c r="H12" s="3139"/>
      <c r="I12" s="3139"/>
      <c r="J12" s="3139"/>
      <c r="K12" s="1038"/>
      <c r="L12" s="3142" t="str">
        <f>IF(AND($R$4&gt;0,K12="",$S$2&lt;&gt;"y"),re,IF(AND($S$2="y",K12&lt;&gt;""),"Delete!",""))</f>
        <v/>
      </c>
      <c r="M12" s="3139"/>
      <c r="N12" s="3139"/>
      <c r="O12" s="3142"/>
      <c r="P12" s="3142"/>
      <c r="R12" s="3140">
        <f>IF(K12="",0,1)</f>
      </c>
      <c r="S12" s="3140">
        <f>IF(L12&lt;&gt;"",1,0)</f>
      </c>
    </row>
    <row r="13" spans="1:28" s="3140" customFormat="1" x14ac:dyDescent="0.2">
      <c r="A13" s="3139"/>
      <c r="B13" s="3139"/>
      <c r="C13" s="3139"/>
      <c r="D13" s="3139"/>
      <c r="E13" s="3139"/>
      <c r="F13" s="3139"/>
      <c r="G13" s="3139"/>
      <c r="H13" s="3139"/>
      <c r="I13" s="3139"/>
      <c r="J13" s="3139"/>
      <c r="K13" s="3139"/>
      <c r="L13" s="3139"/>
      <c r="M13" s="3139"/>
      <c r="N13" s="3139"/>
      <c r="O13" s="3139"/>
      <c r="P13" s="3139"/>
    </row>
    <row r="14" spans="1:28" s="3140" customFormat="1" x14ac:dyDescent="0.2">
      <c r="A14" s="3139"/>
      <c r="B14" s="3143" t="s">
        <v>9150</v>
      </c>
      <c r="C14" s="3139"/>
      <c r="D14" s="3139"/>
      <c r="E14" s="3139"/>
      <c r="F14" s="3139"/>
      <c r="G14" s="3139"/>
      <c r="H14" s="3139"/>
      <c r="I14" s="3139"/>
      <c r="J14" s="3139"/>
      <c r="K14" s="3139"/>
      <c r="L14" s="3139"/>
      <c r="M14" s="3139"/>
      <c r="N14" s="3139"/>
      <c r="O14" s="3139"/>
      <c r="P14" s="3139"/>
    </row>
    <row r="15" spans="1:28" s="3140" customFormat="1" x14ac:dyDescent="0.2">
      <c r="A15" s="3139"/>
      <c r="B15" s="2600" t="s">
        <v>10158</v>
      </c>
      <c r="C15" s="3141"/>
      <c r="D15" s="3141"/>
      <c r="E15" s="3141"/>
      <c r="F15" s="3141"/>
      <c r="G15" s="3144"/>
      <c r="H15" s="3144"/>
      <c r="I15" s="3144"/>
      <c r="J15" s="3144"/>
      <c r="K15" s="3144"/>
      <c r="L15" s="1038"/>
      <c r="M15" s="3142" t="str">
        <f>IF(AND($R$4&gt;0,L15=""),re,"")</f>
        <v/>
      </c>
      <c r="N15" s="3139"/>
      <c r="O15" s="3139"/>
      <c r="P15" s="3139"/>
      <c r="R15" s="3140">
        <f>IF(L15="",0,1)</f>
      </c>
      <c r="S15" s="3140">
        <f>IF(M15&lt;&gt;"",1,0)</f>
      </c>
      <c r="U15" s="3140">
        <f>IF(L15="no",1,0)</f>
      </c>
    </row>
    <row r="16" spans="1:28" s="3140" customFormat="1" x14ac:dyDescent="0.2">
      <c r="A16" s="3139"/>
      <c r="B16" s="3145" t="s">
        <v>10160</v>
      </c>
      <c r="C16" s="3146"/>
      <c r="D16" s="3146"/>
      <c r="E16" s="3146"/>
      <c r="F16" s="3146"/>
      <c r="G16" s="3139"/>
      <c r="H16" s="3139"/>
      <c r="I16" s="3139"/>
      <c r="J16" s="3139"/>
      <c r="K16" s="3139"/>
      <c r="L16" s="1038"/>
      <c r="M16" s="3142" t="str">
        <f>IF(AND(L15="no",ISBLANK(L16)=FALSE),"Delete!",IF(AND(L15="yes",L16=""),re,""))</f>
        <v/>
      </c>
      <c r="N16" s="3139"/>
      <c r="O16" s="3139"/>
      <c r="P16" s="3139"/>
      <c r="R16" s="3140">
        <f>IF(L16="",0,1)</f>
      </c>
      <c r="S16" s="3140">
        <f>IF(M16&lt;&gt;"",1,0)</f>
      </c>
    </row>
    <row r="17" spans="1:21" s="3140" customFormat="1" x14ac:dyDescent="0.2">
      <c r="A17" s="3139"/>
      <c r="B17" s="3139"/>
      <c r="C17" s="3139"/>
      <c r="D17" s="3139"/>
      <c r="E17" s="3139"/>
      <c r="F17" s="3139"/>
      <c r="G17" s="3139"/>
      <c r="H17" s="3139"/>
      <c r="I17" s="3139"/>
      <c r="J17" s="3139"/>
      <c r="K17" s="3139"/>
      <c r="L17" s="3139"/>
      <c r="M17" s="3139"/>
      <c r="N17" s="3139"/>
      <c r="O17" s="3139"/>
      <c r="P17" s="3139"/>
    </row>
    <row r="18" spans="1:21" s="3140" customFormat="1" x14ac:dyDescent="0.2">
      <c r="A18" s="3139"/>
      <c r="B18" s="3147" t="s">
        <v>10161</v>
      </c>
      <c r="C18" s="3139"/>
      <c r="D18" s="3139"/>
      <c r="E18" s="3139"/>
      <c r="F18" s="3139"/>
      <c r="G18" s="3139"/>
      <c r="H18" s="3139"/>
      <c r="I18" s="3139"/>
      <c r="J18" s="3139"/>
      <c r="K18" s="3139"/>
      <c r="L18" s="3139"/>
      <c r="M18" s="3139"/>
      <c r="N18" s="3139"/>
      <c r="O18" s="3139"/>
      <c r="P18" s="3139"/>
    </row>
    <row r="19" spans="1:21" s="3140" customFormat="1" ht="3.75" customHeight="1" x14ac:dyDescent="0.2">
      <c r="A19" s="3139"/>
      <c r="B19" s="3147"/>
      <c r="C19" s="3139"/>
      <c r="D19" s="3139"/>
      <c r="E19" s="3139"/>
      <c r="F19" s="3139"/>
      <c r="G19" s="3139"/>
      <c r="H19" s="3139"/>
      <c r="I19" s="3139"/>
      <c r="J19" s="3139"/>
      <c r="K19" s="3139"/>
      <c r="L19" s="3139"/>
      <c r="M19" s="3139"/>
      <c r="N19" s="3139"/>
      <c r="O19" s="3139"/>
      <c r="P19" s="3139"/>
    </row>
    <row r="20" spans="1:21" s="3140" customFormat="1" x14ac:dyDescent="0.2">
      <c r="A20" s="3139"/>
      <c r="B20" s="3145" t="s">
        <v>9151</v>
      </c>
      <c r="C20" s="3139"/>
      <c r="D20" s="3139"/>
      <c r="E20" s="3139"/>
      <c r="F20" s="3139"/>
      <c r="G20" s="3139"/>
      <c r="H20" s="3139"/>
      <c r="I20" s="3139"/>
      <c r="J20" s="3139"/>
      <c r="K20" s="3139"/>
      <c r="L20" s="1038"/>
      <c r="M20" s="3142" t="str">
        <f>IF(AND($R$4&gt;0,L15="yes",L16="yes",L20=""),re,IF(AND(OR(L15="no",L16="no"),L20&lt;&gt;""),"Delete!",""))</f>
        <v/>
      </c>
      <c r="N20" s="3139"/>
      <c r="O20" s="3139"/>
      <c r="P20" s="3139"/>
      <c r="R20" s="3140">
        <f>IF(L20="",0,1)</f>
      </c>
      <c r="S20" s="3140">
        <f>IF(M20&lt;&gt;"",1,0)</f>
      </c>
      <c r="U20" s="3140">
        <f>IF(AND(OR($L$15="no",$L$16="no"),$L$20&lt;&gt;""),1,0)</f>
      </c>
    </row>
    <row r="21" spans="1:21" s="3140" customFormat="1" x14ac:dyDescent="0.2">
      <c r="A21" s="3139"/>
      <c r="B21" s="3139"/>
      <c r="C21" s="3139"/>
      <c r="D21" s="3139"/>
      <c r="E21" s="3148" t="s">
        <v>9152</v>
      </c>
      <c r="F21" s="3148" t="s">
        <v>9153</v>
      </c>
      <c r="G21" s="3139"/>
      <c r="H21" s="3139"/>
      <c r="I21" s="3139"/>
      <c r="J21" s="3139"/>
      <c r="K21" s="3139"/>
      <c r="L21" s="3149" t="str">
        <f>IF(L20="no","Cannot fully deduct EBC!","")</f>
        <v/>
      </c>
      <c r="M21" s="3139"/>
      <c r="N21" s="3139"/>
      <c r="O21" s="3139"/>
      <c r="P21" s="3139"/>
    </row>
    <row r="22" spans="1:21" s="3140" customFormat="1" x14ac:dyDescent="0.2">
      <c r="A22" s="3139"/>
      <c r="B22" s="3139"/>
      <c r="C22" s="2600" t="s">
        <v>9154</v>
      </c>
      <c r="D22" s="3139"/>
      <c r="E22" s="3797"/>
      <c r="F22" s="3797"/>
      <c r="G22" s="3142" t="str">
        <f>IF(OR(ISBLANK(L15)=TRUE,ISBLANK(L16)=TRUE,L15="no",L16="no"),"",IF(AND($R$4&gt;0,E22="",$L$20="yes"),re,IF(AND($R$4&gt;0,F22="",$L$20="yes"),re,"")))</f>
        <v/>
      </c>
      <c r="H22" s="3139"/>
      <c r="I22" s="3139"/>
      <c r="J22" s="3139"/>
      <c r="K22" s="3139"/>
      <c r="L22" s="3139"/>
      <c r="M22" s="3139"/>
      <c r="N22" s="3139"/>
      <c r="O22" s="3139"/>
      <c r="P22" s="3139"/>
      <c r="R22" s="3140">
        <f>IF(COUNTA(E22:F22)=0,0,1)</f>
      </c>
      <c r="S22" s="3140">
        <f>IF(G22&lt;&gt;"",1,0)</f>
      </c>
      <c r="U22" s="3140">
        <f>IF(OR($L$15="no",$L$16="no",$L$20="no"),1,0)</f>
      </c>
    </row>
    <row r="23" spans="1:21" s="3140" customFormat="1" x14ac:dyDescent="0.2">
      <c r="A23" s="3139"/>
      <c r="B23" s="3139"/>
      <c r="C23" s="2600" t="s">
        <v>9155</v>
      </c>
      <c r="D23" s="3139"/>
      <c r="E23" s="3150"/>
      <c r="F23" s="3150"/>
      <c r="G23" s="3142" t="str">
        <f>IF(OR(ISBLANK(L15)=TRUE,ISBLANK(L16)=TRUE,L15="no",L16="no"),"",IF(AND($R$4&gt;0,E23="",$L$20="yes"),re,IF(AND($R$4&gt;0,F23="",$L$20="yes"),re,"")))</f>
        <v/>
      </c>
      <c r="H23" s="3139"/>
      <c r="I23" s="3139"/>
      <c r="J23" s="3139"/>
      <c r="K23" s="3139"/>
      <c r="L23" s="3139"/>
      <c r="M23" s="3139"/>
      <c r="N23" s="3139"/>
      <c r="O23" s="3139"/>
      <c r="P23" s="3139"/>
      <c r="R23" s="3140">
        <f>IF(COUNTA(E23:F23)=0,0,1)</f>
      </c>
      <c r="S23" s="3140">
        <f>IF(G23&lt;&gt;"",1,0)</f>
      </c>
      <c r="U23" s="3151" t="s">
        <v>9156</v>
      </c>
    </row>
    <row r="24" spans="1:21" s="3140" customFormat="1" x14ac:dyDescent="0.2">
      <c r="A24" s="3139"/>
      <c r="B24" s="3139"/>
      <c r="C24" s="2600" t="s">
        <v>9157</v>
      </c>
      <c r="D24" s="3139"/>
      <c r="E24" s="3152">
        <f>IF(OR(ISBLANK(L15)=TRUE,ISBLANK(L16)=TRUE,ISBLANK(L20)=TRUE,L15="no",L16="no",L20="no"),0,IF(OR(E22="",E23=""),0,ROUND(E22/E23,4)))</f>
      </c>
      <c r="F24" s="3152">
        <f>IF(OR(ISBLANK(L15)=TRUE,ISBLANK(L16)=TRUE,ISBLANK(L20)=TRUE,L15="no",L16="no",L20="no"),0,IF(OR(F22="",F23=""),0,ROUND(F22/F23,4)))</f>
      </c>
      <c r="G24" s="3142" t="str">
        <f>IF(OR(ISBLANK(L15)=TRUE,ISBLANK(L16)=TRUE,L15="no",L16="no"),"",IF((F24-E24)&gt;0.02,"Ratio of equity over assets of the taxpayer is not considered equal to the group's ratio",""))</f>
        <v/>
      </c>
      <c r="H24" s="3139"/>
      <c r="I24" s="3139"/>
      <c r="J24" s="3139"/>
      <c r="K24" s="3139"/>
      <c r="L24" s="3139"/>
      <c r="M24" s="3139"/>
      <c r="N24" s="3139"/>
      <c r="O24" s="3139"/>
      <c r="P24" s="3139"/>
      <c r="S24" s="3140">
        <f>IF(G24&lt;&gt;"",1,0)</f>
      </c>
      <c r="U24" s="3151">
        <f>IF(AND(SUM($R$12:$R$23)=6,SUM($S$12:$S$24)=0),1,0)</f>
      </c>
    </row>
    <row r="25" spans="1:21" s="3140" customFormat="1" x14ac:dyDescent="0.2">
      <c r="A25" s="3139"/>
      <c r="B25" s="3139"/>
      <c r="C25" s="3139"/>
      <c r="D25" s="3139"/>
      <c r="E25" s="3139"/>
      <c r="F25" s="3139"/>
      <c r="G25" s="3139"/>
      <c r="H25" s="3139"/>
      <c r="I25" s="3139"/>
      <c r="J25" s="3139"/>
      <c r="K25" s="3139"/>
      <c r="L25" s="3139"/>
      <c r="M25" s="3139"/>
      <c r="N25" s="3139"/>
      <c r="O25" s="3139"/>
      <c r="P25" s="3139"/>
    </row>
    <row r="26" spans="1:21" s="3140" customFormat="1" x14ac:dyDescent="0.2">
      <c r="A26" s="3139"/>
      <c r="B26" s="3143" t="s">
        <v>9158</v>
      </c>
      <c r="C26" s="3139"/>
      <c r="D26" s="3139"/>
      <c r="E26" s="3153" t="str">
        <f>IF(AND(U37&gt;0,U24=1),"Proceed to section 4","")</f>
        <v/>
      </c>
      <c r="F26" s="3139"/>
      <c r="G26" s="3139"/>
      <c r="H26" s="3139"/>
      <c r="I26" s="3139"/>
      <c r="J26" s="3139"/>
      <c r="K26" s="3139"/>
      <c r="L26" s="3139"/>
      <c r="M26" s="3139"/>
      <c r="N26" s="3139"/>
      <c r="O26" s="3139"/>
      <c r="P26" s="3139"/>
      <c r="U26" s="3151" t="s">
        <v>9159</v>
      </c>
    </row>
    <row r="27" spans="1:21" s="3140" customFormat="1" x14ac:dyDescent="0.2">
      <c r="A27" s="3139"/>
      <c r="B27" s="3139"/>
      <c r="C27" s="3154" t="s">
        <v>9160</v>
      </c>
      <c r="D27" s="3154"/>
      <c r="E27" s="3139"/>
      <c r="F27" s="3139"/>
      <c r="G27" s="3139"/>
      <c r="H27" s="3139"/>
      <c r="I27" s="3139"/>
      <c r="J27" s="3139"/>
      <c r="K27" s="3139"/>
      <c r="L27" s="3557"/>
      <c r="M27" s="3142" t="str">
        <f>IF(AND(R4&gt;0,$U$27=1,L27=""),re,IF(AND(OR($U$24=1,$U$27=0),ISBLANK(L27)=FALSE),"Delete!",IF(AND(R4&gt;0,$U$24=0,L27=""),re,"")))</f>
        <v/>
      </c>
      <c r="N27" s="3139"/>
      <c r="O27" s="3139"/>
      <c r="P27" s="3139"/>
      <c r="R27" s="3140">
        <f>IF(COUNTA(L27)=0,0,1)</f>
      </c>
      <c r="S27" s="3140">
        <f>IF(M27&lt;&gt;"",1,0)</f>
      </c>
      <c r="U27" s="3151">
        <f>IF(OR(L15="no",L16="no",L20="no"),1,0)</f>
      </c>
    </row>
    <row r="28" spans="1:21" s="3140" customFormat="1" x14ac:dyDescent="0.2">
      <c r="A28" s="3139"/>
      <c r="B28" s="3139"/>
      <c r="C28" s="3154" t="s">
        <v>9161</v>
      </c>
      <c r="D28" s="3154"/>
      <c r="E28" s="3139"/>
      <c r="F28" s="3139"/>
      <c r="G28" s="3139"/>
      <c r="H28" s="3139"/>
      <c r="I28" s="3139"/>
      <c r="J28" s="3139"/>
      <c r="K28" s="3139"/>
      <c r="L28" s="3155"/>
      <c r="M28" s="3142" t="str">
        <f>IF(AND(R4&gt;0,$U$27=1,L28=""),re,IF(AND(OR($U$24=1,$U$27=0),ISBLANK(L28)=FALSE),"Delete!",IF(AND(R4&gt;0,$U$24=0,L28=""),re,"")))</f>
        <v/>
      </c>
      <c r="N28" s="3139"/>
      <c r="O28" s="3139"/>
      <c r="P28" s="3139"/>
      <c r="R28" s="3140">
        <f>IF(COUNTA(L28)=0,0,1)</f>
      </c>
      <c r="S28" s="3140">
        <f>IF(M28&lt;&gt;"",1,0)</f>
      </c>
    </row>
    <row r="29" spans="1:21" s="3140" customFormat="1" x14ac:dyDescent="0.2">
      <c r="A29" s="3139"/>
      <c r="B29" s="3139"/>
      <c r="C29" s="3154" t="s">
        <v>9162</v>
      </c>
      <c r="D29" s="3154"/>
      <c r="E29" s="3139"/>
      <c r="F29" s="3139"/>
      <c r="G29" s="3139"/>
      <c r="H29" s="3139"/>
      <c r="I29" s="3139"/>
      <c r="J29" s="3139"/>
      <c r="K29" s="3139"/>
      <c r="L29" s="3155"/>
      <c r="M29" s="3142" t="str">
        <f>IF(AND(R4&gt;0,$U$27=1,L29=""),re,IF(AND(OR($U$24=1,$U$27=0),ISBLANK(L29)=FALSE),"Delete!",IF(AND(R4&gt;0,$U$24=0,L29=""),re,"")))</f>
        <v/>
      </c>
      <c r="N29" s="3139"/>
      <c r="O29" s="3139"/>
      <c r="P29" s="3139"/>
      <c r="R29" s="3140">
        <f>IF(COUNTA(L29)=0,0,1)</f>
      </c>
      <c r="S29" s="3140">
        <f>IF(M29&lt;&gt;"",1,0)</f>
      </c>
    </row>
    <row r="30" spans="1:21" s="3140" customFormat="1" x14ac:dyDescent="0.2">
      <c r="A30" s="3139"/>
      <c r="B30" s="3139"/>
      <c r="C30" s="3154" t="s">
        <v>9163</v>
      </c>
      <c r="D30" s="3154"/>
      <c r="E30" s="3139"/>
      <c r="F30" s="3139"/>
      <c r="G30" s="3139"/>
      <c r="H30" s="3139"/>
      <c r="I30" s="3139"/>
      <c r="J30" s="3139"/>
      <c r="K30" s="3139"/>
      <c r="L30" s="3155"/>
      <c r="M30" s="3142" t="str">
        <f>IF(AND(R4&gt;0,$U$27=1,L30=""),re,IF(AND(OR($U$24=1,$U$27=0),ISBLANK(L30)=FALSE),"Delete!",IF(AND(R4&gt;0,$U$24=0,L30=""),re,"")))</f>
        <v/>
      </c>
      <c r="N30" s="3139"/>
      <c r="O30" s="3139"/>
      <c r="P30" s="3139"/>
      <c r="R30" s="3140">
        <f>IF(COUNTA(L30)=0,0,1)</f>
      </c>
      <c r="S30" s="3140">
        <f>IF(M30&lt;&gt;"",1,0)</f>
      </c>
    </row>
    <row r="31" spans="1:21" s="3140" customFormat="1" x14ac:dyDescent="0.2">
      <c r="A31" s="3139"/>
      <c r="B31" s="3139"/>
      <c r="C31" s="3154" t="s">
        <v>9164</v>
      </c>
      <c r="D31" s="3154"/>
      <c r="E31" s="3139"/>
      <c r="F31" s="3139"/>
      <c r="G31" s="3139"/>
      <c r="H31" s="3139"/>
      <c r="I31" s="3139"/>
      <c r="J31" s="3139"/>
      <c r="K31" s="3139"/>
      <c r="L31" s="3156">
        <f>IF(SUM(L27:L30)&lt;0,0,SUM(L27:L30))</f>
      </c>
      <c r="M31" s="3142"/>
      <c r="N31" s="3139"/>
      <c r="O31" s="3139"/>
      <c r="P31" s="3139"/>
    </row>
    <row r="32" spans="1:21" s="3140" customFormat="1" x14ac:dyDescent="0.2">
      <c r="A32" s="3139"/>
      <c r="B32" s="3139"/>
      <c r="C32" s="3139"/>
      <c r="D32" s="3139"/>
      <c r="E32" s="3139"/>
      <c r="F32" s="3139"/>
      <c r="G32" s="3139"/>
      <c r="H32" s="3139"/>
      <c r="I32" s="3139"/>
      <c r="J32" s="3139"/>
      <c r="K32" s="3139"/>
      <c r="L32" s="3139"/>
      <c r="M32" s="3139"/>
      <c r="N32" s="3139"/>
      <c r="O32" s="3139"/>
      <c r="P32" s="3139"/>
    </row>
    <row r="33" spans="1:35" s="3140" customFormat="1" x14ac:dyDescent="0.2">
      <c r="A33" s="3139"/>
      <c r="B33" s="3157" t="s">
        <v>9165</v>
      </c>
      <c r="C33" s="3139"/>
      <c r="D33" s="3139"/>
      <c r="E33" s="3473" t="str">
        <f>IF(AND(K12="yes",SUM(R81:R82)&lt;4),"Complete section 5c before proceeding with this section",IF(AND(K12="yes",G61=0),"Complete section 5a before proceeding with this section",""))</f>
        <v/>
      </c>
      <c r="F33" s="3139"/>
      <c r="G33" s="3139"/>
      <c r="H33" s="3139"/>
      <c r="I33" s="3158"/>
      <c r="J33" s="3158"/>
      <c r="K33" s="3139"/>
      <c r="L33" s="3139"/>
      <c r="M33" s="3139"/>
      <c r="N33" s="3139"/>
      <c r="O33" s="3139"/>
      <c r="P33" s="3139"/>
    </row>
    <row r="34" spans="1:35" s="3140" customFormat="1" x14ac:dyDescent="0.2">
      <c r="A34" s="3139"/>
      <c r="B34" s="3139"/>
      <c r="C34" s="3154" t="s">
        <v>9166</v>
      </c>
      <c r="D34" s="3139"/>
      <c r="E34" s="3139"/>
      <c r="F34" s="3139"/>
      <c r="G34" s="3049"/>
      <c r="H34" s="3139"/>
      <c r="I34" s="3158"/>
      <c r="J34" s="3158"/>
      <c r="K34" s="3156">
        <f>IF(L31=0,0,ROUND(L31*30%,0))</f>
      </c>
      <c r="L34" s="3159"/>
      <c r="M34" s="3139"/>
      <c r="N34" s="3139"/>
      <c r="O34" s="3139"/>
      <c r="P34" s="3139"/>
    </row>
    <row r="35" spans="1:35" s="3140" customFormat="1" ht="13.5" thickBot="1" x14ac:dyDescent="0.25">
      <c r="A35" s="3139"/>
      <c r="B35" s="3139"/>
      <c r="C35" s="3154" t="s">
        <v>9167</v>
      </c>
      <c r="D35" s="3139"/>
      <c r="E35" s="3139"/>
      <c r="F35" s="3139"/>
      <c r="G35" s="3049"/>
      <c r="H35" s="3139"/>
      <c r="I35" s="3158"/>
      <c r="J35" s="3471">
        <f>H61</f>
      </c>
      <c r="K35" s="3155"/>
      <c r="L35" s="3142" t="str">
        <f>IF(AND(R4&gt;0,$U$27=1,K35=""),re,IF(AND(OR($U$24=1,$U$27=0),ISBLANK(K35)=FALSE),"Delete!",IF(AND(R4&gt;0,$U$24=0,K35=""),re,IF(J35&lt;&gt;K35,"Check!",""))))</f>
        <v/>
      </c>
      <c r="M35" s="3139"/>
      <c r="N35" s="3139"/>
      <c r="O35" s="3139"/>
      <c r="P35" s="3139"/>
      <c r="R35" s="3140">
        <f>IF(COUNTA(K35)=0,0,1)</f>
      </c>
      <c r="S35" s="3140">
        <f>IF(L35&lt;&gt;"",1,0)</f>
      </c>
    </row>
    <row r="36" spans="1:35" s="3140" customFormat="1" ht="13.5" thickBot="1" x14ac:dyDescent="0.25">
      <c r="A36" s="3139"/>
      <c r="B36" s="3139"/>
      <c r="C36" s="3154"/>
      <c r="D36" s="3139"/>
      <c r="E36" s="3139"/>
      <c r="F36" s="3139"/>
      <c r="G36" s="3139"/>
      <c r="H36" s="3139"/>
      <c r="I36" s="3158"/>
      <c r="J36" s="3158"/>
      <c r="K36" s="3160"/>
      <c r="L36" s="3161">
        <f>K34+K35</f>
      </c>
      <c r="M36" s="3139"/>
      <c r="N36" s="3139"/>
      <c r="O36" s="3139"/>
      <c r="P36" s="3139"/>
      <c r="W36" s="3770" t="s">
        <v>9859</v>
      </c>
    </row>
    <row r="37" spans="1:35" s="3140" customFormat="1" ht="13.5" thickBot="1" x14ac:dyDescent="0.25">
      <c r="A37" s="3139"/>
      <c r="B37" s="3139"/>
      <c r="C37" s="3154" t="s">
        <v>10162</v>
      </c>
      <c r="D37" s="3139"/>
      <c r="E37" s="3473" t="str">
        <f>IF(Y1&lt;&gt;Z1,"For currencies other than € please ensure that the equivalent thresholds are not exceeded","")</f>
        <v/>
      </c>
      <c r="F37" s="3139"/>
      <c r="G37" s="3139"/>
      <c r="H37" s="3153"/>
      <c r="I37" s="3158"/>
      <c r="J37" s="3158"/>
      <c r="K37" s="3471" t="str">
        <f>IF(AND(Y1=Z1,OR(K12="",K12="no"),OR(L15="no",L16="no")),3000000,IF(AND(Y1=Z1,K12="yes"),F81,""))</f>
        <v/>
      </c>
      <c r="L37" s="3162"/>
      <c r="M37" s="3142" t="str">
        <f>IF(AND(R4&gt;0,$U$27=1,L37=""),re,IF(AND(OR($U$24=1,$U$27=0),ISBLANK(L37)=FALSE),"Delete!",IF(AND(R4&gt;0,$U$24=0,L37=""),re,IF(AND(Y1=Z1,L37&lt;&gt;K37),"Check!",""))))</f>
        <v/>
      </c>
      <c r="N37" s="3139"/>
      <c r="O37" s="3139"/>
      <c r="P37" s="3139"/>
      <c r="R37" s="3140">
        <f>IF(COUNTA(L37)=0,0,1)</f>
      </c>
      <c r="S37" s="3140">
        <f>IF(M37&lt;&gt;"",1,0)</f>
      </c>
      <c r="U37" s="3140">
        <f>SUM(R27:R37)</f>
      </c>
      <c r="W37" s="3771">
        <f>IF(AND(Y1=Z1,$K$37&lt;&gt;$L$37),1,0)</f>
      </c>
    </row>
    <row r="38" spans="1:35" s="3140" customFormat="1" x14ac:dyDescent="0.2">
      <c r="A38" s="3139"/>
      <c r="B38" s="3139"/>
      <c r="C38" s="3154" t="s">
        <v>9168</v>
      </c>
      <c r="D38" s="3139"/>
      <c r="E38" s="3139"/>
      <c r="F38" s="3139"/>
      <c r="G38" s="3139"/>
      <c r="H38" s="3153" t="str">
        <f>IF(AND(N13="yes",SUM(R82:R83)&lt;4,),"Complete section 6c before proceeding with this section","")</f>
        <v/>
      </c>
      <c r="I38" s="3158"/>
      <c r="J38" s="3158"/>
      <c r="K38" s="3158"/>
      <c r="L38" s="3163">
        <f>MAX(L37,L36)</f>
      </c>
      <c r="M38" s="3139"/>
      <c r="N38" s="3139"/>
      <c r="O38" s="3139"/>
      <c r="P38" s="3139"/>
    </row>
    <row r="39" spans="1:35" s="3140" customFormat="1" x14ac:dyDescent="0.2">
      <c r="A39" s="3139"/>
      <c r="B39" s="3139"/>
      <c r="C39" s="3139"/>
      <c r="D39" s="3139"/>
      <c r="E39" s="3139"/>
      <c r="F39" s="3139"/>
      <c r="G39" s="3139"/>
      <c r="H39" s="3139"/>
      <c r="I39" s="3139"/>
      <c r="J39" s="3139"/>
      <c r="K39" s="3139"/>
      <c r="L39" s="3139"/>
      <c r="M39" s="3139"/>
      <c r="N39" s="3139"/>
      <c r="O39" s="3139"/>
      <c r="P39" s="3139"/>
    </row>
    <row r="40" spans="1:35" s="3140" customFormat="1" x14ac:dyDescent="0.2">
      <c r="A40" s="3139"/>
      <c r="B40" s="3143" t="s">
        <v>10499</v>
      </c>
      <c r="C40" s="3139"/>
      <c r="D40" s="3139"/>
      <c r="E40" s="3139"/>
      <c r="F40" s="3139"/>
      <c r="G40" s="3139"/>
      <c r="H40" s="3139"/>
      <c r="I40" s="3139"/>
      <c r="J40" s="3139"/>
      <c r="K40" s="3139"/>
      <c r="L40" s="3139"/>
      <c r="M40" s="3139"/>
      <c r="N40" s="3139"/>
      <c r="O40" s="3139"/>
      <c r="P40" s="3139"/>
    </row>
    <row r="41" spans="1:35" s="3140" customFormat="1" ht="3" customHeight="1" x14ac:dyDescent="0.2">
      <c r="A41" s="3139"/>
      <c r="B41" s="3143"/>
      <c r="C41" s="3139"/>
      <c r="D41" s="3139"/>
      <c r="E41" s="3139"/>
      <c r="F41" s="3139"/>
      <c r="G41" s="3139"/>
      <c r="H41" s="3139"/>
      <c r="I41" s="3139"/>
      <c r="J41" s="3139"/>
      <c r="K41" s="3139"/>
      <c r="L41" s="3139"/>
      <c r="M41" s="3139"/>
      <c r="N41" s="3139"/>
      <c r="O41" s="3139"/>
      <c r="P41" s="3139"/>
    </row>
    <row r="42" spans="1:35" s="3140" customFormat="1" ht="120.75" customHeight="1" x14ac:dyDescent="0.2">
      <c r="A42" s="3139"/>
      <c r="B42" s="3139"/>
      <c r="C42" s="5327"/>
      <c r="D42" s="5328"/>
      <c r="E42" s="5328"/>
      <c r="F42" s="5328"/>
      <c r="G42" s="5329"/>
      <c r="H42" s="3164" t="s">
        <v>9169</v>
      </c>
      <c r="I42" s="3164" t="s">
        <v>9170</v>
      </c>
      <c r="J42" s="3164" t="s">
        <v>9171</v>
      </c>
      <c r="K42" s="3165" t="s">
        <v>9172</v>
      </c>
      <c r="L42" s="3165" t="s">
        <v>9173</v>
      </c>
      <c r="M42" s="3164" t="s">
        <v>9174</v>
      </c>
      <c r="N42" s="3166" t="s">
        <v>9175</v>
      </c>
      <c r="O42" s="3139"/>
      <c r="P42" s="3139"/>
      <c r="AC42" s="3167"/>
      <c r="AD42" s="3167"/>
      <c r="AE42" s="3167"/>
      <c r="AF42" s="3168"/>
      <c r="AG42" s="3168"/>
      <c r="AH42" s="3167"/>
      <c r="AI42" s="3167"/>
    </row>
    <row r="43" spans="1:35" s="3140" customFormat="1" x14ac:dyDescent="0.2">
      <c r="A43" s="3139"/>
      <c r="B43" s="3139"/>
      <c r="C43" s="3169" t="s">
        <v>9176</v>
      </c>
      <c r="D43" s="3170"/>
      <c r="E43" s="3170"/>
      <c r="F43" s="3170"/>
      <c r="G43" s="3171"/>
      <c r="H43" s="3172"/>
      <c r="I43" s="3172"/>
      <c r="J43" s="3173"/>
      <c r="K43" s="3775"/>
      <c r="L43" s="3172"/>
      <c r="M43" s="3174">
        <f>IF(K43&lt;0,0,MIN(K43,L43))</f>
      </c>
      <c r="N43" s="3772"/>
      <c r="O43" s="3142" t="str">
        <f>IF(AND($R$4&gt;0,R43=0),reo,IF(SUM(H43:I43)&lt;K43,"Excessive EBC!",IF(AND($U$1=2020,$R$4&gt;0,Q43&lt;&gt;4),dat,IF(AND($U$1&gt;2020,$R$4&gt;0,R43&lt;&gt;5),dat,IF(AND(K43&lt;0,L43&lt;&gt;0),"Allocation must be 0!",IF(L43&gt;K43,"Allocation&gt;EBC!",IF(AND(K43&lt;0,N43&gt;0),"Check EBC c/fwd!",IF(AND(K43&gt;0,N43&gt;(K43-M43)),"Check EBC cfwd!",""))))))))</f>
        <v/>
      </c>
      <c r="P43" s="3142"/>
      <c r="Q43" s="3140">
        <f>COUNTA(I43,J43,L43,K43)</f>
      </c>
      <c r="R43" s="3140">
        <f>COUNTA(H43:J43,L43,K43)</f>
      </c>
      <c r="S43" s="3140">
        <f>IF(O43&lt;&gt;"",1,0)</f>
      </c>
      <c r="X43" s="3175"/>
      <c r="Y43" s="3175"/>
      <c r="Z43" s="3175"/>
      <c r="AA43" s="3175"/>
      <c r="AB43" s="3175"/>
      <c r="AC43" s="3176"/>
      <c r="AD43" s="3176"/>
      <c r="AE43" s="3176"/>
      <c r="AF43" s="3176"/>
      <c r="AG43" s="3176"/>
      <c r="AH43" s="3176"/>
      <c r="AI43" s="3176"/>
    </row>
    <row r="44" spans="1:35" s="3140" customFormat="1" x14ac:dyDescent="0.2">
      <c r="A44" s="3139"/>
      <c r="B44" s="3139"/>
      <c r="C44" s="3177" t="s">
        <v>9251</v>
      </c>
      <c r="D44" s="3178"/>
      <c r="E44" s="3178"/>
      <c r="F44" s="3178"/>
      <c r="G44" s="3179"/>
      <c r="H44" s="3180"/>
      <c r="I44" s="3180"/>
      <c r="J44" s="3139"/>
      <c r="K44" s="3775"/>
      <c r="L44" s="3180"/>
      <c r="M44" s="3181">
        <f t="shared" ref="M44:M50" si="0">IF(K44&lt;0,0,MIN(K44,L44))</f>
      </c>
      <c r="N44" s="3773"/>
      <c r="O44" s="3142" t="str">
        <f>IF(AND($R$4&gt;0,R44=0),reo,IF(SUM(H44:I44)&lt;K44,"Excessive EBC!",IF(AND($U$1=2020,$R$4&gt;0,Q44&lt;&gt;3),dat,IF(AND($U$1&gt;2020,$R$4&gt;0,R44&lt;&gt;4),dat,IF(AND(K44&lt;0,L44&lt;&gt;0),"Allocation must be 0!",IF(L44&gt;K44,"Allocation&gt;EBC!",IF(AND(K44&lt;0,N44&gt;0),"Check EBC c/fwd!",IF(AND(K44&gt;0,N44&gt;(K44-M44)),"Check EBC cfwd!",""))))))))</f>
        <v/>
      </c>
      <c r="P44" s="3142"/>
      <c r="Q44" s="3140">
        <f>COUNTA(I44,L44,K44)</f>
      </c>
      <c r="R44" s="3140">
        <f>COUNTA(H44:I44,L44,K44)</f>
      </c>
      <c r="S44" s="3140">
        <f t="shared" ref="S44:S50" si="1">IF(O44&lt;&gt;"",1,0)</f>
      </c>
      <c r="X44" s="3175"/>
      <c r="Y44" s="3175"/>
      <c r="Z44" s="3175"/>
      <c r="AA44" s="3175"/>
      <c r="AB44" s="3175"/>
      <c r="AC44" s="3176"/>
      <c r="AD44" s="3176"/>
      <c r="AF44" s="3176"/>
      <c r="AG44" s="3176"/>
      <c r="AH44" s="3176"/>
      <c r="AI44" s="3176"/>
    </row>
    <row r="45" spans="1:35" s="3140" customFormat="1" x14ac:dyDescent="0.2">
      <c r="A45" s="3139"/>
      <c r="B45" s="3139"/>
      <c r="C45" s="3177" t="s">
        <v>9252</v>
      </c>
      <c r="D45" s="3178"/>
      <c r="E45" s="3178"/>
      <c r="F45" s="3178"/>
      <c r="G45" s="3179"/>
      <c r="H45" s="3180"/>
      <c r="I45" s="3180"/>
      <c r="J45" s="3182"/>
      <c r="K45" s="3775"/>
      <c r="L45" s="3180"/>
      <c r="M45" s="3181">
        <f t="shared" si="0"/>
        <v>0</v>
      </c>
      <c r="N45" s="3773"/>
      <c r="O45" s="3142" t="str">
        <f>IF(AND($R$4&gt;0,R45=0),reo,IF(SUM(H45:I45)&lt;K45,"Excessive EBC!",IF(AND($U$1=2020,$R$4&gt;0,Q45&lt;&gt;4),dat,IF(AND($U$1&gt;2020,$R$4&gt;0,R45&lt;&gt;5),dat,IF(AND(K45&lt;0,L45&lt;&gt;0),"Allocation must be 0!",IF(L45&gt;K45,"Allocation&gt;EBC!",IF(AND(K45&lt;0,N45&gt;0),"Check EBC c/fwd!",IF(AND(K45&gt;0,N45&gt;(K45-M45)),"Check EBC cfwd!",""))))))))</f>
        <v/>
      </c>
      <c r="P45" s="3142"/>
      <c r="Q45" s="3140">
        <f>COUNTA(I45,J45,L45,K45)</f>
      </c>
      <c r="R45" s="3140">
        <f>COUNTA(H45:J45,L45,K45)</f>
      </c>
      <c r="S45" s="3140">
        <f t="shared" si="1"/>
        <v>0</v>
      </c>
      <c r="X45" s="3175"/>
      <c r="Y45" s="3175"/>
      <c r="Z45" s="3175"/>
      <c r="AA45" s="3175"/>
      <c r="AB45" s="3175"/>
      <c r="AC45" s="3176"/>
      <c r="AD45" s="3176"/>
      <c r="AE45" s="3176"/>
      <c r="AF45" s="3176"/>
      <c r="AG45" s="3176"/>
      <c r="AH45" s="3176"/>
      <c r="AI45" s="3176"/>
    </row>
    <row r="46" spans="1:35" s="3140" customFormat="1" x14ac:dyDescent="0.2">
      <c r="A46" s="3139"/>
      <c r="B46" s="3139"/>
      <c r="C46" s="3177" t="s">
        <v>9253</v>
      </c>
      <c r="D46" s="3178"/>
      <c r="E46" s="3178"/>
      <c r="F46" s="3178"/>
      <c r="G46" s="3179"/>
      <c r="H46" s="3180"/>
      <c r="I46" s="3180"/>
      <c r="J46" s="3183"/>
      <c r="K46" s="3775"/>
      <c r="L46" s="3180"/>
      <c r="M46" s="3181">
        <f t="shared" si="0"/>
        <v>0</v>
      </c>
      <c r="N46" s="3773"/>
      <c r="O46" s="3142" t="str">
        <f>IF(AND($R$4&gt;0,R46=0),reo,IF(SUM(H46:I46)&lt;K46,"Excessive EBC!",IF(AND($U$1=2020,$R$4&gt;0,Q46&lt;&gt;3),dat,IF(AND($U$1&gt;2020,$R$4&gt;0,R46&lt;&gt;4),dat,IF(AND(K46&lt;0,L46&lt;&gt;0),"Allocation must be 0!",IF(L46&gt;K46,"Allocation&gt;EBC!",IF(AND(K46&lt;0,N46&gt;0),"Check EBC c/fwd!",IF(AND(K46&gt;0,N46&gt;(K46-M46)),"Check EBC cfwd!",""))))))))</f>
        <v/>
      </c>
      <c r="P46" s="3142"/>
      <c r="Q46" s="3140">
        <f>COUNTA(I46,L46,K46)</f>
      </c>
      <c r="R46" s="3140">
        <f>COUNTA(H46:I46,L46,K46)</f>
      </c>
      <c r="S46" s="3140">
        <f t="shared" si="1"/>
        <v>0</v>
      </c>
      <c r="X46" s="3175"/>
      <c r="Y46" s="3175"/>
      <c r="Z46" s="3175"/>
      <c r="AA46" s="3175"/>
      <c r="AB46" s="3175"/>
      <c r="AC46" s="3176"/>
      <c r="AD46" s="3176"/>
      <c r="AE46" s="3184"/>
      <c r="AF46" s="3176"/>
      <c r="AG46" s="3176"/>
      <c r="AH46" s="3176"/>
      <c r="AI46" s="3176"/>
    </row>
    <row r="47" spans="1:35" s="3140" customFormat="1" x14ac:dyDescent="0.2">
      <c r="A47" s="3139"/>
      <c r="B47" s="3139"/>
      <c r="C47" s="3177" t="s">
        <v>9254</v>
      </c>
      <c r="D47" s="3178"/>
      <c r="E47" s="3178"/>
      <c r="F47" s="3178"/>
      <c r="G47" s="3179"/>
      <c r="H47" s="3180"/>
      <c r="I47" s="3180"/>
      <c r="J47" s="3183"/>
      <c r="K47" s="3775"/>
      <c r="L47" s="3180"/>
      <c r="M47" s="3181">
        <f t="shared" si="0"/>
        <v>0</v>
      </c>
      <c r="N47" s="3773"/>
      <c r="O47" s="3142" t="str">
        <f>IF(AND($R$4&gt;0,R47=0),reo,IF(SUM(H47:I47)&lt;K47,"Excessive EBC!",IF(AND($U$1=2020,$R$4&gt;0,Q47&lt;&gt;3),dat,IF(AND($U$1&gt;2020,$R$4&gt;0,R47&lt;&gt;4),dat,IF(AND(K47&lt;0,L47&lt;&gt;0),"Allocation must be 0!",IF(L47&gt;K47,"Allocation&gt;EBC!",IF(AND(K47&lt;0,N47&gt;0),"Check EBC c/fwd!",IF(AND(K47&gt;0,N47&gt;(K47-M47)),"Check EBC cfwd!",""))))))))</f>
        <v/>
      </c>
      <c r="P47" s="3142"/>
      <c r="Q47" s="3140">
        <f>COUNTA(I47,L47,K47)</f>
      </c>
      <c r="R47" s="3140">
        <f>COUNTA(H47:I47,L47,K47)</f>
      </c>
      <c r="S47" s="3140">
        <f t="shared" si="1"/>
        <v>0</v>
      </c>
      <c r="X47" s="3175"/>
      <c r="Y47" s="3175"/>
      <c r="Z47" s="3175"/>
      <c r="AA47" s="3175"/>
      <c r="AB47" s="3175"/>
      <c r="AC47" s="3176"/>
      <c r="AD47" s="3176"/>
      <c r="AE47" s="3184"/>
      <c r="AF47" s="3176"/>
      <c r="AG47" s="3176"/>
      <c r="AH47" s="3176"/>
      <c r="AI47" s="3176"/>
    </row>
    <row r="48" spans="1:35" s="3140" customFormat="1" x14ac:dyDescent="0.2">
      <c r="A48" s="3139"/>
      <c r="B48" s="3139"/>
      <c r="C48" s="3177" t="s">
        <v>9255</v>
      </c>
      <c r="D48" s="3178"/>
      <c r="E48" s="3178"/>
      <c r="F48" s="3178"/>
      <c r="G48" s="3179"/>
      <c r="H48" s="3180"/>
      <c r="I48" s="3180"/>
      <c r="J48" s="3183"/>
      <c r="K48" s="3775"/>
      <c r="L48" s="3180"/>
      <c r="M48" s="3181">
        <f t="shared" si="0"/>
        <v>0</v>
      </c>
      <c r="N48" s="3773"/>
      <c r="O48" s="3142" t="str">
        <f>IF(AND($R$4&gt;0,R48=0),reo,IF(SUM(H48:I48)&lt;K48,"Excessive EBC!",IF(AND($U$1=2020,$R$4&gt;0,Q48&lt;&gt;3),dat,IF(AND($U$1&gt;2020,$R$4&gt;0,R48&lt;&gt;4),dat,IF(AND(K48&lt;0,L48&lt;&gt;0),"Allocation must be 0!",IF(L48&gt;K48,"Allocation&gt;EBC!",IF(AND(K48&lt;0,N48&gt;0),"Check EBC c/fwd!",IF(AND(K48&gt;0,N48&gt;(K48-M48)),"Check EBC cfwd!",""))))))))</f>
        <v/>
      </c>
      <c r="P48" s="3142"/>
      <c r="Q48" s="3140">
        <f>COUNTA(I48,L48,K48)</f>
      </c>
      <c r="R48" s="3140">
        <f>COUNTA(H48:I48,L48,K48)</f>
      </c>
      <c r="S48" s="3140">
        <f t="shared" si="1"/>
        <v>0</v>
      </c>
      <c r="X48" s="3175"/>
      <c r="Y48" s="3175"/>
      <c r="Z48" s="3175"/>
      <c r="AA48" s="3175"/>
      <c r="AB48" s="3175"/>
      <c r="AC48" s="3176"/>
      <c r="AD48" s="3176"/>
      <c r="AE48" s="3184"/>
      <c r="AF48" s="3176"/>
      <c r="AG48" s="3176"/>
      <c r="AH48" s="3176"/>
      <c r="AI48" s="3176"/>
    </row>
    <row r="49" spans="1:35" s="3140" customFormat="1" ht="15" customHeight="1" x14ac:dyDescent="0.2">
      <c r="A49" s="3139"/>
      <c r="B49" s="3139"/>
      <c r="C49" s="3185" t="s">
        <v>9256</v>
      </c>
      <c r="D49" s="3186"/>
      <c r="E49" s="3186"/>
      <c r="F49" s="3186"/>
      <c r="G49" s="3187"/>
      <c r="H49" s="3180"/>
      <c r="I49" s="3180"/>
      <c r="J49" s="3183"/>
      <c r="K49" s="3775"/>
      <c r="L49" s="3180"/>
      <c r="M49" s="3181">
        <f t="shared" si="0"/>
        <v>0</v>
      </c>
      <c r="N49" s="3773"/>
      <c r="O49" s="3142" t="str">
        <f>IF(AND($R$4&gt;0,R49=0),reo,IF(SUM(H49:I49)&lt;K49,"Excessive EBC!",IF(AND($U$1=2020,$R$4&gt;0,Q49&lt;&gt;3),dat,IF(AND($U$1&gt;2020,$R$4&gt;0,R49&lt;&gt;4),dat,IF(AND(K49&lt;0,L49&lt;&gt;0),"Allocation must be 0!",IF(L49&gt;K49,"Allocation&gt;EBC!",IF(AND(K49&lt;0,N49&gt;0),"Check EBC c/fwd!",IF(AND(K49&gt;0,N49&gt;(K49-M49)),"Check EBC cfwd!",""))))))))</f>
        <v/>
      </c>
      <c r="P49" s="3142"/>
      <c r="Q49" s="3140">
        <f>COUNTA(I49,L49,K49)</f>
      </c>
      <c r="R49" s="3140">
        <f>COUNTA(H49:I49,L49,K49)</f>
      </c>
      <c r="S49" s="3140">
        <f t="shared" si="1"/>
        <v>0</v>
      </c>
      <c r="X49" s="3188"/>
      <c r="Y49" s="3188"/>
      <c r="Z49" s="3188"/>
      <c r="AA49" s="3188"/>
      <c r="AB49" s="3188"/>
      <c r="AC49" s="3176"/>
      <c r="AD49" s="3176"/>
      <c r="AE49" s="3184"/>
      <c r="AF49" s="3176"/>
      <c r="AG49" s="3176"/>
      <c r="AH49" s="3176"/>
      <c r="AI49" s="3176"/>
    </row>
    <row r="50" spans="1:35" s="3140" customFormat="1" x14ac:dyDescent="0.2">
      <c r="A50" s="3139"/>
      <c r="B50" s="3139"/>
      <c r="C50" s="3189" t="s">
        <v>9257</v>
      </c>
      <c r="D50" s="3190"/>
      <c r="E50" s="3190"/>
      <c r="F50" s="3190"/>
      <c r="G50" s="3191"/>
      <c r="H50" s="3192"/>
      <c r="I50" s="3180"/>
      <c r="J50" s="3182"/>
      <c r="K50" s="3775"/>
      <c r="L50" s="3192"/>
      <c r="M50" s="3193">
        <f t="shared" si="0"/>
        <v>0</v>
      </c>
      <c r="N50" s="3774"/>
      <c r="O50" s="3142" t="str">
        <f>IF(AND($R$4&gt;0,R50=0),reo,IF(SUM(H50:I50)&lt;K50,"Excessive EBC!",IF(AND($U$1=2020,$R$4&gt;0,Q50&lt;&gt;4),dat,IF(AND($U$1&gt;2020,$R$4&gt;0,R50&lt;&gt;5),dat,IF(AND(K50&lt;0,L50&lt;&gt;0),"Allocation must be 0!",IF(L50&gt;K50,"Allocation&gt;EBC!",IF(AND(K50&lt;0,N50&gt;0),"Check EBC c/fwd!",IF(AND(K50&gt;0,N50&gt;(K50-M50)),"Check EBC cfwd!",""))))))))</f>
        <v/>
      </c>
      <c r="P50" s="3142"/>
      <c r="Q50" s="3140">
        <f>COUNTA(I50,J50,L50,K50)</f>
      </c>
      <c r="R50" s="3140">
        <f>COUNTA(H50:J50,L50,K50)</f>
      </c>
      <c r="S50" s="3140">
        <f t="shared" si="1"/>
        <v>0</v>
      </c>
      <c r="X50" s="3175"/>
      <c r="Y50" s="3175"/>
      <c r="Z50" s="3175"/>
      <c r="AA50" s="3175"/>
      <c r="AB50" s="3175"/>
      <c r="AC50" s="3176"/>
      <c r="AD50" s="3176"/>
      <c r="AE50" s="3176"/>
      <c r="AF50" s="3176"/>
      <c r="AG50" s="3176"/>
      <c r="AH50" s="3176"/>
      <c r="AI50" s="3176"/>
    </row>
    <row r="51" spans="1:35" s="3140" customFormat="1" x14ac:dyDescent="0.2">
      <c r="A51" s="3139"/>
      <c r="B51" s="3139"/>
      <c r="C51" s="5330" t="s">
        <v>9177</v>
      </c>
      <c r="D51" s="5331"/>
      <c r="E51" s="5331"/>
      <c r="F51" s="5331"/>
      <c r="G51" s="5332"/>
      <c r="H51" s="3194">
        <f>IF(U1=2020,0,SUM(H43:H50))</f>
      </c>
      <c r="I51" s="3194">
        <f>SUM(I43:I50)</f>
      </c>
      <c r="J51" s="3194">
        <f>SUM(J43+J45+J50)</f>
      </c>
      <c r="K51" s="3195">
        <f>SUM(K43:K50)</f>
      </c>
      <c r="L51" s="3194">
        <f>SUM(L43:L50)</f>
      </c>
      <c r="M51" s="3194">
        <f>SUM(M43:M50)</f>
      </c>
      <c r="N51" s="3194">
        <f>IF(K51&gt;M51,K51-M51,0)</f>
      </c>
      <c r="O51" s="3142" t="str">
        <f>IF(K52&lt;&gt;K51,"Check EBC [Col K}!",IF(L38&lt;L51,"Check allocation of max. EBC [Col L]!",IF(N51&lt;&gt;N51,"Check EBC cfwd!",IF(AND(U51&gt;0,K51&gt;(H51+I51-J51)),"Excessive Borrowing costs!",""))))</f>
        <v/>
      </c>
      <c r="P51" s="3139"/>
      <c r="S51" s="3140">
        <f>IF(O51&lt;&gt;"",1,0)</f>
      </c>
      <c r="T51" s="3140">
        <f>SUM(R43:R50)</f>
      </c>
      <c r="U51" s="3140">
        <f>IF(OR(T51=0,0,L51=L52),0,1)</f>
      </c>
      <c r="W51" s="3212"/>
      <c r="X51" s="5333"/>
      <c r="Y51" s="5333"/>
      <c r="Z51" s="5333"/>
      <c r="AA51" s="5333"/>
      <c r="AB51" s="5333"/>
      <c r="AC51" s="3196"/>
      <c r="AD51" s="3196"/>
      <c r="AE51" s="3196"/>
      <c r="AF51" s="3196"/>
      <c r="AG51" s="3196"/>
      <c r="AH51" s="3196"/>
      <c r="AI51" s="3196"/>
    </row>
    <row r="52" spans="1:35" s="3140" customFormat="1" x14ac:dyDescent="0.2">
      <c r="A52" s="3139"/>
      <c r="B52" s="3139"/>
      <c r="C52" s="3139"/>
      <c r="D52" s="3139"/>
      <c r="E52" s="3139"/>
      <c r="F52" s="3139"/>
      <c r="G52" s="3139"/>
      <c r="H52" s="3197"/>
      <c r="I52" s="3198"/>
      <c r="J52" s="3199"/>
      <c r="K52" s="3200">
        <f>IF(SUM(H51+I51-J51)&lt;0,0,(H51+I51-J51))</f>
      </c>
      <c r="L52" s="3798" t="str">
        <f>IF(L16="yes",CONCATENATE("Max ",MIN(H51,K51)),IF(MIN(L38,K51)&lt;0,0,CONCATENATE("Max ",MIN(L38,K51))))</f>
      </c>
      <c r="M52" s="3199"/>
      <c r="N52" s="3139"/>
      <c r="O52" s="3139"/>
      <c r="P52" s="3201"/>
    </row>
    <row r="53" spans="1:35" s="3140" customFormat="1" x14ac:dyDescent="0.2">
      <c r="A53" s="3139"/>
      <c r="B53" s="3143" t="s">
        <v>9178</v>
      </c>
      <c r="C53" s="3143"/>
      <c r="D53" s="3143"/>
      <c r="E53" s="3139"/>
      <c r="F53" s="3139"/>
      <c r="G53" s="3139"/>
      <c r="H53" s="3139"/>
      <c r="I53" s="3139"/>
      <c r="J53" s="3139"/>
      <c r="K53" s="3139"/>
      <c r="L53" s="3139"/>
      <c r="M53" s="3139"/>
      <c r="N53" s="3139"/>
      <c r="O53" s="3139"/>
      <c r="P53" s="3139"/>
    </row>
    <row r="54" spans="1:35" s="3140" customFormat="1" ht="4.5" customHeight="1" x14ac:dyDescent="0.2">
      <c r="A54" s="3139"/>
      <c r="B54" s="3139"/>
      <c r="C54" s="3139"/>
      <c r="D54" s="3139"/>
      <c r="E54" s="3139"/>
      <c r="F54" s="3139"/>
      <c r="G54" s="3139"/>
      <c r="H54" s="3139"/>
      <c r="I54" s="3139"/>
      <c r="J54" s="3139"/>
      <c r="K54" s="3139"/>
      <c r="L54" s="3139"/>
      <c r="M54" s="3139"/>
      <c r="N54" s="3139"/>
      <c r="O54" s="3139"/>
      <c r="P54" s="3139"/>
    </row>
    <row r="55" spans="1:35" s="3140" customFormat="1" ht="102" x14ac:dyDescent="0.2">
      <c r="A55" s="3139"/>
      <c r="B55" s="3139"/>
      <c r="C55" s="3139"/>
      <c r="D55" s="3202" t="s">
        <v>9179</v>
      </c>
      <c r="E55" s="3202" t="s">
        <v>9180</v>
      </c>
      <c r="F55" s="3202" t="s">
        <v>9181</v>
      </c>
      <c r="G55" s="3202" t="s">
        <v>9182</v>
      </c>
      <c r="H55" s="3202" t="s">
        <v>9183</v>
      </c>
      <c r="I55" s="3202" t="s">
        <v>9184</v>
      </c>
      <c r="J55" s="3202" t="s">
        <v>9185</v>
      </c>
      <c r="K55" s="3139"/>
      <c r="L55" s="3139"/>
      <c r="M55" s="3139"/>
      <c r="N55" s="3139"/>
      <c r="O55" s="3139"/>
      <c r="P55" s="3139"/>
      <c r="T55" s="3203"/>
      <c r="X55" s="3204"/>
      <c r="Y55" s="3205" t="s">
        <v>9186</v>
      </c>
      <c r="Z55" s="3206" t="s">
        <v>9187</v>
      </c>
      <c r="AA55" s="3203"/>
    </row>
    <row r="56" spans="1:35" s="3140" customFormat="1" x14ac:dyDescent="0.2">
      <c r="A56" s="3139"/>
      <c r="B56" s="3139"/>
      <c r="C56" s="3207" t="str">
        <f>CONCATENATE("Y/A ",ya)</f>
      </c>
      <c r="D56" s="2601">
        <f>IF(K34-M51&lt;0,0,K34-M51)</f>
      </c>
      <c r="E56" s="3776"/>
      <c r="F56" s="3208"/>
      <c r="G56" s="2601">
        <f>IF(D56+F56&lt;=0,0,D56+F56)</f>
      </c>
      <c r="H56" s="3209"/>
      <c r="I56" s="3209"/>
      <c r="J56" s="2601">
        <f>IF(G56-H56+I56&lt;=0,0,G56-H56+I56)</f>
      </c>
      <c r="K56" s="3142" t="str">
        <f>IF(AND($R$4&gt;0,R56=0),re,IF(AND($R$4&gt;0,R56&gt;0,R56&lt;2),dat,IF(AND(F56&gt;0,H56&lt;F56),"Claimed unused interest capacity must be utllised in same year",IF(AND(D56&gt;0,F56&gt;0),"Cannot claim unused interest capacity from group member!",IF(H56&gt;G56,"Utilised interest capcaity greater than available unused interest capacity",IF(AND(F66&gt;0,G66&gt;0),"Cannot surrender and claim unused interest capacity at the same time!",IF(I56*-1&gt;(G56-H56),"Surrendered amount greater than available to surrender!",IF(G56-H56+I56&lt;0,"Remaining unused interest capacity cannot be less than 0!",""))))))))</f>
        <v/>
      </c>
      <c r="L56" s="3139"/>
      <c r="M56" s="3139"/>
      <c r="N56" s="3139"/>
      <c r="O56" s="3139"/>
      <c r="P56" s="3139"/>
      <c r="R56" s="3140">
        <f>COUNTA(F56,I56)</f>
      </c>
      <c r="S56" s="3140">
        <f>IF(K56&lt;&gt;"",1,0)</f>
      </c>
      <c r="X56" s="3210">
        <f>ya</f>
      </c>
      <c r="Z56" s="3211"/>
      <c r="AA56" s="3212"/>
    </row>
    <row r="57" spans="1:35" s="3140" customFormat="1" x14ac:dyDescent="0.2">
      <c r="A57" s="3139"/>
      <c r="B57" s="3139"/>
      <c r="C57" s="3207" t="str">
        <f>CONCATENATE("Y/A ",ya-1)</f>
      </c>
      <c r="D57" s="3213"/>
      <c r="E57" s="3214"/>
      <c r="F57" s="3236"/>
      <c r="G57" s="2601">
        <f>IF(Y57=1,IF(D57+E57&lt;=0,0,D57+E57),"")</f>
      </c>
      <c r="H57" s="3215"/>
      <c r="I57" s="3215"/>
      <c r="J57" s="2418">
        <f>IF(Y57=1,IF(G57-H57+I57&lt;=0,0,G57-H57+I57),"")</f>
      </c>
      <c r="K57" s="3142" t="str">
        <f>IF(Y57=0,"",IF(AND($R$4&gt;0,R57&lt;&gt;3),re,IF(SUM(D57:E57)&lt;0,"Available unused interest capacity for the relevant Y/A cannot be less than 0!",IF(SUM(G57-H57)&lt;0,"Remaining unused interest capacity for the year cannot be less than 0!",IF(I57*-1&gt;(G57-H57),"Surrendered amount greater than available to surrender!","")))))</f>
        <v/>
      </c>
      <c r="L57" s="3139"/>
      <c r="M57" s="3139"/>
      <c r="N57" s="3139"/>
      <c r="O57" s="3139"/>
      <c r="P57" s="3139"/>
      <c r="R57" s="3140">
        <f>COUNTA(E57,H57,D57)</f>
      </c>
      <c r="S57" s="3140">
        <f>IF(K57&lt;&gt;"",1,0)</f>
      </c>
      <c r="X57" s="3210">
        <f>ya-1</f>
      </c>
      <c r="Y57" s="3140">
        <f>IF(X57&gt;=2020,1,0)</f>
      </c>
      <c r="Z57" s="3211">
        <f>IF(AND(Y57=1,F57&lt;&gt;0),1,0)</f>
      </c>
      <c r="AA57" s="3212"/>
    </row>
    <row r="58" spans="1:35" s="3140" customFormat="1" x14ac:dyDescent="0.2">
      <c r="A58" s="3139"/>
      <c r="B58" s="3139"/>
      <c r="C58" s="3207" t="str">
        <f>CONCATENATE("Y/A ",ya-2)</f>
      </c>
      <c r="D58" s="3213"/>
      <c r="E58" s="3214"/>
      <c r="F58" s="3236"/>
      <c r="G58" s="2601">
        <f>IF(Y58=1,IF(D58+E58&lt;=0,0,D58+E58),"")</f>
      </c>
      <c r="H58" s="3215"/>
      <c r="I58" s="3215"/>
      <c r="J58" s="2418">
        <f>IF(Y58=1,IF(G58-H58+I58&lt;=0,0,G58-H58+I58),"")</f>
      </c>
      <c r="K58" s="3142" t="str">
        <f>IF(Y58=0,"",IF(AND($R$4&gt;0,R58&lt;&gt;3),re,IF(SUM(D58:E58)&lt;0,"Available unused interest capacity for the relevant Y/A cannot be less than 0!",IF(SUM(G58-H58)&lt;0,"Remaining unused interest capacity for the year cannot be less than 0!",IF(I58*-1&gt;(G58-H58),"Surrendered amount greater than available to surrender!","")))))</f>
        <v/>
      </c>
      <c r="L58" s="3139"/>
      <c r="M58" s="3139"/>
      <c r="N58" s="3139"/>
      <c r="O58" s="3139"/>
      <c r="P58" s="3139"/>
      <c r="R58" s="3140">
        <f>COUNTA(E58,H58,D58)</f>
      </c>
      <c r="S58" s="3140">
        <f>IF(K58&lt;&gt;"",1,0)</f>
      </c>
      <c r="X58" s="3210">
        <f>ya-2</f>
      </c>
      <c r="Y58" s="3140">
        <f>IF(X58&gt;=2020,1,0)</f>
      </c>
      <c r="Z58" s="3211">
        <f>IF(AND(Y58=1,F58&lt;&gt;0),1,0)</f>
      </c>
      <c r="AA58" s="3212"/>
    </row>
    <row r="59" spans="1:35" s="3140" customFormat="1" x14ac:dyDescent="0.2">
      <c r="A59" s="3139"/>
      <c r="B59" s="3139"/>
      <c r="C59" s="3207" t="str">
        <f>CONCATENATE("Y/A ",ya-3)</f>
      </c>
      <c r="D59" s="3213"/>
      <c r="E59" s="3214"/>
      <c r="F59" s="3236"/>
      <c r="G59" s="2601">
        <f>IF(Y59=1,IF(D59+E59&lt;=0,0,D59+E59),"")</f>
      </c>
      <c r="H59" s="3215"/>
      <c r="I59" s="3215"/>
      <c r="J59" s="2418">
        <f>IF(Y59=1,IF(G59-H59+I59&lt;=0,0,G59-H59+I59),"")</f>
      </c>
      <c r="K59" s="3142" t="str">
        <f>IF(Y59=0,"",IF(AND($R$4&gt;0,R59&lt;&gt;3),re,IF(SUM(D59:E59)&lt;0,"Available unused interest capacity for the relevant Y/A cannot be less than 0!",IF(SUM(G59-H59)&lt;0,"Remaining unused interest capacity for the year cannot be less than 0!",IF(I59*-1&gt;(G59-H59),"Surrendered amount greater than available to surrender!","")))))</f>
        <v/>
      </c>
      <c r="L59" s="3139"/>
      <c r="M59" s="3139"/>
      <c r="N59" s="3139"/>
      <c r="O59" s="3139"/>
      <c r="P59" s="3139"/>
      <c r="R59" s="3140">
        <f>COUNTA(E59,H59,D59)</f>
      </c>
      <c r="S59" s="3140">
        <f>IF(K59&lt;&gt;"",1,0)</f>
      </c>
      <c r="X59" s="3210">
        <f>ya-3</f>
      </c>
      <c r="Y59" s="3140">
        <f>IF(X59&gt;=2020,1,0)</f>
      </c>
      <c r="Z59" s="3211">
        <f>IF(AND(Y59=1,F59&lt;&gt;0),1,0)</f>
      </c>
      <c r="AA59" s="3212"/>
    </row>
    <row r="60" spans="1:35" s="3140" customFormat="1" x14ac:dyDescent="0.2">
      <c r="A60" s="3139"/>
      <c r="B60" s="3139"/>
      <c r="C60" s="3207" t="str">
        <f>CONCATENATE("Y/A ",ya-4)</f>
      </c>
      <c r="D60" s="3213"/>
      <c r="E60" s="3214"/>
      <c r="F60" s="3236"/>
      <c r="G60" s="2601">
        <f>IF(Y60=1,IF(D60+E60&lt;=0,0,D60+E60),"")</f>
      </c>
      <c r="H60" s="3215"/>
      <c r="I60" s="4017"/>
      <c r="J60" s="2418">
        <f>IF(Y60=1,IF(G60-H60+I60&lt;=0,0,G60-H60+I60),"")</f>
      </c>
      <c r="K60" s="3142" t="str">
        <f>IF(Y60=0,"",IF(AND($R$4&gt;0,R60&lt;&gt;3),re,IF(SUM(D60:E60)&lt;0,"Available unused interest capacity for the relevant Y/A cannot be less than 0!",IF(SUM(G60-H60)&lt;0,"Remaining unused interest capacity for the year cannot be less than 0!",IF(I60*-1&gt;(G60-H60),"Surrendered amount greater than available to surrender!","")))))</f>
        <v/>
      </c>
      <c r="L60" s="3139"/>
      <c r="M60" s="3139"/>
      <c r="N60" s="3139"/>
      <c r="O60" s="3139"/>
      <c r="P60" s="3139"/>
      <c r="R60" s="3140">
        <f>COUNTA(E60,H60,D60)</f>
      </c>
      <c r="S60" s="3140">
        <f>IF(K60&lt;&gt;"",1,0)</f>
      </c>
      <c r="X60" s="3216">
        <f>ya-4</f>
      </c>
      <c r="Y60" s="3217">
        <f>IF(X60&gt;=2020,1,0)</f>
      </c>
      <c r="Z60" s="3218">
        <f>IF(AND(Y60=1,F60&lt;&gt;0),1,0)</f>
      </c>
      <c r="AA60" s="3212"/>
    </row>
    <row r="61" spans="1:35" s="3140" customFormat="1" x14ac:dyDescent="0.2">
      <c r="A61" s="3139"/>
      <c r="B61" s="3139"/>
      <c r="C61" s="3219" t="s">
        <v>9177</v>
      </c>
      <c r="D61" s="3220">
        <f>IF($Y$57=0,D56,IF($Y$58=0,SUM(D56:D57),IF($Y$59=0,SUM(D56:D58),IF($Y$60=0,SUM(D56:D59),SUM(D56:D60)))))</f>
      </c>
      <c r="E61" s="3220">
        <f>IF($Y$57=0,0,IF($Y$58=0,E57,IF($Y$59=0,SUM(E57:E58),IF($Y$60=0,SUM(E57:E59),SUM(E57:E60)))))</f>
      </c>
      <c r="F61" s="3220">
        <f>F56</f>
      </c>
      <c r="G61" s="3220">
        <f>IF($Y$57=0,G56,IF($Y$58=0,SUM(G56:G57),IF($Y$59=0,SUM(G56:G58),IF($Y$60=0,SUM(G56:G59),SUM(G56:G60)))))</f>
      </c>
      <c r="H61" s="3220">
        <f>IF($Y$57=0,H56,IF($Y$58=0,SUM(H56:H57),IF($Y$59=0,SUM(H56:H58),IF($Y$60=0,SUM(H56:H59),SUM(H56:H60)))))</f>
      </c>
      <c r="I61" s="3220">
        <f>IF($Y$57=0,I56,IF($Y$58=0,SUM(I56:I57),IF($Y$59=0,SUM(I56:I58),IF($Y$60=0,SUM(I56:I59),SUM(I56:I60)))))</f>
      </c>
      <c r="J61" s="3220">
        <f>IF($Y$57=0,J56,IF($Y$58=0,SUM(J56:J57),IF($Y$59=0,SUM(J56:J58),IF($Y$60=0,SUM(J56:J59),SUM(J56:J60)))))</f>
      </c>
      <c r="K61" s="3139"/>
      <c r="L61" s="3139"/>
      <c r="M61" s="3139"/>
      <c r="N61" s="3139"/>
      <c r="O61" s="3139"/>
      <c r="P61" s="3139"/>
    </row>
    <row r="62" spans="1:35" s="3140" customFormat="1" x14ac:dyDescent="0.2">
      <c r="A62" s="3139"/>
      <c r="B62" s="3139"/>
      <c r="C62" s="3139"/>
      <c r="D62" s="3139"/>
      <c r="E62" s="3139"/>
      <c r="F62" s="3139"/>
      <c r="G62" s="3139"/>
      <c r="H62" s="3139"/>
      <c r="I62" s="3139"/>
      <c r="J62" s="3139"/>
      <c r="K62" s="3139"/>
      <c r="L62" s="3139"/>
      <c r="M62" s="3139"/>
      <c r="N62" s="3139"/>
      <c r="O62" s="3139"/>
      <c r="P62" s="3139"/>
    </row>
    <row r="63" spans="1:35" s="3140" customFormat="1" x14ac:dyDescent="0.2">
      <c r="A63" s="3139"/>
      <c r="B63" s="3143" t="s">
        <v>10164</v>
      </c>
      <c r="C63" s="2592"/>
      <c r="D63" s="2592"/>
      <c r="E63" s="2592"/>
      <c r="F63" s="2592"/>
      <c r="G63" s="2592"/>
      <c r="H63" s="3139"/>
      <c r="I63" s="3139"/>
      <c r="J63" s="3139"/>
      <c r="K63" s="3153" t="str">
        <f>IF($R$4&gt;0,IF($K$12="No","No details required ",""),"")</f>
        <v/>
      </c>
      <c r="L63" s="3139"/>
      <c r="M63" s="3139"/>
      <c r="N63" s="3139"/>
      <c r="O63" s="3139"/>
      <c r="P63" s="3139"/>
    </row>
    <row r="64" spans="1:35" s="3140" customFormat="1" ht="3.75" customHeight="1" x14ac:dyDescent="0.2">
      <c r="A64" s="3139"/>
      <c r="B64" s="2592"/>
      <c r="C64" s="2592"/>
      <c r="D64" s="2592"/>
      <c r="E64" s="2592"/>
      <c r="F64" s="2592"/>
      <c r="G64" s="2592"/>
      <c r="H64" s="3139"/>
      <c r="I64" s="3139"/>
      <c r="J64" s="3139"/>
      <c r="K64" s="3139"/>
      <c r="L64" s="3139"/>
      <c r="M64" s="3139"/>
      <c r="N64" s="3139"/>
      <c r="O64" s="3139"/>
      <c r="P64" s="3139"/>
    </row>
    <row r="65" spans="1:22" s="3140" customFormat="1" ht="38.25" x14ac:dyDescent="0.2">
      <c r="A65" s="3139"/>
      <c r="B65" s="2592"/>
      <c r="C65" s="2600"/>
      <c r="D65" s="3221" t="s">
        <v>9188</v>
      </c>
      <c r="E65" s="3221" t="s">
        <v>3141</v>
      </c>
      <c r="F65" s="3202" t="s">
        <v>9189</v>
      </c>
      <c r="G65" s="3202" t="s">
        <v>9190</v>
      </c>
      <c r="H65" s="2592"/>
      <c r="I65" s="3139"/>
      <c r="J65" s="3139"/>
      <c r="K65" s="3139"/>
      <c r="L65" s="3139"/>
      <c r="M65" s="3139"/>
      <c r="N65" s="3139"/>
      <c r="O65" s="3139"/>
      <c r="P65" s="3139"/>
      <c r="U65" s="3140" t="s">
        <v>9191</v>
      </c>
      <c r="V65" s="3140" t="s">
        <v>9192</v>
      </c>
    </row>
    <row r="66" spans="1:22" s="3140" customFormat="1" ht="15" x14ac:dyDescent="0.25">
      <c r="A66" s="3139"/>
      <c r="B66" s="2592"/>
      <c r="C66" s="2592"/>
      <c r="D66" s="3222">
        <f>IF(K12="no","",reg)</f>
      </c>
      <c r="E66" s="3223" t="str">
        <f>IF(K12="no","",NM)</f>
      </c>
      <c r="F66" s="2601">
        <f>-I61</f>
      </c>
      <c r="G66" s="3224">
        <f>F56</f>
      </c>
      <c r="H66" s="3225" t="str">
        <f>IF(K63&lt;&gt;"","",IF(AND(F66&gt;0,G66&gt;0),"Cannot surrender and claim unused interest capacity at the same time!",""))</f>
        <v/>
      </c>
      <c r="I66" s="3139"/>
      <c r="J66" s="3139"/>
      <c r="K66" s="3139"/>
      <c r="L66" s="3139"/>
      <c r="M66" s="3139"/>
      <c r="N66" s="3139"/>
      <c r="O66" s="3139"/>
      <c r="P66" s="3139"/>
      <c r="U66" s="3140">
        <f>IF(F66&gt;0,1,0)</f>
      </c>
      <c r="V66" s="3140">
        <f>IF(G66&gt;0,1,0)</f>
      </c>
    </row>
    <row r="67" spans="1:22" x14ac:dyDescent="0.2">
      <c r="A67" s="3139"/>
      <c r="B67" s="2592"/>
      <c r="C67" s="3183"/>
      <c r="D67" s="3226"/>
      <c r="E67" s="3226"/>
      <c r="F67" s="3235"/>
      <c r="G67" s="3227"/>
      <c r="H67" s="3228" t="str">
        <f t="shared" ref="H67:H75" si="2">IF(AND($R$4&gt;0,$K$12="no",R67&gt;0),"Delete!",IF(AND(R67&gt;0,R67&lt;3),dat,IF(AND($U$66=1,F67&lt;&gt;""),"Delete!",IF(AND($V$66=1,G67&lt;&gt;""),"Delete!",""))))</f>
        <v/>
      </c>
      <c r="I67" s="3139"/>
      <c r="J67" s="3139"/>
      <c r="K67" s="3139"/>
      <c r="L67" s="3139"/>
      <c r="M67" s="3183"/>
      <c r="N67" s="3183"/>
      <c r="O67" s="3139"/>
      <c r="P67" s="3139"/>
      <c r="R67" s="3140">
        <f>COUNTA(D67:G67)</f>
      </c>
      <c r="S67" s="3140">
        <f>IF(H67&lt;&gt;"",1,0)</f>
      </c>
    </row>
    <row r="68" spans="1:22" x14ac:dyDescent="0.2">
      <c r="A68" s="2592"/>
      <c r="B68" s="2592"/>
      <c r="C68" s="3183"/>
      <c r="D68" s="3226"/>
      <c r="E68" s="3226"/>
      <c r="F68" s="3235"/>
      <c r="G68" s="3227"/>
      <c r="H68" s="3228" t="str">
        <f t="shared" si="2"/>
        <v/>
      </c>
      <c r="I68" s="3183"/>
      <c r="J68" s="3183"/>
      <c r="K68" s="3183"/>
      <c r="L68" s="3183"/>
      <c r="M68" s="3183"/>
      <c r="N68" s="3183"/>
      <c r="O68" s="3139"/>
      <c r="P68" s="3139"/>
      <c r="R68" s="3140">
        <f t="shared" ref="R68:R75" si="3">COUNTA(D68:G68)</f>
      </c>
      <c r="S68" s="3140">
        <f t="shared" ref="S68:S75" si="4">IF(H68&lt;&gt;"",1,0)</f>
      </c>
    </row>
    <row r="69" spans="1:22" x14ac:dyDescent="0.2">
      <c r="A69" s="2592"/>
      <c r="B69" s="2592"/>
      <c r="C69" s="3183"/>
      <c r="D69" s="3226"/>
      <c r="E69" s="3226"/>
      <c r="F69" s="3235"/>
      <c r="G69" s="3227"/>
      <c r="H69" s="3228" t="str">
        <f t="shared" si="2"/>
        <v/>
      </c>
      <c r="I69" s="3183"/>
      <c r="J69" s="3183"/>
      <c r="K69" s="3183"/>
      <c r="L69" s="3183"/>
      <c r="M69" s="3183"/>
      <c r="N69" s="3183"/>
      <c r="O69" s="3139"/>
      <c r="P69" s="3139"/>
      <c r="R69" s="3140">
        <f t="shared" si="3"/>
        <v>0</v>
      </c>
      <c r="S69" s="3140">
        <f t="shared" si="4"/>
        <v>0</v>
      </c>
    </row>
    <row r="70" spans="1:22" x14ac:dyDescent="0.2">
      <c r="A70" s="2592"/>
      <c r="B70" s="2592"/>
      <c r="C70" s="3183"/>
      <c r="D70" s="3226"/>
      <c r="E70" s="3226"/>
      <c r="F70" s="3235"/>
      <c r="G70" s="3227"/>
      <c r="H70" s="3228" t="str">
        <f t="shared" si="2"/>
        <v/>
      </c>
      <c r="I70" s="3183"/>
      <c r="J70" s="3183"/>
      <c r="K70" s="3183"/>
      <c r="L70" s="3183"/>
      <c r="M70" s="3183"/>
      <c r="N70" s="3183"/>
      <c r="O70" s="3139"/>
      <c r="P70" s="3139"/>
      <c r="R70" s="3140">
        <f t="shared" si="3"/>
        <v>0</v>
      </c>
      <c r="S70" s="3140">
        <f t="shared" si="4"/>
        <v>0</v>
      </c>
    </row>
    <row r="71" spans="1:22" x14ac:dyDescent="0.2">
      <c r="A71" s="2592"/>
      <c r="B71" s="2592"/>
      <c r="C71" s="3183"/>
      <c r="D71" s="3226"/>
      <c r="E71" s="3226"/>
      <c r="F71" s="3235"/>
      <c r="G71" s="3227"/>
      <c r="H71" s="3228" t="str">
        <f t="shared" si="2"/>
        <v/>
      </c>
      <c r="I71" s="3183"/>
      <c r="J71" s="3183"/>
      <c r="K71" s="3183"/>
      <c r="L71" s="3183"/>
      <c r="M71" s="3183"/>
      <c r="N71" s="3183"/>
      <c r="O71" s="3139"/>
      <c r="P71" s="3139"/>
      <c r="R71" s="3140">
        <f t="shared" si="3"/>
        <v>0</v>
      </c>
      <c r="S71" s="3140">
        <f t="shared" si="4"/>
        <v>0</v>
      </c>
    </row>
    <row r="72" spans="1:22" x14ac:dyDescent="0.2">
      <c r="A72" s="2592"/>
      <c r="B72" s="2592"/>
      <c r="C72" s="3183"/>
      <c r="D72" s="3226"/>
      <c r="E72" s="3226"/>
      <c r="F72" s="3235"/>
      <c r="G72" s="3227"/>
      <c r="H72" s="3228" t="str">
        <f t="shared" si="2"/>
        <v/>
      </c>
      <c r="I72" s="3183"/>
      <c r="J72" s="3183"/>
      <c r="K72" s="3183"/>
      <c r="L72" s="3183"/>
      <c r="M72" s="3183"/>
      <c r="N72" s="3183"/>
      <c r="O72" s="3139"/>
      <c r="P72" s="3139"/>
      <c r="R72" s="3140">
        <f t="shared" si="3"/>
        <v>0</v>
      </c>
      <c r="S72" s="3140">
        <f t="shared" si="4"/>
        <v>0</v>
      </c>
    </row>
    <row r="73" spans="1:22" x14ac:dyDescent="0.2">
      <c r="A73" s="2592"/>
      <c r="B73" s="2592"/>
      <c r="C73" s="3183"/>
      <c r="D73" s="3226"/>
      <c r="E73" s="3226"/>
      <c r="F73" s="3235"/>
      <c r="G73" s="3227"/>
      <c r="H73" s="3228" t="str">
        <f t="shared" si="2"/>
        <v/>
      </c>
      <c r="I73" s="3183"/>
      <c r="J73" s="3183"/>
      <c r="K73" s="3183"/>
      <c r="L73" s="3183"/>
      <c r="M73" s="3183"/>
      <c r="N73" s="3183"/>
      <c r="O73" s="3139"/>
      <c r="P73" s="3139"/>
      <c r="R73" s="3140">
        <f t="shared" si="3"/>
        <v>0</v>
      </c>
      <c r="S73" s="3140">
        <f t="shared" si="4"/>
        <v>0</v>
      </c>
    </row>
    <row r="74" spans="1:22" x14ac:dyDescent="0.2">
      <c r="A74" s="2592"/>
      <c r="B74" s="2592"/>
      <c r="C74" s="3183"/>
      <c r="D74" s="3226"/>
      <c r="E74" s="3226"/>
      <c r="F74" s="3235"/>
      <c r="G74" s="3227"/>
      <c r="H74" s="3228" t="str">
        <f t="shared" si="2"/>
        <v/>
      </c>
      <c r="I74" s="3183"/>
      <c r="J74" s="3183"/>
      <c r="K74" s="3183"/>
      <c r="L74" s="3183"/>
      <c r="M74" s="3183"/>
      <c r="N74" s="3183"/>
      <c r="O74" s="3139"/>
      <c r="P74" s="3139"/>
      <c r="R74" s="3140">
        <f t="shared" si="3"/>
        <v>0</v>
      </c>
      <c r="S74" s="3140">
        <f t="shared" si="4"/>
        <v>0</v>
      </c>
    </row>
    <row r="75" spans="1:22" x14ac:dyDescent="0.2">
      <c r="A75" s="2592"/>
      <c r="B75" s="2592"/>
      <c r="C75" s="3183"/>
      <c r="D75" s="3226"/>
      <c r="E75" s="3226"/>
      <c r="F75" s="3235"/>
      <c r="G75" s="3227"/>
      <c r="H75" s="3228" t="str">
        <f t="shared" si="2"/>
        <v/>
      </c>
      <c r="I75" s="3183"/>
      <c r="J75" s="3183"/>
      <c r="K75" s="3183"/>
      <c r="L75" s="3183"/>
      <c r="M75" s="3183"/>
      <c r="N75" s="3183"/>
      <c r="O75" s="3139"/>
      <c r="P75" s="3139"/>
      <c r="R75" s="3140">
        <f t="shared" si="3"/>
        <v>0</v>
      </c>
      <c r="S75" s="3140">
        <f t="shared" si="4"/>
        <v>0</v>
      </c>
    </row>
    <row r="76" spans="1:22" x14ac:dyDescent="0.2">
      <c r="A76" s="2592"/>
      <c r="B76" s="2592"/>
      <c r="C76" s="3183"/>
      <c r="D76" s="3183"/>
      <c r="E76" s="3183"/>
      <c r="F76" s="3229">
        <f>SUM(F66:F75)</f>
      </c>
      <c r="G76" s="3229">
        <f>SUM(G66:G75)</f>
      </c>
      <c r="H76" s="3228" t="str">
        <f>IF(F76&lt;&gt;G76,"Amount surrendered does not tally with amount claimed by group companies","")</f>
        <v/>
      </c>
      <c r="I76" s="3183"/>
      <c r="J76" s="3183"/>
      <c r="K76" s="3183"/>
      <c r="L76" s="3183"/>
      <c r="M76" s="3183"/>
      <c r="N76" s="3183"/>
      <c r="O76" s="3139"/>
      <c r="P76" s="3139"/>
    </row>
    <row r="77" spans="1:22" x14ac:dyDescent="0.2">
      <c r="A77" s="2592"/>
      <c r="B77" s="3183"/>
      <c r="C77" s="3183"/>
      <c r="D77" s="3183"/>
      <c r="E77" s="3183"/>
      <c r="F77" s="3183"/>
      <c r="G77" s="3183"/>
      <c r="H77" s="3183"/>
      <c r="I77" s="3183"/>
      <c r="J77" s="3183"/>
      <c r="K77" s="3183"/>
      <c r="L77" s="3183"/>
      <c r="M77" s="3183"/>
      <c r="N77" s="3183"/>
      <c r="O77" s="3139"/>
      <c r="P77" s="3139"/>
    </row>
    <row r="78" spans="1:22" x14ac:dyDescent="0.2">
      <c r="A78" s="2592"/>
      <c r="B78" s="3143" t="s">
        <v>10163</v>
      </c>
      <c r="C78" s="3143"/>
      <c r="D78" s="3143"/>
      <c r="E78" s="3143"/>
      <c r="F78" s="3143"/>
      <c r="G78" s="3143"/>
      <c r="H78" s="2592"/>
      <c r="I78" s="3183"/>
      <c r="J78" s="3230" t="str">
        <f>IF($R$4&gt;0,IF($K$12="No","No details required ",""),"")</f>
        <v/>
      </c>
      <c r="K78" s="3183"/>
      <c r="L78" s="3183"/>
      <c r="M78" s="3183"/>
      <c r="N78" s="3183"/>
      <c r="O78" s="3139"/>
      <c r="P78" s="3139"/>
    </row>
    <row r="79" spans="1:22" s="3140" customFormat="1" ht="3.75" customHeight="1" x14ac:dyDescent="0.2">
      <c r="A79" s="3139"/>
      <c r="B79" s="2592"/>
      <c r="C79" s="2592"/>
      <c r="D79" s="2592"/>
      <c r="E79" s="2592"/>
      <c r="F79" s="2592"/>
      <c r="G79" s="2592"/>
      <c r="H79" s="3139"/>
      <c r="I79" s="3139"/>
      <c r="J79" s="3139"/>
      <c r="K79" s="3139"/>
      <c r="L79" s="3139"/>
      <c r="M79" s="3139"/>
      <c r="N79" s="3139"/>
      <c r="O79" s="3139"/>
      <c r="P79" s="3139"/>
    </row>
    <row r="80" spans="1:22" ht="67.5" customHeight="1" x14ac:dyDescent="0.2">
      <c r="A80" s="2592"/>
      <c r="B80" s="2592"/>
      <c r="C80" s="2592"/>
      <c r="D80" s="3221" t="s">
        <v>9188</v>
      </c>
      <c r="E80" s="3221" t="s">
        <v>3141</v>
      </c>
      <c r="F80" s="3202" t="s">
        <v>10165</v>
      </c>
      <c r="G80" s="3472" t="str">
        <f>IF(Y1&lt;&gt;Z1,"  For currencies other than € please ensure that the equivalent thresholds are not exceeded","")</f>
        <v/>
      </c>
      <c r="H80" s="3183"/>
      <c r="I80" s="3183"/>
      <c r="J80" s="3183"/>
      <c r="K80" s="3183"/>
      <c r="L80" s="3183"/>
      <c r="M80" s="3183"/>
      <c r="N80" s="3183"/>
      <c r="O80" s="3139"/>
      <c r="P80" s="3139"/>
    </row>
    <row r="81" spans="1:21" x14ac:dyDescent="0.2">
      <c r="A81" s="2592"/>
      <c r="B81" s="2592"/>
      <c r="C81" s="2592"/>
      <c r="D81" s="3222" t="str">
        <f>IF(OR(K12="",K12="no"),"",reg)</f>
        <v/>
      </c>
      <c r="E81" s="3223" t="str">
        <f>IF(OR(K12="",K12="no"),"",NM)</f>
        <v/>
      </c>
      <c r="F81" s="3234"/>
      <c r="G81" s="3228" t="str">
        <f>IF(AND($R$4&gt;0,$K$12="no",R81&gt;0),"Delete!",IF(AND(R4&gt;0,$K$12="yes",R81&lt;1),re,IF(F81&gt;M51,"Excessive!","")))</f>
        <v/>
      </c>
      <c r="H81" s="3183"/>
      <c r="I81" s="3183"/>
      <c r="J81" s="3183"/>
      <c r="K81" s="3183"/>
      <c r="L81" s="3183"/>
      <c r="M81" s="3183"/>
      <c r="N81" s="3183"/>
      <c r="O81" s="3139"/>
      <c r="P81" s="3139"/>
      <c r="R81" s="3140">
        <f>COUNTA(F81)</f>
      </c>
      <c r="S81" s="3140">
        <f>IF(G81&lt;&gt;"",1,0)</f>
      </c>
    </row>
    <row r="82" spans="1:21" x14ac:dyDescent="0.2">
      <c r="A82" s="2592"/>
      <c r="B82" s="2592"/>
      <c r="C82" s="2592"/>
      <c r="D82" s="3226"/>
      <c r="E82" s="3226"/>
      <c r="F82" s="3234"/>
      <c r="G82" s="3228" t="str">
        <f>IF(AND($R$4&gt;0,$K$12="no",R82&gt;0),"Delete!",IF(AND(K12="yes",R4&gt;0,R82=0),re,IF(AND(R82&gt;0,R82&lt;3),dat,"")))</f>
        <v/>
      </c>
      <c r="H82" s="3183"/>
      <c r="I82" s="3183"/>
      <c r="J82" s="3183"/>
      <c r="K82" s="3183"/>
      <c r="L82" s="3183"/>
      <c r="M82" s="3183"/>
      <c r="N82" s="3183"/>
      <c r="O82" s="3139"/>
      <c r="P82" s="3139"/>
      <c r="R82" s="3140">
        <f>COUNTA(D82:F82)</f>
      </c>
      <c r="S82" s="3140">
        <f>IF(G82&lt;&gt;"",1,0)</f>
      </c>
    </row>
    <row r="83" spans="1:21" x14ac:dyDescent="0.2">
      <c r="A83" s="2592"/>
      <c r="B83" s="2592"/>
      <c r="C83" s="2592"/>
      <c r="D83" s="3226"/>
      <c r="E83" s="3226"/>
      <c r="F83" s="3234"/>
      <c r="G83" s="3228" t="str">
        <f>IF(AND($R$4&gt;0,$K$12="no",R83&gt;0),"Delete!",IF(AND(R83&gt;0,R83&lt;3),dat,""))</f>
        <v/>
      </c>
      <c r="H83" s="3183"/>
      <c r="I83" s="3183"/>
      <c r="J83" s="3183"/>
      <c r="K83" s="3183"/>
      <c r="L83" s="3183"/>
      <c r="M83" s="3183"/>
      <c r="N83" s="3183"/>
      <c r="O83" s="3139"/>
      <c r="P83" s="3139"/>
      <c r="R83" s="3140">
        <f t="shared" ref="R83:R90" si="5">COUNTA(D83:F83)</f>
      </c>
      <c r="S83" s="3140">
        <f t="shared" ref="S83:S90" si="6">IF(G83&lt;&gt;"",1,0)</f>
      </c>
    </row>
    <row r="84" spans="1:21" x14ac:dyDescent="0.2">
      <c r="A84" s="2592"/>
      <c r="B84" s="2592"/>
      <c r="C84" s="2592"/>
      <c r="D84" s="3226"/>
      <c r="E84" s="3226"/>
      <c r="F84" s="3234"/>
      <c r="G84" s="3228" t="str">
        <f>IF(AND($R$4&gt;0,$K$12="no",R84&gt;0),"Delete!",IF(AND(R84&gt;0,R84&lt;3),dat,""))</f>
        <v/>
      </c>
      <c r="H84" s="3183"/>
      <c r="I84" s="3183"/>
      <c r="J84" s="3183"/>
      <c r="K84" s="3183"/>
      <c r="L84" s="3183"/>
      <c r="M84" s="3183"/>
      <c r="N84" s="3183"/>
      <c r="O84" s="3139"/>
      <c r="P84" s="3139"/>
      <c r="R84" s="3140">
        <f t="shared" si="5"/>
        <v>0</v>
      </c>
      <c r="S84" s="3140">
        <f t="shared" si="6"/>
        <v>0</v>
      </c>
    </row>
    <row r="85" spans="1:21" x14ac:dyDescent="0.2">
      <c r="A85" s="2592"/>
      <c r="B85" s="2592"/>
      <c r="C85" s="2592"/>
      <c r="D85" s="3226"/>
      <c r="E85" s="3226"/>
      <c r="F85" s="3234"/>
      <c r="G85" s="3228" t="str">
        <f>IF(AND($R$4&gt;0,$K$12="no",R85&gt;0),"Delete!",IF(AND(R85&gt;0,R85&lt;3),dat,""))</f>
        <v/>
      </c>
      <c r="H85" s="3183"/>
      <c r="I85" s="3183"/>
      <c r="J85" s="3183"/>
      <c r="K85" s="3183"/>
      <c r="L85" s="3183"/>
      <c r="M85" s="3183"/>
      <c r="N85" s="3183"/>
      <c r="O85" s="3139"/>
      <c r="P85" s="3139"/>
      <c r="R85" s="3140">
        <f t="shared" si="5"/>
        <v>0</v>
      </c>
      <c r="S85" s="3140">
        <f t="shared" si="6"/>
        <v>0</v>
      </c>
    </row>
    <row r="86" spans="1:21" x14ac:dyDescent="0.2">
      <c r="A86" s="2592"/>
      <c r="B86" s="2592"/>
      <c r="C86" s="2592"/>
      <c r="D86" s="3226"/>
      <c r="E86" s="3226"/>
      <c r="F86" s="3234"/>
      <c r="G86" s="3228" t="str">
        <f>IF(AND($R$4&gt;0,$K$12="no",R86&gt;0),"Delete!",IF(AND(R86&gt;0,R86&lt;3),dat,""))</f>
        <v/>
      </c>
      <c r="H86" s="3183"/>
      <c r="I86" s="3183"/>
      <c r="J86" s="3183"/>
      <c r="K86" s="3183"/>
      <c r="L86" s="3183"/>
      <c r="M86" s="3183"/>
      <c r="N86" s="3183"/>
      <c r="O86" s="3139"/>
      <c r="P86" s="3139"/>
      <c r="R86" s="3140">
        <f t="shared" si="5"/>
        <v>0</v>
      </c>
      <c r="S86" s="3140">
        <f t="shared" si="6"/>
        <v>0</v>
      </c>
    </row>
    <row r="87" spans="1:21" x14ac:dyDescent="0.2">
      <c r="A87" s="2592"/>
      <c r="B87" s="2592"/>
      <c r="C87" s="2592"/>
      <c r="D87" s="3226"/>
      <c r="E87" s="3226"/>
      <c r="F87" s="3234"/>
      <c r="G87" s="3228" t="str">
        <f>IF(AND($R$4&gt;0,$L$12="no",R87&gt;0),"Delete!",IF(AND(R87&gt;0,R87&lt;3),dat,""))</f>
        <v/>
      </c>
      <c r="H87" s="3183"/>
      <c r="I87" s="3183"/>
      <c r="J87" s="3183"/>
      <c r="K87" s="3183"/>
      <c r="L87" s="3183"/>
      <c r="M87" s="3183"/>
      <c r="N87" s="3183"/>
      <c r="O87" s="3139"/>
      <c r="P87" s="3139"/>
      <c r="R87" s="3140">
        <f t="shared" si="5"/>
        <v>0</v>
      </c>
      <c r="S87" s="3140">
        <f t="shared" si="6"/>
        <v>0</v>
      </c>
    </row>
    <row r="88" spans="1:21" x14ac:dyDescent="0.2">
      <c r="A88" s="2592"/>
      <c r="B88" s="2592"/>
      <c r="C88" s="2592"/>
      <c r="D88" s="3226"/>
      <c r="E88" s="3226"/>
      <c r="F88" s="3234"/>
      <c r="G88" s="3228" t="str">
        <f>IF(AND($R$4&gt;0,$L$12="no",R88&gt;0),"Delete!",IF(AND(R88&gt;0,R88&lt;3),dat,""))</f>
        <v/>
      </c>
      <c r="H88" s="3183"/>
      <c r="I88" s="3183"/>
      <c r="J88" s="3183"/>
      <c r="K88" s="3183"/>
      <c r="L88" s="3183"/>
      <c r="M88" s="3183"/>
      <c r="N88" s="3183"/>
      <c r="O88" s="3139"/>
      <c r="P88" s="3139"/>
      <c r="R88" s="3140">
        <f t="shared" si="5"/>
        <v>0</v>
      </c>
      <c r="S88" s="3140">
        <f t="shared" si="6"/>
        <v>0</v>
      </c>
    </row>
    <row r="89" spans="1:21" x14ac:dyDescent="0.2">
      <c r="A89" s="2592"/>
      <c r="B89" s="2592"/>
      <c r="C89" s="2592"/>
      <c r="D89" s="3226"/>
      <c r="E89" s="3226"/>
      <c r="F89" s="3234"/>
      <c r="G89" s="3228" t="str">
        <f>IF(AND($R$4&gt;0,$L$12="no",R89&gt;0),"Delete!",IF(AND(R89&gt;0,R89&lt;3),dat,""))</f>
        <v/>
      </c>
      <c r="H89" s="3183"/>
      <c r="I89" s="3183"/>
      <c r="J89" s="3183"/>
      <c r="K89" s="3183"/>
      <c r="L89" s="3183"/>
      <c r="M89" s="3183"/>
      <c r="N89" s="3183"/>
      <c r="O89" s="3139"/>
      <c r="P89" s="3139"/>
      <c r="R89" s="3140">
        <f t="shared" si="5"/>
        <v>0</v>
      </c>
      <c r="S89" s="3140">
        <f t="shared" si="6"/>
        <v>0</v>
      </c>
    </row>
    <row r="90" spans="1:21" x14ac:dyDescent="0.2">
      <c r="A90" s="2592"/>
      <c r="B90" s="2592"/>
      <c r="C90" s="2592"/>
      <c r="D90" s="3226"/>
      <c r="E90" s="3226"/>
      <c r="F90" s="3234"/>
      <c r="G90" s="3228" t="str">
        <f>IF(AND($R$4&gt;0,$L$12="no",R90&gt;0),"Delete!",IF(AND(R90&gt;0,R90&lt;3),dat,""))</f>
        <v/>
      </c>
      <c r="H90" s="3183"/>
      <c r="I90" s="3183"/>
      <c r="J90" s="3183"/>
      <c r="K90" s="3183"/>
      <c r="L90" s="3183"/>
      <c r="M90" s="3183"/>
      <c r="N90" s="3183"/>
      <c r="O90" s="3139"/>
      <c r="P90" s="3139"/>
      <c r="R90" s="3140">
        <f t="shared" si="5"/>
        <v>0</v>
      </c>
      <c r="S90" s="3140">
        <f t="shared" si="6"/>
        <v>0</v>
      </c>
    </row>
    <row r="91" spans="1:21" x14ac:dyDescent="0.2">
      <c r="A91" s="2592"/>
      <c r="B91" s="2592"/>
      <c r="C91" s="2592"/>
      <c r="D91" s="3183"/>
      <c r="E91" s="3183"/>
      <c r="F91" s="3231">
        <f>SUM(F81:F90)</f>
      </c>
      <c r="G91" s="3232" t="str">
        <f>IF(AND(Y1=Z1,F91&gt;3000000),"Cannot exceed €3,000,000!","")</f>
        <v/>
      </c>
      <c r="H91" s="3183"/>
      <c r="I91" s="3183"/>
      <c r="J91" s="3183"/>
      <c r="K91" s="3183"/>
      <c r="L91" s="3183"/>
      <c r="M91" s="3183"/>
      <c r="N91" s="3183"/>
      <c r="O91" s="3139"/>
      <c r="P91" s="3139"/>
    </row>
    <row r="92" spans="1:21" x14ac:dyDescent="0.2">
      <c r="A92" s="2592"/>
      <c r="B92" s="2592"/>
      <c r="C92" s="2592"/>
      <c r="D92" s="3183"/>
      <c r="E92" s="3183"/>
      <c r="F92" s="3183"/>
      <c r="G92" s="3183"/>
      <c r="H92" s="3183"/>
      <c r="I92" s="3183"/>
      <c r="J92" s="3183"/>
      <c r="K92" s="3183"/>
      <c r="L92" s="3183"/>
      <c r="M92" s="3183"/>
      <c r="N92" s="3183"/>
      <c r="O92" s="3139"/>
      <c r="P92" s="3139"/>
    </row>
    <row r="93" spans="1:21" x14ac:dyDescent="0.2">
      <c r="A93" s="2592"/>
      <c r="B93" s="3183"/>
      <c r="C93" s="3183"/>
      <c r="D93" s="3183"/>
      <c r="E93" s="3183"/>
      <c r="F93" s="3183"/>
      <c r="G93" s="2261" t="s">
        <v>4802</v>
      </c>
      <c r="H93" s="1942"/>
      <c r="I93" s="1038"/>
      <c r="J93" s="2259" t="str">
        <f>IF(AND(I93="",K11="yes"),re,IF(R4=0,"",IF(I93="",re,"")))</f>
        <v/>
      </c>
      <c r="K93" s="2259"/>
      <c r="L93" s="1942"/>
      <c r="M93" s="1942"/>
      <c r="N93" s="3183"/>
      <c r="O93" s="3139"/>
      <c r="P93" s="3139"/>
      <c r="R93" s="1960">
        <f>IF(I93&lt;&gt;"",1,0)</f>
      </c>
      <c r="S93" s="3140">
        <f>IF(J93&lt;&gt;"",1,0)</f>
      </c>
      <c r="T93" s="3123"/>
      <c r="U93" s="1960" t="str">
        <f>IF(I93="yes","Y","n")</f>
      </c>
    </row>
    <row r="94" spans="1:21" x14ac:dyDescent="0.2">
      <c r="A94" s="2592"/>
      <c r="B94" s="3183"/>
      <c r="C94" s="3183"/>
      <c r="D94" s="3183"/>
      <c r="E94" s="3183"/>
      <c r="F94" s="3183"/>
      <c r="G94" s="3183"/>
      <c r="H94" s="3183"/>
      <c r="I94" s="3183"/>
      <c r="J94" s="3183"/>
      <c r="K94" s="3183"/>
      <c r="L94" s="3183"/>
      <c r="M94" s="3183"/>
      <c r="N94" s="3183"/>
      <c r="O94" s="3139"/>
      <c r="P94" s="3139"/>
    </row>
    <row r="95" spans="1:21" x14ac:dyDescent="0.2">
      <c r="A95" s="2592"/>
      <c r="B95" s="3183"/>
      <c r="C95" s="3183"/>
      <c r="D95" s="3183"/>
      <c r="E95" s="3183"/>
      <c r="F95" s="3183"/>
      <c r="G95" s="3183"/>
      <c r="H95" s="3183"/>
      <c r="I95" s="3183"/>
      <c r="J95" s="3183"/>
      <c r="K95" s="3183"/>
      <c r="L95" s="3183"/>
      <c r="M95" s="3183"/>
      <c r="N95" s="3183"/>
      <c r="O95" s="3139"/>
      <c r="P95" s="3139"/>
    </row>
    <row r="96" spans="1:21" x14ac:dyDescent="0.2">
      <c r="A96" s="2592"/>
      <c r="B96" s="3183" t="s">
        <v>10574</v>
      </c>
      <c r="C96" s="3183"/>
      <c r="D96" s="3183"/>
      <c r="E96" s="3183"/>
      <c r="F96" s="3183"/>
      <c r="G96" s="3183" t="str">
        <f>ver</f>
        <v>TA2_e-CO_2025_Ver 1.1</v>
      </c>
      <c r="H96" s="3183"/>
      <c r="I96" s="3183"/>
      <c r="J96" s="3183"/>
      <c r="K96" s="3183"/>
      <c r="L96" s="3183"/>
      <c r="M96" s="3183"/>
      <c r="N96" s="3183" t="s">
        <v>9193</v>
      </c>
      <c r="O96" s="3139"/>
      <c r="P96" s="3139"/>
      <c r="R96" s="3123">
        <f>IF(AND(K11="yes",S4=0,U93="y"),1,IF(AND(K11="yes",S4&gt;0,OR(U93="n",I93="")),100,IF(AND(S1=1,OR(K11="",K11="no"),R4=0),100,IF(AND(R11=0,R4=0),0,IF(S4&lt;&gt;0,100,IF(U93="Y",1,100))))))</f>
      </c>
    </row>
    <row r="97" spans="1:16" x14ac:dyDescent="0.2">
      <c r="A97" s="2592"/>
      <c r="B97" s="3183"/>
      <c r="C97" s="3183"/>
      <c r="D97" s="3183"/>
      <c r="E97" s="3183"/>
      <c r="F97" s="3183"/>
      <c r="G97" s="3183"/>
      <c r="H97" s="3183"/>
      <c r="I97" s="3183"/>
      <c r="J97" s="3183"/>
      <c r="K97" s="3183"/>
      <c r="L97" s="3183"/>
      <c r="M97" s="3183"/>
      <c r="N97" s="3183"/>
      <c r="O97" s="3139"/>
      <c r="P97" s="3139"/>
    </row>
    <row r="98" spans="1:16" x14ac:dyDescent="0.2">
      <c r="A98" s="2592"/>
      <c r="B98" s="3233" t="s">
        <v>6290</v>
      </c>
      <c r="C98" s="3183"/>
      <c r="D98" s="3183"/>
      <c r="E98" s="3183"/>
      <c r="F98" s="3183"/>
      <c r="G98" s="3183"/>
      <c r="H98" s="3183"/>
      <c r="I98" s="3183"/>
      <c r="J98" s="3183"/>
      <c r="K98" s="3183"/>
      <c r="L98" s="3183"/>
      <c r="M98" s="3183"/>
      <c r="N98" s="3183"/>
      <c r="O98" s="3139"/>
      <c r="P98" s="3139"/>
    </row>
    <row r="99" spans="1:16" hidden="1" x14ac:dyDescent="0.2">
      <c r="B99" s="3184"/>
      <c r="C99" s="3184"/>
      <c r="D99" s="3184"/>
      <c r="E99" s="3184"/>
      <c r="F99" s="3184"/>
      <c r="G99" s="3184"/>
      <c r="H99" s="3184"/>
      <c r="I99" s="3184"/>
      <c r="J99" s="3184"/>
      <c r="K99" s="3184"/>
      <c r="L99" s="3184"/>
      <c r="M99" s="3184"/>
      <c r="N99" s="3184"/>
      <c r="O99" s="3184"/>
      <c r="P99" s="3184"/>
    </row>
  </sheetData>
  <sheetProtection algorithmName="SHA-512" hashValue="Od6Ml6RDCN1B++urTpvabggKzbqCuWV45d7SljOu+mvrUMxltvW3Hsm8NmV3UPEY5uFDnQFTqztkdL6Nh7QbDw==" saltValue="DAx2GnUUOf0pRjaq9u3iCg==" spinCount="100000" sheet="1" objects="1" scenarios="1"/>
  <mergeCells count="3">
    <mergeCell ref="C42:G42"/>
    <mergeCell ref="C51:G51"/>
    <mergeCell ref="X51:AB51"/>
  </mergeCells>
  <conditionalFormatting sqref="C57:F57 H57:I57">
    <cfRule type="expression" dxfId="220" priority="27">
      <formula>$Y$57=0</formula>
    </cfRule>
  </conditionalFormatting>
  <conditionalFormatting sqref="C58:F58 H58">
    <cfRule type="expression" dxfId="219" priority="26">
      <formula>$Y$58=0</formula>
    </cfRule>
  </conditionalFormatting>
  <conditionalFormatting sqref="C59:F59 H59:I59">
    <cfRule type="expression" dxfId="218" priority="25">
      <formula>$Y$59=0</formula>
    </cfRule>
  </conditionalFormatting>
  <conditionalFormatting sqref="C60:F60 H60:I60">
    <cfRule type="expression" dxfId="217" priority="24">
      <formula>$Y$60=0</formula>
    </cfRule>
  </conditionalFormatting>
  <conditionalFormatting sqref="E22:F23">
    <cfRule type="expression" dxfId="216" priority="10">
      <formula>$U$22=1</formula>
    </cfRule>
  </conditionalFormatting>
  <conditionalFormatting sqref="F57">
    <cfRule type="expression" dxfId="215" priority="15">
      <formula>$Z$57=1</formula>
    </cfRule>
  </conditionalFormatting>
  <conditionalFormatting sqref="F58">
    <cfRule type="expression" dxfId="214" priority="14">
      <formula>$Z$58=1</formula>
    </cfRule>
  </conditionalFormatting>
  <conditionalFormatting sqref="F59">
    <cfRule type="expression" dxfId="213" priority="13">
      <formula>$Z$59=1</formula>
    </cfRule>
  </conditionalFormatting>
  <conditionalFormatting sqref="F60">
    <cfRule type="expression" dxfId="212" priority="12">
      <formula>$Z$60=1</formula>
    </cfRule>
  </conditionalFormatting>
  <conditionalFormatting sqref="F67:F75">
    <cfRule type="expression" dxfId="211" priority="7">
      <formula>$U$66=1</formula>
    </cfRule>
  </conditionalFormatting>
  <conditionalFormatting sqref="G67:G75">
    <cfRule type="expression" dxfId="210" priority="8">
      <formula>$V$66=1</formula>
    </cfRule>
  </conditionalFormatting>
  <conditionalFormatting sqref="H43:H50">
    <cfRule type="expression" dxfId="209" priority="22">
      <formula>$U$1=2020</formula>
    </cfRule>
  </conditionalFormatting>
  <conditionalFormatting sqref="I58">
    <cfRule type="expression" dxfId="208" priority="23">
      <formula>$Y$58=0</formula>
    </cfRule>
  </conditionalFormatting>
  <conditionalFormatting sqref="I60">
    <cfRule type="expression" dxfId="207" priority="1">
      <formula>"Z60=1"</formula>
    </cfRule>
  </conditionalFormatting>
  <conditionalFormatting sqref="J44">
    <cfRule type="expression" dxfId="206" priority="21">
      <formula>$J$44&lt;&gt;""</formula>
    </cfRule>
  </conditionalFormatting>
  <conditionalFormatting sqref="J46">
    <cfRule type="expression" dxfId="205" priority="20">
      <formula>$J$46&lt;&gt;""</formula>
    </cfRule>
  </conditionalFormatting>
  <conditionalFormatting sqref="J47">
    <cfRule type="expression" dxfId="204" priority="19">
      <formula>$J$47&lt;&gt;""</formula>
    </cfRule>
  </conditionalFormatting>
  <conditionalFormatting sqref="J48">
    <cfRule type="expression" dxfId="203" priority="18">
      <formula>$J$48&lt;&gt;""</formula>
    </cfRule>
  </conditionalFormatting>
  <conditionalFormatting sqref="J49">
    <cfRule type="expression" dxfId="202" priority="17">
      <formula>$J$49&lt;&gt;""</formula>
    </cfRule>
  </conditionalFormatting>
  <conditionalFormatting sqref="L37">
    <cfRule type="expression" dxfId="201" priority="6">
      <formula>$W$37=1</formula>
    </cfRule>
  </conditionalFormatting>
  <dataValidations count="33">
    <dataValidation type="whole" operator="greaterThanOrEqual" allowBlank="1" showInputMessage="1" showErrorMessage="1" errorTitle="Surrender of interest capacity" error="Amount must be a whole negative number or 0" sqref="H56" xr:uid="{00000000-0002-0000-6300-000000000000}">
      <formula1>0</formula1>
    </dataValidation>
    <dataValidation type="whole" operator="greaterThanOrEqual" allowBlank="1" showInputMessage="1" showErrorMessage="1" errorTitle="Allocation" error="Amount must be whole positive number less than EBC!" sqref="L43" xr:uid="{00000000-0002-0000-6300-000001000000}">
      <formula1>0</formula1>
    </dataValidation>
    <dataValidation type="whole" operator="greaterThanOrEqual" allowBlank="1" showInputMessage="1" showErrorMessage="1" errorTitle="EBC c/fwd" error="Amount must be whole positive number greater than 0!" sqref="N43:N50" xr:uid="{00000000-0002-0000-6300-000002000000}">
      <formula1>0</formula1>
    </dataValidation>
    <dataValidation type="whole" operator="greaterThanOrEqual" allowBlank="1" showInputMessage="1" showErrorMessage="1" errorTitle="Allocation" error="Amount must be whole positive number greater than 0!" sqref="L44:L50" xr:uid="{00000000-0002-0000-6300-000003000000}">
      <formula1>0</formula1>
    </dataValidation>
    <dataValidation type="whole" operator="lessThanOrEqual" allowBlank="1" showInputMessage="1" showErrorMessage="1" errorTitle="Utilised unused interest cap." error="Enter a negative whole number or 0" sqref="E57:E60" xr:uid="{00000000-0002-0000-6300-000004000000}">
      <formula1>0</formula1>
    </dataValidation>
    <dataValidation type="list" allowBlank="1" showInputMessage="1" showErrorMessage="1" sqref="L20 K6 K11:K12 L15:L16" xr:uid="{00000000-0002-0000-6300-000005000000}">
      <formula1>$AB$2:$AB$4</formula1>
    </dataValidation>
    <dataValidation type="whole" operator="notEqual" allowBlank="1" showInputMessage="1" showErrorMessage="1" errorTitle="Equity" error="Amount must be a whole number greater than 0!!" sqref="F22" xr:uid="{00000000-0002-0000-6300-000006000000}">
      <formula1>0</formula1>
    </dataValidation>
    <dataValidation type="whole" operator="greaterThan" allowBlank="1" showInputMessage="1" showErrorMessage="1" errorTitle="Total Assets" error="Total assets must be a whole number greater than 0!" sqref="E23:F23" xr:uid="{00000000-0002-0000-6300-000007000000}">
      <formula1>0</formula1>
    </dataValidation>
    <dataValidation type="whole" operator="notEqual" allowBlank="1" showInputMessage="1" showErrorMessage="1" errorTitle="Equity" error="Amount must be a whole number greater than 0!" sqref="E22" xr:uid="{00000000-0002-0000-6300-000008000000}">
      <formula1>0</formula1>
    </dataValidation>
    <dataValidation operator="greaterThan" allowBlank="1" showInputMessage="1" showErrorMessage="1" errorTitle="Income subject to tax" error="Figure must be a whole positive number greater than or equal to 0!" sqref="L27" xr:uid="{00000000-0002-0000-6300-000009000000}"/>
    <dataValidation type="whole" operator="greaterThanOrEqual" allowBlank="1" showInputMessage="1" showErrorMessage="1" errorTitle="Tax-adjusted EBC" error="Figure must be a whole positive number greater than or equal to 0!" sqref="L28" xr:uid="{00000000-0002-0000-6300-00000A000000}">
      <formula1>0</formula1>
    </dataValidation>
    <dataValidation type="whole" operator="greaterThanOrEqual" allowBlank="1" showInputMessage="1" showErrorMessage="1" errorTitle="Tax-adjusted depreciation" error="Figure must be a whole positive number greater than or equal to 0!" sqref="L29" xr:uid="{00000000-0002-0000-6300-00000B000000}">
      <formula1>0</formula1>
    </dataValidation>
    <dataValidation type="whole" operator="greaterThanOrEqual" allowBlank="1" showInputMessage="1" showErrorMessage="1" errorTitle="Tax-adjusted amortisation" error="Figure must be a whole positive number greater than or equal to 0!" sqref="L30" xr:uid="{00000000-0002-0000-6300-00000C000000}">
      <formula1>0</formula1>
    </dataValidation>
    <dataValidation type="whole" operator="greaterThanOrEqual" allowBlank="1" showInputMessage="1" showErrorMessage="1" errorTitle="Unused interest capacity" error="Figure must be a whole positive number! greater than or equal to 0" sqref="K35" xr:uid="{00000000-0002-0000-6300-00000D000000}">
      <formula1>0</formula1>
    </dataValidation>
    <dataValidation type="whole" operator="greaterThanOrEqual" allowBlank="1" showInputMessage="1" showErrorMessage="1" errorTitle="EBC b/fwd" error="Input a positive whole number!" sqref="AC43:AC50 H43:H50" xr:uid="{00000000-0002-0000-6300-00000E000000}">
      <formula1>0</formula1>
    </dataValidation>
    <dataValidation type="whole" operator="greaterThanOrEqual" allowBlank="1" showInputMessage="1" showErrorMessage="1" errorTitle="Deductible BC for the year" error="Input a positive whole number!" sqref="I43:I50 AD43:AD50" xr:uid="{00000000-0002-0000-6300-00000F000000}">
      <formula1>0</formula1>
    </dataValidation>
    <dataValidation type="whole" operator="greaterThanOrEqual" allowBlank="1" showInputMessage="1" showErrorMessage="1" errorTitle="Taxable interest revenues" error="Input a postiive whole number!" sqref="J43 AE43" xr:uid="{00000000-0002-0000-6300-000010000000}">
      <formula1>0</formula1>
    </dataValidation>
    <dataValidation type="whole" operator="greaterThanOrEqual" allowBlank="1" showInputMessage="1" showErrorMessage="1" errorTitle="Taxable interest revenues" error="Input a positive whole number! " sqref="J45 J50 AE45 AE50" xr:uid="{00000000-0002-0000-6300-000011000000}">
      <formula1>0</formula1>
    </dataValidation>
    <dataValidation type="whole" operator="greaterThanOrEqual" allowBlank="1" showInputMessage="1" showErrorMessage="1" errorTitle="EBC" error="Input a positive whole number!" sqref="AF43" xr:uid="{00000000-0002-0000-6300-000012000000}">
      <formula1>0</formula1>
    </dataValidation>
    <dataValidation type="whole" operator="greaterThanOrEqual" allowBlank="1" showInputMessage="1" showErrorMessage="1" errorTitle="EBC" error="Input a postive whole number!" sqref="AF44:AF50" xr:uid="{00000000-0002-0000-6300-000013000000}">
      <formula1>0</formula1>
    </dataValidation>
    <dataValidation type="whole" operator="greaterThanOrEqual" allowBlank="1" showInputMessage="1" showErrorMessage="1" errorTitle="Maximum EBC" error="Input a positive whole number!" sqref="AG43" xr:uid="{00000000-0002-0000-6300-000014000000}">
      <formula1>0</formula1>
    </dataValidation>
    <dataValidation operator="greaterThanOrEqual" allowBlank="1" showInputMessage="1" showErrorMessage="1" errorTitle="Actual deductible EBC" error="Input a positive whole number!" sqref="AH43:AH50 M43:M50" xr:uid="{00000000-0002-0000-6300-000015000000}"/>
    <dataValidation operator="greaterThanOrEqual" allowBlank="1" showInputMessage="1" showErrorMessage="1" errorTitle="Maximum EBC" error="Input a positive whole number!" sqref="AG44:AG50" xr:uid="{00000000-0002-0000-6300-000016000000}"/>
    <dataValidation type="whole" operator="lessThanOrEqual" allowBlank="1" showInputMessage="1" showErrorMessage="1" errorTitle="Utilised unused interest cap. " error="Insert a whole negative number or 0" sqref="E56" xr:uid="{00000000-0002-0000-6300-000017000000}">
      <formula1>0</formula1>
    </dataValidation>
    <dataValidation type="whole" operator="greaterThanOrEqual" allowBlank="1" showInputMessage="1" showErrorMessage="1" errorTitle="Interest capacity to be utilised" error="Amount must be a whole positive number" sqref="H57:H60" xr:uid="{00000000-0002-0000-6300-000018000000}">
      <formula1>0</formula1>
    </dataValidation>
    <dataValidation type="whole" operator="lessThanOrEqual" allowBlank="1" showInputMessage="1" showErrorMessage="1" errorTitle="Surrender of interest capacity" error="Amount must be a whole negative number or 0" sqref="I56:I60" xr:uid="{00000000-0002-0000-6300-000019000000}">
      <formula1>0</formula1>
    </dataValidation>
    <dataValidation type="whole" operator="greaterThanOrEqual" allowBlank="1" showInputMessage="1" showErrorMessage="1" errorTitle="Group interest capacity claimed" error="Amount must be a whole positive number or 0" sqref="F56:F60" xr:uid="{00000000-0002-0000-6300-00001A000000}">
      <formula1>0</formula1>
    </dataValidation>
    <dataValidation operator="greaterThan" allowBlank="1" showInputMessage="1" showErrorMessage="1" sqref="F66" xr:uid="{00000000-0002-0000-6300-00001B000000}"/>
    <dataValidation type="textLength" operator="equal" allowBlank="1" showInputMessage="1" showErrorMessage="1" errorTitle="Tin Number" error="Enter a correct TIN number" sqref="D67:D75 D82:D90" xr:uid="{00000000-0002-0000-6300-00001C000000}">
      <formula1>9</formula1>
    </dataValidation>
    <dataValidation type="textLength" operator="greaterThanOrEqual" allowBlank="1" showInputMessage="1" showErrorMessage="1" errorTitle="Company Name" error="Enter proper company name!" sqref="E67:E75 E82:E90" xr:uid="{00000000-0002-0000-6300-00001D000000}">
      <formula1>4</formula1>
    </dataValidation>
    <dataValidation type="list" showInputMessage="1" showErrorMessage="1" sqref="I93" xr:uid="{00000000-0002-0000-6300-00001E000000}">
      <formula1>$AB$2:$AB$4</formula1>
    </dataValidation>
    <dataValidation type="whole" operator="greaterThanOrEqual" allowBlank="1" showInputMessage="1" showErrorMessage="1" errorTitle="Exceeding Borrowing Costs" error="Amount must be greater than 0!" sqref="K43:K50" xr:uid="{00000000-0002-0000-6300-00001F000000}">
      <formula1>0</formula1>
    </dataValidation>
    <dataValidation type="whole" operator="greaterThanOrEqual" allowBlank="1" showInputMessage="1" showErrorMessage="1" errorTitle="Exceeding Borrowing Costs" error="Figure must be a whole positive number greater than or equal to 0!" sqref="N11" xr:uid="{00000000-0002-0000-6300-000020000000}">
      <formula1>0</formula1>
    </dataValidation>
  </dataValidations>
  <hyperlinks>
    <hyperlink ref="B98" location="Index!B120" display="B A C K   T O   I N D E X" xr:uid="{00000000-0004-0000-6300-000000000000}"/>
  </hyperlinks>
  <pageMargins left="0.7" right="0.7" top="0.75" bottom="0.75" header="0.3" footer="0.3"/>
  <pageSetup paperSize="9" orientation="portrait" r:id="rId1"/>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1"/>
  <dimension ref="A1:Y483"/>
  <sheetViews>
    <sheetView zoomScale="98" zoomScaleNormal="98" workbookViewId="0"/>
  </sheetViews>
  <sheetFormatPr defaultColWidth="0" defaultRowHeight="12.75" zeroHeight="1" x14ac:dyDescent="0.2"/>
  <cols>
    <col min="1" max="1" width="2.42578125" style="3184" customWidth="1"/>
    <col min="2" max="2" width="30.7109375" style="3184" customWidth="1"/>
    <col min="3" max="3" width="18.5703125" style="3184" customWidth="1"/>
    <col min="4" max="4" width="14.42578125" style="3184" customWidth="1"/>
    <col min="5" max="5" width="18.5703125" style="3184" customWidth="1"/>
    <col min="6" max="7" width="16.28515625" style="3184" customWidth="1"/>
    <col min="8" max="8" width="40.28515625" style="3184" customWidth="1"/>
    <col min="9" max="9" width="12.5703125" style="3184" customWidth="1"/>
    <col min="10" max="10" width="13.7109375" style="3184" customWidth="1"/>
    <col min="11" max="11" width="12.28515625" style="3184" customWidth="1"/>
    <col min="12" max="12" width="22" style="3184" customWidth="1"/>
    <col min="13" max="13" width="2.28515625" style="3184" customWidth="1"/>
    <col min="14" max="16384" width="9.28515625" style="3184" hidden="1"/>
  </cols>
  <sheetData>
    <row r="1" spans="1:23" x14ac:dyDescent="0.2">
      <c r="A1" s="3121"/>
      <c r="B1" s="3121" t="str">
        <f>_ref1</f>
      </c>
      <c r="C1" s="3121"/>
      <c r="D1" s="3121"/>
      <c r="E1" s="3121"/>
      <c r="F1" s="3121"/>
      <c r="G1" s="3121"/>
      <c r="H1" s="3121"/>
      <c r="I1" s="3121"/>
      <c r="J1" s="3121"/>
      <c r="K1" s="3121"/>
      <c r="L1" s="3122" t="str">
        <f>_YA1</f>
      </c>
      <c r="M1" s="3183"/>
      <c r="N1" s="3237" t="s">
        <v>9147</v>
      </c>
      <c r="O1" s="3245">
        <f>IF('p2'!G35="","",IF('p2'!G35="n",1,0))</f>
      </c>
      <c r="Q1" s="3184">
        <v>2024</v>
      </c>
      <c r="S1" s="3184" t="s">
        <v>9148</v>
      </c>
    </row>
    <row r="2" spans="1:23" x14ac:dyDescent="0.2">
      <c r="A2" s="3121"/>
      <c r="B2" s="3121"/>
      <c r="C2" s="3121"/>
      <c r="D2" s="3238"/>
      <c r="E2" s="3238"/>
      <c r="F2" s="3238"/>
      <c r="G2" s="3238"/>
      <c r="H2" s="3238"/>
      <c r="I2" s="3238"/>
      <c r="J2" s="3238"/>
      <c r="K2" s="3238"/>
      <c r="L2" s="3238"/>
      <c r="M2" s="3183"/>
      <c r="W2" s="3184" t="s">
        <v>4457</v>
      </c>
    </row>
    <row r="3" spans="1:23" x14ac:dyDescent="0.2">
      <c r="A3" s="3121"/>
      <c r="B3" s="3239" t="s">
        <v>9149</v>
      </c>
      <c r="C3" s="3128"/>
      <c r="D3" s="3240"/>
      <c r="E3" s="3240"/>
      <c r="F3" s="3240"/>
      <c r="G3" s="3240"/>
      <c r="H3" s="3240"/>
      <c r="I3" s="3240"/>
      <c r="J3" s="3240"/>
      <c r="K3" s="3240"/>
      <c r="L3" s="3241"/>
      <c r="M3" s="3183"/>
      <c r="N3" s="3184" t="s">
        <v>7445</v>
      </c>
      <c r="O3" s="3184" t="s">
        <v>7439</v>
      </c>
      <c r="W3" s="3184" t="s">
        <v>1736</v>
      </c>
    </row>
    <row r="4" spans="1:23" x14ac:dyDescent="0.2">
      <c r="A4" s="3121"/>
      <c r="B4" s="3242" t="s">
        <v>9194</v>
      </c>
      <c r="C4" s="3134"/>
      <c r="D4" s="3243"/>
      <c r="E4" s="3243"/>
      <c r="F4" s="3243"/>
      <c r="G4" s="3243"/>
      <c r="H4" s="3243"/>
      <c r="I4" s="3243"/>
      <c r="J4" s="3243"/>
      <c r="K4" s="3243"/>
      <c r="L4" s="3244"/>
      <c r="M4" s="3183"/>
      <c r="N4" s="3245">
        <f>SUM(N5:N478)</f>
      </c>
      <c r="O4" s="3245">
        <f>SUM(O5:O478)</f>
      </c>
    </row>
    <row r="5" spans="1:23" x14ac:dyDescent="0.2">
      <c r="A5" s="3121"/>
      <c r="B5" s="3183"/>
      <c r="C5" s="3183"/>
      <c r="D5" s="3246" t="str">
        <f>IF(AND(O1=1,N4&gt;0),"Check question 29 on page 2 of the return","")</f>
        <v/>
      </c>
      <c r="E5" s="3183"/>
      <c r="F5" s="3183"/>
      <c r="G5" s="3183"/>
      <c r="H5" s="3183"/>
      <c r="I5" s="3183"/>
      <c r="J5" s="3183"/>
      <c r="K5" s="3183"/>
      <c r="L5" s="3183"/>
      <c r="M5" s="3183"/>
      <c r="O5" s="3140">
        <f>IF(D5&lt;&gt;"",1,0)</f>
      </c>
    </row>
    <row r="6" spans="1:23" x14ac:dyDescent="0.2">
      <c r="A6" s="3183"/>
      <c r="B6" s="5334" t="s">
        <v>10032</v>
      </c>
      <c r="C6" s="5334"/>
      <c r="D6" s="5334"/>
      <c r="E6" s="5334"/>
      <c r="F6" s="5334"/>
      <c r="G6" s="5334"/>
      <c r="H6" s="5334"/>
      <c r="I6" s="3183"/>
      <c r="J6" s="3248"/>
      <c r="K6" s="3142" t="str">
        <f>IF(AND(O1=0,J6=""),re,IF(AND(N4&gt;0,J6=""),re,""))</f>
        <v/>
      </c>
      <c r="L6" s="3246"/>
      <c r="M6" s="3183"/>
      <c r="N6" s="3140">
        <f>IF(J6="",0,1)</f>
      </c>
      <c r="O6" s="3140">
        <f>IF(K6&lt;&gt;"",1,0)</f>
      </c>
    </row>
    <row r="7" spans="1:23" x14ac:dyDescent="0.2">
      <c r="A7" s="3183"/>
      <c r="B7" s="3183"/>
      <c r="C7" s="3183"/>
      <c r="D7" s="3183"/>
      <c r="E7" s="3183"/>
      <c r="F7" s="3183"/>
      <c r="G7" s="3183"/>
      <c r="H7" s="3183"/>
      <c r="I7" s="3183"/>
      <c r="J7" s="3183"/>
      <c r="K7" s="3183"/>
      <c r="L7" s="3183"/>
      <c r="M7" s="3183"/>
    </row>
    <row r="8" spans="1:23" x14ac:dyDescent="0.2">
      <c r="A8" s="3183"/>
      <c r="B8" s="3249" t="s">
        <v>10027</v>
      </c>
      <c r="C8" s="3247"/>
      <c r="D8" s="3247"/>
      <c r="E8" s="3183"/>
      <c r="F8" s="3183"/>
      <c r="G8" s="3183"/>
      <c r="H8" s="3183"/>
      <c r="I8" s="3183"/>
      <c r="J8" s="3248"/>
      <c r="K8" s="3142" t="str">
        <f>IF(O6=1,"",IF(AND(J6="Yes",$N$4&gt;0,J8=""),re,""))</f>
        <v/>
      </c>
      <c r="L8" s="3246"/>
      <c r="M8" s="3183"/>
      <c r="N8" s="3140">
        <f>IF(J8="",0,1)</f>
      </c>
      <c r="O8" s="3140">
        <f>IF(K8&lt;&gt;"",1,0)</f>
      </c>
    </row>
    <row r="9" spans="1:23" x14ac:dyDescent="0.2">
      <c r="A9" s="3183"/>
      <c r="B9" s="3249"/>
      <c r="C9" s="3183"/>
      <c r="D9" s="3183"/>
      <c r="E9" s="3183"/>
      <c r="F9" s="3183"/>
      <c r="G9" s="3183"/>
      <c r="H9" s="3183"/>
      <c r="I9" s="3183"/>
      <c r="J9" s="3250"/>
      <c r="K9" s="3183"/>
      <c r="L9" s="3246"/>
      <c r="M9" s="3183"/>
    </row>
    <row r="10" spans="1:23" x14ac:dyDescent="0.2">
      <c r="A10" s="3183"/>
      <c r="B10" s="3249"/>
      <c r="C10" s="3183"/>
      <c r="D10" s="3183"/>
      <c r="E10" s="3183"/>
      <c r="F10" s="3250"/>
      <c r="G10" s="3250"/>
      <c r="H10" s="3250"/>
      <c r="I10" s="3250"/>
      <c r="J10" s="3250"/>
      <c r="K10" s="3183"/>
      <c r="L10" s="3246"/>
      <c r="M10" s="3183"/>
    </row>
    <row r="11" spans="1:23" ht="13.5" thickBot="1" x14ac:dyDescent="0.25">
      <c r="A11" s="3183"/>
      <c r="B11" s="3613" t="s">
        <v>10028</v>
      </c>
      <c r="C11" s="3251"/>
      <c r="D11" s="3251"/>
      <c r="E11" s="3183"/>
      <c r="F11" s="3183"/>
      <c r="G11" s="3183"/>
      <c r="H11" s="3183"/>
      <c r="I11" s="3183"/>
      <c r="J11" s="3183"/>
      <c r="K11" s="3183"/>
      <c r="L11" s="3183"/>
      <c r="M11" s="3183"/>
    </row>
    <row r="12" spans="1:23" ht="64.5" thickBot="1" x14ac:dyDescent="0.25">
      <c r="A12" s="3183"/>
      <c r="B12" s="3252" t="s">
        <v>657</v>
      </c>
      <c r="C12" s="3253" t="s">
        <v>9195</v>
      </c>
      <c r="D12" s="3254" t="s">
        <v>9196</v>
      </c>
      <c r="E12" s="3254" t="s">
        <v>9197</v>
      </c>
      <c r="F12" s="3254" t="s">
        <v>9198</v>
      </c>
      <c r="G12" s="3254" t="s">
        <v>110</v>
      </c>
      <c r="H12" s="3254" t="s">
        <v>10030</v>
      </c>
      <c r="I12" s="3254" t="s">
        <v>10029</v>
      </c>
      <c r="J12" s="3254" t="s">
        <v>10031</v>
      </c>
      <c r="K12" s="3254" t="s">
        <v>9199</v>
      </c>
      <c r="L12" s="3183"/>
      <c r="M12" s="3183"/>
      <c r="Q12" s="3184" t="s">
        <v>9200</v>
      </c>
      <c r="T12" s="3615" t="s">
        <v>10168</v>
      </c>
      <c r="U12" s="3615" t="s">
        <v>10169</v>
      </c>
      <c r="V12" s="3615" t="s">
        <v>10034</v>
      </c>
      <c r="W12" s="3615"/>
    </row>
    <row r="13" spans="1:23" x14ac:dyDescent="0.2">
      <c r="A13" s="3255">
        <v>1</v>
      </c>
      <c r="B13" s="3256"/>
      <c r="C13" s="3257"/>
      <c r="D13" s="3256"/>
      <c r="E13" s="3257"/>
      <c r="F13" s="3256"/>
      <c r="G13" s="3614"/>
      <c r="H13" s="3256"/>
      <c r="I13" s="3256"/>
      <c r="J13" s="3256"/>
      <c r="K13" s="3256"/>
      <c r="L13" s="3142" t="str">
        <f t="shared" ref="L13:L76" si="0">IF(AND($N$4&gt;0,A13&lt;=$J$8,N13&lt;&gt;7),re,IF(AND(N13&gt;0,$K$8=0),"No details required",IF(AND(T13=1,I13=""),re,IF(AND(T13=0,COUNTA(I13:K13)&gt;0),"Delete!",IF(AND(U13=1,J13=""),re,IF(AND(U13=0,COUNTA(J13:K13)&gt;0),"Delete!",IF(AND(V13=1,K13=""),re,IF(AND(V13=0,COUNTA(K13)&gt;0),"Delete!",IF(AND(N13&gt;0,A13&gt;$J$8),"Check no. of foreign holdings!","")))))))))</f>
        <v/>
      </c>
      <c r="M13" s="3183"/>
      <c r="N13" s="3140">
        <f>COUNTA(B13:H13)</f>
      </c>
      <c r="O13" s="3140">
        <f>IF(L13&lt;&gt;"",1,0)</f>
      </c>
      <c r="Q13" s="3184">
        <f t="shared" ref="Q13:Q22" si="1">IF(K13="yes",1,0)</f>
      </c>
      <c r="T13" s="3184">
        <f>IF(N13=0,0,IF(OR(H13=$Y$17,H13=$Y$19),0,1))</f>
      </c>
      <c r="U13" s="3184">
        <f>IF(AND(T13=1,I13="no"),1,0)</f>
      </c>
      <c r="V13" s="3184">
        <f>IF(AND(U13=1,J13="yes"),1,0)</f>
      </c>
    </row>
    <row r="14" spans="1:23" x14ac:dyDescent="0.2">
      <c r="A14" s="3255">
        <f>A13+1</f>
      </c>
      <c r="B14" s="3256"/>
      <c r="C14" s="3257"/>
      <c r="D14" s="3256"/>
      <c r="E14" s="3257"/>
      <c r="F14" s="3256"/>
      <c r="G14" s="3614"/>
      <c r="H14" s="3256"/>
      <c r="I14" s="3256"/>
      <c r="J14" s="3256"/>
      <c r="K14" s="3256"/>
      <c r="L14" s="3142" t="str">
        <f t="shared" si="0"/>
        <v/>
      </c>
      <c r="M14" s="3183"/>
      <c r="N14" s="3140">
        <f t="shared" ref="N14:N77" si="2">COUNTA(B14:H14)</f>
      </c>
      <c r="O14" s="3140">
        <f t="shared" ref="O14:O22" si="3">IF(L14&lt;&gt;"",1,0)</f>
      </c>
      <c r="Q14" s="3184">
        <f t="shared" si="1"/>
        <v>0</v>
      </c>
      <c r="T14" s="3184">
        <f t="shared" ref="T14:T77" si="4">IF(N14=0,0,IF(OR(H14=$Y$17,H14=$Y$19),0,1))</f>
      </c>
      <c r="U14" s="3184">
        <f t="shared" ref="U14:U77" si="5">IF(AND(T14=1,I14="no"),1,0)</f>
      </c>
      <c r="V14" s="3184">
        <f t="shared" ref="V14:V77" si="6">IF(AND(U14=1,J14="yes"),1,0)</f>
      </c>
    </row>
    <row r="15" spans="1:23" x14ac:dyDescent="0.2">
      <c r="A15" s="3255">
        <f t="shared" ref="A15:A78" si="7">A14+1</f>
      </c>
      <c r="B15" s="3256"/>
      <c r="C15" s="3257"/>
      <c r="D15" s="3256"/>
      <c r="E15" s="3257"/>
      <c r="F15" s="3256"/>
      <c r="G15" s="3614"/>
      <c r="H15" s="3256"/>
      <c r="I15" s="3256"/>
      <c r="J15" s="3256"/>
      <c r="K15" s="3256"/>
      <c r="L15" s="3142" t="str">
        <f t="shared" si="0"/>
        <v/>
      </c>
      <c r="M15" s="3183"/>
      <c r="N15" s="3140">
        <f t="shared" si="2"/>
        <v>0</v>
      </c>
      <c r="O15" s="3140">
        <f t="shared" si="3"/>
        <v>0</v>
      </c>
      <c r="Q15" s="3184">
        <f t="shared" si="1"/>
        <v>0</v>
      </c>
      <c r="T15" s="3184">
        <f t="shared" si="4"/>
        <v>0</v>
      </c>
      <c r="U15" s="3184">
        <f t="shared" si="5"/>
        <v>0</v>
      </c>
      <c r="V15" s="3184">
        <f t="shared" si="6"/>
        <v>0</v>
      </c>
    </row>
    <row r="16" spans="1:23" x14ac:dyDescent="0.2">
      <c r="A16" s="3255">
        <f t="shared" si="7"/>
        <v>4</v>
      </c>
      <c r="B16" s="3256"/>
      <c r="C16" s="3257"/>
      <c r="D16" s="3256"/>
      <c r="E16" s="3257"/>
      <c r="F16" s="3256"/>
      <c r="G16" s="3614"/>
      <c r="H16" s="3256"/>
      <c r="I16" s="3256"/>
      <c r="J16" s="3256"/>
      <c r="K16" s="3256"/>
      <c r="L16" s="3142" t="str">
        <f t="shared" si="0"/>
        <v/>
      </c>
      <c r="M16" s="3246"/>
      <c r="N16" s="3140">
        <f t="shared" si="2"/>
        <v>0</v>
      </c>
      <c r="O16" s="3140">
        <f t="shared" si="3"/>
        <v>0</v>
      </c>
      <c r="Q16" s="3184">
        <f t="shared" si="1"/>
        <v>0</v>
      </c>
      <c r="T16" s="3184">
        <f t="shared" si="4"/>
        <v>0</v>
      </c>
      <c r="U16" s="3184">
        <f t="shared" si="5"/>
        <v>0</v>
      </c>
      <c r="V16" s="3184">
        <f t="shared" si="6"/>
        <v>0</v>
      </c>
    </row>
    <row r="17" spans="1:25" x14ac:dyDescent="0.2">
      <c r="A17" s="3255">
        <f t="shared" si="7"/>
        <v>5</v>
      </c>
      <c r="B17" s="3256"/>
      <c r="C17" s="3257"/>
      <c r="D17" s="3256"/>
      <c r="E17" s="3257"/>
      <c r="F17" s="3256"/>
      <c r="G17" s="3614"/>
      <c r="H17" s="3256"/>
      <c r="I17" s="3256"/>
      <c r="J17" s="3256"/>
      <c r="K17" s="3256"/>
      <c r="L17" s="3142" t="str">
        <f t="shared" si="0"/>
        <v/>
      </c>
      <c r="M17" s="3246"/>
      <c r="N17" s="3140">
        <f t="shared" si="2"/>
        <v>0</v>
      </c>
      <c r="O17" s="3140">
        <f t="shared" si="3"/>
        <v>0</v>
      </c>
      <c r="Q17" s="3184">
        <f t="shared" si="1"/>
        <v>0</v>
      </c>
      <c r="T17" s="3184">
        <f t="shared" si="4"/>
        <v>0</v>
      </c>
      <c r="U17" s="3184">
        <f t="shared" si="5"/>
        <v>0</v>
      </c>
      <c r="V17" s="3184">
        <f t="shared" si="6"/>
        <v>0</v>
      </c>
      <c r="Y17" s="3184" t="s">
        <v>10033</v>
      </c>
    </row>
    <row r="18" spans="1:25" x14ac:dyDescent="0.2">
      <c r="A18" s="3255">
        <f t="shared" si="7"/>
        <v>6</v>
      </c>
      <c r="B18" s="3256"/>
      <c r="C18" s="3257"/>
      <c r="D18" s="3256"/>
      <c r="E18" s="3257"/>
      <c r="F18" s="3256"/>
      <c r="G18" s="3614"/>
      <c r="H18" s="3256"/>
      <c r="I18" s="3256"/>
      <c r="J18" s="3256"/>
      <c r="K18" s="3256"/>
      <c r="L18" s="3142" t="str">
        <f t="shared" si="0"/>
        <v/>
      </c>
      <c r="M18" s="3183"/>
      <c r="N18" s="3140">
        <f t="shared" si="2"/>
        <v>0</v>
      </c>
      <c r="O18" s="3140">
        <f t="shared" si="3"/>
        <v>0</v>
      </c>
      <c r="Q18" s="3184">
        <f t="shared" si="1"/>
        <v>0</v>
      </c>
      <c r="T18" s="3184">
        <f t="shared" si="4"/>
        <v>0</v>
      </c>
      <c r="U18" s="3184">
        <f t="shared" si="5"/>
        <v>0</v>
      </c>
      <c r="V18" s="3184">
        <f t="shared" si="6"/>
        <v>0</v>
      </c>
      <c r="Y18" s="3184" t="s">
        <v>10171</v>
      </c>
    </row>
    <row r="19" spans="1:25" x14ac:dyDescent="0.2">
      <c r="A19" s="3255">
        <f t="shared" si="7"/>
        <v>7</v>
      </c>
      <c r="B19" s="3256"/>
      <c r="C19" s="3257"/>
      <c r="D19" s="3256"/>
      <c r="E19" s="3257"/>
      <c r="F19" s="3256"/>
      <c r="G19" s="3614"/>
      <c r="H19" s="3256"/>
      <c r="I19" s="3256"/>
      <c r="J19" s="3256"/>
      <c r="K19" s="3256"/>
      <c r="L19" s="3142" t="str">
        <f t="shared" si="0"/>
        <v/>
      </c>
      <c r="M19" s="3183"/>
      <c r="N19" s="3140">
        <f t="shared" si="2"/>
        <v>0</v>
      </c>
      <c r="O19" s="3140">
        <f t="shared" si="3"/>
        <v>0</v>
      </c>
      <c r="Q19" s="3184">
        <f t="shared" si="1"/>
        <v>0</v>
      </c>
      <c r="T19" s="3184">
        <f t="shared" si="4"/>
        <v>0</v>
      </c>
      <c r="U19" s="3184">
        <f t="shared" si="5"/>
        <v>0</v>
      </c>
      <c r="V19" s="3184">
        <f t="shared" si="6"/>
        <v>0</v>
      </c>
      <c r="Y19" s="3184" t="s">
        <v>10170</v>
      </c>
    </row>
    <row r="20" spans="1:25" x14ac:dyDescent="0.2">
      <c r="A20" s="3255">
        <f t="shared" si="7"/>
        <v>8</v>
      </c>
      <c r="B20" s="3256"/>
      <c r="C20" s="3257"/>
      <c r="D20" s="3256"/>
      <c r="E20" s="3257"/>
      <c r="F20" s="3256"/>
      <c r="G20" s="3614"/>
      <c r="H20" s="3256"/>
      <c r="I20" s="3256"/>
      <c r="J20" s="3256"/>
      <c r="K20" s="3256"/>
      <c r="L20" s="3142" t="str">
        <f t="shared" si="0"/>
        <v/>
      </c>
      <c r="M20" s="3183"/>
      <c r="N20" s="3140">
        <f t="shared" si="2"/>
        <v>0</v>
      </c>
      <c r="O20" s="3140">
        <f t="shared" si="3"/>
        <v>0</v>
      </c>
      <c r="Q20" s="3184">
        <f t="shared" si="1"/>
        <v>0</v>
      </c>
      <c r="T20" s="3184">
        <f t="shared" si="4"/>
        <v>0</v>
      </c>
      <c r="U20" s="3184">
        <f t="shared" si="5"/>
        <v>0</v>
      </c>
      <c r="V20" s="3184">
        <f t="shared" si="6"/>
        <v>0</v>
      </c>
    </row>
    <row r="21" spans="1:25" x14ac:dyDescent="0.2">
      <c r="A21" s="3255">
        <f t="shared" si="7"/>
        <v>9</v>
      </c>
      <c r="B21" s="3256"/>
      <c r="C21" s="3257"/>
      <c r="D21" s="3258"/>
      <c r="E21" s="3257"/>
      <c r="F21" s="3256"/>
      <c r="G21" s="3614"/>
      <c r="H21" s="3256"/>
      <c r="I21" s="3256"/>
      <c r="J21" s="3256"/>
      <c r="K21" s="3256"/>
      <c r="L21" s="3142" t="str">
        <f t="shared" si="0"/>
        <v/>
      </c>
      <c r="M21" s="3183"/>
      <c r="N21" s="3140">
        <f t="shared" si="2"/>
        <v>0</v>
      </c>
      <c r="O21" s="3140">
        <f t="shared" si="3"/>
        <v>0</v>
      </c>
      <c r="Q21" s="3184">
        <f t="shared" si="1"/>
        <v>0</v>
      </c>
      <c r="T21" s="3184">
        <f t="shared" si="4"/>
        <v>0</v>
      </c>
      <c r="U21" s="3184">
        <f t="shared" si="5"/>
        <v>0</v>
      </c>
      <c r="V21" s="3184">
        <f t="shared" si="6"/>
        <v>0</v>
      </c>
    </row>
    <row r="22" spans="1:25" x14ac:dyDescent="0.2">
      <c r="A22" s="3255">
        <f t="shared" si="7"/>
        <v>10</v>
      </c>
      <c r="B22" s="3256"/>
      <c r="C22" s="3257"/>
      <c r="D22" s="3258"/>
      <c r="E22" s="3257"/>
      <c r="F22" s="3256"/>
      <c r="G22" s="3614"/>
      <c r="H22" s="3256"/>
      <c r="I22" s="3256"/>
      <c r="J22" s="3256"/>
      <c r="K22" s="3256"/>
      <c r="L22" s="3142" t="str">
        <f t="shared" si="0"/>
        <v/>
      </c>
      <c r="M22" s="3183"/>
      <c r="N22" s="3140">
        <f t="shared" si="2"/>
        <v>0</v>
      </c>
      <c r="O22" s="3140">
        <f t="shared" si="3"/>
        <v>0</v>
      </c>
      <c r="Q22" s="3184">
        <f t="shared" si="1"/>
        <v>0</v>
      </c>
      <c r="T22" s="3184">
        <f t="shared" si="4"/>
        <v>0</v>
      </c>
      <c r="U22" s="3184">
        <f t="shared" si="5"/>
        <v>0</v>
      </c>
      <c r="V22" s="3184">
        <f t="shared" si="6"/>
        <v>0</v>
      </c>
    </row>
    <row r="23" spans="1:25" x14ac:dyDescent="0.2">
      <c r="A23" s="3255">
        <f t="shared" si="7"/>
        <v>11</v>
      </c>
      <c r="B23" s="3256"/>
      <c r="C23" s="3257"/>
      <c r="D23" s="3258"/>
      <c r="E23" s="3257"/>
      <c r="F23" s="3256"/>
      <c r="G23" s="3614"/>
      <c r="H23" s="3256"/>
      <c r="I23" s="3256"/>
      <c r="J23" s="3256"/>
      <c r="K23" s="3256"/>
      <c r="L23" s="3142" t="str">
        <f t="shared" si="0"/>
        <v/>
      </c>
      <c r="M23" s="3183"/>
      <c r="N23" s="3140">
        <f t="shared" si="2"/>
        <v>0</v>
      </c>
      <c r="O23" s="3140">
        <f t="shared" ref="O23:O86" si="8">IF(L23&lt;&gt;"",1,0)</f>
      </c>
      <c r="Q23" s="3184">
        <f t="shared" ref="Q23:Q86" si="9">IF(K23="yes",1,0)</f>
      </c>
      <c r="T23" s="3184">
        <f t="shared" si="4"/>
        <v>0</v>
      </c>
      <c r="U23" s="3184">
        <f t="shared" si="5"/>
        <v>0</v>
      </c>
      <c r="V23" s="3184">
        <f t="shared" si="6"/>
        <v>0</v>
      </c>
    </row>
    <row r="24" spans="1:25" x14ac:dyDescent="0.2">
      <c r="A24" s="3255">
        <f t="shared" si="7"/>
        <v>12</v>
      </c>
      <c r="B24" s="3256"/>
      <c r="C24" s="3257"/>
      <c r="D24" s="3258"/>
      <c r="E24" s="3257"/>
      <c r="F24" s="3256"/>
      <c r="G24" s="3614"/>
      <c r="H24" s="3256"/>
      <c r="I24" s="3256"/>
      <c r="J24" s="3256"/>
      <c r="K24" s="3256"/>
      <c r="L24" s="3142" t="str">
        <f t="shared" si="0"/>
        <v/>
      </c>
      <c r="M24" s="3183"/>
      <c r="N24" s="3140">
        <f t="shared" si="2"/>
        <v>0</v>
      </c>
      <c r="O24" s="3140">
        <f t="shared" si="8"/>
        <v>0</v>
      </c>
      <c r="Q24" s="3184">
        <f t="shared" si="9"/>
        <v>0</v>
      </c>
      <c r="T24" s="3184">
        <f t="shared" si="4"/>
        <v>0</v>
      </c>
      <c r="U24" s="3184">
        <f t="shared" si="5"/>
        <v>0</v>
      </c>
      <c r="V24" s="3184">
        <f t="shared" si="6"/>
        <v>0</v>
      </c>
    </row>
    <row r="25" spans="1:25" x14ac:dyDescent="0.2">
      <c r="A25" s="3255">
        <f t="shared" si="7"/>
        <v>13</v>
      </c>
      <c r="B25" s="3256"/>
      <c r="C25" s="3257"/>
      <c r="D25" s="3258"/>
      <c r="E25" s="3257"/>
      <c r="F25" s="3256"/>
      <c r="G25" s="3614"/>
      <c r="H25" s="3256"/>
      <c r="I25" s="3256"/>
      <c r="J25" s="3256"/>
      <c r="K25" s="3256"/>
      <c r="L25" s="3142" t="str">
        <f t="shared" si="0"/>
        <v/>
      </c>
      <c r="M25" s="3183"/>
      <c r="N25" s="3140">
        <f t="shared" si="2"/>
        <v>0</v>
      </c>
      <c r="O25" s="3140">
        <f t="shared" si="8"/>
        <v>0</v>
      </c>
      <c r="Q25" s="3184">
        <f t="shared" si="9"/>
        <v>0</v>
      </c>
      <c r="T25" s="3184">
        <f t="shared" si="4"/>
        <v>0</v>
      </c>
      <c r="U25" s="3184">
        <f t="shared" si="5"/>
        <v>0</v>
      </c>
      <c r="V25" s="3184">
        <f t="shared" si="6"/>
        <v>0</v>
      </c>
    </row>
    <row r="26" spans="1:25" x14ac:dyDescent="0.2">
      <c r="A26" s="3255">
        <f t="shared" si="7"/>
        <v>14</v>
      </c>
      <c r="B26" s="3256"/>
      <c r="C26" s="3257"/>
      <c r="D26" s="3258"/>
      <c r="E26" s="3257"/>
      <c r="F26" s="3256"/>
      <c r="G26" s="3614"/>
      <c r="H26" s="3256"/>
      <c r="I26" s="3256"/>
      <c r="J26" s="3256"/>
      <c r="K26" s="3256"/>
      <c r="L26" s="3142" t="str">
        <f t="shared" si="0"/>
        <v/>
      </c>
      <c r="M26" s="3183"/>
      <c r="N26" s="3140">
        <f t="shared" si="2"/>
        <v>0</v>
      </c>
      <c r="O26" s="3140">
        <f t="shared" si="8"/>
        <v>0</v>
      </c>
      <c r="Q26" s="3184">
        <f t="shared" si="9"/>
        <v>0</v>
      </c>
      <c r="T26" s="3184">
        <f t="shared" si="4"/>
        <v>0</v>
      </c>
      <c r="U26" s="3184">
        <f t="shared" si="5"/>
        <v>0</v>
      </c>
      <c r="V26" s="3184">
        <f t="shared" si="6"/>
        <v>0</v>
      </c>
    </row>
    <row r="27" spans="1:25" x14ac:dyDescent="0.2">
      <c r="A27" s="3255">
        <f t="shared" si="7"/>
        <v>15</v>
      </c>
      <c r="B27" s="3256"/>
      <c r="C27" s="3257"/>
      <c r="D27" s="3258"/>
      <c r="E27" s="3257"/>
      <c r="F27" s="3256"/>
      <c r="G27" s="3614"/>
      <c r="H27" s="3256"/>
      <c r="I27" s="3256"/>
      <c r="J27" s="3256"/>
      <c r="K27" s="3256"/>
      <c r="L27" s="3142" t="str">
        <f t="shared" si="0"/>
        <v/>
      </c>
      <c r="M27" s="3183"/>
      <c r="N27" s="3140">
        <f t="shared" si="2"/>
        <v>0</v>
      </c>
      <c r="O27" s="3140">
        <f t="shared" si="8"/>
        <v>0</v>
      </c>
      <c r="Q27" s="3184">
        <f t="shared" si="9"/>
        <v>0</v>
      </c>
      <c r="T27" s="3184">
        <f t="shared" si="4"/>
        <v>0</v>
      </c>
      <c r="U27" s="3184">
        <f t="shared" si="5"/>
        <v>0</v>
      </c>
      <c r="V27" s="3184">
        <f t="shared" si="6"/>
        <v>0</v>
      </c>
    </row>
    <row r="28" spans="1:25" x14ac:dyDescent="0.2">
      <c r="A28" s="3255">
        <f t="shared" si="7"/>
        <v>16</v>
      </c>
      <c r="B28" s="3256"/>
      <c r="C28" s="3257"/>
      <c r="D28" s="3258"/>
      <c r="E28" s="3257"/>
      <c r="F28" s="3256"/>
      <c r="G28" s="3614"/>
      <c r="H28" s="3256"/>
      <c r="I28" s="3256"/>
      <c r="J28" s="3256"/>
      <c r="K28" s="3256"/>
      <c r="L28" s="3142" t="str">
        <f t="shared" si="0"/>
        <v/>
      </c>
      <c r="M28" s="3183"/>
      <c r="N28" s="3140">
        <f t="shared" si="2"/>
        <v>0</v>
      </c>
      <c r="O28" s="3140">
        <f t="shared" si="8"/>
        <v>0</v>
      </c>
      <c r="Q28" s="3184">
        <f t="shared" si="9"/>
        <v>0</v>
      </c>
      <c r="T28" s="3184">
        <f t="shared" si="4"/>
        <v>0</v>
      </c>
      <c r="U28" s="3184">
        <f t="shared" si="5"/>
        <v>0</v>
      </c>
      <c r="V28" s="3184">
        <f t="shared" si="6"/>
        <v>0</v>
      </c>
    </row>
    <row r="29" spans="1:25" x14ac:dyDescent="0.2">
      <c r="A29" s="3255">
        <f t="shared" si="7"/>
        <v>17</v>
      </c>
      <c r="B29" s="3256"/>
      <c r="C29" s="3257"/>
      <c r="D29" s="3258"/>
      <c r="E29" s="3257"/>
      <c r="F29" s="3256"/>
      <c r="G29" s="3614"/>
      <c r="H29" s="3256"/>
      <c r="I29" s="3256"/>
      <c r="J29" s="3256"/>
      <c r="K29" s="3256"/>
      <c r="L29" s="3142" t="str">
        <f t="shared" si="0"/>
        <v/>
      </c>
      <c r="M29" s="3183"/>
      <c r="N29" s="3140">
        <f t="shared" si="2"/>
        <v>0</v>
      </c>
      <c r="O29" s="3140">
        <f t="shared" si="8"/>
        <v>0</v>
      </c>
      <c r="Q29" s="3184">
        <f t="shared" si="9"/>
        <v>0</v>
      </c>
      <c r="T29" s="3184">
        <f t="shared" si="4"/>
        <v>0</v>
      </c>
      <c r="U29" s="3184">
        <f t="shared" si="5"/>
        <v>0</v>
      </c>
      <c r="V29" s="3184">
        <f t="shared" si="6"/>
        <v>0</v>
      </c>
    </row>
    <row r="30" spans="1:25" x14ac:dyDescent="0.2">
      <c r="A30" s="3255">
        <f t="shared" si="7"/>
        <v>18</v>
      </c>
      <c r="B30" s="3256"/>
      <c r="C30" s="3257"/>
      <c r="D30" s="3258"/>
      <c r="E30" s="3257"/>
      <c r="F30" s="3256"/>
      <c r="G30" s="3614"/>
      <c r="H30" s="3256"/>
      <c r="I30" s="3256"/>
      <c r="J30" s="3256"/>
      <c r="K30" s="3256"/>
      <c r="L30" s="3142" t="str">
        <f t="shared" si="0"/>
        <v/>
      </c>
      <c r="M30" s="3183"/>
      <c r="N30" s="3140">
        <f t="shared" si="2"/>
        <v>0</v>
      </c>
      <c r="O30" s="3140">
        <f t="shared" si="8"/>
        <v>0</v>
      </c>
      <c r="Q30" s="3184">
        <f t="shared" si="9"/>
        <v>0</v>
      </c>
      <c r="T30" s="3184">
        <f t="shared" si="4"/>
        <v>0</v>
      </c>
      <c r="U30" s="3184">
        <f t="shared" si="5"/>
        <v>0</v>
      </c>
      <c r="V30" s="3184">
        <f t="shared" si="6"/>
        <v>0</v>
      </c>
    </row>
    <row r="31" spans="1:25" x14ac:dyDescent="0.2">
      <c r="A31" s="3255">
        <f t="shared" si="7"/>
        <v>19</v>
      </c>
      <c r="B31" s="3256"/>
      <c r="C31" s="3257"/>
      <c r="D31" s="3258"/>
      <c r="E31" s="3257"/>
      <c r="F31" s="3256"/>
      <c r="G31" s="3614"/>
      <c r="H31" s="3256"/>
      <c r="I31" s="3256"/>
      <c r="J31" s="3256"/>
      <c r="K31" s="3256"/>
      <c r="L31" s="3142" t="str">
        <f t="shared" si="0"/>
        <v/>
      </c>
      <c r="M31" s="3183"/>
      <c r="N31" s="3140">
        <f t="shared" si="2"/>
        <v>0</v>
      </c>
      <c r="O31" s="3140">
        <f t="shared" si="8"/>
        <v>0</v>
      </c>
      <c r="Q31" s="3184">
        <f t="shared" si="9"/>
        <v>0</v>
      </c>
      <c r="T31" s="3184">
        <f t="shared" si="4"/>
        <v>0</v>
      </c>
      <c r="U31" s="3184">
        <f t="shared" si="5"/>
        <v>0</v>
      </c>
      <c r="V31" s="3184">
        <f t="shared" si="6"/>
        <v>0</v>
      </c>
    </row>
    <row r="32" spans="1:25" x14ac:dyDescent="0.2">
      <c r="A32" s="3255">
        <f t="shared" si="7"/>
        <v>20</v>
      </c>
      <c r="B32" s="3256"/>
      <c r="C32" s="3257"/>
      <c r="D32" s="3258"/>
      <c r="E32" s="3257"/>
      <c r="F32" s="3256"/>
      <c r="G32" s="3614"/>
      <c r="H32" s="3256"/>
      <c r="I32" s="3256"/>
      <c r="J32" s="3256"/>
      <c r="K32" s="3256"/>
      <c r="L32" s="3142" t="str">
        <f t="shared" si="0"/>
        <v/>
      </c>
      <c r="M32" s="3183"/>
      <c r="N32" s="3140">
        <f t="shared" si="2"/>
        <v>0</v>
      </c>
      <c r="O32" s="3140">
        <f t="shared" si="8"/>
        <v>0</v>
      </c>
      <c r="Q32" s="3184">
        <f t="shared" si="9"/>
        <v>0</v>
      </c>
      <c r="T32" s="3184">
        <f t="shared" si="4"/>
        <v>0</v>
      </c>
      <c r="U32" s="3184">
        <f t="shared" si="5"/>
        <v>0</v>
      </c>
      <c r="V32" s="3184">
        <f t="shared" si="6"/>
        <v>0</v>
      </c>
    </row>
    <row r="33" spans="1:22" x14ac:dyDescent="0.2">
      <c r="A33" s="3255">
        <f t="shared" si="7"/>
        <v>21</v>
      </c>
      <c r="B33" s="3256"/>
      <c r="C33" s="3257"/>
      <c r="D33" s="3258"/>
      <c r="E33" s="3257"/>
      <c r="F33" s="3256"/>
      <c r="G33" s="3614"/>
      <c r="H33" s="3256"/>
      <c r="I33" s="3256"/>
      <c r="J33" s="3256"/>
      <c r="K33" s="3256"/>
      <c r="L33" s="3142" t="str">
        <f t="shared" si="0"/>
        <v/>
      </c>
      <c r="M33" s="3183"/>
      <c r="N33" s="3140">
        <f t="shared" si="2"/>
        <v>0</v>
      </c>
      <c r="O33" s="3140">
        <f t="shared" si="8"/>
        <v>0</v>
      </c>
      <c r="Q33" s="3184">
        <f t="shared" si="9"/>
        <v>0</v>
      </c>
      <c r="T33" s="3184">
        <f t="shared" si="4"/>
        <v>0</v>
      </c>
      <c r="U33" s="3184">
        <f t="shared" si="5"/>
        <v>0</v>
      </c>
      <c r="V33" s="3184">
        <f t="shared" si="6"/>
        <v>0</v>
      </c>
    </row>
    <row r="34" spans="1:22" x14ac:dyDescent="0.2">
      <c r="A34" s="3255">
        <f t="shared" si="7"/>
        <v>22</v>
      </c>
      <c r="B34" s="3256"/>
      <c r="C34" s="3257"/>
      <c r="D34" s="3258"/>
      <c r="E34" s="3257"/>
      <c r="F34" s="3256"/>
      <c r="G34" s="3614"/>
      <c r="H34" s="3256"/>
      <c r="I34" s="3256"/>
      <c r="J34" s="3256"/>
      <c r="K34" s="3256"/>
      <c r="L34" s="3142" t="str">
        <f t="shared" si="0"/>
        <v/>
      </c>
      <c r="M34" s="3183"/>
      <c r="N34" s="3140">
        <f t="shared" si="2"/>
        <v>0</v>
      </c>
      <c r="O34" s="3140">
        <f t="shared" si="8"/>
        <v>0</v>
      </c>
      <c r="Q34" s="3184">
        <f t="shared" si="9"/>
        <v>0</v>
      </c>
      <c r="T34" s="3184">
        <f t="shared" si="4"/>
        <v>0</v>
      </c>
      <c r="U34" s="3184">
        <f t="shared" si="5"/>
        <v>0</v>
      </c>
      <c r="V34" s="3184">
        <f t="shared" si="6"/>
        <v>0</v>
      </c>
    </row>
    <row r="35" spans="1:22" x14ac:dyDescent="0.2">
      <c r="A35" s="3255">
        <f t="shared" si="7"/>
        <v>23</v>
      </c>
      <c r="B35" s="3256"/>
      <c r="C35" s="3257"/>
      <c r="D35" s="3258"/>
      <c r="E35" s="3257"/>
      <c r="F35" s="3256"/>
      <c r="G35" s="3614"/>
      <c r="H35" s="3256"/>
      <c r="I35" s="3256"/>
      <c r="J35" s="3256"/>
      <c r="K35" s="3256"/>
      <c r="L35" s="3142" t="str">
        <f t="shared" si="0"/>
        <v/>
      </c>
      <c r="M35" s="3183"/>
      <c r="N35" s="3140">
        <f t="shared" si="2"/>
        <v>0</v>
      </c>
      <c r="O35" s="3140">
        <f t="shared" si="8"/>
        <v>0</v>
      </c>
      <c r="Q35" s="3184">
        <f t="shared" si="9"/>
        <v>0</v>
      </c>
      <c r="T35" s="3184">
        <f t="shared" si="4"/>
        <v>0</v>
      </c>
      <c r="U35" s="3184">
        <f t="shared" si="5"/>
        <v>0</v>
      </c>
      <c r="V35" s="3184">
        <f t="shared" si="6"/>
        <v>0</v>
      </c>
    </row>
    <row r="36" spans="1:22" x14ac:dyDescent="0.2">
      <c r="A36" s="3255">
        <f t="shared" si="7"/>
        <v>24</v>
      </c>
      <c r="B36" s="3256"/>
      <c r="C36" s="3257"/>
      <c r="D36" s="3258"/>
      <c r="E36" s="3257"/>
      <c r="F36" s="3256"/>
      <c r="G36" s="3614"/>
      <c r="H36" s="3256"/>
      <c r="I36" s="3256"/>
      <c r="J36" s="3256"/>
      <c r="K36" s="3256"/>
      <c r="L36" s="3142" t="str">
        <f t="shared" si="0"/>
        <v/>
      </c>
      <c r="M36" s="3183"/>
      <c r="N36" s="3140">
        <f t="shared" si="2"/>
        <v>0</v>
      </c>
      <c r="O36" s="3140">
        <f t="shared" si="8"/>
        <v>0</v>
      </c>
      <c r="Q36" s="3184">
        <f t="shared" si="9"/>
        <v>0</v>
      </c>
      <c r="T36" s="3184">
        <f t="shared" si="4"/>
        <v>0</v>
      </c>
      <c r="U36" s="3184">
        <f t="shared" si="5"/>
        <v>0</v>
      </c>
      <c r="V36" s="3184">
        <f t="shared" si="6"/>
        <v>0</v>
      </c>
    </row>
    <row r="37" spans="1:22" x14ac:dyDescent="0.2">
      <c r="A37" s="3255">
        <f t="shared" si="7"/>
        <v>25</v>
      </c>
      <c r="B37" s="3256"/>
      <c r="C37" s="3257"/>
      <c r="D37" s="3258"/>
      <c r="E37" s="3257"/>
      <c r="F37" s="3256"/>
      <c r="G37" s="3614"/>
      <c r="H37" s="3256"/>
      <c r="I37" s="3256"/>
      <c r="J37" s="3256"/>
      <c r="K37" s="3256"/>
      <c r="L37" s="3142" t="str">
        <f t="shared" si="0"/>
        <v/>
      </c>
      <c r="M37" s="3183"/>
      <c r="N37" s="3140">
        <f t="shared" si="2"/>
        <v>0</v>
      </c>
      <c r="O37" s="3140">
        <f t="shared" si="8"/>
        <v>0</v>
      </c>
      <c r="Q37" s="3184">
        <f t="shared" si="9"/>
        <v>0</v>
      </c>
      <c r="T37" s="3184">
        <f t="shared" si="4"/>
        <v>0</v>
      </c>
      <c r="U37" s="3184">
        <f t="shared" si="5"/>
        <v>0</v>
      </c>
      <c r="V37" s="3184">
        <f t="shared" si="6"/>
        <v>0</v>
      </c>
    </row>
    <row r="38" spans="1:22" x14ac:dyDescent="0.2">
      <c r="A38" s="3255">
        <f t="shared" si="7"/>
        <v>26</v>
      </c>
      <c r="B38" s="3256"/>
      <c r="C38" s="3257"/>
      <c r="D38" s="3258"/>
      <c r="E38" s="3257"/>
      <c r="F38" s="3256"/>
      <c r="G38" s="3614"/>
      <c r="H38" s="3256"/>
      <c r="I38" s="3256"/>
      <c r="J38" s="3256"/>
      <c r="K38" s="3256"/>
      <c r="L38" s="3142" t="str">
        <f t="shared" si="0"/>
        <v/>
      </c>
      <c r="M38" s="3183"/>
      <c r="N38" s="3140">
        <f t="shared" si="2"/>
        <v>0</v>
      </c>
      <c r="O38" s="3140">
        <f t="shared" si="8"/>
        <v>0</v>
      </c>
      <c r="Q38" s="3184">
        <f t="shared" si="9"/>
        <v>0</v>
      </c>
      <c r="T38" s="3184">
        <f t="shared" si="4"/>
        <v>0</v>
      </c>
      <c r="U38" s="3184">
        <f t="shared" si="5"/>
        <v>0</v>
      </c>
      <c r="V38" s="3184">
        <f t="shared" si="6"/>
        <v>0</v>
      </c>
    </row>
    <row r="39" spans="1:22" x14ac:dyDescent="0.2">
      <c r="A39" s="3255">
        <f t="shared" si="7"/>
        <v>27</v>
      </c>
      <c r="B39" s="3256"/>
      <c r="C39" s="3257"/>
      <c r="D39" s="3258"/>
      <c r="E39" s="3257"/>
      <c r="F39" s="3256"/>
      <c r="G39" s="3614"/>
      <c r="H39" s="3256"/>
      <c r="I39" s="3256"/>
      <c r="J39" s="3256"/>
      <c r="K39" s="3256"/>
      <c r="L39" s="3142" t="str">
        <f t="shared" si="0"/>
        <v/>
      </c>
      <c r="M39" s="3183"/>
      <c r="N39" s="3140">
        <f t="shared" si="2"/>
        <v>0</v>
      </c>
      <c r="O39" s="3140">
        <f t="shared" si="8"/>
        <v>0</v>
      </c>
      <c r="Q39" s="3184">
        <f t="shared" si="9"/>
        <v>0</v>
      </c>
      <c r="T39" s="3184">
        <f t="shared" si="4"/>
        <v>0</v>
      </c>
      <c r="U39" s="3184">
        <f t="shared" si="5"/>
        <v>0</v>
      </c>
      <c r="V39" s="3184">
        <f t="shared" si="6"/>
        <v>0</v>
      </c>
    </row>
    <row r="40" spans="1:22" x14ac:dyDescent="0.2">
      <c r="A40" s="3255">
        <f t="shared" si="7"/>
        <v>28</v>
      </c>
      <c r="B40" s="3256"/>
      <c r="C40" s="3257"/>
      <c r="D40" s="3258"/>
      <c r="E40" s="3257"/>
      <c r="F40" s="3256"/>
      <c r="G40" s="3614"/>
      <c r="H40" s="3256"/>
      <c r="I40" s="3256"/>
      <c r="J40" s="3256"/>
      <c r="K40" s="3256"/>
      <c r="L40" s="3142" t="str">
        <f t="shared" si="0"/>
        <v/>
      </c>
      <c r="M40" s="3183"/>
      <c r="N40" s="3140">
        <f t="shared" si="2"/>
        <v>0</v>
      </c>
      <c r="O40" s="3140">
        <f t="shared" si="8"/>
        <v>0</v>
      </c>
      <c r="Q40" s="3184">
        <f t="shared" si="9"/>
        <v>0</v>
      </c>
      <c r="T40" s="3184">
        <f t="shared" si="4"/>
        <v>0</v>
      </c>
      <c r="U40" s="3184">
        <f t="shared" si="5"/>
        <v>0</v>
      </c>
      <c r="V40" s="3184">
        <f t="shared" si="6"/>
        <v>0</v>
      </c>
    </row>
    <row r="41" spans="1:22" x14ac:dyDescent="0.2">
      <c r="A41" s="3255">
        <f t="shared" si="7"/>
        <v>29</v>
      </c>
      <c r="B41" s="3256"/>
      <c r="C41" s="3257"/>
      <c r="D41" s="3258"/>
      <c r="E41" s="3257"/>
      <c r="F41" s="3256"/>
      <c r="G41" s="3614"/>
      <c r="H41" s="3256"/>
      <c r="I41" s="3256"/>
      <c r="J41" s="3256"/>
      <c r="K41" s="3256"/>
      <c r="L41" s="3142" t="str">
        <f t="shared" si="0"/>
        <v/>
      </c>
      <c r="M41" s="3183"/>
      <c r="N41" s="3140">
        <f t="shared" si="2"/>
        <v>0</v>
      </c>
      <c r="O41" s="3140">
        <f t="shared" si="8"/>
        <v>0</v>
      </c>
      <c r="Q41" s="3184">
        <f t="shared" si="9"/>
        <v>0</v>
      </c>
      <c r="T41" s="3184">
        <f t="shared" si="4"/>
        <v>0</v>
      </c>
      <c r="U41" s="3184">
        <f t="shared" si="5"/>
        <v>0</v>
      </c>
      <c r="V41" s="3184">
        <f t="shared" si="6"/>
        <v>0</v>
      </c>
    </row>
    <row r="42" spans="1:22" x14ac:dyDescent="0.2">
      <c r="A42" s="3255">
        <f t="shared" si="7"/>
        <v>30</v>
      </c>
      <c r="B42" s="3256"/>
      <c r="C42" s="3257"/>
      <c r="D42" s="3258"/>
      <c r="E42" s="3257"/>
      <c r="F42" s="3256"/>
      <c r="G42" s="3614"/>
      <c r="H42" s="3256"/>
      <c r="I42" s="3256"/>
      <c r="J42" s="3256"/>
      <c r="K42" s="3256"/>
      <c r="L42" s="3142" t="str">
        <f t="shared" si="0"/>
        <v/>
      </c>
      <c r="M42" s="3183"/>
      <c r="N42" s="3140">
        <f t="shared" si="2"/>
        <v>0</v>
      </c>
      <c r="O42" s="3140">
        <f t="shared" si="8"/>
        <v>0</v>
      </c>
      <c r="Q42" s="3184">
        <f t="shared" si="9"/>
        <v>0</v>
      </c>
      <c r="T42" s="3184">
        <f t="shared" si="4"/>
        <v>0</v>
      </c>
      <c r="U42" s="3184">
        <f t="shared" si="5"/>
        <v>0</v>
      </c>
      <c r="V42" s="3184">
        <f t="shared" si="6"/>
        <v>0</v>
      </c>
    </row>
    <row r="43" spans="1:22" x14ac:dyDescent="0.2">
      <c r="A43" s="3255">
        <f t="shared" si="7"/>
        <v>31</v>
      </c>
      <c r="B43" s="3256"/>
      <c r="C43" s="3257"/>
      <c r="D43" s="3258"/>
      <c r="E43" s="3257"/>
      <c r="F43" s="3256"/>
      <c r="G43" s="3614"/>
      <c r="H43" s="3256"/>
      <c r="I43" s="3256"/>
      <c r="J43" s="3256"/>
      <c r="K43" s="3256"/>
      <c r="L43" s="3142" t="str">
        <f t="shared" si="0"/>
        <v/>
      </c>
      <c r="M43" s="3183"/>
      <c r="N43" s="3140">
        <f t="shared" si="2"/>
        <v>0</v>
      </c>
      <c r="O43" s="3140">
        <f t="shared" si="8"/>
        <v>0</v>
      </c>
      <c r="Q43" s="3184">
        <f t="shared" si="9"/>
        <v>0</v>
      </c>
      <c r="T43" s="3184">
        <f t="shared" si="4"/>
        <v>0</v>
      </c>
      <c r="U43" s="3184">
        <f t="shared" si="5"/>
        <v>0</v>
      </c>
      <c r="V43" s="3184">
        <f t="shared" si="6"/>
        <v>0</v>
      </c>
    </row>
    <row r="44" spans="1:22" x14ac:dyDescent="0.2">
      <c r="A44" s="3255">
        <f t="shared" si="7"/>
        <v>32</v>
      </c>
      <c r="B44" s="3256"/>
      <c r="C44" s="3257"/>
      <c r="D44" s="3258"/>
      <c r="E44" s="3257"/>
      <c r="F44" s="3256"/>
      <c r="G44" s="3614"/>
      <c r="H44" s="3256"/>
      <c r="I44" s="3256"/>
      <c r="J44" s="3256"/>
      <c r="K44" s="3256"/>
      <c r="L44" s="3142" t="str">
        <f t="shared" si="0"/>
        <v/>
      </c>
      <c r="M44" s="3183"/>
      <c r="N44" s="3140">
        <f t="shared" si="2"/>
        <v>0</v>
      </c>
      <c r="O44" s="3140">
        <f t="shared" si="8"/>
        <v>0</v>
      </c>
      <c r="Q44" s="3184">
        <f t="shared" si="9"/>
        <v>0</v>
      </c>
      <c r="T44" s="3184">
        <f t="shared" si="4"/>
        <v>0</v>
      </c>
      <c r="U44" s="3184">
        <f t="shared" si="5"/>
        <v>0</v>
      </c>
      <c r="V44" s="3184">
        <f t="shared" si="6"/>
        <v>0</v>
      </c>
    </row>
    <row r="45" spans="1:22" x14ac:dyDescent="0.2">
      <c r="A45" s="3255">
        <f t="shared" si="7"/>
        <v>33</v>
      </c>
      <c r="B45" s="3256"/>
      <c r="C45" s="3257"/>
      <c r="D45" s="3258"/>
      <c r="E45" s="3257"/>
      <c r="F45" s="3256"/>
      <c r="G45" s="3614"/>
      <c r="H45" s="3256"/>
      <c r="I45" s="3256"/>
      <c r="J45" s="3256"/>
      <c r="K45" s="3256"/>
      <c r="L45" s="3142" t="str">
        <f t="shared" si="0"/>
        <v/>
      </c>
      <c r="M45" s="3183"/>
      <c r="N45" s="3140">
        <f t="shared" si="2"/>
        <v>0</v>
      </c>
      <c r="O45" s="3140">
        <f t="shared" si="8"/>
        <v>0</v>
      </c>
      <c r="Q45" s="3184">
        <f t="shared" si="9"/>
        <v>0</v>
      </c>
      <c r="T45" s="3184">
        <f t="shared" si="4"/>
        <v>0</v>
      </c>
      <c r="U45" s="3184">
        <f t="shared" si="5"/>
        <v>0</v>
      </c>
      <c r="V45" s="3184">
        <f t="shared" si="6"/>
        <v>0</v>
      </c>
    </row>
    <row r="46" spans="1:22" x14ac:dyDescent="0.2">
      <c r="A46" s="3255">
        <f t="shared" si="7"/>
        <v>34</v>
      </c>
      <c r="B46" s="3256"/>
      <c r="C46" s="3257"/>
      <c r="D46" s="3258"/>
      <c r="E46" s="3257"/>
      <c r="F46" s="3256"/>
      <c r="G46" s="3614"/>
      <c r="H46" s="3256"/>
      <c r="I46" s="3256"/>
      <c r="J46" s="3256"/>
      <c r="K46" s="3256"/>
      <c r="L46" s="3142" t="str">
        <f t="shared" si="0"/>
        <v/>
      </c>
      <c r="M46" s="3183"/>
      <c r="N46" s="3140">
        <f t="shared" si="2"/>
        <v>0</v>
      </c>
      <c r="O46" s="3140">
        <f t="shared" si="8"/>
        <v>0</v>
      </c>
      <c r="Q46" s="3184">
        <f t="shared" si="9"/>
        <v>0</v>
      </c>
      <c r="T46" s="3184">
        <f t="shared" si="4"/>
        <v>0</v>
      </c>
      <c r="U46" s="3184">
        <f t="shared" si="5"/>
        <v>0</v>
      </c>
      <c r="V46" s="3184">
        <f t="shared" si="6"/>
        <v>0</v>
      </c>
    </row>
    <row r="47" spans="1:22" x14ac:dyDescent="0.2">
      <c r="A47" s="3255">
        <f t="shared" si="7"/>
        <v>35</v>
      </c>
      <c r="B47" s="3256"/>
      <c r="C47" s="3257"/>
      <c r="D47" s="3258"/>
      <c r="E47" s="3257"/>
      <c r="F47" s="3256"/>
      <c r="G47" s="3614"/>
      <c r="H47" s="3256"/>
      <c r="I47" s="3256"/>
      <c r="J47" s="3256"/>
      <c r="K47" s="3256"/>
      <c r="L47" s="3142" t="str">
        <f t="shared" si="0"/>
        <v/>
      </c>
      <c r="M47" s="3183"/>
      <c r="N47" s="3140">
        <f t="shared" si="2"/>
        <v>0</v>
      </c>
      <c r="O47" s="3140">
        <f t="shared" si="8"/>
        <v>0</v>
      </c>
      <c r="Q47" s="3184">
        <f t="shared" si="9"/>
        <v>0</v>
      </c>
      <c r="T47" s="3184">
        <f t="shared" si="4"/>
        <v>0</v>
      </c>
      <c r="U47" s="3184">
        <f t="shared" si="5"/>
        <v>0</v>
      </c>
      <c r="V47" s="3184">
        <f t="shared" si="6"/>
        <v>0</v>
      </c>
    </row>
    <row r="48" spans="1:22" x14ac:dyDescent="0.2">
      <c r="A48" s="3255">
        <f t="shared" si="7"/>
        <v>36</v>
      </c>
      <c r="B48" s="3256"/>
      <c r="C48" s="3257"/>
      <c r="D48" s="3258"/>
      <c r="E48" s="3257"/>
      <c r="F48" s="3256"/>
      <c r="G48" s="3614"/>
      <c r="H48" s="3256"/>
      <c r="I48" s="3256"/>
      <c r="J48" s="3256"/>
      <c r="K48" s="3256"/>
      <c r="L48" s="3142" t="str">
        <f t="shared" si="0"/>
        <v/>
      </c>
      <c r="M48" s="3183"/>
      <c r="N48" s="3140">
        <f t="shared" si="2"/>
        <v>0</v>
      </c>
      <c r="O48" s="3140">
        <f t="shared" si="8"/>
        <v>0</v>
      </c>
      <c r="Q48" s="3184">
        <f t="shared" si="9"/>
        <v>0</v>
      </c>
      <c r="T48" s="3184">
        <f t="shared" si="4"/>
        <v>0</v>
      </c>
      <c r="U48" s="3184">
        <f t="shared" si="5"/>
        <v>0</v>
      </c>
      <c r="V48" s="3184">
        <f t="shared" si="6"/>
        <v>0</v>
      </c>
    </row>
    <row r="49" spans="1:22" x14ac:dyDescent="0.2">
      <c r="A49" s="3255">
        <f t="shared" si="7"/>
        <v>37</v>
      </c>
      <c r="B49" s="3256"/>
      <c r="C49" s="3257"/>
      <c r="D49" s="3258"/>
      <c r="E49" s="3257"/>
      <c r="F49" s="3256"/>
      <c r="G49" s="3614"/>
      <c r="H49" s="3256"/>
      <c r="I49" s="3256"/>
      <c r="J49" s="3256"/>
      <c r="K49" s="3256"/>
      <c r="L49" s="3142" t="str">
        <f t="shared" si="0"/>
        <v/>
      </c>
      <c r="M49" s="3183"/>
      <c r="N49" s="3140">
        <f t="shared" si="2"/>
        <v>0</v>
      </c>
      <c r="O49" s="3140">
        <f t="shared" si="8"/>
        <v>0</v>
      </c>
      <c r="Q49" s="3184">
        <f t="shared" si="9"/>
        <v>0</v>
      </c>
      <c r="T49" s="3184">
        <f t="shared" si="4"/>
        <v>0</v>
      </c>
      <c r="U49" s="3184">
        <f t="shared" si="5"/>
        <v>0</v>
      </c>
      <c r="V49" s="3184">
        <f t="shared" si="6"/>
        <v>0</v>
      </c>
    </row>
    <row r="50" spans="1:22" x14ac:dyDescent="0.2">
      <c r="A50" s="3255">
        <f t="shared" si="7"/>
        <v>38</v>
      </c>
      <c r="B50" s="3256"/>
      <c r="C50" s="3257"/>
      <c r="D50" s="3258"/>
      <c r="E50" s="3257"/>
      <c r="F50" s="3256"/>
      <c r="G50" s="3614"/>
      <c r="H50" s="3256"/>
      <c r="I50" s="3256"/>
      <c r="J50" s="3256"/>
      <c r="K50" s="3256"/>
      <c r="L50" s="3142" t="str">
        <f t="shared" si="0"/>
        <v/>
      </c>
      <c r="M50" s="3183"/>
      <c r="N50" s="3140">
        <f t="shared" si="2"/>
        <v>0</v>
      </c>
      <c r="O50" s="3140">
        <f t="shared" si="8"/>
        <v>0</v>
      </c>
      <c r="Q50" s="3184">
        <f t="shared" si="9"/>
        <v>0</v>
      </c>
      <c r="T50" s="3184">
        <f t="shared" si="4"/>
        <v>0</v>
      </c>
      <c r="U50" s="3184">
        <f t="shared" si="5"/>
        <v>0</v>
      </c>
      <c r="V50" s="3184">
        <f t="shared" si="6"/>
        <v>0</v>
      </c>
    </row>
    <row r="51" spans="1:22" x14ac:dyDescent="0.2">
      <c r="A51" s="3255">
        <f t="shared" si="7"/>
        <v>39</v>
      </c>
      <c r="B51" s="3256"/>
      <c r="C51" s="3257"/>
      <c r="D51" s="3258"/>
      <c r="E51" s="3257"/>
      <c r="F51" s="3256"/>
      <c r="G51" s="3614"/>
      <c r="H51" s="3256"/>
      <c r="I51" s="3256"/>
      <c r="J51" s="3256"/>
      <c r="K51" s="3256"/>
      <c r="L51" s="3142" t="str">
        <f t="shared" si="0"/>
        <v/>
      </c>
      <c r="M51" s="3183"/>
      <c r="N51" s="3140">
        <f t="shared" si="2"/>
        <v>0</v>
      </c>
      <c r="O51" s="3140">
        <f t="shared" si="8"/>
        <v>0</v>
      </c>
      <c r="Q51" s="3184">
        <f t="shared" si="9"/>
        <v>0</v>
      </c>
      <c r="T51" s="3184">
        <f t="shared" si="4"/>
        <v>0</v>
      </c>
      <c r="U51" s="3184">
        <f t="shared" si="5"/>
        <v>0</v>
      </c>
      <c r="V51" s="3184">
        <f t="shared" si="6"/>
        <v>0</v>
      </c>
    </row>
    <row r="52" spans="1:22" x14ac:dyDescent="0.2">
      <c r="A52" s="3255">
        <f t="shared" si="7"/>
        <v>40</v>
      </c>
      <c r="B52" s="3256"/>
      <c r="C52" s="3257"/>
      <c r="D52" s="3258"/>
      <c r="E52" s="3257"/>
      <c r="F52" s="3256"/>
      <c r="G52" s="3614"/>
      <c r="H52" s="3256"/>
      <c r="I52" s="3256"/>
      <c r="J52" s="3256"/>
      <c r="K52" s="3256"/>
      <c r="L52" s="3142" t="str">
        <f t="shared" si="0"/>
        <v/>
      </c>
      <c r="M52" s="3183"/>
      <c r="N52" s="3140">
        <f t="shared" si="2"/>
        <v>0</v>
      </c>
      <c r="O52" s="3140">
        <f t="shared" si="8"/>
        <v>0</v>
      </c>
      <c r="Q52" s="3184">
        <f t="shared" si="9"/>
        <v>0</v>
      </c>
      <c r="T52" s="3184">
        <f t="shared" si="4"/>
        <v>0</v>
      </c>
      <c r="U52" s="3184">
        <f t="shared" si="5"/>
        <v>0</v>
      </c>
      <c r="V52" s="3184">
        <f t="shared" si="6"/>
        <v>0</v>
      </c>
    </row>
    <row r="53" spans="1:22" x14ac:dyDescent="0.2">
      <c r="A53" s="3255">
        <f t="shared" si="7"/>
        <v>41</v>
      </c>
      <c r="B53" s="3256"/>
      <c r="C53" s="3257"/>
      <c r="D53" s="3258"/>
      <c r="E53" s="3257"/>
      <c r="F53" s="3256"/>
      <c r="G53" s="3614"/>
      <c r="H53" s="3256"/>
      <c r="I53" s="3256"/>
      <c r="J53" s="3256"/>
      <c r="K53" s="3256"/>
      <c r="L53" s="3142" t="str">
        <f t="shared" si="0"/>
        <v/>
      </c>
      <c r="M53" s="3183"/>
      <c r="N53" s="3140">
        <f t="shared" si="2"/>
        <v>0</v>
      </c>
      <c r="O53" s="3140">
        <f t="shared" si="8"/>
        <v>0</v>
      </c>
      <c r="Q53" s="3184">
        <f t="shared" si="9"/>
        <v>0</v>
      </c>
      <c r="T53" s="3184">
        <f t="shared" si="4"/>
        <v>0</v>
      </c>
      <c r="U53" s="3184">
        <f t="shared" si="5"/>
        <v>0</v>
      </c>
      <c r="V53" s="3184">
        <f t="shared" si="6"/>
        <v>0</v>
      </c>
    </row>
    <row r="54" spans="1:22" x14ac:dyDescent="0.2">
      <c r="A54" s="3255">
        <f t="shared" si="7"/>
        <v>42</v>
      </c>
      <c r="B54" s="3256"/>
      <c r="C54" s="3257"/>
      <c r="D54" s="3258"/>
      <c r="E54" s="3257"/>
      <c r="F54" s="3256"/>
      <c r="G54" s="3614"/>
      <c r="H54" s="3256"/>
      <c r="I54" s="3256"/>
      <c r="J54" s="3256"/>
      <c r="K54" s="3256"/>
      <c r="L54" s="3142" t="str">
        <f t="shared" si="0"/>
        <v/>
      </c>
      <c r="M54" s="3183"/>
      <c r="N54" s="3140">
        <f t="shared" si="2"/>
        <v>0</v>
      </c>
      <c r="O54" s="3140">
        <f t="shared" si="8"/>
        <v>0</v>
      </c>
      <c r="Q54" s="3184">
        <f t="shared" si="9"/>
        <v>0</v>
      </c>
      <c r="T54" s="3184">
        <f t="shared" si="4"/>
        <v>0</v>
      </c>
      <c r="U54" s="3184">
        <f t="shared" si="5"/>
        <v>0</v>
      </c>
      <c r="V54" s="3184">
        <f t="shared" si="6"/>
        <v>0</v>
      </c>
    </row>
    <row r="55" spans="1:22" x14ac:dyDescent="0.2">
      <c r="A55" s="3255">
        <f t="shared" si="7"/>
        <v>43</v>
      </c>
      <c r="B55" s="3256"/>
      <c r="C55" s="3257"/>
      <c r="D55" s="3258"/>
      <c r="E55" s="3257"/>
      <c r="F55" s="3256"/>
      <c r="G55" s="3614"/>
      <c r="H55" s="3256"/>
      <c r="I55" s="3256"/>
      <c r="J55" s="3256"/>
      <c r="K55" s="3256"/>
      <c r="L55" s="3142" t="str">
        <f t="shared" si="0"/>
        <v/>
      </c>
      <c r="M55" s="3183"/>
      <c r="N55" s="3140">
        <f t="shared" si="2"/>
        <v>0</v>
      </c>
      <c r="O55" s="3140">
        <f t="shared" si="8"/>
        <v>0</v>
      </c>
      <c r="Q55" s="3184">
        <f t="shared" si="9"/>
        <v>0</v>
      </c>
      <c r="T55" s="3184">
        <f t="shared" si="4"/>
        <v>0</v>
      </c>
      <c r="U55" s="3184">
        <f t="shared" si="5"/>
        <v>0</v>
      </c>
      <c r="V55" s="3184">
        <f t="shared" si="6"/>
        <v>0</v>
      </c>
    </row>
    <row r="56" spans="1:22" x14ac:dyDescent="0.2">
      <c r="A56" s="3255">
        <f t="shared" si="7"/>
        <v>44</v>
      </c>
      <c r="B56" s="3256"/>
      <c r="C56" s="3257"/>
      <c r="D56" s="3258"/>
      <c r="E56" s="3257"/>
      <c r="F56" s="3256"/>
      <c r="G56" s="3614"/>
      <c r="H56" s="3256"/>
      <c r="I56" s="3256"/>
      <c r="J56" s="3256"/>
      <c r="K56" s="3256"/>
      <c r="L56" s="3142" t="str">
        <f t="shared" si="0"/>
        <v/>
      </c>
      <c r="M56" s="3183"/>
      <c r="N56" s="3140">
        <f t="shared" si="2"/>
        <v>0</v>
      </c>
      <c r="O56" s="3140">
        <f t="shared" si="8"/>
        <v>0</v>
      </c>
      <c r="Q56" s="3184">
        <f t="shared" si="9"/>
        <v>0</v>
      </c>
      <c r="T56" s="3184">
        <f t="shared" si="4"/>
        <v>0</v>
      </c>
      <c r="U56" s="3184">
        <f t="shared" si="5"/>
        <v>0</v>
      </c>
      <c r="V56" s="3184">
        <f t="shared" si="6"/>
        <v>0</v>
      </c>
    </row>
    <row r="57" spans="1:22" x14ac:dyDescent="0.2">
      <c r="A57" s="3255">
        <f t="shared" si="7"/>
        <v>45</v>
      </c>
      <c r="B57" s="3256"/>
      <c r="C57" s="3257"/>
      <c r="D57" s="3258"/>
      <c r="E57" s="3257"/>
      <c r="F57" s="3256"/>
      <c r="G57" s="3614"/>
      <c r="H57" s="3256"/>
      <c r="I57" s="3256"/>
      <c r="J57" s="3256"/>
      <c r="K57" s="3256"/>
      <c r="L57" s="3142" t="str">
        <f t="shared" si="0"/>
        <v/>
      </c>
      <c r="M57" s="3183"/>
      <c r="N57" s="3140">
        <f t="shared" si="2"/>
        <v>0</v>
      </c>
      <c r="O57" s="3140">
        <f t="shared" si="8"/>
        <v>0</v>
      </c>
      <c r="Q57" s="3184">
        <f t="shared" si="9"/>
        <v>0</v>
      </c>
      <c r="T57" s="3184">
        <f t="shared" si="4"/>
        <v>0</v>
      </c>
      <c r="U57" s="3184">
        <f t="shared" si="5"/>
        <v>0</v>
      </c>
      <c r="V57" s="3184">
        <f t="shared" si="6"/>
        <v>0</v>
      </c>
    </row>
    <row r="58" spans="1:22" x14ac:dyDescent="0.2">
      <c r="A58" s="3255">
        <f t="shared" si="7"/>
        <v>46</v>
      </c>
      <c r="B58" s="3256"/>
      <c r="C58" s="3257"/>
      <c r="D58" s="3258"/>
      <c r="E58" s="3257"/>
      <c r="F58" s="3256"/>
      <c r="G58" s="3614"/>
      <c r="H58" s="3256"/>
      <c r="I58" s="3256"/>
      <c r="J58" s="3256"/>
      <c r="K58" s="3256"/>
      <c r="L58" s="3142" t="str">
        <f t="shared" si="0"/>
        <v/>
      </c>
      <c r="M58" s="3183"/>
      <c r="N58" s="3140">
        <f t="shared" si="2"/>
        <v>0</v>
      </c>
      <c r="O58" s="3140">
        <f t="shared" si="8"/>
        <v>0</v>
      </c>
      <c r="Q58" s="3184">
        <f t="shared" si="9"/>
        <v>0</v>
      </c>
      <c r="T58" s="3184">
        <f t="shared" si="4"/>
        <v>0</v>
      </c>
      <c r="U58" s="3184">
        <f t="shared" si="5"/>
        <v>0</v>
      </c>
      <c r="V58" s="3184">
        <f t="shared" si="6"/>
        <v>0</v>
      </c>
    </row>
    <row r="59" spans="1:22" x14ac:dyDescent="0.2">
      <c r="A59" s="3255">
        <f t="shared" si="7"/>
        <v>47</v>
      </c>
      <c r="B59" s="3256"/>
      <c r="C59" s="3257"/>
      <c r="D59" s="3258"/>
      <c r="E59" s="3257"/>
      <c r="F59" s="3256"/>
      <c r="G59" s="3614"/>
      <c r="H59" s="3256"/>
      <c r="I59" s="3256"/>
      <c r="J59" s="3256"/>
      <c r="K59" s="3256"/>
      <c r="L59" s="3142" t="str">
        <f t="shared" si="0"/>
        <v/>
      </c>
      <c r="M59" s="3183"/>
      <c r="N59" s="3140">
        <f t="shared" si="2"/>
        <v>0</v>
      </c>
      <c r="O59" s="3140">
        <f t="shared" si="8"/>
        <v>0</v>
      </c>
      <c r="Q59" s="3184">
        <f t="shared" si="9"/>
        <v>0</v>
      </c>
      <c r="T59" s="3184">
        <f t="shared" si="4"/>
        <v>0</v>
      </c>
      <c r="U59" s="3184">
        <f t="shared" si="5"/>
        <v>0</v>
      </c>
      <c r="V59" s="3184">
        <f t="shared" si="6"/>
        <v>0</v>
      </c>
    </row>
    <row r="60" spans="1:22" x14ac:dyDescent="0.2">
      <c r="A60" s="3255">
        <f t="shared" si="7"/>
        <v>48</v>
      </c>
      <c r="B60" s="3256"/>
      <c r="C60" s="3257"/>
      <c r="D60" s="3258"/>
      <c r="E60" s="3257"/>
      <c r="F60" s="3256"/>
      <c r="G60" s="3614"/>
      <c r="H60" s="3256"/>
      <c r="I60" s="3256"/>
      <c r="J60" s="3256"/>
      <c r="K60" s="3256"/>
      <c r="L60" s="3142" t="str">
        <f t="shared" si="0"/>
        <v/>
      </c>
      <c r="M60" s="3183"/>
      <c r="N60" s="3140">
        <f t="shared" si="2"/>
        <v>0</v>
      </c>
      <c r="O60" s="3140">
        <f t="shared" si="8"/>
        <v>0</v>
      </c>
      <c r="Q60" s="3184">
        <f t="shared" si="9"/>
        <v>0</v>
      </c>
      <c r="T60" s="3184">
        <f t="shared" si="4"/>
        <v>0</v>
      </c>
      <c r="U60" s="3184">
        <f t="shared" si="5"/>
        <v>0</v>
      </c>
      <c r="V60" s="3184">
        <f t="shared" si="6"/>
        <v>0</v>
      </c>
    </row>
    <row r="61" spans="1:22" x14ac:dyDescent="0.2">
      <c r="A61" s="3255">
        <f t="shared" si="7"/>
        <v>49</v>
      </c>
      <c r="B61" s="3256"/>
      <c r="C61" s="3257"/>
      <c r="D61" s="3258"/>
      <c r="E61" s="3257"/>
      <c r="F61" s="3256"/>
      <c r="G61" s="3614"/>
      <c r="H61" s="3256"/>
      <c r="I61" s="3256"/>
      <c r="J61" s="3256"/>
      <c r="K61" s="3256"/>
      <c r="L61" s="3142" t="str">
        <f t="shared" si="0"/>
        <v/>
      </c>
      <c r="M61" s="3183"/>
      <c r="N61" s="3140">
        <f t="shared" si="2"/>
        <v>0</v>
      </c>
      <c r="O61" s="3140">
        <f t="shared" si="8"/>
        <v>0</v>
      </c>
      <c r="Q61" s="3184">
        <f t="shared" si="9"/>
        <v>0</v>
      </c>
      <c r="T61" s="3184">
        <f t="shared" si="4"/>
        <v>0</v>
      </c>
      <c r="U61" s="3184">
        <f t="shared" si="5"/>
        <v>0</v>
      </c>
      <c r="V61" s="3184">
        <f t="shared" si="6"/>
        <v>0</v>
      </c>
    </row>
    <row r="62" spans="1:22" x14ac:dyDescent="0.2">
      <c r="A62" s="3255">
        <f t="shared" si="7"/>
        <v>50</v>
      </c>
      <c r="B62" s="3256"/>
      <c r="C62" s="3257"/>
      <c r="D62" s="3258"/>
      <c r="E62" s="3257"/>
      <c r="F62" s="3256"/>
      <c r="G62" s="3614"/>
      <c r="H62" s="3256"/>
      <c r="I62" s="3256"/>
      <c r="J62" s="3256"/>
      <c r="K62" s="3256"/>
      <c r="L62" s="3142" t="str">
        <f t="shared" si="0"/>
        <v/>
      </c>
      <c r="M62" s="3183"/>
      <c r="N62" s="3140">
        <f t="shared" si="2"/>
        <v>0</v>
      </c>
      <c r="O62" s="3140">
        <f t="shared" si="8"/>
        <v>0</v>
      </c>
      <c r="Q62" s="3184">
        <f t="shared" si="9"/>
        <v>0</v>
      </c>
      <c r="T62" s="3184">
        <f t="shared" si="4"/>
        <v>0</v>
      </c>
      <c r="U62" s="3184">
        <f t="shared" si="5"/>
        <v>0</v>
      </c>
      <c r="V62" s="3184">
        <f t="shared" si="6"/>
        <v>0</v>
      </c>
    </row>
    <row r="63" spans="1:22" hidden="1" x14ac:dyDescent="0.2">
      <c r="A63" s="3255">
        <f t="shared" si="7"/>
        <v>51</v>
      </c>
      <c r="B63" s="3256"/>
      <c r="C63" s="3257"/>
      <c r="D63" s="3258"/>
      <c r="E63" s="3257"/>
      <c r="F63" s="3256"/>
      <c r="G63" s="3614"/>
      <c r="H63" s="3256"/>
      <c r="I63" s="3256"/>
      <c r="J63" s="3256"/>
      <c r="K63" s="3256"/>
      <c r="L63" s="3142" t="str">
        <f t="shared" si="0"/>
        <v/>
      </c>
      <c r="M63" s="3183"/>
      <c r="N63" s="3140">
        <f t="shared" si="2"/>
        <v>0</v>
      </c>
      <c r="O63" s="3140">
        <f t="shared" si="8"/>
        <v>0</v>
      </c>
      <c r="Q63" s="3184">
        <f t="shared" si="9"/>
        <v>0</v>
      </c>
      <c r="T63" s="3184">
        <f t="shared" si="4"/>
        <v>0</v>
      </c>
      <c r="U63" s="3184">
        <f t="shared" si="5"/>
        <v>0</v>
      </c>
      <c r="V63" s="3184">
        <f t="shared" si="6"/>
        <v>0</v>
      </c>
    </row>
    <row r="64" spans="1:22" hidden="1" x14ac:dyDescent="0.2">
      <c r="A64" s="3255">
        <f t="shared" si="7"/>
        <v>52</v>
      </c>
      <c r="B64" s="3256"/>
      <c r="C64" s="3257"/>
      <c r="D64" s="3258"/>
      <c r="E64" s="3257"/>
      <c r="F64" s="3256"/>
      <c r="G64" s="3614"/>
      <c r="H64" s="3256"/>
      <c r="I64" s="3256"/>
      <c r="J64" s="3256"/>
      <c r="K64" s="3256"/>
      <c r="L64" s="3142" t="str">
        <f t="shared" si="0"/>
        <v/>
      </c>
      <c r="M64" s="3183"/>
      <c r="N64" s="3140">
        <f t="shared" si="2"/>
        <v>0</v>
      </c>
      <c r="O64" s="3140">
        <f t="shared" si="8"/>
        <v>0</v>
      </c>
      <c r="Q64" s="3184">
        <f t="shared" si="9"/>
        <v>0</v>
      </c>
      <c r="T64" s="3184">
        <f t="shared" si="4"/>
        <v>0</v>
      </c>
      <c r="U64" s="3184">
        <f t="shared" si="5"/>
        <v>0</v>
      </c>
      <c r="V64" s="3184">
        <f t="shared" si="6"/>
        <v>0</v>
      </c>
    </row>
    <row r="65" spans="1:22" hidden="1" x14ac:dyDescent="0.2">
      <c r="A65" s="3255">
        <f t="shared" si="7"/>
        <v>53</v>
      </c>
      <c r="B65" s="3256"/>
      <c r="C65" s="3257"/>
      <c r="D65" s="3258"/>
      <c r="E65" s="3257"/>
      <c r="F65" s="3256"/>
      <c r="G65" s="3614"/>
      <c r="H65" s="3256"/>
      <c r="I65" s="3256"/>
      <c r="J65" s="3256"/>
      <c r="K65" s="3256"/>
      <c r="L65" s="3142" t="str">
        <f t="shared" si="0"/>
        <v/>
      </c>
      <c r="M65" s="3183"/>
      <c r="N65" s="3140">
        <f t="shared" si="2"/>
        <v>0</v>
      </c>
      <c r="O65" s="3140">
        <f t="shared" si="8"/>
        <v>0</v>
      </c>
      <c r="Q65" s="3184">
        <f t="shared" si="9"/>
        <v>0</v>
      </c>
      <c r="T65" s="3184">
        <f t="shared" si="4"/>
        <v>0</v>
      </c>
      <c r="U65" s="3184">
        <f t="shared" si="5"/>
        <v>0</v>
      </c>
      <c r="V65" s="3184">
        <f t="shared" si="6"/>
        <v>0</v>
      </c>
    </row>
    <row r="66" spans="1:22" hidden="1" x14ac:dyDescent="0.2">
      <c r="A66" s="3255">
        <f t="shared" si="7"/>
        <v>54</v>
      </c>
      <c r="B66" s="3256"/>
      <c r="C66" s="3257"/>
      <c r="D66" s="3258"/>
      <c r="E66" s="3257"/>
      <c r="F66" s="3256"/>
      <c r="G66" s="3614"/>
      <c r="H66" s="3256"/>
      <c r="I66" s="3256"/>
      <c r="J66" s="3256"/>
      <c r="K66" s="3256"/>
      <c r="L66" s="3142" t="str">
        <f t="shared" si="0"/>
        <v/>
      </c>
      <c r="M66" s="3183"/>
      <c r="N66" s="3140">
        <f t="shared" si="2"/>
        <v>0</v>
      </c>
      <c r="O66" s="3140">
        <f t="shared" si="8"/>
        <v>0</v>
      </c>
      <c r="Q66" s="3184">
        <f t="shared" si="9"/>
        <v>0</v>
      </c>
      <c r="T66" s="3184">
        <f t="shared" si="4"/>
        <v>0</v>
      </c>
      <c r="U66" s="3184">
        <f t="shared" si="5"/>
        <v>0</v>
      </c>
      <c r="V66" s="3184">
        <f t="shared" si="6"/>
        <v>0</v>
      </c>
    </row>
    <row r="67" spans="1:22" hidden="1" x14ac:dyDescent="0.2">
      <c r="A67" s="3255">
        <f t="shared" si="7"/>
        <v>55</v>
      </c>
      <c r="B67" s="3256"/>
      <c r="C67" s="3257"/>
      <c r="D67" s="3258"/>
      <c r="E67" s="3257"/>
      <c r="F67" s="3256"/>
      <c r="G67" s="3614"/>
      <c r="H67" s="3256"/>
      <c r="I67" s="3256"/>
      <c r="J67" s="3256"/>
      <c r="K67" s="3256"/>
      <c r="L67" s="3142" t="str">
        <f t="shared" si="0"/>
        <v/>
      </c>
      <c r="M67" s="3183"/>
      <c r="N67" s="3140">
        <f t="shared" si="2"/>
        <v>0</v>
      </c>
      <c r="O67" s="3140">
        <f t="shared" si="8"/>
        <v>0</v>
      </c>
      <c r="Q67" s="3184">
        <f t="shared" si="9"/>
        <v>0</v>
      </c>
      <c r="T67" s="3184">
        <f t="shared" si="4"/>
        <v>0</v>
      </c>
      <c r="U67" s="3184">
        <f t="shared" si="5"/>
        <v>0</v>
      </c>
      <c r="V67" s="3184">
        <f t="shared" si="6"/>
        <v>0</v>
      </c>
    </row>
    <row r="68" spans="1:22" hidden="1" x14ac:dyDescent="0.2">
      <c r="A68" s="3255">
        <f t="shared" si="7"/>
        <v>56</v>
      </c>
      <c r="B68" s="3256"/>
      <c r="C68" s="3257"/>
      <c r="D68" s="3258"/>
      <c r="E68" s="3257"/>
      <c r="F68" s="3256"/>
      <c r="G68" s="3614"/>
      <c r="H68" s="3256"/>
      <c r="I68" s="3256"/>
      <c r="J68" s="3256"/>
      <c r="K68" s="3256"/>
      <c r="L68" s="3142" t="str">
        <f t="shared" si="0"/>
        <v/>
      </c>
      <c r="M68" s="3183"/>
      <c r="N68" s="3140">
        <f t="shared" si="2"/>
        <v>0</v>
      </c>
      <c r="O68" s="3140">
        <f t="shared" si="8"/>
        <v>0</v>
      </c>
      <c r="Q68" s="3184">
        <f t="shared" si="9"/>
        <v>0</v>
      </c>
      <c r="T68" s="3184">
        <f t="shared" si="4"/>
        <v>0</v>
      </c>
      <c r="U68" s="3184">
        <f t="shared" si="5"/>
        <v>0</v>
      </c>
      <c r="V68" s="3184">
        <f t="shared" si="6"/>
        <v>0</v>
      </c>
    </row>
    <row r="69" spans="1:22" hidden="1" x14ac:dyDescent="0.2">
      <c r="A69" s="3255">
        <f t="shared" si="7"/>
        <v>57</v>
      </c>
      <c r="B69" s="3256"/>
      <c r="C69" s="3257"/>
      <c r="D69" s="3258"/>
      <c r="E69" s="3257"/>
      <c r="F69" s="3256"/>
      <c r="G69" s="3614"/>
      <c r="H69" s="3256"/>
      <c r="I69" s="3256"/>
      <c r="J69" s="3256"/>
      <c r="K69" s="3256"/>
      <c r="L69" s="3142" t="str">
        <f t="shared" si="0"/>
        <v/>
      </c>
      <c r="M69" s="3183"/>
      <c r="N69" s="3140">
        <f t="shared" si="2"/>
        <v>0</v>
      </c>
      <c r="O69" s="3140">
        <f t="shared" si="8"/>
        <v>0</v>
      </c>
      <c r="Q69" s="3184">
        <f t="shared" si="9"/>
        <v>0</v>
      </c>
      <c r="T69" s="3184">
        <f t="shared" si="4"/>
        <v>0</v>
      </c>
      <c r="U69" s="3184">
        <f t="shared" si="5"/>
        <v>0</v>
      </c>
      <c r="V69" s="3184">
        <f t="shared" si="6"/>
        <v>0</v>
      </c>
    </row>
    <row r="70" spans="1:22" hidden="1" x14ac:dyDescent="0.2">
      <c r="A70" s="3255">
        <f t="shared" si="7"/>
        <v>58</v>
      </c>
      <c r="B70" s="3256"/>
      <c r="C70" s="3257"/>
      <c r="D70" s="3258"/>
      <c r="E70" s="3257"/>
      <c r="F70" s="3256"/>
      <c r="G70" s="3614"/>
      <c r="H70" s="3256"/>
      <c r="I70" s="3256"/>
      <c r="J70" s="3256"/>
      <c r="K70" s="3256"/>
      <c r="L70" s="3142" t="str">
        <f t="shared" si="0"/>
        <v/>
      </c>
      <c r="M70" s="3183"/>
      <c r="N70" s="3140">
        <f t="shared" si="2"/>
        <v>0</v>
      </c>
      <c r="O70" s="3140">
        <f t="shared" si="8"/>
        <v>0</v>
      </c>
      <c r="Q70" s="3184">
        <f t="shared" si="9"/>
        <v>0</v>
      </c>
      <c r="T70" s="3184">
        <f t="shared" si="4"/>
        <v>0</v>
      </c>
      <c r="U70" s="3184">
        <f t="shared" si="5"/>
        <v>0</v>
      </c>
      <c r="V70" s="3184">
        <f t="shared" si="6"/>
        <v>0</v>
      </c>
    </row>
    <row r="71" spans="1:22" hidden="1" x14ac:dyDescent="0.2">
      <c r="A71" s="3255">
        <f t="shared" si="7"/>
        <v>59</v>
      </c>
      <c r="B71" s="3256"/>
      <c r="C71" s="3257"/>
      <c r="D71" s="3258"/>
      <c r="E71" s="3257"/>
      <c r="F71" s="3256"/>
      <c r="G71" s="3614"/>
      <c r="H71" s="3256"/>
      <c r="I71" s="3256"/>
      <c r="J71" s="3256"/>
      <c r="K71" s="3256"/>
      <c r="L71" s="3142" t="str">
        <f t="shared" si="0"/>
        <v/>
      </c>
      <c r="M71" s="3183"/>
      <c r="N71" s="3140">
        <f t="shared" si="2"/>
        <v>0</v>
      </c>
      <c r="O71" s="3140">
        <f t="shared" si="8"/>
        <v>0</v>
      </c>
      <c r="Q71" s="3184">
        <f t="shared" si="9"/>
        <v>0</v>
      </c>
      <c r="T71" s="3184">
        <f t="shared" si="4"/>
        <v>0</v>
      </c>
      <c r="U71" s="3184">
        <f t="shared" si="5"/>
        <v>0</v>
      </c>
      <c r="V71" s="3184">
        <f t="shared" si="6"/>
        <v>0</v>
      </c>
    </row>
    <row r="72" spans="1:22" hidden="1" x14ac:dyDescent="0.2">
      <c r="A72" s="3255">
        <f t="shared" si="7"/>
        <v>60</v>
      </c>
      <c r="B72" s="3256"/>
      <c r="C72" s="3257"/>
      <c r="D72" s="3258"/>
      <c r="E72" s="3257"/>
      <c r="F72" s="3256"/>
      <c r="G72" s="3614"/>
      <c r="H72" s="3256"/>
      <c r="I72" s="3256"/>
      <c r="J72" s="3256"/>
      <c r="K72" s="3256"/>
      <c r="L72" s="3142" t="str">
        <f t="shared" si="0"/>
        <v/>
      </c>
      <c r="M72" s="3183"/>
      <c r="N72" s="3140">
        <f t="shared" si="2"/>
        <v>0</v>
      </c>
      <c r="O72" s="3140">
        <f t="shared" si="8"/>
        <v>0</v>
      </c>
      <c r="Q72" s="3184">
        <f t="shared" si="9"/>
        <v>0</v>
      </c>
      <c r="T72" s="3184">
        <f t="shared" si="4"/>
        <v>0</v>
      </c>
      <c r="U72" s="3184">
        <f t="shared" si="5"/>
        <v>0</v>
      </c>
      <c r="V72" s="3184">
        <f t="shared" si="6"/>
        <v>0</v>
      </c>
    </row>
    <row r="73" spans="1:22" hidden="1" x14ac:dyDescent="0.2">
      <c r="A73" s="3255">
        <f t="shared" si="7"/>
        <v>61</v>
      </c>
      <c r="B73" s="3256"/>
      <c r="C73" s="3257"/>
      <c r="D73" s="3258"/>
      <c r="E73" s="3257"/>
      <c r="F73" s="3256"/>
      <c r="G73" s="3614"/>
      <c r="H73" s="3256"/>
      <c r="I73" s="3256"/>
      <c r="J73" s="3256"/>
      <c r="K73" s="3256"/>
      <c r="L73" s="3142" t="str">
        <f t="shared" si="0"/>
        <v/>
      </c>
      <c r="M73" s="3183"/>
      <c r="N73" s="3140">
        <f t="shared" si="2"/>
        <v>0</v>
      </c>
      <c r="O73" s="3140">
        <f t="shared" si="8"/>
        <v>0</v>
      </c>
      <c r="Q73" s="3184">
        <f t="shared" si="9"/>
        <v>0</v>
      </c>
      <c r="T73" s="3184">
        <f t="shared" si="4"/>
        <v>0</v>
      </c>
      <c r="U73" s="3184">
        <f t="shared" si="5"/>
        <v>0</v>
      </c>
      <c r="V73" s="3184">
        <f t="shared" si="6"/>
        <v>0</v>
      </c>
    </row>
    <row r="74" spans="1:22" hidden="1" x14ac:dyDescent="0.2">
      <c r="A74" s="3255">
        <f t="shared" si="7"/>
        <v>62</v>
      </c>
      <c r="B74" s="3256"/>
      <c r="C74" s="3257"/>
      <c r="D74" s="3258"/>
      <c r="E74" s="3257"/>
      <c r="F74" s="3256"/>
      <c r="G74" s="3614"/>
      <c r="H74" s="3256"/>
      <c r="I74" s="3256"/>
      <c r="J74" s="3256"/>
      <c r="K74" s="3256"/>
      <c r="L74" s="3142" t="str">
        <f t="shared" si="0"/>
        <v/>
      </c>
      <c r="M74" s="3183"/>
      <c r="N74" s="3140">
        <f t="shared" si="2"/>
        <v>0</v>
      </c>
      <c r="O74" s="3140">
        <f t="shared" si="8"/>
        <v>0</v>
      </c>
      <c r="Q74" s="3184">
        <f t="shared" si="9"/>
        <v>0</v>
      </c>
      <c r="T74" s="3184">
        <f t="shared" si="4"/>
        <v>0</v>
      </c>
      <c r="U74" s="3184">
        <f t="shared" si="5"/>
        <v>0</v>
      </c>
      <c r="V74" s="3184">
        <f t="shared" si="6"/>
        <v>0</v>
      </c>
    </row>
    <row r="75" spans="1:22" hidden="1" x14ac:dyDescent="0.2">
      <c r="A75" s="3255">
        <f t="shared" si="7"/>
        <v>63</v>
      </c>
      <c r="B75" s="3256"/>
      <c r="C75" s="3257"/>
      <c r="D75" s="3258"/>
      <c r="E75" s="3257"/>
      <c r="F75" s="3256"/>
      <c r="G75" s="3614"/>
      <c r="H75" s="3256"/>
      <c r="I75" s="3256"/>
      <c r="J75" s="3256"/>
      <c r="K75" s="3256"/>
      <c r="L75" s="3142" t="str">
        <f t="shared" si="0"/>
        <v/>
      </c>
      <c r="M75" s="3183"/>
      <c r="N75" s="3140">
        <f t="shared" si="2"/>
        <v>0</v>
      </c>
      <c r="O75" s="3140">
        <f t="shared" si="8"/>
        <v>0</v>
      </c>
      <c r="Q75" s="3184">
        <f t="shared" si="9"/>
        <v>0</v>
      </c>
      <c r="T75" s="3184">
        <f t="shared" si="4"/>
        <v>0</v>
      </c>
      <c r="U75" s="3184">
        <f t="shared" si="5"/>
        <v>0</v>
      </c>
      <c r="V75" s="3184">
        <f t="shared" si="6"/>
        <v>0</v>
      </c>
    </row>
    <row r="76" spans="1:22" hidden="1" x14ac:dyDescent="0.2">
      <c r="A76" s="3255">
        <f t="shared" si="7"/>
        <v>64</v>
      </c>
      <c r="B76" s="3256"/>
      <c r="C76" s="3257"/>
      <c r="D76" s="3258"/>
      <c r="E76" s="3257"/>
      <c r="F76" s="3256"/>
      <c r="G76" s="3614"/>
      <c r="H76" s="3256"/>
      <c r="I76" s="3256"/>
      <c r="J76" s="3256"/>
      <c r="K76" s="3256"/>
      <c r="L76" s="3142" t="str">
        <f t="shared" si="0"/>
        <v/>
      </c>
      <c r="M76" s="3183"/>
      <c r="N76" s="3140">
        <f t="shared" si="2"/>
        <v>0</v>
      </c>
      <c r="O76" s="3140">
        <f t="shared" si="8"/>
        <v>0</v>
      </c>
      <c r="Q76" s="3184">
        <f t="shared" si="9"/>
        <v>0</v>
      </c>
      <c r="T76" s="3184">
        <f t="shared" si="4"/>
        <v>0</v>
      </c>
      <c r="U76" s="3184">
        <f t="shared" si="5"/>
        <v>0</v>
      </c>
      <c r="V76" s="3184">
        <f t="shared" si="6"/>
        <v>0</v>
      </c>
    </row>
    <row r="77" spans="1:22" hidden="1" x14ac:dyDescent="0.2">
      <c r="A77" s="3255">
        <f t="shared" si="7"/>
        <v>65</v>
      </c>
      <c r="B77" s="3256"/>
      <c r="C77" s="3257"/>
      <c r="D77" s="3258"/>
      <c r="E77" s="3257"/>
      <c r="F77" s="3256"/>
      <c r="G77" s="3614"/>
      <c r="H77" s="3256"/>
      <c r="I77" s="3256"/>
      <c r="J77" s="3256"/>
      <c r="K77" s="3256"/>
      <c r="L77" s="3142" t="str">
        <f t="shared" ref="L77:L140" si="10">IF(AND($N$4&gt;0,A77&lt;=$J$8,N77&lt;&gt;7),re,IF(AND(N77&gt;0,$K$8=0),"No details required",IF(AND(T77=1,I77=""),re,IF(AND(T77=0,COUNTA(I77:K77)&gt;0),"Delete!",IF(AND(U77=1,J77=""),re,IF(AND(U77=0,COUNTA(J77:K77)&gt;0),"Delete!",IF(AND(V77=1,K77=""),re,IF(AND(V77=0,COUNTA(K77)&gt;0),"Delete!",IF(AND(N77&gt;0,A77&gt;$J$8),"Check no. of foreign holdings!","")))))))))</f>
        <v/>
      </c>
      <c r="M77" s="3183"/>
      <c r="N77" s="3140">
        <f t="shared" si="2"/>
        <v>0</v>
      </c>
      <c r="O77" s="3140">
        <f t="shared" si="8"/>
        <v>0</v>
      </c>
      <c r="Q77" s="3184">
        <f t="shared" si="9"/>
        <v>0</v>
      </c>
      <c r="T77" s="3184">
        <f t="shared" si="4"/>
        <v>0</v>
      </c>
      <c r="U77" s="3184">
        <f t="shared" si="5"/>
        <v>0</v>
      </c>
      <c r="V77" s="3184">
        <f t="shared" si="6"/>
        <v>0</v>
      </c>
    </row>
    <row r="78" spans="1:22" hidden="1" x14ac:dyDescent="0.2">
      <c r="A78" s="3255">
        <f t="shared" si="7"/>
        <v>66</v>
      </c>
      <c r="B78" s="3256"/>
      <c r="C78" s="3257"/>
      <c r="D78" s="3258"/>
      <c r="E78" s="3257"/>
      <c r="F78" s="3256"/>
      <c r="G78" s="3614"/>
      <c r="H78" s="3256"/>
      <c r="I78" s="3256"/>
      <c r="J78" s="3256"/>
      <c r="K78" s="3256"/>
      <c r="L78" s="3142" t="str">
        <f t="shared" si="10"/>
        <v/>
      </c>
      <c r="M78" s="3183"/>
      <c r="N78" s="3140">
        <f t="shared" ref="N78:N100" si="11">COUNTA(B78:H78)</f>
      </c>
      <c r="O78" s="3140">
        <f t="shared" si="8"/>
        <v>0</v>
      </c>
      <c r="Q78" s="3184">
        <f t="shared" si="9"/>
        <v>0</v>
      </c>
      <c r="T78" s="3184">
        <f t="shared" ref="T78:T100" si="12">IF(N78=0,0,IF(OR(H78=$Y$17,H78=$Y$19),0,1))</f>
      </c>
      <c r="U78" s="3184">
        <f t="shared" ref="U78:U100" si="13">IF(AND(T78=1,I78="no"),1,0)</f>
      </c>
      <c r="V78" s="3184">
        <f t="shared" ref="V78:V100" si="14">IF(AND(U78=1,J78="yes"),1,0)</f>
      </c>
    </row>
    <row r="79" spans="1:22" hidden="1" x14ac:dyDescent="0.2">
      <c r="A79" s="3255">
        <f t="shared" ref="A79:A342" si="15">A78+1</f>
      </c>
      <c r="B79" s="3256"/>
      <c r="C79" s="3257"/>
      <c r="D79" s="3258"/>
      <c r="E79" s="3257"/>
      <c r="F79" s="3256"/>
      <c r="G79" s="3614"/>
      <c r="H79" s="3256"/>
      <c r="I79" s="3256"/>
      <c r="J79" s="3256"/>
      <c r="K79" s="3256"/>
      <c r="L79" s="3142" t="str">
        <f t="shared" si="10"/>
        <v/>
      </c>
      <c r="M79" s="3183"/>
      <c r="N79" s="3140">
        <f t="shared" si="11"/>
        <v>0</v>
      </c>
      <c r="O79" s="3140">
        <f t="shared" si="8"/>
        <v>0</v>
      </c>
      <c r="Q79" s="3184">
        <f t="shared" si="9"/>
        <v>0</v>
      </c>
      <c r="T79" s="3184">
        <f t="shared" si="12"/>
        <v>0</v>
      </c>
      <c r="U79" s="3184">
        <f t="shared" si="13"/>
        <v>0</v>
      </c>
      <c r="V79" s="3184">
        <f t="shared" si="14"/>
        <v>0</v>
      </c>
    </row>
    <row r="80" spans="1:22" hidden="1" x14ac:dyDescent="0.2">
      <c r="A80" s="3255">
        <f t="shared" si="15"/>
        <v>68</v>
      </c>
      <c r="B80" s="3256"/>
      <c r="C80" s="3257"/>
      <c r="D80" s="3258"/>
      <c r="E80" s="3257"/>
      <c r="F80" s="3256"/>
      <c r="G80" s="3614"/>
      <c r="H80" s="3256"/>
      <c r="I80" s="3256"/>
      <c r="J80" s="3256"/>
      <c r="K80" s="3256"/>
      <c r="L80" s="3142" t="str">
        <f t="shared" si="10"/>
        <v/>
      </c>
      <c r="M80" s="3183"/>
      <c r="N80" s="3140">
        <f t="shared" si="11"/>
        <v>0</v>
      </c>
      <c r="O80" s="3140">
        <f t="shared" si="8"/>
        <v>0</v>
      </c>
      <c r="Q80" s="3184">
        <f t="shared" si="9"/>
        <v>0</v>
      </c>
      <c r="T80" s="3184">
        <f t="shared" si="12"/>
        <v>0</v>
      </c>
      <c r="U80" s="3184">
        <f t="shared" si="13"/>
        <v>0</v>
      </c>
      <c r="V80" s="3184">
        <f t="shared" si="14"/>
        <v>0</v>
      </c>
    </row>
    <row r="81" spans="1:22" hidden="1" x14ac:dyDescent="0.2">
      <c r="A81" s="3255">
        <f t="shared" si="15"/>
        <v>69</v>
      </c>
      <c r="B81" s="3256"/>
      <c r="C81" s="3257"/>
      <c r="D81" s="3258"/>
      <c r="E81" s="3257"/>
      <c r="F81" s="3256"/>
      <c r="G81" s="3614"/>
      <c r="H81" s="3256"/>
      <c r="I81" s="3256"/>
      <c r="J81" s="3256"/>
      <c r="K81" s="3256"/>
      <c r="L81" s="3142" t="str">
        <f t="shared" si="10"/>
        <v/>
      </c>
      <c r="M81" s="3183"/>
      <c r="N81" s="3140">
        <f t="shared" si="11"/>
        <v>0</v>
      </c>
      <c r="O81" s="3140">
        <f t="shared" si="8"/>
        <v>0</v>
      </c>
      <c r="Q81" s="3184">
        <f t="shared" si="9"/>
        <v>0</v>
      </c>
      <c r="T81" s="3184">
        <f t="shared" si="12"/>
        <v>0</v>
      </c>
      <c r="U81" s="3184">
        <f t="shared" si="13"/>
        <v>0</v>
      </c>
      <c r="V81" s="3184">
        <f t="shared" si="14"/>
        <v>0</v>
      </c>
    </row>
    <row r="82" spans="1:22" hidden="1" x14ac:dyDescent="0.2">
      <c r="A82" s="3255">
        <f t="shared" si="15"/>
        <v>70</v>
      </c>
      <c r="B82" s="3256"/>
      <c r="C82" s="3257"/>
      <c r="D82" s="3258"/>
      <c r="E82" s="3257"/>
      <c r="F82" s="3256"/>
      <c r="G82" s="3614"/>
      <c r="H82" s="3256"/>
      <c r="I82" s="3256"/>
      <c r="J82" s="3256"/>
      <c r="K82" s="3256"/>
      <c r="L82" s="3142" t="str">
        <f t="shared" si="10"/>
        <v/>
      </c>
      <c r="M82" s="3183"/>
      <c r="N82" s="3140">
        <f t="shared" si="11"/>
        <v>0</v>
      </c>
      <c r="O82" s="3140">
        <f t="shared" si="8"/>
        <v>0</v>
      </c>
      <c r="Q82" s="3184">
        <f t="shared" si="9"/>
        <v>0</v>
      </c>
      <c r="T82" s="3184">
        <f t="shared" si="12"/>
        <v>0</v>
      </c>
      <c r="U82" s="3184">
        <f t="shared" si="13"/>
        <v>0</v>
      </c>
      <c r="V82" s="3184">
        <f t="shared" si="14"/>
        <v>0</v>
      </c>
    </row>
    <row r="83" spans="1:22" hidden="1" x14ac:dyDescent="0.2">
      <c r="A83" s="3255">
        <f t="shared" si="15"/>
        <v>71</v>
      </c>
      <c r="B83" s="3256"/>
      <c r="C83" s="3257"/>
      <c r="D83" s="3258"/>
      <c r="E83" s="3257"/>
      <c r="F83" s="3256"/>
      <c r="G83" s="3614"/>
      <c r="H83" s="3256"/>
      <c r="I83" s="3256"/>
      <c r="J83" s="3256"/>
      <c r="K83" s="3256"/>
      <c r="L83" s="3142" t="str">
        <f t="shared" si="10"/>
        <v/>
      </c>
      <c r="M83" s="3183"/>
      <c r="N83" s="3140">
        <f t="shared" si="11"/>
        <v>0</v>
      </c>
      <c r="O83" s="3140">
        <f t="shared" si="8"/>
        <v>0</v>
      </c>
      <c r="Q83" s="3184">
        <f t="shared" si="9"/>
        <v>0</v>
      </c>
      <c r="T83" s="3184">
        <f t="shared" si="12"/>
        <v>0</v>
      </c>
      <c r="U83" s="3184">
        <f t="shared" si="13"/>
        <v>0</v>
      </c>
      <c r="V83" s="3184">
        <f t="shared" si="14"/>
        <v>0</v>
      </c>
    </row>
    <row r="84" spans="1:22" hidden="1" x14ac:dyDescent="0.2">
      <c r="A84" s="3255">
        <f t="shared" si="15"/>
        <v>72</v>
      </c>
      <c r="B84" s="3256"/>
      <c r="C84" s="3257"/>
      <c r="D84" s="3258"/>
      <c r="E84" s="3257"/>
      <c r="F84" s="3256"/>
      <c r="G84" s="3614"/>
      <c r="H84" s="3256"/>
      <c r="I84" s="3256"/>
      <c r="J84" s="3256"/>
      <c r="K84" s="3256"/>
      <c r="L84" s="3142" t="str">
        <f t="shared" si="10"/>
        <v/>
      </c>
      <c r="M84" s="3183"/>
      <c r="N84" s="3140">
        <f t="shared" si="11"/>
        <v>0</v>
      </c>
      <c r="O84" s="3140">
        <f t="shared" si="8"/>
        <v>0</v>
      </c>
      <c r="Q84" s="3184">
        <f t="shared" si="9"/>
        <v>0</v>
      </c>
      <c r="T84" s="3184">
        <f t="shared" si="12"/>
        <v>0</v>
      </c>
      <c r="U84" s="3184">
        <f t="shared" si="13"/>
        <v>0</v>
      </c>
      <c r="V84" s="3184">
        <f t="shared" si="14"/>
        <v>0</v>
      </c>
    </row>
    <row r="85" spans="1:22" hidden="1" x14ac:dyDescent="0.2">
      <c r="A85" s="3255">
        <f t="shared" si="15"/>
        <v>73</v>
      </c>
      <c r="B85" s="3256"/>
      <c r="C85" s="3257"/>
      <c r="D85" s="3258"/>
      <c r="E85" s="3257"/>
      <c r="F85" s="3256"/>
      <c r="G85" s="3614"/>
      <c r="H85" s="3256"/>
      <c r="I85" s="3256"/>
      <c r="J85" s="3256"/>
      <c r="K85" s="3256"/>
      <c r="L85" s="3142" t="str">
        <f t="shared" si="10"/>
        <v/>
      </c>
      <c r="M85" s="3183"/>
      <c r="N85" s="3140">
        <f t="shared" si="11"/>
        <v>0</v>
      </c>
      <c r="O85" s="3140">
        <f t="shared" si="8"/>
        <v>0</v>
      </c>
      <c r="Q85" s="3184">
        <f t="shared" si="9"/>
        <v>0</v>
      </c>
      <c r="T85" s="3184">
        <f t="shared" si="12"/>
        <v>0</v>
      </c>
      <c r="U85" s="3184">
        <f t="shared" si="13"/>
        <v>0</v>
      </c>
      <c r="V85" s="3184">
        <f t="shared" si="14"/>
        <v>0</v>
      </c>
    </row>
    <row r="86" spans="1:22" hidden="1" x14ac:dyDescent="0.2">
      <c r="A86" s="3255">
        <f t="shared" si="15"/>
        <v>74</v>
      </c>
      <c r="B86" s="3256"/>
      <c r="C86" s="3257"/>
      <c r="D86" s="3258"/>
      <c r="E86" s="3257"/>
      <c r="F86" s="3256"/>
      <c r="G86" s="3614"/>
      <c r="H86" s="3256"/>
      <c r="I86" s="3256"/>
      <c r="J86" s="3256"/>
      <c r="K86" s="3256"/>
      <c r="L86" s="3142" t="str">
        <f t="shared" si="10"/>
        <v/>
      </c>
      <c r="M86" s="3183"/>
      <c r="N86" s="3140">
        <f t="shared" si="11"/>
        <v>0</v>
      </c>
      <c r="O86" s="3140">
        <f t="shared" si="8"/>
        <v>0</v>
      </c>
      <c r="Q86" s="3184">
        <f t="shared" si="9"/>
        <v>0</v>
      </c>
      <c r="T86" s="3184">
        <f t="shared" si="12"/>
        <v>0</v>
      </c>
      <c r="U86" s="3184">
        <f t="shared" si="13"/>
        <v>0</v>
      </c>
      <c r="V86" s="3184">
        <f t="shared" si="14"/>
        <v>0</v>
      </c>
    </row>
    <row r="87" spans="1:22" hidden="1" x14ac:dyDescent="0.2">
      <c r="A87" s="3255">
        <f t="shared" si="15"/>
        <v>75</v>
      </c>
      <c r="B87" s="3256"/>
      <c r="C87" s="3257"/>
      <c r="D87" s="3258"/>
      <c r="E87" s="3257"/>
      <c r="F87" s="3256"/>
      <c r="G87" s="3614"/>
      <c r="H87" s="3256"/>
      <c r="I87" s="3256"/>
      <c r="J87" s="3256"/>
      <c r="K87" s="3256"/>
      <c r="L87" s="3142" t="str">
        <f t="shared" si="10"/>
        <v/>
      </c>
      <c r="M87" s="3183"/>
      <c r="N87" s="3140">
        <f t="shared" si="11"/>
        <v>0</v>
      </c>
      <c r="O87" s="3140">
        <f t="shared" ref="O87:O100" si="16">IF(L87&lt;&gt;"",1,0)</f>
      </c>
      <c r="Q87" s="3184">
        <f t="shared" ref="Q87:Q100" si="17">IF(K87="yes",1,0)</f>
      </c>
      <c r="T87" s="3184">
        <f t="shared" si="12"/>
        <v>0</v>
      </c>
      <c r="U87" s="3184">
        <f t="shared" si="13"/>
        <v>0</v>
      </c>
      <c r="V87" s="3184">
        <f t="shared" si="14"/>
        <v>0</v>
      </c>
    </row>
    <row r="88" spans="1:22" hidden="1" x14ac:dyDescent="0.2">
      <c r="A88" s="3255">
        <f t="shared" si="15"/>
        <v>76</v>
      </c>
      <c r="B88" s="3256"/>
      <c r="C88" s="3257"/>
      <c r="D88" s="3258"/>
      <c r="E88" s="3257"/>
      <c r="F88" s="3256"/>
      <c r="G88" s="3614"/>
      <c r="H88" s="3256"/>
      <c r="I88" s="3256"/>
      <c r="J88" s="3256"/>
      <c r="K88" s="3256"/>
      <c r="L88" s="3142" t="str">
        <f t="shared" si="10"/>
        <v/>
      </c>
      <c r="M88" s="3183"/>
      <c r="N88" s="3140">
        <f t="shared" si="11"/>
        <v>0</v>
      </c>
      <c r="O88" s="3140">
        <f t="shared" si="16"/>
        <v>0</v>
      </c>
      <c r="Q88" s="3184">
        <f t="shared" si="17"/>
        <v>0</v>
      </c>
      <c r="T88" s="3184">
        <f t="shared" si="12"/>
        <v>0</v>
      </c>
      <c r="U88" s="3184">
        <f t="shared" si="13"/>
        <v>0</v>
      </c>
      <c r="V88" s="3184">
        <f t="shared" si="14"/>
        <v>0</v>
      </c>
    </row>
    <row r="89" spans="1:22" hidden="1" x14ac:dyDescent="0.2">
      <c r="A89" s="3255">
        <f t="shared" si="15"/>
        <v>77</v>
      </c>
      <c r="B89" s="3256"/>
      <c r="C89" s="3257"/>
      <c r="D89" s="3258"/>
      <c r="E89" s="3257"/>
      <c r="F89" s="3256"/>
      <c r="G89" s="3614"/>
      <c r="H89" s="3256"/>
      <c r="I89" s="3256"/>
      <c r="J89" s="3256"/>
      <c r="K89" s="3256"/>
      <c r="L89" s="3142" t="str">
        <f t="shared" si="10"/>
        <v/>
      </c>
      <c r="M89" s="3183"/>
      <c r="N89" s="3140">
        <f t="shared" si="11"/>
        <v>0</v>
      </c>
      <c r="O89" s="3140">
        <f t="shared" si="16"/>
        <v>0</v>
      </c>
      <c r="Q89" s="3184">
        <f t="shared" si="17"/>
        <v>0</v>
      </c>
      <c r="T89" s="3184">
        <f t="shared" si="12"/>
        <v>0</v>
      </c>
      <c r="U89" s="3184">
        <f t="shared" si="13"/>
        <v>0</v>
      </c>
      <c r="V89" s="3184">
        <f t="shared" si="14"/>
        <v>0</v>
      </c>
    </row>
    <row r="90" spans="1:22" hidden="1" x14ac:dyDescent="0.2">
      <c r="A90" s="3255">
        <f t="shared" si="15"/>
        <v>78</v>
      </c>
      <c r="B90" s="3256"/>
      <c r="C90" s="3257"/>
      <c r="D90" s="3258"/>
      <c r="E90" s="3257"/>
      <c r="F90" s="3256"/>
      <c r="G90" s="3614"/>
      <c r="H90" s="3256"/>
      <c r="I90" s="3256"/>
      <c r="J90" s="3256"/>
      <c r="K90" s="3256"/>
      <c r="L90" s="3142" t="str">
        <f t="shared" si="10"/>
        <v/>
      </c>
      <c r="M90" s="3183"/>
      <c r="N90" s="3140">
        <f t="shared" si="11"/>
        <v>0</v>
      </c>
      <c r="O90" s="3140">
        <f t="shared" si="16"/>
        <v>0</v>
      </c>
      <c r="Q90" s="3184">
        <f t="shared" si="17"/>
        <v>0</v>
      </c>
      <c r="T90" s="3184">
        <f t="shared" si="12"/>
        <v>0</v>
      </c>
      <c r="U90" s="3184">
        <f t="shared" si="13"/>
        <v>0</v>
      </c>
      <c r="V90" s="3184">
        <f t="shared" si="14"/>
        <v>0</v>
      </c>
    </row>
    <row r="91" spans="1:22" hidden="1" x14ac:dyDescent="0.2">
      <c r="A91" s="3255">
        <f t="shared" si="15"/>
        <v>79</v>
      </c>
      <c r="B91" s="3256"/>
      <c r="C91" s="3257"/>
      <c r="D91" s="3258"/>
      <c r="E91" s="3257"/>
      <c r="F91" s="3256"/>
      <c r="G91" s="3614"/>
      <c r="H91" s="3256"/>
      <c r="I91" s="3256"/>
      <c r="J91" s="3256"/>
      <c r="K91" s="3256"/>
      <c r="L91" s="3142" t="str">
        <f t="shared" si="10"/>
        <v/>
      </c>
      <c r="M91" s="3183"/>
      <c r="N91" s="3140">
        <f t="shared" si="11"/>
        <v>0</v>
      </c>
      <c r="O91" s="3140">
        <f t="shared" si="16"/>
        <v>0</v>
      </c>
      <c r="Q91" s="3184">
        <f t="shared" si="17"/>
        <v>0</v>
      </c>
      <c r="T91" s="3184">
        <f t="shared" si="12"/>
        <v>0</v>
      </c>
      <c r="U91" s="3184">
        <f t="shared" si="13"/>
        <v>0</v>
      </c>
      <c r="V91" s="3184">
        <f t="shared" si="14"/>
        <v>0</v>
      </c>
    </row>
    <row r="92" spans="1:22" hidden="1" x14ac:dyDescent="0.2">
      <c r="A92" s="3255">
        <f t="shared" si="15"/>
        <v>80</v>
      </c>
      <c r="B92" s="3256"/>
      <c r="C92" s="3257"/>
      <c r="D92" s="3258"/>
      <c r="E92" s="3257"/>
      <c r="F92" s="3256"/>
      <c r="G92" s="3614"/>
      <c r="H92" s="3256"/>
      <c r="I92" s="3256"/>
      <c r="J92" s="3256"/>
      <c r="K92" s="3256"/>
      <c r="L92" s="3142" t="str">
        <f t="shared" si="10"/>
        <v/>
      </c>
      <c r="M92" s="3183"/>
      <c r="N92" s="3140">
        <f t="shared" si="11"/>
        <v>0</v>
      </c>
      <c r="O92" s="3140">
        <f t="shared" si="16"/>
        <v>0</v>
      </c>
      <c r="Q92" s="3184">
        <f t="shared" si="17"/>
        <v>0</v>
      </c>
      <c r="T92" s="3184">
        <f t="shared" si="12"/>
        <v>0</v>
      </c>
      <c r="U92" s="3184">
        <f t="shared" si="13"/>
        <v>0</v>
      </c>
      <c r="V92" s="3184">
        <f t="shared" si="14"/>
        <v>0</v>
      </c>
    </row>
    <row r="93" spans="1:22" hidden="1" x14ac:dyDescent="0.2">
      <c r="A93" s="3255">
        <f t="shared" si="15"/>
        <v>81</v>
      </c>
      <c r="B93" s="3256"/>
      <c r="C93" s="3257"/>
      <c r="D93" s="3258"/>
      <c r="E93" s="3257"/>
      <c r="F93" s="3256"/>
      <c r="G93" s="3614"/>
      <c r="H93" s="3256"/>
      <c r="I93" s="3256"/>
      <c r="J93" s="3256"/>
      <c r="K93" s="3256"/>
      <c r="L93" s="3142" t="str">
        <f t="shared" si="10"/>
        <v/>
      </c>
      <c r="M93" s="3183"/>
      <c r="N93" s="3140">
        <f t="shared" si="11"/>
        <v>0</v>
      </c>
      <c r="O93" s="3140">
        <f t="shared" si="16"/>
        <v>0</v>
      </c>
      <c r="Q93" s="3184">
        <f t="shared" si="17"/>
        <v>0</v>
      </c>
      <c r="T93" s="3184">
        <f t="shared" si="12"/>
        <v>0</v>
      </c>
      <c r="U93" s="3184">
        <f t="shared" si="13"/>
        <v>0</v>
      </c>
      <c r="V93" s="3184">
        <f t="shared" si="14"/>
        <v>0</v>
      </c>
    </row>
    <row r="94" spans="1:22" hidden="1" x14ac:dyDescent="0.2">
      <c r="A94" s="3255">
        <f t="shared" si="15"/>
        <v>82</v>
      </c>
      <c r="B94" s="3256"/>
      <c r="C94" s="3257"/>
      <c r="D94" s="3258"/>
      <c r="E94" s="3257"/>
      <c r="F94" s="3256"/>
      <c r="G94" s="3614"/>
      <c r="H94" s="3256"/>
      <c r="I94" s="3256"/>
      <c r="J94" s="3256"/>
      <c r="K94" s="3256"/>
      <c r="L94" s="3142" t="str">
        <f t="shared" si="10"/>
        <v/>
      </c>
      <c r="M94" s="3183"/>
      <c r="N94" s="3140">
        <f t="shared" si="11"/>
        <v>0</v>
      </c>
      <c r="O94" s="3140">
        <f t="shared" si="16"/>
        <v>0</v>
      </c>
      <c r="Q94" s="3184">
        <f t="shared" si="17"/>
        <v>0</v>
      </c>
      <c r="T94" s="3184">
        <f t="shared" si="12"/>
        <v>0</v>
      </c>
      <c r="U94" s="3184">
        <f t="shared" si="13"/>
        <v>0</v>
      </c>
      <c r="V94" s="3184">
        <f t="shared" si="14"/>
        <v>0</v>
      </c>
    </row>
    <row r="95" spans="1:22" hidden="1" x14ac:dyDescent="0.2">
      <c r="A95" s="3255">
        <f t="shared" si="15"/>
        <v>83</v>
      </c>
      <c r="B95" s="3256"/>
      <c r="C95" s="3257"/>
      <c r="D95" s="3258"/>
      <c r="E95" s="3257"/>
      <c r="F95" s="3256"/>
      <c r="G95" s="3614"/>
      <c r="H95" s="3256"/>
      <c r="I95" s="3256"/>
      <c r="J95" s="3256"/>
      <c r="K95" s="3256"/>
      <c r="L95" s="3142" t="str">
        <f t="shared" si="10"/>
        <v/>
      </c>
      <c r="M95" s="3183"/>
      <c r="N95" s="3140">
        <f t="shared" si="11"/>
        <v>0</v>
      </c>
      <c r="O95" s="3140">
        <f t="shared" si="16"/>
        <v>0</v>
      </c>
      <c r="Q95" s="3184">
        <f t="shared" si="17"/>
        <v>0</v>
      </c>
      <c r="T95" s="3184">
        <f t="shared" si="12"/>
        <v>0</v>
      </c>
      <c r="U95" s="3184">
        <f t="shared" si="13"/>
        <v>0</v>
      </c>
      <c r="V95" s="3184">
        <f t="shared" si="14"/>
        <v>0</v>
      </c>
    </row>
    <row r="96" spans="1:22" hidden="1" x14ac:dyDescent="0.2">
      <c r="A96" s="3255">
        <f t="shared" si="15"/>
        <v>84</v>
      </c>
      <c r="B96" s="3256"/>
      <c r="C96" s="3257"/>
      <c r="D96" s="3258"/>
      <c r="E96" s="3257"/>
      <c r="F96" s="3256"/>
      <c r="G96" s="3614"/>
      <c r="H96" s="3256"/>
      <c r="I96" s="3256"/>
      <c r="J96" s="3256"/>
      <c r="K96" s="3256"/>
      <c r="L96" s="3142" t="str">
        <f t="shared" si="10"/>
        <v/>
      </c>
      <c r="M96" s="3183"/>
      <c r="N96" s="3140">
        <f t="shared" si="11"/>
        <v>0</v>
      </c>
      <c r="O96" s="3140">
        <f t="shared" si="16"/>
        <v>0</v>
      </c>
      <c r="Q96" s="3184">
        <f t="shared" si="17"/>
        <v>0</v>
      </c>
      <c r="T96" s="3184">
        <f t="shared" si="12"/>
        <v>0</v>
      </c>
      <c r="U96" s="3184">
        <f t="shared" si="13"/>
        <v>0</v>
      </c>
      <c r="V96" s="3184">
        <f t="shared" si="14"/>
        <v>0</v>
      </c>
    </row>
    <row r="97" spans="1:22" hidden="1" x14ac:dyDescent="0.2">
      <c r="A97" s="3255">
        <f t="shared" si="15"/>
        <v>85</v>
      </c>
      <c r="B97" s="3256"/>
      <c r="C97" s="3257"/>
      <c r="D97" s="3258"/>
      <c r="E97" s="3257"/>
      <c r="F97" s="3256"/>
      <c r="G97" s="3614"/>
      <c r="H97" s="3256"/>
      <c r="I97" s="3256"/>
      <c r="J97" s="3256"/>
      <c r="K97" s="3256"/>
      <c r="L97" s="3142" t="str">
        <f t="shared" si="10"/>
        <v/>
      </c>
      <c r="M97" s="3183"/>
      <c r="N97" s="3140">
        <f t="shared" si="11"/>
        <v>0</v>
      </c>
      <c r="O97" s="3140">
        <f t="shared" si="16"/>
        <v>0</v>
      </c>
      <c r="Q97" s="3184">
        <f t="shared" si="17"/>
        <v>0</v>
      </c>
      <c r="T97" s="3184">
        <f t="shared" si="12"/>
        <v>0</v>
      </c>
      <c r="U97" s="3184">
        <f t="shared" si="13"/>
        <v>0</v>
      </c>
      <c r="V97" s="3184">
        <f t="shared" si="14"/>
        <v>0</v>
      </c>
    </row>
    <row r="98" spans="1:22" hidden="1" x14ac:dyDescent="0.2">
      <c r="A98" s="3255">
        <f t="shared" si="15"/>
        <v>86</v>
      </c>
      <c r="B98" s="3256"/>
      <c r="C98" s="3257"/>
      <c r="D98" s="3258"/>
      <c r="E98" s="3257"/>
      <c r="F98" s="3256"/>
      <c r="G98" s="3614"/>
      <c r="H98" s="3256"/>
      <c r="I98" s="3256"/>
      <c r="J98" s="3256"/>
      <c r="K98" s="3256"/>
      <c r="L98" s="3142" t="str">
        <f t="shared" si="10"/>
        <v/>
      </c>
      <c r="M98" s="3183"/>
      <c r="N98" s="3140">
        <f t="shared" si="11"/>
        <v>0</v>
      </c>
      <c r="O98" s="3140">
        <f t="shared" si="16"/>
        <v>0</v>
      </c>
      <c r="Q98" s="3184">
        <f t="shared" si="17"/>
        <v>0</v>
      </c>
      <c r="T98" s="3184">
        <f t="shared" si="12"/>
        <v>0</v>
      </c>
      <c r="U98" s="3184">
        <f t="shared" si="13"/>
        <v>0</v>
      </c>
      <c r="V98" s="3184">
        <f t="shared" si="14"/>
        <v>0</v>
      </c>
    </row>
    <row r="99" spans="1:22" hidden="1" x14ac:dyDescent="0.2">
      <c r="A99" s="3255">
        <f t="shared" si="15"/>
        <v>87</v>
      </c>
      <c r="B99" s="3256"/>
      <c r="C99" s="3257"/>
      <c r="D99" s="3258"/>
      <c r="E99" s="3257"/>
      <c r="F99" s="3256"/>
      <c r="G99" s="3614"/>
      <c r="H99" s="3256"/>
      <c r="I99" s="3256"/>
      <c r="J99" s="3256"/>
      <c r="K99" s="3256"/>
      <c r="L99" s="3142" t="str">
        <f t="shared" si="10"/>
        <v/>
      </c>
      <c r="M99" s="3183"/>
      <c r="N99" s="3140">
        <f t="shared" si="11"/>
        <v>0</v>
      </c>
      <c r="O99" s="3140">
        <f t="shared" si="16"/>
        <v>0</v>
      </c>
      <c r="Q99" s="3184">
        <f t="shared" si="17"/>
        <v>0</v>
      </c>
      <c r="T99" s="3184">
        <f t="shared" si="12"/>
        <v>0</v>
      </c>
      <c r="U99" s="3184">
        <f t="shared" si="13"/>
        <v>0</v>
      </c>
      <c r="V99" s="3184">
        <f t="shared" si="14"/>
        <v>0</v>
      </c>
    </row>
    <row r="100" spans="1:22" hidden="1" x14ac:dyDescent="0.2">
      <c r="A100" s="3255">
        <f t="shared" si="15"/>
        <v>88</v>
      </c>
      <c r="B100" s="3256"/>
      <c r="C100" s="3257"/>
      <c r="D100" s="3258"/>
      <c r="E100" s="3257"/>
      <c r="F100" s="3256"/>
      <c r="G100" s="3614"/>
      <c r="H100" s="3256"/>
      <c r="I100" s="3256"/>
      <c r="J100" s="3256"/>
      <c r="K100" s="3256"/>
      <c r="L100" s="3142" t="str">
        <f t="shared" si="10"/>
        <v/>
      </c>
      <c r="M100" s="3183"/>
      <c r="N100" s="3140">
        <f t="shared" si="11"/>
        <v>0</v>
      </c>
      <c r="O100" s="3140">
        <f t="shared" si="16"/>
        <v>0</v>
      </c>
      <c r="Q100" s="3184">
        <f t="shared" si="17"/>
        <v>0</v>
      </c>
      <c r="T100" s="3184">
        <f t="shared" si="12"/>
        <v>0</v>
      </c>
      <c r="U100" s="3184">
        <f t="shared" si="13"/>
        <v>0</v>
      </c>
      <c r="V100" s="3184">
        <f t="shared" si="14"/>
        <v>0</v>
      </c>
    </row>
    <row r="101" spans="1:22" hidden="1" x14ac:dyDescent="0.2">
      <c r="A101" s="3255">
        <f t="shared" si="15"/>
        <v>89</v>
      </c>
      <c r="B101" s="3256"/>
      <c r="C101" s="3257"/>
      <c r="D101" s="3258"/>
      <c r="E101" s="3257"/>
      <c r="F101" s="3256"/>
      <c r="G101" s="3614"/>
      <c r="H101" s="3256"/>
      <c r="I101" s="3256"/>
      <c r="J101" s="3256"/>
      <c r="K101" s="3256"/>
      <c r="L101" s="3142" t="str">
        <f t="shared" si="10"/>
        <v/>
      </c>
      <c r="M101" s="3183"/>
      <c r="N101" s="3140">
        <f t="shared" ref="N101:N164" si="18">COUNTA(B101:H101)</f>
      </c>
      <c r="O101" s="3140">
        <f t="shared" ref="O101:O164" si="19">IF(L101&lt;&gt;"",1,0)</f>
      </c>
      <c r="Q101" s="3184">
        <f t="shared" ref="Q101:Q164" si="20">IF(K101="yes",1,0)</f>
      </c>
      <c r="T101" s="3184">
        <f t="shared" ref="T101:T164" si="21">IF(N101=0,0,IF(OR(H101=$Y$17,H101=$Y$19),0,1))</f>
      </c>
      <c r="U101" s="3184">
        <f t="shared" ref="U101:U164" si="22">IF(AND(T101=1,I101="no"),1,0)</f>
      </c>
      <c r="V101" s="3184">
        <f t="shared" ref="V101:V164" si="23">IF(AND(U101=1,J101="yes"),1,0)</f>
      </c>
    </row>
    <row r="102" spans="1:22" hidden="1" x14ac:dyDescent="0.2">
      <c r="A102" s="3255">
        <f t="shared" si="15"/>
        <v>90</v>
      </c>
      <c r="B102" s="3256"/>
      <c r="C102" s="3257"/>
      <c r="D102" s="3258"/>
      <c r="E102" s="3257"/>
      <c r="F102" s="3256"/>
      <c r="G102" s="3614"/>
      <c r="H102" s="3256"/>
      <c r="I102" s="3256"/>
      <c r="J102" s="3256"/>
      <c r="K102" s="3256"/>
      <c r="L102" s="3142" t="str">
        <f t="shared" si="10"/>
        <v/>
      </c>
      <c r="M102" s="3183"/>
      <c r="N102" s="3140">
        <f t="shared" si="18"/>
        <v>0</v>
      </c>
      <c r="O102" s="3140">
        <f t="shared" si="19"/>
        <v>0</v>
      </c>
      <c r="Q102" s="3184">
        <f t="shared" si="20"/>
        <v>0</v>
      </c>
      <c r="T102" s="3184">
        <f t="shared" si="21"/>
        <v>0</v>
      </c>
      <c r="U102" s="3184">
        <f t="shared" si="22"/>
        <v>0</v>
      </c>
      <c r="V102" s="3184">
        <f t="shared" si="23"/>
        <v>0</v>
      </c>
    </row>
    <row r="103" spans="1:22" hidden="1" x14ac:dyDescent="0.2">
      <c r="A103" s="3255">
        <f t="shared" si="15"/>
        <v>91</v>
      </c>
      <c r="B103" s="3256"/>
      <c r="C103" s="3257"/>
      <c r="D103" s="3258"/>
      <c r="E103" s="3257"/>
      <c r="F103" s="3256"/>
      <c r="G103" s="3614"/>
      <c r="H103" s="3256"/>
      <c r="I103" s="3256"/>
      <c r="J103" s="3256"/>
      <c r="K103" s="3256"/>
      <c r="L103" s="3142" t="str">
        <f t="shared" si="10"/>
        <v/>
      </c>
      <c r="M103" s="3183"/>
      <c r="N103" s="3140">
        <f t="shared" si="18"/>
        <v>0</v>
      </c>
      <c r="O103" s="3140">
        <f t="shared" si="19"/>
        <v>0</v>
      </c>
      <c r="Q103" s="3184">
        <f t="shared" si="20"/>
        <v>0</v>
      </c>
      <c r="T103" s="3184">
        <f t="shared" si="21"/>
        <v>0</v>
      </c>
      <c r="U103" s="3184">
        <f t="shared" si="22"/>
        <v>0</v>
      </c>
      <c r="V103" s="3184">
        <f t="shared" si="23"/>
        <v>0</v>
      </c>
    </row>
    <row r="104" spans="1:22" hidden="1" x14ac:dyDescent="0.2">
      <c r="A104" s="3255">
        <f t="shared" si="15"/>
        <v>92</v>
      </c>
      <c r="B104" s="3256"/>
      <c r="C104" s="3257"/>
      <c r="D104" s="3258"/>
      <c r="E104" s="3257"/>
      <c r="F104" s="3256"/>
      <c r="G104" s="3614"/>
      <c r="H104" s="3256"/>
      <c r="I104" s="3256"/>
      <c r="J104" s="3256"/>
      <c r="K104" s="3256"/>
      <c r="L104" s="3142" t="str">
        <f t="shared" si="10"/>
        <v/>
      </c>
      <c r="M104" s="3183"/>
      <c r="N104" s="3140">
        <f t="shared" si="18"/>
        <v>0</v>
      </c>
      <c r="O104" s="3140">
        <f t="shared" si="19"/>
        <v>0</v>
      </c>
      <c r="Q104" s="3184">
        <f t="shared" si="20"/>
        <v>0</v>
      </c>
      <c r="T104" s="3184">
        <f t="shared" si="21"/>
        <v>0</v>
      </c>
      <c r="U104" s="3184">
        <f t="shared" si="22"/>
        <v>0</v>
      </c>
      <c r="V104" s="3184">
        <f t="shared" si="23"/>
        <v>0</v>
      </c>
    </row>
    <row r="105" spans="1:22" hidden="1" x14ac:dyDescent="0.2">
      <c r="A105" s="3255">
        <f t="shared" si="15"/>
        <v>93</v>
      </c>
      <c r="B105" s="3256"/>
      <c r="C105" s="3257"/>
      <c r="D105" s="3258"/>
      <c r="E105" s="3257"/>
      <c r="F105" s="3256"/>
      <c r="G105" s="3614"/>
      <c r="H105" s="3256"/>
      <c r="I105" s="3256"/>
      <c r="J105" s="3256"/>
      <c r="K105" s="3256"/>
      <c r="L105" s="3142" t="str">
        <f t="shared" si="10"/>
        <v/>
      </c>
      <c r="M105" s="3183"/>
      <c r="N105" s="3140">
        <f t="shared" si="18"/>
        <v>0</v>
      </c>
      <c r="O105" s="3140">
        <f t="shared" si="19"/>
        <v>0</v>
      </c>
      <c r="Q105" s="3184">
        <f t="shared" si="20"/>
        <v>0</v>
      </c>
      <c r="T105" s="3184">
        <f t="shared" si="21"/>
        <v>0</v>
      </c>
      <c r="U105" s="3184">
        <f t="shared" si="22"/>
        <v>0</v>
      </c>
      <c r="V105" s="3184">
        <f t="shared" si="23"/>
        <v>0</v>
      </c>
    </row>
    <row r="106" spans="1:22" hidden="1" x14ac:dyDescent="0.2">
      <c r="A106" s="3255">
        <f t="shared" si="15"/>
        <v>94</v>
      </c>
      <c r="B106" s="3256"/>
      <c r="C106" s="3257"/>
      <c r="D106" s="3258"/>
      <c r="E106" s="3257"/>
      <c r="F106" s="3256"/>
      <c r="G106" s="3614"/>
      <c r="H106" s="3256"/>
      <c r="I106" s="3256"/>
      <c r="J106" s="3256"/>
      <c r="K106" s="3256"/>
      <c r="L106" s="3142" t="str">
        <f t="shared" si="10"/>
        <v/>
      </c>
      <c r="M106" s="3183"/>
      <c r="N106" s="3140">
        <f t="shared" si="18"/>
        <v>0</v>
      </c>
      <c r="O106" s="3140">
        <f t="shared" si="19"/>
        <v>0</v>
      </c>
      <c r="Q106" s="3184">
        <f t="shared" si="20"/>
        <v>0</v>
      </c>
      <c r="T106" s="3184">
        <f t="shared" si="21"/>
        <v>0</v>
      </c>
      <c r="U106" s="3184">
        <f t="shared" si="22"/>
        <v>0</v>
      </c>
      <c r="V106" s="3184">
        <f t="shared" si="23"/>
        <v>0</v>
      </c>
    </row>
    <row r="107" spans="1:22" hidden="1" x14ac:dyDescent="0.2">
      <c r="A107" s="3255">
        <f t="shared" si="15"/>
        <v>95</v>
      </c>
      <c r="B107" s="3256"/>
      <c r="C107" s="3257"/>
      <c r="D107" s="3258"/>
      <c r="E107" s="3257"/>
      <c r="F107" s="3256"/>
      <c r="G107" s="3614"/>
      <c r="H107" s="3256"/>
      <c r="I107" s="3256"/>
      <c r="J107" s="3256"/>
      <c r="K107" s="3256"/>
      <c r="L107" s="3142" t="str">
        <f t="shared" si="10"/>
        <v/>
      </c>
      <c r="M107" s="3183"/>
      <c r="N107" s="3140">
        <f t="shared" si="18"/>
        <v>0</v>
      </c>
      <c r="O107" s="3140">
        <f t="shared" si="19"/>
        <v>0</v>
      </c>
      <c r="Q107" s="3184">
        <f t="shared" si="20"/>
        <v>0</v>
      </c>
      <c r="T107" s="3184">
        <f t="shared" si="21"/>
        <v>0</v>
      </c>
      <c r="U107" s="3184">
        <f t="shared" si="22"/>
        <v>0</v>
      </c>
      <c r="V107" s="3184">
        <f t="shared" si="23"/>
        <v>0</v>
      </c>
    </row>
    <row r="108" spans="1:22" hidden="1" x14ac:dyDescent="0.2">
      <c r="A108" s="3255">
        <f t="shared" si="15"/>
        <v>96</v>
      </c>
      <c r="B108" s="3256"/>
      <c r="C108" s="3257"/>
      <c r="D108" s="3258"/>
      <c r="E108" s="3257"/>
      <c r="F108" s="3256"/>
      <c r="G108" s="3614"/>
      <c r="H108" s="3256"/>
      <c r="I108" s="3256"/>
      <c r="J108" s="3256"/>
      <c r="K108" s="3256"/>
      <c r="L108" s="3142" t="str">
        <f t="shared" si="10"/>
        <v/>
      </c>
      <c r="M108" s="3183"/>
      <c r="N108" s="3140">
        <f t="shared" si="18"/>
        <v>0</v>
      </c>
      <c r="O108" s="3140">
        <f t="shared" si="19"/>
        <v>0</v>
      </c>
      <c r="Q108" s="3184">
        <f t="shared" si="20"/>
        <v>0</v>
      </c>
      <c r="T108" s="3184">
        <f t="shared" si="21"/>
        <v>0</v>
      </c>
      <c r="U108" s="3184">
        <f t="shared" si="22"/>
        <v>0</v>
      </c>
      <c r="V108" s="3184">
        <f t="shared" si="23"/>
        <v>0</v>
      </c>
    </row>
    <row r="109" spans="1:22" hidden="1" x14ac:dyDescent="0.2">
      <c r="A109" s="3255">
        <f t="shared" si="15"/>
        <v>97</v>
      </c>
      <c r="B109" s="3256"/>
      <c r="C109" s="3257"/>
      <c r="D109" s="3258"/>
      <c r="E109" s="3257"/>
      <c r="F109" s="3256"/>
      <c r="G109" s="3614"/>
      <c r="H109" s="3256"/>
      <c r="I109" s="3256"/>
      <c r="J109" s="3256"/>
      <c r="K109" s="3256"/>
      <c r="L109" s="3142" t="str">
        <f t="shared" si="10"/>
        <v/>
      </c>
      <c r="M109" s="3183"/>
      <c r="N109" s="3140">
        <f t="shared" si="18"/>
        <v>0</v>
      </c>
      <c r="O109" s="3140">
        <f t="shared" si="19"/>
        <v>0</v>
      </c>
      <c r="Q109" s="3184">
        <f t="shared" si="20"/>
        <v>0</v>
      </c>
      <c r="T109" s="3184">
        <f t="shared" si="21"/>
        <v>0</v>
      </c>
      <c r="U109" s="3184">
        <f t="shared" si="22"/>
        <v>0</v>
      </c>
      <c r="V109" s="3184">
        <f t="shared" si="23"/>
        <v>0</v>
      </c>
    </row>
    <row r="110" spans="1:22" hidden="1" x14ac:dyDescent="0.2">
      <c r="A110" s="3255">
        <f t="shared" si="15"/>
        <v>98</v>
      </c>
      <c r="B110" s="3256"/>
      <c r="C110" s="3257"/>
      <c r="D110" s="3258"/>
      <c r="E110" s="3257"/>
      <c r="F110" s="3256"/>
      <c r="G110" s="3614"/>
      <c r="H110" s="3256"/>
      <c r="I110" s="3256"/>
      <c r="J110" s="3256"/>
      <c r="K110" s="3256"/>
      <c r="L110" s="3142" t="str">
        <f t="shared" si="10"/>
        <v/>
      </c>
      <c r="M110" s="3183"/>
      <c r="N110" s="3140">
        <f t="shared" si="18"/>
        <v>0</v>
      </c>
      <c r="O110" s="3140">
        <f t="shared" si="19"/>
        <v>0</v>
      </c>
      <c r="Q110" s="3184">
        <f t="shared" si="20"/>
        <v>0</v>
      </c>
      <c r="T110" s="3184">
        <f t="shared" si="21"/>
        <v>0</v>
      </c>
      <c r="U110" s="3184">
        <f t="shared" si="22"/>
        <v>0</v>
      </c>
      <c r="V110" s="3184">
        <f t="shared" si="23"/>
        <v>0</v>
      </c>
    </row>
    <row r="111" spans="1:22" hidden="1" x14ac:dyDescent="0.2">
      <c r="A111" s="3255">
        <f t="shared" si="15"/>
        <v>99</v>
      </c>
      <c r="B111" s="3256"/>
      <c r="C111" s="3257"/>
      <c r="D111" s="3258"/>
      <c r="E111" s="3257"/>
      <c r="F111" s="3256"/>
      <c r="G111" s="3614"/>
      <c r="H111" s="3256"/>
      <c r="I111" s="3256"/>
      <c r="J111" s="3256"/>
      <c r="K111" s="3256"/>
      <c r="L111" s="3142" t="str">
        <f t="shared" si="10"/>
        <v/>
      </c>
      <c r="M111" s="3183"/>
      <c r="N111" s="3140">
        <f t="shared" si="18"/>
        <v>0</v>
      </c>
      <c r="O111" s="3140">
        <f t="shared" si="19"/>
        <v>0</v>
      </c>
      <c r="Q111" s="3184">
        <f t="shared" si="20"/>
        <v>0</v>
      </c>
      <c r="T111" s="3184">
        <f t="shared" si="21"/>
        <v>0</v>
      </c>
      <c r="U111" s="3184">
        <f t="shared" si="22"/>
        <v>0</v>
      </c>
      <c r="V111" s="3184">
        <f t="shared" si="23"/>
        <v>0</v>
      </c>
    </row>
    <row r="112" spans="1:22" hidden="1" x14ac:dyDescent="0.2">
      <c r="A112" s="3255">
        <f t="shared" si="15"/>
        <v>100</v>
      </c>
      <c r="B112" s="3256"/>
      <c r="C112" s="3257"/>
      <c r="D112" s="3258"/>
      <c r="E112" s="3257"/>
      <c r="F112" s="3256"/>
      <c r="G112" s="3614"/>
      <c r="H112" s="3256"/>
      <c r="I112" s="3256"/>
      <c r="J112" s="3256"/>
      <c r="K112" s="3256"/>
      <c r="L112" s="3142" t="str">
        <f t="shared" si="10"/>
        <v/>
      </c>
      <c r="M112" s="3183"/>
      <c r="N112" s="3140">
        <f t="shared" si="18"/>
        <v>0</v>
      </c>
      <c r="O112" s="3140">
        <f t="shared" si="19"/>
        <v>0</v>
      </c>
      <c r="Q112" s="3184">
        <f t="shared" si="20"/>
        <v>0</v>
      </c>
      <c r="T112" s="3184">
        <f t="shared" si="21"/>
        <v>0</v>
      </c>
      <c r="U112" s="3184">
        <f t="shared" si="22"/>
        <v>0</v>
      </c>
      <c r="V112" s="3184">
        <f t="shared" si="23"/>
        <v>0</v>
      </c>
    </row>
    <row r="113" spans="1:22" hidden="1" x14ac:dyDescent="0.2">
      <c r="A113" s="3255">
        <f t="shared" si="15"/>
        <v>101</v>
      </c>
      <c r="B113" s="3256"/>
      <c r="C113" s="3257"/>
      <c r="D113" s="3258"/>
      <c r="E113" s="3257"/>
      <c r="F113" s="3256"/>
      <c r="G113" s="3614"/>
      <c r="H113" s="3256"/>
      <c r="I113" s="3256"/>
      <c r="J113" s="3256"/>
      <c r="K113" s="3256"/>
      <c r="L113" s="3142" t="str">
        <f t="shared" si="10"/>
        <v/>
      </c>
      <c r="M113" s="3183"/>
      <c r="N113" s="3140">
        <f t="shared" si="18"/>
        <v>0</v>
      </c>
      <c r="O113" s="3140">
        <f t="shared" si="19"/>
        <v>0</v>
      </c>
      <c r="Q113" s="3184">
        <f t="shared" si="20"/>
        <v>0</v>
      </c>
      <c r="T113" s="3184">
        <f t="shared" si="21"/>
        <v>0</v>
      </c>
      <c r="U113" s="3184">
        <f t="shared" si="22"/>
        <v>0</v>
      </c>
      <c r="V113" s="3184">
        <f t="shared" si="23"/>
        <v>0</v>
      </c>
    </row>
    <row r="114" spans="1:22" hidden="1" x14ac:dyDescent="0.2">
      <c r="A114" s="3255">
        <f t="shared" si="15"/>
        <v>102</v>
      </c>
      <c r="B114" s="3256"/>
      <c r="C114" s="3257"/>
      <c r="D114" s="3258"/>
      <c r="E114" s="3257"/>
      <c r="F114" s="3256"/>
      <c r="G114" s="3614"/>
      <c r="H114" s="3256"/>
      <c r="I114" s="3256"/>
      <c r="J114" s="3256"/>
      <c r="K114" s="3256"/>
      <c r="L114" s="3142" t="str">
        <f t="shared" si="10"/>
        <v/>
      </c>
      <c r="M114" s="3183"/>
      <c r="N114" s="3140">
        <f t="shared" si="18"/>
        <v>0</v>
      </c>
      <c r="O114" s="3140">
        <f t="shared" si="19"/>
        <v>0</v>
      </c>
      <c r="Q114" s="3184">
        <f t="shared" si="20"/>
        <v>0</v>
      </c>
      <c r="T114" s="3184">
        <f t="shared" si="21"/>
        <v>0</v>
      </c>
      <c r="U114" s="3184">
        <f t="shared" si="22"/>
        <v>0</v>
      </c>
      <c r="V114" s="3184">
        <f t="shared" si="23"/>
        <v>0</v>
      </c>
    </row>
    <row r="115" spans="1:22" hidden="1" x14ac:dyDescent="0.2">
      <c r="A115" s="3255">
        <f t="shared" si="15"/>
        <v>103</v>
      </c>
      <c r="B115" s="3256"/>
      <c r="C115" s="3257"/>
      <c r="D115" s="3258"/>
      <c r="E115" s="3257"/>
      <c r="F115" s="3256"/>
      <c r="G115" s="3614"/>
      <c r="H115" s="3256"/>
      <c r="I115" s="3256"/>
      <c r="J115" s="3256"/>
      <c r="K115" s="3256"/>
      <c r="L115" s="3142" t="str">
        <f t="shared" si="10"/>
        <v/>
      </c>
      <c r="M115" s="3183"/>
      <c r="N115" s="3140">
        <f t="shared" si="18"/>
        <v>0</v>
      </c>
      <c r="O115" s="3140">
        <f t="shared" si="19"/>
        <v>0</v>
      </c>
      <c r="Q115" s="3184">
        <f t="shared" si="20"/>
        <v>0</v>
      </c>
      <c r="T115" s="3184">
        <f t="shared" si="21"/>
        <v>0</v>
      </c>
      <c r="U115" s="3184">
        <f t="shared" si="22"/>
        <v>0</v>
      </c>
      <c r="V115" s="3184">
        <f t="shared" si="23"/>
        <v>0</v>
      </c>
    </row>
    <row r="116" spans="1:22" hidden="1" x14ac:dyDescent="0.2">
      <c r="A116" s="3255">
        <f t="shared" si="15"/>
        <v>104</v>
      </c>
      <c r="B116" s="3256"/>
      <c r="C116" s="3257"/>
      <c r="D116" s="3258"/>
      <c r="E116" s="3257"/>
      <c r="F116" s="3256"/>
      <c r="G116" s="3614"/>
      <c r="H116" s="3256"/>
      <c r="I116" s="3256"/>
      <c r="J116" s="3256"/>
      <c r="K116" s="3256"/>
      <c r="L116" s="3142" t="str">
        <f t="shared" si="10"/>
        <v/>
      </c>
      <c r="M116" s="3183"/>
      <c r="N116" s="3140">
        <f t="shared" si="18"/>
        <v>0</v>
      </c>
      <c r="O116" s="3140">
        <f t="shared" si="19"/>
        <v>0</v>
      </c>
      <c r="Q116" s="3184">
        <f t="shared" si="20"/>
        <v>0</v>
      </c>
      <c r="T116" s="3184">
        <f t="shared" si="21"/>
        <v>0</v>
      </c>
      <c r="U116" s="3184">
        <f t="shared" si="22"/>
        <v>0</v>
      </c>
      <c r="V116" s="3184">
        <f t="shared" si="23"/>
        <v>0</v>
      </c>
    </row>
    <row r="117" spans="1:22" hidden="1" x14ac:dyDescent="0.2">
      <c r="A117" s="3255">
        <f t="shared" si="15"/>
        <v>105</v>
      </c>
      <c r="B117" s="3256"/>
      <c r="C117" s="3257"/>
      <c r="D117" s="3258"/>
      <c r="E117" s="3257"/>
      <c r="F117" s="3256"/>
      <c r="G117" s="3614"/>
      <c r="H117" s="3256"/>
      <c r="I117" s="3256"/>
      <c r="J117" s="3256"/>
      <c r="K117" s="3256"/>
      <c r="L117" s="3142" t="str">
        <f t="shared" si="10"/>
        <v/>
      </c>
      <c r="M117" s="3183"/>
      <c r="N117" s="3140">
        <f t="shared" si="18"/>
        <v>0</v>
      </c>
      <c r="O117" s="3140">
        <f t="shared" si="19"/>
        <v>0</v>
      </c>
      <c r="Q117" s="3184">
        <f t="shared" si="20"/>
        <v>0</v>
      </c>
      <c r="T117" s="3184">
        <f t="shared" si="21"/>
        <v>0</v>
      </c>
      <c r="U117" s="3184">
        <f t="shared" si="22"/>
        <v>0</v>
      </c>
      <c r="V117" s="3184">
        <f t="shared" si="23"/>
        <v>0</v>
      </c>
    </row>
    <row r="118" spans="1:22" hidden="1" x14ac:dyDescent="0.2">
      <c r="A118" s="3255">
        <f t="shared" si="15"/>
        <v>106</v>
      </c>
      <c r="B118" s="3256"/>
      <c r="C118" s="3257"/>
      <c r="D118" s="3258"/>
      <c r="E118" s="3257"/>
      <c r="F118" s="3256"/>
      <c r="G118" s="3614"/>
      <c r="H118" s="3256"/>
      <c r="I118" s="3256"/>
      <c r="J118" s="3256"/>
      <c r="K118" s="3256"/>
      <c r="L118" s="3142" t="str">
        <f t="shared" si="10"/>
        <v/>
      </c>
      <c r="M118" s="3183"/>
      <c r="N118" s="3140">
        <f t="shared" si="18"/>
        <v>0</v>
      </c>
      <c r="O118" s="3140">
        <f t="shared" si="19"/>
        <v>0</v>
      </c>
      <c r="Q118" s="3184">
        <f t="shared" si="20"/>
        <v>0</v>
      </c>
      <c r="T118" s="3184">
        <f t="shared" si="21"/>
        <v>0</v>
      </c>
      <c r="U118" s="3184">
        <f t="shared" si="22"/>
        <v>0</v>
      </c>
      <c r="V118" s="3184">
        <f t="shared" si="23"/>
        <v>0</v>
      </c>
    </row>
    <row r="119" spans="1:22" hidden="1" x14ac:dyDescent="0.2">
      <c r="A119" s="3255">
        <f t="shared" si="15"/>
        <v>107</v>
      </c>
      <c r="B119" s="3256"/>
      <c r="C119" s="3257"/>
      <c r="D119" s="3258"/>
      <c r="E119" s="3257"/>
      <c r="F119" s="3256"/>
      <c r="G119" s="3614"/>
      <c r="H119" s="3256"/>
      <c r="I119" s="3256"/>
      <c r="J119" s="3256"/>
      <c r="K119" s="3256"/>
      <c r="L119" s="3142" t="str">
        <f t="shared" si="10"/>
        <v/>
      </c>
      <c r="M119" s="3183"/>
      <c r="N119" s="3140">
        <f t="shared" si="18"/>
        <v>0</v>
      </c>
      <c r="O119" s="3140">
        <f t="shared" si="19"/>
        <v>0</v>
      </c>
      <c r="Q119" s="3184">
        <f t="shared" si="20"/>
        <v>0</v>
      </c>
      <c r="T119" s="3184">
        <f t="shared" si="21"/>
        <v>0</v>
      </c>
      <c r="U119" s="3184">
        <f t="shared" si="22"/>
        <v>0</v>
      </c>
      <c r="V119" s="3184">
        <f t="shared" si="23"/>
        <v>0</v>
      </c>
    </row>
    <row r="120" spans="1:22" hidden="1" x14ac:dyDescent="0.2">
      <c r="A120" s="3255">
        <f t="shared" si="15"/>
        <v>108</v>
      </c>
      <c r="B120" s="3256"/>
      <c r="C120" s="3257"/>
      <c r="D120" s="3258"/>
      <c r="E120" s="3257"/>
      <c r="F120" s="3256"/>
      <c r="G120" s="3614"/>
      <c r="H120" s="3256"/>
      <c r="I120" s="3256"/>
      <c r="J120" s="3256"/>
      <c r="K120" s="3256"/>
      <c r="L120" s="3142" t="str">
        <f t="shared" si="10"/>
        <v/>
      </c>
      <c r="M120" s="3183"/>
      <c r="N120" s="3140">
        <f t="shared" si="18"/>
        <v>0</v>
      </c>
      <c r="O120" s="3140">
        <f t="shared" si="19"/>
        <v>0</v>
      </c>
      <c r="Q120" s="3184">
        <f t="shared" si="20"/>
        <v>0</v>
      </c>
      <c r="T120" s="3184">
        <f t="shared" si="21"/>
        <v>0</v>
      </c>
      <c r="U120" s="3184">
        <f t="shared" si="22"/>
        <v>0</v>
      </c>
      <c r="V120" s="3184">
        <f t="shared" si="23"/>
        <v>0</v>
      </c>
    </row>
    <row r="121" spans="1:22" hidden="1" x14ac:dyDescent="0.2">
      <c r="A121" s="3255">
        <f t="shared" si="15"/>
        <v>109</v>
      </c>
      <c r="B121" s="3256"/>
      <c r="C121" s="3257"/>
      <c r="D121" s="3258"/>
      <c r="E121" s="3257"/>
      <c r="F121" s="3256"/>
      <c r="G121" s="3614"/>
      <c r="H121" s="3256"/>
      <c r="I121" s="3256"/>
      <c r="J121" s="3256"/>
      <c r="K121" s="3256"/>
      <c r="L121" s="3142" t="str">
        <f t="shared" si="10"/>
        <v/>
      </c>
      <c r="M121" s="3183"/>
      <c r="N121" s="3140">
        <f t="shared" si="18"/>
        <v>0</v>
      </c>
      <c r="O121" s="3140">
        <f t="shared" si="19"/>
        <v>0</v>
      </c>
      <c r="Q121" s="3184">
        <f t="shared" si="20"/>
        <v>0</v>
      </c>
      <c r="T121" s="3184">
        <f t="shared" si="21"/>
        <v>0</v>
      </c>
      <c r="U121" s="3184">
        <f t="shared" si="22"/>
        <v>0</v>
      </c>
      <c r="V121" s="3184">
        <f t="shared" si="23"/>
        <v>0</v>
      </c>
    </row>
    <row r="122" spans="1:22" hidden="1" x14ac:dyDescent="0.2">
      <c r="A122" s="3255">
        <f t="shared" si="15"/>
        <v>110</v>
      </c>
      <c r="B122" s="3256"/>
      <c r="C122" s="3257"/>
      <c r="D122" s="3258"/>
      <c r="E122" s="3257"/>
      <c r="F122" s="3256"/>
      <c r="G122" s="3614"/>
      <c r="H122" s="3256"/>
      <c r="I122" s="3256"/>
      <c r="J122" s="3256"/>
      <c r="K122" s="3256"/>
      <c r="L122" s="3142" t="str">
        <f t="shared" si="10"/>
        <v/>
      </c>
      <c r="M122" s="3183"/>
      <c r="N122" s="3140">
        <f t="shared" si="18"/>
        <v>0</v>
      </c>
      <c r="O122" s="3140">
        <f t="shared" si="19"/>
        <v>0</v>
      </c>
      <c r="Q122" s="3184">
        <f t="shared" si="20"/>
        <v>0</v>
      </c>
      <c r="T122" s="3184">
        <f t="shared" si="21"/>
        <v>0</v>
      </c>
      <c r="U122" s="3184">
        <f t="shared" si="22"/>
        <v>0</v>
      </c>
      <c r="V122" s="3184">
        <f t="shared" si="23"/>
        <v>0</v>
      </c>
    </row>
    <row r="123" spans="1:22" hidden="1" x14ac:dyDescent="0.2">
      <c r="A123" s="3255">
        <f t="shared" si="15"/>
        <v>111</v>
      </c>
      <c r="B123" s="3256"/>
      <c r="C123" s="3257"/>
      <c r="D123" s="3258"/>
      <c r="E123" s="3257"/>
      <c r="F123" s="3256"/>
      <c r="G123" s="3614"/>
      <c r="H123" s="3256"/>
      <c r="I123" s="3256"/>
      <c r="J123" s="3256"/>
      <c r="K123" s="3256"/>
      <c r="L123" s="3142" t="str">
        <f t="shared" si="10"/>
        <v/>
      </c>
      <c r="M123" s="3183"/>
      <c r="N123" s="3140">
        <f t="shared" si="18"/>
        <v>0</v>
      </c>
      <c r="O123" s="3140">
        <f t="shared" si="19"/>
        <v>0</v>
      </c>
      <c r="Q123" s="3184">
        <f t="shared" si="20"/>
        <v>0</v>
      </c>
      <c r="T123" s="3184">
        <f t="shared" si="21"/>
        <v>0</v>
      </c>
      <c r="U123" s="3184">
        <f t="shared" si="22"/>
        <v>0</v>
      </c>
      <c r="V123" s="3184">
        <f t="shared" si="23"/>
        <v>0</v>
      </c>
    </row>
    <row r="124" spans="1:22" hidden="1" x14ac:dyDescent="0.2">
      <c r="A124" s="3255">
        <f t="shared" si="15"/>
        <v>112</v>
      </c>
      <c r="B124" s="3256"/>
      <c r="C124" s="3257"/>
      <c r="D124" s="3258"/>
      <c r="E124" s="3257"/>
      <c r="F124" s="3256"/>
      <c r="G124" s="3614"/>
      <c r="H124" s="3256"/>
      <c r="I124" s="3256"/>
      <c r="J124" s="3256"/>
      <c r="K124" s="3256"/>
      <c r="L124" s="3142" t="str">
        <f t="shared" si="10"/>
        <v/>
      </c>
      <c r="M124" s="3183"/>
      <c r="N124" s="3140">
        <f t="shared" si="18"/>
        <v>0</v>
      </c>
      <c r="O124" s="3140">
        <f t="shared" si="19"/>
        <v>0</v>
      </c>
      <c r="Q124" s="3184">
        <f t="shared" si="20"/>
        <v>0</v>
      </c>
      <c r="T124" s="3184">
        <f t="shared" si="21"/>
        <v>0</v>
      </c>
      <c r="U124" s="3184">
        <f t="shared" si="22"/>
        <v>0</v>
      </c>
      <c r="V124" s="3184">
        <f t="shared" si="23"/>
        <v>0</v>
      </c>
    </row>
    <row r="125" spans="1:22" hidden="1" x14ac:dyDescent="0.2">
      <c r="A125" s="3255">
        <f t="shared" si="15"/>
        <v>113</v>
      </c>
      <c r="B125" s="3256"/>
      <c r="C125" s="3257"/>
      <c r="D125" s="3258"/>
      <c r="E125" s="3257"/>
      <c r="F125" s="3256"/>
      <c r="G125" s="3614"/>
      <c r="H125" s="3256"/>
      <c r="I125" s="3256"/>
      <c r="J125" s="3256"/>
      <c r="K125" s="3256"/>
      <c r="L125" s="3142" t="str">
        <f t="shared" si="10"/>
        <v/>
      </c>
      <c r="M125" s="3183"/>
      <c r="N125" s="3140">
        <f t="shared" si="18"/>
        <v>0</v>
      </c>
      <c r="O125" s="3140">
        <f t="shared" si="19"/>
        <v>0</v>
      </c>
      <c r="Q125" s="3184">
        <f t="shared" si="20"/>
        <v>0</v>
      </c>
      <c r="T125" s="3184">
        <f t="shared" si="21"/>
        <v>0</v>
      </c>
      <c r="U125" s="3184">
        <f t="shared" si="22"/>
        <v>0</v>
      </c>
      <c r="V125" s="3184">
        <f t="shared" si="23"/>
        <v>0</v>
      </c>
    </row>
    <row r="126" spans="1:22" hidden="1" x14ac:dyDescent="0.2">
      <c r="A126" s="3255">
        <f t="shared" si="15"/>
        <v>114</v>
      </c>
      <c r="B126" s="3256"/>
      <c r="C126" s="3257"/>
      <c r="D126" s="3258"/>
      <c r="E126" s="3257"/>
      <c r="F126" s="3256"/>
      <c r="G126" s="3614"/>
      <c r="H126" s="3256"/>
      <c r="I126" s="3256"/>
      <c r="J126" s="3256"/>
      <c r="K126" s="3256"/>
      <c r="L126" s="3142" t="str">
        <f t="shared" si="10"/>
        <v/>
      </c>
      <c r="M126" s="3183"/>
      <c r="N126" s="3140">
        <f t="shared" si="18"/>
        <v>0</v>
      </c>
      <c r="O126" s="3140">
        <f t="shared" si="19"/>
        <v>0</v>
      </c>
      <c r="Q126" s="3184">
        <f t="shared" si="20"/>
        <v>0</v>
      </c>
      <c r="T126" s="3184">
        <f t="shared" si="21"/>
        <v>0</v>
      </c>
      <c r="U126" s="3184">
        <f t="shared" si="22"/>
        <v>0</v>
      </c>
      <c r="V126" s="3184">
        <f t="shared" si="23"/>
        <v>0</v>
      </c>
    </row>
    <row r="127" spans="1:22" hidden="1" x14ac:dyDescent="0.2">
      <c r="A127" s="3255">
        <f t="shared" si="15"/>
        <v>115</v>
      </c>
      <c r="B127" s="3256"/>
      <c r="C127" s="3257"/>
      <c r="D127" s="3258"/>
      <c r="E127" s="3257"/>
      <c r="F127" s="3256"/>
      <c r="G127" s="3614"/>
      <c r="H127" s="3256"/>
      <c r="I127" s="3256"/>
      <c r="J127" s="3256"/>
      <c r="K127" s="3256"/>
      <c r="L127" s="3142" t="str">
        <f t="shared" si="10"/>
        <v/>
      </c>
      <c r="M127" s="3183"/>
      <c r="N127" s="3140">
        <f t="shared" si="18"/>
        <v>0</v>
      </c>
      <c r="O127" s="3140">
        <f t="shared" si="19"/>
        <v>0</v>
      </c>
      <c r="Q127" s="3184">
        <f t="shared" si="20"/>
        <v>0</v>
      </c>
      <c r="T127" s="3184">
        <f t="shared" si="21"/>
        <v>0</v>
      </c>
      <c r="U127" s="3184">
        <f t="shared" si="22"/>
        <v>0</v>
      </c>
      <c r="V127" s="3184">
        <f t="shared" si="23"/>
        <v>0</v>
      </c>
    </row>
    <row r="128" spans="1:22" hidden="1" x14ac:dyDescent="0.2">
      <c r="A128" s="3255">
        <f t="shared" si="15"/>
        <v>116</v>
      </c>
      <c r="B128" s="3256"/>
      <c r="C128" s="3257"/>
      <c r="D128" s="3258"/>
      <c r="E128" s="3257"/>
      <c r="F128" s="3256"/>
      <c r="G128" s="3614"/>
      <c r="H128" s="3256"/>
      <c r="I128" s="3256"/>
      <c r="J128" s="3256"/>
      <c r="K128" s="3256"/>
      <c r="L128" s="3142" t="str">
        <f t="shared" si="10"/>
        <v/>
      </c>
      <c r="M128" s="3183"/>
      <c r="N128" s="3140">
        <f t="shared" si="18"/>
        <v>0</v>
      </c>
      <c r="O128" s="3140">
        <f t="shared" si="19"/>
        <v>0</v>
      </c>
      <c r="Q128" s="3184">
        <f t="shared" si="20"/>
        <v>0</v>
      </c>
      <c r="T128" s="3184">
        <f t="shared" si="21"/>
        <v>0</v>
      </c>
      <c r="U128" s="3184">
        <f t="shared" si="22"/>
        <v>0</v>
      </c>
      <c r="V128" s="3184">
        <f t="shared" si="23"/>
        <v>0</v>
      </c>
    </row>
    <row r="129" spans="1:22" hidden="1" x14ac:dyDescent="0.2">
      <c r="A129" s="3255">
        <f t="shared" si="15"/>
        <v>117</v>
      </c>
      <c r="B129" s="3256"/>
      <c r="C129" s="3257"/>
      <c r="D129" s="3258"/>
      <c r="E129" s="3257"/>
      <c r="F129" s="3256"/>
      <c r="G129" s="3614"/>
      <c r="H129" s="3256"/>
      <c r="I129" s="3256"/>
      <c r="J129" s="3256"/>
      <c r="K129" s="3256"/>
      <c r="L129" s="3142" t="str">
        <f t="shared" si="10"/>
        <v/>
      </c>
      <c r="M129" s="3183"/>
      <c r="N129" s="3140">
        <f t="shared" si="18"/>
        <v>0</v>
      </c>
      <c r="O129" s="3140">
        <f t="shared" si="19"/>
        <v>0</v>
      </c>
      <c r="Q129" s="3184">
        <f t="shared" si="20"/>
        <v>0</v>
      </c>
      <c r="T129" s="3184">
        <f t="shared" si="21"/>
        <v>0</v>
      </c>
      <c r="U129" s="3184">
        <f t="shared" si="22"/>
        <v>0</v>
      </c>
      <c r="V129" s="3184">
        <f t="shared" si="23"/>
        <v>0</v>
      </c>
    </row>
    <row r="130" spans="1:22" hidden="1" x14ac:dyDescent="0.2">
      <c r="A130" s="3255">
        <f t="shared" si="15"/>
        <v>118</v>
      </c>
      <c r="B130" s="3256"/>
      <c r="C130" s="3257"/>
      <c r="D130" s="3258"/>
      <c r="E130" s="3257"/>
      <c r="F130" s="3256"/>
      <c r="G130" s="3614"/>
      <c r="H130" s="3256"/>
      <c r="I130" s="3256"/>
      <c r="J130" s="3256"/>
      <c r="K130" s="3256"/>
      <c r="L130" s="3142" t="str">
        <f t="shared" si="10"/>
        <v/>
      </c>
      <c r="M130" s="3183"/>
      <c r="N130" s="3140">
        <f t="shared" si="18"/>
        <v>0</v>
      </c>
      <c r="O130" s="3140">
        <f t="shared" si="19"/>
        <v>0</v>
      </c>
      <c r="Q130" s="3184">
        <f t="shared" si="20"/>
        <v>0</v>
      </c>
      <c r="T130" s="3184">
        <f t="shared" si="21"/>
        <v>0</v>
      </c>
      <c r="U130" s="3184">
        <f t="shared" si="22"/>
        <v>0</v>
      </c>
      <c r="V130" s="3184">
        <f t="shared" si="23"/>
        <v>0</v>
      </c>
    </row>
    <row r="131" spans="1:22" hidden="1" x14ac:dyDescent="0.2">
      <c r="A131" s="3255">
        <f t="shared" si="15"/>
        <v>119</v>
      </c>
      <c r="B131" s="3256"/>
      <c r="C131" s="3257"/>
      <c r="D131" s="3258"/>
      <c r="E131" s="3257"/>
      <c r="F131" s="3256"/>
      <c r="G131" s="3614"/>
      <c r="H131" s="3256"/>
      <c r="I131" s="3256"/>
      <c r="J131" s="3256"/>
      <c r="K131" s="3256"/>
      <c r="L131" s="3142" t="str">
        <f t="shared" si="10"/>
        <v/>
      </c>
      <c r="M131" s="3183"/>
      <c r="N131" s="3140">
        <f t="shared" si="18"/>
        <v>0</v>
      </c>
      <c r="O131" s="3140">
        <f t="shared" si="19"/>
        <v>0</v>
      </c>
      <c r="Q131" s="3184">
        <f t="shared" si="20"/>
        <v>0</v>
      </c>
      <c r="T131" s="3184">
        <f t="shared" si="21"/>
        <v>0</v>
      </c>
      <c r="U131" s="3184">
        <f t="shared" si="22"/>
        <v>0</v>
      </c>
      <c r="V131" s="3184">
        <f t="shared" si="23"/>
        <v>0</v>
      </c>
    </row>
    <row r="132" spans="1:22" hidden="1" x14ac:dyDescent="0.2">
      <c r="A132" s="3255">
        <f t="shared" si="15"/>
        <v>120</v>
      </c>
      <c r="B132" s="3256"/>
      <c r="C132" s="3257"/>
      <c r="D132" s="3258"/>
      <c r="E132" s="3257"/>
      <c r="F132" s="3256"/>
      <c r="G132" s="3614"/>
      <c r="H132" s="3256"/>
      <c r="I132" s="3256"/>
      <c r="J132" s="3256"/>
      <c r="K132" s="3256"/>
      <c r="L132" s="3142" t="str">
        <f t="shared" si="10"/>
        <v/>
      </c>
      <c r="M132" s="3183"/>
      <c r="N132" s="3140">
        <f t="shared" si="18"/>
        <v>0</v>
      </c>
      <c r="O132" s="3140">
        <f t="shared" si="19"/>
        <v>0</v>
      </c>
      <c r="Q132" s="3184">
        <f t="shared" si="20"/>
        <v>0</v>
      </c>
      <c r="T132" s="3184">
        <f t="shared" si="21"/>
        <v>0</v>
      </c>
      <c r="U132" s="3184">
        <f t="shared" si="22"/>
        <v>0</v>
      </c>
      <c r="V132" s="3184">
        <f t="shared" si="23"/>
        <v>0</v>
      </c>
    </row>
    <row r="133" spans="1:22" hidden="1" x14ac:dyDescent="0.2">
      <c r="A133" s="3255">
        <f t="shared" si="15"/>
        <v>121</v>
      </c>
      <c r="B133" s="3256"/>
      <c r="C133" s="3257"/>
      <c r="D133" s="3258"/>
      <c r="E133" s="3257"/>
      <c r="F133" s="3256"/>
      <c r="G133" s="3614"/>
      <c r="H133" s="3256"/>
      <c r="I133" s="3256"/>
      <c r="J133" s="3256"/>
      <c r="K133" s="3256"/>
      <c r="L133" s="3142" t="str">
        <f t="shared" si="10"/>
        <v/>
      </c>
      <c r="M133" s="3183"/>
      <c r="N133" s="3140">
        <f t="shared" si="18"/>
        <v>0</v>
      </c>
      <c r="O133" s="3140">
        <f t="shared" si="19"/>
        <v>0</v>
      </c>
      <c r="Q133" s="3184">
        <f t="shared" si="20"/>
        <v>0</v>
      </c>
      <c r="T133" s="3184">
        <f t="shared" si="21"/>
        <v>0</v>
      </c>
      <c r="U133" s="3184">
        <f t="shared" si="22"/>
        <v>0</v>
      </c>
      <c r="V133" s="3184">
        <f t="shared" si="23"/>
        <v>0</v>
      </c>
    </row>
    <row r="134" spans="1:22" hidden="1" x14ac:dyDescent="0.2">
      <c r="A134" s="3255">
        <f t="shared" si="15"/>
        <v>122</v>
      </c>
      <c r="B134" s="3256"/>
      <c r="C134" s="3257"/>
      <c r="D134" s="3258"/>
      <c r="E134" s="3257"/>
      <c r="F134" s="3256"/>
      <c r="G134" s="3614"/>
      <c r="H134" s="3256"/>
      <c r="I134" s="3256"/>
      <c r="J134" s="3256"/>
      <c r="K134" s="3256"/>
      <c r="L134" s="3142" t="str">
        <f t="shared" si="10"/>
        <v/>
      </c>
      <c r="M134" s="3183"/>
      <c r="N134" s="3140">
        <f t="shared" si="18"/>
        <v>0</v>
      </c>
      <c r="O134" s="3140">
        <f t="shared" si="19"/>
        <v>0</v>
      </c>
      <c r="Q134" s="3184">
        <f t="shared" si="20"/>
        <v>0</v>
      </c>
      <c r="T134" s="3184">
        <f t="shared" si="21"/>
        <v>0</v>
      </c>
      <c r="U134" s="3184">
        <f t="shared" si="22"/>
        <v>0</v>
      </c>
      <c r="V134" s="3184">
        <f t="shared" si="23"/>
        <v>0</v>
      </c>
    </row>
    <row r="135" spans="1:22" hidden="1" x14ac:dyDescent="0.2">
      <c r="A135" s="3255">
        <f t="shared" si="15"/>
        <v>123</v>
      </c>
      <c r="B135" s="3256"/>
      <c r="C135" s="3257"/>
      <c r="D135" s="3258"/>
      <c r="E135" s="3257"/>
      <c r="F135" s="3256"/>
      <c r="G135" s="3614"/>
      <c r="H135" s="3256"/>
      <c r="I135" s="3256"/>
      <c r="J135" s="3256"/>
      <c r="K135" s="3256"/>
      <c r="L135" s="3142" t="str">
        <f t="shared" si="10"/>
        <v/>
      </c>
      <c r="M135" s="3183"/>
      <c r="N135" s="3140">
        <f t="shared" si="18"/>
        <v>0</v>
      </c>
      <c r="O135" s="3140">
        <f t="shared" si="19"/>
        <v>0</v>
      </c>
      <c r="Q135" s="3184">
        <f t="shared" si="20"/>
        <v>0</v>
      </c>
      <c r="T135" s="3184">
        <f t="shared" si="21"/>
        <v>0</v>
      </c>
      <c r="U135" s="3184">
        <f t="shared" si="22"/>
        <v>0</v>
      </c>
      <c r="V135" s="3184">
        <f t="shared" si="23"/>
        <v>0</v>
      </c>
    </row>
    <row r="136" spans="1:22" hidden="1" x14ac:dyDescent="0.2">
      <c r="A136" s="3255">
        <f t="shared" si="15"/>
        <v>124</v>
      </c>
      <c r="B136" s="3256"/>
      <c r="C136" s="3257"/>
      <c r="D136" s="3258"/>
      <c r="E136" s="3257"/>
      <c r="F136" s="3256"/>
      <c r="G136" s="3614"/>
      <c r="H136" s="3256"/>
      <c r="I136" s="3256"/>
      <c r="J136" s="3256"/>
      <c r="K136" s="3256"/>
      <c r="L136" s="3142" t="str">
        <f t="shared" si="10"/>
        <v/>
      </c>
      <c r="M136" s="3183"/>
      <c r="N136" s="3140">
        <f t="shared" si="18"/>
        <v>0</v>
      </c>
      <c r="O136" s="3140">
        <f t="shared" si="19"/>
        <v>0</v>
      </c>
      <c r="Q136" s="3184">
        <f t="shared" si="20"/>
        <v>0</v>
      </c>
      <c r="T136" s="3184">
        <f t="shared" si="21"/>
        <v>0</v>
      </c>
      <c r="U136" s="3184">
        <f t="shared" si="22"/>
        <v>0</v>
      </c>
      <c r="V136" s="3184">
        <f t="shared" si="23"/>
        <v>0</v>
      </c>
    </row>
    <row r="137" spans="1:22" hidden="1" x14ac:dyDescent="0.2">
      <c r="A137" s="3255">
        <f t="shared" si="15"/>
        <v>125</v>
      </c>
      <c r="B137" s="3256"/>
      <c r="C137" s="3257"/>
      <c r="D137" s="3258"/>
      <c r="E137" s="3257"/>
      <c r="F137" s="3256"/>
      <c r="G137" s="3614"/>
      <c r="H137" s="3256"/>
      <c r="I137" s="3256"/>
      <c r="J137" s="3256"/>
      <c r="K137" s="3256"/>
      <c r="L137" s="3142" t="str">
        <f t="shared" si="10"/>
        <v/>
      </c>
      <c r="M137" s="3183"/>
      <c r="N137" s="3140">
        <f t="shared" si="18"/>
        <v>0</v>
      </c>
      <c r="O137" s="3140">
        <f t="shared" si="19"/>
        <v>0</v>
      </c>
      <c r="Q137" s="3184">
        <f t="shared" si="20"/>
        <v>0</v>
      </c>
      <c r="T137" s="3184">
        <f t="shared" si="21"/>
        <v>0</v>
      </c>
      <c r="U137" s="3184">
        <f t="shared" si="22"/>
        <v>0</v>
      </c>
      <c r="V137" s="3184">
        <f t="shared" si="23"/>
        <v>0</v>
      </c>
    </row>
    <row r="138" spans="1:22" hidden="1" x14ac:dyDescent="0.2">
      <c r="A138" s="3255">
        <f t="shared" si="15"/>
        <v>126</v>
      </c>
      <c r="B138" s="3256"/>
      <c r="C138" s="3257"/>
      <c r="D138" s="3258"/>
      <c r="E138" s="3257"/>
      <c r="F138" s="3256"/>
      <c r="G138" s="3614"/>
      <c r="H138" s="3256"/>
      <c r="I138" s="3256"/>
      <c r="J138" s="3256"/>
      <c r="K138" s="3256"/>
      <c r="L138" s="3142" t="str">
        <f t="shared" si="10"/>
        <v/>
      </c>
      <c r="M138" s="3183"/>
      <c r="N138" s="3140">
        <f t="shared" si="18"/>
        <v>0</v>
      </c>
      <c r="O138" s="3140">
        <f t="shared" si="19"/>
        <v>0</v>
      </c>
      <c r="Q138" s="3184">
        <f t="shared" si="20"/>
        <v>0</v>
      </c>
      <c r="T138" s="3184">
        <f t="shared" si="21"/>
        <v>0</v>
      </c>
      <c r="U138" s="3184">
        <f t="shared" si="22"/>
        <v>0</v>
      </c>
      <c r="V138" s="3184">
        <f t="shared" si="23"/>
        <v>0</v>
      </c>
    </row>
    <row r="139" spans="1:22" hidden="1" x14ac:dyDescent="0.2">
      <c r="A139" s="3255">
        <f t="shared" si="15"/>
        <v>127</v>
      </c>
      <c r="B139" s="3256"/>
      <c r="C139" s="3257"/>
      <c r="D139" s="3258"/>
      <c r="E139" s="3257"/>
      <c r="F139" s="3256"/>
      <c r="G139" s="3614"/>
      <c r="H139" s="3256"/>
      <c r="I139" s="3256"/>
      <c r="J139" s="3256"/>
      <c r="K139" s="3256"/>
      <c r="L139" s="3142" t="str">
        <f t="shared" si="10"/>
        <v/>
      </c>
      <c r="M139" s="3183"/>
      <c r="N139" s="3140">
        <f t="shared" si="18"/>
        <v>0</v>
      </c>
      <c r="O139" s="3140">
        <f t="shared" si="19"/>
        <v>0</v>
      </c>
      <c r="Q139" s="3184">
        <f t="shared" si="20"/>
        <v>0</v>
      </c>
      <c r="T139" s="3184">
        <f t="shared" si="21"/>
        <v>0</v>
      </c>
      <c r="U139" s="3184">
        <f t="shared" si="22"/>
        <v>0</v>
      </c>
      <c r="V139" s="3184">
        <f t="shared" si="23"/>
        <v>0</v>
      </c>
    </row>
    <row r="140" spans="1:22" hidden="1" x14ac:dyDescent="0.2">
      <c r="A140" s="3255">
        <f t="shared" si="15"/>
        <v>128</v>
      </c>
      <c r="B140" s="3256"/>
      <c r="C140" s="3257"/>
      <c r="D140" s="3258"/>
      <c r="E140" s="3257"/>
      <c r="F140" s="3256"/>
      <c r="G140" s="3614"/>
      <c r="H140" s="3256"/>
      <c r="I140" s="3256"/>
      <c r="J140" s="3256"/>
      <c r="K140" s="3256"/>
      <c r="L140" s="3142" t="str">
        <f t="shared" si="10"/>
        <v/>
      </c>
      <c r="M140" s="3183"/>
      <c r="N140" s="3140">
        <f t="shared" si="18"/>
        <v>0</v>
      </c>
      <c r="O140" s="3140">
        <f t="shared" si="19"/>
        <v>0</v>
      </c>
      <c r="Q140" s="3184">
        <f t="shared" si="20"/>
        <v>0</v>
      </c>
      <c r="T140" s="3184">
        <f t="shared" si="21"/>
        <v>0</v>
      </c>
      <c r="U140" s="3184">
        <f t="shared" si="22"/>
        <v>0</v>
      </c>
      <c r="V140" s="3184">
        <f t="shared" si="23"/>
        <v>0</v>
      </c>
    </row>
    <row r="141" spans="1:22" hidden="1" x14ac:dyDescent="0.2">
      <c r="A141" s="3255">
        <f t="shared" si="15"/>
        <v>129</v>
      </c>
      <c r="B141" s="3256"/>
      <c r="C141" s="3257"/>
      <c r="D141" s="3258"/>
      <c r="E141" s="3257"/>
      <c r="F141" s="3256"/>
      <c r="G141" s="3614"/>
      <c r="H141" s="3256"/>
      <c r="I141" s="3256"/>
      <c r="J141" s="3256"/>
      <c r="K141" s="3256"/>
      <c r="L141" s="3142" t="str">
        <f t="shared" ref="L141:L204" si="24">IF(AND($N$4&gt;0,A141&lt;=$J$8,N141&lt;&gt;7),re,IF(AND(N141&gt;0,$K$8=0),"No details required",IF(AND(T141=1,I141=""),re,IF(AND(T141=0,COUNTA(I141:K141)&gt;0),"Delete!",IF(AND(U141=1,J141=""),re,IF(AND(U141=0,COUNTA(J141:K141)&gt;0),"Delete!",IF(AND(V141=1,K141=""),re,IF(AND(V141=0,COUNTA(K141)&gt;0),"Delete!",IF(AND(N141&gt;0,A141&gt;$J$8),"Check no. of foreign holdings!","")))))))))</f>
        <v/>
      </c>
      <c r="M141" s="3183"/>
      <c r="N141" s="3140">
        <f t="shared" si="18"/>
        <v>0</v>
      </c>
      <c r="O141" s="3140">
        <f t="shared" si="19"/>
        <v>0</v>
      </c>
      <c r="Q141" s="3184">
        <f t="shared" si="20"/>
        <v>0</v>
      </c>
      <c r="T141" s="3184">
        <f t="shared" si="21"/>
        <v>0</v>
      </c>
      <c r="U141" s="3184">
        <f t="shared" si="22"/>
        <v>0</v>
      </c>
      <c r="V141" s="3184">
        <f t="shared" si="23"/>
        <v>0</v>
      </c>
    </row>
    <row r="142" spans="1:22" hidden="1" x14ac:dyDescent="0.2">
      <c r="A142" s="3255">
        <f t="shared" si="15"/>
        <v>130</v>
      </c>
      <c r="B142" s="3256"/>
      <c r="C142" s="3257"/>
      <c r="D142" s="3258"/>
      <c r="E142" s="3257"/>
      <c r="F142" s="3256"/>
      <c r="G142" s="3614"/>
      <c r="H142" s="3256"/>
      <c r="I142" s="3256"/>
      <c r="J142" s="3256"/>
      <c r="K142" s="3256"/>
      <c r="L142" s="3142" t="str">
        <f t="shared" si="24"/>
        <v/>
      </c>
      <c r="M142" s="3183"/>
      <c r="N142" s="3140">
        <f t="shared" si="18"/>
        <v>0</v>
      </c>
      <c r="O142" s="3140">
        <f t="shared" si="19"/>
        <v>0</v>
      </c>
      <c r="Q142" s="3184">
        <f t="shared" si="20"/>
        <v>0</v>
      </c>
      <c r="T142" s="3184">
        <f t="shared" si="21"/>
        <v>0</v>
      </c>
      <c r="U142" s="3184">
        <f t="shared" si="22"/>
        <v>0</v>
      </c>
      <c r="V142" s="3184">
        <f t="shared" si="23"/>
        <v>0</v>
      </c>
    </row>
    <row r="143" spans="1:22" hidden="1" x14ac:dyDescent="0.2">
      <c r="A143" s="3255">
        <f t="shared" si="15"/>
        <v>131</v>
      </c>
      <c r="B143" s="3256"/>
      <c r="C143" s="3257"/>
      <c r="D143" s="3258"/>
      <c r="E143" s="3257"/>
      <c r="F143" s="3256"/>
      <c r="G143" s="3614"/>
      <c r="H143" s="3256"/>
      <c r="I143" s="3256"/>
      <c r="J143" s="3256"/>
      <c r="K143" s="3256"/>
      <c r="L143" s="3142" t="str">
        <f t="shared" si="24"/>
        <v/>
      </c>
      <c r="M143" s="3183"/>
      <c r="N143" s="3140">
        <f t="shared" si="18"/>
        <v>0</v>
      </c>
      <c r="O143" s="3140">
        <f t="shared" si="19"/>
        <v>0</v>
      </c>
      <c r="Q143" s="3184">
        <f t="shared" si="20"/>
        <v>0</v>
      </c>
      <c r="T143" s="3184">
        <f t="shared" si="21"/>
        <v>0</v>
      </c>
      <c r="U143" s="3184">
        <f t="shared" si="22"/>
        <v>0</v>
      </c>
      <c r="V143" s="3184">
        <f t="shared" si="23"/>
        <v>0</v>
      </c>
    </row>
    <row r="144" spans="1:22" hidden="1" x14ac:dyDescent="0.2">
      <c r="A144" s="3255">
        <f t="shared" si="15"/>
        <v>132</v>
      </c>
      <c r="B144" s="3256"/>
      <c r="C144" s="3257"/>
      <c r="D144" s="3258"/>
      <c r="E144" s="3257"/>
      <c r="F144" s="3256"/>
      <c r="G144" s="3614"/>
      <c r="H144" s="3256"/>
      <c r="I144" s="3256"/>
      <c r="J144" s="3256"/>
      <c r="K144" s="3256"/>
      <c r="L144" s="3142" t="str">
        <f t="shared" si="24"/>
        <v/>
      </c>
      <c r="M144" s="3183"/>
      <c r="N144" s="3140">
        <f t="shared" si="18"/>
        <v>0</v>
      </c>
      <c r="O144" s="3140">
        <f t="shared" si="19"/>
        <v>0</v>
      </c>
      <c r="Q144" s="3184">
        <f t="shared" si="20"/>
        <v>0</v>
      </c>
      <c r="T144" s="3184">
        <f t="shared" si="21"/>
        <v>0</v>
      </c>
      <c r="U144" s="3184">
        <f t="shared" si="22"/>
        <v>0</v>
      </c>
      <c r="V144" s="3184">
        <f t="shared" si="23"/>
        <v>0</v>
      </c>
    </row>
    <row r="145" spans="1:22" hidden="1" x14ac:dyDescent="0.2">
      <c r="A145" s="3255">
        <f t="shared" si="15"/>
        <v>133</v>
      </c>
      <c r="B145" s="3256"/>
      <c r="C145" s="3257"/>
      <c r="D145" s="3258"/>
      <c r="E145" s="3257"/>
      <c r="F145" s="3256"/>
      <c r="G145" s="3614"/>
      <c r="H145" s="3256"/>
      <c r="I145" s="3256"/>
      <c r="J145" s="3256"/>
      <c r="K145" s="3256"/>
      <c r="L145" s="3142" t="str">
        <f t="shared" si="24"/>
        <v/>
      </c>
      <c r="M145" s="3183"/>
      <c r="N145" s="3140">
        <f t="shared" si="18"/>
        <v>0</v>
      </c>
      <c r="O145" s="3140">
        <f t="shared" si="19"/>
        <v>0</v>
      </c>
      <c r="Q145" s="3184">
        <f t="shared" si="20"/>
        <v>0</v>
      </c>
      <c r="T145" s="3184">
        <f t="shared" si="21"/>
        <v>0</v>
      </c>
      <c r="U145" s="3184">
        <f t="shared" si="22"/>
        <v>0</v>
      </c>
      <c r="V145" s="3184">
        <f t="shared" si="23"/>
        <v>0</v>
      </c>
    </row>
    <row r="146" spans="1:22" hidden="1" x14ac:dyDescent="0.2">
      <c r="A146" s="3255">
        <f t="shared" si="15"/>
        <v>134</v>
      </c>
      <c r="B146" s="3256"/>
      <c r="C146" s="3257"/>
      <c r="D146" s="3258"/>
      <c r="E146" s="3257"/>
      <c r="F146" s="3256"/>
      <c r="G146" s="3614"/>
      <c r="H146" s="3256"/>
      <c r="I146" s="3256"/>
      <c r="J146" s="3256"/>
      <c r="K146" s="3256"/>
      <c r="L146" s="3142" t="str">
        <f t="shared" si="24"/>
        <v/>
      </c>
      <c r="M146" s="3183"/>
      <c r="N146" s="3140">
        <f t="shared" si="18"/>
        <v>0</v>
      </c>
      <c r="O146" s="3140">
        <f t="shared" si="19"/>
        <v>0</v>
      </c>
      <c r="Q146" s="3184">
        <f t="shared" si="20"/>
        <v>0</v>
      </c>
      <c r="T146" s="3184">
        <f t="shared" si="21"/>
        <v>0</v>
      </c>
      <c r="U146" s="3184">
        <f t="shared" si="22"/>
        <v>0</v>
      </c>
      <c r="V146" s="3184">
        <f t="shared" si="23"/>
        <v>0</v>
      </c>
    </row>
    <row r="147" spans="1:22" hidden="1" x14ac:dyDescent="0.2">
      <c r="A147" s="3255">
        <f t="shared" si="15"/>
        <v>135</v>
      </c>
      <c r="B147" s="3256"/>
      <c r="C147" s="3257"/>
      <c r="D147" s="3258"/>
      <c r="E147" s="3257"/>
      <c r="F147" s="3256"/>
      <c r="G147" s="3614"/>
      <c r="H147" s="3256"/>
      <c r="I147" s="3256"/>
      <c r="J147" s="3256"/>
      <c r="K147" s="3256"/>
      <c r="L147" s="3142" t="str">
        <f t="shared" si="24"/>
        <v/>
      </c>
      <c r="M147" s="3183"/>
      <c r="N147" s="3140">
        <f t="shared" si="18"/>
        <v>0</v>
      </c>
      <c r="O147" s="3140">
        <f t="shared" si="19"/>
        <v>0</v>
      </c>
      <c r="Q147" s="3184">
        <f t="shared" si="20"/>
        <v>0</v>
      </c>
      <c r="T147" s="3184">
        <f t="shared" si="21"/>
        <v>0</v>
      </c>
      <c r="U147" s="3184">
        <f t="shared" si="22"/>
        <v>0</v>
      </c>
      <c r="V147" s="3184">
        <f t="shared" si="23"/>
        <v>0</v>
      </c>
    </row>
    <row r="148" spans="1:22" hidden="1" x14ac:dyDescent="0.2">
      <c r="A148" s="3255">
        <f t="shared" si="15"/>
        <v>136</v>
      </c>
      <c r="B148" s="3256"/>
      <c r="C148" s="3257"/>
      <c r="D148" s="3258"/>
      <c r="E148" s="3257"/>
      <c r="F148" s="3256"/>
      <c r="G148" s="3614"/>
      <c r="H148" s="3256"/>
      <c r="I148" s="3256"/>
      <c r="J148" s="3256"/>
      <c r="K148" s="3256"/>
      <c r="L148" s="3142" t="str">
        <f t="shared" si="24"/>
        <v/>
      </c>
      <c r="M148" s="3183"/>
      <c r="N148" s="3140">
        <f t="shared" si="18"/>
        <v>0</v>
      </c>
      <c r="O148" s="3140">
        <f t="shared" si="19"/>
        <v>0</v>
      </c>
      <c r="Q148" s="3184">
        <f t="shared" si="20"/>
        <v>0</v>
      </c>
      <c r="T148" s="3184">
        <f t="shared" si="21"/>
        <v>0</v>
      </c>
      <c r="U148" s="3184">
        <f t="shared" si="22"/>
        <v>0</v>
      </c>
      <c r="V148" s="3184">
        <f t="shared" si="23"/>
        <v>0</v>
      </c>
    </row>
    <row r="149" spans="1:22" hidden="1" x14ac:dyDescent="0.2">
      <c r="A149" s="3255">
        <f t="shared" si="15"/>
        <v>137</v>
      </c>
      <c r="B149" s="3256"/>
      <c r="C149" s="3257"/>
      <c r="D149" s="3258"/>
      <c r="E149" s="3257"/>
      <c r="F149" s="3256"/>
      <c r="G149" s="3614"/>
      <c r="H149" s="3256"/>
      <c r="I149" s="3256"/>
      <c r="J149" s="3256"/>
      <c r="K149" s="3256"/>
      <c r="L149" s="3142" t="str">
        <f t="shared" si="24"/>
        <v/>
      </c>
      <c r="M149" s="3183"/>
      <c r="N149" s="3140">
        <f t="shared" si="18"/>
        <v>0</v>
      </c>
      <c r="O149" s="3140">
        <f t="shared" si="19"/>
        <v>0</v>
      </c>
      <c r="Q149" s="3184">
        <f t="shared" si="20"/>
        <v>0</v>
      </c>
      <c r="T149" s="3184">
        <f t="shared" si="21"/>
        <v>0</v>
      </c>
      <c r="U149" s="3184">
        <f t="shared" si="22"/>
        <v>0</v>
      </c>
      <c r="V149" s="3184">
        <f t="shared" si="23"/>
        <v>0</v>
      </c>
    </row>
    <row r="150" spans="1:22" hidden="1" x14ac:dyDescent="0.2">
      <c r="A150" s="3255">
        <f t="shared" si="15"/>
        <v>138</v>
      </c>
      <c r="B150" s="3256"/>
      <c r="C150" s="3257"/>
      <c r="D150" s="3258"/>
      <c r="E150" s="3257"/>
      <c r="F150" s="3256"/>
      <c r="G150" s="3614"/>
      <c r="H150" s="3256"/>
      <c r="I150" s="3256"/>
      <c r="J150" s="3256"/>
      <c r="K150" s="3256"/>
      <c r="L150" s="3142" t="str">
        <f t="shared" si="24"/>
        <v/>
      </c>
      <c r="M150" s="3183"/>
      <c r="N150" s="3140">
        <f t="shared" si="18"/>
        <v>0</v>
      </c>
      <c r="O150" s="3140">
        <f t="shared" si="19"/>
        <v>0</v>
      </c>
      <c r="Q150" s="3184">
        <f t="shared" si="20"/>
        <v>0</v>
      </c>
      <c r="T150" s="3184">
        <f t="shared" si="21"/>
        <v>0</v>
      </c>
      <c r="U150" s="3184">
        <f t="shared" si="22"/>
        <v>0</v>
      </c>
      <c r="V150" s="3184">
        <f t="shared" si="23"/>
        <v>0</v>
      </c>
    </row>
    <row r="151" spans="1:22" hidden="1" x14ac:dyDescent="0.2">
      <c r="A151" s="3255">
        <f t="shared" si="15"/>
        <v>139</v>
      </c>
      <c r="B151" s="3256"/>
      <c r="C151" s="3257"/>
      <c r="D151" s="3258"/>
      <c r="E151" s="3257"/>
      <c r="F151" s="3256"/>
      <c r="G151" s="3614"/>
      <c r="H151" s="3256"/>
      <c r="I151" s="3256"/>
      <c r="J151" s="3256"/>
      <c r="K151" s="3256"/>
      <c r="L151" s="3142" t="str">
        <f t="shared" si="24"/>
        <v/>
      </c>
      <c r="M151" s="3183"/>
      <c r="N151" s="3140">
        <f t="shared" si="18"/>
        <v>0</v>
      </c>
      <c r="O151" s="3140">
        <f t="shared" si="19"/>
        <v>0</v>
      </c>
      <c r="Q151" s="3184">
        <f t="shared" si="20"/>
        <v>0</v>
      </c>
      <c r="T151" s="3184">
        <f t="shared" si="21"/>
        <v>0</v>
      </c>
      <c r="U151" s="3184">
        <f t="shared" si="22"/>
        <v>0</v>
      </c>
      <c r="V151" s="3184">
        <f t="shared" si="23"/>
        <v>0</v>
      </c>
    </row>
    <row r="152" spans="1:22" hidden="1" x14ac:dyDescent="0.2">
      <c r="A152" s="3255">
        <f t="shared" si="15"/>
        <v>140</v>
      </c>
      <c r="B152" s="3256"/>
      <c r="C152" s="3257"/>
      <c r="D152" s="3258"/>
      <c r="E152" s="3257"/>
      <c r="F152" s="3256"/>
      <c r="G152" s="3614"/>
      <c r="H152" s="3256"/>
      <c r="I152" s="3256"/>
      <c r="J152" s="3256"/>
      <c r="K152" s="3256"/>
      <c r="L152" s="3142" t="str">
        <f t="shared" si="24"/>
        <v/>
      </c>
      <c r="M152" s="3183"/>
      <c r="N152" s="3140">
        <f t="shared" si="18"/>
        <v>0</v>
      </c>
      <c r="O152" s="3140">
        <f t="shared" si="19"/>
        <v>0</v>
      </c>
      <c r="Q152" s="3184">
        <f t="shared" si="20"/>
        <v>0</v>
      </c>
      <c r="T152" s="3184">
        <f t="shared" si="21"/>
        <v>0</v>
      </c>
      <c r="U152" s="3184">
        <f t="shared" si="22"/>
        <v>0</v>
      </c>
      <c r="V152" s="3184">
        <f t="shared" si="23"/>
        <v>0</v>
      </c>
    </row>
    <row r="153" spans="1:22" hidden="1" x14ac:dyDescent="0.2">
      <c r="A153" s="3255">
        <f t="shared" si="15"/>
        <v>141</v>
      </c>
      <c r="B153" s="3256"/>
      <c r="C153" s="3257"/>
      <c r="D153" s="3258"/>
      <c r="E153" s="3257"/>
      <c r="F153" s="3256"/>
      <c r="G153" s="3614"/>
      <c r="H153" s="3256"/>
      <c r="I153" s="3256"/>
      <c r="J153" s="3256"/>
      <c r="K153" s="3256"/>
      <c r="L153" s="3142" t="str">
        <f t="shared" si="24"/>
        <v/>
      </c>
      <c r="M153" s="3183"/>
      <c r="N153" s="3140">
        <f t="shared" si="18"/>
        <v>0</v>
      </c>
      <c r="O153" s="3140">
        <f t="shared" si="19"/>
        <v>0</v>
      </c>
      <c r="Q153" s="3184">
        <f t="shared" si="20"/>
        <v>0</v>
      </c>
      <c r="T153" s="3184">
        <f t="shared" si="21"/>
        <v>0</v>
      </c>
      <c r="U153" s="3184">
        <f t="shared" si="22"/>
        <v>0</v>
      </c>
      <c r="V153" s="3184">
        <f t="shared" si="23"/>
        <v>0</v>
      </c>
    </row>
    <row r="154" spans="1:22" hidden="1" x14ac:dyDescent="0.2">
      <c r="A154" s="3255">
        <f t="shared" si="15"/>
        <v>142</v>
      </c>
      <c r="B154" s="3256"/>
      <c r="C154" s="3257"/>
      <c r="D154" s="3258"/>
      <c r="E154" s="3257"/>
      <c r="F154" s="3256"/>
      <c r="G154" s="3614"/>
      <c r="H154" s="3256"/>
      <c r="I154" s="3256"/>
      <c r="J154" s="3256"/>
      <c r="K154" s="3256"/>
      <c r="L154" s="3142" t="str">
        <f t="shared" si="24"/>
        <v/>
      </c>
      <c r="M154" s="3183"/>
      <c r="N154" s="3140">
        <f t="shared" si="18"/>
        <v>0</v>
      </c>
      <c r="O154" s="3140">
        <f t="shared" si="19"/>
        <v>0</v>
      </c>
      <c r="Q154" s="3184">
        <f t="shared" si="20"/>
        <v>0</v>
      </c>
      <c r="T154" s="3184">
        <f t="shared" si="21"/>
        <v>0</v>
      </c>
      <c r="U154" s="3184">
        <f t="shared" si="22"/>
        <v>0</v>
      </c>
      <c r="V154" s="3184">
        <f t="shared" si="23"/>
        <v>0</v>
      </c>
    </row>
    <row r="155" spans="1:22" hidden="1" x14ac:dyDescent="0.2">
      <c r="A155" s="3255">
        <f t="shared" si="15"/>
        <v>143</v>
      </c>
      <c r="B155" s="3256"/>
      <c r="C155" s="3257"/>
      <c r="D155" s="3258"/>
      <c r="E155" s="3257"/>
      <c r="F155" s="3256"/>
      <c r="G155" s="3614"/>
      <c r="H155" s="3256"/>
      <c r="I155" s="3256"/>
      <c r="J155" s="3256"/>
      <c r="K155" s="3256"/>
      <c r="L155" s="3142" t="str">
        <f t="shared" si="24"/>
        <v/>
      </c>
      <c r="M155" s="3183"/>
      <c r="N155" s="3140">
        <f t="shared" si="18"/>
        <v>0</v>
      </c>
      <c r="O155" s="3140">
        <f t="shared" si="19"/>
        <v>0</v>
      </c>
      <c r="Q155" s="3184">
        <f t="shared" si="20"/>
        <v>0</v>
      </c>
      <c r="T155" s="3184">
        <f t="shared" si="21"/>
        <v>0</v>
      </c>
      <c r="U155" s="3184">
        <f t="shared" si="22"/>
        <v>0</v>
      </c>
      <c r="V155" s="3184">
        <f t="shared" si="23"/>
        <v>0</v>
      </c>
    </row>
    <row r="156" spans="1:22" hidden="1" x14ac:dyDescent="0.2">
      <c r="A156" s="3255">
        <f t="shared" si="15"/>
        <v>144</v>
      </c>
      <c r="B156" s="3256"/>
      <c r="C156" s="3257"/>
      <c r="D156" s="3258"/>
      <c r="E156" s="3257"/>
      <c r="F156" s="3256"/>
      <c r="G156" s="3614"/>
      <c r="H156" s="3256"/>
      <c r="I156" s="3256"/>
      <c r="J156" s="3256"/>
      <c r="K156" s="3256"/>
      <c r="L156" s="3142" t="str">
        <f t="shared" si="24"/>
        <v/>
      </c>
      <c r="M156" s="3183"/>
      <c r="N156" s="3140">
        <f t="shared" si="18"/>
        <v>0</v>
      </c>
      <c r="O156" s="3140">
        <f t="shared" si="19"/>
        <v>0</v>
      </c>
      <c r="Q156" s="3184">
        <f t="shared" si="20"/>
        <v>0</v>
      </c>
      <c r="T156" s="3184">
        <f t="shared" si="21"/>
        <v>0</v>
      </c>
      <c r="U156" s="3184">
        <f t="shared" si="22"/>
        <v>0</v>
      </c>
      <c r="V156" s="3184">
        <f t="shared" si="23"/>
        <v>0</v>
      </c>
    </row>
    <row r="157" spans="1:22" hidden="1" x14ac:dyDescent="0.2">
      <c r="A157" s="3255">
        <f t="shared" si="15"/>
        <v>145</v>
      </c>
      <c r="B157" s="3256"/>
      <c r="C157" s="3257"/>
      <c r="D157" s="3258"/>
      <c r="E157" s="3257"/>
      <c r="F157" s="3256"/>
      <c r="G157" s="3614"/>
      <c r="H157" s="3256"/>
      <c r="I157" s="3256"/>
      <c r="J157" s="3256"/>
      <c r="K157" s="3256"/>
      <c r="L157" s="3142" t="str">
        <f t="shared" si="24"/>
        <v/>
      </c>
      <c r="M157" s="3183"/>
      <c r="N157" s="3140">
        <f t="shared" si="18"/>
        <v>0</v>
      </c>
      <c r="O157" s="3140">
        <f t="shared" si="19"/>
        <v>0</v>
      </c>
      <c r="Q157" s="3184">
        <f t="shared" si="20"/>
        <v>0</v>
      </c>
      <c r="T157" s="3184">
        <f t="shared" si="21"/>
        <v>0</v>
      </c>
      <c r="U157" s="3184">
        <f t="shared" si="22"/>
        <v>0</v>
      </c>
      <c r="V157" s="3184">
        <f t="shared" si="23"/>
        <v>0</v>
      </c>
    </row>
    <row r="158" spans="1:22" hidden="1" x14ac:dyDescent="0.2">
      <c r="A158" s="3255">
        <f t="shared" si="15"/>
        <v>146</v>
      </c>
      <c r="B158" s="3256"/>
      <c r="C158" s="3257"/>
      <c r="D158" s="3258"/>
      <c r="E158" s="3257"/>
      <c r="F158" s="3256"/>
      <c r="G158" s="3614"/>
      <c r="H158" s="3256"/>
      <c r="I158" s="3256"/>
      <c r="J158" s="3256"/>
      <c r="K158" s="3256"/>
      <c r="L158" s="3142" t="str">
        <f t="shared" si="24"/>
        <v/>
      </c>
      <c r="M158" s="3183"/>
      <c r="N158" s="3140">
        <f t="shared" si="18"/>
        <v>0</v>
      </c>
      <c r="O158" s="3140">
        <f t="shared" si="19"/>
        <v>0</v>
      </c>
      <c r="Q158" s="3184">
        <f t="shared" si="20"/>
        <v>0</v>
      </c>
      <c r="T158" s="3184">
        <f t="shared" si="21"/>
        <v>0</v>
      </c>
      <c r="U158" s="3184">
        <f t="shared" si="22"/>
        <v>0</v>
      </c>
      <c r="V158" s="3184">
        <f t="shared" si="23"/>
        <v>0</v>
      </c>
    </row>
    <row r="159" spans="1:22" hidden="1" x14ac:dyDescent="0.2">
      <c r="A159" s="3255">
        <f t="shared" si="15"/>
        <v>147</v>
      </c>
      <c r="B159" s="3256"/>
      <c r="C159" s="3257"/>
      <c r="D159" s="3258"/>
      <c r="E159" s="3257"/>
      <c r="F159" s="3256"/>
      <c r="G159" s="3614"/>
      <c r="H159" s="3256"/>
      <c r="I159" s="3256"/>
      <c r="J159" s="3256"/>
      <c r="K159" s="3256"/>
      <c r="L159" s="3142" t="str">
        <f t="shared" si="24"/>
        <v/>
      </c>
      <c r="M159" s="3183"/>
      <c r="N159" s="3140">
        <f t="shared" si="18"/>
        <v>0</v>
      </c>
      <c r="O159" s="3140">
        <f t="shared" si="19"/>
        <v>0</v>
      </c>
      <c r="Q159" s="3184">
        <f t="shared" si="20"/>
        <v>0</v>
      </c>
      <c r="T159" s="3184">
        <f t="shared" si="21"/>
        <v>0</v>
      </c>
      <c r="U159" s="3184">
        <f t="shared" si="22"/>
        <v>0</v>
      </c>
      <c r="V159" s="3184">
        <f t="shared" si="23"/>
        <v>0</v>
      </c>
    </row>
    <row r="160" spans="1:22" hidden="1" x14ac:dyDescent="0.2">
      <c r="A160" s="3255">
        <f t="shared" si="15"/>
        <v>148</v>
      </c>
      <c r="B160" s="3256"/>
      <c r="C160" s="3257"/>
      <c r="D160" s="3258"/>
      <c r="E160" s="3257"/>
      <c r="F160" s="3256"/>
      <c r="G160" s="3614"/>
      <c r="H160" s="3256"/>
      <c r="I160" s="3256"/>
      <c r="J160" s="3256"/>
      <c r="K160" s="3256"/>
      <c r="L160" s="3142" t="str">
        <f t="shared" si="24"/>
        <v/>
      </c>
      <c r="M160" s="3183"/>
      <c r="N160" s="3140">
        <f t="shared" si="18"/>
        <v>0</v>
      </c>
      <c r="O160" s="3140">
        <f t="shared" si="19"/>
        <v>0</v>
      </c>
      <c r="Q160" s="3184">
        <f t="shared" si="20"/>
        <v>0</v>
      </c>
      <c r="T160" s="3184">
        <f t="shared" si="21"/>
        <v>0</v>
      </c>
      <c r="U160" s="3184">
        <f t="shared" si="22"/>
        <v>0</v>
      </c>
      <c r="V160" s="3184">
        <f t="shared" si="23"/>
        <v>0</v>
      </c>
    </row>
    <row r="161" spans="1:22" hidden="1" x14ac:dyDescent="0.2">
      <c r="A161" s="3255">
        <f t="shared" si="15"/>
        <v>149</v>
      </c>
      <c r="B161" s="3256"/>
      <c r="C161" s="3257"/>
      <c r="D161" s="3258"/>
      <c r="E161" s="3257"/>
      <c r="F161" s="3256"/>
      <c r="G161" s="3614"/>
      <c r="H161" s="3256"/>
      <c r="I161" s="3256"/>
      <c r="J161" s="3256"/>
      <c r="K161" s="3256"/>
      <c r="L161" s="3142" t="str">
        <f t="shared" si="24"/>
        <v/>
      </c>
      <c r="M161" s="3183"/>
      <c r="N161" s="3140">
        <f t="shared" si="18"/>
        <v>0</v>
      </c>
      <c r="O161" s="3140">
        <f t="shared" si="19"/>
        <v>0</v>
      </c>
      <c r="Q161" s="3184">
        <f t="shared" si="20"/>
        <v>0</v>
      </c>
      <c r="T161" s="3184">
        <f t="shared" si="21"/>
        <v>0</v>
      </c>
      <c r="U161" s="3184">
        <f t="shared" si="22"/>
        <v>0</v>
      </c>
      <c r="V161" s="3184">
        <f t="shared" si="23"/>
        <v>0</v>
      </c>
    </row>
    <row r="162" spans="1:22" hidden="1" x14ac:dyDescent="0.2">
      <c r="A162" s="3255">
        <f t="shared" si="15"/>
        <v>150</v>
      </c>
      <c r="B162" s="3256"/>
      <c r="C162" s="3257"/>
      <c r="D162" s="3258"/>
      <c r="E162" s="3257"/>
      <c r="F162" s="3256"/>
      <c r="G162" s="3614"/>
      <c r="H162" s="3256"/>
      <c r="I162" s="3256"/>
      <c r="J162" s="3256"/>
      <c r="K162" s="3256"/>
      <c r="L162" s="3142" t="str">
        <f t="shared" si="24"/>
        <v/>
      </c>
      <c r="M162" s="3183"/>
      <c r="N162" s="3140">
        <f t="shared" si="18"/>
        <v>0</v>
      </c>
      <c r="O162" s="3140">
        <f t="shared" si="19"/>
        <v>0</v>
      </c>
      <c r="Q162" s="3184">
        <f t="shared" si="20"/>
        <v>0</v>
      </c>
      <c r="T162" s="3184">
        <f t="shared" si="21"/>
        <v>0</v>
      </c>
      <c r="U162" s="3184">
        <f t="shared" si="22"/>
        <v>0</v>
      </c>
      <c r="V162" s="3184">
        <f t="shared" si="23"/>
        <v>0</v>
      </c>
    </row>
    <row r="163" spans="1:22" hidden="1" x14ac:dyDescent="0.2">
      <c r="A163" s="3255">
        <f t="shared" si="15"/>
        <v>151</v>
      </c>
      <c r="B163" s="3256"/>
      <c r="C163" s="3257"/>
      <c r="D163" s="3258"/>
      <c r="E163" s="3257"/>
      <c r="F163" s="3256"/>
      <c r="G163" s="3614"/>
      <c r="H163" s="3256"/>
      <c r="I163" s="3256"/>
      <c r="J163" s="3256"/>
      <c r="K163" s="3256"/>
      <c r="L163" s="3142" t="str">
        <f t="shared" si="24"/>
        <v/>
      </c>
      <c r="M163" s="3183"/>
      <c r="N163" s="3140">
        <f t="shared" si="18"/>
        <v>0</v>
      </c>
      <c r="O163" s="3140">
        <f t="shared" si="19"/>
        <v>0</v>
      </c>
      <c r="Q163" s="3184">
        <f t="shared" si="20"/>
        <v>0</v>
      </c>
      <c r="T163" s="3184">
        <f t="shared" si="21"/>
        <v>0</v>
      </c>
      <c r="U163" s="3184">
        <f t="shared" si="22"/>
        <v>0</v>
      </c>
      <c r="V163" s="3184">
        <f t="shared" si="23"/>
        <v>0</v>
      </c>
    </row>
    <row r="164" spans="1:22" hidden="1" x14ac:dyDescent="0.2">
      <c r="A164" s="3255">
        <f t="shared" si="15"/>
        <v>152</v>
      </c>
      <c r="B164" s="3256"/>
      <c r="C164" s="3257"/>
      <c r="D164" s="3258"/>
      <c r="E164" s="3257"/>
      <c r="F164" s="3256"/>
      <c r="G164" s="3614"/>
      <c r="H164" s="3256"/>
      <c r="I164" s="3256"/>
      <c r="J164" s="3256"/>
      <c r="K164" s="3256"/>
      <c r="L164" s="3142" t="str">
        <f t="shared" si="24"/>
        <v/>
      </c>
      <c r="M164" s="3183"/>
      <c r="N164" s="3140">
        <f t="shared" si="18"/>
        <v>0</v>
      </c>
      <c r="O164" s="3140">
        <f t="shared" si="19"/>
        <v>0</v>
      </c>
      <c r="Q164" s="3184">
        <f t="shared" si="20"/>
        <v>0</v>
      </c>
      <c r="T164" s="3184">
        <f t="shared" si="21"/>
        <v>0</v>
      </c>
      <c r="U164" s="3184">
        <f t="shared" si="22"/>
        <v>0</v>
      </c>
      <c r="V164" s="3184">
        <f t="shared" si="23"/>
        <v>0</v>
      </c>
    </row>
    <row r="165" spans="1:22" hidden="1" x14ac:dyDescent="0.2">
      <c r="A165" s="3255">
        <f t="shared" si="15"/>
        <v>153</v>
      </c>
      <c r="B165" s="3256"/>
      <c r="C165" s="3257"/>
      <c r="D165" s="3258"/>
      <c r="E165" s="3257"/>
      <c r="F165" s="3256"/>
      <c r="G165" s="3614"/>
      <c r="H165" s="3256"/>
      <c r="I165" s="3256"/>
      <c r="J165" s="3256"/>
      <c r="K165" s="3256"/>
      <c r="L165" s="3142" t="str">
        <f t="shared" si="24"/>
        <v/>
      </c>
      <c r="M165" s="3183"/>
      <c r="N165" s="3140">
        <f t="shared" ref="N165:N228" si="25">COUNTA(B165:H165)</f>
      </c>
      <c r="O165" s="3140">
        <f t="shared" ref="O165:O228" si="26">IF(L165&lt;&gt;"",1,0)</f>
      </c>
      <c r="Q165" s="3184">
        <f t="shared" ref="Q165:Q228" si="27">IF(K165="yes",1,0)</f>
      </c>
      <c r="T165" s="3184">
        <f t="shared" ref="T165:T228" si="28">IF(N165=0,0,IF(OR(H165=$Y$17,H165=$Y$19),0,1))</f>
      </c>
      <c r="U165" s="3184">
        <f t="shared" ref="U165:U228" si="29">IF(AND(T165=1,I165="no"),1,0)</f>
      </c>
      <c r="V165" s="3184">
        <f t="shared" ref="V165:V228" si="30">IF(AND(U165=1,J165="yes"),1,0)</f>
      </c>
    </row>
    <row r="166" spans="1:22" hidden="1" x14ac:dyDescent="0.2">
      <c r="A166" s="3255">
        <f t="shared" si="15"/>
        <v>154</v>
      </c>
      <c r="B166" s="3256"/>
      <c r="C166" s="3257"/>
      <c r="D166" s="3258"/>
      <c r="E166" s="3257"/>
      <c r="F166" s="3256"/>
      <c r="G166" s="3614"/>
      <c r="H166" s="3256"/>
      <c r="I166" s="3256"/>
      <c r="J166" s="3256"/>
      <c r="K166" s="3256"/>
      <c r="L166" s="3142" t="str">
        <f t="shared" si="24"/>
        <v/>
      </c>
      <c r="M166" s="3183"/>
      <c r="N166" s="3140">
        <f t="shared" si="25"/>
        <v>0</v>
      </c>
      <c r="O166" s="3140">
        <f t="shared" si="26"/>
        <v>0</v>
      </c>
      <c r="Q166" s="3184">
        <f t="shared" si="27"/>
        <v>0</v>
      </c>
      <c r="T166" s="3184">
        <f t="shared" si="28"/>
        <v>0</v>
      </c>
      <c r="U166" s="3184">
        <f t="shared" si="29"/>
        <v>0</v>
      </c>
      <c r="V166" s="3184">
        <f t="shared" si="30"/>
        <v>0</v>
      </c>
    </row>
    <row r="167" spans="1:22" hidden="1" x14ac:dyDescent="0.2">
      <c r="A167" s="3255">
        <f t="shared" si="15"/>
        <v>155</v>
      </c>
      <c r="B167" s="3256"/>
      <c r="C167" s="3257"/>
      <c r="D167" s="3258"/>
      <c r="E167" s="3257"/>
      <c r="F167" s="3256"/>
      <c r="G167" s="3614"/>
      <c r="H167" s="3256"/>
      <c r="I167" s="3256"/>
      <c r="J167" s="3256"/>
      <c r="K167" s="3256"/>
      <c r="L167" s="3142" t="str">
        <f t="shared" si="24"/>
        <v/>
      </c>
      <c r="M167" s="3183"/>
      <c r="N167" s="3140">
        <f t="shared" si="25"/>
        <v>0</v>
      </c>
      <c r="O167" s="3140">
        <f t="shared" si="26"/>
        <v>0</v>
      </c>
      <c r="Q167" s="3184">
        <f t="shared" si="27"/>
        <v>0</v>
      </c>
      <c r="T167" s="3184">
        <f t="shared" si="28"/>
        <v>0</v>
      </c>
      <c r="U167" s="3184">
        <f t="shared" si="29"/>
        <v>0</v>
      </c>
      <c r="V167" s="3184">
        <f t="shared" si="30"/>
        <v>0</v>
      </c>
    </row>
    <row r="168" spans="1:22" hidden="1" x14ac:dyDescent="0.2">
      <c r="A168" s="3255">
        <f t="shared" si="15"/>
        <v>156</v>
      </c>
      <c r="B168" s="3256"/>
      <c r="C168" s="3257"/>
      <c r="D168" s="3258"/>
      <c r="E168" s="3257"/>
      <c r="F168" s="3256"/>
      <c r="G168" s="3614"/>
      <c r="H168" s="3256"/>
      <c r="I168" s="3256"/>
      <c r="J168" s="3256"/>
      <c r="K168" s="3256"/>
      <c r="L168" s="3142" t="str">
        <f t="shared" si="24"/>
        <v/>
      </c>
      <c r="M168" s="3183"/>
      <c r="N168" s="3140">
        <f t="shared" si="25"/>
        <v>0</v>
      </c>
      <c r="O168" s="3140">
        <f t="shared" si="26"/>
        <v>0</v>
      </c>
      <c r="Q168" s="3184">
        <f t="shared" si="27"/>
        <v>0</v>
      </c>
      <c r="T168" s="3184">
        <f t="shared" si="28"/>
        <v>0</v>
      </c>
      <c r="U168" s="3184">
        <f t="shared" si="29"/>
        <v>0</v>
      </c>
      <c r="V168" s="3184">
        <f t="shared" si="30"/>
        <v>0</v>
      </c>
    </row>
    <row r="169" spans="1:22" hidden="1" x14ac:dyDescent="0.2">
      <c r="A169" s="3255">
        <f t="shared" si="15"/>
        <v>157</v>
      </c>
      <c r="B169" s="3256"/>
      <c r="C169" s="3257"/>
      <c r="D169" s="3258"/>
      <c r="E169" s="3257"/>
      <c r="F169" s="3256"/>
      <c r="G169" s="3614"/>
      <c r="H169" s="3256"/>
      <c r="I169" s="3256"/>
      <c r="J169" s="3256"/>
      <c r="K169" s="3256"/>
      <c r="L169" s="3142" t="str">
        <f t="shared" si="24"/>
        <v/>
      </c>
      <c r="M169" s="3183"/>
      <c r="N169" s="3140">
        <f t="shared" si="25"/>
        <v>0</v>
      </c>
      <c r="O169" s="3140">
        <f t="shared" si="26"/>
        <v>0</v>
      </c>
      <c r="Q169" s="3184">
        <f t="shared" si="27"/>
        <v>0</v>
      </c>
      <c r="T169" s="3184">
        <f t="shared" si="28"/>
        <v>0</v>
      </c>
      <c r="U169" s="3184">
        <f t="shared" si="29"/>
        <v>0</v>
      </c>
      <c r="V169" s="3184">
        <f t="shared" si="30"/>
        <v>0</v>
      </c>
    </row>
    <row r="170" spans="1:22" hidden="1" x14ac:dyDescent="0.2">
      <c r="A170" s="3255">
        <f t="shared" si="15"/>
        <v>158</v>
      </c>
      <c r="B170" s="3256"/>
      <c r="C170" s="3257"/>
      <c r="D170" s="3258"/>
      <c r="E170" s="3257"/>
      <c r="F170" s="3256"/>
      <c r="G170" s="3614"/>
      <c r="H170" s="3256"/>
      <c r="I170" s="3256"/>
      <c r="J170" s="3256"/>
      <c r="K170" s="3256"/>
      <c r="L170" s="3142" t="str">
        <f t="shared" si="24"/>
        <v/>
      </c>
      <c r="M170" s="3183"/>
      <c r="N170" s="3140">
        <f t="shared" si="25"/>
        <v>0</v>
      </c>
      <c r="O170" s="3140">
        <f t="shared" si="26"/>
        <v>0</v>
      </c>
      <c r="Q170" s="3184">
        <f t="shared" si="27"/>
        <v>0</v>
      </c>
      <c r="T170" s="3184">
        <f t="shared" si="28"/>
        <v>0</v>
      </c>
      <c r="U170" s="3184">
        <f t="shared" si="29"/>
        <v>0</v>
      </c>
      <c r="V170" s="3184">
        <f t="shared" si="30"/>
        <v>0</v>
      </c>
    </row>
    <row r="171" spans="1:22" hidden="1" x14ac:dyDescent="0.2">
      <c r="A171" s="3255">
        <f t="shared" si="15"/>
        <v>159</v>
      </c>
      <c r="B171" s="3256"/>
      <c r="C171" s="3257"/>
      <c r="D171" s="3258"/>
      <c r="E171" s="3257"/>
      <c r="F171" s="3256"/>
      <c r="G171" s="3614"/>
      <c r="H171" s="3256"/>
      <c r="I171" s="3256"/>
      <c r="J171" s="3256"/>
      <c r="K171" s="3256"/>
      <c r="L171" s="3142" t="str">
        <f t="shared" si="24"/>
        <v/>
      </c>
      <c r="M171" s="3183"/>
      <c r="N171" s="3140">
        <f t="shared" si="25"/>
        <v>0</v>
      </c>
      <c r="O171" s="3140">
        <f t="shared" si="26"/>
        <v>0</v>
      </c>
      <c r="Q171" s="3184">
        <f t="shared" si="27"/>
        <v>0</v>
      </c>
      <c r="T171" s="3184">
        <f t="shared" si="28"/>
        <v>0</v>
      </c>
      <c r="U171" s="3184">
        <f t="shared" si="29"/>
        <v>0</v>
      </c>
      <c r="V171" s="3184">
        <f t="shared" si="30"/>
        <v>0</v>
      </c>
    </row>
    <row r="172" spans="1:22" hidden="1" x14ac:dyDescent="0.2">
      <c r="A172" s="3255">
        <f t="shared" si="15"/>
        <v>160</v>
      </c>
      <c r="B172" s="3256"/>
      <c r="C172" s="3257"/>
      <c r="D172" s="3258"/>
      <c r="E172" s="3257"/>
      <c r="F172" s="3256"/>
      <c r="G172" s="3614"/>
      <c r="H172" s="3256"/>
      <c r="I172" s="3256"/>
      <c r="J172" s="3256"/>
      <c r="K172" s="3256"/>
      <c r="L172" s="3142" t="str">
        <f t="shared" si="24"/>
        <v/>
      </c>
      <c r="M172" s="3183"/>
      <c r="N172" s="3140">
        <f t="shared" si="25"/>
        <v>0</v>
      </c>
      <c r="O172" s="3140">
        <f t="shared" si="26"/>
        <v>0</v>
      </c>
      <c r="Q172" s="3184">
        <f t="shared" si="27"/>
        <v>0</v>
      </c>
      <c r="T172" s="3184">
        <f t="shared" si="28"/>
        <v>0</v>
      </c>
      <c r="U172" s="3184">
        <f t="shared" si="29"/>
        <v>0</v>
      </c>
      <c r="V172" s="3184">
        <f t="shared" si="30"/>
        <v>0</v>
      </c>
    </row>
    <row r="173" spans="1:22" hidden="1" x14ac:dyDescent="0.2">
      <c r="A173" s="3255">
        <f t="shared" si="15"/>
        <v>161</v>
      </c>
      <c r="B173" s="3256"/>
      <c r="C173" s="3257"/>
      <c r="D173" s="3258"/>
      <c r="E173" s="3257"/>
      <c r="F173" s="3256"/>
      <c r="G173" s="3614"/>
      <c r="H173" s="3256"/>
      <c r="I173" s="3256"/>
      <c r="J173" s="3256"/>
      <c r="K173" s="3256"/>
      <c r="L173" s="3142" t="str">
        <f t="shared" si="24"/>
        <v/>
      </c>
      <c r="M173" s="3183"/>
      <c r="N173" s="3140">
        <f t="shared" si="25"/>
        <v>0</v>
      </c>
      <c r="O173" s="3140">
        <f t="shared" si="26"/>
        <v>0</v>
      </c>
      <c r="Q173" s="3184">
        <f t="shared" si="27"/>
        <v>0</v>
      </c>
      <c r="T173" s="3184">
        <f t="shared" si="28"/>
        <v>0</v>
      </c>
      <c r="U173" s="3184">
        <f t="shared" si="29"/>
        <v>0</v>
      </c>
      <c r="V173" s="3184">
        <f t="shared" si="30"/>
        <v>0</v>
      </c>
    </row>
    <row r="174" spans="1:22" hidden="1" x14ac:dyDescent="0.2">
      <c r="A174" s="3255">
        <f t="shared" si="15"/>
        <v>162</v>
      </c>
      <c r="B174" s="3256"/>
      <c r="C174" s="3257"/>
      <c r="D174" s="3258"/>
      <c r="E174" s="3257"/>
      <c r="F174" s="3256"/>
      <c r="G174" s="3614"/>
      <c r="H174" s="3256"/>
      <c r="I174" s="3256"/>
      <c r="J174" s="3256"/>
      <c r="K174" s="3256"/>
      <c r="L174" s="3142" t="str">
        <f t="shared" si="24"/>
        <v/>
      </c>
      <c r="M174" s="3183"/>
      <c r="N174" s="3140">
        <f t="shared" si="25"/>
        <v>0</v>
      </c>
      <c r="O174" s="3140">
        <f t="shared" si="26"/>
        <v>0</v>
      </c>
      <c r="Q174" s="3184">
        <f t="shared" si="27"/>
        <v>0</v>
      </c>
      <c r="T174" s="3184">
        <f t="shared" si="28"/>
        <v>0</v>
      </c>
      <c r="U174" s="3184">
        <f t="shared" si="29"/>
        <v>0</v>
      </c>
      <c r="V174" s="3184">
        <f t="shared" si="30"/>
        <v>0</v>
      </c>
    </row>
    <row r="175" spans="1:22" hidden="1" x14ac:dyDescent="0.2">
      <c r="A175" s="3255">
        <f t="shared" si="15"/>
        <v>163</v>
      </c>
      <c r="B175" s="3256"/>
      <c r="C175" s="3257"/>
      <c r="D175" s="3258"/>
      <c r="E175" s="3257"/>
      <c r="F175" s="3256"/>
      <c r="G175" s="3614"/>
      <c r="H175" s="3256"/>
      <c r="I175" s="3256"/>
      <c r="J175" s="3256"/>
      <c r="K175" s="3256"/>
      <c r="L175" s="3142" t="str">
        <f t="shared" si="24"/>
        <v/>
      </c>
      <c r="M175" s="3183"/>
      <c r="N175" s="3140">
        <f t="shared" si="25"/>
        <v>0</v>
      </c>
      <c r="O175" s="3140">
        <f t="shared" si="26"/>
        <v>0</v>
      </c>
      <c r="Q175" s="3184">
        <f t="shared" si="27"/>
        <v>0</v>
      </c>
      <c r="T175" s="3184">
        <f t="shared" si="28"/>
        <v>0</v>
      </c>
      <c r="U175" s="3184">
        <f t="shared" si="29"/>
        <v>0</v>
      </c>
      <c r="V175" s="3184">
        <f t="shared" si="30"/>
        <v>0</v>
      </c>
    </row>
    <row r="176" spans="1:22" hidden="1" x14ac:dyDescent="0.2">
      <c r="A176" s="3255">
        <f t="shared" si="15"/>
        <v>164</v>
      </c>
      <c r="B176" s="3256"/>
      <c r="C176" s="3257"/>
      <c r="D176" s="3258"/>
      <c r="E176" s="3257"/>
      <c r="F176" s="3256"/>
      <c r="G176" s="3614"/>
      <c r="H176" s="3256"/>
      <c r="I176" s="3256"/>
      <c r="J176" s="3256"/>
      <c r="K176" s="3256"/>
      <c r="L176" s="3142" t="str">
        <f t="shared" si="24"/>
        <v/>
      </c>
      <c r="M176" s="3183"/>
      <c r="N176" s="3140">
        <f t="shared" si="25"/>
        <v>0</v>
      </c>
      <c r="O176" s="3140">
        <f t="shared" si="26"/>
        <v>0</v>
      </c>
      <c r="Q176" s="3184">
        <f t="shared" si="27"/>
        <v>0</v>
      </c>
      <c r="T176" s="3184">
        <f t="shared" si="28"/>
        <v>0</v>
      </c>
      <c r="U176" s="3184">
        <f t="shared" si="29"/>
        <v>0</v>
      </c>
      <c r="V176" s="3184">
        <f t="shared" si="30"/>
        <v>0</v>
      </c>
    </row>
    <row r="177" spans="1:22" hidden="1" x14ac:dyDescent="0.2">
      <c r="A177" s="3255">
        <f t="shared" si="15"/>
        <v>165</v>
      </c>
      <c r="B177" s="3256"/>
      <c r="C177" s="3257"/>
      <c r="D177" s="3258"/>
      <c r="E177" s="3257"/>
      <c r="F177" s="3256"/>
      <c r="G177" s="3614"/>
      <c r="H177" s="3256"/>
      <c r="I177" s="3256"/>
      <c r="J177" s="3256"/>
      <c r="K177" s="3256"/>
      <c r="L177" s="3142" t="str">
        <f t="shared" si="24"/>
        <v/>
      </c>
      <c r="M177" s="3183"/>
      <c r="N177" s="3140">
        <f t="shared" si="25"/>
        <v>0</v>
      </c>
      <c r="O177" s="3140">
        <f t="shared" si="26"/>
        <v>0</v>
      </c>
      <c r="Q177" s="3184">
        <f t="shared" si="27"/>
        <v>0</v>
      </c>
      <c r="T177" s="3184">
        <f t="shared" si="28"/>
        <v>0</v>
      </c>
      <c r="U177" s="3184">
        <f t="shared" si="29"/>
        <v>0</v>
      </c>
      <c r="V177" s="3184">
        <f t="shared" si="30"/>
        <v>0</v>
      </c>
    </row>
    <row r="178" spans="1:22" hidden="1" x14ac:dyDescent="0.2">
      <c r="A178" s="3255">
        <f t="shared" si="15"/>
        <v>166</v>
      </c>
      <c r="B178" s="3256"/>
      <c r="C178" s="3257"/>
      <c r="D178" s="3258"/>
      <c r="E178" s="3257"/>
      <c r="F178" s="3256"/>
      <c r="G178" s="3614"/>
      <c r="H178" s="3256"/>
      <c r="I178" s="3256"/>
      <c r="J178" s="3256"/>
      <c r="K178" s="3256"/>
      <c r="L178" s="3142" t="str">
        <f t="shared" si="24"/>
        <v/>
      </c>
      <c r="M178" s="3183"/>
      <c r="N178" s="3140">
        <f t="shared" si="25"/>
        <v>0</v>
      </c>
      <c r="O178" s="3140">
        <f t="shared" si="26"/>
        <v>0</v>
      </c>
      <c r="Q178" s="3184">
        <f t="shared" si="27"/>
        <v>0</v>
      </c>
      <c r="T178" s="3184">
        <f t="shared" si="28"/>
        <v>0</v>
      </c>
      <c r="U178" s="3184">
        <f t="shared" si="29"/>
        <v>0</v>
      </c>
      <c r="V178" s="3184">
        <f t="shared" si="30"/>
        <v>0</v>
      </c>
    </row>
    <row r="179" spans="1:22" hidden="1" x14ac:dyDescent="0.2">
      <c r="A179" s="3255">
        <f t="shared" si="15"/>
        <v>167</v>
      </c>
      <c r="B179" s="3256"/>
      <c r="C179" s="3257"/>
      <c r="D179" s="3258"/>
      <c r="E179" s="3257"/>
      <c r="F179" s="3256"/>
      <c r="G179" s="3614"/>
      <c r="H179" s="3256"/>
      <c r="I179" s="3256"/>
      <c r="J179" s="3256"/>
      <c r="K179" s="3256"/>
      <c r="L179" s="3142" t="str">
        <f t="shared" si="24"/>
        <v/>
      </c>
      <c r="M179" s="3183"/>
      <c r="N179" s="3140">
        <f t="shared" si="25"/>
        <v>0</v>
      </c>
      <c r="O179" s="3140">
        <f t="shared" si="26"/>
        <v>0</v>
      </c>
      <c r="Q179" s="3184">
        <f t="shared" si="27"/>
        <v>0</v>
      </c>
      <c r="T179" s="3184">
        <f t="shared" si="28"/>
        <v>0</v>
      </c>
      <c r="U179" s="3184">
        <f t="shared" si="29"/>
        <v>0</v>
      </c>
      <c r="V179" s="3184">
        <f t="shared" si="30"/>
        <v>0</v>
      </c>
    </row>
    <row r="180" spans="1:22" hidden="1" x14ac:dyDescent="0.2">
      <c r="A180" s="3255">
        <f t="shared" si="15"/>
        <v>168</v>
      </c>
      <c r="B180" s="3256"/>
      <c r="C180" s="3257"/>
      <c r="D180" s="3258"/>
      <c r="E180" s="3257"/>
      <c r="F180" s="3256"/>
      <c r="G180" s="3614"/>
      <c r="H180" s="3256"/>
      <c r="I180" s="3256"/>
      <c r="J180" s="3256"/>
      <c r="K180" s="3256"/>
      <c r="L180" s="3142" t="str">
        <f t="shared" si="24"/>
        <v/>
      </c>
      <c r="M180" s="3183"/>
      <c r="N180" s="3140">
        <f t="shared" si="25"/>
        <v>0</v>
      </c>
      <c r="O180" s="3140">
        <f t="shared" si="26"/>
        <v>0</v>
      </c>
      <c r="Q180" s="3184">
        <f t="shared" si="27"/>
        <v>0</v>
      </c>
      <c r="T180" s="3184">
        <f t="shared" si="28"/>
        <v>0</v>
      </c>
      <c r="U180" s="3184">
        <f t="shared" si="29"/>
        <v>0</v>
      </c>
      <c r="V180" s="3184">
        <f t="shared" si="30"/>
        <v>0</v>
      </c>
    </row>
    <row r="181" spans="1:22" hidden="1" x14ac:dyDescent="0.2">
      <c r="A181" s="3255">
        <f t="shared" si="15"/>
        <v>169</v>
      </c>
      <c r="B181" s="3256"/>
      <c r="C181" s="3257"/>
      <c r="D181" s="3258"/>
      <c r="E181" s="3257"/>
      <c r="F181" s="3256"/>
      <c r="G181" s="3614"/>
      <c r="H181" s="3256"/>
      <c r="I181" s="3256"/>
      <c r="J181" s="3256"/>
      <c r="K181" s="3256"/>
      <c r="L181" s="3142" t="str">
        <f t="shared" si="24"/>
        <v/>
      </c>
      <c r="M181" s="3183"/>
      <c r="N181" s="3140">
        <f t="shared" si="25"/>
        <v>0</v>
      </c>
      <c r="O181" s="3140">
        <f t="shared" si="26"/>
        <v>0</v>
      </c>
      <c r="Q181" s="3184">
        <f t="shared" si="27"/>
        <v>0</v>
      </c>
      <c r="T181" s="3184">
        <f t="shared" si="28"/>
        <v>0</v>
      </c>
      <c r="U181" s="3184">
        <f t="shared" si="29"/>
        <v>0</v>
      </c>
      <c r="V181" s="3184">
        <f t="shared" si="30"/>
        <v>0</v>
      </c>
    </row>
    <row r="182" spans="1:22" hidden="1" x14ac:dyDescent="0.2">
      <c r="A182" s="3255">
        <f t="shared" si="15"/>
        <v>170</v>
      </c>
      <c r="B182" s="3256"/>
      <c r="C182" s="3257"/>
      <c r="D182" s="3258"/>
      <c r="E182" s="3257"/>
      <c r="F182" s="3256"/>
      <c r="G182" s="3614"/>
      <c r="H182" s="3256"/>
      <c r="I182" s="3256"/>
      <c r="J182" s="3256"/>
      <c r="K182" s="3256"/>
      <c r="L182" s="3142" t="str">
        <f t="shared" si="24"/>
        <v/>
      </c>
      <c r="M182" s="3183"/>
      <c r="N182" s="3140">
        <f t="shared" si="25"/>
        <v>0</v>
      </c>
      <c r="O182" s="3140">
        <f t="shared" si="26"/>
        <v>0</v>
      </c>
      <c r="Q182" s="3184">
        <f t="shared" si="27"/>
        <v>0</v>
      </c>
      <c r="T182" s="3184">
        <f t="shared" si="28"/>
        <v>0</v>
      </c>
      <c r="U182" s="3184">
        <f t="shared" si="29"/>
        <v>0</v>
      </c>
      <c r="V182" s="3184">
        <f t="shared" si="30"/>
        <v>0</v>
      </c>
    </row>
    <row r="183" spans="1:22" hidden="1" x14ac:dyDescent="0.2">
      <c r="A183" s="3255">
        <f t="shared" si="15"/>
        <v>171</v>
      </c>
      <c r="B183" s="3256"/>
      <c r="C183" s="3257"/>
      <c r="D183" s="3258"/>
      <c r="E183" s="3257"/>
      <c r="F183" s="3256"/>
      <c r="G183" s="3614"/>
      <c r="H183" s="3256"/>
      <c r="I183" s="3256"/>
      <c r="J183" s="3256"/>
      <c r="K183" s="3256"/>
      <c r="L183" s="3142" t="str">
        <f t="shared" si="24"/>
        <v/>
      </c>
      <c r="M183" s="3183"/>
      <c r="N183" s="3140">
        <f t="shared" si="25"/>
        <v>0</v>
      </c>
      <c r="O183" s="3140">
        <f t="shared" si="26"/>
        <v>0</v>
      </c>
      <c r="Q183" s="3184">
        <f t="shared" si="27"/>
        <v>0</v>
      </c>
      <c r="T183" s="3184">
        <f t="shared" si="28"/>
        <v>0</v>
      </c>
      <c r="U183" s="3184">
        <f t="shared" si="29"/>
        <v>0</v>
      </c>
      <c r="V183" s="3184">
        <f t="shared" si="30"/>
        <v>0</v>
      </c>
    </row>
    <row r="184" spans="1:22" hidden="1" x14ac:dyDescent="0.2">
      <c r="A184" s="3255">
        <f t="shared" si="15"/>
        <v>172</v>
      </c>
      <c r="B184" s="3256"/>
      <c r="C184" s="3257"/>
      <c r="D184" s="3258"/>
      <c r="E184" s="3257"/>
      <c r="F184" s="3256"/>
      <c r="G184" s="3614"/>
      <c r="H184" s="3256"/>
      <c r="I184" s="3256"/>
      <c r="J184" s="3256"/>
      <c r="K184" s="3256"/>
      <c r="L184" s="3142" t="str">
        <f t="shared" si="24"/>
        <v/>
      </c>
      <c r="M184" s="3183"/>
      <c r="N184" s="3140">
        <f t="shared" si="25"/>
        <v>0</v>
      </c>
      <c r="O184" s="3140">
        <f t="shared" si="26"/>
        <v>0</v>
      </c>
      <c r="Q184" s="3184">
        <f t="shared" si="27"/>
        <v>0</v>
      </c>
      <c r="T184" s="3184">
        <f t="shared" si="28"/>
        <v>0</v>
      </c>
      <c r="U184" s="3184">
        <f t="shared" si="29"/>
        <v>0</v>
      </c>
      <c r="V184" s="3184">
        <f t="shared" si="30"/>
        <v>0</v>
      </c>
    </row>
    <row r="185" spans="1:22" hidden="1" x14ac:dyDescent="0.2">
      <c r="A185" s="3255">
        <f t="shared" si="15"/>
        <v>173</v>
      </c>
      <c r="B185" s="3256"/>
      <c r="C185" s="3257"/>
      <c r="D185" s="3258"/>
      <c r="E185" s="3257"/>
      <c r="F185" s="3256"/>
      <c r="G185" s="3614"/>
      <c r="H185" s="3256"/>
      <c r="I185" s="3256"/>
      <c r="J185" s="3256"/>
      <c r="K185" s="3256"/>
      <c r="L185" s="3142" t="str">
        <f t="shared" si="24"/>
        <v/>
      </c>
      <c r="M185" s="3183"/>
      <c r="N185" s="3140">
        <f t="shared" si="25"/>
        <v>0</v>
      </c>
      <c r="O185" s="3140">
        <f t="shared" si="26"/>
        <v>0</v>
      </c>
      <c r="Q185" s="3184">
        <f t="shared" si="27"/>
        <v>0</v>
      </c>
      <c r="T185" s="3184">
        <f t="shared" si="28"/>
        <v>0</v>
      </c>
      <c r="U185" s="3184">
        <f t="shared" si="29"/>
        <v>0</v>
      </c>
      <c r="V185" s="3184">
        <f t="shared" si="30"/>
        <v>0</v>
      </c>
    </row>
    <row r="186" spans="1:22" hidden="1" x14ac:dyDescent="0.2">
      <c r="A186" s="3255">
        <f t="shared" si="15"/>
        <v>174</v>
      </c>
      <c r="B186" s="3256"/>
      <c r="C186" s="3257"/>
      <c r="D186" s="3258"/>
      <c r="E186" s="3257"/>
      <c r="F186" s="3256"/>
      <c r="G186" s="3614"/>
      <c r="H186" s="3256"/>
      <c r="I186" s="3256"/>
      <c r="J186" s="3256"/>
      <c r="K186" s="3256"/>
      <c r="L186" s="3142" t="str">
        <f t="shared" si="24"/>
        <v/>
      </c>
      <c r="M186" s="3183"/>
      <c r="N186" s="3140">
        <f t="shared" si="25"/>
        <v>0</v>
      </c>
      <c r="O186" s="3140">
        <f t="shared" si="26"/>
        <v>0</v>
      </c>
      <c r="Q186" s="3184">
        <f t="shared" si="27"/>
        <v>0</v>
      </c>
      <c r="T186" s="3184">
        <f t="shared" si="28"/>
        <v>0</v>
      </c>
      <c r="U186" s="3184">
        <f t="shared" si="29"/>
        <v>0</v>
      </c>
      <c r="V186" s="3184">
        <f t="shared" si="30"/>
        <v>0</v>
      </c>
    </row>
    <row r="187" spans="1:22" hidden="1" x14ac:dyDescent="0.2">
      <c r="A187" s="3255">
        <f t="shared" si="15"/>
        <v>175</v>
      </c>
      <c r="B187" s="3256"/>
      <c r="C187" s="3257"/>
      <c r="D187" s="3258"/>
      <c r="E187" s="3257"/>
      <c r="F187" s="3256"/>
      <c r="G187" s="3614"/>
      <c r="H187" s="3256"/>
      <c r="I187" s="3256"/>
      <c r="J187" s="3256"/>
      <c r="K187" s="3256"/>
      <c r="L187" s="3142" t="str">
        <f t="shared" si="24"/>
        <v/>
      </c>
      <c r="M187" s="3183"/>
      <c r="N187" s="3140">
        <f t="shared" si="25"/>
        <v>0</v>
      </c>
      <c r="O187" s="3140">
        <f t="shared" si="26"/>
        <v>0</v>
      </c>
      <c r="Q187" s="3184">
        <f t="shared" si="27"/>
        <v>0</v>
      </c>
      <c r="T187" s="3184">
        <f t="shared" si="28"/>
        <v>0</v>
      </c>
      <c r="U187" s="3184">
        <f t="shared" si="29"/>
        <v>0</v>
      </c>
      <c r="V187" s="3184">
        <f t="shared" si="30"/>
        <v>0</v>
      </c>
    </row>
    <row r="188" spans="1:22" hidden="1" x14ac:dyDescent="0.2">
      <c r="A188" s="3255">
        <f t="shared" si="15"/>
        <v>176</v>
      </c>
      <c r="B188" s="3256"/>
      <c r="C188" s="3257"/>
      <c r="D188" s="3258"/>
      <c r="E188" s="3257"/>
      <c r="F188" s="3256"/>
      <c r="G188" s="3614"/>
      <c r="H188" s="3256"/>
      <c r="I188" s="3256"/>
      <c r="J188" s="3256"/>
      <c r="K188" s="3256"/>
      <c r="L188" s="3142" t="str">
        <f t="shared" si="24"/>
        <v/>
      </c>
      <c r="M188" s="3183"/>
      <c r="N188" s="3140">
        <f t="shared" si="25"/>
        <v>0</v>
      </c>
      <c r="O188" s="3140">
        <f t="shared" si="26"/>
        <v>0</v>
      </c>
      <c r="Q188" s="3184">
        <f t="shared" si="27"/>
        <v>0</v>
      </c>
      <c r="T188" s="3184">
        <f t="shared" si="28"/>
        <v>0</v>
      </c>
      <c r="U188" s="3184">
        <f t="shared" si="29"/>
        <v>0</v>
      </c>
      <c r="V188" s="3184">
        <f t="shared" si="30"/>
        <v>0</v>
      </c>
    </row>
    <row r="189" spans="1:22" hidden="1" x14ac:dyDescent="0.2">
      <c r="A189" s="3255">
        <f t="shared" si="15"/>
        <v>177</v>
      </c>
      <c r="B189" s="3256"/>
      <c r="C189" s="3257"/>
      <c r="D189" s="3258"/>
      <c r="E189" s="3257"/>
      <c r="F189" s="3256"/>
      <c r="G189" s="3614"/>
      <c r="H189" s="3256"/>
      <c r="I189" s="3256"/>
      <c r="J189" s="3256"/>
      <c r="K189" s="3256"/>
      <c r="L189" s="3142" t="str">
        <f t="shared" si="24"/>
        <v/>
      </c>
      <c r="M189" s="3183"/>
      <c r="N189" s="3140">
        <f t="shared" si="25"/>
        <v>0</v>
      </c>
      <c r="O189" s="3140">
        <f t="shared" si="26"/>
        <v>0</v>
      </c>
      <c r="Q189" s="3184">
        <f t="shared" si="27"/>
        <v>0</v>
      </c>
      <c r="T189" s="3184">
        <f t="shared" si="28"/>
        <v>0</v>
      </c>
      <c r="U189" s="3184">
        <f t="shared" si="29"/>
        <v>0</v>
      </c>
      <c r="V189" s="3184">
        <f t="shared" si="30"/>
        <v>0</v>
      </c>
    </row>
    <row r="190" spans="1:22" hidden="1" x14ac:dyDescent="0.2">
      <c r="A190" s="3255">
        <f t="shared" si="15"/>
        <v>178</v>
      </c>
      <c r="B190" s="3256"/>
      <c r="C190" s="3257"/>
      <c r="D190" s="3258"/>
      <c r="E190" s="3257"/>
      <c r="F190" s="3256"/>
      <c r="G190" s="3614"/>
      <c r="H190" s="3256"/>
      <c r="I190" s="3256"/>
      <c r="J190" s="3256"/>
      <c r="K190" s="3256"/>
      <c r="L190" s="3142" t="str">
        <f t="shared" si="24"/>
        <v/>
      </c>
      <c r="M190" s="3183"/>
      <c r="N190" s="3140">
        <f t="shared" si="25"/>
        <v>0</v>
      </c>
      <c r="O190" s="3140">
        <f t="shared" si="26"/>
        <v>0</v>
      </c>
      <c r="Q190" s="3184">
        <f t="shared" si="27"/>
        <v>0</v>
      </c>
      <c r="T190" s="3184">
        <f t="shared" si="28"/>
        <v>0</v>
      </c>
      <c r="U190" s="3184">
        <f t="shared" si="29"/>
        <v>0</v>
      </c>
      <c r="V190" s="3184">
        <f t="shared" si="30"/>
        <v>0</v>
      </c>
    </row>
    <row r="191" spans="1:22" hidden="1" x14ac:dyDescent="0.2">
      <c r="A191" s="3255">
        <f t="shared" si="15"/>
        <v>179</v>
      </c>
      <c r="B191" s="3256"/>
      <c r="C191" s="3257"/>
      <c r="D191" s="3258"/>
      <c r="E191" s="3257"/>
      <c r="F191" s="3256"/>
      <c r="G191" s="3614"/>
      <c r="H191" s="3256"/>
      <c r="I191" s="3256"/>
      <c r="J191" s="3256"/>
      <c r="K191" s="3256"/>
      <c r="L191" s="3142" t="str">
        <f t="shared" si="24"/>
        <v/>
      </c>
      <c r="M191" s="3183"/>
      <c r="N191" s="3140">
        <f t="shared" si="25"/>
        <v>0</v>
      </c>
      <c r="O191" s="3140">
        <f t="shared" si="26"/>
        <v>0</v>
      </c>
      <c r="Q191" s="3184">
        <f t="shared" si="27"/>
        <v>0</v>
      </c>
      <c r="T191" s="3184">
        <f t="shared" si="28"/>
        <v>0</v>
      </c>
      <c r="U191" s="3184">
        <f t="shared" si="29"/>
        <v>0</v>
      </c>
      <c r="V191" s="3184">
        <f t="shared" si="30"/>
        <v>0</v>
      </c>
    </row>
    <row r="192" spans="1:22" hidden="1" x14ac:dyDescent="0.2">
      <c r="A192" s="3255">
        <f t="shared" si="15"/>
        <v>180</v>
      </c>
      <c r="B192" s="3256"/>
      <c r="C192" s="3257"/>
      <c r="D192" s="3258"/>
      <c r="E192" s="3257"/>
      <c r="F192" s="3256"/>
      <c r="G192" s="3614"/>
      <c r="H192" s="3256"/>
      <c r="I192" s="3256"/>
      <c r="J192" s="3256"/>
      <c r="K192" s="3256"/>
      <c r="L192" s="3142" t="str">
        <f t="shared" si="24"/>
        <v/>
      </c>
      <c r="M192" s="3183"/>
      <c r="N192" s="3140">
        <f t="shared" si="25"/>
        <v>0</v>
      </c>
      <c r="O192" s="3140">
        <f t="shared" si="26"/>
        <v>0</v>
      </c>
      <c r="Q192" s="3184">
        <f t="shared" si="27"/>
        <v>0</v>
      </c>
      <c r="T192" s="3184">
        <f t="shared" si="28"/>
        <v>0</v>
      </c>
      <c r="U192" s="3184">
        <f t="shared" si="29"/>
        <v>0</v>
      </c>
      <c r="V192" s="3184">
        <f t="shared" si="30"/>
        <v>0</v>
      </c>
    </row>
    <row r="193" spans="1:22" hidden="1" x14ac:dyDescent="0.2">
      <c r="A193" s="3255">
        <f t="shared" si="15"/>
        <v>181</v>
      </c>
      <c r="B193" s="3256"/>
      <c r="C193" s="3257"/>
      <c r="D193" s="3258"/>
      <c r="E193" s="3257"/>
      <c r="F193" s="3256"/>
      <c r="G193" s="3614"/>
      <c r="H193" s="3256"/>
      <c r="I193" s="3256"/>
      <c r="J193" s="3256"/>
      <c r="K193" s="3256"/>
      <c r="L193" s="3142" t="str">
        <f t="shared" si="24"/>
        <v/>
      </c>
      <c r="M193" s="3183"/>
      <c r="N193" s="3140">
        <f t="shared" si="25"/>
        <v>0</v>
      </c>
      <c r="O193" s="3140">
        <f t="shared" si="26"/>
        <v>0</v>
      </c>
      <c r="Q193" s="3184">
        <f t="shared" si="27"/>
        <v>0</v>
      </c>
      <c r="T193" s="3184">
        <f t="shared" si="28"/>
        <v>0</v>
      </c>
      <c r="U193" s="3184">
        <f t="shared" si="29"/>
        <v>0</v>
      </c>
      <c r="V193" s="3184">
        <f t="shared" si="30"/>
        <v>0</v>
      </c>
    </row>
    <row r="194" spans="1:22" hidden="1" x14ac:dyDescent="0.2">
      <c r="A194" s="3255">
        <f t="shared" si="15"/>
        <v>182</v>
      </c>
      <c r="B194" s="3256"/>
      <c r="C194" s="3257"/>
      <c r="D194" s="3258"/>
      <c r="E194" s="3257"/>
      <c r="F194" s="3256"/>
      <c r="G194" s="3614"/>
      <c r="H194" s="3256"/>
      <c r="I194" s="3256"/>
      <c r="J194" s="3256"/>
      <c r="K194" s="3256"/>
      <c r="L194" s="3142" t="str">
        <f t="shared" si="24"/>
        <v/>
      </c>
      <c r="M194" s="3183"/>
      <c r="N194" s="3140">
        <f t="shared" si="25"/>
        <v>0</v>
      </c>
      <c r="O194" s="3140">
        <f t="shared" si="26"/>
        <v>0</v>
      </c>
      <c r="Q194" s="3184">
        <f t="shared" si="27"/>
        <v>0</v>
      </c>
      <c r="T194" s="3184">
        <f t="shared" si="28"/>
        <v>0</v>
      </c>
      <c r="U194" s="3184">
        <f t="shared" si="29"/>
        <v>0</v>
      </c>
      <c r="V194" s="3184">
        <f t="shared" si="30"/>
        <v>0</v>
      </c>
    </row>
    <row r="195" spans="1:22" hidden="1" x14ac:dyDescent="0.2">
      <c r="A195" s="3255">
        <f t="shared" si="15"/>
        <v>183</v>
      </c>
      <c r="B195" s="3256"/>
      <c r="C195" s="3257"/>
      <c r="D195" s="3258"/>
      <c r="E195" s="3257"/>
      <c r="F195" s="3256"/>
      <c r="G195" s="3614"/>
      <c r="H195" s="3256"/>
      <c r="I195" s="3256"/>
      <c r="J195" s="3256"/>
      <c r="K195" s="3256"/>
      <c r="L195" s="3142" t="str">
        <f t="shared" si="24"/>
        <v/>
      </c>
      <c r="M195" s="3183"/>
      <c r="N195" s="3140">
        <f t="shared" si="25"/>
        <v>0</v>
      </c>
      <c r="O195" s="3140">
        <f t="shared" si="26"/>
        <v>0</v>
      </c>
      <c r="Q195" s="3184">
        <f t="shared" si="27"/>
        <v>0</v>
      </c>
      <c r="T195" s="3184">
        <f t="shared" si="28"/>
        <v>0</v>
      </c>
      <c r="U195" s="3184">
        <f t="shared" si="29"/>
        <v>0</v>
      </c>
      <c r="V195" s="3184">
        <f t="shared" si="30"/>
        <v>0</v>
      </c>
    </row>
    <row r="196" spans="1:22" hidden="1" x14ac:dyDescent="0.2">
      <c r="A196" s="3255">
        <f t="shared" si="15"/>
        <v>184</v>
      </c>
      <c r="B196" s="3256"/>
      <c r="C196" s="3257"/>
      <c r="D196" s="3258"/>
      <c r="E196" s="3257"/>
      <c r="F196" s="3256"/>
      <c r="G196" s="3614"/>
      <c r="H196" s="3256"/>
      <c r="I196" s="3256"/>
      <c r="J196" s="3256"/>
      <c r="K196" s="3256"/>
      <c r="L196" s="3142" t="str">
        <f t="shared" si="24"/>
        <v/>
      </c>
      <c r="M196" s="3183"/>
      <c r="N196" s="3140">
        <f t="shared" si="25"/>
        <v>0</v>
      </c>
      <c r="O196" s="3140">
        <f t="shared" si="26"/>
        <v>0</v>
      </c>
      <c r="Q196" s="3184">
        <f t="shared" si="27"/>
        <v>0</v>
      </c>
      <c r="T196" s="3184">
        <f t="shared" si="28"/>
        <v>0</v>
      </c>
      <c r="U196" s="3184">
        <f t="shared" si="29"/>
        <v>0</v>
      </c>
      <c r="V196" s="3184">
        <f t="shared" si="30"/>
        <v>0</v>
      </c>
    </row>
    <row r="197" spans="1:22" hidden="1" x14ac:dyDescent="0.2">
      <c r="A197" s="3255">
        <f t="shared" si="15"/>
        <v>185</v>
      </c>
      <c r="B197" s="3256"/>
      <c r="C197" s="3257"/>
      <c r="D197" s="3258"/>
      <c r="E197" s="3257"/>
      <c r="F197" s="3256"/>
      <c r="G197" s="3614"/>
      <c r="H197" s="3256"/>
      <c r="I197" s="3256"/>
      <c r="J197" s="3256"/>
      <c r="K197" s="3256"/>
      <c r="L197" s="3142" t="str">
        <f t="shared" si="24"/>
        <v/>
      </c>
      <c r="M197" s="3183"/>
      <c r="N197" s="3140">
        <f t="shared" si="25"/>
        <v>0</v>
      </c>
      <c r="O197" s="3140">
        <f t="shared" si="26"/>
        <v>0</v>
      </c>
      <c r="Q197" s="3184">
        <f t="shared" si="27"/>
        <v>0</v>
      </c>
      <c r="T197" s="3184">
        <f t="shared" si="28"/>
        <v>0</v>
      </c>
      <c r="U197" s="3184">
        <f t="shared" si="29"/>
        <v>0</v>
      </c>
      <c r="V197" s="3184">
        <f t="shared" si="30"/>
        <v>0</v>
      </c>
    </row>
    <row r="198" spans="1:22" hidden="1" x14ac:dyDescent="0.2">
      <c r="A198" s="3255">
        <f t="shared" si="15"/>
        <v>186</v>
      </c>
      <c r="B198" s="3256"/>
      <c r="C198" s="3257"/>
      <c r="D198" s="3258"/>
      <c r="E198" s="3257"/>
      <c r="F198" s="3256"/>
      <c r="G198" s="3614"/>
      <c r="H198" s="3256"/>
      <c r="I198" s="3256"/>
      <c r="J198" s="3256"/>
      <c r="K198" s="3256"/>
      <c r="L198" s="3142" t="str">
        <f t="shared" si="24"/>
        <v/>
      </c>
      <c r="M198" s="3183"/>
      <c r="N198" s="3140">
        <f t="shared" si="25"/>
        <v>0</v>
      </c>
      <c r="O198" s="3140">
        <f t="shared" si="26"/>
        <v>0</v>
      </c>
      <c r="Q198" s="3184">
        <f t="shared" si="27"/>
        <v>0</v>
      </c>
      <c r="T198" s="3184">
        <f t="shared" si="28"/>
        <v>0</v>
      </c>
      <c r="U198" s="3184">
        <f t="shared" si="29"/>
        <v>0</v>
      </c>
      <c r="V198" s="3184">
        <f t="shared" si="30"/>
        <v>0</v>
      </c>
    </row>
    <row r="199" spans="1:22" hidden="1" x14ac:dyDescent="0.2">
      <c r="A199" s="3255">
        <f t="shared" si="15"/>
        <v>187</v>
      </c>
      <c r="B199" s="3256"/>
      <c r="C199" s="3257"/>
      <c r="D199" s="3258"/>
      <c r="E199" s="3257"/>
      <c r="F199" s="3256"/>
      <c r="G199" s="3614"/>
      <c r="H199" s="3256"/>
      <c r="I199" s="3256"/>
      <c r="J199" s="3256"/>
      <c r="K199" s="3256"/>
      <c r="L199" s="3142" t="str">
        <f t="shared" si="24"/>
        <v/>
      </c>
      <c r="M199" s="3183"/>
      <c r="N199" s="3140">
        <f t="shared" si="25"/>
        <v>0</v>
      </c>
      <c r="O199" s="3140">
        <f t="shared" si="26"/>
        <v>0</v>
      </c>
      <c r="Q199" s="3184">
        <f t="shared" si="27"/>
        <v>0</v>
      </c>
      <c r="T199" s="3184">
        <f t="shared" si="28"/>
        <v>0</v>
      </c>
      <c r="U199" s="3184">
        <f t="shared" si="29"/>
        <v>0</v>
      </c>
      <c r="V199" s="3184">
        <f t="shared" si="30"/>
        <v>0</v>
      </c>
    </row>
    <row r="200" spans="1:22" hidden="1" x14ac:dyDescent="0.2">
      <c r="A200" s="3255">
        <f t="shared" si="15"/>
        <v>188</v>
      </c>
      <c r="B200" s="3256"/>
      <c r="C200" s="3257"/>
      <c r="D200" s="3258"/>
      <c r="E200" s="3257"/>
      <c r="F200" s="3256"/>
      <c r="G200" s="3614"/>
      <c r="H200" s="3256"/>
      <c r="I200" s="3256"/>
      <c r="J200" s="3256"/>
      <c r="K200" s="3256"/>
      <c r="L200" s="3142" t="str">
        <f t="shared" si="24"/>
        <v/>
      </c>
      <c r="M200" s="3183"/>
      <c r="N200" s="3140">
        <f t="shared" si="25"/>
        <v>0</v>
      </c>
      <c r="O200" s="3140">
        <f t="shared" si="26"/>
        <v>0</v>
      </c>
      <c r="Q200" s="3184">
        <f t="shared" si="27"/>
        <v>0</v>
      </c>
      <c r="T200" s="3184">
        <f t="shared" si="28"/>
        <v>0</v>
      </c>
      <c r="U200" s="3184">
        <f t="shared" si="29"/>
        <v>0</v>
      </c>
      <c r="V200" s="3184">
        <f t="shared" si="30"/>
        <v>0</v>
      </c>
    </row>
    <row r="201" spans="1:22" hidden="1" x14ac:dyDescent="0.2">
      <c r="A201" s="3255">
        <f t="shared" si="15"/>
        <v>189</v>
      </c>
      <c r="B201" s="3256"/>
      <c r="C201" s="3257"/>
      <c r="D201" s="3258"/>
      <c r="E201" s="3257"/>
      <c r="F201" s="3256"/>
      <c r="G201" s="3614"/>
      <c r="H201" s="3256"/>
      <c r="I201" s="3256"/>
      <c r="J201" s="3256"/>
      <c r="K201" s="3256"/>
      <c r="L201" s="3142" t="str">
        <f t="shared" si="24"/>
        <v/>
      </c>
      <c r="M201" s="3183"/>
      <c r="N201" s="3140">
        <f t="shared" si="25"/>
        <v>0</v>
      </c>
      <c r="O201" s="3140">
        <f t="shared" si="26"/>
        <v>0</v>
      </c>
      <c r="Q201" s="3184">
        <f t="shared" si="27"/>
        <v>0</v>
      </c>
      <c r="T201" s="3184">
        <f t="shared" si="28"/>
        <v>0</v>
      </c>
      <c r="U201" s="3184">
        <f t="shared" si="29"/>
        <v>0</v>
      </c>
      <c r="V201" s="3184">
        <f t="shared" si="30"/>
        <v>0</v>
      </c>
    </row>
    <row r="202" spans="1:22" hidden="1" x14ac:dyDescent="0.2">
      <c r="A202" s="3255">
        <f t="shared" si="15"/>
        <v>190</v>
      </c>
      <c r="B202" s="3256"/>
      <c r="C202" s="3257"/>
      <c r="D202" s="3258"/>
      <c r="E202" s="3257"/>
      <c r="F202" s="3256"/>
      <c r="G202" s="3614"/>
      <c r="H202" s="3256"/>
      <c r="I202" s="3256"/>
      <c r="J202" s="3256"/>
      <c r="K202" s="3256"/>
      <c r="L202" s="3142" t="str">
        <f t="shared" si="24"/>
        <v/>
      </c>
      <c r="M202" s="3183"/>
      <c r="N202" s="3140">
        <f t="shared" si="25"/>
        <v>0</v>
      </c>
      <c r="O202" s="3140">
        <f t="shared" si="26"/>
        <v>0</v>
      </c>
      <c r="Q202" s="3184">
        <f t="shared" si="27"/>
        <v>0</v>
      </c>
      <c r="T202" s="3184">
        <f t="shared" si="28"/>
        <v>0</v>
      </c>
      <c r="U202" s="3184">
        <f t="shared" si="29"/>
        <v>0</v>
      </c>
      <c r="V202" s="3184">
        <f t="shared" si="30"/>
        <v>0</v>
      </c>
    </row>
    <row r="203" spans="1:22" hidden="1" x14ac:dyDescent="0.2">
      <c r="A203" s="3255">
        <f t="shared" si="15"/>
        <v>191</v>
      </c>
      <c r="B203" s="3256"/>
      <c r="C203" s="3257"/>
      <c r="D203" s="3258"/>
      <c r="E203" s="3257"/>
      <c r="F203" s="3256"/>
      <c r="G203" s="3614"/>
      <c r="H203" s="3256"/>
      <c r="I203" s="3256"/>
      <c r="J203" s="3256"/>
      <c r="K203" s="3256"/>
      <c r="L203" s="3142" t="str">
        <f t="shared" si="24"/>
        <v/>
      </c>
      <c r="M203" s="3183"/>
      <c r="N203" s="3140">
        <f t="shared" si="25"/>
        <v>0</v>
      </c>
      <c r="O203" s="3140">
        <f t="shared" si="26"/>
        <v>0</v>
      </c>
      <c r="Q203" s="3184">
        <f t="shared" si="27"/>
        <v>0</v>
      </c>
      <c r="T203" s="3184">
        <f t="shared" si="28"/>
        <v>0</v>
      </c>
      <c r="U203" s="3184">
        <f t="shared" si="29"/>
        <v>0</v>
      </c>
      <c r="V203" s="3184">
        <f t="shared" si="30"/>
        <v>0</v>
      </c>
    </row>
    <row r="204" spans="1:22" hidden="1" x14ac:dyDescent="0.2">
      <c r="A204" s="3255">
        <f t="shared" si="15"/>
        <v>192</v>
      </c>
      <c r="B204" s="3256"/>
      <c r="C204" s="3257"/>
      <c r="D204" s="3258"/>
      <c r="E204" s="3257"/>
      <c r="F204" s="3256"/>
      <c r="G204" s="3614"/>
      <c r="H204" s="3256"/>
      <c r="I204" s="3256"/>
      <c r="J204" s="3256"/>
      <c r="K204" s="3256"/>
      <c r="L204" s="3142" t="str">
        <f t="shared" si="24"/>
        <v/>
      </c>
      <c r="M204" s="3183"/>
      <c r="N204" s="3140">
        <f t="shared" si="25"/>
        <v>0</v>
      </c>
      <c r="O204" s="3140">
        <f t="shared" si="26"/>
        <v>0</v>
      </c>
      <c r="Q204" s="3184">
        <f t="shared" si="27"/>
        <v>0</v>
      </c>
      <c r="T204" s="3184">
        <f t="shared" si="28"/>
        <v>0</v>
      </c>
      <c r="U204" s="3184">
        <f t="shared" si="29"/>
        <v>0</v>
      </c>
      <c r="V204" s="3184">
        <f t="shared" si="30"/>
        <v>0</v>
      </c>
    </row>
    <row r="205" spans="1:22" hidden="1" x14ac:dyDescent="0.2">
      <c r="A205" s="3255">
        <f t="shared" si="15"/>
        <v>193</v>
      </c>
      <c r="B205" s="3256"/>
      <c r="C205" s="3257"/>
      <c r="D205" s="3258"/>
      <c r="E205" s="3257"/>
      <c r="F205" s="3256"/>
      <c r="G205" s="3614"/>
      <c r="H205" s="3256"/>
      <c r="I205" s="3256"/>
      <c r="J205" s="3256"/>
      <c r="K205" s="3256"/>
      <c r="L205" s="3142" t="str">
        <f t="shared" ref="L205:L268" si="31">IF(AND($N$4&gt;0,A205&lt;=$J$8,N205&lt;&gt;7),re,IF(AND(N205&gt;0,$K$8=0),"No details required",IF(AND(T205=1,I205=""),re,IF(AND(T205=0,COUNTA(I205:K205)&gt;0),"Delete!",IF(AND(U205=1,J205=""),re,IF(AND(U205=0,COUNTA(J205:K205)&gt;0),"Delete!",IF(AND(V205=1,K205=""),re,IF(AND(V205=0,COUNTA(K205)&gt;0),"Delete!",IF(AND(N205&gt;0,A205&gt;$J$8),"Check no. of foreign holdings!","")))))))))</f>
        <v/>
      </c>
      <c r="M205" s="3183"/>
      <c r="N205" s="3140">
        <f t="shared" si="25"/>
        <v>0</v>
      </c>
      <c r="O205" s="3140">
        <f t="shared" si="26"/>
        <v>0</v>
      </c>
      <c r="Q205" s="3184">
        <f t="shared" si="27"/>
        <v>0</v>
      </c>
      <c r="T205" s="3184">
        <f t="shared" si="28"/>
        <v>0</v>
      </c>
      <c r="U205" s="3184">
        <f t="shared" si="29"/>
        <v>0</v>
      </c>
      <c r="V205" s="3184">
        <f t="shared" si="30"/>
        <v>0</v>
      </c>
    </row>
    <row r="206" spans="1:22" hidden="1" x14ac:dyDescent="0.2">
      <c r="A206" s="3255">
        <f t="shared" si="15"/>
        <v>194</v>
      </c>
      <c r="B206" s="3256"/>
      <c r="C206" s="3257"/>
      <c r="D206" s="3258"/>
      <c r="E206" s="3257"/>
      <c r="F206" s="3256"/>
      <c r="G206" s="3614"/>
      <c r="H206" s="3256"/>
      <c r="I206" s="3256"/>
      <c r="J206" s="3256"/>
      <c r="K206" s="3256"/>
      <c r="L206" s="3142" t="str">
        <f t="shared" si="31"/>
        <v/>
      </c>
      <c r="M206" s="3183"/>
      <c r="N206" s="3140">
        <f t="shared" si="25"/>
        <v>0</v>
      </c>
      <c r="O206" s="3140">
        <f t="shared" si="26"/>
        <v>0</v>
      </c>
      <c r="Q206" s="3184">
        <f t="shared" si="27"/>
        <v>0</v>
      </c>
      <c r="T206" s="3184">
        <f t="shared" si="28"/>
        <v>0</v>
      </c>
      <c r="U206" s="3184">
        <f t="shared" si="29"/>
        <v>0</v>
      </c>
      <c r="V206" s="3184">
        <f t="shared" si="30"/>
        <v>0</v>
      </c>
    </row>
    <row r="207" spans="1:22" hidden="1" x14ac:dyDescent="0.2">
      <c r="A207" s="3255">
        <f t="shared" si="15"/>
        <v>195</v>
      </c>
      <c r="B207" s="3256"/>
      <c r="C207" s="3257"/>
      <c r="D207" s="3258"/>
      <c r="E207" s="3257"/>
      <c r="F207" s="3256"/>
      <c r="G207" s="3614"/>
      <c r="H207" s="3256"/>
      <c r="I207" s="3256"/>
      <c r="J207" s="3256"/>
      <c r="K207" s="3256"/>
      <c r="L207" s="3142" t="str">
        <f t="shared" si="31"/>
        <v/>
      </c>
      <c r="M207" s="3183"/>
      <c r="N207" s="3140">
        <f t="shared" si="25"/>
        <v>0</v>
      </c>
      <c r="O207" s="3140">
        <f t="shared" si="26"/>
        <v>0</v>
      </c>
      <c r="Q207" s="3184">
        <f t="shared" si="27"/>
        <v>0</v>
      </c>
      <c r="T207" s="3184">
        <f t="shared" si="28"/>
        <v>0</v>
      </c>
      <c r="U207" s="3184">
        <f t="shared" si="29"/>
        <v>0</v>
      </c>
      <c r="V207" s="3184">
        <f t="shared" si="30"/>
        <v>0</v>
      </c>
    </row>
    <row r="208" spans="1:22" hidden="1" x14ac:dyDescent="0.2">
      <c r="A208" s="3255">
        <f t="shared" si="15"/>
        <v>196</v>
      </c>
      <c r="B208" s="3256"/>
      <c r="C208" s="3257"/>
      <c r="D208" s="3258"/>
      <c r="E208" s="3257"/>
      <c r="F208" s="3256"/>
      <c r="G208" s="3614"/>
      <c r="H208" s="3256"/>
      <c r="I208" s="3256"/>
      <c r="J208" s="3256"/>
      <c r="K208" s="3256"/>
      <c r="L208" s="3142" t="str">
        <f t="shared" si="31"/>
        <v/>
      </c>
      <c r="M208" s="3183"/>
      <c r="N208" s="3140">
        <f t="shared" si="25"/>
        <v>0</v>
      </c>
      <c r="O208" s="3140">
        <f t="shared" si="26"/>
        <v>0</v>
      </c>
      <c r="Q208" s="3184">
        <f t="shared" si="27"/>
        <v>0</v>
      </c>
      <c r="T208" s="3184">
        <f t="shared" si="28"/>
        <v>0</v>
      </c>
      <c r="U208" s="3184">
        <f t="shared" si="29"/>
        <v>0</v>
      </c>
      <c r="V208" s="3184">
        <f t="shared" si="30"/>
        <v>0</v>
      </c>
    </row>
    <row r="209" spans="1:22" hidden="1" x14ac:dyDescent="0.2">
      <c r="A209" s="3255">
        <f t="shared" si="15"/>
        <v>197</v>
      </c>
      <c r="B209" s="3256"/>
      <c r="C209" s="3257"/>
      <c r="D209" s="3258"/>
      <c r="E209" s="3257"/>
      <c r="F209" s="3256"/>
      <c r="G209" s="3614"/>
      <c r="H209" s="3256"/>
      <c r="I209" s="3256"/>
      <c r="J209" s="3256"/>
      <c r="K209" s="3256"/>
      <c r="L209" s="3142" t="str">
        <f t="shared" si="31"/>
        <v/>
      </c>
      <c r="M209" s="3183"/>
      <c r="N209" s="3140">
        <f t="shared" si="25"/>
        <v>0</v>
      </c>
      <c r="O209" s="3140">
        <f t="shared" si="26"/>
        <v>0</v>
      </c>
      <c r="Q209" s="3184">
        <f t="shared" si="27"/>
        <v>0</v>
      </c>
      <c r="T209" s="3184">
        <f t="shared" si="28"/>
        <v>0</v>
      </c>
      <c r="U209" s="3184">
        <f t="shared" si="29"/>
        <v>0</v>
      </c>
      <c r="V209" s="3184">
        <f t="shared" si="30"/>
        <v>0</v>
      </c>
    </row>
    <row r="210" spans="1:22" hidden="1" x14ac:dyDescent="0.2">
      <c r="A210" s="3255">
        <f t="shared" si="15"/>
        <v>198</v>
      </c>
      <c r="B210" s="3256"/>
      <c r="C210" s="3257"/>
      <c r="D210" s="3258"/>
      <c r="E210" s="3257"/>
      <c r="F210" s="3256"/>
      <c r="G210" s="3614"/>
      <c r="H210" s="3256"/>
      <c r="I210" s="3256"/>
      <c r="J210" s="3256"/>
      <c r="K210" s="3256"/>
      <c r="L210" s="3142" t="str">
        <f t="shared" si="31"/>
        <v/>
      </c>
      <c r="M210" s="3183"/>
      <c r="N210" s="3140">
        <f t="shared" si="25"/>
        <v>0</v>
      </c>
      <c r="O210" s="3140">
        <f t="shared" si="26"/>
        <v>0</v>
      </c>
      <c r="Q210" s="3184">
        <f t="shared" si="27"/>
        <v>0</v>
      </c>
      <c r="T210" s="3184">
        <f t="shared" si="28"/>
        <v>0</v>
      </c>
      <c r="U210" s="3184">
        <f t="shared" si="29"/>
        <v>0</v>
      </c>
      <c r="V210" s="3184">
        <f t="shared" si="30"/>
        <v>0</v>
      </c>
    </row>
    <row r="211" spans="1:22" hidden="1" x14ac:dyDescent="0.2">
      <c r="A211" s="3255">
        <f t="shared" si="15"/>
        <v>199</v>
      </c>
      <c r="B211" s="3256"/>
      <c r="C211" s="3257"/>
      <c r="D211" s="3258"/>
      <c r="E211" s="3257"/>
      <c r="F211" s="3256"/>
      <c r="G211" s="3614"/>
      <c r="H211" s="3256"/>
      <c r="I211" s="3256"/>
      <c r="J211" s="3256"/>
      <c r="K211" s="3256"/>
      <c r="L211" s="3142" t="str">
        <f t="shared" si="31"/>
        <v/>
      </c>
      <c r="M211" s="3183"/>
      <c r="N211" s="3140">
        <f t="shared" si="25"/>
        <v>0</v>
      </c>
      <c r="O211" s="3140">
        <f t="shared" si="26"/>
        <v>0</v>
      </c>
      <c r="Q211" s="3184">
        <f t="shared" si="27"/>
        <v>0</v>
      </c>
      <c r="T211" s="3184">
        <f t="shared" si="28"/>
        <v>0</v>
      </c>
      <c r="U211" s="3184">
        <f t="shared" si="29"/>
        <v>0</v>
      </c>
      <c r="V211" s="3184">
        <f t="shared" si="30"/>
        <v>0</v>
      </c>
    </row>
    <row r="212" spans="1:22" hidden="1" x14ac:dyDescent="0.2">
      <c r="A212" s="3255">
        <f t="shared" si="15"/>
        <v>200</v>
      </c>
      <c r="B212" s="3256"/>
      <c r="C212" s="3257"/>
      <c r="D212" s="3258"/>
      <c r="E212" s="3257"/>
      <c r="F212" s="3256"/>
      <c r="G212" s="3614"/>
      <c r="H212" s="3256"/>
      <c r="I212" s="3256"/>
      <c r="J212" s="3256"/>
      <c r="K212" s="3256"/>
      <c r="L212" s="3142" t="str">
        <f t="shared" si="31"/>
        <v/>
      </c>
      <c r="M212" s="3183"/>
      <c r="N212" s="3140">
        <f t="shared" si="25"/>
        <v>0</v>
      </c>
      <c r="O212" s="3140">
        <f t="shared" si="26"/>
        <v>0</v>
      </c>
      <c r="Q212" s="3184">
        <f t="shared" si="27"/>
        <v>0</v>
      </c>
      <c r="T212" s="3184">
        <f t="shared" si="28"/>
        <v>0</v>
      </c>
      <c r="U212" s="3184">
        <f t="shared" si="29"/>
        <v>0</v>
      </c>
      <c r="V212" s="3184">
        <f t="shared" si="30"/>
        <v>0</v>
      </c>
    </row>
    <row r="213" spans="1:22" hidden="1" x14ac:dyDescent="0.2">
      <c r="A213" s="3255">
        <f t="shared" si="15"/>
        <v>201</v>
      </c>
      <c r="B213" s="3256"/>
      <c r="C213" s="3257"/>
      <c r="D213" s="3258"/>
      <c r="E213" s="3257"/>
      <c r="F213" s="3256"/>
      <c r="G213" s="3614"/>
      <c r="H213" s="3256"/>
      <c r="I213" s="3256"/>
      <c r="J213" s="3256"/>
      <c r="K213" s="3256"/>
      <c r="L213" s="3142" t="str">
        <f t="shared" si="31"/>
        <v/>
      </c>
      <c r="M213" s="3183"/>
      <c r="N213" s="3140">
        <f t="shared" si="25"/>
        <v>0</v>
      </c>
      <c r="O213" s="3140">
        <f t="shared" si="26"/>
        <v>0</v>
      </c>
      <c r="Q213" s="3184">
        <f t="shared" si="27"/>
        <v>0</v>
      </c>
      <c r="T213" s="3184">
        <f t="shared" si="28"/>
        <v>0</v>
      </c>
      <c r="U213" s="3184">
        <f t="shared" si="29"/>
        <v>0</v>
      </c>
      <c r="V213" s="3184">
        <f t="shared" si="30"/>
        <v>0</v>
      </c>
    </row>
    <row r="214" spans="1:22" hidden="1" x14ac:dyDescent="0.2">
      <c r="A214" s="3255">
        <f t="shared" si="15"/>
        <v>202</v>
      </c>
      <c r="B214" s="3256"/>
      <c r="C214" s="3257"/>
      <c r="D214" s="3258"/>
      <c r="E214" s="3257"/>
      <c r="F214" s="3256"/>
      <c r="G214" s="3614"/>
      <c r="H214" s="3256"/>
      <c r="I214" s="3256"/>
      <c r="J214" s="3256"/>
      <c r="K214" s="3256"/>
      <c r="L214" s="3142" t="str">
        <f t="shared" si="31"/>
        <v/>
      </c>
      <c r="M214" s="3183"/>
      <c r="N214" s="3140">
        <f t="shared" si="25"/>
        <v>0</v>
      </c>
      <c r="O214" s="3140">
        <f t="shared" si="26"/>
        <v>0</v>
      </c>
      <c r="Q214" s="3184">
        <f t="shared" si="27"/>
        <v>0</v>
      </c>
      <c r="T214" s="3184">
        <f t="shared" si="28"/>
        <v>0</v>
      </c>
      <c r="U214" s="3184">
        <f t="shared" si="29"/>
        <v>0</v>
      </c>
      <c r="V214" s="3184">
        <f t="shared" si="30"/>
        <v>0</v>
      </c>
    </row>
    <row r="215" spans="1:22" hidden="1" x14ac:dyDescent="0.2">
      <c r="A215" s="3255">
        <f t="shared" si="15"/>
        <v>203</v>
      </c>
      <c r="B215" s="3256"/>
      <c r="C215" s="3257"/>
      <c r="D215" s="3258"/>
      <c r="E215" s="3257"/>
      <c r="F215" s="3256"/>
      <c r="G215" s="3614"/>
      <c r="H215" s="3256"/>
      <c r="I215" s="3256"/>
      <c r="J215" s="3256"/>
      <c r="K215" s="3256"/>
      <c r="L215" s="3142" t="str">
        <f t="shared" si="31"/>
        <v/>
      </c>
      <c r="M215" s="3183"/>
      <c r="N215" s="3140">
        <f t="shared" si="25"/>
        <v>0</v>
      </c>
      <c r="O215" s="3140">
        <f t="shared" si="26"/>
        <v>0</v>
      </c>
      <c r="Q215" s="3184">
        <f t="shared" si="27"/>
        <v>0</v>
      </c>
      <c r="T215" s="3184">
        <f t="shared" si="28"/>
        <v>0</v>
      </c>
      <c r="U215" s="3184">
        <f t="shared" si="29"/>
        <v>0</v>
      </c>
      <c r="V215" s="3184">
        <f t="shared" si="30"/>
        <v>0</v>
      </c>
    </row>
    <row r="216" spans="1:22" hidden="1" x14ac:dyDescent="0.2">
      <c r="A216" s="3255">
        <f t="shared" si="15"/>
        <v>204</v>
      </c>
      <c r="B216" s="3256"/>
      <c r="C216" s="3257"/>
      <c r="D216" s="3258"/>
      <c r="E216" s="3257"/>
      <c r="F216" s="3256"/>
      <c r="G216" s="3614"/>
      <c r="H216" s="3256"/>
      <c r="I216" s="3256"/>
      <c r="J216" s="3256"/>
      <c r="K216" s="3256"/>
      <c r="L216" s="3142" t="str">
        <f t="shared" si="31"/>
        <v/>
      </c>
      <c r="M216" s="3183"/>
      <c r="N216" s="3140">
        <f t="shared" si="25"/>
        <v>0</v>
      </c>
      <c r="O216" s="3140">
        <f t="shared" si="26"/>
        <v>0</v>
      </c>
      <c r="Q216" s="3184">
        <f t="shared" si="27"/>
        <v>0</v>
      </c>
      <c r="T216" s="3184">
        <f t="shared" si="28"/>
        <v>0</v>
      </c>
      <c r="U216" s="3184">
        <f t="shared" si="29"/>
        <v>0</v>
      </c>
      <c r="V216" s="3184">
        <f t="shared" si="30"/>
        <v>0</v>
      </c>
    </row>
    <row r="217" spans="1:22" hidden="1" x14ac:dyDescent="0.2">
      <c r="A217" s="3255">
        <f t="shared" si="15"/>
        <v>205</v>
      </c>
      <c r="B217" s="3256"/>
      <c r="C217" s="3257"/>
      <c r="D217" s="3258"/>
      <c r="E217" s="3257"/>
      <c r="F217" s="3256"/>
      <c r="G217" s="3614"/>
      <c r="H217" s="3256"/>
      <c r="I217" s="3256"/>
      <c r="J217" s="3256"/>
      <c r="K217" s="3256"/>
      <c r="L217" s="3142" t="str">
        <f t="shared" si="31"/>
        <v/>
      </c>
      <c r="M217" s="3183"/>
      <c r="N217" s="3140">
        <f t="shared" si="25"/>
        <v>0</v>
      </c>
      <c r="O217" s="3140">
        <f t="shared" si="26"/>
        <v>0</v>
      </c>
      <c r="Q217" s="3184">
        <f t="shared" si="27"/>
        <v>0</v>
      </c>
      <c r="T217" s="3184">
        <f t="shared" si="28"/>
        <v>0</v>
      </c>
      <c r="U217" s="3184">
        <f t="shared" si="29"/>
        <v>0</v>
      </c>
      <c r="V217" s="3184">
        <f t="shared" si="30"/>
        <v>0</v>
      </c>
    </row>
    <row r="218" spans="1:22" hidden="1" x14ac:dyDescent="0.2">
      <c r="A218" s="3255">
        <f t="shared" si="15"/>
        <v>206</v>
      </c>
      <c r="B218" s="3256"/>
      <c r="C218" s="3257"/>
      <c r="D218" s="3258"/>
      <c r="E218" s="3257"/>
      <c r="F218" s="3256"/>
      <c r="G218" s="3614"/>
      <c r="H218" s="3256"/>
      <c r="I218" s="3256"/>
      <c r="J218" s="3256"/>
      <c r="K218" s="3256"/>
      <c r="L218" s="3142" t="str">
        <f t="shared" si="31"/>
        <v/>
      </c>
      <c r="M218" s="3183"/>
      <c r="N218" s="3140">
        <f t="shared" si="25"/>
        <v>0</v>
      </c>
      <c r="O218" s="3140">
        <f t="shared" si="26"/>
        <v>0</v>
      </c>
      <c r="Q218" s="3184">
        <f t="shared" si="27"/>
        <v>0</v>
      </c>
      <c r="T218" s="3184">
        <f t="shared" si="28"/>
        <v>0</v>
      </c>
      <c r="U218" s="3184">
        <f t="shared" si="29"/>
        <v>0</v>
      </c>
      <c r="V218" s="3184">
        <f t="shared" si="30"/>
        <v>0</v>
      </c>
    </row>
    <row r="219" spans="1:22" hidden="1" x14ac:dyDescent="0.2">
      <c r="A219" s="3255">
        <f t="shared" si="15"/>
        <v>207</v>
      </c>
      <c r="B219" s="3256"/>
      <c r="C219" s="3257"/>
      <c r="D219" s="3258"/>
      <c r="E219" s="3257"/>
      <c r="F219" s="3256"/>
      <c r="G219" s="3614"/>
      <c r="H219" s="3256"/>
      <c r="I219" s="3256"/>
      <c r="J219" s="3256"/>
      <c r="K219" s="3256"/>
      <c r="L219" s="3142" t="str">
        <f t="shared" si="31"/>
        <v/>
      </c>
      <c r="M219" s="3183"/>
      <c r="N219" s="3140">
        <f t="shared" si="25"/>
        <v>0</v>
      </c>
      <c r="O219" s="3140">
        <f t="shared" si="26"/>
        <v>0</v>
      </c>
      <c r="Q219" s="3184">
        <f t="shared" si="27"/>
        <v>0</v>
      </c>
      <c r="T219" s="3184">
        <f t="shared" si="28"/>
        <v>0</v>
      </c>
      <c r="U219" s="3184">
        <f t="shared" si="29"/>
        <v>0</v>
      </c>
      <c r="V219" s="3184">
        <f t="shared" si="30"/>
        <v>0</v>
      </c>
    </row>
    <row r="220" spans="1:22" hidden="1" x14ac:dyDescent="0.2">
      <c r="A220" s="3255">
        <f t="shared" si="15"/>
        <v>208</v>
      </c>
      <c r="B220" s="3256"/>
      <c r="C220" s="3257"/>
      <c r="D220" s="3258"/>
      <c r="E220" s="3257"/>
      <c r="F220" s="3256"/>
      <c r="G220" s="3614"/>
      <c r="H220" s="3256"/>
      <c r="I220" s="3256"/>
      <c r="J220" s="3256"/>
      <c r="K220" s="3256"/>
      <c r="L220" s="3142" t="str">
        <f t="shared" si="31"/>
        <v/>
      </c>
      <c r="M220" s="3183"/>
      <c r="N220" s="3140">
        <f t="shared" si="25"/>
        <v>0</v>
      </c>
      <c r="O220" s="3140">
        <f t="shared" si="26"/>
        <v>0</v>
      </c>
      <c r="Q220" s="3184">
        <f t="shared" si="27"/>
        <v>0</v>
      </c>
      <c r="T220" s="3184">
        <f t="shared" si="28"/>
        <v>0</v>
      </c>
      <c r="U220" s="3184">
        <f t="shared" si="29"/>
        <v>0</v>
      </c>
      <c r="V220" s="3184">
        <f t="shared" si="30"/>
        <v>0</v>
      </c>
    </row>
    <row r="221" spans="1:22" hidden="1" x14ac:dyDescent="0.2">
      <c r="A221" s="3255">
        <f t="shared" si="15"/>
        <v>209</v>
      </c>
      <c r="B221" s="3256"/>
      <c r="C221" s="3257"/>
      <c r="D221" s="3258"/>
      <c r="E221" s="3257"/>
      <c r="F221" s="3256"/>
      <c r="G221" s="3614"/>
      <c r="H221" s="3256"/>
      <c r="I221" s="3256"/>
      <c r="J221" s="3256"/>
      <c r="K221" s="3256"/>
      <c r="L221" s="3142" t="str">
        <f t="shared" si="31"/>
        <v/>
      </c>
      <c r="M221" s="3183"/>
      <c r="N221" s="3140">
        <f t="shared" si="25"/>
        <v>0</v>
      </c>
      <c r="O221" s="3140">
        <f t="shared" si="26"/>
        <v>0</v>
      </c>
      <c r="Q221" s="3184">
        <f t="shared" si="27"/>
        <v>0</v>
      </c>
      <c r="T221" s="3184">
        <f t="shared" si="28"/>
        <v>0</v>
      </c>
      <c r="U221" s="3184">
        <f t="shared" si="29"/>
        <v>0</v>
      </c>
      <c r="V221" s="3184">
        <f t="shared" si="30"/>
        <v>0</v>
      </c>
    </row>
    <row r="222" spans="1:22" hidden="1" x14ac:dyDescent="0.2">
      <c r="A222" s="3255">
        <f t="shared" si="15"/>
        <v>210</v>
      </c>
      <c r="B222" s="3256"/>
      <c r="C222" s="3257"/>
      <c r="D222" s="3258"/>
      <c r="E222" s="3257"/>
      <c r="F222" s="3256"/>
      <c r="G222" s="3614"/>
      <c r="H222" s="3256"/>
      <c r="I222" s="3256"/>
      <c r="J222" s="3256"/>
      <c r="K222" s="3256"/>
      <c r="L222" s="3142" t="str">
        <f t="shared" si="31"/>
        <v/>
      </c>
      <c r="M222" s="3183"/>
      <c r="N222" s="3140">
        <f t="shared" si="25"/>
        <v>0</v>
      </c>
      <c r="O222" s="3140">
        <f t="shared" si="26"/>
        <v>0</v>
      </c>
      <c r="Q222" s="3184">
        <f t="shared" si="27"/>
        <v>0</v>
      </c>
      <c r="T222" s="3184">
        <f t="shared" si="28"/>
        <v>0</v>
      </c>
      <c r="U222" s="3184">
        <f t="shared" si="29"/>
        <v>0</v>
      </c>
      <c r="V222" s="3184">
        <f t="shared" si="30"/>
        <v>0</v>
      </c>
    </row>
    <row r="223" spans="1:22" hidden="1" x14ac:dyDescent="0.2">
      <c r="A223" s="3255">
        <f t="shared" si="15"/>
        <v>211</v>
      </c>
      <c r="B223" s="3256"/>
      <c r="C223" s="3257"/>
      <c r="D223" s="3258"/>
      <c r="E223" s="3257"/>
      <c r="F223" s="3256"/>
      <c r="G223" s="3614"/>
      <c r="H223" s="3256"/>
      <c r="I223" s="3256"/>
      <c r="J223" s="3256"/>
      <c r="K223" s="3256"/>
      <c r="L223" s="3142" t="str">
        <f t="shared" si="31"/>
        <v/>
      </c>
      <c r="M223" s="3183"/>
      <c r="N223" s="3140">
        <f t="shared" si="25"/>
        <v>0</v>
      </c>
      <c r="O223" s="3140">
        <f t="shared" si="26"/>
        <v>0</v>
      </c>
      <c r="Q223" s="3184">
        <f t="shared" si="27"/>
        <v>0</v>
      </c>
      <c r="T223" s="3184">
        <f t="shared" si="28"/>
        <v>0</v>
      </c>
      <c r="U223" s="3184">
        <f t="shared" si="29"/>
        <v>0</v>
      </c>
      <c r="V223" s="3184">
        <f t="shared" si="30"/>
        <v>0</v>
      </c>
    </row>
    <row r="224" spans="1:22" hidden="1" x14ac:dyDescent="0.2">
      <c r="A224" s="3255">
        <f t="shared" si="15"/>
        <v>212</v>
      </c>
      <c r="B224" s="3256"/>
      <c r="C224" s="3257"/>
      <c r="D224" s="3258"/>
      <c r="E224" s="3257"/>
      <c r="F224" s="3256"/>
      <c r="G224" s="3614"/>
      <c r="H224" s="3256"/>
      <c r="I224" s="3256"/>
      <c r="J224" s="3256"/>
      <c r="K224" s="3256"/>
      <c r="L224" s="3142" t="str">
        <f t="shared" si="31"/>
        <v/>
      </c>
      <c r="M224" s="3183"/>
      <c r="N224" s="3140">
        <f t="shared" si="25"/>
        <v>0</v>
      </c>
      <c r="O224" s="3140">
        <f t="shared" si="26"/>
        <v>0</v>
      </c>
      <c r="Q224" s="3184">
        <f t="shared" si="27"/>
        <v>0</v>
      </c>
      <c r="T224" s="3184">
        <f t="shared" si="28"/>
        <v>0</v>
      </c>
      <c r="U224" s="3184">
        <f t="shared" si="29"/>
        <v>0</v>
      </c>
      <c r="V224" s="3184">
        <f t="shared" si="30"/>
        <v>0</v>
      </c>
    </row>
    <row r="225" spans="1:22" hidden="1" x14ac:dyDescent="0.2">
      <c r="A225" s="3255">
        <f t="shared" si="15"/>
        <v>213</v>
      </c>
      <c r="B225" s="3256"/>
      <c r="C225" s="3257"/>
      <c r="D225" s="3258"/>
      <c r="E225" s="3257"/>
      <c r="F225" s="3256"/>
      <c r="G225" s="3614"/>
      <c r="H225" s="3256"/>
      <c r="I225" s="3256"/>
      <c r="J225" s="3256"/>
      <c r="K225" s="3256"/>
      <c r="L225" s="3142" t="str">
        <f t="shared" si="31"/>
        <v/>
      </c>
      <c r="M225" s="3183"/>
      <c r="N225" s="3140">
        <f t="shared" si="25"/>
        <v>0</v>
      </c>
      <c r="O225" s="3140">
        <f t="shared" si="26"/>
        <v>0</v>
      </c>
      <c r="Q225" s="3184">
        <f t="shared" si="27"/>
        <v>0</v>
      </c>
      <c r="T225" s="3184">
        <f t="shared" si="28"/>
        <v>0</v>
      </c>
      <c r="U225" s="3184">
        <f t="shared" si="29"/>
        <v>0</v>
      </c>
      <c r="V225" s="3184">
        <f t="shared" si="30"/>
        <v>0</v>
      </c>
    </row>
    <row r="226" spans="1:22" hidden="1" x14ac:dyDescent="0.2">
      <c r="A226" s="3255">
        <f t="shared" si="15"/>
        <v>214</v>
      </c>
      <c r="B226" s="3256"/>
      <c r="C226" s="3257"/>
      <c r="D226" s="3258"/>
      <c r="E226" s="3257"/>
      <c r="F226" s="3256"/>
      <c r="G226" s="3614"/>
      <c r="H226" s="3256"/>
      <c r="I226" s="3256"/>
      <c r="J226" s="3256"/>
      <c r="K226" s="3256"/>
      <c r="L226" s="3142" t="str">
        <f t="shared" si="31"/>
        <v/>
      </c>
      <c r="M226" s="3183"/>
      <c r="N226" s="3140">
        <f t="shared" si="25"/>
        <v>0</v>
      </c>
      <c r="O226" s="3140">
        <f t="shared" si="26"/>
        <v>0</v>
      </c>
      <c r="Q226" s="3184">
        <f t="shared" si="27"/>
        <v>0</v>
      </c>
      <c r="T226" s="3184">
        <f t="shared" si="28"/>
        <v>0</v>
      </c>
      <c r="U226" s="3184">
        <f t="shared" si="29"/>
        <v>0</v>
      </c>
      <c r="V226" s="3184">
        <f t="shared" si="30"/>
        <v>0</v>
      </c>
    </row>
    <row r="227" spans="1:22" hidden="1" x14ac:dyDescent="0.2">
      <c r="A227" s="3255">
        <f t="shared" si="15"/>
        <v>215</v>
      </c>
      <c r="B227" s="3256"/>
      <c r="C227" s="3257"/>
      <c r="D227" s="3258"/>
      <c r="E227" s="3257"/>
      <c r="F227" s="3256"/>
      <c r="G227" s="3614"/>
      <c r="H227" s="3256"/>
      <c r="I227" s="3256"/>
      <c r="J227" s="3256"/>
      <c r="K227" s="3256"/>
      <c r="L227" s="3142" t="str">
        <f t="shared" si="31"/>
        <v/>
      </c>
      <c r="M227" s="3183"/>
      <c r="N227" s="3140">
        <f t="shared" si="25"/>
        <v>0</v>
      </c>
      <c r="O227" s="3140">
        <f t="shared" si="26"/>
        <v>0</v>
      </c>
      <c r="Q227" s="3184">
        <f t="shared" si="27"/>
        <v>0</v>
      </c>
      <c r="T227" s="3184">
        <f t="shared" si="28"/>
        <v>0</v>
      </c>
      <c r="U227" s="3184">
        <f t="shared" si="29"/>
        <v>0</v>
      </c>
      <c r="V227" s="3184">
        <f t="shared" si="30"/>
        <v>0</v>
      </c>
    </row>
    <row r="228" spans="1:22" hidden="1" x14ac:dyDescent="0.2">
      <c r="A228" s="3255">
        <f t="shared" si="15"/>
        <v>216</v>
      </c>
      <c r="B228" s="3256"/>
      <c r="C228" s="3257"/>
      <c r="D228" s="3258"/>
      <c r="E228" s="3257"/>
      <c r="F228" s="3256"/>
      <c r="G228" s="3614"/>
      <c r="H228" s="3256"/>
      <c r="I228" s="3256"/>
      <c r="J228" s="3256"/>
      <c r="K228" s="3256"/>
      <c r="L228" s="3142" t="str">
        <f t="shared" si="31"/>
        <v/>
      </c>
      <c r="M228" s="3183"/>
      <c r="N228" s="3140">
        <f t="shared" si="25"/>
        <v>0</v>
      </c>
      <c r="O228" s="3140">
        <f t="shared" si="26"/>
        <v>0</v>
      </c>
      <c r="Q228" s="3184">
        <f t="shared" si="27"/>
        <v>0</v>
      </c>
      <c r="T228" s="3184">
        <f t="shared" si="28"/>
        <v>0</v>
      </c>
      <c r="U228" s="3184">
        <f t="shared" si="29"/>
        <v>0</v>
      </c>
      <c r="V228" s="3184">
        <f t="shared" si="30"/>
        <v>0</v>
      </c>
    </row>
    <row r="229" spans="1:22" hidden="1" x14ac:dyDescent="0.2">
      <c r="A229" s="3255">
        <f t="shared" si="15"/>
        <v>217</v>
      </c>
      <c r="B229" s="3256"/>
      <c r="C229" s="3257"/>
      <c r="D229" s="3258"/>
      <c r="E229" s="3257"/>
      <c r="F229" s="3256"/>
      <c r="G229" s="3614"/>
      <c r="H229" s="3256"/>
      <c r="I229" s="3256"/>
      <c r="J229" s="3256"/>
      <c r="K229" s="3256"/>
      <c r="L229" s="3142" t="str">
        <f t="shared" si="31"/>
        <v/>
      </c>
      <c r="M229" s="3183"/>
      <c r="N229" s="3140">
        <f t="shared" ref="N229:N292" si="32">COUNTA(B229:H229)</f>
      </c>
      <c r="O229" s="3140">
        <f t="shared" ref="O229:O292" si="33">IF(L229&lt;&gt;"",1,0)</f>
      </c>
      <c r="Q229" s="3184">
        <f t="shared" ref="Q229:Q292" si="34">IF(K229="yes",1,0)</f>
      </c>
      <c r="T229" s="3184">
        <f t="shared" ref="T229:T292" si="35">IF(N229=0,0,IF(OR(H229=$Y$17,H229=$Y$19),0,1))</f>
      </c>
      <c r="U229" s="3184">
        <f t="shared" ref="U229:U292" si="36">IF(AND(T229=1,I229="no"),1,0)</f>
      </c>
      <c r="V229" s="3184">
        <f t="shared" ref="V229:V292" si="37">IF(AND(U229=1,J229="yes"),1,0)</f>
      </c>
    </row>
    <row r="230" spans="1:22" hidden="1" x14ac:dyDescent="0.2">
      <c r="A230" s="3255">
        <f t="shared" si="15"/>
        <v>218</v>
      </c>
      <c r="B230" s="3256"/>
      <c r="C230" s="3257"/>
      <c r="D230" s="3258"/>
      <c r="E230" s="3257"/>
      <c r="F230" s="3256"/>
      <c r="G230" s="3614"/>
      <c r="H230" s="3256"/>
      <c r="I230" s="3256"/>
      <c r="J230" s="3256"/>
      <c r="K230" s="3256"/>
      <c r="L230" s="3142" t="str">
        <f t="shared" si="31"/>
        <v/>
      </c>
      <c r="M230" s="3183"/>
      <c r="N230" s="3140">
        <f t="shared" si="32"/>
        <v>0</v>
      </c>
      <c r="O230" s="3140">
        <f t="shared" si="33"/>
        <v>0</v>
      </c>
      <c r="Q230" s="3184">
        <f t="shared" si="34"/>
        <v>0</v>
      </c>
      <c r="T230" s="3184">
        <f t="shared" si="35"/>
        <v>0</v>
      </c>
      <c r="U230" s="3184">
        <f t="shared" si="36"/>
        <v>0</v>
      </c>
      <c r="V230" s="3184">
        <f t="shared" si="37"/>
        <v>0</v>
      </c>
    </row>
    <row r="231" spans="1:22" hidden="1" x14ac:dyDescent="0.2">
      <c r="A231" s="3255">
        <f t="shared" si="15"/>
        <v>219</v>
      </c>
      <c r="B231" s="3256"/>
      <c r="C231" s="3257"/>
      <c r="D231" s="3258"/>
      <c r="E231" s="3257"/>
      <c r="F231" s="3256"/>
      <c r="G231" s="3614"/>
      <c r="H231" s="3256"/>
      <c r="I231" s="3256"/>
      <c r="J231" s="3256"/>
      <c r="K231" s="3256"/>
      <c r="L231" s="3142" t="str">
        <f t="shared" si="31"/>
        <v/>
      </c>
      <c r="M231" s="3183"/>
      <c r="N231" s="3140">
        <f t="shared" si="32"/>
        <v>0</v>
      </c>
      <c r="O231" s="3140">
        <f t="shared" si="33"/>
        <v>0</v>
      </c>
      <c r="Q231" s="3184">
        <f t="shared" si="34"/>
        <v>0</v>
      </c>
      <c r="T231" s="3184">
        <f t="shared" si="35"/>
        <v>0</v>
      </c>
      <c r="U231" s="3184">
        <f t="shared" si="36"/>
        <v>0</v>
      </c>
      <c r="V231" s="3184">
        <f t="shared" si="37"/>
        <v>0</v>
      </c>
    </row>
    <row r="232" spans="1:22" hidden="1" x14ac:dyDescent="0.2">
      <c r="A232" s="3255">
        <f t="shared" si="15"/>
        <v>220</v>
      </c>
      <c r="B232" s="3256"/>
      <c r="C232" s="3257"/>
      <c r="D232" s="3258"/>
      <c r="E232" s="3257"/>
      <c r="F232" s="3256"/>
      <c r="G232" s="3614"/>
      <c r="H232" s="3256"/>
      <c r="I232" s="3256"/>
      <c r="J232" s="3256"/>
      <c r="K232" s="3256"/>
      <c r="L232" s="3142" t="str">
        <f t="shared" si="31"/>
        <v/>
      </c>
      <c r="M232" s="3183"/>
      <c r="N232" s="3140">
        <f t="shared" si="32"/>
        <v>0</v>
      </c>
      <c r="O232" s="3140">
        <f t="shared" si="33"/>
        <v>0</v>
      </c>
      <c r="Q232" s="3184">
        <f t="shared" si="34"/>
        <v>0</v>
      </c>
      <c r="T232" s="3184">
        <f t="shared" si="35"/>
        <v>0</v>
      </c>
      <c r="U232" s="3184">
        <f t="shared" si="36"/>
        <v>0</v>
      </c>
      <c r="V232" s="3184">
        <f t="shared" si="37"/>
        <v>0</v>
      </c>
    </row>
    <row r="233" spans="1:22" hidden="1" x14ac:dyDescent="0.2">
      <c r="A233" s="3255">
        <f t="shared" si="15"/>
        <v>221</v>
      </c>
      <c r="B233" s="3256"/>
      <c r="C233" s="3257"/>
      <c r="D233" s="3258"/>
      <c r="E233" s="3257"/>
      <c r="F233" s="3256"/>
      <c r="G233" s="3614"/>
      <c r="H233" s="3256"/>
      <c r="I233" s="3256"/>
      <c r="J233" s="3256"/>
      <c r="K233" s="3256"/>
      <c r="L233" s="3142" t="str">
        <f t="shared" si="31"/>
        <v/>
      </c>
      <c r="M233" s="3183"/>
      <c r="N233" s="3140">
        <f t="shared" si="32"/>
        <v>0</v>
      </c>
      <c r="O233" s="3140">
        <f t="shared" si="33"/>
        <v>0</v>
      </c>
      <c r="Q233" s="3184">
        <f t="shared" si="34"/>
        <v>0</v>
      </c>
      <c r="T233" s="3184">
        <f t="shared" si="35"/>
        <v>0</v>
      </c>
      <c r="U233" s="3184">
        <f t="shared" si="36"/>
        <v>0</v>
      </c>
      <c r="V233" s="3184">
        <f t="shared" si="37"/>
        <v>0</v>
      </c>
    </row>
    <row r="234" spans="1:22" hidden="1" x14ac:dyDescent="0.2">
      <c r="A234" s="3255">
        <f t="shared" si="15"/>
        <v>222</v>
      </c>
      <c r="B234" s="3256"/>
      <c r="C234" s="3257"/>
      <c r="D234" s="3258"/>
      <c r="E234" s="3257"/>
      <c r="F234" s="3256"/>
      <c r="G234" s="3614"/>
      <c r="H234" s="3256"/>
      <c r="I234" s="3256"/>
      <c r="J234" s="3256"/>
      <c r="K234" s="3256"/>
      <c r="L234" s="3142" t="str">
        <f t="shared" si="31"/>
        <v/>
      </c>
      <c r="M234" s="3183"/>
      <c r="N234" s="3140">
        <f t="shared" si="32"/>
        <v>0</v>
      </c>
      <c r="O234" s="3140">
        <f t="shared" si="33"/>
        <v>0</v>
      </c>
      <c r="Q234" s="3184">
        <f t="shared" si="34"/>
        <v>0</v>
      </c>
      <c r="T234" s="3184">
        <f t="shared" si="35"/>
        <v>0</v>
      </c>
      <c r="U234" s="3184">
        <f t="shared" si="36"/>
        <v>0</v>
      </c>
      <c r="V234" s="3184">
        <f t="shared" si="37"/>
        <v>0</v>
      </c>
    </row>
    <row r="235" spans="1:22" hidden="1" x14ac:dyDescent="0.2">
      <c r="A235" s="3255">
        <f t="shared" si="15"/>
        <v>223</v>
      </c>
      <c r="B235" s="3256"/>
      <c r="C235" s="3257"/>
      <c r="D235" s="3258"/>
      <c r="E235" s="3257"/>
      <c r="F235" s="3256"/>
      <c r="G235" s="3614"/>
      <c r="H235" s="3256"/>
      <c r="I235" s="3256"/>
      <c r="J235" s="3256"/>
      <c r="K235" s="3256"/>
      <c r="L235" s="3142" t="str">
        <f t="shared" si="31"/>
        <v/>
      </c>
      <c r="M235" s="3183"/>
      <c r="N235" s="3140">
        <f t="shared" si="32"/>
        <v>0</v>
      </c>
      <c r="O235" s="3140">
        <f t="shared" si="33"/>
        <v>0</v>
      </c>
      <c r="Q235" s="3184">
        <f t="shared" si="34"/>
        <v>0</v>
      </c>
      <c r="T235" s="3184">
        <f t="shared" si="35"/>
        <v>0</v>
      </c>
      <c r="U235" s="3184">
        <f t="shared" si="36"/>
        <v>0</v>
      </c>
      <c r="V235" s="3184">
        <f t="shared" si="37"/>
        <v>0</v>
      </c>
    </row>
    <row r="236" spans="1:22" hidden="1" x14ac:dyDescent="0.2">
      <c r="A236" s="3255">
        <f t="shared" si="15"/>
        <v>224</v>
      </c>
      <c r="B236" s="3256"/>
      <c r="C236" s="3257"/>
      <c r="D236" s="3258"/>
      <c r="E236" s="3257"/>
      <c r="F236" s="3256"/>
      <c r="G236" s="3614"/>
      <c r="H236" s="3256"/>
      <c r="I236" s="3256"/>
      <c r="J236" s="3256"/>
      <c r="K236" s="3256"/>
      <c r="L236" s="3142" t="str">
        <f t="shared" si="31"/>
        <v/>
      </c>
      <c r="M236" s="3183"/>
      <c r="N236" s="3140">
        <f t="shared" si="32"/>
        <v>0</v>
      </c>
      <c r="O236" s="3140">
        <f t="shared" si="33"/>
        <v>0</v>
      </c>
      <c r="Q236" s="3184">
        <f t="shared" si="34"/>
        <v>0</v>
      </c>
      <c r="T236" s="3184">
        <f t="shared" si="35"/>
        <v>0</v>
      </c>
      <c r="U236" s="3184">
        <f t="shared" si="36"/>
        <v>0</v>
      </c>
      <c r="V236" s="3184">
        <f t="shared" si="37"/>
        <v>0</v>
      </c>
    </row>
    <row r="237" spans="1:22" hidden="1" x14ac:dyDescent="0.2">
      <c r="A237" s="3255">
        <f t="shared" si="15"/>
        <v>225</v>
      </c>
      <c r="B237" s="3256"/>
      <c r="C237" s="3257"/>
      <c r="D237" s="3258"/>
      <c r="E237" s="3257"/>
      <c r="F237" s="3256"/>
      <c r="G237" s="3614"/>
      <c r="H237" s="3256"/>
      <c r="I237" s="3256"/>
      <c r="J237" s="3256"/>
      <c r="K237" s="3256"/>
      <c r="L237" s="3142" t="str">
        <f t="shared" si="31"/>
        <v/>
      </c>
      <c r="M237" s="3183"/>
      <c r="N237" s="3140">
        <f t="shared" si="32"/>
        <v>0</v>
      </c>
      <c r="O237" s="3140">
        <f t="shared" si="33"/>
        <v>0</v>
      </c>
      <c r="Q237" s="3184">
        <f t="shared" si="34"/>
        <v>0</v>
      </c>
      <c r="T237" s="3184">
        <f t="shared" si="35"/>
        <v>0</v>
      </c>
      <c r="U237" s="3184">
        <f t="shared" si="36"/>
        <v>0</v>
      </c>
      <c r="V237" s="3184">
        <f t="shared" si="37"/>
        <v>0</v>
      </c>
    </row>
    <row r="238" spans="1:22" hidden="1" x14ac:dyDescent="0.2">
      <c r="A238" s="3255">
        <f t="shared" si="15"/>
        <v>226</v>
      </c>
      <c r="B238" s="3256"/>
      <c r="C238" s="3257"/>
      <c r="D238" s="3258"/>
      <c r="E238" s="3257"/>
      <c r="F238" s="3256"/>
      <c r="G238" s="3614"/>
      <c r="H238" s="3256"/>
      <c r="I238" s="3256"/>
      <c r="J238" s="3256"/>
      <c r="K238" s="3256"/>
      <c r="L238" s="3142" t="str">
        <f t="shared" si="31"/>
        <v/>
      </c>
      <c r="M238" s="3183"/>
      <c r="N238" s="3140">
        <f t="shared" si="32"/>
        <v>0</v>
      </c>
      <c r="O238" s="3140">
        <f t="shared" si="33"/>
        <v>0</v>
      </c>
      <c r="Q238" s="3184">
        <f t="shared" si="34"/>
        <v>0</v>
      </c>
      <c r="T238" s="3184">
        <f t="shared" si="35"/>
        <v>0</v>
      </c>
      <c r="U238" s="3184">
        <f t="shared" si="36"/>
        <v>0</v>
      </c>
      <c r="V238" s="3184">
        <f t="shared" si="37"/>
        <v>0</v>
      </c>
    </row>
    <row r="239" spans="1:22" hidden="1" x14ac:dyDescent="0.2">
      <c r="A239" s="3255">
        <f t="shared" si="15"/>
        <v>227</v>
      </c>
      <c r="B239" s="3256"/>
      <c r="C239" s="3257"/>
      <c r="D239" s="3258"/>
      <c r="E239" s="3257"/>
      <c r="F239" s="3256"/>
      <c r="G239" s="3614"/>
      <c r="H239" s="3256"/>
      <c r="I239" s="3256"/>
      <c r="J239" s="3256"/>
      <c r="K239" s="3256"/>
      <c r="L239" s="3142" t="str">
        <f t="shared" si="31"/>
        <v/>
      </c>
      <c r="M239" s="3183"/>
      <c r="N239" s="3140">
        <f t="shared" si="32"/>
        <v>0</v>
      </c>
      <c r="O239" s="3140">
        <f t="shared" si="33"/>
        <v>0</v>
      </c>
      <c r="Q239" s="3184">
        <f t="shared" si="34"/>
        <v>0</v>
      </c>
      <c r="T239" s="3184">
        <f t="shared" si="35"/>
        <v>0</v>
      </c>
      <c r="U239" s="3184">
        <f t="shared" si="36"/>
        <v>0</v>
      </c>
      <c r="V239" s="3184">
        <f t="shared" si="37"/>
        <v>0</v>
      </c>
    </row>
    <row r="240" spans="1:22" hidden="1" x14ac:dyDescent="0.2">
      <c r="A240" s="3255">
        <f t="shared" si="15"/>
        <v>228</v>
      </c>
      <c r="B240" s="3256"/>
      <c r="C240" s="3257"/>
      <c r="D240" s="3258"/>
      <c r="E240" s="3257"/>
      <c r="F240" s="3256"/>
      <c r="G240" s="3614"/>
      <c r="H240" s="3256"/>
      <c r="I240" s="3256"/>
      <c r="J240" s="3256"/>
      <c r="K240" s="3256"/>
      <c r="L240" s="3142" t="str">
        <f t="shared" si="31"/>
        <v/>
      </c>
      <c r="M240" s="3183"/>
      <c r="N240" s="3140">
        <f t="shared" si="32"/>
        <v>0</v>
      </c>
      <c r="O240" s="3140">
        <f t="shared" si="33"/>
        <v>0</v>
      </c>
      <c r="Q240" s="3184">
        <f t="shared" si="34"/>
        <v>0</v>
      </c>
      <c r="T240" s="3184">
        <f t="shared" si="35"/>
        <v>0</v>
      </c>
      <c r="U240" s="3184">
        <f t="shared" si="36"/>
        <v>0</v>
      </c>
      <c r="V240" s="3184">
        <f t="shared" si="37"/>
        <v>0</v>
      </c>
    </row>
    <row r="241" spans="1:22" hidden="1" x14ac:dyDescent="0.2">
      <c r="A241" s="3255">
        <f t="shared" si="15"/>
        <v>229</v>
      </c>
      <c r="B241" s="3256"/>
      <c r="C241" s="3257"/>
      <c r="D241" s="3258"/>
      <c r="E241" s="3257"/>
      <c r="F241" s="3256"/>
      <c r="G241" s="3614"/>
      <c r="H241" s="3256"/>
      <c r="I241" s="3256"/>
      <c r="J241" s="3256"/>
      <c r="K241" s="3256"/>
      <c r="L241" s="3142" t="str">
        <f t="shared" si="31"/>
        <v/>
      </c>
      <c r="M241" s="3183"/>
      <c r="N241" s="3140">
        <f t="shared" si="32"/>
        <v>0</v>
      </c>
      <c r="O241" s="3140">
        <f t="shared" si="33"/>
        <v>0</v>
      </c>
      <c r="Q241" s="3184">
        <f t="shared" si="34"/>
        <v>0</v>
      </c>
      <c r="T241" s="3184">
        <f t="shared" si="35"/>
        <v>0</v>
      </c>
      <c r="U241" s="3184">
        <f t="shared" si="36"/>
        <v>0</v>
      </c>
      <c r="V241" s="3184">
        <f t="shared" si="37"/>
        <v>0</v>
      </c>
    </row>
    <row r="242" spans="1:22" hidden="1" x14ac:dyDescent="0.2">
      <c r="A242" s="3255">
        <f t="shared" si="15"/>
        <v>230</v>
      </c>
      <c r="B242" s="3256"/>
      <c r="C242" s="3257"/>
      <c r="D242" s="3258"/>
      <c r="E242" s="3257"/>
      <c r="F242" s="3256"/>
      <c r="G242" s="3614"/>
      <c r="H242" s="3256"/>
      <c r="I242" s="3256"/>
      <c r="J242" s="3256"/>
      <c r="K242" s="3256"/>
      <c r="L242" s="3142" t="str">
        <f t="shared" si="31"/>
        <v/>
      </c>
      <c r="M242" s="3183"/>
      <c r="N242" s="3140">
        <f t="shared" si="32"/>
        <v>0</v>
      </c>
      <c r="O242" s="3140">
        <f t="shared" si="33"/>
        <v>0</v>
      </c>
      <c r="Q242" s="3184">
        <f t="shared" si="34"/>
        <v>0</v>
      </c>
      <c r="T242" s="3184">
        <f t="shared" si="35"/>
        <v>0</v>
      </c>
      <c r="U242" s="3184">
        <f t="shared" si="36"/>
        <v>0</v>
      </c>
      <c r="V242" s="3184">
        <f t="shared" si="37"/>
        <v>0</v>
      </c>
    </row>
    <row r="243" spans="1:22" hidden="1" x14ac:dyDescent="0.2">
      <c r="A243" s="3255">
        <f t="shared" si="15"/>
        <v>231</v>
      </c>
      <c r="B243" s="3256"/>
      <c r="C243" s="3257"/>
      <c r="D243" s="3258"/>
      <c r="E243" s="3257"/>
      <c r="F243" s="3256"/>
      <c r="G243" s="3614"/>
      <c r="H243" s="3256"/>
      <c r="I243" s="3256"/>
      <c r="J243" s="3256"/>
      <c r="K243" s="3256"/>
      <c r="L243" s="3142" t="str">
        <f t="shared" si="31"/>
        <v/>
      </c>
      <c r="M243" s="3183"/>
      <c r="N243" s="3140">
        <f t="shared" si="32"/>
        <v>0</v>
      </c>
      <c r="O243" s="3140">
        <f t="shared" si="33"/>
        <v>0</v>
      </c>
      <c r="Q243" s="3184">
        <f t="shared" si="34"/>
        <v>0</v>
      </c>
      <c r="T243" s="3184">
        <f t="shared" si="35"/>
        <v>0</v>
      </c>
      <c r="U243" s="3184">
        <f t="shared" si="36"/>
        <v>0</v>
      </c>
      <c r="V243" s="3184">
        <f t="shared" si="37"/>
        <v>0</v>
      </c>
    </row>
    <row r="244" spans="1:22" hidden="1" x14ac:dyDescent="0.2">
      <c r="A244" s="3255">
        <f t="shared" si="15"/>
        <v>232</v>
      </c>
      <c r="B244" s="3256"/>
      <c r="C244" s="3257"/>
      <c r="D244" s="3258"/>
      <c r="E244" s="3257"/>
      <c r="F244" s="3256"/>
      <c r="G244" s="3614"/>
      <c r="H244" s="3256"/>
      <c r="I244" s="3256"/>
      <c r="J244" s="3256"/>
      <c r="K244" s="3256"/>
      <c r="L244" s="3142" t="str">
        <f t="shared" si="31"/>
        <v/>
      </c>
      <c r="M244" s="3183"/>
      <c r="N244" s="3140">
        <f t="shared" si="32"/>
        <v>0</v>
      </c>
      <c r="O244" s="3140">
        <f t="shared" si="33"/>
        <v>0</v>
      </c>
      <c r="Q244" s="3184">
        <f t="shared" si="34"/>
        <v>0</v>
      </c>
      <c r="T244" s="3184">
        <f t="shared" si="35"/>
        <v>0</v>
      </c>
      <c r="U244" s="3184">
        <f t="shared" si="36"/>
        <v>0</v>
      </c>
      <c r="V244" s="3184">
        <f t="shared" si="37"/>
        <v>0</v>
      </c>
    </row>
    <row r="245" spans="1:22" hidden="1" x14ac:dyDescent="0.2">
      <c r="A245" s="3255">
        <f t="shared" si="15"/>
        <v>233</v>
      </c>
      <c r="B245" s="3256"/>
      <c r="C245" s="3257"/>
      <c r="D245" s="3258"/>
      <c r="E245" s="3257"/>
      <c r="F245" s="3256"/>
      <c r="G245" s="3614"/>
      <c r="H245" s="3256"/>
      <c r="I245" s="3256"/>
      <c r="J245" s="3256"/>
      <c r="K245" s="3256"/>
      <c r="L245" s="3142" t="str">
        <f t="shared" si="31"/>
        <v/>
      </c>
      <c r="M245" s="3183"/>
      <c r="N245" s="3140">
        <f t="shared" si="32"/>
        <v>0</v>
      </c>
      <c r="O245" s="3140">
        <f t="shared" si="33"/>
        <v>0</v>
      </c>
      <c r="Q245" s="3184">
        <f t="shared" si="34"/>
        <v>0</v>
      </c>
      <c r="T245" s="3184">
        <f t="shared" si="35"/>
        <v>0</v>
      </c>
      <c r="U245" s="3184">
        <f t="shared" si="36"/>
        <v>0</v>
      </c>
      <c r="V245" s="3184">
        <f t="shared" si="37"/>
        <v>0</v>
      </c>
    </row>
    <row r="246" spans="1:22" hidden="1" x14ac:dyDescent="0.2">
      <c r="A246" s="3255">
        <f t="shared" si="15"/>
        <v>234</v>
      </c>
      <c r="B246" s="3256"/>
      <c r="C246" s="3257"/>
      <c r="D246" s="3258"/>
      <c r="E246" s="3257"/>
      <c r="F246" s="3256"/>
      <c r="G246" s="3614"/>
      <c r="H246" s="3256"/>
      <c r="I246" s="3256"/>
      <c r="J246" s="3256"/>
      <c r="K246" s="3256"/>
      <c r="L246" s="3142" t="str">
        <f t="shared" si="31"/>
        <v/>
      </c>
      <c r="M246" s="3183"/>
      <c r="N246" s="3140">
        <f t="shared" si="32"/>
        <v>0</v>
      </c>
      <c r="O246" s="3140">
        <f t="shared" si="33"/>
        <v>0</v>
      </c>
      <c r="Q246" s="3184">
        <f t="shared" si="34"/>
        <v>0</v>
      </c>
      <c r="T246" s="3184">
        <f t="shared" si="35"/>
        <v>0</v>
      </c>
      <c r="U246" s="3184">
        <f t="shared" si="36"/>
        <v>0</v>
      </c>
      <c r="V246" s="3184">
        <f t="shared" si="37"/>
        <v>0</v>
      </c>
    </row>
    <row r="247" spans="1:22" hidden="1" x14ac:dyDescent="0.2">
      <c r="A247" s="3255">
        <f t="shared" si="15"/>
        <v>235</v>
      </c>
      <c r="B247" s="3256"/>
      <c r="C247" s="3257"/>
      <c r="D247" s="3258"/>
      <c r="E247" s="3257"/>
      <c r="F247" s="3256"/>
      <c r="G247" s="3614"/>
      <c r="H247" s="3256"/>
      <c r="I247" s="3256"/>
      <c r="J247" s="3256"/>
      <c r="K247" s="3256"/>
      <c r="L247" s="3142" t="str">
        <f t="shared" si="31"/>
        <v/>
      </c>
      <c r="M247" s="3183"/>
      <c r="N247" s="3140">
        <f t="shared" si="32"/>
        <v>0</v>
      </c>
      <c r="O247" s="3140">
        <f t="shared" si="33"/>
        <v>0</v>
      </c>
      <c r="Q247" s="3184">
        <f t="shared" si="34"/>
        <v>0</v>
      </c>
      <c r="T247" s="3184">
        <f t="shared" si="35"/>
        <v>0</v>
      </c>
      <c r="U247" s="3184">
        <f t="shared" si="36"/>
        <v>0</v>
      </c>
      <c r="V247" s="3184">
        <f t="shared" si="37"/>
        <v>0</v>
      </c>
    </row>
    <row r="248" spans="1:22" hidden="1" x14ac:dyDescent="0.2">
      <c r="A248" s="3255">
        <f t="shared" si="15"/>
        <v>236</v>
      </c>
      <c r="B248" s="3256"/>
      <c r="C248" s="3257"/>
      <c r="D248" s="3258"/>
      <c r="E248" s="3257"/>
      <c r="F248" s="3256"/>
      <c r="G248" s="3614"/>
      <c r="H248" s="3256"/>
      <c r="I248" s="3256"/>
      <c r="J248" s="3256"/>
      <c r="K248" s="3256"/>
      <c r="L248" s="3142" t="str">
        <f t="shared" si="31"/>
        <v/>
      </c>
      <c r="M248" s="3183"/>
      <c r="N248" s="3140">
        <f t="shared" si="32"/>
        <v>0</v>
      </c>
      <c r="O248" s="3140">
        <f t="shared" si="33"/>
        <v>0</v>
      </c>
      <c r="Q248" s="3184">
        <f t="shared" si="34"/>
        <v>0</v>
      </c>
      <c r="T248" s="3184">
        <f t="shared" si="35"/>
        <v>0</v>
      </c>
      <c r="U248" s="3184">
        <f t="shared" si="36"/>
        <v>0</v>
      </c>
      <c r="V248" s="3184">
        <f t="shared" si="37"/>
        <v>0</v>
      </c>
    </row>
    <row r="249" spans="1:22" hidden="1" x14ac:dyDescent="0.2">
      <c r="A249" s="3255">
        <f t="shared" si="15"/>
        <v>237</v>
      </c>
      <c r="B249" s="3256"/>
      <c r="C249" s="3257"/>
      <c r="D249" s="3258"/>
      <c r="E249" s="3257"/>
      <c r="F249" s="3256"/>
      <c r="G249" s="3614"/>
      <c r="H249" s="3256"/>
      <c r="I249" s="3256"/>
      <c r="J249" s="3256"/>
      <c r="K249" s="3256"/>
      <c r="L249" s="3142" t="str">
        <f t="shared" si="31"/>
        <v/>
      </c>
      <c r="M249" s="3183"/>
      <c r="N249" s="3140">
        <f t="shared" si="32"/>
        <v>0</v>
      </c>
      <c r="O249" s="3140">
        <f t="shared" si="33"/>
        <v>0</v>
      </c>
      <c r="Q249" s="3184">
        <f t="shared" si="34"/>
        <v>0</v>
      </c>
      <c r="T249" s="3184">
        <f t="shared" si="35"/>
        <v>0</v>
      </c>
      <c r="U249" s="3184">
        <f t="shared" si="36"/>
        <v>0</v>
      </c>
      <c r="V249" s="3184">
        <f t="shared" si="37"/>
        <v>0</v>
      </c>
    </row>
    <row r="250" spans="1:22" hidden="1" x14ac:dyDescent="0.2">
      <c r="A250" s="3255">
        <f t="shared" si="15"/>
        <v>238</v>
      </c>
      <c r="B250" s="3256"/>
      <c r="C250" s="3257"/>
      <c r="D250" s="3258"/>
      <c r="E250" s="3257"/>
      <c r="F250" s="3256"/>
      <c r="G250" s="3614"/>
      <c r="H250" s="3256"/>
      <c r="I250" s="3256"/>
      <c r="J250" s="3256"/>
      <c r="K250" s="3256"/>
      <c r="L250" s="3142" t="str">
        <f t="shared" si="31"/>
        <v/>
      </c>
      <c r="M250" s="3183"/>
      <c r="N250" s="3140">
        <f t="shared" si="32"/>
        <v>0</v>
      </c>
      <c r="O250" s="3140">
        <f t="shared" si="33"/>
        <v>0</v>
      </c>
      <c r="Q250" s="3184">
        <f t="shared" si="34"/>
        <v>0</v>
      </c>
      <c r="T250" s="3184">
        <f t="shared" si="35"/>
        <v>0</v>
      </c>
      <c r="U250" s="3184">
        <f t="shared" si="36"/>
        <v>0</v>
      </c>
      <c r="V250" s="3184">
        <f t="shared" si="37"/>
        <v>0</v>
      </c>
    </row>
    <row r="251" spans="1:22" hidden="1" x14ac:dyDescent="0.2">
      <c r="A251" s="3255">
        <f t="shared" si="15"/>
        <v>239</v>
      </c>
      <c r="B251" s="3256"/>
      <c r="C251" s="3257"/>
      <c r="D251" s="3258"/>
      <c r="E251" s="3257"/>
      <c r="F251" s="3256"/>
      <c r="G251" s="3614"/>
      <c r="H251" s="3256"/>
      <c r="I251" s="3256"/>
      <c r="J251" s="3256"/>
      <c r="K251" s="3256"/>
      <c r="L251" s="3142" t="str">
        <f t="shared" si="31"/>
        <v/>
      </c>
      <c r="M251" s="3183"/>
      <c r="N251" s="3140">
        <f t="shared" si="32"/>
        <v>0</v>
      </c>
      <c r="O251" s="3140">
        <f t="shared" si="33"/>
        <v>0</v>
      </c>
      <c r="Q251" s="3184">
        <f t="shared" si="34"/>
        <v>0</v>
      </c>
      <c r="T251" s="3184">
        <f t="shared" si="35"/>
        <v>0</v>
      </c>
      <c r="U251" s="3184">
        <f t="shared" si="36"/>
        <v>0</v>
      </c>
      <c r="V251" s="3184">
        <f t="shared" si="37"/>
        <v>0</v>
      </c>
    </row>
    <row r="252" spans="1:22" hidden="1" x14ac:dyDescent="0.2">
      <c r="A252" s="3255">
        <f t="shared" si="15"/>
        <v>240</v>
      </c>
      <c r="B252" s="3256"/>
      <c r="C252" s="3257"/>
      <c r="D252" s="3258"/>
      <c r="E252" s="3257"/>
      <c r="F252" s="3256"/>
      <c r="G252" s="3614"/>
      <c r="H252" s="3256"/>
      <c r="I252" s="3256"/>
      <c r="J252" s="3256"/>
      <c r="K252" s="3256"/>
      <c r="L252" s="3142" t="str">
        <f t="shared" si="31"/>
        <v/>
      </c>
      <c r="M252" s="3183"/>
      <c r="N252" s="3140">
        <f t="shared" si="32"/>
        <v>0</v>
      </c>
      <c r="O252" s="3140">
        <f t="shared" si="33"/>
        <v>0</v>
      </c>
      <c r="Q252" s="3184">
        <f t="shared" si="34"/>
        <v>0</v>
      </c>
      <c r="T252" s="3184">
        <f t="shared" si="35"/>
        <v>0</v>
      </c>
      <c r="U252" s="3184">
        <f t="shared" si="36"/>
        <v>0</v>
      </c>
      <c r="V252" s="3184">
        <f t="shared" si="37"/>
        <v>0</v>
      </c>
    </row>
    <row r="253" spans="1:22" hidden="1" x14ac:dyDescent="0.2">
      <c r="A253" s="3255">
        <f t="shared" si="15"/>
        <v>241</v>
      </c>
      <c r="B253" s="3256"/>
      <c r="C253" s="3257"/>
      <c r="D253" s="3258"/>
      <c r="E253" s="3257"/>
      <c r="F253" s="3256"/>
      <c r="G253" s="3614"/>
      <c r="H253" s="3256"/>
      <c r="I253" s="3256"/>
      <c r="J253" s="3256"/>
      <c r="K253" s="3256"/>
      <c r="L253" s="3142" t="str">
        <f t="shared" si="31"/>
        <v/>
      </c>
      <c r="M253" s="3183"/>
      <c r="N253" s="3140">
        <f t="shared" si="32"/>
        <v>0</v>
      </c>
      <c r="O253" s="3140">
        <f t="shared" si="33"/>
        <v>0</v>
      </c>
      <c r="Q253" s="3184">
        <f t="shared" si="34"/>
        <v>0</v>
      </c>
      <c r="T253" s="3184">
        <f t="shared" si="35"/>
        <v>0</v>
      </c>
      <c r="U253" s="3184">
        <f t="shared" si="36"/>
        <v>0</v>
      </c>
      <c r="V253" s="3184">
        <f t="shared" si="37"/>
        <v>0</v>
      </c>
    </row>
    <row r="254" spans="1:22" hidden="1" x14ac:dyDescent="0.2">
      <c r="A254" s="3255">
        <f t="shared" si="15"/>
        <v>242</v>
      </c>
      <c r="B254" s="3256"/>
      <c r="C254" s="3257"/>
      <c r="D254" s="3258"/>
      <c r="E254" s="3257"/>
      <c r="F254" s="3256"/>
      <c r="G254" s="3614"/>
      <c r="H254" s="3256"/>
      <c r="I254" s="3256"/>
      <c r="J254" s="3256"/>
      <c r="K254" s="3256"/>
      <c r="L254" s="3142" t="str">
        <f t="shared" si="31"/>
        <v/>
      </c>
      <c r="M254" s="3183"/>
      <c r="N254" s="3140">
        <f t="shared" si="32"/>
        <v>0</v>
      </c>
      <c r="O254" s="3140">
        <f t="shared" si="33"/>
        <v>0</v>
      </c>
      <c r="Q254" s="3184">
        <f t="shared" si="34"/>
        <v>0</v>
      </c>
      <c r="T254" s="3184">
        <f t="shared" si="35"/>
        <v>0</v>
      </c>
      <c r="U254" s="3184">
        <f t="shared" si="36"/>
        <v>0</v>
      </c>
      <c r="V254" s="3184">
        <f t="shared" si="37"/>
        <v>0</v>
      </c>
    </row>
    <row r="255" spans="1:22" hidden="1" x14ac:dyDescent="0.2">
      <c r="A255" s="3255">
        <f t="shared" si="15"/>
        <v>243</v>
      </c>
      <c r="B255" s="3256"/>
      <c r="C255" s="3257"/>
      <c r="D255" s="3258"/>
      <c r="E255" s="3257"/>
      <c r="F255" s="3256"/>
      <c r="G255" s="3614"/>
      <c r="H255" s="3256"/>
      <c r="I255" s="3256"/>
      <c r="J255" s="3256"/>
      <c r="K255" s="3256"/>
      <c r="L255" s="3142" t="str">
        <f t="shared" si="31"/>
        <v/>
      </c>
      <c r="M255" s="3183"/>
      <c r="N255" s="3140">
        <f t="shared" si="32"/>
        <v>0</v>
      </c>
      <c r="O255" s="3140">
        <f t="shared" si="33"/>
        <v>0</v>
      </c>
      <c r="Q255" s="3184">
        <f t="shared" si="34"/>
        <v>0</v>
      </c>
      <c r="T255" s="3184">
        <f t="shared" si="35"/>
        <v>0</v>
      </c>
      <c r="U255" s="3184">
        <f t="shared" si="36"/>
        <v>0</v>
      </c>
      <c r="V255" s="3184">
        <f t="shared" si="37"/>
        <v>0</v>
      </c>
    </row>
    <row r="256" spans="1:22" hidden="1" x14ac:dyDescent="0.2">
      <c r="A256" s="3255">
        <f t="shared" si="15"/>
        <v>244</v>
      </c>
      <c r="B256" s="3256"/>
      <c r="C256" s="3257"/>
      <c r="D256" s="3258"/>
      <c r="E256" s="3257"/>
      <c r="F256" s="3256"/>
      <c r="G256" s="3614"/>
      <c r="H256" s="3256"/>
      <c r="I256" s="3256"/>
      <c r="J256" s="3256"/>
      <c r="K256" s="3256"/>
      <c r="L256" s="3142" t="str">
        <f t="shared" si="31"/>
        <v/>
      </c>
      <c r="M256" s="3183"/>
      <c r="N256" s="3140">
        <f t="shared" si="32"/>
        <v>0</v>
      </c>
      <c r="O256" s="3140">
        <f t="shared" si="33"/>
        <v>0</v>
      </c>
      <c r="Q256" s="3184">
        <f t="shared" si="34"/>
        <v>0</v>
      </c>
      <c r="T256" s="3184">
        <f t="shared" si="35"/>
        <v>0</v>
      </c>
      <c r="U256" s="3184">
        <f t="shared" si="36"/>
        <v>0</v>
      </c>
      <c r="V256" s="3184">
        <f t="shared" si="37"/>
        <v>0</v>
      </c>
    </row>
    <row r="257" spans="1:22" hidden="1" x14ac:dyDescent="0.2">
      <c r="A257" s="3255">
        <f t="shared" si="15"/>
        <v>245</v>
      </c>
      <c r="B257" s="3256"/>
      <c r="C257" s="3257"/>
      <c r="D257" s="3258"/>
      <c r="E257" s="3257"/>
      <c r="F257" s="3256"/>
      <c r="G257" s="3614"/>
      <c r="H257" s="3256"/>
      <c r="I257" s="3256"/>
      <c r="J257" s="3256"/>
      <c r="K257" s="3256"/>
      <c r="L257" s="3142" t="str">
        <f t="shared" si="31"/>
        <v/>
      </c>
      <c r="M257" s="3183"/>
      <c r="N257" s="3140">
        <f t="shared" si="32"/>
        <v>0</v>
      </c>
      <c r="O257" s="3140">
        <f t="shared" si="33"/>
        <v>0</v>
      </c>
      <c r="Q257" s="3184">
        <f t="shared" si="34"/>
        <v>0</v>
      </c>
      <c r="T257" s="3184">
        <f t="shared" si="35"/>
        <v>0</v>
      </c>
      <c r="U257" s="3184">
        <f t="shared" si="36"/>
        <v>0</v>
      </c>
      <c r="V257" s="3184">
        <f t="shared" si="37"/>
        <v>0</v>
      </c>
    </row>
    <row r="258" spans="1:22" hidden="1" x14ac:dyDescent="0.2">
      <c r="A258" s="3255">
        <f t="shared" si="15"/>
        <v>246</v>
      </c>
      <c r="B258" s="3256"/>
      <c r="C258" s="3257"/>
      <c r="D258" s="3258"/>
      <c r="E258" s="3257"/>
      <c r="F258" s="3256"/>
      <c r="G258" s="3614"/>
      <c r="H258" s="3256"/>
      <c r="I258" s="3256"/>
      <c r="J258" s="3256"/>
      <c r="K258" s="3256"/>
      <c r="L258" s="3142" t="str">
        <f t="shared" si="31"/>
        <v/>
      </c>
      <c r="M258" s="3183"/>
      <c r="N258" s="3140">
        <f t="shared" si="32"/>
        <v>0</v>
      </c>
      <c r="O258" s="3140">
        <f t="shared" si="33"/>
        <v>0</v>
      </c>
      <c r="Q258" s="3184">
        <f t="shared" si="34"/>
        <v>0</v>
      </c>
      <c r="T258" s="3184">
        <f t="shared" si="35"/>
        <v>0</v>
      </c>
      <c r="U258" s="3184">
        <f t="shared" si="36"/>
        <v>0</v>
      </c>
      <c r="V258" s="3184">
        <f t="shared" si="37"/>
        <v>0</v>
      </c>
    </row>
    <row r="259" spans="1:22" hidden="1" x14ac:dyDescent="0.2">
      <c r="A259" s="3255">
        <f t="shared" si="15"/>
        <v>247</v>
      </c>
      <c r="B259" s="3256"/>
      <c r="C259" s="3257"/>
      <c r="D259" s="3258"/>
      <c r="E259" s="3257"/>
      <c r="F259" s="3256"/>
      <c r="G259" s="3614"/>
      <c r="H259" s="3256"/>
      <c r="I259" s="3256"/>
      <c r="J259" s="3256"/>
      <c r="K259" s="3256"/>
      <c r="L259" s="3142" t="str">
        <f t="shared" si="31"/>
        <v/>
      </c>
      <c r="M259" s="3183"/>
      <c r="N259" s="3140">
        <f t="shared" si="32"/>
        <v>0</v>
      </c>
      <c r="O259" s="3140">
        <f t="shared" si="33"/>
        <v>0</v>
      </c>
      <c r="Q259" s="3184">
        <f t="shared" si="34"/>
        <v>0</v>
      </c>
      <c r="T259" s="3184">
        <f t="shared" si="35"/>
        <v>0</v>
      </c>
      <c r="U259" s="3184">
        <f t="shared" si="36"/>
        <v>0</v>
      </c>
      <c r="V259" s="3184">
        <f t="shared" si="37"/>
        <v>0</v>
      </c>
    </row>
    <row r="260" spans="1:22" hidden="1" x14ac:dyDescent="0.2">
      <c r="A260" s="3255">
        <f t="shared" si="15"/>
        <v>248</v>
      </c>
      <c r="B260" s="3256"/>
      <c r="C260" s="3257"/>
      <c r="D260" s="3258"/>
      <c r="E260" s="3257"/>
      <c r="F260" s="3256"/>
      <c r="G260" s="3614"/>
      <c r="H260" s="3256"/>
      <c r="I260" s="3256"/>
      <c r="J260" s="3256"/>
      <c r="K260" s="3256"/>
      <c r="L260" s="3142" t="str">
        <f t="shared" si="31"/>
        <v/>
      </c>
      <c r="M260" s="3183"/>
      <c r="N260" s="3140">
        <f t="shared" si="32"/>
        <v>0</v>
      </c>
      <c r="O260" s="3140">
        <f t="shared" si="33"/>
        <v>0</v>
      </c>
      <c r="Q260" s="3184">
        <f t="shared" si="34"/>
        <v>0</v>
      </c>
      <c r="T260" s="3184">
        <f t="shared" si="35"/>
        <v>0</v>
      </c>
      <c r="U260" s="3184">
        <f t="shared" si="36"/>
        <v>0</v>
      </c>
      <c r="V260" s="3184">
        <f t="shared" si="37"/>
        <v>0</v>
      </c>
    </row>
    <row r="261" spans="1:22" hidden="1" x14ac:dyDescent="0.2">
      <c r="A261" s="3255">
        <f t="shared" si="15"/>
        <v>249</v>
      </c>
      <c r="B261" s="3256"/>
      <c r="C261" s="3257"/>
      <c r="D261" s="3258"/>
      <c r="E261" s="3257"/>
      <c r="F261" s="3256"/>
      <c r="G261" s="3614"/>
      <c r="H261" s="3256"/>
      <c r="I261" s="3256"/>
      <c r="J261" s="3256"/>
      <c r="K261" s="3256"/>
      <c r="L261" s="3142" t="str">
        <f t="shared" si="31"/>
        <v/>
      </c>
      <c r="M261" s="3183"/>
      <c r="N261" s="3140">
        <f t="shared" si="32"/>
        <v>0</v>
      </c>
      <c r="O261" s="3140">
        <f t="shared" si="33"/>
        <v>0</v>
      </c>
      <c r="Q261" s="3184">
        <f t="shared" si="34"/>
        <v>0</v>
      </c>
      <c r="T261" s="3184">
        <f t="shared" si="35"/>
        <v>0</v>
      </c>
      <c r="U261" s="3184">
        <f t="shared" si="36"/>
        <v>0</v>
      </c>
      <c r="V261" s="3184">
        <f t="shared" si="37"/>
        <v>0</v>
      </c>
    </row>
    <row r="262" spans="1:22" hidden="1" x14ac:dyDescent="0.2">
      <c r="A262" s="3255">
        <f t="shared" si="15"/>
        <v>250</v>
      </c>
      <c r="B262" s="3256"/>
      <c r="C262" s="3257"/>
      <c r="D262" s="3258"/>
      <c r="E262" s="3257"/>
      <c r="F262" s="3256"/>
      <c r="G262" s="3614"/>
      <c r="H262" s="3256"/>
      <c r="I262" s="3256"/>
      <c r="J262" s="3256"/>
      <c r="K262" s="3256"/>
      <c r="L262" s="3142" t="str">
        <f t="shared" si="31"/>
        <v/>
      </c>
      <c r="M262" s="3183"/>
      <c r="N262" s="3140">
        <f t="shared" si="32"/>
        <v>0</v>
      </c>
      <c r="O262" s="3140">
        <f t="shared" si="33"/>
        <v>0</v>
      </c>
      <c r="Q262" s="3184">
        <f t="shared" si="34"/>
        <v>0</v>
      </c>
      <c r="T262" s="3184">
        <f t="shared" si="35"/>
        <v>0</v>
      </c>
      <c r="U262" s="3184">
        <f t="shared" si="36"/>
        <v>0</v>
      </c>
      <c r="V262" s="3184">
        <f t="shared" si="37"/>
        <v>0</v>
      </c>
    </row>
    <row r="263" spans="1:22" hidden="1" x14ac:dyDescent="0.2">
      <c r="A263" s="3255">
        <f t="shared" si="15"/>
        <v>251</v>
      </c>
      <c r="B263" s="3256"/>
      <c r="C263" s="3257"/>
      <c r="D263" s="3258"/>
      <c r="E263" s="3257"/>
      <c r="F263" s="3256"/>
      <c r="G263" s="3614"/>
      <c r="H263" s="3256"/>
      <c r="I263" s="3256"/>
      <c r="J263" s="3256"/>
      <c r="K263" s="3256"/>
      <c r="L263" s="3142" t="str">
        <f t="shared" si="31"/>
        <v/>
      </c>
      <c r="M263" s="3183"/>
      <c r="N263" s="3140">
        <f t="shared" si="32"/>
        <v>0</v>
      </c>
      <c r="O263" s="3140">
        <f t="shared" si="33"/>
        <v>0</v>
      </c>
      <c r="Q263" s="3184">
        <f t="shared" si="34"/>
        <v>0</v>
      </c>
      <c r="T263" s="3184">
        <f t="shared" si="35"/>
        <v>0</v>
      </c>
      <c r="U263" s="3184">
        <f t="shared" si="36"/>
        <v>0</v>
      </c>
      <c r="V263" s="3184">
        <f t="shared" si="37"/>
        <v>0</v>
      </c>
    </row>
    <row r="264" spans="1:22" hidden="1" x14ac:dyDescent="0.2">
      <c r="A264" s="3255">
        <f t="shared" si="15"/>
        <v>252</v>
      </c>
      <c r="B264" s="3256"/>
      <c r="C264" s="3257"/>
      <c r="D264" s="3258"/>
      <c r="E264" s="3257"/>
      <c r="F264" s="3256"/>
      <c r="G264" s="3614"/>
      <c r="H264" s="3256"/>
      <c r="I264" s="3256"/>
      <c r="J264" s="3256"/>
      <c r="K264" s="3256"/>
      <c r="L264" s="3142" t="str">
        <f t="shared" si="31"/>
        <v/>
      </c>
      <c r="M264" s="3183"/>
      <c r="N264" s="3140">
        <f t="shared" si="32"/>
        <v>0</v>
      </c>
      <c r="O264" s="3140">
        <f t="shared" si="33"/>
        <v>0</v>
      </c>
      <c r="Q264" s="3184">
        <f t="shared" si="34"/>
        <v>0</v>
      </c>
      <c r="T264" s="3184">
        <f t="shared" si="35"/>
        <v>0</v>
      </c>
      <c r="U264" s="3184">
        <f t="shared" si="36"/>
        <v>0</v>
      </c>
      <c r="V264" s="3184">
        <f t="shared" si="37"/>
        <v>0</v>
      </c>
    </row>
    <row r="265" spans="1:22" hidden="1" x14ac:dyDescent="0.2">
      <c r="A265" s="3255">
        <f t="shared" si="15"/>
        <v>253</v>
      </c>
      <c r="B265" s="3256"/>
      <c r="C265" s="3257"/>
      <c r="D265" s="3258"/>
      <c r="E265" s="3257"/>
      <c r="F265" s="3256"/>
      <c r="G265" s="3614"/>
      <c r="H265" s="3256"/>
      <c r="I265" s="3256"/>
      <c r="J265" s="3256"/>
      <c r="K265" s="3256"/>
      <c r="L265" s="3142" t="str">
        <f t="shared" si="31"/>
        <v/>
      </c>
      <c r="M265" s="3183"/>
      <c r="N265" s="3140">
        <f t="shared" si="32"/>
        <v>0</v>
      </c>
      <c r="O265" s="3140">
        <f t="shared" si="33"/>
        <v>0</v>
      </c>
      <c r="Q265" s="3184">
        <f t="shared" si="34"/>
        <v>0</v>
      </c>
      <c r="T265" s="3184">
        <f t="shared" si="35"/>
        <v>0</v>
      </c>
      <c r="U265" s="3184">
        <f t="shared" si="36"/>
        <v>0</v>
      </c>
      <c r="V265" s="3184">
        <f t="shared" si="37"/>
        <v>0</v>
      </c>
    </row>
    <row r="266" spans="1:22" hidden="1" x14ac:dyDescent="0.2">
      <c r="A266" s="3255">
        <f t="shared" si="15"/>
        <v>254</v>
      </c>
      <c r="B266" s="3256"/>
      <c r="C266" s="3257"/>
      <c r="D266" s="3258"/>
      <c r="E266" s="3257"/>
      <c r="F266" s="3256"/>
      <c r="G266" s="3614"/>
      <c r="H266" s="3256"/>
      <c r="I266" s="3256"/>
      <c r="J266" s="3256"/>
      <c r="K266" s="3256"/>
      <c r="L266" s="3142" t="str">
        <f t="shared" si="31"/>
        <v/>
      </c>
      <c r="M266" s="3183"/>
      <c r="N266" s="3140">
        <f t="shared" si="32"/>
        <v>0</v>
      </c>
      <c r="O266" s="3140">
        <f t="shared" si="33"/>
        <v>0</v>
      </c>
      <c r="Q266" s="3184">
        <f t="shared" si="34"/>
        <v>0</v>
      </c>
      <c r="T266" s="3184">
        <f t="shared" si="35"/>
        <v>0</v>
      </c>
      <c r="U266" s="3184">
        <f t="shared" si="36"/>
        <v>0</v>
      </c>
      <c r="V266" s="3184">
        <f t="shared" si="37"/>
        <v>0</v>
      </c>
    </row>
    <row r="267" spans="1:22" hidden="1" x14ac:dyDescent="0.2">
      <c r="A267" s="3255">
        <f t="shared" si="15"/>
        <v>255</v>
      </c>
      <c r="B267" s="3256"/>
      <c r="C267" s="3257"/>
      <c r="D267" s="3258"/>
      <c r="E267" s="3257"/>
      <c r="F267" s="3256"/>
      <c r="G267" s="3614"/>
      <c r="H267" s="3256"/>
      <c r="I267" s="3256"/>
      <c r="J267" s="3256"/>
      <c r="K267" s="3256"/>
      <c r="L267" s="3142" t="str">
        <f t="shared" si="31"/>
        <v/>
      </c>
      <c r="M267" s="3183"/>
      <c r="N267" s="3140">
        <f t="shared" si="32"/>
        <v>0</v>
      </c>
      <c r="O267" s="3140">
        <f t="shared" si="33"/>
        <v>0</v>
      </c>
      <c r="Q267" s="3184">
        <f t="shared" si="34"/>
        <v>0</v>
      </c>
      <c r="T267" s="3184">
        <f t="shared" si="35"/>
        <v>0</v>
      </c>
      <c r="U267" s="3184">
        <f t="shared" si="36"/>
        <v>0</v>
      </c>
      <c r="V267" s="3184">
        <f t="shared" si="37"/>
        <v>0</v>
      </c>
    </row>
    <row r="268" spans="1:22" hidden="1" x14ac:dyDescent="0.2">
      <c r="A268" s="3255">
        <f t="shared" si="15"/>
        <v>256</v>
      </c>
      <c r="B268" s="3256"/>
      <c r="C268" s="3257"/>
      <c r="D268" s="3258"/>
      <c r="E268" s="3257"/>
      <c r="F268" s="3256"/>
      <c r="G268" s="3614"/>
      <c r="H268" s="3256"/>
      <c r="I268" s="3256"/>
      <c r="J268" s="3256"/>
      <c r="K268" s="3256"/>
      <c r="L268" s="3142" t="str">
        <f t="shared" si="31"/>
        <v/>
      </c>
      <c r="M268" s="3183"/>
      <c r="N268" s="3140">
        <f t="shared" si="32"/>
        <v>0</v>
      </c>
      <c r="O268" s="3140">
        <f t="shared" si="33"/>
        <v>0</v>
      </c>
      <c r="Q268" s="3184">
        <f t="shared" si="34"/>
        <v>0</v>
      </c>
      <c r="T268" s="3184">
        <f t="shared" si="35"/>
        <v>0</v>
      </c>
      <c r="U268" s="3184">
        <f t="shared" si="36"/>
        <v>0</v>
      </c>
      <c r="V268" s="3184">
        <f t="shared" si="37"/>
        <v>0</v>
      </c>
    </row>
    <row r="269" spans="1:22" hidden="1" x14ac:dyDescent="0.2">
      <c r="A269" s="3255">
        <f t="shared" si="15"/>
        <v>257</v>
      </c>
      <c r="B269" s="3256"/>
      <c r="C269" s="3257"/>
      <c r="D269" s="3258"/>
      <c r="E269" s="3257"/>
      <c r="F269" s="3256"/>
      <c r="G269" s="3614"/>
      <c r="H269" s="3256"/>
      <c r="I269" s="3256"/>
      <c r="J269" s="3256"/>
      <c r="K269" s="3256"/>
      <c r="L269" s="3142" t="str">
        <f t="shared" ref="L269:L332" si="38">IF(AND($N$4&gt;0,A269&lt;=$J$8,N269&lt;&gt;7),re,IF(AND(N269&gt;0,$K$8=0),"No details required",IF(AND(T269=1,I269=""),re,IF(AND(T269=0,COUNTA(I269:K269)&gt;0),"Delete!",IF(AND(U269=1,J269=""),re,IF(AND(U269=0,COUNTA(J269:K269)&gt;0),"Delete!",IF(AND(V269=1,K269=""),re,IF(AND(V269=0,COUNTA(K269)&gt;0),"Delete!",IF(AND(N269&gt;0,A269&gt;$J$8),"Check no. of foreign holdings!","")))))))))</f>
        <v/>
      </c>
      <c r="M269" s="3183"/>
      <c r="N269" s="3140">
        <f t="shared" si="32"/>
        <v>0</v>
      </c>
      <c r="O269" s="3140">
        <f t="shared" si="33"/>
        <v>0</v>
      </c>
      <c r="Q269" s="3184">
        <f t="shared" si="34"/>
        <v>0</v>
      </c>
      <c r="T269" s="3184">
        <f t="shared" si="35"/>
        <v>0</v>
      </c>
      <c r="U269" s="3184">
        <f t="shared" si="36"/>
        <v>0</v>
      </c>
      <c r="V269" s="3184">
        <f t="shared" si="37"/>
        <v>0</v>
      </c>
    </row>
    <row r="270" spans="1:22" hidden="1" x14ac:dyDescent="0.2">
      <c r="A270" s="3255">
        <f t="shared" si="15"/>
        <v>258</v>
      </c>
      <c r="B270" s="3256"/>
      <c r="C270" s="3257"/>
      <c r="D270" s="3258"/>
      <c r="E270" s="3257"/>
      <c r="F270" s="3256"/>
      <c r="G270" s="3614"/>
      <c r="H270" s="3256"/>
      <c r="I270" s="3256"/>
      <c r="J270" s="3256"/>
      <c r="K270" s="3256"/>
      <c r="L270" s="3142" t="str">
        <f t="shared" si="38"/>
        <v/>
      </c>
      <c r="M270" s="3183"/>
      <c r="N270" s="3140">
        <f t="shared" si="32"/>
        <v>0</v>
      </c>
      <c r="O270" s="3140">
        <f t="shared" si="33"/>
        <v>0</v>
      </c>
      <c r="Q270" s="3184">
        <f t="shared" si="34"/>
        <v>0</v>
      </c>
      <c r="T270" s="3184">
        <f t="shared" si="35"/>
        <v>0</v>
      </c>
      <c r="U270" s="3184">
        <f t="shared" si="36"/>
        <v>0</v>
      </c>
      <c r="V270" s="3184">
        <f t="shared" si="37"/>
        <v>0</v>
      </c>
    </row>
    <row r="271" spans="1:22" hidden="1" x14ac:dyDescent="0.2">
      <c r="A271" s="3255">
        <f t="shared" si="15"/>
        <v>259</v>
      </c>
      <c r="B271" s="3256"/>
      <c r="C271" s="3257"/>
      <c r="D271" s="3258"/>
      <c r="E271" s="3257"/>
      <c r="F271" s="3256"/>
      <c r="G271" s="3614"/>
      <c r="H271" s="3256"/>
      <c r="I271" s="3256"/>
      <c r="J271" s="3256"/>
      <c r="K271" s="3256"/>
      <c r="L271" s="3142" t="str">
        <f t="shared" si="38"/>
        <v/>
      </c>
      <c r="M271" s="3183"/>
      <c r="N271" s="3140">
        <f t="shared" si="32"/>
        <v>0</v>
      </c>
      <c r="O271" s="3140">
        <f t="shared" si="33"/>
        <v>0</v>
      </c>
      <c r="Q271" s="3184">
        <f t="shared" si="34"/>
        <v>0</v>
      </c>
      <c r="T271" s="3184">
        <f t="shared" si="35"/>
        <v>0</v>
      </c>
      <c r="U271" s="3184">
        <f t="shared" si="36"/>
        <v>0</v>
      </c>
      <c r="V271" s="3184">
        <f t="shared" si="37"/>
        <v>0</v>
      </c>
    </row>
    <row r="272" spans="1:22" hidden="1" x14ac:dyDescent="0.2">
      <c r="A272" s="3255">
        <f t="shared" si="15"/>
        <v>260</v>
      </c>
      <c r="B272" s="3256"/>
      <c r="C272" s="3257"/>
      <c r="D272" s="3258"/>
      <c r="E272" s="3257"/>
      <c r="F272" s="3256"/>
      <c r="G272" s="3614"/>
      <c r="H272" s="3256"/>
      <c r="I272" s="3256"/>
      <c r="J272" s="3256"/>
      <c r="K272" s="3256"/>
      <c r="L272" s="3142" t="str">
        <f t="shared" si="38"/>
        <v/>
      </c>
      <c r="M272" s="3183"/>
      <c r="N272" s="3140">
        <f t="shared" si="32"/>
        <v>0</v>
      </c>
      <c r="O272" s="3140">
        <f t="shared" si="33"/>
        <v>0</v>
      </c>
      <c r="Q272" s="3184">
        <f t="shared" si="34"/>
        <v>0</v>
      </c>
      <c r="T272" s="3184">
        <f t="shared" si="35"/>
        <v>0</v>
      </c>
      <c r="U272" s="3184">
        <f t="shared" si="36"/>
        <v>0</v>
      </c>
      <c r="V272" s="3184">
        <f t="shared" si="37"/>
        <v>0</v>
      </c>
    </row>
    <row r="273" spans="1:22" hidden="1" x14ac:dyDescent="0.2">
      <c r="A273" s="3255">
        <f t="shared" si="15"/>
        <v>261</v>
      </c>
      <c r="B273" s="3256"/>
      <c r="C273" s="3257"/>
      <c r="D273" s="3258"/>
      <c r="E273" s="3257"/>
      <c r="F273" s="3256"/>
      <c r="G273" s="3614"/>
      <c r="H273" s="3256"/>
      <c r="I273" s="3256"/>
      <c r="J273" s="3256"/>
      <c r="K273" s="3256"/>
      <c r="L273" s="3142" t="str">
        <f t="shared" si="38"/>
        <v/>
      </c>
      <c r="M273" s="3183"/>
      <c r="N273" s="3140">
        <f t="shared" si="32"/>
        <v>0</v>
      </c>
      <c r="O273" s="3140">
        <f t="shared" si="33"/>
        <v>0</v>
      </c>
      <c r="Q273" s="3184">
        <f t="shared" si="34"/>
        <v>0</v>
      </c>
      <c r="T273" s="3184">
        <f t="shared" si="35"/>
        <v>0</v>
      </c>
      <c r="U273" s="3184">
        <f t="shared" si="36"/>
        <v>0</v>
      </c>
      <c r="V273" s="3184">
        <f t="shared" si="37"/>
        <v>0</v>
      </c>
    </row>
    <row r="274" spans="1:22" hidden="1" x14ac:dyDescent="0.2">
      <c r="A274" s="3255">
        <f t="shared" si="15"/>
        <v>262</v>
      </c>
      <c r="B274" s="3256"/>
      <c r="C274" s="3257"/>
      <c r="D274" s="3258"/>
      <c r="E274" s="3257"/>
      <c r="F274" s="3256"/>
      <c r="G274" s="3614"/>
      <c r="H274" s="3256"/>
      <c r="I274" s="3256"/>
      <c r="J274" s="3256"/>
      <c r="K274" s="3256"/>
      <c r="L274" s="3142" t="str">
        <f t="shared" si="38"/>
        <v/>
      </c>
      <c r="M274" s="3183"/>
      <c r="N274" s="3140">
        <f t="shared" si="32"/>
        <v>0</v>
      </c>
      <c r="O274" s="3140">
        <f t="shared" si="33"/>
        <v>0</v>
      </c>
      <c r="Q274" s="3184">
        <f t="shared" si="34"/>
        <v>0</v>
      </c>
      <c r="T274" s="3184">
        <f t="shared" si="35"/>
        <v>0</v>
      </c>
      <c r="U274" s="3184">
        <f t="shared" si="36"/>
        <v>0</v>
      </c>
      <c r="V274" s="3184">
        <f t="shared" si="37"/>
        <v>0</v>
      </c>
    </row>
    <row r="275" spans="1:22" hidden="1" x14ac:dyDescent="0.2">
      <c r="A275" s="3255">
        <f t="shared" si="15"/>
        <v>263</v>
      </c>
      <c r="B275" s="3256"/>
      <c r="C275" s="3257"/>
      <c r="D275" s="3258"/>
      <c r="E275" s="3257"/>
      <c r="F275" s="3256"/>
      <c r="G275" s="3614"/>
      <c r="H275" s="3256"/>
      <c r="I275" s="3256"/>
      <c r="J275" s="3256"/>
      <c r="K275" s="3256"/>
      <c r="L275" s="3142" t="str">
        <f t="shared" si="38"/>
        <v/>
      </c>
      <c r="M275" s="3183"/>
      <c r="N275" s="3140">
        <f t="shared" si="32"/>
        <v>0</v>
      </c>
      <c r="O275" s="3140">
        <f t="shared" si="33"/>
        <v>0</v>
      </c>
      <c r="Q275" s="3184">
        <f t="shared" si="34"/>
        <v>0</v>
      </c>
      <c r="T275" s="3184">
        <f t="shared" si="35"/>
        <v>0</v>
      </c>
      <c r="U275" s="3184">
        <f t="shared" si="36"/>
        <v>0</v>
      </c>
      <c r="V275" s="3184">
        <f t="shared" si="37"/>
        <v>0</v>
      </c>
    </row>
    <row r="276" spans="1:22" hidden="1" x14ac:dyDescent="0.2">
      <c r="A276" s="3255">
        <f t="shared" si="15"/>
        <v>264</v>
      </c>
      <c r="B276" s="3256"/>
      <c r="C276" s="3257"/>
      <c r="D276" s="3258"/>
      <c r="E276" s="3257"/>
      <c r="F276" s="3256"/>
      <c r="G276" s="3614"/>
      <c r="H276" s="3256"/>
      <c r="I276" s="3256"/>
      <c r="J276" s="3256"/>
      <c r="K276" s="3256"/>
      <c r="L276" s="3142" t="str">
        <f t="shared" si="38"/>
        <v/>
      </c>
      <c r="M276" s="3183"/>
      <c r="N276" s="3140">
        <f t="shared" si="32"/>
        <v>0</v>
      </c>
      <c r="O276" s="3140">
        <f t="shared" si="33"/>
        <v>0</v>
      </c>
      <c r="Q276" s="3184">
        <f t="shared" si="34"/>
        <v>0</v>
      </c>
      <c r="T276" s="3184">
        <f t="shared" si="35"/>
        <v>0</v>
      </c>
      <c r="U276" s="3184">
        <f t="shared" si="36"/>
        <v>0</v>
      </c>
      <c r="V276" s="3184">
        <f t="shared" si="37"/>
        <v>0</v>
      </c>
    </row>
    <row r="277" spans="1:22" hidden="1" x14ac:dyDescent="0.2">
      <c r="A277" s="3255">
        <f t="shared" si="15"/>
        <v>265</v>
      </c>
      <c r="B277" s="3256"/>
      <c r="C277" s="3257"/>
      <c r="D277" s="3258"/>
      <c r="E277" s="3257"/>
      <c r="F277" s="3256"/>
      <c r="G277" s="3614"/>
      <c r="H277" s="3256"/>
      <c r="I277" s="3256"/>
      <c r="J277" s="3256"/>
      <c r="K277" s="3256"/>
      <c r="L277" s="3142" t="str">
        <f t="shared" si="38"/>
        <v/>
      </c>
      <c r="M277" s="3183"/>
      <c r="N277" s="3140">
        <f t="shared" si="32"/>
        <v>0</v>
      </c>
      <c r="O277" s="3140">
        <f t="shared" si="33"/>
        <v>0</v>
      </c>
      <c r="Q277" s="3184">
        <f t="shared" si="34"/>
        <v>0</v>
      </c>
      <c r="T277" s="3184">
        <f t="shared" si="35"/>
        <v>0</v>
      </c>
      <c r="U277" s="3184">
        <f t="shared" si="36"/>
        <v>0</v>
      </c>
      <c r="V277" s="3184">
        <f t="shared" si="37"/>
        <v>0</v>
      </c>
    </row>
    <row r="278" spans="1:22" hidden="1" x14ac:dyDescent="0.2">
      <c r="A278" s="3255">
        <f t="shared" si="15"/>
        <v>266</v>
      </c>
      <c r="B278" s="3256"/>
      <c r="C278" s="3257"/>
      <c r="D278" s="3258"/>
      <c r="E278" s="3257"/>
      <c r="F278" s="3256"/>
      <c r="G278" s="3614"/>
      <c r="H278" s="3256"/>
      <c r="I278" s="3256"/>
      <c r="J278" s="3256"/>
      <c r="K278" s="3256"/>
      <c r="L278" s="3142" t="str">
        <f t="shared" si="38"/>
        <v/>
      </c>
      <c r="M278" s="3183"/>
      <c r="N278" s="3140">
        <f t="shared" si="32"/>
        <v>0</v>
      </c>
      <c r="O278" s="3140">
        <f t="shared" si="33"/>
        <v>0</v>
      </c>
      <c r="Q278" s="3184">
        <f t="shared" si="34"/>
        <v>0</v>
      </c>
      <c r="T278" s="3184">
        <f t="shared" si="35"/>
        <v>0</v>
      </c>
      <c r="U278" s="3184">
        <f t="shared" si="36"/>
        <v>0</v>
      </c>
      <c r="V278" s="3184">
        <f t="shared" si="37"/>
        <v>0</v>
      </c>
    </row>
    <row r="279" spans="1:22" hidden="1" x14ac:dyDescent="0.2">
      <c r="A279" s="3255">
        <f t="shared" si="15"/>
        <v>267</v>
      </c>
      <c r="B279" s="3256"/>
      <c r="C279" s="3257"/>
      <c r="D279" s="3258"/>
      <c r="E279" s="3257"/>
      <c r="F279" s="3256"/>
      <c r="G279" s="3614"/>
      <c r="H279" s="3256"/>
      <c r="I279" s="3256"/>
      <c r="J279" s="3256"/>
      <c r="K279" s="3256"/>
      <c r="L279" s="3142" t="str">
        <f t="shared" si="38"/>
        <v/>
      </c>
      <c r="M279" s="3183"/>
      <c r="N279" s="3140">
        <f t="shared" si="32"/>
        <v>0</v>
      </c>
      <c r="O279" s="3140">
        <f t="shared" si="33"/>
        <v>0</v>
      </c>
      <c r="Q279" s="3184">
        <f t="shared" si="34"/>
        <v>0</v>
      </c>
      <c r="T279" s="3184">
        <f t="shared" si="35"/>
        <v>0</v>
      </c>
      <c r="U279" s="3184">
        <f t="shared" si="36"/>
        <v>0</v>
      </c>
      <c r="V279" s="3184">
        <f t="shared" si="37"/>
        <v>0</v>
      </c>
    </row>
    <row r="280" spans="1:22" hidden="1" x14ac:dyDescent="0.2">
      <c r="A280" s="3255">
        <f t="shared" si="15"/>
        <v>268</v>
      </c>
      <c r="B280" s="3256"/>
      <c r="C280" s="3257"/>
      <c r="D280" s="3258"/>
      <c r="E280" s="3257"/>
      <c r="F280" s="3256"/>
      <c r="G280" s="3614"/>
      <c r="H280" s="3256"/>
      <c r="I280" s="3256"/>
      <c r="J280" s="3256"/>
      <c r="K280" s="3256"/>
      <c r="L280" s="3142" t="str">
        <f t="shared" si="38"/>
        <v/>
      </c>
      <c r="M280" s="3183"/>
      <c r="N280" s="3140">
        <f t="shared" si="32"/>
        <v>0</v>
      </c>
      <c r="O280" s="3140">
        <f t="shared" si="33"/>
        <v>0</v>
      </c>
      <c r="Q280" s="3184">
        <f t="shared" si="34"/>
        <v>0</v>
      </c>
      <c r="T280" s="3184">
        <f t="shared" si="35"/>
        <v>0</v>
      </c>
      <c r="U280" s="3184">
        <f t="shared" si="36"/>
        <v>0</v>
      </c>
      <c r="V280" s="3184">
        <f t="shared" si="37"/>
        <v>0</v>
      </c>
    </row>
    <row r="281" spans="1:22" hidden="1" x14ac:dyDescent="0.2">
      <c r="A281" s="3255">
        <f t="shared" si="15"/>
        <v>269</v>
      </c>
      <c r="B281" s="3256"/>
      <c r="C281" s="3257"/>
      <c r="D281" s="3258"/>
      <c r="E281" s="3257"/>
      <c r="F281" s="3256"/>
      <c r="G281" s="3614"/>
      <c r="H281" s="3256"/>
      <c r="I281" s="3256"/>
      <c r="J281" s="3256"/>
      <c r="K281" s="3256"/>
      <c r="L281" s="3142" t="str">
        <f t="shared" si="38"/>
        <v/>
      </c>
      <c r="M281" s="3183"/>
      <c r="N281" s="3140">
        <f t="shared" si="32"/>
        <v>0</v>
      </c>
      <c r="O281" s="3140">
        <f t="shared" si="33"/>
        <v>0</v>
      </c>
      <c r="Q281" s="3184">
        <f t="shared" si="34"/>
        <v>0</v>
      </c>
      <c r="T281" s="3184">
        <f t="shared" si="35"/>
        <v>0</v>
      </c>
      <c r="U281" s="3184">
        <f t="shared" si="36"/>
        <v>0</v>
      </c>
      <c r="V281" s="3184">
        <f t="shared" si="37"/>
        <v>0</v>
      </c>
    </row>
    <row r="282" spans="1:22" hidden="1" x14ac:dyDescent="0.2">
      <c r="A282" s="3255">
        <f t="shared" si="15"/>
        <v>270</v>
      </c>
      <c r="B282" s="3256"/>
      <c r="C282" s="3257"/>
      <c r="D282" s="3258"/>
      <c r="E282" s="3257"/>
      <c r="F282" s="3256"/>
      <c r="G282" s="3614"/>
      <c r="H282" s="3256"/>
      <c r="I282" s="3256"/>
      <c r="J282" s="3256"/>
      <c r="K282" s="3256"/>
      <c r="L282" s="3142" t="str">
        <f t="shared" si="38"/>
        <v/>
      </c>
      <c r="M282" s="3183"/>
      <c r="N282" s="3140">
        <f t="shared" si="32"/>
        <v>0</v>
      </c>
      <c r="O282" s="3140">
        <f t="shared" si="33"/>
        <v>0</v>
      </c>
      <c r="Q282" s="3184">
        <f t="shared" si="34"/>
        <v>0</v>
      </c>
      <c r="T282" s="3184">
        <f t="shared" si="35"/>
        <v>0</v>
      </c>
      <c r="U282" s="3184">
        <f t="shared" si="36"/>
        <v>0</v>
      </c>
      <c r="V282" s="3184">
        <f t="shared" si="37"/>
        <v>0</v>
      </c>
    </row>
    <row r="283" spans="1:22" hidden="1" x14ac:dyDescent="0.2">
      <c r="A283" s="3255">
        <f t="shared" si="15"/>
        <v>271</v>
      </c>
      <c r="B283" s="3256"/>
      <c r="C283" s="3257"/>
      <c r="D283" s="3258"/>
      <c r="E283" s="3257"/>
      <c r="F283" s="3256"/>
      <c r="G283" s="3614"/>
      <c r="H283" s="3256"/>
      <c r="I283" s="3256"/>
      <c r="J283" s="3256"/>
      <c r="K283" s="3256"/>
      <c r="L283" s="3142" t="str">
        <f t="shared" si="38"/>
        <v/>
      </c>
      <c r="M283" s="3183"/>
      <c r="N283" s="3140">
        <f t="shared" si="32"/>
        <v>0</v>
      </c>
      <c r="O283" s="3140">
        <f t="shared" si="33"/>
        <v>0</v>
      </c>
      <c r="Q283" s="3184">
        <f t="shared" si="34"/>
        <v>0</v>
      </c>
      <c r="T283" s="3184">
        <f t="shared" si="35"/>
        <v>0</v>
      </c>
      <c r="U283" s="3184">
        <f t="shared" si="36"/>
        <v>0</v>
      </c>
      <c r="V283" s="3184">
        <f t="shared" si="37"/>
        <v>0</v>
      </c>
    </row>
    <row r="284" spans="1:22" hidden="1" x14ac:dyDescent="0.2">
      <c r="A284" s="3255">
        <f t="shared" si="15"/>
        <v>272</v>
      </c>
      <c r="B284" s="3256"/>
      <c r="C284" s="3257"/>
      <c r="D284" s="3258"/>
      <c r="E284" s="3257"/>
      <c r="F284" s="3256"/>
      <c r="G284" s="3614"/>
      <c r="H284" s="3256"/>
      <c r="I284" s="3256"/>
      <c r="J284" s="3256"/>
      <c r="K284" s="3256"/>
      <c r="L284" s="3142" t="str">
        <f t="shared" si="38"/>
        <v/>
      </c>
      <c r="M284" s="3183"/>
      <c r="N284" s="3140">
        <f t="shared" si="32"/>
        <v>0</v>
      </c>
      <c r="O284" s="3140">
        <f t="shared" si="33"/>
        <v>0</v>
      </c>
      <c r="Q284" s="3184">
        <f t="shared" si="34"/>
        <v>0</v>
      </c>
      <c r="T284" s="3184">
        <f t="shared" si="35"/>
        <v>0</v>
      </c>
      <c r="U284" s="3184">
        <f t="shared" si="36"/>
        <v>0</v>
      </c>
      <c r="V284" s="3184">
        <f t="shared" si="37"/>
        <v>0</v>
      </c>
    </row>
    <row r="285" spans="1:22" hidden="1" x14ac:dyDescent="0.2">
      <c r="A285" s="3255">
        <f t="shared" si="15"/>
        <v>273</v>
      </c>
      <c r="B285" s="3256"/>
      <c r="C285" s="3257"/>
      <c r="D285" s="3258"/>
      <c r="E285" s="3257"/>
      <c r="F285" s="3256"/>
      <c r="G285" s="3614"/>
      <c r="H285" s="3256"/>
      <c r="I285" s="3256"/>
      <c r="J285" s="3256"/>
      <c r="K285" s="3256"/>
      <c r="L285" s="3142" t="str">
        <f t="shared" si="38"/>
        <v/>
      </c>
      <c r="M285" s="3183"/>
      <c r="N285" s="3140">
        <f t="shared" si="32"/>
        <v>0</v>
      </c>
      <c r="O285" s="3140">
        <f t="shared" si="33"/>
        <v>0</v>
      </c>
      <c r="Q285" s="3184">
        <f t="shared" si="34"/>
        <v>0</v>
      </c>
      <c r="T285" s="3184">
        <f t="shared" si="35"/>
        <v>0</v>
      </c>
      <c r="U285" s="3184">
        <f t="shared" si="36"/>
        <v>0</v>
      </c>
      <c r="V285" s="3184">
        <f t="shared" si="37"/>
        <v>0</v>
      </c>
    </row>
    <row r="286" spans="1:22" hidden="1" x14ac:dyDescent="0.2">
      <c r="A286" s="3255">
        <f t="shared" si="15"/>
        <v>274</v>
      </c>
      <c r="B286" s="3256"/>
      <c r="C286" s="3257"/>
      <c r="D286" s="3258"/>
      <c r="E286" s="3257"/>
      <c r="F286" s="3256"/>
      <c r="G286" s="3614"/>
      <c r="H286" s="3256"/>
      <c r="I286" s="3256"/>
      <c r="J286" s="3256"/>
      <c r="K286" s="3256"/>
      <c r="L286" s="3142" t="str">
        <f t="shared" si="38"/>
        <v/>
      </c>
      <c r="M286" s="3183"/>
      <c r="N286" s="3140">
        <f t="shared" si="32"/>
        <v>0</v>
      </c>
      <c r="O286" s="3140">
        <f t="shared" si="33"/>
        <v>0</v>
      </c>
      <c r="Q286" s="3184">
        <f t="shared" si="34"/>
        <v>0</v>
      </c>
      <c r="T286" s="3184">
        <f t="shared" si="35"/>
        <v>0</v>
      </c>
      <c r="U286" s="3184">
        <f t="shared" si="36"/>
        <v>0</v>
      </c>
      <c r="V286" s="3184">
        <f t="shared" si="37"/>
        <v>0</v>
      </c>
    </row>
    <row r="287" spans="1:22" hidden="1" x14ac:dyDescent="0.2">
      <c r="A287" s="3255">
        <f t="shared" si="15"/>
        <v>275</v>
      </c>
      <c r="B287" s="3256"/>
      <c r="C287" s="3257"/>
      <c r="D287" s="3258"/>
      <c r="E287" s="3257"/>
      <c r="F287" s="3256"/>
      <c r="G287" s="3614"/>
      <c r="H287" s="3256"/>
      <c r="I287" s="3256"/>
      <c r="J287" s="3256"/>
      <c r="K287" s="3256"/>
      <c r="L287" s="3142" t="str">
        <f t="shared" si="38"/>
        <v/>
      </c>
      <c r="M287" s="3183"/>
      <c r="N287" s="3140">
        <f t="shared" si="32"/>
        <v>0</v>
      </c>
      <c r="O287" s="3140">
        <f t="shared" si="33"/>
        <v>0</v>
      </c>
      <c r="Q287" s="3184">
        <f t="shared" si="34"/>
        <v>0</v>
      </c>
      <c r="T287" s="3184">
        <f t="shared" si="35"/>
        <v>0</v>
      </c>
      <c r="U287" s="3184">
        <f t="shared" si="36"/>
        <v>0</v>
      </c>
      <c r="V287" s="3184">
        <f t="shared" si="37"/>
        <v>0</v>
      </c>
    </row>
    <row r="288" spans="1:22" hidden="1" x14ac:dyDescent="0.2">
      <c r="A288" s="3255">
        <f t="shared" si="15"/>
        <v>276</v>
      </c>
      <c r="B288" s="3256"/>
      <c r="C288" s="3257"/>
      <c r="D288" s="3258"/>
      <c r="E288" s="3257"/>
      <c r="F288" s="3256"/>
      <c r="G288" s="3614"/>
      <c r="H288" s="3256"/>
      <c r="I288" s="3256"/>
      <c r="J288" s="3256"/>
      <c r="K288" s="3256"/>
      <c r="L288" s="3142" t="str">
        <f t="shared" si="38"/>
        <v/>
      </c>
      <c r="M288" s="3183"/>
      <c r="N288" s="3140">
        <f t="shared" si="32"/>
        <v>0</v>
      </c>
      <c r="O288" s="3140">
        <f t="shared" si="33"/>
        <v>0</v>
      </c>
      <c r="Q288" s="3184">
        <f t="shared" si="34"/>
        <v>0</v>
      </c>
      <c r="T288" s="3184">
        <f t="shared" si="35"/>
        <v>0</v>
      </c>
      <c r="U288" s="3184">
        <f t="shared" si="36"/>
        <v>0</v>
      </c>
      <c r="V288" s="3184">
        <f t="shared" si="37"/>
        <v>0</v>
      </c>
    </row>
    <row r="289" spans="1:22" hidden="1" x14ac:dyDescent="0.2">
      <c r="A289" s="3255">
        <f t="shared" si="15"/>
        <v>277</v>
      </c>
      <c r="B289" s="3256"/>
      <c r="C289" s="3257"/>
      <c r="D289" s="3258"/>
      <c r="E289" s="3257"/>
      <c r="F289" s="3256"/>
      <c r="G289" s="3614"/>
      <c r="H289" s="3256"/>
      <c r="I289" s="3256"/>
      <c r="J289" s="3256"/>
      <c r="K289" s="3256"/>
      <c r="L289" s="3142" t="str">
        <f t="shared" si="38"/>
        <v/>
      </c>
      <c r="M289" s="3183"/>
      <c r="N289" s="3140">
        <f t="shared" si="32"/>
        <v>0</v>
      </c>
      <c r="O289" s="3140">
        <f t="shared" si="33"/>
        <v>0</v>
      </c>
      <c r="Q289" s="3184">
        <f t="shared" si="34"/>
        <v>0</v>
      </c>
      <c r="T289" s="3184">
        <f t="shared" si="35"/>
        <v>0</v>
      </c>
      <c r="U289" s="3184">
        <f t="shared" si="36"/>
        <v>0</v>
      </c>
      <c r="V289" s="3184">
        <f t="shared" si="37"/>
        <v>0</v>
      </c>
    </row>
    <row r="290" spans="1:22" hidden="1" x14ac:dyDescent="0.2">
      <c r="A290" s="3255">
        <f t="shared" si="15"/>
        <v>278</v>
      </c>
      <c r="B290" s="3256"/>
      <c r="C290" s="3257"/>
      <c r="D290" s="3258"/>
      <c r="E290" s="3257"/>
      <c r="F290" s="3256"/>
      <c r="G290" s="3614"/>
      <c r="H290" s="3256"/>
      <c r="I290" s="3256"/>
      <c r="J290" s="3256"/>
      <c r="K290" s="3256"/>
      <c r="L290" s="3142" t="str">
        <f t="shared" si="38"/>
        <v/>
      </c>
      <c r="M290" s="3183"/>
      <c r="N290" s="3140">
        <f t="shared" si="32"/>
        <v>0</v>
      </c>
      <c r="O290" s="3140">
        <f t="shared" si="33"/>
        <v>0</v>
      </c>
      <c r="Q290" s="3184">
        <f t="shared" si="34"/>
        <v>0</v>
      </c>
      <c r="T290" s="3184">
        <f t="shared" si="35"/>
        <v>0</v>
      </c>
      <c r="U290" s="3184">
        <f t="shared" si="36"/>
        <v>0</v>
      </c>
      <c r="V290" s="3184">
        <f t="shared" si="37"/>
        <v>0</v>
      </c>
    </row>
    <row r="291" spans="1:22" hidden="1" x14ac:dyDescent="0.2">
      <c r="A291" s="3255">
        <f t="shared" si="15"/>
        <v>279</v>
      </c>
      <c r="B291" s="3256"/>
      <c r="C291" s="3257"/>
      <c r="D291" s="3258"/>
      <c r="E291" s="3257"/>
      <c r="F291" s="3256"/>
      <c r="G291" s="3614"/>
      <c r="H291" s="3256"/>
      <c r="I291" s="3256"/>
      <c r="J291" s="3256"/>
      <c r="K291" s="3256"/>
      <c r="L291" s="3142" t="str">
        <f t="shared" si="38"/>
        <v/>
      </c>
      <c r="M291" s="3183"/>
      <c r="N291" s="3140">
        <f t="shared" si="32"/>
        <v>0</v>
      </c>
      <c r="O291" s="3140">
        <f t="shared" si="33"/>
        <v>0</v>
      </c>
      <c r="Q291" s="3184">
        <f t="shared" si="34"/>
        <v>0</v>
      </c>
      <c r="T291" s="3184">
        <f t="shared" si="35"/>
        <v>0</v>
      </c>
      <c r="U291" s="3184">
        <f t="shared" si="36"/>
        <v>0</v>
      </c>
      <c r="V291" s="3184">
        <f t="shared" si="37"/>
        <v>0</v>
      </c>
    </row>
    <row r="292" spans="1:22" hidden="1" x14ac:dyDescent="0.2">
      <c r="A292" s="3255">
        <f t="shared" si="15"/>
        <v>280</v>
      </c>
      <c r="B292" s="3256"/>
      <c r="C292" s="3257"/>
      <c r="D292" s="3258"/>
      <c r="E292" s="3257"/>
      <c r="F292" s="3256"/>
      <c r="G292" s="3614"/>
      <c r="H292" s="3256"/>
      <c r="I292" s="3256"/>
      <c r="J292" s="3256"/>
      <c r="K292" s="3256"/>
      <c r="L292" s="3142" t="str">
        <f t="shared" si="38"/>
        <v/>
      </c>
      <c r="M292" s="3183"/>
      <c r="N292" s="3140">
        <f t="shared" si="32"/>
        <v>0</v>
      </c>
      <c r="O292" s="3140">
        <f t="shared" si="33"/>
        <v>0</v>
      </c>
      <c r="Q292" s="3184">
        <f t="shared" si="34"/>
        <v>0</v>
      </c>
      <c r="T292" s="3184">
        <f t="shared" si="35"/>
        <v>0</v>
      </c>
      <c r="U292" s="3184">
        <f t="shared" si="36"/>
        <v>0</v>
      </c>
      <c r="V292" s="3184">
        <f t="shared" si="37"/>
        <v>0</v>
      </c>
    </row>
    <row r="293" spans="1:22" hidden="1" x14ac:dyDescent="0.2">
      <c r="A293" s="3255">
        <f t="shared" ref="A293:A301" si="39">A292+1</f>
      </c>
      <c r="B293" s="3256"/>
      <c r="C293" s="3257"/>
      <c r="D293" s="3258"/>
      <c r="E293" s="3257"/>
      <c r="F293" s="3256"/>
      <c r="G293" s="3614"/>
      <c r="H293" s="3256"/>
      <c r="I293" s="3256"/>
      <c r="J293" s="3256"/>
      <c r="K293" s="3256"/>
      <c r="L293" s="3142" t="str">
        <f t="shared" si="38"/>
        <v/>
      </c>
      <c r="M293" s="3183"/>
      <c r="N293" s="3140">
        <f t="shared" ref="N293:N301" si="40">COUNTA(B293:H293)</f>
      </c>
      <c r="O293" s="3140">
        <f t="shared" ref="O293:O301" si="41">IF(L293&lt;&gt;"",1,0)</f>
      </c>
      <c r="Q293" s="3184">
        <f t="shared" ref="Q293:Q301" si="42">IF(K293="yes",1,0)</f>
      </c>
      <c r="T293" s="3184">
        <f t="shared" ref="T293:T301" si="43">IF(N293=0,0,IF(OR(H293=$Y$17,H293=$Y$19),0,1))</f>
      </c>
      <c r="U293" s="3184">
        <f t="shared" ref="U293:U301" si="44">IF(AND(T293=1,I293="no"),1,0)</f>
      </c>
      <c r="V293" s="3184">
        <f t="shared" ref="V293:V301" si="45">IF(AND(U293=1,J293="yes"),1,0)</f>
      </c>
    </row>
    <row r="294" spans="1:22" hidden="1" x14ac:dyDescent="0.2">
      <c r="A294" s="3255">
        <f t="shared" si="39"/>
        <v>282</v>
      </c>
      <c r="B294" s="3256"/>
      <c r="C294" s="3257"/>
      <c r="D294" s="3258"/>
      <c r="E294" s="3257"/>
      <c r="F294" s="3256"/>
      <c r="G294" s="3614"/>
      <c r="H294" s="3256"/>
      <c r="I294" s="3256"/>
      <c r="J294" s="3256"/>
      <c r="K294" s="3256"/>
      <c r="L294" s="3142" t="str">
        <f t="shared" si="38"/>
        <v/>
      </c>
      <c r="M294" s="3183"/>
      <c r="N294" s="3140">
        <f t="shared" si="40"/>
        <v>0</v>
      </c>
      <c r="O294" s="3140">
        <f t="shared" si="41"/>
        <v>0</v>
      </c>
      <c r="Q294" s="3184">
        <f t="shared" si="42"/>
        <v>0</v>
      </c>
      <c r="T294" s="3184">
        <f t="shared" si="43"/>
        <v>0</v>
      </c>
      <c r="U294" s="3184">
        <f t="shared" si="44"/>
        <v>0</v>
      </c>
      <c r="V294" s="3184">
        <f t="shared" si="45"/>
        <v>0</v>
      </c>
    </row>
    <row r="295" spans="1:22" hidden="1" x14ac:dyDescent="0.2">
      <c r="A295" s="3255">
        <f t="shared" si="39"/>
        <v>283</v>
      </c>
      <c r="B295" s="3256"/>
      <c r="C295" s="3257"/>
      <c r="D295" s="3258"/>
      <c r="E295" s="3257"/>
      <c r="F295" s="3256"/>
      <c r="G295" s="3614"/>
      <c r="H295" s="3256"/>
      <c r="I295" s="3256"/>
      <c r="J295" s="3256"/>
      <c r="K295" s="3256"/>
      <c r="L295" s="3142" t="str">
        <f t="shared" si="38"/>
        <v/>
      </c>
      <c r="M295" s="3183"/>
      <c r="N295" s="3140">
        <f t="shared" si="40"/>
        <v>0</v>
      </c>
      <c r="O295" s="3140">
        <f t="shared" si="41"/>
        <v>0</v>
      </c>
      <c r="Q295" s="3184">
        <f t="shared" si="42"/>
        <v>0</v>
      </c>
      <c r="T295" s="3184">
        <f t="shared" si="43"/>
        <v>0</v>
      </c>
      <c r="U295" s="3184">
        <f t="shared" si="44"/>
        <v>0</v>
      </c>
      <c r="V295" s="3184">
        <f t="shared" si="45"/>
        <v>0</v>
      </c>
    </row>
    <row r="296" spans="1:22" hidden="1" x14ac:dyDescent="0.2">
      <c r="A296" s="3255">
        <f t="shared" si="39"/>
        <v>284</v>
      </c>
      <c r="B296" s="3256"/>
      <c r="C296" s="3257"/>
      <c r="D296" s="3258"/>
      <c r="E296" s="3257"/>
      <c r="F296" s="3256"/>
      <c r="G296" s="3614"/>
      <c r="H296" s="3256"/>
      <c r="I296" s="3256"/>
      <c r="J296" s="3256"/>
      <c r="K296" s="3256"/>
      <c r="L296" s="3142" t="str">
        <f t="shared" si="38"/>
        <v/>
      </c>
      <c r="M296" s="3183"/>
      <c r="N296" s="3140">
        <f t="shared" si="40"/>
        <v>0</v>
      </c>
      <c r="O296" s="3140">
        <f t="shared" si="41"/>
        <v>0</v>
      </c>
      <c r="Q296" s="3184">
        <f t="shared" si="42"/>
        <v>0</v>
      </c>
      <c r="T296" s="3184">
        <f t="shared" si="43"/>
        <v>0</v>
      </c>
      <c r="U296" s="3184">
        <f t="shared" si="44"/>
        <v>0</v>
      </c>
      <c r="V296" s="3184">
        <f t="shared" si="45"/>
        <v>0</v>
      </c>
    </row>
    <row r="297" spans="1:22" hidden="1" x14ac:dyDescent="0.2">
      <c r="A297" s="3255">
        <f t="shared" si="39"/>
        <v>285</v>
      </c>
      <c r="B297" s="3256"/>
      <c r="C297" s="3257"/>
      <c r="D297" s="3258"/>
      <c r="E297" s="3257"/>
      <c r="F297" s="3256"/>
      <c r="G297" s="3614"/>
      <c r="H297" s="3256"/>
      <c r="I297" s="3256"/>
      <c r="J297" s="3256"/>
      <c r="K297" s="3256"/>
      <c r="L297" s="3142" t="str">
        <f t="shared" si="38"/>
        <v/>
      </c>
      <c r="M297" s="3183"/>
      <c r="N297" s="3140">
        <f t="shared" si="40"/>
        <v>0</v>
      </c>
      <c r="O297" s="3140">
        <f t="shared" si="41"/>
        <v>0</v>
      </c>
      <c r="Q297" s="3184">
        <f t="shared" si="42"/>
        <v>0</v>
      </c>
      <c r="T297" s="3184">
        <f t="shared" si="43"/>
        <v>0</v>
      </c>
      <c r="U297" s="3184">
        <f t="shared" si="44"/>
        <v>0</v>
      </c>
      <c r="V297" s="3184">
        <f t="shared" si="45"/>
        <v>0</v>
      </c>
    </row>
    <row r="298" spans="1:22" hidden="1" x14ac:dyDescent="0.2">
      <c r="A298" s="3255">
        <f t="shared" si="39"/>
        <v>286</v>
      </c>
      <c r="B298" s="3256"/>
      <c r="C298" s="3257"/>
      <c r="D298" s="3258"/>
      <c r="E298" s="3257"/>
      <c r="F298" s="3256"/>
      <c r="G298" s="3614"/>
      <c r="H298" s="3256"/>
      <c r="I298" s="3256"/>
      <c r="J298" s="3256"/>
      <c r="K298" s="3256"/>
      <c r="L298" s="3142" t="str">
        <f t="shared" si="38"/>
        <v/>
      </c>
      <c r="M298" s="3183"/>
      <c r="N298" s="3140">
        <f t="shared" si="40"/>
        <v>0</v>
      </c>
      <c r="O298" s="3140">
        <f t="shared" si="41"/>
        <v>0</v>
      </c>
      <c r="Q298" s="3184">
        <f t="shared" si="42"/>
        <v>0</v>
      </c>
      <c r="T298" s="3184">
        <f t="shared" si="43"/>
        <v>0</v>
      </c>
      <c r="U298" s="3184">
        <f t="shared" si="44"/>
        <v>0</v>
      </c>
      <c r="V298" s="3184">
        <f t="shared" si="45"/>
        <v>0</v>
      </c>
    </row>
    <row r="299" spans="1:22" hidden="1" x14ac:dyDescent="0.2">
      <c r="A299" s="3255">
        <f t="shared" si="39"/>
        <v>287</v>
      </c>
      <c r="B299" s="3256"/>
      <c r="C299" s="3257"/>
      <c r="D299" s="3258"/>
      <c r="E299" s="3257"/>
      <c r="F299" s="3256"/>
      <c r="G299" s="3614"/>
      <c r="H299" s="3256"/>
      <c r="I299" s="3256"/>
      <c r="J299" s="3256"/>
      <c r="K299" s="3256"/>
      <c r="L299" s="3142" t="str">
        <f t="shared" si="38"/>
        <v/>
      </c>
      <c r="M299" s="3183"/>
      <c r="N299" s="3140">
        <f t="shared" si="40"/>
        <v>0</v>
      </c>
      <c r="O299" s="3140">
        <f t="shared" si="41"/>
        <v>0</v>
      </c>
      <c r="Q299" s="3184">
        <f t="shared" si="42"/>
        <v>0</v>
      </c>
      <c r="T299" s="3184">
        <f t="shared" si="43"/>
        <v>0</v>
      </c>
      <c r="U299" s="3184">
        <f t="shared" si="44"/>
        <v>0</v>
      </c>
      <c r="V299" s="3184">
        <f t="shared" si="45"/>
        <v>0</v>
      </c>
    </row>
    <row r="300" spans="1:22" hidden="1" x14ac:dyDescent="0.2">
      <c r="A300" s="3255">
        <f t="shared" si="39"/>
        <v>288</v>
      </c>
      <c r="B300" s="3256"/>
      <c r="C300" s="3257"/>
      <c r="D300" s="3258"/>
      <c r="E300" s="3257"/>
      <c r="F300" s="3256"/>
      <c r="G300" s="3614"/>
      <c r="H300" s="3256"/>
      <c r="I300" s="3256"/>
      <c r="J300" s="3256"/>
      <c r="K300" s="3256"/>
      <c r="L300" s="3142" t="str">
        <f t="shared" si="38"/>
        <v/>
      </c>
      <c r="M300" s="3183"/>
      <c r="N300" s="3140">
        <f t="shared" si="40"/>
        <v>0</v>
      </c>
      <c r="O300" s="3140">
        <f t="shared" si="41"/>
        <v>0</v>
      </c>
      <c r="Q300" s="3184">
        <f t="shared" si="42"/>
        <v>0</v>
      </c>
      <c r="T300" s="3184">
        <f t="shared" si="43"/>
        <v>0</v>
      </c>
      <c r="U300" s="3184">
        <f t="shared" si="44"/>
        <v>0</v>
      </c>
      <c r="V300" s="3184">
        <f t="shared" si="45"/>
        <v>0</v>
      </c>
    </row>
    <row r="301" spans="1:22" hidden="1" x14ac:dyDescent="0.2">
      <c r="A301" s="3255">
        <f t="shared" si="39"/>
        <v>289</v>
      </c>
      <c r="B301" s="3256"/>
      <c r="C301" s="3257"/>
      <c r="D301" s="3258"/>
      <c r="E301" s="3257"/>
      <c r="F301" s="3256"/>
      <c r="G301" s="3614"/>
      <c r="H301" s="3256"/>
      <c r="I301" s="3256"/>
      <c r="J301" s="3256"/>
      <c r="K301" s="3256"/>
      <c r="L301" s="3142" t="str">
        <f t="shared" si="38"/>
        <v/>
      </c>
      <c r="M301" s="3183"/>
      <c r="N301" s="3140">
        <f t="shared" si="40"/>
        <v>0</v>
      </c>
      <c r="O301" s="3140">
        <f t="shared" si="41"/>
        <v>0</v>
      </c>
      <c r="Q301" s="3184">
        <f t="shared" si="42"/>
        <v>0</v>
      </c>
      <c r="T301" s="3184">
        <f t="shared" si="43"/>
        <v>0</v>
      </c>
      <c r="U301" s="3184">
        <f t="shared" si="44"/>
        <v>0</v>
      </c>
      <c r="V301" s="3184">
        <f t="shared" si="45"/>
        <v>0</v>
      </c>
    </row>
    <row r="302" spans="1:22" hidden="1" x14ac:dyDescent="0.2">
      <c r="A302" s="3255">
        <f t="shared" si="15"/>
        <v>290</v>
      </c>
      <c r="B302" s="3256"/>
      <c r="C302" s="3257"/>
      <c r="D302" s="3258"/>
      <c r="E302" s="3257"/>
      <c r="F302" s="3256"/>
      <c r="G302" s="3614"/>
      <c r="H302" s="3256"/>
      <c r="I302" s="3256"/>
      <c r="J302" s="3256"/>
      <c r="K302" s="3256"/>
      <c r="L302" s="3142" t="str">
        <f t="shared" si="38"/>
        <v/>
      </c>
      <c r="M302" s="3183"/>
      <c r="N302" s="3140">
        <f t="shared" ref="N302:N341" si="46">COUNTA(B302:H302)</f>
      </c>
      <c r="O302" s="3140">
        <f t="shared" ref="O302:O333" si="47">IF(L302&lt;&gt;"",1,0)</f>
      </c>
      <c r="Q302" s="3184">
        <f t="shared" ref="Q302:Q333" si="48">IF(K302="yes",1,0)</f>
      </c>
      <c r="T302" s="3184">
        <f t="shared" ref="T302:T341" si="49">IF(N302=0,0,IF(OR(H302=$Y$17,H302=$Y$19),0,1))</f>
      </c>
      <c r="U302" s="3184">
        <f t="shared" ref="U302:U341" si="50">IF(AND(T302=1,I302="no"),1,0)</f>
      </c>
      <c r="V302" s="3184">
        <f t="shared" ref="V302:V341" si="51">IF(AND(U302=1,J302="yes"),1,0)</f>
      </c>
    </row>
    <row r="303" spans="1:22" hidden="1" x14ac:dyDescent="0.2">
      <c r="A303" s="3255">
        <f t="shared" si="15"/>
        <v>291</v>
      </c>
      <c r="B303" s="3256"/>
      <c r="C303" s="3257"/>
      <c r="D303" s="3258"/>
      <c r="E303" s="3257"/>
      <c r="F303" s="3256"/>
      <c r="G303" s="3614"/>
      <c r="H303" s="3256"/>
      <c r="I303" s="3256"/>
      <c r="J303" s="3256"/>
      <c r="K303" s="3256"/>
      <c r="L303" s="3142" t="str">
        <f t="shared" si="38"/>
        <v/>
      </c>
      <c r="M303" s="3183"/>
      <c r="N303" s="3140">
        <f t="shared" si="46"/>
        <v>0</v>
      </c>
      <c r="O303" s="3140">
        <f t="shared" si="47"/>
        <v>0</v>
      </c>
      <c r="Q303" s="3184">
        <f t="shared" si="48"/>
        <v>0</v>
      </c>
      <c r="T303" s="3184">
        <f t="shared" si="49"/>
        <v>0</v>
      </c>
      <c r="U303" s="3184">
        <f t="shared" si="50"/>
        <v>0</v>
      </c>
      <c r="V303" s="3184">
        <f t="shared" si="51"/>
        <v>0</v>
      </c>
    </row>
    <row r="304" spans="1:22" hidden="1" x14ac:dyDescent="0.2">
      <c r="A304" s="3255">
        <f t="shared" si="15"/>
        <v>292</v>
      </c>
      <c r="B304" s="3256"/>
      <c r="C304" s="3257"/>
      <c r="D304" s="3258"/>
      <c r="E304" s="3257"/>
      <c r="F304" s="3256"/>
      <c r="G304" s="3614"/>
      <c r="H304" s="3256"/>
      <c r="I304" s="3256"/>
      <c r="J304" s="3256"/>
      <c r="K304" s="3256"/>
      <c r="L304" s="3142" t="str">
        <f t="shared" si="38"/>
        <v/>
      </c>
      <c r="M304" s="3183"/>
      <c r="N304" s="3140">
        <f t="shared" si="46"/>
        <v>0</v>
      </c>
      <c r="O304" s="3140">
        <f t="shared" si="47"/>
        <v>0</v>
      </c>
      <c r="Q304" s="3184">
        <f t="shared" si="48"/>
        <v>0</v>
      </c>
      <c r="T304" s="3184">
        <f t="shared" si="49"/>
        <v>0</v>
      </c>
      <c r="U304" s="3184">
        <f t="shared" si="50"/>
        <v>0</v>
      </c>
      <c r="V304" s="3184">
        <f t="shared" si="51"/>
        <v>0</v>
      </c>
    </row>
    <row r="305" spans="1:22" hidden="1" x14ac:dyDescent="0.2">
      <c r="A305" s="3255">
        <f t="shared" si="15"/>
        <v>293</v>
      </c>
      <c r="B305" s="3256"/>
      <c r="C305" s="3257"/>
      <c r="D305" s="3258"/>
      <c r="E305" s="3257"/>
      <c r="F305" s="3256"/>
      <c r="G305" s="3614"/>
      <c r="H305" s="3256"/>
      <c r="I305" s="3256"/>
      <c r="J305" s="3256"/>
      <c r="K305" s="3256"/>
      <c r="L305" s="3142" t="str">
        <f t="shared" si="38"/>
        <v/>
      </c>
      <c r="M305" s="3183"/>
      <c r="N305" s="3140">
        <f t="shared" si="46"/>
        <v>0</v>
      </c>
      <c r="O305" s="3140">
        <f t="shared" si="47"/>
        <v>0</v>
      </c>
      <c r="Q305" s="3184">
        <f t="shared" si="48"/>
        <v>0</v>
      </c>
      <c r="T305" s="3184">
        <f t="shared" si="49"/>
        <v>0</v>
      </c>
      <c r="U305" s="3184">
        <f t="shared" si="50"/>
        <v>0</v>
      </c>
      <c r="V305" s="3184">
        <f t="shared" si="51"/>
        <v>0</v>
      </c>
    </row>
    <row r="306" spans="1:22" hidden="1" x14ac:dyDescent="0.2">
      <c r="A306" s="3255">
        <f t="shared" si="15"/>
        <v>294</v>
      </c>
      <c r="B306" s="3256"/>
      <c r="C306" s="3257"/>
      <c r="D306" s="3258"/>
      <c r="E306" s="3257"/>
      <c r="F306" s="3256"/>
      <c r="G306" s="3614"/>
      <c r="H306" s="3256"/>
      <c r="I306" s="3256"/>
      <c r="J306" s="3256"/>
      <c r="K306" s="3256"/>
      <c r="L306" s="3142" t="str">
        <f t="shared" si="38"/>
        <v/>
      </c>
      <c r="M306" s="3183"/>
      <c r="N306" s="3140">
        <f t="shared" si="46"/>
        <v>0</v>
      </c>
      <c r="O306" s="3140">
        <f t="shared" si="47"/>
        <v>0</v>
      </c>
      <c r="Q306" s="3184">
        <f t="shared" si="48"/>
        <v>0</v>
      </c>
      <c r="T306" s="3184">
        <f t="shared" si="49"/>
        <v>0</v>
      </c>
      <c r="U306" s="3184">
        <f t="shared" si="50"/>
        <v>0</v>
      </c>
      <c r="V306" s="3184">
        <f t="shared" si="51"/>
        <v>0</v>
      </c>
    </row>
    <row r="307" spans="1:22" hidden="1" x14ac:dyDescent="0.2">
      <c r="A307" s="3255">
        <f t="shared" si="15"/>
        <v>295</v>
      </c>
      <c r="B307" s="3256"/>
      <c r="C307" s="3257"/>
      <c r="D307" s="3258"/>
      <c r="E307" s="3257"/>
      <c r="F307" s="3256"/>
      <c r="G307" s="3614"/>
      <c r="H307" s="3256"/>
      <c r="I307" s="3256"/>
      <c r="J307" s="3256"/>
      <c r="K307" s="3256"/>
      <c r="L307" s="3142" t="str">
        <f t="shared" si="38"/>
        <v/>
      </c>
      <c r="M307" s="3183"/>
      <c r="N307" s="3140">
        <f t="shared" si="46"/>
        <v>0</v>
      </c>
      <c r="O307" s="3140">
        <f t="shared" si="47"/>
        <v>0</v>
      </c>
      <c r="Q307" s="3184">
        <f t="shared" si="48"/>
        <v>0</v>
      </c>
      <c r="T307" s="3184">
        <f t="shared" si="49"/>
        <v>0</v>
      </c>
      <c r="U307" s="3184">
        <f t="shared" si="50"/>
        <v>0</v>
      </c>
      <c r="V307" s="3184">
        <f t="shared" si="51"/>
        <v>0</v>
      </c>
    </row>
    <row r="308" spans="1:22" hidden="1" x14ac:dyDescent="0.2">
      <c r="A308" s="3255">
        <f t="shared" si="15"/>
        <v>296</v>
      </c>
      <c r="B308" s="3256"/>
      <c r="C308" s="3257"/>
      <c r="D308" s="3258"/>
      <c r="E308" s="3257"/>
      <c r="F308" s="3256"/>
      <c r="G308" s="3614"/>
      <c r="H308" s="3256"/>
      <c r="I308" s="3256"/>
      <c r="J308" s="3256"/>
      <c r="K308" s="3256"/>
      <c r="L308" s="3142" t="str">
        <f t="shared" si="38"/>
        <v/>
      </c>
      <c r="M308" s="3183"/>
      <c r="N308" s="3140">
        <f t="shared" si="46"/>
        <v>0</v>
      </c>
      <c r="O308" s="3140">
        <f t="shared" si="47"/>
        <v>0</v>
      </c>
      <c r="Q308" s="3184">
        <f t="shared" si="48"/>
        <v>0</v>
      </c>
      <c r="T308" s="3184">
        <f t="shared" si="49"/>
        <v>0</v>
      </c>
      <c r="U308" s="3184">
        <f t="shared" si="50"/>
        <v>0</v>
      </c>
      <c r="V308" s="3184">
        <f t="shared" si="51"/>
        <v>0</v>
      </c>
    </row>
    <row r="309" spans="1:22" hidden="1" x14ac:dyDescent="0.2">
      <c r="A309" s="3255">
        <f t="shared" si="15"/>
        <v>297</v>
      </c>
      <c r="B309" s="3256"/>
      <c r="C309" s="3257"/>
      <c r="D309" s="3258"/>
      <c r="E309" s="3257"/>
      <c r="F309" s="3256"/>
      <c r="G309" s="3614"/>
      <c r="H309" s="3256"/>
      <c r="I309" s="3256"/>
      <c r="J309" s="3256"/>
      <c r="K309" s="3256"/>
      <c r="L309" s="3142" t="str">
        <f t="shared" si="38"/>
        <v/>
      </c>
      <c r="M309" s="3183"/>
      <c r="N309" s="3140">
        <f t="shared" si="46"/>
        <v>0</v>
      </c>
      <c r="O309" s="3140">
        <f t="shared" si="47"/>
        <v>0</v>
      </c>
      <c r="Q309" s="3184">
        <f t="shared" si="48"/>
        <v>0</v>
      </c>
      <c r="T309" s="3184">
        <f t="shared" si="49"/>
        <v>0</v>
      </c>
      <c r="U309" s="3184">
        <f t="shared" si="50"/>
        <v>0</v>
      </c>
      <c r="V309" s="3184">
        <f t="shared" si="51"/>
        <v>0</v>
      </c>
    </row>
    <row r="310" spans="1:22" hidden="1" x14ac:dyDescent="0.2">
      <c r="A310" s="3255">
        <f t="shared" si="15"/>
        <v>298</v>
      </c>
      <c r="B310" s="3256"/>
      <c r="C310" s="3257"/>
      <c r="D310" s="3258"/>
      <c r="E310" s="3257"/>
      <c r="F310" s="3256"/>
      <c r="G310" s="3614"/>
      <c r="H310" s="3256"/>
      <c r="I310" s="3256"/>
      <c r="J310" s="3256"/>
      <c r="K310" s="3256"/>
      <c r="L310" s="3142" t="str">
        <f t="shared" si="38"/>
        <v/>
      </c>
      <c r="M310" s="3183"/>
      <c r="N310" s="3140">
        <f t="shared" si="46"/>
        <v>0</v>
      </c>
      <c r="O310" s="3140">
        <f t="shared" si="47"/>
        <v>0</v>
      </c>
      <c r="Q310" s="3184">
        <f t="shared" si="48"/>
        <v>0</v>
      </c>
      <c r="T310" s="3184">
        <f t="shared" si="49"/>
        <v>0</v>
      </c>
      <c r="U310" s="3184">
        <f t="shared" si="50"/>
        <v>0</v>
      </c>
      <c r="V310" s="3184">
        <f t="shared" si="51"/>
        <v>0</v>
      </c>
    </row>
    <row r="311" spans="1:22" hidden="1" x14ac:dyDescent="0.2">
      <c r="A311" s="3255">
        <f t="shared" si="15"/>
        <v>299</v>
      </c>
      <c r="B311" s="3256"/>
      <c r="C311" s="3257"/>
      <c r="D311" s="3258"/>
      <c r="E311" s="3257"/>
      <c r="F311" s="3256"/>
      <c r="G311" s="3614"/>
      <c r="H311" s="3256"/>
      <c r="I311" s="3256"/>
      <c r="J311" s="3256"/>
      <c r="K311" s="3256"/>
      <c r="L311" s="3142" t="str">
        <f t="shared" si="38"/>
        <v/>
      </c>
      <c r="M311" s="3183"/>
      <c r="N311" s="3140">
        <f t="shared" si="46"/>
        <v>0</v>
      </c>
      <c r="O311" s="3140">
        <f t="shared" si="47"/>
        <v>0</v>
      </c>
      <c r="Q311" s="3184">
        <f t="shared" si="48"/>
        <v>0</v>
      </c>
      <c r="T311" s="3184">
        <f t="shared" si="49"/>
        <v>0</v>
      </c>
      <c r="U311" s="3184">
        <f t="shared" si="50"/>
        <v>0</v>
      </c>
      <c r="V311" s="3184">
        <f t="shared" si="51"/>
        <v>0</v>
      </c>
    </row>
    <row r="312" spans="1:22" hidden="1" x14ac:dyDescent="0.2">
      <c r="A312" s="3255">
        <f t="shared" si="15"/>
        <v>300</v>
      </c>
      <c r="B312" s="3256"/>
      <c r="C312" s="3257"/>
      <c r="D312" s="3258"/>
      <c r="E312" s="3257"/>
      <c r="F312" s="3256"/>
      <c r="G312" s="3614"/>
      <c r="H312" s="3256"/>
      <c r="I312" s="3256"/>
      <c r="J312" s="3256"/>
      <c r="K312" s="3256"/>
      <c r="L312" s="3142" t="str">
        <f t="shared" si="38"/>
        <v/>
      </c>
      <c r="M312" s="3183"/>
      <c r="N312" s="3140">
        <f t="shared" si="46"/>
        <v>0</v>
      </c>
      <c r="O312" s="3140">
        <f t="shared" si="47"/>
        <v>0</v>
      </c>
      <c r="Q312" s="3184">
        <f t="shared" si="48"/>
        <v>0</v>
      </c>
      <c r="T312" s="3184">
        <f t="shared" si="49"/>
        <v>0</v>
      </c>
      <c r="U312" s="3184">
        <f t="shared" si="50"/>
        <v>0</v>
      </c>
      <c r="V312" s="3184">
        <f t="shared" si="51"/>
        <v>0</v>
      </c>
    </row>
    <row r="313" spans="1:22" hidden="1" x14ac:dyDescent="0.2">
      <c r="A313" s="3255">
        <f t="shared" si="15"/>
        <v>301</v>
      </c>
      <c r="B313" s="3256"/>
      <c r="C313" s="3257"/>
      <c r="D313" s="3258"/>
      <c r="E313" s="3257"/>
      <c r="F313" s="3256"/>
      <c r="G313" s="3614"/>
      <c r="H313" s="3256"/>
      <c r="I313" s="3256"/>
      <c r="J313" s="3256"/>
      <c r="K313" s="3256"/>
      <c r="L313" s="3142" t="str">
        <f t="shared" si="38"/>
        <v/>
      </c>
      <c r="M313" s="3183"/>
      <c r="N313" s="3140">
        <f t="shared" si="46"/>
        <v>0</v>
      </c>
      <c r="O313" s="3140">
        <f t="shared" si="47"/>
        <v>0</v>
      </c>
      <c r="Q313" s="3184">
        <f t="shared" si="48"/>
        <v>0</v>
      </c>
      <c r="T313" s="3184">
        <f t="shared" si="49"/>
        <v>0</v>
      </c>
      <c r="U313" s="3184">
        <f t="shared" si="50"/>
        <v>0</v>
      </c>
      <c r="V313" s="3184">
        <f t="shared" si="51"/>
        <v>0</v>
      </c>
    </row>
    <row r="314" spans="1:22" hidden="1" x14ac:dyDescent="0.2">
      <c r="A314" s="3255">
        <f t="shared" si="15"/>
        <v>302</v>
      </c>
      <c r="B314" s="3256"/>
      <c r="C314" s="3257"/>
      <c r="D314" s="3258"/>
      <c r="E314" s="3257"/>
      <c r="F314" s="3256"/>
      <c r="G314" s="3614"/>
      <c r="H314" s="3256"/>
      <c r="I314" s="3256"/>
      <c r="J314" s="3256"/>
      <c r="K314" s="3256"/>
      <c r="L314" s="3142" t="str">
        <f t="shared" si="38"/>
        <v/>
      </c>
      <c r="M314" s="3183"/>
      <c r="N314" s="3140">
        <f t="shared" si="46"/>
        <v>0</v>
      </c>
      <c r="O314" s="3140">
        <f t="shared" si="47"/>
        <v>0</v>
      </c>
      <c r="Q314" s="3184">
        <f t="shared" si="48"/>
        <v>0</v>
      </c>
      <c r="T314" s="3184">
        <f t="shared" si="49"/>
        <v>0</v>
      </c>
      <c r="U314" s="3184">
        <f t="shared" si="50"/>
        <v>0</v>
      </c>
      <c r="V314" s="3184">
        <f t="shared" si="51"/>
        <v>0</v>
      </c>
    </row>
    <row r="315" spans="1:22" hidden="1" x14ac:dyDescent="0.2">
      <c r="A315" s="3255">
        <f t="shared" si="15"/>
        <v>303</v>
      </c>
      <c r="B315" s="3256"/>
      <c r="C315" s="3257"/>
      <c r="D315" s="3258"/>
      <c r="E315" s="3257"/>
      <c r="F315" s="3256"/>
      <c r="G315" s="3614"/>
      <c r="H315" s="3256"/>
      <c r="I315" s="3256"/>
      <c r="J315" s="3256"/>
      <c r="K315" s="3256"/>
      <c r="L315" s="3142" t="str">
        <f t="shared" si="38"/>
        <v/>
      </c>
      <c r="M315" s="3183"/>
      <c r="N315" s="3140">
        <f t="shared" si="46"/>
        <v>0</v>
      </c>
      <c r="O315" s="3140">
        <f t="shared" si="47"/>
        <v>0</v>
      </c>
      <c r="Q315" s="3184">
        <f t="shared" si="48"/>
        <v>0</v>
      </c>
      <c r="T315" s="3184">
        <f t="shared" si="49"/>
        <v>0</v>
      </c>
      <c r="U315" s="3184">
        <f t="shared" si="50"/>
        <v>0</v>
      </c>
      <c r="V315" s="3184">
        <f t="shared" si="51"/>
        <v>0</v>
      </c>
    </row>
    <row r="316" spans="1:22" hidden="1" x14ac:dyDescent="0.2">
      <c r="A316" s="3255">
        <f t="shared" si="15"/>
        <v>304</v>
      </c>
      <c r="B316" s="3256"/>
      <c r="C316" s="3257"/>
      <c r="D316" s="3258"/>
      <c r="E316" s="3257"/>
      <c r="F316" s="3256"/>
      <c r="G316" s="3614"/>
      <c r="H316" s="3256"/>
      <c r="I316" s="3256"/>
      <c r="J316" s="3256"/>
      <c r="K316" s="3256"/>
      <c r="L316" s="3142" t="str">
        <f t="shared" si="38"/>
        <v/>
      </c>
      <c r="M316" s="3183"/>
      <c r="N316" s="3140">
        <f t="shared" si="46"/>
        <v>0</v>
      </c>
      <c r="O316" s="3140">
        <f t="shared" si="47"/>
        <v>0</v>
      </c>
      <c r="Q316" s="3184">
        <f t="shared" si="48"/>
        <v>0</v>
      </c>
      <c r="T316" s="3184">
        <f t="shared" si="49"/>
        <v>0</v>
      </c>
      <c r="U316" s="3184">
        <f t="shared" si="50"/>
        <v>0</v>
      </c>
      <c r="V316" s="3184">
        <f t="shared" si="51"/>
        <v>0</v>
      </c>
    </row>
    <row r="317" spans="1:22" hidden="1" x14ac:dyDescent="0.2">
      <c r="A317" s="3255">
        <f t="shared" si="15"/>
        <v>305</v>
      </c>
      <c r="B317" s="3256"/>
      <c r="C317" s="3257"/>
      <c r="D317" s="3258"/>
      <c r="E317" s="3257"/>
      <c r="F317" s="3256"/>
      <c r="G317" s="3614"/>
      <c r="H317" s="3256"/>
      <c r="I317" s="3256"/>
      <c r="J317" s="3256"/>
      <c r="K317" s="3256"/>
      <c r="L317" s="3142" t="str">
        <f t="shared" si="38"/>
        <v/>
      </c>
      <c r="M317" s="3183"/>
      <c r="N317" s="3140">
        <f t="shared" si="46"/>
        <v>0</v>
      </c>
      <c r="O317" s="3140">
        <f t="shared" si="47"/>
        <v>0</v>
      </c>
      <c r="Q317" s="3184">
        <f t="shared" si="48"/>
        <v>0</v>
      </c>
      <c r="T317" s="3184">
        <f t="shared" si="49"/>
        <v>0</v>
      </c>
      <c r="U317" s="3184">
        <f t="shared" si="50"/>
        <v>0</v>
      </c>
      <c r="V317" s="3184">
        <f t="shared" si="51"/>
        <v>0</v>
      </c>
    </row>
    <row r="318" spans="1:22" hidden="1" x14ac:dyDescent="0.2">
      <c r="A318" s="3255">
        <f t="shared" si="15"/>
        <v>306</v>
      </c>
      <c r="B318" s="3256"/>
      <c r="C318" s="3257"/>
      <c r="D318" s="3258"/>
      <c r="E318" s="3257"/>
      <c r="F318" s="3256"/>
      <c r="G318" s="3614"/>
      <c r="H318" s="3256"/>
      <c r="I318" s="3256"/>
      <c r="J318" s="3256"/>
      <c r="K318" s="3256"/>
      <c r="L318" s="3142" t="str">
        <f t="shared" si="38"/>
        <v/>
      </c>
      <c r="M318" s="3183"/>
      <c r="N318" s="3140">
        <f t="shared" si="46"/>
        <v>0</v>
      </c>
      <c r="O318" s="3140">
        <f t="shared" si="47"/>
        <v>0</v>
      </c>
      <c r="Q318" s="3184">
        <f t="shared" si="48"/>
        <v>0</v>
      </c>
      <c r="T318" s="3184">
        <f t="shared" si="49"/>
        <v>0</v>
      </c>
      <c r="U318" s="3184">
        <f t="shared" si="50"/>
        <v>0</v>
      </c>
      <c r="V318" s="3184">
        <f t="shared" si="51"/>
        <v>0</v>
      </c>
    </row>
    <row r="319" spans="1:22" hidden="1" x14ac:dyDescent="0.2">
      <c r="A319" s="3255">
        <f t="shared" si="15"/>
        <v>307</v>
      </c>
      <c r="B319" s="3256"/>
      <c r="C319" s="3257"/>
      <c r="D319" s="3258"/>
      <c r="E319" s="3257"/>
      <c r="F319" s="3256"/>
      <c r="G319" s="3614"/>
      <c r="H319" s="3256"/>
      <c r="I319" s="3256"/>
      <c r="J319" s="3256"/>
      <c r="K319" s="3256"/>
      <c r="L319" s="3142" t="str">
        <f t="shared" si="38"/>
        <v/>
      </c>
      <c r="M319" s="3183"/>
      <c r="N319" s="3140">
        <f t="shared" si="46"/>
        <v>0</v>
      </c>
      <c r="O319" s="3140">
        <f t="shared" si="47"/>
        <v>0</v>
      </c>
      <c r="Q319" s="3184">
        <f t="shared" si="48"/>
        <v>0</v>
      </c>
      <c r="T319" s="3184">
        <f t="shared" si="49"/>
        <v>0</v>
      </c>
      <c r="U319" s="3184">
        <f t="shared" si="50"/>
        <v>0</v>
      </c>
      <c r="V319" s="3184">
        <f t="shared" si="51"/>
        <v>0</v>
      </c>
    </row>
    <row r="320" spans="1:22" hidden="1" x14ac:dyDescent="0.2">
      <c r="A320" s="3255">
        <f t="shared" si="15"/>
        <v>308</v>
      </c>
      <c r="B320" s="3256"/>
      <c r="C320" s="3257"/>
      <c r="D320" s="3258"/>
      <c r="E320" s="3257"/>
      <c r="F320" s="3256"/>
      <c r="G320" s="3614"/>
      <c r="H320" s="3256"/>
      <c r="I320" s="3256"/>
      <c r="J320" s="3256"/>
      <c r="K320" s="3256"/>
      <c r="L320" s="3142" t="str">
        <f t="shared" si="38"/>
        <v/>
      </c>
      <c r="M320" s="3183"/>
      <c r="N320" s="3140">
        <f t="shared" si="46"/>
        <v>0</v>
      </c>
      <c r="O320" s="3140">
        <f t="shared" si="47"/>
        <v>0</v>
      </c>
      <c r="Q320" s="3184">
        <f t="shared" si="48"/>
        <v>0</v>
      </c>
      <c r="T320" s="3184">
        <f t="shared" si="49"/>
        <v>0</v>
      </c>
      <c r="U320" s="3184">
        <f t="shared" si="50"/>
        <v>0</v>
      </c>
      <c r="V320" s="3184">
        <f t="shared" si="51"/>
        <v>0</v>
      </c>
    </row>
    <row r="321" spans="1:22" hidden="1" x14ac:dyDescent="0.2">
      <c r="A321" s="3255">
        <f t="shared" si="15"/>
        <v>309</v>
      </c>
      <c r="B321" s="3256"/>
      <c r="C321" s="3257"/>
      <c r="D321" s="3258"/>
      <c r="E321" s="3257"/>
      <c r="F321" s="3256"/>
      <c r="G321" s="3614"/>
      <c r="H321" s="3256"/>
      <c r="I321" s="3256"/>
      <c r="J321" s="3256"/>
      <c r="K321" s="3256"/>
      <c r="L321" s="3142" t="str">
        <f t="shared" si="38"/>
        <v/>
      </c>
      <c r="M321" s="3183"/>
      <c r="N321" s="3140">
        <f t="shared" si="46"/>
        <v>0</v>
      </c>
      <c r="O321" s="3140">
        <f t="shared" si="47"/>
        <v>0</v>
      </c>
      <c r="Q321" s="3184">
        <f t="shared" si="48"/>
        <v>0</v>
      </c>
      <c r="T321" s="3184">
        <f t="shared" si="49"/>
        <v>0</v>
      </c>
      <c r="U321" s="3184">
        <f t="shared" si="50"/>
        <v>0</v>
      </c>
      <c r="V321" s="3184">
        <f t="shared" si="51"/>
        <v>0</v>
      </c>
    </row>
    <row r="322" spans="1:22" hidden="1" x14ac:dyDescent="0.2">
      <c r="A322" s="3255">
        <f t="shared" si="15"/>
        <v>310</v>
      </c>
      <c r="B322" s="3256"/>
      <c r="C322" s="3257"/>
      <c r="D322" s="3258"/>
      <c r="E322" s="3257"/>
      <c r="F322" s="3256"/>
      <c r="G322" s="3614"/>
      <c r="H322" s="3256"/>
      <c r="I322" s="3256"/>
      <c r="J322" s="3256"/>
      <c r="K322" s="3256"/>
      <c r="L322" s="3142" t="str">
        <f t="shared" si="38"/>
        <v/>
      </c>
      <c r="M322" s="3183"/>
      <c r="N322" s="3140">
        <f t="shared" si="46"/>
        <v>0</v>
      </c>
      <c r="O322" s="3140">
        <f t="shared" si="47"/>
        <v>0</v>
      </c>
      <c r="Q322" s="3184">
        <f t="shared" si="48"/>
        <v>0</v>
      </c>
      <c r="T322" s="3184">
        <f t="shared" si="49"/>
        <v>0</v>
      </c>
      <c r="U322" s="3184">
        <f t="shared" si="50"/>
        <v>0</v>
      </c>
      <c r="V322" s="3184">
        <f t="shared" si="51"/>
        <v>0</v>
      </c>
    </row>
    <row r="323" spans="1:22" hidden="1" x14ac:dyDescent="0.2">
      <c r="A323" s="3255">
        <f t="shared" si="15"/>
        <v>311</v>
      </c>
      <c r="B323" s="3256"/>
      <c r="C323" s="3257"/>
      <c r="D323" s="3258"/>
      <c r="E323" s="3257"/>
      <c r="F323" s="3256"/>
      <c r="G323" s="3614"/>
      <c r="H323" s="3256"/>
      <c r="I323" s="3256"/>
      <c r="J323" s="3256"/>
      <c r="K323" s="3256"/>
      <c r="L323" s="3142" t="str">
        <f t="shared" si="38"/>
        <v/>
      </c>
      <c r="M323" s="3183"/>
      <c r="N323" s="3140">
        <f t="shared" si="46"/>
        <v>0</v>
      </c>
      <c r="O323" s="3140">
        <f t="shared" si="47"/>
        <v>0</v>
      </c>
      <c r="Q323" s="3184">
        <f t="shared" si="48"/>
        <v>0</v>
      </c>
      <c r="T323" s="3184">
        <f t="shared" si="49"/>
        <v>0</v>
      </c>
      <c r="U323" s="3184">
        <f t="shared" si="50"/>
        <v>0</v>
      </c>
      <c r="V323" s="3184">
        <f t="shared" si="51"/>
        <v>0</v>
      </c>
    </row>
    <row r="324" spans="1:22" hidden="1" x14ac:dyDescent="0.2">
      <c r="A324" s="3255">
        <f t="shared" si="15"/>
        <v>312</v>
      </c>
      <c r="B324" s="3256"/>
      <c r="C324" s="3257"/>
      <c r="D324" s="3258"/>
      <c r="E324" s="3257"/>
      <c r="F324" s="3256"/>
      <c r="G324" s="3614"/>
      <c r="H324" s="3256"/>
      <c r="I324" s="3256"/>
      <c r="J324" s="3256"/>
      <c r="K324" s="3256"/>
      <c r="L324" s="3142" t="str">
        <f t="shared" si="38"/>
        <v/>
      </c>
      <c r="M324" s="3183"/>
      <c r="N324" s="3140">
        <f t="shared" si="46"/>
        <v>0</v>
      </c>
      <c r="O324" s="3140">
        <f t="shared" si="47"/>
        <v>0</v>
      </c>
      <c r="Q324" s="3184">
        <f t="shared" si="48"/>
        <v>0</v>
      </c>
      <c r="T324" s="3184">
        <f t="shared" si="49"/>
        <v>0</v>
      </c>
      <c r="U324" s="3184">
        <f t="shared" si="50"/>
        <v>0</v>
      </c>
      <c r="V324" s="3184">
        <f t="shared" si="51"/>
        <v>0</v>
      </c>
    </row>
    <row r="325" spans="1:22" hidden="1" x14ac:dyDescent="0.2">
      <c r="A325" s="3255">
        <f t="shared" si="15"/>
        <v>313</v>
      </c>
      <c r="B325" s="3256"/>
      <c r="C325" s="3257"/>
      <c r="D325" s="3258"/>
      <c r="E325" s="3257"/>
      <c r="F325" s="3256"/>
      <c r="G325" s="3614"/>
      <c r="H325" s="3256"/>
      <c r="I325" s="3256"/>
      <c r="J325" s="3256"/>
      <c r="K325" s="3256"/>
      <c r="L325" s="3142" t="str">
        <f t="shared" si="38"/>
        <v/>
      </c>
      <c r="M325" s="3183"/>
      <c r="N325" s="3140">
        <f t="shared" si="46"/>
        <v>0</v>
      </c>
      <c r="O325" s="3140">
        <f t="shared" si="47"/>
        <v>0</v>
      </c>
      <c r="Q325" s="3184">
        <f t="shared" si="48"/>
        <v>0</v>
      </c>
      <c r="T325" s="3184">
        <f t="shared" si="49"/>
        <v>0</v>
      </c>
      <c r="U325" s="3184">
        <f t="shared" si="50"/>
        <v>0</v>
      </c>
      <c r="V325" s="3184">
        <f t="shared" si="51"/>
        <v>0</v>
      </c>
    </row>
    <row r="326" spans="1:22" hidden="1" x14ac:dyDescent="0.2">
      <c r="A326" s="3255">
        <f t="shared" si="15"/>
        <v>314</v>
      </c>
      <c r="B326" s="3256"/>
      <c r="C326" s="3257"/>
      <c r="D326" s="3258"/>
      <c r="E326" s="3257"/>
      <c r="F326" s="3256"/>
      <c r="G326" s="3614"/>
      <c r="H326" s="3256"/>
      <c r="I326" s="3256"/>
      <c r="J326" s="3256"/>
      <c r="K326" s="3256"/>
      <c r="L326" s="3142" t="str">
        <f t="shared" si="38"/>
        <v/>
      </c>
      <c r="M326" s="3183"/>
      <c r="N326" s="3140">
        <f t="shared" si="46"/>
        <v>0</v>
      </c>
      <c r="O326" s="3140">
        <f t="shared" si="47"/>
        <v>0</v>
      </c>
      <c r="Q326" s="3184">
        <f t="shared" si="48"/>
        <v>0</v>
      </c>
      <c r="T326" s="3184">
        <f t="shared" si="49"/>
        <v>0</v>
      </c>
      <c r="U326" s="3184">
        <f t="shared" si="50"/>
        <v>0</v>
      </c>
      <c r="V326" s="3184">
        <f t="shared" si="51"/>
        <v>0</v>
      </c>
    </row>
    <row r="327" spans="1:22" hidden="1" x14ac:dyDescent="0.2">
      <c r="A327" s="3255">
        <f t="shared" si="15"/>
        <v>315</v>
      </c>
      <c r="B327" s="3256"/>
      <c r="C327" s="3257"/>
      <c r="D327" s="3258"/>
      <c r="E327" s="3257"/>
      <c r="F327" s="3256"/>
      <c r="G327" s="3614"/>
      <c r="H327" s="3256"/>
      <c r="I327" s="3256"/>
      <c r="J327" s="3256"/>
      <c r="K327" s="3256"/>
      <c r="L327" s="3142" t="str">
        <f t="shared" si="38"/>
        <v/>
      </c>
      <c r="M327" s="3183"/>
      <c r="N327" s="3140">
        <f t="shared" si="46"/>
        <v>0</v>
      </c>
      <c r="O327" s="3140">
        <f t="shared" si="47"/>
        <v>0</v>
      </c>
      <c r="Q327" s="3184">
        <f t="shared" si="48"/>
        <v>0</v>
      </c>
      <c r="T327" s="3184">
        <f t="shared" si="49"/>
        <v>0</v>
      </c>
      <c r="U327" s="3184">
        <f t="shared" si="50"/>
        <v>0</v>
      </c>
      <c r="V327" s="3184">
        <f t="shared" si="51"/>
        <v>0</v>
      </c>
    </row>
    <row r="328" spans="1:22" hidden="1" x14ac:dyDescent="0.2">
      <c r="A328" s="3255">
        <f t="shared" si="15"/>
        <v>316</v>
      </c>
      <c r="B328" s="3256"/>
      <c r="C328" s="3257"/>
      <c r="D328" s="3258"/>
      <c r="E328" s="3257"/>
      <c r="F328" s="3256"/>
      <c r="G328" s="3614"/>
      <c r="H328" s="3256"/>
      <c r="I328" s="3256"/>
      <c r="J328" s="3256"/>
      <c r="K328" s="3256"/>
      <c r="L328" s="3142" t="str">
        <f t="shared" si="38"/>
        <v/>
      </c>
      <c r="M328" s="3183"/>
      <c r="N328" s="3140">
        <f t="shared" si="46"/>
        <v>0</v>
      </c>
      <c r="O328" s="3140">
        <f t="shared" si="47"/>
        <v>0</v>
      </c>
      <c r="Q328" s="3184">
        <f t="shared" si="48"/>
        <v>0</v>
      </c>
      <c r="T328" s="3184">
        <f t="shared" si="49"/>
        <v>0</v>
      </c>
      <c r="U328" s="3184">
        <f t="shared" si="50"/>
        <v>0</v>
      </c>
      <c r="V328" s="3184">
        <f t="shared" si="51"/>
        <v>0</v>
      </c>
    </row>
    <row r="329" spans="1:22" hidden="1" x14ac:dyDescent="0.2">
      <c r="A329" s="3255">
        <f t="shared" si="15"/>
        <v>317</v>
      </c>
      <c r="B329" s="3256"/>
      <c r="C329" s="3257"/>
      <c r="D329" s="3258"/>
      <c r="E329" s="3257"/>
      <c r="F329" s="3256"/>
      <c r="G329" s="3614"/>
      <c r="H329" s="3256"/>
      <c r="I329" s="3256"/>
      <c r="J329" s="3256"/>
      <c r="K329" s="3256"/>
      <c r="L329" s="3142" t="str">
        <f t="shared" si="38"/>
        <v/>
      </c>
      <c r="M329" s="3183"/>
      <c r="N329" s="3140">
        <f t="shared" si="46"/>
        <v>0</v>
      </c>
      <c r="O329" s="3140">
        <f t="shared" si="47"/>
        <v>0</v>
      </c>
      <c r="Q329" s="3184">
        <f t="shared" si="48"/>
        <v>0</v>
      </c>
      <c r="T329" s="3184">
        <f t="shared" si="49"/>
        <v>0</v>
      </c>
      <c r="U329" s="3184">
        <f t="shared" si="50"/>
        <v>0</v>
      </c>
      <c r="V329" s="3184">
        <f t="shared" si="51"/>
        <v>0</v>
      </c>
    </row>
    <row r="330" spans="1:22" hidden="1" x14ac:dyDescent="0.2">
      <c r="A330" s="3255">
        <f t="shared" si="15"/>
        <v>318</v>
      </c>
      <c r="B330" s="3256"/>
      <c r="C330" s="3257"/>
      <c r="D330" s="3258"/>
      <c r="E330" s="3257"/>
      <c r="F330" s="3256"/>
      <c r="G330" s="3614"/>
      <c r="H330" s="3256"/>
      <c r="I330" s="3256"/>
      <c r="J330" s="3256"/>
      <c r="K330" s="3256"/>
      <c r="L330" s="3142" t="str">
        <f t="shared" si="38"/>
        <v/>
      </c>
      <c r="M330" s="3183"/>
      <c r="N330" s="3140">
        <f t="shared" si="46"/>
        <v>0</v>
      </c>
      <c r="O330" s="3140">
        <f t="shared" si="47"/>
        <v>0</v>
      </c>
      <c r="Q330" s="3184">
        <f t="shared" si="48"/>
        <v>0</v>
      </c>
      <c r="T330" s="3184">
        <f t="shared" si="49"/>
        <v>0</v>
      </c>
      <c r="U330" s="3184">
        <f t="shared" si="50"/>
        <v>0</v>
      </c>
      <c r="V330" s="3184">
        <f t="shared" si="51"/>
        <v>0</v>
      </c>
    </row>
    <row r="331" spans="1:22" hidden="1" x14ac:dyDescent="0.2">
      <c r="A331" s="3255">
        <f t="shared" si="15"/>
        <v>319</v>
      </c>
      <c r="B331" s="3256"/>
      <c r="C331" s="3257"/>
      <c r="D331" s="3258"/>
      <c r="E331" s="3257"/>
      <c r="F331" s="3256"/>
      <c r="G331" s="3614"/>
      <c r="H331" s="3256"/>
      <c r="I331" s="3256"/>
      <c r="J331" s="3256"/>
      <c r="K331" s="3256"/>
      <c r="L331" s="3142" t="str">
        <f t="shared" si="38"/>
        <v/>
      </c>
      <c r="M331" s="3183"/>
      <c r="N331" s="3140">
        <f t="shared" si="46"/>
        <v>0</v>
      </c>
      <c r="O331" s="3140">
        <f t="shared" si="47"/>
        <v>0</v>
      </c>
      <c r="Q331" s="3184">
        <f t="shared" si="48"/>
        <v>0</v>
      </c>
      <c r="T331" s="3184">
        <f t="shared" si="49"/>
        <v>0</v>
      </c>
      <c r="U331" s="3184">
        <f t="shared" si="50"/>
        <v>0</v>
      </c>
      <c r="V331" s="3184">
        <f t="shared" si="51"/>
        <v>0</v>
      </c>
    </row>
    <row r="332" spans="1:22" hidden="1" x14ac:dyDescent="0.2">
      <c r="A332" s="3255">
        <f t="shared" si="15"/>
        <v>320</v>
      </c>
      <c r="B332" s="3256"/>
      <c r="C332" s="3257"/>
      <c r="D332" s="3258"/>
      <c r="E332" s="3257"/>
      <c r="F332" s="3256"/>
      <c r="G332" s="3614"/>
      <c r="H332" s="3256"/>
      <c r="I332" s="3256"/>
      <c r="J332" s="3256"/>
      <c r="K332" s="3256"/>
      <c r="L332" s="3142" t="str">
        <f t="shared" si="38"/>
        <v/>
      </c>
      <c r="M332" s="3183"/>
      <c r="N332" s="3140">
        <f t="shared" si="46"/>
        <v>0</v>
      </c>
      <c r="O332" s="3140">
        <f t="shared" si="47"/>
        <v>0</v>
      </c>
      <c r="Q332" s="3184">
        <f t="shared" si="48"/>
        <v>0</v>
      </c>
      <c r="T332" s="3184">
        <f t="shared" si="49"/>
        <v>0</v>
      </c>
      <c r="U332" s="3184">
        <f t="shared" si="50"/>
        <v>0</v>
      </c>
      <c r="V332" s="3184">
        <f t="shared" si="51"/>
        <v>0</v>
      </c>
    </row>
    <row r="333" spans="1:22" hidden="1" x14ac:dyDescent="0.2">
      <c r="A333" s="3255">
        <f t="shared" si="15"/>
        <v>321</v>
      </c>
      <c r="B333" s="3256"/>
      <c r="C333" s="3257"/>
      <c r="D333" s="3258"/>
      <c r="E333" s="3257"/>
      <c r="F333" s="3256"/>
      <c r="G333" s="3614"/>
      <c r="H333" s="3256"/>
      <c r="I333" s="3256"/>
      <c r="J333" s="3256"/>
      <c r="K333" s="3256"/>
      <c r="L333" s="3142" t="str">
        <f t="shared" ref="L333:L396" si="52">IF(AND($N$4&gt;0,A333&lt;=$J$8,N333&lt;&gt;7),re,IF(AND(N333&gt;0,$K$8=0),"No details required",IF(AND(T333=1,I333=""),re,IF(AND(T333=0,COUNTA(I333:K333)&gt;0),"Delete!",IF(AND(U333=1,J333=""),re,IF(AND(U333=0,COUNTA(J333:K333)&gt;0),"Delete!",IF(AND(V333=1,K333=""),re,IF(AND(V333=0,COUNTA(K333)&gt;0),"Delete!",IF(AND(N333&gt;0,A333&gt;$J$8),"Check no. of foreign holdings!","")))))))))</f>
        <v/>
      </c>
      <c r="M333" s="3183"/>
      <c r="N333" s="3140">
        <f t="shared" si="46"/>
        <v>0</v>
      </c>
      <c r="O333" s="3140">
        <f t="shared" si="47"/>
        <v>0</v>
      </c>
      <c r="Q333" s="3184">
        <f t="shared" si="48"/>
        <v>0</v>
      </c>
      <c r="T333" s="3184">
        <f t="shared" si="49"/>
        <v>0</v>
      </c>
      <c r="U333" s="3184">
        <f t="shared" si="50"/>
        <v>0</v>
      </c>
      <c r="V333" s="3184">
        <f t="shared" si="51"/>
        <v>0</v>
      </c>
    </row>
    <row r="334" spans="1:22" hidden="1" x14ac:dyDescent="0.2">
      <c r="A334" s="3255">
        <f t="shared" si="15"/>
        <v>322</v>
      </c>
      <c r="B334" s="3256"/>
      <c r="C334" s="3257"/>
      <c r="D334" s="3258"/>
      <c r="E334" s="3257"/>
      <c r="F334" s="3256"/>
      <c r="G334" s="3614"/>
      <c r="H334" s="3256"/>
      <c r="I334" s="3256"/>
      <c r="J334" s="3256"/>
      <c r="K334" s="3256"/>
      <c r="L334" s="3142" t="str">
        <f t="shared" si="52"/>
        <v/>
      </c>
      <c r="M334" s="3183"/>
      <c r="N334" s="3140">
        <f t="shared" si="46"/>
        <v>0</v>
      </c>
      <c r="O334" s="3140">
        <f t="shared" ref="O334:O350" si="53">IF(L334&lt;&gt;"",1,0)</f>
      </c>
      <c r="Q334" s="3184">
        <f t="shared" ref="Q334:Q350" si="54">IF(K334="yes",1,0)</f>
      </c>
      <c r="T334" s="3184">
        <f t="shared" si="49"/>
        <v>0</v>
      </c>
      <c r="U334" s="3184">
        <f t="shared" si="50"/>
        <v>0</v>
      </c>
      <c r="V334" s="3184">
        <f t="shared" si="51"/>
        <v>0</v>
      </c>
    </row>
    <row r="335" spans="1:22" hidden="1" x14ac:dyDescent="0.2">
      <c r="A335" s="3255">
        <f t="shared" si="15"/>
        <v>323</v>
      </c>
      <c r="B335" s="3256"/>
      <c r="C335" s="3257"/>
      <c r="D335" s="3258"/>
      <c r="E335" s="3257"/>
      <c r="F335" s="3256"/>
      <c r="G335" s="3614"/>
      <c r="H335" s="3256"/>
      <c r="I335" s="3256"/>
      <c r="J335" s="3256"/>
      <c r="K335" s="3256"/>
      <c r="L335" s="3142" t="str">
        <f t="shared" si="52"/>
        <v/>
      </c>
      <c r="M335" s="3183"/>
      <c r="N335" s="3140">
        <f t="shared" si="46"/>
        <v>0</v>
      </c>
      <c r="O335" s="3140">
        <f t="shared" si="53"/>
        <v>0</v>
      </c>
      <c r="Q335" s="3184">
        <f t="shared" si="54"/>
        <v>0</v>
      </c>
      <c r="T335" s="3184">
        <f t="shared" si="49"/>
        <v>0</v>
      </c>
      <c r="U335" s="3184">
        <f t="shared" si="50"/>
        <v>0</v>
      </c>
      <c r="V335" s="3184">
        <f t="shared" si="51"/>
        <v>0</v>
      </c>
    </row>
    <row r="336" spans="1:22" hidden="1" x14ac:dyDescent="0.2">
      <c r="A336" s="3255">
        <f t="shared" si="15"/>
        <v>324</v>
      </c>
      <c r="B336" s="3256"/>
      <c r="C336" s="3257"/>
      <c r="D336" s="3258"/>
      <c r="E336" s="3257"/>
      <c r="F336" s="3256"/>
      <c r="G336" s="3614"/>
      <c r="H336" s="3256"/>
      <c r="I336" s="3256"/>
      <c r="J336" s="3256"/>
      <c r="K336" s="3256"/>
      <c r="L336" s="3142" t="str">
        <f t="shared" si="52"/>
        <v/>
      </c>
      <c r="M336" s="3183"/>
      <c r="N336" s="3140">
        <f t="shared" si="46"/>
        <v>0</v>
      </c>
      <c r="O336" s="3140">
        <f t="shared" si="53"/>
        <v>0</v>
      </c>
      <c r="Q336" s="3184">
        <f t="shared" si="54"/>
        <v>0</v>
      </c>
      <c r="T336" s="3184">
        <f t="shared" si="49"/>
        <v>0</v>
      </c>
      <c r="U336" s="3184">
        <f t="shared" si="50"/>
        <v>0</v>
      </c>
      <c r="V336" s="3184">
        <f t="shared" si="51"/>
        <v>0</v>
      </c>
    </row>
    <row r="337" spans="1:22" hidden="1" x14ac:dyDescent="0.2">
      <c r="A337" s="3255">
        <f t="shared" si="15"/>
        <v>325</v>
      </c>
      <c r="B337" s="3256"/>
      <c r="C337" s="3257"/>
      <c r="D337" s="3258"/>
      <c r="E337" s="3257"/>
      <c r="F337" s="3256"/>
      <c r="G337" s="3614"/>
      <c r="H337" s="3256"/>
      <c r="I337" s="3256"/>
      <c r="J337" s="3256"/>
      <c r="K337" s="3256"/>
      <c r="L337" s="3142" t="str">
        <f t="shared" si="52"/>
        <v/>
      </c>
      <c r="M337" s="3183"/>
      <c r="N337" s="3140">
        <f t="shared" si="46"/>
        <v>0</v>
      </c>
      <c r="O337" s="3140">
        <f t="shared" si="53"/>
        <v>0</v>
      </c>
      <c r="Q337" s="3184">
        <f t="shared" si="54"/>
        <v>0</v>
      </c>
      <c r="T337" s="3184">
        <f t="shared" si="49"/>
        <v>0</v>
      </c>
      <c r="U337" s="3184">
        <f t="shared" si="50"/>
        <v>0</v>
      </c>
      <c r="V337" s="3184">
        <f t="shared" si="51"/>
        <v>0</v>
      </c>
    </row>
    <row r="338" spans="1:22" hidden="1" x14ac:dyDescent="0.2">
      <c r="A338" s="3255">
        <f t="shared" si="15"/>
        <v>326</v>
      </c>
      <c r="B338" s="3256"/>
      <c r="C338" s="3257"/>
      <c r="D338" s="3258"/>
      <c r="E338" s="3257"/>
      <c r="F338" s="3256"/>
      <c r="G338" s="3614"/>
      <c r="H338" s="3256"/>
      <c r="I338" s="3256"/>
      <c r="J338" s="3256"/>
      <c r="K338" s="3256"/>
      <c r="L338" s="3142" t="str">
        <f t="shared" si="52"/>
        <v/>
      </c>
      <c r="M338" s="3183"/>
      <c r="N338" s="3140">
        <f t="shared" si="46"/>
        <v>0</v>
      </c>
      <c r="O338" s="3140">
        <f t="shared" si="53"/>
        <v>0</v>
      </c>
      <c r="Q338" s="3184">
        <f t="shared" si="54"/>
        <v>0</v>
      </c>
      <c r="T338" s="3184">
        <f t="shared" si="49"/>
        <v>0</v>
      </c>
      <c r="U338" s="3184">
        <f t="shared" si="50"/>
        <v>0</v>
      </c>
      <c r="V338" s="3184">
        <f t="shared" si="51"/>
        <v>0</v>
      </c>
    </row>
    <row r="339" spans="1:22" hidden="1" x14ac:dyDescent="0.2">
      <c r="A339" s="3255">
        <f t="shared" si="15"/>
        <v>327</v>
      </c>
      <c r="B339" s="3256"/>
      <c r="C339" s="3257"/>
      <c r="D339" s="3258"/>
      <c r="E339" s="3257"/>
      <c r="F339" s="3256"/>
      <c r="G339" s="3614"/>
      <c r="H339" s="3256"/>
      <c r="I339" s="3256"/>
      <c r="J339" s="3256"/>
      <c r="K339" s="3256"/>
      <c r="L339" s="3142" t="str">
        <f t="shared" si="52"/>
        <v/>
      </c>
      <c r="M339" s="3183"/>
      <c r="N339" s="3140">
        <f t="shared" si="46"/>
        <v>0</v>
      </c>
      <c r="O339" s="3140">
        <f t="shared" si="53"/>
        <v>0</v>
      </c>
      <c r="Q339" s="3184">
        <f t="shared" si="54"/>
        <v>0</v>
      </c>
      <c r="T339" s="3184">
        <f t="shared" si="49"/>
        <v>0</v>
      </c>
      <c r="U339" s="3184">
        <f t="shared" si="50"/>
        <v>0</v>
      </c>
      <c r="V339" s="3184">
        <f t="shared" si="51"/>
        <v>0</v>
      </c>
    </row>
    <row r="340" spans="1:22" hidden="1" x14ac:dyDescent="0.2">
      <c r="A340" s="3255">
        <f t="shared" si="15"/>
        <v>328</v>
      </c>
      <c r="B340" s="3256"/>
      <c r="C340" s="3257"/>
      <c r="D340" s="3258"/>
      <c r="E340" s="3257"/>
      <c r="F340" s="3256"/>
      <c r="G340" s="3614"/>
      <c r="H340" s="3256"/>
      <c r="I340" s="3256"/>
      <c r="J340" s="3256"/>
      <c r="K340" s="3256"/>
      <c r="L340" s="3142" t="str">
        <f t="shared" si="52"/>
        <v/>
      </c>
      <c r="M340" s="3183"/>
      <c r="N340" s="3140">
        <f t="shared" si="46"/>
        <v>0</v>
      </c>
      <c r="O340" s="3140">
        <f t="shared" si="53"/>
        <v>0</v>
      </c>
      <c r="Q340" s="3184">
        <f t="shared" si="54"/>
        <v>0</v>
      </c>
      <c r="T340" s="3184">
        <f t="shared" si="49"/>
        <v>0</v>
      </c>
      <c r="U340" s="3184">
        <f t="shared" si="50"/>
        <v>0</v>
      </c>
      <c r="V340" s="3184">
        <f t="shared" si="51"/>
        <v>0</v>
      </c>
    </row>
    <row r="341" spans="1:22" hidden="1" x14ac:dyDescent="0.2">
      <c r="A341" s="3255">
        <f t="shared" si="15"/>
        <v>329</v>
      </c>
      <c r="B341" s="3256"/>
      <c r="C341" s="3257"/>
      <c r="D341" s="3258"/>
      <c r="E341" s="3257"/>
      <c r="F341" s="3256"/>
      <c r="G341" s="3614"/>
      <c r="H341" s="3256"/>
      <c r="I341" s="3256"/>
      <c r="J341" s="3256"/>
      <c r="K341" s="3256"/>
      <c r="L341" s="3142" t="str">
        <f t="shared" si="52"/>
        <v/>
      </c>
      <c r="M341" s="3183"/>
      <c r="N341" s="3140">
        <f t="shared" si="46"/>
        <v>0</v>
      </c>
      <c r="O341" s="3140">
        <f t="shared" si="53"/>
        <v>0</v>
      </c>
      <c r="Q341" s="3184">
        <f t="shared" si="54"/>
        <v>0</v>
      </c>
      <c r="T341" s="3184">
        <f t="shared" si="49"/>
        <v>0</v>
      </c>
      <c r="U341" s="3184">
        <f t="shared" si="50"/>
        <v>0</v>
      </c>
      <c r="V341" s="3184">
        <f t="shared" si="51"/>
        <v>0</v>
      </c>
    </row>
    <row r="342" spans="1:22" hidden="1" x14ac:dyDescent="0.2">
      <c r="A342" s="3255">
        <f t="shared" si="15"/>
        <v>330</v>
      </c>
      <c r="B342" s="3256"/>
      <c r="C342" s="3257"/>
      <c r="D342" s="3258"/>
      <c r="E342" s="3257"/>
      <c r="F342" s="3256"/>
      <c r="G342" s="3614"/>
      <c r="H342" s="3256"/>
      <c r="I342" s="3256"/>
      <c r="J342" s="3256"/>
      <c r="K342" s="3256"/>
      <c r="L342" s="3142" t="str">
        <f t="shared" si="52"/>
        <v/>
      </c>
      <c r="M342" s="3183"/>
      <c r="N342" s="3140">
        <f t="shared" ref="N342:N405" si="55">COUNTA(B342:H342)</f>
      </c>
      <c r="O342" s="3140">
        <f t="shared" si="53"/>
        <v>0</v>
      </c>
      <c r="Q342" s="3184">
        <f t="shared" si="54"/>
        <v>0</v>
      </c>
      <c r="T342" s="3184">
        <f t="shared" ref="T342:T405" si="56">IF(N342=0,0,IF(OR(H342=$Y$17,H342=$Y$19),0,1))</f>
      </c>
      <c r="U342" s="3184">
        <f t="shared" ref="U342:U405" si="57">IF(AND(T342=1,I342="no"),1,0)</f>
      </c>
      <c r="V342" s="3184">
        <f t="shared" ref="V342:V405" si="58">IF(AND(U342=1,J342="yes"),1,0)</f>
      </c>
    </row>
    <row r="343" spans="1:22" hidden="1" x14ac:dyDescent="0.2">
      <c r="A343" s="3255">
        <f t="shared" ref="A343:A406" si="59">A342+1</f>
      </c>
      <c r="B343" s="3256"/>
      <c r="C343" s="3257"/>
      <c r="D343" s="3258"/>
      <c r="E343" s="3257"/>
      <c r="F343" s="3256"/>
      <c r="G343" s="3614"/>
      <c r="H343" s="3256"/>
      <c r="I343" s="3256"/>
      <c r="J343" s="3256"/>
      <c r="K343" s="3256"/>
      <c r="L343" s="3142" t="str">
        <f t="shared" si="52"/>
        <v/>
      </c>
      <c r="M343" s="3183"/>
      <c r="N343" s="3140">
        <f t="shared" si="55"/>
        <v>0</v>
      </c>
      <c r="O343" s="3140">
        <f t="shared" si="53"/>
        <v>0</v>
      </c>
      <c r="Q343" s="3184">
        <f t="shared" si="54"/>
        <v>0</v>
      </c>
      <c r="T343" s="3184">
        <f t="shared" si="56"/>
        <v>0</v>
      </c>
      <c r="U343" s="3184">
        <f t="shared" si="57"/>
        <v>0</v>
      </c>
      <c r="V343" s="3184">
        <f t="shared" si="58"/>
        <v>0</v>
      </c>
    </row>
    <row r="344" spans="1:22" hidden="1" x14ac:dyDescent="0.2">
      <c r="A344" s="3255">
        <f t="shared" si="59"/>
        <v>332</v>
      </c>
      <c r="B344" s="3256"/>
      <c r="C344" s="3257"/>
      <c r="D344" s="3258"/>
      <c r="E344" s="3257"/>
      <c r="F344" s="3256"/>
      <c r="G344" s="3614"/>
      <c r="H344" s="3256"/>
      <c r="I344" s="3256"/>
      <c r="J344" s="3256"/>
      <c r="K344" s="3256"/>
      <c r="L344" s="3142" t="str">
        <f t="shared" si="52"/>
        <v/>
      </c>
      <c r="M344" s="3183"/>
      <c r="N344" s="3140">
        <f t="shared" si="55"/>
        <v>0</v>
      </c>
      <c r="O344" s="3140">
        <f t="shared" si="53"/>
        <v>0</v>
      </c>
      <c r="Q344" s="3184">
        <f t="shared" si="54"/>
        <v>0</v>
      </c>
      <c r="T344" s="3184">
        <f t="shared" si="56"/>
        <v>0</v>
      </c>
      <c r="U344" s="3184">
        <f t="shared" si="57"/>
        <v>0</v>
      </c>
      <c r="V344" s="3184">
        <f t="shared" si="58"/>
        <v>0</v>
      </c>
    </row>
    <row r="345" spans="1:22" hidden="1" x14ac:dyDescent="0.2">
      <c r="A345" s="3255">
        <f t="shared" si="59"/>
        <v>333</v>
      </c>
      <c r="B345" s="3256"/>
      <c r="C345" s="3257"/>
      <c r="D345" s="3258"/>
      <c r="E345" s="3257"/>
      <c r="F345" s="3256"/>
      <c r="G345" s="3614"/>
      <c r="H345" s="3256"/>
      <c r="I345" s="3256"/>
      <c r="J345" s="3256"/>
      <c r="K345" s="3256"/>
      <c r="L345" s="3142" t="str">
        <f t="shared" si="52"/>
        <v/>
      </c>
      <c r="M345" s="3183"/>
      <c r="N345" s="3140">
        <f t="shared" si="55"/>
        <v>0</v>
      </c>
      <c r="O345" s="3140">
        <f t="shared" si="53"/>
        <v>0</v>
      </c>
      <c r="Q345" s="3184">
        <f t="shared" si="54"/>
        <v>0</v>
      </c>
      <c r="T345" s="3184">
        <f t="shared" si="56"/>
        <v>0</v>
      </c>
      <c r="U345" s="3184">
        <f t="shared" si="57"/>
        <v>0</v>
      </c>
      <c r="V345" s="3184">
        <f t="shared" si="58"/>
        <v>0</v>
      </c>
    </row>
    <row r="346" spans="1:22" hidden="1" x14ac:dyDescent="0.2">
      <c r="A346" s="3255">
        <f t="shared" si="59"/>
        <v>334</v>
      </c>
      <c r="B346" s="3256"/>
      <c r="C346" s="3257"/>
      <c r="D346" s="3258"/>
      <c r="E346" s="3257"/>
      <c r="F346" s="3256"/>
      <c r="G346" s="3614"/>
      <c r="H346" s="3256"/>
      <c r="I346" s="3256"/>
      <c r="J346" s="3256"/>
      <c r="K346" s="3256"/>
      <c r="L346" s="3142" t="str">
        <f t="shared" si="52"/>
        <v/>
      </c>
      <c r="M346" s="3183"/>
      <c r="N346" s="3140">
        <f t="shared" si="55"/>
        <v>0</v>
      </c>
      <c r="O346" s="3140">
        <f t="shared" si="53"/>
        <v>0</v>
      </c>
      <c r="Q346" s="3184">
        <f t="shared" si="54"/>
        <v>0</v>
      </c>
      <c r="T346" s="3184">
        <f t="shared" si="56"/>
        <v>0</v>
      </c>
      <c r="U346" s="3184">
        <f t="shared" si="57"/>
        <v>0</v>
      </c>
      <c r="V346" s="3184">
        <f t="shared" si="58"/>
        <v>0</v>
      </c>
    </row>
    <row r="347" spans="1:22" hidden="1" x14ac:dyDescent="0.2">
      <c r="A347" s="3255">
        <f t="shared" si="59"/>
        <v>335</v>
      </c>
      <c r="B347" s="3256"/>
      <c r="C347" s="3257"/>
      <c r="D347" s="3258"/>
      <c r="E347" s="3257"/>
      <c r="F347" s="3256"/>
      <c r="G347" s="3614"/>
      <c r="H347" s="3256"/>
      <c r="I347" s="3256"/>
      <c r="J347" s="3256"/>
      <c r="K347" s="3256"/>
      <c r="L347" s="3142" t="str">
        <f t="shared" si="52"/>
        <v/>
      </c>
      <c r="M347" s="3183"/>
      <c r="N347" s="3140">
        <f t="shared" si="55"/>
        <v>0</v>
      </c>
      <c r="O347" s="3140">
        <f t="shared" si="53"/>
        <v>0</v>
      </c>
      <c r="Q347" s="3184">
        <f t="shared" si="54"/>
        <v>0</v>
      </c>
      <c r="T347" s="3184">
        <f t="shared" si="56"/>
        <v>0</v>
      </c>
      <c r="U347" s="3184">
        <f t="shared" si="57"/>
        <v>0</v>
      </c>
      <c r="V347" s="3184">
        <f t="shared" si="58"/>
        <v>0</v>
      </c>
    </row>
    <row r="348" spans="1:22" hidden="1" x14ac:dyDescent="0.2">
      <c r="A348" s="3255">
        <f t="shared" si="59"/>
        <v>336</v>
      </c>
      <c r="B348" s="3256"/>
      <c r="C348" s="3257"/>
      <c r="D348" s="3258"/>
      <c r="E348" s="3257"/>
      <c r="F348" s="3256"/>
      <c r="G348" s="3614"/>
      <c r="H348" s="3256"/>
      <c r="I348" s="3256"/>
      <c r="J348" s="3256"/>
      <c r="K348" s="3256"/>
      <c r="L348" s="3142" t="str">
        <f t="shared" si="52"/>
        <v/>
      </c>
      <c r="M348" s="3183"/>
      <c r="N348" s="3140">
        <f t="shared" si="55"/>
        <v>0</v>
      </c>
      <c r="O348" s="3140">
        <f t="shared" si="53"/>
        <v>0</v>
      </c>
      <c r="Q348" s="3184">
        <f t="shared" si="54"/>
        <v>0</v>
      </c>
      <c r="T348" s="3184">
        <f t="shared" si="56"/>
        <v>0</v>
      </c>
      <c r="U348" s="3184">
        <f t="shared" si="57"/>
        <v>0</v>
      </c>
      <c r="V348" s="3184">
        <f t="shared" si="58"/>
        <v>0</v>
      </c>
    </row>
    <row r="349" spans="1:22" hidden="1" x14ac:dyDescent="0.2">
      <c r="A349" s="3255">
        <f t="shared" si="59"/>
        <v>337</v>
      </c>
      <c r="B349" s="3256"/>
      <c r="C349" s="3257"/>
      <c r="D349" s="3258"/>
      <c r="E349" s="3257"/>
      <c r="F349" s="3256"/>
      <c r="G349" s="3614"/>
      <c r="H349" s="3256"/>
      <c r="I349" s="3256"/>
      <c r="J349" s="3256"/>
      <c r="K349" s="3256"/>
      <c r="L349" s="3142" t="str">
        <f t="shared" si="52"/>
        <v/>
      </c>
      <c r="M349" s="3183"/>
      <c r="N349" s="3140">
        <f t="shared" si="55"/>
        <v>0</v>
      </c>
      <c r="O349" s="3140">
        <f t="shared" si="53"/>
        <v>0</v>
      </c>
      <c r="Q349" s="3184">
        <f t="shared" si="54"/>
        <v>0</v>
      </c>
      <c r="T349" s="3184">
        <f t="shared" si="56"/>
        <v>0</v>
      </c>
      <c r="U349" s="3184">
        <f t="shared" si="57"/>
        <v>0</v>
      </c>
      <c r="V349" s="3184">
        <f t="shared" si="58"/>
        <v>0</v>
      </c>
    </row>
    <row r="350" spans="1:22" hidden="1" x14ac:dyDescent="0.2">
      <c r="A350" s="3255">
        <f t="shared" si="59"/>
        <v>338</v>
      </c>
      <c r="B350" s="3256"/>
      <c r="C350" s="3257"/>
      <c r="D350" s="3258"/>
      <c r="E350" s="3257"/>
      <c r="F350" s="3256"/>
      <c r="G350" s="3614"/>
      <c r="H350" s="3256"/>
      <c r="I350" s="3256"/>
      <c r="J350" s="3256"/>
      <c r="K350" s="3256"/>
      <c r="L350" s="3142" t="str">
        <f t="shared" si="52"/>
        <v/>
      </c>
      <c r="M350" s="3183"/>
      <c r="N350" s="3140">
        <f t="shared" si="55"/>
        <v>0</v>
      </c>
      <c r="O350" s="3140">
        <f t="shared" si="53"/>
        <v>0</v>
      </c>
      <c r="Q350" s="3184">
        <f t="shared" si="54"/>
        <v>0</v>
      </c>
      <c r="T350" s="3184">
        <f t="shared" si="56"/>
        <v>0</v>
      </c>
      <c r="U350" s="3184">
        <f t="shared" si="57"/>
        <v>0</v>
      </c>
      <c r="V350" s="3184">
        <f t="shared" si="58"/>
        <v>0</v>
      </c>
    </row>
    <row r="351" spans="1:22" hidden="1" x14ac:dyDescent="0.2">
      <c r="A351" s="3255">
        <f t="shared" si="59"/>
        <v>339</v>
      </c>
      <c r="B351" s="3256"/>
      <c r="C351" s="3257"/>
      <c r="D351" s="3258"/>
      <c r="E351" s="3257"/>
      <c r="F351" s="3256"/>
      <c r="G351" s="3614"/>
      <c r="H351" s="3256"/>
      <c r="I351" s="3256"/>
      <c r="J351" s="3256"/>
      <c r="K351" s="3256"/>
      <c r="L351" s="3142" t="str">
        <f t="shared" si="52"/>
        <v/>
      </c>
      <c r="M351" s="3183"/>
      <c r="N351" s="3140">
        <f t="shared" si="55"/>
        <v>0</v>
      </c>
      <c r="O351" s="3140">
        <f t="shared" ref="O351:O414" si="60">IF(L351&lt;&gt;"",1,0)</f>
      </c>
      <c r="Q351" s="3184">
        <f t="shared" ref="Q351:Q414" si="61">IF(K351="yes",1,0)</f>
      </c>
      <c r="T351" s="3184">
        <f t="shared" si="56"/>
        <v>0</v>
      </c>
      <c r="U351" s="3184">
        <f t="shared" si="57"/>
        <v>0</v>
      </c>
      <c r="V351" s="3184">
        <f t="shared" si="58"/>
        <v>0</v>
      </c>
    </row>
    <row r="352" spans="1:22" hidden="1" x14ac:dyDescent="0.2">
      <c r="A352" s="3255">
        <f t="shared" si="59"/>
        <v>340</v>
      </c>
      <c r="B352" s="3256"/>
      <c r="C352" s="3257"/>
      <c r="D352" s="3258"/>
      <c r="E352" s="3257"/>
      <c r="F352" s="3256"/>
      <c r="G352" s="3614"/>
      <c r="H352" s="3256"/>
      <c r="I352" s="3256"/>
      <c r="J352" s="3256"/>
      <c r="K352" s="3256"/>
      <c r="L352" s="3142" t="str">
        <f t="shared" si="52"/>
        <v/>
      </c>
      <c r="M352" s="3183"/>
      <c r="N352" s="3140">
        <f t="shared" si="55"/>
        <v>0</v>
      </c>
      <c r="O352" s="3140">
        <f t="shared" si="60"/>
        <v>0</v>
      </c>
      <c r="Q352" s="3184">
        <f t="shared" si="61"/>
        <v>0</v>
      </c>
      <c r="T352" s="3184">
        <f t="shared" si="56"/>
        <v>0</v>
      </c>
      <c r="U352" s="3184">
        <f t="shared" si="57"/>
        <v>0</v>
      </c>
      <c r="V352" s="3184">
        <f t="shared" si="58"/>
        <v>0</v>
      </c>
    </row>
    <row r="353" spans="1:22" hidden="1" x14ac:dyDescent="0.2">
      <c r="A353" s="3255">
        <f t="shared" si="59"/>
        <v>341</v>
      </c>
      <c r="B353" s="3256"/>
      <c r="C353" s="3257"/>
      <c r="D353" s="3258"/>
      <c r="E353" s="3257"/>
      <c r="F353" s="3256"/>
      <c r="G353" s="3614"/>
      <c r="H353" s="3256"/>
      <c r="I353" s="3256"/>
      <c r="J353" s="3256"/>
      <c r="K353" s="3256"/>
      <c r="L353" s="3142" t="str">
        <f t="shared" si="52"/>
        <v/>
      </c>
      <c r="M353" s="3183"/>
      <c r="N353" s="3140">
        <f t="shared" si="55"/>
        <v>0</v>
      </c>
      <c r="O353" s="3140">
        <f t="shared" si="60"/>
        <v>0</v>
      </c>
      <c r="Q353" s="3184">
        <f t="shared" si="61"/>
        <v>0</v>
      </c>
      <c r="T353" s="3184">
        <f t="shared" si="56"/>
        <v>0</v>
      </c>
      <c r="U353" s="3184">
        <f t="shared" si="57"/>
        <v>0</v>
      </c>
      <c r="V353" s="3184">
        <f t="shared" si="58"/>
        <v>0</v>
      </c>
    </row>
    <row r="354" spans="1:22" hidden="1" x14ac:dyDescent="0.2">
      <c r="A354" s="3255">
        <f t="shared" si="59"/>
        <v>342</v>
      </c>
      <c r="B354" s="3256"/>
      <c r="C354" s="3257"/>
      <c r="D354" s="3258"/>
      <c r="E354" s="3257"/>
      <c r="F354" s="3256"/>
      <c r="G354" s="3614"/>
      <c r="H354" s="3256"/>
      <c r="I354" s="3256"/>
      <c r="J354" s="3256"/>
      <c r="K354" s="3256"/>
      <c r="L354" s="3142" t="str">
        <f t="shared" si="52"/>
        <v/>
      </c>
      <c r="M354" s="3183"/>
      <c r="N354" s="3140">
        <f t="shared" si="55"/>
        <v>0</v>
      </c>
      <c r="O354" s="3140">
        <f t="shared" si="60"/>
        <v>0</v>
      </c>
      <c r="Q354" s="3184">
        <f t="shared" si="61"/>
        <v>0</v>
      </c>
      <c r="T354" s="3184">
        <f t="shared" si="56"/>
        <v>0</v>
      </c>
      <c r="U354" s="3184">
        <f t="shared" si="57"/>
        <v>0</v>
      </c>
      <c r="V354" s="3184">
        <f t="shared" si="58"/>
        <v>0</v>
      </c>
    </row>
    <row r="355" spans="1:22" hidden="1" x14ac:dyDescent="0.2">
      <c r="A355" s="3255">
        <f t="shared" si="59"/>
        <v>343</v>
      </c>
      <c r="B355" s="3256"/>
      <c r="C355" s="3257"/>
      <c r="D355" s="3258"/>
      <c r="E355" s="3257"/>
      <c r="F355" s="3256"/>
      <c r="G355" s="3614"/>
      <c r="H355" s="3256"/>
      <c r="I355" s="3256"/>
      <c r="J355" s="3256"/>
      <c r="K355" s="3256"/>
      <c r="L355" s="3142" t="str">
        <f t="shared" si="52"/>
        <v/>
      </c>
      <c r="M355" s="3183"/>
      <c r="N355" s="3140">
        <f t="shared" si="55"/>
        <v>0</v>
      </c>
      <c r="O355" s="3140">
        <f t="shared" si="60"/>
        <v>0</v>
      </c>
      <c r="Q355" s="3184">
        <f t="shared" si="61"/>
        <v>0</v>
      </c>
      <c r="T355" s="3184">
        <f t="shared" si="56"/>
        <v>0</v>
      </c>
      <c r="U355" s="3184">
        <f t="shared" si="57"/>
        <v>0</v>
      </c>
      <c r="V355" s="3184">
        <f t="shared" si="58"/>
        <v>0</v>
      </c>
    </row>
    <row r="356" spans="1:22" hidden="1" x14ac:dyDescent="0.2">
      <c r="A356" s="3255">
        <f t="shared" si="59"/>
        <v>344</v>
      </c>
      <c r="B356" s="3256"/>
      <c r="C356" s="3257"/>
      <c r="D356" s="3258"/>
      <c r="E356" s="3257"/>
      <c r="F356" s="3256"/>
      <c r="G356" s="3614"/>
      <c r="H356" s="3256"/>
      <c r="I356" s="3256"/>
      <c r="J356" s="3256"/>
      <c r="K356" s="3256"/>
      <c r="L356" s="3142" t="str">
        <f t="shared" si="52"/>
        <v/>
      </c>
      <c r="M356" s="3183"/>
      <c r="N356" s="3140">
        <f t="shared" si="55"/>
        <v>0</v>
      </c>
      <c r="O356" s="3140">
        <f t="shared" si="60"/>
        <v>0</v>
      </c>
      <c r="Q356" s="3184">
        <f t="shared" si="61"/>
        <v>0</v>
      </c>
      <c r="T356" s="3184">
        <f t="shared" si="56"/>
        <v>0</v>
      </c>
      <c r="U356" s="3184">
        <f t="shared" si="57"/>
        <v>0</v>
      </c>
      <c r="V356" s="3184">
        <f t="shared" si="58"/>
        <v>0</v>
      </c>
    </row>
    <row r="357" spans="1:22" hidden="1" x14ac:dyDescent="0.2">
      <c r="A357" s="3255">
        <f t="shared" si="59"/>
        <v>345</v>
      </c>
      <c r="B357" s="3256"/>
      <c r="C357" s="3257"/>
      <c r="D357" s="3258"/>
      <c r="E357" s="3257"/>
      <c r="F357" s="3256"/>
      <c r="G357" s="3614"/>
      <c r="H357" s="3256"/>
      <c r="I357" s="3256"/>
      <c r="J357" s="3256"/>
      <c r="K357" s="3256"/>
      <c r="L357" s="3142" t="str">
        <f t="shared" si="52"/>
        <v/>
      </c>
      <c r="M357" s="3183"/>
      <c r="N357" s="3140">
        <f t="shared" si="55"/>
        <v>0</v>
      </c>
      <c r="O357" s="3140">
        <f t="shared" si="60"/>
        <v>0</v>
      </c>
      <c r="Q357" s="3184">
        <f t="shared" si="61"/>
        <v>0</v>
      </c>
      <c r="T357" s="3184">
        <f t="shared" si="56"/>
        <v>0</v>
      </c>
      <c r="U357" s="3184">
        <f t="shared" si="57"/>
        <v>0</v>
      </c>
      <c r="V357" s="3184">
        <f t="shared" si="58"/>
        <v>0</v>
      </c>
    </row>
    <row r="358" spans="1:22" hidden="1" x14ac:dyDescent="0.2">
      <c r="A358" s="3255">
        <f t="shared" si="59"/>
        <v>346</v>
      </c>
      <c r="B358" s="3256"/>
      <c r="C358" s="3257"/>
      <c r="D358" s="3258"/>
      <c r="E358" s="3257"/>
      <c r="F358" s="3256"/>
      <c r="G358" s="3614"/>
      <c r="H358" s="3256"/>
      <c r="I358" s="3256"/>
      <c r="J358" s="3256"/>
      <c r="K358" s="3256"/>
      <c r="L358" s="3142" t="str">
        <f t="shared" si="52"/>
        <v/>
      </c>
      <c r="M358" s="3183"/>
      <c r="N358" s="3140">
        <f t="shared" si="55"/>
        <v>0</v>
      </c>
      <c r="O358" s="3140">
        <f t="shared" si="60"/>
        <v>0</v>
      </c>
      <c r="Q358" s="3184">
        <f t="shared" si="61"/>
        <v>0</v>
      </c>
      <c r="T358" s="3184">
        <f t="shared" si="56"/>
        <v>0</v>
      </c>
      <c r="U358" s="3184">
        <f t="shared" si="57"/>
        <v>0</v>
      </c>
      <c r="V358" s="3184">
        <f t="shared" si="58"/>
        <v>0</v>
      </c>
    </row>
    <row r="359" spans="1:22" hidden="1" x14ac:dyDescent="0.2">
      <c r="A359" s="3255">
        <f t="shared" si="59"/>
        <v>347</v>
      </c>
      <c r="B359" s="3256"/>
      <c r="C359" s="3257"/>
      <c r="D359" s="3258"/>
      <c r="E359" s="3257"/>
      <c r="F359" s="3256"/>
      <c r="G359" s="3614"/>
      <c r="H359" s="3256"/>
      <c r="I359" s="3256"/>
      <c r="J359" s="3256"/>
      <c r="K359" s="3256"/>
      <c r="L359" s="3142" t="str">
        <f t="shared" si="52"/>
        <v/>
      </c>
      <c r="M359" s="3183"/>
      <c r="N359" s="3140">
        <f t="shared" si="55"/>
        <v>0</v>
      </c>
      <c r="O359" s="3140">
        <f t="shared" si="60"/>
        <v>0</v>
      </c>
      <c r="Q359" s="3184">
        <f t="shared" si="61"/>
        <v>0</v>
      </c>
      <c r="T359" s="3184">
        <f t="shared" si="56"/>
        <v>0</v>
      </c>
      <c r="U359" s="3184">
        <f t="shared" si="57"/>
        <v>0</v>
      </c>
      <c r="V359" s="3184">
        <f t="shared" si="58"/>
        <v>0</v>
      </c>
    </row>
    <row r="360" spans="1:22" hidden="1" x14ac:dyDescent="0.2">
      <c r="A360" s="3255">
        <f t="shared" si="59"/>
        <v>348</v>
      </c>
      <c r="B360" s="3256"/>
      <c r="C360" s="3257"/>
      <c r="D360" s="3258"/>
      <c r="E360" s="3257"/>
      <c r="F360" s="3256"/>
      <c r="G360" s="3614"/>
      <c r="H360" s="3256"/>
      <c r="I360" s="3256"/>
      <c r="J360" s="3256"/>
      <c r="K360" s="3256"/>
      <c r="L360" s="3142" t="str">
        <f t="shared" si="52"/>
        <v/>
      </c>
      <c r="M360" s="3183"/>
      <c r="N360" s="3140">
        <f t="shared" si="55"/>
        <v>0</v>
      </c>
      <c r="O360" s="3140">
        <f t="shared" si="60"/>
        <v>0</v>
      </c>
      <c r="Q360" s="3184">
        <f t="shared" si="61"/>
        <v>0</v>
      </c>
      <c r="T360" s="3184">
        <f t="shared" si="56"/>
        <v>0</v>
      </c>
      <c r="U360" s="3184">
        <f t="shared" si="57"/>
        <v>0</v>
      </c>
      <c r="V360" s="3184">
        <f t="shared" si="58"/>
        <v>0</v>
      </c>
    </row>
    <row r="361" spans="1:22" hidden="1" x14ac:dyDescent="0.2">
      <c r="A361" s="3255">
        <f t="shared" si="59"/>
        <v>349</v>
      </c>
      <c r="B361" s="3256"/>
      <c r="C361" s="3257"/>
      <c r="D361" s="3258"/>
      <c r="E361" s="3257"/>
      <c r="F361" s="3256"/>
      <c r="G361" s="3614"/>
      <c r="H361" s="3256"/>
      <c r="I361" s="3256"/>
      <c r="J361" s="3256"/>
      <c r="K361" s="3256"/>
      <c r="L361" s="3142" t="str">
        <f t="shared" si="52"/>
        <v/>
      </c>
      <c r="M361" s="3183"/>
      <c r="N361" s="3140">
        <f t="shared" si="55"/>
        <v>0</v>
      </c>
      <c r="O361" s="3140">
        <f t="shared" si="60"/>
        <v>0</v>
      </c>
      <c r="Q361" s="3184">
        <f t="shared" si="61"/>
        <v>0</v>
      </c>
      <c r="T361" s="3184">
        <f t="shared" si="56"/>
        <v>0</v>
      </c>
      <c r="U361" s="3184">
        <f t="shared" si="57"/>
        <v>0</v>
      </c>
      <c r="V361" s="3184">
        <f t="shared" si="58"/>
        <v>0</v>
      </c>
    </row>
    <row r="362" spans="1:22" hidden="1" x14ac:dyDescent="0.2">
      <c r="A362" s="3255">
        <f t="shared" si="59"/>
        <v>350</v>
      </c>
      <c r="B362" s="3256"/>
      <c r="C362" s="3257"/>
      <c r="D362" s="3258"/>
      <c r="E362" s="3257"/>
      <c r="F362" s="3256"/>
      <c r="G362" s="3614"/>
      <c r="H362" s="3256"/>
      <c r="I362" s="3256"/>
      <c r="J362" s="3256"/>
      <c r="K362" s="3256"/>
      <c r="L362" s="3142" t="str">
        <f t="shared" si="52"/>
        <v/>
      </c>
      <c r="M362" s="3183"/>
      <c r="N362" s="3140">
        <f t="shared" si="55"/>
        <v>0</v>
      </c>
      <c r="O362" s="3140">
        <f t="shared" si="60"/>
        <v>0</v>
      </c>
      <c r="Q362" s="3184">
        <f t="shared" si="61"/>
        <v>0</v>
      </c>
      <c r="T362" s="3184">
        <f t="shared" si="56"/>
        <v>0</v>
      </c>
      <c r="U362" s="3184">
        <f t="shared" si="57"/>
        <v>0</v>
      </c>
      <c r="V362" s="3184">
        <f t="shared" si="58"/>
        <v>0</v>
      </c>
    </row>
    <row r="363" spans="1:22" hidden="1" x14ac:dyDescent="0.2">
      <c r="A363" s="3255">
        <f t="shared" si="59"/>
        <v>351</v>
      </c>
      <c r="B363" s="3256"/>
      <c r="C363" s="3257"/>
      <c r="D363" s="3258"/>
      <c r="E363" s="3257"/>
      <c r="F363" s="3256"/>
      <c r="G363" s="3614"/>
      <c r="H363" s="3256"/>
      <c r="I363" s="3256"/>
      <c r="J363" s="3256"/>
      <c r="K363" s="3256"/>
      <c r="L363" s="3142" t="str">
        <f t="shared" si="52"/>
        <v/>
      </c>
      <c r="M363" s="3183"/>
      <c r="N363" s="3140">
        <f t="shared" si="55"/>
        <v>0</v>
      </c>
      <c r="O363" s="3140">
        <f t="shared" si="60"/>
        <v>0</v>
      </c>
      <c r="Q363" s="3184">
        <f t="shared" si="61"/>
        <v>0</v>
      </c>
      <c r="T363" s="3184">
        <f t="shared" si="56"/>
        <v>0</v>
      </c>
      <c r="U363" s="3184">
        <f t="shared" si="57"/>
        <v>0</v>
      </c>
      <c r="V363" s="3184">
        <f t="shared" si="58"/>
        <v>0</v>
      </c>
    </row>
    <row r="364" spans="1:22" hidden="1" x14ac:dyDescent="0.2">
      <c r="A364" s="3255">
        <f t="shared" si="59"/>
        <v>352</v>
      </c>
      <c r="B364" s="3256"/>
      <c r="C364" s="3257"/>
      <c r="D364" s="3258"/>
      <c r="E364" s="3257"/>
      <c r="F364" s="3256"/>
      <c r="G364" s="3614"/>
      <c r="H364" s="3256"/>
      <c r="I364" s="3256"/>
      <c r="J364" s="3256"/>
      <c r="K364" s="3256"/>
      <c r="L364" s="3142" t="str">
        <f t="shared" si="52"/>
        <v/>
      </c>
      <c r="M364" s="3183"/>
      <c r="N364" s="3140">
        <f t="shared" si="55"/>
        <v>0</v>
      </c>
      <c r="O364" s="3140">
        <f t="shared" si="60"/>
        <v>0</v>
      </c>
      <c r="Q364" s="3184">
        <f t="shared" si="61"/>
        <v>0</v>
      </c>
      <c r="T364" s="3184">
        <f t="shared" si="56"/>
        <v>0</v>
      </c>
      <c r="U364" s="3184">
        <f t="shared" si="57"/>
        <v>0</v>
      </c>
      <c r="V364" s="3184">
        <f t="shared" si="58"/>
        <v>0</v>
      </c>
    </row>
    <row r="365" spans="1:22" hidden="1" x14ac:dyDescent="0.2">
      <c r="A365" s="3255">
        <f t="shared" si="59"/>
        <v>353</v>
      </c>
      <c r="B365" s="3256"/>
      <c r="C365" s="3257"/>
      <c r="D365" s="3258"/>
      <c r="E365" s="3257"/>
      <c r="F365" s="3256"/>
      <c r="G365" s="3614"/>
      <c r="H365" s="3256"/>
      <c r="I365" s="3256"/>
      <c r="J365" s="3256"/>
      <c r="K365" s="3256"/>
      <c r="L365" s="3142" t="str">
        <f t="shared" si="52"/>
        <v/>
      </c>
      <c r="M365" s="3183"/>
      <c r="N365" s="3140">
        <f t="shared" si="55"/>
        <v>0</v>
      </c>
      <c r="O365" s="3140">
        <f t="shared" si="60"/>
        <v>0</v>
      </c>
      <c r="Q365" s="3184">
        <f t="shared" si="61"/>
        <v>0</v>
      </c>
      <c r="T365" s="3184">
        <f t="shared" si="56"/>
        <v>0</v>
      </c>
      <c r="U365" s="3184">
        <f t="shared" si="57"/>
        <v>0</v>
      </c>
      <c r="V365" s="3184">
        <f t="shared" si="58"/>
        <v>0</v>
      </c>
    </row>
    <row r="366" spans="1:22" hidden="1" x14ac:dyDescent="0.2">
      <c r="A366" s="3255">
        <f t="shared" si="59"/>
        <v>354</v>
      </c>
      <c r="B366" s="3256"/>
      <c r="C366" s="3257"/>
      <c r="D366" s="3258"/>
      <c r="E366" s="3257"/>
      <c r="F366" s="3256"/>
      <c r="G366" s="3614"/>
      <c r="H366" s="3256"/>
      <c r="I366" s="3256"/>
      <c r="J366" s="3256"/>
      <c r="K366" s="3256"/>
      <c r="L366" s="3142" t="str">
        <f t="shared" si="52"/>
        <v/>
      </c>
      <c r="M366" s="3183"/>
      <c r="N366" s="3140">
        <f t="shared" si="55"/>
        <v>0</v>
      </c>
      <c r="O366" s="3140">
        <f t="shared" si="60"/>
        <v>0</v>
      </c>
      <c r="Q366" s="3184">
        <f t="shared" si="61"/>
        <v>0</v>
      </c>
      <c r="T366" s="3184">
        <f t="shared" si="56"/>
        <v>0</v>
      </c>
      <c r="U366" s="3184">
        <f t="shared" si="57"/>
        <v>0</v>
      </c>
      <c r="V366" s="3184">
        <f t="shared" si="58"/>
        <v>0</v>
      </c>
    </row>
    <row r="367" spans="1:22" hidden="1" x14ac:dyDescent="0.2">
      <c r="A367" s="3255">
        <f t="shared" si="59"/>
        <v>355</v>
      </c>
      <c r="B367" s="3256"/>
      <c r="C367" s="3257"/>
      <c r="D367" s="3258"/>
      <c r="E367" s="3257"/>
      <c r="F367" s="3256"/>
      <c r="G367" s="3614"/>
      <c r="H367" s="3256"/>
      <c r="I367" s="3256"/>
      <c r="J367" s="3256"/>
      <c r="K367" s="3256"/>
      <c r="L367" s="3142" t="str">
        <f t="shared" si="52"/>
        <v/>
      </c>
      <c r="M367" s="3183"/>
      <c r="N367" s="3140">
        <f t="shared" si="55"/>
        <v>0</v>
      </c>
      <c r="O367" s="3140">
        <f t="shared" si="60"/>
        <v>0</v>
      </c>
      <c r="Q367" s="3184">
        <f t="shared" si="61"/>
        <v>0</v>
      </c>
      <c r="T367" s="3184">
        <f t="shared" si="56"/>
        <v>0</v>
      </c>
      <c r="U367" s="3184">
        <f t="shared" si="57"/>
        <v>0</v>
      </c>
      <c r="V367" s="3184">
        <f t="shared" si="58"/>
        <v>0</v>
      </c>
    </row>
    <row r="368" spans="1:22" hidden="1" x14ac:dyDescent="0.2">
      <c r="A368" s="3255">
        <f t="shared" si="59"/>
        <v>356</v>
      </c>
      <c r="B368" s="3256"/>
      <c r="C368" s="3257"/>
      <c r="D368" s="3258"/>
      <c r="E368" s="3257"/>
      <c r="F368" s="3256"/>
      <c r="G368" s="3614"/>
      <c r="H368" s="3256"/>
      <c r="I368" s="3256"/>
      <c r="J368" s="3256"/>
      <c r="K368" s="3256"/>
      <c r="L368" s="3142" t="str">
        <f t="shared" si="52"/>
        <v/>
      </c>
      <c r="M368" s="3183"/>
      <c r="N368" s="3140">
        <f t="shared" si="55"/>
        <v>0</v>
      </c>
      <c r="O368" s="3140">
        <f t="shared" si="60"/>
        <v>0</v>
      </c>
      <c r="Q368" s="3184">
        <f t="shared" si="61"/>
        <v>0</v>
      </c>
      <c r="T368" s="3184">
        <f t="shared" si="56"/>
        <v>0</v>
      </c>
      <c r="U368" s="3184">
        <f t="shared" si="57"/>
        <v>0</v>
      </c>
      <c r="V368" s="3184">
        <f t="shared" si="58"/>
        <v>0</v>
      </c>
    </row>
    <row r="369" spans="1:22" hidden="1" x14ac:dyDescent="0.2">
      <c r="A369" s="3255">
        <f t="shared" si="59"/>
        <v>357</v>
      </c>
      <c r="B369" s="3256"/>
      <c r="C369" s="3257"/>
      <c r="D369" s="3258"/>
      <c r="E369" s="3257"/>
      <c r="F369" s="3256"/>
      <c r="G369" s="3614"/>
      <c r="H369" s="3256"/>
      <c r="I369" s="3256"/>
      <c r="J369" s="3256"/>
      <c r="K369" s="3256"/>
      <c r="L369" s="3142" t="str">
        <f t="shared" si="52"/>
        <v/>
      </c>
      <c r="M369" s="3183"/>
      <c r="N369" s="3140">
        <f t="shared" si="55"/>
        <v>0</v>
      </c>
      <c r="O369" s="3140">
        <f t="shared" si="60"/>
        <v>0</v>
      </c>
      <c r="Q369" s="3184">
        <f t="shared" si="61"/>
        <v>0</v>
      </c>
      <c r="T369" s="3184">
        <f t="shared" si="56"/>
        <v>0</v>
      </c>
      <c r="U369" s="3184">
        <f t="shared" si="57"/>
        <v>0</v>
      </c>
      <c r="V369" s="3184">
        <f t="shared" si="58"/>
        <v>0</v>
      </c>
    </row>
    <row r="370" spans="1:22" hidden="1" x14ac:dyDescent="0.2">
      <c r="A370" s="3255">
        <f t="shared" si="59"/>
        <v>358</v>
      </c>
      <c r="B370" s="3256"/>
      <c r="C370" s="3257"/>
      <c r="D370" s="3258"/>
      <c r="E370" s="3257"/>
      <c r="F370" s="3256"/>
      <c r="G370" s="3614"/>
      <c r="H370" s="3256"/>
      <c r="I370" s="3256"/>
      <c r="J370" s="3256"/>
      <c r="K370" s="3256"/>
      <c r="L370" s="3142" t="str">
        <f t="shared" si="52"/>
        <v/>
      </c>
      <c r="M370" s="3183"/>
      <c r="N370" s="3140">
        <f t="shared" si="55"/>
        <v>0</v>
      </c>
      <c r="O370" s="3140">
        <f t="shared" si="60"/>
        <v>0</v>
      </c>
      <c r="Q370" s="3184">
        <f t="shared" si="61"/>
        <v>0</v>
      </c>
      <c r="T370" s="3184">
        <f t="shared" si="56"/>
        <v>0</v>
      </c>
      <c r="U370" s="3184">
        <f t="shared" si="57"/>
        <v>0</v>
      </c>
      <c r="V370" s="3184">
        <f t="shared" si="58"/>
        <v>0</v>
      </c>
    </row>
    <row r="371" spans="1:22" hidden="1" x14ac:dyDescent="0.2">
      <c r="A371" s="3255">
        <f t="shared" si="59"/>
        <v>359</v>
      </c>
      <c r="B371" s="3256"/>
      <c r="C371" s="3257"/>
      <c r="D371" s="3258"/>
      <c r="E371" s="3257"/>
      <c r="F371" s="3256"/>
      <c r="G371" s="3614"/>
      <c r="H371" s="3256"/>
      <c r="I371" s="3256"/>
      <c r="J371" s="3256"/>
      <c r="K371" s="3256"/>
      <c r="L371" s="3142" t="str">
        <f t="shared" si="52"/>
        <v/>
      </c>
      <c r="M371" s="3183"/>
      <c r="N371" s="3140">
        <f t="shared" si="55"/>
        <v>0</v>
      </c>
      <c r="O371" s="3140">
        <f t="shared" si="60"/>
        <v>0</v>
      </c>
      <c r="Q371" s="3184">
        <f t="shared" si="61"/>
        <v>0</v>
      </c>
      <c r="T371" s="3184">
        <f t="shared" si="56"/>
        <v>0</v>
      </c>
      <c r="U371" s="3184">
        <f t="shared" si="57"/>
        <v>0</v>
      </c>
      <c r="V371" s="3184">
        <f t="shared" si="58"/>
        <v>0</v>
      </c>
    </row>
    <row r="372" spans="1:22" hidden="1" x14ac:dyDescent="0.2">
      <c r="A372" s="3255">
        <f t="shared" si="59"/>
        <v>360</v>
      </c>
      <c r="B372" s="3256"/>
      <c r="C372" s="3257"/>
      <c r="D372" s="3258"/>
      <c r="E372" s="3257"/>
      <c r="F372" s="3256"/>
      <c r="G372" s="3614"/>
      <c r="H372" s="3256"/>
      <c r="I372" s="3256"/>
      <c r="J372" s="3256"/>
      <c r="K372" s="3256"/>
      <c r="L372" s="3142" t="str">
        <f t="shared" si="52"/>
        <v/>
      </c>
      <c r="M372" s="3183"/>
      <c r="N372" s="3140">
        <f t="shared" si="55"/>
        <v>0</v>
      </c>
      <c r="O372" s="3140">
        <f t="shared" si="60"/>
        <v>0</v>
      </c>
      <c r="Q372" s="3184">
        <f t="shared" si="61"/>
        <v>0</v>
      </c>
      <c r="T372" s="3184">
        <f t="shared" si="56"/>
        <v>0</v>
      </c>
      <c r="U372" s="3184">
        <f t="shared" si="57"/>
        <v>0</v>
      </c>
      <c r="V372" s="3184">
        <f t="shared" si="58"/>
        <v>0</v>
      </c>
    </row>
    <row r="373" spans="1:22" hidden="1" x14ac:dyDescent="0.2">
      <c r="A373" s="3255">
        <f t="shared" si="59"/>
        <v>361</v>
      </c>
      <c r="B373" s="3256"/>
      <c r="C373" s="3257"/>
      <c r="D373" s="3258"/>
      <c r="E373" s="3257"/>
      <c r="F373" s="3256"/>
      <c r="G373" s="3614"/>
      <c r="H373" s="3256"/>
      <c r="I373" s="3256"/>
      <c r="J373" s="3256"/>
      <c r="K373" s="3256"/>
      <c r="L373" s="3142" t="str">
        <f t="shared" si="52"/>
        <v/>
      </c>
      <c r="M373" s="3183"/>
      <c r="N373" s="3140">
        <f t="shared" si="55"/>
        <v>0</v>
      </c>
      <c r="O373" s="3140">
        <f t="shared" si="60"/>
        <v>0</v>
      </c>
      <c r="Q373" s="3184">
        <f t="shared" si="61"/>
        <v>0</v>
      </c>
      <c r="T373" s="3184">
        <f t="shared" si="56"/>
        <v>0</v>
      </c>
      <c r="U373" s="3184">
        <f t="shared" si="57"/>
        <v>0</v>
      </c>
      <c r="V373" s="3184">
        <f t="shared" si="58"/>
        <v>0</v>
      </c>
    </row>
    <row r="374" spans="1:22" hidden="1" x14ac:dyDescent="0.2">
      <c r="A374" s="3255">
        <f t="shared" si="59"/>
        <v>362</v>
      </c>
      <c r="B374" s="3256"/>
      <c r="C374" s="3257"/>
      <c r="D374" s="3258"/>
      <c r="E374" s="3257"/>
      <c r="F374" s="3256"/>
      <c r="G374" s="3614"/>
      <c r="H374" s="3256"/>
      <c r="I374" s="3256"/>
      <c r="J374" s="3256"/>
      <c r="K374" s="3256"/>
      <c r="L374" s="3142" t="str">
        <f t="shared" si="52"/>
        <v/>
      </c>
      <c r="M374" s="3183"/>
      <c r="N374" s="3140">
        <f t="shared" si="55"/>
        <v>0</v>
      </c>
      <c r="O374" s="3140">
        <f t="shared" si="60"/>
        <v>0</v>
      </c>
      <c r="Q374" s="3184">
        <f t="shared" si="61"/>
        <v>0</v>
      </c>
      <c r="T374" s="3184">
        <f t="shared" si="56"/>
        <v>0</v>
      </c>
      <c r="U374" s="3184">
        <f t="shared" si="57"/>
        <v>0</v>
      </c>
      <c r="V374" s="3184">
        <f t="shared" si="58"/>
        <v>0</v>
      </c>
    </row>
    <row r="375" spans="1:22" hidden="1" x14ac:dyDescent="0.2">
      <c r="A375" s="3255">
        <f t="shared" si="59"/>
        <v>363</v>
      </c>
      <c r="B375" s="3256"/>
      <c r="C375" s="3257"/>
      <c r="D375" s="3258"/>
      <c r="E375" s="3257"/>
      <c r="F375" s="3256"/>
      <c r="G375" s="3614"/>
      <c r="H375" s="3256"/>
      <c r="I375" s="3256"/>
      <c r="J375" s="3256"/>
      <c r="K375" s="3256"/>
      <c r="L375" s="3142" t="str">
        <f t="shared" si="52"/>
        <v/>
      </c>
      <c r="M375" s="3183"/>
      <c r="N375" s="3140">
        <f t="shared" si="55"/>
        <v>0</v>
      </c>
      <c r="O375" s="3140">
        <f t="shared" si="60"/>
        <v>0</v>
      </c>
      <c r="Q375" s="3184">
        <f t="shared" si="61"/>
        <v>0</v>
      </c>
      <c r="T375" s="3184">
        <f t="shared" si="56"/>
        <v>0</v>
      </c>
      <c r="U375" s="3184">
        <f t="shared" si="57"/>
        <v>0</v>
      </c>
      <c r="V375" s="3184">
        <f t="shared" si="58"/>
        <v>0</v>
      </c>
    </row>
    <row r="376" spans="1:22" hidden="1" x14ac:dyDescent="0.2">
      <c r="A376" s="3255">
        <f t="shared" si="59"/>
        <v>364</v>
      </c>
      <c r="B376" s="3256"/>
      <c r="C376" s="3257"/>
      <c r="D376" s="3258"/>
      <c r="E376" s="3257"/>
      <c r="F376" s="3256"/>
      <c r="G376" s="3614"/>
      <c r="H376" s="3256"/>
      <c r="I376" s="3256"/>
      <c r="J376" s="3256"/>
      <c r="K376" s="3256"/>
      <c r="L376" s="3142" t="str">
        <f t="shared" si="52"/>
        <v/>
      </c>
      <c r="M376" s="3183"/>
      <c r="N376" s="3140">
        <f t="shared" si="55"/>
        <v>0</v>
      </c>
      <c r="O376" s="3140">
        <f t="shared" si="60"/>
        <v>0</v>
      </c>
      <c r="Q376" s="3184">
        <f t="shared" si="61"/>
        <v>0</v>
      </c>
      <c r="T376" s="3184">
        <f t="shared" si="56"/>
        <v>0</v>
      </c>
      <c r="U376" s="3184">
        <f t="shared" si="57"/>
        <v>0</v>
      </c>
      <c r="V376" s="3184">
        <f t="shared" si="58"/>
        <v>0</v>
      </c>
    </row>
    <row r="377" spans="1:22" hidden="1" x14ac:dyDescent="0.2">
      <c r="A377" s="3255">
        <f t="shared" si="59"/>
        <v>365</v>
      </c>
      <c r="B377" s="3256"/>
      <c r="C377" s="3257"/>
      <c r="D377" s="3258"/>
      <c r="E377" s="3257"/>
      <c r="F377" s="3256"/>
      <c r="G377" s="3614"/>
      <c r="H377" s="3256"/>
      <c r="I377" s="3256"/>
      <c r="J377" s="3256"/>
      <c r="K377" s="3256"/>
      <c r="L377" s="3142" t="str">
        <f t="shared" si="52"/>
        <v/>
      </c>
      <c r="M377" s="3183"/>
      <c r="N377" s="3140">
        <f t="shared" si="55"/>
        <v>0</v>
      </c>
      <c r="O377" s="3140">
        <f t="shared" si="60"/>
        <v>0</v>
      </c>
      <c r="Q377" s="3184">
        <f t="shared" si="61"/>
        <v>0</v>
      </c>
      <c r="T377" s="3184">
        <f t="shared" si="56"/>
        <v>0</v>
      </c>
      <c r="U377" s="3184">
        <f t="shared" si="57"/>
        <v>0</v>
      </c>
      <c r="V377" s="3184">
        <f t="shared" si="58"/>
        <v>0</v>
      </c>
    </row>
    <row r="378" spans="1:22" hidden="1" x14ac:dyDescent="0.2">
      <c r="A378" s="3255">
        <f t="shared" si="59"/>
        <v>366</v>
      </c>
      <c r="B378" s="3256"/>
      <c r="C378" s="3257"/>
      <c r="D378" s="3258"/>
      <c r="E378" s="3257"/>
      <c r="F378" s="3256"/>
      <c r="G378" s="3614"/>
      <c r="H378" s="3256"/>
      <c r="I378" s="3256"/>
      <c r="J378" s="3256"/>
      <c r="K378" s="3256"/>
      <c r="L378" s="3142" t="str">
        <f t="shared" si="52"/>
        <v/>
      </c>
      <c r="M378" s="3183"/>
      <c r="N378" s="3140">
        <f t="shared" si="55"/>
        <v>0</v>
      </c>
      <c r="O378" s="3140">
        <f t="shared" si="60"/>
        <v>0</v>
      </c>
      <c r="Q378" s="3184">
        <f t="shared" si="61"/>
        <v>0</v>
      </c>
      <c r="T378" s="3184">
        <f t="shared" si="56"/>
        <v>0</v>
      </c>
      <c r="U378" s="3184">
        <f t="shared" si="57"/>
        <v>0</v>
      </c>
      <c r="V378" s="3184">
        <f t="shared" si="58"/>
        <v>0</v>
      </c>
    </row>
    <row r="379" spans="1:22" hidden="1" x14ac:dyDescent="0.2">
      <c r="A379" s="3255">
        <f t="shared" si="59"/>
        <v>367</v>
      </c>
      <c r="B379" s="3256"/>
      <c r="C379" s="3257"/>
      <c r="D379" s="3258"/>
      <c r="E379" s="3257"/>
      <c r="F379" s="3256"/>
      <c r="G379" s="3614"/>
      <c r="H379" s="3256"/>
      <c r="I379" s="3256"/>
      <c r="J379" s="3256"/>
      <c r="K379" s="3256"/>
      <c r="L379" s="3142" t="str">
        <f t="shared" si="52"/>
        <v/>
      </c>
      <c r="M379" s="3183"/>
      <c r="N379" s="3140">
        <f t="shared" si="55"/>
        <v>0</v>
      </c>
      <c r="O379" s="3140">
        <f t="shared" si="60"/>
        <v>0</v>
      </c>
      <c r="Q379" s="3184">
        <f t="shared" si="61"/>
        <v>0</v>
      </c>
      <c r="T379" s="3184">
        <f t="shared" si="56"/>
        <v>0</v>
      </c>
      <c r="U379" s="3184">
        <f t="shared" si="57"/>
        <v>0</v>
      </c>
      <c r="V379" s="3184">
        <f t="shared" si="58"/>
        <v>0</v>
      </c>
    </row>
    <row r="380" spans="1:22" hidden="1" x14ac:dyDescent="0.2">
      <c r="A380" s="3255">
        <f t="shared" si="59"/>
        <v>368</v>
      </c>
      <c r="B380" s="3256"/>
      <c r="C380" s="3257"/>
      <c r="D380" s="3258"/>
      <c r="E380" s="3257"/>
      <c r="F380" s="3256"/>
      <c r="G380" s="3614"/>
      <c r="H380" s="3256"/>
      <c r="I380" s="3256"/>
      <c r="J380" s="3256"/>
      <c r="K380" s="3256"/>
      <c r="L380" s="3142" t="str">
        <f t="shared" si="52"/>
        <v/>
      </c>
      <c r="M380" s="3183"/>
      <c r="N380" s="3140">
        <f t="shared" si="55"/>
        <v>0</v>
      </c>
      <c r="O380" s="3140">
        <f t="shared" si="60"/>
        <v>0</v>
      </c>
      <c r="Q380" s="3184">
        <f t="shared" si="61"/>
        <v>0</v>
      </c>
      <c r="T380" s="3184">
        <f t="shared" si="56"/>
        <v>0</v>
      </c>
      <c r="U380" s="3184">
        <f t="shared" si="57"/>
        <v>0</v>
      </c>
      <c r="V380" s="3184">
        <f t="shared" si="58"/>
        <v>0</v>
      </c>
    </row>
    <row r="381" spans="1:22" hidden="1" x14ac:dyDescent="0.2">
      <c r="A381" s="3255">
        <f t="shared" si="59"/>
        <v>369</v>
      </c>
      <c r="B381" s="3256"/>
      <c r="C381" s="3257"/>
      <c r="D381" s="3258"/>
      <c r="E381" s="3257"/>
      <c r="F381" s="3256"/>
      <c r="G381" s="3614"/>
      <c r="H381" s="3256"/>
      <c r="I381" s="3256"/>
      <c r="J381" s="3256"/>
      <c r="K381" s="3256"/>
      <c r="L381" s="3142" t="str">
        <f t="shared" si="52"/>
        <v/>
      </c>
      <c r="M381" s="3183"/>
      <c r="N381" s="3140">
        <f t="shared" si="55"/>
        <v>0</v>
      </c>
      <c r="O381" s="3140">
        <f t="shared" si="60"/>
        <v>0</v>
      </c>
      <c r="Q381" s="3184">
        <f t="shared" si="61"/>
        <v>0</v>
      </c>
      <c r="T381" s="3184">
        <f t="shared" si="56"/>
        <v>0</v>
      </c>
      <c r="U381" s="3184">
        <f t="shared" si="57"/>
        <v>0</v>
      </c>
      <c r="V381" s="3184">
        <f t="shared" si="58"/>
        <v>0</v>
      </c>
    </row>
    <row r="382" spans="1:22" hidden="1" x14ac:dyDescent="0.2">
      <c r="A382" s="3255">
        <f t="shared" si="59"/>
        <v>370</v>
      </c>
      <c r="B382" s="3256"/>
      <c r="C382" s="3257"/>
      <c r="D382" s="3258"/>
      <c r="E382" s="3257"/>
      <c r="F382" s="3256"/>
      <c r="G382" s="3614"/>
      <c r="H382" s="3256"/>
      <c r="I382" s="3256"/>
      <c r="J382" s="3256"/>
      <c r="K382" s="3256"/>
      <c r="L382" s="3142" t="str">
        <f t="shared" si="52"/>
        <v/>
      </c>
      <c r="M382" s="3183"/>
      <c r="N382" s="3140">
        <f t="shared" si="55"/>
        <v>0</v>
      </c>
      <c r="O382" s="3140">
        <f t="shared" si="60"/>
        <v>0</v>
      </c>
      <c r="Q382" s="3184">
        <f t="shared" si="61"/>
        <v>0</v>
      </c>
      <c r="T382" s="3184">
        <f t="shared" si="56"/>
        <v>0</v>
      </c>
      <c r="U382" s="3184">
        <f t="shared" si="57"/>
        <v>0</v>
      </c>
      <c r="V382" s="3184">
        <f t="shared" si="58"/>
        <v>0</v>
      </c>
    </row>
    <row r="383" spans="1:22" hidden="1" x14ac:dyDescent="0.2">
      <c r="A383" s="3255">
        <f t="shared" si="59"/>
        <v>371</v>
      </c>
      <c r="B383" s="3256"/>
      <c r="C383" s="3257"/>
      <c r="D383" s="3258"/>
      <c r="E383" s="3257"/>
      <c r="F383" s="3256"/>
      <c r="G383" s="3614"/>
      <c r="H383" s="3256"/>
      <c r="I383" s="3256"/>
      <c r="J383" s="3256"/>
      <c r="K383" s="3256"/>
      <c r="L383" s="3142" t="str">
        <f t="shared" si="52"/>
        <v/>
      </c>
      <c r="M383" s="3183"/>
      <c r="N383" s="3140">
        <f t="shared" si="55"/>
        <v>0</v>
      </c>
      <c r="O383" s="3140">
        <f t="shared" si="60"/>
        <v>0</v>
      </c>
      <c r="Q383" s="3184">
        <f t="shared" si="61"/>
        <v>0</v>
      </c>
      <c r="T383" s="3184">
        <f t="shared" si="56"/>
        <v>0</v>
      </c>
      <c r="U383" s="3184">
        <f t="shared" si="57"/>
        <v>0</v>
      </c>
      <c r="V383" s="3184">
        <f t="shared" si="58"/>
        <v>0</v>
      </c>
    </row>
    <row r="384" spans="1:22" hidden="1" x14ac:dyDescent="0.2">
      <c r="A384" s="3255">
        <f t="shared" si="59"/>
        <v>372</v>
      </c>
      <c r="B384" s="3256"/>
      <c r="C384" s="3257"/>
      <c r="D384" s="3258"/>
      <c r="E384" s="3257"/>
      <c r="F384" s="3256"/>
      <c r="G384" s="3614"/>
      <c r="H384" s="3256"/>
      <c r="I384" s="3256"/>
      <c r="J384" s="3256"/>
      <c r="K384" s="3256"/>
      <c r="L384" s="3142" t="str">
        <f t="shared" si="52"/>
        <v/>
      </c>
      <c r="M384" s="3183"/>
      <c r="N384" s="3140">
        <f t="shared" si="55"/>
        <v>0</v>
      </c>
      <c r="O384" s="3140">
        <f t="shared" si="60"/>
        <v>0</v>
      </c>
      <c r="Q384" s="3184">
        <f t="shared" si="61"/>
        <v>0</v>
      </c>
      <c r="T384" s="3184">
        <f t="shared" si="56"/>
        <v>0</v>
      </c>
      <c r="U384" s="3184">
        <f t="shared" si="57"/>
        <v>0</v>
      </c>
      <c r="V384" s="3184">
        <f t="shared" si="58"/>
        <v>0</v>
      </c>
    </row>
    <row r="385" spans="1:22" hidden="1" x14ac:dyDescent="0.2">
      <c r="A385" s="3255">
        <f t="shared" si="59"/>
        <v>373</v>
      </c>
      <c r="B385" s="3256"/>
      <c r="C385" s="3257"/>
      <c r="D385" s="3258"/>
      <c r="E385" s="3257"/>
      <c r="F385" s="3256"/>
      <c r="G385" s="3614"/>
      <c r="H385" s="3256"/>
      <c r="I385" s="3256"/>
      <c r="J385" s="3256"/>
      <c r="K385" s="3256"/>
      <c r="L385" s="3142" t="str">
        <f t="shared" si="52"/>
        <v/>
      </c>
      <c r="M385" s="3183"/>
      <c r="N385" s="3140">
        <f t="shared" si="55"/>
        <v>0</v>
      </c>
      <c r="O385" s="3140">
        <f t="shared" si="60"/>
        <v>0</v>
      </c>
      <c r="Q385" s="3184">
        <f t="shared" si="61"/>
        <v>0</v>
      </c>
      <c r="T385" s="3184">
        <f t="shared" si="56"/>
        <v>0</v>
      </c>
      <c r="U385" s="3184">
        <f t="shared" si="57"/>
        <v>0</v>
      </c>
      <c r="V385" s="3184">
        <f t="shared" si="58"/>
        <v>0</v>
      </c>
    </row>
    <row r="386" spans="1:22" hidden="1" x14ac:dyDescent="0.2">
      <c r="A386" s="3255">
        <f t="shared" si="59"/>
        <v>374</v>
      </c>
      <c r="B386" s="3256"/>
      <c r="C386" s="3257"/>
      <c r="D386" s="3258"/>
      <c r="E386" s="3257"/>
      <c r="F386" s="3256"/>
      <c r="G386" s="3614"/>
      <c r="H386" s="3256"/>
      <c r="I386" s="3256"/>
      <c r="J386" s="3256"/>
      <c r="K386" s="3256"/>
      <c r="L386" s="3142" t="str">
        <f t="shared" si="52"/>
        <v/>
      </c>
      <c r="M386" s="3183"/>
      <c r="N386" s="3140">
        <f t="shared" si="55"/>
        <v>0</v>
      </c>
      <c r="O386" s="3140">
        <f t="shared" si="60"/>
        <v>0</v>
      </c>
      <c r="Q386" s="3184">
        <f t="shared" si="61"/>
        <v>0</v>
      </c>
      <c r="T386" s="3184">
        <f t="shared" si="56"/>
        <v>0</v>
      </c>
      <c r="U386" s="3184">
        <f t="shared" si="57"/>
        <v>0</v>
      </c>
      <c r="V386" s="3184">
        <f t="shared" si="58"/>
        <v>0</v>
      </c>
    </row>
    <row r="387" spans="1:22" hidden="1" x14ac:dyDescent="0.2">
      <c r="A387" s="3255">
        <f t="shared" si="59"/>
        <v>375</v>
      </c>
      <c r="B387" s="3256"/>
      <c r="C387" s="3257"/>
      <c r="D387" s="3258"/>
      <c r="E387" s="3257"/>
      <c r="F387" s="3256"/>
      <c r="G387" s="3614"/>
      <c r="H387" s="3256"/>
      <c r="I387" s="3256"/>
      <c r="J387" s="3256"/>
      <c r="K387" s="3256"/>
      <c r="L387" s="3142" t="str">
        <f t="shared" si="52"/>
        <v/>
      </c>
      <c r="M387" s="3183"/>
      <c r="N387" s="3140">
        <f t="shared" si="55"/>
        <v>0</v>
      </c>
      <c r="O387" s="3140">
        <f t="shared" si="60"/>
        <v>0</v>
      </c>
      <c r="Q387" s="3184">
        <f t="shared" si="61"/>
        <v>0</v>
      </c>
      <c r="T387" s="3184">
        <f t="shared" si="56"/>
        <v>0</v>
      </c>
      <c r="U387" s="3184">
        <f t="shared" si="57"/>
        <v>0</v>
      </c>
      <c r="V387" s="3184">
        <f t="shared" si="58"/>
        <v>0</v>
      </c>
    </row>
    <row r="388" spans="1:22" hidden="1" x14ac:dyDescent="0.2">
      <c r="A388" s="3255">
        <f t="shared" si="59"/>
        <v>376</v>
      </c>
      <c r="B388" s="3256"/>
      <c r="C388" s="3257"/>
      <c r="D388" s="3258"/>
      <c r="E388" s="3257"/>
      <c r="F388" s="3256"/>
      <c r="G388" s="3614"/>
      <c r="H388" s="3256"/>
      <c r="I388" s="3256"/>
      <c r="J388" s="3256"/>
      <c r="K388" s="3256"/>
      <c r="L388" s="3142" t="str">
        <f t="shared" si="52"/>
        <v/>
      </c>
      <c r="M388" s="3183"/>
      <c r="N388" s="3140">
        <f t="shared" si="55"/>
        <v>0</v>
      </c>
      <c r="O388" s="3140">
        <f t="shared" si="60"/>
        <v>0</v>
      </c>
      <c r="Q388" s="3184">
        <f t="shared" si="61"/>
        <v>0</v>
      </c>
      <c r="T388" s="3184">
        <f t="shared" si="56"/>
        <v>0</v>
      </c>
      <c r="U388" s="3184">
        <f t="shared" si="57"/>
        <v>0</v>
      </c>
      <c r="V388" s="3184">
        <f t="shared" si="58"/>
        <v>0</v>
      </c>
    </row>
    <row r="389" spans="1:22" hidden="1" x14ac:dyDescent="0.2">
      <c r="A389" s="3255">
        <f t="shared" si="59"/>
        <v>377</v>
      </c>
      <c r="B389" s="3256"/>
      <c r="C389" s="3257"/>
      <c r="D389" s="3258"/>
      <c r="E389" s="3257"/>
      <c r="F389" s="3256"/>
      <c r="G389" s="3614"/>
      <c r="H389" s="3256"/>
      <c r="I389" s="3256"/>
      <c r="J389" s="3256"/>
      <c r="K389" s="3256"/>
      <c r="L389" s="3142" t="str">
        <f t="shared" si="52"/>
        <v/>
      </c>
      <c r="M389" s="3183"/>
      <c r="N389" s="3140">
        <f t="shared" si="55"/>
        <v>0</v>
      </c>
      <c r="O389" s="3140">
        <f t="shared" si="60"/>
        <v>0</v>
      </c>
      <c r="Q389" s="3184">
        <f t="shared" si="61"/>
        <v>0</v>
      </c>
      <c r="T389" s="3184">
        <f t="shared" si="56"/>
        <v>0</v>
      </c>
      <c r="U389" s="3184">
        <f t="shared" si="57"/>
        <v>0</v>
      </c>
      <c r="V389" s="3184">
        <f t="shared" si="58"/>
        <v>0</v>
      </c>
    </row>
    <row r="390" spans="1:22" hidden="1" x14ac:dyDescent="0.2">
      <c r="A390" s="3255">
        <f t="shared" si="59"/>
        <v>378</v>
      </c>
      <c r="B390" s="3256"/>
      <c r="C390" s="3257"/>
      <c r="D390" s="3258"/>
      <c r="E390" s="3257"/>
      <c r="F390" s="3256"/>
      <c r="G390" s="3614"/>
      <c r="H390" s="3256"/>
      <c r="I390" s="3256"/>
      <c r="J390" s="3256"/>
      <c r="K390" s="3256"/>
      <c r="L390" s="3142" t="str">
        <f t="shared" si="52"/>
        <v/>
      </c>
      <c r="M390" s="3183"/>
      <c r="N390" s="3140">
        <f t="shared" si="55"/>
        <v>0</v>
      </c>
      <c r="O390" s="3140">
        <f t="shared" si="60"/>
        <v>0</v>
      </c>
      <c r="Q390" s="3184">
        <f t="shared" si="61"/>
        <v>0</v>
      </c>
      <c r="T390" s="3184">
        <f t="shared" si="56"/>
        <v>0</v>
      </c>
      <c r="U390" s="3184">
        <f t="shared" si="57"/>
        <v>0</v>
      </c>
      <c r="V390" s="3184">
        <f t="shared" si="58"/>
        <v>0</v>
      </c>
    </row>
    <row r="391" spans="1:22" hidden="1" x14ac:dyDescent="0.2">
      <c r="A391" s="3255">
        <f t="shared" si="59"/>
        <v>379</v>
      </c>
      <c r="B391" s="3256"/>
      <c r="C391" s="3257"/>
      <c r="D391" s="3258"/>
      <c r="E391" s="3257"/>
      <c r="F391" s="3256"/>
      <c r="G391" s="3614"/>
      <c r="H391" s="3256"/>
      <c r="I391" s="3256"/>
      <c r="J391" s="3256"/>
      <c r="K391" s="3256"/>
      <c r="L391" s="3142" t="str">
        <f t="shared" si="52"/>
        <v/>
      </c>
      <c r="M391" s="3183"/>
      <c r="N391" s="3140">
        <f t="shared" si="55"/>
        <v>0</v>
      </c>
      <c r="O391" s="3140">
        <f t="shared" si="60"/>
        <v>0</v>
      </c>
      <c r="Q391" s="3184">
        <f t="shared" si="61"/>
        <v>0</v>
      </c>
      <c r="T391" s="3184">
        <f t="shared" si="56"/>
        <v>0</v>
      </c>
      <c r="U391" s="3184">
        <f t="shared" si="57"/>
        <v>0</v>
      </c>
      <c r="V391" s="3184">
        <f t="shared" si="58"/>
        <v>0</v>
      </c>
    </row>
    <row r="392" spans="1:22" hidden="1" x14ac:dyDescent="0.2">
      <c r="A392" s="3255">
        <f t="shared" si="59"/>
        <v>380</v>
      </c>
      <c r="B392" s="3256"/>
      <c r="C392" s="3257"/>
      <c r="D392" s="3258"/>
      <c r="E392" s="3257"/>
      <c r="F392" s="3256"/>
      <c r="G392" s="3614"/>
      <c r="H392" s="3256"/>
      <c r="I392" s="3256"/>
      <c r="J392" s="3256"/>
      <c r="K392" s="3256"/>
      <c r="L392" s="3142" t="str">
        <f t="shared" si="52"/>
        <v/>
      </c>
      <c r="M392" s="3183"/>
      <c r="N392" s="3140">
        <f t="shared" si="55"/>
        <v>0</v>
      </c>
      <c r="O392" s="3140">
        <f t="shared" si="60"/>
        <v>0</v>
      </c>
      <c r="Q392" s="3184">
        <f t="shared" si="61"/>
        <v>0</v>
      </c>
      <c r="T392" s="3184">
        <f t="shared" si="56"/>
        <v>0</v>
      </c>
      <c r="U392" s="3184">
        <f t="shared" si="57"/>
        <v>0</v>
      </c>
      <c r="V392" s="3184">
        <f t="shared" si="58"/>
        <v>0</v>
      </c>
    </row>
    <row r="393" spans="1:22" hidden="1" x14ac:dyDescent="0.2">
      <c r="A393" s="3255">
        <f t="shared" si="59"/>
        <v>381</v>
      </c>
      <c r="B393" s="3256"/>
      <c r="C393" s="3257"/>
      <c r="D393" s="3258"/>
      <c r="E393" s="3257"/>
      <c r="F393" s="3256"/>
      <c r="G393" s="3614"/>
      <c r="H393" s="3256"/>
      <c r="I393" s="3256"/>
      <c r="J393" s="3256"/>
      <c r="K393" s="3256"/>
      <c r="L393" s="3142" t="str">
        <f t="shared" si="52"/>
        <v/>
      </c>
      <c r="M393" s="3183"/>
      <c r="N393" s="3140">
        <f t="shared" si="55"/>
        <v>0</v>
      </c>
      <c r="O393" s="3140">
        <f t="shared" si="60"/>
        <v>0</v>
      </c>
      <c r="Q393" s="3184">
        <f t="shared" si="61"/>
        <v>0</v>
      </c>
      <c r="T393" s="3184">
        <f t="shared" si="56"/>
        <v>0</v>
      </c>
      <c r="U393" s="3184">
        <f t="shared" si="57"/>
        <v>0</v>
      </c>
      <c r="V393" s="3184">
        <f t="shared" si="58"/>
        <v>0</v>
      </c>
    </row>
    <row r="394" spans="1:22" hidden="1" x14ac:dyDescent="0.2">
      <c r="A394" s="3255">
        <f t="shared" si="59"/>
        <v>382</v>
      </c>
      <c r="B394" s="3256"/>
      <c r="C394" s="3257"/>
      <c r="D394" s="3258"/>
      <c r="E394" s="3257"/>
      <c r="F394" s="3256"/>
      <c r="G394" s="3614"/>
      <c r="H394" s="3256"/>
      <c r="I394" s="3256"/>
      <c r="J394" s="3256"/>
      <c r="K394" s="3256"/>
      <c r="L394" s="3142" t="str">
        <f t="shared" si="52"/>
        <v/>
      </c>
      <c r="M394" s="3183"/>
      <c r="N394" s="3140">
        <f t="shared" si="55"/>
        <v>0</v>
      </c>
      <c r="O394" s="3140">
        <f t="shared" si="60"/>
        <v>0</v>
      </c>
      <c r="Q394" s="3184">
        <f t="shared" si="61"/>
        <v>0</v>
      </c>
      <c r="T394" s="3184">
        <f t="shared" si="56"/>
        <v>0</v>
      </c>
      <c r="U394" s="3184">
        <f t="shared" si="57"/>
        <v>0</v>
      </c>
      <c r="V394" s="3184">
        <f t="shared" si="58"/>
        <v>0</v>
      </c>
    </row>
    <row r="395" spans="1:22" hidden="1" x14ac:dyDescent="0.2">
      <c r="A395" s="3255">
        <f t="shared" si="59"/>
        <v>383</v>
      </c>
      <c r="B395" s="3256"/>
      <c r="C395" s="3257"/>
      <c r="D395" s="3258"/>
      <c r="E395" s="3257"/>
      <c r="F395" s="3256"/>
      <c r="G395" s="3614"/>
      <c r="H395" s="3256"/>
      <c r="I395" s="3256"/>
      <c r="J395" s="3256"/>
      <c r="K395" s="3256"/>
      <c r="L395" s="3142" t="str">
        <f t="shared" si="52"/>
        <v/>
      </c>
      <c r="M395" s="3183"/>
      <c r="N395" s="3140">
        <f t="shared" si="55"/>
        <v>0</v>
      </c>
      <c r="O395" s="3140">
        <f t="shared" si="60"/>
        <v>0</v>
      </c>
      <c r="Q395" s="3184">
        <f t="shared" si="61"/>
        <v>0</v>
      </c>
      <c r="T395" s="3184">
        <f t="shared" si="56"/>
        <v>0</v>
      </c>
      <c r="U395" s="3184">
        <f t="shared" si="57"/>
        <v>0</v>
      </c>
      <c r="V395" s="3184">
        <f t="shared" si="58"/>
        <v>0</v>
      </c>
    </row>
    <row r="396" spans="1:22" hidden="1" x14ac:dyDescent="0.2">
      <c r="A396" s="3255">
        <f t="shared" si="59"/>
        <v>384</v>
      </c>
      <c r="B396" s="3256"/>
      <c r="C396" s="3257"/>
      <c r="D396" s="3258"/>
      <c r="E396" s="3257"/>
      <c r="F396" s="3256"/>
      <c r="G396" s="3614"/>
      <c r="H396" s="3256"/>
      <c r="I396" s="3256"/>
      <c r="J396" s="3256"/>
      <c r="K396" s="3256"/>
      <c r="L396" s="3142" t="str">
        <f t="shared" si="52"/>
        <v/>
      </c>
      <c r="M396" s="3183"/>
      <c r="N396" s="3140">
        <f t="shared" si="55"/>
        <v>0</v>
      </c>
      <c r="O396" s="3140">
        <f t="shared" si="60"/>
        <v>0</v>
      </c>
      <c r="Q396" s="3184">
        <f t="shared" si="61"/>
        <v>0</v>
      </c>
      <c r="T396" s="3184">
        <f t="shared" si="56"/>
        <v>0</v>
      </c>
      <c r="U396" s="3184">
        <f t="shared" si="57"/>
        <v>0</v>
      </c>
      <c r="V396" s="3184">
        <f t="shared" si="58"/>
        <v>0</v>
      </c>
    </row>
    <row r="397" spans="1:22" hidden="1" x14ac:dyDescent="0.2">
      <c r="A397" s="3255">
        <f t="shared" si="59"/>
        <v>385</v>
      </c>
      <c r="B397" s="3256"/>
      <c r="C397" s="3257"/>
      <c r="D397" s="3258"/>
      <c r="E397" s="3257"/>
      <c r="F397" s="3256"/>
      <c r="G397" s="3614"/>
      <c r="H397" s="3256"/>
      <c r="I397" s="3256"/>
      <c r="J397" s="3256"/>
      <c r="K397" s="3256"/>
      <c r="L397" s="3142" t="str">
        <f t="shared" ref="L397:L460" si="62">IF(AND($N$4&gt;0,A397&lt;=$J$8,N397&lt;&gt;7),re,IF(AND(N397&gt;0,$K$8=0),"No details required",IF(AND(T397=1,I397=""),re,IF(AND(T397=0,COUNTA(I397:K397)&gt;0),"Delete!",IF(AND(U397=1,J397=""),re,IF(AND(U397=0,COUNTA(J397:K397)&gt;0),"Delete!",IF(AND(V397=1,K397=""),re,IF(AND(V397=0,COUNTA(K397)&gt;0),"Delete!",IF(AND(N397&gt;0,A397&gt;$J$8),"Check no. of foreign holdings!","")))))))))</f>
        <v/>
      </c>
      <c r="M397" s="3183"/>
      <c r="N397" s="3140">
        <f t="shared" si="55"/>
        <v>0</v>
      </c>
      <c r="O397" s="3140">
        <f t="shared" si="60"/>
        <v>0</v>
      </c>
      <c r="Q397" s="3184">
        <f t="shared" si="61"/>
        <v>0</v>
      </c>
      <c r="T397" s="3184">
        <f t="shared" si="56"/>
        <v>0</v>
      </c>
      <c r="U397" s="3184">
        <f t="shared" si="57"/>
        <v>0</v>
      </c>
      <c r="V397" s="3184">
        <f t="shared" si="58"/>
        <v>0</v>
      </c>
    </row>
    <row r="398" spans="1:22" hidden="1" x14ac:dyDescent="0.2">
      <c r="A398" s="3255">
        <f t="shared" si="59"/>
        <v>386</v>
      </c>
      <c r="B398" s="3256"/>
      <c r="C398" s="3257"/>
      <c r="D398" s="3258"/>
      <c r="E398" s="3257"/>
      <c r="F398" s="3256"/>
      <c r="G398" s="3614"/>
      <c r="H398" s="3256"/>
      <c r="I398" s="3256"/>
      <c r="J398" s="3256"/>
      <c r="K398" s="3256"/>
      <c r="L398" s="3142" t="str">
        <f t="shared" si="62"/>
        <v/>
      </c>
      <c r="M398" s="3183"/>
      <c r="N398" s="3140">
        <f t="shared" si="55"/>
        <v>0</v>
      </c>
      <c r="O398" s="3140">
        <f t="shared" si="60"/>
        <v>0</v>
      </c>
      <c r="Q398" s="3184">
        <f t="shared" si="61"/>
        <v>0</v>
      </c>
      <c r="T398" s="3184">
        <f t="shared" si="56"/>
        <v>0</v>
      </c>
      <c r="U398" s="3184">
        <f t="shared" si="57"/>
        <v>0</v>
      </c>
      <c r="V398" s="3184">
        <f t="shared" si="58"/>
        <v>0</v>
      </c>
    </row>
    <row r="399" spans="1:22" hidden="1" x14ac:dyDescent="0.2">
      <c r="A399" s="3255">
        <f t="shared" si="59"/>
        <v>387</v>
      </c>
      <c r="B399" s="3256"/>
      <c r="C399" s="3257"/>
      <c r="D399" s="3258"/>
      <c r="E399" s="3257"/>
      <c r="F399" s="3256"/>
      <c r="G399" s="3614"/>
      <c r="H399" s="3256"/>
      <c r="I399" s="3256"/>
      <c r="J399" s="3256"/>
      <c r="K399" s="3256"/>
      <c r="L399" s="3142" t="str">
        <f t="shared" si="62"/>
        <v/>
      </c>
      <c r="M399" s="3183"/>
      <c r="N399" s="3140">
        <f t="shared" si="55"/>
        <v>0</v>
      </c>
      <c r="O399" s="3140">
        <f t="shared" si="60"/>
        <v>0</v>
      </c>
      <c r="Q399" s="3184">
        <f t="shared" si="61"/>
        <v>0</v>
      </c>
      <c r="T399" s="3184">
        <f t="shared" si="56"/>
        <v>0</v>
      </c>
      <c r="U399" s="3184">
        <f t="shared" si="57"/>
        <v>0</v>
      </c>
      <c r="V399" s="3184">
        <f t="shared" si="58"/>
        <v>0</v>
      </c>
    </row>
    <row r="400" spans="1:22" hidden="1" x14ac:dyDescent="0.2">
      <c r="A400" s="3255">
        <f t="shared" si="59"/>
        <v>388</v>
      </c>
      <c r="B400" s="3256"/>
      <c r="C400" s="3257"/>
      <c r="D400" s="3258"/>
      <c r="E400" s="3257"/>
      <c r="F400" s="3256"/>
      <c r="G400" s="3614"/>
      <c r="H400" s="3256"/>
      <c r="I400" s="3256"/>
      <c r="J400" s="3256"/>
      <c r="K400" s="3256"/>
      <c r="L400" s="3142" t="str">
        <f t="shared" si="62"/>
        <v/>
      </c>
      <c r="M400" s="3183"/>
      <c r="N400" s="3140">
        <f t="shared" si="55"/>
        <v>0</v>
      </c>
      <c r="O400" s="3140">
        <f t="shared" si="60"/>
        <v>0</v>
      </c>
      <c r="Q400" s="3184">
        <f t="shared" si="61"/>
        <v>0</v>
      </c>
      <c r="T400" s="3184">
        <f t="shared" si="56"/>
        <v>0</v>
      </c>
      <c r="U400" s="3184">
        <f t="shared" si="57"/>
        <v>0</v>
      </c>
      <c r="V400" s="3184">
        <f t="shared" si="58"/>
        <v>0</v>
      </c>
    </row>
    <row r="401" spans="1:22" hidden="1" x14ac:dyDescent="0.2">
      <c r="A401" s="3255">
        <f t="shared" si="59"/>
        <v>389</v>
      </c>
      <c r="B401" s="3256"/>
      <c r="C401" s="3257"/>
      <c r="D401" s="3258"/>
      <c r="E401" s="3257"/>
      <c r="F401" s="3256"/>
      <c r="G401" s="3614"/>
      <c r="H401" s="3256"/>
      <c r="I401" s="3256"/>
      <c r="J401" s="3256"/>
      <c r="K401" s="3256"/>
      <c r="L401" s="3142" t="str">
        <f t="shared" si="62"/>
        <v/>
      </c>
      <c r="M401" s="3183"/>
      <c r="N401" s="3140">
        <f t="shared" si="55"/>
        <v>0</v>
      </c>
      <c r="O401" s="3140">
        <f t="shared" si="60"/>
        <v>0</v>
      </c>
      <c r="Q401" s="3184">
        <f t="shared" si="61"/>
        <v>0</v>
      </c>
      <c r="T401" s="3184">
        <f t="shared" si="56"/>
        <v>0</v>
      </c>
      <c r="U401" s="3184">
        <f t="shared" si="57"/>
        <v>0</v>
      </c>
      <c r="V401" s="3184">
        <f t="shared" si="58"/>
        <v>0</v>
      </c>
    </row>
    <row r="402" spans="1:22" hidden="1" x14ac:dyDescent="0.2">
      <c r="A402" s="3255">
        <f t="shared" si="59"/>
        <v>390</v>
      </c>
      <c r="B402" s="3256"/>
      <c r="C402" s="3257"/>
      <c r="D402" s="3258"/>
      <c r="E402" s="3257"/>
      <c r="F402" s="3256"/>
      <c r="G402" s="3614"/>
      <c r="H402" s="3256"/>
      <c r="I402" s="3256"/>
      <c r="J402" s="3256"/>
      <c r="K402" s="3256"/>
      <c r="L402" s="3142" t="str">
        <f t="shared" si="62"/>
        <v/>
      </c>
      <c r="M402" s="3183"/>
      <c r="N402" s="3140">
        <f t="shared" si="55"/>
        <v>0</v>
      </c>
      <c r="O402" s="3140">
        <f t="shared" si="60"/>
        <v>0</v>
      </c>
      <c r="Q402" s="3184">
        <f t="shared" si="61"/>
        <v>0</v>
      </c>
      <c r="T402" s="3184">
        <f t="shared" si="56"/>
        <v>0</v>
      </c>
      <c r="U402" s="3184">
        <f t="shared" si="57"/>
        <v>0</v>
      </c>
      <c r="V402" s="3184">
        <f t="shared" si="58"/>
        <v>0</v>
      </c>
    </row>
    <row r="403" spans="1:22" hidden="1" x14ac:dyDescent="0.2">
      <c r="A403" s="3255">
        <f t="shared" si="59"/>
        <v>391</v>
      </c>
      <c r="B403" s="3256"/>
      <c r="C403" s="3257"/>
      <c r="D403" s="3258"/>
      <c r="E403" s="3257"/>
      <c r="F403" s="3256"/>
      <c r="G403" s="3614"/>
      <c r="H403" s="3256"/>
      <c r="I403" s="3256"/>
      <c r="J403" s="3256"/>
      <c r="K403" s="3256"/>
      <c r="L403" s="3142" t="str">
        <f t="shared" si="62"/>
        <v/>
      </c>
      <c r="M403" s="3183"/>
      <c r="N403" s="3140">
        <f t="shared" si="55"/>
        <v>0</v>
      </c>
      <c r="O403" s="3140">
        <f t="shared" si="60"/>
        <v>0</v>
      </c>
      <c r="Q403" s="3184">
        <f t="shared" si="61"/>
        <v>0</v>
      </c>
      <c r="T403" s="3184">
        <f t="shared" si="56"/>
        <v>0</v>
      </c>
      <c r="U403" s="3184">
        <f t="shared" si="57"/>
        <v>0</v>
      </c>
      <c r="V403" s="3184">
        <f t="shared" si="58"/>
        <v>0</v>
      </c>
    </row>
    <row r="404" spans="1:22" hidden="1" x14ac:dyDescent="0.2">
      <c r="A404" s="3255">
        <f t="shared" si="59"/>
        <v>392</v>
      </c>
      <c r="B404" s="3256"/>
      <c r="C404" s="3257"/>
      <c r="D404" s="3258"/>
      <c r="E404" s="3257"/>
      <c r="F404" s="3256"/>
      <c r="G404" s="3614"/>
      <c r="H404" s="3256"/>
      <c r="I404" s="3256"/>
      <c r="J404" s="3256"/>
      <c r="K404" s="3256"/>
      <c r="L404" s="3142" t="str">
        <f t="shared" si="62"/>
        <v/>
      </c>
      <c r="M404" s="3183"/>
      <c r="N404" s="3140">
        <f t="shared" si="55"/>
        <v>0</v>
      </c>
      <c r="O404" s="3140">
        <f t="shared" si="60"/>
        <v>0</v>
      </c>
      <c r="Q404" s="3184">
        <f t="shared" si="61"/>
        <v>0</v>
      </c>
      <c r="T404" s="3184">
        <f t="shared" si="56"/>
        <v>0</v>
      </c>
      <c r="U404" s="3184">
        <f t="shared" si="57"/>
        <v>0</v>
      </c>
      <c r="V404" s="3184">
        <f t="shared" si="58"/>
        <v>0</v>
      </c>
    </row>
    <row r="405" spans="1:22" hidden="1" x14ac:dyDescent="0.2">
      <c r="A405" s="3255">
        <f t="shared" si="59"/>
        <v>393</v>
      </c>
      <c r="B405" s="3256"/>
      <c r="C405" s="3257"/>
      <c r="D405" s="3258"/>
      <c r="E405" s="3257"/>
      <c r="F405" s="3256"/>
      <c r="G405" s="3614"/>
      <c r="H405" s="3256"/>
      <c r="I405" s="3256"/>
      <c r="J405" s="3256"/>
      <c r="K405" s="3256"/>
      <c r="L405" s="3142" t="str">
        <f t="shared" si="62"/>
        <v/>
      </c>
      <c r="M405" s="3183"/>
      <c r="N405" s="3140">
        <f t="shared" si="55"/>
        <v>0</v>
      </c>
      <c r="O405" s="3140">
        <f t="shared" si="60"/>
        <v>0</v>
      </c>
      <c r="Q405" s="3184">
        <f t="shared" si="61"/>
        <v>0</v>
      </c>
      <c r="T405" s="3184">
        <f t="shared" si="56"/>
        <v>0</v>
      </c>
      <c r="U405" s="3184">
        <f t="shared" si="57"/>
        <v>0</v>
      </c>
      <c r="V405" s="3184">
        <f t="shared" si="58"/>
        <v>0</v>
      </c>
    </row>
    <row r="406" spans="1:22" hidden="1" x14ac:dyDescent="0.2">
      <c r="A406" s="3255">
        <f t="shared" si="59"/>
        <v>394</v>
      </c>
      <c r="B406" s="3256"/>
      <c r="C406" s="3257"/>
      <c r="D406" s="3258"/>
      <c r="E406" s="3257"/>
      <c r="F406" s="3256"/>
      <c r="G406" s="3614"/>
      <c r="H406" s="3256"/>
      <c r="I406" s="3256"/>
      <c r="J406" s="3256"/>
      <c r="K406" s="3256"/>
      <c r="L406" s="3142" t="str">
        <f t="shared" si="62"/>
        <v/>
      </c>
      <c r="M406" s="3183"/>
      <c r="N406" s="3140">
        <f t="shared" ref="N406:N462" si="63">COUNTA(B406:H406)</f>
      </c>
      <c r="O406" s="3140">
        <f t="shared" si="60"/>
        <v>0</v>
      </c>
      <c r="Q406" s="3184">
        <f t="shared" si="61"/>
        <v>0</v>
      </c>
      <c r="T406" s="3184">
        <f t="shared" ref="T406:T462" si="64">IF(N406=0,0,IF(OR(H406=$Y$17,H406=$Y$19),0,1))</f>
      </c>
      <c r="U406" s="3184">
        <f t="shared" ref="U406:U462" si="65">IF(AND(T406=1,I406="no"),1,0)</f>
      </c>
      <c r="V406" s="3184">
        <f t="shared" ref="V406:V462" si="66">IF(AND(U406=1,J406="yes"),1,0)</f>
      </c>
    </row>
    <row r="407" spans="1:22" hidden="1" x14ac:dyDescent="0.2">
      <c r="A407" s="3255">
        <f t="shared" ref="A407:A462" si="67">A406+1</f>
      </c>
      <c r="B407" s="3256"/>
      <c r="C407" s="3257"/>
      <c r="D407" s="3258"/>
      <c r="E407" s="3257"/>
      <c r="F407" s="3256"/>
      <c r="G407" s="3614"/>
      <c r="H407" s="3256"/>
      <c r="I407" s="3256"/>
      <c r="J407" s="3256"/>
      <c r="K407" s="3256"/>
      <c r="L407" s="3142" t="str">
        <f t="shared" si="62"/>
        <v/>
      </c>
      <c r="M407" s="3183"/>
      <c r="N407" s="3140">
        <f t="shared" si="63"/>
        <v>0</v>
      </c>
      <c r="O407" s="3140">
        <f t="shared" si="60"/>
        <v>0</v>
      </c>
      <c r="Q407" s="3184">
        <f t="shared" si="61"/>
        <v>0</v>
      </c>
      <c r="T407" s="3184">
        <f t="shared" si="64"/>
        <v>0</v>
      </c>
      <c r="U407" s="3184">
        <f t="shared" si="65"/>
        <v>0</v>
      </c>
      <c r="V407" s="3184">
        <f t="shared" si="66"/>
        <v>0</v>
      </c>
    </row>
    <row r="408" spans="1:22" hidden="1" x14ac:dyDescent="0.2">
      <c r="A408" s="3255">
        <f t="shared" si="67"/>
        <v>396</v>
      </c>
      <c r="B408" s="3256"/>
      <c r="C408" s="3257"/>
      <c r="D408" s="3258"/>
      <c r="E408" s="3257"/>
      <c r="F408" s="3256"/>
      <c r="G408" s="3614"/>
      <c r="H408" s="3256"/>
      <c r="I408" s="3256"/>
      <c r="J408" s="3256"/>
      <c r="K408" s="3256"/>
      <c r="L408" s="3142" t="str">
        <f t="shared" si="62"/>
        <v/>
      </c>
      <c r="M408" s="3183"/>
      <c r="N408" s="3140">
        <f t="shared" si="63"/>
        <v>0</v>
      </c>
      <c r="O408" s="3140">
        <f t="shared" si="60"/>
        <v>0</v>
      </c>
      <c r="Q408" s="3184">
        <f t="shared" si="61"/>
        <v>0</v>
      </c>
      <c r="T408" s="3184">
        <f t="shared" si="64"/>
        <v>0</v>
      </c>
      <c r="U408" s="3184">
        <f t="shared" si="65"/>
        <v>0</v>
      </c>
      <c r="V408" s="3184">
        <f t="shared" si="66"/>
        <v>0</v>
      </c>
    </row>
    <row r="409" spans="1:22" hidden="1" x14ac:dyDescent="0.2">
      <c r="A409" s="3255">
        <f t="shared" si="67"/>
        <v>397</v>
      </c>
      <c r="B409" s="3256"/>
      <c r="C409" s="3257"/>
      <c r="D409" s="3258"/>
      <c r="E409" s="3257"/>
      <c r="F409" s="3256"/>
      <c r="G409" s="3614"/>
      <c r="H409" s="3256"/>
      <c r="I409" s="3256"/>
      <c r="J409" s="3256"/>
      <c r="K409" s="3256"/>
      <c r="L409" s="3142" t="str">
        <f t="shared" si="62"/>
        <v/>
      </c>
      <c r="M409" s="3183"/>
      <c r="N409" s="3140">
        <f t="shared" si="63"/>
        <v>0</v>
      </c>
      <c r="O409" s="3140">
        <f t="shared" si="60"/>
        <v>0</v>
      </c>
      <c r="Q409" s="3184">
        <f t="shared" si="61"/>
        <v>0</v>
      </c>
      <c r="T409" s="3184">
        <f t="shared" si="64"/>
        <v>0</v>
      </c>
      <c r="U409" s="3184">
        <f t="shared" si="65"/>
        <v>0</v>
      </c>
      <c r="V409" s="3184">
        <f t="shared" si="66"/>
        <v>0</v>
      </c>
    </row>
    <row r="410" spans="1:22" hidden="1" x14ac:dyDescent="0.2">
      <c r="A410" s="3255">
        <f t="shared" si="67"/>
        <v>398</v>
      </c>
      <c r="B410" s="3256"/>
      <c r="C410" s="3257"/>
      <c r="D410" s="3258"/>
      <c r="E410" s="3257"/>
      <c r="F410" s="3256"/>
      <c r="G410" s="3614"/>
      <c r="H410" s="3256"/>
      <c r="I410" s="3256"/>
      <c r="J410" s="3256"/>
      <c r="K410" s="3256"/>
      <c r="L410" s="3142" t="str">
        <f t="shared" si="62"/>
        <v/>
      </c>
      <c r="M410" s="3183"/>
      <c r="N410" s="3140">
        <f t="shared" si="63"/>
        <v>0</v>
      </c>
      <c r="O410" s="3140">
        <f t="shared" si="60"/>
        <v>0</v>
      </c>
      <c r="Q410" s="3184">
        <f t="shared" si="61"/>
        <v>0</v>
      </c>
      <c r="T410" s="3184">
        <f t="shared" si="64"/>
        <v>0</v>
      </c>
      <c r="U410" s="3184">
        <f t="shared" si="65"/>
        <v>0</v>
      </c>
      <c r="V410" s="3184">
        <f t="shared" si="66"/>
        <v>0</v>
      </c>
    </row>
    <row r="411" spans="1:22" hidden="1" x14ac:dyDescent="0.2">
      <c r="A411" s="3255">
        <f t="shared" si="67"/>
        <v>399</v>
      </c>
      <c r="B411" s="3256"/>
      <c r="C411" s="3257"/>
      <c r="D411" s="3258"/>
      <c r="E411" s="3257"/>
      <c r="F411" s="3256"/>
      <c r="G411" s="3614"/>
      <c r="H411" s="3256"/>
      <c r="I411" s="3256"/>
      <c r="J411" s="3256"/>
      <c r="K411" s="3256"/>
      <c r="L411" s="3142" t="str">
        <f t="shared" si="62"/>
        <v/>
      </c>
      <c r="M411" s="3183"/>
      <c r="N411" s="3140">
        <f t="shared" si="63"/>
        <v>0</v>
      </c>
      <c r="O411" s="3140">
        <f t="shared" si="60"/>
        <v>0</v>
      </c>
      <c r="Q411" s="3184">
        <f t="shared" si="61"/>
        <v>0</v>
      </c>
      <c r="T411" s="3184">
        <f t="shared" si="64"/>
        <v>0</v>
      </c>
      <c r="U411" s="3184">
        <f t="shared" si="65"/>
        <v>0</v>
      </c>
      <c r="V411" s="3184">
        <f t="shared" si="66"/>
        <v>0</v>
      </c>
    </row>
    <row r="412" spans="1:22" hidden="1" x14ac:dyDescent="0.2">
      <c r="A412" s="3255">
        <f t="shared" si="67"/>
        <v>400</v>
      </c>
      <c r="B412" s="3256"/>
      <c r="C412" s="3257"/>
      <c r="D412" s="3258"/>
      <c r="E412" s="3257"/>
      <c r="F412" s="3256"/>
      <c r="G412" s="3614"/>
      <c r="H412" s="3256"/>
      <c r="I412" s="3256"/>
      <c r="J412" s="3256"/>
      <c r="K412" s="3256"/>
      <c r="L412" s="3142" t="str">
        <f t="shared" si="62"/>
        <v/>
      </c>
      <c r="M412" s="3183"/>
      <c r="N412" s="3140">
        <f t="shared" si="63"/>
        <v>0</v>
      </c>
      <c r="O412" s="3140">
        <f t="shared" si="60"/>
        <v>0</v>
      </c>
      <c r="Q412" s="3184">
        <f t="shared" si="61"/>
        <v>0</v>
      </c>
      <c r="T412" s="3184">
        <f t="shared" si="64"/>
        <v>0</v>
      </c>
      <c r="U412" s="3184">
        <f t="shared" si="65"/>
        <v>0</v>
      </c>
      <c r="V412" s="3184">
        <f t="shared" si="66"/>
        <v>0</v>
      </c>
    </row>
    <row r="413" spans="1:22" hidden="1" x14ac:dyDescent="0.2">
      <c r="A413" s="3255">
        <f t="shared" si="67"/>
        <v>401</v>
      </c>
      <c r="B413" s="3256"/>
      <c r="C413" s="3257"/>
      <c r="D413" s="3258"/>
      <c r="E413" s="3257"/>
      <c r="F413" s="3256"/>
      <c r="G413" s="3614"/>
      <c r="H413" s="3256"/>
      <c r="I413" s="3256"/>
      <c r="J413" s="3256"/>
      <c r="K413" s="3256"/>
      <c r="L413" s="3142" t="str">
        <f t="shared" si="62"/>
        <v/>
      </c>
      <c r="M413" s="3183"/>
      <c r="N413" s="3140">
        <f t="shared" si="63"/>
        <v>0</v>
      </c>
      <c r="O413" s="3140">
        <f t="shared" si="60"/>
        <v>0</v>
      </c>
      <c r="Q413" s="3184">
        <f t="shared" si="61"/>
        <v>0</v>
      </c>
      <c r="T413" s="3184">
        <f t="shared" si="64"/>
        <v>0</v>
      </c>
      <c r="U413" s="3184">
        <f t="shared" si="65"/>
        <v>0</v>
      </c>
      <c r="V413" s="3184">
        <f t="shared" si="66"/>
        <v>0</v>
      </c>
    </row>
    <row r="414" spans="1:22" hidden="1" x14ac:dyDescent="0.2">
      <c r="A414" s="3255">
        <f t="shared" si="67"/>
        <v>402</v>
      </c>
      <c r="B414" s="3256"/>
      <c r="C414" s="3257"/>
      <c r="D414" s="3258"/>
      <c r="E414" s="3257"/>
      <c r="F414" s="3256"/>
      <c r="G414" s="3614"/>
      <c r="H414" s="3256"/>
      <c r="I414" s="3256"/>
      <c r="J414" s="3256"/>
      <c r="K414" s="3256"/>
      <c r="L414" s="3142" t="str">
        <f t="shared" si="62"/>
        <v/>
      </c>
      <c r="M414" s="3183"/>
      <c r="N414" s="3140">
        <f t="shared" si="63"/>
        <v>0</v>
      </c>
      <c r="O414" s="3140">
        <f t="shared" si="60"/>
        <v>0</v>
      </c>
      <c r="Q414" s="3184">
        <f t="shared" si="61"/>
        <v>0</v>
      </c>
      <c r="T414" s="3184">
        <f t="shared" si="64"/>
        <v>0</v>
      </c>
      <c r="U414" s="3184">
        <f t="shared" si="65"/>
        <v>0</v>
      </c>
      <c r="V414" s="3184">
        <f t="shared" si="66"/>
        <v>0</v>
      </c>
    </row>
    <row r="415" spans="1:22" hidden="1" x14ac:dyDescent="0.2">
      <c r="A415" s="3255">
        <f t="shared" si="67"/>
        <v>403</v>
      </c>
      <c r="B415" s="3256"/>
      <c r="C415" s="3257"/>
      <c r="D415" s="3258"/>
      <c r="E415" s="3257"/>
      <c r="F415" s="3256"/>
      <c r="G415" s="3614"/>
      <c r="H415" s="3256"/>
      <c r="I415" s="3256"/>
      <c r="J415" s="3256"/>
      <c r="K415" s="3256"/>
      <c r="L415" s="3142" t="str">
        <f t="shared" si="62"/>
        <v/>
      </c>
      <c r="M415" s="3183"/>
      <c r="N415" s="3140">
        <f t="shared" si="63"/>
        <v>0</v>
      </c>
      <c r="O415" s="3140">
        <f t="shared" ref="O415:O462" si="68">IF(L415&lt;&gt;"",1,0)</f>
      </c>
      <c r="Q415" s="3184">
        <f t="shared" ref="Q415:Q462" si="69">IF(K415="yes",1,0)</f>
      </c>
      <c r="T415" s="3184">
        <f t="shared" si="64"/>
        <v>0</v>
      </c>
      <c r="U415" s="3184">
        <f t="shared" si="65"/>
        <v>0</v>
      </c>
      <c r="V415" s="3184">
        <f t="shared" si="66"/>
        <v>0</v>
      </c>
    </row>
    <row r="416" spans="1:22" hidden="1" x14ac:dyDescent="0.2">
      <c r="A416" s="3255">
        <f t="shared" si="67"/>
        <v>404</v>
      </c>
      <c r="B416" s="3256"/>
      <c r="C416" s="3257"/>
      <c r="D416" s="3258"/>
      <c r="E416" s="3257"/>
      <c r="F416" s="3256"/>
      <c r="G416" s="3614"/>
      <c r="H416" s="3256"/>
      <c r="I416" s="3256"/>
      <c r="J416" s="3256"/>
      <c r="K416" s="3256"/>
      <c r="L416" s="3142" t="str">
        <f t="shared" si="62"/>
        <v/>
      </c>
      <c r="M416" s="3183"/>
      <c r="N416" s="3140">
        <f t="shared" si="63"/>
        <v>0</v>
      </c>
      <c r="O416" s="3140">
        <f t="shared" si="68"/>
        <v>0</v>
      </c>
      <c r="Q416" s="3184">
        <f t="shared" si="69"/>
        <v>0</v>
      </c>
      <c r="T416" s="3184">
        <f t="shared" si="64"/>
        <v>0</v>
      </c>
      <c r="U416" s="3184">
        <f t="shared" si="65"/>
        <v>0</v>
      </c>
      <c r="V416" s="3184">
        <f t="shared" si="66"/>
        <v>0</v>
      </c>
    </row>
    <row r="417" spans="1:22" hidden="1" x14ac:dyDescent="0.2">
      <c r="A417" s="3255">
        <f t="shared" si="67"/>
        <v>405</v>
      </c>
      <c r="B417" s="3256"/>
      <c r="C417" s="3257"/>
      <c r="D417" s="3258"/>
      <c r="E417" s="3257"/>
      <c r="F417" s="3256"/>
      <c r="G417" s="3614"/>
      <c r="H417" s="3256"/>
      <c r="I417" s="3256"/>
      <c r="J417" s="3256"/>
      <c r="K417" s="3256"/>
      <c r="L417" s="3142" t="str">
        <f t="shared" si="62"/>
        <v/>
      </c>
      <c r="M417" s="3183"/>
      <c r="N417" s="3140">
        <f t="shared" si="63"/>
        <v>0</v>
      </c>
      <c r="O417" s="3140">
        <f t="shared" si="68"/>
        <v>0</v>
      </c>
      <c r="Q417" s="3184">
        <f t="shared" si="69"/>
        <v>0</v>
      </c>
      <c r="T417" s="3184">
        <f t="shared" si="64"/>
        <v>0</v>
      </c>
      <c r="U417" s="3184">
        <f t="shared" si="65"/>
        <v>0</v>
      </c>
      <c r="V417" s="3184">
        <f t="shared" si="66"/>
        <v>0</v>
      </c>
    </row>
    <row r="418" spans="1:22" hidden="1" x14ac:dyDescent="0.2">
      <c r="A418" s="3255">
        <f t="shared" si="67"/>
        <v>406</v>
      </c>
      <c r="B418" s="3256"/>
      <c r="C418" s="3257"/>
      <c r="D418" s="3258"/>
      <c r="E418" s="3257"/>
      <c r="F418" s="3256"/>
      <c r="G418" s="3614"/>
      <c r="H418" s="3256"/>
      <c r="I418" s="3256"/>
      <c r="J418" s="3256"/>
      <c r="K418" s="3256"/>
      <c r="L418" s="3142" t="str">
        <f t="shared" si="62"/>
        <v/>
      </c>
      <c r="M418" s="3183"/>
      <c r="N418" s="3140">
        <f t="shared" si="63"/>
        <v>0</v>
      </c>
      <c r="O418" s="3140">
        <f t="shared" si="68"/>
        <v>0</v>
      </c>
      <c r="Q418" s="3184">
        <f t="shared" si="69"/>
        <v>0</v>
      </c>
      <c r="T418" s="3184">
        <f t="shared" si="64"/>
        <v>0</v>
      </c>
      <c r="U418" s="3184">
        <f t="shared" si="65"/>
        <v>0</v>
      </c>
      <c r="V418" s="3184">
        <f t="shared" si="66"/>
        <v>0</v>
      </c>
    </row>
    <row r="419" spans="1:22" hidden="1" x14ac:dyDescent="0.2">
      <c r="A419" s="3255">
        <f t="shared" si="67"/>
        <v>407</v>
      </c>
      <c r="B419" s="3256"/>
      <c r="C419" s="3257"/>
      <c r="D419" s="3258"/>
      <c r="E419" s="3257"/>
      <c r="F419" s="3256"/>
      <c r="G419" s="3614"/>
      <c r="H419" s="3256"/>
      <c r="I419" s="3256"/>
      <c r="J419" s="3256"/>
      <c r="K419" s="3256"/>
      <c r="L419" s="3142" t="str">
        <f t="shared" si="62"/>
        <v/>
      </c>
      <c r="M419" s="3183"/>
      <c r="N419" s="3140">
        <f t="shared" si="63"/>
        <v>0</v>
      </c>
      <c r="O419" s="3140">
        <f t="shared" si="68"/>
        <v>0</v>
      </c>
      <c r="Q419" s="3184">
        <f t="shared" si="69"/>
        <v>0</v>
      </c>
      <c r="T419" s="3184">
        <f t="shared" si="64"/>
        <v>0</v>
      </c>
      <c r="U419" s="3184">
        <f t="shared" si="65"/>
        <v>0</v>
      </c>
      <c r="V419" s="3184">
        <f t="shared" si="66"/>
        <v>0</v>
      </c>
    </row>
    <row r="420" spans="1:22" hidden="1" x14ac:dyDescent="0.2">
      <c r="A420" s="3255">
        <f t="shared" si="67"/>
        <v>408</v>
      </c>
      <c r="B420" s="3256"/>
      <c r="C420" s="3257"/>
      <c r="D420" s="3258"/>
      <c r="E420" s="3257"/>
      <c r="F420" s="3256"/>
      <c r="G420" s="3614"/>
      <c r="H420" s="3256"/>
      <c r="I420" s="3256"/>
      <c r="J420" s="3256"/>
      <c r="K420" s="3256"/>
      <c r="L420" s="3142" t="str">
        <f t="shared" si="62"/>
        <v/>
      </c>
      <c r="M420" s="3183"/>
      <c r="N420" s="3140">
        <f t="shared" si="63"/>
        <v>0</v>
      </c>
      <c r="O420" s="3140">
        <f t="shared" si="68"/>
        <v>0</v>
      </c>
      <c r="Q420" s="3184">
        <f t="shared" si="69"/>
        <v>0</v>
      </c>
      <c r="T420" s="3184">
        <f t="shared" si="64"/>
        <v>0</v>
      </c>
      <c r="U420" s="3184">
        <f t="shared" si="65"/>
        <v>0</v>
      </c>
      <c r="V420" s="3184">
        <f t="shared" si="66"/>
        <v>0</v>
      </c>
    </row>
    <row r="421" spans="1:22" hidden="1" x14ac:dyDescent="0.2">
      <c r="A421" s="3255">
        <f t="shared" si="67"/>
        <v>409</v>
      </c>
      <c r="B421" s="3256"/>
      <c r="C421" s="3257"/>
      <c r="D421" s="3258"/>
      <c r="E421" s="3257"/>
      <c r="F421" s="3256"/>
      <c r="G421" s="3614"/>
      <c r="H421" s="3256"/>
      <c r="I421" s="3256"/>
      <c r="J421" s="3256"/>
      <c r="K421" s="3256"/>
      <c r="L421" s="3142" t="str">
        <f t="shared" si="62"/>
        <v/>
      </c>
      <c r="M421" s="3183"/>
      <c r="N421" s="3140">
        <f t="shared" si="63"/>
        <v>0</v>
      </c>
      <c r="O421" s="3140">
        <f t="shared" si="68"/>
        <v>0</v>
      </c>
      <c r="Q421" s="3184">
        <f t="shared" si="69"/>
        <v>0</v>
      </c>
      <c r="T421" s="3184">
        <f t="shared" si="64"/>
        <v>0</v>
      </c>
      <c r="U421" s="3184">
        <f t="shared" si="65"/>
        <v>0</v>
      </c>
      <c r="V421" s="3184">
        <f t="shared" si="66"/>
        <v>0</v>
      </c>
    </row>
    <row r="422" spans="1:22" hidden="1" x14ac:dyDescent="0.2">
      <c r="A422" s="3255">
        <f t="shared" si="67"/>
        <v>410</v>
      </c>
      <c r="B422" s="3256"/>
      <c r="C422" s="3257"/>
      <c r="D422" s="3258"/>
      <c r="E422" s="3257"/>
      <c r="F422" s="3256"/>
      <c r="G422" s="3614"/>
      <c r="H422" s="3256"/>
      <c r="I422" s="3256"/>
      <c r="J422" s="3256"/>
      <c r="K422" s="3256"/>
      <c r="L422" s="3142" t="str">
        <f t="shared" si="62"/>
        <v/>
      </c>
      <c r="M422" s="3183"/>
      <c r="N422" s="3140">
        <f t="shared" si="63"/>
        <v>0</v>
      </c>
      <c r="O422" s="3140">
        <f t="shared" si="68"/>
        <v>0</v>
      </c>
      <c r="Q422" s="3184">
        <f t="shared" si="69"/>
        <v>0</v>
      </c>
      <c r="T422" s="3184">
        <f t="shared" si="64"/>
        <v>0</v>
      </c>
      <c r="U422" s="3184">
        <f t="shared" si="65"/>
        <v>0</v>
      </c>
      <c r="V422" s="3184">
        <f t="shared" si="66"/>
        <v>0</v>
      </c>
    </row>
    <row r="423" spans="1:22" hidden="1" x14ac:dyDescent="0.2">
      <c r="A423" s="3255">
        <f t="shared" si="67"/>
        <v>411</v>
      </c>
      <c r="B423" s="3256"/>
      <c r="C423" s="3257"/>
      <c r="D423" s="3258"/>
      <c r="E423" s="3257"/>
      <c r="F423" s="3256"/>
      <c r="G423" s="3614"/>
      <c r="H423" s="3256"/>
      <c r="I423" s="3256"/>
      <c r="J423" s="3256"/>
      <c r="K423" s="3256"/>
      <c r="L423" s="3142" t="str">
        <f t="shared" si="62"/>
        <v/>
      </c>
      <c r="M423" s="3183"/>
      <c r="N423" s="3140">
        <f t="shared" si="63"/>
        <v>0</v>
      </c>
      <c r="O423" s="3140">
        <f t="shared" si="68"/>
        <v>0</v>
      </c>
      <c r="Q423" s="3184">
        <f t="shared" si="69"/>
        <v>0</v>
      </c>
      <c r="T423" s="3184">
        <f t="shared" si="64"/>
        <v>0</v>
      </c>
      <c r="U423" s="3184">
        <f t="shared" si="65"/>
        <v>0</v>
      </c>
      <c r="V423" s="3184">
        <f t="shared" si="66"/>
        <v>0</v>
      </c>
    </row>
    <row r="424" spans="1:22" hidden="1" x14ac:dyDescent="0.2">
      <c r="A424" s="3255">
        <f t="shared" si="67"/>
        <v>412</v>
      </c>
      <c r="B424" s="3256"/>
      <c r="C424" s="3257"/>
      <c r="D424" s="3258"/>
      <c r="E424" s="3257"/>
      <c r="F424" s="3256"/>
      <c r="G424" s="3614"/>
      <c r="H424" s="3256"/>
      <c r="I424" s="3256"/>
      <c r="J424" s="3256"/>
      <c r="K424" s="3256"/>
      <c r="L424" s="3142" t="str">
        <f t="shared" si="62"/>
        <v/>
      </c>
      <c r="M424" s="3183"/>
      <c r="N424" s="3140">
        <f t="shared" si="63"/>
        <v>0</v>
      </c>
      <c r="O424" s="3140">
        <f t="shared" si="68"/>
        <v>0</v>
      </c>
      <c r="Q424" s="3184">
        <f t="shared" si="69"/>
        <v>0</v>
      </c>
      <c r="T424" s="3184">
        <f t="shared" si="64"/>
        <v>0</v>
      </c>
      <c r="U424" s="3184">
        <f t="shared" si="65"/>
        <v>0</v>
      </c>
      <c r="V424" s="3184">
        <f t="shared" si="66"/>
        <v>0</v>
      </c>
    </row>
    <row r="425" spans="1:22" hidden="1" x14ac:dyDescent="0.2">
      <c r="A425" s="3255">
        <f t="shared" si="67"/>
        <v>413</v>
      </c>
      <c r="B425" s="3256"/>
      <c r="C425" s="3257"/>
      <c r="D425" s="3258"/>
      <c r="E425" s="3257"/>
      <c r="F425" s="3256"/>
      <c r="G425" s="3614"/>
      <c r="H425" s="3256"/>
      <c r="I425" s="3256"/>
      <c r="J425" s="3256"/>
      <c r="K425" s="3256"/>
      <c r="L425" s="3142" t="str">
        <f t="shared" si="62"/>
        <v/>
      </c>
      <c r="M425" s="3183"/>
      <c r="N425" s="3140">
        <f t="shared" si="63"/>
        <v>0</v>
      </c>
      <c r="O425" s="3140">
        <f t="shared" si="68"/>
        <v>0</v>
      </c>
      <c r="Q425" s="3184">
        <f t="shared" si="69"/>
        <v>0</v>
      </c>
      <c r="T425" s="3184">
        <f t="shared" si="64"/>
        <v>0</v>
      </c>
      <c r="U425" s="3184">
        <f t="shared" si="65"/>
        <v>0</v>
      </c>
      <c r="V425" s="3184">
        <f t="shared" si="66"/>
        <v>0</v>
      </c>
    </row>
    <row r="426" spans="1:22" hidden="1" x14ac:dyDescent="0.2">
      <c r="A426" s="3255">
        <f t="shared" si="67"/>
        <v>414</v>
      </c>
      <c r="B426" s="3256"/>
      <c r="C426" s="3257"/>
      <c r="D426" s="3258"/>
      <c r="E426" s="3257"/>
      <c r="F426" s="3256"/>
      <c r="G426" s="3614"/>
      <c r="H426" s="3256"/>
      <c r="I426" s="3256"/>
      <c r="J426" s="3256"/>
      <c r="K426" s="3256"/>
      <c r="L426" s="3142" t="str">
        <f t="shared" si="62"/>
        <v/>
      </c>
      <c r="M426" s="3183"/>
      <c r="N426" s="3140">
        <f t="shared" si="63"/>
        <v>0</v>
      </c>
      <c r="O426" s="3140">
        <f t="shared" si="68"/>
        <v>0</v>
      </c>
      <c r="Q426" s="3184">
        <f t="shared" si="69"/>
        <v>0</v>
      </c>
      <c r="T426" s="3184">
        <f t="shared" si="64"/>
        <v>0</v>
      </c>
      <c r="U426" s="3184">
        <f t="shared" si="65"/>
        <v>0</v>
      </c>
      <c r="V426" s="3184">
        <f t="shared" si="66"/>
        <v>0</v>
      </c>
    </row>
    <row r="427" spans="1:22" hidden="1" x14ac:dyDescent="0.2">
      <c r="A427" s="3255">
        <f t="shared" si="67"/>
        <v>415</v>
      </c>
      <c r="B427" s="3256"/>
      <c r="C427" s="3257"/>
      <c r="D427" s="3258"/>
      <c r="E427" s="3257"/>
      <c r="F427" s="3256"/>
      <c r="G427" s="3614"/>
      <c r="H427" s="3256"/>
      <c r="I427" s="3256"/>
      <c r="J427" s="3256"/>
      <c r="K427" s="3256"/>
      <c r="L427" s="3142" t="str">
        <f t="shared" si="62"/>
        <v/>
      </c>
      <c r="M427" s="3183"/>
      <c r="N427" s="3140">
        <f t="shared" si="63"/>
        <v>0</v>
      </c>
      <c r="O427" s="3140">
        <f t="shared" si="68"/>
        <v>0</v>
      </c>
      <c r="Q427" s="3184">
        <f t="shared" si="69"/>
        <v>0</v>
      </c>
      <c r="T427" s="3184">
        <f t="shared" si="64"/>
        <v>0</v>
      </c>
      <c r="U427" s="3184">
        <f t="shared" si="65"/>
        <v>0</v>
      </c>
      <c r="V427" s="3184">
        <f t="shared" si="66"/>
        <v>0</v>
      </c>
    </row>
    <row r="428" spans="1:22" hidden="1" x14ac:dyDescent="0.2">
      <c r="A428" s="3255">
        <f t="shared" si="67"/>
        <v>416</v>
      </c>
      <c r="B428" s="3256"/>
      <c r="C428" s="3257"/>
      <c r="D428" s="3258"/>
      <c r="E428" s="3257"/>
      <c r="F428" s="3256"/>
      <c r="G428" s="3614"/>
      <c r="H428" s="3256"/>
      <c r="I428" s="3256"/>
      <c r="J428" s="3256"/>
      <c r="K428" s="3256"/>
      <c r="L428" s="3142" t="str">
        <f t="shared" si="62"/>
        <v/>
      </c>
      <c r="M428" s="3183"/>
      <c r="N428" s="3140">
        <f t="shared" si="63"/>
        <v>0</v>
      </c>
      <c r="O428" s="3140">
        <f t="shared" si="68"/>
        <v>0</v>
      </c>
      <c r="Q428" s="3184">
        <f t="shared" si="69"/>
        <v>0</v>
      </c>
      <c r="T428" s="3184">
        <f t="shared" si="64"/>
        <v>0</v>
      </c>
      <c r="U428" s="3184">
        <f t="shared" si="65"/>
        <v>0</v>
      </c>
      <c r="V428" s="3184">
        <f t="shared" si="66"/>
        <v>0</v>
      </c>
    </row>
    <row r="429" spans="1:22" hidden="1" x14ac:dyDescent="0.2">
      <c r="A429" s="3255">
        <f t="shared" si="67"/>
        <v>417</v>
      </c>
      <c r="B429" s="3256"/>
      <c r="C429" s="3257"/>
      <c r="D429" s="3258"/>
      <c r="E429" s="3257"/>
      <c r="F429" s="3256"/>
      <c r="G429" s="3614"/>
      <c r="H429" s="3256"/>
      <c r="I429" s="3256"/>
      <c r="J429" s="3256"/>
      <c r="K429" s="3256"/>
      <c r="L429" s="3142" t="str">
        <f t="shared" si="62"/>
        <v/>
      </c>
      <c r="M429" s="3183"/>
      <c r="N429" s="3140">
        <f t="shared" si="63"/>
        <v>0</v>
      </c>
      <c r="O429" s="3140">
        <f t="shared" si="68"/>
        <v>0</v>
      </c>
      <c r="Q429" s="3184">
        <f t="shared" si="69"/>
        <v>0</v>
      </c>
      <c r="T429" s="3184">
        <f t="shared" si="64"/>
        <v>0</v>
      </c>
      <c r="U429" s="3184">
        <f t="shared" si="65"/>
        <v>0</v>
      </c>
      <c r="V429" s="3184">
        <f t="shared" si="66"/>
        <v>0</v>
      </c>
    </row>
    <row r="430" spans="1:22" hidden="1" x14ac:dyDescent="0.2">
      <c r="A430" s="3255">
        <f t="shared" si="67"/>
        <v>418</v>
      </c>
      <c r="B430" s="3256"/>
      <c r="C430" s="3257"/>
      <c r="D430" s="3258"/>
      <c r="E430" s="3257"/>
      <c r="F430" s="3256"/>
      <c r="G430" s="3614"/>
      <c r="H430" s="3256"/>
      <c r="I430" s="3256"/>
      <c r="J430" s="3256"/>
      <c r="K430" s="3256"/>
      <c r="L430" s="3142" t="str">
        <f t="shared" si="62"/>
        <v/>
      </c>
      <c r="M430" s="3183"/>
      <c r="N430" s="3140">
        <f t="shared" si="63"/>
        <v>0</v>
      </c>
      <c r="O430" s="3140">
        <f t="shared" si="68"/>
        <v>0</v>
      </c>
      <c r="Q430" s="3184">
        <f t="shared" si="69"/>
        <v>0</v>
      </c>
      <c r="T430" s="3184">
        <f t="shared" si="64"/>
        <v>0</v>
      </c>
      <c r="U430" s="3184">
        <f t="shared" si="65"/>
        <v>0</v>
      </c>
      <c r="V430" s="3184">
        <f t="shared" si="66"/>
        <v>0</v>
      </c>
    </row>
    <row r="431" spans="1:22" hidden="1" x14ac:dyDescent="0.2">
      <c r="A431" s="3255">
        <f t="shared" si="67"/>
        <v>419</v>
      </c>
      <c r="B431" s="3256"/>
      <c r="C431" s="3257"/>
      <c r="D431" s="3258"/>
      <c r="E431" s="3257"/>
      <c r="F431" s="3256"/>
      <c r="G431" s="3614"/>
      <c r="H431" s="3256"/>
      <c r="I431" s="3256"/>
      <c r="J431" s="3256"/>
      <c r="K431" s="3256"/>
      <c r="L431" s="3142" t="str">
        <f t="shared" si="62"/>
        <v/>
      </c>
      <c r="M431" s="3183"/>
      <c r="N431" s="3140">
        <f t="shared" si="63"/>
        <v>0</v>
      </c>
      <c r="O431" s="3140">
        <f t="shared" si="68"/>
        <v>0</v>
      </c>
      <c r="Q431" s="3184">
        <f t="shared" si="69"/>
        <v>0</v>
      </c>
      <c r="T431" s="3184">
        <f t="shared" si="64"/>
        <v>0</v>
      </c>
      <c r="U431" s="3184">
        <f t="shared" si="65"/>
        <v>0</v>
      </c>
      <c r="V431" s="3184">
        <f t="shared" si="66"/>
        <v>0</v>
      </c>
    </row>
    <row r="432" spans="1:22" hidden="1" x14ac:dyDescent="0.2">
      <c r="A432" s="3255">
        <f t="shared" si="67"/>
        <v>420</v>
      </c>
      <c r="B432" s="3256"/>
      <c r="C432" s="3257"/>
      <c r="D432" s="3258"/>
      <c r="E432" s="3257"/>
      <c r="F432" s="3256"/>
      <c r="G432" s="3614"/>
      <c r="H432" s="3256"/>
      <c r="I432" s="3256"/>
      <c r="J432" s="3256"/>
      <c r="K432" s="3256"/>
      <c r="L432" s="3142" t="str">
        <f t="shared" si="62"/>
        <v/>
      </c>
      <c r="M432" s="3183"/>
      <c r="N432" s="3140">
        <f t="shared" si="63"/>
        <v>0</v>
      </c>
      <c r="O432" s="3140">
        <f t="shared" si="68"/>
        <v>0</v>
      </c>
      <c r="Q432" s="3184">
        <f t="shared" si="69"/>
        <v>0</v>
      </c>
      <c r="T432" s="3184">
        <f t="shared" si="64"/>
        <v>0</v>
      </c>
      <c r="U432" s="3184">
        <f t="shared" si="65"/>
        <v>0</v>
      </c>
      <c r="V432" s="3184">
        <f t="shared" si="66"/>
        <v>0</v>
      </c>
    </row>
    <row r="433" spans="1:22" hidden="1" x14ac:dyDescent="0.2">
      <c r="A433" s="3255">
        <f t="shared" si="67"/>
        <v>421</v>
      </c>
      <c r="B433" s="3256"/>
      <c r="C433" s="3257"/>
      <c r="D433" s="3258"/>
      <c r="E433" s="3257"/>
      <c r="F433" s="3256"/>
      <c r="G433" s="3614"/>
      <c r="H433" s="3256"/>
      <c r="I433" s="3256"/>
      <c r="J433" s="3256"/>
      <c r="K433" s="3256"/>
      <c r="L433" s="3142" t="str">
        <f t="shared" si="62"/>
        <v/>
      </c>
      <c r="M433" s="3183"/>
      <c r="N433" s="3140">
        <f t="shared" si="63"/>
        <v>0</v>
      </c>
      <c r="O433" s="3140">
        <f t="shared" si="68"/>
        <v>0</v>
      </c>
      <c r="Q433" s="3184">
        <f t="shared" si="69"/>
        <v>0</v>
      </c>
      <c r="T433" s="3184">
        <f t="shared" si="64"/>
        <v>0</v>
      </c>
      <c r="U433" s="3184">
        <f t="shared" si="65"/>
        <v>0</v>
      </c>
      <c r="V433" s="3184">
        <f t="shared" si="66"/>
        <v>0</v>
      </c>
    </row>
    <row r="434" spans="1:22" hidden="1" x14ac:dyDescent="0.2">
      <c r="A434" s="3255">
        <f t="shared" si="67"/>
        <v>422</v>
      </c>
      <c r="B434" s="3256"/>
      <c r="C434" s="3257"/>
      <c r="D434" s="3258"/>
      <c r="E434" s="3257"/>
      <c r="F434" s="3256"/>
      <c r="G434" s="3614"/>
      <c r="H434" s="3256"/>
      <c r="I434" s="3256"/>
      <c r="J434" s="3256"/>
      <c r="K434" s="3256"/>
      <c r="L434" s="3142" t="str">
        <f t="shared" si="62"/>
        <v/>
      </c>
      <c r="M434" s="3183"/>
      <c r="N434" s="3140">
        <f t="shared" si="63"/>
        <v>0</v>
      </c>
      <c r="O434" s="3140">
        <f t="shared" si="68"/>
        <v>0</v>
      </c>
      <c r="Q434" s="3184">
        <f t="shared" si="69"/>
        <v>0</v>
      </c>
      <c r="T434" s="3184">
        <f t="shared" si="64"/>
        <v>0</v>
      </c>
      <c r="U434" s="3184">
        <f t="shared" si="65"/>
        <v>0</v>
      </c>
      <c r="V434" s="3184">
        <f t="shared" si="66"/>
        <v>0</v>
      </c>
    </row>
    <row r="435" spans="1:22" hidden="1" x14ac:dyDescent="0.2">
      <c r="A435" s="3255">
        <f t="shared" si="67"/>
        <v>423</v>
      </c>
      <c r="B435" s="3256"/>
      <c r="C435" s="3257"/>
      <c r="D435" s="3258"/>
      <c r="E435" s="3257"/>
      <c r="F435" s="3256"/>
      <c r="G435" s="3614"/>
      <c r="H435" s="3256"/>
      <c r="I435" s="3256"/>
      <c r="J435" s="3256"/>
      <c r="K435" s="3256"/>
      <c r="L435" s="3142" t="str">
        <f t="shared" si="62"/>
        <v/>
      </c>
      <c r="M435" s="3183"/>
      <c r="N435" s="3140">
        <f t="shared" si="63"/>
        <v>0</v>
      </c>
      <c r="O435" s="3140">
        <f t="shared" si="68"/>
        <v>0</v>
      </c>
      <c r="Q435" s="3184">
        <f t="shared" si="69"/>
        <v>0</v>
      </c>
      <c r="T435" s="3184">
        <f t="shared" si="64"/>
        <v>0</v>
      </c>
      <c r="U435" s="3184">
        <f t="shared" si="65"/>
        <v>0</v>
      </c>
      <c r="V435" s="3184">
        <f t="shared" si="66"/>
        <v>0</v>
      </c>
    </row>
    <row r="436" spans="1:22" hidden="1" x14ac:dyDescent="0.2">
      <c r="A436" s="3255">
        <f t="shared" si="67"/>
        <v>424</v>
      </c>
      <c r="B436" s="3256"/>
      <c r="C436" s="3257"/>
      <c r="D436" s="3258"/>
      <c r="E436" s="3257"/>
      <c r="F436" s="3256"/>
      <c r="G436" s="3614"/>
      <c r="H436" s="3256"/>
      <c r="I436" s="3256"/>
      <c r="J436" s="3256"/>
      <c r="K436" s="3256"/>
      <c r="L436" s="3142" t="str">
        <f t="shared" si="62"/>
        <v/>
      </c>
      <c r="M436" s="3183"/>
      <c r="N436" s="3140">
        <f t="shared" si="63"/>
        <v>0</v>
      </c>
      <c r="O436" s="3140">
        <f t="shared" si="68"/>
        <v>0</v>
      </c>
      <c r="Q436" s="3184">
        <f t="shared" si="69"/>
        <v>0</v>
      </c>
      <c r="T436" s="3184">
        <f t="shared" si="64"/>
        <v>0</v>
      </c>
      <c r="U436" s="3184">
        <f t="shared" si="65"/>
        <v>0</v>
      </c>
      <c r="V436" s="3184">
        <f t="shared" si="66"/>
        <v>0</v>
      </c>
    </row>
    <row r="437" spans="1:22" hidden="1" x14ac:dyDescent="0.2">
      <c r="A437" s="3255">
        <f t="shared" si="67"/>
        <v>425</v>
      </c>
      <c r="B437" s="3256"/>
      <c r="C437" s="3257"/>
      <c r="D437" s="3258"/>
      <c r="E437" s="3257"/>
      <c r="F437" s="3256"/>
      <c r="G437" s="3614"/>
      <c r="H437" s="3256"/>
      <c r="I437" s="3256"/>
      <c r="J437" s="3256"/>
      <c r="K437" s="3256"/>
      <c r="L437" s="3142" t="str">
        <f t="shared" si="62"/>
        <v/>
      </c>
      <c r="M437" s="3183"/>
      <c r="N437" s="3140">
        <f t="shared" si="63"/>
        <v>0</v>
      </c>
      <c r="O437" s="3140">
        <f t="shared" si="68"/>
        <v>0</v>
      </c>
      <c r="Q437" s="3184">
        <f t="shared" si="69"/>
        <v>0</v>
      </c>
      <c r="T437" s="3184">
        <f t="shared" si="64"/>
        <v>0</v>
      </c>
      <c r="U437" s="3184">
        <f t="shared" si="65"/>
        <v>0</v>
      </c>
      <c r="V437" s="3184">
        <f t="shared" si="66"/>
        <v>0</v>
      </c>
    </row>
    <row r="438" spans="1:22" hidden="1" x14ac:dyDescent="0.2">
      <c r="A438" s="3255">
        <f t="shared" si="67"/>
        <v>426</v>
      </c>
      <c r="B438" s="3256"/>
      <c r="C438" s="3257"/>
      <c r="D438" s="3258"/>
      <c r="E438" s="3257"/>
      <c r="F438" s="3256"/>
      <c r="G438" s="3614"/>
      <c r="H438" s="3256"/>
      <c r="I438" s="3256"/>
      <c r="J438" s="3256"/>
      <c r="K438" s="3256"/>
      <c r="L438" s="3142" t="str">
        <f t="shared" si="62"/>
        <v/>
      </c>
      <c r="M438" s="3183"/>
      <c r="N438" s="3140">
        <f t="shared" si="63"/>
        <v>0</v>
      </c>
      <c r="O438" s="3140">
        <f t="shared" si="68"/>
        <v>0</v>
      </c>
      <c r="Q438" s="3184">
        <f t="shared" si="69"/>
        <v>0</v>
      </c>
      <c r="T438" s="3184">
        <f t="shared" si="64"/>
        <v>0</v>
      </c>
      <c r="U438" s="3184">
        <f t="shared" si="65"/>
        <v>0</v>
      </c>
      <c r="V438" s="3184">
        <f t="shared" si="66"/>
        <v>0</v>
      </c>
    </row>
    <row r="439" spans="1:22" hidden="1" x14ac:dyDescent="0.2">
      <c r="A439" s="3255">
        <f t="shared" si="67"/>
        <v>427</v>
      </c>
      <c r="B439" s="3256"/>
      <c r="C439" s="3257"/>
      <c r="D439" s="3258"/>
      <c r="E439" s="3257"/>
      <c r="F439" s="3256"/>
      <c r="G439" s="3614"/>
      <c r="H439" s="3256"/>
      <c r="I439" s="3256"/>
      <c r="J439" s="3256"/>
      <c r="K439" s="3256"/>
      <c r="L439" s="3142" t="str">
        <f t="shared" si="62"/>
        <v/>
      </c>
      <c r="M439" s="3183"/>
      <c r="N439" s="3140">
        <f t="shared" si="63"/>
        <v>0</v>
      </c>
      <c r="O439" s="3140">
        <f t="shared" si="68"/>
        <v>0</v>
      </c>
      <c r="Q439" s="3184">
        <f t="shared" si="69"/>
        <v>0</v>
      </c>
      <c r="T439" s="3184">
        <f t="shared" si="64"/>
        <v>0</v>
      </c>
      <c r="U439" s="3184">
        <f t="shared" si="65"/>
        <v>0</v>
      </c>
      <c r="V439" s="3184">
        <f t="shared" si="66"/>
        <v>0</v>
      </c>
    </row>
    <row r="440" spans="1:22" hidden="1" x14ac:dyDescent="0.2">
      <c r="A440" s="3255">
        <f t="shared" si="67"/>
        <v>428</v>
      </c>
      <c r="B440" s="3256"/>
      <c r="C440" s="3257"/>
      <c r="D440" s="3258"/>
      <c r="E440" s="3257"/>
      <c r="F440" s="3256"/>
      <c r="G440" s="3614"/>
      <c r="H440" s="3256"/>
      <c r="I440" s="3256"/>
      <c r="J440" s="3256"/>
      <c r="K440" s="3256"/>
      <c r="L440" s="3142" t="str">
        <f t="shared" si="62"/>
        <v/>
      </c>
      <c r="M440" s="3183"/>
      <c r="N440" s="3140">
        <f t="shared" si="63"/>
        <v>0</v>
      </c>
      <c r="O440" s="3140">
        <f t="shared" si="68"/>
        <v>0</v>
      </c>
      <c r="Q440" s="3184">
        <f t="shared" si="69"/>
        <v>0</v>
      </c>
      <c r="T440" s="3184">
        <f t="shared" si="64"/>
        <v>0</v>
      </c>
      <c r="U440" s="3184">
        <f t="shared" si="65"/>
        <v>0</v>
      </c>
      <c r="V440" s="3184">
        <f t="shared" si="66"/>
        <v>0</v>
      </c>
    </row>
    <row r="441" spans="1:22" hidden="1" x14ac:dyDescent="0.2">
      <c r="A441" s="3255">
        <f t="shared" si="67"/>
        <v>429</v>
      </c>
      <c r="B441" s="3256"/>
      <c r="C441" s="3257"/>
      <c r="D441" s="3258"/>
      <c r="E441" s="3257"/>
      <c r="F441" s="3256"/>
      <c r="G441" s="3614"/>
      <c r="H441" s="3256"/>
      <c r="I441" s="3256"/>
      <c r="J441" s="3256"/>
      <c r="K441" s="3256"/>
      <c r="L441" s="3142" t="str">
        <f t="shared" si="62"/>
        <v/>
      </c>
      <c r="M441" s="3183"/>
      <c r="N441" s="3140">
        <f t="shared" si="63"/>
        <v>0</v>
      </c>
      <c r="O441" s="3140">
        <f t="shared" si="68"/>
        <v>0</v>
      </c>
      <c r="Q441" s="3184">
        <f t="shared" si="69"/>
        <v>0</v>
      </c>
      <c r="T441" s="3184">
        <f t="shared" si="64"/>
        <v>0</v>
      </c>
      <c r="U441" s="3184">
        <f t="shared" si="65"/>
        <v>0</v>
      </c>
      <c r="V441" s="3184">
        <f t="shared" si="66"/>
        <v>0</v>
      </c>
    </row>
    <row r="442" spans="1:22" hidden="1" x14ac:dyDescent="0.2">
      <c r="A442" s="3255">
        <f t="shared" si="67"/>
        <v>430</v>
      </c>
      <c r="B442" s="3256"/>
      <c r="C442" s="3257"/>
      <c r="D442" s="3258"/>
      <c r="E442" s="3257"/>
      <c r="F442" s="3256"/>
      <c r="G442" s="3614"/>
      <c r="H442" s="3256"/>
      <c r="I442" s="3256"/>
      <c r="J442" s="3256"/>
      <c r="K442" s="3256"/>
      <c r="L442" s="3142" t="str">
        <f t="shared" si="62"/>
        <v/>
      </c>
      <c r="M442" s="3183"/>
      <c r="N442" s="3140">
        <f t="shared" si="63"/>
        <v>0</v>
      </c>
      <c r="O442" s="3140">
        <f t="shared" si="68"/>
        <v>0</v>
      </c>
      <c r="Q442" s="3184">
        <f t="shared" si="69"/>
        <v>0</v>
      </c>
      <c r="T442" s="3184">
        <f t="shared" si="64"/>
        <v>0</v>
      </c>
      <c r="U442" s="3184">
        <f t="shared" si="65"/>
        <v>0</v>
      </c>
      <c r="V442" s="3184">
        <f t="shared" si="66"/>
        <v>0</v>
      </c>
    </row>
    <row r="443" spans="1:22" hidden="1" x14ac:dyDescent="0.2">
      <c r="A443" s="3255">
        <f t="shared" si="67"/>
        <v>431</v>
      </c>
      <c r="B443" s="3256"/>
      <c r="C443" s="3257"/>
      <c r="D443" s="3258"/>
      <c r="E443" s="3257"/>
      <c r="F443" s="3256"/>
      <c r="G443" s="3614"/>
      <c r="H443" s="3256"/>
      <c r="I443" s="3256"/>
      <c r="J443" s="3256"/>
      <c r="K443" s="3256"/>
      <c r="L443" s="3142" t="str">
        <f t="shared" si="62"/>
        <v/>
      </c>
      <c r="M443" s="3183"/>
      <c r="N443" s="3140">
        <f t="shared" si="63"/>
        <v>0</v>
      </c>
      <c r="O443" s="3140">
        <f t="shared" si="68"/>
        <v>0</v>
      </c>
      <c r="Q443" s="3184">
        <f t="shared" si="69"/>
        <v>0</v>
      </c>
      <c r="T443" s="3184">
        <f t="shared" si="64"/>
        <v>0</v>
      </c>
      <c r="U443" s="3184">
        <f t="shared" si="65"/>
        <v>0</v>
      </c>
      <c r="V443" s="3184">
        <f t="shared" si="66"/>
        <v>0</v>
      </c>
    </row>
    <row r="444" spans="1:22" hidden="1" x14ac:dyDescent="0.2">
      <c r="A444" s="3255">
        <f t="shared" si="67"/>
        <v>432</v>
      </c>
      <c r="B444" s="3256"/>
      <c r="C444" s="3257"/>
      <c r="D444" s="3258"/>
      <c r="E444" s="3257"/>
      <c r="F444" s="3256"/>
      <c r="G444" s="3614"/>
      <c r="H444" s="3256"/>
      <c r="I444" s="3256"/>
      <c r="J444" s="3256"/>
      <c r="K444" s="3256"/>
      <c r="L444" s="3142" t="str">
        <f t="shared" si="62"/>
        <v/>
      </c>
      <c r="M444" s="3183"/>
      <c r="N444" s="3140">
        <f t="shared" si="63"/>
        <v>0</v>
      </c>
      <c r="O444" s="3140">
        <f t="shared" si="68"/>
        <v>0</v>
      </c>
      <c r="Q444" s="3184">
        <f t="shared" si="69"/>
        <v>0</v>
      </c>
      <c r="T444" s="3184">
        <f t="shared" si="64"/>
        <v>0</v>
      </c>
      <c r="U444" s="3184">
        <f t="shared" si="65"/>
        <v>0</v>
      </c>
      <c r="V444" s="3184">
        <f t="shared" si="66"/>
        <v>0</v>
      </c>
    </row>
    <row r="445" spans="1:22" hidden="1" x14ac:dyDescent="0.2">
      <c r="A445" s="3255">
        <f t="shared" si="67"/>
        <v>433</v>
      </c>
      <c r="B445" s="3256"/>
      <c r="C445" s="3257"/>
      <c r="D445" s="3258"/>
      <c r="E445" s="3257"/>
      <c r="F445" s="3256"/>
      <c r="G445" s="3614"/>
      <c r="H445" s="3256"/>
      <c r="I445" s="3256"/>
      <c r="J445" s="3256"/>
      <c r="K445" s="3256"/>
      <c r="L445" s="3142" t="str">
        <f t="shared" si="62"/>
        <v/>
      </c>
      <c r="M445" s="3183"/>
      <c r="N445" s="3140">
        <f t="shared" si="63"/>
        <v>0</v>
      </c>
      <c r="O445" s="3140">
        <f t="shared" si="68"/>
        <v>0</v>
      </c>
      <c r="Q445" s="3184">
        <f t="shared" si="69"/>
        <v>0</v>
      </c>
      <c r="T445" s="3184">
        <f t="shared" si="64"/>
        <v>0</v>
      </c>
      <c r="U445" s="3184">
        <f t="shared" si="65"/>
        <v>0</v>
      </c>
      <c r="V445" s="3184">
        <f t="shared" si="66"/>
        <v>0</v>
      </c>
    </row>
    <row r="446" spans="1:22" hidden="1" x14ac:dyDescent="0.2">
      <c r="A446" s="3255">
        <f t="shared" si="67"/>
        <v>434</v>
      </c>
      <c r="B446" s="3256"/>
      <c r="C446" s="3257"/>
      <c r="D446" s="3258"/>
      <c r="E446" s="3257"/>
      <c r="F446" s="3256"/>
      <c r="G446" s="3614"/>
      <c r="H446" s="3256"/>
      <c r="I446" s="3256"/>
      <c r="J446" s="3256"/>
      <c r="K446" s="3256"/>
      <c r="L446" s="3142" t="str">
        <f t="shared" si="62"/>
        <v/>
      </c>
      <c r="M446" s="3183"/>
      <c r="N446" s="3140">
        <f t="shared" si="63"/>
        <v>0</v>
      </c>
      <c r="O446" s="3140">
        <f t="shared" si="68"/>
        <v>0</v>
      </c>
      <c r="Q446" s="3184">
        <f t="shared" si="69"/>
        <v>0</v>
      </c>
      <c r="T446" s="3184">
        <f t="shared" si="64"/>
        <v>0</v>
      </c>
      <c r="U446" s="3184">
        <f t="shared" si="65"/>
        <v>0</v>
      </c>
      <c r="V446" s="3184">
        <f t="shared" si="66"/>
        <v>0</v>
      </c>
    </row>
    <row r="447" spans="1:22" hidden="1" x14ac:dyDescent="0.2">
      <c r="A447" s="3255">
        <f t="shared" si="67"/>
        <v>435</v>
      </c>
      <c r="B447" s="3256"/>
      <c r="C447" s="3257"/>
      <c r="D447" s="3258"/>
      <c r="E447" s="3257"/>
      <c r="F447" s="3256"/>
      <c r="G447" s="3614"/>
      <c r="H447" s="3256"/>
      <c r="I447" s="3256"/>
      <c r="J447" s="3256"/>
      <c r="K447" s="3256"/>
      <c r="L447" s="3142" t="str">
        <f t="shared" si="62"/>
        <v/>
      </c>
      <c r="M447" s="3183"/>
      <c r="N447" s="3140">
        <f t="shared" si="63"/>
        <v>0</v>
      </c>
      <c r="O447" s="3140">
        <f t="shared" si="68"/>
        <v>0</v>
      </c>
      <c r="Q447" s="3184">
        <f t="shared" si="69"/>
        <v>0</v>
      </c>
      <c r="T447" s="3184">
        <f t="shared" si="64"/>
        <v>0</v>
      </c>
      <c r="U447" s="3184">
        <f t="shared" si="65"/>
        <v>0</v>
      </c>
      <c r="V447" s="3184">
        <f t="shared" si="66"/>
        <v>0</v>
      </c>
    </row>
    <row r="448" spans="1:22" hidden="1" x14ac:dyDescent="0.2">
      <c r="A448" s="3255">
        <f t="shared" si="67"/>
        <v>436</v>
      </c>
      <c r="B448" s="3256"/>
      <c r="C448" s="3257"/>
      <c r="D448" s="3258"/>
      <c r="E448" s="3257"/>
      <c r="F448" s="3256"/>
      <c r="G448" s="3614"/>
      <c r="H448" s="3256"/>
      <c r="I448" s="3256"/>
      <c r="J448" s="3256"/>
      <c r="K448" s="3256"/>
      <c r="L448" s="3142" t="str">
        <f t="shared" si="62"/>
        <v/>
      </c>
      <c r="M448" s="3183"/>
      <c r="N448" s="3140">
        <f t="shared" si="63"/>
        <v>0</v>
      </c>
      <c r="O448" s="3140">
        <f t="shared" si="68"/>
        <v>0</v>
      </c>
      <c r="Q448" s="3184">
        <f t="shared" si="69"/>
        <v>0</v>
      </c>
      <c r="T448" s="3184">
        <f t="shared" si="64"/>
        <v>0</v>
      </c>
      <c r="U448" s="3184">
        <f t="shared" si="65"/>
        <v>0</v>
      </c>
      <c r="V448" s="3184">
        <f t="shared" si="66"/>
        <v>0</v>
      </c>
    </row>
    <row r="449" spans="1:22" hidden="1" x14ac:dyDescent="0.2">
      <c r="A449" s="3255">
        <f t="shared" si="67"/>
        <v>437</v>
      </c>
      <c r="B449" s="3256"/>
      <c r="C449" s="3257"/>
      <c r="D449" s="3258"/>
      <c r="E449" s="3257"/>
      <c r="F449" s="3256"/>
      <c r="G449" s="3614"/>
      <c r="H449" s="3256"/>
      <c r="I449" s="3256"/>
      <c r="J449" s="3256"/>
      <c r="K449" s="3256"/>
      <c r="L449" s="3142" t="str">
        <f t="shared" si="62"/>
        <v/>
      </c>
      <c r="M449" s="3183"/>
      <c r="N449" s="3140">
        <f t="shared" si="63"/>
        <v>0</v>
      </c>
      <c r="O449" s="3140">
        <f t="shared" si="68"/>
        <v>0</v>
      </c>
      <c r="Q449" s="3184">
        <f t="shared" si="69"/>
        <v>0</v>
      </c>
      <c r="T449" s="3184">
        <f t="shared" si="64"/>
        <v>0</v>
      </c>
      <c r="U449" s="3184">
        <f t="shared" si="65"/>
        <v>0</v>
      </c>
      <c r="V449" s="3184">
        <f t="shared" si="66"/>
        <v>0</v>
      </c>
    </row>
    <row r="450" spans="1:22" hidden="1" x14ac:dyDescent="0.2">
      <c r="A450" s="3255">
        <f t="shared" si="67"/>
        <v>438</v>
      </c>
      <c r="B450" s="3256"/>
      <c r="C450" s="3257"/>
      <c r="D450" s="3258"/>
      <c r="E450" s="3257"/>
      <c r="F450" s="3256"/>
      <c r="G450" s="3614"/>
      <c r="H450" s="3256"/>
      <c r="I450" s="3256"/>
      <c r="J450" s="3256"/>
      <c r="K450" s="3256"/>
      <c r="L450" s="3142" t="str">
        <f t="shared" si="62"/>
        <v/>
      </c>
      <c r="M450" s="3183"/>
      <c r="N450" s="3140">
        <f t="shared" si="63"/>
        <v>0</v>
      </c>
      <c r="O450" s="3140">
        <f t="shared" si="68"/>
        <v>0</v>
      </c>
      <c r="Q450" s="3184">
        <f t="shared" si="69"/>
        <v>0</v>
      </c>
      <c r="T450" s="3184">
        <f t="shared" si="64"/>
        <v>0</v>
      </c>
      <c r="U450" s="3184">
        <f t="shared" si="65"/>
        <v>0</v>
      </c>
      <c r="V450" s="3184">
        <f t="shared" si="66"/>
        <v>0</v>
      </c>
    </row>
    <row r="451" spans="1:22" hidden="1" x14ac:dyDescent="0.2">
      <c r="A451" s="3255">
        <f t="shared" si="67"/>
        <v>439</v>
      </c>
      <c r="B451" s="3256"/>
      <c r="C451" s="3257"/>
      <c r="D451" s="3258"/>
      <c r="E451" s="3257"/>
      <c r="F451" s="3256"/>
      <c r="G451" s="3614"/>
      <c r="H451" s="3256"/>
      <c r="I451" s="3256"/>
      <c r="J451" s="3256"/>
      <c r="K451" s="3256"/>
      <c r="L451" s="3142" t="str">
        <f t="shared" si="62"/>
        <v/>
      </c>
      <c r="M451" s="3183"/>
      <c r="N451" s="3140">
        <f t="shared" si="63"/>
        <v>0</v>
      </c>
      <c r="O451" s="3140">
        <f t="shared" si="68"/>
        <v>0</v>
      </c>
      <c r="Q451" s="3184">
        <f t="shared" si="69"/>
        <v>0</v>
      </c>
      <c r="T451" s="3184">
        <f t="shared" si="64"/>
        <v>0</v>
      </c>
      <c r="U451" s="3184">
        <f t="shared" si="65"/>
        <v>0</v>
      </c>
      <c r="V451" s="3184">
        <f t="shared" si="66"/>
        <v>0</v>
      </c>
    </row>
    <row r="452" spans="1:22" hidden="1" x14ac:dyDescent="0.2">
      <c r="A452" s="3255">
        <f t="shared" si="67"/>
        <v>440</v>
      </c>
      <c r="B452" s="3256"/>
      <c r="C452" s="3257"/>
      <c r="D452" s="3258"/>
      <c r="E452" s="3257"/>
      <c r="F452" s="3256"/>
      <c r="G452" s="3614"/>
      <c r="H452" s="3256"/>
      <c r="I452" s="3256"/>
      <c r="J452" s="3256"/>
      <c r="K452" s="3256"/>
      <c r="L452" s="3142" t="str">
        <f t="shared" si="62"/>
        <v/>
      </c>
      <c r="M452" s="3183"/>
      <c r="N452" s="3140">
        <f t="shared" si="63"/>
        <v>0</v>
      </c>
      <c r="O452" s="3140">
        <f t="shared" si="68"/>
        <v>0</v>
      </c>
      <c r="Q452" s="3184">
        <f t="shared" si="69"/>
        <v>0</v>
      </c>
      <c r="T452" s="3184">
        <f t="shared" si="64"/>
        <v>0</v>
      </c>
      <c r="U452" s="3184">
        <f t="shared" si="65"/>
        <v>0</v>
      </c>
      <c r="V452" s="3184">
        <f t="shared" si="66"/>
        <v>0</v>
      </c>
    </row>
    <row r="453" spans="1:22" hidden="1" x14ac:dyDescent="0.2">
      <c r="A453" s="3255">
        <f t="shared" si="67"/>
        <v>441</v>
      </c>
      <c r="B453" s="3256"/>
      <c r="C453" s="3257"/>
      <c r="D453" s="3258"/>
      <c r="E453" s="3257"/>
      <c r="F453" s="3256"/>
      <c r="G453" s="3614"/>
      <c r="H453" s="3256"/>
      <c r="I453" s="3256"/>
      <c r="J453" s="3256"/>
      <c r="K453" s="3256"/>
      <c r="L453" s="3142" t="str">
        <f t="shared" si="62"/>
        <v/>
      </c>
      <c r="M453" s="3183"/>
      <c r="N453" s="3140">
        <f t="shared" si="63"/>
        <v>0</v>
      </c>
      <c r="O453" s="3140">
        <f t="shared" si="68"/>
        <v>0</v>
      </c>
      <c r="Q453" s="3184">
        <f t="shared" si="69"/>
        <v>0</v>
      </c>
      <c r="T453" s="3184">
        <f t="shared" si="64"/>
        <v>0</v>
      </c>
      <c r="U453" s="3184">
        <f t="shared" si="65"/>
        <v>0</v>
      </c>
      <c r="V453" s="3184">
        <f t="shared" si="66"/>
        <v>0</v>
      </c>
    </row>
    <row r="454" spans="1:22" hidden="1" x14ac:dyDescent="0.2">
      <c r="A454" s="3255">
        <f t="shared" si="67"/>
        <v>442</v>
      </c>
      <c r="B454" s="3256"/>
      <c r="C454" s="3257"/>
      <c r="D454" s="3258"/>
      <c r="E454" s="3257"/>
      <c r="F454" s="3256"/>
      <c r="G454" s="3614"/>
      <c r="H454" s="3256"/>
      <c r="I454" s="3256"/>
      <c r="J454" s="3256"/>
      <c r="K454" s="3256"/>
      <c r="L454" s="3142" t="str">
        <f t="shared" si="62"/>
        <v/>
      </c>
      <c r="M454" s="3183"/>
      <c r="N454" s="3140">
        <f t="shared" si="63"/>
        <v>0</v>
      </c>
      <c r="O454" s="3140">
        <f t="shared" si="68"/>
        <v>0</v>
      </c>
      <c r="Q454" s="3184">
        <f t="shared" si="69"/>
        <v>0</v>
      </c>
      <c r="T454" s="3184">
        <f t="shared" si="64"/>
        <v>0</v>
      </c>
      <c r="U454" s="3184">
        <f t="shared" si="65"/>
        <v>0</v>
      </c>
      <c r="V454" s="3184">
        <f t="shared" si="66"/>
        <v>0</v>
      </c>
    </row>
    <row r="455" spans="1:22" hidden="1" x14ac:dyDescent="0.2">
      <c r="A455" s="3255">
        <f t="shared" si="67"/>
        <v>443</v>
      </c>
      <c r="B455" s="3256"/>
      <c r="C455" s="3257"/>
      <c r="D455" s="3258"/>
      <c r="E455" s="3257"/>
      <c r="F455" s="3256"/>
      <c r="G455" s="3614"/>
      <c r="H455" s="3256"/>
      <c r="I455" s="3256"/>
      <c r="J455" s="3256"/>
      <c r="K455" s="3256"/>
      <c r="L455" s="3142" t="str">
        <f t="shared" si="62"/>
        <v/>
      </c>
      <c r="M455" s="3183"/>
      <c r="N455" s="3140">
        <f t="shared" si="63"/>
        <v>0</v>
      </c>
      <c r="O455" s="3140">
        <f t="shared" si="68"/>
        <v>0</v>
      </c>
      <c r="Q455" s="3184">
        <f t="shared" si="69"/>
        <v>0</v>
      </c>
      <c r="T455" s="3184">
        <f t="shared" si="64"/>
        <v>0</v>
      </c>
      <c r="U455" s="3184">
        <f t="shared" si="65"/>
        <v>0</v>
      </c>
      <c r="V455" s="3184">
        <f t="shared" si="66"/>
        <v>0</v>
      </c>
    </row>
    <row r="456" spans="1:22" hidden="1" x14ac:dyDescent="0.2">
      <c r="A456" s="3255">
        <f t="shared" si="67"/>
        <v>444</v>
      </c>
      <c r="B456" s="3256"/>
      <c r="C456" s="3257"/>
      <c r="D456" s="3258"/>
      <c r="E456" s="3257"/>
      <c r="F456" s="3256"/>
      <c r="G456" s="3614"/>
      <c r="H456" s="3256"/>
      <c r="I456" s="3256"/>
      <c r="J456" s="3256"/>
      <c r="K456" s="3256"/>
      <c r="L456" s="3142" t="str">
        <f t="shared" si="62"/>
        <v/>
      </c>
      <c r="M456" s="3183"/>
      <c r="N456" s="3140">
        <f t="shared" si="63"/>
        <v>0</v>
      </c>
      <c r="O456" s="3140">
        <f t="shared" si="68"/>
        <v>0</v>
      </c>
      <c r="Q456" s="3184">
        <f t="shared" si="69"/>
        <v>0</v>
      </c>
      <c r="T456" s="3184">
        <f t="shared" si="64"/>
        <v>0</v>
      </c>
      <c r="U456" s="3184">
        <f t="shared" si="65"/>
        <v>0</v>
      </c>
      <c r="V456" s="3184">
        <f t="shared" si="66"/>
        <v>0</v>
      </c>
    </row>
    <row r="457" spans="1:22" hidden="1" x14ac:dyDescent="0.2">
      <c r="A457" s="3255">
        <f t="shared" si="67"/>
        <v>445</v>
      </c>
      <c r="B457" s="3256"/>
      <c r="C457" s="3257"/>
      <c r="D457" s="3258"/>
      <c r="E457" s="3257"/>
      <c r="F457" s="3256"/>
      <c r="G457" s="3614"/>
      <c r="H457" s="3256"/>
      <c r="I457" s="3256"/>
      <c r="J457" s="3256"/>
      <c r="K457" s="3256"/>
      <c r="L457" s="3142" t="str">
        <f t="shared" si="62"/>
        <v/>
      </c>
      <c r="M457" s="3183"/>
      <c r="N457" s="3140">
        <f t="shared" si="63"/>
        <v>0</v>
      </c>
      <c r="O457" s="3140">
        <f t="shared" si="68"/>
        <v>0</v>
      </c>
      <c r="Q457" s="3184">
        <f t="shared" si="69"/>
        <v>0</v>
      </c>
      <c r="T457" s="3184">
        <f t="shared" si="64"/>
        <v>0</v>
      </c>
      <c r="U457" s="3184">
        <f t="shared" si="65"/>
        <v>0</v>
      </c>
      <c r="V457" s="3184">
        <f t="shared" si="66"/>
        <v>0</v>
      </c>
    </row>
    <row r="458" spans="1:22" hidden="1" x14ac:dyDescent="0.2">
      <c r="A458" s="3255">
        <f t="shared" si="67"/>
        <v>446</v>
      </c>
      <c r="B458" s="3256"/>
      <c r="C458" s="3257"/>
      <c r="D458" s="3258"/>
      <c r="E458" s="3257"/>
      <c r="F458" s="3256"/>
      <c r="G458" s="3614"/>
      <c r="H458" s="3256"/>
      <c r="I458" s="3256"/>
      <c r="J458" s="3256"/>
      <c r="K458" s="3256"/>
      <c r="L458" s="3142" t="str">
        <f t="shared" si="62"/>
        <v/>
      </c>
      <c r="M458" s="3183"/>
      <c r="N458" s="3140">
        <f t="shared" si="63"/>
        <v>0</v>
      </c>
      <c r="O458" s="3140">
        <f t="shared" si="68"/>
        <v>0</v>
      </c>
      <c r="Q458" s="3184">
        <f t="shared" si="69"/>
        <v>0</v>
      </c>
      <c r="T458" s="3184">
        <f t="shared" si="64"/>
        <v>0</v>
      </c>
      <c r="U458" s="3184">
        <f t="shared" si="65"/>
        <v>0</v>
      </c>
      <c r="V458" s="3184">
        <f t="shared" si="66"/>
        <v>0</v>
      </c>
    </row>
    <row r="459" spans="1:22" hidden="1" x14ac:dyDescent="0.2">
      <c r="A459" s="3255">
        <f t="shared" si="67"/>
        <v>447</v>
      </c>
      <c r="B459" s="3256"/>
      <c r="C459" s="3257"/>
      <c r="D459" s="3258"/>
      <c r="E459" s="3257"/>
      <c r="F459" s="3256"/>
      <c r="G459" s="3614"/>
      <c r="H459" s="3256"/>
      <c r="I459" s="3256"/>
      <c r="J459" s="3256"/>
      <c r="K459" s="3256"/>
      <c r="L459" s="3142" t="str">
        <f t="shared" si="62"/>
        <v/>
      </c>
      <c r="M459" s="3183"/>
      <c r="N459" s="3140">
        <f t="shared" si="63"/>
        <v>0</v>
      </c>
      <c r="O459" s="3140">
        <f t="shared" si="68"/>
        <v>0</v>
      </c>
      <c r="Q459" s="3184">
        <f t="shared" si="69"/>
        <v>0</v>
      </c>
      <c r="T459" s="3184">
        <f t="shared" si="64"/>
        <v>0</v>
      </c>
      <c r="U459" s="3184">
        <f t="shared" si="65"/>
        <v>0</v>
      </c>
      <c r="V459" s="3184">
        <f t="shared" si="66"/>
        <v>0</v>
      </c>
    </row>
    <row r="460" spans="1:22" hidden="1" x14ac:dyDescent="0.2">
      <c r="A460" s="3255">
        <f t="shared" si="67"/>
        <v>448</v>
      </c>
      <c r="B460" s="3256"/>
      <c r="C460" s="3257"/>
      <c r="D460" s="3258"/>
      <c r="E460" s="3257"/>
      <c r="F460" s="3256"/>
      <c r="G460" s="3614"/>
      <c r="H460" s="3256"/>
      <c r="I460" s="3256"/>
      <c r="J460" s="3256"/>
      <c r="K460" s="3256"/>
      <c r="L460" s="3142" t="str">
        <f t="shared" si="62"/>
        <v/>
      </c>
      <c r="M460" s="3183"/>
      <c r="N460" s="3140">
        <f t="shared" si="63"/>
        <v>0</v>
      </c>
      <c r="O460" s="3140">
        <f t="shared" si="68"/>
        <v>0</v>
      </c>
      <c r="Q460" s="3184">
        <f t="shared" si="69"/>
        <v>0</v>
      </c>
      <c r="T460" s="3184">
        <f t="shared" si="64"/>
        <v>0</v>
      </c>
      <c r="U460" s="3184">
        <f t="shared" si="65"/>
        <v>0</v>
      </c>
      <c r="V460" s="3184">
        <f t="shared" si="66"/>
        <v>0</v>
      </c>
    </row>
    <row r="461" spans="1:22" hidden="1" x14ac:dyDescent="0.2">
      <c r="A461" s="3255">
        <f t="shared" si="67"/>
        <v>449</v>
      </c>
      <c r="B461" s="3256"/>
      <c r="C461" s="3257"/>
      <c r="D461" s="3258"/>
      <c r="E461" s="3257"/>
      <c r="F461" s="3256"/>
      <c r="G461" s="3614"/>
      <c r="H461" s="3256"/>
      <c r="I461" s="3256"/>
      <c r="J461" s="3256"/>
      <c r="K461" s="3256"/>
      <c r="L461" s="3142" t="str">
        <f>IF(AND($N$4&gt;0,A461&lt;=$J$8,N461&lt;&gt;7),re,IF(AND(N461&gt;0,$K$8=0),"No details required",IF(AND(T461=1,I461=""),re,IF(AND(T461=0,COUNTA(I461:K461)&gt;0),"Delete!",IF(AND(U461=1,J461=""),re,IF(AND(U461=0,COUNTA(J461:K461)&gt;0),"Delete!",IF(AND(V461=1,K461=""),re,IF(AND(V461=0,COUNTA(K461)&gt;0),"Delete!",IF(AND(N461&gt;0,A461&gt;$J$8),"Check no. of foreign holdings!","")))))))))</f>
        <v/>
      </c>
      <c r="M461" s="3183"/>
      <c r="N461" s="3140">
        <f t="shared" si="63"/>
        <v>0</v>
      </c>
      <c r="O461" s="3140">
        <f t="shared" si="68"/>
        <v>0</v>
      </c>
      <c r="Q461" s="3184">
        <f t="shared" si="69"/>
        <v>0</v>
      </c>
      <c r="T461" s="3184">
        <f t="shared" si="64"/>
        <v>0</v>
      </c>
      <c r="U461" s="3184">
        <f t="shared" si="65"/>
        <v>0</v>
      </c>
      <c r="V461" s="3184">
        <f t="shared" si="66"/>
        <v>0</v>
      </c>
    </row>
    <row r="462" spans="1:22" hidden="1" x14ac:dyDescent="0.2">
      <c r="A462" s="3255">
        <f t="shared" si="67"/>
        <v>450</v>
      </c>
      <c r="B462" s="3256"/>
      <c r="C462" s="3257"/>
      <c r="D462" s="3258"/>
      <c r="E462" s="3257"/>
      <c r="F462" s="3256"/>
      <c r="G462" s="3614"/>
      <c r="H462" s="3256"/>
      <c r="I462" s="3256"/>
      <c r="J462" s="3256"/>
      <c r="K462" s="3256"/>
      <c r="L462" s="3142" t="str">
        <f>IF(AND($N$4&gt;0,A462&lt;=$J$8,N462&lt;&gt;7),re,IF(AND(N462&gt;0,$K$8=0),"No details required",IF(AND(T462=1,I462=""),re,IF(AND(T462=0,COUNTA(I462:K462)&gt;0),"Delete!",IF(AND(U462=1,J462=""),re,IF(AND(U462=0,COUNTA(J462:K462)&gt;0),"Delete!",IF(AND(V462=1,K462=""),re,IF(AND(V462=0,COUNTA(K462)&gt;0),"Delete!",IF(AND(N462&gt;0,A462&gt;$J$8),"Check no. of foreign holdings!","")))))))))</f>
        <v/>
      </c>
      <c r="M462" s="3183"/>
      <c r="N462" s="3140">
        <f t="shared" si="63"/>
        <v>0</v>
      </c>
      <c r="O462" s="3140">
        <f t="shared" si="68"/>
        <v>0</v>
      </c>
      <c r="Q462" s="3184">
        <f t="shared" si="69"/>
        <v>0</v>
      </c>
      <c r="T462" s="3184">
        <f t="shared" si="64"/>
        <v>0</v>
      </c>
      <c r="U462" s="3184">
        <f t="shared" si="65"/>
        <v>0</v>
      </c>
      <c r="V462" s="3184">
        <f t="shared" si="66"/>
        <v>0</v>
      </c>
    </row>
    <row r="463" spans="1:22" x14ac:dyDescent="0.2">
      <c r="A463" s="3183"/>
      <c r="B463" s="3183"/>
      <c r="C463" s="3183"/>
      <c r="D463" s="3183"/>
      <c r="E463" s="3183"/>
      <c r="F463" s="3183"/>
      <c r="G463" s="3183"/>
      <c r="H463" s="3183"/>
      <c r="I463" s="3183"/>
      <c r="J463" s="3183"/>
      <c r="K463" s="3183"/>
      <c r="L463" s="3183"/>
      <c r="M463" s="3183"/>
      <c r="Q463" s="3245">
        <f>SUM(Q13:Q462)</f>
      </c>
    </row>
    <row r="464" spans="1:22" x14ac:dyDescent="0.2">
      <c r="A464" s="3183"/>
      <c r="B464" s="3249" t="s">
        <v>9201</v>
      </c>
      <c r="C464" s="3183"/>
      <c r="D464" s="3183"/>
      <c r="E464" s="3183"/>
      <c r="F464" s="3183"/>
      <c r="G464" s="3183"/>
      <c r="H464" s="3183"/>
      <c r="I464" s="3183"/>
      <c r="J464" s="3183"/>
      <c r="K464" s="3183"/>
      <c r="L464" s="3183"/>
      <c r="M464" s="3183"/>
    </row>
    <row r="465" spans="1:17" ht="36.75" customHeight="1" x14ac:dyDescent="0.2">
      <c r="A465" s="3183"/>
      <c r="B465" s="5339" t="s">
        <v>4759</v>
      </c>
      <c r="C465" s="5340"/>
      <c r="D465" s="5341"/>
      <c r="E465" s="5335" t="s">
        <v>9202</v>
      </c>
      <c r="F465" s="5335"/>
      <c r="G465" s="5335"/>
      <c r="H465" s="3183"/>
      <c r="I465" s="3183"/>
      <c r="J465" s="3183"/>
      <c r="K465" s="3183"/>
      <c r="L465" s="3183"/>
      <c r="M465" s="3183"/>
    </row>
    <row r="466" spans="1:17" ht="24.75" customHeight="1" x14ac:dyDescent="0.2">
      <c r="A466" s="3183"/>
      <c r="B466" s="5342"/>
      <c r="C466" s="5343"/>
      <c r="D466" s="5344"/>
      <c r="E466" s="3260" t="s">
        <v>3712</v>
      </c>
      <c r="F466" s="3261" t="s">
        <v>2105</v>
      </c>
      <c r="G466" s="3260" t="s">
        <v>2106</v>
      </c>
      <c r="H466" s="3183"/>
      <c r="I466" s="3183"/>
      <c r="J466" s="3183"/>
      <c r="K466" s="3183"/>
      <c r="L466" s="3183"/>
      <c r="M466" s="3183"/>
    </row>
    <row r="467" spans="1:17" x14ac:dyDescent="0.2">
      <c r="A467" s="3183"/>
      <c r="B467" s="5345" t="s">
        <v>9176</v>
      </c>
      <c r="C467" s="5346"/>
      <c r="D467" s="3263" t="s">
        <v>9203</v>
      </c>
      <c r="E467" s="3262"/>
      <c r="F467" s="3262"/>
      <c r="G467" s="3262"/>
      <c r="H467" s="3228" t="str">
        <f>IF(AND($J$8=0,N467&lt;&gt;0),"Check No. of CFCs",IF(AND($Q$463&gt;0,N467&lt;3),reo,""))</f>
        <v/>
      </c>
      <c r="I467" s="3183"/>
      <c r="J467" s="3183"/>
      <c r="K467" s="3183"/>
      <c r="L467" s="3183"/>
      <c r="M467" s="3183"/>
      <c r="N467" s="3140">
        <f t="shared" ref="N467:N475" si="70">COUNTA(E467:G467)</f>
      </c>
      <c r="O467" s="3140">
        <f>IF(H467&lt;&gt;"",1,0)</f>
      </c>
      <c r="P467" s="3140"/>
      <c r="Q467" s="3616">
        <f>SUM(E467:G467)</f>
      </c>
    </row>
    <row r="468" spans="1:17" ht="15" customHeight="1" x14ac:dyDescent="0.2">
      <c r="A468" s="3183"/>
      <c r="B468" s="5345" t="s">
        <v>9251</v>
      </c>
      <c r="C468" s="5346"/>
      <c r="D468" s="3263" t="s">
        <v>1501</v>
      </c>
      <c r="E468" s="3262"/>
      <c r="F468" s="3262"/>
      <c r="G468" s="3262"/>
      <c r="H468" s="3228" t="str">
        <f>IF(AND($J$8=0,N468&lt;&gt;0),"Check No. of CFCs",IF(AND($Q$463&gt;0,N468&lt;3),reo,""))</f>
        <v/>
      </c>
      <c r="I468" s="3183"/>
      <c r="J468" s="3183"/>
      <c r="K468" s="3183"/>
      <c r="L468" s="3183"/>
      <c r="M468" s="3183"/>
      <c r="N468" s="3140">
        <f t="shared" si="70"/>
        <v>0</v>
      </c>
      <c r="O468" s="3140">
        <f t="shared" ref="O468:O475" si="71">IF(H468&lt;&gt;"",1,0)</f>
      </c>
    </row>
    <row r="469" spans="1:17" ht="15" customHeight="1" x14ac:dyDescent="0.2">
      <c r="A469" s="3183"/>
      <c r="B469" s="5345" t="s">
        <v>9252</v>
      </c>
      <c r="C469" s="5346"/>
      <c r="D469" s="3263" t="s">
        <v>1503</v>
      </c>
      <c r="E469" s="3262"/>
      <c r="F469" s="3262"/>
      <c r="G469" s="3262"/>
      <c r="H469" s="3228" t="str">
        <f>IF(AND($J$8=0,N469&lt;&gt;0),"Check No. of CFCs",IF(AND($Q$463&gt;0,N469&lt;3),reo,""))</f>
        <v/>
      </c>
      <c r="I469" s="3183"/>
      <c r="J469" s="3183"/>
      <c r="K469" s="3183"/>
      <c r="L469" s="3183"/>
      <c r="M469" s="3183"/>
      <c r="N469" s="3140">
        <f t="shared" si="70"/>
        <v>0</v>
      </c>
      <c r="O469" s="3140">
        <f t="shared" si="71"/>
        <v>0</v>
      </c>
    </row>
    <row r="470" spans="1:17" ht="15" customHeight="1" x14ac:dyDescent="0.2">
      <c r="A470" s="3183"/>
      <c r="B470" s="5345" t="s">
        <v>9253</v>
      </c>
      <c r="C470" s="5346"/>
      <c r="D470" s="3263" t="s">
        <v>1505</v>
      </c>
      <c r="E470" s="3262"/>
      <c r="F470" s="3262"/>
      <c r="G470" s="3262"/>
      <c r="H470" s="3228" t="str">
        <f>IF(AND($J$8=0,N470&lt;&gt;0),"Check No. of CFCs",IF(AND($Q$463&gt;0,N470&lt;3),reo,""))</f>
        <v/>
      </c>
      <c r="I470" s="3183"/>
      <c r="J470" s="3183"/>
      <c r="K470" s="3183"/>
      <c r="L470" s="3183"/>
      <c r="M470" s="3183"/>
      <c r="N470" s="3140">
        <f t="shared" si="70"/>
        <v>0</v>
      </c>
      <c r="O470" s="3140">
        <f t="shared" si="71"/>
        <v>0</v>
      </c>
    </row>
    <row r="471" spans="1:17" ht="15" customHeight="1" x14ac:dyDescent="0.2">
      <c r="A471" s="3183"/>
      <c r="B471" s="5345" t="s">
        <v>9254</v>
      </c>
      <c r="C471" s="5346"/>
      <c r="D471" s="3263" t="s">
        <v>1507</v>
      </c>
      <c r="E471" s="3262"/>
      <c r="F471" s="3466"/>
      <c r="G471" s="3262"/>
      <c r="H471" s="3228" t="str">
        <f>IF(AND($J$8=0,N471&lt;&gt;0),"Check No. of CFCs",IF(AND($Q$463&gt;0,N471&lt;2),reo,""))</f>
        <v/>
      </c>
      <c r="I471" s="3183"/>
      <c r="J471" s="3183"/>
      <c r="K471" s="3183"/>
      <c r="L471" s="3183"/>
      <c r="M471" s="3183"/>
      <c r="N471" s="3140">
        <f t="shared" si="70"/>
        <v>0</v>
      </c>
      <c r="O471" s="3140">
        <f t="shared" si="71"/>
        <v>0</v>
      </c>
    </row>
    <row r="472" spans="1:17" x14ac:dyDescent="0.2">
      <c r="A472" s="3183"/>
      <c r="B472" s="5345" t="s">
        <v>9255</v>
      </c>
      <c r="C472" s="5346"/>
      <c r="D472" s="3263" t="s">
        <v>1509</v>
      </c>
      <c r="E472" s="3262"/>
      <c r="F472" s="3466"/>
      <c r="G472" s="3262"/>
      <c r="H472" s="3228" t="str">
        <f>IF(AND($J$8=0,N472&lt;&gt;0),"Check No. of CFCs",IF(AND($Q$463&gt;0,N472&lt;2),reo,""))</f>
        <v/>
      </c>
      <c r="I472" s="3183"/>
      <c r="J472" s="3183"/>
      <c r="K472" s="3183"/>
      <c r="L472" s="3183"/>
      <c r="M472" s="3183"/>
      <c r="N472" s="3140">
        <f t="shared" si="70"/>
        <v>0</v>
      </c>
      <c r="O472" s="3140">
        <f t="shared" si="71"/>
        <v>0</v>
      </c>
    </row>
    <row r="473" spans="1:17" ht="26.25" customHeight="1" x14ac:dyDescent="0.2">
      <c r="A473" s="3183"/>
      <c r="B473" s="5345" t="s">
        <v>9256</v>
      </c>
      <c r="C473" s="5346"/>
      <c r="D473" s="3263" t="s">
        <v>3091</v>
      </c>
      <c r="E473" s="3262"/>
      <c r="F473" s="3262"/>
      <c r="G473" s="3262"/>
      <c r="H473" s="3228" t="str">
        <f>IF(AND($J$8=0,N473&lt;&gt;0),"Check No. of CFCs",IF(AND($Q$463&gt;0,N473&lt;3),reo,""))</f>
        <v/>
      </c>
      <c r="I473" s="3183"/>
      <c r="J473" s="3183"/>
      <c r="K473" s="3183"/>
      <c r="L473" s="3183"/>
      <c r="M473" s="3183"/>
      <c r="N473" s="3140">
        <f t="shared" si="70"/>
        <v>0</v>
      </c>
      <c r="O473" s="3140">
        <f t="shared" si="71"/>
        <v>0</v>
      </c>
    </row>
    <row r="474" spans="1:17" ht="15" customHeight="1" x14ac:dyDescent="0.2">
      <c r="A474" s="3183"/>
      <c r="B474" s="5345" t="s">
        <v>9257</v>
      </c>
      <c r="C474" s="5346"/>
      <c r="D474" s="3263" t="s">
        <v>3286</v>
      </c>
      <c r="E474" s="3262"/>
      <c r="F474" s="3262"/>
      <c r="G474" s="3262"/>
      <c r="H474" s="3228" t="str">
        <f>IF(AND($J$8=0,N474&lt;&gt;0),"Check No. of CFCs",IF(AND($Q$463&gt;0,N474&lt;3),reo,""))</f>
        <v/>
      </c>
      <c r="I474" s="3183"/>
      <c r="J474" s="3183"/>
      <c r="K474" s="3183"/>
      <c r="L474" s="3183"/>
      <c r="M474" s="3183"/>
      <c r="N474" s="3140">
        <f t="shared" si="70"/>
        <v>0</v>
      </c>
      <c r="O474" s="3140">
        <f t="shared" si="71"/>
        <v>0</v>
      </c>
    </row>
    <row r="475" spans="1:17" ht="15" customHeight="1" x14ac:dyDescent="0.2">
      <c r="A475" s="3183"/>
      <c r="B475" s="5345" t="s">
        <v>9258</v>
      </c>
      <c r="C475" s="5346"/>
      <c r="D475" s="3263" t="s">
        <v>3288</v>
      </c>
      <c r="E475" s="3262"/>
      <c r="F475" s="3262"/>
      <c r="G475" s="3262"/>
      <c r="H475" s="3228" t="str">
        <f>IF(AND($J$8=0,N475&lt;&gt;0),"Check No. of CFCs",IF(AND($Q$463&gt;0,N475&lt;3),reo,""))</f>
        <v/>
      </c>
      <c r="I475" s="3183"/>
      <c r="J475" s="3183"/>
      <c r="K475" s="3183"/>
      <c r="L475" s="3183"/>
      <c r="M475" s="3183"/>
      <c r="N475" s="3140">
        <f t="shared" si="70"/>
        <v>0</v>
      </c>
      <c r="O475" s="3140">
        <f t="shared" si="71"/>
        <v>0</v>
      </c>
    </row>
    <row r="476" spans="1:17" ht="15" customHeight="1" x14ac:dyDescent="0.2">
      <c r="A476" s="3183"/>
      <c r="B476" s="5336" t="s">
        <v>9204</v>
      </c>
      <c r="C476" s="5337"/>
      <c r="D476" s="5338"/>
      <c r="E476" s="3264">
        <f>SUM(E467:E475)</f>
      </c>
      <c r="F476" s="3264">
        <f>SUM(F467:F470)+SUM(F473:F475)</f>
      </c>
      <c r="G476" s="3264">
        <f>SUM(G467:G475)</f>
      </c>
      <c r="H476" s="3246"/>
      <c r="I476" s="3183"/>
      <c r="J476" s="3183"/>
      <c r="K476" s="3183"/>
      <c r="L476" s="3183"/>
      <c r="M476" s="3183"/>
    </row>
    <row r="477" spans="1:17" x14ac:dyDescent="0.2">
      <c r="A477" s="3183"/>
      <c r="B477" s="3183"/>
      <c r="C477" s="3183"/>
      <c r="D477" s="3183"/>
      <c r="E477" s="3183"/>
      <c r="F477" s="3183"/>
      <c r="G477" s="3183"/>
      <c r="H477" s="3183"/>
      <c r="I477" s="3183"/>
      <c r="J477" s="3183"/>
      <c r="K477" s="3183"/>
      <c r="L477" s="3183"/>
      <c r="M477" s="3183"/>
    </row>
    <row r="478" spans="1:17" x14ac:dyDescent="0.2">
      <c r="A478" s="3183"/>
      <c r="B478" s="3183"/>
      <c r="C478" s="3183"/>
      <c r="D478" s="2261" t="s">
        <v>4802</v>
      </c>
      <c r="E478" s="1038"/>
      <c r="F478" s="2259" t="str">
        <f>IF(N4=0,"",IF(E478="",re,""))</f>
        <v/>
      </c>
      <c r="G478" s="2259"/>
      <c r="H478" s="2259"/>
      <c r="I478" s="2259"/>
      <c r="J478" s="2259"/>
      <c r="K478" s="3183"/>
      <c r="L478" s="3183"/>
      <c r="M478" s="3183"/>
      <c r="N478" s="1960">
        <f>IF(E478&lt;&gt;"",1,0)</f>
      </c>
      <c r="O478" s="3140">
        <f>IF(F478&lt;&gt;"",1,0)</f>
      </c>
      <c r="Q478" s="1960" t="str">
        <f>IF(E478="yes","Y","n")</f>
      </c>
    </row>
    <row r="479" spans="1:17" x14ac:dyDescent="0.2">
      <c r="A479" s="3183"/>
      <c r="B479" s="3183"/>
      <c r="C479" s="3183"/>
      <c r="D479" s="3183"/>
      <c r="E479" s="3183"/>
      <c r="F479" s="3183"/>
      <c r="G479" s="3183"/>
      <c r="H479" s="3183"/>
      <c r="I479" s="3183"/>
      <c r="J479" s="3183"/>
      <c r="K479" s="3183"/>
      <c r="L479" s="3183"/>
      <c r="M479" s="3183"/>
    </row>
    <row r="480" spans="1:17" x14ac:dyDescent="0.2">
      <c r="A480" s="3183"/>
      <c r="B480" s="3183"/>
      <c r="C480" s="3183"/>
      <c r="D480" s="3183"/>
      <c r="E480" s="3183"/>
      <c r="F480" s="3183"/>
      <c r="G480" s="3183"/>
      <c r="H480" s="3183"/>
      <c r="I480" s="3183"/>
      <c r="J480" s="3183"/>
      <c r="K480" s="3183"/>
      <c r="L480" s="3183"/>
      <c r="M480" s="3183"/>
      <c r="O480" s="3123">
        <f>IF(AND(O1=0,N4=0),100,IF(N4=0,0,IF(O4&lt;&gt;0,100,IF(Q478="Y",1,100))))</f>
      </c>
    </row>
    <row r="481" spans="1:13" x14ac:dyDescent="0.2">
      <c r="A481" s="3183"/>
      <c r="B481" s="3183" t="s">
        <v>10574</v>
      </c>
      <c r="C481" s="3183"/>
      <c r="D481" s="3183" t="str">
        <f>ver</f>
        <v>TA2_e-CO_2025_Ver 1.1</v>
      </c>
      <c r="E481" s="3183"/>
      <c r="F481" s="3183"/>
      <c r="G481" s="3183"/>
      <c r="H481" s="3183"/>
      <c r="I481" s="3183"/>
      <c r="J481" s="3183"/>
      <c r="K481" s="3183"/>
      <c r="L481" s="3183" t="s">
        <v>9206</v>
      </c>
      <c r="M481" s="3183"/>
    </row>
    <row r="482" spans="1:13" x14ac:dyDescent="0.2">
      <c r="A482" s="3183"/>
      <c r="B482" s="3183"/>
      <c r="C482" s="3183"/>
      <c r="D482" s="3183"/>
      <c r="E482" s="3183"/>
      <c r="F482" s="3183"/>
      <c r="G482" s="3183"/>
      <c r="H482" s="3183"/>
      <c r="I482" s="3183"/>
      <c r="J482" s="3183"/>
      <c r="K482" s="3183"/>
      <c r="L482" s="3183"/>
      <c r="M482" s="3183"/>
    </row>
    <row r="483" spans="1:13" x14ac:dyDescent="0.2">
      <c r="A483" s="3183"/>
      <c r="B483" s="3233" t="s">
        <v>6290</v>
      </c>
      <c r="C483" s="3183"/>
      <c r="D483" s="3183"/>
      <c r="E483" s="3183"/>
      <c r="F483" s="3183"/>
      <c r="G483" s="3183"/>
      <c r="H483" s="3183"/>
      <c r="I483" s="3183"/>
      <c r="J483" s="3183"/>
      <c r="K483" s="3183"/>
      <c r="L483" s="3183"/>
      <c r="M483" s="3183"/>
    </row>
  </sheetData>
  <sheetProtection algorithmName="SHA-512" hashValue="MvrRjogrhhii+4JXAfuCwGOLqq9d8zTdY3cpWCVhoK0vZFnplmUeWE6fnHtbwPhBpYkQVHVgNPJRutF3Rwe/jQ==" saltValue="BwNKYU9H4Parh1fFx2nCuw==" spinCount="100000" sheet="1" objects="1" scenarios="1"/>
  <mergeCells count="13">
    <mergeCell ref="B6:H6"/>
    <mergeCell ref="E465:G465"/>
    <mergeCell ref="B476:D476"/>
    <mergeCell ref="B465:D466"/>
    <mergeCell ref="B467:C467"/>
    <mergeCell ref="B468:C468"/>
    <mergeCell ref="B469:C469"/>
    <mergeCell ref="B470:C470"/>
    <mergeCell ref="B471:C471"/>
    <mergeCell ref="B472:C472"/>
    <mergeCell ref="B473:C473"/>
    <mergeCell ref="B474:C474"/>
    <mergeCell ref="B475:C475"/>
  </mergeCells>
  <dataValidations disablePrompts="1" count="14">
    <dataValidation type="textLength" operator="greaterThan" allowBlank="1" showInputMessage="1" showErrorMessage="1" errorTitle="TIN" error="Enter proper TIN!" sqref="D21:D462" xr:uid="{00000000-0002-0000-6400-000000000000}">
      <formula1>3</formula1>
    </dataValidation>
    <dataValidation type="textLength" operator="greaterThan" allowBlank="1" showInputMessage="1" showErrorMessage="1" errorTitle="Place of Incorporation" error="Enter the proper place of incorporation!" sqref="C13:C17" xr:uid="{00000000-0002-0000-6400-000001000000}">
      <formula1>3</formula1>
    </dataValidation>
    <dataValidation type="list" showInputMessage="1" showErrorMessage="1" sqref="E478" xr:uid="{00000000-0002-0000-6400-000002000000}">
      <formula1>yn</formula1>
    </dataValidation>
    <dataValidation type="textLength" operator="greaterThan" allowBlank="1" showInputMessage="1" showErrorMessage="1" errorTitle="Place of Management and Control" error="Enter the proper place!" sqref="E13:E462" xr:uid="{00000000-0002-0000-6400-000003000000}">
      <formula1>4</formula1>
    </dataValidation>
    <dataValidation type="textLength" operator="greaterThanOrEqual" allowBlank="1" showInputMessage="1" showErrorMessage="1" errorTitle="TIN" error="Enter proper TIN!" sqref="D13:D20" xr:uid="{00000000-0002-0000-6400-000004000000}">
      <formula1>3</formula1>
    </dataValidation>
    <dataValidation type="textLength" operator="greaterThan" allowBlank="1" showInputMessage="1" showErrorMessage="1" errorTitle="Place of Incorporation" error="Enter the proper place of incorporation!" sqref="C18:C462" xr:uid="{00000000-0002-0000-6400-000005000000}">
      <formula1>4</formula1>
    </dataValidation>
    <dataValidation type="textLength" operator="greaterThan" allowBlank="1" showInputMessage="1" showErrorMessage="1" errorTitle="Name" error="Enter a proper name!" sqref="B13:B462" xr:uid="{00000000-0002-0000-6400-000006000000}">
      <formula1>4</formula1>
    </dataValidation>
    <dataValidation type="list" allowBlank="1" showInputMessage="1" showErrorMessage="1" sqref="J6" xr:uid="{00000000-0002-0000-6400-000007000000}">
      <formula1>yn</formula1>
    </dataValidation>
    <dataValidation type="whole" operator="greaterThanOrEqual" allowBlank="1" showInputMessage="1" showErrorMessage="1" errorTitle="Number of CfCs" error="Enter a whole number!" sqref="J8" xr:uid="{00000000-0002-0000-6400-000008000000}">
      <formula1>0</formula1>
    </dataValidation>
    <dataValidation type="whole" operator="greaterThanOrEqual" allowBlank="1" showInputMessage="1" showErrorMessage="1" errorTitle="Allocation to tax accounts" error="Amount must be greater than or equal to 0!" sqref="E467:G476" xr:uid="{00000000-0002-0000-6400-00000A000000}">
      <formula1>0</formula1>
    </dataValidation>
    <dataValidation type="list" allowBlank="1" showInputMessage="1" showErrorMessage="1" errorTitle="Applicability of Reg7(2)" error="Select from list!" sqref="H13" xr:uid="{00000000-0002-0000-6400-00000B000000}">
      <formula1>$Y$16:$Y$19</formula1>
    </dataValidation>
    <dataValidation type="list" allowBlank="1" showInputMessage="1" showErrorMessage="1" sqref="I13:K462" xr:uid="{00000000-0002-0000-6400-00000C000000}">
      <formula1>$W$1:$W$3</formula1>
    </dataValidation>
    <dataValidation type="list" allowBlank="1" showInputMessage="1" showErrorMessage="1" sqref="H14:H462" xr:uid="{00000000-0002-0000-6400-00000D000000}">
      <formula1>$Y$16:$Y$19</formula1>
    </dataValidation>
    <dataValidation type="decimal" allowBlank="1" showInputMessage="1" showErrorMessage="1" sqref="G13:G462" xr:uid="{CEA543F5-2520-4097-AFDA-4DB3FBF98F3D}">
      <formula1>0</formula1>
      <formula2>2</formula2>
    </dataValidation>
  </dataValidations>
  <hyperlinks>
    <hyperlink ref="B483" location="Index!A121" display="B A C K   T O   I N D E X" xr:uid="{00000000-0004-0000-6400-000000000000}"/>
    <hyperlink ref="D469" location="TRA9_14!A1" display="TRA 09" xr:uid="{00000000-0004-0000-6400-000001000000}"/>
    <hyperlink ref="D470" location="TRA9_14!A36" display="TRA 10" xr:uid="{00000000-0004-0000-6400-000002000000}"/>
    <hyperlink ref="D471" location="TRA9_14!A62" display="TRA 11" xr:uid="{00000000-0004-0000-6400-000003000000}"/>
    <hyperlink ref="D472" location="TRA9_14!A84" display="TRA 12" xr:uid="{00000000-0004-0000-6400-000004000000}"/>
    <hyperlink ref="D473" location="TRA9_14!A107" display="TRA 13" xr:uid="{00000000-0004-0000-6400-000005000000}"/>
    <hyperlink ref="D474" location="TRA9_14!A129" display="TRA 14" xr:uid="{00000000-0004-0000-6400-000006000000}"/>
    <hyperlink ref="D468" location="'TRA8'!A1" display="TRA 08" xr:uid="{00000000-0004-0000-6400-000007000000}"/>
    <hyperlink ref="D475" location="'TRA15'!A1" display="TRA 15" xr:uid="{00000000-0004-0000-6400-000008000000}"/>
    <hyperlink ref="D467" location="'p3'!B25" display="page 3" xr:uid="{00000000-0004-0000-6400-000009000000}"/>
  </hyperlinks>
  <pageMargins left="0.7" right="0.7" top="0.75" bottom="0.75" header="0.3" footer="0.3"/>
  <pageSetup paperSize="9" orientation="portrait" r:id="rId1"/>
  <legacy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12"/>
  <dimension ref="A1:AI103"/>
  <sheetViews>
    <sheetView zoomScale="121" workbookViewId="0"/>
  </sheetViews>
  <sheetFormatPr defaultColWidth="0" defaultRowHeight="12.75" zeroHeight="1" x14ac:dyDescent="0.2"/>
  <cols>
    <col min="1" max="1" width="0.28515625" style="3184" customWidth="1"/>
    <col min="2" max="2" width="9.28515625" style="3184" customWidth="1"/>
    <col min="3" max="3" width="12.28515625" style="3184" customWidth="1"/>
    <col min="4" max="4" width="9.28515625" style="3184" customWidth="1"/>
    <col min="5" max="5" width="13.7109375" style="3184" customWidth="1"/>
    <col min="6" max="6" width="16.7109375" style="3184" customWidth="1"/>
    <col min="7" max="7" width="23.7109375" style="3184" customWidth="1"/>
    <col min="8" max="8" width="17.28515625" style="3432" customWidth="1"/>
    <col min="9" max="9" width="11" style="3444" customWidth="1"/>
    <col min="10" max="10" width="8.5703125" style="3444" customWidth="1"/>
    <col min="11" max="11" width="17.28515625" style="3432" customWidth="1"/>
    <col min="12" max="12" width="9.7109375" style="3445" customWidth="1"/>
    <col min="13" max="13" width="9" style="3445" customWidth="1"/>
    <col min="14" max="14" width="17.28515625" style="3432" customWidth="1"/>
    <col min="15" max="15" width="9.5703125" style="3184" customWidth="1"/>
    <col min="16" max="16" width="0.42578125" style="3184" customWidth="1"/>
    <col min="17" max="18" width="9.28515625" style="3184" hidden="1" customWidth="1"/>
    <col min="19" max="20" width="12.28515625" style="1485" hidden="1" customWidth="1"/>
    <col min="21" max="16384" width="9.28515625" style="1485" hidden="1"/>
  </cols>
  <sheetData>
    <row r="1" spans="1:34" x14ac:dyDescent="0.2">
      <c r="A1" s="3121"/>
      <c r="B1" s="3121" t="str">
        <f>_ref1</f>
      </c>
      <c r="C1" s="3121"/>
      <c r="D1" s="3121"/>
      <c r="E1" s="3121"/>
      <c r="F1" s="3121"/>
      <c r="G1" s="3121"/>
      <c r="H1" s="3121"/>
      <c r="I1" s="3121"/>
      <c r="J1" s="3121"/>
      <c r="K1" s="3121"/>
      <c r="L1" s="3121"/>
      <c r="M1" s="3121"/>
      <c r="N1" s="3122" t="str">
        <f>_YA1</f>
      </c>
      <c r="O1" s="3375"/>
      <c r="P1" s="3183"/>
      <c r="T1" s="1485" t="s">
        <v>9259</v>
      </c>
      <c r="U1" s="3259">
        <f>COUNTA(H6:H9,H11:H12,H14:H15,H17,H19:H20,H22,H24,H29,H32:H33,H35:H36,H45:H46,H53,H63,H65,H67,H71)</f>
      </c>
      <c r="V1" s="1485" t="s">
        <v>9260</v>
      </c>
    </row>
    <row r="2" spans="1:34" x14ac:dyDescent="0.2">
      <c r="A2" s="3121"/>
      <c r="B2" s="3121"/>
      <c r="C2" s="3121"/>
      <c r="D2" s="3121"/>
      <c r="E2" s="3121"/>
      <c r="F2" s="3121"/>
      <c r="G2" s="3121"/>
      <c r="H2" s="3124"/>
      <c r="I2" s="3125"/>
      <c r="J2" s="3125"/>
      <c r="K2" s="3124"/>
      <c r="L2" s="3126"/>
      <c r="M2" s="3126"/>
      <c r="N2" s="3124"/>
      <c r="O2" s="3375"/>
      <c r="P2" s="3183"/>
      <c r="U2" s="3259">
        <f>COUNTA(K6:K9,K11:K12,K14:K15,K17,K19:K20,K22,K24,K29,K32:K33,K35:K36,K45:K46,K53,K63,K65,K67,K71)</f>
      </c>
      <c r="V2" s="1485" t="s">
        <v>3582</v>
      </c>
      <c r="Z2" s="1485" t="s">
        <v>9261</v>
      </c>
      <c r="AE2" s="1485" t="s">
        <v>4457</v>
      </c>
      <c r="AH2" s="1485" t="s">
        <v>5806</v>
      </c>
    </row>
    <row r="3" spans="1:34" ht="15.75" x14ac:dyDescent="0.25">
      <c r="A3" s="3376"/>
      <c r="B3" s="3377" t="s">
        <v>9262</v>
      </c>
      <c r="C3" s="3378"/>
      <c r="D3" s="3378"/>
      <c r="E3" s="3378"/>
      <c r="F3" s="3378"/>
      <c r="G3" s="3378"/>
      <c r="H3" s="3379"/>
      <c r="I3" s="3380"/>
      <c r="J3" s="3380"/>
      <c r="K3" s="3379"/>
      <c r="L3" s="3381"/>
      <c r="M3" s="3381"/>
      <c r="N3" s="3379"/>
      <c r="O3" s="3382"/>
      <c r="P3" s="3183"/>
      <c r="U3" s="3259">
        <f>COUNTA(N6:N9,N11:N12,N14:N15,N17,N19:N20,N22,N24,N29,N32:N33,N35:N36,N45:N46,N53,N63,N65,N67,N71)</f>
      </c>
      <c r="Z3" s="1485" t="s">
        <v>9263</v>
      </c>
      <c r="AE3" s="1485" t="s">
        <v>1736</v>
      </c>
      <c r="AH3" s="1485" t="s">
        <v>363</v>
      </c>
    </row>
    <row r="4" spans="1:34" x14ac:dyDescent="0.2">
      <c r="A4" s="3121"/>
      <c r="B4" s="3121"/>
      <c r="C4" s="3121"/>
      <c r="D4" s="3121"/>
      <c r="E4" s="3121"/>
      <c r="F4" s="3121"/>
      <c r="G4" s="3121"/>
      <c r="H4" s="3124"/>
      <c r="I4" s="3125"/>
      <c r="J4" s="3125"/>
      <c r="K4" s="3124"/>
      <c r="L4" s="3126"/>
      <c r="M4" s="3126"/>
      <c r="N4" s="3124"/>
      <c r="O4" s="3121"/>
      <c r="P4" s="3183"/>
      <c r="Q4" s="3184" t="s">
        <v>7439</v>
      </c>
      <c r="T4" s="3184" t="s">
        <v>9264</v>
      </c>
      <c r="U4" s="3184">
        <f>SUM(U1:U3)</f>
      </c>
      <c r="Z4" s="1485" t="s">
        <v>9265</v>
      </c>
      <c r="AH4" s="1485" t="s">
        <v>2372</v>
      </c>
    </row>
    <row r="5" spans="1:34" hidden="1" x14ac:dyDescent="0.2">
      <c r="A5" s="3121"/>
      <c r="B5" s="3121"/>
      <c r="C5" s="3121"/>
      <c r="D5" s="3121"/>
      <c r="E5" s="3121"/>
      <c r="F5" s="3121"/>
      <c r="G5" s="3121"/>
      <c r="H5" s="3124"/>
      <c r="I5" s="3125"/>
      <c r="J5" s="3125"/>
      <c r="K5" s="3124"/>
      <c r="L5" s="3126"/>
      <c r="M5" s="3126"/>
      <c r="N5" s="3124"/>
      <c r="P5" s="3183"/>
    </row>
    <row r="6" spans="1:34" x14ac:dyDescent="0.2">
      <c r="A6" s="3121"/>
      <c r="B6" s="3121" t="s">
        <v>9266</v>
      </c>
      <c r="C6" s="3121"/>
      <c r="D6" s="3121"/>
      <c r="E6" s="3121"/>
      <c r="F6" s="3121"/>
      <c r="G6" s="3121"/>
      <c r="H6" s="3383"/>
      <c r="I6" s="3384" t="str">
        <f>IF(U1=0,"",IF(AND($U$1=0,H6&lt;&gt;""),$V$63,IF(H6="",re,IF(H6="no",nob,""))))</f>
        <v/>
      </c>
      <c r="J6" s="3384"/>
      <c r="K6" s="3383"/>
      <c r="L6" s="3384" t="str">
        <f>IF(U2=0,"",IF(AND($U$2=0,K6&lt;&gt;""),$V$63,IF(K6="",re,IF(K6="no",nob,""))))</f>
        <v/>
      </c>
      <c r="M6" s="3384"/>
      <c r="N6" s="3383"/>
      <c r="O6" s="3384" t="str">
        <f>IF(U3=0,"",IF(AND($U$3=0,N6&lt;&gt;""),$V$63,IF(N6="",re,IF(N6="no",nob,""))))</f>
        <v/>
      </c>
      <c r="P6" s="3183"/>
      <c r="Q6" s="3184">
        <f>IF(OR(I6&lt;&gt;"",L6&lt;&gt;"",O6&lt;&gt;""),1,0)</f>
      </c>
    </row>
    <row r="7" spans="1:34" x14ac:dyDescent="0.2">
      <c r="A7" s="3121"/>
      <c r="B7" s="3121" t="s">
        <v>9267</v>
      </c>
      <c r="C7" s="3121"/>
      <c r="D7" s="3121"/>
      <c r="E7" s="3121"/>
      <c r="F7" s="3121"/>
      <c r="G7" s="3121"/>
      <c r="H7" s="3383"/>
      <c r="I7" s="3384" t="str">
        <f>IF(U1=0,"",IF(AND($U$1=0,H7&lt;&gt;""),$V$63,IF(H7="",re,IF(H7="no",nob,""))))</f>
        <v/>
      </c>
      <c r="J7" s="3384"/>
      <c r="K7" s="3383"/>
      <c r="L7" s="3384" t="str">
        <f>IF(U2=0,"",IF(AND($U$2=0,K7&lt;&gt;""),$V$63,IF(K7="",re,IF(K7="no",nob,""))))</f>
        <v/>
      </c>
      <c r="M7" s="3384"/>
      <c r="N7" s="3383"/>
      <c r="O7" s="3384" t="str">
        <f>IF(U3=0,"",IF(AND($U$3=0,N7&lt;&gt;""),$V$63,IF(N7="",re,IF(N7="no",nob,""))))</f>
        <v/>
      </c>
      <c r="P7" s="3183"/>
      <c r="Q7" s="3184">
        <f>IF(OR(I7&lt;&gt;"",L7&lt;&gt;"",O7&lt;&gt;""),1,0)</f>
      </c>
    </row>
    <row r="8" spans="1:34" x14ac:dyDescent="0.2">
      <c r="A8" s="3121"/>
      <c r="B8" s="3385" t="s">
        <v>9268</v>
      </c>
      <c r="C8" s="3121"/>
      <c r="D8" s="3121"/>
      <c r="E8" s="3121"/>
      <c r="F8" s="3121"/>
      <c r="G8" s="3121"/>
      <c r="H8" s="3386"/>
      <c r="I8" s="3384" t="str">
        <f>IF(U1=0,"",IF(AND($U$1=0,H8&lt;&gt;""),$V$63,IF(H8="",re,"")))</f>
        <v/>
      </c>
      <c r="J8" s="3384"/>
      <c r="K8" s="3386"/>
      <c r="L8" s="3384" t="str">
        <f>IF(U2=0,"",IF(AND($U$2=0,K8&lt;&gt;""),$V$63,IF(K8="",re,"")))</f>
        <v/>
      </c>
      <c r="M8" s="3384"/>
      <c r="N8" s="3386"/>
      <c r="O8" s="3384" t="str">
        <f>IF(U3=0,"",IF(AND($U$3=0,N8&lt;&gt;""),$V$63,IF(N8="",re,"")))</f>
        <v/>
      </c>
      <c r="P8" s="3183"/>
      <c r="Q8" s="3184">
        <f>IF(OR(I8&lt;&gt;"",L8&lt;&gt;"",O8&lt;&gt;""),1,0)</f>
      </c>
      <c r="S8" s="2774">
        <v>43466</v>
      </c>
      <c r="T8" s="2774">
        <f>DATE(ya-1,12,31)</f>
      </c>
    </row>
    <row r="9" spans="1:34" x14ac:dyDescent="0.2">
      <c r="A9" s="3121"/>
      <c r="B9" s="3121" t="s">
        <v>9269</v>
      </c>
      <c r="C9" s="3121"/>
      <c r="D9" s="3121"/>
      <c r="E9" s="3121"/>
      <c r="F9" s="3121"/>
      <c r="G9" s="3375"/>
      <c r="H9" s="3387"/>
      <c r="I9" s="3388" t="str">
        <f>IF(U1=0,"",IF(AND($U$1=0,H9&lt;&gt;""),$V$63,IF(AND(U1&gt;0,H9=""),re,IF(H9&lt;$S$8,"Check date!",""))))</f>
        <v/>
      </c>
      <c r="J9" s="3388"/>
      <c r="K9" s="3387"/>
      <c r="L9" s="3388" t="str">
        <f>IF(U2=0,"",IF(AND($U$2=0,K9&lt;&gt;""),$V$63,IF(K9="",re,IF(K9&lt;$S$8,"Check date!",""))))</f>
        <v/>
      </c>
      <c r="M9" s="3388"/>
      <c r="N9" s="3387"/>
      <c r="O9" s="3388" t="str">
        <f>IF(U3=0,"",IF(AND($U$3=0,N9&lt;&gt;""),$V$63,IF(N9="",re,IF(N9&lt;$S$8,"Check date!",""))))</f>
        <v/>
      </c>
      <c r="P9" s="3183"/>
      <c r="Q9" s="3184">
        <f>IF(OR(I9&lt;&gt;"",L9&lt;&gt;"",O9&lt;&gt;""),1,0)</f>
      </c>
      <c r="S9" s="2774"/>
      <c r="T9" s="2774"/>
    </row>
    <row r="10" spans="1:34" ht="14.65" customHeight="1" x14ac:dyDescent="0.2">
      <c r="A10" s="3121"/>
      <c r="B10" s="3121" t="s">
        <v>9270</v>
      </c>
      <c r="C10" s="3389"/>
      <c r="D10" s="3389"/>
      <c r="E10" s="3389"/>
      <c r="F10" s="3389"/>
      <c r="G10" s="3389"/>
      <c r="H10" s="3124"/>
      <c r="I10" s="3390"/>
      <c r="J10" s="3390"/>
      <c r="K10" s="3124"/>
      <c r="L10" s="3390"/>
      <c r="M10" s="3390"/>
      <c r="N10" s="3124"/>
      <c r="O10" s="3390"/>
      <c r="P10" s="3183"/>
    </row>
    <row r="11" spans="1:34" x14ac:dyDescent="0.2">
      <c r="A11" s="3121"/>
      <c r="B11" s="3121" t="s">
        <v>9271</v>
      </c>
      <c r="C11" s="3389"/>
      <c r="D11" s="3389"/>
      <c r="E11" s="3389"/>
      <c r="F11" s="3389"/>
      <c r="G11" s="3389"/>
      <c r="H11" s="3383"/>
      <c r="I11" s="3384" t="str">
        <f>IF(U1=0,"",IF(AND($U$1=0,H11&lt;&gt;""),$V$63,IF(H11="",re,IF(H11="no",nob,""))))</f>
        <v/>
      </c>
      <c r="J11" s="3384"/>
      <c r="K11" s="3383"/>
      <c r="L11" s="3384" t="str">
        <f>IF(U2=0,"",IF(AND($U$2=0,K11&lt;&gt;""),$V$63,IF(K11="",re,IF(K11="no",nob,""))))</f>
        <v/>
      </c>
      <c r="M11" s="3384"/>
      <c r="N11" s="3383"/>
      <c r="O11" s="3384" t="str">
        <f>IF(U3=0,"",IF(AND($U$3=0,N11&lt;&gt;""),$V$63,IF(N11="",re,IF(N11="no",nob,""))))</f>
        <v/>
      </c>
      <c r="P11" s="3183"/>
      <c r="Q11" s="3184">
        <f>IF(OR(I11&lt;&gt;"",L11&lt;&gt;"",O11&lt;&gt;""),1,0)</f>
      </c>
    </row>
    <row r="12" spans="1:34" x14ac:dyDescent="0.2">
      <c r="A12" s="3121"/>
      <c r="B12" s="3121" t="s">
        <v>9272</v>
      </c>
      <c r="C12" s="3121"/>
      <c r="D12" s="3121"/>
      <c r="E12" s="3121"/>
      <c r="F12" s="3121"/>
      <c r="G12" s="3121"/>
      <c r="H12" s="3383"/>
      <c r="I12" s="3384" t="str">
        <f>IF(U1=0,"",IF(AND($U$1=0,H12&lt;&gt;""),$V$63,IF(H12="",re,IF(H12="no",nob,""))))</f>
        <v/>
      </c>
      <c r="J12" s="3384"/>
      <c r="K12" s="3383"/>
      <c r="L12" s="3384" t="str">
        <f>IF(U2=0,"",IF(AND($U$2=0,K12&lt;&gt;""),$V$63,IF(K12="",re,IF(K12="no",nob,""))))</f>
        <v/>
      </c>
      <c r="M12" s="3384"/>
      <c r="N12" s="3383"/>
      <c r="O12" s="3384" t="str">
        <f>IF(U3=0,"",IF(AND($U$3=0,N12&lt;&gt;""),$V$63,IF(N12="",re,IF(N12="no",nob,""))))</f>
        <v/>
      </c>
      <c r="P12" s="3183"/>
      <c r="Q12" s="3184">
        <f>IF(OR(I12&lt;&gt;"",L12&lt;&gt;"",O12&lt;&gt;""),1,0)</f>
      </c>
    </row>
    <row r="13" spans="1:34" ht="3.4" customHeight="1" x14ac:dyDescent="0.2">
      <c r="A13" s="3121"/>
      <c r="B13" s="3121"/>
      <c r="C13" s="3121"/>
      <c r="D13" s="3121"/>
      <c r="E13" s="3121"/>
      <c r="F13" s="3121"/>
      <c r="G13" s="3121"/>
      <c r="H13" s="3124"/>
      <c r="I13" s="3390"/>
      <c r="J13" s="3390"/>
      <c r="K13" s="3124"/>
      <c r="L13" s="3390"/>
      <c r="M13" s="3390"/>
      <c r="N13" s="3124"/>
      <c r="O13" s="3390"/>
      <c r="P13" s="3183"/>
    </row>
    <row r="14" spans="1:34" ht="50.65" customHeight="1" x14ac:dyDescent="0.2">
      <c r="A14" s="3121"/>
      <c r="B14" s="3391" t="s">
        <v>9273</v>
      </c>
      <c r="C14" s="3121"/>
      <c r="D14" s="3121"/>
      <c r="E14" s="3121"/>
      <c r="F14" s="3121"/>
      <c r="G14" s="3121"/>
      <c r="H14" s="3392"/>
      <c r="I14" s="3393" t="str">
        <f>IF(U1=0,"",IF(AND($U$1=0,H14&lt;&gt;""),$V$63,IF(H14="",re,IF(AND(H14=AE26,H15="No"),"Check!",""))))</f>
        <v/>
      </c>
      <c r="J14" s="3394"/>
      <c r="K14" s="3392"/>
      <c r="L14" s="3393" t="str">
        <f>IF(U2=0,"",IF(AND($U$2=0,K14&lt;&gt;""),$V$63,IF(K14="",re,IF(AND(K14=AE26,K15="No"),"Check!",""))))</f>
        <v/>
      </c>
      <c r="M14" s="3394"/>
      <c r="N14" s="3392"/>
      <c r="O14" s="3393" t="str">
        <f>IF(U3=0,"",IF(AND($U$3=0,N14&lt;&gt;""),$V$63,IF(N14="",re,IF(AND(N14=AE26,N15="No"),"Check!",""))))</f>
        <v/>
      </c>
      <c r="P14" s="3183"/>
      <c r="Q14" s="3184">
        <f>IF(OR(I14&lt;&gt;"",L14&lt;&gt;"",O14&lt;&gt;""),1,0)</f>
      </c>
      <c r="W14" s="1485">
        <f>IF(H12="Yes",0,1)</f>
      </c>
    </row>
    <row r="15" spans="1:34" x14ac:dyDescent="0.2">
      <c r="A15" s="3121"/>
      <c r="B15" s="3121" t="s">
        <v>9274</v>
      </c>
      <c r="C15" s="3121"/>
      <c r="D15" s="3121"/>
      <c r="E15" s="3121"/>
      <c r="F15" s="3121"/>
      <c r="G15" s="3121"/>
      <c r="H15" s="3383"/>
      <c r="I15" s="3384" t="str">
        <f>IF(AND($U$1=0,H15&lt;&gt;""),$V$63,IF(AND(H14&lt;&gt;AE26,H15&lt;&gt;""),V63,IF(H14&lt;&gt;AE26,"",IF(H15="",re,IF(AND(H14=AE26,H15="No"),"Check!","")))))</f>
        <v/>
      </c>
      <c r="J15" s="3384"/>
      <c r="K15" s="3383"/>
      <c r="L15" s="3395" t="str">
        <f>IF(AND($U$2=0,K15&lt;&gt;""),$V$63,IF(AND(K14&lt;&gt;AE26,K15&lt;&gt;""),X63,IF(K14&lt;&gt;AE26,"",IF(K15="",re,IF(AND(K14=AE26,K15="No"),"Check!","")))))</f>
        <v/>
      </c>
      <c r="M15" s="3384"/>
      <c r="N15" s="3383"/>
      <c r="O15" s="3384" t="str">
        <f>IF(AND($U$3=0,N15&lt;&gt;""),$V$63,IF(AND(N14&lt;&gt;AE26,N15&lt;&gt;""),Z63,IF(N14&lt;&gt;AE26,"",IF(N15="",re,IF(AND(N14=AE26,N15="No"),"Check!","")))))</f>
        <v/>
      </c>
      <c r="P15" s="3183"/>
      <c r="Q15" s="3184">
        <f>IF(OR(I15&lt;&gt;"",L15&lt;&gt;"",O15&lt;&gt;""),1,0)</f>
      </c>
      <c r="U15" s="1485" t="s">
        <v>9275</v>
      </c>
      <c r="W15" s="1485" t="s">
        <v>9276</v>
      </c>
      <c r="Y15" s="1485" t="s">
        <v>9277</v>
      </c>
    </row>
    <row r="16" spans="1:34" ht="6" customHeight="1" x14ac:dyDescent="0.2">
      <c r="A16" s="3121"/>
      <c r="B16" s="3121"/>
      <c r="C16" s="3121"/>
      <c r="D16" s="3121"/>
      <c r="E16" s="3121"/>
      <c r="F16" s="3121"/>
      <c r="G16" s="3121"/>
      <c r="H16" s="3121"/>
      <c r="I16" s="3121"/>
      <c r="J16" s="3121"/>
      <c r="K16" s="3121"/>
      <c r="L16" s="3121"/>
      <c r="M16" s="3121"/>
      <c r="N16" s="3121"/>
      <c r="O16" s="3121"/>
      <c r="P16" s="3183"/>
    </row>
    <row r="17" spans="1:35" x14ac:dyDescent="0.2">
      <c r="A17" s="3121"/>
      <c r="B17" s="3391" t="s">
        <v>9278</v>
      </c>
      <c r="C17" s="3121"/>
      <c r="D17" s="3121"/>
      <c r="E17" s="3121"/>
      <c r="F17" s="3121"/>
      <c r="G17" s="3121"/>
      <c r="H17" s="3392"/>
      <c r="I17" s="3384" t="str">
        <f>IF(U1=0,"",IF(AND($U$1=0,H17&lt;&gt;""),$V$63,IF(H17="",re,"")))</f>
        <v/>
      </c>
      <c r="J17" s="3384"/>
      <c r="K17" s="3392"/>
      <c r="L17" s="3384" t="str">
        <f>IF(U2=0,"",IF(AND($U$2=0,K17&lt;&gt;""),$V$63,IF(K17="",re,"")))</f>
        <v/>
      </c>
      <c r="M17" s="3384"/>
      <c r="N17" s="3392"/>
      <c r="O17" s="3384" t="str">
        <f>IF(U3=0,"",IF(AND($U$3=0,N17&lt;&gt;""),$V$63,IF(N17="",re,"")))</f>
        <v/>
      </c>
      <c r="P17" s="3183"/>
      <c r="Q17" s="3184">
        <f>IF(OR(I17&lt;&gt;"",L17&lt;&gt;"",O17&lt;&gt;""),1,0)</f>
      </c>
      <c r="U17" s="1873" t="str">
        <f>IF(H17=Z2,1,IF(H17=Z3,2,IF(H17=Z4,3,"")))</f>
        <v/>
      </c>
      <c r="W17" s="1873" t="str">
        <f>IF(K17=$Z$2,1,IF(K17=$Z$3,2,IF(K17=$Z$4,3,"")))</f>
        <v/>
      </c>
      <c r="Y17" s="1873" t="str">
        <f>IF(N17=$Z$2,1,IF(N17=$Z$3,2,IF(N17=$Z$4,3,"")))</f>
        <v/>
      </c>
    </row>
    <row r="18" spans="1:35" ht="7.35" customHeight="1" x14ac:dyDescent="0.2">
      <c r="A18" s="3121"/>
      <c r="B18" s="3121"/>
      <c r="C18" s="3121"/>
      <c r="D18" s="3121"/>
      <c r="E18" s="3121"/>
      <c r="F18" s="3121"/>
      <c r="G18" s="3121"/>
      <c r="H18" s="3396"/>
      <c r="I18" s="3384"/>
      <c r="J18" s="3384"/>
      <c r="K18" s="3396"/>
      <c r="L18" s="3384"/>
      <c r="M18" s="3384"/>
      <c r="N18" s="3396"/>
      <c r="O18" s="3384"/>
      <c r="P18" s="3183"/>
    </row>
    <row r="19" spans="1:35" x14ac:dyDescent="0.2">
      <c r="A19" s="3121"/>
      <c r="B19" s="3121" t="s">
        <v>9279</v>
      </c>
      <c r="C19" s="3121"/>
      <c r="D19" s="3121"/>
      <c r="E19" s="3121"/>
      <c r="F19" s="3121"/>
      <c r="G19" s="3121"/>
      <c r="H19" s="3397"/>
      <c r="I19" s="3384" t="str">
        <f>IF(U1=0,"",IF(AND($U$1=0,H19&lt;&gt;""),$V$63,IF(H19="",re,IF(AND(H20&gt;0,H19&gt;H20),"Excessive!!",""))))</f>
        <v/>
      </c>
      <c r="J19" s="3384"/>
      <c r="K19" s="3397"/>
      <c r="L19" s="3384" t="str">
        <f>IF(U2=0,"",IF(AND($U$2=0,K19&lt;&gt;""),$V$63,IF(K19="",re,IF(AND(K20&gt;0,K19&gt;K20),"Excessive!!",""))))</f>
        <v/>
      </c>
      <c r="M19" s="3384"/>
      <c r="N19" s="3397"/>
      <c r="O19" s="3384" t="str">
        <f>IF(U3=0,"",IF(AND($U$3=0,N19&lt;&gt;""),$V$63,IF(N19="",re,IF(AND(N20&gt;0,N19&gt;N20),"Excessive!!",""))))</f>
        <v/>
      </c>
      <c r="P19" s="3183"/>
      <c r="Q19" s="3184">
        <f>IF(OR(I19&lt;&gt;"",L19&lt;&gt;"",O19&lt;&gt;""),1,0)</f>
      </c>
    </row>
    <row r="20" spans="1:35" x14ac:dyDescent="0.2">
      <c r="A20" s="3121"/>
      <c r="B20" s="3121" t="s">
        <v>9280</v>
      </c>
      <c r="C20" s="3121"/>
      <c r="D20" s="3121"/>
      <c r="E20" s="3121"/>
      <c r="F20" s="3121"/>
      <c r="G20" s="3121"/>
      <c r="H20" s="3397"/>
      <c r="I20" s="3384" t="str">
        <f>IF(U1=0,"",IF(AND($U$1=0,H20&lt;&gt;""),$V$63,IF(H20="",re,IF(H20&lt;H19,"Check!",""))))</f>
        <v/>
      </c>
      <c r="J20" s="3384"/>
      <c r="K20" s="3397"/>
      <c r="L20" s="3384" t="str">
        <f>IF(U2=0,"",IF(AND($U$2=0,K20&lt;&gt;""),$V$63,IF(K20="",re,IF(K20&lt;K19,"Check!",""))))</f>
        <v/>
      </c>
      <c r="M20" s="3384"/>
      <c r="N20" s="3397"/>
      <c r="O20" s="3384" t="str">
        <f>IF(U3=0,"",IF(AND($U$3=0,N20&lt;&gt;""),$V$63,IF(N20="",re,IF(N20&lt;N19,"Check!",""))))</f>
        <v/>
      </c>
      <c r="P20" s="3183"/>
      <c r="Q20" s="3184">
        <f>IF(OR(I20&lt;&gt;"",L20&lt;&gt;"",O20&lt;&gt;""),1,0)</f>
      </c>
      <c r="AE20" s="1485" t="s">
        <v>9281</v>
      </c>
      <c r="AF20" s="1485" t="s">
        <v>9282</v>
      </c>
    </row>
    <row r="21" spans="1:35" ht="5.0999999999999996" customHeight="1" x14ac:dyDescent="0.2">
      <c r="A21" s="3121"/>
      <c r="B21" s="3121"/>
      <c r="C21" s="3121"/>
      <c r="D21" s="3121"/>
      <c r="E21" s="3121"/>
      <c r="F21" s="3121"/>
      <c r="G21" s="3121"/>
      <c r="H21" s="3124"/>
      <c r="I21" s="3390"/>
      <c r="J21" s="3390"/>
      <c r="K21" s="3124"/>
      <c r="L21" s="3390"/>
      <c r="M21" s="3390"/>
      <c r="N21" s="3124"/>
      <c r="O21" s="3390"/>
      <c r="P21" s="3183"/>
      <c r="V21" s="1485">
        <f>IF(OR(H15="",H15="No"),1,0)</f>
      </c>
    </row>
    <row r="22" spans="1:35" x14ac:dyDescent="0.2">
      <c r="A22" s="3121"/>
      <c r="B22" s="3121" t="s">
        <v>9357</v>
      </c>
      <c r="C22" s="3121"/>
      <c r="D22" s="3121"/>
      <c r="E22" s="3121"/>
      <c r="F22" s="3121"/>
      <c r="G22" s="3121"/>
      <c r="H22" s="3398"/>
      <c r="I22" s="3384" t="str">
        <f>IF(U1=0,"",IF(AND($U$1=0,H22&lt;&gt;""),$V$63,IF(H22="",re,"")))</f>
        <v/>
      </c>
      <c r="J22" s="3384"/>
      <c r="K22" s="3397"/>
      <c r="L22" s="3384" t="str">
        <f>IF(U2=0,"",IF(AND($U$2=0,K22&lt;&gt;""),$V$63,IF(K22="",re,"")))</f>
        <v/>
      </c>
      <c r="M22" s="3384"/>
      <c r="N22" s="3397"/>
      <c r="O22" s="3384" t="str">
        <f>IF(U3=0,"",IF(AND($U$3=0,N22&lt;&gt;""),$V$63,IF(N22="",re,"")))</f>
        <v/>
      </c>
      <c r="P22" s="3183"/>
      <c r="Q22" s="3184">
        <f>IF(OR(I22&lt;&gt;"",L22&lt;&gt;"",O22&lt;&gt;""),1,0)</f>
      </c>
      <c r="AE22" s="1485" t="s">
        <v>9860</v>
      </c>
    </row>
    <row r="23" spans="1:35" ht="4.3499999999999996" customHeight="1" x14ac:dyDescent="0.2">
      <c r="A23" s="3121"/>
      <c r="B23" s="3121"/>
      <c r="C23" s="3121"/>
      <c r="D23" s="3121"/>
      <c r="E23" s="3121"/>
      <c r="F23" s="3121"/>
      <c r="G23" s="3121"/>
      <c r="H23" s="3124"/>
      <c r="I23" s="3384"/>
      <c r="J23" s="3384"/>
      <c r="K23" s="3124"/>
      <c r="L23" s="3384"/>
      <c r="M23" s="3384"/>
      <c r="N23" s="3124"/>
      <c r="O23" s="3384"/>
      <c r="P23" s="3183"/>
      <c r="AE23" s="1485" t="s">
        <v>9863</v>
      </c>
    </row>
    <row r="24" spans="1:35" x14ac:dyDescent="0.2">
      <c r="A24" s="3121"/>
      <c r="B24" s="3399" t="s">
        <v>9283</v>
      </c>
      <c r="C24" s="3121"/>
      <c r="D24" s="3121"/>
      <c r="E24" s="3121"/>
      <c r="F24" s="3121"/>
      <c r="G24" s="3238"/>
      <c r="H24" s="3397"/>
      <c r="I24" s="3400" t="str">
        <f>IF(U1=0,"",IF(AND(ya=2020,H24&lt;0),"N/A in YA2020",IF(AND(H24="",ya&gt;2020),reo,IF(AND(H63&lt;&gt;AE64,H24&lt;0,H63&lt;&gt;""),"Check H63!",""))))</f>
        <v/>
      </c>
      <c r="J24" s="3400"/>
      <c r="K24" s="3397"/>
      <c r="L24" s="3400" t="str">
        <f>IF(U2=0,"",IF(AND(ya=2020,K24&lt;0),"N/A in YA2020",IF(AND(K24="",ya&gt;2020),reo,IF(AND(K63&lt;&gt;AE64,K24&lt;0,K63&lt;&gt;""),"Check H63!",""))))</f>
        <v/>
      </c>
      <c r="M24" s="3400"/>
      <c r="N24" s="3397"/>
      <c r="O24" s="3400" t="str">
        <f>IF(U3=0,"",IF(AND(ya=2020,N24&lt;0),"N/A in YA2020",IF(AND(N24="",ya&gt;2020),reo,IF(AND(N63&lt;&gt;AE64,N24&lt;0,N63&lt;&gt;""),"Check H63!",""))))</f>
        <v/>
      </c>
      <c r="P24" s="3183"/>
      <c r="Q24" s="3184">
        <f>IF(OR(I24&lt;&gt;"",L24&lt;&gt;"",O24&lt;&gt;""),1,0)</f>
      </c>
      <c r="AE24" s="1485" t="s">
        <v>9284</v>
      </c>
    </row>
    <row r="25" spans="1:35" ht="4.9000000000000004" customHeight="1" x14ac:dyDescent="0.2">
      <c r="A25" s="3121"/>
      <c r="B25" s="3121"/>
      <c r="C25" s="3121"/>
      <c r="D25" s="3121"/>
      <c r="E25" s="3121"/>
      <c r="F25" s="3121"/>
      <c r="G25" s="3121"/>
      <c r="H25" s="3124"/>
      <c r="I25" s="3384"/>
      <c r="J25" s="3384"/>
      <c r="K25" s="3124"/>
      <c r="L25" s="3384"/>
      <c r="M25" s="3384"/>
      <c r="N25" s="3124"/>
      <c r="O25" s="3384"/>
      <c r="P25" s="3183"/>
      <c r="AE25" s="1485" t="s">
        <v>9862</v>
      </c>
    </row>
    <row r="26" spans="1:35" x14ac:dyDescent="0.2">
      <c r="A26" s="3121"/>
      <c r="B26" s="3121" t="s">
        <v>9285</v>
      </c>
      <c r="C26" s="3121"/>
      <c r="D26" s="3121"/>
      <c r="E26" s="3121"/>
      <c r="F26" s="3121"/>
      <c r="G26" s="3121"/>
      <c r="H26" s="3124"/>
      <c r="I26" s="3390"/>
      <c r="J26" s="3390"/>
      <c r="K26" s="3124"/>
      <c r="L26" s="3390"/>
      <c r="M26" s="3390"/>
      <c r="N26" s="3124"/>
      <c r="O26" s="3390"/>
      <c r="P26" s="3183"/>
      <c r="AE26" s="2313" t="s">
        <v>9861</v>
      </c>
    </row>
    <row r="27" spans="1:35" x14ac:dyDescent="0.2">
      <c r="A27" s="3121"/>
      <c r="B27" s="3121" t="s">
        <v>9287</v>
      </c>
      <c r="C27" s="3121"/>
      <c r="D27" s="3121"/>
      <c r="E27" s="3121"/>
      <c r="F27" s="3121"/>
      <c r="G27" s="3121"/>
      <c r="H27" s="3401">
        <f>IF(ya=2020,H22,H22+H24)</f>
      </c>
      <c r="I27" s="3384"/>
      <c r="J27" s="3384"/>
      <c r="K27" s="3401">
        <f>IF(ya=2020,K22,K22+K24)</f>
      </c>
      <c r="L27" s="3384"/>
      <c r="M27" s="3384"/>
      <c r="N27" s="3401">
        <f>IF(ya=2020,N22,N22+N24)</f>
      </c>
      <c r="O27" s="3384"/>
      <c r="P27" s="3183"/>
      <c r="Q27" s="3184">
        <f>IF(OR(I27&lt;&gt;"",L27&lt;&gt;"",O27&lt;&gt;""),1,0)</f>
      </c>
    </row>
    <row r="28" spans="1:35" x14ac:dyDescent="0.2">
      <c r="A28" s="3121"/>
      <c r="B28" s="3121" t="s">
        <v>9288</v>
      </c>
      <c r="C28" s="3121"/>
      <c r="D28" s="3121"/>
      <c r="E28" s="3121"/>
      <c r="F28" s="3121"/>
      <c r="G28" s="3121"/>
      <c r="H28" s="3384"/>
      <c r="I28" s="3384"/>
      <c r="J28" s="3384"/>
      <c r="K28" s="3384"/>
      <c r="L28" s="3384"/>
      <c r="M28" s="3384"/>
      <c r="N28" s="3384"/>
      <c r="O28" s="3384"/>
      <c r="P28" s="3183"/>
      <c r="S28" s="3402" t="s">
        <v>9289</v>
      </c>
      <c r="T28" s="3403" t="s">
        <v>9289</v>
      </c>
      <c r="U28" s="3404" t="s">
        <v>9289</v>
      </c>
    </row>
    <row r="29" spans="1:35" x14ac:dyDescent="0.2">
      <c r="A29" s="3121"/>
      <c r="B29" s="3121" t="s">
        <v>9290</v>
      </c>
      <c r="C29" s="3121"/>
      <c r="D29" s="3121"/>
      <c r="E29" s="3121"/>
      <c r="F29" s="3121"/>
      <c r="G29" s="3121"/>
      <c r="H29" s="3383"/>
      <c r="I29" s="3384" t="str">
        <f>IF(U1=0,"",IF(AND($U$1=0,H29&lt;&gt;""),$V$63,IF(AND(U1&gt;0,H29=""),re,IF(H29="no",nob,""))))</f>
        <v/>
      </c>
      <c r="J29" s="3384"/>
      <c r="K29" s="3383"/>
      <c r="L29" s="3384" t="str">
        <f>IF(U2=0,"",IF(AND($U$2=0,K29&lt;&gt;""),$V$63,IF(AND(U2&gt;0,K29=""),re,IF(K29="no",nob,""))))</f>
        <v/>
      </c>
      <c r="M29" s="3384"/>
      <c r="N29" s="3383"/>
      <c r="O29" s="3384" t="str">
        <f>IF(U3=0,"",IF(AND($U$3=0,N29&lt;&gt;""),$V$63,IF(AND(U3&gt;0,N29=""),re,IF(N29="no",nob,""))))</f>
        <v/>
      </c>
      <c r="P29" s="3183"/>
      <c r="Q29" s="3184">
        <f>IF(OR(I29&lt;&gt;"",L29&lt;&gt;"",O29&lt;&gt;""),1,0)</f>
      </c>
      <c r="S29" s="3405" t="s">
        <v>9291</v>
      </c>
      <c r="T29" s="1485" t="s">
        <v>9291</v>
      </c>
      <c r="U29" s="3406" t="s">
        <v>9291</v>
      </c>
    </row>
    <row r="30" spans="1:35" x14ac:dyDescent="0.2">
      <c r="A30" s="3121"/>
      <c r="B30" s="3407" t="s">
        <v>9292</v>
      </c>
      <c r="C30" s="3121"/>
      <c r="D30" s="3121"/>
      <c r="E30" s="3121"/>
      <c r="F30" s="3121"/>
      <c r="G30" s="3121"/>
      <c r="H30" s="3408" t="str">
        <f>IF(AND(H27&lt;0,U17=2),"No further details required",IF(H27&lt;0,"Proceed to cell H63",""))</f>
        <v/>
      </c>
      <c r="I30" s="3384"/>
      <c r="J30" s="3384"/>
      <c r="K30" s="3408" t="str">
        <f>IF(AND(K27&lt;0,W17=2),"No further details required",IF(K27&lt;0,"Proceed to cell H63",""))</f>
        <v/>
      </c>
      <c r="L30" s="3384"/>
      <c r="M30" s="3384"/>
      <c r="N30" s="3408" t="str">
        <f>IF(AND(N27&lt;0,Y17=2),"No further details required",IF(N27&lt;0,"Proceed to cell H63",""))</f>
        <v/>
      </c>
      <c r="O30" s="3384"/>
      <c r="P30" s="3183"/>
      <c r="S30" s="3405" t="s">
        <v>9293</v>
      </c>
      <c r="T30" s="1485" t="s">
        <v>9294</v>
      </c>
      <c r="U30" s="3406" t="s">
        <v>9295</v>
      </c>
      <c r="AF30" s="5357" t="s">
        <v>9286</v>
      </c>
      <c r="AG30" s="5357"/>
      <c r="AH30" s="5357"/>
      <c r="AI30" s="5357"/>
    </row>
    <row r="31" spans="1:35" ht="5.0999999999999996" customHeight="1" x14ac:dyDescent="0.2">
      <c r="A31" s="3121"/>
      <c r="B31" s="3121"/>
      <c r="C31" s="3121"/>
      <c r="D31" s="3121"/>
      <c r="E31" s="3121"/>
      <c r="F31" s="3121"/>
      <c r="G31" s="3121"/>
      <c r="H31" s="3124"/>
      <c r="I31" s="3384"/>
      <c r="J31" s="3384"/>
      <c r="K31" s="3124"/>
      <c r="L31" s="3384"/>
      <c r="M31" s="3384"/>
      <c r="N31" s="3124"/>
      <c r="O31" s="3384"/>
      <c r="P31" s="3183"/>
      <c r="S31" s="3405"/>
      <c r="U31" s="3406"/>
    </row>
    <row r="32" spans="1:35" x14ac:dyDescent="0.2">
      <c r="A32" s="3121"/>
      <c r="B32" s="3121" t="s">
        <v>9296</v>
      </c>
      <c r="C32" s="3121"/>
      <c r="D32" s="3121"/>
      <c r="E32" s="3121"/>
      <c r="F32" s="3121"/>
      <c r="G32" s="3121"/>
      <c r="H32" s="3397"/>
      <c r="I32" s="3384" t="str">
        <f>IF(AND(U17=2,$H$27&lt;0,ISBLANK(H32)=FALSE),V63,IF(AND(U17&lt;&gt;2,$H$27&lt;0,ISBLANK(H32)=FALSE),V63,IF(AND($U$1&lt;&gt;0,H27&gt;0,H32=""),re,"")))</f>
        <v/>
      </c>
      <c r="J32" s="3384"/>
      <c r="K32" s="3397"/>
      <c r="L32" s="3384" t="str">
        <f>IF(AND(W17=2,$K$27&lt;0,ISBLANK(K32)=FALSE),V63,IF(AND(W17&lt;&gt;2,$K$27&lt;0,ISBLANK(K32)=FALSE),V63,IF(AND($U$2&lt;&gt;0,K27&gt;0,K32=""),re,"")))</f>
        <v/>
      </c>
      <c r="M32" s="3384"/>
      <c r="N32" s="3397"/>
      <c r="O32" s="3384" t="str">
        <f>IF(AND(Y17=2,$N$27&lt;0,ISBLANK(N32)=FALSE),V63,IF(AND(Y17&lt;&gt;2,$N$27&lt;0,ISBLANK(N32)=FALSE),V63,IF(AND($U$3&lt;&gt;0,N27&gt;0,N32=""),re,"")))</f>
        <v/>
      </c>
      <c r="P32" s="3183"/>
      <c r="Q32" s="3184">
        <f>IF(OR(I32&lt;&gt;"",L32&lt;&gt;"",O32&lt;&gt;""),1,0)</f>
      </c>
      <c r="S32" s="3409">
        <f>IF(AND(H22&lt;0,U17=2),1,0)</f>
      </c>
      <c r="T32" s="3410">
        <f>IF(AND(K22&lt;0,W17=2),1,0)</f>
      </c>
      <c r="U32" s="1884">
        <f>IF(AND(N22&lt;0,Y17=2),1,0)</f>
      </c>
      <c r="V32" s="2313">
        <f>H27</f>
      </c>
      <c r="X32" s="2313">
        <f>K27</f>
      </c>
      <c r="Z32" s="2313">
        <f>N27</f>
      </c>
    </row>
    <row r="33" spans="1:26" x14ac:dyDescent="0.2">
      <c r="A33" s="3121"/>
      <c r="B33" s="3121" t="s">
        <v>9297</v>
      </c>
      <c r="C33" s="3121"/>
      <c r="D33" s="3121"/>
      <c r="E33" s="3121"/>
      <c r="F33" s="3121"/>
      <c r="G33" s="3121"/>
      <c r="H33" s="3397"/>
      <c r="I33" s="3384" t="str">
        <f>IF(AND($U$17=2,$H$27&lt;0,ISBLANK(H33)=FALSE),$V$63,IF(AND($U$17&lt;&gt;2,$H$27&lt;0,ISBLANK(H33)=FALSE),$V$63,IF(AND($U$1&lt;&gt;0,H27&gt;0,H33=""),re,"")))</f>
        <v/>
      </c>
      <c r="J33" s="3384"/>
      <c r="K33" s="3397"/>
      <c r="L33" s="3384" t="str">
        <f>IF(AND(W17=2,$K$27&lt;0,ISBLANK(K33)=FALSE),V63,IF(AND(W17&lt;&gt;2,$K$27&lt;0,ISBLANK(K33)=FALSE),V63,IF(AND($U$2&lt;&gt;0,K27&gt;0,K33=""),re,"")))</f>
        <v/>
      </c>
      <c r="M33" s="3384"/>
      <c r="N33" s="3397"/>
      <c r="O33" s="3384" t="str">
        <f>IF(AND(Y17=2,$N$27&lt;0,ISBLANK(N33)=FALSE),V63,IF(AND(Y17&lt;&gt;2,$N$27&lt;0,ISBLANK(N33)=FALSE),V63,IF(AND($U$3&lt;&gt;0,N27&gt;0,N33=""),re,"")))</f>
        <v/>
      </c>
      <c r="P33" s="3183"/>
      <c r="Q33" s="3184">
        <f>IF(OR(I33&lt;&gt;"",L33&lt;&gt;"",O33&lt;&gt;""),1,0)</f>
      </c>
      <c r="W33" s="1485">
        <f>IF(H30="Yes",0,1)</f>
      </c>
    </row>
    <row r="34" spans="1:26" x14ac:dyDescent="0.2">
      <c r="A34" s="3121"/>
      <c r="B34" s="3121" t="s">
        <v>9298</v>
      </c>
      <c r="C34" s="3121"/>
      <c r="D34" s="3121"/>
      <c r="E34" s="3121"/>
      <c r="F34" s="3121"/>
      <c r="G34" s="3121"/>
      <c r="H34" s="3124"/>
      <c r="I34" s="3125"/>
      <c r="J34" s="3125"/>
      <c r="K34" s="3124"/>
      <c r="L34" s="3125"/>
      <c r="M34" s="3125"/>
      <c r="N34" s="3124"/>
      <c r="O34" s="3125"/>
      <c r="P34" s="3183"/>
      <c r="S34" s="3402" t="s">
        <v>9299</v>
      </c>
      <c r="T34" s="3403" t="s">
        <v>9299</v>
      </c>
      <c r="U34" s="3404" t="s">
        <v>9299</v>
      </c>
    </row>
    <row r="35" spans="1:26" x14ac:dyDescent="0.2">
      <c r="A35" s="3121"/>
      <c r="B35" s="3411" t="s">
        <v>9300</v>
      </c>
      <c r="C35" s="3121" t="s">
        <v>9301</v>
      </c>
      <c r="D35" s="3121"/>
      <c r="E35" s="3121"/>
      <c r="F35" s="3121"/>
      <c r="G35" s="3121"/>
      <c r="H35" s="3397"/>
      <c r="I35" s="3384" t="str">
        <f>IF(AND($U$17=2,$H$27&lt;0,ISBLANK(H35)=FALSE),$V$63,IF(AND($U$17&lt;&gt;2,$H$27&lt;0,ISBLANK(H35)=FALSE),$V$63,IF(AND($U$1&lt;&gt;0,H27&gt;0,H35=""),re,"")))</f>
        <v/>
      </c>
      <c r="J35" s="3384"/>
      <c r="K35" s="3397"/>
      <c r="L35" s="3384" t="str">
        <f>IF(AND($W$17=2,$K$27&lt;0,ISBLANK(K35)=FALSE),$V$63,IF(AND($W$17&lt;&gt;2,$K$27&lt;0,ISBLANK(K35)=FALSE),$V$63,IF(AND($U$2&lt;&gt;0,K27&gt;0,K35=""),re,"")))</f>
        <v/>
      </c>
      <c r="M35" s="3384"/>
      <c r="N35" s="3397"/>
      <c r="O35" s="3384" t="str">
        <f>IF(AND($Y$17=2,$N$27&lt;0,ISBLANK(N35)=FALSE),$V$63,IF(AND($Y$17&lt;&gt;2,$N$27&lt;0,ISBLANK(N35)=FALSE),$V$63,IF(AND($U$3&lt;&gt;0,N27&gt;0,N35=""),re,"")))</f>
        <v/>
      </c>
      <c r="P35" s="3183"/>
      <c r="Q35" s="3184">
        <f>IF(OR(I35&lt;&gt;"",L35&lt;&gt;"",O35&lt;&gt;""),1,0)</f>
      </c>
      <c r="S35" s="3405" t="s">
        <v>9291</v>
      </c>
      <c r="T35" s="1485" t="s">
        <v>9291</v>
      </c>
      <c r="U35" s="3406" t="s">
        <v>9291</v>
      </c>
    </row>
    <row r="36" spans="1:26" x14ac:dyDescent="0.2">
      <c r="A36" s="3121"/>
      <c r="B36" s="3411" t="s">
        <v>9302</v>
      </c>
      <c r="C36" s="3121" t="s">
        <v>9303</v>
      </c>
      <c r="D36" s="3121"/>
      <c r="E36" s="3121"/>
      <c r="F36" s="3121"/>
      <c r="G36" s="3412">
        <f>ROUND((H32+H33)*0.3,0)</f>
      </c>
      <c r="H36" s="3397"/>
      <c r="I36" s="3413" t="str">
        <f>IF(AND(U17=2,$H$27&lt;0,ISBLANK(H36)=FALSE),V63,IF(AND(U17&lt;&gt;2,$H$27&lt;0,ISBLANK(H36)=FALSE),V63,IF(H27&lt;0,"",IF(AND($U$1&lt;&gt;0,H27&gt;0,H36=""),re,IF(OR(H36&lt;G36-1,H36&gt;G36+1),"Check!","")))))</f>
        <v/>
      </c>
      <c r="J36" s="3412">
        <f>ROUND((K32+K33)*0.3,0)</f>
      </c>
      <c r="K36" s="3397"/>
      <c r="L36" s="3384" t="str">
        <f>IF(AND(X17=2,$K$27&lt;0,ISBLANK(K36)=FALSE),V63,IF(AND(X17&lt;&gt;2,$K$27&lt;0,ISBLANK(K36)=FALSE),V63,IF(K27&lt;0,"",IF(AND($U$2&lt;&gt;0,K27&gt;0,K36=""),re,IF(OR(K36&lt;J36-1,K36&gt;J36+1),"Check!","")))))</f>
        <v/>
      </c>
      <c r="M36" s="3412">
        <f>ROUND((N32+N33)*0.3,0)</f>
      </c>
      <c r="N36" s="3397"/>
      <c r="O36" s="3384" t="str">
        <f>IF(AND(Y17=2,$N$27&lt;0,ISBLANK(N36)=FALSE),V63,IF(AND(Y17&lt;&gt;2,$N$27&lt;0,ISBLANK(N36)=FALSE),V63,IF(N27&lt;0,"",IF(AND($U$3&lt;&gt;0,N27&gt;0,N36=""),re,IF(OR(N36&lt;M36-1,N36&gt;M36+1),"Check!","")))))</f>
        <v/>
      </c>
      <c r="P36" s="3183"/>
      <c r="Q36" s="3184">
        <f>IF(OR(I36&lt;&gt;"",L36&lt;&gt;"",O36&lt;&gt;""),1,0)</f>
      </c>
      <c r="S36" s="3409">
        <f>IF(AND(H27&lt;0,U17&lt;&gt;2),1,0)</f>
      </c>
      <c r="T36" s="3410">
        <f>IF(AND(K27&lt;0,W17&lt;&gt;2),1,0)</f>
      </c>
      <c r="U36" s="1884">
        <f>IF(AND(N27&lt;0,Y17&lt;&gt;2),1,0)</f>
      </c>
    </row>
    <row r="37" spans="1:26" x14ac:dyDescent="0.2">
      <c r="A37" s="3121"/>
      <c r="B37" s="3407" t="s">
        <v>9304</v>
      </c>
      <c r="C37" s="3121"/>
      <c r="D37" s="3121"/>
      <c r="E37" s="3121"/>
      <c r="F37" s="3121"/>
      <c r="G37" s="3121"/>
      <c r="H37" s="3401">
        <f>IF(H27&lt;0,0,IF(G36&gt;H35,H35,G36))</f>
      </c>
      <c r="I37" s="3414"/>
      <c r="J37" s="3414"/>
      <c r="K37" s="3401">
        <f>IF(K27&lt;0,0,IF(J36&gt;K35,K35,J36))</f>
      </c>
      <c r="L37" s="3414"/>
      <c r="M37" s="3414"/>
      <c r="N37" s="3401">
        <f>IF(N27&lt;0,0,IF(M36&gt;N35,N35,M36))</f>
      </c>
      <c r="O37" s="3414"/>
      <c r="P37" s="3183"/>
    </row>
    <row r="38" spans="1:26" x14ac:dyDescent="0.2">
      <c r="A38" s="3121"/>
      <c r="B38" s="3415" t="s">
        <v>9305</v>
      </c>
      <c r="C38" s="3121"/>
      <c r="D38" s="3121"/>
      <c r="E38" s="3121"/>
      <c r="F38" s="3121"/>
      <c r="G38" s="3416">
        <f>IF(H27&gt;0,H19,0)</f>
      </c>
      <c r="H38" s="3401">
        <f>IF(H27&lt;0,0,SUM(H32:H33,H37))</f>
      </c>
      <c r="I38" s="3384" t="str">
        <f>IF(H27&lt;0,"",IF(G38&lt;&gt;H38,"Check!",""))</f>
        <v/>
      </c>
      <c r="J38" s="3416">
        <f>IF(K27&gt;0,K19,0)</f>
      </c>
      <c r="K38" s="3401">
        <f>IF(K27&lt;0,0,SUM(K32:K33,K37))</f>
      </c>
      <c r="L38" s="3384" t="str">
        <f>IF(K27&lt;0,"",IF(J38&lt;&gt;K38,"Check!",""))</f>
        <v/>
      </c>
      <c r="M38" s="3416">
        <f>IF(N27&gt;0,N19,0)</f>
      </c>
      <c r="N38" s="3401">
        <f>IF(N27&lt;0,0,SUM(N32:N33,N37))</f>
      </c>
      <c r="O38" s="3384" t="str">
        <f>IF(N27&lt;0,"",IF(M38&lt;&gt;N38,"Check!",""))</f>
        <v/>
      </c>
      <c r="P38" s="3183"/>
      <c r="Q38" s="3184">
        <f>IF(OR(I38&lt;&gt;"",L38&lt;&gt;"",O38&lt;&gt;""),1,0)</f>
      </c>
    </row>
    <row r="39" spans="1:26" ht="5.65" customHeight="1" x14ac:dyDescent="0.2">
      <c r="A39" s="3417"/>
      <c r="B39" s="3417"/>
      <c r="C39" s="3417"/>
      <c r="D39" s="3417"/>
      <c r="E39" s="3417"/>
      <c r="F39" s="3417"/>
      <c r="G39" s="3417"/>
      <c r="H39" s="3418"/>
      <c r="I39" s="3419"/>
      <c r="J39" s="3419"/>
      <c r="K39" s="3418"/>
      <c r="L39" s="3419"/>
      <c r="M39" s="3419"/>
      <c r="N39" s="3418"/>
      <c r="O39" s="3419"/>
      <c r="P39" s="3183"/>
    </row>
    <row r="40" spans="1:26" ht="15" x14ac:dyDescent="0.25">
      <c r="A40" s="3121"/>
      <c r="B40" s="3420" t="s">
        <v>9306</v>
      </c>
      <c r="C40" s="3121"/>
      <c r="D40" s="3121"/>
      <c r="E40" s="3121"/>
      <c r="F40" s="3121"/>
      <c r="G40" s="3121"/>
      <c r="H40" s="3124"/>
      <c r="I40" s="3421"/>
      <c r="J40" s="3421"/>
      <c r="K40" s="3124"/>
      <c r="L40" s="3421"/>
      <c r="M40" s="3421"/>
      <c r="N40" s="3124"/>
      <c r="O40" s="3421"/>
      <c r="P40" s="3183"/>
    </row>
    <row r="41" spans="1:26" x14ac:dyDescent="0.2">
      <c r="A41" s="3121"/>
      <c r="B41" s="5358" t="s">
        <v>9307</v>
      </c>
      <c r="C41" s="3422" t="s">
        <v>9308</v>
      </c>
      <c r="D41" s="3423" t="s">
        <v>9309</v>
      </c>
      <c r="E41" s="3121" t="s">
        <v>9310</v>
      </c>
      <c r="F41" s="3121"/>
      <c r="G41" s="3121"/>
      <c r="H41" s="3424">
        <f>H32</f>
      </c>
      <c r="I41" s="3384"/>
      <c r="J41" s="3384"/>
      <c r="K41" s="3424">
        <f>K32</f>
      </c>
      <c r="L41" s="3384"/>
      <c r="M41" s="3384"/>
      <c r="N41" s="3424">
        <f>N32</f>
      </c>
      <c r="O41" s="3384"/>
      <c r="P41" s="3183"/>
    </row>
    <row r="42" spans="1:26" x14ac:dyDescent="0.2">
      <c r="A42" s="3121"/>
      <c r="B42" s="5358"/>
      <c r="C42" s="3423" t="s">
        <v>9311</v>
      </c>
      <c r="D42" s="3121"/>
      <c r="E42" s="3121" t="s">
        <v>9312</v>
      </c>
      <c r="F42" s="3121"/>
      <c r="G42" s="3121"/>
      <c r="H42" s="3424">
        <f>H33</f>
      </c>
      <c r="I42" s="3384"/>
      <c r="J42" s="3384"/>
      <c r="K42" s="3424">
        <f>K33</f>
      </c>
      <c r="L42" s="3384"/>
      <c r="M42" s="3384"/>
      <c r="N42" s="3424">
        <f>N33</f>
      </c>
      <c r="O42" s="3384"/>
      <c r="P42" s="3183"/>
    </row>
    <row r="43" spans="1:26" x14ac:dyDescent="0.2">
      <c r="A43" s="3121"/>
      <c r="B43" s="3425"/>
      <c r="C43" s="3423"/>
      <c r="D43" s="3121"/>
      <c r="E43" s="3121" t="s">
        <v>9313</v>
      </c>
      <c r="F43" s="3121"/>
      <c r="G43" s="3121"/>
      <c r="H43" s="3401">
        <f>H37</f>
      </c>
      <c r="I43" s="3414"/>
      <c r="J43" s="3414"/>
      <c r="K43" s="3401">
        <f>K37</f>
      </c>
      <c r="L43" s="3414"/>
      <c r="M43" s="3414"/>
      <c r="N43" s="3401">
        <f>N37</f>
      </c>
      <c r="O43" s="3414"/>
      <c r="P43" s="3183"/>
    </row>
    <row r="44" spans="1:26" ht="15" x14ac:dyDescent="0.25">
      <c r="A44" s="3121"/>
      <c r="B44" s="3425"/>
      <c r="C44" s="3423"/>
      <c r="D44" s="3121"/>
      <c r="E44" s="3426" t="s">
        <v>9314</v>
      </c>
      <c r="F44" s="3121"/>
      <c r="G44" s="3416">
        <f>IF(H27&gt;0,H19,0)</f>
      </c>
      <c r="H44" s="3401">
        <f>IF(H27&lt;0,0,SUM(H41:H43))</f>
      </c>
      <c r="I44" s="3384" t="str">
        <f>IF(H27&lt;0,"",IF(G44&lt;&gt;H44,"Check!",""))</f>
        <v/>
      </c>
      <c r="J44" s="3416">
        <f>IF(K27&gt;0,K19,0)</f>
      </c>
      <c r="K44" s="3401">
        <f>IF(K27&lt;0,0,SUM(K41:K43))</f>
      </c>
      <c r="L44" s="3384" t="str">
        <f>IF(K27&lt;0,"",IF(J44&lt;&gt;K44,"Check!",""))</f>
        <v/>
      </c>
      <c r="M44" s="3416">
        <f>IF(N27&gt;0,N19,0)</f>
      </c>
      <c r="N44" s="3401">
        <f>IF(N27&lt;0,0,SUM(N41:N43))</f>
      </c>
      <c r="O44" s="3384" t="str">
        <f>IF(N27&lt;0,"",IF(M44&lt;&gt;N44,"Check!",""))</f>
        <v/>
      </c>
      <c r="P44" s="3183"/>
      <c r="Q44" s="3184">
        <f>IF(OR(I44&lt;&gt;"",L44&lt;&gt;"",O44&lt;&gt;""),1,0)</f>
      </c>
    </row>
    <row r="45" spans="1:26" x14ac:dyDescent="0.2">
      <c r="A45" s="3121"/>
      <c r="B45" s="3121"/>
      <c r="C45" s="3121"/>
      <c r="D45" s="3121"/>
      <c r="E45" s="3121" t="s">
        <v>9315</v>
      </c>
      <c r="F45" s="3121"/>
      <c r="G45" s="3121"/>
      <c r="H45" s="3397"/>
      <c r="I45" s="3384" t="str">
        <f>IF(AND(U17=2,$H$27&lt;0,ISBLANK(H45)=FALSE),V63,IF(AND(U17&lt;&gt;2,$H$27&lt;0,ISBLANK(H45)=FALSE),V63,IF(AND($U$1&lt;&gt;0,H27&gt;0,H45=""),re,"")))</f>
        <v/>
      </c>
      <c r="J45" s="3384"/>
      <c r="K45" s="3397"/>
      <c r="L45" s="3384" t="str">
        <f>IF(AND(W17=2,$K$27&lt;0,ISBLANK(K45)=FALSE),$V$63,IF(AND(W17&lt;&gt;2,$K$27&lt;0,ISBLANK(K45)=FALSE),V63,IF(AND($U$2&lt;&gt;0,K27&gt;0,K45=""),re,"")))</f>
        <v/>
      </c>
      <c r="M45" s="3384"/>
      <c r="N45" s="3397"/>
      <c r="O45" s="3384" t="str">
        <f>IF(AND(Y17=2,$N$27&lt;0,ISBLANK(N45)=FALSE),V63,IF(AND(Y17&lt;&gt;2,$N$27&lt;0,ISBLANK(N45)=FALSE),V63,IF(N27&lt;0,"",IF(AND($U$3&lt;&gt;0,N27&gt;0,N45=""),re,""))))</f>
        <v/>
      </c>
      <c r="P45" s="3183"/>
      <c r="Q45" s="3184">
        <f>IF(OR(I45&lt;&gt;"",L45&lt;&gt;"",O45&lt;&gt;""),1,0)</f>
      </c>
    </row>
    <row r="46" spans="1:26" x14ac:dyDescent="0.2">
      <c r="A46" s="3121"/>
      <c r="B46" s="3121"/>
      <c r="C46" s="3121"/>
      <c r="D46" s="3121"/>
      <c r="E46" s="3121" t="s">
        <v>9316</v>
      </c>
      <c r="F46" s="3121"/>
      <c r="G46" s="3121"/>
      <c r="H46" s="3397"/>
      <c r="I46" s="3395" t="str">
        <f>IF(AND(U17=2,$H$27&lt;0,ISBLANK(H46)=FALSE),V63,IF(AND(U17&lt;&gt;2,$H$27&lt;0,ISBLANK(H46)=FALSE),V63,IF(H27&lt;0,"",IF(AND($U$1&lt;&gt;0,H27&gt;0,H46=""),re,""))))</f>
        <v/>
      </c>
      <c r="J46" s="3384"/>
      <c r="K46" s="3397"/>
      <c r="L46" s="3384" t="str">
        <f>IF(AND(W17=2,$K$27&lt;0,ISBLANK(K46)=FALSE),V63,IF(AND(W17&lt;&gt;2,$K$27&lt;0,ISBLANK(K46)=FALSE),V63,IF(AND($U$2&lt;&gt;0,K27&gt;0,K46=""),re,"")))</f>
        <v/>
      </c>
      <c r="M46" s="3384"/>
      <c r="N46" s="3397"/>
      <c r="O46" s="3384" t="str">
        <f>IF(AND(Y17=2,$N$27&lt;0,ISBLANK(N46)=FALSE),V63,IF(AND(Y17&lt;&gt;2,$N$27&lt;0,ISBLANK(N46)=FALSE),V63,IF(AND($U$3&lt;&gt;0,N27&gt;0,N46=""),re,"")))</f>
        <v/>
      </c>
      <c r="P46" s="3183"/>
      <c r="Q46" s="3184">
        <f>IF(OR(I46&lt;&gt;"",L46&lt;&gt;"",O46&lt;&gt;""),1,0)</f>
      </c>
    </row>
    <row r="47" spans="1:26" ht="15" x14ac:dyDescent="0.25">
      <c r="A47" s="3121"/>
      <c r="B47" s="3121"/>
      <c r="C47" s="3121"/>
      <c r="D47" s="3121"/>
      <c r="E47" s="3426" t="s">
        <v>9317</v>
      </c>
      <c r="F47" s="3121"/>
      <c r="G47" s="3416">
        <f>IF(H27&gt;0,H20,0)</f>
      </c>
      <c r="H47" s="3401">
        <f>IF(H27&lt;0,0,SUM(H44,H45:H46))</f>
      </c>
      <c r="I47" s="3384" t="str">
        <f>IF(H27&lt;0,"",IF(G47&lt;&gt;H47,"Check total IP!",""))</f>
        <v/>
      </c>
      <c r="J47" s="3416">
        <f>IF(K27&gt;0,K20,0)</f>
      </c>
      <c r="K47" s="3401">
        <f>IF(K27&lt;0,0,SUM(K44,K45:K46))</f>
      </c>
      <c r="L47" s="3384" t="str">
        <f>IF(K27&lt;0,"",IF(J47&lt;&gt;K47,"Check total IP!",""))</f>
        <v/>
      </c>
      <c r="M47" s="3416">
        <f>IF(N27&gt;0,N20,0)</f>
      </c>
      <c r="N47" s="3401">
        <f>IF(N27&lt;0,0,SUM(N44,N45:N46))</f>
      </c>
      <c r="O47" s="3384" t="str">
        <f>IF(N27&lt;0,"",IF(N47&lt;&gt;M47,"Check total IP!",""))</f>
        <v/>
      </c>
      <c r="P47" s="3183"/>
    </row>
    <row r="48" spans="1:26" x14ac:dyDescent="0.2">
      <c r="A48" s="3121"/>
      <c r="B48" s="3121"/>
      <c r="C48" s="3121"/>
      <c r="D48" s="3121"/>
      <c r="E48" s="3407" t="s">
        <v>9318</v>
      </c>
      <c r="F48" s="3121"/>
      <c r="G48" s="3121"/>
      <c r="H48" s="3427">
        <f>IF(OR(H44=0,H47=0),0,IF(V48&lt;&gt;4,0,ROUND(H44/H47,2)))</f>
      </c>
      <c r="I48" s="3390"/>
      <c r="J48" s="3390"/>
      <c r="K48" s="3427">
        <f>IF(OR(K44=0,K47=0),0,IF(X48&lt;&gt;4,0,ROUND(K44/K47,2)))</f>
      </c>
      <c r="L48" s="3390"/>
      <c r="M48" s="3390"/>
      <c r="N48" s="3427">
        <f>IF(OR(N44=0,N47=0),0,IF(Z48&lt;&gt;4,0,ROUND(N44/N47,2)))</f>
      </c>
      <c r="O48" s="3390"/>
      <c r="P48" s="3183"/>
      <c r="V48" s="1873">
        <f>COUNT(H32:H33,H45,H46)</f>
      </c>
      <c r="X48" s="1873">
        <f>COUNT(K32:K33,K45,K46)</f>
      </c>
      <c r="Z48" s="1873">
        <f>COUNT(N32:N33,N45,N46)</f>
      </c>
    </row>
    <row r="49" spans="1:31" ht="5.0999999999999996" customHeight="1" x14ac:dyDescent="0.2">
      <c r="A49" s="3121"/>
      <c r="B49" s="3121"/>
      <c r="C49" s="3121"/>
      <c r="D49" s="3121"/>
      <c r="E49" s="3121"/>
      <c r="F49" s="3121"/>
      <c r="G49" s="3121"/>
      <c r="H49" s="3124"/>
      <c r="I49" s="3421"/>
      <c r="J49" s="3421"/>
      <c r="K49" s="3124"/>
      <c r="L49" s="3421"/>
      <c r="M49" s="3421"/>
      <c r="N49" s="3124"/>
      <c r="O49" s="3421"/>
      <c r="P49" s="3183"/>
    </row>
    <row r="50" spans="1:31" ht="6.4" customHeight="1" x14ac:dyDescent="0.2">
      <c r="A50" s="3121"/>
      <c r="B50" s="3121"/>
      <c r="C50" s="3121"/>
      <c r="D50" s="3121"/>
      <c r="E50" s="3121"/>
      <c r="F50" s="3121"/>
      <c r="G50" s="3121"/>
      <c r="H50" s="3124"/>
      <c r="I50" s="3125"/>
      <c r="J50" s="3125"/>
      <c r="K50" s="3124"/>
      <c r="L50" s="3125"/>
      <c r="M50" s="3125"/>
      <c r="N50" s="3124"/>
      <c r="O50" s="3125"/>
      <c r="P50" s="3183"/>
    </row>
    <row r="51" spans="1:31" ht="15" x14ac:dyDescent="0.25">
      <c r="A51" s="3121"/>
      <c r="B51" s="3428" t="s">
        <v>9319</v>
      </c>
      <c r="C51" s="3121"/>
      <c r="D51" s="3121"/>
      <c r="E51" s="3121"/>
      <c r="F51" s="3121"/>
      <c r="G51" s="3121"/>
      <c r="H51" s="3124"/>
      <c r="I51" s="3125"/>
      <c r="J51" s="3125"/>
      <c r="K51" s="3124"/>
      <c r="L51" s="3125"/>
      <c r="M51" s="3125"/>
      <c r="N51" s="3124"/>
      <c r="O51" s="3125"/>
      <c r="P51" s="3183"/>
    </row>
    <row r="52" spans="1:31" ht="14.65" customHeight="1" x14ac:dyDescent="0.2">
      <c r="A52" s="3121"/>
      <c r="B52" s="5359" t="s">
        <v>9320</v>
      </c>
      <c r="C52" s="5360" t="s">
        <v>9321</v>
      </c>
      <c r="D52" s="5360"/>
      <c r="E52" s="5361" t="s">
        <v>9322</v>
      </c>
      <c r="F52" s="5361"/>
      <c r="G52" s="5361"/>
      <c r="H52" s="3429"/>
      <c r="I52" s="3430"/>
      <c r="J52" s="3430"/>
      <c r="K52" s="3429"/>
      <c r="L52" s="3430"/>
      <c r="M52" s="3430"/>
      <c r="N52" s="3429"/>
      <c r="O52" s="3430"/>
      <c r="P52" s="3183"/>
    </row>
    <row r="53" spans="1:31" x14ac:dyDescent="0.2">
      <c r="A53" s="3121"/>
      <c r="B53" s="5359"/>
      <c r="C53" s="5362" t="s">
        <v>9323</v>
      </c>
      <c r="D53" s="5362"/>
      <c r="E53" s="5361"/>
      <c r="F53" s="5361"/>
      <c r="G53" s="5361"/>
      <c r="H53" s="3397"/>
      <c r="I53" s="3375" t="str">
        <f>IF(AND($U$1&gt;0,H27&gt;0,H53=""),re,IF(AND(U17=2,$H$27&lt;0,ISBLANK(H53)=FALSE),V63,IF(AND(U1&lt;&gt;0,H27&lt;=0,H53&lt;&gt;""),V63,IF(H54=0,"",IF(AND($U$1&lt;&gt;0,H53=""),re,IF(H53&lt;&gt;H54," Check!",""))))))</f>
        <v/>
      </c>
      <c r="J53" s="3375"/>
      <c r="K53" s="3397"/>
      <c r="L53" s="3375" t="str">
        <f>IF(AND($U$2&gt;0,K27&gt;0,K53=""),re,IF(AND(W17=2,$K$27&lt;0,ISBLANK(K53)=FALSE),V63,IF(AND(U2&lt;&gt;0,K27&lt;=0,K53&lt;&gt;""),V63,IF(K54=0,"",IF(K53&lt;&gt;K54," Check!","")))))</f>
        <v/>
      </c>
      <c r="M53" s="3375"/>
      <c r="N53" s="3397"/>
      <c r="O53" s="3375" t="str">
        <f>IF(AND($U$3&gt;0,N27&gt;0,N53=""),re,IF(AND(Y17=2,$N$27&lt;0,ISBLANK(N53)=FALSE),V63,IF(AND(U3&lt;&gt;0,N27&lt;=0,N53&lt;&gt;""),V63,IF(N54=0,"",IF(N53&lt;&gt;N54," Check!","")))))</f>
        <v/>
      </c>
      <c r="P53" s="3183"/>
      <c r="Q53" s="3184">
        <f>IF(OR(I53&lt;&gt;"",L53&lt;&gt;"",O53&lt;&gt;""),1,0)</f>
      </c>
    </row>
    <row r="54" spans="1:31" x14ac:dyDescent="0.2">
      <c r="A54" s="3121"/>
      <c r="B54" s="3121"/>
      <c r="C54" s="3121"/>
      <c r="D54" s="3121"/>
      <c r="E54" s="3121"/>
      <c r="F54" s="3121"/>
      <c r="G54" s="3121"/>
      <c r="H54" s="3431">
        <f>IF(OR(H20="",H20=0),0,IF(H27&lt;=0,0,ROUND((0.95*(H38/H20)*H27),0)))</f>
      </c>
      <c r="I54" s="3375"/>
      <c r="J54" s="3375"/>
      <c r="K54" s="3431">
        <f>IF(OR(K20="",K20=0),0,IF(K27&lt;=0,0,ROUND((0.95*(K38/K20)*K27),0)))</f>
      </c>
      <c r="L54" s="3375"/>
      <c r="M54" s="3375"/>
      <c r="N54" s="3431">
        <f>IF(OR(N20="",N20=0),0,IF(N27&lt;=0,0,ROUND((0.95*(N38/N20)*N27),0)))</f>
      </c>
      <c r="O54" s="3375"/>
      <c r="P54" s="3183"/>
    </row>
    <row r="55" spans="1:31" hidden="1" x14ac:dyDescent="0.2">
      <c r="A55" s="1485"/>
      <c r="B55" s="1485"/>
      <c r="C55" s="1485"/>
      <c r="D55" s="1485"/>
      <c r="E55" s="1485"/>
      <c r="F55" s="1485"/>
      <c r="G55" s="1485"/>
      <c r="I55" s="3375"/>
      <c r="J55" s="3375"/>
      <c r="L55" s="3375"/>
      <c r="M55" s="3375"/>
      <c r="O55" s="3375"/>
      <c r="P55" s="3183"/>
    </row>
    <row r="56" spans="1:31" hidden="1" x14ac:dyDescent="0.2">
      <c r="A56" s="3121"/>
      <c r="B56" s="3121"/>
      <c r="C56" s="3407"/>
      <c r="D56" s="3121"/>
      <c r="E56" s="3121"/>
      <c r="F56" s="3121"/>
      <c r="G56" s="3238"/>
      <c r="H56" s="3124"/>
      <c r="I56" s="3375"/>
      <c r="J56" s="3375"/>
      <c r="K56" s="3124"/>
      <c r="L56" s="3375"/>
      <c r="M56" s="3375"/>
      <c r="N56" s="3124"/>
      <c r="O56" s="3375"/>
      <c r="P56" s="3183"/>
    </row>
    <row r="57" spans="1:31" x14ac:dyDescent="0.2">
      <c r="A57" s="3121"/>
      <c r="B57" s="3121"/>
      <c r="C57" s="3407" t="s">
        <v>9324</v>
      </c>
      <c r="D57" s="3121"/>
      <c r="E57" s="3121"/>
      <c r="F57" s="3121"/>
      <c r="G57" s="3433"/>
      <c r="H57" s="3401">
        <f>IF(H54=0,0,H53)</f>
      </c>
      <c r="I57" s="3375"/>
      <c r="J57" s="3375"/>
      <c r="K57" s="3401">
        <f>IF(K54=0,0,K53)</f>
      </c>
      <c r="L57" s="3375"/>
      <c r="M57" s="3375"/>
      <c r="N57" s="3401">
        <f>IF(N54=0,0,N53)</f>
      </c>
      <c r="O57" s="3375"/>
      <c r="P57" s="3183"/>
      <c r="S57" s="3434">
        <f>SUM(N57+K57+H57)</f>
      </c>
    </row>
    <row r="58" spans="1:31" x14ac:dyDescent="0.2">
      <c r="A58" s="3121"/>
      <c r="B58" s="3121"/>
      <c r="C58" s="3407"/>
      <c r="D58" s="3121"/>
      <c r="E58" s="3121"/>
      <c r="F58" s="3121"/>
      <c r="G58" s="3238"/>
      <c r="H58" s="3124"/>
      <c r="I58" s="3125"/>
      <c r="J58" s="3125"/>
      <c r="K58" s="3124"/>
      <c r="L58" s="3125"/>
      <c r="M58" s="3125"/>
      <c r="N58" s="3124"/>
      <c r="O58" s="3125"/>
      <c r="P58" s="3183"/>
    </row>
    <row r="59" spans="1:31" hidden="1" x14ac:dyDescent="0.2">
      <c r="A59" s="3121"/>
      <c r="B59" s="3121"/>
      <c r="C59" s="3407"/>
      <c r="D59" s="3121"/>
      <c r="E59" s="3121"/>
      <c r="F59" s="3121"/>
      <c r="G59" s="3238"/>
      <c r="H59" s="3124"/>
      <c r="I59" s="3125"/>
      <c r="J59" s="3125"/>
      <c r="K59" s="3124"/>
      <c r="L59" s="3125"/>
      <c r="M59" s="3125"/>
      <c r="N59" s="3124"/>
      <c r="O59" s="3125"/>
      <c r="P59" s="3183"/>
    </row>
    <row r="60" spans="1:31" hidden="1" x14ac:dyDescent="0.2">
      <c r="A60" s="3121"/>
      <c r="B60" s="3121"/>
      <c r="C60" s="3407"/>
      <c r="D60" s="3121"/>
      <c r="E60" s="3121"/>
      <c r="F60" s="3121"/>
      <c r="G60" s="3238"/>
      <c r="H60" s="3124"/>
      <c r="I60" s="3125"/>
      <c r="J60" s="3125"/>
      <c r="K60" s="3124"/>
      <c r="L60" s="3125"/>
      <c r="M60" s="3125"/>
      <c r="N60" s="3124"/>
      <c r="O60" s="3125"/>
      <c r="P60" s="3183"/>
    </row>
    <row r="61" spans="1:31" hidden="1" x14ac:dyDescent="0.2">
      <c r="A61" s="3121"/>
      <c r="B61" s="3121"/>
      <c r="C61" s="3121"/>
      <c r="D61" s="3121"/>
      <c r="E61" s="3121"/>
      <c r="F61" s="3121"/>
      <c r="G61" s="3121"/>
      <c r="H61" s="3124"/>
      <c r="I61" s="3125"/>
      <c r="J61" s="3125"/>
      <c r="K61" s="3124"/>
      <c r="L61" s="3125"/>
      <c r="M61" s="3125"/>
      <c r="N61" s="3124"/>
      <c r="O61" s="3125"/>
      <c r="P61" s="3183"/>
    </row>
    <row r="62" spans="1:31" ht="15" x14ac:dyDescent="0.25">
      <c r="A62" s="3121"/>
      <c r="B62" s="3428" t="s">
        <v>9325</v>
      </c>
      <c r="C62" s="3121"/>
      <c r="D62" s="3121"/>
      <c r="E62" s="3121"/>
      <c r="F62" s="3121"/>
      <c r="G62" s="3121"/>
      <c r="H62" s="3124"/>
      <c r="I62" s="3125"/>
      <c r="J62" s="3125"/>
      <c r="K62" s="3124"/>
      <c r="L62" s="3125"/>
      <c r="M62" s="3125"/>
      <c r="N62" s="3124"/>
      <c r="O62" s="3125"/>
      <c r="P62" s="3183"/>
    </row>
    <row r="63" spans="1:31" x14ac:dyDescent="0.2">
      <c r="A63" s="3121"/>
      <c r="B63" s="3407" t="str">
        <f>IF(ya=2020,X63,X64)</f>
      </c>
      <c r="C63" s="3407"/>
      <c r="D63" s="3407" t="s">
        <v>9353</v>
      </c>
      <c r="E63" s="3407"/>
      <c r="F63" s="3407"/>
      <c r="G63" s="3435"/>
      <c r="H63" s="3436"/>
      <c r="I63" s="3384" t="str">
        <f>IF(U1=0,"",IF(AND($H$27&gt;0,ISBLANK(H63)=FALSE),V63,IF(AND(V32&gt;=0,H63&lt;&gt;"",ya=2020),V63,IF(AND(ya=2020,V32&gt;=0),"",IF(AND(U17&lt;&gt;2,H27&lt;0,H63=""),re,IF(AND(G67&lt;0,H63=AG65),"Check!",""))))))</f>
        <v/>
      </c>
      <c r="J63" s="3435"/>
      <c r="K63" s="3436"/>
      <c r="L63" s="3384" t="str">
        <f>IF(U2=0,"",IF(AND($K$27&gt;0,ISBLANK(K63)=FALSE),V63,IF(AND(X32&gt;=0,K63&lt;&gt;"",ya=2020),V63,IF(AND(ya=2020,X32&gt;=0),"",IF(AND(W17&lt;&gt;2,K22&lt;0,K63=""),re,IF(AND(J67&lt;0,K63=AG65),"Check!",""))))))</f>
        <v/>
      </c>
      <c r="M63" s="3435"/>
      <c r="N63" s="3436"/>
      <c r="O63" s="3384" t="str">
        <f>IF(U3=0,"",IF(AND($N$27&gt;0,ISBLANK(N63)=FALSE),V63,IF(AND(Z32&gt;=0,N63&lt;&gt;"",ya=2020),V63,IF(AND(ya=2020,Z32&gt;=0),"",IF(AND(Y17&lt;&gt;2,N27&lt;0,N63=""),re,IF(AND(M67&lt;0,N63=AG65),"Check!",""))))))</f>
        <v/>
      </c>
      <c r="P63" s="3183"/>
      <c r="Q63" s="3184">
        <f>IF(OR(I63&lt;&gt;"",L63&lt;&gt;"",O63&lt;&gt;""),1,0)</f>
      </c>
      <c r="V63" s="1485" t="s">
        <v>9326</v>
      </c>
      <c r="X63" s="1485" t="s">
        <v>9327</v>
      </c>
      <c r="AE63" s="3184" t="s">
        <v>9328</v>
      </c>
    </row>
    <row r="64" spans="1:31" x14ac:dyDescent="0.2">
      <c r="A64" s="3121"/>
      <c r="B64" s="3407"/>
      <c r="C64" s="3121"/>
      <c r="D64" s="3121"/>
      <c r="E64" s="3121"/>
      <c r="F64" s="3121"/>
      <c r="G64" s="3121"/>
      <c r="H64" s="3124"/>
      <c r="I64" s="3125"/>
      <c r="J64" s="3125"/>
      <c r="K64" s="3124"/>
      <c r="L64" s="3125"/>
      <c r="M64" s="3125"/>
      <c r="N64" s="3124"/>
      <c r="O64" s="3125"/>
      <c r="P64" s="3183"/>
      <c r="X64" s="1485" t="s">
        <v>9329</v>
      </c>
      <c r="AE64" s="1485" t="s">
        <v>9330</v>
      </c>
    </row>
    <row r="65" spans="1:33" x14ac:dyDescent="0.2">
      <c r="A65" s="3121"/>
      <c r="B65" s="5350" t="str">
        <f>IF(ya=2020,X66,X67)</f>
        <v xml:space="preserve">Is the company satisfying all the conditions attaching to the irrevocable election?   </v>
      </c>
      <c r="C65" s="5350"/>
      <c r="D65" s="5350"/>
      <c r="E65" s="5350"/>
      <c r="F65" s="5350"/>
      <c r="G65" s="5350"/>
      <c r="H65" s="3383"/>
      <c r="I65" s="3384" t="str">
        <f>IF(AND(I63&lt;&gt;"",H65&lt;&gt;""),"Check Option!",IF(AND(H63="",H65&lt;&gt;""),V63,IF(AND(ya=2020,G67&gt;=0),"",IF(AND(ya&gt;2020,H63=AE65),"",IF(AND(U1&gt;0,U17&lt;&gt;2,H27&lt;0,H65=""),re,"")))))</f>
        <v/>
      </c>
      <c r="J65" s="3384"/>
      <c r="K65" s="3383"/>
      <c r="L65" s="3384" t="str">
        <f>IF(AND(L63&lt;&gt;"",K65&lt;&gt;""),"Check Option!",IF(AND(K63="",K65&lt;&gt;""),V63,IF(AND(ya=2020,J67&gt;=0),"",IF(AND(ya&gt;2020,K63=AE65),"",IF(AND(U2&gt;0,K27&lt;0,W17&lt;&gt;2,K65=""),re,"")))))</f>
        <v/>
      </c>
      <c r="M65" s="3384"/>
      <c r="N65" s="3383"/>
      <c r="O65" s="3384" t="str">
        <f>IF(AND(O63&lt;&gt;"",N65&lt;&gt;""),"Check Option!",IF(AND(N63="",N65&lt;&gt;""),V63,IF(AND(ya=2020,M67&gt;=0),"",IF(AND(ya&gt;2020,N63=AE65),"",IF(AND(U2&gt;0,Y17&lt;&gt;2,N27&lt;0,N65=""),re,"")))))</f>
        <v/>
      </c>
      <c r="P65" s="3183"/>
      <c r="Q65" s="3184">
        <f>IF(OR(I65&lt;&gt;"",L65&lt;&gt;"",O65&lt;&gt;""),1,0)</f>
      </c>
      <c r="S65" s="1485" t="s">
        <v>9331</v>
      </c>
      <c r="AE65" s="1485" t="str">
        <f>IF(ya=2020,"",AG65)</f>
      </c>
      <c r="AG65" s="1485" t="s">
        <v>9332</v>
      </c>
    </row>
    <row r="66" spans="1:33" x14ac:dyDescent="0.2">
      <c r="A66" s="3121"/>
      <c r="B66" s="3121"/>
      <c r="C66" s="3121"/>
      <c r="D66" s="3121"/>
      <c r="E66" s="3121"/>
      <c r="F66" s="3121"/>
      <c r="G66" s="3121"/>
      <c r="H66" s="3124"/>
      <c r="I66" s="3125"/>
      <c r="J66" s="3125"/>
      <c r="K66" s="3124"/>
      <c r="L66" s="3125"/>
      <c r="M66" s="3125"/>
      <c r="N66" s="3124"/>
      <c r="O66" s="3125"/>
      <c r="P66" s="3183"/>
      <c r="X66" s="1485" t="s">
        <v>9333</v>
      </c>
      <c r="AE66" s="3175" t="s">
        <v>9334</v>
      </c>
    </row>
    <row r="67" spans="1:33" ht="15" x14ac:dyDescent="0.25">
      <c r="A67" s="3121"/>
      <c r="B67" s="3437" t="s">
        <v>9335</v>
      </c>
      <c r="C67" s="3121"/>
      <c r="D67" s="3121"/>
      <c r="E67" s="3121"/>
      <c r="F67" s="3121"/>
      <c r="G67" s="3438">
        <f>IF(AND(H22&lt;0,U17=2),0,IF(H63="",0,IF(H22&gt;=0,0,IF(H65="No",0,IF(H63=AE63,ROUND(0.05*H22,0),H22)))))</f>
      </c>
      <c r="H67" s="3397"/>
      <c r="I67" s="3439" t="str">
        <f>IF(AND($H$27&lt;0,$U$17=2,ISBLANK(H67)=FALSE),$V$63,IF(AND($H$27&gt;=0,H67&lt;&gt;""),$V$63,IF(AND($U$1&lt;&gt;0,H67="",$U$17&lt;&gt;2,$H$22&lt;0),re,IF($H$67&lt;&gt;$G$67," Check !",""))))</f>
        <v/>
      </c>
      <c r="J67" s="3438">
        <f>IF(AND(K22&lt;0,W17=2),0,IF(K63="",0,IF(K27&gt;=0,0,IF(K65="No",0,IF(K63=AE63,ROUND(0.05*K27,0),K27)))))</f>
      </c>
      <c r="K67" s="3397"/>
      <c r="L67" s="3384" t="str">
        <f>IF(AND($K$27&lt;0,W17=2,ISBLANK(K67)=FALSE),V63,IF(AND(K27&gt;=0,K67&lt;&gt;""),V63,IF(AND($U$2&lt;&gt;0,K67="",W17&lt;&gt;2,K22&lt;0),re,IF(K67&lt;&gt;J67," Check !",""))))</f>
        <v/>
      </c>
      <c r="M67" s="3438">
        <f>IF(AND(N22&lt;0,Y17=2),0,IF(N63="",0,IF(N27&gt;=0,0,IF(N65="No",0,IF(N63=AE63,ROUND(0.05*N27,0),N27)))))</f>
      </c>
      <c r="N67" s="3397"/>
      <c r="O67" s="3384" t="str">
        <f>IF(AND($N$27&lt;0,Y17=2,ISBLANK(N67)=FALSE),V63,IF(AND(N27&gt;=0,N67&lt;&gt;""),V63,IF(AND($U$3&lt;&gt;0,N67="",Y17&lt;&gt;2,N22&lt;0),re,IF(N67&lt;&gt;M67," Check !",""))))</f>
        <v/>
      </c>
      <c r="P67" s="3183"/>
      <c r="Q67" s="3184">
        <f>IF(OR(I67&lt;&gt;"",L67&lt;&gt;"",O67&lt;&gt;""),1,0)</f>
      </c>
      <c r="S67" s="3434">
        <f>SUM(N67+K67+H67)</f>
      </c>
      <c r="X67" s="1485" t="s">
        <v>9336</v>
      </c>
      <c r="AE67" s="3175" t="s">
        <v>9337</v>
      </c>
    </row>
    <row r="68" spans="1:33" x14ac:dyDescent="0.2">
      <c r="A68" s="3121"/>
      <c r="B68" s="3121"/>
      <c r="C68" s="3121"/>
      <c r="D68" s="3121"/>
      <c r="E68" s="3121"/>
      <c r="F68" s="3121"/>
      <c r="G68" s="3414"/>
      <c r="H68" s="3414"/>
      <c r="I68" s="3390"/>
      <c r="J68" s="3390"/>
      <c r="K68" s="3390"/>
      <c r="L68" s="3390"/>
      <c r="M68" s="3390"/>
      <c r="N68" s="3390"/>
      <c r="O68" s="3390"/>
      <c r="P68" s="3183"/>
      <c r="S68" s="5351" t="s">
        <v>9338</v>
      </c>
      <c r="T68" s="5351"/>
      <c r="U68" s="5351"/>
    </row>
    <row r="69" spans="1:33" ht="15" x14ac:dyDescent="0.25">
      <c r="A69" s="3121"/>
      <c r="B69" s="3437" t="s">
        <v>9339</v>
      </c>
      <c r="C69" s="3121"/>
      <c r="D69" s="3121"/>
      <c r="E69" s="3121"/>
      <c r="F69" s="3121"/>
      <c r="G69" s="3440" t="s">
        <v>444</v>
      </c>
      <c r="H69" s="3424" t="str">
        <f>IF(H67="","",IF(AND(H63=$AE$63,H17=$Z$4),95%*H22,0))</f>
        <v/>
      </c>
      <c r="I69" s="3390"/>
      <c r="J69" s="3440" t="s">
        <v>444</v>
      </c>
      <c r="K69" s="3424" t="str">
        <f>IF(K67="","",IF(AND(K63=$AE$63,K17=$Z$4),95%*K22,0))</f>
        <v/>
      </c>
      <c r="L69" s="3390"/>
      <c r="M69" s="3440" t="s">
        <v>444</v>
      </c>
      <c r="N69" s="3424" t="str">
        <f>IF(N67="","",IF(AND(N63=$AE$63,N17=$Z$4),95%*N22,0))</f>
        <v/>
      </c>
      <c r="O69" s="3390"/>
      <c r="P69" s="3183"/>
      <c r="Q69" s="3184">
        <f>IF(OR(I69&lt;&gt;"",L69&lt;&gt;"",O69&lt;&gt;""),1,0)</f>
      </c>
      <c r="S69" s="1873">
        <f>IF(U1=0,0,IF(AND(H63=AE63,H27&lt;0),0,1))</f>
      </c>
      <c r="T69" s="1873">
        <f>IF(U2=0,0,IF(AND(K63=AE63,K27&lt;0),0,1))</f>
      </c>
      <c r="U69" s="1873">
        <f>IF(U3=0,0,IF(AND(AE63=N63,N27&lt;0),0,1))</f>
      </c>
    </row>
    <row r="70" spans="1:33" x14ac:dyDescent="0.2">
      <c r="A70" s="3121"/>
      <c r="B70" s="3121"/>
      <c r="C70" s="3121"/>
      <c r="D70" s="3121"/>
      <c r="E70" s="3121"/>
      <c r="F70" s="3121"/>
      <c r="G70" s="3414"/>
      <c r="H70" s="3441"/>
      <c r="I70" s="3390"/>
      <c r="J70" s="3390"/>
      <c r="K70" s="3441"/>
      <c r="L70" s="3390"/>
      <c r="M70" s="3390"/>
      <c r="N70" s="3441"/>
      <c r="O70" s="3390"/>
      <c r="P70" s="3183"/>
    </row>
    <row r="71" spans="1:33" ht="15" x14ac:dyDescent="0.25">
      <c r="A71" s="3121"/>
      <c r="B71" s="3437" t="s">
        <v>9340</v>
      </c>
      <c r="C71" s="3121"/>
      <c r="D71" s="3121"/>
      <c r="E71" s="3121"/>
      <c r="F71" s="3121"/>
      <c r="G71" s="3438">
        <f>IF(AND(H27&lt;0,S69&gt;0,OR(U17=1,U17=3)),H27,0)</f>
      </c>
      <c r="H71" s="3397"/>
      <c r="I71" s="3439" t="str">
        <f>IF(AND($H$27&lt;0,$U$17=2,ISBLANK(H71)=FALSE),$V$63,IF(AND($H$27&gt;=0,H71&lt;&gt;""),$V$63,IF(AND($U$1&lt;&gt;0,H71="",$U$17&lt;&gt;2,S69&gt;0,$H$22&lt;0),re,IF($H$71&lt;&gt;$G$71," Check !",""))))</f>
        <v/>
      </c>
      <c r="J71" s="3438">
        <f>IF(AND(K27&lt;0,T69&gt;0,OR(W17=1,W17=3)),K27,0)</f>
      </c>
      <c r="K71" s="3397"/>
      <c r="L71" s="3439" t="str">
        <f>IF(AND($K$27&lt;0,$W$17=2,ISBLANK(K71)=FALSE),$V$63,IF(AND($K$27&gt;=0,K71&lt;&gt;""),$V$63,IF(AND($U$2&lt;&gt;0,K71="",$W$17&lt;&gt;2,T69&gt;0,$K$22&lt;0),re,IF(K71&lt;&gt;$J$71," Check !",""))))</f>
        <v/>
      </c>
      <c r="M71" s="3438">
        <f>IF(AND(N27&lt;0,U69&gt;0,OR(Y17=1,Y17=3)),N27,0)</f>
      </c>
      <c r="N71" s="3397"/>
      <c r="O71" s="3439" t="str">
        <f>IF(AND($N$27&lt;0,$Y$17=2,ISBLANK(N71)=FALSE),$V$63,IF(AND($N$27&gt;=0,N71&lt;&gt;""),$V$63,IF(AND($U$3&lt;&gt;0,N71="",$Y$17&lt;&gt;2,U69&gt;0,$N$22&lt;0),re,IF(N71&lt;&gt;$M$71," Check !",""))))</f>
        <v/>
      </c>
      <c r="P71" s="3183"/>
      <c r="Q71" s="3184">
        <f>IF(OR(I71&lt;&gt;"",L71&lt;&gt;"",O71&lt;&gt;""),1,0)</f>
      </c>
    </row>
    <row r="72" spans="1:33" x14ac:dyDescent="0.2">
      <c r="A72" s="3121"/>
      <c r="B72" s="3121"/>
      <c r="C72" s="3121"/>
      <c r="D72" s="3121"/>
      <c r="E72" s="3121"/>
      <c r="F72" s="3121"/>
      <c r="G72" s="3414"/>
      <c r="H72" s="3441"/>
      <c r="I72" s="3390"/>
      <c r="J72" s="3390"/>
      <c r="K72" s="3441"/>
      <c r="L72" s="3390"/>
      <c r="M72" s="3390"/>
      <c r="N72" s="3441"/>
      <c r="O72" s="3390"/>
      <c r="P72" s="3183"/>
      <c r="S72" s="5352" t="s">
        <v>9341</v>
      </c>
      <c r="T72" s="5352"/>
      <c r="U72" s="5352"/>
    </row>
    <row r="73" spans="1:33" x14ac:dyDescent="0.2">
      <c r="A73" s="3121"/>
      <c r="B73" s="3121" t="s">
        <v>9342</v>
      </c>
      <c r="C73" s="3121"/>
      <c r="D73" s="3121"/>
      <c r="E73" s="3121"/>
      <c r="F73" s="3121"/>
      <c r="G73" s="3440"/>
      <c r="H73" s="3442"/>
      <c r="I73" s="3384" t="str">
        <f>IF(AND(OR(AND(U17=2,H27&gt;0),U17=1),H73=""),re,IF(AND(U17=3,H73&lt;&gt;""),$V$63,""))</f>
        <v/>
      </c>
      <c r="J73" s="3440"/>
      <c r="K73" s="3442"/>
      <c r="L73" s="3384" t="str">
        <f>IF(AND(OR(AND(W17=2,K27&gt;0),W17=1),K73=""),re,IF(AND(W17=3,K73&lt;&gt;""),$V$63,""))</f>
        <v/>
      </c>
      <c r="M73" s="3440"/>
      <c r="N73" s="3442"/>
      <c r="O73" s="3384" t="str">
        <f>IF(AND(OR(AND(Y17=2,N27&gt;0),Y17=1),N73=""),re,IF(AND(Y17=3,N73&lt;&gt;""),$V$63,""))</f>
        <v/>
      </c>
      <c r="P73" s="3183"/>
      <c r="Q73" s="3184">
        <f>IF(OR(I73&lt;&gt;"",L73&lt;&gt;"",O73&lt;&gt;""),1,0)</f>
      </c>
      <c r="S73" s="3443">
        <f>IF(AND(H27&lt;0,U17=1),1,0)</f>
      </c>
      <c r="T73" s="3443">
        <f>IF(AND(K27&lt;0,W17=1),1,0)</f>
      </c>
      <c r="U73" s="3443">
        <f>IF(AND(N27&lt;0,Y17=1),1,0)</f>
      </c>
    </row>
    <row r="74" spans="1:33" x14ac:dyDescent="0.2">
      <c r="A74" s="3121"/>
      <c r="B74" s="3121"/>
      <c r="C74" s="3121"/>
      <c r="D74" s="3121"/>
      <c r="E74" s="3121"/>
      <c r="F74" s="3121"/>
      <c r="G74" s="3414"/>
      <c r="H74" s="3441"/>
      <c r="I74" s="3390"/>
      <c r="J74" s="3390"/>
      <c r="K74" s="3441"/>
      <c r="L74" s="3390"/>
      <c r="M74" s="3390"/>
      <c r="N74" s="3441"/>
      <c r="O74" s="3390"/>
      <c r="P74" s="3183"/>
    </row>
    <row r="75" spans="1:33" x14ac:dyDescent="0.2">
      <c r="A75" s="3121"/>
      <c r="B75" s="3121"/>
      <c r="C75" s="3121"/>
      <c r="D75" s="3121"/>
      <c r="E75" s="3355"/>
      <c r="F75" s="3355"/>
      <c r="G75" s="3315"/>
      <c r="H75" s="3124"/>
      <c r="I75" s="3125"/>
      <c r="J75" s="3356" t="s">
        <v>4802</v>
      </c>
      <c r="K75" s="3352"/>
      <c r="L75" s="3351" t="str">
        <f>IF(U4=0,"",IF(K75="",re,""))</f>
        <v/>
      </c>
      <c r="M75" s="3351"/>
      <c r="N75" s="3124"/>
      <c r="O75" s="3390"/>
      <c r="P75" s="3183"/>
      <c r="Q75" s="3184">
        <f>IF(OR(I75&lt;&gt;"",L75&lt;&gt;"",O75&lt;&gt;""),1,0)</f>
      </c>
      <c r="S75" s="3123" t="str">
        <f>IF(K75="yes","Y","n")</f>
      </c>
    </row>
    <row r="76" spans="1:33" x14ac:dyDescent="0.2">
      <c r="A76" s="3121"/>
      <c r="B76" s="3121"/>
      <c r="C76" s="3121"/>
      <c r="D76" s="3121"/>
      <c r="E76" s="3121"/>
      <c r="F76" s="3121"/>
      <c r="G76" s="3121"/>
      <c r="H76" s="3124"/>
      <c r="I76" s="3125"/>
      <c r="J76" s="3125"/>
      <c r="K76" s="3124"/>
      <c r="L76" s="3125"/>
      <c r="M76" s="3125"/>
      <c r="N76" s="3124"/>
      <c r="O76" s="3125"/>
      <c r="P76" s="3183"/>
      <c r="Q76" s="3184">
        <f>SUM(Q6:Q75)</f>
      </c>
    </row>
    <row r="77" spans="1:33" x14ac:dyDescent="0.2">
      <c r="A77" s="3121"/>
      <c r="B77" s="3121"/>
      <c r="C77" s="3121"/>
      <c r="D77" s="3121"/>
      <c r="E77" s="3121"/>
      <c r="F77" s="3121"/>
      <c r="G77" s="3121"/>
      <c r="H77" s="3124"/>
      <c r="I77" s="3125"/>
      <c r="J77" s="3125"/>
      <c r="K77" s="3124"/>
      <c r="L77" s="3125"/>
      <c r="M77" s="3125"/>
      <c r="N77" s="3124"/>
      <c r="O77" s="3125"/>
      <c r="P77" s="3183"/>
    </row>
    <row r="78" spans="1:33" x14ac:dyDescent="0.2">
      <c r="B78" s="3121" t="s">
        <v>10574</v>
      </c>
      <c r="C78" s="3121"/>
      <c r="D78" s="3121"/>
      <c r="E78" s="3121"/>
      <c r="F78" s="3121" t="str">
        <f>ver</f>
        <v>TA2_e-CO_2025_Ver 1.1</v>
      </c>
      <c r="G78" s="3121"/>
      <c r="H78" s="3121"/>
      <c r="I78" s="3124"/>
      <c r="J78" s="3125"/>
      <c r="K78" s="3125"/>
      <c r="L78" s="3124"/>
      <c r="M78" s="3125"/>
      <c r="N78" s="3421" t="s">
        <v>9234</v>
      </c>
      <c r="O78" s="3124"/>
      <c r="P78" s="3183"/>
      <c r="Q78" s="3123">
        <f>IF(U4=0,0,IF(Q76&lt;&gt;0,100,IF(S75="Y",1,100)))</f>
      </c>
    </row>
    <row r="79" spans="1:33" x14ac:dyDescent="0.2">
      <c r="B79" s="3121"/>
      <c r="C79" s="3121"/>
      <c r="D79" s="3121"/>
      <c r="E79" s="3121"/>
      <c r="F79" s="3121"/>
      <c r="G79" s="3121"/>
      <c r="H79" s="3121"/>
      <c r="I79" s="3124"/>
      <c r="J79" s="3125"/>
      <c r="K79" s="3125"/>
      <c r="L79" s="3124"/>
      <c r="M79" s="3125"/>
      <c r="N79" s="3125"/>
      <c r="O79" s="3124"/>
      <c r="P79" s="3183"/>
    </row>
    <row r="80" spans="1:33" x14ac:dyDescent="0.2">
      <c r="A80" s="3121"/>
      <c r="B80" s="3121"/>
      <c r="C80" s="3358" t="s">
        <v>6290</v>
      </c>
      <c r="D80" s="3121"/>
      <c r="E80" s="3121"/>
      <c r="F80" s="3121"/>
      <c r="G80" s="3121"/>
      <c r="H80" s="3121"/>
      <c r="I80" s="3121"/>
      <c r="J80" s="3121"/>
      <c r="K80" s="3121"/>
      <c r="L80" s="3121"/>
      <c r="M80" s="3121"/>
      <c r="N80" s="3121"/>
      <c r="O80" s="3121"/>
      <c r="P80" s="3183"/>
    </row>
    <row r="82" spans="3:20" hidden="1" x14ac:dyDescent="0.2">
      <c r="D82" s="3184" t="s">
        <v>9343</v>
      </c>
      <c r="F82" s="3432"/>
      <c r="G82" s="3444"/>
      <c r="L82" s="3445" t="s">
        <v>9344</v>
      </c>
      <c r="R82" s="3184" t="s">
        <v>9345</v>
      </c>
    </row>
    <row r="83" spans="3:20" hidden="1" x14ac:dyDescent="0.2">
      <c r="C83" s="3245"/>
      <c r="D83" s="3446" t="s">
        <v>9346</v>
      </c>
      <c r="E83" s="3447" t="s">
        <v>9294</v>
      </c>
      <c r="F83" s="3448" t="s">
        <v>9295</v>
      </c>
      <c r="G83" s="3448" t="s">
        <v>9177</v>
      </c>
      <c r="K83" s="3449"/>
      <c r="L83" s="3450" t="s">
        <v>9346</v>
      </c>
      <c r="M83" s="3447" t="s">
        <v>9294</v>
      </c>
      <c r="N83" s="3448" t="s">
        <v>9295</v>
      </c>
      <c r="O83" s="3448" t="s">
        <v>9177</v>
      </c>
      <c r="R83" s="3449"/>
      <c r="S83" s="3446" t="s">
        <v>9177</v>
      </c>
      <c r="T83" s="3451"/>
    </row>
    <row r="84" spans="3:20" hidden="1" x14ac:dyDescent="0.2">
      <c r="C84" s="3452" t="s">
        <v>9341</v>
      </c>
      <c r="D84" s="3446">
        <f>IF(AND($U$17=1,$H$27&gt;0),$H$57,0)</f>
      </c>
      <c r="E84" s="3446">
        <f>IF(AND($W$17=1,$K$27&gt;0),$K$57,0)</f>
      </c>
      <c r="F84" s="3446">
        <f>IF(AND($Y$17=1,$N$27&gt;0),$N$57,0)</f>
      </c>
      <c r="G84" s="3446">
        <f>SUM(D84:F84)</f>
      </c>
      <c r="K84" s="3452" t="s">
        <v>9341</v>
      </c>
      <c r="L84" s="3446">
        <f>IF(AND($S$73=1,$H$27&lt;0),$H$67,0)</f>
      </c>
      <c r="M84" s="3446">
        <f>IF(AND($T$73=1,$K$27&lt;0),$K$67,0)</f>
      </c>
      <c r="N84" s="3446">
        <f>IF(AND($U$73=1,$N$27&lt;0),$N$67,0)</f>
      </c>
      <c r="O84" s="3446">
        <f>SUM(L84:N84)</f>
      </c>
      <c r="R84" s="3452" t="s">
        <v>9341</v>
      </c>
      <c r="S84" s="3446">
        <f>G84+O84</f>
      </c>
      <c r="T84" s="3451" t="s">
        <v>3288</v>
      </c>
    </row>
    <row r="85" spans="3:20" hidden="1" x14ac:dyDescent="0.2">
      <c r="C85" s="3245" t="s">
        <v>3916</v>
      </c>
      <c r="D85" s="3446">
        <f>IF(AND($U$17=2,$H$27&gt;0),$H$57,0)</f>
      </c>
      <c r="E85" s="3446">
        <f>IF(AND($W$17=2,$K$27&gt;0),$K$57,0)</f>
      </c>
      <c r="F85" s="3446">
        <f>IF(AND($Y$17=2,$N$27&gt;0),$N$57,0)</f>
      </c>
      <c r="G85" s="3446">
        <f>SUM(D85:F85)</f>
      </c>
      <c r="K85" s="3452" t="s">
        <v>3916</v>
      </c>
      <c r="L85" s="3446">
        <v>0</v>
      </c>
      <c r="M85" s="3446">
        <v>0</v>
      </c>
      <c r="N85" s="3449">
        <v>0</v>
      </c>
      <c r="O85" s="3446">
        <f>SUM(L85:N85)</f>
      </c>
      <c r="R85" s="3452" t="s">
        <v>3916</v>
      </c>
      <c r="S85" s="3446">
        <f>G85+O85</f>
      </c>
      <c r="T85" s="3451" t="s">
        <v>3091</v>
      </c>
    </row>
    <row r="86" spans="3:20" hidden="1" x14ac:dyDescent="0.2">
      <c r="C86" s="3245" t="s">
        <v>9347</v>
      </c>
      <c r="D86" s="3446">
        <f>IF(AND($U$17=3,$H$27&gt;0),$H$57,0)</f>
      </c>
      <c r="E86" s="3446">
        <f>IF(AND($W$17=3,$K$27&gt;0),$K$57,0)</f>
      </c>
      <c r="F86" s="3446">
        <f>IF(AND($Y$17=3,$N$27&gt;0),$N$57,0)</f>
      </c>
      <c r="G86" s="3446">
        <f>SUM(D86:F86)</f>
      </c>
      <c r="K86" s="3452" t="s">
        <v>9348</v>
      </c>
      <c r="L86" s="3446">
        <f>IF(AND($U$17=3,H69="",$H$27&lt;0),0,IF(AND($U$17=3,$H$27&lt;0),$H$69,0))</f>
      </c>
      <c r="M86" s="3446">
        <f>IF(AND($W$17=3,K69="",$K$27&lt;0),0,IF(AND($W$17=3,$K$27&lt;0),$K$69,0))</f>
      </c>
      <c r="N86" s="3446">
        <f>IF(AND($Y$17=3,N69="",$N$27&lt;0),0,IF(AND($Y$17=3,$N$27&lt;0),$N$69,0))</f>
      </c>
      <c r="O86" s="3446">
        <f>SUM(L86:N86)</f>
      </c>
      <c r="R86" s="3452" t="s">
        <v>9348</v>
      </c>
      <c r="S86" s="3446">
        <f>G86+O86</f>
      </c>
      <c r="T86" s="3451" t="s">
        <v>3130</v>
      </c>
    </row>
    <row r="88" spans="3:20" hidden="1" x14ac:dyDescent="0.2">
      <c r="L88" s="3453" t="s">
        <v>5806</v>
      </c>
      <c r="M88" s="3453" t="s">
        <v>363</v>
      </c>
      <c r="N88" s="3454" t="s">
        <v>2372</v>
      </c>
    </row>
    <row r="89" spans="3:20" hidden="1" x14ac:dyDescent="0.2">
      <c r="J89" s="5353" t="s">
        <v>9354</v>
      </c>
      <c r="K89" s="3449" t="s">
        <v>9346</v>
      </c>
      <c r="L89" s="3446">
        <f>IF(I73&lt;&gt;"",0,IF($H$73=$L$88,D84,0))</f>
      </c>
      <c r="M89" s="3446">
        <f>IF(I73&lt;&gt;"",0,IF($H$73=$M$88,D84,0))</f>
      </c>
      <c r="N89" s="3446">
        <f>IF(I73&lt;&gt;"",0,IF($H$73=$N$88,D84,0))</f>
      </c>
    </row>
    <row r="90" spans="3:20" hidden="1" x14ac:dyDescent="0.2">
      <c r="J90" s="5354"/>
      <c r="K90" s="3449" t="s">
        <v>9294</v>
      </c>
      <c r="L90" s="3446">
        <f>IF(L73&lt;&gt;"",0,IF($K$73=$L$88,E84,0))</f>
      </c>
      <c r="M90" s="3446">
        <f>IF(L73&lt;&gt;"",0,IF($K$73=$M$88,E84,0))</f>
      </c>
      <c r="N90" s="3446">
        <f>IF(L73&lt;&gt;"",0,IF($K$73=$N$88,E84,0))</f>
      </c>
    </row>
    <row r="91" spans="3:20" hidden="1" x14ac:dyDescent="0.2">
      <c r="J91" s="5355"/>
      <c r="K91" s="1873" t="s">
        <v>9295</v>
      </c>
      <c r="L91" s="3446">
        <f>IF(O73&lt;&gt;"",0,IF($N$73=$L$88,F84,0))</f>
      </c>
      <c r="M91" s="3446">
        <f>IF(O73&lt;&gt;"",0,IF($N$73=$M$88,F84,0))</f>
      </c>
      <c r="N91" s="3446">
        <f>IF(O73&lt;&gt;"",0,IF($N$73=$N$88,F84,0))</f>
      </c>
    </row>
    <row r="92" spans="3:20" hidden="1" x14ac:dyDescent="0.2">
      <c r="J92" s="3455"/>
      <c r="K92" s="1873"/>
      <c r="L92" s="3456">
        <f>SUM(L89:L91)</f>
      </c>
      <c r="M92" s="3456">
        <f>SUM(M89:M91)</f>
      </c>
      <c r="N92" s="3456">
        <f>SUM(N89:N91)</f>
      </c>
      <c r="O92" s="3184" t="s">
        <v>3288</v>
      </c>
      <c r="Q92" s="1485"/>
    </row>
    <row r="93" spans="3:20" hidden="1" x14ac:dyDescent="0.2">
      <c r="J93" s="5356" t="s">
        <v>3916</v>
      </c>
      <c r="K93" s="3449" t="s">
        <v>9346</v>
      </c>
      <c r="L93" s="3446">
        <f>IF(I73&lt;&gt;"",0,IF($H$73=$L$88,(D85+L85),0))</f>
      </c>
      <c r="M93" s="3446">
        <f>IF(I73&lt;&gt;"",0,IF($H$73=$M$88,(D85+L85),0))</f>
      </c>
      <c r="N93" s="3446">
        <f>IF(I73&lt;&gt;"",0,IF($N$73=$N$88,(D85+L85),0))</f>
      </c>
    </row>
    <row r="94" spans="3:20" hidden="1" x14ac:dyDescent="0.2">
      <c r="J94" s="5356"/>
      <c r="K94" s="3449" t="s">
        <v>9294</v>
      </c>
      <c r="L94" s="3446">
        <f>IF(L73&lt;&gt;"",0,IF($K$73=$L$88,(E85+M85),0))</f>
      </c>
      <c r="M94" s="3446">
        <f>IF(L73&lt;&gt;"",0,IF($K$73=$M$88,(E85+M85),0))</f>
      </c>
      <c r="N94" s="3446">
        <f>IF(L73&lt;&gt;"",0,IF($K$73=$N$88,(E85+M85),0))</f>
      </c>
    </row>
    <row r="95" spans="3:20" hidden="1" x14ac:dyDescent="0.2">
      <c r="J95" s="5356"/>
      <c r="K95" s="1873" t="s">
        <v>9295</v>
      </c>
      <c r="L95" s="3446">
        <f>IF(O73&lt;&gt;"",0,IF($N$73=$L$88,(F85+N85),0))</f>
      </c>
      <c r="M95" s="3446">
        <f>IF(O73&lt;&gt;"",0,IF($N$73=$M$88,(F85+N85),0))</f>
      </c>
      <c r="N95" s="3446">
        <f>IF(O73&lt;&gt;"",0,IF($N$73=$N$88,(F85+N85),0))</f>
      </c>
    </row>
    <row r="96" spans="3:20" hidden="1" x14ac:dyDescent="0.2">
      <c r="L96" s="3456">
        <f>SUM(L93:L95)</f>
      </c>
      <c r="M96" s="3456">
        <f>SUM(M93:M95)</f>
      </c>
      <c r="N96" s="3456">
        <f>SUM(N93:N95)</f>
      </c>
      <c r="O96" s="3184" t="s">
        <v>3091</v>
      </c>
    </row>
    <row r="97" spans="10:15" hidden="1" x14ac:dyDescent="0.2">
      <c r="L97" s="3184"/>
      <c r="M97" s="3184"/>
      <c r="N97" s="3184"/>
    </row>
    <row r="98" spans="10:15" hidden="1" x14ac:dyDescent="0.2">
      <c r="J98" s="1485"/>
      <c r="K98" s="1485"/>
      <c r="L98" s="1485" t="s">
        <v>9349</v>
      </c>
      <c r="M98" s="1485"/>
      <c r="N98" s="1485" t="s">
        <v>9350</v>
      </c>
      <c r="O98" s="1485"/>
    </row>
    <row r="99" spans="10:15" hidden="1" x14ac:dyDescent="0.2">
      <c r="J99" s="5347" t="s">
        <v>9347</v>
      </c>
      <c r="K99" s="3449" t="s">
        <v>9346</v>
      </c>
      <c r="L99" s="3446">
        <f>IF($D$86+$L$86&gt;0,$D$86+$L$86,0)</f>
      </c>
      <c r="M99" s="3184"/>
      <c r="N99" s="3446">
        <f>IF($D$86+$L$86&lt;0,$D$86+$L$86,0)</f>
      </c>
      <c r="O99" s="1485"/>
    </row>
    <row r="100" spans="10:15" hidden="1" x14ac:dyDescent="0.2">
      <c r="J100" s="5348"/>
      <c r="K100" s="3449" t="s">
        <v>9294</v>
      </c>
      <c r="L100" s="3446">
        <f>IF($E$86+$M$86&gt;0,$E$86+$M$86,0)</f>
      </c>
      <c r="M100" s="3184"/>
      <c r="N100" s="3446">
        <f>IF($E$86+$M$86&lt;0,$E$86+$M$86,0)</f>
      </c>
      <c r="O100" s="1485"/>
    </row>
    <row r="101" spans="10:15" hidden="1" x14ac:dyDescent="0.2">
      <c r="J101" s="5349"/>
      <c r="K101" s="1873" t="s">
        <v>9295</v>
      </c>
      <c r="L101" s="3446">
        <f>IF($F$86+$N$86&gt;0,$F$86+$N$86,0)</f>
      </c>
      <c r="M101" s="3184"/>
      <c r="N101" s="3446">
        <f>IF($F$86+$N$86&lt;0,$F$86+$N$86,0)</f>
      </c>
      <c r="O101" s="1485"/>
    </row>
    <row r="102" spans="10:15" hidden="1" x14ac:dyDescent="0.2">
      <c r="L102" s="3456">
        <f>SUM(L99:L101)</f>
      </c>
      <c r="N102" s="3456">
        <f>SUM(N99:N101)*-1</f>
      </c>
    </row>
    <row r="103" spans="10:15" hidden="1" x14ac:dyDescent="0.2">
      <c r="J103" s="1485"/>
      <c r="K103" s="1485"/>
      <c r="L103" s="3184" t="s">
        <v>3130</v>
      </c>
      <c r="M103" s="1485"/>
      <c r="N103" s="3445" t="s">
        <v>444</v>
      </c>
    </row>
  </sheetData>
  <sheetProtection algorithmName="SHA-512" hashValue="WGTZAFo7ViSEPzkWlocvW53dX1hx8qHz7vsH6EOMbv32DfRm5u4wmDS0sTaMVKy0Xc4WCwhZQCgFAYhmFnIt2Q==" saltValue="/oh8lRcHmZAY8YJRzVagdg==" spinCount="100000" sheet="1" objects="1" scenarios="1"/>
  <mergeCells count="12">
    <mergeCell ref="AF30:AI30"/>
    <mergeCell ref="B41:B42"/>
    <mergeCell ref="B52:B53"/>
    <mergeCell ref="C52:D52"/>
    <mergeCell ref="E52:G53"/>
    <mergeCell ref="C53:D53"/>
    <mergeCell ref="J99:J101"/>
    <mergeCell ref="B65:G65"/>
    <mergeCell ref="S68:U68"/>
    <mergeCell ref="S72:U72"/>
    <mergeCell ref="J89:J91"/>
    <mergeCell ref="J93:J95"/>
  </mergeCells>
  <conditionalFormatting sqref="B24 D24:G24">
    <cfRule type="expression" dxfId="200" priority="50" stopIfTrue="1">
      <formula>$N$1=2020</formula>
    </cfRule>
  </conditionalFormatting>
  <conditionalFormatting sqref="B15:G15 B16:O16 B18:G18">
    <cfRule type="expression" dxfId="199" priority="49" stopIfTrue="1">
      <formula>$H$14&lt;&gt;$AE$26</formula>
    </cfRule>
  </conditionalFormatting>
  <conditionalFormatting sqref="H15">
    <cfRule type="expression" dxfId="198" priority="2" stopIfTrue="1">
      <formula>$H$14&lt;&gt;$AE$26</formula>
    </cfRule>
  </conditionalFormatting>
  <conditionalFormatting sqref="H24">
    <cfRule type="expression" dxfId="197" priority="51" stopIfTrue="1">
      <formula>$N$1=2020</formula>
    </cfRule>
  </conditionalFormatting>
  <conditionalFormatting sqref="H32">
    <cfRule type="expression" dxfId="196" priority="47">
      <formula>$I$32=$V$63</formula>
    </cfRule>
  </conditionalFormatting>
  <conditionalFormatting sqref="H33">
    <cfRule type="expression" dxfId="195" priority="46">
      <formula>$I$33=$V$63</formula>
    </cfRule>
  </conditionalFormatting>
  <conditionalFormatting sqref="H35">
    <cfRule type="expression" dxfId="194" priority="17">
      <formula>$I$35=$V$63</formula>
    </cfRule>
  </conditionalFormatting>
  <conditionalFormatting sqref="H36">
    <cfRule type="expression" dxfId="193" priority="45">
      <formula>$I$36=$V$63</formula>
    </cfRule>
  </conditionalFormatting>
  <conditionalFormatting sqref="H41">
    <cfRule type="expression" dxfId="192" priority="44">
      <formula>$I$41=$V$63</formula>
    </cfRule>
  </conditionalFormatting>
  <conditionalFormatting sqref="H42">
    <cfRule type="expression" dxfId="191" priority="43">
      <formula>$I$42=$V$63</formula>
    </cfRule>
  </conditionalFormatting>
  <conditionalFormatting sqref="H45">
    <cfRule type="expression" dxfId="190" priority="42">
      <formula>$I$45=$V$63</formula>
    </cfRule>
  </conditionalFormatting>
  <conditionalFormatting sqref="H46">
    <cfRule type="expression" dxfId="189" priority="41">
      <formula>$I$46=$V$63</formula>
    </cfRule>
  </conditionalFormatting>
  <conditionalFormatting sqref="H53">
    <cfRule type="expression" dxfId="188" priority="40">
      <formula>$I$53=$V$63</formula>
    </cfRule>
  </conditionalFormatting>
  <conditionalFormatting sqref="H63">
    <cfRule type="expression" dxfId="187" priority="54" stopIfTrue="1">
      <formula>$I$63=$V$63</formula>
    </cfRule>
  </conditionalFormatting>
  <conditionalFormatting sqref="H65 B65">
    <cfRule type="expression" dxfId="186" priority="53" stopIfTrue="1">
      <formula>$H$63=$AE$65</formula>
    </cfRule>
  </conditionalFormatting>
  <conditionalFormatting sqref="H65">
    <cfRule type="expression" dxfId="185" priority="7">
      <formula>$I$65=V63</formula>
    </cfRule>
  </conditionalFormatting>
  <conditionalFormatting sqref="H67">
    <cfRule type="expression" dxfId="184" priority="10">
      <formula>$I$67=V63</formula>
    </cfRule>
  </conditionalFormatting>
  <conditionalFormatting sqref="H69">
    <cfRule type="expression" dxfId="183" priority="16">
      <formula>$S$69=1</formula>
    </cfRule>
  </conditionalFormatting>
  <conditionalFormatting sqref="H71">
    <cfRule type="expression" dxfId="182" priority="13">
      <formula>$I$71=V63</formula>
    </cfRule>
  </conditionalFormatting>
  <conditionalFormatting sqref="H73">
    <cfRule type="expression" dxfId="181" priority="48" stopIfTrue="1">
      <formula>$I$73=V63</formula>
    </cfRule>
  </conditionalFormatting>
  <conditionalFormatting sqref="K15">
    <cfRule type="expression" dxfId="180" priority="52" stopIfTrue="1">
      <formula>$K$14&lt;&gt;$AE$26</formula>
    </cfRule>
  </conditionalFormatting>
  <conditionalFormatting sqref="K24">
    <cfRule type="expression" dxfId="179" priority="55" stopIfTrue="1">
      <formula>$N$1=2020</formula>
    </cfRule>
  </conditionalFormatting>
  <conditionalFormatting sqref="K32">
    <cfRule type="expression" dxfId="178" priority="37">
      <formula>$L$32=$V$63</formula>
    </cfRule>
  </conditionalFormatting>
  <conditionalFormatting sqref="K33">
    <cfRule type="expression" dxfId="177" priority="36">
      <formula>$L$33=$V$63</formula>
    </cfRule>
  </conditionalFormatting>
  <conditionalFormatting sqref="K35">
    <cfRule type="expression" dxfId="176" priority="35">
      <formula>$L$35=$V$63</formula>
    </cfRule>
  </conditionalFormatting>
  <conditionalFormatting sqref="K36">
    <cfRule type="expression" dxfId="175" priority="34">
      <formula>$L$36=$V$63</formula>
    </cfRule>
  </conditionalFormatting>
  <conditionalFormatting sqref="K41">
    <cfRule type="expression" dxfId="174" priority="33">
      <formula>$L$41=$V$63</formula>
    </cfRule>
  </conditionalFormatting>
  <conditionalFormatting sqref="K42">
    <cfRule type="expression" dxfId="173" priority="32">
      <formula>$L$42=$V$63</formula>
    </cfRule>
  </conditionalFormatting>
  <conditionalFormatting sqref="K45">
    <cfRule type="expression" dxfId="172" priority="31">
      <formula>$L$45=$V$63</formula>
    </cfRule>
  </conditionalFormatting>
  <conditionalFormatting sqref="K46">
    <cfRule type="expression" dxfId="171" priority="30">
      <formula>$L$46=$V$63</formula>
    </cfRule>
  </conditionalFormatting>
  <conditionalFormatting sqref="K53">
    <cfRule type="expression" dxfId="170" priority="29">
      <formula>$L$53=$V$63</formula>
    </cfRule>
  </conditionalFormatting>
  <conditionalFormatting sqref="K63">
    <cfRule type="expression" dxfId="169" priority="39" stopIfTrue="1">
      <formula>$L$63=$V$63</formula>
    </cfRule>
  </conditionalFormatting>
  <conditionalFormatting sqref="K65">
    <cfRule type="expression" dxfId="168" priority="38" stopIfTrue="1">
      <formula>$K$63=$AE$65</formula>
    </cfRule>
    <cfRule type="expression" dxfId="167" priority="6">
      <formula>$L$65=V63</formula>
    </cfRule>
  </conditionalFormatting>
  <conditionalFormatting sqref="K67">
    <cfRule type="expression" dxfId="166" priority="9">
      <formula>$L$67=V63</formula>
    </cfRule>
  </conditionalFormatting>
  <conditionalFormatting sqref="K69">
    <cfRule type="expression" dxfId="165" priority="15">
      <formula>$T$69=1</formula>
    </cfRule>
  </conditionalFormatting>
  <conditionalFormatting sqref="K71">
    <cfRule type="expression" dxfId="164" priority="12">
      <formula>$L$71=V63</formula>
    </cfRule>
  </conditionalFormatting>
  <conditionalFormatting sqref="K73">
    <cfRule type="expression" dxfId="163" priority="4" stopIfTrue="1">
      <formula>$L$73=V63</formula>
    </cfRule>
  </conditionalFormatting>
  <conditionalFormatting sqref="N15">
    <cfRule type="expression" dxfId="162" priority="1" stopIfTrue="1">
      <formula>$N$14&lt;&gt;$AE$26</formula>
    </cfRule>
  </conditionalFormatting>
  <conditionalFormatting sqref="N24">
    <cfRule type="expression" dxfId="161" priority="56" stopIfTrue="1">
      <formula>$N$1=2020</formula>
    </cfRule>
  </conditionalFormatting>
  <conditionalFormatting sqref="N32">
    <cfRule type="expression" dxfId="160" priority="26">
      <formula>$O$32=$V$63</formula>
    </cfRule>
  </conditionalFormatting>
  <conditionalFormatting sqref="N33">
    <cfRule type="expression" dxfId="159" priority="25">
      <formula>$O$33=$V$63</formula>
    </cfRule>
  </conditionalFormatting>
  <conditionalFormatting sqref="N35">
    <cfRule type="expression" dxfId="158" priority="24">
      <formula>$O$35=$V$63</formula>
    </cfRule>
  </conditionalFormatting>
  <conditionalFormatting sqref="N36">
    <cfRule type="expression" dxfId="157" priority="23">
      <formula>$O$36=$V$63</formula>
    </cfRule>
  </conditionalFormatting>
  <conditionalFormatting sqref="N41">
    <cfRule type="expression" dxfId="156" priority="22">
      <formula>$O$41=$V$63</formula>
    </cfRule>
  </conditionalFormatting>
  <conditionalFormatting sqref="N42">
    <cfRule type="expression" dxfId="155" priority="21">
      <formula>$O$42=$V$63</formula>
    </cfRule>
  </conditionalFormatting>
  <conditionalFormatting sqref="N45">
    <cfRule type="expression" dxfId="154" priority="20">
      <formula>$O$45=$V$63</formula>
    </cfRule>
  </conditionalFormatting>
  <conditionalFormatting sqref="N46">
    <cfRule type="expression" dxfId="153" priority="19">
      <formula>$O$46=$V$63</formula>
    </cfRule>
  </conditionalFormatting>
  <conditionalFormatting sqref="N53">
    <cfRule type="expression" dxfId="152" priority="18">
      <formula>$O$53=$V$63</formula>
    </cfRule>
  </conditionalFormatting>
  <conditionalFormatting sqref="N63">
    <cfRule type="expression" dxfId="151" priority="28" stopIfTrue="1">
      <formula>$O$63=$V$63</formula>
    </cfRule>
  </conditionalFormatting>
  <conditionalFormatting sqref="N65">
    <cfRule type="expression" dxfId="150" priority="5">
      <formula>$O$65=V63</formula>
    </cfRule>
    <cfRule type="expression" dxfId="149" priority="27" stopIfTrue="1">
      <formula>$N$63=$AE$65</formula>
    </cfRule>
  </conditionalFormatting>
  <conditionalFormatting sqref="N67">
    <cfRule type="expression" dxfId="148" priority="8">
      <formula>$O$67=V63</formula>
    </cfRule>
  </conditionalFormatting>
  <conditionalFormatting sqref="N69">
    <cfRule type="expression" dxfId="147" priority="14">
      <formula>$U$69=1</formula>
    </cfRule>
  </conditionalFormatting>
  <conditionalFormatting sqref="N71">
    <cfRule type="expression" dxfId="146" priority="11">
      <formula>$O$71=V63</formula>
    </cfRule>
  </conditionalFormatting>
  <conditionalFormatting sqref="N73">
    <cfRule type="expression" dxfId="145" priority="3" stopIfTrue="1">
      <formula>$O$73=V63</formula>
    </cfRule>
  </conditionalFormatting>
  <dataValidations disablePrompts="1" count="32">
    <dataValidation type="whole" operator="greaterThanOrEqual" allowBlank="1" showInputMessage="1" showErrorMessage="1" errorTitle="Patent Box Regime Deduction" error="Amount must be a whole number greater than 0!" sqref="N53" xr:uid="{00000000-0002-0000-6500-000000000000}">
      <formula1>0</formula1>
    </dataValidation>
    <dataValidation type="whole" operator="greaterThanOrEqual" allowBlank="1" showInputMessage="1" showErrorMessage="1" errorTitle="Patent Box Regime Deduction " error="Amount must be a whole number greater than 0!" sqref="K53" xr:uid="{00000000-0002-0000-6500-000001000000}">
      <formula1>0</formula1>
    </dataValidation>
    <dataValidation type="whole" operator="greaterThanOrEqual" allowBlank="1" showInputMessage="1" showErrorMessage="1" errorTitle="Patent Box Regime deduction" error="Amount must be a whole number greater than 0!" sqref="H53" xr:uid="{00000000-0002-0000-6500-000002000000}">
      <formula1>0</formula1>
    </dataValidation>
    <dataValidation type="whole" operator="greaterThanOrEqual" allowBlank="1" showInputMessage="1" showErrorMessage="1" errorTitle="Related party outsourciing" error="Amount must be greater than or equal to 0!" sqref="N46" xr:uid="{00000000-0002-0000-6500-000003000000}">
      <formula1>0</formula1>
    </dataValidation>
    <dataValidation type="whole" operator="greaterThan" allowBlank="1" showInputMessage="1" showErrorMessage="1" errorTitle="Acquisition costs" sqref="N45" xr:uid="{00000000-0002-0000-6500-000004000000}">
      <formula1>0</formula1>
    </dataValidation>
    <dataValidation type="whole" operator="greaterThanOrEqual" allowBlank="1" showInputMessage="1" showErrorMessage="1" errorTitle="Other expenditure" error="Amount must be greater than or equal to 0!" sqref="K35 N35" xr:uid="{00000000-0002-0000-6500-000005000000}">
      <formula1>0</formula1>
    </dataValidation>
    <dataValidation type="whole" operator="greaterThanOrEqual" allowBlank="1" showInputMessage="1" showErrorMessage="1" errorTitle="Subcontracted expenditure" error="Amount must be greater than or equal to 0!" sqref="N33 K33" xr:uid="{00000000-0002-0000-6500-000006000000}">
      <formula1>0</formula1>
    </dataValidation>
    <dataValidation type="whole" operator="greaterThanOrEqual" allowBlank="1" showInputMessage="1" showErrorMessage="1" errorTitle="Expenditure" error="Amount must be greater than or equal to 0!" sqref="K32 N32" xr:uid="{00000000-0002-0000-6500-000007000000}">
      <formula1>0</formula1>
    </dataValidation>
    <dataValidation type="whole" operator="greaterThanOrEqual" allowBlank="1" showInputMessage="1" showErrorMessage="1" errorTitle="Qualifying IP Expenditure" error="Amount must be greater than or equal to 0!" sqref="K19" xr:uid="{00000000-0002-0000-6500-000008000000}">
      <formula1>0</formula1>
    </dataValidation>
    <dataValidation type="textLength" operator="greaterThanOrEqual" allowBlank="1" showInputMessage="1" showErrorMessage="1" sqref="K8 N8" xr:uid="{00000000-0002-0000-6500-000009000000}">
      <formula1>4</formula1>
    </dataValidation>
    <dataValidation type="whole" operator="greaterThanOrEqual" allowBlank="1" showInputMessage="1" showErrorMessage="1" errorTitle="Related party outsourcing" error="Amount must be greater than or equal to 0!" sqref="H46 K46" xr:uid="{00000000-0002-0000-6500-00000A000000}">
      <formula1>0</formula1>
    </dataValidation>
    <dataValidation type="whole" operator="greaterThanOrEqual" allowBlank="1" showInputMessage="1" showErrorMessage="1" errorTitle="Acquisition costs" error="Amount must be greater than or equal to 0!" sqref="H45 K45" xr:uid="{00000000-0002-0000-6500-00000B000000}">
      <formula1>0</formula1>
    </dataValidation>
    <dataValidation operator="greaterThanOrEqual" allowBlank="1" showInputMessage="1" showErrorMessage="1" sqref="H22" xr:uid="{00000000-0002-0000-6500-00000C000000}"/>
    <dataValidation type="whole" operator="greaterThanOrEqual" allowBlank="1" showInputMessage="1" showErrorMessage="1" errorTitle="Total IP expenditure" error="Amount must be greater than or equal to 0!" sqref="H20 K20 N20" xr:uid="{00000000-0002-0000-6500-00000D000000}">
      <formula1>0</formula1>
    </dataValidation>
    <dataValidation type="whole" operator="greaterThanOrEqual" allowBlank="1" showInputMessage="1" showErrorMessage="1" errorTitle="Qualifying IP expenditure" error="Amount must be greater than or equal to 0!" sqref="H19 N19" xr:uid="{00000000-0002-0000-6500-00000E000000}">
      <formula1>0</formula1>
    </dataValidation>
    <dataValidation type="textLength" operator="greaterThan" allowBlank="1" showInputMessage="1" showErrorMessage="1" sqref="H8" xr:uid="{00000000-0002-0000-6500-00000F000000}">
      <formula1>4</formula1>
    </dataValidation>
    <dataValidation type="whole" operator="greaterThanOrEqual" allowBlank="1" showInputMessage="1" showErrorMessage="1" errorTitle="Other Expenditure" error="Figure must be greater than equal to 0!" sqref="H35" xr:uid="{00000000-0002-0000-6500-000010000000}">
      <formula1>0</formula1>
    </dataValidation>
    <dataValidation type="whole" operator="greaterThanOrEqual" allowBlank="1" showInputMessage="1" showErrorMessage="1" errorTitle="IP Expenditure" error="Figure must be greater than or equal to 0!" sqref="H33 H36" xr:uid="{00000000-0002-0000-6500-000011000000}">
      <formula1>0</formula1>
    </dataValidation>
    <dataValidation type="whole" operator="greaterThanOrEqual" allowBlank="1" showInputMessage="1" showErrorMessage="1" errorTitle="IP expenditure" error="Figure must be greater than or equal to 0!" sqref="H32" xr:uid="{00000000-0002-0000-6500-000012000000}">
      <formula1>0</formula1>
    </dataValidation>
    <dataValidation type="date" errorStyle="warning" allowBlank="1" showInputMessage="1" showErrorMessage="1" errorTitle="Date" error="Cannot be before 1 January 2019 or later than the end date covered by this return!" sqref="K9" xr:uid="{00000000-0002-0000-6500-000013000000}">
      <formula1>S8</formula1>
      <formula2>T8</formula2>
    </dataValidation>
    <dataValidation type="date" errorStyle="warning" allowBlank="1" showInputMessage="1" showErrorMessage="1" errorTitle="Date" error="Cannot be before 1 January 2019 or later than the end date covered by this return!" sqref="H9" xr:uid="{00000000-0002-0000-6500-000014000000}">
      <formula1>S8</formula1>
      <formula2>T8</formula2>
    </dataValidation>
    <dataValidation type="list" allowBlank="1" showInputMessage="1" showErrorMessage="1" sqref="H73 K73 N73" xr:uid="{00000000-0002-0000-6500-000015000000}">
      <formula1>$AH$1:$AH$4</formula1>
    </dataValidation>
    <dataValidation type="list" showInputMessage="1" showErrorMessage="1" sqref="K75" xr:uid="{00000000-0002-0000-6500-000016000000}">
      <formula1>yn</formula1>
    </dataValidation>
    <dataValidation type="list" allowBlank="1" showInputMessage="1" showErrorMessage="1" sqref="H17 N17 K17" xr:uid="{00000000-0002-0000-6500-000017000000}">
      <formula1>$Z$1:$Z$4</formula1>
    </dataValidation>
    <dataValidation type="list" allowBlank="1" showInputMessage="1" showErrorMessage="1" sqref="H6:H7 K65 K15 H65 N29 K29 H29 N65 H15 K6:K7 N11:N12 K11:K12 H11:H12 N6:N7 N15" xr:uid="{00000000-0002-0000-6500-000018000000}">
      <formula1>$AE$1:$AE$3</formula1>
    </dataValidation>
    <dataValidation type="whole" operator="lessThanOrEqual" allowBlank="1" showInputMessage="1" showErrorMessage="1" errorTitle="Option to benefit from loss" error="Please enter a negative value!" sqref="H67 K67 N67 H71 K71 N71 H69 K69 N69" xr:uid="{00000000-0002-0000-6500-000019000000}">
      <formula1>0</formula1>
    </dataValidation>
    <dataValidation type="list" allowBlank="1" showInputMessage="1" showErrorMessage="1" sqref="H63 K63 N63" xr:uid="{00000000-0002-0000-6500-00001A000000}">
      <formula1>$AE$62:$AE$65</formula1>
    </dataValidation>
    <dataValidation type="whole" operator="lessThanOrEqual" allowBlank="1" showInputMessage="1" showErrorMessage="1" errorTitle="Previous benefit from loss" error="Please enter a negative value!" sqref="H24 K24 N24" xr:uid="{00000000-0002-0000-6500-00001B000000}">
      <formula1>0</formula1>
    </dataValidation>
    <dataValidation allowBlank="1" showInputMessage="1" showErrorMessage="1" errorTitle="Previous benefit from loss" error="Please enter a negative value!" sqref="H57 K57 N57" xr:uid="{00000000-0002-0000-6500-00001C000000}"/>
    <dataValidation type="list" allowBlank="1" showInputMessage="1" showErrorMessage="1" sqref="AF30" xr:uid="{00000000-0002-0000-6500-00001D000000}">
      <formula1>$AE$21:$AE$28</formula1>
    </dataValidation>
    <dataValidation type="list" allowBlank="1" showInputMessage="1" showErrorMessage="1" sqref="H14 K14 N14" xr:uid="{00000000-0002-0000-6500-00001E000000}">
      <formula1>$AE$21:$AE$26</formula1>
    </dataValidation>
    <dataValidation type="date" errorStyle="warning" allowBlank="1" showInputMessage="1" showErrorMessage="1" errorTitle="Date" error="Cannot be before 1 January 2019 or later than the end date covered by this return!" sqref="N9" xr:uid="{00000000-0002-0000-6500-00001F000000}">
      <formula1>S8</formula1>
      <formula2>T8</formula2>
    </dataValidation>
  </dataValidations>
  <hyperlinks>
    <hyperlink ref="C80" location="Index!B77" display="B A C K   T O   I N D E X" xr:uid="{00000000-0004-0000-6500-000000000000}"/>
  </hyperlinks>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13"/>
  <dimension ref="A1:AG186"/>
  <sheetViews>
    <sheetView showGridLines="0" workbookViewId="0">
      <selection sqref="A1:J1"/>
    </sheetView>
  </sheetViews>
  <sheetFormatPr defaultColWidth="0" defaultRowHeight="12.75" zeroHeight="1" x14ac:dyDescent="0.2"/>
  <cols>
    <col min="1" max="1" width="1" style="3123" customWidth="1"/>
    <col min="2" max="2" width="6.28515625" style="3123" customWidth="1"/>
    <col min="3" max="3" width="15.5703125" style="3123" customWidth="1"/>
    <col min="4" max="4" width="11.7109375" style="3123" customWidth="1"/>
    <col min="5" max="5" width="12.42578125" style="3123" customWidth="1"/>
    <col min="6" max="10" width="15.28515625" style="3123" customWidth="1"/>
    <col min="11" max="11" width="23.5703125" style="3123" customWidth="1"/>
    <col min="12" max="12" width="1.28515625" style="3123" customWidth="1"/>
    <col min="13" max="15" width="6.28515625" style="3123" hidden="1" customWidth="1"/>
    <col min="16" max="16" width="10.28515625" style="1485" hidden="1" customWidth="1"/>
    <col min="17" max="17" width="12.28515625" style="3123" hidden="1" customWidth="1"/>
    <col min="18" max="19" width="11.42578125" style="3123" hidden="1" customWidth="1"/>
    <col min="20" max="20" width="12.7109375" style="3123" hidden="1" customWidth="1"/>
    <col min="21" max="21" width="15.7109375" style="3123" hidden="1" customWidth="1"/>
    <col min="22" max="22" width="10.28515625" style="3123" hidden="1" customWidth="1"/>
    <col min="23" max="23" width="10.42578125" style="3123" hidden="1" customWidth="1"/>
    <col min="24" max="25" width="8" style="3123" hidden="1" customWidth="1"/>
    <col min="26" max="33" width="0" style="3123" hidden="1" customWidth="1"/>
    <col min="34" max="16384" width="9.28515625" style="3123" hidden="1"/>
  </cols>
  <sheetData>
    <row r="1" spans="1:33" x14ac:dyDescent="0.2">
      <c r="A1" s="5366" t="str">
        <f>_ref1</f>
      </c>
      <c r="B1" s="5366"/>
      <c r="C1" s="5366"/>
      <c r="D1" s="5366"/>
      <c r="E1" s="5366"/>
      <c r="F1" s="5366"/>
      <c r="G1" s="5366"/>
      <c r="H1" s="5366"/>
      <c r="I1" s="5366"/>
      <c r="J1" s="5366"/>
      <c r="K1" s="3265" t="str">
        <f>_YA1</f>
      </c>
      <c r="L1" s="1857"/>
      <c r="P1" s="1485" t="str">
        <f>CONCATENATE(B3," - ",B4)</f>
      </c>
      <c r="S1" s="3123">
        <f>ya</f>
      </c>
      <c r="V1" s="1736" t="s">
        <v>9964</v>
      </c>
      <c r="W1" s="28" t="str">
        <f>'p2'!G36</f>
      </c>
    </row>
    <row r="2" spans="1:33" x14ac:dyDescent="0.2">
      <c r="AA2" s="3123">
        <v>1</v>
      </c>
    </row>
    <row r="3" spans="1:33" ht="14.25" x14ac:dyDescent="0.2">
      <c r="B3" s="3266" t="s">
        <v>9207</v>
      </c>
      <c r="C3" s="3267"/>
      <c r="D3" s="3267"/>
      <c r="E3" s="3267"/>
      <c r="F3" s="3267"/>
      <c r="G3" s="3267"/>
      <c r="H3" s="3267"/>
      <c r="I3" s="3267"/>
      <c r="J3" s="3267"/>
      <c r="K3" s="3268"/>
      <c r="AA3" s="3123">
        <v>2</v>
      </c>
    </row>
    <row r="4" spans="1:33" ht="14.25" x14ac:dyDescent="0.2">
      <c r="B4" s="3269" t="s">
        <v>9208</v>
      </c>
      <c r="C4" s="3270"/>
      <c r="D4" s="3270"/>
      <c r="E4" s="3270"/>
      <c r="F4" s="3270"/>
      <c r="G4" s="3270"/>
      <c r="H4" s="3270"/>
      <c r="I4" s="3270"/>
      <c r="J4" s="3270"/>
      <c r="K4" s="3271"/>
      <c r="M4" s="3123" t="s">
        <v>7160</v>
      </c>
      <c r="N4" s="3123" t="s">
        <v>7161</v>
      </c>
      <c r="Q4" s="1485" t="s">
        <v>9209</v>
      </c>
      <c r="V4" s="3123" t="str">
        <f>cur</f>
      </c>
      <c r="W4" s="3123" t="s">
        <v>4591</v>
      </c>
      <c r="AA4" s="3123">
        <v>3</v>
      </c>
    </row>
    <row r="5" spans="1:33" x14ac:dyDescent="0.2">
      <c r="Q5" s="3123" t="s">
        <v>9210</v>
      </c>
      <c r="R5" s="3272">
        <v>43435</v>
      </c>
      <c r="S5" s="3123" t="s">
        <v>9211</v>
      </c>
      <c r="T5" s="3272"/>
      <c r="V5" s="3265" t="s">
        <v>7166</v>
      </c>
      <c r="W5" s="3273">
        <v>200000</v>
      </c>
      <c r="AA5" s="3123">
        <v>4</v>
      </c>
    </row>
    <row r="6" spans="1:33" ht="15" x14ac:dyDescent="0.2">
      <c r="B6" s="3274" t="s">
        <v>9212</v>
      </c>
      <c r="C6" s="3274"/>
      <c r="D6" s="3274"/>
      <c r="E6" s="3274"/>
      <c r="Q6" s="3123" t="s">
        <v>9213</v>
      </c>
      <c r="R6" s="3272">
        <f>DATE(ya-1,12,31)</f>
      </c>
      <c r="S6" s="3272">
        <v>44196</v>
      </c>
      <c r="T6" s="3272"/>
    </row>
    <row r="7" spans="1:33" x14ac:dyDescent="0.2">
      <c r="Q7" s="3123" t="s">
        <v>9214</v>
      </c>
      <c r="R7" s="3272">
        <f>+R5</f>
      </c>
    </row>
    <row r="8" spans="1:33" ht="14.25" x14ac:dyDescent="0.2">
      <c r="B8" s="3585">
        <v>1</v>
      </c>
      <c r="C8" s="5368" t="s">
        <v>9998</v>
      </c>
      <c r="D8" s="5368"/>
      <c r="E8" s="5368"/>
      <c r="F8" s="5368"/>
      <c r="G8" s="5368"/>
      <c r="H8" s="5368"/>
      <c r="I8" s="5368"/>
      <c r="J8" s="5368"/>
      <c r="K8" s="5368"/>
      <c r="Q8" s="3123" t="s">
        <v>4012</v>
      </c>
      <c r="R8" s="3272">
        <f>IF(ya=2020,R6,S6)</f>
      </c>
    </row>
    <row r="9" spans="1:33" x14ac:dyDescent="0.2">
      <c r="R9" s="3272"/>
    </row>
    <row r="10" spans="1:33" x14ac:dyDescent="0.2">
      <c r="F10" s="3265" t="s">
        <v>9984</v>
      </c>
      <c r="G10" s="3586"/>
      <c r="H10" s="3277" t="str">
        <f>IF(AND($W$1="y",G10="",N32&gt;0),re,IF(AND($W$1="n",G10&lt;&gt;""),"Delete!",""))</f>
        <v/>
      </c>
      <c r="M10" s="3123">
        <f>IF(H10="",0,1)</f>
      </c>
      <c r="N10" s="3123">
        <f>IF(G10="",0,1)</f>
      </c>
      <c r="P10" s="3123">
        <f>IF(AND($W$1="n",G10&lt;&gt;""),1,0)</f>
      </c>
      <c r="R10" s="3272"/>
    </row>
    <row r="11" spans="1:33" x14ac:dyDescent="0.2">
      <c r="R11" s="3272"/>
    </row>
    <row r="12" spans="1:33" x14ac:dyDescent="0.2">
      <c r="D12" s="3276"/>
      <c r="E12" s="3276"/>
      <c r="F12" s="3265" t="s">
        <v>9999</v>
      </c>
      <c r="G12" s="3457"/>
      <c r="H12" s="3277" t="str">
        <f>IF(AND(N32&gt;0,G12=""),re,IF(G12&lt;&gt;N19,"Check number of certificates!",""))</f>
        <v/>
      </c>
      <c r="M12" s="3123">
        <f>IF(H12="",0,1)</f>
      </c>
      <c r="N12" s="3123">
        <f>IF(G12="",0,1)</f>
      </c>
      <c r="T12" s="3278"/>
      <c r="U12" s="3265"/>
      <c r="V12" s="3272"/>
      <c r="W12" s="3272"/>
    </row>
    <row r="13" spans="1:33" x14ac:dyDescent="0.2">
      <c r="B13" s="3276"/>
      <c r="C13" s="3276"/>
      <c r="D13" s="3276"/>
      <c r="E13" s="3276"/>
      <c r="F13" s="3276"/>
      <c r="G13" s="3276"/>
      <c r="H13" s="3276"/>
      <c r="I13" s="3276"/>
      <c r="J13" s="3276"/>
      <c r="K13" s="3276"/>
      <c r="L13" s="3277"/>
      <c r="P13" s="3123"/>
      <c r="U13" s="3265"/>
      <c r="V13" s="3272"/>
      <c r="W13" s="3272"/>
      <c r="AE13" s="3123" t="s">
        <v>7176</v>
      </c>
    </row>
    <row r="14" spans="1:33" ht="68.25" customHeight="1" x14ac:dyDescent="0.2">
      <c r="B14" s="3276"/>
      <c r="C14" s="3279" t="s">
        <v>9215</v>
      </c>
      <c r="D14" s="3279" t="s">
        <v>7155</v>
      </c>
      <c r="E14" s="3279" t="s">
        <v>7156</v>
      </c>
      <c r="F14" s="3279" t="s">
        <v>9241</v>
      </c>
      <c r="G14" s="3279" t="s">
        <v>7159</v>
      </c>
      <c r="H14" s="3279" t="s">
        <v>7174</v>
      </c>
      <c r="I14" s="3279" t="s">
        <v>7157</v>
      </c>
      <c r="J14" s="3279" t="s">
        <v>7158</v>
      </c>
      <c r="K14" s="3277"/>
      <c r="L14" s="3277"/>
      <c r="P14" s="3123" t="s">
        <v>7017</v>
      </c>
      <c r="Q14" s="3280" t="s">
        <v>7173</v>
      </c>
      <c r="S14" s="3281" t="s">
        <v>9216</v>
      </c>
      <c r="T14" s="3281" t="s">
        <v>7162</v>
      </c>
      <c r="U14" s="3281" t="s">
        <v>7169</v>
      </c>
      <c r="V14" s="3282" t="s">
        <v>7163</v>
      </c>
      <c r="W14" s="3283" t="s">
        <v>7164</v>
      </c>
      <c r="X14" s="3282" t="s">
        <v>7165</v>
      </c>
      <c r="Z14" s="3281" t="s">
        <v>7168</v>
      </c>
      <c r="AA14" s="3281" t="s">
        <v>7175</v>
      </c>
      <c r="AB14" s="3281" t="s">
        <v>7170</v>
      </c>
      <c r="AE14" s="3123" t="s">
        <v>7177</v>
      </c>
    </row>
    <row r="15" spans="1:33" x14ac:dyDescent="0.2">
      <c r="B15" s="3276"/>
      <c r="C15" s="3284"/>
      <c r="D15" s="3285"/>
      <c r="E15" s="3286"/>
      <c r="F15" s="3287"/>
      <c r="G15" s="3286"/>
      <c r="H15" s="3288" t="str">
        <f>IF(AND(E15="",G15=""),"",IF(E15&lt;G15,"",IF(F15=ya,E15,E15-G15)))</f>
        <v/>
      </c>
      <c r="I15" s="3289"/>
      <c r="J15" s="3290" t="str">
        <f>IF(OR(H15="",I15=""),"",IF(H15&lt;I15,"",H15-I15))</f>
        <v/>
      </c>
      <c r="K15" s="3277" t="str">
        <f>IF($N$32=0,"",IF(AND($N$32&gt;0,P15=0),re,IF(P15&lt;Q15,"&lt; All Data!",IF(P15&gt;Q15,"&lt; Check!",IF(G15&gt;E15,"Credit utilised &gt; Approved!",IF(I15&gt;H15,"Credit utilised &gt; available!",IF(F15&lt;2020,"Check YoA credit first utilised!","")))))))</f>
        <v/>
      </c>
      <c r="L15" s="3277"/>
      <c r="M15" s="3123">
        <f>IF(K15="",0,1)</f>
      </c>
      <c r="N15" s="3123">
        <f>IF(P15&gt;0,1,0)</f>
      </c>
      <c r="P15" s="3123">
        <f>COUNTA(C15:G15)+COUNTA(I15)</f>
      </c>
      <c r="Q15" s="3123">
        <f>IF(F15=$S$1,5,6)</f>
      </c>
      <c r="S15" s="3291">
        <f>YEAR(D15)</f>
      </c>
      <c r="T15" s="3292" t="str">
        <f>IF(F15="","",F15+3)</f>
        <v/>
      </c>
      <c r="U15" s="3293">
        <f>IF(T15&gt;=$S$1,1,0)</f>
      </c>
      <c r="V15" s="3294" t="str">
        <f>IF(U15=1,H15,0)</f>
        <v/>
      </c>
      <c r="W15" s="3294">
        <f>IF(U15=1,I15,0)</f>
      </c>
      <c r="X15" s="3294" t="str">
        <f>IF(U15=1,J15,0)</f>
        <v/>
      </c>
      <c r="Z15" s="3293">
        <f>IF(U15=0,0,IF(AND(U15=1,J15&gt;0),1,0))</f>
      </c>
      <c r="AA15" s="3293">
        <f>Z15</f>
      </c>
      <c r="AB15" s="3293"/>
      <c r="AE15" s="3295">
        <f>E15-G15</f>
      </c>
      <c r="AF15" s="3293">
        <f>IF(AE15&lt;&gt;E15,AE15,0)</f>
      </c>
      <c r="AG15" s="3293">
        <f>IF(AND(AF15&lt;&gt;0,SUM(G16:G18)&lt;&gt;0),1,0)</f>
      </c>
    </row>
    <row r="16" spans="1:33" x14ac:dyDescent="0.2">
      <c r="B16" s="3276"/>
      <c r="C16" s="3284"/>
      <c r="D16" s="3285"/>
      <c r="E16" s="3289"/>
      <c r="F16" s="3296"/>
      <c r="G16" s="3289"/>
      <c r="H16" s="3288" t="str">
        <f>IF(AND(E16="",G16=""),"",IF(E16&lt;G16,"",IF(F16=ya,E16,E16-G16)))</f>
        <v/>
      </c>
      <c r="I16" s="3289"/>
      <c r="J16" s="3290" t="str">
        <f>IF(OR(H16="",I16=""),"",IF(H16&lt;I16,"",H16-I16))</f>
        <v/>
      </c>
      <c r="K16" s="3277" t="str">
        <f>IF($N$32=0,"",IF(AND($N$32&gt;0,G12&gt;=2,P16=0),re,IF(AND($N$32&gt;0,G12&lt;2),"",IF(AND($N$32&gt;0,G12&gt;1,P16&lt;Q16),"&lt; All Data!",IF(AND($N$32&gt;0,G12&gt;1,P16&gt;Q16),"&lt; Check!",IF(AND(G12&lt;2,P16&gt;0),"Check number of certificates!",IF(G16&gt;E16,"Credit utilised &gt; Approved!",IF(I16&gt;H16,"Credit utilised &gt; available",IF(F16&lt;2020,"Check YoA credit first utilised!","")))))))))</f>
        <v/>
      </c>
      <c r="L16" s="3277"/>
      <c r="M16" s="3123">
        <f>IF(K16="",0,1)</f>
      </c>
      <c r="N16" s="3123">
        <f>IF(P16&gt;0,1,0)</f>
      </c>
      <c r="P16" s="3123">
        <f>COUNTA(C16:G16)+COUNTA(I16)</f>
      </c>
      <c r="Q16" s="3123">
        <f>IF(F16=$S$1,5,6)</f>
      </c>
      <c r="S16" s="3291">
        <f>YEAR(D16)</f>
      </c>
      <c r="T16" s="3292" t="str">
        <f>IF(F16="","",F16+3)</f>
        <v/>
      </c>
      <c r="U16" s="3293">
        <f>IF(T16&gt;=$S$1,1,0)</f>
      </c>
      <c r="V16" s="3294" t="str">
        <f>IF(U16=1,H16,0)</f>
        <v/>
      </c>
      <c r="W16" s="3294">
        <f>IF(U16=1,I16,0)</f>
      </c>
      <c r="X16" s="3294" t="str">
        <f>IF(U16=1,J16,0)</f>
        <v/>
      </c>
      <c r="Z16" s="3293">
        <f>IF(U16=0,0,IF(AND(U16=1,J16&gt;0),1,0))</f>
      </c>
      <c r="AA16" s="3293">
        <f>IF(AA15+Z16&gt;0,1,0)</f>
      </c>
      <c r="AB16" s="3293">
        <f>IF(AND(AA15=1,I16&gt;0),1,0)</f>
      </c>
      <c r="AE16" s="3295">
        <f>E16-G16</f>
      </c>
      <c r="AF16" s="3293">
        <f>IF(AE16&lt;&gt;E16,AE16,0)</f>
      </c>
      <c r="AG16" s="3293">
        <f>IF(AND(AF16&lt;&gt;0,SUM(G17:G18)&lt;&gt;0),1,0)</f>
      </c>
    </row>
    <row r="17" spans="1:33" x14ac:dyDescent="0.2">
      <c r="B17" s="3276"/>
      <c r="C17" s="3284"/>
      <c r="D17" s="3285"/>
      <c r="E17" s="3289"/>
      <c r="F17" s="3296"/>
      <c r="G17" s="3289"/>
      <c r="H17" s="3288" t="str">
        <f>IF(AND(E17="",G17=""),"",IF(E17&lt;G17,"",IF(F17=ya,E17,E17-G17)))</f>
        <v/>
      </c>
      <c r="I17" s="3289"/>
      <c r="J17" s="3290" t="str">
        <f>IF(OR(H17="",I17=""),"",IF(H17&lt;I17,"",H17-I17))</f>
        <v/>
      </c>
      <c r="K17" s="3277" t="str">
        <f>IF($N$32=0,"",IF(AND($N$32&gt;0,G12&gt;=3,P17=0),re,IF(AND($N$32&gt;0,G12&lt;3),"",IF(AND($N$32&gt;0,P17&lt;Q17,G12&gt;=3),"&lt; All Data!",IF(AND($N$32&gt;0,P17&gt;Q17,G12&gt;=3),"&lt; Check!",IF(AND(G12&lt;3,P17&gt;0),"Check number of certificates!",IF(G17&gt;E17,"Credit utilised &gt; Approved!",IF(I17&gt;H17,"Credit utilised &gt; available",IF(F17&lt;2020,"Check YoA credit first utilised!","")))))))))</f>
        <v/>
      </c>
      <c r="L17" s="3277"/>
      <c r="M17" s="3123">
        <f>IF(K17="",0,1)</f>
      </c>
      <c r="N17" s="3123">
        <f>IF(P17&gt;0,1,0)</f>
      </c>
      <c r="P17" s="3123">
        <f>COUNTA(C17:G17)+COUNTA(I17)</f>
      </c>
      <c r="Q17" s="3123">
        <f>IF(F17=$S$1,5,6)</f>
      </c>
      <c r="S17" s="3291">
        <f>YEAR(D17)</f>
      </c>
      <c r="T17" s="3292" t="str">
        <f>IF(F17="","",F17+3)</f>
        <v/>
      </c>
      <c r="U17" s="3293">
        <f>IF(T17&gt;=$S$1,1,0)</f>
      </c>
      <c r="V17" s="3294" t="str">
        <f>IF(U17=1,H17,0)</f>
        <v/>
      </c>
      <c r="W17" s="3294">
        <f>IF(U17=1,I17,0)</f>
      </c>
      <c r="X17" s="3294" t="str">
        <f>IF(U17=1,J17,0)</f>
        <v/>
      </c>
      <c r="Z17" s="3293">
        <f>IF(U17=0,0,IF(AND(U17=1,J17&gt;0),1,0))</f>
      </c>
      <c r="AA17" s="3293">
        <f>IF(AA16+Z17&gt;0,1,0)</f>
      </c>
      <c r="AB17" s="3293">
        <f>IF(AND(AA16=1,I17&gt;0),1,0)</f>
      </c>
      <c r="AE17" s="3295">
        <f>E17-G17</f>
      </c>
      <c r="AF17" s="3293">
        <f>IF(AE17&lt;&gt;E17,AE17,0)</f>
      </c>
      <c r="AG17" s="3293">
        <f>IF(AND(AF17&lt;&gt;0,G18&lt;&gt;0),1,0)</f>
      </c>
    </row>
    <row r="18" spans="1:33" x14ac:dyDescent="0.2">
      <c r="B18" s="3276"/>
      <c r="C18" s="3284"/>
      <c r="D18" s="3285"/>
      <c r="E18" s="3289"/>
      <c r="F18" s="3296"/>
      <c r="G18" s="3289"/>
      <c r="H18" s="3288" t="str">
        <f>IF(AND(E18="",G18=""),"",IF(E18&lt;G18,"",IF(F18=ya,E18,E18-G18)))</f>
        <v/>
      </c>
      <c r="I18" s="3289"/>
      <c r="J18" s="3290" t="str">
        <f>IF(OR(H18="",I18=""),"",IF(H18&lt;I18,"",H18-I18))</f>
        <v/>
      </c>
      <c r="K18" s="3277" t="str">
        <f>IF($N$32=0,"",IF(AND($N$32&gt;0,G12&gt;=4,P18=0),re,IF(AND($N$32&gt;0,G12&lt;4),"",IF(AND($N$32&gt;0,P18&lt;Q18,G12&gt;=4),"&lt; All Data!",IF(AND($N$32&gt;0,P18&gt;Q18,G12&gt;=4),"&lt; Check!",IF(AND(G12&lt;4,P18&gt;0),"Check number of certificates!",IF(G18&gt;E18,"Credit utilised &gt; Approved!",IF(I18&gt;H18,"Credit utilised &gt; available",IF(F18&lt;2020,"Check YoA credit first utilised!","")))))))))</f>
        <v/>
      </c>
      <c r="L18" s="3277"/>
      <c r="M18" s="3123">
        <f>IF(K18="",0,1)</f>
      </c>
      <c r="N18" s="3123">
        <f>IF(P18&gt;0,1,0)</f>
      </c>
      <c r="P18" s="3123">
        <f>COUNTA(C18:G18)+COUNTA(I18)</f>
      </c>
      <c r="Q18" s="3123">
        <f>IF(F18=$S$1,5,6)</f>
      </c>
      <c r="S18" s="3291">
        <f>YEAR(D18)</f>
      </c>
      <c r="T18" s="3292" t="str">
        <f>IF(F18="","",F18+3)</f>
        <v/>
      </c>
      <c r="U18" s="3293">
        <f>IF(T18&gt;=$S$1,1,0)</f>
      </c>
      <c r="V18" s="3294" t="str">
        <f>IF(U18=1,H18,0)</f>
        <v/>
      </c>
      <c r="W18" s="3294">
        <f>IF(U18=1,I18,0)</f>
      </c>
      <c r="X18" s="3294" t="str">
        <f>IF(U18=1,J18,0)</f>
        <v/>
      </c>
      <c r="Z18" s="3293">
        <f>IF(U18=0,0,IF(AND(U18=1,J18&gt;0),1,0))</f>
      </c>
      <c r="AA18" s="3293">
        <f>IF(AA17+Z18&gt;0,1,0)</f>
      </c>
      <c r="AB18" s="3293">
        <f>IF(AND(AA17=1,I18&gt;0),1,0)</f>
      </c>
      <c r="AE18" s="3295">
        <f>E18-G18</f>
      </c>
      <c r="AF18" s="3293">
        <f>IF(AE18&lt;&gt;E18,AE18,0)</f>
      </c>
      <c r="AG18" s="3293"/>
    </row>
    <row r="19" spans="1:33" x14ac:dyDescent="0.2">
      <c r="B19" s="3275"/>
      <c r="C19" s="3275" t="s">
        <v>9217</v>
      </c>
      <c r="D19" s="3265"/>
      <c r="E19" s="3297">
        <f>SUM(E15:E18)</f>
      </c>
      <c r="F19" s="3298" t="str">
        <f>IF(AND(W4=V4,E19&gt;W5),"Credit exceeds €200,000","")</f>
        <v/>
      </c>
      <c r="G19" s="3265"/>
      <c r="H19" s="3265"/>
      <c r="I19" s="3265"/>
      <c r="J19" s="3265"/>
      <c r="K19" s="3277"/>
      <c r="L19" s="3277"/>
      <c r="M19" s="3123">
        <f>IF(F19="",0,1)</f>
      </c>
      <c r="N19" s="3123">
        <f>SUM(N15:N18)</f>
      </c>
      <c r="P19" s="3123"/>
      <c r="V19" s="3295">
        <f>SUM(V15:V18)</f>
      </c>
      <c r="W19" s="3295">
        <f>SUM(W15:W18)</f>
      </c>
      <c r="X19" s="3295">
        <f>SUM(X15:X18)</f>
      </c>
      <c r="AA19" s="3293">
        <f>SUM(AA15:AA18)</f>
      </c>
      <c r="AB19" s="3293">
        <f>SUM(AB15:AB18)</f>
      </c>
      <c r="AG19" s="3293">
        <f>SUM(AG15:AG18)</f>
      </c>
    </row>
    <row r="20" spans="1:33" x14ac:dyDescent="0.2">
      <c r="B20" s="3275"/>
      <c r="C20" s="3123" t="s">
        <v>7159</v>
      </c>
      <c r="G20" s="3297">
        <f>SUM(G15:G18)</f>
      </c>
      <c r="H20" s="3299" t="str">
        <f>IF(AG19&gt;=1,"Check utilisation of previous credit!","")</f>
        <v/>
      </c>
      <c r="K20" s="3277"/>
      <c r="L20" s="3277"/>
      <c r="P20" s="3123"/>
    </row>
    <row r="21" spans="1:33" x14ac:dyDescent="0.2">
      <c r="B21" s="3275"/>
      <c r="C21" s="3275" t="s">
        <v>7332</v>
      </c>
      <c r="D21" s="3265"/>
      <c r="E21" s="3265"/>
      <c r="F21" s="3265"/>
      <c r="G21" s="3265"/>
      <c r="H21" s="3297">
        <f>V19</f>
      </c>
      <c r="I21" s="3265"/>
      <c r="J21" s="3265"/>
      <c r="K21" s="3277"/>
      <c r="L21" s="3277"/>
      <c r="P21" s="3123"/>
    </row>
    <row r="22" spans="1:33" x14ac:dyDescent="0.2">
      <c r="B22" s="3300"/>
      <c r="C22" s="3275" t="s">
        <v>7157</v>
      </c>
      <c r="D22" s="3265"/>
      <c r="E22" s="3265"/>
      <c r="F22" s="3275"/>
      <c r="G22" s="3275"/>
      <c r="H22" s="3360"/>
      <c r="I22" s="3297">
        <f>W19</f>
      </c>
      <c r="J22" s="3298" t="str">
        <f>IF(AB19&gt;0,"Check order of utilisation of credit!","")</f>
        <v/>
      </c>
      <c r="K22" s="3275"/>
      <c r="L22" s="3277"/>
      <c r="M22" s="3123">
        <f>IF(J22="",0,1)</f>
      </c>
      <c r="P22" s="3123"/>
    </row>
    <row r="23" spans="1:33" x14ac:dyDescent="0.2">
      <c r="B23" s="3300"/>
      <c r="C23" s="3300" t="s">
        <v>7158</v>
      </c>
      <c r="D23" s="3300"/>
      <c r="E23" s="3300"/>
      <c r="F23" s="3300"/>
      <c r="G23" s="3300"/>
      <c r="H23" s="3300"/>
      <c r="I23" s="3300"/>
      <c r="J23" s="3297">
        <f>X19</f>
      </c>
      <c r="K23" s="3275"/>
      <c r="L23" s="3277"/>
      <c r="P23" s="3123"/>
      <c r="V23" s="3265"/>
      <c r="W23" s="3301"/>
      <c r="X23" s="3301"/>
      <c r="Y23" s="3302"/>
    </row>
    <row r="24" spans="1:33" x14ac:dyDescent="0.2">
      <c r="A24" s="3300"/>
      <c r="B24" s="3300"/>
      <c r="C24" s="3300"/>
      <c r="D24" s="3300"/>
      <c r="E24" s="3300"/>
      <c r="F24" s="3300"/>
      <c r="G24" s="3300"/>
      <c r="H24" s="3300"/>
      <c r="I24" s="3300"/>
      <c r="J24" s="3300"/>
      <c r="K24" s="3275"/>
      <c r="P24" s="3123"/>
      <c r="T24" s="5367" t="s">
        <v>7073</v>
      </c>
      <c r="U24" s="5367"/>
      <c r="V24" s="5367"/>
    </row>
    <row r="25" spans="1:33" x14ac:dyDescent="0.2">
      <c r="A25" s="3300"/>
      <c r="B25" s="3303" t="s">
        <v>5708</v>
      </c>
      <c r="C25" s="3304"/>
      <c r="D25" s="3304"/>
      <c r="E25" s="3304"/>
      <c r="F25" s="3304"/>
      <c r="G25" s="3304"/>
      <c r="H25" s="3304"/>
      <c r="I25" s="3361"/>
      <c r="J25" s="3305"/>
      <c r="K25" s="3306" t="str">
        <f>IF(N32=0,"",IF(AND(I22&gt;=0,J25=""),re,IF(AND(I22=0,J25&gt;0),"No tax credit claimed for the year!",IF(AND(I22&gt;0,J25=0),"Amount relieved by tax credit required!",IF(J25&lt;0,"Cannot be negative!",IF(OR(J25&gt;T25+1,J25&lt;U25-1),V25,""))))))</f>
        <v/>
      </c>
      <c r="M25" s="3123">
        <f>IF(K25="",0,1)</f>
      </c>
      <c r="N25" s="3123">
        <f>IF(J25&gt;0,1,0)</f>
      </c>
      <c r="P25" s="3123"/>
      <c r="T25" s="3307">
        <f>ROUND(I22/5%,0)</f>
      </c>
      <c r="U25" s="3308">
        <f>ROUND(I22/0.35,0)</f>
      </c>
      <c r="V25" s="3309" t="s">
        <v>4787</v>
      </c>
    </row>
    <row r="26" spans="1:33" x14ac:dyDescent="0.2">
      <c r="P26" s="3123"/>
    </row>
    <row r="27" spans="1:33" x14ac:dyDescent="0.2">
      <c r="D27" s="3275" t="s">
        <v>7134</v>
      </c>
      <c r="E27" s="3275"/>
      <c r="G27" s="3265"/>
      <c r="H27" s="3265"/>
      <c r="I27" s="3310"/>
      <c r="J27" s="1879" t="str">
        <f>IF(N32=0,"",IF(I27="",re,IF(AND(I27=n,N32&gt;0),nob,"")))</f>
        <v/>
      </c>
      <c r="M27" s="3123">
        <f>IF(J27="",0,1)</f>
      </c>
      <c r="N27" s="3123">
        <f>IF(I27&gt;0,1,0)</f>
      </c>
      <c r="P27" s="3123"/>
    </row>
    <row r="28" spans="1:33" ht="12" customHeight="1" x14ac:dyDescent="0.2">
      <c r="P28" s="3123"/>
    </row>
    <row r="29" spans="1:33" ht="12" hidden="1" customHeight="1" x14ac:dyDescent="0.2">
      <c r="B29" s="1857"/>
      <c r="C29" s="1857"/>
      <c r="D29" s="1857"/>
      <c r="E29" s="1857"/>
      <c r="G29" s="3276"/>
      <c r="H29" s="3276"/>
      <c r="J29" s="1879"/>
      <c r="L29" s="3277"/>
      <c r="P29" s="3123"/>
    </row>
    <row r="30" spans="1:33" ht="12" hidden="1" customHeight="1" x14ac:dyDescent="0.2">
      <c r="P30" s="3123"/>
    </row>
    <row r="31" spans="1:33" ht="12" hidden="1" customHeight="1" x14ac:dyDescent="0.2">
      <c r="B31" s="3300"/>
      <c r="C31" s="3300"/>
      <c r="D31" s="3300"/>
      <c r="E31" s="3300"/>
      <c r="F31" s="3300"/>
      <c r="G31" s="3300"/>
      <c r="H31" s="3300"/>
      <c r="I31" s="3300"/>
      <c r="J31" s="3300"/>
      <c r="K31" s="3275"/>
      <c r="L31" s="3277"/>
      <c r="P31" s="3123"/>
    </row>
    <row r="32" spans="1:33" hidden="1" x14ac:dyDescent="0.2">
      <c r="K32" s="3275"/>
      <c r="M32" s="3311">
        <f>SUM(M5:M31)</f>
      </c>
      <c r="N32" s="3311">
        <f>SUM(N5:N31)</f>
      </c>
    </row>
    <row r="33" spans="2:33" x14ac:dyDescent="0.2">
      <c r="B33" s="1857" t="str">
        <f>_xlfn.SINGLE(MTCA)</f>
      </c>
      <c r="D33" s="3276"/>
      <c r="E33" s="3276"/>
      <c r="F33" s="3276"/>
      <c r="G33" s="3276" t="str">
        <f>ver</f>
        <v>TA2_e-CO_2025_Ver 1.1</v>
      </c>
      <c r="K33" s="3276" t="s">
        <v>10001</v>
      </c>
      <c r="P33" s="3123"/>
    </row>
    <row r="34" spans="2:33" x14ac:dyDescent="0.2">
      <c r="B34" s="1857"/>
      <c r="D34" s="3276"/>
      <c r="E34" s="3276"/>
      <c r="F34" s="3276"/>
      <c r="G34" s="3276"/>
      <c r="K34" s="3276"/>
      <c r="P34" s="3123"/>
    </row>
    <row r="35" spans="2:33" ht="14.25" x14ac:dyDescent="0.2">
      <c r="B35" s="3585">
        <v>2</v>
      </c>
      <c r="C35" s="5368" t="s">
        <v>9998</v>
      </c>
      <c r="D35" s="5368"/>
      <c r="E35" s="5368"/>
      <c r="F35" s="5368"/>
      <c r="G35" s="5368"/>
      <c r="H35" s="5368"/>
      <c r="I35" s="5368"/>
      <c r="J35" s="5368"/>
      <c r="K35" s="5368"/>
      <c r="R35" s="3272"/>
    </row>
    <row r="36" spans="2:33" x14ac:dyDescent="0.2">
      <c r="R36" s="3272"/>
    </row>
    <row r="37" spans="2:33" x14ac:dyDescent="0.2">
      <c r="F37" s="3265" t="s">
        <v>9984</v>
      </c>
      <c r="G37" s="3586"/>
      <c r="H37" s="3277" t="str">
        <f>IF(AND($W$1="y",G37="",N59&gt;0),re,IF(AND($W$1="n",G37&lt;&gt;""),"Delete!",""))</f>
        <v/>
      </c>
      <c r="M37" s="3123">
        <f>IF(H37="",0,1)</f>
      </c>
      <c r="N37" s="3123">
        <f>IF(G37="",0,1)</f>
      </c>
      <c r="P37" s="3123">
        <f>IF(AND($W$1="n",G37&lt;&gt;""),1,0)</f>
      </c>
      <c r="R37" s="3272"/>
    </row>
    <row r="38" spans="2:33" x14ac:dyDescent="0.2">
      <c r="R38" s="3272"/>
    </row>
    <row r="39" spans="2:33" x14ac:dyDescent="0.2">
      <c r="D39" s="3276"/>
      <c r="E39" s="3276"/>
      <c r="F39" s="3265" t="s">
        <v>9999</v>
      </c>
      <c r="G39" s="3457"/>
      <c r="H39" s="3277" t="str">
        <f>IF(AND($W$1="n",$N$59&gt;0),"Check pg2 q30!",IF(AND(N59&gt;0,G39=""),re,IF(G39&lt;&gt;N46,"Check number of certificates!","")))</f>
        <v/>
      </c>
      <c r="M39" s="3123">
        <f>IF(H39="",0,1)</f>
      </c>
      <c r="N39" s="3123">
        <f>IF(G39="",0,1)</f>
      </c>
      <c r="T39" s="3278"/>
      <c r="U39" s="3265"/>
      <c r="V39" s="3272"/>
      <c r="W39" s="3272"/>
    </row>
    <row r="40" spans="2:33" x14ac:dyDescent="0.2">
      <c r="B40" s="3276"/>
      <c r="C40" s="3276"/>
      <c r="D40" s="3276"/>
      <c r="E40" s="3276"/>
      <c r="F40" s="3276"/>
      <c r="G40" s="3276"/>
      <c r="H40" s="3276"/>
      <c r="I40" s="3276"/>
      <c r="J40" s="3276"/>
      <c r="K40" s="3276"/>
      <c r="L40" s="3277"/>
      <c r="P40" s="3123"/>
      <c r="U40" s="3265"/>
      <c r="V40" s="3272"/>
      <c r="W40" s="3272"/>
      <c r="AE40" s="3123" t="s">
        <v>7176</v>
      </c>
    </row>
    <row r="41" spans="2:33" ht="68.25" customHeight="1" x14ac:dyDescent="0.2">
      <c r="B41" s="3276"/>
      <c r="C41" s="3279" t="s">
        <v>9215</v>
      </c>
      <c r="D41" s="3279" t="s">
        <v>7155</v>
      </c>
      <c r="E41" s="3279" t="s">
        <v>7156</v>
      </c>
      <c r="F41" s="3279" t="s">
        <v>9241</v>
      </c>
      <c r="G41" s="3279" t="s">
        <v>7159</v>
      </c>
      <c r="H41" s="3279" t="s">
        <v>7174</v>
      </c>
      <c r="I41" s="3279" t="s">
        <v>7157</v>
      </c>
      <c r="J41" s="3279" t="s">
        <v>7158</v>
      </c>
      <c r="K41" s="3277"/>
      <c r="L41" s="3277"/>
      <c r="P41" s="3123" t="s">
        <v>7017</v>
      </c>
      <c r="Q41" s="3280" t="s">
        <v>7173</v>
      </c>
      <c r="S41" s="3281" t="s">
        <v>9216</v>
      </c>
      <c r="T41" s="3281" t="s">
        <v>7162</v>
      </c>
      <c r="U41" s="3281" t="s">
        <v>7169</v>
      </c>
      <c r="V41" s="3282" t="s">
        <v>7163</v>
      </c>
      <c r="W41" s="3283" t="s">
        <v>7164</v>
      </c>
      <c r="X41" s="3282" t="s">
        <v>7165</v>
      </c>
      <c r="Z41" s="3281" t="s">
        <v>7168</v>
      </c>
      <c r="AA41" s="3281" t="s">
        <v>7175</v>
      </c>
      <c r="AB41" s="3281" t="s">
        <v>7170</v>
      </c>
      <c r="AE41" s="3123" t="s">
        <v>7177</v>
      </c>
    </row>
    <row r="42" spans="2:33" x14ac:dyDescent="0.2">
      <c r="B42" s="3276"/>
      <c r="C42" s="3284"/>
      <c r="D42" s="3285"/>
      <c r="E42" s="3286"/>
      <c r="F42" s="3287"/>
      <c r="G42" s="3286"/>
      <c r="H42" s="3288" t="str">
        <f>IF(AND(E42="",G42=""),"",IF(E42&lt;G42,"",IF(F42=ya,E42,E42-G42)))</f>
        <v/>
      </c>
      <c r="I42" s="3289"/>
      <c r="J42" s="3290" t="str">
        <f>IF(OR(H42="",I42=""),"",IF(H42&lt;I42,"",H42-I42))</f>
        <v/>
      </c>
      <c r="K42" s="3277" t="str">
        <f>IF($N$59=0,"",IF(AND($N$59&gt;0,P42=0),re,IF(P42&lt;Q42,"&lt; All Data!",IF(P42&gt;Q42,"&lt; Check!",IF(G42&gt;E42,"Credit utilised &gt; Approved!",IF(I42&gt;H42,"Credit utilised &gt; available!",IF(F42&lt;2020,"Check YoA credit first utilised!","")))))))</f>
        <v/>
      </c>
      <c r="L42" s="3277"/>
      <c r="M42" s="3123">
        <f>IF(K42="",0,1)</f>
      </c>
      <c r="N42" s="3123">
        <f>IF(P42&gt;0,1,0)</f>
      </c>
      <c r="P42" s="3123">
        <f>COUNTA(C42:G42)+COUNTA(I42)</f>
      </c>
      <c r="Q42" s="3123">
        <f>IF(F42=$S$1,5,6)</f>
      </c>
      <c r="S42" s="3291">
        <f>YEAR(D42)</f>
      </c>
      <c r="T42" s="3292" t="str">
        <f>IF(F42="","",F42+3)</f>
        <v/>
      </c>
      <c r="U42" s="3293">
        <f>IF(T42&gt;=$S$1,1,0)</f>
      </c>
      <c r="V42" s="3294" t="str">
        <f>IF(U42=1,H42,0)</f>
        <v/>
      </c>
      <c r="W42" s="3294">
        <f>IF(U42=1,I42,0)</f>
      </c>
      <c r="X42" s="3294" t="str">
        <f>IF(U42=1,J42,0)</f>
        <v/>
      </c>
      <c r="Z42" s="3293">
        <f>IF(U42=0,0,IF(AND(U42=1,J42&gt;0),1,0))</f>
      </c>
      <c r="AA42" s="3293">
        <f>Z42</f>
      </c>
      <c r="AB42" s="3293"/>
      <c r="AE42" s="3295">
        <f>E42-G42</f>
      </c>
      <c r="AF42" s="3293">
        <f>IF(AE42&lt;&gt;E42,AE42,0)</f>
      </c>
      <c r="AG42" s="3293">
        <f>IF(AND(AF42&lt;&gt;0,SUM(G43:G45)&lt;&gt;0),1,0)</f>
      </c>
    </row>
    <row r="43" spans="2:33" x14ac:dyDescent="0.2">
      <c r="B43" s="3276"/>
      <c r="C43" s="3284"/>
      <c r="D43" s="3285"/>
      <c r="E43" s="3289"/>
      <c r="F43" s="3296"/>
      <c r="G43" s="3289"/>
      <c r="H43" s="3288" t="str">
        <f>IF(AND(E43="",G43=""),"",IF(E43&lt;G43,"",IF(F43=ya,E43,E43-G43)))</f>
        <v/>
      </c>
      <c r="I43" s="3289"/>
      <c r="J43" s="3290" t="str">
        <f>IF(OR(H43="",I43=""),"",IF(H43&lt;I43,"",H43-I43))</f>
        <v/>
      </c>
      <c r="K43" s="3277" t="str">
        <f>IF($N$59=0,"",IF(AND($N$59&gt;0,G39&gt;=2,P43=0),re,IF(AND($N$59&gt;0,G39&lt;2),"",IF(AND($N$59&gt;0,G39&gt;1,P43&lt;Q43),"&lt; All Data!",IF(AND($N$59&gt;0,G39&gt;1,P43&gt;Q43),"&lt; Check!",IF(AND(G39&lt;2,P43&gt;0),"Check number of certificates!",IF(G43&gt;E43,"Credit utilised &gt; Approved!",IF(I43&gt;H43,"Credit utilised &gt; available",IF(F43&lt;2020,"Check YoA credit first utilised!","")))))))))</f>
        <v/>
      </c>
      <c r="L43" s="3277"/>
      <c r="M43" s="3123">
        <f>IF(K43="",0,1)</f>
      </c>
      <c r="N43" s="3123">
        <f>IF(P43&gt;0,1,0)</f>
      </c>
      <c r="P43" s="3123">
        <f>COUNTA(C43:G43)+COUNTA(I43)</f>
      </c>
      <c r="Q43" s="3123">
        <f>IF(F43=$S$1,5,6)</f>
      </c>
      <c r="S43" s="3291">
        <f>YEAR(D43)</f>
      </c>
      <c r="T43" s="3292" t="str">
        <f>IF(F43="","",F43+3)</f>
        <v/>
      </c>
      <c r="U43" s="3293">
        <f>IF(T43&gt;=$S$1,1,0)</f>
      </c>
      <c r="V43" s="3294" t="str">
        <f>IF(U43=1,H43,0)</f>
        <v/>
      </c>
      <c r="W43" s="3294">
        <f>IF(U43=1,I43,0)</f>
      </c>
      <c r="X43" s="3294" t="str">
        <f>IF(U43=1,J43,0)</f>
        <v/>
      </c>
      <c r="Z43" s="3293">
        <f>IF(U43=0,0,IF(AND(U43=1,J43&gt;0),1,0))</f>
      </c>
      <c r="AA43" s="3293">
        <f>IF(AA42+Z43&gt;0,1,0)</f>
      </c>
      <c r="AB43" s="3293">
        <f>IF(AND(AA42=1,I43&gt;0),1,0)</f>
      </c>
      <c r="AE43" s="3295">
        <f>E43-G43</f>
      </c>
      <c r="AF43" s="3293">
        <f>IF(AE43&lt;&gt;E43,AE43,0)</f>
      </c>
      <c r="AG43" s="3293">
        <f>IF(AND(AF43&lt;&gt;0,SUM(G44:G45)&lt;&gt;0),1,0)</f>
      </c>
    </row>
    <row r="44" spans="2:33" x14ac:dyDescent="0.2">
      <c r="B44" s="3276"/>
      <c r="C44" s="3284"/>
      <c r="D44" s="3285"/>
      <c r="E44" s="3289"/>
      <c r="F44" s="3296"/>
      <c r="G44" s="3289"/>
      <c r="H44" s="3288" t="str">
        <f>IF(AND(E44="",G44=""),"",IF(E44&lt;G44,"",IF(F44=ya,E44,E44-G44)))</f>
        <v/>
      </c>
      <c r="I44" s="3289"/>
      <c r="J44" s="3290" t="str">
        <f>IF(OR(H44="",I44=""),"",IF(H44&lt;I44,"",H44-I44))</f>
        <v/>
      </c>
      <c r="K44" s="3277" t="str">
        <f>IF($N$59=0,"",IF(AND($N$59&gt;0,G39&gt;=3,P44=0),re,IF(AND($N$59&gt;0,G39&lt;3),"",IF(AND($N$59&gt;0,P44&lt;Q44,G39&gt;=3),"&lt; All Data!",IF(AND($N$59&gt;0,P44&gt;Q44,G39&gt;=3),"&lt; Check!",IF(AND(G39&lt;3,P44&gt;0),"Check number of certificates!",IF(G44&gt;E44,"Credit utilised &gt; Approved!",IF(I44&gt;H44,"Credit utilised &gt; available",IF(F44&lt;2020,"Check YoA credit first utilised!","")))))))))</f>
        <v/>
      </c>
      <c r="L44" s="3277"/>
      <c r="M44" s="3123">
        <f>IF(K44="",0,1)</f>
      </c>
      <c r="N44" s="3123">
        <f>IF(P44&gt;0,1,0)</f>
      </c>
      <c r="P44" s="3123">
        <f>COUNTA(C44:G44)+COUNTA(I44)</f>
      </c>
      <c r="Q44" s="3123">
        <f>IF(F44=$S$1,5,6)</f>
      </c>
      <c r="S44" s="3291">
        <f>YEAR(D44)</f>
      </c>
      <c r="T44" s="3292" t="str">
        <f>IF(F44="","",F44+3)</f>
        <v/>
      </c>
      <c r="U44" s="3293">
        <f>IF(T44&gt;=$S$1,1,0)</f>
      </c>
      <c r="V44" s="3294" t="str">
        <f>IF(U44=1,H44,0)</f>
        <v/>
      </c>
      <c r="W44" s="3294">
        <f>IF(U44=1,I44,0)</f>
      </c>
      <c r="X44" s="3294" t="str">
        <f>IF(U44=1,J44,0)</f>
        <v/>
      </c>
      <c r="Z44" s="3293">
        <f>IF(U44=0,0,IF(AND(U44=1,J44&gt;0),1,0))</f>
      </c>
      <c r="AA44" s="3293">
        <f>IF(AA43+Z44&gt;0,1,0)</f>
      </c>
      <c r="AB44" s="3293">
        <f>IF(AND(AA43=1,I44&gt;0),1,0)</f>
      </c>
      <c r="AE44" s="3295">
        <f>E44-G44</f>
      </c>
      <c r="AF44" s="3293">
        <f>IF(AE44&lt;&gt;E44,AE44,0)</f>
      </c>
      <c r="AG44" s="3293">
        <f>IF(AND(AF44&lt;&gt;0,G45&lt;&gt;0),1,0)</f>
      </c>
    </row>
    <row r="45" spans="2:33" x14ac:dyDescent="0.2">
      <c r="B45" s="3276"/>
      <c r="C45" s="3284"/>
      <c r="D45" s="3285"/>
      <c r="E45" s="3289"/>
      <c r="F45" s="3296"/>
      <c r="G45" s="3289"/>
      <c r="H45" s="3288" t="str">
        <f>IF(AND(E45="",G45=""),"",IF(E45&lt;G45,"",IF(F45=ya,E45,E45-G45)))</f>
        <v/>
      </c>
      <c r="I45" s="3289"/>
      <c r="J45" s="3290" t="str">
        <f>IF(OR(H45="",I45=""),"",IF(H45&lt;I45,"",H45-I45))</f>
        <v/>
      </c>
      <c r="K45" s="3277" t="str">
        <f>IF($N$59=0,"",IF(AND($N$59&gt;0,G39&gt;=4,P45=0),re,IF(AND($N$59&gt;0,G39&lt;4),"",IF(AND($N$59&gt;0,P45&lt;Q45,G39&gt;=4),"&lt; All Data!",IF(AND($N$59&gt;0,P45&gt;Q45,G39&gt;=4),"&lt; Check!",IF(AND(G39&lt;4,P45&gt;0),"Check number of certificates!",IF(G45&gt;E45,"Credit utilised &gt; Approved!",IF(I45&gt;H45,"Credit utilised &gt; available",IF(F45&lt;2020,"Check YoA credit first utilised!","")))))))))</f>
        <v/>
      </c>
      <c r="L45" s="3277"/>
      <c r="M45" s="3123">
        <f>IF(K45="",0,1)</f>
      </c>
      <c r="N45" s="3123">
        <f>IF(P45&gt;0,1,0)</f>
      </c>
      <c r="P45" s="3123">
        <f>COUNTA(C45:G45)+COUNTA(I45)</f>
      </c>
      <c r="Q45" s="3123">
        <f>IF(F45=$S$1,5,6)</f>
      </c>
      <c r="S45" s="3291">
        <f>YEAR(D45)</f>
      </c>
      <c r="T45" s="3292" t="str">
        <f>IF(F45="","",F45+3)</f>
        <v/>
      </c>
      <c r="U45" s="3293">
        <f>IF(T45&gt;=$S$1,1,0)</f>
      </c>
      <c r="V45" s="3294" t="str">
        <f>IF(U45=1,H45,0)</f>
        <v/>
      </c>
      <c r="W45" s="3294">
        <f>IF(U45=1,I45,0)</f>
      </c>
      <c r="X45" s="3294" t="str">
        <f>IF(U45=1,J45,0)</f>
        <v/>
      </c>
      <c r="Z45" s="3293">
        <f>IF(U45=0,0,IF(AND(U45=1,J45&gt;0),1,0))</f>
      </c>
      <c r="AA45" s="3293">
        <f>IF(AA44+Z45&gt;0,1,0)</f>
      </c>
      <c r="AB45" s="3293">
        <f>IF(AND(AA44=1,I45&gt;0),1,0)</f>
      </c>
      <c r="AE45" s="3295">
        <f>E45-G45</f>
      </c>
      <c r="AF45" s="3293">
        <f>IF(AE45&lt;&gt;E45,AE45,0)</f>
      </c>
      <c r="AG45" s="3293"/>
    </row>
    <row r="46" spans="2:33" x14ac:dyDescent="0.2">
      <c r="B46" s="3275"/>
      <c r="C46" s="3275" t="s">
        <v>9217</v>
      </c>
      <c r="D46" s="3265"/>
      <c r="E46" s="3297">
        <f>SUM(E42:E45)</f>
      </c>
      <c r="F46" s="3298" t="str">
        <f>IF(AND(W4=V4,E46&gt;W5),"Credit exceeds €200,000","")</f>
        <v/>
      </c>
      <c r="G46" s="3265"/>
      <c r="H46" s="3265"/>
      <c r="I46" s="3265"/>
      <c r="J46" s="3265"/>
      <c r="K46" s="3277"/>
      <c r="L46" s="3277"/>
      <c r="M46" s="3123">
        <f>IF(F46="",0,1)</f>
      </c>
      <c r="N46" s="3123">
        <f>SUM(N42:N45)</f>
      </c>
      <c r="P46" s="3123"/>
      <c r="V46" s="3295">
        <f>SUM(V42:V45)</f>
      </c>
      <c r="W46" s="3295">
        <f>SUM(W42:W45)</f>
      </c>
      <c r="X46" s="3295">
        <f>SUM(X42:X45)</f>
      </c>
      <c r="AA46" s="3293">
        <f>SUM(AA42:AA45)</f>
      </c>
      <c r="AB46" s="3293">
        <f>SUM(AB42:AB45)</f>
      </c>
      <c r="AG46" s="3293">
        <f>SUM(AG42:AG45)</f>
      </c>
    </row>
    <row r="47" spans="2:33" x14ac:dyDescent="0.2">
      <c r="B47" s="3275"/>
      <c r="C47" s="3123" t="s">
        <v>7159</v>
      </c>
      <c r="G47" s="3297">
        <f>SUM(G42:G45)</f>
      </c>
      <c r="H47" s="3299" t="str">
        <f>IF(AG46&gt;=1,"Check utilisation of previous credit!","")</f>
        <v/>
      </c>
      <c r="K47" s="3277"/>
      <c r="L47" s="3277"/>
      <c r="P47" s="3123"/>
    </row>
    <row r="48" spans="2:33" x14ac:dyDescent="0.2">
      <c r="B48" s="3275"/>
      <c r="C48" s="3275" t="s">
        <v>7332</v>
      </c>
      <c r="D48" s="3265"/>
      <c r="E48" s="3265"/>
      <c r="F48" s="3265"/>
      <c r="G48" s="3265"/>
      <c r="H48" s="3297">
        <f>V46</f>
      </c>
      <c r="I48" s="3265"/>
      <c r="J48" s="3265"/>
      <c r="K48" s="3277"/>
      <c r="L48" s="3277"/>
      <c r="P48" s="3123"/>
    </row>
    <row r="49" spans="1:25" x14ac:dyDescent="0.2">
      <c r="B49" s="3300"/>
      <c r="C49" s="3275" t="s">
        <v>7157</v>
      </c>
      <c r="D49" s="3265"/>
      <c r="E49" s="3265"/>
      <c r="F49" s="3275"/>
      <c r="G49" s="3275"/>
      <c r="H49" s="3360"/>
      <c r="I49" s="3297">
        <f>W46</f>
      </c>
      <c r="J49" s="3298" t="str">
        <f>IF(AND($W$1="n",I49&gt;0,$N$59&gt;0),"Check pg2 q30!",IF(AB46&gt;0,"Check order of utilisation of credit!",""))</f>
        <v/>
      </c>
      <c r="K49" s="3275"/>
      <c r="L49" s="3277"/>
      <c r="M49" s="3123">
        <f>IF(J49="",0,1)</f>
      </c>
      <c r="P49" s="3123"/>
    </row>
    <row r="50" spans="1:25" x14ac:dyDescent="0.2">
      <c r="B50" s="3300"/>
      <c r="C50" s="3300" t="s">
        <v>7158</v>
      </c>
      <c r="D50" s="3300"/>
      <c r="E50" s="3300"/>
      <c r="F50" s="3300"/>
      <c r="G50" s="3300"/>
      <c r="H50" s="3300"/>
      <c r="I50" s="3300"/>
      <c r="J50" s="3297">
        <f>X46</f>
      </c>
      <c r="K50" s="3275"/>
      <c r="L50" s="3277"/>
      <c r="P50" s="3123"/>
      <c r="V50" s="3265"/>
      <c r="W50" s="3301"/>
      <c r="X50" s="3301"/>
      <c r="Y50" s="3302"/>
    </row>
    <row r="51" spans="1:25" x14ac:dyDescent="0.2">
      <c r="A51" s="3300"/>
      <c r="B51" s="3300"/>
      <c r="C51" s="3300"/>
      <c r="D51" s="3300"/>
      <c r="E51" s="3300"/>
      <c r="F51" s="3300"/>
      <c r="G51" s="3300"/>
      <c r="H51" s="3300"/>
      <c r="I51" s="3300"/>
      <c r="J51" s="3300"/>
      <c r="K51" s="3275"/>
      <c r="P51" s="3123"/>
      <c r="T51" s="5367" t="s">
        <v>7073</v>
      </c>
      <c r="U51" s="5367"/>
      <c r="V51" s="5367"/>
    </row>
    <row r="52" spans="1:25" x14ac:dyDescent="0.2">
      <c r="A52" s="3300"/>
      <c r="B52" s="3303" t="s">
        <v>5708</v>
      </c>
      <c r="C52" s="3304"/>
      <c r="D52" s="3304"/>
      <c r="E52" s="3304"/>
      <c r="F52" s="3304"/>
      <c r="G52" s="3304"/>
      <c r="H52" s="3304"/>
      <c r="I52" s="3361"/>
      <c r="J52" s="3305"/>
      <c r="K52" s="3306" t="str">
        <f>IF(AND($W$1="n",J52&gt;0,$N$59&gt;0),"Check pg2 q30!",IF(N59=0,"",IF(AND(I49&gt;=0,J52=""),re,IF(AND(I49=0,J52&gt;0),"No tax credit claimed for the year!",IF(AND(I49&gt;0,J52=0),"Amount relieved by tax credit required!",IF(J52&lt;0,"Cannot be negative!",IF(OR(J52&gt;T52+1,J52&lt;U52-1),V52,"")))))))</f>
        <v/>
      </c>
      <c r="M52" s="3123">
        <f>IF(K52="",0,1)</f>
      </c>
      <c r="N52" s="3123">
        <f>IF(J52&gt;0,1,0)</f>
      </c>
      <c r="P52" s="3123"/>
      <c r="T52" s="3307">
        <f>ROUND(I49/5%,0)</f>
      </c>
      <c r="U52" s="3308">
        <f>ROUND(I49/0.35,0)</f>
      </c>
      <c r="V52" s="3309" t="s">
        <v>4787</v>
      </c>
    </row>
    <row r="53" spans="1:25" x14ac:dyDescent="0.2">
      <c r="P53" s="3123"/>
    </row>
    <row r="54" spans="1:25" x14ac:dyDescent="0.2">
      <c r="D54" s="3275" t="s">
        <v>7134</v>
      </c>
      <c r="E54" s="3275"/>
      <c r="G54" s="3265"/>
      <c r="H54" s="3265"/>
      <c r="I54" s="3310"/>
      <c r="J54" s="1879" t="str">
        <f>IF(N59=0,"",IF(I54="",re,IF(AND(I54=n,N59&gt;0),nob,"")))</f>
        <v/>
      </c>
      <c r="M54" s="3123">
        <f>IF(J54="",0,1)</f>
      </c>
      <c r="N54" s="3123">
        <f>IF(I54&gt;0,1,0)</f>
      </c>
      <c r="P54" s="3123"/>
    </row>
    <row r="55" spans="1:25" x14ac:dyDescent="0.2">
      <c r="P55" s="3123"/>
    </row>
    <row r="56" spans="1:25" hidden="1" x14ac:dyDescent="0.2">
      <c r="B56" s="1857"/>
      <c r="C56" s="1857"/>
      <c r="D56" s="1857"/>
      <c r="G56" s="3276"/>
      <c r="H56" s="3276"/>
      <c r="P56" s="3123"/>
    </row>
    <row r="57" spans="1:25" hidden="1" x14ac:dyDescent="0.2">
      <c r="P57" s="3123"/>
    </row>
    <row r="58" spans="1:25" hidden="1" x14ac:dyDescent="0.2">
      <c r="B58" s="3300"/>
      <c r="C58" s="3300"/>
      <c r="D58" s="3300"/>
      <c r="E58" s="3300"/>
      <c r="F58" s="3300"/>
      <c r="G58" s="3300"/>
      <c r="H58" s="3300"/>
      <c r="I58" s="3300"/>
      <c r="J58" s="3300"/>
      <c r="K58" s="3275"/>
      <c r="L58" s="3277"/>
      <c r="P58" s="3123"/>
    </row>
    <row r="59" spans="1:25" hidden="1" x14ac:dyDescent="0.2">
      <c r="K59" s="3275"/>
      <c r="M59" s="3311">
        <f>SUM(M37:M58)</f>
      </c>
      <c r="N59" s="3311">
        <f>SUM(N37:N58)</f>
      </c>
    </row>
    <row r="60" spans="1:25" x14ac:dyDescent="0.2">
      <c r="B60" s="1857" t="str">
        <f>_xlfn.SINGLE(MTCA)</f>
      </c>
      <c r="D60" s="3276"/>
      <c r="E60" s="3276"/>
      <c r="F60" s="3276"/>
      <c r="G60" s="3276" t="str">
        <f>ver</f>
        <v>TA2_e-CO_2025_Ver 1.1</v>
      </c>
      <c r="K60" s="3276" t="s">
        <v>10000</v>
      </c>
      <c r="P60" s="3123"/>
    </row>
    <row r="61" spans="1:25" x14ac:dyDescent="0.2">
      <c r="B61" s="1857"/>
      <c r="D61" s="3276"/>
      <c r="E61" s="3276"/>
      <c r="F61" s="3276"/>
      <c r="G61" s="3276"/>
      <c r="K61" s="3276"/>
      <c r="P61" s="3123"/>
    </row>
    <row r="62" spans="1:25" ht="14.25" x14ac:dyDescent="0.2">
      <c r="B62" s="5363" t="s">
        <v>10002</v>
      </c>
      <c r="C62" s="5364"/>
      <c r="D62" s="5364"/>
      <c r="E62" s="5364"/>
      <c r="F62" s="5364"/>
      <c r="G62" s="5364"/>
      <c r="H62" s="5364"/>
      <c r="I62" s="5364"/>
      <c r="J62" s="5364"/>
      <c r="K62" s="5365"/>
      <c r="P62" s="3123"/>
    </row>
    <row r="63" spans="1:25" x14ac:dyDescent="0.2">
      <c r="B63" s="1857"/>
      <c r="D63" s="3276"/>
      <c r="E63" s="3276"/>
      <c r="F63" s="3276"/>
      <c r="G63" s="3276"/>
      <c r="K63" s="3276"/>
      <c r="P63" s="3579" t="s">
        <v>9985</v>
      </c>
      <c r="Q63" s="1156">
        <f>N59+N32+N68</f>
      </c>
    </row>
    <row r="64" spans="1:25" x14ac:dyDescent="0.2">
      <c r="B64" s="1857"/>
      <c r="C64" s="3275" t="s">
        <v>7157</v>
      </c>
      <c r="D64" s="3276"/>
      <c r="E64" s="3276"/>
      <c r="F64" s="3276"/>
      <c r="G64" s="3276"/>
      <c r="H64" s="3360" t="s">
        <v>951</v>
      </c>
      <c r="I64" s="3297">
        <f>IF($W$1="n",I22,SUM(I22+I49))</f>
      </c>
      <c r="K64" s="3276"/>
      <c r="P64" s="3579" t="s">
        <v>9986</v>
      </c>
      <c r="Q64" s="3580">
        <f>M59+M32+M68</f>
      </c>
    </row>
    <row r="65" spans="2:16" x14ac:dyDescent="0.2">
      <c r="B65" s="1857"/>
      <c r="C65" s="3275"/>
      <c r="D65" s="3276"/>
      <c r="E65" s="3276"/>
      <c r="F65" s="3276"/>
      <c r="G65" s="3276"/>
      <c r="K65" s="3276"/>
      <c r="P65" s="3123"/>
    </row>
    <row r="66" spans="2:16" x14ac:dyDescent="0.2">
      <c r="B66" s="1857"/>
      <c r="C66" s="3275" t="s">
        <v>8079</v>
      </c>
      <c r="D66" s="3276"/>
      <c r="E66" s="3276"/>
      <c r="F66" s="3276"/>
      <c r="G66" s="3276"/>
      <c r="H66" s="3360" t="s">
        <v>951</v>
      </c>
      <c r="I66" s="3297">
        <f>IF($W$1="n",J25,SUM(J25+J52))</f>
      </c>
      <c r="K66" s="3276"/>
      <c r="P66" s="3123"/>
    </row>
    <row r="67" spans="2:16" x14ac:dyDescent="0.2">
      <c r="B67" s="1857"/>
      <c r="D67" s="3276"/>
      <c r="E67" s="3276"/>
      <c r="F67" s="3276"/>
      <c r="G67" s="3276"/>
      <c r="K67" s="3276"/>
      <c r="P67" s="3123"/>
    </row>
    <row r="68" spans="2:16" x14ac:dyDescent="0.2">
      <c r="D68" s="3276"/>
      <c r="E68" s="1857" t="s">
        <v>4802</v>
      </c>
      <c r="F68" s="3276"/>
      <c r="I68" s="3310"/>
      <c r="J68" s="1879" t="str">
        <f>IF(Q63=0,"",IF(I68="",re,""))</f>
        <v/>
      </c>
      <c r="L68" s="3277"/>
      <c r="M68" s="3123">
        <f>IF(J68="",0,1)</f>
      </c>
      <c r="N68" s="3123">
        <f>IF(I68&gt;0,1,0)</f>
      </c>
      <c r="P68" s="3123"/>
    </row>
    <row r="69" spans="2:16" x14ac:dyDescent="0.2">
      <c r="D69" s="3276"/>
      <c r="E69" s="3276"/>
      <c r="F69" s="3276"/>
      <c r="P69" s="3123"/>
    </row>
    <row r="70" spans="2:16" x14ac:dyDescent="0.2">
      <c r="B70" s="1857" t="str">
        <f>_xlfn.SINGLE(MTCA)</f>
      </c>
      <c r="D70" s="3276"/>
      <c r="E70" s="3276"/>
      <c r="F70" s="3276"/>
      <c r="G70" s="3276" t="str">
        <f>ver</f>
        <v>TA2_e-CO_2025_Ver 1.1</v>
      </c>
      <c r="K70" s="3276" t="s">
        <v>10003</v>
      </c>
      <c r="P70" s="3123"/>
    </row>
    <row r="71" spans="2:16" hidden="1" x14ac:dyDescent="0.2">
      <c r="B71" s="1857"/>
      <c r="D71" s="3276"/>
      <c r="E71" s="3276"/>
      <c r="F71" s="3276"/>
      <c r="G71" s="3276"/>
      <c r="P71" s="3123"/>
    </row>
    <row r="72" spans="2:16" hidden="1" x14ac:dyDescent="0.2">
      <c r="B72" s="1857"/>
      <c r="D72" s="3276"/>
      <c r="E72" s="3276"/>
      <c r="F72" s="3276"/>
      <c r="G72" s="3276"/>
      <c r="K72" s="3276"/>
      <c r="P72" s="3123"/>
    </row>
    <row r="73" spans="2:16" hidden="1" x14ac:dyDescent="0.2">
      <c r="B73" s="1857"/>
      <c r="D73" s="3276"/>
      <c r="E73" s="3276"/>
      <c r="F73" s="3276"/>
      <c r="G73" s="3276"/>
      <c r="K73" s="3276"/>
      <c r="P73" s="3123"/>
    </row>
    <row r="74" spans="2:16" hidden="1" x14ac:dyDescent="0.2">
      <c r="B74" s="1857"/>
      <c r="D74" s="3276"/>
      <c r="E74" s="3276"/>
      <c r="F74" s="3276"/>
      <c r="G74" s="3276"/>
      <c r="K74" s="3276"/>
      <c r="P74" s="3123"/>
    </row>
    <row r="75" spans="2:16" hidden="1" x14ac:dyDescent="0.2">
      <c r="B75" s="1857"/>
      <c r="D75" s="3276"/>
      <c r="E75" s="3276"/>
      <c r="F75" s="3276"/>
      <c r="G75" s="3276"/>
      <c r="K75" s="3276"/>
      <c r="P75" s="3123"/>
    </row>
    <row r="76" spans="2:16" hidden="1" x14ac:dyDescent="0.2">
      <c r="B76" s="1857"/>
      <c r="D76" s="3276"/>
      <c r="E76" s="3276"/>
      <c r="F76" s="3276"/>
      <c r="G76" s="3276"/>
      <c r="K76" s="3276"/>
      <c r="P76" s="3123"/>
    </row>
    <row r="77" spans="2:16" hidden="1" x14ac:dyDescent="0.2">
      <c r="B77" s="1857"/>
      <c r="D77" s="3276"/>
      <c r="E77" s="3276"/>
      <c r="F77" s="3276"/>
      <c r="G77" s="3276"/>
      <c r="K77" s="3276"/>
      <c r="P77" s="3123"/>
    </row>
    <row r="78" spans="2:16" hidden="1" x14ac:dyDescent="0.2">
      <c r="B78" s="1857"/>
      <c r="D78" s="3276"/>
      <c r="E78" s="3276"/>
      <c r="F78" s="3276"/>
      <c r="G78" s="3276"/>
      <c r="K78" s="3276"/>
      <c r="P78" s="3123"/>
    </row>
    <row r="79" spans="2:16" hidden="1" x14ac:dyDescent="0.2">
      <c r="B79" s="1857"/>
      <c r="D79" s="3276"/>
      <c r="E79" s="3276"/>
      <c r="F79" s="3276"/>
      <c r="G79" s="3276"/>
      <c r="K79" s="3276"/>
      <c r="P79" s="3123"/>
    </row>
    <row r="80" spans="2:16" hidden="1" x14ac:dyDescent="0.2">
      <c r="B80" s="1857"/>
      <c r="D80" s="3276"/>
      <c r="E80" s="3276"/>
      <c r="F80" s="3276"/>
      <c r="G80" s="3276"/>
      <c r="K80" s="3276"/>
      <c r="P80" s="3123"/>
    </row>
    <row r="81" spans="2:16" hidden="1" x14ac:dyDescent="0.2">
      <c r="B81" s="1857"/>
      <c r="D81" s="3276"/>
      <c r="E81" s="3276"/>
      <c r="F81" s="3276"/>
      <c r="G81" s="3276"/>
      <c r="K81" s="3276"/>
      <c r="P81" s="3123"/>
    </row>
    <row r="82" spans="2:16" hidden="1" x14ac:dyDescent="0.2">
      <c r="B82" s="1857"/>
      <c r="D82" s="3276"/>
      <c r="E82" s="3276"/>
      <c r="F82" s="3276"/>
      <c r="G82" s="3276"/>
      <c r="K82" s="3276"/>
      <c r="P82" s="3123"/>
    </row>
    <row r="83" spans="2:16" hidden="1" x14ac:dyDescent="0.2">
      <c r="B83" s="1857"/>
      <c r="D83" s="3276"/>
      <c r="E83" s="3276"/>
      <c r="F83" s="3276"/>
      <c r="G83" s="3276"/>
      <c r="K83" s="3276"/>
      <c r="P83" s="3123"/>
    </row>
    <row r="84" spans="2:16" hidden="1" x14ac:dyDescent="0.2">
      <c r="B84" s="1857"/>
      <c r="D84" s="3276"/>
      <c r="E84" s="3276"/>
      <c r="F84" s="3276"/>
      <c r="G84" s="3276"/>
      <c r="K84" s="3276"/>
      <c r="P84" s="3123"/>
    </row>
    <row r="85" spans="2:16" hidden="1" x14ac:dyDescent="0.2">
      <c r="B85" s="1857"/>
      <c r="D85" s="3276"/>
      <c r="E85" s="3276"/>
      <c r="F85" s="3276"/>
      <c r="G85" s="3276"/>
      <c r="K85" s="3276"/>
      <c r="P85" s="3123"/>
    </row>
    <row r="86" spans="2:16" hidden="1" x14ac:dyDescent="0.2">
      <c r="B86" s="1857"/>
      <c r="D86" s="3276"/>
      <c r="E86" s="3276"/>
      <c r="F86" s="3276"/>
      <c r="G86" s="3276"/>
      <c r="K86" s="3276"/>
      <c r="P86" s="3123"/>
    </row>
    <row r="87" spans="2:16" hidden="1" x14ac:dyDescent="0.2">
      <c r="B87" s="1857"/>
      <c r="D87" s="3276"/>
      <c r="E87" s="3276"/>
      <c r="F87" s="3276"/>
      <c r="G87" s="3276"/>
      <c r="K87" s="3276"/>
      <c r="P87" s="3123"/>
    </row>
    <row r="88" spans="2:16" hidden="1" x14ac:dyDescent="0.2">
      <c r="B88" s="1857"/>
      <c r="D88" s="3276"/>
      <c r="E88" s="3276"/>
      <c r="F88" s="3276"/>
      <c r="G88" s="3276"/>
      <c r="K88" s="3276"/>
      <c r="P88" s="3123"/>
    </row>
    <row r="89" spans="2:16" hidden="1" x14ac:dyDescent="0.2">
      <c r="B89" s="1857"/>
      <c r="D89" s="3276"/>
      <c r="E89" s="3276"/>
      <c r="F89" s="3276"/>
      <c r="G89" s="3276"/>
      <c r="K89" s="3276"/>
      <c r="P89" s="3123"/>
    </row>
    <row r="90" spans="2:16" hidden="1" x14ac:dyDescent="0.2">
      <c r="B90" s="1857"/>
      <c r="D90" s="3276"/>
      <c r="E90" s="3276"/>
      <c r="F90" s="3276"/>
      <c r="G90" s="3276"/>
      <c r="K90" s="3276"/>
      <c r="P90" s="3123"/>
    </row>
    <row r="91" spans="2:16" hidden="1" x14ac:dyDescent="0.2">
      <c r="B91" s="1857"/>
      <c r="D91" s="3276"/>
      <c r="E91" s="3276"/>
      <c r="F91" s="3276"/>
      <c r="G91" s="3276"/>
      <c r="K91" s="3276"/>
      <c r="P91" s="3123"/>
    </row>
    <row r="92" spans="2:16" hidden="1" x14ac:dyDescent="0.2">
      <c r="B92" s="1857"/>
      <c r="D92" s="3276"/>
      <c r="E92" s="3276"/>
      <c r="F92" s="3276"/>
      <c r="G92" s="3276"/>
      <c r="K92" s="3276"/>
      <c r="P92" s="3123"/>
    </row>
    <row r="93" spans="2:16" hidden="1" x14ac:dyDescent="0.2">
      <c r="B93" s="1857"/>
      <c r="D93" s="3276"/>
      <c r="E93" s="3276"/>
      <c r="F93" s="3276"/>
      <c r="G93" s="3276"/>
      <c r="K93" s="3276"/>
      <c r="P93" s="3123"/>
    </row>
    <row r="94" spans="2:16" hidden="1" x14ac:dyDescent="0.2">
      <c r="B94" s="1857"/>
      <c r="D94" s="3276"/>
      <c r="E94" s="3276"/>
      <c r="F94" s="3276"/>
      <c r="G94" s="3276"/>
      <c r="K94" s="3276"/>
      <c r="P94" s="3123"/>
    </row>
    <row r="95" spans="2:16" hidden="1" x14ac:dyDescent="0.2">
      <c r="B95" s="1857"/>
      <c r="D95" s="3276"/>
      <c r="E95" s="3276"/>
      <c r="F95" s="3276"/>
      <c r="G95" s="3276"/>
      <c r="K95" s="3276"/>
      <c r="P95" s="3123"/>
    </row>
    <row r="96" spans="2:16" hidden="1" x14ac:dyDescent="0.2">
      <c r="B96" s="1857"/>
      <c r="D96" s="3276"/>
      <c r="E96" s="3276"/>
      <c r="F96" s="3276"/>
      <c r="G96" s="3276"/>
      <c r="K96" s="3276"/>
      <c r="P96" s="3123"/>
    </row>
    <row r="97" spans="2:16" hidden="1" x14ac:dyDescent="0.2">
      <c r="B97" s="1857"/>
      <c r="D97" s="3276"/>
      <c r="E97" s="3276"/>
      <c r="F97" s="3276"/>
      <c r="G97" s="3276"/>
      <c r="K97" s="3276"/>
      <c r="P97" s="3123"/>
    </row>
    <row r="98" spans="2:16" hidden="1" x14ac:dyDescent="0.2">
      <c r="B98" s="1857"/>
      <c r="D98" s="3276"/>
      <c r="E98" s="3276"/>
      <c r="F98" s="3276"/>
      <c r="G98" s="3276"/>
      <c r="K98" s="3276"/>
      <c r="P98" s="3123"/>
    </row>
    <row r="99" spans="2:16" hidden="1" x14ac:dyDescent="0.2">
      <c r="B99" s="1857"/>
      <c r="D99" s="3276"/>
      <c r="E99" s="3276"/>
      <c r="F99" s="3276"/>
      <c r="G99" s="3276"/>
      <c r="K99" s="3276"/>
      <c r="P99" s="3123"/>
    </row>
    <row r="100" spans="2:16" hidden="1" x14ac:dyDescent="0.2">
      <c r="B100" s="1857"/>
      <c r="D100" s="3276"/>
      <c r="E100" s="3276"/>
      <c r="F100" s="3276"/>
      <c r="G100" s="3276"/>
      <c r="K100" s="3276"/>
      <c r="P100" s="3123"/>
    </row>
    <row r="101" spans="2:16" hidden="1" x14ac:dyDescent="0.2">
      <c r="B101" s="1857"/>
      <c r="D101" s="3276"/>
      <c r="E101" s="3276"/>
      <c r="F101" s="3276"/>
      <c r="G101" s="3276"/>
      <c r="K101" s="3276"/>
      <c r="P101" s="3123"/>
    </row>
    <row r="102" spans="2:16" hidden="1" x14ac:dyDescent="0.2">
      <c r="B102" s="1857"/>
      <c r="D102" s="3276"/>
      <c r="E102" s="3276"/>
      <c r="F102" s="3276"/>
      <c r="G102" s="3276"/>
      <c r="K102" s="3276"/>
      <c r="P102" s="3123"/>
    </row>
    <row r="103" spans="2:16" hidden="1" x14ac:dyDescent="0.2">
      <c r="B103" s="1857"/>
      <c r="D103" s="3276"/>
      <c r="E103" s="3276"/>
      <c r="F103" s="3276"/>
      <c r="G103" s="3276"/>
      <c r="K103" s="3276"/>
      <c r="P103" s="3123"/>
    </row>
    <row r="104" spans="2:16" hidden="1" x14ac:dyDescent="0.2">
      <c r="B104" s="1857"/>
      <c r="D104" s="3276"/>
      <c r="E104" s="3276"/>
      <c r="F104" s="3276"/>
      <c r="G104" s="3276"/>
      <c r="K104" s="3276"/>
      <c r="P104" s="3123"/>
    </row>
    <row r="105" spans="2:16" hidden="1" x14ac:dyDescent="0.2">
      <c r="B105" s="1857"/>
      <c r="D105" s="3276"/>
      <c r="E105" s="3276"/>
      <c r="F105" s="3276"/>
      <c r="G105" s="3276"/>
      <c r="K105" s="3276"/>
      <c r="P105" s="3123"/>
    </row>
    <row r="106" spans="2:16" hidden="1" x14ac:dyDescent="0.2">
      <c r="B106" s="1857"/>
      <c r="D106" s="3276"/>
      <c r="E106" s="3276"/>
      <c r="F106" s="3276"/>
      <c r="G106" s="3276"/>
      <c r="K106" s="3276"/>
      <c r="P106" s="3123"/>
    </row>
    <row r="107" spans="2:16" hidden="1" x14ac:dyDescent="0.2">
      <c r="B107" s="1857"/>
      <c r="D107" s="3276"/>
      <c r="E107" s="3276"/>
      <c r="F107" s="3276"/>
      <c r="G107" s="3276"/>
      <c r="K107" s="3276"/>
      <c r="P107" s="3123"/>
    </row>
    <row r="108" spans="2:16" hidden="1" x14ac:dyDescent="0.2">
      <c r="B108" s="1857"/>
      <c r="D108" s="3276"/>
      <c r="E108" s="3276"/>
      <c r="F108" s="3276"/>
      <c r="G108" s="3276"/>
      <c r="K108" s="3276"/>
      <c r="P108" s="3123"/>
    </row>
    <row r="109" spans="2:16" hidden="1" x14ac:dyDescent="0.2">
      <c r="B109" s="1857"/>
      <c r="D109" s="3276"/>
      <c r="E109" s="3276"/>
      <c r="F109" s="3276"/>
      <c r="G109" s="3276"/>
      <c r="K109" s="3276"/>
      <c r="P109" s="3123"/>
    </row>
    <row r="110" spans="2:16" hidden="1" x14ac:dyDescent="0.2">
      <c r="B110" s="1857"/>
      <c r="D110" s="3276"/>
      <c r="E110" s="3276"/>
      <c r="F110" s="3276"/>
      <c r="G110" s="3276"/>
      <c r="K110" s="3276"/>
      <c r="P110" s="3123"/>
    </row>
    <row r="111" spans="2:16" hidden="1" x14ac:dyDescent="0.2">
      <c r="B111" s="1857"/>
      <c r="D111" s="3276"/>
      <c r="E111" s="3276"/>
      <c r="F111" s="3276"/>
      <c r="G111" s="3276"/>
      <c r="K111" s="3276"/>
      <c r="P111" s="3123"/>
    </row>
    <row r="112" spans="2:16" hidden="1" x14ac:dyDescent="0.2">
      <c r="B112" s="1857"/>
      <c r="D112" s="3276"/>
      <c r="E112" s="3276"/>
      <c r="F112" s="3276"/>
      <c r="G112" s="3276"/>
      <c r="K112" s="3276"/>
      <c r="P112" s="3123"/>
    </row>
    <row r="113" spans="2:16" hidden="1" x14ac:dyDescent="0.2">
      <c r="B113" s="1857"/>
      <c r="D113" s="3276"/>
      <c r="E113" s="3276"/>
      <c r="F113" s="3276"/>
      <c r="G113" s="3276"/>
      <c r="K113" s="3276"/>
      <c r="P113" s="3123"/>
    </row>
    <row r="114" spans="2:16" hidden="1" x14ac:dyDescent="0.2">
      <c r="B114" s="1857"/>
      <c r="D114" s="3276"/>
      <c r="E114" s="3276"/>
      <c r="F114" s="3276"/>
      <c r="G114" s="3276"/>
      <c r="K114" s="3276"/>
      <c r="P114" s="3123"/>
    </row>
    <row r="115" spans="2:16" hidden="1" x14ac:dyDescent="0.2">
      <c r="B115" s="1857"/>
      <c r="D115" s="3276"/>
      <c r="E115" s="3276"/>
      <c r="F115" s="3276"/>
      <c r="G115" s="3276"/>
      <c r="K115" s="3276"/>
      <c r="P115" s="3123"/>
    </row>
    <row r="116" spans="2:16" hidden="1" x14ac:dyDescent="0.2">
      <c r="B116" s="1857"/>
      <c r="D116" s="3276"/>
      <c r="E116" s="3276"/>
      <c r="F116" s="3276"/>
      <c r="G116" s="3276"/>
      <c r="K116" s="3276"/>
      <c r="P116" s="3123"/>
    </row>
    <row r="117" spans="2:16" hidden="1" x14ac:dyDescent="0.2">
      <c r="B117" s="1857"/>
      <c r="D117" s="3276"/>
      <c r="E117" s="3276"/>
      <c r="F117" s="3276"/>
      <c r="G117" s="3276"/>
      <c r="K117" s="3276"/>
      <c r="P117" s="3123"/>
    </row>
    <row r="118" spans="2:16" hidden="1" x14ac:dyDescent="0.2">
      <c r="B118" s="1857"/>
      <c r="D118" s="3276"/>
      <c r="E118" s="3276"/>
      <c r="F118" s="3276"/>
      <c r="G118" s="3276"/>
      <c r="K118" s="3276"/>
      <c r="P118" s="3123"/>
    </row>
    <row r="119" spans="2:16" hidden="1" x14ac:dyDescent="0.2">
      <c r="B119" s="1857"/>
      <c r="D119" s="3276"/>
      <c r="E119" s="3276"/>
      <c r="F119" s="3276"/>
      <c r="G119" s="3276"/>
      <c r="K119" s="3276"/>
      <c r="P119" s="3123"/>
    </row>
    <row r="120" spans="2:16" hidden="1" x14ac:dyDescent="0.2">
      <c r="B120" s="1857"/>
      <c r="D120" s="3276"/>
      <c r="E120" s="3276"/>
      <c r="F120" s="3276"/>
      <c r="G120" s="3276"/>
      <c r="K120" s="3276"/>
      <c r="P120" s="3123"/>
    </row>
    <row r="121" spans="2:16" hidden="1" x14ac:dyDescent="0.2">
      <c r="B121" s="1857"/>
      <c r="D121" s="3276"/>
      <c r="E121" s="3276"/>
      <c r="F121" s="3276"/>
      <c r="G121" s="3276"/>
      <c r="K121" s="3276"/>
      <c r="P121" s="3123"/>
    </row>
    <row r="122" spans="2:16" hidden="1" x14ac:dyDescent="0.2">
      <c r="B122" s="1857"/>
      <c r="D122" s="3276"/>
      <c r="E122" s="3276"/>
      <c r="F122" s="3276"/>
      <c r="G122" s="3276"/>
      <c r="K122" s="3276"/>
      <c r="P122" s="3123"/>
    </row>
    <row r="123" spans="2:16" hidden="1" x14ac:dyDescent="0.2">
      <c r="B123" s="1857"/>
      <c r="D123" s="3276"/>
      <c r="E123" s="3276"/>
      <c r="F123" s="3276"/>
      <c r="G123" s="3276"/>
      <c r="K123" s="3276"/>
      <c r="P123" s="3123"/>
    </row>
    <row r="124" spans="2:16" hidden="1" x14ac:dyDescent="0.2">
      <c r="B124" s="1857"/>
      <c r="D124" s="3276"/>
      <c r="E124" s="3276"/>
      <c r="F124" s="3276"/>
      <c r="G124" s="3276"/>
      <c r="K124" s="3276"/>
      <c r="P124" s="3123"/>
    </row>
    <row r="125" spans="2:16" hidden="1" x14ac:dyDescent="0.2">
      <c r="B125" s="1857"/>
      <c r="D125" s="3276"/>
      <c r="E125" s="3276"/>
      <c r="F125" s="3276"/>
      <c r="G125" s="3276"/>
      <c r="K125" s="3276"/>
      <c r="P125" s="3123"/>
    </row>
    <row r="126" spans="2:16" hidden="1" x14ac:dyDescent="0.2">
      <c r="B126" s="1857"/>
      <c r="D126" s="3276"/>
      <c r="E126" s="3276"/>
      <c r="F126" s="3276"/>
      <c r="G126" s="3276"/>
      <c r="K126" s="3276"/>
      <c r="P126" s="3123"/>
    </row>
    <row r="127" spans="2:16" hidden="1" x14ac:dyDescent="0.2">
      <c r="B127" s="1857"/>
      <c r="D127" s="3276"/>
      <c r="E127" s="3276"/>
      <c r="F127" s="3276"/>
      <c r="G127" s="3276"/>
      <c r="K127" s="3276"/>
      <c r="P127" s="3123"/>
    </row>
    <row r="128" spans="2:16" hidden="1" x14ac:dyDescent="0.2">
      <c r="B128" s="1857"/>
      <c r="D128" s="3276"/>
      <c r="E128" s="3276"/>
      <c r="F128" s="3276"/>
      <c r="G128" s="3276"/>
      <c r="K128" s="3276"/>
      <c r="P128" s="3123"/>
    </row>
    <row r="129" spans="2:16" hidden="1" x14ac:dyDescent="0.2">
      <c r="B129" s="1857"/>
      <c r="D129" s="3276"/>
      <c r="E129" s="3276"/>
      <c r="F129" s="3276"/>
      <c r="G129" s="3276"/>
      <c r="K129" s="3276"/>
      <c r="P129" s="3123"/>
    </row>
    <row r="130" spans="2:16" hidden="1" x14ac:dyDescent="0.2">
      <c r="B130" s="1857"/>
      <c r="D130" s="3276"/>
      <c r="E130" s="3276"/>
      <c r="F130" s="3276"/>
      <c r="G130" s="3276"/>
      <c r="K130" s="3276"/>
      <c r="P130" s="3123"/>
    </row>
    <row r="131" spans="2:16" hidden="1" x14ac:dyDescent="0.2">
      <c r="B131" s="1857"/>
      <c r="D131" s="3276"/>
      <c r="E131" s="3276"/>
      <c r="F131" s="3276"/>
      <c r="G131" s="3276"/>
      <c r="K131" s="3276"/>
      <c r="P131" s="3123"/>
    </row>
    <row r="132" spans="2:16" hidden="1" x14ac:dyDescent="0.2">
      <c r="B132" s="1857"/>
      <c r="D132" s="3276"/>
      <c r="E132" s="3276"/>
      <c r="F132" s="3276"/>
      <c r="G132" s="3276"/>
      <c r="K132" s="3276"/>
      <c r="P132" s="3123"/>
    </row>
    <row r="133" spans="2:16" hidden="1" x14ac:dyDescent="0.2">
      <c r="B133" s="1857"/>
      <c r="D133" s="3276"/>
      <c r="E133" s="3276"/>
      <c r="F133" s="3276"/>
      <c r="G133" s="3276"/>
      <c r="K133" s="3276"/>
      <c r="P133" s="3123"/>
    </row>
    <row r="134" spans="2:16" hidden="1" x14ac:dyDescent="0.2">
      <c r="B134" s="1857"/>
      <c r="D134" s="3276"/>
      <c r="E134" s="3276"/>
      <c r="F134" s="3276"/>
      <c r="G134" s="3276"/>
      <c r="K134" s="3276"/>
      <c r="P134" s="3123"/>
    </row>
    <row r="135" spans="2:16" x14ac:dyDescent="0.2">
      <c r="P135" s="3123"/>
    </row>
    <row r="136" spans="2:16" x14ac:dyDescent="0.2">
      <c r="B136" s="3359" t="s">
        <v>6290</v>
      </c>
      <c r="D136" s="3312"/>
      <c r="E136" s="3312"/>
      <c r="F136" s="3312"/>
      <c r="M136" s="3123">
        <f>IF(Q63=0,0,IF(Q64&lt;&gt;0,100,IF(I68=y,1,100)))</f>
      </c>
      <c r="P136" s="3123"/>
    </row>
    <row r="137" spans="2:16" x14ac:dyDescent="0.2">
      <c r="P137" s="3123"/>
    </row>
    <row r="138" spans="2:16" hidden="1" x14ac:dyDescent="0.2">
      <c r="P138" s="3123"/>
    </row>
    <row r="139" spans="2:16" hidden="1" x14ac:dyDescent="0.2">
      <c r="L139" s="1879"/>
      <c r="P139" s="3123"/>
    </row>
    <row r="140" spans="2:16" hidden="1" x14ac:dyDescent="0.2">
      <c r="P140" s="3123"/>
    </row>
    <row r="141" spans="2:16" hidden="1" x14ac:dyDescent="0.2">
      <c r="P141" s="3123"/>
    </row>
    <row r="142" spans="2:16" hidden="1" x14ac:dyDescent="0.2">
      <c r="P142" s="3123"/>
    </row>
    <row r="143" spans="2:16" hidden="1" x14ac:dyDescent="0.2">
      <c r="P143" s="3123"/>
    </row>
    <row r="144" spans="2:16" hidden="1" x14ac:dyDescent="0.2">
      <c r="L144" s="1857"/>
      <c r="P144" s="3123"/>
    </row>
    <row r="145" spans="16:16" hidden="1" x14ac:dyDescent="0.2">
      <c r="P145" s="3123"/>
    </row>
    <row r="146" spans="16:16" hidden="1" x14ac:dyDescent="0.2">
      <c r="P146" s="3123"/>
    </row>
    <row r="147" spans="16:16" ht="12.75" hidden="1" customHeight="1" x14ac:dyDescent="0.2">
      <c r="P147" s="3123"/>
    </row>
    <row r="148" spans="16:16" ht="12.75" hidden="1" customHeight="1" x14ac:dyDescent="0.2">
      <c r="P148" s="3123"/>
    </row>
    <row r="149" spans="16:16" ht="12.75" hidden="1" customHeight="1" x14ac:dyDescent="0.2">
      <c r="P149" s="3123"/>
    </row>
    <row r="150" spans="16:16" ht="12.75" hidden="1" customHeight="1" x14ac:dyDescent="0.2">
      <c r="P150" s="3123"/>
    </row>
    <row r="151" spans="16:16" ht="12.75" hidden="1" customHeight="1" x14ac:dyDescent="0.2">
      <c r="P151" s="3123"/>
    </row>
    <row r="152" spans="16:16" ht="0" hidden="1" customHeight="1" x14ac:dyDescent="0.2"/>
    <row r="153" spans="16:16" ht="0" hidden="1" customHeight="1" x14ac:dyDescent="0.2"/>
    <row r="154" spans="16:16" ht="0" hidden="1" customHeight="1" x14ac:dyDescent="0.2"/>
    <row r="155" spans="16:16" ht="0" hidden="1" customHeight="1" x14ac:dyDescent="0.2"/>
    <row r="156" spans="16:16" ht="0" hidden="1" customHeight="1" x14ac:dyDescent="0.2"/>
    <row r="157" spans="16:16" ht="0" hidden="1" customHeight="1" x14ac:dyDescent="0.2"/>
    <row r="158" spans="16:16" ht="0" hidden="1" customHeight="1" x14ac:dyDescent="0.2"/>
    <row r="159" spans="16:16" ht="0" hidden="1" customHeight="1" x14ac:dyDescent="0.2"/>
    <row r="160" spans="16:16" ht="0" hidden="1" customHeight="1" x14ac:dyDescent="0.2"/>
    <row r="161" ht="0" hidden="1" customHeight="1" x14ac:dyDescent="0.2"/>
    <row r="162" ht="0" hidden="1" customHeight="1" x14ac:dyDescent="0.2"/>
    <row r="163" ht="0" hidden="1" customHeight="1" x14ac:dyDescent="0.2"/>
    <row r="164" ht="0" hidden="1" customHeight="1" x14ac:dyDescent="0.2"/>
    <row r="165" ht="0" hidden="1" customHeight="1" x14ac:dyDescent="0.2"/>
    <row r="166" ht="0" hidden="1" customHeight="1" x14ac:dyDescent="0.2"/>
    <row r="167" ht="0" hidden="1" customHeight="1" x14ac:dyDescent="0.2"/>
    <row r="168" ht="0" hidden="1" customHeight="1" x14ac:dyDescent="0.2"/>
    <row r="169" ht="0" hidden="1" customHeight="1" x14ac:dyDescent="0.2"/>
    <row r="170" ht="0" hidden="1" customHeight="1" x14ac:dyDescent="0.2"/>
    <row r="171" ht="0" hidden="1" customHeight="1" x14ac:dyDescent="0.2"/>
    <row r="172" ht="0" hidden="1" customHeight="1" x14ac:dyDescent="0.2"/>
    <row r="173" ht="0" hidden="1" customHeight="1" x14ac:dyDescent="0.2"/>
    <row r="174" ht="0" hidden="1" customHeight="1" x14ac:dyDescent="0.2"/>
    <row r="175" ht="0" hidden="1" customHeight="1" x14ac:dyDescent="0.2"/>
    <row r="176" ht="0" hidden="1" customHeight="1" x14ac:dyDescent="0.2"/>
    <row r="177" ht="0" hidden="1" customHeight="1" x14ac:dyDescent="0.2"/>
    <row r="178" ht="0" hidden="1" customHeight="1" x14ac:dyDescent="0.2"/>
    <row r="179" ht="0" hidden="1" customHeight="1" x14ac:dyDescent="0.2"/>
    <row r="180" ht="0" hidden="1" customHeight="1" x14ac:dyDescent="0.2"/>
    <row r="181" ht="0" hidden="1" customHeight="1" x14ac:dyDescent="0.2"/>
    <row r="182" ht="0" hidden="1" customHeight="1" x14ac:dyDescent="0.2"/>
    <row r="183" ht="0" hidden="1" customHeight="1" x14ac:dyDescent="0.2"/>
    <row r="184" ht="0" hidden="1" customHeight="1" x14ac:dyDescent="0.2"/>
    <row r="185" ht="0" hidden="1" customHeight="1" x14ac:dyDescent="0.2"/>
    <row r="186" x14ac:dyDescent="0.2"/>
  </sheetData>
  <sheetProtection algorithmName="SHA-512" hashValue="SBmr62LsnaNiyrS9TAOF9uARjsp8Xexg0FE/Mlvdqbhg7sS/S5qE8k2lcWUy523kaHZKCewuAr0WJRFS2vphJw==" saltValue="YkpBpTX7ncnOa3ckDd9bVg==" spinCount="100000" sheet="1" objects="1" scenarios="1"/>
  <mergeCells count="6">
    <mergeCell ref="B62:K62"/>
    <mergeCell ref="A1:J1"/>
    <mergeCell ref="T24:V24"/>
    <mergeCell ref="C8:K8"/>
    <mergeCell ref="C35:K35"/>
    <mergeCell ref="T51:V51"/>
  </mergeCells>
  <conditionalFormatting sqref="F15">
    <cfRule type="expression" dxfId="144" priority="13" stopIfTrue="1">
      <formula>E15=$S$1</formula>
    </cfRule>
  </conditionalFormatting>
  <conditionalFormatting sqref="F42">
    <cfRule type="expression" dxfId="143" priority="4" stopIfTrue="1">
      <formula>E42=$S$1</formula>
    </cfRule>
  </conditionalFormatting>
  <conditionalFormatting sqref="G10">
    <cfRule type="expression" dxfId="142" priority="9">
      <formula>$P$10=1</formula>
    </cfRule>
  </conditionalFormatting>
  <conditionalFormatting sqref="G15">
    <cfRule type="expression" dxfId="141" priority="14" stopIfTrue="1">
      <formula>F15=$S$1</formula>
    </cfRule>
  </conditionalFormatting>
  <conditionalFormatting sqref="G16">
    <cfRule type="expression" dxfId="140" priority="12" stopIfTrue="1">
      <formula>$S$1=F16</formula>
    </cfRule>
  </conditionalFormatting>
  <conditionalFormatting sqref="G17:G18">
    <cfRule type="expression" dxfId="139" priority="15" stopIfTrue="1">
      <formula>F17=$S$1</formula>
    </cfRule>
  </conditionalFormatting>
  <conditionalFormatting sqref="G37">
    <cfRule type="expression" dxfId="138" priority="1">
      <formula>$P$37=1</formula>
    </cfRule>
  </conditionalFormatting>
  <conditionalFormatting sqref="G42">
    <cfRule type="expression" dxfId="137" priority="5" stopIfTrue="1">
      <formula>F42=$S$1</formula>
    </cfRule>
  </conditionalFormatting>
  <conditionalFormatting sqref="G43">
    <cfRule type="expression" dxfId="136" priority="3" stopIfTrue="1">
      <formula>$S$1=F43</formula>
    </cfRule>
  </conditionalFormatting>
  <conditionalFormatting sqref="G44:G45">
    <cfRule type="expression" dxfId="135" priority="6" stopIfTrue="1">
      <formula>F44=$S$1</formula>
    </cfRule>
  </conditionalFormatting>
  <conditionalFormatting sqref="J25">
    <cfRule type="expression" dxfId="134" priority="11" stopIfTrue="1">
      <formula>#REF!=nob</formula>
    </cfRule>
  </conditionalFormatting>
  <conditionalFormatting sqref="J52">
    <cfRule type="expression" dxfId="133" priority="2" stopIfTrue="1">
      <formula>#REF!=nob</formula>
    </cfRule>
  </conditionalFormatting>
  <dataValidations count="10">
    <dataValidation type="list" allowBlank="1" showInputMessage="1" showErrorMessage="1" errorTitle="Certificate number" error="Please enter the correct reference!" sqref="G12 G39" xr:uid="{00000000-0002-0000-6600-000000000000}">
      <formula1>$AA$1:$AA$5</formula1>
    </dataValidation>
    <dataValidation allowBlank="1" showInputMessage="1" showErrorMessage="1" errorTitle="Tax credits utilised " error="Enter a whole figure greater than 0!" sqref="H15:H18 H42:H45" xr:uid="{00000000-0002-0000-6600-000001000000}"/>
    <dataValidation type="whole" operator="greaterThanOrEqual" allowBlank="1" showInputMessage="1" showErrorMessage="1" errorTitle="Tax credits utilised " error="Enter a whole figure greater than 0!" sqref="G15:G18 I15:I18 G42:G45 I42:I45" xr:uid="{00000000-0002-0000-6600-000002000000}">
      <formula1>0</formula1>
    </dataValidation>
    <dataValidation type="whole" operator="greaterThan" allowBlank="1" showInputMessage="1" showErrorMessage="1" errorTitle="Approved Tax Credit" error="Enter a whole figure greater than 0!" sqref="E15:E18 E42:E45" xr:uid="{00000000-0002-0000-6600-000003000000}">
      <formula1>0</formula1>
    </dataValidation>
    <dataValidation type="textLength" operator="greaterThanOrEqual" allowBlank="1" showInputMessage="1" showErrorMessage="1" errorTitle="Certificate No:" error="Please enter correct certificate number!" sqref="C15:C18 C42:C45" xr:uid="{00000000-0002-0000-6600-000004000000}">
      <formula1>6</formula1>
    </dataValidation>
    <dataValidation type="list" showInputMessage="1" showErrorMessage="1" sqref="I27 I68 I54" xr:uid="{00000000-0002-0000-6600-000005000000}">
      <formula1>yn</formula1>
    </dataValidation>
    <dataValidation type="whole" allowBlank="1" showInputMessage="1" showErrorMessage="1" errorTitle="Income relieved by tax credit" error="Are you sure the amount entered is correct?" sqref="J25 J52" xr:uid="{00000000-0002-0000-6600-000006000000}">
      <formula1>U25-1</formula1>
      <formula2>T25+1</formula2>
    </dataValidation>
    <dataValidation type="whole" allowBlank="1" showInputMessage="1" showErrorMessage="1" errorTitle="Tax credit first utilised" error="Please enter correct year of assessment!" sqref="F15:F18 F42:F45" xr:uid="{00000000-0002-0000-6600-000007000000}">
      <formula1>S15+1</formula1>
      <formula2>ya</formula2>
    </dataValidation>
    <dataValidation type="list" allowBlank="1" showInputMessage="1" showErrorMessage="1" errorTitle="Dropdown list" error="Choose an item from the list! " sqref="G10 G37" xr:uid="{00000000-0002-0000-6600-000008000000}">
      <formula1>FU</formula1>
    </dataValidation>
    <dataValidation type="date" allowBlank="1" showInputMessage="1" showErrorMessage="1" errorTitle="Date" error="Enter correct date!" sqref="D15:D18 D42:D45" xr:uid="{00000000-0002-0000-6600-000009000000}">
      <formula1>$R$7</formula1>
      <formula2>$R$8</formula2>
    </dataValidation>
  </dataValidations>
  <hyperlinks>
    <hyperlink ref="B136" location="Index!B123" display="B A C K   T O   I N D E X" xr:uid="{00000000-0004-0000-6600-000000000000}"/>
    <hyperlink ref="H64" location="'TRA35'!A1" display="TRA 35" xr:uid="{00000000-0004-0000-6600-000001000000}"/>
    <hyperlink ref="H66" location="'TRA35'!A1" display="TRA 35" xr:uid="{00000000-0004-0000-6600-000002000000}"/>
  </hyperlinks>
  <pageMargins left="0.7" right="0.7" top="0.75" bottom="0.75" header="0.3" footer="0.3"/>
  <pageSetup paperSize="9" orientation="portrait" r:id="rId1"/>
  <legacy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14"/>
  <dimension ref="A1:AB185"/>
  <sheetViews>
    <sheetView zoomScaleNormal="100" workbookViewId="0">
      <selection sqref="A1:G1"/>
    </sheetView>
  </sheetViews>
  <sheetFormatPr defaultColWidth="0" defaultRowHeight="12.75" zeroHeight="1" x14ac:dyDescent="0.2"/>
  <cols>
    <col min="1" max="1" width="4.28515625" style="3123" customWidth="1"/>
    <col min="2" max="2" width="5.7109375" style="3123" customWidth="1"/>
    <col min="3" max="3" width="12.5703125" style="3123" customWidth="1"/>
    <col min="4" max="4" width="11.7109375" style="3123" customWidth="1"/>
    <col min="5" max="5" width="24.28515625" style="3123" customWidth="1"/>
    <col min="6" max="6" width="12.42578125" style="3123" customWidth="1"/>
    <col min="7" max="7" width="11.7109375" style="3123" customWidth="1"/>
    <col min="8" max="8" width="10.7109375" style="3123" customWidth="1"/>
    <col min="9" max="9" width="5.42578125" style="3123" customWidth="1"/>
    <col min="10" max="10" width="8.5703125" style="3123" customWidth="1"/>
    <col min="11" max="11" width="3" style="3123" hidden="1" customWidth="1"/>
    <col min="12" max="12" width="4.28515625" style="3123" hidden="1" customWidth="1"/>
    <col min="13" max="14" width="4.7109375" style="3123" hidden="1" customWidth="1"/>
    <col min="15" max="15" width="8.7109375" style="3123" hidden="1" customWidth="1"/>
    <col min="16" max="16" width="9.28515625" style="3123" hidden="1" customWidth="1"/>
    <col min="17" max="17" width="34" style="3123" hidden="1" customWidth="1"/>
    <col min="18" max="18" width="12.5703125" style="3123" hidden="1" customWidth="1"/>
    <col min="19" max="19" width="13.28515625" style="3123" hidden="1" customWidth="1"/>
    <col min="20" max="20" width="44.28515625" style="3123" hidden="1" customWidth="1"/>
    <col min="21" max="21" width="9.28515625" style="3123" hidden="1" customWidth="1"/>
    <col min="22" max="22" width="10.28515625" style="3123" hidden="1" customWidth="1"/>
    <col min="23" max="23" width="11.7109375" style="3123" hidden="1" customWidth="1"/>
    <col min="24" max="16384" width="9.28515625" style="3123" hidden="1"/>
  </cols>
  <sheetData>
    <row r="1" spans="1:28" ht="13.5" customHeight="1" x14ac:dyDescent="0.2">
      <c r="A1" s="5371" t="str">
        <f>_ref1</f>
      </c>
      <c r="B1" s="5371"/>
      <c r="C1" s="5371"/>
      <c r="D1" s="5371"/>
      <c r="E1" s="5371"/>
      <c r="F1" s="5371"/>
      <c r="G1" s="5371"/>
      <c r="H1" s="3313" t="str">
        <f>_YA1</f>
      </c>
      <c r="I1" s="3313"/>
      <c r="J1" s="3314"/>
      <c r="O1" s="3265" t="s">
        <v>9897</v>
      </c>
      <c r="P1" s="3123" t="str">
        <f>'p2'!G36</f>
      </c>
      <c r="S1" s="3123" t="str">
        <f>cur</f>
      </c>
      <c r="T1" s="3123" t="s">
        <v>4591</v>
      </c>
    </row>
    <row r="2" spans="1:28" x14ac:dyDescent="0.2">
      <c r="A2" s="3315"/>
      <c r="B2" s="3315"/>
      <c r="C2" s="3315"/>
      <c r="D2" s="3315"/>
      <c r="E2" s="3315"/>
      <c r="F2" s="3315"/>
      <c r="G2" s="3315"/>
      <c r="H2" s="3315"/>
      <c r="I2" s="3315"/>
      <c r="J2" s="3315"/>
      <c r="R2" s="3265"/>
      <c r="S2" s="3316"/>
      <c r="U2" s="3123">
        <v>0</v>
      </c>
      <c r="AA2" s="3123" t="s">
        <v>573</v>
      </c>
      <c r="AB2" s="3123">
        <v>1</v>
      </c>
    </row>
    <row r="3" spans="1:28" ht="14.25" x14ac:dyDescent="0.2">
      <c r="A3" s="3315"/>
      <c r="B3" s="3317" t="s">
        <v>3218</v>
      </c>
      <c r="C3" s="3267"/>
      <c r="D3" s="3267"/>
      <c r="E3" s="3267"/>
      <c r="F3" s="3267"/>
      <c r="G3" s="3267"/>
      <c r="H3" s="3268"/>
      <c r="I3" s="3315"/>
      <c r="J3" s="3315"/>
      <c r="P3" s="3123" t="s">
        <v>3994</v>
      </c>
      <c r="Q3" s="3123">
        <f>+ya</f>
      </c>
      <c r="U3" s="3123">
        <v>1</v>
      </c>
      <c r="AA3" s="3123" t="s">
        <v>3143</v>
      </c>
      <c r="AB3" s="3123">
        <v>2</v>
      </c>
    </row>
    <row r="4" spans="1:28" ht="14.25" x14ac:dyDescent="0.2">
      <c r="A4" s="3315"/>
      <c r="B4" s="3318" t="s">
        <v>10582</v>
      </c>
      <c r="C4" s="3270"/>
      <c r="D4" s="3270"/>
      <c r="E4" s="3270"/>
      <c r="F4" s="3270"/>
      <c r="G4" s="3270"/>
      <c r="H4" s="3271"/>
      <c r="I4" s="3315"/>
      <c r="J4" s="3315"/>
      <c r="P4" s="3123" t="s">
        <v>2705</v>
      </c>
      <c r="Q4" s="3123">
        <f>+Q3-1</f>
      </c>
      <c r="U4" s="3123">
        <v>2</v>
      </c>
      <c r="AA4" s="3123" t="s">
        <v>3144</v>
      </c>
      <c r="AB4" s="3123">
        <v>3</v>
      </c>
    </row>
    <row r="5" spans="1:28" x14ac:dyDescent="0.2">
      <c r="A5" s="3315"/>
      <c r="B5" s="3315"/>
      <c r="C5" s="3315"/>
      <c r="D5" s="3315"/>
      <c r="E5" s="3315"/>
      <c r="F5" s="3315"/>
      <c r="G5" s="3315"/>
      <c r="H5" s="3315"/>
      <c r="I5" s="3315"/>
      <c r="J5" s="3315"/>
      <c r="L5" s="3123" t="s">
        <v>7754</v>
      </c>
      <c r="M5" s="3123" t="s">
        <v>7161</v>
      </c>
      <c r="R5" s="3123" t="s">
        <v>3274</v>
      </c>
      <c r="S5" s="3301">
        <v>0.7</v>
      </c>
      <c r="U5" s="3123">
        <v>3</v>
      </c>
      <c r="AA5" s="3123" t="s">
        <v>3145</v>
      </c>
      <c r="AB5" s="3123">
        <v>4</v>
      </c>
    </row>
    <row r="6" spans="1:28" x14ac:dyDescent="0.2">
      <c r="A6" s="3577">
        <v>1</v>
      </c>
      <c r="B6" s="5369" t="s">
        <v>6317</v>
      </c>
      <c r="C6" s="5369"/>
      <c r="D6" s="5369"/>
      <c r="E6" s="5369"/>
      <c r="F6" s="5369"/>
      <c r="G6" s="5369"/>
      <c r="H6" s="5369"/>
      <c r="I6" s="3315"/>
      <c r="J6" s="3315"/>
      <c r="L6" s="3123">
        <f>SUM(L7:L43)</f>
      </c>
      <c r="M6" s="3123">
        <f>SUM(M7:M43)</f>
      </c>
      <c r="R6" s="3123" t="s">
        <v>3281</v>
      </c>
      <c r="S6" s="3301">
        <v>0.6</v>
      </c>
      <c r="U6" s="3123">
        <v>4</v>
      </c>
      <c r="AA6" s="3123" t="s">
        <v>3146</v>
      </c>
      <c r="AB6" s="3123">
        <v>5</v>
      </c>
    </row>
    <row r="7" spans="1:28" x14ac:dyDescent="0.2">
      <c r="A7" s="3315"/>
      <c r="B7" s="3315"/>
      <c r="C7" s="3315"/>
      <c r="D7" s="3315"/>
      <c r="E7" s="3315"/>
      <c r="F7" s="3315"/>
      <c r="G7" s="3315"/>
      <c r="H7" s="3315"/>
      <c r="I7" s="3315"/>
      <c r="J7" s="3315"/>
      <c r="R7" s="3123" t="s">
        <v>3282</v>
      </c>
      <c r="S7" s="3301">
        <v>0.5</v>
      </c>
      <c r="U7" s="3123">
        <v>5</v>
      </c>
      <c r="AA7" s="3123" t="s">
        <v>3147</v>
      </c>
      <c r="AB7" s="3123">
        <v>6</v>
      </c>
    </row>
    <row r="8" spans="1:28" x14ac:dyDescent="0.2">
      <c r="A8" s="3315"/>
      <c r="B8" s="3315"/>
      <c r="C8" s="3315"/>
      <c r="D8" s="3315"/>
      <c r="E8" s="3319" t="s">
        <v>9978</v>
      </c>
      <c r="F8" s="3321"/>
      <c r="G8" s="3322" t="str">
        <f>IF(AND(P1="y",F8="",M6&gt;0),re,IF(AND(P1="n",F8&lt;&gt;""),"Delete!",""))</f>
        <v/>
      </c>
      <c r="H8" s="3315"/>
      <c r="I8" s="3315"/>
      <c r="J8" s="3315"/>
      <c r="L8" s="3123">
        <f>IF(G8&lt;&gt;"",1,0)</f>
      </c>
      <c r="M8" s="3123">
        <f>IF(F8="",0,1)</f>
      </c>
      <c r="O8" s="3123">
        <f>IF(AND(P1="n",F8&lt;&gt;""),1,0)</f>
      </c>
      <c r="S8" s="3301"/>
      <c r="AA8" s="3123" t="s">
        <v>4115</v>
      </c>
      <c r="AB8" s="3123">
        <v>7</v>
      </c>
    </row>
    <row r="9" spans="1:28" x14ac:dyDescent="0.2">
      <c r="A9" s="3315"/>
      <c r="B9" s="3315"/>
      <c r="C9" s="3315"/>
      <c r="D9" s="3315"/>
      <c r="E9" s="3315"/>
      <c r="F9" s="3315"/>
      <c r="G9" s="3315"/>
      <c r="H9" s="3315"/>
      <c r="I9" s="3315"/>
      <c r="J9" s="3315"/>
      <c r="S9" s="3301"/>
      <c r="AA9" s="3123" t="s">
        <v>4116</v>
      </c>
      <c r="AB9" s="3123">
        <v>8</v>
      </c>
    </row>
    <row r="10" spans="1:28" x14ac:dyDescent="0.2">
      <c r="A10" s="3315"/>
      <c r="B10" s="3315"/>
      <c r="C10" s="3315"/>
      <c r="D10" s="3319"/>
      <c r="E10" s="3319" t="s">
        <v>7755</v>
      </c>
      <c r="F10" s="3321"/>
      <c r="G10" s="3322" t="str">
        <f>IF(M6=0,"",IF(F10="",re,""))</f>
        <v/>
      </c>
      <c r="H10" s="3315"/>
      <c r="I10" s="3315"/>
      <c r="J10" s="3323"/>
      <c r="L10" s="3123">
        <f>IF(G10&lt;&gt;"",1,0)</f>
      </c>
      <c r="M10" s="3123">
        <f>IF(F10="",0,1)</f>
      </c>
      <c r="W10" s="1485" t="str">
        <f>cur</f>
      </c>
      <c r="X10" s="3123" t="s">
        <v>4591</v>
      </c>
      <c r="AA10" s="3123" t="s">
        <v>4117</v>
      </c>
      <c r="AB10" s="3123">
        <v>9</v>
      </c>
    </row>
    <row r="11" spans="1:28" x14ac:dyDescent="0.2">
      <c r="A11" s="3315"/>
      <c r="B11" s="3315"/>
      <c r="C11" s="3324"/>
      <c r="D11" s="3315"/>
      <c r="E11" s="3320"/>
      <c r="F11" s="3315"/>
      <c r="G11" s="3315"/>
      <c r="H11" s="3315"/>
      <c r="I11" s="3315"/>
      <c r="J11" s="3323"/>
      <c r="AA11" s="3123" t="s">
        <v>4118</v>
      </c>
      <c r="AB11" s="3123">
        <v>10</v>
      </c>
    </row>
    <row r="12" spans="1:28" x14ac:dyDescent="0.2">
      <c r="A12" s="3315"/>
      <c r="B12" s="3315"/>
      <c r="C12" s="3324"/>
      <c r="D12" s="3319"/>
      <c r="E12" s="3319" t="s">
        <v>9979</v>
      </c>
      <c r="F12" s="3321"/>
      <c r="G12" s="3322" t="str">
        <f>IF(M6=0,"",IF(F12="",re,""))</f>
        <v/>
      </c>
      <c r="H12" s="3315"/>
      <c r="I12" s="3315"/>
      <c r="J12" s="3323"/>
      <c r="L12" s="3123">
        <f>IF(G12&lt;&gt;"",1,0)</f>
      </c>
      <c r="M12" s="3123">
        <f>IF(F12="",0,1)</f>
      </c>
      <c r="AA12" s="3123" t="s">
        <v>4119</v>
      </c>
      <c r="AB12" s="3123">
        <v>11</v>
      </c>
    </row>
    <row r="13" spans="1:28" x14ac:dyDescent="0.2">
      <c r="A13" s="3315"/>
      <c r="B13" s="3315"/>
      <c r="C13" s="3324"/>
      <c r="D13" s="3319"/>
      <c r="E13" s="3320"/>
      <c r="F13" s="3320"/>
      <c r="G13" s="3323"/>
      <c r="H13" s="3315"/>
      <c r="I13" s="3315"/>
      <c r="J13" s="3323"/>
      <c r="AA13" s="3123" t="s">
        <v>57</v>
      </c>
      <c r="AB13" s="3123">
        <v>12</v>
      </c>
    </row>
    <row r="14" spans="1:28" x14ac:dyDescent="0.2">
      <c r="A14" s="3315"/>
      <c r="B14" s="5171" t="s">
        <v>6317</v>
      </c>
      <c r="C14" s="5171"/>
      <c r="D14" s="5171"/>
      <c r="E14" s="5171"/>
      <c r="F14" s="5171"/>
      <c r="G14" s="5171"/>
      <c r="H14" s="5171"/>
      <c r="I14" s="3315"/>
      <c r="J14" s="3323"/>
    </row>
    <row r="15" spans="1:28" x14ac:dyDescent="0.2">
      <c r="A15" s="3315"/>
      <c r="B15" s="3315"/>
      <c r="C15" s="3324"/>
      <c r="D15" s="3315"/>
      <c r="E15" s="3315"/>
      <c r="F15" s="3315"/>
      <c r="G15" s="3315"/>
      <c r="H15" s="3315"/>
      <c r="I15" s="3315"/>
      <c r="J15" s="3323"/>
      <c r="O15" s="3278"/>
    </row>
    <row r="16" spans="1:28" x14ac:dyDescent="0.2">
      <c r="A16" s="3315"/>
      <c r="B16" s="3315"/>
      <c r="C16" s="3324"/>
      <c r="D16" s="3315" t="s">
        <v>9218</v>
      </c>
      <c r="E16" s="3315"/>
      <c r="F16" s="3325">
        <f>IF(F10="",0,IF($F$10=R5,S5,IF($F$10=R6,S6,IF($F$10=R7,S7,""))))</f>
      </c>
      <c r="G16" s="3315"/>
      <c r="H16" s="3315"/>
      <c r="I16" s="3315"/>
      <c r="J16" s="3323"/>
      <c r="P16" s="3326"/>
    </row>
    <row r="17" spans="1:23" x14ac:dyDescent="0.2">
      <c r="A17" s="3315"/>
      <c r="B17" s="3315"/>
      <c r="C17" s="3324"/>
      <c r="D17" s="3315"/>
      <c r="E17" s="3315"/>
      <c r="F17" s="3315"/>
      <c r="G17" s="3315"/>
      <c r="H17" s="3315"/>
      <c r="I17" s="3315"/>
      <c r="J17" s="3323"/>
    </row>
    <row r="18" spans="1:23" ht="38.25" x14ac:dyDescent="0.2">
      <c r="A18" s="3315"/>
      <c r="B18" s="3315"/>
      <c r="C18" s="3279" t="s">
        <v>9215</v>
      </c>
      <c r="D18" s="3279" t="s">
        <v>7155</v>
      </c>
      <c r="E18" s="3327" t="s">
        <v>9219</v>
      </c>
      <c r="F18" s="3327" t="s">
        <v>7762</v>
      </c>
      <c r="G18" s="3279" t="s">
        <v>7156</v>
      </c>
      <c r="H18" s="3315"/>
      <c r="I18" s="3315"/>
      <c r="J18" s="3323"/>
      <c r="O18" s="3280" t="s">
        <v>3767</v>
      </c>
      <c r="P18" s="3328"/>
      <c r="W18" s="3328" t="s">
        <v>10629</v>
      </c>
    </row>
    <row r="19" spans="1:23" ht="21.75" customHeight="1" x14ac:dyDescent="0.2">
      <c r="A19" s="3315"/>
      <c r="B19" s="3329">
        <v>1</v>
      </c>
      <c r="C19" s="3330"/>
      <c r="D19" s="3331"/>
      <c r="E19" s="3332"/>
      <c r="F19" s="3333"/>
      <c r="G19" s="3334"/>
      <c r="H19" s="3335" t="str">
        <f>IF(AND($F$12&gt;0,$Q$4&lt;=2020,B19&lt;=$F$12,M19=0),re,IF(AND($F$12&gt;0,$Q$4&lt;=2020,B19&lt;=$F$12,M19&lt;5),"All data",IF(AND(M19&gt;0,OR(AND(O19&lt;&gt;"",$Q$4&gt;O19),AND(O19="",OR(D19&lt;Q26,YEAR(D19)&gt;ya)),B19&gt;$F$12)),"No details required",IF(G19&gt;F19,"Excessive!",""))))</f>
        <v/>
      </c>
      <c r="I19" s="3315"/>
      <c r="J19" s="3323"/>
      <c r="L19" s="3123">
        <f t="shared" ref="L19:L24" si="0">IF(H19&lt;&gt;"",1,0)</f>
      </c>
      <c r="M19" s="3123">
        <f>COUNTA(C19:G19)</f>
      </c>
      <c r="O19" s="3123" t="str">
        <f>IF(to_month=12,YEAR(D19),"")</f>
        <v/>
      </c>
      <c r="P19" s="3123" t="s">
        <v>7434</v>
      </c>
    </row>
    <row r="20" spans="1:23" ht="21.75" customHeight="1" x14ac:dyDescent="0.2">
      <c r="A20" s="3315"/>
      <c r="B20" s="3329">
        <v>2</v>
      </c>
      <c r="C20" s="3330"/>
      <c r="D20" s="3331"/>
      <c r="E20" s="3332"/>
      <c r="F20" s="3333"/>
      <c r="G20" s="3336"/>
      <c r="H20" s="3335" t="str">
        <f>IF(AND($F$12&gt;0,$Q$4&lt;=2020,B20&lt;=$F$12,M20=0),re,IF(AND($F$12&gt;0,$Q$4&lt;=2020,B20&lt;=$F$12,M20&lt;5),"All data",IF(AND(M20&gt;0,OR($Q$4&gt;O20,B20&gt;$F$12)),"No details required",IF(G20&gt;F20,"Excessive!",""))))</f>
        <v/>
      </c>
      <c r="I20" s="3315"/>
      <c r="J20" s="3323"/>
      <c r="L20" s="3123">
        <f t="shared" si="0"/>
        <v>0</v>
      </c>
      <c r="M20" s="3123">
        <f>COUNTA(C20:G20)</f>
      </c>
      <c r="O20" s="3123" t="str">
        <f>IF(to_month=12,YEAR(D20),"")</f>
        <v/>
      </c>
      <c r="P20" s="3123" t="s">
        <v>7762</v>
      </c>
      <c r="R20" s="3300">
        <f>F24</f>
      </c>
      <c r="T20" s="3123" t="s">
        <v>4012</v>
      </c>
      <c r="U20" s="3123">
        <v>1000000</v>
      </c>
    </row>
    <row r="21" spans="1:23" ht="21.75" customHeight="1" x14ac:dyDescent="0.2">
      <c r="A21" s="3315"/>
      <c r="B21" s="3329">
        <v>3</v>
      </c>
      <c r="C21" s="3330"/>
      <c r="D21" s="3331"/>
      <c r="E21" s="3332"/>
      <c r="F21" s="3333"/>
      <c r="G21" s="3336"/>
      <c r="H21" s="3335" t="str">
        <f>IF(AND($F$12&gt;0,$Q$4&lt;=2020,B21&lt;=$F$12,M21=0),re,IF(AND($F$12&gt;0,$Q$4&lt;=2020,B21&lt;=$F$12,M21&lt;5),"All data",IF(AND(M21&gt;0,OR($Q$4&gt;O21,B21&gt;$F$12)),"No details required",IF(G21&gt;F21,"Excessive!",""))))</f>
        <v/>
      </c>
      <c r="I21" s="3315"/>
      <c r="J21" s="3323"/>
      <c r="L21" s="3123">
        <f t="shared" si="0"/>
        <v>0</v>
      </c>
      <c r="M21" s="3123">
        <f>COUNTA(C21:G21)</f>
      </c>
      <c r="O21" s="3123" t="str">
        <f>IF(to_month=12,YEAR(D21),"")</f>
        <v/>
      </c>
      <c r="P21" s="3123" t="s">
        <v>7434</v>
      </c>
      <c r="R21" s="3301">
        <f>F16</f>
      </c>
      <c r="T21" s="3123" t="s">
        <v>9214</v>
      </c>
      <c r="U21" s="3300">
        <f>MIN(R22,R23)</f>
      </c>
    </row>
    <row r="22" spans="1:23" ht="21.75" customHeight="1" x14ac:dyDescent="0.2">
      <c r="A22" s="3315"/>
      <c r="B22" s="3329">
        <v>4</v>
      </c>
      <c r="C22" s="3330"/>
      <c r="D22" s="3331"/>
      <c r="E22" s="3332"/>
      <c r="F22" s="3333"/>
      <c r="G22" s="3336"/>
      <c r="H22" s="3335" t="str">
        <f>IF(AND($F$12&gt;0,$Q$4&lt;=2020,B22&lt;=$F$12,M22=0),re,IF(AND($F$12&gt;0,$Q$4&lt;=2020,B22&lt;=$F$12,M22&lt;5),"All data",IF(AND(M22&gt;0,OR($Q$4&gt;O22,B22&gt;$F$12)),"No details required",IF(G22&gt;F22,"Excessive!",""))))</f>
        <v/>
      </c>
      <c r="I22" s="3315"/>
      <c r="J22" s="3323"/>
      <c r="L22" s="3123">
        <f t="shared" si="0"/>
        <v>0</v>
      </c>
      <c r="M22" s="3123">
        <f>COUNTA(C22:G22)</f>
      </c>
      <c r="O22" s="3123" t="str">
        <f>IF(to_month=12,YEAR(D22),"")</f>
        <v/>
      </c>
      <c r="P22" s="3123" t="s">
        <v>9220</v>
      </c>
      <c r="R22" s="3123">
        <f>R20*R21</f>
      </c>
    </row>
    <row r="23" spans="1:23" ht="21.75" customHeight="1" x14ac:dyDescent="0.2">
      <c r="A23" s="3315"/>
      <c r="B23" s="3329">
        <v>5</v>
      </c>
      <c r="C23" s="3330"/>
      <c r="D23" s="3331"/>
      <c r="E23" s="3332"/>
      <c r="F23" s="3333"/>
      <c r="G23" s="3336"/>
      <c r="H23" s="3335" t="str">
        <f>IF(AND($F$12&gt;0,$Q$4&lt;=2020,B23&lt;=$F$12,M23=0),re,IF(AND($F$12&gt;0,$Q$4&lt;=2020,B23&lt;=$F$12,M23&lt;5),"All data",IF(AND(M23&gt;0,OR($Q$4&gt;O23,B23&gt;$F$12)),"No details required",IF(G23&gt;F23,"Excessive!",""))))</f>
        <v/>
      </c>
      <c r="I23" s="3315"/>
      <c r="J23" s="3323"/>
      <c r="L23" s="3123">
        <f t="shared" si="0"/>
        <v>0</v>
      </c>
      <c r="M23" s="3123">
        <f>COUNTA(C23:G23)</f>
      </c>
      <c r="O23" s="3123" t="str">
        <f>IF(to_month=12,YEAR(D23),"")</f>
        <v/>
      </c>
      <c r="P23" s="3123" t="s">
        <v>9221</v>
      </c>
      <c r="R23" s="3300">
        <f>G24</f>
      </c>
      <c r="T23" s="3123" t="s">
        <v>5766</v>
      </c>
      <c r="U23" s="3300">
        <f>MIN(U20,U21)</f>
      </c>
    </row>
    <row r="24" spans="1:23" ht="15" customHeight="1" x14ac:dyDescent="0.2">
      <c r="A24" s="3315"/>
      <c r="B24" s="3315"/>
      <c r="C24" s="3319"/>
      <c r="D24" s="3323"/>
      <c r="E24" s="3323"/>
      <c r="F24" s="2638">
        <f>SUM(F19:F23)</f>
      </c>
      <c r="G24" s="2638">
        <f>SUM(G19:G23)</f>
      </c>
      <c r="H24" s="3337" t="str">
        <f>IF(G24&gt;R22,"Approved TC exceeds Capped",IF(AND(S1=T1,G24&gt;U20),"Aid exceeds €1,000,000",""))</f>
        <v/>
      </c>
      <c r="I24" s="3315"/>
      <c r="J24" s="3323"/>
      <c r="L24" s="3123">
        <f t="shared" si="0"/>
        <v>0</v>
      </c>
      <c r="R24" s="3300"/>
    </row>
    <row r="25" spans="1:23" ht="15" customHeight="1" x14ac:dyDescent="0.2">
      <c r="A25" s="3315"/>
      <c r="B25" s="3319"/>
      <c r="C25" s="3319"/>
      <c r="D25" s="3319"/>
      <c r="E25" s="3319"/>
      <c r="F25" s="3319"/>
      <c r="G25" s="3323"/>
      <c r="H25" s="3315"/>
      <c r="I25" s="3315"/>
      <c r="J25" s="3323"/>
      <c r="O25" s="5372" t="s">
        <v>2314</v>
      </c>
      <c r="P25" s="5373"/>
      <c r="Q25" s="5374"/>
    </row>
    <row r="26" spans="1:23" x14ac:dyDescent="0.2">
      <c r="A26" s="3315"/>
      <c r="B26" s="5370" t="s">
        <v>4996</v>
      </c>
      <c r="C26" s="5370"/>
      <c r="D26" s="5370"/>
      <c r="E26" s="5370"/>
      <c r="F26" s="5370"/>
      <c r="G26" s="5370"/>
      <c r="H26" s="5370"/>
      <c r="I26" s="3315"/>
      <c r="J26" s="3323"/>
      <c r="O26" s="4073"/>
      <c r="P26" s="3265" t="s">
        <v>10620</v>
      </c>
      <c r="Q26" s="4074">
        <f>date_from</f>
      </c>
      <c r="S26" s="3338">
        <f>MIN(S27:T27)</f>
      </c>
    </row>
    <row r="27" spans="1:23" x14ac:dyDescent="0.2">
      <c r="A27" s="3315"/>
      <c r="B27" s="3339"/>
      <c r="C27" s="3339"/>
      <c r="D27" s="3339"/>
      <c r="E27" s="3339"/>
      <c r="F27" s="3339"/>
      <c r="G27" s="3340"/>
      <c r="H27" s="3315"/>
      <c r="I27" s="3315"/>
      <c r="J27" s="3323"/>
      <c r="O27" s="4073"/>
      <c r="P27" s="3265" t="s">
        <v>10621</v>
      </c>
      <c r="Q27" s="4074">
        <f>date_to</f>
      </c>
      <c r="R27" s="4072">
        <v>43344</v>
      </c>
      <c r="S27" s="3272">
        <v>46387</v>
      </c>
      <c r="T27" s="3272">
        <f>IF(Q35=6,DATE(ya,to_month,to_day),DATE(ya,T30,T29))</f>
      </c>
      <c r="W27" s="3123" t="s">
        <v>7024</v>
      </c>
    </row>
    <row r="28" spans="1:23" x14ac:dyDescent="0.2">
      <c r="A28" s="3315"/>
      <c r="B28" s="3314"/>
      <c r="C28" s="3315"/>
      <c r="D28" s="3339"/>
      <c r="E28" s="3319" t="s">
        <v>6221</v>
      </c>
      <c r="F28" s="3339"/>
      <c r="G28" s="3341">
        <f>IF(SUM(L19:L24)&gt;0,0,G24)</f>
      </c>
      <c r="H28" s="3315"/>
      <c r="I28" s="3315"/>
      <c r="J28" s="3323"/>
      <c r="L28" s="3123">
        <f>IF(H28&lt;&gt;"",1,0)</f>
      </c>
      <c r="O28" s="4073"/>
      <c r="Q28" s="4075"/>
      <c r="S28" s="5372" t="s">
        <v>10626</v>
      </c>
      <c r="T28" s="5374"/>
      <c r="W28" s="3123" t="s">
        <v>8716</v>
      </c>
    </row>
    <row r="29" spans="1:23" x14ac:dyDescent="0.2">
      <c r="A29" s="3315"/>
      <c r="B29" s="3342"/>
      <c r="C29" s="3315"/>
      <c r="D29" s="3339"/>
      <c r="E29" s="3324"/>
      <c r="F29" s="3339"/>
      <c r="G29" s="3315"/>
      <c r="H29" s="3315"/>
      <c r="I29" s="3315"/>
      <c r="J29" s="3323"/>
      <c r="O29" s="4073"/>
      <c r="P29" s="3265" t="s">
        <v>10624</v>
      </c>
      <c r="Q29" s="4076" t="str">
        <f>IF(date_from="","",DAY(Q26))</f>
        <v/>
      </c>
      <c r="S29" s="4081" t="s">
        <v>10623</v>
      </c>
      <c r="T29" s="4082">
        <f>bs_date_day</f>
      </c>
      <c r="W29" s="3123" t="s">
        <v>9222</v>
      </c>
    </row>
    <row r="30" spans="1:23" x14ac:dyDescent="0.2">
      <c r="A30" s="3315"/>
      <c r="B30" s="3314"/>
      <c r="C30" s="3315"/>
      <c r="D30" s="3339"/>
      <c r="E30" s="3319" t="s">
        <v>6222</v>
      </c>
      <c r="F30" s="3339"/>
      <c r="G30" s="3343"/>
      <c r="H30" s="3344" t="str">
        <f>IF(M6=0,"",IF(AND(Q3&lt;=2020,G30&gt;0),"Delete!",IF(AND(Q3&gt;2020,G30=""),reo,IF((G30+G28)&gt;U20,"Excessive",""))))</f>
        <v/>
      </c>
      <c r="I30" s="3315"/>
      <c r="J30" s="3315"/>
      <c r="L30" s="3123">
        <f>IF(H30&lt;&gt;"",1,0)</f>
      </c>
      <c r="M30" s="3123">
        <f>IF(G30="",0,1)</f>
      </c>
      <c r="O30" s="4073"/>
      <c r="P30" s="3265" t="s">
        <v>10625</v>
      </c>
      <c r="Q30" s="4076" t="str">
        <f>IF(date_from="","",MONTH(Q27))</f>
        <v/>
      </c>
      <c r="S30" s="4083" t="s">
        <v>10622</v>
      </c>
      <c r="T30" s="4084">
        <f>VLOOKUP(bs_date_month,AA2:AB13,2,FALSE)</f>
      </c>
      <c r="W30" s="3123" t="s">
        <v>8728</v>
      </c>
    </row>
    <row r="31" spans="1:23" x14ac:dyDescent="0.2">
      <c r="A31" s="3315"/>
      <c r="B31" s="3342"/>
      <c r="C31" s="3315"/>
      <c r="D31" s="3339"/>
      <c r="E31" s="3324"/>
      <c r="F31" s="3339"/>
      <c r="G31" s="3315"/>
      <c r="H31" s="3315"/>
      <c r="I31" s="3315"/>
      <c r="J31" s="3323"/>
      <c r="O31" s="4073"/>
      <c r="P31" s="3265" t="s">
        <v>10630</v>
      </c>
      <c r="Q31" s="4076" t="str">
        <f>IF(date_from="","",YEAR(Q26))</f>
        <v/>
      </c>
      <c r="S31" s="3123" t="s">
        <v>10628</v>
      </c>
      <c r="T31" s="4085">
        <f>COUNT(T29:T30)</f>
      </c>
      <c r="W31" s="3123" t="s">
        <v>9223</v>
      </c>
    </row>
    <row r="32" spans="1:23" x14ac:dyDescent="0.2">
      <c r="A32" s="3315"/>
      <c r="B32" s="3314"/>
      <c r="C32" s="3315"/>
      <c r="D32" s="3339"/>
      <c r="E32" s="3319" t="s">
        <v>7456</v>
      </c>
      <c r="F32" s="3339"/>
      <c r="G32" s="3341">
        <f>IF(L30=1,0,G30+G28)</f>
      </c>
      <c r="H32" s="3315"/>
      <c r="I32" s="3315"/>
      <c r="J32" s="3323"/>
      <c r="O32" s="4073"/>
      <c r="P32" s="3265" t="s">
        <v>10623</v>
      </c>
      <c r="Q32" s="4077" t="str">
        <f>IF(date_to="","",DAY(Q27))</f>
        <v/>
      </c>
      <c r="W32" s="3123" t="s">
        <v>9224</v>
      </c>
    </row>
    <row r="33" spans="1:23" x14ac:dyDescent="0.2">
      <c r="A33" s="3315"/>
      <c r="B33" s="3342"/>
      <c r="C33" s="3315"/>
      <c r="D33" s="3339"/>
      <c r="E33" s="3324"/>
      <c r="F33" s="3339"/>
      <c r="G33" s="3315"/>
      <c r="H33" s="3315"/>
      <c r="I33" s="3315"/>
      <c r="J33" s="3323"/>
      <c r="O33" s="4073"/>
      <c r="P33" s="3265" t="s">
        <v>10622</v>
      </c>
      <c r="Q33" s="4076" t="str">
        <f>IF(date_to="","",MONTH(Q25))</f>
        <v/>
      </c>
      <c r="W33" s="3123" t="s">
        <v>9225</v>
      </c>
    </row>
    <row r="34" spans="1:23" x14ac:dyDescent="0.2">
      <c r="A34" s="3315"/>
      <c r="B34" s="3314"/>
      <c r="C34" s="3315"/>
      <c r="D34" s="3339"/>
      <c r="E34" s="3319" t="s">
        <v>6223</v>
      </c>
      <c r="F34" s="3339"/>
      <c r="G34" s="3363"/>
      <c r="H34" s="3323" t="str">
        <f>IF(M6=0,"",IF(AND(M45&gt;0,G34=""),reo,""))</f>
        <v/>
      </c>
      <c r="I34" s="3315"/>
      <c r="J34" s="3315"/>
      <c r="L34" s="3123">
        <f>IF(H34&lt;&gt;"",1,0)</f>
      </c>
      <c r="M34" s="3123">
        <f>IF(G34="",0,1)</f>
      </c>
      <c r="O34" s="4073"/>
      <c r="P34" s="3265" t="s">
        <v>10631</v>
      </c>
      <c r="Q34" s="4076" t="str">
        <f>IF(date_to="","",YEAR(Q27))</f>
        <v/>
      </c>
      <c r="W34" s="3123" t="s">
        <v>9226</v>
      </c>
    </row>
    <row r="35" spans="1:23" ht="6.75" customHeight="1" x14ac:dyDescent="0.2">
      <c r="A35" s="3315"/>
      <c r="B35" s="3342"/>
      <c r="C35" s="3315"/>
      <c r="D35" s="3339"/>
      <c r="E35" s="3324"/>
      <c r="F35" s="3339"/>
      <c r="G35" s="3315"/>
      <c r="H35" s="3315"/>
      <c r="I35" s="3315"/>
      <c r="J35" s="3323"/>
      <c r="O35" s="4078"/>
      <c r="P35" s="4079" t="s">
        <v>10627</v>
      </c>
      <c r="Q35" s="4080">
        <f>COUNT(Q29:Q34)</f>
      </c>
      <c r="T35" s="3272"/>
      <c r="W35" s="3123" t="s">
        <v>7031</v>
      </c>
    </row>
    <row r="36" spans="1:23" x14ac:dyDescent="0.2">
      <c r="A36" s="3315"/>
      <c r="B36" s="3314"/>
      <c r="C36" s="3315"/>
      <c r="D36" s="3339"/>
      <c r="E36" s="3319" t="s">
        <v>3566</v>
      </c>
      <c r="F36" s="3339"/>
      <c r="G36" s="3341">
        <f>IF(G32="","",IF(G32&gt;G34,G32-G34,0))</f>
      </c>
      <c r="H36" s="3315"/>
      <c r="I36" s="3315"/>
      <c r="J36" s="3323"/>
      <c r="Q36" s="3300"/>
      <c r="W36" s="3123" t="s">
        <v>9227</v>
      </c>
    </row>
    <row r="37" spans="1:23" x14ac:dyDescent="0.2">
      <c r="A37" s="3315"/>
      <c r="B37" s="3315"/>
      <c r="C37" s="3315"/>
      <c r="D37" s="3315"/>
      <c r="E37" s="3315"/>
      <c r="F37" s="3315"/>
      <c r="G37" s="3315"/>
      <c r="H37" s="3315"/>
      <c r="I37" s="3315"/>
      <c r="J37" s="3323"/>
      <c r="W37" s="3123" t="s">
        <v>9228</v>
      </c>
    </row>
    <row r="38" spans="1:23" x14ac:dyDescent="0.2">
      <c r="A38" s="3315"/>
      <c r="B38" s="3315"/>
      <c r="C38" s="3315"/>
      <c r="D38" s="3315"/>
      <c r="E38" s="3320"/>
      <c r="F38" s="3345"/>
      <c r="G38" s="3315"/>
      <c r="H38" s="3315"/>
      <c r="I38" s="3315"/>
      <c r="J38" s="3323"/>
      <c r="Q38" s="3300"/>
      <c r="W38" s="3123" t="s">
        <v>8719</v>
      </c>
    </row>
    <row r="39" spans="1:23" x14ac:dyDescent="0.2">
      <c r="A39" s="3315"/>
      <c r="B39" s="3346" t="s">
        <v>5708</v>
      </c>
      <c r="C39" s="3347"/>
      <c r="D39" s="3347"/>
      <c r="E39" s="3347"/>
      <c r="F39" s="3347"/>
      <c r="G39" s="3364"/>
      <c r="H39" s="3348" t="str">
        <f>IF(M6=0,"",IF(AND(G34&gt;=0,G39=""),re,IF(AND(G34=0,G39&gt;0),"No tax credit claimed for the year!",IF(AND(G34&gt;0,G39=0),"Amount relieved by tax credit required!",IF(G39&lt;0,"Cannot be negative!",IF(OR(G39&gt;R40+1,G39&lt;S40-1),T40,""))))))</f>
        <v/>
      </c>
      <c r="I39" s="3315"/>
      <c r="J39" s="3315"/>
      <c r="L39" s="3123">
        <f>IF(H39&lt;&gt;"",1,0)</f>
      </c>
      <c r="M39" s="3123">
        <f>IF(G39="",0,1)</f>
      </c>
      <c r="R39" s="5367" t="s">
        <v>7073</v>
      </c>
      <c r="S39" s="5367"/>
      <c r="T39" s="5367"/>
      <c r="W39" s="3123" t="s">
        <v>9229</v>
      </c>
    </row>
    <row r="40" spans="1:23" x14ac:dyDescent="0.2">
      <c r="A40" s="3315"/>
      <c r="B40" s="3315"/>
      <c r="C40" s="3315"/>
      <c r="D40" s="3315"/>
      <c r="E40" s="3315"/>
      <c r="F40" s="3349"/>
      <c r="G40" s="3349"/>
      <c r="H40" s="3323"/>
      <c r="I40" s="3315"/>
      <c r="J40" s="3315"/>
      <c r="Q40" s="3300"/>
      <c r="R40" s="3350">
        <f>ROUND(G34/5%,0)</f>
      </c>
      <c r="S40" s="3308">
        <f>ROUND(G34/0.35,0)</f>
      </c>
      <c r="T40" s="3309" t="s">
        <v>4787</v>
      </c>
      <c r="W40" s="3123" t="s">
        <v>9230</v>
      </c>
    </row>
    <row r="41" spans="1:23" x14ac:dyDescent="0.2">
      <c r="A41" s="3315"/>
      <c r="B41" s="3315" t="s">
        <v>2007</v>
      </c>
      <c r="C41" s="3315"/>
      <c r="D41" s="3315"/>
      <c r="E41" s="3315"/>
      <c r="F41" s="3351"/>
      <c r="G41" s="3352"/>
      <c r="H41" s="3351" t="str">
        <f>IF($M$45=0,"",IF(G41="",re,IF(AND(O41="n",G34&gt;0),"No benefit!","")))</f>
        <v/>
      </c>
      <c r="I41" s="3353"/>
      <c r="J41" s="3315"/>
      <c r="L41" s="3123">
        <f>IF(H41&lt;&gt;"",1,0)</f>
      </c>
      <c r="M41" s="3123">
        <f>IF(G41="",0,1)</f>
      </c>
      <c r="O41" s="3123" t="str">
        <f>IF(G41="yes","Y","n")</f>
      </c>
      <c r="W41" s="3123" t="s">
        <v>4910</v>
      </c>
    </row>
    <row r="42" spans="1:23" hidden="1" x14ac:dyDescent="0.2">
      <c r="A42" s="3315"/>
      <c r="B42" s="3315"/>
      <c r="C42" s="3315"/>
      <c r="D42" s="3315"/>
      <c r="E42" s="3315"/>
      <c r="F42" s="3351"/>
      <c r="G42" s="3354"/>
      <c r="H42" s="3315"/>
      <c r="I42" s="3315"/>
      <c r="J42" s="3315"/>
      <c r="Q42" s="3300"/>
      <c r="W42" s="3123" t="s">
        <v>9231</v>
      </c>
    </row>
    <row r="43" spans="1:23" hidden="1" x14ac:dyDescent="0.2">
      <c r="A43" s="3315"/>
      <c r="B43" s="3315"/>
      <c r="C43" s="3355"/>
      <c r="D43" s="3355"/>
      <c r="E43" s="3315"/>
      <c r="F43" s="3356"/>
      <c r="G43" s="3351"/>
      <c r="H43" s="3351"/>
      <c r="I43" s="3315"/>
      <c r="J43" s="3315"/>
      <c r="W43" s="3123" t="s">
        <v>8723</v>
      </c>
    </row>
    <row r="44" spans="1:23" hidden="1" x14ac:dyDescent="0.2">
      <c r="A44" s="3315"/>
      <c r="B44" s="3315"/>
      <c r="C44" s="3315"/>
      <c r="D44" s="3315"/>
      <c r="E44" s="3315"/>
      <c r="F44" s="3345"/>
      <c r="G44" s="3315"/>
      <c r="H44" s="3315"/>
      <c r="I44" s="3315"/>
      <c r="J44" s="3315"/>
      <c r="W44" s="3123" t="s">
        <v>9232</v>
      </c>
    </row>
    <row r="45" spans="1:23" x14ac:dyDescent="0.2">
      <c r="A45" s="3315"/>
      <c r="B45" s="3315"/>
      <c r="C45" s="3315"/>
      <c r="D45" s="3315"/>
      <c r="E45" s="3315"/>
      <c r="F45" s="3345"/>
      <c r="G45" s="3315"/>
      <c r="H45" s="3315"/>
      <c r="I45" s="3315"/>
      <c r="J45" s="3315"/>
      <c r="L45" s="3123">
        <f>SUM(L7:L43)</f>
      </c>
      <c r="M45" s="3123">
        <f>SUM(M7:M44)</f>
      </c>
      <c r="W45" s="3123" t="s">
        <v>9233</v>
      </c>
    </row>
    <row r="46" spans="1:23" x14ac:dyDescent="0.2">
      <c r="A46" s="3357" t="s">
        <v>10576</v>
      </c>
      <c r="B46" s="3315"/>
      <c r="C46" s="3315"/>
      <c r="D46" s="3315"/>
      <c r="E46" s="3315" t="str">
        <f>ver</f>
        <v>TA2_e-CO_2025_Ver 1.1</v>
      </c>
      <c r="F46" s="3345"/>
      <c r="G46" s="3315"/>
      <c r="H46" s="3357" t="s">
        <v>9980</v>
      </c>
      <c r="I46" s="3315"/>
      <c r="J46" s="3315"/>
      <c r="W46" s="3123" t="s">
        <v>9235</v>
      </c>
    </row>
    <row r="47" spans="1:23" x14ac:dyDescent="0.2">
      <c r="A47" s="3315"/>
      <c r="B47" s="3315"/>
      <c r="C47" s="3315"/>
      <c r="D47" s="3315"/>
      <c r="E47" s="3315"/>
      <c r="F47" s="3345"/>
      <c r="G47" s="3315"/>
      <c r="H47" s="3357"/>
      <c r="I47" s="3315"/>
      <c r="J47" s="3315"/>
      <c r="L47" s="3123" t="s">
        <v>7754</v>
      </c>
      <c r="M47" s="3123" t="s">
        <v>7161</v>
      </c>
    </row>
    <row r="48" spans="1:23" x14ac:dyDescent="0.2">
      <c r="A48" s="3315"/>
      <c r="B48" s="3315"/>
      <c r="C48" s="3315"/>
      <c r="D48" s="3315"/>
      <c r="E48" s="3315"/>
      <c r="F48" s="3315"/>
      <c r="G48" s="3315"/>
      <c r="H48" s="3315"/>
      <c r="I48" s="3315"/>
      <c r="J48" s="3315"/>
      <c r="L48" s="3123">
        <f>SUM(L49:L91)</f>
      </c>
      <c r="M48" s="3123">
        <f>SUM(M49:M91)</f>
      </c>
      <c r="R48" s="3123" t="s">
        <v>3274</v>
      </c>
      <c r="S48" s="3301">
        <v>0.7</v>
      </c>
      <c r="U48" s="3123">
        <v>3</v>
      </c>
    </row>
    <row r="49" spans="1:24" x14ac:dyDescent="0.2">
      <c r="A49" s="3577">
        <v>2</v>
      </c>
      <c r="B49" s="5369" t="s">
        <v>6317</v>
      </c>
      <c r="C49" s="5369"/>
      <c r="D49" s="5369"/>
      <c r="E49" s="5369"/>
      <c r="F49" s="5369"/>
      <c r="G49" s="5369"/>
      <c r="H49" s="5369"/>
      <c r="I49" s="3322" t="str">
        <f>IF(AND(P1="n",M48&gt;0),"Check pg 2 Q30!","")</f>
        <v/>
      </c>
      <c r="J49" s="3322"/>
      <c r="L49" s="3123">
        <f>IF(I49&lt;&gt;"",1,0)</f>
      </c>
      <c r="R49" s="3123" t="s">
        <v>3281</v>
      </c>
      <c r="S49" s="3301">
        <v>0.6</v>
      </c>
      <c r="U49" s="3123">
        <v>4</v>
      </c>
    </row>
    <row r="50" spans="1:24" x14ac:dyDescent="0.2">
      <c r="A50" s="3315"/>
      <c r="B50" s="3315"/>
      <c r="C50" s="3315"/>
      <c r="D50" s="3315"/>
      <c r="E50" s="3315"/>
      <c r="F50" s="3315"/>
      <c r="G50" s="3315"/>
      <c r="H50" s="3315"/>
      <c r="I50" s="3315"/>
      <c r="J50" s="3315"/>
      <c r="R50" s="3123" t="s">
        <v>3282</v>
      </c>
      <c r="S50" s="3301">
        <v>0.5</v>
      </c>
      <c r="U50" s="3123">
        <v>5</v>
      </c>
    </row>
    <row r="51" spans="1:24" x14ac:dyDescent="0.2">
      <c r="A51" s="3315"/>
      <c r="B51" s="3315"/>
      <c r="C51" s="3315"/>
      <c r="D51" s="3315"/>
      <c r="E51" s="3319" t="s">
        <v>9978</v>
      </c>
      <c r="F51" s="3321"/>
      <c r="G51" s="3322" t="str">
        <f>IF(AND($P$1="y",F51="",M49&gt;0),re,IF(AND($P$1="n",F51&lt;&gt;""),"Delete!",""))</f>
        <v/>
      </c>
      <c r="H51" s="3315"/>
      <c r="I51" s="3315"/>
      <c r="J51" s="3315"/>
      <c r="L51" s="3123">
        <f>IF(G51&lt;&gt;"",1,0)</f>
      </c>
      <c r="M51" s="3123">
        <f>IF(O51=1,0,IF(F51="",0,1))</f>
      </c>
      <c r="O51" s="3123">
        <f>IF(AND($P$1="n",F51&lt;&gt;""),1,0)</f>
      </c>
      <c r="S51" s="3301"/>
    </row>
    <row r="52" spans="1:24" x14ac:dyDescent="0.2">
      <c r="A52" s="3315"/>
      <c r="B52" s="3315"/>
      <c r="C52" s="3315"/>
      <c r="D52" s="3315"/>
      <c r="E52" s="3315"/>
      <c r="F52" s="3315"/>
      <c r="G52" s="3315"/>
      <c r="H52" s="3315"/>
      <c r="I52" s="3315"/>
      <c r="J52" s="3315"/>
      <c r="S52" s="3301"/>
    </row>
    <row r="53" spans="1:24" x14ac:dyDescent="0.2">
      <c r="A53" s="3315"/>
      <c r="B53" s="3315"/>
      <c r="C53" s="3315"/>
      <c r="D53" s="3319"/>
      <c r="E53" s="3319" t="s">
        <v>7755</v>
      </c>
      <c r="F53" s="3321"/>
      <c r="G53" s="3322" t="str">
        <f>IF(M48=0,"",IF(F53="",re,""))</f>
        <v/>
      </c>
      <c r="H53" s="3315"/>
      <c r="I53" s="3315"/>
      <c r="J53" s="3323"/>
      <c r="L53" s="3123">
        <f>IF(G53&lt;&gt;"",1,0)</f>
      </c>
      <c r="M53" s="3123">
        <f>IF(F53="",0,1)</f>
      </c>
      <c r="W53" s="1485" t="str">
        <f>cur</f>
      </c>
      <c r="X53" s="3123" t="s">
        <v>4591</v>
      </c>
    </row>
    <row r="54" spans="1:24" x14ac:dyDescent="0.2">
      <c r="A54" s="3315"/>
      <c r="B54" s="3315"/>
      <c r="C54" s="3324"/>
      <c r="D54" s="3315"/>
      <c r="E54" s="3320"/>
      <c r="F54" s="3315"/>
      <c r="G54" s="3315"/>
      <c r="H54" s="3315"/>
      <c r="I54" s="3315"/>
      <c r="J54" s="3323"/>
    </row>
    <row r="55" spans="1:24" x14ac:dyDescent="0.2">
      <c r="A55" s="3315"/>
      <c r="B55" s="3315"/>
      <c r="C55" s="3324"/>
      <c r="D55" s="3319"/>
      <c r="E55" s="3319" t="s">
        <v>9979</v>
      </c>
      <c r="F55" s="3321"/>
      <c r="G55" s="3322" t="str">
        <f>IF(M48=0,"",IF(F55="",re,""))</f>
        <v/>
      </c>
      <c r="H55" s="3315"/>
      <c r="I55" s="3315"/>
      <c r="J55" s="3323"/>
      <c r="L55" s="3123">
        <f>IF(G55&lt;&gt;"",1,0)</f>
      </c>
      <c r="M55" s="3123">
        <f>IF(F55="",0,1)</f>
      </c>
    </row>
    <row r="56" spans="1:24" x14ac:dyDescent="0.2">
      <c r="A56" s="3315"/>
      <c r="B56" s="3315"/>
      <c r="C56" s="3324"/>
      <c r="D56" s="3319"/>
      <c r="E56" s="3320"/>
      <c r="F56" s="3320"/>
      <c r="G56" s="3323"/>
      <c r="H56" s="3315"/>
      <c r="I56" s="3315"/>
      <c r="J56" s="3323"/>
    </row>
    <row r="57" spans="1:24" x14ac:dyDescent="0.2">
      <c r="A57" s="3315"/>
      <c r="B57" s="5171" t="s">
        <v>6317</v>
      </c>
      <c r="C57" s="5171"/>
      <c r="D57" s="5171"/>
      <c r="E57" s="5171"/>
      <c r="F57" s="5171"/>
      <c r="G57" s="5171"/>
      <c r="H57" s="5171"/>
      <c r="I57" s="3315"/>
      <c r="J57" s="3323"/>
    </row>
    <row r="58" spans="1:24" x14ac:dyDescent="0.2">
      <c r="A58" s="3315"/>
      <c r="B58" s="3315"/>
      <c r="C58" s="3324"/>
      <c r="D58" s="3315"/>
      <c r="E58" s="3315"/>
      <c r="F58" s="3315"/>
      <c r="G58" s="3315"/>
      <c r="H58" s="3315"/>
      <c r="I58" s="3315"/>
      <c r="J58" s="3323"/>
      <c r="O58" s="3278"/>
    </row>
    <row r="59" spans="1:24" x14ac:dyDescent="0.2">
      <c r="A59" s="3315"/>
      <c r="B59" s="3315"/>
      <c r="C59" s="3324"/>
      <c r="D59" s="3315" t="s">
        <v>9218</v>
      </c>
      <c r="E59" s="3315"/>
      <c r="F59" s="3325">
        <f>IF(F53="",0,IF($F$53=R48,S48,IF($F$53=R49,S49,IF($F$53=R50,S50,""))))</f>
      </c>
      <c r="G59" s="3315"/>
      <c r="H59" s="3315"/>
      <c r="I59" s="3315"/>
      <c r="J59" s="3323"/>
      <c r="P59" s="3326"/>
    </row>
    <row r="60" spans="1:24" x14ac:dyDescent="0.2">
      <c r="A60" s="3315"/>
      <c r="B60" s="3315"/>
      <c r="C60" s="3324"/>
      <c r="D60" s="3315"/>
      <c r="E60" s="3315"/>
      <c r="F60" s="3315"/>
      <c r="G60" s="3315"/>
      <c r="H60" s="3315"/>
      <c r="I60" s="3315"/>
      <c r="J60" s="3323"/>
    </row>
    <row r="61" spans="1:24" ht="25.5" x14ac:dyDescent="0.2">
      <c r="A61" s="3315"/>
      <c r="B61" s="3315"/>
      <c r="C61" s="3279" t="s">
        <v>9215</v>
      </c>
      <c r="D61" s="3279" t="s">
        <v>7155</v>
      </c>
      <c r="E61" s="3327" t="s">
        <v>9219</v>
      </c>
      <c r="F61" s="3327" t="s">
        <v>7762</v>
      </c>
      <c r="G61" s="3279" t="s">
        <v>7156</v>
      </c>
      <c r="H61" s="3315"/>
      <c r="I61" s="3315"/>
      <c r="J61" s="3323"/>
      <c r="O61" s="3280" t="s">
        <v>3767</v>
      </c>
      <c r="P61" s="3328"/>
    </row>
    <row r="62" spans="1:24" ht="21.75" customHeight="1" x14ac:dyDescent="0.2">
      <c r="A62" s="3315"/>
      <c r="B62" s="3329">
        <v>1</v>
      </c>
      <c r="C62" s="3330"/>
      <c r="D62" s="3331"/>
      <c r="E62" s="3332"/>
      <c r="F62" s="3333"/>
      <c r="G62" s="3334"/>
      <c r="H62" s="3335" t="str">
        <f>IF(AND($F$55&gt;0,$Q$4&lt;=2020,B62&lt;=$F$55,M62=0),re,IF(AND($F$55&gt;0,$Q$4&lt;=2020,B62&lt;=$F$55,M62&lt;5),"All data",IF(AND(M62&gt;0,OR($Q$4&gt;O62,B62&gt;$F$55)),"No details required",IF(G62&gt;F62,"Excessive!",""))))</f>
        <v/>
      </c>
      <c r="I62" s="3315"/>
      <c r="J62" s="3323"/>
      <c r="L62" s="3123">
        <f t="shared" ref="L62:L67" si="1">IF(H62&lt;&gt;"",1,0)</f>
      </c>
      <c r="M62" s="3123">
        <f>COUNTA(C62:G62)</f>
      </c>
      <c r="O62" s="3123">
        <f>YEAR(D62)</f>
      </c>
      <c r="P62" s="3123" t="s">
        <v>7434</v>
      </c>
    </row>
    <row r="63" spans="1:24" ht="21.75" customHeight="1" x14ac:dyDescent="0.2">
      <c r="A63" s="3315"/>
      <c r="B63" s="3329">
        <v>2</v>
      </c>
      <c r="C63" s="3330"/>
      <c r="D63" s="3331"/>
      <c r="E63" s="3332"/>
      <c r="F63" s="3333"/>
      <c r="G63" s="3336"/>
      <c r="H63" s="3335" t="str">
        <f>IF(AND($F$55&gt;0,$Q$4&lt;=2020,B63&lt;=$F$55,M63=0),re,IF(AND($F$55&gt;0,$Q$4&lt;=2020,B63&lt;=$F$55,M63&lt;5),"All data",IF(AND(M63&gt;0,OR($Q$4&gt;O63,B63&gt;$F$55)),"No details required",IF(G63&gt;F63,"Excessive!",""))))</f>
        <v/>
      </c>
      <c r="I63" s="3315"/>
      <c r="J63" s="3323"/>
      <c r="L63" s="3123">
        <f t="shared" si="1"/>
        <v>0</v>
      </c>
      <c r="M63" s="3123">
        <f>COUNTA(C63:G63)</f>
      </c>
      <c r="O63" s="3123">
        <f>YEAR(D63)</f>
      </c>
      <c r="P63" s="3123" t="s">
        <v>7762</v>
      </c>
      <c r="R63" s="3300">
        <f>F67</f>
      </c>
      <c r="T63" s="3123" t="s">
        <v>4012</v>
      </c>
      <c r="U63" s="3123">
        <v>1000000</v>
      </c>
    </row>
    <row r="64" spans="1:24" ht="21.75" customHeight="1" x14ac:dyDescent="0.2">
      <c r="A64" s="3315"/>
      <c r="B64" s="3329">
        <v>3</v>
      </c>
      <c r="C64" s="3330"/>
      <c r="D64" s="3331"/>
      <c r="E64" s="3332"/>
      <c r="F64" s="3333"/>
      <c r="G64" s="3336"/>
      <c r="H64" s="3335" t="str">
        <f>IF(AND($F$55&gt;0,$Q$4&lt;=2020,B64&lt;=$F$55,M64=0),re,IF(AND($F$55&gt;0,$Q$4&lt;=2020,B64&lt;=$F$55,M64&lt;5),"All data",IF(AND(M64&gt;0,OR($Q$4&gt;O64,B64&gt;$F$55)),"No details required",IF(G64&gt;F64,"Excessive!",""))))</f>
        <v/>
      </c>
      <c r="I64" s="3315"/>
      <c r="J64" s="3323"/>
      <c r="L64" s="3123">
        <f t="shared" si="1"/>
        <v>0</v>
      </c>
      <c r="M64" s="3123">
        <f>COUNTA(C64:G64)</f>
      </c>
      <c r="O64" s="3123">
        <f>YEAR(D64)</f>
      </c>
      <c r="P64" s="3123" t="s">
        <v>7434</v>
      </c>
      <c r="R64" s="3301">
        <f>F59</f>
      </c>
      <c r="T64" s="3123" t="s">
        <v>9214</v>
      </c>
      <c r="U64" s="3300">
        <f>MIN(R65,R66)</f>
      </c>
    </row>
    <row r="65" spans="1:21" ht="21.75" customHeight="1" x14ac:dyDescent="0.2">
      <c r="A65" s="3315"/>
      <c r="B65" s="3329">
        <v>4</v>
      </c>
      <c r="C65" s="3330"/>
      <c r="D65" s="3331"/>
      <c r="E65" s="3332"/>
      <c r="F65" s="3333"/>
      <c r="G65" s="3336"/>
      <c r="H65" s="3335" t="str">
        <f>IF(AND($F$55&gt;0,$Q$4&lt;=2020,B65&lt;=$F$55,M65=0),re,IF(AND($F$55&gt;0,$Q$4&lt;=2020,B65&lt;=$F$55,M65&lt;5),"All data",IF(AND(M65&gt;0,OR($Q$4&gt;O65,B65&gt;$F$55)),"No details required",IF(G65&gt;F65,"Excessive!",""))))</f>
        <v/>
      </c>
      <c r="I65" s="3315"/>
      <c r="J65" s="3323"/>
      <c r="L65" s="3123">
        <f t="shared" si="1"/>
        <v>0</v>
      </c>
      <c r="M65" s="3123">
        <f>COUNTA(C65:G65)</f>
      </c>
      <c r="O65" s="3123">
        <f>YEAR(D65)</f>
      </c>
      <c r="P65" s="3123" t="s">
        <v>9220</v>
      </c>
      <c r="R65" s="3123">
        <f>R63*R64</f>
      </c>
    </row>
    <row r="66" spans="1:21" ht="21.75" customHeight="1" x14ac:dyDescent="0.2">
      <c r="A66" s="3315"/>
      <c r="B66" s="3329">
        <v>5</v>
      </c>
      <c r="C66" s="3330"/>
      <c r="D66" s="3331"/>
      <c r="E66" s="3332"/>
      <c r="F66" s="3333"/>
      <c r="G66" s="3336"/>
      <c r="H66" s="3335" t="str">
        <f>IF(AND($F$55&gt;0,$Q$4&lt;=2020,B66&lt;=$F$55,M66=0),re,IF(AND($F$55&gt;0,$Q$4&lt;=2020,B66&lt;=$F$55,M66&lt;5),"All data",IF(AND(M66&gt;0,OR($Q$4&gt;O66,B66&gt;$F$55)),"No details required",IF(G66&gt;F66,"Excessive!",""))))</f>
        <v/>
      </c>
      <c r="I66" s="3315"/>
      <c r="J66" s="3323"/>
      <c r="L66" s="3123">
        <f t="shared" si="1"/>
        <v>0</v>
      </c>
      <c r="M66" s="3123">
        <f>COUNTA(C66:G66)</f>
      </c>
      <c r="O66" s="3123">
        <f>YEAR(D66)</f>
      </c>
      <c r="P66" s="3123" t="s">
        <v>9221</v>
      </c>
      <c r="R66" s="3300">
        <f>G67</f>
      </c>
      <c r="T66" s="3123" t="s">
        <v>5766</v>
      </c>
      <c r="U66" s="3300">
        <f>MIN(U63,U64)</f>
      </c>
    </row>
    <row r="67" spans="1:21" ht="15" customHeight="1" x14ac:dyDescent="0.2">
      <c r="A67" s="3315"/>
      <c r="B67" s="3315"/>
      <c r="C67" s="3319"/>
      <c r="D67" s="3323"/>
      <c r="E67" s="3323"/>
      <c r="F67" s="2638">
        <f>SUM(F62:F66)</f>
      </c>
      <c r="G67" s="2638">
        <f>SUM(G62:G66)</f>
      </c>
      <c r="H67" s="3337" t="str">
        <f>IF(G67&gt;R65,"Approved TC exceeds Capped",IF(AND(S44=T44,G67&gt;U63),"Aid exceeds €1,000,000",""))</f>
        <v/>
      </c>
      <c r="I67" s="3315"/>
      <c r="J67" s="3323"/>
      <c r="L67" s="3123">
        <f t="shared" si="1"/>
        <v>0</v>
      </c>
      <c r="R67" s="3300"/>
    </row>
    <row r="68" spans="1:21" ht="15" customHeight="1" x14ac:dyDescent="0.2">
      <c r="A68" s="3315"/>
      <c r="B68" s="3319"/>
      <c r="C68" s="3319"/>
      <c r="D68" s="3319"/>
      <c r="E68" s="3319"/>
      <c r="F68" s="3319"/>
      <c r="G68" s="3323"/>
      <c r="H68" s="3315"/>
      <c r="I68" s="3315"/>
      <c r="J68" s="3323"/>
      <c r="Q68" s="3123" t="s">
        <v>4963</v>
      </c>
    </row>
    <row r="69" spans="1:21" x14ac:dyDescent="0.2">
      <c r="A69" s="3315"/>
      <c r="B69" s="5370" t="s">
        <v>4996</v>
      </c>
      <c r="C69" s="5370"/>
      <c r="D69" s="5370"/>
      <c r="E69" s="5370"/>
      <c r="F69" s="5370"/>
      <c r="G69" s="5370"/>
      <c r="H69" s="5370"/>
      <c r="I69" s="3315"/>
      <c r="J69" s="3323"/>
      <c r="S69" s="3338">
        <f>MIN(S70:T70)</f>
      </c>
    </row>
    <row r="70" spans="1:21" x14ac:dyDescent="0.2">
      <c r="A70" s="3315"/>
      <c r="B70" s="3339"/>
      <c r="C70" s="3339"/>
      <c r="D70" s="3339"/>
      <c r="E70" s="3339"/>
      <c r="F70" s="3339"/>
      <c r="G70" s="3340"/>
      <c r="H70" s="3315"/>
      <c r="I70" s="3315"/>
      <c r="J70" s="3323"/>
      <c r="R70" s="3338">
        <v>43344</v>
      </c>
      <c r="S70" s="3272">
        <v>46387</v>
      </c>
      <c r="T70" s="3272">
        <f>DATE(ya,12,31)</f>
      </c>
    </row>
    <row r="71" spans="1:21" x14ac:dyDescent="0.2">
      <c r="A71" s="3315"/>
      <c r="B71" s="3314"/>
      <c r="C71" s="3315"/>
      <c r="D71" s="3339"/>
      <c r="E71" s="3319" t="s">
        <v>6221</v>
      </c>
      <c r="F71" s="3339"/>
      <c r="G71" s="3341">
        <f>IF(SUM(L62:L67)&gt;0,0,G67)</f>
      </c>
      <c r="H71" s="3315"/>
      <c r="I71" s="3315"/>
      <c r="J71" s="3323"/>
      <c r="L71" s="3123">
        <f>IF(H71&lt;&gt;"",1,0)</f>
      </c>
      <c r="Q71" s="3300"/>
      <c r="T71" s="3272"/>
    </row>
    <row r="72" spans="1:21" ht="6.75" customHeight="1" x14ac:dyDescent="0.2">
      <c r="A72" s="3315"/>
      <c r="B72" s="3342"/>
      <c r="C72" s="3315"/>
      <c r="D72" s="3339"/>
      <c r="E72" s="3324"/>
      <c r="F72" s="3339"/>
      <c r="G72" s="3315"/>
      <c r="H72" s="3315"/>
      <c r="I72" s="3315"/>
      <c r="J72" s="3323"/>
      <c r="P72" s="3265"/>
      <c r="Q72" s="3300"/>
      <c r="T72" s="3272"/>
    </row>
    <row r="73" spans="1:21" x14ac:dyDescent="0.2">
      <c r="A73" s="3315"/>
      <c r="B73" s="3314"/>
      <c r="C73" s="3315"/>
      <c r="D73" s="3339"/>
      <c r="E73" s="3319" t="s">
        <v>6222</v>
      </c>
      <c r="F73" s="3339"/>
      <c r="G73" s="3343"/>
      <c r="H73" s="3344" t="str">
        <f>IF(M48=0,"",IF(AND(Q46&lt;=2020,G73&gt;0),"Delete!",IF(AND(Q46&gt;2020,G73=""),reo,IF((G73+G71)&gt;U63,"Excessive",""))))</f>
        <v/>
      </c>
      <c r="I73" s="3315"/>
      <c r="J73" s="3315"/>
      <c r="L73" s="3123">
        <f>IF(H73&lt;&gt;"",1,0)</f>
      </c>
      <c r="M73" s="3123">
        <f>IF(G73="",0,1)</f>
      </c>
      <c r="Q73" s="3273"/>
      <c r="T73" s="3272"/>
    </row>
    <row r="74" spans="1:21" ht="6.75" customHeight="1" x14ac:dyDescent="0.2">
      <c r="A74" s="3315"/>
      <c r="B74" s="3342"/>
      <c r="C74" s="3315"/>
      <c r="D74" s="3339"/>
      <c r="E74" s="3324"/>
      <c r="F74" s="3339"/>
      <c r="G74" s="3315"/>
      <c r="H74" s="3315"/>
      <c r="I74" s="3315"/>
      <c r="J74" s="3323"/>
      <c r="P74" s="3265"/>
      <c r="Q74" s="3300"/>
      <c r="T74" s="3272"/>
    </row>
    <row r="75" spans="1:21" x14ac:dyDescent="0.2">
      <c r="A75" s="3315"/>
      <c r="B75" s="3314"/>
      <c r="C75" s="3315"/>
      <c r="D75" s="3339"/>
      <c r="E75" s="3319" t="s">
        <v>7456</v>
      </c>
      <c r="F75" s="3339"/>
      <c r="G75" s="3341">
        <f>IF(L73=1,0,G73+G71)</f>
      </c>
      <c r="H75" s="3315"/>
      <c r="I75" s="3315"/>
      <c r="J75" s="3323"/>
    </row>
    <row r="76" spans="1:21" ht="6.75" customHeight="1" x14ac:dyDescent="0.2">
      <c r="A76" s="3315"/>
      <c r="B76" s="3342"/>
      <c r="C76" s="3315"/>
      <c r="D76" s="3339"/>
      <c r="E76" s="3324"/>
      <c r="F76" s="3339"/>
      <c r="G76" s="3315"/>
      <c r="H76" s="3315"/>
      <c r="I76" s="3315"/>
      <c r="J76" s="3323"/>
      <c r="P76" s="3265"/>
      <c r="Q76" s="3300"/>
      <c r="T76" s="3272"/>
    </row>
    <row r="77" spans="1:21" x14ac:dyDescent="0.2">
      <c r="A77" s="3315"/>
      <c r="B77" s="3314"/>
      <c r="C77" s="3315"/>
      <c r="D77" s="3339"/>
      <c r="E77" s="3319" t="s">
        <v>6223</v>
      </c>
      <c r="F77" s="3339"/>
      <c r="G77" s="3363"/>
      <c r="H77" s="3323" t="str">
        <f>IF(M48=0,"",IF(AND(M85&gt;0,G77=""),reo,""))</f>
        <v/>
      </c>
      <c r="I77" s="3315"/>
      <c r="J77" s="3315"/>
      <c r="L77" s="3123">
        <f>IF(H77&lt;&gt;"",1,0)</f>
      </c>
      <c r="M77" s="3123">
        <f>IF(G77="",0,1)</f>
      </c>
      <c r="Q77" s="3300"/>
    </row>
    <row r="78" spans="1:21" ht="6.75" customHeight="1" x14ac:dyDescent="0.2">
      <c r="A78" s="3315"/>
      <c r="B78" s="3342"/>
      <c r="C78" s="3315"/>
      <c r="D78" s="3339"/>
      <c r="E78" s="3324"/>
      <c r="F78" s="3339"/>
      <c r="G78" s="3315"/>
      <c r="H78" s="3315"/>
      <c r="I78" s="3315"/>
      <c r="J78" s="3323"/>
      <c r="P78" s="3265"/>
      <c r="Q78" s="3300"/>
      <c r="T78" s="3272"/>
    </row>
    <row r="79" spans="1:21" x14ac:dyDescent="0.2">
      <c r="A79" s="3315"/>
      <c r="B79" s="3314"/>
      <c r="C79" s="3315"/>
      <c r="D79" s="3339"/>
      <c r="E79" s="3319" t="s">
        <v>3566</v>
      </c>
      <c r="F79" s="3339"/>
      <c r="G79" s="3341">
        <f>IF(G75="","",IF(G75&gt;G77,G75-G77,0))</f>
      </c>
      <c r="H79" s="3315"/>
      <c r="I79" s="3315"/>
      <c r="J79" s="3323"/>
      <c r="Q79" s="3300"/>
    </row>
    <row r="80" spans="1:21" x14ac:dyDescent="0.2">
      <c r="A80" s="3315"/>
      <c r="B80" s="3315"/>
      <c r="C80" s="3315"/>
      <c r="D80" s="3315"/>
      <c r="E80" s="3315"/>
      <c r="F80" s="3315"/>
      <c r="G80" s="3315"/>
      <c r="H80" s="3315"/>
      <c r="I80" s="3315"/>
      <c r="J80" s="3323"/>
    </row>
    <row r="81" spans="1:20" x14ac:dyDescent="0.2">
      <c r="A81" s="3315"/>
      <c r="B81" s="3315"/>
      <c r="C81" s="3315"/>
      <c r="D81" s="3315"/>
      <c r="E81" s="3320"/>
      <c r="F81" s="3345"/>
      <c r="G81" s="3315"/>
      <c r="H81" s="3315"/>
      <c r="I81" s="3315"/>
      <c r="J81" s="3323"/>
      <c r="Q81" s="3300"/>
    </row>
    <row r="82" spans="1:20" x14ac:dyDescent="0.2">
      <c r="A82" s="3315"/>
      <c r="B82" s="3346" t="s">
        <v>5708</v>
      </c>
      <c r="C82" s="3347"/>
      <c r="D82" s="3347"/>
      <c r="E82" s="3347"/>
      <c r="F82" s="3347"/>
      <c r="G82" s="3364"/>
      <c r="H82" s="3348" t="str">
        <f>IF(M48=0,"",IF(AND(G77&gt;=0,G82=""),re,IF(AND(G77=0,G82&gt;0),"No tax credit claimed for the year!",IF(AND(G77&gt;0,G82=0),"Amount relieved by tax credit required!",IF(G82&lt;0,"Cannot be negative!",IF(OR(G82&gt;R83+1,G82&lt;S83-1),T83,""))))))</f>
        <v/>
      </c>
      <c r="I82" s="3315"/>
      <c r="J82" s="3315"/>
      <c r="L82" s="3123">
        <f>IF(H82&lt;&gt;"",1,0)</f>
      </c>
      <c r="M82" s="3123">
        <f>IF(G82="",0,1)</f>
      </c>
      <c r="R82" s="5367" t="s">
        <v>7073</v>
      </c>
      <c r="S82" s="5367"/>
      <c r="T82" s="5367"/>
    </row>
    <row r="83" spans="1:20" x14ac:dyDescent="0.2">
      <c r="A83" s="3315"/>
      <c r="B83" s="3315"/>
      <c r="C83" s="3315"/>
      <c r="D83" s="3315"/>
      <c r="E83" s="3315"/>
      <c r="F83" s="3349"/>
      <c r="G83" s="3349"/>
      <c r="H83" s="3323"/>
      <c r="I83" s="3315"/>
      <c r="J83" s="3315"/>
      <c r="Q83" s="3300"/>
      <c r="R83" s="3350">
        <f>ROUND(G77/5%,0)</f>
      </c>
      <c r="S83" s="3308">
        <f>ROUND(G77/0.35,0)</f>
      </c>
      <c r="T83" s="3309" t="s">
        <v>4787</v>
      </c>
    </row>
    <row r="84" spans="1:20" x14ac:dyDescent="0.2">
      <c r="A84" s="3315"/>
      <c r="B84" s="3315" t="s">
        <v>2007</v>
      </c>
      <c r="C84" s="3315"/>
      <c r="D84" s="3315"/>
      <c r="E84" s="3315"/>
      <c r="F84" s="3351"/>
      <c r="G84" s="3352"/>
      <c r="H84" s="3351" t="str">
        <f>IF(M85=0,"",IF(G84="",re,IF(AND(O84="n",G77&gt;0),"No benefit!","")))</f>
        <v/>
      </c>
      <c r="I84" s="3353"/>
      <c r="J84" s="3315"/>
      <c r="L84" s="3123">
        <f>IF(H84&lt;&gt;"",1,0)</f>
      </c>
      <c r="M84" s="3123">
        <f>IF(G84="",0,1)</f>
      </c>
      <c r="O84" s="3123" t="str">
        <f>IF(G84="yes","Y","n")</f>
      </c>
    </row>
    <row r="85" spans="1:20" x14ac:dyDescent="0.2">
      <c r="A85" s="3315"/>
      <c r="B85" s="3315"/>
      <c r="C85" s="3315"/>
      <c r="D85" s="3315"/>
      <c r="E85" s="3315"/>
      <c r="F85" s="3351"/>
      <c r="G85" s="3351"/>
      <c r="H85" s="3351"/>
      <c r="I85" s="3353"/>
      <c r="J85" s="3315"/>
      <c r="L85" s="3123">
        <f>SUM(L49:L84)</f>
      </c>
      <c r="M85" s="3123">
        <f>SUM(M51:M84)</f>
      </c>
    </row>
    <row r="86" spans="1:20" x14ac:dyDescent="0.2">
      <c r="A86" s="5369" t="s">
        <v>9982</v>
      </c>
      <c r="B86" s="5369"/>
      <c r="C86" s="5369"/>
      <c r="D86" s="5369"/>
      <c r="E86" s="5369"/>
      <c r="F86" s="5369"/>
      <c r="G86" s="5369"/>
      <c r="H86" s="5369"/>
      <c r="I86" s="3353"/>
      <c r="J86" s="3315"/>
    </row>
    <row r="87" spans="1:20" x14ac:dyDescent="0.2">
      <c r="A87" s="3315"/>
      <c r="B87" s="3315"/>
      <c r="C87" s="3315"/>
      <c r="D87" s="3315"/>
      <c r="E87" s="3315"/>
      <c r="F87" s="3351"/>
      <c r="G87" s="3351"/>
      <c r="H87" s="3351"/>
      <c r="I87" s="3353"/>
      <c r="J87" s="3315"/>
    </row>
    <row r="88" spans="1:20" x14ac:dyDescent="0.2">
      <c r="A88" s="3315"/>
      <c r="B88" s="3315" t="s">
        <v>9983</v>
      </c>
      <c r="C88" s="3315"/>
      <c r="D88" s="3315"/>
      <c r="E88" s="3315"/>
      <c r="F88" s="3365" t="s">
        <v>951</v>
      </c>
      <c r="G88" s="3341">
        <f>IF(P1="y",G34+G77,G34)</f>
      </c>
      <c r="H88" s="3351"/>
      <c r="I88" s="3353"/>
      <c r="J88" s="3315"/>
    </row>
    <row r="89" spans="1:20" x14ac:dyDescent="0.2">
      <c r="A89" s="3315"/>
      <c r="B89" s="3315"/>
      <c r="C89" s="3315"/>
      <c r="D89" s="3315"/>
      <c r="E89" s="3315"/>
      <c r="F89" s="3351"/>
      <c r="G89" s="3351"/>
      <c r="H89" s="3351"/>
      <c r="I89" s="3353"/>
      <c r="J89" s="3315"/>
    </row>
    <row r="90" spans="1:20" x14ac:dyDescent="0.2">
      <c r="A90" s="3315"/>
      <c r="B90" s="3315" t="s">
        <v>8079</v>
      </c>
      <c r="C90" s="3315"/>
      <c r="D90" s="3315"/>
      <c r="E90" s="3315"/>
      <c r="F90" s="3365" t="s">
        <v>951</v>
      </c>
      <c r="G90" s="3341">
        <f>IF(P1="y",G39+G82,G39)</f>
      </c>
      <c r="H90" s="3351"/>
      <c r="I90" s="3353"/>
      <c r="J90" s="3315"/>
      <c r="P90" s="3123">
        <f>L85+L45</f>
      </c>
      <c r="Q90" s="3123">
        <f>SUM(M45+M85)</f>
      </c>
    </row>
    <row r="91" spans="1:20" x14ac:dyDescent="0.2">
      <c r="A91" s="3315"/>
      <c r="B91" s="3315"/>
      <c r="C91" s="3315"/>
      <c r="D91" s="3315"/>
      <c r="E91" s="3315"/>
      <c r="F91" s="3351"/>
      <c r="G91" s="3354"/>
      <c r="H91" s="3315"/>
      <c r="I91" s="3315"/>
      <c r="J91" s="3315"/>
      <c r="Q91" s="3300"/>
    </row>
    <row r="92" spans="1:20" x14ac:dyDescent="0.2">
      <c r="A92" s="3315"/>
      <c r="B92" s="3315"/>
      <c r="C92" s="3355"/>
      <c r="D92" s="3355"/>
      <c r="E92" s="3315"/>
      <c r="F92" s="3356" t="s">
        <v>4802</v>
      </c>
      <c r="G92" s="3352"/>
      <c r="H92" s="3351" t="str">
        <f>IF(M95=0,"",IF(G92="",re,""))</f>
        <v/>
      </c>
      <c r="I92" s="3315"/>
      <c r="J92" s="3315"/>
      <c r="L92" s="3123">
        <f>IF(H92&lt;&gt;"",1,0)</f>
      </c>
      <c r="M92" s="3123">
        <f>IF(G92="",0,1)</f>
      </c>
      <c r="O92" s="3123" t="str">
        <f>IF(G92="yes","Y","n")</f>
      </c>
    </row>
    <row r="93" spans="1:20" x14ac:dyDescent="0.2">
      <c r="A93" s="3315"/>
      <c r="B93" s="3315"/>
      <c r="C93" s="3315"/>
      <c r="D93" s="3315"/>
      <c r="E93" s="3315"/>
      <c r="F93" s="3345"/>
      <c r="G93" s="3315"/>
      <c r="H93" s="3315"/>
      <c r="I93" s="3315"/>
      <c r="J93" s="3315"/>
    </row>
    <row r="94" spans="1:20" x14ac:dyDescent="0.2">
      <c r="A94" s="3315"/>
      <c r="B94" s="3315"/>
      <c r="C94" s="3315"/>
      <c r="D94" s="3315"/>
      <c r="E94" s="3315"/>
      <c r="F94" s="3345"/>
      <c r="G94" s="3315"/>
      <c r="H94" s="3315"/>
      <c r="I94" s="3315"/>
      <c r="J94" s="3315"/>
    </row>
    <row r="95" spans="1:20" x14ac:dyDescent="0.2">
      <c r="A95" s="3357" t="s">
        <v>10576</v>
      </c>
      <c r="B95" s="3315"/>
      <c r="C95" s="3315"/>
      <c r="D95" s="3315"/>
      <c r="E95" s="3315" t="str">
        <f>ver</f>
        <v>TA2_e-CO_2025_Ver 1.1</v>
      </c>
      <c r="F95" s="3345"/>
      <c r="G95" s="3315"/>
      <c r="H95" s="3357" t="s">
        <v>9981</v>
      </c>
      <c r="I95" s="3315"/>
      <c r="J95" s="3315"/>
      <c r="L95" s="3123">
        <f>P90+L92</f>
      </c>
      <c r="M95" s="3123">
        <f>Q90+M92</f>
      </c>
    </row>
    <row r="96" spans="1:20" x14ac:dyDescent="0.2">
      <c r="A96" s="3315"/>
      <c r="B96" s="3315"/>
      <c r="C96" s="3315"/>
      <c r="D96" s="3315"/>
      <c r="E96" s="3315"/>
      <c r="F96" s="3345"/>
      <c r="G96" s="3315"/>
      <c r="H96" s="3357"/>
      <c r="I96" s="3315"/>
      <c r="J96" s="3315"/>
    </row>
    <row r="97" spans="1:10" hidden="1" x14ac:dyDescent="0.2">
      <c r="A97" s="3315"/>
      <c r="B97" s="3315"/>
      <c r="C97" s="3315"/>
      <c r="D97" s="3315"/>
      <c r="E97" s="3315"/>
      <c r="F97" s="3345"/>
      <c r="G97" s="3315"/>
      <c r="H97" s="3357"/>
      <c r="I97" s="3315"/>
      <c r="J97" s="3315"/>
    </row>
    <row r="98" spans="1:10" hidden="1" x14ac:dyDescent="0.2">
      <c r="A98" s="3315"/>
      <c r="B98" s="3315"/>
      <c r="C98" s="3315"/>
      <c r="D98" s="3315"/>
      <c r="E98" s="3315"/>
      <c r="F98" s="3345"/>
      <c r="G98" s="3315"/>
      <c r="H98" s="3357"/>
      <c r="I98" s="3315"/>
      <c r="J98" s="3315"/>
    </row>
    <row r="99" spans="1:10" hidden="1" x14ac:dyDescent="0.2">
      <c r="A99" s="3315"/>
      <c r="B99" s="3315"/>
      <c r="C99" s="3315"/>
      <c r="D99" s="3315"/>
      <c r="E99" s="3315"/>
      <c r="F99" s="3345"/>
      <c r="G99" s="3315"/>
      <c r="H99" s="3357"/>
      <c r="I99" s="3315"/>
      <c r="J99" s="3315"/>
    </row>
    <row r="100" spans="1:10" hidden="1" x14ac:dyDescent="0.2">
      <c r="A100" s="3315"/>
      <c r="B100" s="3315"/>
      <c r="C100" s="3315"/>
      <c r="D100" s="3315"/>
      <c r="E100" s="3315"/>
      <c r="F100" s="3345"/>
      <c r="G100" s="3315"/>
      <c r="H100" s="3357"/>
      <c r="I100" s="3315"/>
      <c r="J100" s="3315"/>
    </row>
    <row r="101" spans="1:10" hidden="1" x14ac:dyDescent="0.2">
      <c r="A101" s="3315"/>
      <c r="B101" s="3315"/>
      <c r="C101" s="3315"/>
      <c r="D101" s="3315"/>
      <c r="E101" s="3315"/>
      <c r="F101" s="3345"/>
      <c r="G101" s="3315"/>
      <c r="H101" s="3357"/>
      <c r="I101" s="3315"/>
      <c r="J101" s="3315"/>
    </row>
    <row r="102" spans="1:10" hidden="1" x14ac:dyDescent="0.2">
      <c r="A102" s="3315"/>
      <c r="B102" s="3315"/>
      <c r="C102" s="3315"/>
      <c r="D102" s="3315"/>
      <c r="E102" s="3315"/>
      <c r="F102" s="3345"/>
      <c r="G102" s="3315"/>
      <c r="H102" s="3357"/>
      <c r="I102" s="3315"/>
      <c r="J102" s="3315"/>
    </row>
    <row r="103" spans="1:10" hidden="1" x14ac:dyDescent="0.2">
      <c r="A103" s="3315"/>
      <c r="B103" s="3315"/>
      <c r="C103" s="3315"/>
      <c r="D103" s="3315"/>
      <c r="E103" s="3315"/>
      <c r="F103" s="3345"/>
      <c r="G103" s="3315"/>
      <c r="H103" s="3357"/>
      <c r="I103" s="3315"/>
      <c r="J103" s="3315"/>
    </row>
    <row r="104" spans="1:10" hidden="1" x14ac:dyDescent="0.2">
      <c r="A104" s="3315"/>
      <c r="B104" s="3315"/>
      <c r="C104" s="3315"/>
      <c r="D104" s="3315"/>
      <c r="E104" s="3315"/>
      <c r="F104" s="3345"/>
      <c r="G104" s="3315"/>
      <c r="H104" s="3357"/>
      <c r="I104" s="3315"/>
      <c r="J104" s="3315"/>
    </row>
    <row r="105" spans="1:10" hidden="1" x14ac:dyDescent="0.2">
      <c r="A105" s="3315"/>
      <c r="B105" s="3315"/>
      <c r="C105" s="3315"/>
      <c r="D105" s="3315"/>
      <c r="E105" s="3315"/>
      <c r="F105" s="3345"/>
      <c r="G105" s="3315"/>
      <c r="H105" s="3357"/>
      <c r="I105" s="3315"/>
      <c r="J105" s="3315"/>
    </row>
    <row r="106" spans="1:10" hidden="1" x14ac:dyDescent="0.2">
      <c r="A106" s="3315"/>
      <c r="B106" s="3315"/>
      <c r="C106" s="3315"/>
      <c r="D106" s="3315"/>
      <c r="E106" s="3315"/>
      <c r="F106" s="3345"/>
      <c r="G106" s="3315"/>
      <c r="H106" s="3357"/>
      <c r="I106" s="3315"/>
      <c r="J106" s="3315"/>
    </row>
    <row r="107" spans="1:10" hidden="1" x14ac:dyDescent="0.2">
      <c r="A107" s="3315"/>
      <c r="B107" s="3315"/>
      <c r="C107" s="3315"/>
      <c r="D107" s="3315"/>
      <c r="E107" s="3315"/>
      <c r="F107" s="3345"/>
      <c r="G107" s="3315"/>
      <c r="H107" s="3357"/>
      <c r="I107" s="3315"/>
      <c r="J107" s="3315"/>
    </row>
    <row r="108" spans="1:10" hidden="1" x14ac:dyDescent="0.2">
      <c r="A108" s="3315"/>
      <c r="B108" s="3315"/>
      <c r="C108" s="3315"/>
      <c r="D108" s="3315"/>
      <c r="E108" s="3315"/>
      <c r="F108" s="3345"/>
      <c r="G108" s="3315"/>
      <c r="H108" s="3357"/>
      <c r="I108" s="3315"/>
      <c r="J108" s="3315"/>
    </row>
    <row r="109" spans="1:10" hidden="1" x14ac:dyDescent="0.2">
      <c r="A109" s="3315"/>
      <c r="B109" s="3315"/>
      <c r="C109" s="3315"/>
      <c r="D109" s="3315"/>
      <c r="E109" s="3315"/>
      <c r="F109" s="3345"/>
      <c r="G109" s="3315"/>
      <c r="H109" s="3357"/>
      <c r="I109" s="3315"/>
      <c r="J109" s="3315"/>
    </row>
    <row r="110" spans="1:10" hidden="1" x14ac:dyDescent="0.2">
      <c r="A110" s="3315"/>
      <c r="B110" s="3315"/>
      <c r="C110" s="3315"/>
      <c r="D110" s="3315"/>
      <c r="E110" s="3315"/>
      <c r="F110" s="3345"/>
      <c r="G110" s="3315"/>
      <c r="H110" s="3357"/>
      <c r="I110" s="3315"/>
      <c r="J110" s="3315"/>
    </row>
    <row r="111" spans="1:10" hidden="1" x14ac:dyDescent="0.2">
      <c r="A111" s="3315"/>
      <c r="B111" s="3315"/>
      <c r="C111" s="3315"/>
      <c r="D111" s="3315"/>
      <c r="E111" s="3315"/>
      <c r="F111" s="3345"/>
      <c r="G111" s="3315"/>
      <c r="H111" s="3357"/>
      <c r="I111" s="3315"/>
      <c r="J111" s="3315"/>
    </row>
    <row r="112" spans="1:10" hidden="1" x14ac:dyDescent="0.2">
      <c r="A112" s="3315"/>
      <c r="B112" s="3315"/>
      <c r="C112" s="3315"/>
      <c r="D112" s="3315"/>
      <c r="E112" s="3315"/>
      <c r="F112" s="3345"/>
      <c r="G112" s="3315"/>
      <c r="H112" s="3357"/>
      <c r="I112" s="3315"/>
      <c r="J112" s="3315"/>
    </row>
    <row r="113" spans="1:10" hidden="1" x14ac:dyDescent="0.2">
      <c r="A113" s="3315"/>
      <c r="B113" s="3315"/>
      <c r="C113" s="3315"/>
      <c r="D113" s="3315"/>
      <c r="E113" s="3315"/>
      <c r="F113" s="3345"/>
      <c r="G113" s="3315"/>
      <c r="H113" s="3357"/>
      <c r="I113" s="3315"/>
      <c r="J113" s="3315"/>
    </row>
    <row r="114" spans="1:10" hidden="1" x14ac:dyDescent="0.2">
      <c r="A114" s="3315"/>
      <c r="B114" s="3315"/>
      <c r="C114" s="3315"/>
      <c r="D114" s="3315"/>
      <c r="E114" s="3315"/>
      <c r="F114" s="3345"/>
      <c r="G114" s="3315"/>
      <c r="H114" s="3357"/>
      <c r="I114" s="3315"/>
      <c r="J114" s="3315"/>
    </row>
    <row r="115" spans="1:10" hidden="1" x14ac:dyDescent="0.2">
      <c r="A115" s="3315"/>
      <c r="B115" s="3315"/>
      <c r="C115" s="3315"/>
      <c r="D115" s="3315"/>
      <c r="E115" s="3315"/>
      <c r="F115" s="3345"/>
      <c r="G115" s="3315"/>
      <c r="H115" s="3357"/>
      <c r="I115" s="3315"/>
      <c r="J115" s="3315"/>
    </row>
    <row r="116" spans="1:10" hidden="1" x14ac:dyDescent="0.2">
      <c r="A116" s="3315"/>
      <c r="B116" s="3315"/>
      <c r="C116" s="3315"/>
      <c r="D116" s="3315"/>
      <c r="E116" s="3315"/>
      <c r="F116" s="3345"/>
      <c r="G116" s="3315"/>
      <c r="H116" s="3357"/>
      <c r="I116" s="3315"/>
      <c r="J116" s="3315"/>
    </row>
    <row r="117" spans="1:10" hidden="1" x14ac:dyDescent="0.2">
      <c r="A117" s="3315"/>
      <c r="B117" s="3315"/>
      <c r="C117" s="3315"/>
      <c r="D117" s="3315"/>
      <c r="E117" s="3315"/>
      <c r="F117" s="3345"/>
      <c r="G117" s="3315"/>
      <c r="H117" s="3357"/>
      <c r="I117" s="3315"/>
      <c r="J117" s="3315"/>
    </row>
    <row r="118" spans="1:10" hidden="1" x14ac:dyDescent="0.2">
      <c r="A118" s="3315"/>
      <c r="B118" s="3315"/>
      <c r="C118" s="3315"/>
      <c r="D118" s="3315"/>
      <c r="E118" s="3315"/>
      <c r="F118" s="3345"/>
      <c r="G118" s="3315"/>
      <c r="H118" s="3357"/>
      <c r="I118" s="3315"/>
      <c r="J118" s="3315"/>
    </row>
    <row r="119" spans="1:10" hidden="1" x14ac:dyDescent="0.2">
      <c r="A119" s="3315"/>
      <c r="B119" s="3315"/>
      <c r="C119" s="3315"/>
      <c r="D119" s="3315"/>
      <c r="E119" s="3315"/>
      <c r="F119" s="3345"/>
      <c r="G119" s="3315"/>
      <c r="H119" s="3357"/>
      <c r="I119" s="3315"/>
      <c r="J119" s="3315"/>
    </row>
    <row r="120" spans="1:10" hidden="1" x14ac:dyDescent="0.2">
      <c r="A120" s="3315"/>
      <c r="B120" s="3315"/>
      <c r="C120" s="3315"/>
      <c r="D120" s="3315"/>
      <c r="E120" s="3315"/>
      <c r="F120" s="3345"/>
      <c r="G120" s="3315"/>
      <c r="H120" s="3357"/>
      <c r="I120" s="3315"/>
      <c r="J120" s="3315"/>
    </row>
    <row r="121" spans="1:10" hidden="1" x14ac:dyDescent="0.2">
      <c r="A121" s="3315"/>
      <c r="B121" s="3315"/>
      <c r="C121" s="3315"/>
      <c r="D121" s="3315"/>
      <c r="E121" s="3315"/>
      <c r="F121" s="3345"/>
      <c r="G121" s="3315"/>
      <c r="H121" s="3357"/>
      <c r="I121" s="3315"/>
      <c r="J121" s="3315"/>
    </row>
    <row r="122" spans="1:10" hidden="1" x14ac:dyDescent="0.2">
      <c r="A122" s="3315"/>
      <c r="B122" s="3315"/>
      <c r="C122" s="3315"/>
      <c r="D122" s="3315"/>
      <c r="E122" s="3315"/>
      <c r="F122" s="3345"/>
      <c r="G122" s="3315"/>
      <c r="H122" s="3357"/>
      <c r="I122" s="3315"/>
      <c r="J122" s="3315"/>
    </row>
    <row r="123" spans="1:10" hidden="1" x14ac:dyDescent="0.2">
      <c r="A123" s="3315"/>
      <c r="B123" s="3315"/>
      <c r="C123" s="3315"/>
      <c r="D123" s="3315"/>
      <c r="E123" s="3315"/>
      <c r="F123" s="3345"/>
      <c r="G123" s="3315"/>
      <c r="H123" s="3357"/>
      <c r="I123" s="3315"/>
      <c r="J123" s="3315"/>
    </row>
    <row r="124" spans="1:10" hidden="1" x14ac:dyDescent="0.2">
      <c r="A124" s="3315"/>
      <c r="B124" s="3315"/>
      <c r="C124" s="3315"/>
      <c r="D124" s="3315"/>
      <c r="E124" s="3315"/>
      <c r="F124" s="3345"/>
      <c r="G124" s="3315"/>
      <c r="H124" s="3357"/>
      <c r="I124" s="3315"/>
      <c r="J124" s="3315"/>
    </row>
    <row r="125" spans="1:10" hidden="1" x14ac:dyDescent="0.2">
      <c r="A125" s="3315"/>
      <c r="B125" s="3315"/>
      <c r="C125" s="3315"/>
      <c r="D125" s="3315"/>
      <c r="E125" s="3315"/>
      <c r="F125" s="3345"/>
      <c r="G125" s="3315"/>
      <c r="H125" s="3357"/>
      <c r="I125" s="3315"/>
      <c r="J125" s="3315"/>
    </row>
    <row r="126" spans="1:10" hidden="1" x14ac:dyDescent="0.2">
      <c r="A126" s="3315"/>
      <c r="B126" s="3315"/>
      <c r="C126" s="3315"/>
      <c r="D126" s="3315"/>
      <c r="E126" s="3315"/>
      <c r="F126" s="3345"/>
      <c r="G126" s="3315"/>
      <c r="H126" s="3357"/>
      <c r="I126" s="3315"/>
      <c r="J126" s="3315"/>
    </row>
    <row r="127" spans="1:10" hidden="1" x14ac:dyDescent="0.2">
      <c r="A127" s="3315"/>
      <c r="B127" s="3315"/>
      <c r="C127" s="3315"/>
      <c r="D127" s="3315"/>
      <c r="E127" s="3315"/>
      <c r="F127" s="3345"/>
      <c r="G127" s="3315"/>
      <c r="H127" s="3357"/>
      <c r="I127" s="3315"/>
      <c r="J127" s="3315"/>
    </row>
    <row r="128" spans="1:10" hidden="1" x14ac:dyDescent="0.2">
      <c r="A128" s="3315"/>
      <c r="B128" s="3315"/>
      <c r="C128" s="3315"/>
      <c r="D128" s="3315"/>
      <c r="E128" s="3315"/>
      <c r="F128" s="3345"/>
      <c r="G128" s="3315"/>
      <c r="H128" s="3357"/>
      <c r="I128" s="3315"/>
      <c r="J128" s="3315"/>
    </row>
    <row r="129" spans="1:10" hidden="1" x14ac:dyDescent="0.2">
      <c r="A129" s="3315"/>
      <c r="B129" s="3315"/>
      <c r="C129" s="3315"/>
      <c r="D129" s="3315"/>
      <c r="E129" s="3315"/>
      <c r="F129" s="3345"/>
      <c r="G129" s="3315"/>
      <c r="H129" s="3357"/>
      <c r="I129" s="3315"/>
      <c r="J129" s="3315"/>
    </row>
    <row r="130" spans="1:10" hidden="1" x14ac:dyDescent="0.2">
      <c r="A130" s="3315"/>
      <c r="B130" s="3315"/>
      <c r="C130" s="3315"/>
      <c r="D130" s="3315"/>
      <c r="E130" s="3315"/>
      <c r="F130" s="3345"/>
      <c r="G130" s="3315"/>
      <c r="H130" s="3357"/>
      <c r="I130" s="3315"/>
      <c r="J130" s="3315"/>
    </row>
    <row r="131" spans="1:10" hidden="1" x14ac:dyDescent="0.2">
      <c r="A131" s="3315"/>
      <c r="B131" s="3315"/>
      <c r="C131" s="3315"/>
      <c r="D131" s="3315"/>
      <c r="E131" s="3315"/>
      <c r="F131" s="3345"/>
      <c r="G131" s="3315"/>
      <c r="H131" s="3357"/>
      <c r="I131" s="3315"/>
      <c r="J131" s="3315"/>
    </row>
    <row r="132" spans="1:10" hidden="1" x14ac:dyDescent="0.2">
      <c r="A132" s="3315"/>
      <c r="B132" s="3315"/>
      <c r="C132" s="3315"/>
      <c r="D132" s="3315"/>
      <c r="E132" s="3315"/>
      <c r="F132" s="3345"/>
      <c r="G132" s="3315"/>
      <c r="H132" s="3357"/>
      <c r="I132" s="3315"/>
      <c r="J132" s="3315"/>
    </row>
    <row r="133" spans="1:10" hidden="1" x14ac:dyDescent="0.2">
      <c r="A133" s="3315"/>
      <c r="B133" s="3315"/>
      <c r="C133" s="3315"/>
      <c r="D133" s="3315"/>
      <c r="E133" s="3315"/>
      <c r="F133" s="3345"/>
      <c r="G133" s="3315"/>
      <c r="H133" s="3357"/>
      <c r="I133" s="3315"/>
      <c r="J133" s="3315"/>
    </row>
    <row r="134" spans="1:10" hidden="1" x14ac:dyDescent="0.2">
      <c r="A134" s="3315"/>
      <c r="B134" s="3315"/>
      <c r="C134" s="3315"/>
      <c r="D134" s="3315"/>
      <c r="E134" s="3315"/>
      <c r="F134" s="3345"/>
      <c r="G134" s="3315"/>
      <c r="H134" s="3357"/>
      <c r="I134" s="3315"/>
      <c r="J134" s="3315"/>
    </row>
    <row r="135" spans="1:10" hidden="1" x14ac:dyDescent="0.2">
      <c r="A135" s="3315"/>
      <c r="B135" s="3315"/>
      <c r="C135" s="3315"/>
      <c r="D135" s="3315"/>
      <c r="E135" s="3315"/>
      <c r="F135" s="3345"/>
      <c r="G135" s="3315"/>
      <c r="H135" s="3357"/>
      <c r="I135" s="3315"/>
      <c r="J135" s="3315"/>
    </row>
    <row r="136" spans="1:10" hidden="1" x14ac:dyDescent="0.2">
      <c r="A136" s="3315"/>
      <c r="B136" s="3315"/>
      <c r="C136" s="3315"/>
      <c r="D136" s="3315"/>
      <c r="E136" s="3315"/>
      <c r="F136" s="3345"/>
      <c r="G136" s="3315"/>
      <c r="H136" s="3357"/>
      <c r="I136" s="3315"/>
      <c r="J136" s="3315"/>
    </row>
    <row r="137" spans="1:10" hidden="1" x14ac:dyDescent="0.2">
      <c r="A137" s="3315"/>
      <c r="B137" s="3315"/>
      <c r="C137" s="3315"/>
      <c r="D137" s="3315"/>
      <c r="E137" s="3315"/>
      <c r="F137" s="3345"/>
      <c r="G137" s="3315"/>
      <c r="H137" s="3357"/>
      <c r="I137" s="3315"/>
      <c r="J137" s="3315"/>
    </row>
    <row r="138" spans="1:10" hidden="1" x14ac:dyDescent="0.2">
      <c r="A138" s="3315"/>
      <c r="B138" s="3315"/>
      <c r="C138" s="3315"/>
      <c r="D138" s="3315"/>
      <c r="E138" s="3315"/>
      <c r="F138" s="3345"/>
      <c r="G138" s="3315"/>
      <c r="H138" s="3357"/>
      <c r="I138" s="3315"/>
      <c r="J138" s="3315"/>
    </row>
    <row r="139" spans="1:10" hidden="1" x14ac:dyDescent="0.2">
      <c r="A139" s="3315"/>
      <c r="B139" s="3315"/>
      <c r="C139" s="3315"/>
      <c r="D139" s="3315"/>
      <c r="E139" s="3315"/>
      <c r="F139" s="3345"/>
      <c r="G139" s="3315"/>
      <c r="H139" s="3357"/>
      <c r="I139" s="3315"/>
      <c r="J139" s="3315"/>
    </row>
    <row r="140" spans="1:10" hidden="1" x14ac:dyDescent="0.2">
      <c r="A140" s="3315"/>
      <c r="B140" s="3315"/>
      <c r="C140" s="3315"/>
      <c r="D140" s="3315"/>
      <c r="E140" s="3315"/>
      <c r="F140" s="3345"/>
      <c r="G140" s="3315"/>
      <c r="H140" s="3357"/>
      <c r="I140" s="3315"/>
      <c r="J140" s="3315"/>
    </row>
    <row r="141" spans="1:10" hidden="1" x14ac:dyDescent="0.2">
      <c r="A141" s="3315"/>
      <c r="B141" s="3315"/>
      <c r="C141" s="3315"/>
      <c r="D141" s="3315"/>
      <c r="E141" s="3315"/>
      <c r="F141" s="3345"/>
      <c r="G141" s="3315"/>
      <c r="H141" s="3357"/>
      <c r="I141" s="3315"/>
      <c r="J141" s="3315"/>
    </row>
    <row r="142" spans="1:10" hidden="1" x14ac:dyDescent="0.2">
      <c r="A142" s="3315"/>
      <c r="B142" s="3315"/>
      <c r="C142" s="3315"/>
      <c r="D142" s="3315"/>
      <c r="E142" s="3315"/>
      <c r="F142" s="3345"/>
      <c r="G142" s="3315"/>
      <c r="H142" s="3357"/>
      <c r="I142" s="3315"/>
      <c r="J142" s="3315"/>
    </row>
    <row r="143" spans="1:10" hidden="1" x14ac:dyDescent="0.2">
      <c r="A143" s="3315"/>
      <c r="B143" s="3315"/>
      <c r="C143" s="3315"/>
      <c r="D143" s="3315"/>
      <c r="E143" s="3315"/>
      <c r="F143" s="3345"/>
      <c r="G143" s="3315"/>
      <c r="H143" s="3357"/>
      <c r="I143" s="3315"/>
      <c r="J143" s="3315"/>
    </row>
    <row r="144" spans="1:10" hidden="1" x14ac:dyDescent="0.2">
      <c r="A144" s="3315"/>
      <c r="B144" s="3315"/>
      <c r="C144" s="3315"/>
      <c r="D144" s="3315"/>
      <c r="E144" s="3315"/>
      <c r="F144" s="3345"/>
      <c r="G144" s="3315"/>
      <c r="H144" s="3357"/>
      <c r="I144" s="3315"/>
      <c r="J144" s="3315"/>
    </row>
    <row r="145" spans="1:10" hidden="1" x14ac:dyDescent="0.2">
      <c r="A145" s="3315"/>
      <c r="B145" s="3315"/>
      <c r="C145" s="3315"/>
      <c r="D145" s="3315"/>
      <c r="E145" s="3315"/>
      <c r="F145" s="3345"/>
      <c r="G145" s="3315"/>
      <c r="H145" s="3357"/>
      <c r="I145" s="3315"/>
      <c r="J145" s="3315"/>
    </row>
    <row r="146" spans="1:10" hidden="1" x14ac:dyDescent="0.2">
      <c r="A146" s="3315"/>
      <c r="B146" s="3315"/>
      <c r="C146" s="3315"/>
      <c r="D146" s="3315"/>
      <c r="E146" s="3315"/>
      <c r="F146" s="3345"/>
      <c r="G146" s="3315"/>
      <c r="H146" s="3357"/>
      <c r="I146" s="3315"/>
      <c r="J146" s="3315"/>
    </row>
    <row r="147" spans="1:10" hidden="1" x14ac:dyDescent="0.2">
      <c r="A147" s="3315"/>
      <c r="B147" s="3315"/>
      <c r="C147" s="3315"/>
      <c r="D147" s="3315"/>
      <c r="E147" s="3315"/>
      <c r="F147" s="3345"/>
      <c r="G147" s="3315"/>
      <c r="H147" s="3357"/>
      <c r="I147" s="3315"/>
      <c r="J147" s="3315"/>
    </row>
    <row r="148" spans="1:10" hidden="1" x14ac:dyDescent="0.2">
      <c r="A148" s="3315"/>
      <c r="B148" s="3315"/>
      <c r="C148" s="3315"/>
      <c r="D148" s="3315"/>
      <c r="E148" s="3315"/>
      <c r="F148" s="3345"/>
      <c r="G148" s="3315"/>
      <c r="H148" s="3357"/>
      <c r="I148" s="3315"/>
      <c r="J148" s="3315"/>
    </row>
    <row r="149" spans="1:10" hidden="1" x14ac:dyDescent="0.2">
      <c r="A149" s="3315"/>
      <c r="B149" s="3315"/>
      <c r="C149" s="3315"/>
      <c r="D149" s="3315"/>
      <c r="E149" s="3315"/>
      <c r="F149" s="3345"/>
      <c r="G149" s="3315"/>
      <c r="H149" s="3357"/>
      <c r="I149" s="3315"/>
      <c r="J149" s="3315"/>
    </row>
    <row r="150" spans="1:10" hidden="1" x14ac:dyDescent="0.2">
      <c r="A150" s="3315"/>
      <c r="B150" s="3315"/>
      <c r="C150" s="3315"/>
      <c r="D150" s="3315"/>
      <c r="E150" s="3315"/>
      <c r="F150" s="3345"/>
      <c r="G150" s="3315"/>
      <c r="H150" s="3357"/>
      <c r="I150" s="3315"/>
      <c r="J150" s="3315"/>
    </row>
    <row r="151" spans="1:10" hidden="1" x14ac:dyDescent="0.2">
      <c r="A151" s="3315"/>
      <c r="B151" s="3315"/>
      <c r="C151" s="3315"/>
      <c r="D151" s="3315"/>
      <c r="E151" s="3315"/>
      <c r="F151" s="3345"/>
      <c r="G151" s="3315"/>
      <c r="H151" s="3357"/>
      <c r="I151" s="3315"/>
      <c r="J151" s="3315"/>
    </row>
    <row r="152" spans="1:10" hidden="1" x14ac:dyDescent="0.2">
      <c r="A152" s="3315"/>
      <c r="B152" s="3315"/>
      <c r="C152" s="3315"/>
      <c r="D152" s="3315"/>
      <c r="E152" s="3315"/>
      <c r="F152" s="3345"/>
      <c r="G152" s="3315"/>
      <c r="H152" s="3357"/>
      <c r="I152" s="3315"/>
      <c r="J152" s="3315"/>
    </row>
    <row r="153" spans="1:10" hidden="1" x14ac:dyDescent="0.2">
      <c r="A153" s="3315"/>
      <c r="B153" s="3315"/>
      <c r="C153" s="3315"/>
      <c r="D153" s="3315"/>
      <c r="E153" s="3315"/>
      <c r="F153" s="3345"/>
      <c r="G153" s="3315"/>
      <c r="H153" s="3357"/>
      <c r="I153" s="3315"/>
      <c r="J153" s="3315"/>
    </row>
    <row r="154" spans="1:10" hidden="1" x14ac:dyDescent="0.2">
      <c r="A154" s="3315"/>
      <c r="B154" s="3315"/>
      <c r="C154" s="3315"/>
      <c r="D154" s="3315"/>
      <c r="E154" s="3315"/>
      <c r="F154" s="3345"/>
      <c r="G154" s="3315"/>
      <c r="H154" s="3357"/>
      <c r="I154" s="3315"/>
      <c r="J154" s="3315"/>
    </row>
    <row r="155" spans="1:10" hidden="1" x14ac:dyDescent="0.2">
      <c r="A155" s="3315"/>
      <c r="B155" s="3315"/>
      <c r="C155" s="3315"/>
      <c r="D155" s="3315"/>
      <c r="E155" s="3315"/>
      <c r="F155" s="3345"/>
      <c r="G155" s="3315"/>
      <c r="H155" s="3357"/>
      <c r="I155" s="3315"/>
      <c r="J155" s="3315"/>
    </row>
    <row r="156" spans="1:10" hidden="1" x14ac:dyDescent="0.2">
      <c r="A156" s="3315"/>
      <c r="B156" s="3315"/>
      <c r="C156" s="3315"/>
      <c r="D156" s="3315"/>
      <c r="E156" s="3315"/>
      <c r="F156" s="3345"/>
      <c r="G156" s="3315"/>
      <c r="H156" s="3357"/>
      <c r="I156" s="3315"/>
      <c r="J156" s="3315"/>
    </row>
    <row r="157" spans="1:10" hidden="1" x14ac:dyDescent="0.2">
      <c r="A157" s="3315"/>
      <c r="B157" s="3315"/>
      <c r="C157" s="3315"/>
      <c r="D157" s="3315"/>
      <c r="E157" s="3315"/>
      <c r="F157" s="3345"/>
      <c r="G157" s="3315"/>
      <c r="H157" s="3357"/>
      <c r="I157" s="3315"/>
      <c r="J157" s="3315"/>
    </row>
    <row r="158" spans="1:10" hidden="1" x14ac:dyDescent="0.2">
      <c r="A158" s="3315"/>
      <c r="B158" s="3315"/>
      <c r="C158" s="3315"/>
      <c r="D158" s="3315"/>
      <c r="E158" s="3315"/>
      <c r="F158" s="3345"/>
      <c r="G158" s="3315"/>
      <c r="H158" s="3357"/>
      <c r="I158" s="3315"/>
      <c r="J158" s="3315"/>
    </row>
    <row r="159" spans="1:10" hidden="1" x14ac:dyDescent="0.2">
      <c r="A159" s="3315"/>
      <c r="B159" s="3315"/>
      <c r="C159" s="3315"/>
      <c r="D159" s="3315"/>
      <c r="E159" s="3315"/>
      <c r="F159" s="3345"/>
      <c r="G159" s="3315"/>
      <c r="H159" s="3357"/>
      <c r="I159" s="3315"/>
      <c r="J159" s="3315"/>
    </row>
    <row r="160" spans="1:10" hidden="1" x14ac:dyDescent="0.2">
      <c r="A160" s="3315"/>
      <c r="B160" s="3315"/>
      <c r="C160" s="3315"/>
      <c r="D160" s="3315"/>
      <c r="E160" s="3315"/>
      <c r="F160" s="3345"/>
      <c r="G160" s="3315"/>
      <c r="H160" s="3357"/>
      <c r="I160" s="3315"/>
      <c r="J160" s="3315"/>
    </row>
    <row r="161" spans="1:10" hidden="1" x14ac:dyDescent="0.2">
      <c r="A161" s="3315"/>
      <c r="B161" s="3315"/>
      <c r="C161" s="3315"/>
      <c r="D161" s="3315"/>
      <c r="E161" s="3315"/>
      <c r="F161" s="3345"/>
      <c r="G161" s="3315"/>
      <c r="H161" s="3357"/>
      <c r="I161" s="3315"/>
      <c r="J161" s="3315"/>
    </row>
    <row r="162" spans="1:10" hidden="1" x14ac:dyDescent="0.2">
      <c r="A162" s="3315"/>
      <c r="B162" s="3315"/>
      <c r="C162" s="3315"/>
      <c r="D162" s="3315"/>
      <c r="E162" s="3315"/>
      <c r="F162" s="3345"/>
      <c r="G162" s="3315"/>
      <c r="H162" s="3357"/>
      <c r="I162" s="3315"/>
      <c r="J162" s="3315"/>
    </row>
    <row r="163" spans="1:10" hidden="1" x14ac:dyDescent="0.2">
      <c r="A163" s="3315"/>
      <c r="B163" s="3315"/>
      <c r="C163" s="3315"/>
      <c r="D163" s="3315"/>
      <c r="E163" s="3315"/>
      <c r="F163" s="3345"/>
      <c r="G163" s="3315"/>
      <c r="H163" s="3357"/>
      <c r="I163" s="3315"/>
      <c r="J163" s="3315"/>
    </row>
    <row r="164" spans="1:10" hidden="1" x14ac:dyDescent="0.2">
      <c r="A164" s="3315"/>
      <c r="B164" s="3315"/>
      <c r="C164" s="3315"/>
      <c r="D164" s="3315"/>
      <c r="E164" s="3315"/>
      <c r="F164" s="3345"/>
      <c r="G164" s="3315"/>
      <c r="H164" s="3357"/>
      <c r="I164" s="3315"/>
      <c r="J164" s="3315"/>
    </row>
    <row r="165" spans="1:10" hidden="1" x14ac:dyDescent="0.2">
      <c r="A165" s="3315"/>
      <c r="B165" s="3315"/>
      <c r="C165" s="3315"/>
      <c r="D165" s="3315"/>
      <c r="E165" s="3315"/>
      <c r="F165" s="3345"/>
      <c r="G165" s="3315"/>
      <c r="H165" s="3357"/>
      <c r="I165" s="3315"/>
      <c r="J165" s="3315"/>
    </row>
    <row r="166" spans="1:10" hidden="1" x14ac:dyDescent="0.2">
      <c r="A166" s="3315"/>
      <c r="B166" s="3315"/>
      <c r="C166" s="3315"/>
      <c r="D166" s="3315"/>
      <c r="E166" s="3315"/>
      <c r="F166" s="3345"/>
      <c r="G166" s="3315"/>
      <c r="H166" s="3357"/>
      <c r="I166" s="3315"/>
      <c r="J166" s="3315"/>
    </row>
    <row r="167" spans="1:10" hidden="1" x14ac:dyDescent="0.2">
      <c r="A167" s="3315"/>
      <c r="B167" s="3315"/>
      <c r="C167" s="3315"/>
      <c r="D167" s="3315"/>
      <c r="E167" s="3315"/>
      <c r="F167" s="3345"/>
      <c r="G167" s="3315"/>
      <c r="H167" s="3357"/>
      <c r="I167" s="3315"/>
      <c r="J167" s="3315"/>
    </row>
    <row r="168" spans="1:10" hidden="1" x14ac:dyDescent="0.2">
      <c r="A168" s="3315"/>
      <c r="B168" s="3315"/>
      <c r="C168" s="3315"/>
      <c r="D168" s="3315"/>
      <c r="E168" s="3315"/>
      <c r="F168" s="3345"/>
      <c r="G168" s="3315"/>
      <c r="H168" s="3357"/>
      <c r="I168" s="3315"/>
      <c r="J168" s="3315"/>
    </row>
    <row r="169" spans="1:10" hidden="1" x14ac:dyDescent="0.2">
      <c r="A169" s="3315"/>
      <c r="B169" s="3315"/>
      <c r="C169" s="3315"/>
      <c r="D169" s="3315"/>
      <c r="E169" s="3315"/>
      <c r="F169" s="3345"/>
      <c r="G169" s="3315"/>
      <c r="H169" s="3357"/>
      <c r="I169" s="3315"/>
      <c r="J169" s="3315"/>
    </row>
    <row r="170" spans="1:10" hidden="1" x14ac:dyDescent="0.2">
      <c r="A170" s="3315"/>
      <c r="B170" s="3315"/>
      <c r="C170" s="3315"/>
      <c r="D170" s="3315"/>
      <c r="E170" s="3315"/>
      <c r="F170" s="3345"/>
      <c r="G170" s="3315"/>
      <c r="H170" s="3357"/>
      <c r="I170" s="3315"/>
      <c r="J170" s="3315"/>
    </row>
    <row r="171" spans="1:10" hidden="1" x14ac:dyDescent="0.2">
      <c r="A171" s="3315"/>
      <c r="B171" s="3315"/>
      <c r="C171" s="3315"/>
      <c r="D171" s="3315"/>
      <c r="E171" s="3315"/>
      <c r="F171" s="3345"/>
      <c r="G171" s="3315"/>
      <c r="H171" s="3357"/>
      <c r="I171" s="3315"/>
      <c r="J171" s="3315"/>
    </row>
    <row r="172" spans="1:10" hidden="1" x14ac:dyDescent="0.2">
      <c r="A172" s="3315"/>
      <c r="B172" s="3315"/>
      <c r="C172" s="3315"/>
      <c r="D172" s="3315"/>
      <c r="E172" s="3315"/>
      <c r="F172" s="3345"/>
      <c r="G172" s="3315"/>
      <c r="H172" s="3357"/>
      <c r="I172" s="3315"/>
      <c r="J172" s="3315"/>
    </row>
    <row r="173" spans="1:10" hidden="1" x14ac:dyDescent="0.2">
      <c r="A173" s="3315"/>
      <c r="B173" s="3315"/>
      <c r="C173" s="3315"/>
      <c r="D173" s="3315"/>
      <c r="E173" s="3315"/>
      <c r="F173" s="3345"/>
      <c r="G173" s="3315"/>
      <c r="H173" s="3357"/>
      <c r="I173" s="3315"/>
      <c r="J173" s="3315"/>
    </row>
    <row r="174" spans="1:10" hidden="1" x14ac:dyDescent="0.2">
      <c r="A174" s="3315"/>
      <c r="B174" s="3315"/>
      <c r="C174" s="3315"/>
      <c r="D174" s="3315"/>
      <c r="E174" s="3315"/>
      <c r="F174" s="3345"/>
      <c r="G174" s="3315"/>
      <c r="H174" s="3357"/>
      <c r="I174" s="3315"/>
      <c r="J174" s="3315"/>
    </row>
    <row r="175" spans="1:10" hidden="1" x14ac:dyDescent="0.2">
      <c r="A175" s="3315"/>
      <c r="B175" s="3315"/>
      <c r="C175" s="3315"/>
      <c r="D175" s="3315"/>
      <c r="E175" s="3315"/>
      <c r="F175" s="3345"/>
      <c r="G175" s="3315"/>
      <c r="H175" s="3357"/>
      <c r="I175" s="3315"/>
      <c r="J175" s="3315"/>
    </row>
    <row r="176" spans="1:10" hidden="1" x14ac:dyDescent="0.2">
      <c r="A176" s="3315"/>
      <c r="B176" s="3315"/>
      <c r="C176" s="3315"/>
      <c r="D176" s="3315"/>
      <c r="E176" s="3315"/>
      <c r="F176" s="3345"/>
      <c r="G176" s="3315"/>
      <c r="H176" s="3357"/>
      <c r="I176" s="3315"/>
      <c r="J176" s="3315"/>
    </row>
    <row r="177" spans="1:23" hidden="1" x14ac:dyDescent="0.2">
      <c r="A177" s="3315"/>
      <c r="B177" s="3315"/>
      <c r="C177" s="3315"/>
      <c r="D177" s="3315"/>
      <c r="E177" s="3315"/>
      <c r="F177" s="3345"/>
      <c r="G177" s="3315"/>
      <c r="H177" s="3357"/>
      <c r="I177" s="3315"/>
      <c r="J177" s="3315"/>
    </row>
    <row r="178" spans="1:23" hidden="1" x14ac:dyDescent="0.2">
      <c r="A178" s="3315"/>
      <c r="B178" s="3315"/>
      <c r="C178" s="3315"/>
      <c r="D178" s="3315"/>
      <c r="E178" s="3315"/>
      <c r="F178" s="3345"/>
      <c r="G178" s="3315"/>
      <c r="H178" s="3357"/>
      <c r="I178" s="3315"/>
      <c r="J178" s="3315"/>
    </row>
    <row r="179" spans="1:23" hidden="1" x14ac:dyDescent="0.2">
      <c r="A179" s="3315"/>
      <c r="B179" s="3315"/>
      <c r="C179" s="3315"/>
      <c r="D179" s="3315"/>
      <c r="E179" s="3315"/>
      <c r="F179" s="3345"/>
      <c r="G179" s="3315"/>
      <c r="H179" s="3357"/>
      <c r="I179" s="3315"/>
      <c r="J179" s="3315"/>
    </row>
    <row r="180" spans="1:23" hidden="1" x14ac:dyDescent="0.2">
      <c r="A180" s="3315"/>
      <c r="B180" s="3315"/>
      <c r="C180" s="3315"/>
      <c r="D180" s="3315"/>
      <c r="E180" s="3315"/>
      <c r="F180" s="3345"/>
      <c r="G180" s="3315"/>
      <c r="H180" s="3357"/>
      <c r="I180" s="3315"/>
      <c r="J180" s="3315"/>
    </row>
    <row r="181" spans="1:23" hidden="1" x14ac:dyDescent="0.2">
      <c r="A181" s="3315"/>
      <c r="B181" s="3315"/>
      <c r="C181" s="3315"/>
      <c r="D181" s="3315"/>
      <c r="E181" s="3315"/>
      <c r="F181" s="3345"/>
      <c r="G181" s="3315"/>
      <c r="H181" s="3357"/>
      <c r="I181" s="3315"/>
      <c r="J181" s="3315"/>
    </row>
    <row r="182" spans="1:23" hidden="1" x14ac:dyDescent="0.2">
      <c r="A182" s="3315"/>
      <c r="B182" s="3315"/>
      <c r="C182" s="3315"/>
      <c r="D182" s="3315"/>
      <c r="E182" s="3315"/>
      <c r="F182" s="3345"/>
      <c r="G182" s="3315"/>
      <c r="H182" s="3357"/>
      <c r="I182" s="3315"/>
      <c r="J182" s="3315"/>
    </row>
    <row r="183" spans="1:23" hidden="1" x14ac:dyDescent="0.2">
      <c r="A183" s="3315"/>
      <c r="B183" s="3315"/>
      <c r="C183" s="3315"/>
      <c r="D183" s="3315"/>
      <c r="E183" s="3315"/>
      <c r="F183" s="3345"/>
      <c r="G183" s="3315"/>
      <c r="H183" s="3357"/>
      <c r="I183" s="3315"/>
      <c r="J183" s="3315"/>
    </row>
    <row r="184" spans="1:23" hidden="1" x14ac:dyDescent="0.2">
      <c r="A184" s="3315"/>
      <c r="B184" s="3315"/>
      <c r="C184" s="3315"/>
      <c r="D184" s="3315"/>
      <c r="E184" s="3315"/>
      <c r="F184" s="3315"/>
      <c r="G184" s="3315"/>
      <c r="H184" s="3315"/>
      <c r="I184" s="3315"/>
      <c r="J184" s="3315"/>
      <c r="W184" s="3123" t="s">
        <v>9236</v>
      </c>
    </row>
    <row r="185" spans="1:23" x14ac:dyDescent="0.2">
      <c r="A185" s="3315"/>
      <c r="B185" s="3233" t="s">
        <v>6290</v>
      </c>
      <c r="C185" s="3358"/>
      <c r="D185" s="3315"/>
      <c r="E185" s="3315"/>
      <c r="F185" s="3315"/>
      <c r="G185" s="3315"/>
      <c r="H185" s="3315"/>
      <c r="I185" s="3315"/>
      <c r="J185" s="3315"/>
      <c r="L185" s="3123">
        <f>IF(M95=0,0,IF(L95&lt;&gt;0,100,IF(O92="Y",1,100)))</f>
      </c>
      <c r="W185" s="3123" t="s">
        <v>9237</v>
      </c>
    </row>
  </sheetData>
  <sheetProtection algorithmName="SHA-512" hashValue="9AJr0X2tuU2OqOEQu+zJ79l7s93w7WOIeXxi4U9VxXDIVTn1xCk3hJsdI0529a0sMnJInOgyd8f+o7zDXHkNMw==" saltValue="ObxA6d02EMBJ+5yZtLPIXg==" spinCount="100000" sheet="1" objects="1" scenarios="1"/>
  <mergeCells count="12">
    <mergeCell ref="A1:G1"/>
    <mergeCell ref="B6:H6"/>
    <mergeCell ref="B14:H14"/>
    <mergeCell ref="B26:H26"/>
    <mergeCell ref="R39:T39"/>
    <mergeCell ref="O25:Q25"/>
    <mergeCell ref="S28:T28"/>
    <mergeCell ref="A86:H86"/>
    <mergeCell ref="B49:H49"/>
    <mergeCell ref="B57:H57"/>
    <mergeCell ref="B69:H69"/>
    <mergeCell ref="R82:T82"/>
  </mergeCells>
  <phoneticPr fontId="22" type="noConversion"/>
  <conditionalFormatting sqref="F8">
    <cfRule type="expression" dxfId="132" priority="3">
      <formula>$O$8=1</formula>
    </cfRule>
  </conditionalFormatting>
  <conditionalFormatting sqref="F51">
    <cfRule type="expression" dxfId="131" priority="1">
      <formula>$O$51=1</formula>
    </cfRule>
  </conditionalFormatting>
  <conditionalFormatting sqref="G30 G73">
    <cfRule type="expression" dxfId="130" priority="4" stopIfTrue="1">
      <formula>($G$30+$G$28)&gt;$U$20</formula>
    </cfRule>
  </conditionalFormatting>
  <dataValidations count="20">
    <dataValidation type="list" allowBlank="1" showInputMessage="1" showErrorMessage="1" sqref="E19:E23" xr:uid="{00000000-0002-0000-6700-000000000000}">
      <formula1>$W$26:$W$185</formula1>
    </dataValidation>
    <dataValidation type="whole" allowBlank="1" showInputMessage="1" showErrorMessage="1" errorTitle="Income on which tax relieved" error="Please enter the correct amount!" sqref="G39 G82" xr:uid="{00000000-0002-0000-6700-000001000000}">
      <formula1>S40</formula1>
      <formula2>R40</formula2>
    </dataValidation>
    <dataValidation type="whole" errorStyle="warning" allowBlank="1" showInputMessage="1" showErrorMessage="1" errorTitle="Approved Tax Credit" error="Enter a whole figure greater than 0 which does not exceed capped eligible costs!" sqref="G23 G66" xr:uid="{00000000-0002-0000-6700-000002000000}">
      <formula1>0</formula1>
      <formula2>ROUND(F23*F16,0)+1</formula2>
    </dataValidation>
    <dataValidation type="whole" errorStyle="warning" allowBlank="1" showInputMessage="1" showErrorMessage="1" errorTitle="Approved Tax Credit" error="Enter a whole figure greater than 0 which does not exceed capped eligible costs!" sqref="G21 G64" xr:uid="{00000000-0002-0000-6700-000003000000}">
      <formula1>0</formula1>
      <formula2>ROUND(F21*F16,0)+1</formula2>
    </dataValidation>
    <dataValidation type="whole" errorStyle="warning" allowBlank="1" showInputMessage="1" showErrorMessage="1" errorTitle="Approved Tax Credit" error="Enter a whole figure greater than 0 which does not exceed capped eligible costs!" sqref="G20 G63" xr:uid="{00000000-0002-0000-6700-000004000000}">
      <formula1>0</formula1>
      <formula2>ROUND(F20*F16,0)+1</formula2>
    </dataValidation>
    <dataValidation type="whole" errorStyle="warning" allowBlank="1" showInputMessage="1" showErrorMessage="1" errorTitle="Approved Tax Credit" error="Enter a whole figure greater than 0 which does not exceed capped eligible costs!" sqref="G19 G62" xr:uid="{00000000-0002-0000-6700-000005000000}">
      <formula1>0</formula1>
      <formula2>ROUND(F19*F16,0)+1</formula2>
    </dataValidation>
    <dataValidation type="whole" errorStyle="warning" allowBlank="1" showInputMessage="1" showErrorMessage="1" errorTitle="Approved Tax Credit" error="Enter a whole figure greater than 0 which does not exceed capped eligible costs!" sqref="G22 G65" xr:uid="{00000000-0002-0000-6700-000006000000}">
      <formula1>0</formula1>
      <formula2>ROUND(F22*F16,0)+1</formula2>
    </dataValidation>
    <dataValidation type="list" allowBlank="1" showInputMessage="1" showErrorMessage="1" sqref="F12 F55" xr:uid="{00000000-0002-0000-6700-000007000000}">
      <formula1>$U$2:$U$7</formula1>
    </dataValidation>
    <dataValidation type="whole" operator="greaterThan" allowBlank="1" showInputMessage="1" showErrorMessage="1" errorTitle="Eligible costs" error="Figure must be greater than 0!" sqref="F19:F23 F62:F66" xr:uid="{00000000-0002-0000-6700-000008000000}">
      <formula1>0</formula1>
    </dataValidation>
    <dataValidation type="date" allowBlank="1" showInputMessage="1" showErrorMessage="1" errorTitle="Date" error="Enter correct date!" sqref="D19:D23 D62:D66" xr:uid="{00000000-0002-0000-6700-000009000000}">
      <formula1>$R$27</formula1>
      <formula2>$S$26</formula2>
    </dataValidation>
    <dataValidation type="textLength" operator="greaterThanOrEqual" allowBlank="1" showInputMessage="1" showErrorMessage="1" errorTitle="Certificate No:" error="Please enter correct certificate number!" sqref="C19:C23 C62:C66" xr:uid="{00000000-0002-0000-6700-00000A000000}">
      <formula1>6</formula1>
    </dataValidation>
    <dataValidation type="list" showInputMessage="1" showErrorMessage="1" sqref="G41 G92 G84" xr:uid="{00000000-0002-0000-6700-00000B000000}">
      <formula1>yn</formula1>
    </dataValidation>
    <dataValidation type="whole" allowBlank="1" showInputMessage="1" showErrorMessage="1" errorTitle="Value" error="Please a positive amount which is less than the credit available!" sqref="G34 G77" xr:uid="{00000000-0002-0000-6700-00000C000000}">
      <formula1>0</formula1>
      <formula2>G32</formula2>
    </dataValidation>
    <dataValidation type="whole" operator="greaterThanOrEqual" allowBlank="1" showInputMessage="1" showErrorMessage="1" sqref="G30 G73" xr:uid="{00000000-0002-0000-6700-00000D000000}">
      <formula1>0</formula1>
    </dataValidation>
    <dataValidation type="list" allowBlank="1" showInputMessage="1" showErrorMessage="1" sqref="F10 F53" xr:uid="{00000000-0002-0000-6700-00000E000000}">
      <formula1>$R$4:$R$7</formula1>
    </dataValidation>
    <dataValidation type="whole" operator="greaterThan" allowBlank="1" showInputMessage="1" showErrorMessage="1" errorTitle="Value" error="Please a positive amount!" sqref="S2 T71 Q71" xr:uid="{00000000-0002-0000-6700-00000F000000}">
      <formula1>0</formula1>
    </dataValidation>
    <dataValidation allowBlank="1" showInputMessage="1" showErrorMessage="1" errorTitle="Value" error="Please a positive amount!" sqref="R28 T36 R71 T79" xr:uid="{00000000-0002-0000-6700-000010000000}"/>
    <dataValidation allowBlank="1" showInputMessage="1" showErrorMessage="1" errorTitle="Total Eligible Costs" error="Total eligible costs cannot be more than €20,000 or equivalent!" sqref="G36 G79 G88 G90" xr:uid="{00000000-0002-0000-6700-000011000000}"/>
    <dataValidation type="list" allowBlank="1" showInputMessage="1" showErrorMessage="1" sqref="F8 F51" xr:uid="{00000000-0002-0000-6700-000012000000}">
      <formula1>FU</formula1>
    </dataValidation>
    <dataValidation type="list" allowBlank="1" showInputMessage="1" showErrorMessage="1" sqref="E62:E66" xr:uid="{00000000-0002-0000-6700-000013000000}">
      <formula1>$W$26:$W$46</formula1>
    </dataValidation>
  </dataValidations>
  <hyperlinks>
    <hyperlink ref="B185" location="Index!B124" display="B A C K   T O   I N D E X" xr:uid="{00000000-0004-0000-6700-000000000000}"/>
    <hyperlink ref="F88" location="'TRA35'!A34" display="TRA 35" xr:uid="{00000000-0004-0000-6700-000001000000}"/>
    <hyperlink ref="F90" location="'TRA35'!A34" display="TRA 35" xr:uid="{00000000-0004-0000-6700-000002000000}"/>
  </hyperlinks>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15"/>
  <dimension ref="A1:AK91"/>
  <sheetViews>
    <sheetView zoomScaleNormal="100" workbookViewId="0"/>
  </sheetViews>
  <sheetFormatPr defaultColWidth="0" defaultRowHeight="12.75" zeroHeight="1" x14ac:dyDescent="0.2"/>
  <cols>
    <col min="1" max="1" width="2.7109375" style="1485" customWidth="1"/>
    <col min="2" max="3" width="9.28515625" style="1485" customWidth="1"/>
    <col min="4" max="4" width="6.28515625" style="1485" bestFit="1" customWidth="1"/>
    <col min="5" max="6" width="9.28515625" style="1485" customWidth="1"/>
    <col min="7" max="7" width="10.42578125" style="1485" customWidth="1"/>
    <col min="8" max="8" width="14.42578125" style="1485" customWidth="1"/>
    <col min="9" max="9" width="13.28515625" style="1485" customWidth="1"/>
    <col min="10" max="10" width="13.7109375" style="1485" customWidth="1"/>
    <col min="11" max="11" width="14" style="1485" customWidth="1"/>
    <col min="12" max="12" width="17.5703125" style="1485" customWidth="1"/>
    <col min="13" max="13" width="9.28515625" style="1485" customWidth="1"/>
    <col min="14" max="14" width="3.42578125" style="1485" customWidth="1"/>
    <col min="15" max="25" width="9.28515625" style="1485" hidden="1" customWidth="1"/>
    <col min="26" max="26" width="10.7109375" style="1485" hidden="1" customWidth="1"/>
    <col min="27" max="16384" width="9.28515625" style="1485" hidden="1"/>
  </cols>
  <sheetData>
    <row r="1" spans="1:37" x14ac:dyDescent="0.2">
      <c r="A1" s="2189"/>
      <c r="B1" s="3670" t="str">
        <f>_ref1</f>
      </c>
      <c r="C1" s="3670"/>
      <c r="D1" s="3670"/>
      <c r="E1" s="3670"/>
      <c r="F1" s="3670"/>
      <c r="G1" s="3670"/>
      <c r="H1" s="3670"/>
      <c r="I1" s="3670"/>
      <c r="J1" s="3670"/>
      <c r="K1" s="3670"/>
      <c r="L1" s="3670"/>
      <c r="M1" s="3314" t="str">
        <f>_YA1</f>
      </c>
      <c r="N1" s="2189"/>
      <c r="P1" s="1485" t="s">
        <v>10039</v>
      </c>
      <c r="Q1" s="1485" t="str">
        <f>'p2'!G38</f>
      </c>
    </row>
    <row r="2" spans="1:37" x14ac:dyDescent="0.2">
      <c r="A2" s="2189"/>
      <c r="B2" s="2189"/>
      <c r="C2" s="2189"/>
      <c r="D2" s="2189"/>
      <c r="E2" s="2189"/>
      <c r="F2" s="2189"/>
      <c r="G2" s="2189"/>
      <c r="H2" s="2189"/>
      <c r="I2" s="2189"/>
      <c r="J2" s="2189"/>
      <c r="K2" s="2189"/>
      <c r="L2" s="2189"/>
      <c r="M2" s="2189"/>
      <c r="N2" s="2189"/>
      <c r="V2" s="3657" t="s">
        <v>10040</v>
      </c>
      <c r="W2" s="3657"/>
      <c r="X2" s="3657" t="s">
        <v>10041</v>
      </c>
      <c r="Y2" s="3657"/>
      <c r="Z2" s="2774">
        <v>43831</v>
      </c>
    </row>
    <row r="3" spans="1:37" x14ac:dyDescent="0.2">
      <c r="A3" s="2189"/>
      <c r="B3" s="5375" t="s">
        <v>10042</v>
      </c>
      <c r="C3" s="5376"/>
      <c r="D3" s="5376"/>
      <c r="E3" s="5376"/>
      <c r="F3" s="5376"/>
      <c r="G3" s="5376"/>
      <c r="H3" s="5376"/>
      <c r="I3" s="5376"/>
      <c r="J3" s="5376"/>
      <c r="K3" s="5376"/>
      <c r="L3" s="5376"/>
      <c r="M3" s="5377"/>
      <c r="N3" s="2189"/>
      <c r="O3" s="3123" t="s">
        <v>7754</v>
      </c>
      <c r="P3" s="3123" t="s">
        <v>7161</v>
      </c>
      <c r="S3" s="1485" t="s">
        <v>4457</v>
      </c>
      <c r="V3" s="3657" t="s">
        <v>10043</v>
      </c>
      <c r="W3" s="3657"/>
      <c r="X3" s="3657" t="s">
        <v>10044</v>
      </c>
      <c r="Y3" s="3657"/>
      <c r="AA3" s="3657"/>
      <c r="AB3" s="3657"/>
      <c r="AC3" s="3657"/>
      <c r="AD3" s="3657"/>
      <c r="AE3" s="3657"/>
      <c r="AF3" s="3657"/>
      <c r="AG3" s="3657"/>
      <c r="AH3" s="3657"/>
      <c r="AI3" s="3657"/>
      <c r="AJ3" s="3657"/>
      <c r="AK3" s="3657"/>
    </row>
    <row r="4" spans="1:37" x14ac:dyDescent="0.2">
      <c r="A4" s="2189"/>
      <c r="B4" s="5378" t="s">
        <v>10045</v>
      </c>
      <c r="C4" s="5379"/>
      <c r="D4" s="5379"/>
      <c r="E4" s="5379"/>
      <c r="F4" s="5379"/>
      <c r="G4" s="5379"/>
      <c r="H4" s="5379"/>
      <c r="I4" s="5379"/>
      <c r="J4" s="5379"/>
      <c r="K4" s="5379"/>
      <c r="L4" s="5379"/>
      <c r="M4" s="5380"/>
      <c r="N4" s="2189"/>
      <c r="O4" s="3621">
        <f>SUM(O7:O20)+SUM(O57:O85)</f>
      </c>
      <c r="P4" s="3621">
        <f>SUM(P7:P24)+SUM(P57:P85)</f>
      </c>
      <c r="S4" s="1485" t="s">
        <v>1736</v>
      </c>
      <c r="V4" s="3657" t="s">
        <v>10046</v>
      </c>
      <c r="W4" s="3657"/>
      <c r="X4" s="3657" t="s">
        <v>10047</v>
      </c>
      <c r="Y4" s="3657"/>
      <c r="AA4" s="3657"/>
      <c r="AB4" s="3657"/>
      <c r="AC4" s="3657"/>
      <c r="AD4" s="3657"/>
      <c r="AE4" s="3657"/>
      <c r="AF4" s="3657"/>
      <c r="AG4" s="3657"/>
      <c r="AH4" s="3657"/>
      <c r="AI4" s="3657"/>
      <c r="AJ4" s="3657"/>
      <c r="AK4" s="3657"/>
    </row>
    <row r="5" spans="1:37" x14ac:dyDescent="0.2">
      <c r="A5" s="2189"/>
      <c r="B5" s="2189"/>
      <c r="C5" s="2189"/>
      <c r="D5" s="2189"/>
      <c r="E5" s="2189"/>
      <c r="F5" s="2189"/>
      <c r="G5" s="2189"/>
      <c r="H5" s="2189"/>
      <c r="I5" s="2761"/>
      <c r="J5" s="2189"/>
      <c r="K5" s="2189"/>
      <c r="L5" s="2189"/>
      <c r="M5" s="2189"/>
      <c r="N5" s="2189"/>
      <c r="V5" s="3657" t="s">
        <v>10048</v>
      </c>
      <c r="W5" s="3657"/>
    </row>
    <row r="6" spans="1:37" hidden="1" x14ac:dyDescent="0.2">
      <c r="A6" s="2189"/>
      <c r="B6" s="2189"/>
      <c r="C6" s="2189"/>
      <c r="D6" s="2189"/>
      <c r="E6" s="2189"/>
      <c r="F6" s="2189"/>
      <c r="G6" s="2189"/>
      <c r="H6" s="2189"/>
      <c r="I6" s="2761"/>
      <c r="J6" s="2189"/>
      <c r="K6" s="2189"/>
      <c r="L6" s="2189"/>
      <c r="M6" s="2189"/>
      <c r="N6" s="2189"/>
      <c r="AA6" s="3657"/>
      <c r="AB6" s="3657"/>
      <c r="AC6" s="3657"/>
      <c r="AD6" s="3657"/>
      <c r="AE6" s="3657"/>
      <c r="AF6" s="3657"/>
      <c r="AG6" s="3657"/>
      <c r="AH6" s="3657"/>
      <c r="AI6" s="3657"/>
      <c r="AJ6" s="3657"/>
      <c r="AK6" s="3657"/>
    </row>
    <row r="7" spans="1:37" ht="15" x14ac:dyDescent="0.25">
      <c r="A7" s="2189"/>
      <c r="B7" s="3600" t="s">
        <v>10049</v>
      </c>
      <c r="C7" s="2189"/>
      <c r="D7" s="2189"/>
      <c r="E7" s="2189"/>
      <c r="F7" s="2189"/>
      <c r="G7" s="2189"/>
      <c r="H7" s="3352"/>
      <c r="I7" s="2761" t="str">
        <f>IF($Q$1=0,"",IF(AND(OR($Q$1=0,$Q$1="n"),H7&lt;&gt;""),"Check Page 2 Q32",IF(AND($Q$1="y",H7=""),re,"")))</f>
        <v/>
      </c>
      <c r="J7" s="2189"/>
      <c r="K7" s="2189"/>
      <c r="L7" s="2189"/>
      <c r="M7" s="2189"/>
      <c r="N7" s="2189"/>
      <c r="O7" s="3123">
        <f>IF(I7&lt;&gt;"",1,0)</f>
      </c>
      <c r="P7" s="3123">
        <f>IF(H7="",0,1)</f>
      </c>
      <c r="Q7" s="3657"/>
      <c r="R7" s="3657"/>
      <c r="S7" s="3657"/>
      <c r="U7" s="3657"/>
      <c r="V7" s="3657"/>
      <c r="W7" s="3658" t="s">
        <v>10050</v>
      </c>
      <c r="X7" s="3657">
        <f>IF(H12=X2,1,IF(H12=X4,2,0))</f>
      </c>
      <c r="Y7" s="3657"/>
      <c r="Z7" s="3657"/>
      <c r="AA7" s="3657"/>
      <c r="AB7" s="3657"/>
      <c r="AC7" s="3657"/>
      <c r="AD7" s="3657"/>
      <c r="AE7" s="3657"/>
      <c r="AF7" s="3657"/>
      <c r="AG7" s="3657"/>
      <c r="AH7" s="3657"/>
      <c r="AI7" s="3657"/>
      <c r="AJ7" s="3657"/>
      <c r="AK7" s="3657"/>
    </row>
    <row r="8" spans="1:37" ht="4.5" customHeight="1" x14ac:dyDescent="0.2">
      <c r="A8" s="2189"/>
      <c r="B8" s="2189"/>
      <c r="C8" s="2189"/>
      <c r="D8" s="2189"/>
      <c r="E8" s="2189"/>
      <c r="F8" s="2189"/>
      <c r="G8" s="2189"/>
      <c r="H8" s="2189"/>
      <c r="I8" s="2189"/>
      <c r="J8" s="2189"/>
      <c r="K8" s="2189"/>
      <c r="L8" s="2189"/>
      <c r="M8" s="2189"/>
      <c r="N8" s="2189"/>
      <c r="O8" s="3657"/>
      <c r="P8" s="3657"/>
      <c r="Q8" s="3657"/>
      <c r="R8" s="3657"/>
      <c r="S8" s="3657"/>
      <c r="U8" s="3657"/>
      <c r="V8" s="3657"/>
      <c r="W8" s="3657"/>
      <c r="X8" s="3657"/>
      <c r="Y8" s="3657"/>
      <c r="Z8" s="3657"/>
      <c r="AA8" s="3657"/>
      <c r="AB8" s="3657"/>
      <c r="AC8" s="3657"/>
      <c r="AD8" s="3657"/>
      <c r="AE8" s="3657"/>
      <c r="AF8" s="3657"/>
      <c r="AG8" s="3657"/>
      <c r="AH8" s="3657"/>
      <c r="AI8" s="3657"/>
      <c r="AJ8" s="3657"/>
      <c r="AK8" s="3657"/>
    </row>
    <row r="9" spans="1:37" hidden="1" x14ac:dyDescent="0.2">
      <c r="A9" s="2189"/>
      <c r="B9" s="2189"/>
      <c r="C9" s="2189"/>
      <c r="D9" s="2189"/>
      <c r="E9" s="2189"/>
      <c r="F9" s="2189"/>
      <c r="G9" s="2189"/>
      <c r="H9" s="2189"/>
      <c r="I9" s="2189"/>
      <c r="J9" s="2189"/>
      <c r="K9" s="2189"/>
      <c r="L9" s="2189"/>
      <c r="M9" s="2189"/>
      <c r="N9" s="2189"/>
      <c r="O9" s="3657"/>
      <c r="P9" s="3657"/>
      <c r="Q9" s="3657"/>
      <c r="R9" s="3657"/>
      <c r="S9" s="3657"/>
      <c r="U9" s="3657"/>
      <c r="V9" s="3657"/>
      <c r="W9" s="3657"/>
      <c r="X9" s="3657"/>
      <c r="Y9" s="3657"/>
      <c r="Z9" s="3657"/>
      <c r="AA9" s="3657"/>
      <c r="AB9" s="3657"/>
      <c r="AC9" s="3657"/>
      <c r="AD9" s="3657"/>
      <c r="AE9" s="3657"/>
      <c r="AF9" s="3657"/>
      <c r="AG9" s="3657"/>
      <c r="AH9" s="3657"/>
      <c r="AI9" s="3657"/>
      <c r="AJ9" s="3657"/>
      <c r="AK9" s="3657"/>
    </row>
    <row r="10" spans="1:37" hidden="1" x14ac:dyDescent="0.2">
      <c r="A10" s="2189"/>
      <c r="B10" s="2189"/>
      <c r="C10" s="2189"/>
      <c r="D10" s="2189"/>
      <c r="E10" s="2189"/>
      <c r="F10" s="2189"/>
      <c r="G10" s="2189"/>
      <c r="H10" s="2189"/>
      <c r="I10" s="2189"/>
      <c r="J10" s="2189"/>
      <c r="K10" s="2189"/>
      <c r="L10" s="2189"/>
      <c r="M10" s="2189"/>
      <c r="N10" s="2189"/>
      <c r="O10" s="3657"/>
      <c r="P10" s="3657"/>
      <c r="Q10" s="3657"/>
      <c r="R10" s="3657"/>
      <c r="S10" s="3657"/>
      <c r="U10" s="3657"/>
      <c r="V10" s="3657"/>
      <c r="W10" s="3657"/>
      <c r="X10" s="3657"/>
      <c r="Y10" s="3657"/>
      <c r="Z10" s="3657"/>
      <c r="AA10" s="3657"/>
      <c r="AB10" s="3657"/>
      <c r="AC10" s="3657"/>
      <c r="AD10" s="3657"/>
      <c r="AE10" s="3657"/>
      <c r="AF10" s="3657"/>
      <c r="AG10" s="3657"/>
      <c r="AH10" s="3657"/>
      <c r="AI10" s="3657"/>
      <c r="AJ10" s="3657"/>
      <c r="AK10" s="3657"/>
    </row>
    <row r="11" spans="1:37" hidden="1" x14ac:dyDescent="0.2">
      <c r="A11" s="2189"/>
      <c r="B11" s="2189"/>
      <c r="C11" s="2189"/>
      <c r="D11" s="2189"/>
      <c r="E11" s="2189"/>
      <c r="F11" s="2189"/>
      <c r="G11" s="2189"/>
      <c r="H11" s="2189"/>
      <c r="I11" s="2189"/>
      <c r="J11" s="2189"/>
      <c r="K11" s="2189"/>
      <c r="L11" s="2189"/>
      <c r="M11" s="2189"/>
      <c r="N11" s="2189"/>
      <c r="O11" s="3657"/>
      <c r="P11" s="3657"/>
      <c r="Q11" s="3657"/>
      <c r="R11" s="3657"/>
      <c r="S11" s="3657"/>
      <c r="U11" s="3657"/>
      <c r="V11" s="3657"/>
      <c r="W11" s="3657"/>
      <c r="X11" s="3657"/>
      <c r="Y11" s="3657"/>
      <c r="Z11" s="3657"/>
      <c r="AA11" s="3657"/>
      <c r="AB11" s="3657"/>
      <c r="AC11" s="3657"/>
      <c r="AD11" s="3657"/>
      <c r="AE11" s="3657"/>
      <c r="AF11" s="3657"/>
      <c r="AG11" s="3657"/>
      <c r="AH11" s="3657"/>
      <c r="AI11" s="3657"/>
      <c r="AJ11" s="3657"/>
      <c r="AK11" s="3657"/>
    </row>
    <row r="12" spans="1:37" ht="15" x14ac:dyDescent="0.25">
      <c r="A12" s="2189"/>
      <c r="B12" s="3600" t="s">
        <v>10051</v>
      </c>
      <c r="C12" s="2189"/>
      <c r="D12" s="2189"/>
      <c r="E12" s="2189"/>
      <c r="F12" s="2189"/>
      <c r="G12" s="2189"/>
      <c r="H12" s="3352"/>
      <c r="I12" s="2761" t="str">
        <f>IF($Q$1=0,"",IF(AND(H12="",$P$4&gt;0),re,""))</f>
        <v/>
      </c>
      <c r="J12" s="2189"/>
      <c r="K12" s="3602" t="s">
        <v>10052</v>
      </c>
      <c r="L12" s="428"/>
      <c r="M12" s="2761" t="str">
        <f>IF(H12="","",IF(AND(H12&lt;&gt;"",L12=""),re,""))</f>
        <v/>
      </c>
      <c r="N12" s="2189"/>
      <c r="O12" s="3123">
        <f>IF(OR(M12&lt;&gt;"",I12&lt;&gt;""),1,0)</f>
      </c>
      <c r="P12" s="3123">
        <f>IF(OR(H12="",L12=""),0,1)</f>
      </c>
      <c r="Q12" s="3657"/>
      <c r="R12" s="3657"/>
      <c r="S12" s="3657"/>
      <c r="U12" s="3657"/>
      <c r="V12" s="3657"/>
      <c r="W12" s="3659" t="s">
        <v>10053</v>
      </c>
      <c r="X12" s="3657">
        <f>IF(AND(X7=2,H16="yes"),1,0)</f>
      </c>
      <c r="Y12" s="3657"/>
      <c r="Z12" s="3657"/>
      <c r="AA12" s="3657"/>
    </row>
    <row r="13" spans="1:37" hidden="1" x14ac:dyDescent="0.2">
      <c r="A13" s="2189"/>
      <c r="B13" s="2189"/>
      <c r="C13" s="2189"/>
      <c r="D13" s="2189"/>
      <c r="E13" s="2189"/>
      <c r="F13" s="2189"/>
      <c r="G13" s="2189"/>
      <c r="H13" s="2189"/>
      <c r="I13" s="2189"/>
      <c r="J13" s="2189"/>
      <c r="K13" s="2189"/>
      <c r="L13" s="2189"/>
      <c r="M13" s="2189"/>
      <c r="N13" s="2189"/>
      <c r="O13" s="3657"/>
      <c r="P13" s="3657"/>
      <c r="Q13" s="3657"/>
      <c r="R13" s="3657"/>
      <c r="S13" s="3657"/>
      <c r="U13" s="3657"/>
      <c r="V13" s="3657"/>
      <c r="W13" s="3657"/>
      <c r="X13" s="3657"/>
      <c r="Y13" s="3657"/>
      <c r="Z13" s="3657"/>
      <c r="AA13" s="3657"/>
    </row>
    <row r="14" spans="1:37" hidden="1" x14ac:dyDescent="0.2">
      <c r="A14" s="2189"/>
      <c r="B14" s="2189"/>
      <c r="C14" s="2189"/>
      <c r="D14" s="2189"/>
      <c r="E14" s="2189"/>
      <c r="F14" s="2189"/>
      <c r="G14" s="2189"/>
      <c r="H14" s="2189"/>
      <c r="I14" s="2189"/>
      <c r="J14" s="2189"/>
      <c r="K14" s="2189"/>
      <c r="L14" s="2189"/>
      <c r="M14" s="2189"/>
      <c r="N14" s="2189"/>
      <c r="O14" s="3657"/>
      <c r="P14" s="3657"/>
      <c r="Q14" s="3657"/>
      <c r="R14" s="3657"/>
      <c r="S14" s="3657"/>
      <c r="U14" s="3657"/>
      <c r="V14" s="3657"/>
      <c r="W14" s="3657"/>
      <c r="X14" s="3657"/>
      <c r="Y14" s="3657"/>
      <c r="Z14" s="3657"/>
      <c r="AA14" s="3657"/>
    </row>
    <row r="15" spans="1:37" ht="4.5" customHeight="1" x14ac:dyDescent="0.2">
      <c r="A15" s="2189"/>
      <c r="B15" s="2189"/>
      <c r="C15" s="2189"/>
      <c r="D15" s="2189"/>
      <c r="E15" s="2189"/>
      <c r="F15" s="2189"/>
      <c r="G15" s="2189"/>
      <c r="H15" s="2189"/>
      <c r="I15" s="2761"/>
      <c r="J15" s="2189"/>
      <c r="K15" s="2189"/>
      <c r="L15" s="2189"/>
      <c r="M15" s="2189"/>
      <c r="N15" s="2189"/>
      <c r="O15" s="3657"/>
      <c r="P15" s="3657"/>
      <c r="Q15" s="3657"/>
      <c r="R15" s="3657"/>
      <c r="S15" s="3657"/>
      <c r="U15" s="3657"/>
      <c r="V15" s="3657"/>
      <c r="W15" s="3657"/>
      <c r="X15" s="3657"/>
      <c r="Y15" s="3657"/>
      <c r="Z15" s="3657"/>
      <c r="AA15" s="3657"/>
      <c r="AB15" s="3657"/>
      <c r="AC15" s="3657"/>
      <c r="AD15" s="3657"/>
      <c r="AE15" s="3657"/>
      <c r="AF15" s="3657"/>
      <c r="AG15" s="3657"/>
      <c r="AH15" s="3657"/>
      <c r="AI15" s="3657"/>
      <c r="AJ15" s="3657"/>
      <c r="AK15" s="3657"/>
    </row>
    <row r="16" spans="1:37" ht="15" x14ac:dyDescent="0.25">
      <c r="A16" s="2189"/>
      <c r="B16" s="3600" t="s">
        <v>10054</v>
      </c>
      <c r="C16" s="3600"/>
      <c r="D16" s="3600"/>
      <c r="E16" s="3600"/>
      <c r="F16" s="3600"/>
      <c r="G16" s="3600"/>
      <c r="H16" s="3352"/>
      <c r="I16" s="2761" t="str">
        <f>IF($Q$1=0,"",IF(AND(H16="",OR(X7=1,X7=0),$P$4&gt;0),re,IF(X12=1,"Deferrment N/A","")))</f>
        <v/>
      </c>
      <c r="J16" s="2189"/>
      <c r="K16" s="3602" t="s">
        <v>3319</v>
      </c>
      <c r="L16" s="364"/>
      <c r="M16" s="2761" t="str">
        <f>IF(AND($H$16&lt;&gt;"",$H$16="yes",X12&lt;&gt;1,L16=""),re,IF(AND(OR($H$16="",$H$16="no"),L16&lt;&gt;""),"Delete!",IF(AND($H$16="no",L16&lt;&gt;"",OR($X$7=1,$X$7=2)),"Delete!","")))</f>
        <v/>
      </c>
      <c r="N16" s="2189"/>
      <c r="O16" s="3123">
        <f>IF(OR(M16&lt;&gt;"",I16&lt;&gt;""),1,0)</f>
      </c>
      <c r="P16" s="3123">
        <f>IF(OR(H16="",L16=""),0,1)</f>
      </c>
      <c r="Q16" s="3657"/>
      <c r="R16" s="3657"/>
      <c r="S16" s="3657"/>
      <c r="U16" s="3657"/>
      <c r="V16" s="3657"/>
      <c r="W16" s="3659" t="s">
        <v>10055</v>
      </c>
      <c r="X16" s="3657">
        <f>IF(OR(H12=X4,H16="no"),1,0)</f>
      </c>
      <c r="Y16" s="3657"/>
      <c r="Z16" s="3657"/>
      <c r="AA16" s="3657"/>
    </row>
    <row r="17" spans="1:37" ht="4.5" customHeight="1" x14ac:dyDescent="0.2">
      <c r="A17" s="2189"/>
      <c r="B17" s="2189"/>
      <c r="C17" s="2189"/>
      <c r="D17" s="2189"/>
      <c r="E17" s="2189"/>
      <c r="F17" s="2189"/>
      <c r="G17" s="2189"/>
      <c r="H17" s="2189"/>
      <c r="I17" s="2189"/>
      <c r="J17" s="2189"/>
      <c r="K17" s="2189"/>
      <c r="L17" s="2189"/>
      <c r="M17" s="2189"/>
      <c r="N17" s="2189"/>
      <c r="O17" s="3657"/>
      <c r="P17" s="3657"/>
      <c r="Q17" s="3657"/>
      <c r="R17" s="3657"/>
      <c r="S17" s="3657"/>
      <c r="U17" s="3657"/>
      <c r="V17" s="3657"/>
      <c r="W17" s="3657"/>
      <c r="X17" s="3657"/>
      <c r="Y17" s="3657"/>
      <c r="Z17" s="3657"/>
      <c r="AA17" s="3657"/>
      <c r="AB17" s="3657"/>
      <c r="AC17" s="3657"/>
      <c r="AD17" s="3657"/>
      <c r="AE17" s="3657"/>
      <c r="AF17" s="3657"/>
      <c r="AG17" s="3657"/>
      <c r="AH17" s="3657"/>
      <c r="AI17" s="3657"/>
      <c r="AJ17" s="3657"/>
      <c r="AK17" s="3657"/>
    </row>
    <row r="18" spans="1:37" ht="15" customHeight="1" x14ac:dyDescent="0.2">
      <c r="A18" s="2189"/>
      <c r="B18" s="3600"/>
      <c r="C18" s="3600"/>
      <c r="D18" s="3600"/>
      <c r="E18" s="3600"/>
      <c r="F18" s="3600"/>
      <c r="G18" s="3600"/>
      <c r="H18" s="3600"/>
      <c r="I18" s="3600"/>
      <c r="J18" s="3600"/>
      <c r="K18" s="3602" t="s">
        <v>10056</v>
      </c>
      <c r="L18" s="428"/>
      <c r="M18" s="2761" t="str">
        <f>IF(AND($H$16&lt;&gt;"",$H$16="yes",X12&lt;&gt;1,L18=""),re,IF(AND(OR($H$16="",$H$16="no"),L18&lt;&gt;""),"Delete!",IF(AND($H$16="no",L18&lt;&gt;"",OR($X$7=1,$X$7=2)),"Delete!","")))</f>
        <v/>
      </c>
      <c r="N18" s="2189"/>
      <c r="O18" s="3123">
        <f>IF(M18&lt;&gt;"",1,0)</f>
      </c>
      <c r="P18" s="3123">
        <f>IF(L18="",0,1)</f>
      </c>
      <c r="Q18" s="3657"/>
      <c r="R18" s="3657"/>
      <c r="S18" s="3657"/>
      <c r="U18" s="3657"/>
      <c r="V18" s="3657"/>
      <c r="W18" s="3657"/>
      <c r="X18" s="3657"/>
      <c r="Y18" s="3657"/>
      <c r="Z18" s="3657"/>
      <c r="AA18" s="3657"/>
    </row>
    <row r="19" spans="1:37" x14ac:dyDescent="0.2">
      <c r="A19" s="2189"/>
      <c r="B19" s="2189"/>
      <c r="C19" s="2189"/>
      <c r="D19" s="2189"/>
      <c r="E19" s="2189"/>
      <c r="F19" s="2189"/>
      <c r="G19" s="2189"/>
      <c r="H19" s="2189"/>
      <c r="I19" s="2189"/>
      <c r="J19" s="2189"/>
      <c r="K19" s="2189"/>
      <c r="L19" s="2189"/>
      <c r="M19" s="2189"/>
      <c r="N19" s="2189"/>
      <c r="O19" s="3657"/>
      <c r="P19" s="3657"/>
      <c r="Q19" s="3657"/>
      <c r="R19" s="3657"/>
      <c r="S19" s="3657"/>
      <c r="U19" s="3657"/>
      <c r="V19" s="3657"/>
      <c r="W19" s="3657"/>
      <c r="X19" s="3657"/>
      <c r="Y19" s="3657"/>
      <c r="Z19" s="3657"/>
      <c r="AA19" s="3657"/>
    </row>
    <row r="20" spans="1:37" s="46" customFormat="1" ht="11.25" x14ac:dyDescent="0.2">
      <c r="A20" s="2189"/>
      <c r="B20" s="3640" t="s">
        <v>2097</v>
      </c>
      <c r="C20" s="3640"/>
      <c r="D20" s="3640"/>
      <c r="E20" s="3640"/>
      <c r="F20" s="3640"/>
      <c r="G20" s="3640"/>
      <c r="H20" s="3640"/>
      <c r="I20" s="3640"/>
      <c r="J20" s="3640"/>
      <c r="K20" s="3640"/>
      <c r="L20" s="2189"/>
      <c r="M20" s="2189"/>
      <c r="N20" s="2189"/>
    </row>
    <row r="21" spans="1:37" s="46" customFormat="1" ht="12.75" customHeight="1" x14ac:dyDescent="0.2">
      <c r="A21" s="2189"/>
      <c r="B21" s="5381" t="s">
        <v>5411</v>
      </c>
      <c r="C21" s="5381"/>
      <c r="D21" s="5381"/>
      <c r="E21" s="5381"/>
      <c r="F21" s="5381"/>
      <c r="G21" s="3641" t="s">
        <v>5412</v>
      </c>
      <c r="H21" s="3641" t="s">
        <v>9125</v>
      </c>
      <c r="I21" s="3641" t="s">
        <v>5806</v>
      </c>
      <c r="J21" s="3641" t="s">
        <v>363</v>
      </c>
      <c r="K21" s="3641" t="s">
        <v>2372</v>
      </c>
      <c r="L21" s="2189"/>
      <c r="M21" s="2189"/>
      <c r="N21" s="2189"/>
      <c r="R21" s="46" t="s">
        <v>47</v>
      </c>
      <c r="U21" s="3643" t="s">
        <v>3331</v>
      </c>
      <c r="V21" s="1591" t="s">
        <v>9125</v>
      </c>
      <c r="W21" s="1591" t="s">
        <v>5806</v>
      </c>
      <c r="X21" s="1591" t="s">
        <v>363</v>
      </c>
      <c r="Y21" s="1591" t="s">
        <v>2372</v>
      </c>
      <c r="AB21" s="3648" t="s">
        <v>3331</v>
      </c>
      <c r="AC21" s="1591" t="s">
        <v>9125</v>
      </c>
      <c r="AD21" s="1591" t="s">
        <v>5806</v>
      </c>
      <c r="AE21" s="1591" t="s">
        <v>363</v>
      </c>
      <c r="AF21" s="1591" t="s">
        <v>2372</v>
      </c>
    </row>
    <row r="22" spans="1:37" s="46" customFormat="1" ht="11.25" x14ac:dyDescent="0.2">
      <c r="A22" s="2189"/>
      <c r="B22" s="5382" t="str">
        <f t="shared" ref="B22:B33" si="0">IF(AA22=0,"",AB22)</f>
        <v/>
      </c>
      <c r="C22" s="5382"/>
      <c r="D22" s="5382"/>
      <c r="E22" s="5382"/>
      <c r="F22" s="5382"/>
      <c r="G22" s="3622" t="str">
        <f t="shared" ref="G22:G33" si="1">IF(AA22=0,"",CONCATENATE("TRA16_",AA22))</f>
        <v/>
      </c>
      <c r="H22" s="2189"/>
      <c r="I22" s="3623" t="str">
        <f t="shared" ref="I22:I33" si="2">IF(AA22=0,"",AD22)</f>
        <v/>
      </c>
      <c r="J22" s="2189"/>
      <c r="K22" s="3623" t="str">
        <f t="shared" ref="K22:K33" si="3">IF(AA22=0,"",AF22)</f>
        <v/>
      </c>
      <c r="L22" s="2189"/>
      <c r="M22" s="2189"/>
      <c r="N22" s="2189"/>
      <c r="Q22" s="1591">
        <v>1</v>
      </c>
      <c r="R22" s="1591">
        <f>'TRA16'!$F$7</f>
      </c>
      <c r="S22" s="1591">
        <f t="shared" ref="S22:S33" si="4">IF(R22="yes",1,0)</f>
      </c>
      <c r="T22" s="1591" t="str">
        <f t="shared" ref="T22:T33" si="5">CONCATENATE(Q22,",",S22)</f>
      </c>
      <c r="U22" s="3643">
        <f>'TRA16'!$E$20</f>
      </c>
      <c r="W22" s="3650" t="str">
        <f>'TRA16'!$H$60</f>
        <v/>
      </c>
      <c r="Y22" s="1591" t="str">
        <f>'TRA16'!$I$60</f>
        <v/>
      </c>
      <c r="Z22" s="46">
        <f>IF(ISERROR(MATCH("1,1",$T$22:$T$33,0))=FALSE,1,IF(ISERROR(MATCH("2,1",$T$22:$T$33,0))=FALSE,2,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2" s="3649">
        <f>IF($Z$22&gt;0,Z22,IF(ISERROR(INDEX($Z$22:$Z$33,MATCH(Z22,$Z$22:$Z$33,0)+COUNTIF($Z$22:$Z$33,Z22)))=TRUE,0,(INDEX($Z$22:$Z$33,MATCH(Z22,$Z$22:$Z$33,0)+COUNTIF($Z$22:$Z$33,Z22)))))</f>
      </c>
      <c r="AB22" s="1591" t="str">
        <f t="shared" ref="AB22:AB33" si="6">IF(ISERROR(VLOOKUP(AA22,$Q$22:$Y$33,5,FALSE))=TRUE,"",(VLOOKUP(AA22,$Q$22:$Y$33,5,FALSE)))</f>
        <v/>
      </c>
      <c r="AD22" s="1591" t="str">
        <f t="shared" ref="AD22:AD33" si="7">IF(ISERROR(VLOOKUP(AA22,$Q$22:$Y$33,7,FALSE))=TRUE,"",(VLOOKUP(AA22,$Q$22:$Y$33,7,FALSE)))</f>
        <v/>
      </c>
      <c r="AF22" s="1591" t="str">
        <f t="shared" ref="AF22:AF33" si="8">IF(ISERROR(VLOOKUP(AA22,$Q$22:$Y$33,9,FALSE))=TRUE,"",(VLOOKUP(AA22,$Q$22:$Y$33,9,FALSE)))</f>
        <v/>
      </c>
    </row>
    <row r="23" spans="1:37" s="46" customFormat="1" ht="11.25" x14ac:dyDescent="0.2">
      <c r="A23" s="2189"/>
      <c r="B23" s="5382" t="str">
        <f t="shared" si="0"/>
        <v/>
      </c>
      <c r="C23" s="5382"/>
      <c r="D23" s="5382"/>
      <c r="E23" s="5382"/>
      <c r="F23" s="5382"/>
      <c r="G23" s="3622" t="str">
        <f t="shared" si="1"/>
        <v/>
      </c>
      <c r="H23" s="2189"/>
      <c r="I23" s="3623" t="str">
        <f t="shared" si="2"/>
        <v/>
      </c>
      <c r="J23" s="2189"/>
      <c r="K23" s="3623" t="str">
        <f t="shared" si="3"/>
        <v/>
      </c>
      <c r="L23" s="2189"/>
      <c r="M23" s="2189"/>
      <c r="N23" s="2189"/>
      <c r="Q23" s="1591">
        <v>2</v>
      </c>
      <c r="R23" s="1591">
        <f>'TRA16'!$F$68</f>
      </c>
      <c r="S23" s="1591">
        <f t="shared" si="4"/>
        <v>0</v>
      </c>
      <c r="T23" s="1591" t="str">
        <f t="shared" si="5"/>
        <v>2,0</v>
      </c>
      <c r="U23" s="3643">
        <f>'TRA16'!$E$81</f>
      </c>
      <c r="W23" s="1591" t="str">
        <f>'TRA16'!$H$121</f>
        <v/>
      </c>
      <c r="Y23" s="1591" t="str">
        <f>'TRA16'!$I$121</f>
        <v/>
      </c>
      <c r="Z23" s="46">
        <f>IF(ISERROR(MATCH("2,1",$T$22:$T$33,0))=FALSE,2,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3" s="3649">
        <f t="shared" ref="AA23:AA32" si="9">IF(ISERROR(INDEX($Z$22:$Z$33,MATCH(AA22,$Z$22:$Z$33,0)+COUNTIF($Z$22:$Z$33,AA22)))=TRUE,0,(INDEX($Z$22:$Z$33,MATCH(AA22,$Z$22:$Z$33,0)+COUNTIF($Z$22:$Z$33,AA22))))</f>
      </c>
      <c r="AB23" s="1591" t="str">
        <f t="shared" si="6"/>
        <v/>
      </c>
      <c r="AD23" s="1591" t="str">
        <f t="shared" si="7"/>
        <v/>
      </c>
      <c r="AF23" s="1591" t="str">
        <f t="shared" si="8"/>
        <v/>
      </c>
    </row>
    <row r="24" spans="1:37" s="46" customFormat="1" ht="11.25" x14ac:dyDescent="0.2">
      <c r="A24" s="2189"/>
      <c r="B24" s="5382" t="str">
        <f t="shared" si="0"/>
        <v/>
      </c>
      <c r="C24" s="5382"/>
      <c r="D24" s="5382"/>
      <c r="E24" s="5382"/>
      <c r="F24" s="5382"/>
      <c r="G24" s="3622" t="str">
        <f t="shared" si="1"/>
        <v/>
      </c>
      <c r="H24" s="2189"/>
      <c r="I24" s="3623" t="str">
        <f t="shared" si="2"/>
        <v/>
      </c>
      <c r="J24" s="2189"/>
      <c r="K24" s="3623" t="str">
        <f t="shared" si="3"/>
        <v/>
      </c>
      <c r="L24" s="2189"/>
      <c r="M24" s="2189"/>
      <c r="N24" s="2189"/>
      <c r="Q24" s="1591">
        <v>3</v>
      </c>
      <c r="R24" s="1591">
        <f>'TRA16'!$F$129</f>
      </c>
      <c r="S24" s="1591">
        <f t="shared" si="4"/>
        <v>0</v>
      </c>
      <c r="T24" s="1591" t="str">
        <f t="shared" si="5"/>
        <v>3,0</v>
      </c>
      <c r="U24" s="3643">
        <f>'TRA16'!$E$142</f>
      </c>
      <c r="W24" s="1591" t="str">
        <f>'TRA16'!$H$182</f>
        <v/>
      </c>
      <c r="Y24" s="1591" t="str">
        <f>'TRA16'!$I$182</f>
        <v/>
      </c>
      <c r="Z24" s="46">
        <f>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4" s="3649">
        <f t="shared" si="9"/>
        <v>0</v>
      </c>
      <c r="AB24" s="1591" t="str">
        <f t="shared" si="6"/>
        <v/>
      </c>
      <c r="AD24" s="1591" t="str">
        <f t="shared" si="7"/>
        <v/>
      </c>
      <c r="AF24" s="1591" t="str">
        <f t="shared" si="8"/>
        <v/>
      </c>
    </row>
    <row r="25" spans="1:37" s="46" customFormat="1" ht="11.25" x14ac:dyDescent="0.2">
      <c r="A25" s="2189"/>
      <c r="B25" s="5382" t="str">
        <f t="shared" si="0"/>
        <v/>
      </c>
      <c r="C25" s="5382"/>
      <c r="D25" s="5382"/>
      <c r="E25" s="5382"/>
      <c r="F25" s="5382"/>
      <c r="G25" s="3622" t="str">
        <f t="shared" si="1"/>
        <v/>
      </c>
      <c r="H25" s="2189"/>
      <c r="I25" s="3623" t="str">
        <f t="shared" si="2"/>
        <v/>
      </c>
      <c r="J25" s="2189"/>
      <c r="K25" s="3623" t="str">
        <f t="shared" si="3"/>
        <v/>
      </c>
      <c r="L25" s="2189"/>
      <c r="M25" s="2189"/>
      <c r="N25" s="2189"/>
      <c r="Q25" s="1591">
        <v>4</v>
      </c>
      <c r="R25" s="1591">
        <f>'TRA16'!$F$190</f>
      </c>
      <c r="S25" s="1591">
        <f t="shared" si="4"/>
        <v>0</v>
      </c>
      <c r="T25" s="1591" t="str">
        <f t="shared" si="5"/>
        <v>4,0</v>
      </c>
      <c r="U25" s="3643">
        <f>'TRA16'!$E$203</f>
      </c>
      <c r="W25" s="1591" t="str">
        <f>'TRA16'!$H$243</f>
        <v/>
      </c>
      <c r="Y25" s="1591" t="str">
        <f>'TRA16'!$I$243</f>
        <v/>
      </c>
      <c r="Z25" s="46">
        <f>IF(ISERROR(MATCH("4,1",$T$22:$T$33,0))=FALSE,4,IF(ISERROR(MATCH("5,1",$T$22:$T$33,0))=FALSE,5,IF(ISERROR(MATCH("6,1",$T$22:$T$33,0))=FALSE,6,IF(ISERROR(MATCH("7,1",$T$22:$T$33,0))=FALSE,7,IF(ISERROR(MATCH("8,1",$T$22:$T$33,0))=FALSE,8,IF(ISERROR(MATCH("9,1",$T$22:$T$33,0))=FALSE,9,IF(ISERROR(MATCH("10,1",$T$22:$T$33,0))=FALSE,10,IF(ISERROR(MATCH("11,1",$T$22:$T$33,0))=FALSE,11,IF(ISERROR(MATCH("12,1",$T$22:$T$33,0))=FALSE,12,0)))))))))</f>
      </c>
      <c r="AA25" s="3649">
        <f t="shared" si="9"/>
        <v>0</v>
      </c>
      <c r="AB25" s="1591" t="str">
        <f t="shared" si="6"/>
        <v/>
      </c>
      <c r="AD25" s="1591" t="str">
        <f t="shared" si="7"/>
        <v/>
      </c>
      <c r="AF25" s="1591" t="str">
        <f t="shared" si="8"/>
        <v/>
      </c>
    </row>
    <row r="26" spans="1:37" s="46" customFormat="1" ht="11.25" x14ac:dyDescent="0.2">
      <c r="A26" s="2189"/>
      <c r="B26" s="5382" t="str">
        <f t="shared" si="0"/>
        <v/>
      </c>
      <c r="C26" s="5382"/>
      <c r="D26" s="5382"/>
      <c r="E26" s="5382"/>
      <c r="F26" s="5382"/>
      <c r="G26" s="3622" t="str">
        <f t="shared" si="1"/>
        <v/>
      </c>
      <c r="H26" s="2189"/>
      <c r="I26" s="3623" t="str">
        <f t="shared" si="2"/>
        <v/>
      </c>
      <c r="J26" s="2189"/>
      <c r="K26" s="3623" t="str">
        <f t="shared" si="3"/>
        <v/>
      </c>
      <c r="L26" s="2189"/>
      <c r="M26" s="2189"/>
      <c r="N26" s="2189"/>
      <c r="Q26" s="1591">
        <v>5</v>
      </c>
      <c r="R26" s="1591">
        <f>'TRA16'!$F$251</f>
      </c>
      <c r="S26" s="1591">
        <f t="shared" si="4"/>
        <v>0</v>
      </c>
      <c r="T26" s="1591" t="str">
        <f t="shared" si="5"/>
        <v>5,0</v>
      </c>
      <c r="U26" s="3643">
        <f>'TRA16'!$E$264</f>
      </c>
      <c r="W26" s="1591" t="str">
        <f>'TRA16'!$H$304</f>
        <v/>
      </c>
      <c r="Y26" s="1591" t="str">
        <f>'TRA16'!$I$304</f>
        <v/>
      </c>
      <c r="Z26" s="46">
        <f>IF(ISERROR(MATCH("5,1",$T$22:$T$33,0))=FALSE,5,IF(ISERROR(MATCH("6,1",$T$22:$T$33,0))=FALSE,6,IF(ISERROR(MATCH("7,1",$T$22:$T$33,0))=FALSE,7,IF(ISERROR(MATCH("8,1",$T$22:$T$33,0))=FALSE,8,IF(ISERROR(MATCH("9,1",$T$22:$T$33,0))=FALSE,9,IF(ISERROR(MATCH("10,1",$T$22:$T$33,0))=FALSE,10,IF(ISERROR(MATCH("11,1",$T$22:$T$33,0))=FALSE,11,IF(ISERROR(MATCH("12,1",$T$22:$T$33,0))=FALSE,12,0))))))))</f>
      </c>
      <c r="AA26" s="3649">
        <f t="shared" si="9"/>
        <v>0</v>
      </c>
      <c r="AB26" s="1591" t="str">
        <f t="shared" si="6"/>
        <v/>
      </c>
      <c r="AD26" s="1591" t="str">
        <f t="shared" si="7"/>
        <v/>
      </c>
      <c r="AF26" s="1591" t="str">
        <f t="shared" si="8"/>
        <v/>
      </c>
    </row>
    <row r="27" spans="1:37" s="46" customFormat="1" ht="11.25" x14ac:dyDescent="0.2">
      <c r="A27" s="2189"/>
      <c r="B27" s="5382" t="str">
        <f t="shared" si="0"/>
        <v/>
      </c>
      <c r="C27" s="5382"/>
      <c r="D27" s="5382"/>
      <c r="E27" s="5382"/>
      <c r="F27" s="5382"/>
      <c r="G27" s="3622" t="str">
        <f t="shared" si="1"/>
        <v/>
      </c>
      <c r="H27" s="2189"/>
      <c r="I27" s="3623" t="str">
        <f t="shared" si="2"/>
        <v/>
      </c>
      <c r="J27" s="2189"/>
      <c r="K27" s="3623" t="str">
        <f t="shared" si="3"/>
        <v/>
      </c>
      <c r="L27" s="2189"/>
      <c r="M27" s="2189"/>
      <c r="N27" s="2189"/>
      <c r="Q27" s="1591">
        <v>6</v>
      </c>
      <c r="R27" s="1591">
        <f>'TRA16'!$F$312</f>
      </c>
      <c r="S27" s="1591">
        <f t="shared" si="4"/>
        <v>0</v>
      </c>
      <c r="T27" s="1591" t="str">
        <f t="shared" si="5"/>
        <v>6,0</v>
      </c>
      <c r="U27" s="3643">
        <f>'TRA16'!$E$325</f>
      </c>
      <c r="W27" s="1591" t="str">
        <f>'TRA16'!$H$365</f>
        <v/>
      </c>
      <c r="Y27" s="1591" t="str">
        <f>'TRA16'!$I$365</f>
        <v/>
      </c>
      <c r="Z27" s="46">
        <f>IF(ISERROR(MATCH("6,1",$T$22:$T$33,0))=FALSE,6,IF(ISERROR(MATCH("7,1",$T$22:$T$33,0))=FALSE,7,IF(ISERROR(MATCH("8,1",$T$22:$T$33,0))=FALSE,8,IF(ISERROR(MATCH("9,1",$T$22:$T$33,0))=FALSE,9,IF(ISERROR(MATCH("10,1",$T$22:$T$33,0))=FALSE,10,IF(ISERROR(MATCH("11,1",$T$22:$T$33,0))=FALSE,11,IF(ISERROR(MATCH("12,1",$T$22:$T$33,0))=FALSE,12,0)))))))</f>
      </c>
      <c r="AA27" s="3649">
        <f t="shared" si="9"/>
        <v>0</v>
      </c>
      <c r="AB27" s="1591" t="str">
        <f t="shared" si="6"/>
        <v/>
      </c>
      <c r="AD27" s="1591" t="str">
        <f t="shared" si="7"/>
        <v/>
      </c>
      <c r="AF27" s="1591" t="str">
        <f t="shared" si="8"/>
        <v/>
      </c>
    </row>
    <row r="28" spans="1:37" s="46" customFormat="1" ht="11.25" x14ac:dyDescent="0.2">
      <c r="A28" s="2189"/>
      <c r="B28" s="5382" t="str">
        <f t="shared" si="0"/>
        <v/>
      </c>
      <c r="C28" s="5382"/>
      <c r="D28" s="5382"/>
      <c r="E28" s="5382"/>
      <c r="F28" s="5382"/>
      <c r="G28" s="3622" t="str">
        <f t="shared" si="1"/>
        <v/>
      </c>
      <c r="H28" s="2189"/>
      <c r="I28" s="3623" t="str">
        <f t="shared" si="2"/>
        <v/>
      </c>
      <c r="J28" s="2189"/>
      <c r="K28" s="3623" t="str">
        <f t="shared" si="3"/>
        <v/>
      </c>
      <c r="L28" s="2189"/>
      <c r="M28" s="2189"/>
      <c r="N28" s="2189"/>
      <c r="Q28" s="1591">
        <v>7</v>
      </c>
      <c r="R28" s="1591">
        <f>'TRA16'!$F$373</f>
      </c>
      <c r="S28" s="1591">
        <f t="shared" si="4"/>
        <v>0</v>
      </c>
      <c r="T28" s="1591" t="str">
        <f t="shared" si="5"/>
        <v>7,0</v>
      </c>
      <c r="U28" s="3643">
        <f>'TRA16'!$E$386</f>
      </c>
      <c r="W28" s="1591" t="str">
        <f>'TRA16'!$H$426</f>
        <v/>
      </c>
      <c r="Y28" s="1591" t="str">
        <f>'TRA16'!$I$426</f>
        <v/>
      </c>
      <c r="Z28" s="46">
        <f>IF(ISERROR(MATCH("7,1",$T$22:$T$33,0))=FALSE,7,IF(ISERROR(MATCH("8,1",$T$22:$T$33,0))=FALSE,8,IF(ISERROR(MATCH("9,1",$T$22:$T$33,0))=FALSE,9,IF(ISERROR(MATCH("10,1",$T$22:$T$33,0))=FALSE,10,IF(ISERROR(MATCH("11,1",$T$22:$T$33,0))=FALSE,11,IF(ISERROR(MATCH("12,1",$T$22:$T$33,0))=FALSE,12,0))))))</f>
      </c>
      <c r="AA28" s="3649">
        <f t="shared" si="9"/>
        <v>0</v>
      </c>
      <c r="AB28" s="1591" t="str">
        <f t="shared" si="6"/>
        <v/>
      </c>
      <c r="AD28" s="1591" t="str">
        <f t="shared" si="7"/>
        <v/>
      </c>
      <c r="AF28" s="1591" t="str">
        <f t="shared" si="8"/>
        <v/>
      </c>
    </row>
    <row r="29" spans="1:37" s="46" customFormat="1" ht="11.25" x14ac:dyDescent="0.2">
      <c r="A29" s="2189"/>
      <c r="B29" s="5382" t="str">
        <f t="shared" si="0"/>
        <v/>
      </c>
      <c r="C29" s="5382"/>
      <c r="D29" s="5382"/>
      <c r="E29" s="5382"/>
      <c r="F29" s="5382"/>
      <c r="G29" s="3622" t="str">
        <f t="shared" si="1"/>
        <v/>
      </c>
      <c r="H29" s="2189"/>
      <c r="I29" s="3623" t="str">
        <f t="shared" si="2"/>
        <v/>
      </c>
      <c r="J29" s="2189"/>
      <c r="K29" s="3623" t="str">
        <f t="shared" si="3"/>
        <v/>
      </c>
      <c r="L29" s="2189"/>
      <c r="M29" s="2189"/>
      <c r="N29" s="2189"/>
      <c r="Q29" s="1591">
        <v>8</v>
      </c>
      <c r="R29" s="1591">
        <f>'TRA16'!$F$434</f>
      </c>
      <c r="S29" s="1591">
        <f t="shared" si="4"/>
        <v>0</v>
      </c>
      <c r="T29" s="1591" t="str">
        <f t="shared" si="5"/>
        <v>8,0</v>
      </c>
      <c r="U29" s="3643">
        <f>'TRA16'!$E$447</f>
      </c>
      <c r="W29" s="1591" t="str">
        <f>'TRA16'!$H$487</f>
        <v/>
      </c>
      <c r="Y29" s="1591" t="str">
        <f>'TRA16'!$I$487</f>
        <v/>
      </c>
      <c r="Z29" s="46">
        <f>IF(ISERROR(MATCH("8,1",$T$22:$T$33,0))=FALSE,8,IF(ISERROR(MATCH("9,1",$T$22:$T$33,0))=FALSE,9,IF(ISERROR(MATCH("10,1",$T$22:$T$33,0))=FALSE,10,IF(ISERROR(MATCH("11,1",$T$22:$T$33,0))=FALSE,11,IF(ISERROR(MATCH("12,1",$T$22:$T$33,0))=FALSE,12,0)))))</f>
      </c>
      <c r="AA29" s="3649">
        <f t="shared" si="9"/>
        <v>0</v>
      </c>
      <c r="AB29" s="1591" t="str">
        <f t="shared" si="6"/>
        <v/>
      </c>
      <c r="AD29" s="1591" t="str">
        <f t="shared" si="7"/>
        <v/>
      </c>
      <c r="AF29" s="1591" t="str">
        <f t="shared" si="8"/>
        <v/>
      </c>
    </row>
    <row r="30" spans="1:37" s="46" customFormat="1" ht="11.25" x14ac:dyDescent="0.2">
      <c r="A30" s="2189"/>
      <c r="B30" s="5382" t="str">
        <f t="shared" si="0"/>
        <v/>
      </c>
      <c r="C30" s="5382"/>
      <c r="D30" s="5382"/>
      <c r="E30" s="5382"/>
      <c r="F30" s="5382"/>
      <c r="G30" s="3622" t="str">
        <f t="shared" si="1"/>
        <v/>
      </c>
      <c r="H30" s="2189"/>
      <c r="I30" s="3623" t="str">
        <f t="shared" si="2"/>
        <v/>
      </c>
      <c r="J30" s="2189"/>
      <c r="K30" s="3623" t="str">
        <f t="shared" si="3"/>
        <v/>
      </c>
      <c r="L30" s="2189"/>
      <c r="M30" s="2189"/>
      <c r="N30" s="2189"/>
      <c r="Q30" s="1591">
        <v>9</v>
      </c>
      <c r="R30" s="1591">
        <f>'TRA16'!$F$495</f>
      </c>
      <c r="S30" s="1591">
        <f t="shared" si="4"/>
        <v>0</v>
      </c>
      <c r="T30" s="1591" t="str">
        <f t="shared" si="5"/>
        <v>9,0</v>
      </c>
      <c r="U30" s="3643">
        <f>'TRA16'!$E$508</f>
      </c>
      <c r="W30" s="1591" t="str">
        <f>'TRA16'!$H$548</f>
        <v/>
      </c>
      <c r="Y30" s="1591" t="str">
        <f>'TRA16'!$I$548</f>
        <v/>
      </c>
      <c r="Z30" s="46">
        <f>IF(ISERROR(MATCH("9,1",$T$22:$T$33,0))=FALSE,9,IF(ISERROR(MATCH("10,1",$T$22:$T$33,0))=FALSE,10,IF(ISERROR(MATCH("11,1",$T$22:$T$33,0))=FALSE,11,IF(ISERROR(MATCH("12,1",$T$22:$T$33,0))=FALSE,12,0))))</f>
      </c>
      <c r="AA30" s="3649">
        <f t="shared" si="9"/>
        <v>0</v>
      </c>
      <c r="AB30" s="1591" t="str">
        <f t="shared" si="6"/>
        <v/>
      </c>
      <c r="AD30" s="1591" t="str">
        <f t="shared" si="7"/>
        <v/>
      </c>
      <c r="AF30" s="1591" t="str">
        <f t="shared" si="8"/>
        <v/>
      </c>
    </row>
    <row r="31" spans="1:37" s="46" customFormat="1" ht="11.25" x14ac:dyDescent="0.2">
      <c r="A31" s="2189"/>
      <c r="B31" s="5382" t="str">
        <f t="shared" si="0"/>
        <v/>
      </c>
      <c r="C31" s="5382"/>
      <c r="D31" s="5382"/>
      <c r="E31" s="5382"/>
      <c r="F31" s="5382"/>
      <c r="G31" s="3622" t="str">
        <f t="shared" si="1"/>
        <v/>
      </c>
      <c r="H31" s="2189"/>
      <c r="I31" s="3623" t="str">
        <f t="shared" si="2"/>
        <v/>
      </c>
      <c r="J31" s="2189"/>
      <c r="K31" s="3623" t="str">
        <f t="shared" si="3"/>
        <v/>
      </c>
      <c r="L31" s="2189"/>
      <c r="M31" s="2189"/>
      <c r="N31" s="2189"/>
      <c r="Q31" s="1591">
        <v>10</v>
      </c>
      <c r="R31" s="1591">
        <f>'TRA16'!$F$556</f>
      </c>
      <c r="S31" s="1591">
        <f t="shared" si="4"/>
        <v>0</v>
      </c>
      <c r="T31" s="1591" t="str">
        <f t="shared" si="5"/>
        <v>10,0</v>
      </c>
      <c r="U31" s="3643">
        <f>'TRA16'!$E$569</f>
      </c>
      <c r="W31" s="1591" t="str">
        <f>'TRA16'!$H$609</f>
        <v/>
      </c>
      <c r="Y31" s="1591" t="str">
        <f>'TRA16'!$I$609</f>
        <v/>
      </c>
      <c r="Z31" s="46">
        <f>IF(ISERROR(MATCH("10,1",$T$22:$T$33,0))=FALSE,10,IF(ISERROR(MATCH("11,1",$T$22:$T$33,0))=FALSE,11,IF(ISERROR(MATCH("12,1",$T$22:$T$33,0))=FALSE,12,0)))</f>
      </c>
      <c r="AA31" s="3649">
        <f t="shared" si="9"/>
        <v>0</v>
      </c>
      <c r="AB31" s="1591" t="str">
        <f t="shared" si="6"/>
        <v/>
      </c>
      <c r="AD31" s="1591" t="str">
        <f t="shared" si="7"/>
        <v/>
      </c>
      <c r="AF31" s="1591" t="str">
        <f t="shared" si="8"/>
        <v/>
      </c>
    </row>
    <row r="32" spans="1:37" s="46" customFormat="1" ht="12.75" customHeight="1" x14ac:dyDescent="0.2">
      <c r="A32" s="2189"/>
      <c r="B32" s="5382" t="str">
        <f t="shared" si="0"/>
        <v/>
      </c>
      <c r="C32" s="5382"/>
      <c r="D32" s="5382"/>
      <c r="E32" s="5382"/>
      <c r="F32" s="5382"/>
      <c r="G32" s="3622" t="str">
        <f t="shared" si="1"/>
        <v/>
      </c>
      <c r="H32" s="2189"/>
      <c r="I32" s="3623" t="str">
        <f t="shared" si="2"/>
        <v/>
      </c>
      <c r="J32" s="2189"/>
      <c r="K32" s="3623" t="str">
        <f t="shared" si="3"/>
        <v/>
      </c>
      <c r="L32" s="2189"/>
      <c r="M32" s="2189"/>
      <c r="N32" s="2189"/>
      <c r="Q32" s="3642">
        <v>11</v>
      </c>
      <c r="R32" s="1591">
        <f>'TRA16'!$F$617</f>
      </c>
      <c r="S32" s="1591">
        <f t="shared" si="4"/>
        <v>0</v>
      </c>
      <c r="T32" s="1591" t="str">
        <f t="shared" si="5"/>
        <v>11,0</v>
      </c>
      <c r="U32" s="3643">
        <f>'TRA16'!$E$630</f>
      </c>
      <c r="W32" s="1591" t="str">
        <f>'TRA16'!$H$670</f>
        <v/>
      </c>
      <c r="Y32" s="1591" t="str">
        <f>'TRA16'!$I$670</f>
        <v/>
      </c>
      <c r="Z32" s="46">
        <f>IF(ISERROR(MATCH("11,1",$T$22:$T$33,0))=FALSE,11,IF(ISERROR(MATCH("12,1",$T$22:$T$33,0))=FALSE,12,0))</f>
      </c>
      <c r="AA32" s="3649">
        <f t="shared" si="9"/>
        <v>0</v>
      </c>
      <c r="AB32" s="1591" t="str">
        <f t="shared" si="6"/>
        <v/>
      </c>
      <c r="AD32" s="1591" t="str">
        <f t="shared" si="7"/>
        <v/>
      </c>
      <c r="AF32" s="1591" t="str">
        <f t="shared" si="8"/>
        <v/>
      </c>
    </row>
    <row r="33" spans="1:32" s="46" customFormat="1" ht="11.25" x14ac:dyDescent="0.2">
      <c r="A33" s="2189"/>
      <c r="B33" s="5382" t="str">
        <f t="shared" si="0"/>
        <v/>
      </c>
      <c r="C33" s="5382"/>
      <c r="D33" s="5382"/>
      <c r="E33" s="5382"/>
      <c r="F33" s="5382"/>
      <c r="G33" s="3622" t="str">
        <f t="shared" si="1"/>
        <v/>
      </c>
      <c r="H33" s="2189"/>
      <c r="I33" s="3623" t="str">
        <f t="shared" si="2"/>
        <v/>
      </c>
      <c r="J33" s="2189"/>
      <c r="K33" s="3623" t="str">
        <f t="shared" si="3"/>
        <v/>
      </c>
      <c r="L33" s="2189"/>
      <c r="M33" s="2189"/>
      <c r="N33" s="2189"/>
      <c r="O33" s="3653"/>
      <c r="Q33" s="3642">
        <v>12</v>
      </c>
      <c r="R33" s="1591">
        <f>'TRA16'!$F$678</f>
      </c>
      <c r="S33" s="1591">
        <f t="shared" si="4"/>
        <v>0</v>
      </c>
      <c r="T33" s="1591" t="str">
        <f t="shared" si="5"/>
        <v>12,0</v>
      </c>
      <c r="U33" s="3643">
        <f>'TRA16'!$E$691</f>
      </c>
      <c r="W33" s="1591" t="str">
        <f>'TRA16'!$H$731</f>
        <v/>
      </c>
      <c r="Y33" s="1591" t="str">
        <f>'TRA16'!$I$731</f>
        <v/>
      </c>
      <c r="Z33" s="46">
        <f>IF(ISERROR(MATCH("12,1",$T$22:$T$33,0))=FALSE,12,0)</f>
      </c>
      <c r="AA33" s="3649">
        <f>IF(ISERROR(INDEX($Z$22:$Z$33,MATCH(Z33,$Z$22:$Z$33,0)+COUNTIF($Z$22:$Z$33,Z33)))=TRUE,0,(INDEX($Z$22:$Z$33,MATCH(Z33,$Z$22:$Z$33,0)+COUNTIF($Z$22:$Z$33,Z33))))</f>
      </c>
      <c r="AB33" s="1591" t="str">
        <f t="shared" si="6"/>
        <v/>
      </c>
      <c r="AD33" s="1591" t="str">
        <f t="shared" si="7"/>
        <v/>
      </c>
      <c r="AF33" s="1591" t="str">
        <f t="shared" si="8"/>
        <v/>
      </c>
    </row>
    <row r="34" spans="1:32" s="3653" customFormat="1" ht="11.25" hidden="1" customHeight="1" x14ac:dyDescent="0.2">
      <c r="A34" s="2189"/>
      <c r="B34" s="5382"/>
      <c r="C34" s="5382"/>
      <c r="D34" s="5382"/>
      <c r="E34" s="5382"/>
      <c r="F34" s="5382"/>
      <c r="G34" s="3622" t="e">
        <f>IF(#REF!=0,"",CONCATENATE("TRA16_",Y34))</f>
      </c>
      <c r="H34" s="2189"/>
      <c r="I34" s="3623" t="str">
        <f t="shared" ref="I34:I40" si="10">IF(Y34=0,"",AA34)</f>
        <v/>
      </c>
      <c r="J34" s="2189"/>
      <c r="K34" s="3625"/>
      <c r="L34" s="2189"/>
      <c r="M34" s="2189"/>
      <c r="N34" s="2189"/>
      <c r="X34" s="46" t="str">
        <f>IF(AND(Q34=AF33,S34="yes"),0,IF(AND(R33=0,S34="yes"),2,IF(AND(S34=0,S35="yes"),3,IF(AND(S34=0,S35=0,S36="yes"),4,IF(AND(S34=0,S35=0,S36=0,S37="yes"),5,IF(AND(S34=0,S35=0,S36=0,S37=0,S38="yes"),6,IF(AND(S34=0,S35=0,S36=0,S37=0,S38=0,S39="yes"),7,IF(AND(S34=0,S35=0,S36=0,S37=0,S38=0,S39=0,S40="yes"),8,IF(AND(S34=0,S35=0,S36=0,S37=0,S38=0,S39=0,S40=0,S41="yes"),9,IF(AND(S34=0,S35=0,S36=0,S37=0,S38=0,S39=0,S40=0,S41=0,S42="yes"),10,IF(AND(S34=0,S35=0,S36=0,S37=0,S38=0,S39=0,S40=0,S41=0,S42=0,S43="yes"),11,IF(AND(S34=0,S35=0,S36=0,S37=0,S38=0,S39=0,S40=0,S41=0,S42=0,S43=0,S44="yes"),12,""))))))))))))</f>
        <v/>
      </c>
      <c r="Y34" s="46"/>
    </row>
    <row r="35" spans="1:32" s="3653" customFormat="1" ht="11.25" hidden="1" customHeight="1" x14ac:dyDescent="0.2">
      <c r="A35" s="2189"/>
      <c r="B35" s="5382"/>
      <c r="C35" s="5382"/>
      <c r="D35" s="5382"/>
      <c r="E35" s="5382"/>
      <c r="F35" s="5382"/>
      <c r="G35" s="3622" t="e">
        <f>IF(#REF!=0,"",CONCATENATE("TRA16_",Y35))</f>
      </c>
      <c r="H35" s="2189"/>
      <c r="I35" s="3623" t="str">
        <f t="shared" si="10"/>
        <v/>
      </c>
      <c r="J35" s="2189"/>
      <c r="K35" s="3625"/>
      <c r="L35" s="2189"/>
      <c r="M35" s="2189"/>
      <c r="N35" s="2189"/>
      <c r="X35" s="46" t="str">
        <f t="shared" ref="X35:X40" si="11">IF(AND(Q35=X34,S35="yes"),0,IF(AND(S34=0,S35="yes"),2,IF(AND(S35=0,S36="yes"),3,IF(AND(S35=0,S36=0,S37="yes"),4,IF(AND(S35=0,S36=0,S37=0,S38="yes"),5,IF(AND(S35=0,S36=0,S37=0,S38=0,S39="yes"),6,IF(AND(S35=0,S36=0,S37=0,S38=0,S39=0,S40="yes"),7,IF(AND(S35=0,S36=0,S37=0,S38=0,S39=0,S40=0,S41="yes"),8,IF(AND(S35=0,S36=0,S37=0,S38=0,S39=0,S40=0,S41=0,S42="yes"),9,IF(AND(S35=0,S36=0,S37=0,S38=0,S39=0,S40=0,S41=0,S42=0,S43="yes"),10,IF(AND(S35=0,S36=0,S37=0,S38=0,S39=0,S40=0,S41=0,S42=0,S43=0,S44="yes"),11,IF(AND(S35=0,S36=0,S37=0,S38=0,S39=0,S40=0,S41=0,S42=0,S43=0,S44=0,S45="yes"),12,""))))))))))))</f>
        <v/>
      </c>
      <c r="Y35" s="46"/>
    </row>
    <row r="36" spans="1:32" s="3653" customFormat="1" ht="11.25" hidden="1" customHeight="1" x14ac:dyDescent="0.2">
      <c r="A36" s="2189"/>
      <c r="B36" s="5382"/>
      <c r="C36" s="5382"/>
      <c r="D36" s="5382"/>
      <c r="E36" s="5382"/>
      <c r="F36" s="5382"/>
      <c r="G36" s="3622" t="e">
        <f>IF(#REF!=0,"",CONCATENATE("TRA16_",Y36))</f>
      </c>
      <c r="H36" s="2189"/>
      <c r="I36" s="3623" t="str">
        <f t="shared" si="10"/>
        <v/>
      </c>
      <c r="J36" s="2189"/>
      <c r="K36" s="3625"/>
      <c r="L36" s="2189"/>
      <c r="M36" s="2189"/>
      <c r="N36" s="2189"/>
      <c r="X36" s="46" t="str">
        <f t="shared" si="11"/>
        <v/>
      </c>
      <c r="Y36" s="46"/>
    </row>
    <row r="37" spans="1:32" s="3653" customFormat="1" ht="11.25" hidden="1" customHeight="1" x14ac:dyDescent="0.2">
      <c r="A37" s="2189"/>
      <c r="B37" s="5382"/>
      <c r="C37" s="5382"/>
      <c r="D37" s="5382"/>
      <c r="E37" s="5382"/>
      <c r="F37" s="5382"/>
      <c r="G37" s="3622" t="e">
        <f>IF(#REF!=0,"",CONCATENATE("TRA16_",Y37))</f>
      </c>
      <c r="H37" s="2189"/>
      <c r="I37" s="3623" t="str">
        <f t="shared" si="10"/>
        <v/>
      </c>
      <c r="J37" s="2189"/>
      <c r="K37" s="3625"/>
      <c r="L37" s="2189"/>
      <c r="M37" s="2189"/>
      <c r="N37" s="2189"/>
      <c r="X37" s="46" t="str">
        <f t="shared" si="11"/>
        <v/>
      </c>
      <c r="Y37" s="46"/>
    </row>
    <row r="38" spans="1:32" s="3653" customFormat="1" ht="11.25" hidden="1" customHeight="1" x14ac:dyDescent="0.2">
      <c r="A38" s="2189"/>
      <c r="B38" s="5382"/>
      <c r="C38" s="5382"/>
      <c r="D38" s="5382"/>
      <c r="E38" s="5382"/>
      <c r="F38" s="5382"/>
      <c r="G38" s="3622" t="e">
        <f>IF(#REF!=0,"",CONCATENATE("TRA16_",Y38))</f>
      </c>
      <c r="H38" s="2189"/>
      <c r="I38" s="3623" t="str">
        <f t="shared" si="10"/>
        <v/>
      </c>
      <c r="J38" s="2189"/>
      <c r="K38" s="3625"/>
      <c r="L38" s="2189"/>
      <c r="M38" s="2189"/>
      <c r="N38" s="2189"/>
      <c r="X38" s="46" t="str">
        <f t="shared" si="11"/>
        <v/>
      </c>
      <c r="Y38" s="46"/>
    </row>
    <row r="39" spans="1:32" s="3653" customFormat="1" ht="11.25" hidden="1" customHeight="1" x14ac:dyDescent="0.2">
      <c r="A39" s="2189"/>
      <c r="B39" s="5382"/>
      <c r="C39" s="5382"/>
      <c r="D39" s="5382"/>
      <c r="E39" s="5382"/>
      <c r="F39" s="5382"/>
      <c r="G39" s="3622" t="e">
        <f>IF(#REF!=0,"",CONCATENATE("TRA16_",Y39))</f>
      </c>
      <c r="H39" s="2189"/>
      <c r="I39" s="3623" t="str">
        <f t="shared" si="10"/>
        <v/>
      </c>
      <c r="J39" s="2189"/>
      <c r="K39" s="3625"/>
      <c r="L39" s="2189"/>
      <c r="M39" s="2189"/>
      <c r="N39" s="2189"/>
      <c r="X39" s="46" t="str">
        <f t="shared" si="11"/>
        <v/>
      </c>
      <c r="Y39" s="46"/>
    </row>
    <row r="40" spans="1:32" s="3653" customFormat="1" ht="11.25" hidden="1" customHeight="1" x14ac:dyDescent="0.2">
      <c r="A40" s="2189"/>
      <c r="B40" s="5382"/>
      <c r="C40" s="5382"/>
      <c r="D40" s="5382"/>
      <c r="E40" s="5382"/>
      <c r="F40" s="5382"/>
      <c r="G40" s="3622" t="e">
        <f>IF(#REF!=0,"",CONCATENATE("TRA16_",Y40))</f>
      </c>
      <c r="H40" s="2189"/>
      <c r="I40" s="3623" t="str">
        <f t="shared" si="10"/>
        <v/>
      </c>
      <c r="J40" s="2189"/>
      <c r="K40" s="3625"/>
      <c r="L40" s="2189"/>
      <c r="M40" s="2189"/>
      <c r="N40" s="2189"/>
      <c r="X40" s="46" t="str">
        <f t="shared" si="11"/>
        <v/>
      </c>
      <c r="Y40" s="46"/>
    </row>
    <row r="41" spans="1:32" s="3653" customFormat="1" ht="11.25" x14ac:dyDescent="0.2">
      <c r="A41" s="2189"/>
      <c r="B41" s="5381" t="s">
        <v>4468</v>
      </c>
      <c r="C41" s="5381"/>
      <c r="D41" s="5381"/>
      <c r="E41" s="5381"/>
      <c r="F41" s="5381"/>
      <c r="G41" s="3641" t="s">
        <v>5412</v>
      </c>
      <c r="H41" s="2189"/>
      <c r="I41" s="2189"/>
      <c r="J41" s="2189"/>
      <c r="K41" s="2189"/>
      <c r="L41" s="2189"/>
      <c r="M41" s="2189"/>
      <c r="N41" s="2189"/>
      <c r="R41" s="3653" t="s">
        <v>1025</v>
      </c>
      <c r="X41" s="46"/>
      <c r="Y41" s="46"/>
      <c r="Z41" s="46"/>
    </row>
    <row r="42" spans="1:32" s="3653" customFormat="1" ht="11.25" x14ac:dyDescent="0.2">
      <c r="A42" s="2189"/>
      <c r="B42" s="5383" t="str">
        <f>IF(AA42="","",AB42)</f>
        <v/>
      </c>
      <c r="C42" s="5383"/>
      <c r="D42" s="5383"/>
      <c r="E42" s="5383"/>
      <c r="F42" s="5383"/>
      <c r="G42" s="3647" t="str">
        <f t="shared" ref="G42:G53" si="12">IF(AA42=0,"",(CONCATENATE("TRA17_",AA42)))</f>
        <v/>
      </c>
      <c r="H42" s="3624" t="str">
        <f>IF(AA42=0,"",AC42)</f>
        <v/>
      </c>
      <c r="I42" s="3624" t="str">
        <f>IF(AA42=0,"",AD42)</f>
        <v/>
      </c>
      <c r="J42" s="3624" t="str">
        <f>IF(AA42=0,"",AE42)</f>
        <v/>
      </c>
      <c r="K42" s="3624" t="str">
        <f>IF(AA42=0,"",AF42)</f>
        <v/>
      </c>
      <c r="L42" s="2189"/>
      <c r="M42" s="2189"/>
      <c r="N42" s="2189"/>
      <c r="Q42" s="1591">
        <v>1</v>
      </c>
      <c r="R42" s="1591">
        <f>'TRA17'!$F$7</f>
      </c>
      <c r="S42" s="1591">
        <f t="shared" ref="S42:S53" si="13">IF(R42="yes",1,0)</f>
      </c>
      <c r="T42" s="1591" t="str">
        <f t="shared" ref="T42:T53" si="14">CONCATENATE(Q42,",",S42)</f>
      </c>
      <c r="U42" s="3643">
        <f>'TRA17'!$E$20</f>
      </c>
      <c r="V42" s="1591" t="str">
        <f>'TRA17'!$F$45</f>
        <v/>
      </c>
      <c r="W42" s="1591" t="str">
        <f>'TRA17'!$G$45</f>
        <v/>
      </c>
      <c r="X42" s="1591" t="str">
        <f>'TRA17'!$H$45</f>
        <v/>
      </c>
      <c r="Y42" s="1591" t="str">
        <f>'TRA17'!$I$45</f>
        <v/>
      </c>
      <c r="Z42" s="46">
        <f>IF(ISERROR(MATCH("1,1",$T$42:$T$53,0))=FALSE,1,IF(ISERROR(MATCH("2,1",$T$42:$T$53,0))=FALSE,2,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2" s="3649">
        <f>IF($Z$42&gt;0,Z42,IF(ISERROR(INDEX($Z$42:$Z$53,MATCH(Z42,$Z$42:$Z$53,0)+COUNTIF($Z$42:$Z$53,Z42)))=TRUE,0,(INDEX($Z$42:$Z$53,MATCH(Z42,$Z$42:$Z$53,0)+COUNTIF($Z$42:$Z$53,Z42)))))</f>
      </c>
      <c r="AB42" s="1591" t="str">
        <f>IF(ISERROR(VLOOKUP(AA42,$Q$42:$Y$53,5,FALSE))=TRUE,"",(VLOOKUP(AA42,$Q$42:$Y$53,5,FALSE)))</f>
        <v/>
      </c>
      <c r="AC42" s="1591" t="str">
        <f>IF(ISERROR(VLOOKUP(AA42,$Q$42:$Y$53,6,FALSE))=TRUE,"",(VLOOKUP(AA42,$Q$42:$Y$53,6,FALSE)))</f>
        <v/>
      </c>
      <c r="AD42" s="1591" t="str">
        <f>IF(ISERROR(VLOOKUP(AA42,$Q$42:$Y$53,7,FALSE))=TRUE,"",(VLOOKUP(AA42,$Q$42:$Y$53,7,FALSE)))</f>
        <v/>
      </c>
      <c r="AE42" s="1591" t="str">
        <f>IF(ISERROR(VLOOKUP(AA42,$Q$42:$Y$53,8,FALSE))=TRUE,"",(VLOOKUP(AA42,$Q$42:$Y$53,8,FALSE)))</f>
        <v/>
      </c>
      <c r="AF42" s="1591" t="str">
        <f>IF(ISERROR(VLOOKUP(AA42,$Q$42:$Y$53,9,FALSE))=TRUE,"",(VLOOKUP(AA42,$Q$42:$Y$53,9,FALSE)))</f>
        <v/>
      </c>
    </row>
    <row r="43" spans="1:32" s="3653" customFormat="1" ht="11.25" x14ac:dyDescent="0.2">
      <c r="A43" s="2189"/>
      <c r="B43" s="5383" t="str">
        <f t="shared" ref="B43:B53" si="15">IF(AA43="","",AB43)</f>
        <v/>
      </c>
      <c r="C43" s="5383"/>
      <c r="D43" s="5383"/>
      <c r="E43" s="5383"/>
      <c r="F43" s="5383"/>
      <c r="G43" s="3647" t="str">
        <f t="shared" si="12"/>
        <v/>
      </c>
      <c r="H43" s="3624" t="str">
        <f t="shared" ref="H43:H53" si="16">IF(AA43=0,"",AC43)</f>
        <v/>
      </c>
      <c r="I43" s="3624" t="str">
        <f t="shared" ref="I43:I53" si="17">IF(AA43=0,"",AD43)</f>
        <v/>
      </c>
      <c r="J43" s="3624" t="str">
        <f t="shared" ref="J43:J53" si="18">IF(AA43=0,"",AE43)</f>
        <v/>
      </c>
      <c r="K43" s="3624" t="str">
        <f t="shared" ref="K43:K53" si="19">IF(AA43=0,"",AF43)</f>
        <v/>
      </c>
      <c r="L43" s="2189"/>
      <c r="M43" s="2189"/>
      <c r="N43" s="2189"/>
      <c r="Q43" s="1591">
        <v>2</v>
      </c>
      <c r="R43" s="1591">
        <f>'TRA17'!$F$55</f>
      </c>
      <c r="S43" s="1591">
        <f t="shared" si="13"/>
        <v>0</v>
      </c>
      <c r="T43" s="1591" t="str">
        <f t="shared" si="14"/>
        <v>2,0</v>
      </c>
      <c r="U43" s="3643">
        <f>'TRA17'!$E$68</f>
      </c>
      <c r="V43" s="1591" t="str">
        <f>'TRA17'!$F$93</f>
        <v/>
      </c>
      <c r="W43" s="1591" t="str">
        <f>'TRA17'!$G$93</f>
        <v/>
      </c>
      <c r="X43" s="1591" t="str">
        <f>'TRA17'!$H$93</f>
        <v/>
      </c>
      <c r="Y43" s="1591" t="str">
        <f>'TRA17'!$I$93</f>
        <v/>
      </c>
      <c r="Z43" s="46">
        <f>IF(ISERROR(MATCH("2,1",$T$42:$T$53,0))=FALSE,2,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3" s="3649">
        <f>IF(ISERROR(INDEX($Z$42:$Z$53,MATCH(AA42,$Z$42:$Z$53,0)+COUNTIF($Z$42:$Z$53,AA42)))=TRUE,0,(INDEX($Z$42:$Z$53,MATCH(AA42,$Z$42:$Z$53,0)+COUNTIF($Z$42:$Z$53,AA42))))</f>
      </c>
      <c r="AB43" s="1591" t="str">
        <f>IF(ISERROR(VLOOKUP(AA43,$Q$42:$Y$53,5,FALSE))=TRUE,"",(VLOOKUP(AA43,$Q$42:$Y$53,5,FALSE)))</f>
        <v/>
      </c>
      <c r="AC43" s="1591" t="str">
        <f>IF(ISERROR(VLOOKUP(AA43,$Q$42:$Y$53,6,FALSE))=TRUE,"",(VLOOKUP(AA43,$Q$42:$Y$53,6,FALSE)))</f>
        <v/>
      </c>
      <c r="AD43" s="1591" t="str">
        <f t="shared" ref="AD43:AD53" si="20">IF(ISERROR(VLOOKUP(AA43,$Q$42:$Y$53,7,FALSE))=TRUE,"",(VLOOKUP(AA43,$Q$42:$Y$53,7,FALSE)))</f>
        <v/>
      </c>
      <c r="AE43" s="1591" t="str">
        <f t="shared" ref="AE43:AE53" si="21">IF(ISERROR(VLOOKUP(AA43,$Q$42:$Y$53,8,FALSE))=TRUE,"",(VLOOKUP(AA43,$Q$42:$Y$53,8,FALSE)))</f>
        <v/>
      </c>
      <c r="AF43" s="1591" t="str">
        <f t="shared" ref="AF43:AF53" si="22">IF(ISERROR(VLOOKUP(AA43,$Q$42:$Y$53,9,FALSE))=TRUE,"",(VLOOKUP(AA43,$Q$42:$Y$53,9,FALSE)))</f>
        <v/>
      </c>
    </row>
    <row r="44" spans="1:32" s="3653" customFormat="1" ht="11.25" x14ac:dyDescent="0.2">
      <c r="A44" s="2189"/>
      <c r="B44" s="5383" t="str">
        <f t="shared" si="15"/>
        <v/>
      </c>
      <c r="C44" s="5383"/>
      <c r="D44" s="5383"/>
      <c r="E44" s="5383"/>
      <c r="F44" s="5383"/>
      <c r="G44" s="3647" t="str">
        <f t="shared" si="12"/>
        <v/>
      </c>
      <c r="H44" s="3624" t="str">
        <f t="shared" si="16"/>
        <v/>
      </c>
      <c r="I44" s="3624" t="str">
        <f t="shared" si="17"/>
        <v/>
      </c>
      <c r="J44" s="3624" t="str">
        <f t="shared" si="18"/>
        <v/>
      </c>
      <c r="K44" s="3624" t="str">
        <f t="shared" si="19"/>
        <v/>
      </c>
      <c r="L44" s="2189"/>
      <c r="M44" s="2189"/>
      <c r="N44" s="2189"/>
      <c r="Q44" s="1591">
        <v>3</v>
      </c>
      <c r="R44" s="1591">
        <f>'TRA17'!$F$103</f>
      </c>
      <c r="S44" s="1591">
        <f t="shared" si="13"/>
        <v>0</v>
      </c>
      <c r="T44" s="1591" t="str">
        <f t="shared" si="14"/>
        <v>3,0</v>
      </c>
      <c r="U44" s="3643">
        <f>'TRA17'!$E$116</f>
      </c>
      <c r="V44" s="1591" t="str">
        <f>'TRA17'!$F$141</f>
        <v/>
      </c>
      <c r="W44" s="1591" t="str">
        <f>'TRA17'!$G$141</f>
        <v/>
      </c>
      <c r="X44" s="1591" t="str">
        <f>'TRA17'!$H$141</f>
        <v/>
      </c>
      <c r="Y44" s="1591" t="str">
        <f>'TRA17'!$I$141</f>
        <v/>
      </c>
      <c r="Z44" s="46">
        <f>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4" s="3649">
        <f t="shared" ref="AA44:AA53" si="23">IF(ISERROR(INDEX($Z$42:$Z$53,MATCH(AA43,$Z$42:$Z$53,0)+COUNTIF($Z$42:$Z$53,AA43)))=TRUE,0,(INDEX($Z$42:$Z$53,MATCH(AA43,$Z$42:$Z$53,0)+COUNTIF($Z$42:$Z$53,AA43))))</f>
      </c>
      <c r="AB44" s="1591" t="str">
        <f t="shared" ref="AB44:AB53" si="24">IF(ISERROR(VLOOKUP(AA44,$Q$42:$Y$53,5,FALSE))=TRUE,"",(VLOOKUP(AA44,$Q$42:$Y$53,5,FALSE)))</f>
        <v/>
      </c>
      <c r="AC44" s="1591" t="str">
        <f>IF(ISERROR(VLOOKUP(AA44,$Q$42:$Y$53,6,FALSE))=TRUE,"",(VLOOKUP(AA44,$Q$42:$Y$53,6,FALSE)))</f>
        <v/>
      </c>
      <c r="AD44" s="1591" t="str">
        <f t="shared" si="20"/>
        <v/>
      </c>
      <c r="AE44" s="1591" t="str">
        <f t="shared" si="21"/>
        <v/>
      </c>
      <c r="AF44" s="1591" t="str">
        <f t="shared" si="22"/>
        <v/>
      </c>
    </row>
    <row r="45" spans="1:32" s="3653" customFormat="1" ht="11.25" x14ac:dyDescent="0.2">
      <c r="A45" s="2189"/>
      <c r="B45" s="5383" t="str">
        <f t="shared" si="15"/>
        <v/>
      </c>
      <c r="C45" s="5383"/>
      <c r="D45" s="5383"/>
      <c r="E45" s="5383"/>
      <c r="F45" s="5383"/>
      <c r="G45" s="3647" t="str">
        <f t="shared" si="12"/>
        <v/>
      </c>
      <c r="H45" s="3624" t="str">
        <f t="shared" si="16"/>
        <v/>
      </c>
      <c r="I45" s="3624" t="str">
        <f t="shared" si="17"/>
        <v/>
      </c>
      <c r="J45" s="3624" t="str">
        <f t="shared" si="18"/>
        <v/>
      </c>
      <c r="K45" s="3624" t="str">
        <f t="shared" si="19"/>
        <v/>
      </c>
      <c r="L45" s="2189"/>
      <c r="M45" s="2189"/>
      <c r="N45" s="2189"/>
      <c r="Q45" s="1591">
        <v>4</v>
      </c>
      <c r="R45" s="1591">
        <f>'TRA17'!$F$151</f>
      </c>
      <c r="S45" s="1591">
        <f t="shared" si="13"/>
        <v>0</v>
      </c>
      <c r="T45" s="1591" t="str">
        <f t="shared" si="14"/>
        <v>4,0</v>
      </c>
      <c r="U45" s="3643">
        <f>'TRA17'!$E$164</f>
      </c>
      <c r="V45" s="1591" t="str">
        <f>'TRA17'!$F$189</f>
        <v/>
      </c>
      <c r="W45" s="1591" t="str">
        <f>'TRA17'!$G$189</f>
        <v/>
      </c>
      <c r="X45" s="1591" t="str">
        <f>'TRA17'!$H$189</f>
        <v/>
      </c>
      <c r="Y45" s="1591" t="str">
        <f>'TRA17'!$I$189</f>
        <v/>
      </c>
      <c r="Z45" s="46">
        <f>IF(ISERROR(MATCH("4,1",$T$42:$T$53,0))=FALSE,4,IF(ISERROR(MATCH("5,1",$T$42:$T$53,0))=FALSE,5,IF(ISERROR(MATCH("6,1",$T$42:$T$53,0))=FALSE,6,IF(ISERROR(MATCH("7,1",$T$42:$T$53,0))=FALSE,7,IF(ISERROR(MATCH("8,1",$T$42:$T$53,0))=FALSE,8,IF(ISERROR(MATCH("9,1",$T$42:$T$53,0))=FALSE,9,IF(ISERROR(MATCH("10,1",$T$42:$T$53,0))=FALSE,10,IF(ISERROR(MATCH("11,1",$T$42:$T$53,0))=FALSE,11,IF(ISERROR(MATCH("12,1",$T$42:$T$53,0))=FALSE,12,0)))))))))</f>
      </c>
      <c r="AA45" s="3649">
        <f t="shared" si="23"/>
        <v>0</v>
      </c>
      <c r="AB45" s="1591" t="str">
        <f t="shared" si="24"/>
        <v/>
      </c>
      <c r="AC45" s="1591" t="str">
        <f>IF(ISERROR(VLOOKUP(AA45,$Q$42:$Y$53,6,FALSE))=TRUE,"",(VLOOKUP(AA45,$Q$42:$Y$53,6,FALSE)))</f>
        <v/>
      </c>
      <c r="AD45" s="1591" t="str">
        <f t="shared" si="20"/>
        <v/>
      </c>
      <c r="AE45" s="1591" t="str">
        <f t="shared" si="21"/>
        <v/>
      </c>
      <c r="AF45" s="1591" t="str">
        <f t="shared" si="22"/>
        <v/>
      </c>
    </row>
    <row r="46" spans="1:32" s="3653" customFormat="1" ht="11.25" x14ac:dyDescent="0.2">
      <c r="A46" s="2189"/>
      <c r="B46" s="5383" t="str">
        <f t="shared" si="15"/>
        <v/>
      </c>
      <c r="C46" s="5383"/>
      <c r="D46" s="5383"/>
      <c r="E46" s="5383"/>
      <c r="F46" s="5383"/>
      <c r="G46" s="3647" t="str">
        <f t="shared" si="12"/>
        <v/>
      </c>
      <c r="H46" s="3624" t="str">
        <f t="shared" si="16"/>
        <v/>
      </c>
      <c r="I46" s="3624" t="str">
        <f t="shared" si="17"/>
        <v/>
      </c>
      <c r="J46" s="3624" t="str">
        <f t="shared" si="18"/>
        <v/>
      </c>
      <c r="K46" s="3624" t="str">
        <f t="shared" si="19"/>
        <v/>
      </c>
      <c r="L46" s="2189"/>
      <c r="M46" s="2189"/>
      <c r="N46" s="2189"/>
      <c r="Q46" s="1591">
        <v>5</v>
      </c>
      <c r="R46" s="1591">
        <f>'TRA17'!$F$199</f>
      </c>
      <c r="S46" s="1591">
        <f t="shared" si="13"/>
        <v>0</v>
      </c>
      <c r="T46" s="1591" t="str">
        <f t="shared" si="14"/>
        <v>5,0</v>
      </c>
      <c r="U46" s="3643">
        <f>'TRA17'!$E$212</f>
      </c>
      <c r="V46" s="1591" t="str">
        <f>'TRA17'!$F$237</f>
        <v/>
      </c>
      <c r="W46" s="1591" t="str">
        <f>'TRA17'!$G$237</f>
        <v/>
      </c>
      <c r="X46" s="1591" t="str">
        <f>'TRA17'!$H$237</f>
        <v/>
      </c>
      <c r="Y46" s="1591" t="str">
        <f>'TRA17'!$I$237</f>
        <v/>
      </c>
      <c r="Z46" s="46">
        <f>IF(ISERROR(MATCH("5,1",$T$42:$T$53,0))=FALSE,5,IF(ISERROR(MATCH("6,1",$T$42:$T$53,0))=FALSE,6,IF(ISERROR(MATCH("7,1",$T$42:$T$53,0))=FALSE,7,IF(ISERROR(MATCH("8,1",$T$42:$T$53,0))=FALSE,8,IF(ISERROR(MATCH("9,1",$T$42:$T$53,0))=FALSE,9,IF(ISERROR(MATCH("10,1",$T$42:$T$53,0))=FALSE,10,IF(ISERROR(MATCH("11,1",$T$42:$T$53,0))=FALSE,11,IF(ISERROR(MATCH("12,1",$T$42:$T$53,0))=FALSE,12,0))))))))</f>
      </c>
      <c r="AA46" s="3649">
        <f t="shared" si="23"/>
        <v>0</v>
      </c>
      <c r="AB46" s="1591" t="str">
        <f t="shared" si="24"/>
        <v/>
      </c>
      <c r="AC46" s="1591" t="str">
        <f t="shared" ref="AC46:AC53" si="25">IF(ISERROR(VLOOKUP(AA46,$Q$42:$Y$53,6,FALSE))=TRUE,"",(VLOOKUP(AA46,$Q$42:$Y$53,6,FALSE)))</f>
        <v/>
      </c>
      <c r="AD46" s="1591" t="str">
        <f t="shared" si="20"/>
        <v/>
      </c>
      <c r="AE46" s="1591" t="str">
        <f t="shared" si="21"/>
        <v/>
      </c>
      <c r="AF46" s="1591" t="str">
        <f t="shared" si="22"/>
        <v/>
      </c>
    </row>
    <row r="47" spans="1:32" s="3653" customFormat="1" ht="11.25" x14ac:dyDescent="0.2">
      <c r="A47" s="2189"/>
      <c r="B47" s="5383" t="str">
        <f t="shared" si="15"/>
        <v/>
      </c>
      <c r="C47" s="5383"/>
      <c r="D47" s="5383"/>
      <c r="E47" s="5383"/>
      <c r="F47" s="5383"/>
      <c r="G47" s="3647" t="str">
        <f t="shared" si="12"/>
        <v/>
      </c>
      <c r="H47" s="3624" t="str">
        <f t="shared" si="16"/>
        <v/>
      </c>
      <c r="I47" s="3624" t="str">
        <f t="shared" si="17"/>
        <v/>
      </c>
      <c r="J47" s="3624" t="str">
        <f t="shared" si="18"/>
        <v/>
      </c>
      <c r="K47" s="3624" t="str">
        <f t="shared" si="19"/>
        <v/>
      </c>
      <c r="L47" s="2189"/>
      <c r="M47" s="2189"/>
      <c r="N47" s="2189"/>
      <c r="Q47" s="1591">
        <v>6</v>
      </c>
      <c r="R47" s="1591">
        <f>'TRA17'!$F$247</f>
      </c>
      <c r="S47" s="1591">
        <f t="shared" si="13"/>
        <v>0</v>
      </c>
      <c r="T47" s="1591" t="str">
        <f t="shared" si="14"/>
        <v>6,0</v>
      </c>
      <c r="U47" s="3643">
        <f>'TRA17'!$E$260</f>
      </c>
      <c r="V47" s="1591" t="str">
        <f>'TRA17'!$F$285</f>
        <v/>
      </c>
      <c r="W47" s="1591" t="str">
        <f>'TRA17'!$G$285</f>
        <v/>
      </c>
      <c r="X47" s="1591" t="str">
        <f>'TRA17'!$H$285</f>
        <v/>
      </c>
      <c r="Y47" s="1591" t="str">
        <f>'TRA17'!$I$285</f>
        <v/>
      </c>
      <c r="Z47" s="46">
        <f>IF(ISERROR(MATCH("6,1",$T$42:$T$53,0))=FALSE,6,IF(ISERROR(MATCH("7,1",$T$42:$T$53,0))=FALSE,7,IF(ISERROR(MATCH("8,1",$T$42:$T$53,0))=FALSE,8,IF(ISERROR(MATCH("9,1",$T$42:$T$53,0))=FALSE,9,IF(ISERROR(MATCH("10,1",$T$42:$T$53,0))=FALSE,10,IF(ISERROR(MATCH("11,1",$T$42:$T$53,0))=FALSE,11,IF(ISERROR(MATCH("12,1",$T$42:$T$53,0))=FALSE,12,0)))))))</f>
      </c>
      <c r="AA47" s="3649">
        <f t="shared" si="23"/>
        <v>0</v>
      </c>
      <c r="AB47" s="1591" t="str">
        <f t="shared" si="24"/>
        <v/>
      </c>
      <c r="AC47" s="1591" t="str">
        <f t="shared" si="25"/>
        <v/>
      </c>
      <c r="AD47" s="1591" t="str">
        <f t="shared" si="20"/>
        <v/>
      </c>
      <c r="AE47" s="1591" t="str">
        <f t="shared" si="21"/>
        <v/>
      </c>
      <c r="AF47" s="1591" t="str">
        <f t="shared" si="22"/>
        <v/>
      </c>
    </row>
    <row r="48" spans="1:32" s="3653" customFormat="1" ht="11.25" x14ac:dyDescent="0.2">
      <c r="A48" s="2189"/>
      <c r="B48" s="5383" t="str">
        <f t="shared" si="15"/>
        <v/>
      </c>
      <c r="C48" s="5383"/>
      <c r="D48" s="5383"/>
      <c r="E48" s="5383"/>
      <c r="F48" s="5383"/>
      <c r="G48" s="3647" t="str">
        <f t="shared" si="12"/>
        <v/>
      </c>
      <c r="H48" s="3624" t="str">
        <f t="shared" si="16"/>
        <v/>
      </c>
      <c r="I48" s="3624" t="str">
        <f t="shared" si="17"/>
        <v/>
      </c>
      <c r="J48" s="3624" t="str">
        <f t="shared" si="18"/>
        <v/>
      </c>
      <c r="K48" s="3624" t="str">
        <f t="shared" si="19"/>
        <v/>
      </c>
      <c r="L48" s="2189"/>
      <c r="M48" s="2189"/>
      <c r="N48" s="2189"/>
      <c r="Q48" s="1591">
        <v>7</v>
      </c>
      <c r="R48" s="1591">
        <f>'TRA17'!$F$295</f>
      </c>
      <c r="S48" s="1591">
        <f t="shared" si="13"/>
        <v>0</v>
      </c>
      <c r="T48" s="1591" t="str">
        <f t="shared" si="14"/>
        <v>7,0</v>
      </c>
      <c r="U48" s="3643">
        <f>'TRA17'!$E$308</f>
      </c>
      <c r="V48" s="1591" t="str">
        <f>'TRA17'!$F$333</f>
        <v/>
      </c>
      <c r="W48" s="1591" t="str">
        <f>'TRA17'!$G$333</f>
        <v/>
      </c>
      <c r="X48" s="1591" t="str">
        <f>'TRA17'!$H$333</f>
        <v/>
      </c>
      <c r="Y48" s="1591" t="str">
        <f>'TRA17'!$I$333</f>
        <v/>
      </c>
      <c r="Z48" s="46">
        <f>IF(ISERROR(MATCH("7,1",$T$42:$T$53,0))=FALSE,7,IF(ISERROR(MATCH("8,1",$T$42:$T$53,0))=FALSE,8,IF(ISERROR(MATCH("9,1",$T$42:$T$53,0))=FALSE,9,IF(ISERROR(MATCH("10,1",$T$42:$T$53,0))=FALSE,10,IF(ISERROR(MATCH("11,1",$T$42:$T$53,0))=FALSE,11,IF(ISERROR(MATCH("12,1",$T$42:$T$53,0))=FALSE,12,0))))))</f>
      </c>
      <c r="AA48" s="3649">
        <f t="shared" si="23"/>
        <v>0</v>
      </c>
      <c r="AB48" s="1591" t="str">
        <f t="shared" si="24"/>
        <v/>
      </c>
      <c r="AC48" s="1591" t="str">
        <f t="shared" si="25"/>
        <v/>
      </c>
      <c r="AD48" s="1591" t="str">
        <f t="shared" si="20"/>
        <v/>
      </c>
      <c r="AE48" s="1591" t="str">
        <f t="shared" si="21"/>
        <v/>
      </c>
      <c r="AF48" s="1591" t="str">
        <f t="shared" si="22"/>
        <v/>
      </c>
    </row>
    <row r="49" spans="1:32" s="3653" customFormat="1" ht="11.25" x14ac:dyDescent="0.2">
      <c r="A49" s="2189"/>
      <c r="B49" s="5383" t="str">
        <f t="shared" si="15"/>
        <v/>
      </c>
      <c r="C49" s="5383"/>
      <c r="D49" s="5383"/>
      <c r="E49" s="5383"/>
      <c r="F49" s="5383"/>
      <c r="G49" s="3647" t="str">
        <f t="shared" si="12"/>
        <v/>
      </c>
      <c r="H49" s="3624" t="str">
        <f t="shared" si="16"/>
        <v/>
      </c>
      <c r="I49" s="3624" t="str">
        <f t="shared" si="17"/>
        <v/>
      </c>
      <c r="J49" s="3624" t="str">
        <f t="shared" si="18"/>
        <v/>
      </c>
      <c r="K49" s="3624" t="str">
        <f t="shared" si="19"/>
        <v/>
      </c>
      <c r="L49" s="2189"/>
      <c r="M49" s="2189"/>
      <c r="N49" s="2189"/>
      <c r="Q49" s="1591">
        <v>8</v>
      </c>
      <c r="R49" s="1591">
        <f>'TRA17'!$F$343</f>
      </c>
      <c r="S49" s="1591">
        <f t="shared" si="13"/>
        <v>0</v>
      </c>
      <c r="T49" s="1591" t="str">
        <f t="shared" si="14"/>
        <v>8,0</v>
      </c>
      <c r="U49" s="3643">
        <f>'TRA17'!$E$356</f>
      </c>
      <c r="V49" s="1591" t="str">
        <f>'TRA17'!$F$381</f>
        <v/>
      </c>
      <c r="W49" s="1591" t="str">
        <f>'TRA17'!$G$381</f>
        <v/>
      </c>
      <c r="X49" s="1591" t="str">
        <f>'TRA17'!$H$381</f>
        <v/>
      </c>
      <c r="Y49" s="1591" t="str">
        <f>'TRA17'!$I$381</f>
        <v/>
      </c>
      <c r="Z49" s="46">
        <f>IF(ISERROR(MATCH("8,1",$T$42:$T$53,0))=FALSE,8,IF(ISERROR(MATCH("9,1",$T$42:$T$53,0))=FALSE,9,IF(ISERROR(MATCH("10,1",$T$42:$T$53,0))=FALSE,10,IF(ISERROR(MATCH("11,1",$T$42:$T$53,0))=FALSE,11,IF(ISERROR(MATCH("12,1",$T$42:$T$53,0))=FALSE,12,0)))))</f>
      </c>
      <c r="AA49" s="3649">
        <f t="shared" si="23"/>
        <v>0</v>
      </c>
      <c r="AB49" s="1591" t="str">
        <f t="shared" si="24"/>
        <v/>
      </c>
      <c r="AC49" s="1591" t="str">
        <f t="shared" si="25"/>
        <v/>
      </c>
      <c r="AD49" s="1591" t="str">
        <f t="shared" si="20"/>
        <v/>
      </c>
      <c r="AE49" s="1591" t="str">
        <f t="shared" si="21"/>
        <v/>
      </c>
      <c r="AF49" s="1591" t="str">
        <f t="shared" si="22"/>
        <v/>
      </c>
    </row>
    <row r="50" spans="1:32" s="3653" customFormat="1" ht="11.25" x14ac:dyDescent="0.2">
      <c r="A50" s="2189"/>
      <c r="B50" s="5383" t="str">
        <f t="shared" si="15"/>
        <v/>
      </c>
      <c r="C50" s="5383"/>
      <c r="D50" s="5383"/>
      <c r="E50" s="5383"/>
      <c r="F50" s="5383"/>
      <c r="G50" s="3647" t="str">
        <f t="shared" si="12"/>
        <v/>
      </c>
      <c r="H50" s="3624" t="str">
        <f t="shared" si="16"/>
        <v/>
      </c>
      <c r="I50" s="3624" t="str">
        <f t="shared" si="17"/>
        <v/>
      </c>
      <c r="J50" s="3624" t="str">
        <f t="shared" si="18"/>
        <v/>
      </c>
      <c r="K50" s="3624" t="str">
        <f t="shared" si="19"/>
        <v/>
      </c>
      <c r="L50" s="2189"/>
      <c r="M50" s="2189"/>
      <c r="N50" s="2189"/>
      <c r="Q50" s="1591">
        <v>9</v>
      </c>
      <c r="R50" s="1591">
        <f>'TRA17'!$F$391</f>
      </c>
      <c r="S50" s="1591">
        <f t="shared" si="13"/>
        <v>0</v>
      </c>
      <c r="T50" s="1591" t="str">
        <f t="shared" si="14"/>
        <v>9,0</v>
      </c>
      <c r="U50" s="3643">
        <f>'TRA17'!$E$404</f>
      </c>
      <c r="V50" s="1591" t="str">
        <f>'TRA17'!$F$429</f>
        <v/>
      </c>
      <c r="W50" s="1591" t="str">
        <f>'TRA17'!$G$429</f>
        <v/>
      </c>
      <c r="X50" s="1591" t="str">
        <f>'TRA17'!$H$429</f>
        <v/>
      </c>
      <c r="Y50" s="1591" t="str">
        <f>'TRA17'!$I$429</f>
        <v/>
      </c>
      <c r="Z50" s="46">
        <f>IF(ISERROR(MATCH("9,1",$T$42:$T$53,0))=FALSE,9,IF(ISERROR(MATCH("10,1",$T$42:$T$53,0))=FALSE,10,IF(ISERROR(MATCH("11,1",$T$42:$T$53,0))=FALSE,11,IF(ISERROR(MATCH("12,1",$T$42:$T$53,0))=FALSE,12,0))))</f>
      </c>
      <c r="AA50" s="3649">
        <f t="shared" si="23"/>
        <v>0</v>
      </c>
      <c r="AB50" s="1591" t="str">
        <f t="shared" si="24"/>
        <v/>
      </c>
      <c r="AC50" s="1591" t="str">
        <f t="shared" si="25"/>
        <v/>
      </c>
      <c r="AD50" s="1591" t="str">
        <f t="shared" si="20"/>
        <v/>
      </c>
      <c r="AE50" s="1591" t="str">
        <f t="shared" si="21"/>
        <v/>
      </c>
      <c r="AF50" s="1591" t="str">
        <f t="shared" si="22"/>
        <v/>
      </c>
    </row>
    <row r="51" spans="1:32" s="3653" customFormat="1" ht="11.25" x14ac:dyDescent="0.2">
      <c r="A51" s="2189"/>
      <c r="B51" s="5383" t="str">
        <f t="shared" si="15"/>
        <v/>
      </c>
      <c r="C51" s="5383"/>
      <c r="D51" s="5383"/>
      <c r="E51" s="5383"/>
      <c r="F51" s="5383"/>
      <c r="G51" s="3647" t="str">
        <f t="shared" si="12"/>
        <v/>
      </c>
      <c r="H51" s="3624" t="str">
        <f t="shared" si="16"/>
        <v/>
      </c>
      <c r="I51" s="3624" t="str">
        <f t="shared" si="17"/>
        <v/>
      </c>
      <c r="J51" s="3624" t="str">
        <f t="shared" si="18"/>
        <v/>
      </c>
      <c r="K51" s="3624" t="str">
        <f t="shared" si="19"/>
        <v/>
      </c>
      <c r="L51" s="2189"/>
      <c r="M51" s="2189"/>
      <c r="N51" s="2189"/>
      <c r="Q51" s="1591">
        <v>10</v>
      </c>
      <c r="R51" s="1591">
        <f>'TRA17'!$F$439</f>
      </c>
      <c r="S51" s="1591">
        <f t="shared" si="13"/>
        <v>0</v>
      </c>
      <c r="T51" s="1591" t="str">
        <f t="shared" si="14"/>
        <v>10,0</v>
      </c>
      <c r="U51" s="3643">
        <f>'TRA17'!$E$452</f>
      </c>
      <c r="V51" s="1591" t="str">
        <f>'TRA17'!$F$477</f>
        <v/>
      </c>
      <c r="W51" s="1591" t="str">
        <f>'TRA17'!$G$477</f>
        <v/>
      </c>
      <c r="X51" s="1591" t="str">
        <f>'TRA17'!$H$477</f>
        <v/>
      </c>
      <c r="Y51" s="1591" t="str">
        <f>'TRA17'!$I$477</f>
        <v/>
      </c>
      <c r="Z51" s="46">
        <f>IF(ISERROR(MATCH("10,1",$T$42:$T$53,0))=FALSE,10,IF(ISERROR(MATCH("11,1",$T$42:$T$53,0))=FALSE,11,IF(ISERROR(MATCH("12,1",$T$42:$T$53,0))=FALSE,12,0)))</f>
      </c>
      <c r="AA51" s="3649">
        <f t="shared" si="23"/>
        <v>0</v>
      </c>
      <c r="AB51" s="1591" t="str">
        <f t="shared" si="24"/>
        <v/>
      </c>
      <c r="AC51" s="1591" t="str">
        <f t="shared" si="25"/>
        <v/>
      </c>
      <c r="AD51" s="1591" t="str">
        <f t="shared" si="20"/>
        <v/>
      </c>
      <c r="AE51" s="1591" t="str">
        <f t="shared" si="21"/>
        <v/>
      </c>
      <c r="AF51" s="1591" t="str">
        <f t="shared" si="22"/>
        <v/>
      </c>
    </row>
    <row r="52" spans="1:32" s="3653" customFormat="1" ht="11.25" x14ac:dyDescent="0.2">
      <c r="A52" s="2189"/>
      <c r="B52" s="5383" t="str">
        <f t="shared" si="15"/>
        <v/>
      </c>
      <c r="C52" s="5383"/>
      <c r="D52" s="5383"/>
      <c r="E52" s="5383"/>
      <c r="F52" s="5383"/>
      <c r="G52" s="3647" t="str">
        <f t="shared" si="12"/>
        <v/>
      </c>
      <c r="H52" s="3624" t="str">
        <f t="shared" si="16"/>
        <v/>
      </c>
      <c r="I52" s="3624" t="str">
        <f t="shared" si="17"/>
        <v/>
      </c>
      <c r="J52" s="3624" t="str">
        <f t="shared" si="18"/>
        <v/>
      </c>
      <c r="K52" s="3624" t="str">
        <f t="shared" si="19"/>
        <v/>
      </c>
      <c r="L52" s="2189"/>
      <c r="M52" s="2189"/>
      <c r="N52" s="2189"/>
      <c r="Q52" s="3642">
        <v>11</v>
      </c>
      <c r="R52" s="1591">
        <f>'TRA17'!$F$487</f>
      </c>
      <c r="S52" s="1591">
        <f t="shared" si="13"/>
        <v>0</v>
      </c>
      <c r="T52" s="1591" t="str">
        <f t="shared" si="14"/>
        <v>11,0</v>
      </c>
      <c r="U52" s="3643">
        <f>'TRA17'!$E$500</f>
      </c>
      <c r="V52" s="1591" t="str">
        <f>'TRA17'!$F$525</f>
        <v/>
      </c>
      <c r="W52" s="1591" t="str">
        <f>'TRA17'!$G$525</f>
        <v/>
      </c>
      <c r="X52" s="1591" t="str">
        <f>'TRA17'!$H$525</f>
        <v/>
      </c>
      <c r="Y52" s="1591" t="str">
        <f>'TRA17'!$I$525</f>
        <v/>
      </c>
      <c r="Z52" s="46">
        <f>IF(ISERROR(MATCH("11,1",$T$42:$T$53,0))=FALSE,11,IF(ISERROR(MATCH("12,1",$T$42:$T$53,0))=FALSE,12,0))</f>
      </c>
      <c r="AA52" s="3649">
        <f t="shared" si="23"/>
        <v>0</v>
      </c>
      <c r="AB52" s="1591" t="str">
        <f t="shared" si="24"/>
        <v/>
      </c>
      <c r="AC52" s="1591" t="str">
        <f t="shared" si="25"/>
        <v/>
      </c>
      <c r="AD52" s="1591" t="str">
        <f t="shared" si="20"/>
        <v/>
      </c>
      <c r="AE52" s="1591" t="str">
        <f t="shared" si="21"/>
        <v/>
      </c>
      <c r="AF52" s="1591" t="str">
        <f t="shared" si="22"/>
        <v/>
      </c>
    </row>
    <row r="53" spans="1:32" s="3653" customFormat="1" ht="11.25" x14ac:dyDescent="0.2">
      <c r="A53" s="2189"/>
      <c r="B53" s="5383" t="str">
        <f t="shared" si="15"/>
        <v/>
      </c>
      <c r="C53" s="5383"/>
      <c r="D53" s="5383"/>
      <c r="E53" s="5383"/>
      <c r="F53" s="5383"/>
      <c r="G53" s="3647" t="str">
        <f t="shared" si="12"/>
        <v/>
      </c>
      <c r="H53" s="3624" t="str">
        <f t="shared" si="16"/>
        <v/>
      </c>
      <c r="I53" s="3624" t="str">
        <f t="shared" si="17"/>
        <v/>
      </c>
      <c r="J53" s="3624" t="str">
        <f t="shared" si="18"/>
        <v/>
      </c>
      <c r="K53" s="3624" t="str">
        <f t="shared" si="19"/>
        <v/>
      </c>
      <c r="L53" s="2189"/>
      <c r="M53" s="2189"/>
      <c r="N53" s="2189"/>
      <c r="Q53" s="3642">
        <v>12</v>
      </c>
      <c r="R53" s="1591">
        <f>'TRA17'!$F$535</f>
      </c>
      <c r="S53" s="1591">
        <f t="shared" si="13"/>
        <v>0</v>
      </c>
      <c r="T53" s="1591" t="str">
        <f t="shared" si="14"/>
        <v>12,0</v>
      </c>
      <c r="U53" s="3643">
        <f>'TRA17'!$E$548</f>
      </c>
      <c r="V53" s="1591" t="str">
        <f>'TRA17'!$F$573</f>
        <v/>
      </c>
      <c r="W53" s="1591" t="str">
        <f>'TRA17'!$G$573</f>
        <v/>
      </c>
      <c r="X53" s="1591" t="str">
        <f>'TRA17'!$H$573</f>
        <v/>
      </c>
      <c r="Y53" s="1591" t="str">
        <f>'TRA17'!$I$573</f>
        <v/>
      </c>
      <c r="Z53" s="46">
        <f>IF(ISERROR(MATCH("12,1",$T$42:$T$53,0))=FALSE,12,0)</f>
      </c>
      <c r="AA53" s="3649">
        <f t="shared" si="23"/>
        <v>0</v>
      </c>
      <c r="AB53" s="1591" t="str">
        <f t="shared" si="24"/>
        <v/>
      </c>
      <c r="AC53" s="1591" t="str">
        <f t="shared" si="25"/>
        <v/>
      </c>
      <c r="AD53" s="1591" t="str">
        <f t="shared" si="20"/>
        <v/>
      </c>
      <c r="AE53" s="1591" t="str">
        <f t="shared" si="21"/>
        <v/>
      </c>
      <c r="AF53" s="1591" t="str">
        <f t="shared" si="22"/>
        <v/>
      </c>
    </row>
    <row r="54" spans="1:32" s="3653" customFormat="1" ht="24" customHeight="1" x14ac:dyDescent="0.2">
      <c r="A54" s="2189"/>
      <c r="B54" s="5385" t="s">
        <v>9132</v>
      </c>
      <c r="C54" s="5385"/>
      <c r="D54" s="5385"/>
      <c r="E54" s="5385"/>
      <c r="F54" s="5385"/>
      <c r="G54" s="5385"/>
      <c r="H54" s="3662" t="s">
        <v>1020</v>
      </c>
      <c r="I54" s="3660"/>
      <c r="J54" s="2189" t="s">
        <v>1020</v>
      </c>
      <c r="K54" s="2189" t="s">
        <v>1020</v>
      </c>
      <c r="L54" s="2189"/>
      <c r="M54" s="2189"/>
      <c r="N54" s="2189"/>
    </row>
    <row r="55" spans="1:32" s="3653" customFormat="1" ht="22.5" customHeight="1" x14ac:dyDescent="0.2">
      <c r="A55" s="2189"/>
      <c r="B55" s="5385" t="s">
        <v>10057</v>
      </c>
      <c r="C55" s="5385"/>
      <c r="D55" s="5385"/>
      <c r="E55" s="5385"/>
      <c r="F55" s="5385"/>
      <c r="G55" s="5385"/>
      <c r="H55" s="3652" t="str">
        <f>IF('TRA17'!Q682=0,"",'TRA17'!Q682)</f>
        <v/>
      </c>
      <c r="I55" s="3626"/>
      <c r="J55" s="3626"/>
      <c r="K55" s="2189" t="s">
        <v>1020</v>
      </c>
      <c r="L55" s="2189"/>
      <c r="M55" s="2189"/>
      <c r="N55" s="2189"/>
    </row>
    <row r="56" spans="1:32" s="3653" customFormat="1" ht="11.25" x14ac:dyDescent="0.2">
      <c r="A56" s="2189"/>
      <c r="B56" s="5386" t="s">
        <v>3663</v>
      </c>
      <c r="C56" s="5386"/>
      <c r="D56" s="5386"/>
      <c r="E56" s="5386"/>
      <c r="F56" s="5386"/>
      <c r="G56" s="5386"/>
      <c r="H56" s="5386"/>
      <c r="I56" s="5386"/>
      <c r="J56" s="5386"/>
      <c r="K56" s="5386"/>
      <c r="L56" s="2189"/>
      <c r="M56" s="2189"/>
      <c r="N56" s="2189"/>
    </row>
    <row r="57" spans="1:32" s="3653" customFormat="1" ht="22.5" x14ac:dyDescent="0.2">
      <c r="A57" s="2189"/>
      <c r="B57" s="5387" t="s">
        <v>3556</v>
      </c>
      <c r="C57" s="5388"/>
      <c r="D57" s="5388"/>
      <c r="E57" s="5389"/>
      <c r="F57" s="3627" t="s">
        <v>10058</v>
      </c>
      <c r="G57" s="3628" t="s">
        <v>3664</v>
      </c>
      <c r="H57" s="3629"/>
      <c r="I57" s="3630" t="s">
        <v>5806</v>
      </c>
      <c r="J57" s="3631" t="s">
        <v>363</v>
      </c>
      <c r="K57" s="3631" t="s">
        <v>2372</v>
      </c>
      <c r="L57" s="2189"/>
      <c r="M57" s="2189"/>
      <c r="N57" s="2189"/>
    </row>
    <row r="58" spans="1:32" s="3653" customFormat="1" x14ac:dyDescent="0.2">
      <c r="A58" s="2189"/>
      <c r="B58" s="5384"/>
      <c r="C58" s="5384"/>
      <c r="D58" s="5384"/>
      <c r="E58" s="5384"/>
      <c r="F58" s="3632"/>
      <c r="G58" s="3633"/>
      <c r="H58" s="3634"/>
      <c r="I58" s="3635"/>
      <c r="J58" s="3636"/>
      <c r="K58" s="3636"/>
      <c r="L58" s="2188" t="str">
        <f t="shared" ref="L58:L79" si="26">IF(P58=0,"",IF(P58&lt;4,"All Details!",IF((F58-G58)&lt;&gt;SUM(I58:K58),"Check!",IF(S58&gt;1,"Multiple Tax Accounts!",""))))</f>
        <v/>
      </c>
      <c r="M58" s="2189"/>
      <c r="N58" s="2189"/>
      <c r="O58" s="1736">
        <f>IF(L58&lt;&gt;"",1,0)</f>
      </c>
      <c r="P58" s="1736">
        <f t="shared" ref="P58:P79" si="27">COUNTA(B58:K58)</f>
      </c>
      <c r="R58" s="1736"/>
      <c r="S58" s="1736">
        <f t="shared" ref="S58:S79" si="28">COUNT(I58:K58)</f>
      </c>
    </row>
    <row r="59" spans="1:32" s="3653" customFormat="1" x14ac:dyDescent="0.2">
      <c r="A59" s="2189"/>
      <c r="B59" s="5384"/>
      <c r="C59" s="5384"/>
      <c r="D59" s="5384"/>
      <c r="E59" s="5384"/>
      <c r="F59" s="3637"/>
      <c r="G59" s="3637"/>
      <c r="H59" s="3638"/>
      <c r="I59" s="3636"/>
      <c r="J59" s="3636"/>
      <c r="K59" s="3636"/>
      <c r="L59" s="2188" t="str">
        <f t="shared" si="26"/>
        <v/>
      </c>
      <c r="M59" s="2189"/>
      <c r="N59" s="2189"/>
      <c r="O59" s="1736">
        <f t="shared" ref="O59:O79" si="29">IF(L59&lt;&gt;"",1,0)</f>
      </c>
      <c r="P59" s="1736">
        <f t="shared" si="27"/>
        <v>0</v>
      </c>
      <c r="R59" s="1736"/>
      <c r="S59" s="1736">
        <f t="shared" si="28"/>
        <v>0</v>
      </c>
    </row>
    <row r="60" spans="1:32" s="3653" customFormat="1" x14ac:dyDescent="0.2">
      <c r="A60" s="2189"/>
      <c r="B60" s="5384"/>
      <c r="C60" s="5384"/>
      <c r="D60" s="5384"/>
      <c r="E60" s="5384"/>
      <c r="F60" s="3637"/>
      <c r="G60" s="3637"/>
      <c r="H60" s="3638"/>
      <c r="I60" s="3636"/>
      <c r="J60" s="3636"/>
      <c r="K60" s="3636"/>
      <c r="L60" s="2188" t="str">
        <f t="shared" si="26"/>
        <v/>
      </c>
      <c r="M60" s="2189"/>
      <c r="N60" s="2189"/>
      <c r="O60" s="1736">
        <f t="shared" si="29"/>
        <v>0</v>
      </c>
      <c r="P60" s="1736">
        <f t="shared" si="27"/>
        <v>0</v>
      </c>
      <c r="R60" s="1736"/>
      <c r="S60" s="1736">
        <f t="shared" si="28"/>
        <v>0</v>
      </c>
    </row>
    <row r="61" spans="1:32" s="3653" customFormat="1" x14ac:dyDescent="0.2">
      <c r="A61" s="2189"/>
      <c r="B61" s="5384"/>
      <c r="C61" s="5384"/>
      <c r="D61" s="5384"/>
      <c r="E61" s="5384"/>
      <c r="F61" s="3637"/>
      <c r="G61" s="3637"/>
      <c r="H61" s="3638"/>
      <c r="I61" s="3636"/>
      <c r="J61" s="3636"/>
      <c r="K61" s="3636"/>
      <c r="L61" s="2188" t="str">
        <f t="shared" si="26"/>
        <v/>
      </c>
      <c r="M61" s="2189"/>
      <c r="N61" s="2189"/>
      <c r="O61" s="1736">
        <f t="shared" si="29"/>
        <v>0</v>
      </c>
      <c r="P61" s="1736">
        <f t="shared" si="27"/>
        <v>0</v>
      </c>
      <c r="R61" s="1736"/>
      <c r="S61" s="1736">
        <f t="shared" si="28"/>
        <v>0</v>
      </c>
    </row>
    <row r="62" spans="1:32" s="3653" customFormat="1" x14ac:dyDescent="0.2">
      <c r="A62" s="2189"/>
      <c r="B62" s="5384"/>
      <c r="C62" s="5384"/>
      <c r="D62" s="5384"/>
      <c r="E62" s="5384"/>
      <c r="F62" s="3637"/>
      <c r="G62" s="3637"/>
      <c r="H62" s="3638"/>
      <c r="I62" s="3636"/>
      <c r="J62" s="3636"/>
      <c r="K62" s="3636"/>
      <c r="L62" s="2188" t="str">
        <f t="shared" si="26"/>
        <v/>
      </c>
      <c r="M62" s="2189"/>
      <c r="N62" s="2189"/>
      <c r="O62" s="1736">
        <f t="shared" si="29"/>
        <v>0</v>
      </c>
      <c r="P62" s="1736">
        <f t="shared" si="27"/>
        <v>0</v>
      </c>
      <c r="R62" s="1736"/>
      <c r="S62" s="1736">
        <f t="shared" si="28"/>
        <v>0</v>
      </c>
    </row>
    <row r="63" spans="1:32" s="3653" customFormat="1" x14ac:dyDescent="0.2">
      <c r="A63" s="2189"/>
      <c r="B63" s="5384"/>
      <c r="C63" s="5384"/>
      <c r="D63" s="5384"/>
      <c r="E63" s="5384"/>
      <c r="F63" s="3637"/>
      <c r="G63" s="3637"/>
      <c r="H63" s="3638"/>
      <c r="I63" s="3636"/>
      <c r="J63" s="3636"/>
      <c r="K63" s="3636"/>
      <c r="L63" s="2188" t="str">
        <f t="shared" si="26"/>
        <v/>
      </c>
      <c r="M63" s="2189"/>
      <c r="N63" s="2189"/>
      <c r="O63" s="1736">
        <f t="shared" si="29"/>
        <v>0</v>
      </c>
      <c r="P63" s="1736">
        <f t="shared" si="27"/>
        <v>0</v>
      </c>
      <c r="R63" s="1736"/>
      <c r="S63" s="1736">
        <f t="shared" si="28"/>
        <v>0</v>
      </c>
    </row>
    <row r="64" spans="1:32" s="3653" customFormat="1" x14ac:dyDescent="0.2">
      <c r="A64" s="2189"/>
      <c r="B64" s="5384"/>
      <c r="C64" s="5384"/>
      <c r="D64" s="5384"/>
      <c r="E64" s="5384"/>
      <c r="F64" s="3637"/>
      <c r="G64" s="3637"/>
      <c r="H64" s="3638"/>
      <c r="I64" s="3636"/>
      <c r="J64" s="3636"/>
      <c r="K64" s="3636"/>
      <c r="L64" s="2188" t="str">
        <f t="shared" si="26"/>
        <v/>
      </c>
      <c r="M64" s="2189"/>
      <c r="N64" s="2189"/>
      <c r="O64" s="1736">
        <f t="shared" si="29"/>
        <v>0</v>
      </c>
      <c r="P64" s="1736">
        <f t="shared" si="27"/>
        <v>0</v>
      </c>
      <c r="R64" s="1736"/>
      <c r="S64" s="1736">
        <f t="shared" si="28"/>
        <v>0</v>
      </c>
    </row>
    <row r="65" spans="1:27" s="3653" customFormat="1" x14ac:dyDescent="0.2">
      <c r="A65" s="2189"/>
      <c r="B65" s="5384"/>
      <c r="C65" s="5384"/>
      <c r="D65" s="5384"/>
      <c r="E65" s="5384"/>
      <c r="F65" s="3637"/>
      <c r="G65" s="3637"/>
      <c r="H65" s="3638"/>
      <c r="I65" s="3636"/>
      <c r="J65" s="3636"/>
      <c r="K65" s="3636"/>
      <c r="L65" s="2188" t="str">
        <f t="shared" si="26"/>
        <v/>
      </c>
      <c r="M65" s="2189"/>
      <c r="N65" s="2189"/>
      <c r="O65" s="1736">
        <f t="shared" si="29"/>
        <v>0</v>
      </c>
      <c r="P65" s="1736">
        <f t="shared" si="27"/>
        <v>0</v>
      </c>
      <c r="R65" s="1736"/>
      <c r="S65" s="1736">
        <f t="shared" si="28"/>
        <v>0</v>
      </c>
    </row>
    <row r="66" spans="1:27" s="3653" customFormat="1" x14ac:dyDescent="0.2">
      <c r="A66" s="2189"/>
      <c r="B66" s="5384"/>
      <c r="C66" s="5384"/>
      <c r="D66" s="5384"/>
      <c r="E66" s="5384"/>
      <c r="F66" s="3637"/>
      <c r="G66" s="3637"/>
      <c r="H66" s="3638"/>
      <c r="I66" s="3636"/>
      <c r="J66" s="3636"/>
      <c r="K66" s="3636"/>
      <c r="L66" s="2188" t="str">
        <f t="shared" si="26"/>
        <v/>
      </c>
      <c r="M66" s="2189"/>
      <c r="N66" s="2189"/>
      <c r="O66" s="1736">
        <f t="shared" si="29"/>
        <v>0</v>
      </c>
      <c r="P66" s="1736">
        <f t="shared" si="27"/>
        <v>0</v>
      </c>
      <c r="R66" s="1736"/>
      <c r="S66" s="1736">
        <f t="shared" si="28"/>
        <v>0</v>
      </c>
    </row>
    <row r="67" spans="1:27" s="3653" customFormat="1" x14ac:dyDescent="0.2">
      <c r="A67" s="2189"/>
      <c r="B67" s="5384"/>
      <c r="C67" s="5384"/>
      <c r="D67" s="5384"/>
      <c r="E67" s="5384"/>
      <c r="F67" s="3637"/>
      <c r="G67" s="3637"/>
      <c r="H67" s="3638"/>
      <c r="I67" s="3636"/>
      <c r="J67" s="3636"/>
      <c r="K67" s="3636"/>
      <c r="L67" s="2188" t="str">
        <f t="shared" si="26"/>
        <v/>
      </c>
      <c r="M67" s="2189"/>
      <c r="N67" s="2189"/>
      <c r="O67" s="1736">
        <f t="shared" si="29"/>
        <v>0</v>
      </c>
      <c r="P67" s="1736">
        <f t="shared" si="27"/>
        <v>0</v>
      </c>
      <c r="R67" s="1736"/>
      <c r="S67" s="1736">
        <f t="shared" si="28"/>
        <v>0</v>
      </c>
    </row>
    <row r="68" spans="1:27" s="3653" customFormat="1" x14ac:dyDescent="0.2">
      <c r="A68" s="2189"/>
      <c r="B68" s="5384"/>
      <c r="C68" s="5384"/>
      <c r="D68" s="5384"/>
      <c r="E68" s="5384"/>
      <c r="F68" s="3637"/>
      <c r="G68" s="3637"/>
      <c r="H68" s="3638"/>
      <c r="I68" s="3636"/>
      <c r="J68" s="3636"/>
      <c r="K68" s="3636"/>
      <c r="L68" s="2188" t="str">
        <f t="shared" si="26"/>
        <v/>
      </c>
      <c r="M68" s="2189"/>
      <c r="N68" s="2189"/>
      <c r="O68" s="1736">
        <f t="shared" si="29"/>
        <v>0</v>
      </c>
      <c r="P68" s="1736">
        <f t="shared" si="27"/>
        <v>0</v>
      </c>
      <c r="R68" s="1736"/>
      <c r="S68" s="1736">
        <f t="shared" si="28"/>
        <v>0</v>
      </c>
    </row>
    <row r="69" spans="1:27" s="3653" customFormat="1" x14ac:dyDescent="0.2">
      <c r="A69" s="2189"/>
      <c r="B69" s="5384"/>
      <c r="C69" s="5384"/>
      <c r="D69" s="5384"/>
      <c r="E69" s="5384"/>
      <c r="F69" s="3637"/>
      <c r="G69" s="3637"/>
      <c r="H69" s="3638"/>
      <c r="I69" s="3636"/>
      <c r="J69" s="3636"/>
      <c r="K69" s="3636"/>
      <c r="L69" s="2188" t="str">
        <f t="shared" si="26"/>
        <v/>
      </c>
      <c r="M69" s="2189"/>
      <c r="N69" s="2189"/>
      <c r="O69" s="1736">
        <f t="shared" si="29"/>
        <v>0</v>
      </c>
      <c r="P69" s="1736">
        <f t="shared" si="27"/>
        <v>0</v>
      </c>
      <c r="R69" s="1736"/>
      <c r="S69" s="1736">
        <f t="shared" si="28"/>
        <v>0</v>
      </c>
    </row>
    <row r="70" spans="1:27" s="3653" customFormat="1" x14ac:dyDescent="0.2">
      <c r="A70" s="2189"/>
      <c r="B70" s="5384"/>
      <c r="C70" s="5384"/>
      <c r="D70" s="5384"/>
      <c r="E70" s="5384"/>
      <c r="F70" s="3637"/>
      <c r="G70" s="3637"/>
      <c r="H70" s="3638"/>
      <c r="I70" s="3636"/>
      <c r="J70" s="3636"/>
      <c r="K70" s="3636"/>
      <c r="L70" s="2188" t="str">
        <f t="shared" si="26"/>
        <v/>
      </c>
      <c r="M70" s="2189"/>
      <c r="N70" s="2189"/>
      <c r="O70" s="1736">
        <f t="shared" si="29"/>
        <v>0</v>
      </c>
      <c r="P70" s="1736">
        <f t="shared" si="27"/>
        <v>0</v>
      </c>
      <c r="R70" s="1736"/>
      <c r="S70" s="1736">
        <f t="shared" si="28"/>
        <v>0</v>
      </c>
    </row>
    <row r="71" spans="1:27" s="3653" customFormat="1" x14ac:dyDescent="0.2">
      <c r="A71" s="2189"/>
      <c r="B71" s="5384"/>
      <c r="C71" s="5384"/>
      <c r="D71" s="5384"/>
      <c r="E71" s="5384"/>
      <c r="F71" s="3637"/>
      <c r="G71" s="3637"/>
      <c r="H71" s="3638"/>
      <c r="I71" s="3636"/>
      <c r="J71" s="3636"/>
      <c r="K71" s="3636"/>
      <c r="L71" s="2188" t="str">
        <f t="shared" si="26"/>
        <v/>
      </c>
      <c r="M71" s="2189"/>
      <c r="N71" s="2189"/>
      <c r="O71" s="1736">
        <f t="shared" si="29"/>
        <v>0</v>
      </c>
      <c r="P71" s="1736">
        <f t="shared" si="27"/>
        <v>0</v>
      </c>
      <c r="R71" s="1736"/>
      <c r="S71" s="1736">
        <f t="shared" si="28"/>
        <v>0</v>
      </c>
    </row>
    <row r="72" spans="1:27" s="3653" customFormat="1" x14ac:dyDescent="0.2">
      <c r="A72" s="2189"/>
      <c r="B72" s="5384"/>
      <c r="C72" s="5384"/>
      <c r="D72" s="5384"/>
      <c r="E72" s="5384"/>
      <c r="F72" s="3637"/>
      <c r="G72" s="3637"/>
      <c r="H72" s="3638"/>
      <c r="I72" s="3636"/>
      <c r="J72" s="3636"/>
      <c r="K72" s="3636"/>
      <c r="L72" s="2188" t="str">
        <f t="shared" si="26"/>
        <v/>
      </c>
      <c r="M72" s="2189"/>
      <c r="N72" s="2189"/>
      <c r="O72" s="1736">
        <f t="shared" si="29"/>
        <v>0</v>
      </c>
      <c r="P72" s="1736">
        <f t="shared" si="27"/>
        <v>0</v>
      </c>
      <c r="R72" s="1736"/>
      <c r="S72" s="1736">
        <f t="shared" si="28"/>
        <v>0</v>
      </c>
    </row>
    <row r="73" spans="1:27" s="3653" customFormat="1" x14ac:dyDescent="0.2">
      <c r="A73" s="2189"/>
      <c r="B73" s="5384"/>
      <c r="C73" s="5384"/>
      <c r="D73" s="5384"/>
      <c r="E73" s="5384"/>
      <c r="F73" s="3637"/>
      <c r="G73" s="3637"/>
      <c r="H73" s="3638"/>
      <c r="I73" s="3636"/>
      <c r="J73" s="3636"/>
      <c r="K73" s="3636"/>
      <c r="L73" s="2188" t="str">
        <f t="shared" si="26"/>
        <v/>
      </c>
      <c r="M73" s="2189"/>
      <c r="N73" s="2189"/>
      <c r="O73" s="1736">
        <f t="shared" si="29"/>
        <v>0</v>
      </c>
      <c r="P73" s="1736">
        <f t="shared" si="27"/>
        <v>0</v>
      </c>
      <c r="R73" s="1736"/>
      <c r="S73" s="1736">
        <f t="shared" si="28"/>
        <v>0</v>
      </c>
    </row>
    <row r="74" spans="1:27" s="3653" customFormat="1" x14ac:dyDescent="0.2">
      <c r="A74" s="2189"/>
      <c r="B74" s="5384"/>
      <c r="C74" s="5384"/>
      <c r="D74" s="5384"/>
      <c r="E74" s="5384"/>
      <c r="F74" s="3637"/>
      <c r="G74" s="3637"/>
      <c r="H74" s="3638"/>
      <c r="I74" s="3636"/>
      <c r="J74" s="3636"/>
      <c r="K74" s="3636"/>
      <c r="L74" s="2188" t="str">
        <f t="shared" si="26"/>
        <v/>
      </c>
      <c r="M74" s="2189"/>
      <c r="N74" s="2189"/>
      <c r="O74" s="1736">
        <f t="shared" si="29"/>
        <v>0</v>
      </c>
      <c r="P74" s="1736">
        <f t="shared" si="27"/>
        <v>0</v>
      </c>
      <c r="R74" s="1736"/>
      <c r="S74" s="1736">
        <f t="shared" si="28"/>
        <v>0</v>
      </c>
    </row>
    <row r="75" spans="1:27" s="3653" customFormat="1" x14ac:dyDescent="0.2">
      <c r="A75" s="2189"/>
      <c r="B75" s="5384"/>
      <c r="C75" s="5384"/>
      <c r="D75" s="5384"/>
      <c r="E75" s="5384"/>
      <c r="F75" s="3637"/>
      <c r="G75" s="3637"/>
      <c r="H75" s="3638"/>
      <c r="I75" s="3636"/>
      <c r="J75" s="3636"/>
      <c r="K75" s="3636"/>
      <c r="L75" s="2188" t="str">
        <f t="shared" si="26"/>
        <v/>
      </c>
      <c r="M75" s="2189"/>
      <c r="N75" s="2189"/>
      <c r="O75" s="1736">
        <f t="shared" si="29"/>
        <v>0</v>
      </c>
      <c r="P75" s="1736">
        <f t="shared" si="27"/>
        <v>0</v>
      </c>
      <c r="R75" s="1736"/>
      <c r="S75" s="1736">
        <f t="shared" si="28"/>
        <v>0</v>
      </c>
    </row>
    <row r="76" spans="1:27" s="3653" customFormat="1" x14ac:dyDescent="0.2">
      <c r="A76" s="2189"/>
      <c r="B76" s="5384"/>
      <c r="C76" s="5384"/>
      <c r="D76" s="5384"/>
      <c r="E76" s="5384"/>
      <c r="F76" s="3637"/>
      <c r="G76" s="3637"/>
      <c r="H76" s="3638"/>
      <c r="I76" s="3636"/>
      <c r="J76" s="3636"/>
      <c r="K76" s="3636"/>
      <c r="L76" s="2188" t="str">
        <f t="shared" si="26"/>
        <v/>
      </c>
      <c r="M76" s="2189"/>
      <c r="N76" s="2189"/>
      <c r="O76" s="1736">
        <f t="shared" si="29"/>
        <v>0</v>
      </c>
      <c r="P76" s="1736">
        <f>COUNTA(B76:K76)</f>
      </c>
      <c r="R76" s="1736"/>
      <c r="S76" s="1736">
        <f t="shared" si="28"/>
        <v>0</v>
      </c>
    </row>
    <row r="77" spans="1:27" s="3653" customFormat="1" x14ac:dyDescent="0.2">
      <c r="A77" s="2189"/>
      <c r="B77" s="5384"/>
      <c r="C77" s="5384"/>
      <c r="D77" s="5384"/>
      <c r="E77" s="5384"/>
      <c r="F77" s="3637"/>
      <c r="G77" s="3637"/>
      <c r="H77" s="3638"/>
      <c r="I77" s="3636"/>
      <c r="J77" s="3636"/>
      <c r="K77" s="3636"/>
      <c r="L77" s="2188" t="str">
        <f t="shared" si="26"/>
        <v/>
      </c>
      <c r="M77" s="2189"/>
      <c r="N77" s="2189"/>
      <c r="O77" s="1736">
        <f t="shared" si="29"/>
        <v>0</v>
      </c>
      <c r="P77" s="1736">
        <f t="shared" si="27"/>
        <v>0</v>
      </c>
      <c r="R77" s="1736"/>
      <c r="S77" s="1736">
        <f t="shared" si="28"/>
        <v>0</v>
      </c>
    </row>
    <row r="78" spans="1:27" s="3653" customFormat="1" x14ac:dyDescent="0.2">
      <c r="A78" s="2189"/>
      <c r="B78" s="5384"/>
      <c r="C78" s="5384"/>
      <c r="D78" s="5384"/>
      <c r="E78" s="5384"/>
      <c r="F78" s="3637"/>
      <c r="G78" s="3632"/>
      <c r="H78" s="3638"/>
      <c r="I78" s="3636"/>
      <c r="J78" s="3636"/>
      <c r="K78" s="3636"/>
      <c r="L78" s="2188" t="str">
        <f t="shared" si="26"/>
        <v/>
      </c>
      <c r="M78" s="2189"/>
      <c r="N78" s="2189"/>
      <c r="O78" s="1736">
        <f t="shared" si="29"/>
        <v>0</v>
      </c>
      <c r="P78" s="1736">
        <f t="shared" si="27"/>
        <v>0</v>
      </c>
      <c r="R78" s="1736"/>
      <c r="S78" s="1736">
        <f t="shared" si="28"/>
        <v>0</v>
      </c>
    </row>
    <row r="79" spans="1:27" s="3653" customFormat="1" x14ac:dyDescent="0.2">
      <c r="A79" s="2189"/>
      <c r="B79" s="5384"/>
      <c r="C79" s="5384"/>
      <c r="D79" s="5384"/>
      <c r="E79" s="5384"/>
      <c r="F79" s="3637"/>
      <c r="G79" s="3637"/>
      <c r="H79" s="3638"/>
      <c r="I79" s="3636"/>
      <c r="J79" s="3636"/>
      <c r="K79" s="3636"/>
      <c r="L79" s="2188" t="str">
        <f t="shared" si="26"/>
        <v/>
      </c>
      <c r="M79" s="2189"/>
      <c r="N79" s="2189"/>
      <c r="O79" s="1736">
        <f t="shared" si="29"/>
        <v>0</v>
      </c>
      <c r="P79" s="1736">
        <f t="shared" si="27"/>
        <v>0</v>
      </c>
      <c r="R79" s="1736"/>
      <c r="S79" s="1736">
        <f t="shared" si="28"/>
        <v>0</v>
      </c>
      <c r="X79" s="3791" t="s">
        <v>5806</v>
      </c>
      <c r="Y79" s="3791" t="s">
        <v>363</v>
      </c>
      <c r="Z79" s="3791" t="s">
        <v>2372</v>
      </c>
      <c r="AA79" s="3790" t="s">
        <v>9177</v>
      </c>
    </row>
    <row r="80" spans="1:27" s="3653" customFormat="1" x14ac:dyDescent="0.2">
      <c r="A80" s="2189"/>
      <c r="B80" s="5393" t="s">
        <v>3596</v>
      </c>
      <c r="C80" s="5394"/>
      <c r="D80" s="5394"/>
      <c r="E80" s="5394"/>
      <c r="F80" s="5394"/>
      <c r="G80" s="3761"/>
      <c r="H80" s="3625">
        <f>SUM(H58:H79)+SUM(H42:H53)+SUM(H54:H55)</f>
      </c>
      <c r="I80" s="3625">
        <f>SUM(I58:I79)+SUM(I42:I53)+SUM(I22:I33)</f>
      </c>
      <c r="J80" s="3625">
        <f>SUM(J58:J79)+SUM(J42:J53)</f>
      </c>
      <c r="K80" s="3625">
        <f>SUM(K58:K79)+SUM(K42:K53)+SUM(K22:K33)</f>
      </c>
      <c r="L80" s="2189"/>
      <c r="M80" s="2189"/>
      <c r="N80" s="2189"/>
      <c r="R80" s="1736"/>
      <c r="W80" s="3792" t="s">
        <v>10209</v>
      </c>
      <c r="X80" s="3790">
        <f>IF(I80&lt;=0,1,0)</f>
      </c>
      <c r="Y80" s="3790">
        <f>IF(J80&lt;=0,1,0)</f>
      </c>
      <c r="Z80" s="3790">
        <f>IF(K80&lt;=0,1,0)</f>
      </c>
      <c r="AA80" s="3790">
        <f>SUM(X80:Z80)</f>
      </c>
    </row>
    <row r="81" spans="1:27" s="3653" customFormat="1" ht="11.25" x14ac:dyDescent="0.2">
      <c r="A81" s="2189"/>
      <c r="B81" s="2189"/>
      <c r="C81" s="2189"/>
      <c r="D81" s="2189"/>
      <c r="E81" s="2189"/>
      <c r="F81" s="2189"/>
      <c r="G81" s="2189"/>
      <c r="H81" s="2189"/>
      <c r="I81" s="2189"/>
      <c r="J81" s="2189"/>
      <c r="K81" s="2189"/>
      <c r="L81" s="2189"/>
      <c r="M81" s="2189"/>
      <c r="N81" s="2189"/>
      <c r="W81" s="3653" t="s">
        <v>10202</v>
      </c>
      <c r="X81" s="3790">
        <f>IF(X80=0,0,I80)</f>
      </c>
      <c r="Y81" s="3790">
        <f>IF(Y80=0,0,J80)</f>
      </c>
      <c r="Z81" s="3790">
        <f>IF(Z80=0,0,K80)</f>
      </c>
      <c r="AA81" s="3790">
        <f>SUM(X81:Z81)</f>
      </c>
    </row>
    <row r="82" spans="1:27" s="3653" customFormat="1" ht="11.25" hidden="1" customHeight="1" x14ac:dyDescent="0.2">
      <c r="A82" s="2189"/>
      <c r="B82" s="5390" t="s">
        <v>3330</v>
      </c>
      <c r="C82" s="5391"/>
      <c r="D82" s="5391"/>
      <c r="E82" s="5391"/>
      <c r="F82" s="5391"/>
      <c r="G82" s="5392"/>
      <c r="H82" s="2189"/>
      <c r="I82" s="3794"/>
      <c r="J82" s="3794"/>
      <c r="K82" s="3794"/>
      <c r="L82" s="3800"/>
      <c r="M82" s="2189"/>
      <c r="N82" s="2189"/>
      <c r="O82" s="1736">
        <f>IF(L82&lt;&gt;"",1,0)</f>
      </c>
      <c r="P82" s="1736">
        <f>COUNTA(I82:K82)</f>
      </c>
      <c r="S82" s="1736">
        <f>COUNT(I82:K82)</f>
      </c>
      <c r="W82" s="3653" t="s">
        <v>9343</v>
      </c>
      <c r="X82" s="3790">
        <f>IF(X80=0,I80,0)</f>
      </c>
      <c r="Y82" s="3790">
        <f>IF(Y80=0,J80,0)</f>
      </c>
      <c r="Z82" s="3790">
        <f>IF(Z80=0,K80,0)</f>
      </c>
      <c r="AA82" s="3790">
        <f>SUM(X82:Z82)</f>
      </c>
    </row>
    <row r="83" spans="1:27" s="3653" customFormat="1" ht="11.25" hidden="1" x14ac:dyDescent="0.2">
      <c r="A83" s="2189"/>
      <c r="B83" s="5390" t="s">
        <v>4817</v>
      </c>
      <c r="C83" s="5391"/>
      <c r="D83" s="5391"/>
      <c r="E83" s="5391"/>
      <c r="F83" s="5391"/>
      <c r="G83" s="5392"/>
      <c r="H83" s="2189"/>
      <c r="I83" s="3625">
        <f>IF(SUM(I80+I82)&gt;0,SUM(I80+I82),0)</f>
      </c>
      <c r="J83" s="3625">
        <f>IF(SUM(J80+J82)&gt;0,SUM(J80+J82),0)</f>
      </c>
      <c r="K83" s="3625">
        <f>IF(SUM(K80+K82)&gt;0,SUM(K80+K82),0)</f>
      </c>
      <c r="L83" s="3762" t="s">
        <v>3288</v>
      </c>
      <c r="M83" s="2189"/>
      <c r="N83" s="2189"/>
      <c r="W83" s="3792" t="s">
        <v>10203</v>
      </c>
      <c r="X83" s="3793">
        <f>I82</f>
      </c>
      <c r="Y83" s="3793">
        <f>J82</f>
      </c>
      <c r="Z83" s="3793">
        <f>K82</f>
      </c>
      <c r="AA83" s="3793">
        <f>SUM(X83:Z83)</f>
      </c>
    </row>
    <row r="84" spans="1:27" s="3653" customFormat="1" ht="11.25" hidden="1" x14ac:dyDescent="0.2">
      <c r="A84" s="2189"/>
      <c r="B84" s="2189"/>
      <c r="C84" s="2189"/>
      <c r="D84" s="2189"/>
      <c r="E84" s="2189"/>
      <c r="F84" s="2189"/>
      <c r="G84" s="2189"/>
      <c r="H84" s="2189"/>
      <c r="I84" s="2189"/>
      <c r="J84" s="2189"/>
      <c r="K84" s="2189"/>
      <c r="L84" s="2189"/>
      <c r="M84" s="2189"/>
      <c r="N84" s="2189"/>
      <c r="W84" s="3792" t="s">
        <v>10204</v>
      </c>
      <c r="X84" s="3790">
        <f>SUM(X81:X83)</f>
      </c>
      <c r="Y84" s="3790">
        <f>SUM(Y81:Y83)</f>
      </c>
      <c r="Z84" s="3790">
        <f>SUM(Z81:Z83)</f>
      </c>
      <c r="AA84" s="3790"/>
    </row>
    <row r="85" spans="1:27" s="3653" customFormat="1" x14ac:dyDescent="0.2">
      <c r="A85" s="2189"/>
      <c r="B85" s="2189"/>
      <c r="C85" s="2189"/>
      <c r="D85" s="2189"/>
      <c r="E85" s="2189"/>
      <c r="F85" s="2189"/>
      <c r="G85" s="2189"/>
      <c r="H85" s="3639" t="str">
        <f>COM</f>
      </c>
      <c r="I85" s="275"/>
      <c r="J85" s="2188" t="str">
        <f>IF(AND(P4&gt;0,I85=""),re,"")</f>
        <v/>
      </c>
      <c r="K85" s="2189"/>
      <c r="L85" s="2189"/>
      <c r="M85" s="2189"/>
      <c r="N85" s="2189"/>
      <c r="O85" s="1736">
        <f>IF(J85&lt;&gt;"",1,0)</f>
      </c>
      <c r="W85" s="3792" t="s">
        <v>10207</v>
      </c>
      <c r="X85" s="3790">
        <f>IF(AND(X80=0,X83&gt;0,SUM(X81:X82)&lt;-X83),1,IF(AND(X80=1,X83&lt;0,SUM(X81:X82)&lt;-X83),1,0))</f>
      </c>
      <c r="Y85" s="3790">
        <f>IF(AND(Y80=0,Y83&gt;0,SUM(Y81:Y82)&lt;-Y83),1,IF(AND(Y80=1,Y83&lt;0,SUM(Y81:Y82)&lt;-Y83),1,0))</f>
      </c>
      <c r="Z85" s="3790">
        <f>IF(AND(Z80=0,Z83&gt;0,SUM(Z81:Z82)&lt;-Z83),1,IF(AND(Z80=1,Z83&lt;0,SUM(Z81:Z82)&lt;-Z83),1,0))</f>
      </c>
      <c r="AA85" s="3790">
        <f>SUM(X85:Z85)</f>
      </c>
    </row>
    <row r="86" spans="1:27" x14ac:dyDescent="0.2">
      <c r="A86" s="2189"/>
      <c r="B86" s="2189"/>
      <c r="C86" s="2189"/>
      <c r="D86" s="2189"/>
      <c r="E86" s="2189"/>
      <c r="F86" s="2189"/>
      <c r="G86" s="2189"/>
      <c r="H86" s="2189"/>
      <c r="I86" s="2189"/>
      <c r="J86" s="2189"/>
      <c r="K86" s="2189"/>
      <c r="L86" s="2189"/>
      <c r="M86" s="2189"/>
      <c r="N86" s="2189"/>
      <c r="W86" s="3792" t="s">
        <v>10208</v>
      </c>
      <c r="X86" s="3790">
        <f>IF(X84&lt;=0,1,0)</f>
      </c>
      <c r="Y86" s="3790">
        <f>IF(Y84&lt;=0,1,0)</f>
      </c>
      <c r="Z86" s="3790">
        <f>IF(Z84&lt;=0,1,0)</f>
      </c>
      <c r="AA86" s="3790">
        <f>SUM(X86:Z86)</f>
      </c>
    </row>
    <row r="87" spans="1:27" x14ac:dyDescent="0.2">
      <c r="A87" s="2189"/>
      <c r="B87" s="2787" t="s">
        <v>10574</v>
      </c>
      <c r="C87" s="2189"/>
      <c r="D87" s="2189"/>
      <c r="E87" s="2189"/>
      <c r="F87" s="2189"/>
      <c r="G87" s="2189"/>
      <c r="H87" s="2189" t="str">
        <f>ver</f>
        <v>TA2_e-CO_2025_Ver 1.1</v>
      </c>
      <c r="I87" s="2189"/>
      <c r="J87" s="2788"/>
      <c r="K87" s="2189"/>
      <c r="L87" s="3639" t="s">
        <v>10059</v>
      </c>
      <c r="M87" s="2189"/>
      <c r="N87" s="2189"/>
      <c r="W87" s="3792" t="s">
        <v>10205</v>
      </c>
      <c r="X87" s="3790">
        <f>IF(X86=0,0,X84)</f>
      </c>
      <c r="Y87" s="3790">
        <f>IF(Y86=0,0,Y84)</f>
      </c>
      <c r="Z87" s="3790">
        <f>IF(Z86=0,0,Z84)</f>
      </c>
      <c r="AA87" s="3790">
        <f>SUM(X87:Z87)</f>
      </c>
    </row>
    <row r="88" spans="1:27" ht="15" x14ac:dyDescent="0.25">
      <c r="A88" s="2189"/>
      <c r="B88" s="2189"/>
      <c r="C88" s="2189"/>
      <c r="D88" s="2189"/>
      <c r="E88" s="2189"/>
      <c r="F88" s="2189"/>
      <c r="G88" s="2189"/>
      <c r="H88" s="2189"/>
      <c r="I88" s="2189"/>
      <c r="J88" s="2189"/>
      <c r="K88" s="2189"/>
      <c r="L88" s="2189"/>
      <c r="M88" s="2189"/>
      <c r="N88" s="2189"/>
      <c r="O88" s="3661">
        <f>IF(AND(OR(Q1="n",Q1=0),P4=0),0,IF(O4&lt;&gt;0,100,IF(I85="Yes",1,100)))</f>
      </c>
      <c r="W88" s="3792" t="s">
        <v>10206</v>
      </c>
      <c r="X88" s="3790">
        <f>IF(X86=0,X84,0)</f>
      </c>
      <c r="Y88" s="3790">
        <f>IF(Y86=0,Y84,0)</f>
      </c>
      <c r="Z88" s="3790">
        <f>IF(Z86=0,Z84,0)</f>
      </c>
      <c r="AA88" s="3790">
        <f>SUM(X88:Z88)</f>
      </c>
    </row>
    <row r="89" spans="1:27" ht="15" x14ac:dyDescent="0.25">
      <c r="A89" s="3644"/>
      <c r="B89" s="3757" t="s">
        <v>6290</v>
      </c>
      <c r="C89" s="2189"/>
      <c r="D89" s="2189"/>
      <c r="E89" s="2189"/>
      <c r="F89" s="2189"/>
      <c r="G89" s="2189"/>
      <c r="H89" s="2189"/>
      <c r="I89" s="2189"/>
      <c r="J89" s="2189"/>
      <c r="K89" s="2189"/>
      <c r="L89" s="2189"/>
      <c r="M89" s="2189"/>
      <c r="N89" s="2189"/>
      <c r="O89" s="3661"/>
    </row>
    <row r="90" spans="1:27" x14ac:dyDescent="0.2">
      <c r="A90" s="2189"/>
      <c r="B90" s="2189"/>
      <c r="C90" s="2189"/>
      <c r="D90" s="2189"/>
      <c r="E90" s="2189"/>
      <c r="F90" s="2189"/>
      <c r="G90" s="2189"/>
      <c r="H90" s="2189"/>
      <c r="I90" s="2189"/>
      <c r="J90" s="2189"/>
      <c r="K90" s="2189"/>
      <c r="L90" s="2189"/>
      <c r="M90" s="2189"/>
      <c r="N90" s="2189"/>
      <c r="W90" s="3792" t="s">
        <v>10210</v>
      </c>
      <c r="X90" s="3790">
        <f>IF(X80=1,-X81,0)</f>
      </c>
      <c r="Y90" s="3790">
        <f>IF(Y80=1,-Y81,0)</f>
      </c>
      <c r="Z90" s="3790">
        <f>IF(Z80=1,-Z81,0)</f>
      </c>
    </row>
    <row r="91" spans="1:27" x14ac:dyDescent="0.2">
      <c r="W91" s="3792" t="s">
        <v>10211</v>
      </c>
      <c r="X91" s="3790">
        <f>IF(X80=0,-X82,0)</f>
      </c>
      <c r="Y91" s="3790">
        <f>IF(Y80=0,-Y82,0)</f>
      </c>
      <c r="Z91" s="3790">
        <f>IF(Z80=0,-Z82,0)</f>
      </c>
    </row>
  </sheetData>
  <sheetProtection algorithmName="SHA-512" hashValue="TMqougCBQZN+FcqeOVLqEwZyLQtCcmZqKQ8Imnof0ipM5npAecgBE/ZDyDSi7L+ZqaPSWJJiQFnAAHVRFLGyIQ==" saltValue="9Sud7mcfqycQZqqquvGqoA==" spinCount="100000" sheet="1" objects="1" scenarios="1"/>
  <mergeCells count="64">
    <mergeCell ref="B82:G82"/>
    <mergeCell ref="B83:G83"/>
    <mergeCell ref="B76:E76"/>
    <mergeCell ref="B77:E77"/>
    <mergeCell ref="B78:E78"/>
    <mergeCell ref="B79:E79"/>
    <mergeCell ref="B80:F80"/>
    <mergeCell ref="B75:E75"/>
    <mergeCell ref="B64:E64"/>
    <mergeCell ref="B65:E65"/>
    <mergeCell ref="B66:E66"/>
    <mergeCell ref="B67:E67"/>
    <mergeCell ref="B68:E68"/>
    <mergeCell ref="B69:E69"/>
    <mergeCell ref="B70:E70"/>
    <mergeCell ref="B71:E71"/>
    <mergeCell ref="B72:E72"/>
    <mergeCell ref="B73:E73"/>
    <mergeCell ref="B74:E74"/>
    <mergeCell ref="B63:E63"/>
    <mergeCell ref="B52:F52"/>
    <mergeCell ref="B53:F53"/>
    <mergeCell ref="B54:G54"/>
    <mergeCell ref="B55:G55"/>
    <mergeCell ref="B56:K56"/>
    <mergeCell ref="B57:E57"/>
    <mergeCell ref="B58:E58"/>
    <mergeCell ref="B59:E59"/>
    <mergeCell ref="B60:E60"/>
    <mergeCell ref="B61:E61"/>
    <mergeCell ref="B62:E62"/>
    <mergeCell ref="B51:F51"/>
    <mergeCell ref="B40:F40"/>
    <mergeCell ref="B41:F41"/>
    <mergeCell ref="B42:F42"/>
    <mergeCell ref="B43:F43"/>
    <mergeCell ref="B44:F44"/>
    <mergeCell ref="B45:F45"/>
    <mergeCell ref="B46:F46"/>
    <mergeCell ref="B47:F47"/>
    <mergeCell ref="B48:F48"/>
    <mergeCell ref="B49:F49"/>
    <mergeCell ref="B50:F50"/>
    <mergeCell ref="B39:F39"/>
    <mergeCell ref="B34:F34"/>
    <mergeCell ref="B35:F35"/>
    <mergeCell ref="B36:F36"/>
    <mergeCell ref="B37:F37"/>
    <mergeCell ref="B38:F38"/>
    <mergeCell ref="B3:M3"/>
    <mergeCell ref="B4:M4"/>
    <mergeCell ref="B21:F21"/>
    <mergeCell ref="B33:F33"/>
    <mergeCell ref="B27:F27"/>
    <mergeCell ref="B28:F28"/>
    <mergeCell ref="B29:F29"/>
    <mergeCell ref="B30:F30"/>
    <mergeCell ref="B31:F31"/>
    <mergeCell ref="B32:F32"/>
    <mergeCell ref="B22:F22"/>
    <mergeCell ref="B23:F23"/>
    <mergeCell ref="B24:F24"/>
    <mergeCell ref="B25:F25"/>
    <mergeCell ref="B26:F26"/>
  </mergeCells>
  <conditionalFormatting sqref="B20:B53">
    <cfRule type="cellIs" dxfId="129" priority="2" stopIfTrue="1" operator="equal">
      <formula>0</formula>
    </cfRule>
  </conditionalFormatting>
  <conditionalFormatting sqref="G20:G21">
    <cfRule type="cellIs" dxfId="128" priority="23" stopIfTrue="1" operator="equal">
      <formula>0</formula>
    </cfRule>
  </conditionalFormatting>
  <conditionalFormatting sqref="G41">
    <cfRule type="cellIs" dxfId="127" priority="21" stopIfTrue="1" operator="equal">
      <formula>0</formula>
    </cfRule>
  </conditionalFormatting>
  <conditionalFormatting sqref="L16">
    <cfRule type="expression" dxfId="126" priority="25">
      <formula>$X$16=1</formula>
    </cfRule>
  </conditionalFormatting>
  <conditionalFormatting sqref="L18">
    <cfRule type="expression" dxfId="125" priority="24">
      <formula>$X$16=1</formula>
    </cfRule>
  </conditionalFormatting>
  <conditionalFormatting sqref="U22:U33">
    <cfRule type="cellIs" dxfId="124" priority="18" stopIfTrue="1" operator="equal">
      <formula>0</formula>
    </cfRule>
  </conditionalFormatting>
  <conditionalFormatting sqref="U42:U53">
    <cfRule type="cellIs" dxfId="123" priority="3" stopIfTrue="1" operator="equal">
      <formula>0</formula>
    </cfRule>
  </conditionalFormatting>
  <dataValidations count="10">
    <dataValidation type="list" allowBlank="1" showInputMessage="1" showErrorMessage="1" errorTitle="Choose item from Dropdown list! " sqref="I85" xr:uid="{00000000-0002-0000-6800-000000000000}">
      <formula1>$S$2:$S$4</formula1>
    </dataValidation>
    <dataValidation allowBlank="1" showInputMessage="1" showErrorMessage="1" errorTitle="Rule 4A of CG Rules" error="Enter positive amount or 0" sqref="H55" xr:uid="{00000000-0002-0000-6800-000001000000}"/>
    <dataValidation type="whole" operator="greaterThanOrEqual" allowBlank="1" showInputMessage="1" showErrorMessage="1" errorTitle="Transfer in terms of art. 56(1) " error="Enter positive amount or 0" sqref="H54" xr:uid="{00000000-0002-0000-6800-000002000000}">
      <formula1>0</formula1>
    </dataValidation>
    <dataValidation type="textLength" operator="greaterThanOrEqual" allowBlank="1" showInputMessage="1" showErrorMessage="1" errorTitle="Permit number" error="Enter correct details!" sqref="L18" xr:uid="{00000000-0002-0000-6800-000003000000}">
      <formula1>4</formula1>
    </dataValidation>
    <dataValidation type="date" operator="greaterThanOrEqual" allowBlank="1" showInputMessage="1" showErrorMessage="1" errorTitle="Date of approval" error="Enter the proper date!" sqref="L16" xr:uid="{00000000-0002-0000-6800-000004000000}">
      <formula1>Z2</formula1>
    </dataValidation>
    <dataValidation type="list" allowBlank="1" showInputMessage="1" showErrorMessage="1" sqref="H16" xr:uid="{00000000-0002-0000-6800-000005000000}">
      <formula1>S2:S4</formula1>
    </dataValidation>
    <dataValidation type="textLength" operator="greaterThanOrEqual" allowBlank="1" showInputMessage="1" showErrorMessage="1" errorTitle="Country" error="Enter name of country properly!" sqref="L12" xr:uid="{00000000-0002-0000-6800-000006000000}">
      <formula1>4</formula1>
    </dataValidation>
    <dataValidation type="list" allowBlank="1" showInputMessage="1" showErrorMessage="1" sqref="H12" xr:uid="{00000000-0002-0000-6800-000007000000}">
      <formula1>$X$1:$X$4</formula1>
    </dataValidation>
    <dataValidation type="list" allowBlank="1" showInputMessage="1" showErrorMessage="1" sqref="H7" xr:uid="{00000000-0002-0000-6800-000008000000}">
      <formula1>$V$1:$V$5</formula1>
    </dataValidation>
    <dataValidation type="whole" allowBlank="1" showInputMessage="1" showErrorMessage="1" errorTitle="Set off of capital losses" error="Check value!" sqref="I82:K82" xr:uid="{00000000-0002-0000-6800-000009000000}">
      <formula1>X91</formula1>
      <formula2>X90</formula2>
    </dataValidation>
  </dataValidations>
  <hyperlinks>
    <hyperlink ref="B89" location="Index!B125" display="B A C K   T O   I N D E X" xr:uid="{00000000-0004-0000-6800-000000000000}"/>
    <hyperlink ref="L83" location="'TRA15'!A67" display="TRA 15" xr:uid="{00000000-0004-0000-6800-000001000000}"/>
  </hyperlinks>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16"/>
  <dimension ref="A1:AB409"/>
  <sheetViews>
    <sheetView zoomScale="115" zoomScaleNormal="115" workbookViewId="0">
      <selection sqref="A1:H1"/>
    </sheetView>
  </sheetViews>
  <sheetFormatPr defaultColWidth="0" defaultRowHeight="14.25" zeroHeight="1" x14ac:dyDescent="0.2"/>
  <cols>
    <col min="1" max="1" width="3.28515625" style="3687" customWidth="1"/>
    <col min="2" max="2" width="22.7109375" style="3687" customWidth="1"/>
    <col min="3" max="4" width="28.7109375" style="3687" customWidth="1"/>
    <col min="5" max="5" width="19" style="3687" customWidth="1"/>
    <col min="6" max="6" width="18.28515625" style="3687" customWidth="1"/>
    <col min="7" max="7" width="16.28515625" style="3687" customWidth="1"/>
    <col min="8" max="8" width="14.28515625" style="3687" customWidth="1"/>
    <col min="9" max="9" width="16.42578125" style="3687" customWidth="1"/>
    <col min="10" max="11" width="16.42578125" style="3687" hidden="1" customWidth="1"/>
    <col min="12" max="12" width="16.5703125" style="3687" hidden="1" customWidth="1"/>
    <col min="13" max="13" width="16.5703125" style="3687" customWidth="1"/>
    <col min="14" max="14" width="3.42578125" style="3687" hidden="1" customWidth="1"/>
    <col min="15" max="15" width="7.7109375" style="3687" hidden="1" customWidth="1"/>
    <col min="16" max="16" width="14.28515625" style="3687" hidden="1" customWidth="1"/>
    <col min="17" max="18" width="9.28515625" style="3687" hidden="1" customWidth="1"/>
    <col min="19" max="19" width="13.42578125" style="3687" hidden="1" customWidth="1"/>
    <col min="20" max="16384" width="9.28515625" style="3687" hidden="1"/>
  </cols>
  <sheetData>
    <row r="1" spans="1:28" s="3123" customFormat="1" ht="13.5" customHeight="1" x14ac:dyDescent="0.2">
      <c r="A1" s="5371" t="str">
        <f>_ref1</f>
      </c>
      <c r="B1" s="5371"/>
      <c r="C1" s="5371"/>
      <c r="D1" s="5371"/>
      <c r="E1" s="5371"/>
      <c r="F1" s="5371"/>
      <c r="G1" s="5371"/>
      <c r="H1" s="5371"/>
      <c r="I1" s="3314" t="str">
        <f>_YA1</f>
      </c>
      <c r="J1" s="3313"/>
      <c r="K1" s="3313"/>
      <c r="L1" s="3686"/>
      <c r="M1" s="3686"/>
      <c r="N1" s="3687"/>
      <c r="P1" s="3265" t="s">
        <v>10062</v>
      </c>
      <c r="Q1" s="3123" t="str">
        <f>'p2'!G39</f>
      </c>
    </row>
    <row r="2" spans="1:28" x14ac:dyDescent="0.2">
      <c r="A2" s="3686"/>
      <c r="B2" s="3686"/>
      <c r="C2" s="3686"/>
      <c r="D2" s="3686"/>
      <c r="E2" s="3686"/>
      <c r="F2" s="3686"/>
      <c r="G2" s="3686"/>
      <c r="H2" s="3686"/>
      <c r="I2" s="3686"/>
      <c r="J2" s="3686"/>
      <c r="K2" s="3686"/>
      <c r="L2" s="3686"/>
      <c r="M2" s="3686"/>
      <c r="P2" s="3265" t="s">
        <v>10063</v>
      </c>
      <c r="Q2" s="3687" t="str">
        <f>'p2'!G36</f>
      </c>
      <c r="V2" s="3123" t="s">
        <v>10064</v>
      </c>
      <c r="X2" s="3123" t="s">
        <v>10064</v>
      </c>
      <c r="Z2" s="3123" t="s">
        <v>10064</v>
      </c>
      <c r="AB2" s="3123" t="s">
        <v>4457</v>
      </c>
    </row>
    <row r="3" spans="1:28" ht="15" x14ac:dyDescent="0.25">
      <c r="A3" s="3686"/>
      <c r="B3" s="5401" t="s">
        <v>9149</v>
      </c>
      <c r="C3" s="5402"/>
      <c r="D3" s="5402"/>
      <c r="E3" s="5402"/>
      <c r="F3" s="5402"/>
      <c r="G3" s="5402"/>
      <c r="H3" s="5402"/>
      <c r="I3" s="5403"/>
      <c r="J3" s="3669"/>
      <c r="K3" s="3669"/>
      <c r="L3" s="3669"/>
      <c r="M3" s="3686"/>
      <c r="V3" s="3123" t="s">
        <v>10065</v>
      </c>
      <c r="X3" s="3123" t="s">
        <v>10071</v>
      </c>
      <c r="Z3" s="3123" t="s">
        <v>10065</v>
      </c>
      <c r="AB3" s="3123" t="s">
        <v>1736</v>
      </c>
    </row>
    <row r="4" spans="1:28" ht="15" x14ac:dyDescent="0.25">
      <c r="A4" s="3686"/>
      <c r="B4" s="3663" t="s">
        <v>10188</v>
      </c>
      <c r="C4" s="3664"/>
      <c r="D4" s="3665"/>
      <c r="E4" s="3665"/>
      <c r="F4" s="3665"/>
      <c r="G4" s="3665"/>
      <c r="H4" s="3665"/>
      <c r="I4" s="3666"/>
      <c r="J4" s="3686"/>
      <c r="K4" s="3686"/>
      <c r="L4" s="3667"/>
      <c r="M4" s="3686"/>
      <c r="O4" s="3123" t="s">
        <v>10066</v>
      </c>
      <c r="P4" s="3123" t="s">
        <v>10067</v>
      </c>
      <c r="V4" s="3123" t="s">
        <v>10068</v>
      </c>
      <c r="X4" s="3123"/>
      <c r="Z4" s="3123" t="s">
        <v>10068</v>
      </c>
    </row>
    <row r="5" spans="1:28" x14ac:dyDescent="0.2">
      <c r="A5" s="3686"/>
      <c r="B5" s="3686"/>
      <c r="C5" s="3686"/>
      <c r="D5" s="3686"/>
      <c r="E5" s="3686"/>
      <c r="F5" s="3686"/>
      <c r="G5" s="3686"/>
      <c r="H5" s="3686"/>
      <c r="I5" s="3686"/>
      <c r="J5" s="3686"/>
      <c r="K5" s="3686"/>
      <c r="L5" s="3784"/>
      <c r="M5" s="3686"/>
      <c r="O5" s="3688">
        <f>SUM(O6:O397)</f>
      </c>
      <c r="P5" s="3688">
        <f>SUM(P6:P397)</f>
      </c>
      <c r="V5" s="3123" t="s">
        <v>10069</v>
      </c>
      <c r="X5" s="3123"/>
      <c r="Z5" s="3123" t="s">
        <v>10069</v>
      </c>
    </row>
    <row r="6" spans="1:28" hidden="1" x14ac:dyDescent="0.2">
      <c r="A6" s="3686"/>
      <c r="B6" s="3686"/>
      <c r="C6" s="3686"/>
      <c r="D6" s="3686"/>
      <c r="E6" s="3686"/>
      <c r="F6" s="3686"/>
      <c r="G6" s="3686"/>
      <c r="H6" s="3686"/>
      <c r="I6" s="3686"/>
      <c r="J6" s="3686"/>
      <c r="K6" s="3686"/>
      <c r="L6" s="3784"/>
      <c r="M6" s="3686"/>
      <c r="O6" s="3123"/>
      <c r="P6" s="3123"/>
      <c r="V6" s="3123" t="s">
        <v>10071</v>
      </c>
      <c r="Z6" s="3123" t="s">
        <v>10071</v>
      </c>
    </row>
    <row r="7" spans="1:28" hidden="1" x14ac:dyDescent="0.2">
      <c r="A7" s="3686"/>
      <c r="B7" s="3686"/>
      <c r="C7" s="3686"/>
      <c r="D7" s="3686"/>
      <c r="E7" s="3686"/>
      <c r="F7" s="3686"/>
      <c r="G7" s="3686"/>
      <c r="H7" s="3686"/>
      <c r="I7" s="3686"/>
      <c r="J7" s="3686"/>
      <c r="K7" s="3686"/>
      <c r="L7" s="3784"/>
      <c r="M7" s="3686"/>
      <c r="O7" s="3123"/>
      <c r="P7" s="3123"/>
      <c r="V7" s="3123" t="s">
        <v>10080</v>
      </c>
      <c r="X7" s="3123"/>
      <c r="Z7" s="3123" t="s">
        <v>10080</v>
      </c>
    </row>
    <row r="8" spans="1:28" hidden="1" x14ac:dyDescent="0.2">
      <c r="A8" s="3686"/>
      <c r="B8" s="3686"/>
      <c r="C8" s="3686"/>
      <c r="D8" s="3686"/>
      <c r="E8" s="3686"/>
      <c r="F8" s="3686"/>
      <c r="G8" s="3686"/>
      <c r="H8" s="3686"/>
      <c r="I8" s="3686"/>
      <c r="J8" s="3686"/>
      <c r="K8" s="3686"/>
      <c r="L8" s="3784"/>
      <c r="M8" s="3686"/>
      <c r="O8" s="3123"/>
      <c r="P8" s="3123"/>
      <c r="V8" s="3123"/>
      <c r="Z8" s="3123" t="s">
        <v>10178</v>
      </c>
    </row>
    <row r="9" spans="1:28" hidden="1" x14ac:dyDescent="0.2">
      <c r="A9" s="3686"/>
      <c r="B9" s="3686"/>
      <c r="C9" s="3686"/>
      <c r="D9" s="3686"/>
      <c r="E9" s="3686"/>
      <c r="F9" s="3686"/>
      <c r="G9" s="3686"/>
      <c r="H9" s="3686"/>
      <c r="I9" s="3686"/>
      <c r="J9" s="3686"/>
      <c r="K9" s="3686"/>
      <c r="L9" s="3784"/>
      <c r="M9" s="3686"/>
      <c r="O9" s="3123"/>
      <c r="P9" s="3123"/>
      <c r="V9" s="3123"/>
    </row>
    <row r="10" spans="1:28" hidden="1" x14ac:dyDescent="0.2">
      <c r="A10" s="3686"/>
      <c r="B10" s="3686"/>
      <c r="C10" s="3686"/>
      <c r="D10" s="3686"/>
      <c r="E10" s="3686"/>
      <c r="F10" s="3686"/>
      <c r="G10" s="3686"/>
      <c r="H10" s="3686"/>
      <c r="I10" s="3686"/>
      <c r="J10" s="3686"/>
      <c r="K10" s="3686"/>
      <c r="L10" s="3784"/>
      <c r="M10" s="3686"/>
      <c r="O10" s="3123"/>
      <c r="P10" s="3123"/>
      <c r="V10" s="3123"/>
    </row>
    <row r="11" spans="1:28" hidden="1" x14ac:dyDescent="0.2">
      <c r="A11" s="3686"/>
      <c r="B11" s="3686"/>
      <c r="C11" s="3686"/>
      <c r="D11" s="3686"/>
      <c r="E11" s="3686"/>
      <c r="F11" s="3686"/>
      <c r="G11" s="3686"/>
      <c r="H11" s="3686"/>
      <c r="I11" s="3686"/>
      <c r="J11" s="3686"/>
      <c r="K11" s="3686"/>
      <c r="L11" s="3784"/>
      <c r="M11" s="3686"/>
      <c r="O11" s="3123"/>
      <c r="P11" s="3123"/>
      <c r="V11" s="3123"/>
    </row>
    <row r="12" spans="1:28" hidden="1" x14ac:dyDescent="0.2">
      <c r="A12" s="3686"/>
      <c r="B12" s="3686"/>
      <c r="C12" s="3686"/>
      <c r="D12" s="3686"/>
      <c r="E12" s="3686"/>
      <c r="F12" s="3686"/>
      <c r="G12" s="3686"/>
      <c r="H12" s="3686"/>
      <c r="I12" s="3686"/>
      <c r="J12" s="3686"/>
      <c r="K12" s="3686"/>
      <c r="L12" s="3784"/>
      <c r="M12" s="3686"/>
      <c r="O12" s="3123"/>
      <c r="P12" s="3123"/>
      <c r="V12" s="3123"/>
    </row>
    <row r="13" spans="1:28" hidden="1" x14ac:dyDescent="0.2">
      <c r="A13" s="3686"/>
      <c r="B13" s="3686"/>
      <c r="C13" s="3686"/>
      <c r="D13" s="3686"/>
      <c r="E13" s="3686"/>
      <c r="F13" s="3686"/>
      <c r="G13" s="3686"/>
      <c r="H13" s="3686"/>
      <c r="I13" s="3686"/>
      <c r="J13" s="3686"/>
      <c r="K13" s="3686"/>
      <c r="L13" s="3784"/>
      <c r="M13" s="3686"/>
      <c r="O13" s="3123"/>
      <c r="P13" s="3123"/>
      <c r="V13" s="3123"/>
    </row>
    <row r="14" spans="1:28" hidden="1" x14ac:dyDescent="0.2">
      <c r="A14" s="3686"/>
      <c r="B14" s="3686"/>
      <c r="C14" s="3686"/>
      <c r="D14" s="3686"/>
      <c r="E14" s="3686"/>
      <c r="F14" s="3686"/>
      <c r="G14" s="3686"/>
      <c r="H14" s="3686"/>
      <c r="I14" s="3686"/>
      <c r="J14" s="3686"/>
      <c r="K14" s="3686"/>
      <c r="L14" s="3784"/>
      <c r="M14" s="3686"/>
      <c r="O14" s="3123"/>
      <c r="P14" s="3123"/>
      <c r="V14" s="3123"/>
    </row>
    <row r="15" spans="1:28" hidden="1" x14ac:dyDescent="0.2">
      <c r="A15" s="3686"/>
      <c r="B15" s="3686"/>
      <c r="C15" s="3686"/>
      <c r="D15" s="3686"/>
      <c r="E15" s="3686"/>
      <c r="F15" s="3686"/>
      <c r="G15" s="3686"/>
      <c r="H15" s="3686"/>
      <c r="I15" s="3686"/>
      <c r="J15" s="3686"/>
      <c r="K15" s="3686"/>
      <c r="L15" s="3784"/>
      <c r="M15" s="3686"/>
      <c r="O15" s="3123"/>
      <c r="P15" s="3123"/>
      <c r="V15" s="3123"/>
    </row>
    <row r="16" spans="1:28" hidden="1" x14ac:dyDescent="0.2">
      <c r="A16" s="3686"/>
      <c r="B16" s="3686"/>
      <c r="C16" s="3686"/>
      <c r="D16" s="3686"/>
      <c r="E16" s="3686"/>
      <c r="F16" s="3686"/>
      <c r="G16" s="3686"/>
      <c r="H16" s="3686"/>
      <c r="I16" s="3686"/>
      <c r="J16" s="3686"/>
      <c r="K16" s="3686"/>
      <c r="L16" s="3686"/>
      <c r="M16" s="3686"/>
    </row>
    <row r="17" spans="1:19" ht="15" customHeight="1" x14ac:dyDescent="0.2">
      <c r="A17" s="3686"/>
      <c r="B17" s="5398" t="s">
        <v>10167</v>
      </c>
      <c r="C17" s="5399"/>
      <c r="D17" s="5399"/>
      <c r="E17" s="5399"/>
      <c r="F17" s="5400"/>
      <c r="G17" s="5395" t="s">
        <v>10070</v>
      </c>
      <c r="H17" s="5396"/>
      <c r="I17" s="3668"/>
      <c r="J17" s="3686"/>
      <c r="K17" s="3686"/>
      <c r="L17" s="3689"/>
      <c r="M17" s="2748" t="str">
        <f>IF(AND(OR($Q$1=0,$Q$1="n"),I17&gt;0),"Check Pg2 Q33!",IF(AND($Q$1="y",I17=""),re,""))</f>
        <v/>
      </c>
      <c r="O17" s="3265">
        <f>IF(M17="",0,1)</f>
      </c>
      <c r="P17" s="3265">
        <f>IF(I17="",0,1)</f>
      </c>
    </row>
    <row r="18" spans="1:19" s="3123" customFormat="1" ht="63.75" x14ac:dyDescent="0.2">
      <c r="A18" s="3690"/>
      <c r="B18" s="3691" t="s">
        <v>10072</v>
      </c>
      <c r="C18" s="3691" t="s">
        <v>10073</v>
      </c>
      <c r="D18" s="3691" t="s">
        <v>10074</v>
      </c>
      <c r="E18" s="3691" t="s">
        <v>10183</v>
      </c>
      <c r="F18" s="3691" t="s">
        <v>8857</v>
      </c>
      <c r="G18" s="3691" t="s">
        <v>10075</v>
      </c>
      <c r="H18" s="3691" t="s">
        <v>10076</v>
      </c>
      <c r="I18" s="3691" t="s">
        <v>10077</v>
      </c>
      <c r="J18" s="3686"/>
      <c r="K18" s="3686"/>
      <c r="L18" s="3692" t="s">
        <v>10078</v>
      </c>
      <c r="M18" s="3601"/>
      <c r="R18" s="3688" t="s">
        <v>10079</v>
      </c>
      <c r="S18" s="3687"/>
    </row>
    <row r="19" spans="1:19" s="3278" customFormat="1" ht="15" customHeight="1" x14ac:dyDescent="0.2">
      <c r="A19" s="3693">
        <v>1</v>
      </c>
      <c r="B19" s="3702"/>
      <c r="C19" s="3702"/>
      <c r="D19" s="3703"/>
      <c r="E19" s="3703"/>
      <c r="F19" s="3703"/>
      <c r="G19" s="3704"/>
      <c r="H19" s="3702"/>
      <c r="I19" s="3788" t="str">
        <f>IF(H19="","",IF(H19="yes",0,G19))</f>
        <v/>
      </c>
      <c r="J19" s="3686"/>
      <c r="K19" s="3686"/>
      <c r="L19" s="3785"/>
      <c r="M19" s="2748" t="str">
        <f t="shared" ref="M19:M30" si="0">IF($O$17=1,"",IF(AND($I$17&gt;0,A19&lt;=$I$17,P19=0),re,IF(OR(AND($Q$2="y",A19&lt;=$I$17,P19&lt;&gt;7),AND(OR($Q$2=0,$Q$2="n"),A19&lt;=$I$17,P19&lt;&gt;6)),"All data!",IF(AND(OR($Q$2=0,$Q$2="n"),C19&lt;&gt;""),"Check Pg2 Q30!",IF(AND(P19&gt;0,A19&gt;$I$17),"Delete!","")))))</f>
        <v/>
      </c>
      <c r="O19" s="3265">
        <f>IF(M19="",0,1)</f>
      </c>
      <c r="P19" s="3265">
        <f t="shared" ref="P19:P30" si="1">IF($Q$2="y",COUNTA(B19:H19),COUNTA(B19,D19,E19,F19,G19,H19))</f>
      </c>
      <c r="R19" s="3278">
        <f t="shared" ref="R19:R30" si="2">IF(AND($Q$2="n",C19&lt;&gt;""),1,0)</f>
      </c>
      <c r="S19" s="3687"/>
    </row>
    <row r="20" spans="1:19" s="3123" customFormat="1" ht="15" customHeight="1" x14ac:dyDescent="0.2">
      <c r="A20" s="3690">
        <v>2</v>
      </c>
      <c r="B20" s="3702"/>
      <c r="C20" s="3702"/>
      <c r="D20" s="3703"/>
      <c r="E20" s="3703"/>
      <c r="F20" s="3703"/>
      <c r="G20" s="3704"/>
      <c r="H20" s="3702"/>
      <c r="I20" s="3788" t="str">
        <f t="shared" ref="I20:I30" si="3">IF(H20="","",IF(H20="yes",0,G20))</f>
        <v/>
      </c>
      <c r="J20" s="3686"/>
      <c r="K20" s="3686"/>
      <c r="L20" s="3621"/>
      <c r="M20" s="2748" t="str">
        <f t="shared" si="0"/>
        <v/>
      </c>
      <c r="O20" s="3265">
        <f t="shared" ref="O20:O30" si="4">IF(M20="",0,1)</f>
      </c>
      <c r="P20" s="3265">
        <f t="shared" si="1"/>
        <v>0</v>
      </c>
      <c r="R20" s="3278">
        <f t="shared" si="2"/>
        <v>0</v>
      </c>
      <c r="S20" s="3265"/>
    </row>
    <row r="21" spans="1:19" s="3123" customFormat="1" ht="15" customHeight="1" x14ac:dyDescent="0.2">
      <c r="A21" s="3690">
        <v>3</v>
      </c>
      <c r="B21" s="3702"/>
      <c r="C21" s="3702"/>
      <c r="D21" s="3703"/>
      <c r="E21" s="3703"/>
      <c r="F21" s="3703"/>
      <c r="G21" s="3704"/>
      <c r="H21" s="3702"/>
      <c r="I21" s="3788" t="str">
        <f t="shared" si="3"/>
        <v/>
      </c>
      <c r="J21" s="3686"/>
      <c r="K21" s="3686"/>
      <c r="L21" s="3621"/>
      <c r="M21" s="2748" t="str">
        <f t="shared" si="0"/>
        <v/>
      </c>
      <c r="O21" s="3265">
        <f t="shared" si="4"/>
        <v>0</v>
      </c>
      <c r="P21" s="3265">
        <f t="shared" si="1"/>
        <v>0</v>
      </c>
      <c r="R21" s="3278">
        <f t="shared" si="2"/>
        <v>0</v>
      </c>
      <c r="S21" s="3265"/>
    </row>
    <row r="22" spans="1:19" s="3123" customFormat="1" ht="15" customHeight="1" x14ac:dyDescent="0.2">
      <c r="A22" s="3690">
        <v>4</v>
      </c>
      <c r="B22" s="3702"/>
      <c r="C22" s="3702"/>
      <c r="D22" s="3703"/>
      <c r="E22" s="3703"/>
      <c r="F22" s="3703"/>
      <c r="G22" s="3704"/>
      <c r="H22" s="3702"/>
      <c r="I22" s="3788" t="str">
        <f t="shared" si="3"/>
        <v/>
      </c>
      <c r="J22" s="3686"/>
      <c r="K22" s="3686"/>
      <c r="L22" s="3621"/>
      <c r="M22" s="2748" t="str">
        <f t="shared" si="0"/>
        <v/>
      </c>
      <c r="O22" s="3265">
        <f t="shared" si="4"/>
        <v>0</v>
      </c>
      <c r="P22" s="3265">
        <f t="shared" si="1"/>
        <v>0</v>
      </c>
      <c r="R22" s="3278">
        <f t="shared" si="2"/>
        <v>0</v>
      </c>
      <c r="S22" s="3265"/>
    </row>
    <row r="23" spans="1:19" s="3123" customFormat="1" ht="15" customHeight="1" x14ac:dyDescent="0.2">
      <c r="A23" s="3690">
        <v>5</v>
      </c>
      <c r="B23" s="3702"/>
      <c r="C23" s="3702"/>
      <c r="D23" s="3703"/>
      <c r="E23" s="3703"/>
      <c r="F23" s="3703"/>
      <c r="G23" s="3704"/>
      <c r="H23" s="3702"/>
      <c r="I23" s="3788" t="str">
        <f t="shared" si="3"/>
        <v/>
      </c>
      <c r="J23" s="3686"/>
      <c r="K23" s="3686"/>
      <c r="L23" s="3621"/>
      <c r="M23" s="2748" t="str">
        <f t="shared" si="0"/>
        <v/>
      </c>
      <c r="O23" s="3265">
        <f t="shared" si="4"/>
        <v>0</v>
      </c>
      <c r="P23" s="3265">
        <f t="shared" si="1"/>
        <v>0</v>
      </c>
      <c r="R23" s="3278">
        <f t="shared" si="2"/>
        <v>0</v>
      </c>
      <c r="S23" s="3265"/>
    </row>
    <row r="24" spans="1:19" s="3123" customFormat="1" ht="15" customHeight="1" x14ac:dyDescent="0.2">
      <c r="A24" s="3690">
        <v>6</v>
      </c>
      <c r="B24" s="3702"/>
      <c r="C24" s="3702"/>
      <c r="D24" s="3703"/>
      <c r="E24" s="3703"/>
      <c r="F24" s="3703"/>
      <c r="G24" s="3704"/>
      <c r="H24" s="3702"/>
      <c r="I24" s="3788" t="str">
        <f t="shared" si="3"/>
        <v/>
      </c>
      <c r="J24" s="3686"/>
      <c r="K24" s="3686"/>
      <c r="L24" s="3621"/>
      <c r="M24" s="2748" t="str">
        <f t="shared" si="0"/>
        <v/>
      </c>
      <c r="O24" s="3265">
        <f t="shared" si="4"/>
        <v>0</v>
      </c>
      <c r="P24" s="3265">
        <f t="shared" si="1"/>
        <v>0</v>
      </c>
      <c r="R24" s="3278">
        <f t="shared" si="2"/>
        <v>0</v>
      </c>
      <c r="S24" s="3265"/>
    </row>
    <row r="25" spans="1:19" s="3123" customFormat="1" ht="15" customHeight="1" x14ac:dyDescent="0.2">
      <c r="A25" s="3690">
        <v>7</v>
      </c>
      <c r="B25" s="3702"/>
      <c r="C25" s="3702"/>
      <c r="D25" s="3703"/>
      <c r="E25" s="3703"/>
      <c r="F25" s="3703"/>
      <c r="G25" s="3704"/>
      <c r="H25" s="3702"/>
      <c r="I25" s="3788" t="str">
        <f t="shared" si="3"/>
        <v/>
      </c>
      <c r="J25" s="3686"/>
      <c r="K25" s="3686"/>
      <c r="L25" s="3621"/>
      <c r="M25" s="2748" t="str">
        <f t="shared" si="0"/>
        <v/>
      </c>
      <c r="O25" s="3265">
        <f t="shared" si="4"/>
        <v>0</v>
      </c>
      <c r="P25" s="3265">
        <f t="shared" si="1"/>
        <v>0</v>
      </c>
      <c r="R25" s="3278">
        <f t="shared" si="2"/>
        <v>0</v>
      </c>
      <c r="S25" s="3265"/>
    </row>
    <row r="26" spans="1:19" s="3123" customFormat="1" ht="15" customHeight="1" x14ac:dyDescent="0.2">
      <c r="A26" s="3690">
        <v>8</v>
      </c>
      <c r="B26" s="3702"/>
      <c r="C26" s="3702"/>
      <c r="D26" s="3703"/>
      <c r="E26" s="3703"/>
      <c r="F26" s="3703"/>
      <c r="G26" s="3704"/>
      <c r="H26" s="3702"/>
      <c r="I26" s="3788" t="str">
        <f t="shared" si="3"/>
        <v/>
      </c>
      <c r="J26" s="3686"/>
      <c r="K26" s="3686"/>
      <c r="L26" s="3621"/>
      <c r="M26" s="2748" t="str">
        <f t="shared" si="0"/>
        <v/>
      </c>
      <c r="O26" s="3265">
        <f t="shared" si="4"/>
        <v>0</v>
      </c>
      <c r="P26" s="3265">
        <f t="shared" si="1"/>
        <v>0</v>
      </c>
      <c r="R26" s="3278">
        <f t="shared" si="2"/>
        <v>0</v>
      </c>
      <c r="S26" s="3265"/>
    </row>
    <row r="27" spans="1:19" s="3123" customFormat="1" ht="15" customHeight="1" x14ac:dyDescent="0.2">
      <c r="A27" s="3690">
        <v>9</v>
      </c>
      <c r="B27" s="3702"/>
      <c r="C27" s="3702"/>
      <c r="D27" s="3703"/>
      <c r="E27" s="3703"/>
      <c r="F27" s="3703"/>
      <c r="G27" s="3704"/>
      <c r="H27" s="3702"/>
      <c r="I27" s="3788" t="str">
        <f t="shared" si="3"/>
        <v/>
      </c>
      <c r="J27" s="3686"/>
      <c r="K27" s="3686"/>
      <c r="L27" s="3621"/>
      <c r="M27" s="2748" t="str">
        <f t="shared" si="0"/>
        <v/>
      </c>
      <c r="O27" s="3265">
        <f t="shared" si="4"/>
        <v>0</v>
      </c>
      <c r="P27" s="3265">
        <f t="shared" si="1"/>
        <v>0</v>
      </c>
      <c r="R27" s="3278">
        <f t="shared" si="2"/>
        <v>0</v>
      </c>
      <c r="S27" s="3265"/>
    </row>
    <row r="28" spans="1:19" s="3123" customFormat="1" ht="15" customHeight="1" x14ac:dyDescent="0.2">
      <c r="A28" s="3690">
        <v>10</v>
      </c>
      <c r="B28" s="3702"/>
      <c r="C28" s="3702"/>
      <c r="D28" s="3703"/>
      <c r="E28" s="3703"/>
      <c r="F28" s="3703"/>
      <c r="G28" s="3704"/>
      <c r="H28" s="3702"/>
      <c r="I28" s="3788" t="str">
        <f t="shared" si="3"/>
        <v/>
      </c>
      <c r="J28" s="3686"/>
      <c r="K28" s="3686"/>
      <c r="L28" s="3621"/>
      <c r="M28" s="2748" t="str">
        <f t="shared" si="0"/>
        <v/>
      </c>
      <c r="O28" s="3265">
        <f t="shared" si="4"/>
        <v>0</v>
      </c>
      <c r="P28" s="3265">
        <f t="shared" si="1"/>
        <v>0</v>
      </c>
      <c r="R28" s="3278">
        <f t="shared" si="2"/>
        <v>0</v>
      </c>
      <c r="S28" s="3265"/>
    </row>
    <row r="29" spans="1:19" s="3123" customFormat="1" ht="15" customHeight="1" x14ac:dyDescent="0.2">
      <c r="A29" s="3690">
        <v>11</v>
      </c>
      <c r="B29" s="3702"/>
      <c r="C29" s="3702"/>
      <c r="D29" s="3703"/>
      <c r="E29" s="3703"/>
      <c r="F29" s="3703"/>
      <c r="G29" s="3704"/>
      <c r="H29" s="3702"/>
      <c r="I29" s="3788" t="str">
        <f t="shared" si="3"/>
        <v/>
      </c>
      <c r="J29" s="3686"/>
      <c r="K29" s="3686"/>
      <c r="L29" s="3621"/>
      <c r="M29" s="2748" t="str">
        <f t="shared" si="0"/>
        <v/>
      </c>
      <c r="O29" s="3265">
        <f t="shared" si="4"/>
        <v>0</v>
      </c>
      <c r="P29" s="3265">
        <f t="shared" si="1"/>
        <v>0</v>
      </c>
      <c r="R29" s="3278">
        <f t="shared" si="2"/>
        <v>0</v>
      </c>
      <c r="S29" s="3265"/>
    </row>
    <row r="30" spans="1:19" s="3123" customFormat="1" ht="15" customHeight="1" x14ac:dyDescent="0.2">
      <c r="A30" s="3690">
        <v>12</v>
      </c>
      <c r="B30" s="3702"/>
      <c r="C30" s="3702"/>
      <c r="D30" s="3703"/>
      <c r="E30" s="3703"/>
      <c r="F30" s="3703"/>
      <c r="G30" s="3704"/>
      <c r="H30" s="3702"/>
      <c r="I30" s="3788" t="str">
        <f t="shared" si="3"/>
        <v/>
      </c>
      <c r="J30" s="3686"/>
      <c r="K30" s="3686"/>
      <c r="L30" s="3621"/>
      <c r="M30" s="2748" t="str">
        <f t="shared" si="0"/>
        <v/>
      </c>
      <c r="O30" s="3265">
        <f t="shared" si="4"/>
        <v>0</v>
      </c>
      <c r="P30" s="3265">
        <f t="shared" si="1"/>
        <v>0</v>
      </c>
      <c r="R30" s="3278">
        <f t="shared" si="2"/>
        <v>0</v>
      </c>
      <c r="S30" s="3265"/>
    </row>
    <row r="31" spans="1:19" s="3123" customFormat="1" ht="15" hidden="1" customHeight="1" x14ac:dyDescent="0.2">
      <c r="A31" s="3690">
        <v>13</v>
      </c>
      <c r="B31" s="3702"/>
      <c r="C31" s="3702"/>
      <c r="D31" s="3703"/>
      <c r="E31" s="3703"/>
      <c r="F31" s="3703"/>
      <c r="G31" s="3704"/>
      <c r="H31" s="3702"/>
      <c r="I31" s="3788" t="str">
        <f t="shared" ref="I31:I77" si="5">IF(H31="","",IF(H31="yes",0,G31))</f>
        <v/>
      </c>
      <c r="J31" s="3686"/>
      <c r="K31" s="3686"/>
      <c r="L31" s="3621"/>
      <c r="M31" s="2748" t="str">
        <f t="shared" ref="M31:M77" si="6">IF($O$17=1,"",IF(AND($I$17&gt;0,A31&lt;=$I$17,P31=0),re,IF(OR(AND($Q$2="y",A31&lt;=$I$17,P31&lt;&gt;7),AND(OR($Q$2=0,$Q$2="n"),A31&lt;=$I$17,P31&lt;&gt;6)),"All data!",IF(AND(OR($Q$2=0,$Q$2="n"),C31&lt;&gt;""),"Check Pg2 Q30!",IF(AND(P31&gt;0,A31&gt;$I$17),"Delete!","")))))</f>
        <v/>
      </c>
      <c r="O31" s="3265">
        <f t="shared" ref="O31:O77" si="7">IF(M31="",0,1)</f>
      </c>
      <c r="P31" s="3265">
        <f t="shared" ref="P31:P77" si="8">IF($Q$2="y",COUNTA(B31:H31),COUNTA(B31,D31,E31,F31,G31,H31))</f>
      </c>
      <c r="R31" s="3278">
        <f t="shared" ref="R31:R77" si="9">IF(AND($Q$2="n",C31&lt;&gt;""),1,0)</f>
      </c>
      <c r="S31" s="3265"/>
    </row>
    <row r="32" spans="1:19" s="3123" customFormat="1" ht="15" hidden="1" customHeight="1" x14ac:dyDescent="0.2">
      <c r="A32" s="3690">
        <v>14</v>
      </c>
      <c r="B32" s="3702"/>
      <c r="C32" s="3702"/>
      <c r="D32" s="3703"/>
      <c r="E32" s="3703"/>
      <c r="F32" s="3703"/>
      <c r="G32" s="3704"/>
      <c r="H32" s="3702"/>
      <c r="I32" s="3788" t="str">
        <f t="shared" si="5"/>
        <v/>
      </c>
      <c r="J32" s="3686"/>
      <c r="K32" s="3686"/>
      <c r="L32" s="3621"/>
      <c r="M32" s="2748" t="str">
        <f t="shared" si="6"/>
        <v/>
      </c>
      <c r="O32" s="3265">
        <f t="shared" si="7"/>
        <v>0</v>
      </c>
      <c r="P32" s="3265">
        <f t="shared" si="8"/>
        <v>0</v>
      </c>
      <c r="R32" s="3278">
        <f t="shared" si="9"/>
        <v>0</v>
      </c>
      <c r="S32" s="3265"/>
    </row>
    <row r="33" spans="1:19" s="3123" customFormat="1" ht="15" hidden="1" customHeight="1" x14ac:dyDescent="0.2">
      <c r="A33" s="3690">
        <v>15</v>
      </c>
      <c r="B33" s="3702"/>
      <c r="C33" s="3702"/>
      <c r="D33" s="3703"/>
      <c r="E33" s="3703"/>
      <c r="F33" s="3703"/>
      <c r="G33" s="3704"/>
      <c r="H33" s="3702"/>
      <c r="I33" s="3788" t="str">
        <f t="shared" si="5"/>
        <v/>
      </c>
      <c r="J33" s="3686"/>
      <c r="K33" s="3686"/>
      <c r="L33" s="3621"/>
      <c r="M33" s="2748" t="str">
        <f t="shared" si="6"/>
        <v/>
      </c>
      <c r="O33" s="3265">
        <f t="shared" si="7"/>
        <v>0</v>
      </c>
      <c r="P33" s="3265">
        <f t="shared" si="8"/>
        <v>0</v>
      </c>
      <c r="R33" s="3278">
        <f t="shared" si="9"/>
        <v>0</v>
      </c>
      <c r="S33" s="3265"/>
    </row>
    <row r="34" spans="1:19" s="3123" customFormat="1" ht="15" hidden="1" customHeight="1" x14ac:dyDescent="0.2">
      <c r="A34" s="3690">
        <v>16</v>
      </c>
      <c r="B34" s="3702"/>
      <c r="C34" s="3702"/>
      <c r="D34" s="3703"/>
      <c r="E34" s="3703"/>
      <c r="F34" s="3703"/>
      <c r="G34" s="3704"/>
      <c r="H34" s="3702"/>
      <c r="I34" s="3788" t="str">
        <f t="shared" si="5"/>
        <v/>
      </c>
      <c r="J34" s="3686"/>
      <c r="K34" s="3686"/>
      <c r="L34" s="3621"/>
      <c r="M34" s="2748" t="str">
        <f t="shared" si="6"/>
        <v/>
      </c>
      <c r="O34" s="3265">
        <f t="shared" si="7"/>
        <v>0</v>
      </c>
      <c r="P34" s="3265">
        <f t="shared" si="8"/>
        <v>0</v>
      </c>
      <c r="R34" s="3278">
        <f t="shared" si="9"/>
        <v>0</v>
      </c>
      <c r="S34" s="3265"/>
    </row>
    <row r="35" spans="1:19" s="3123" customFormat="1" ht="15" hidden="1" customHeight="1" x14ac:dyDescent="0.2">
      <c r="A35" s="3690">
        <v>17</v>
      </c>
      <c r="B35" s="3702"/>
      <c r="C35" s="3702"/>
      <c r="D35" s="3703"/>
      <c r="E35" s="3703"/>
      <c r="F35" s="3703"/>
      <c r="G35" s="3704"/>
      <c r="H35" s="3702"/>
      <c r="I35" s="3788" t="str">
        <f t="shared" si="5"/>
        <v/>
      </c>
      <c r="J35" s="3686"/>
      <c r="K35" s="3686"/>
      <c r="L35" s="3621"/>
      <c r="M35" s="2748" t="str">
        <f t="shared" si="6"/>
        <v/>
      </c>
      <c r="O35" s="3265">
        <f t="shared" si="7"/>
        <v>0</v>
      </c>
      <c r="P35" s="3265">
        <f t="shared" si="8"/>
        <v>0</v>
      </c>
      <c r="R35" s="3278">
        <f t="shared" si="9"/>
        <v>0</v>
      </c>
      <c r="S35" s="3265"/>
    </row>
    <row r="36" spans="1:19" s="3123" customFormat="1" ht="15" hidden="1" customHeight="1" x14ac:dyDescent="0.2">
      <c r="A36" s="3690">
        <v>18</v>
      </c>
      <c r="B36" s="3702"/>
      <c r="C36" s="3702"/>
      <c r="D36" s="3703"/>
      <c r="E36" s="3703"/>
      <c r="F36" s="3703"/>
      <c r="G36" s="3704"/>
      <c r="H36" s="3702"/>
      <c r="I36" s="3788" t="str">
        <f t="shared" si="5"/>
        <v/>
      </c>
      <c r="J36" s="3686"/>
      <c r="K36" s="3686"/>
      <c r="L36" s="3621"/>
      <c r="M36" s="2748" t="str">
        <f t="shared" si="6"/>
        <v/>
      </c>
      <c r="O36" s="3265">
        <f t="shared" si="7"/>
        <v>0</v>
      </c>
      <c r="P36" s="3265">
        <f t="shared" si="8"/>
        <v>0</v>
      </c>
      <c r="R36" s="3278">
        <f t="shared" si="9"/>
        <v>0</v>
      </c>
      <c r="S36" s="3265"/>
    </row>
    <row r="37" spans="1:19" s="3123" customFormat="1" ht="15" hidden="1" customHeight="1" x14ac:dyDescent="0.2">
      <c r="A37" s="3690">
        <v>19</v>
      </c>
      <c r="B37" s="3702"/>
      <c r="C37" s="3702"/>
      <c r="D37" s="3703"/>
      <c r="E37" s="3703"/>
      <c r="F37" s="3703"/>
      <c r="G37" s="3704"/>
      <c r="H37" s="3702"/>
      <c r="I37" s="3788" t="str">
        <f t="shared" si="5"/>
        <v/>
      </c>
      <c r="J37" s="3686"/>
      <c r="K37" s="3686"/>
      <c r="L37" s="3621"/>
      <c r="M37" s="2748" t="str">
        <f t="shared" si="6"/>
        <v/>
      </c>
      <c r="O37" s="3265">
        <f t="shared" si="7"/>
        <v>0</v>
      </c>
      <c r="P37" s="3265">
        <f t="shared" si="8"/>
        <v>0</v>
      </c>
      <c r="R37" s="3278">
        <f t="shared" si="9"/>
        <v>0</v>
      </c>
      <c r="S37" s="3265"/>
    </row>
    <row r="38" spans="1:19" s="3123" customFormat="1" ht="15" hidden="1" customHeight="1" x14ac:dyDescent="0.2">
      <c r="A38" s="3690">
        <v>20</v>
      </c>
      <c r="B38" s="3702"/>
      <c r="C38" s="3702"/>
      <c r="D38" s="3703"/>
      <c r="E38" s="3703"/>
      <c r="F38" s="3703"/>
      <c r="G38" s="3704"/>
      <c r="H38" s="3702"/>
      <c r="I38" s="3788" t="str">
        <f t="shared" si="5"/>
        <v/>
      </c>
      <c r="J38" s="3686"/>
      <c r="K38" s="3686"/>
      <c r="L38" s="3621"/>
      <c r="M38" s="2748" t="str">
        <f t="shared" si="6"/>
        <v/>
      </c>
      <c r="O38" s="3265">
        <f t="shared" si="7"/>
        <v>0</v>
      </c>
      <c r="P38" s="3265">
        <f t="shared" si="8"/>
        <v>0</v>
      </c>
      <c r="R38" s="3278">
        <f t="shared" si="9"/>
        <v>0</v>
      </c>
      <c r="S38" s="3265"/>
    </row>
    <row r="39" spans="1:19" s="3123" customFormat="1" ht="15" hidden="1" customHeight="1" x14ac:dyDescent="0.2">
      <c r="A39" s="3690">
        <v>21</v>
      </c>
      <c r="B39" s="3702"/>
      <c r="C39" s="3702"/>
      <c r="D39" s="3703"/>
      <c r="E39" s="3703"/>
      <c r="F39" s="3703"/>
      <c r="G39" s="3704"/>
      <c r="H39" s="3702"/>
      <c r="I39" s="3788" t="str">
        <f t="shared" si="5"/>
        <v/>
      </c>
      <c r="J39" s="3686"/>
      <c r="K39" s="3686"/>
      <c r="L39" s="3621"/>
      <c r="M39" s="2748" t="str">
        <f t="shared" si="6"/>
        <v/>
      </c>
      <c r="O39" s="3265">
        <f t="shared" si="7"/>
        <v>0</v>
      </c>
      <c r="P39" s="3265">
        <f t="shared" si="8"/>
        <v>0</v>
      </c>
      <c r="R39" s="3278">
        <f t="shared" si="9"/>
        <v>0</v>
      </c>
      <c r="S39" s="3265"/>
    </row>
    <row r="40" spans="1:19" s="3123" customFormat="1" ht="15" hidden="1" customHeight="1" x14ac:dyDescent="0.2">
      <c r="A40" s="3690">
        <v>22</v>
      </c>
      <c r="B40" s="3702"/>
      <c r="C40" s="3702"/>
      <c r="D40" s="3703"/>
      <c r="E40" s="3703"/>
      <c r="F40" s="3703"/>
      <c r="G40" s="3704"/>
      <c r="H40" s="3702"/>
      <c r="I40" s="3788" t="str">
        <f t="shared" si="5"/>
        <v/>
      </c>
      <c r="J40" s="3686"/>
      <c r="K40" s="3686"/>
      <c r="L40" s="3621"/>
      <c r="M40" s="2748" t="str">
        <f t="shared" si="6"/>
        <v/>
      </c>
      <c r="O40" s="3265">
        <f t="shared" si="7"/>
        <v>0</v>
      </c>
      <c r="P40" s="3265">
        <f t="shared" si="8"/>
        <v>0</v>
      </c>
      <c r="R40" s="3278">
        <f t="shared" si="9"/>
        <v>0</v>
      </c>
      <c r="S40" s="3265"/>
    </row>
    <row r="41" spans="1:19" s="3123" customFormat="1" ht="15" hidden="1" customHeight="1" x14ac:dyDescent="0.2">
      <c r="A41" s="3690">
        <v>23</v>
      </c>
      <c r="B41" s="3702"/>
      <c r="C41" s="3702"/>
      <c r="D41" s="3703"/>
      <c r="E41" s="3703"/>
      <c r="F41" s="3703"/>
      <c r="G41" s="3704"/>
      <c r="H41" s="3702"/>
      <c r="I41" s="3788" t="str">
        <f t="shared" si="5"/>
        <v/>
      </c>
      <c r="J41" s="3686"/>
      <c r="K41" s="3686"/>
      <c r="L41" s="3621"/>
      <c r="M41" s="2748" t="str">
        <f t="shared" si="6"/>
        <v/>
      </c>
      <c r="O41" s="3265">
        <f t="shared" si="7"/>
        <v>0</v>
      </c>
      <c r="P41" s="3265">
        <f t="shared" si="8"/>
        <v>0</v>
      </c>
      <c r="R41" s="3278">
        <f t="shared" si="9"/>
        <v>0</v>
      </c>
      <c r="S41" s="3265"/>
    </row>
    <row r="42" spans="1:19" s="3123" customFormat="1" ht="15" hidden="1" customHeight="1" x14ac:dyDescent="0.2">
      <c r="A42" s="3690">
        <v>24</v>
      </c>
      <c r="B42" s="3702"/>
      <c r="C42" s="3702"/>
      <c r="D42" s="3703"/>
      <c r="E42" s="3703"/>
      <c r="F42" s="3703"/>
      <c r="G42" s="3704"/>
      <c r="H42" s="3702"/>
      <c r="I42" s="3788" t="str">
        <f t="shared" si="5"/>
        <v/>
      </c>
      <c r="J42" s="3686"/>
      <c r="K42" s="3686"/>
      <c r="L42" s="3621"/>
      <c r="M42" s="2748" t="str">
        <f t="shared" si="6"/>
        <v/>
      </c>
      <c r="O42" s="3265">
        <f t="shared" si="7"/>
        <v>0</v>
      </c>
      <c r="P42" s="3265">
        <f t="shared" si="8"/>
        <v>0</v>
      </c>
      <c r="R42" s="3278">
        <f t="shared" si="9"/>
        <v>0</v>
      </c>
      <c r="S42" s="3265"/>
    </row>
    <row r="43" spans="1:19" s="3123" customFormat="1" ht="15" hidden="1" customHeight="1" x14ac:dyDescent="0.2">
      <c r="A43" s="3690">
        <v>25</v>
      </c>
      <c r="B43" s="3702"/>
      <c r="C43" s="3702"/>
      <c r="D43" s="3703"/>
      <c r="E43" s="3703"/>
      <c r="F43" s="3703"/>
      <c r="G43" s="3704"/>
      <c r="H43" s="3702"/>
      <c r="I43" s="3788" t="str">
        <f t="shared" si="5"/>
        <v/>
      </c>
      <c r="J43" s="3686"/>
      <c r="K43" s="3686"/>
      <c r="L43" s="3621"/>
      <c r="M43" s="2748" t="str">
        <f t="shared" si="6"/>
        <v/>
      </c>
      <c r="O43" s="3265">
        <f t="shared" si="7"/>
        <v>0</v>
      </c>
      <c r="P43" s="3265">
        <f t="shared" si="8"/>
        <v>0</v>
      </c>
      <c r="R43" s="3278">
        <f t="shared" si="9"/>
        <v>0</v>
      </c>
      <c r="S43" s="3265"/>
    </row>
    <row r="44" spans="1:19" s="3123" customFormat="1" ht="15" hidden="1" customHeight="1" x14ac:dyDescent="0.2">
      <c r="A44" s="3690">
        <v>26</v>
      </c>
      <c r="B44" s="3702"/>
      <c r="C44" s="3702"/>
      <c r="D44" s="3703"/>
      <c r="E44" s="3703"/>
      <c r="F44" s="3703"/>
      <c r="G44" s="3704"/>
      <c r="H44" s="3702"/>
      <c r="I44" s="3788" t="str">
        <f t="shared" si="5"/>
        <v/>
      </c>
      <c r="J44" s="3686"/>
      <c r="K44" s="3686"/>
      <c r="L44" s="3621"/>
      <c r="M44" s="2748" t="str">
        <f t="shared" si="6"/>
        <v/>
      </c>
      <c r="O44" s="3265">
        <f t="shared" si="7"/>
        <v>0</v>
      </c>
      <c r="P44" s="3265">
        <f t="shared" si="8"/>
        <v>0</v>
      </c>
      <c r="R44" s="3278">
        <f t="shared" si="9"/>
        <v>0</v>
      </c>
      <c r="S44" s="3265"/>
    </row>
    <row r="45" spans="1:19" s="3123" customFormat="1" ht="15" hidden="1" customHeight="1" x14ac:dyDescent="0.2">
      <c r="A45" s="3690">
        <v>27</v>
      </c>
      <c r="B45" s="3702"/>
      <c r="C45" s="3702"/>
      <c r="D45" s="3703"/>
      <c r="E45" s="3703"/>
      <c r="F45" s="3703"/>
      <c r="G45" s="3704"/>
      <c r="H45" s="3702"/>
      <c r="I45" s="3788" t="str">
        <f t="shared" si="5"/>
        <v/>
      </c>
      <c r="J45" s="3686"/>
      <c r="K45" s="3686"/>
      <c r="L45" s="3621"/>
      <c r="M45" s="2748" t="str">
        <f t="shared" si="6"/>
        <v/>
      </c>
      <c r="O45" s="3265">
        <f t="shared" si="7"/>
        <v>0</v>
      </c>
      <c r="P45" s="3265">
        <f t="shared" si="8"/>
        <v>0</v>
      </c>
      <c r="R45" s="3278">
        <f t="shared" si="9"/>
        <v>0</v>
      </c>
      <c r="S45" s="3265"/>
    </row>
    <row r="46" spans="1:19" s="3123" customFormat="1" ht="15" hidden="1" customHeight="1" x14ac:dyDescent="0.2">
      <c r="A46" s="3690">
        <v>28</v>
      </c>
      <c r="B46" s="3702"/>
      <c r="C46" s="3702"/>
      <c r="D46" s="3703"/>
      <c r="E46" s="3703"/>
      <c r="F46" s="3703"/>
      <c r="G46" s="3704"/>
      <c r="H46" s="3702"/>
      <c r="I46" s="3788" t="str">
        <f t="shared" si="5"/>
        <v/>
      </c>
      <c r="J46" s="3686"/>
      <c r="K46" s="3686"/>
      <c r="L46" s="3621"/>
      <c r="M46" s="2748" t="str">
        <f t="shared" si="6"/>
        <v/>
      </c>
      <c r="O46" s="3265">
        <f t="shared" si="7"/>
        <v>0</v>
      </c>
      <c r="P46" s="3265">
        <f t="shared" si="8"/>
        <v>0</v>
      </c>
      <c r="R46" s="3278">
        <f t="shared" si="9"/>
        <v>0</v>
      </c>
      <c r="S46" s="3265"/>
    </row>
    <row r="47" spans="1:19" s="3123" customFormat="1" ht="15" hidden="1" customHeight="1" x14ac:dyDescent="0.2">
      <c r="A47" s="3690">
        <v>29</v>
      </c>
      <c r="B47" s="3702"/>
      <c r="C47" s="3702"/>
      <c r="D47" s="3703"/>
      <c r="E47" s="3703"/>
      <c r="F47" s="3703"/>
      <c r="G47" s="3704"/>
      <c r="H47" s="3702"/>
      <c r="I47" s="3788" t="str">
        <f t="shared" si="5"/>
        <v/>
      </c>
      <c r="J47" s="3686"/>
      <c r="K47" s="3686"/>
      <c r="L47" s="3621"/>
      <c r="M47" s="2748" t="str">
        <f t="shared" si="6"/>
        <v/>
      </c>
      <c r="O47" s="3265">
        <f t="shared" si="7"/>
        <v>0</v>
      </c>
      <c r="P47" s="3265">
        <f t="shared" si="8"/>
        <v>0</v>
      </c>
      <c r="R47" s="3278">
        <f t="shared" si="9"/>
        <v>0</v>
      </c>
      <c r="S47" s="3265"/>
    </row>
    <row r="48" spans="1:19" s="3123" customFormat="1" ht="15" hidden="1" customHeight="1" x14ac:dyDescent="0.2">
      <c r="A48" s="3690">
        <v>30</v>
      </c>
      <c r="B48" s="3702"/>
      <c r="C48" s="3702"/>
      <c r="D48" s="3703"/>
      <c r="E48" s="3703"/>
      <c r="F48" s="3703"/>
      <c r="G48" s="3704"/>
      <c r="H48" s="3702"/>
      <c r="I48" s="3788" t="str">
        <f t="shared" si="5"/>
        <v/>
      </c>
      <c r="J48" s="3686"/>
      <c r="K48" s="3686"/>
      <c r="L48" s="3621"/>
      <c r="M48" s="2748" t="str">
        <f t="shared" si="6"/>
        <v/>
      </c>
      <c r="O48" s="3265">
        <f t="shared" si="7"/>
        <v>0</v>
      </c>
      <c r="P48" s="3265">
        <f t="shared" si="8"/>
        <v>0</v>
      </c>
      <c r="R48" s="3278">
        <f t="shared" si="9"/>
        <v>0</v>
      </c>
      <c r="S48" s="3265"/>
    </row>
    <row r="49" spans="1:19" s="3123" customFormat="1" ht="15" hidden="1" customHeight="1" x14ac:dyDescent="0.2">
      <c r="A49" s="3690">
        <v>31</v>
      </c>
      <c r="B49" s="3702"/>
      <c r="C49" s="3702"/>
      <c r="D49" s="3703"/>
      <c r="E49" s="3703"/>
      <c r="F49" s="3703"/>
      <c r="G49" s="3704"/>
      <c r="H49" s="3702"/>
      <c r="I49" s="3788" t="str">
        <f t="shared" si="5"/>
        <v/>
      </c>
      <c r="J49" s="3686"/>
      <c r="K49" s="3686"/>
      <c r="L49" s="3621"/>
      <c r="M49" s="2748" t="str">
        <f t="shared" si="6"/>
        <v/>
      </c>
      <c r="O49" s="3265">
        <f t="shared" si="7"/>
        <v>0</v>
      </c>
      <c r="P49" s="3265">
        <f t="shared" si="8"/>
        <v>0</v>
      </c>
      <c r="R49" s="3278">
        <f t="shared" si="9"/>
        <v>0</v>
      </c>
      <c r="S49" s="3265"/>
    </row>
    <row r="50" spans="1:19" s="3123" customFormat="1" ht="15" hidden="1" customHeight="1" x14ac:dyDescent="0.2">
      <c r="A50" s="3690">
        <v>32</v>
      </c>
      <c r="B50" s="3702"/>
      <c r="C50" s="3702"/>
      <c r="D50" s="3703"/>
      <c r="E50" s="3703"/>
      <c r="F50" s="3703"/>
      <c r="G50" s="3704"/>
      <c r="H50" s="3702"/>
      <c r="I50" s="3788" t="str">
        <f t="shared" si="5"/>
        <v/>
      </c>
      <c r="J50" s="3686"/>
      <c r="K50" s="3686"/>
      <c r="L50" s="3621"/>
      <c r="M50" s="2748" t="str">
        <f t="shared" si="6"/>
        <v/>
      </c>
      <c r="O50" s="3265">
        <f t="shared" si="7"/>
        <v>0</v>
      </c>
      <c r="P50" s="3265">
        <f t="shared" si="8"/>
        <v>0</v>
      </c>
      <c r="R50" s="3278">
        <f t="shared" si="9"/>
        <v>0</v>
      </c>
      <c r="S50" s="3265"/>
    </row>
    <row r="51" spans="1:19" s="3123" customFormat="1" ht="15" hidden="1" customHeight="1" x14ac:dyDescent="0.2">
      <c r="A51" s="3690">
        <v>33</v>
      </c>
      <c r="B51" s="3702"/>
      <c r="C51" s="3702"/>
      <c r="D51" s="3703"/>
      <c r="E51" s="3703"/>
      <c r="F51" s="3703"/>
      <c r="G51" s="3704"/>
      <c r="H51" s="3702"/>
      <c r="I51" s="3788" t="str">
        <f t="shared" si="5"/>
        <v/>
      </c>
      <c r="J51" s="3686"/>
      <c r="K51" s="3686"/>
      <c r="L51" s="3621"/>
      <c r="M51" s="2748" t="str">
        <f t="shared" si="6"/>
        <v/>
      </c>
      <c r="O51" s="3265">
        <f t="shared" si="7"/>
        <v>0</v>
      </c>
      <c r="P51" s="3265">
        <f t="shared" si="8"/>
        <v>0</v>
      </c>
      <c r="R51" s="3278">
        <f t="shared" si="9"/>
        <v>0</v>
      </c>
      <c r="S51" s="3265"/>
    </row>
    <row r="52" spans="1:19" s="3123" customFormat="1" ht="15" hidden="1" customHeight="1" x14ac:dyDescent="0.2">
      <c r="A52" s="3690">
        <v>34</v>
      </c>
      <c r="B52" s="3702"/>
      <c r="C52" s="3702"/>
      <c r="D52" s="3703"/>
      <c r="E52" s="3703"/>
      <c r="F52" s="3703"/>
      <c r="G52" s="3704"/>
      <c r="H52" s="3702"/>
      <c r="I52" s="3788" t="str">
        <f t="shared" si="5"/>
        <v/>
      </c>
      <c r="J52" s="3686"/>
      <c r="K52" s="3686"/>
      <c r="L52" s="3621"/>
      <c r="M52" s="2748" t="str">
        <f t="shared" si="6"/>
        <v/>
      </c>
      <c r="O52" s="3265">
        <f t="shared" si="7"/>
        <v>0</v>
      </c>
      <c r="P52" s="3265">
        <f t="shared" si="8"/>
        <v>0</v>
      </c>
      <c r="R52" s="3278">
        <f t="shared" si="9"/>
        <v>0</v>
      </c>
      <c r="S52" s="3265"/>
    </row>
    <row r="53" spans="1:19" s="3123" customFormat="1" ht="15" hidden="1" customHeight="1" x14ac:dyDescent="0.2">
      <c r="A53" s="3690">
        <v>35</v>
      </c>
      <c r="B53" s="3702"/>
      <c r="C53" s="3702"/>
      <c r="D53" s="3703"/>
      <c r="E53" s="3703"/>
      <c r="F53" s="3703"/>
      <c r="G53" s="3704"/>
      <c r="H53" s="3702"/>
      <c r="I53" s="3788" t="str">
        <f t="shared" si="5"/>
        <v/>
      </c>
      <c r="J53" s="3686"/>
      <c r="K53" s="3686"/>
      <c r="L53" s="3621"/>
      <c r="M53" s="2748" t="str">
        <f t="shared" si="6"/>
        <v/>
      </c>
      <c r="O53" s="3265">
        <f t="shared" si="7"/>
        <v>0</v>
      </c>
      <c r="P53" s="3265">
        <f t="shared" si="8"/>
        <v>0</v>
      </c>
      <c r="R53" s="3278">
        <f t="shared" si="9"/>
        <v>0</v>
      </c>
      <c r="S53" s="3265"/>
    </row>
    <row r="54" spans="1:19" s="3123" customFormat="1" ht="15" hidden="1" customHeight="1" x14ac:dyDescent="0.2">
      <c r="A54" s="3690">
        <v>36</v>
      </c>
      <c r="B54" s="3702"/>
      <c r="C54" s="3702"/>
      <c r="D54" s="3703"/>
      <c r="E54" s="3703"/>
      <c r="F54" s="3703"/>
      <c r="G54" s="3704"/>
      <c r="H54" s="3702"/>
      <c r="I54" s="3788" t="str">
        <f t="shared" si="5"/>
        <v/>
      </c>
      <c r="J54" s="3686"/>
      <c r="K54" s="3686"/>
      <c r="L54" s="3621"/>
      <c r="M54" s="2748" t="str">
        <f t="shared" si="6"/>
        <v/>
      </c>
      <c r="O54" s="3265">
        <f t="shared" si="7"/>
        <v>0</v>
      </c>
      <c r="P54" s="3265">
        <f t="shared" si="8"/>
        <v>0</v>
      </c>
      <c r="R54" s="3278">
        <f t="shared" si="9"/>
        <v>0</v>
      </c>
      <c r="S54" s="3265"/>
    </row>
    <row r="55" spans="1:19" s="3123" customFormat="1" ht="15" hidden="1" customHeight="1" x14ac:dyDescent="0.2">
      <c r="A55" s="3690">
        <v>37</v>
      </c>
      <c r="B55" s="3702"/>
      <c r="C55" s="3702"/>
      <c r="D55" s="3703"/>
      <c r="E55" s="3703"/>
      <c r="F55" s="3703"/>
      <c r="G55" s="3704"/>
      <c r="H55" s="3702"/>
      <c r="I55" s="3788" t="str">
        <f t="shared" si="5"/>
        <v/>
      </c>
      <c r="J55" s="3686"/>
      <c r="K55" s="3686"/>
      <c r="L55" s="3621"/>
      <c r="M55" s="2748" t="str">
        <f t="shared" si="6"/>
        <v/>
      </c>
      <c r="O55" s="3265">
        <f t="shared" si="7"/>
        <v>0</v>
      </c>
      <c r="P55" s="3265">
        <f t="shared" si="8"/>
        <v>0</v>
      </c>
      <c r="R55" s="3278">
        <f t="shared" si="9"/>
        <v>0</v>
      </c>
      <c r="S55" s="3265"/>
    </row>
    <row r="56" spans="1:19" s="3123" customFormat="1" ht="15" hidden="1" customHeight="1" x14ac:dyDescent="0.2">
      <c r="A56" s="3690">
        <v>38</v>
      </c>
      <c r="B56" s="3702"/>
      <c r="C56" s="3702"/>
      <c r="D56" s="3703"/>
      <c r="E56" s="3703"/>
      <c r="F56" s="3703"/>
      <c r="G56" s="3704"/>
      <c r="H56" s="3702"/>
      <c r="I56" s="3788" t="str">
        <f t="shared" si="5"/>
        <v/>
      </c>
      <c r="J56" s="3686"/>
      <c r="K56" s="3686"/>
      <c r="L56" s="3621"/>
      <c r="M56" s="2748" t="str">
        <f t="shared" si="6"/>
        <v/>
      </c>
      <c r="O56" s="3265">
        <f t="shared" si="7"/>
        <v>0</v>
      </c>
      <c r="P56" s="3265">
        <f t="shared" si="8"/>
        <v>0</v>
      </c>
      <c r="R56" s="3278">
        <f t="shared" si="9"/>
        <v>0</v>
      </c>
      <c r="S56" s="3265"/>
    </row>
    <row r="57" spans="1:19" s="3123" customFormat="1" ht="15" hidden="1" customHeight="1" x14ac:dyDescent="0.2">
      <c r="A57" s="3690">
        <v>39</v>
      </c>
      <c r="B57" s="3702"/>
      <c r="C57" s="3702"/>
      <c r="D57" s="3703"/>
      <c r="E57" s="3703"/>
      <c r="F57" s="3703"/>
      <c r="G57" s="3704"/>
      <c r="H57" s="3702"/>
      <c r="I57" s="3788" t="str">
        <f t="shared" si="5"/>
        <v/>
      </c>
      <c r="J57" s="3686"/>
      <c r="K57" s="3686"/>
      <c r="L57" s="3621"/>
      <c r="M57" s="2748" t="str">
        <f t="shared" si="6"/>
        <v/>
      </c>
      <c r="O57" s="3265">
        <f t="shared" si="7"/>
        <v>0</v>
      </c>
      <c r="P57" s="3265">
        <f t="shared" si="8"/>
        <v>0</v>
      </c>
      <c r="R57" s="3278">
        <f t="shared" si="9"/>
        <v>0</v>
      </c>
      <c r="S57" s="3265"/>
    </row>
    <row r="58" spans="1:19" s="3123" customFormat="1" ht="15" hidden="1" customHeight="1" x14ac:dyDescent="0.2">
      <c r="A58" s="3690">
        <v>40</v>
      </c>
      <c r="B58" s="3702"/>
      <c r="C58" s="3702"/>
      <c r="D58" s="3703"/>
      <c r="E58" s="3703"/>
      <c r="F58" s="3703"/>
      <c r="G58" s="3704"/>
      <c r="H58" s="3702"/>
      <c r="I58" s="3788" t="str">
        <f t="shared" si="5"/>
        <v/>
      </c>
      <c r="J58" s="3686"/>
      <c r="K58" s="3686"/>
      <c r="L58" s="3621"/>
      <c r="M58" s="2748" t="str">
        <f t="shared" si="6"/>
        <v/>
      </c>
      <c r="O58" s="3265">
        <f t="shared" si="7"/>
        <v>0</v>
      </c>
      <c r="P58" s="3265">
        <f t="shared" si="8"/>
        <v>0</v>
      </c>
      <c r="R58" s="3278">
        <f t="shared" si="9"/>
        <v>0</v>
      </c>
      <c r="S58" s="3265"/>
    </row>
    <row r="59" spans="1:19" s="3123" customFormat="1" ht="15" hidden="1" customHeight="1" x14ac:dyDescent="0.2">
      <c r="A59" s="3690">
        <v>41</v>
      </c>
      <c r="B59" s="3702"/>
      <c r="C59" s="3702"/>
      <c r="D59" s="3703"/>
      <c r="E59" s="3703"/>
      <c r="F59" s="3703"/>
      <c r="G59" s="3704"/>
      <c r="H59" s="3702"/>
      <c r="I59" s="3788" t="str">
        <f t="shared" si="5"/>
        <v/>
      </c>
      <c r="J59" s="3686"/>
      <c r="K59" s="3686"/>
      <c r="L59" s="3621"/>
      <c r="M59" s="2748" t="str">
        <f t="shared" si="6"/>
        <v/>
      </c>
      <c r="O59" s="3265">
        <f t="shared" si="7"/>
        <v>0</v>
      </c>
      <c r="P59" s="3265">
        <f t="shared" si="8"/>
        <v>0</v>
      </c>
      <c r="R59" s="3278">
        <f t="shared" si="9"/>
        <v>0</v>
      </c>
      <c r="S59" s="3265"/>
    </row>
    <row r="60" spans="1:19" s="3123" customFormat="1" ht="15" hidden="1" customHeight="1" x14ac:dyDescent="0.2">
      <c r="A60" s="3690">
        <v>42</v>
      </c>
      <c r="B60" s="3702"/>
      <c r="C60" s="3702"/>
      <c r="D60" s="3703"/>
      <c r="E60" s="3703"/>
      <c r="F60" s="3703"/>
      <c r="G60" s="3704"/>
      <c r="H60" s="3702"/>
      <c r="I60" s="3788" t="str">
        <f t="shared" si="5"/>
        <v/>
      </c>
      <c r="J60" s="3686"/>
      <c r="K60" s="3686"/>
      <c r="L60" s="3621"/>
      <c r="M60" s="2748" t="str">
        <f t="shared" si="6"/>
        <v/>
      </c>
      <c r="O60" s="3265">
        <f t="shared" si="7"/>
        <v>0</v>
      </c>
      <c r="P60" s="3265">
        <f t="shared" si="8"/>
        <v>0</v>
      </c>
      <c r="R60" s="3278">
        <f t="shared" si="9"/>
        <v>0</v>
      </c>
      <c r="S60" s="3265"/>
    </row>
    <row r="61" spans="1:19" s="3123" customFormat="1" ht="15" hidden="1" customHeight="1" x14ac:dyDescent="0.2">
      <c r="A61" s="3690">
        <v>43</v>
      </c>
      <c r="B61" s="3702"/>
      <c r="C61" s="3702"/>
      <c r="D61" s="3703"/>
      <c r="E61" s="3703"/>
      <c r="F61" s="3703"/>
      <c r="G61" s="3704"/>
      <c r="H61" s="3702"/>
      <c r="I61" s="3788" t="str">
        <f t="shared" si="5"/>
        <v/>
      </c>
      <c r="J61" s="3686"/>
      <c r="K61" s="3686"/>
      <c r="L61" s="3621"/>
      <c r="M61" s="2748" t="str">
        <f t="shared" si="6"/>
        <v/>
      </c>
      <c r="O61" s="3265">
        <f t="shared" si="7"/>
        <v>0</v>
      </c>
      <c r="P61" s="3265">
        <f t="shared" si="8"/>
        <v>0</v>
      </c>
      <c r="R61" s="3278">
        <f t="shared" si="9"/>
        <v>0</v>
      </c>
      <c r="S61" s="3265"/>
    </row>
    <row r="62" spans="1:19" s="3123" customFormat="1" ht="15" hidden="1" customHeight="1" x14ac:dyDescent="0.2">
      <c r="A62" s="3690">
        <v>44</v>
      </c>
      <c r="B62" s="3702"/>
      <c r="C62" s="3702"/>
      <c r="D62" s="3703"/>
      <c r="E62" s="3703"/>
      <c r="F62" s="3703"/>
      <c r="G62" s="3704"/>
      <c r="H62" s="3702"/>
      <c r="I62" s="3788" t="str">
        <f t="shared" si="5"/>
        <v/>
      </c>
      <c r="J62" s="3686"/>
      <c r="K62" s="3686"/>
      <c r="L62" s="3621"/>
      <c r="M62" s="2748" t="str">
        <f t="shared" si="6"/>
        <v/>
      </c>
      <c r="O62" s="3265">
        <f t="shared" si="7"/>
        <v>0</v>
      </c>
      <c r="P62" s="3265">
        <f t="shared" si="8"/>
        <v>0</v>
      </c>
      <c r="R62" s="3278">
        <f t="shared" si="9"/>
        <v>0</v>
      </c>
      <c r="S62" s="3265"/>
    </row>
    <row r="63" spans="1:19" s="3123" customFormat="1" ht="15" hidden="1" customHeight="1" x14ac:dyDescent="0.2">
      <c r="A63" s="3690">
        <v>45</v>
      </c>
      <c r="B63" s="3702"/>
      <c r="C63" s="3702"/>
      <c r="D63" s="3703"/>
      <c r="E63" s="3703"/>
      <c r="F63" s="3703"/>
      <c r="G63" s="3704"/>
      <c r="H63" s="3702"/>
      <c r="I63" s="3788" t="str">
        <f t="shared" si="5"/>
        <v/>
      </c>
      <c r="J63" s="3686"/>
      <c r="K63" s="3686"/>
      <c r="L63" s="3621"/>
      <c r="M63" s="2748" t="str">
        <f t="shared" si="6"/>
        <v/>
      </c>
      <c r="O63" s="3265">
        <f t="shared" si="7"/>
        <v>0</v>
      </c>
      <c r="P63" s="3265">
        <f t="shared" si="8"/>
        <v>0</v>
      </c>
      <c r="R63" s="3278">
        <f t="shared" si="9"/>
        <v>0</v>
      </c>
      <c r="S63" s="3265"/>
    </row>
    <row r="64" spans="1:19" s="3123" customFormat="1" ht="15" hidden="1" customHeight="1" x14ac:dyDescent="0.2">
      <c r="A64" s="3690">
        <v>46</v>
      </c>
      <c r="B64" s="3702"/>
      <c r="C64" s="3702"/>
      <c r="D64" s="3703"/>
      <c r="E64" s="3703"/>
      <c r="F64" s="3703"/>
      <c r="G64" s="3704"/>
      <c r="H64" s="3702"/>
      <c r="I64" s="3788" t="str">
        <f t="shared" si="5"/>
        <v/>
      </c>
      <c r="J64" s="3686"/>
      <c r="K64" s="3686"/>
      <c r="L64" s="3621"/>
      <c r="M64" s="2748" t="str">
        <f t="shared" si="6"/>
        <v/>
      </c>
      <c r="O64" s="3265">
        <f t="shared" si="7"/>
        <v>0</v>
      </c>
      <c r="P64" s="3265">
        <f t="shared" si="8"/>
        <v>0</v>
      </c>
      <c r="R64" s="3278">
        <f t="shared" si="9"/>
        <v>0</v>
      </c>
      <c r="S64" s="3265"/>
    </row>
    <row r="65" spans="1:19" s="3123" customFormat="1" ht="15" hidden="1" customHeight="1" x14ac:dyDescent="0.2">
      <c r="A65" s="3690">
        <v>47</v>
      </c>
      <c r="B65" s="3702"/>
      <c r="C65" s="3702"/>
      <c r="D65" s="3703"/>
      <c r="E65" s="3703"/>
      <c r="F65" s="3703"/>
      <c r="G65" s="3704"/>
      <c r="H65" s="3702"/>
      <c r="I65" s="3788" t="str">
        <f t="shared" si="5"/>
        <v/>
      </c>
      <c r="J65" s="3686"/>
      <c r="K65" s="3686"/>
      <c r="L65" s="3621"/>
      <c r="M65" s="2748" t="str">
        <f t="shared" si="6"/>
        <v/>
      </c>
      <c r="O65" s="3265">
        <f t="shared" si="7"/>
        <v>0</v>
      </c>
      <c r="P65" s="3265">
        <f t="shared" si="8"/>
        <v>0</v>
      </c>
      <c r="R65" s="3278">
        <f t="shared" si="9"/>
        <v>0</v>
      </c>
      <c r="S65" s="3265"/>
    </row>
    <row r="66" spans="1:19" s="3123" customFormat="1" ht="15" hidden="1" customHeight="1" x14ac:dyDescent="0.2">
      <c r="A66" s="3690">
        <v>48</v>
      </c>
      <c r="B66" s="3702"/>
      <c r="C66" s="3702"/>
      <c r="D66" s="3703"/>
      <c r="E66" s="3703"/>
      <c r="F66" s="3703"/>
      <c r="G66" s="3704"/>
      <c r="H66" s="3702"/>
      <c r="I66" s="3788" t="str">
        <f t="shared" si="5"/>
        <v/>
      </c>
      <c r="J66" s="3686"/>
      <c r="K66" s="3686"/>
      <c r="L66" s="3621"/>
      <c r="M66" s="2748" t="str">
        <f t="shared" si="6"/>
        <v/>
      </c>
      <c r="O66" s="3265">
        <f t="shared" si="7"/>
        <v>0</v>
      </c>
      <c r="P66" s="3265">
        <f t="shared" si="8"/>
        <v>0</v>
      </c>
      <c r="R66" s="3278">
        <f t="shared" si="9"/>
        <v>0</v>
      </c>
      <c r="S66" s="3265"/>
    </row>
    <row r="67" spans="1:19" s="3123" customFormat="1" ht="15" hidden="1" customHeight="1" x14ac:dyDescent="0.2">
      <c r="A67" s="3690">
        <v>49</v>
      </c>
      <c r="B67" s="3702"/>
      <c r="C67" s="3702"/>
      <c r="D67" s="3703"/>
      <c r="E67" s="3703"/>
      <c r="F67" s="3703"/>
      <c r="G67" s="3704"/>
      <c r="H67" s="3702"/>
      <c r="I67" s="3788" t="str">
        <f t="shared" si="5"/>
        <v/>
      </c>
      <c r="J67" s="3686"/>
      <c r="K67" s="3686"/>
      <c r="L67" s="3621"/>
      <c r="M67" s="2748" t="str">
        <f t="shared" si="6"/>
        <v/>
      </c>
      <c r="O67" s="3265">
        <f t="shared" si="7"/>
        <v>0</v>
      </c>
      <c r="P67" s="3265">
        <f t="shared" si="8"/>
        <v>0</v>
      </c>
      <c r="R67" s="3278">
        <f t="shared" si="9"/>
        <v>0</v>
      </c>
      <c r="S67" s="3265"/>
    </row>
    <row r="68" spans="1:19" s="3123" customFormat="1" ht="15" hidden="1" customHeight="1" x14ac:dyDescent="0.2">
      <c r="A68" s="3690">
        <v>50</v>
      </c>
      <c r="B68" s="3702"/>
      <c r="C68" s="3702"/>
      <c r="D68" s="3703"/>
      <c r="E68" s="3703"/>
      <c r="F68" s="3703"/>
      <c r="G68" s="3704"/>
      <c r="H68" s="3702"/>
      <c r="I68" s="3788" t="str">
        <f t="shared" si="5"/>
        <v/>
      </c>
      <c r="J68" s="3686"/>
      <c r="K68" s="3686"/>
      <c r="L68" s="3621"/>
      <c r="M68" s="2748" t="str">
        <f t="shared" si="6"/>
        <v/>
      </c>
      <c r="O68" s="3265">
        <f t="shared" si="7"/>
        <v>0</v>
      </c>
      <c r="P68" s="3265">
        <f t="shared" si="8"/>
        <v>0</v>
      </c>
      <c r="R68" s="3278">
        <f t="shared" si="9"/>
        <v>0</v>
      </c>
      <c r="S68" s="3265"/>
    </row>
    <row r="69" spans="1:19" s="3123" customFormat="1" ht="15" hidden="1" customHeight="1" x14ac:dyDescent="0.2">
      <c r="A69" s="3690">
        <v>51</v>
      </c>
      <c r="B69" s="3702"/>
      <c r="C69" s="3702"/>
      <c r="D69" s="3703"/>
      <c r="E69" s="3703"/>
      <c r="F69" s="3703"/>
      <c r="G69" s="3704"/>
      <c r="H69" s="3702"/>
      <c r="I69" s="3788" t="str">
        <f t="shared" si="5"/>
        <v/>
      </c>
      <c r="J69" s="3686"/>
      <c r="K69" s="3686"/>
      <c r="L69" s="3621"/>
      <c r="M69" s="2748" t="str">
        <f t="shared" si="6"/>
        <v/>
      </c>
      <c r="O69" s="3265">
        <f t="shared" si="7"/>
        <v>0</v>
      </c>
      <c r="P69" s="3265">
        <f t="shared" si="8"/>
        <v>0</v>
      </c>
      <c r="R69" s="3278">
        <f t="shared" si="9"/>
        <v>0</v>
      </c>
      <c r="S69" s="3265"/>
    </row>
    <row r="70" spans="1:19" s="3123" customFormat="1" ht="15" hidden="1" customHeight="1" x14ac:dyDescent="0.2">
      <c r="A70" s="3690">
        <v>52</v>
      </c>
      <c r="B70" s="3702"/>
      <c r="C70" s="3702"/>
      <c r="D70" s="3703"/>
      <c r="E70" s="3703"/>
      <c r="F70" s="3703"/>
      <c r="G70" s="3704"/>
      <c r="H70" s="3702"/>
      <c r="I70" s="3788" t="str">
        <f t="shared" si="5"/>
        <v/>
      </c>
      <c r="J70" s="3686"/>
      <c r="K70" s="3686"/>
      <c r="L70" s="3621"/>
      <c r="M70" s="2748" t="str">
        <f t="shared" si="6"/>
        <v/>
      </c>
      <c r="O70" s="3265">
        <f t="shared" si="7"/>
        <v>0</v>
      </c>
      <c r="P70" s="3265">
        <f t="shared" si="8"/>
        <v>0</v>
      </c>
      <c r="R70" s="3278">
        <f t="shared" si="9"/>
        <v>0</v>
      </c>
      <c r="S70" s="3265"/>
    </row>
    <row r="71" spans="1:19" s="3123" customFormat="1" ht="15" hidden="1" customHeight="1" x14ac:dyDescent="0.2">
      <c r="A71" s="3690">
        <v>53</v>
      </c>
      <c r="B71" s="3702"/>
      <c r="C71" s="3702"/>
      <c r="D71" s="3703"/>
      <c r="E71" s="3703"/>
      <c r="F71" s="3703"/>
      <c r="G71" s="3704"/>
      <c r="H71" s="3702"/>
      <c r="I71" s="3788" t="str">
        <f t="shared" si="5"/>
        <v/>
      </c>
      <c r="J71" s="3686"/>
      <c r="K71" s="3686"/>
      <c r="L71" s="3621"/>
      <c r="M71" s="2748" t="str">
        <f t="shared" si="6"/>
        <v/>
      </c>
      <c r="O71" s="3265">
        <f t="shared" si="7"/>
        <v>0</v>
      </c>
      <c r="P71" s="3265">
        <f t="shared" si="8"/>
        <v>0</v>
      </c>
      <c r="R71" s="3278">
        <f t="shared" si="9"/>
        <v>0</v>
      </c>
      <c r="S71" s="3265"/>
    </row>
    <row r="72" spans="1:19" s="3123" customFormat="1" ht="15" hidden="1" customHeight="1" x14ac:dyDescent="0.2">
      <c r="A72" s="3690">
        <v>54</v>
      </c>
      <c r="B72" s="3702"/>
      <c r="C72" s="3702"/>
      <c r="D72" s="3703"/>
      <c r="E72" s="3703"/>
      <c r="F72" s="3703"/>
      <c r="G72" s="3704"/>
      <c r="H72" s="3702"/>
      <c r="I72" s="3788" t="str">
        <f t="shared" si="5"/>
        <v/>
      </c>
      <c r="J72" s="3686"/>
      <c r="K72" s="3686"/>
      <c r="L72" s="3621"/>
      <c r="M72" s="2748" t="str">
        <f t="shared" si="6"/>
        <v/>
      </c>
      <c r="O72" s="3265">
        <f t="shared" si="7"/>
        <v>0</v>
      </c>
      <c r="P72" s="3265">
        <f t="shared" si="8"/>
        <v>0</v>
      </c>
      <c r="R72" s="3278">
        <f t="shared" si="9"/>
        <v>0</v>
      </c>
      <c r="S72" s="3265"/>
    </row>
    <row r="73" spans="1:19" s="3123" customFormat="1" ht="15" hidden="1" customHeight="1" x14ac:dyDescent="0.2">
      <c r="A73" s="3690">
        <v>55</v>
      </c>
      <c r="B73" s="3702"/>
      <c r="C73" s="3702"/>
      <c r="D73" s="3703"/>
      <c r="E73" s="3703"/>
      <c r="F73" s="3703"/>
      <c r="G73" s="3704"/>
      <c r="H73" s="3702"/>
      <c r="I73" s="3788" t="str">
        <f t="shared" si="5"/>
        <v/>
      </c>
      <c r="J73" s="3686"/>
      <c r="K73" s="3686"/>
      <c r="L73" s="3621"/>
      <c r="M73" s="2748" t="str">
        <f t="shared" si="6"/>
        <v/>
      </c>
      <c r="O73" s="3265">
        <f t="shared" si="7"/>
        <v>0</v>
      </c>
      <c r="P73" s="3265">
        <f t="shared" si="8"/>
        <v>0</v>
      </c>
      <c r="R73" s="3278">
        <f t="shared" si="9"/>
        <v>0</v>
      </c>
      <c r="S73" s="3265"/>
    </row>
    <row r="74" spans="1:19" s="3123" customFormat="1" ht="15" hidden="1" customHeight="1" x14ac:dyDescent="0.2">
      <c r="A74" s="3690">
        <v>56</v>
      </c>
      <c r="B74" s="3702"/>
      <c r="C74" s="3702"/>
      <c r="D74" s="3703"/>
      <c r="E74" s="3703"/>
      <c r="F74" s="3703"/>
      <c r="G74" s="3704"/>
      <c r="H74" s="3702"/>
      <c r="I74" s="3788" t="str">
        <f t="shared" si="5"/>
        <v/>
      </c>
      <c r="J74" s="3686"/>
      <c r="K74" s="3686"/>
      <c r="L74" s="3621"/>
      <c r="M74" s="2748" t="str">
        <f t="shared" si="6"/>
        <v/>
      </c>
      <c r="O74" s="3265">
        <f t="shared" si="7"/>
        <v>0</v>
      </c>
      <c r="P74" s="3265">
        <f t="shared" si="8"/>
        <v>0</v>
      </c>
      <c r="R74" s="3278">
        <f t="shared" si="9"/>
        <v>0</v>
      </c>
      <c r="S74" s="3265"/>
    </row>
    <row r="75" spans="1:19" s="3123" customFormat="1" ht="15" hidden="1" customHeight="1" x14ac:dyDescent="0.2">
      <c r="A75" s="3690">
        <v>57</v>
      </c>
      <c r="B75" s="3702"/>
      <c r="C75" s="3702"/>
      <c r="D75" s="3703"/>
      <c r="E75" s="3703"/>
      <c r="F75" s="3703"/>
      <c r="G75" s="3704"/>
      <c r="H75" s="3702"/>
      <c r="I75" s="3788" t="str">
        <f t="shared" si="5"/>
        <v/>
      </c>
      <c r="J75" s="3686"/>
      <c r="K75" s="3686"/>
      <c r="L75" s="3621"/>
      <c r="M75" s="2748" t="str">
        <f t="shared" si="6"/>
        <v/>
      </c>
      <c r="O75" s="3265">
        <f t="shared" si="7"/>
        <v>0</v>
      </c>
      <c r="P75" s="3265">
        <f t="shared" si="8"/>
        <v>0</v>
      </c>
      <c r="R75" s="3278">
        <f t="shared" si="9"/>
        <v>0</v>
      </c>
      <c r="S75" s="3265"/>
    </row>
    <row r="76" spans="1:19" s="3123" customFormat="1" ht="15" hidden="1" customHeight="1" x14ac:dyDescent="0.2">
      <c r="A76" s="3690">
        <v>58</v>
      </c>
      <c r="B76" s="3702"/>
      <c r="C76" s="3702"/>
      <c r="D76" s="3703"/>
      <c r="E76" s="3703"/>
      <c r="F76" s="3703"/>
      <c r="G76" s="3704"/>
      <c r="H76" s="3702"/>
      <c r="I76" s="3788" t="str">
        <f t="shared" si="5"/>
        <v/>
      </c>
      <c r="J76" s="3686"/>
      <c r="K76" s="3686"/>
      <c r="L76" s="3621"/>
      <c r="M76" s="2748" t="str">
        <f t="shared" si="6"/>
        <v/>
      </c>
      <c r="O76" s="3265">
        <f t="shared" si="7"/>
        <v>0</v>
      </c>
      <c r="P76" s="3265">
        <f t="shared" si="8"/>
        <v>0</v>
      </c>
      <c r="R76" s="3278">
        <f t="shared" si="9"/>
        <v>0</v>
      </c>
      <c r="S76" s="3265"/>
    </row>
    <row r="77" spans="1:19" s="3123" customFormat="1" ht="15" hidden="1" customHeight="1" x14ac:dyDescent="0.2">
      <c r="A77" s="3690">
        <v>59</v>
      </c>
      <c r="B77" s="3702"/>
      <c r="C77" s="3702"/>
      <c r="D77" s="3703"/>
      <c r="E77" s="3703"/>
      <c r="F77" s="3703"/>
      <c r="G77" s="3704"/>
      <c r="H77" s="3702"/>
      <c r="I77" s="3788" t="str">
        <f t="shared" si="5"/>
        <v/>
      </c>
      <c r="J77" s="3686"/>
      <c r="K77" s="3686"/>
      <c r="L77" s="3621"/>
      <c r="M77" s="2748" t="str">
        <f t="shared" si="6"/>
        <v/>
      </c>
      <c r="O77" s="3265">
        <f t="shared" si="7"/>
        <v>0</v>
      </c>
      <c r="P77" s="3265">
        <f t="shared" si="8"/>
        <v>0</v>
      </c>
      <c r="R77" s="3278">
        <f t="shared" si="9"/>
        <v>0</v>
      </c>
      <c r="S77" s="3265"/>
    </row>
    <row r="78" spans="1:19" s="3123" customFormat="1" ht="15.75" customHeight="1" x14ac:dyDescent="0.2">
      <c r="A78" s="3690"/>
      <c r="B78" s="5395" t="s">
        <v>6940</v>
      </c>
      <c r="C78" s="5397"/>
      <c r="D78" s="5397"/>
      <c r="E78" s="5397"/>
      <c r="F78" s="5397"/>
      <c r="G78" s="5397"/>
      <c r="H78" s="5396"/>
      <c r="I78" s="3694">
        <f>(SUM(I19:I77))</f>
      </c>
      <c r="J78" s="3686"/>
      <c r="K78" s="3686"/>
      <c r="L78" s="3621"/>
      <c r="M78" s="3601"/>
      <c r="O78" s="3265"/>
      <c r="P78" s="3265"/>
    </row>
    <row r="79" spans="1:19" ht="15.75" customHeight="1" x14ac:dyDescent="0.2">
      <c r="A79" s="3695"/>
      <c r="B79" s="3686"/>
      <c r="C79" s="3686"/>
      <c r="D79" s="3686"/>
      <c r="E79" s="3686"/>
      <c r="F79" s="3686"/>
      <c r="G79" s="3686"/>
      <c r="H79" s="3686"/>
      <c r="I79" s="3686"/>
      <c r="J79" s="3686"/>
      <c r="K79" s="3686"/>
      <c r="L79" s="3686"/>
      <c r="M79" s="3601"/>
      <c r="N79" s="3123"/>
      <c r="O79" s="3265"/>
      <c r="P79" s="3265"/>
    </row>
    <row r="80" spans="1:19" x14ac:dyDescent="0.2">
      <c r="A80" s="3695"/>
      <c r="B80" s="3696" t="s">
        <v>10081</v>
      </c>
      <c r="C80" s="3697"/>
      <c r="D80" s="3697"/>
      <c r="E80" s="5395" t="s">
        <v>10082</v>
      </c>
      <c r="F80" s="5396"/>
      <c r="G80" s="3668"/>
      <c r="H80" s="2748" t="str">
        <f>IF(AND(OR($Q$1="n",$Q$1=0),G80&gt;0),"Check Pg2 Q33!",IF(AND($Q$1="y",G80=""),re,""))</f>
        <v/>
      </c>
      <c r="I80" s="3686"/>
      <c r="J80" s="3686"/>
      <c r="K80" s="3686"/>
      <c r="L80" s="3698"/>
      <c r="M80" s="3601"/>
      <c r="N80" s="3123"/>
      <c r="O80" s="3265">
        <f>IF(H80="",0,1)</f>
      </c>
      <c r="P80" s="3265">
        <f>IF(G80="",0,1)</f>
      </c>
    </row>
    <row r="81" spans="1:19" ht="51" x14ac:dyDescent="0.2">
      <c r="A81" s="3695"/>
      <c r="B81" s="3691" t="s">
        <v>10072</v>
      </c>
      <c r="C81" s="3691" t="s">
        <v>10083</v>
      </c>
      <c r="D81" s="3691" t="s">
        <v>10084</v>
      </c>
      <c r="E81" s="3691" t="s">
        <v>10184</v>
      </c>
      <c r="F81" s="3691" t="s">
        <v>8857</v>
      </c>
      <c r="G81" s="3691" t="s">
        <v>10085</v>
      </c>
      <c r="H81" s="3686"/>
      <c r="I81" s="3686"/>
      <c r="J81" s="3686"/>
      <c r="K81" s="3686"/>
      <c r="L81" s="3699" t="s">
        <v>10078</v>
      </c>
      <c r="M81" s="3601"/>
      <c r="N81" s="3123"/>
      <c r="O81" s="3123"/>
      <c r="P81" s="3123"/>
      <c r="Q81" s="3123"/>
      <c r="R81" s="3688" t="s">
        <v>10079</v>
      </c>
    </row>
    <row r="82" spans="1:19" x14ac:dyDescent="0.2">
      <c r="A82" s="3693">
        <v>1</v>
      </c>
      <c r="B82" s="3702"/>
      <c r="C82" s="3702"/>
      <c r="D82" s="3703"/>
      <c r="E82" s="3703"/>
      <c r="F82" s="3703"/>
      <c r="G82" s="3704"/>
      <c r="H82" s="2748" t="str">
        <f t="shared" ref="H82:H93" si="10">IF($O$80=1,"",IF(AND($G$80&gt;0,A82&lt;=$G$80,P82=0),re,IF(OR(AND($Q$2="y",A82&lt;=$G$80,P82&lt;&gt;6),AND(OR($Q$2=0,$Q$2="n"),A82&lt;=$G$80,P82&lt;&gt;5)),"All data!",IF(AND(OR($Q$2=0,$Q$2="n"),C82&lt;&gt;""),"Check Pg2 Q30!",IF(AND(P82&gt;0,A82&gt;$G$80),"Delete!","")))))</f>
        <v/>
      </c>
      <c r="I82" s="3686"/>
      <c r="J82" s="3686"/>
      <c r="K82" s="3686"/>
      <c r="L82" s="3700"/>
      <c r="M82" s="3601"/>
      <c r="N82" s="3123"/>
      <c r="O82" s="3265">
        <f t="shared" ref="O82:O93" si="11">IF(H82="",0,1)</f>
      </c>
      <c r="P82" s="3265">
        <f t="shared" ref="P82:P93" si="12">IF($Q$2="y",COUNTA(B82:G82),COUNTA(B82,D82,E82,F82,G82))</f>
      </c>
      <c r="Q82" s="3278"/>
      <c r="R82" s="3278">
        <f t="shared" ref="R82:R93" si="13">IF(AND($Q$2="n",C82&lt;&gt;""),1,0)</f>
      </c>
    </row>
    <row r="83" spans="1:19" x14ac:dyDescent="0.2">
      <c r="A83" s="3690">
        <v>2</v>
      </c>
      <c r="B83" s="3702"/>
      <c r="C83" s="3702"/>
      <c r="D83" s="3703"/>
      <c r="E83" s="3703"/>
      <c r="F83" s="3703"/>
      <c r="G83" s="3704"/>
      <c r="H83" s="2748" t="str">
        <f t="shared" si="10"/>
        <v/>
      </c>
      <c r="I83" s="3686"/>
      <c r="J83" s="3686"/>
      <c r="K83" s="3686"/>
      <c r="L83" s="3688"/>
      <c r="M83" s="3601"/>
      <c r="N83" s="3123"/>
      <c r="O83" s="3265">
        <f t="shared" si="11"/>
        <v>0</v>
      </c>
      <c r="P83" s="3265">
        <f t="shared" si="12"/>
        <v>0</v>
      </c>
      <c r="Q83" s="3123"/>
      <c r="R83" s="3278">
        <f t="shared" si="13"/>
        <v>0</v>
      </c>
    </row>
    <row r="84" spans="1:19" x14ac:dyDescent="0.2">
      <c r="A84" s="3690">
        <v>3</v>
      </c>
      <c r="B84" s="3702"/>
      <c r="C84" s="3702"/>
      <c r="D84" s="3703"/>
      <c r="E84" s="3703"/>
      <c r="F84" s="3703"/>
      <c r="G84" s="3704"/>
      <c r="H84" s="2748" t="str">
        <f t="shared" si="10"/>
        <v/>
      </c>
      <c r="I84" s="3686"/>
      <c r="J84" s="3686"/>
      <c r="K84" s="3686"/>
      <c r="L84" s="3688"/>
      <c r="M84" s="3601"/>
      <c r="N84" s="3123"/>
      <c r="O84" s="3265">
        <f t="shared" si="11"/>
        <v>0</v>
      </c>
      <c r="P84" s="3265">
        <f t="shared" si="12"/>
        <v>0</v>
      </c>
      <c r="Q84" s="3123"/>
      <c r="R84" s="3278">
        <f t="shared" si="13"/>
        <v>0</v>
      </c>
    </row>
    <row r="85" spans="1:19" x14ac:dyDescent="0.2">
      <c r="A85" s="3690">
        <v>4</v>
      </c>
      <c r="B85" s="3702"/>
      <c r="C85" s="3702"/>
      <c r="D85" s="3703"/>
      <c r="E85" s="3703"/>
      <c r="F85" s="3703"/>
      <c r="G85" s="3704"/>
      <c r="H85" s="2748" t="str">
        <f t="shared" si="10"/>
        <v/>
      </c>
      <c r="I85" s="3686"/>
      <c r="J85" s="3686"/>
      <c r="K85" s="3686"/>
      <c r="L85" s="3688"/>
      <c r="M85" s="3601"/>
      <c r="N85" s="3123"/>
      <c r="O85" s="3265">
        <f t="shared" si="11"/>
        <v>0</v>
      </c>
      <c r="P85" s="3265">
        <f t="shared" si="12"/>
        <v>0</v>
      </c>
      <c r="Q85" s="3123"/>
      <c r="R85" s="3278">
        <f t="shared" si="13"/>
        <v>0</v>
      </c>
      <c r="S85" s="3265"/>
    </row>
    <row r="86" spans="1:19" x14ac:dyDescent="0.2">
      <c r="A86" s="3690">
        <v>5</v>
      </c>
      <c r="B86" s="3702"/>
      <c r="C86" s="3702"/>
      <c r="D86" s="3703"/>
      <c r="E86" s="3703"/>
      <c r="F86" s="3703"/>
      <c r="G86" s="3704"/>
      <c r="H86" s="2748" t="str">
        <f t="shared" si="10"/>
        <v/>
      </c>
      <c r="I86" s="3686"/>
      <c r="J86" s="3686"/>
      <c r="K86" s="3686"/>
      <c r="L86" s="3688"/>
      <c r="M86" s="3601"/>
      <c r="O86" s="3265">
        <f t="shared" si="11"/>
        <v>0</v>
      </c>
      <c r="P86" s="3265">
        <f t="shared" si="12"/>
        <v>0</v>
      </c>
      <c r="Q86" s="3123"/>
      <c r="R86" s="3278">
        <f t="shared" si="13"/>
        <v>0</v>
      </c>
      <c r="S86" s="3265"/>
    </row>
    <row r="87" spans="1:19" x14ac:dyDescent="0.2">
      <c r="A87" s="3690">
        <v>6</v>
      </c>
      <c r="B87" s="3702"/>
      <c r="C87" s="3702"/>
      <c r="D87" s="3703"/>
      <c r="E87" s="3703"/>
      <c r="F87" s="3703"/>
      <c r="G87" s="3704"/>
      <c r="H87" s="2748" t="str">
        <f t="shared" si="10"/>
        <v/>
      </c>
      <c r="I87" s="3686"/>
      <c r="J87" s="3686"/>
      <c r="K87" s="3686"/>
      <c r="L87" s="3688"/>
      <c r="M87" s="3601"/>
      <c r="O87" s="3265">
        <f t="shared" si="11"/>
        <v>0</v>
      </c>
      <c r="P87" s="3265">
        <f t="shared" si="12"/>
        <v>0</v>
      </c>
      <c r="Q87" s="3123"/>
      <c r="R87" s="3278">
        <f t="shared" si="13"/>
        <v>0</v>
      </c>
      <c r="S87" s="3265"/>
    </row>
    <row r="88" spans="1:19" x14ac:dyDescent="0.2">
      <c r="A88" s="3690">
        <v>7</v>
      </c>
      <c r="B88" s="3702"/>
      <c r="C88" s="3702"/>
      <c r="D88" s="3703"/>
      <c r="E88" s="3703"/>
      <c r="F88" s="3703"/>
      <c r="G88" s="3704"/>
      <c r="H88" s="2748" t="str">
        <f t="shared" si="10"/>
        <v/>
      </c>
      <c r="I88" s="3686"/>
      <c r="J88" s="3686"/>
      <c r="K88" s="3686"/>
      <c r="L88" s="3688"/>
      <c r="M88" s="3601"/>
      <c r="O88" s="3265">
        <f t="shared" si="11"/>
        <v>0</v>
      </c>
      <c r="P88" s="3265">
        <f t="shared" si="12"/>
        <v>0</v>
      </c>
      <c r="Q88" s="3123"/>
      <c r="R88" s="3278">
        <f t="shared" si="13"/>
        <v>0</v>
      </c>
      <c r="S88" s="3265"/>
    </row>
    <row r="89" spans="1:19" x14ac:dyDescent="0.2">
      <c r="A89" s="3690">
        <v>8</v>
      </c>
      <c r="B89" s="3702"/>
      <c r="C89" s="3702"/>
      <c r="D89" s="3703"/>
      <c r="E89" s="3703"/>
      <c r="F89" s="3703"/>
      <c r="G89" s="3704"/>
      <c r="H89" s="2748" t="str">
        <f t="shared" si="10"/>
        <v/>
      </c>
      <c r="I89" s="3686"/>
      <c r="J89" s="3686"/>
      <c r="K89" s="3686"/>
      <c r="L89" s="3688"/>
      <c r="M89" s="3601"/>
      <c r="O89" s="3265">
        <f t="shared" si="11"/>
        <v>0</v>
      </c>
      <c r="P89" s="3265">
        <f t="shared" si="12"/>
        <v>0</v>
      </c>
      <c r="Q89" s="3123"/>
      <c r="R89" s="3278">
        <f t="shared" si="13"/>
        <v>0</v>
      </c>
      <c r="S89" s="3265"/>
    </row>
    <row r="90" spans="1:19" x14ac:dyDescent="0.2">
      <c r="A90" s="3690">
        <v>9</v>
      </c>
      <c r="B90" s="3702"/>
      <c r="C90" s="3702"/>
      <c r="D90" s="3703"/>
      <c r="E90" s="3703"/>
      <c r="F90" s="3703"/>
      <c r="G90" s="3704"/>
      <c r="H90" s="2748" t="str">
        <f t="shared" si="10"/>
        <v/>
      </c>
      <c r="I90" s="3686"/>
      <c r="J90" s="3686"/>
      <c r="K90" s="3686"/>
      <c r="L90" s="3688"/>
      <c r="M90" s="3601"/>
      <c r="O90" s="3265">
        <f t="shared" si="11"/>
        <v>0</v>
      </c>
      <c r="P90" s="3265">
        <f t="shared" si="12"/>
        <v>0</v>
      </c>
      <c r="Q90" s="3123"/>
      <c r="R90" s="3278">
        <f t="shared" si="13"/>
        <v>0</v>
      </c>
      <c r="S90" s="3265"/>
    </row>
    <row r="91" spans="1:19" x14ac:dyDescent="0.2">
      <c r="A91" s="3690">
        <v>10</v>
      </c>
      <c r="B91" s="3702"/>
      <c r="C91" s="3702"/>
      <c r="D91" s="3703"/>
      <c r="E91" s="3703"/>
      <c r="F91" s="3703"/>
      <c r="G91" s="3704"/>
      <c r="H91" s="2748" t="str">
        <f t="shared" si="10"/>
        <v/>
      </c>
      <c r="I91" s="3686"/>
      <c r="J91" s="3686"/>
      <c r="K91" s="3686"/>
      <c r="L91" s="3688"/>
      <c r="M91" s="3601"/>
      <c r="O91" s="3265">
        <f t="shared" si="11"/>
        <v>0</v>
      </c>
      <c r="P91" s="3265">
        <f t="shared" si="12"/>
        <v>0</v>
      </c>
      <c r="Q91" s="3123"/>
      <c r="R91" s="3278">
        <f t="shared" si="13"/>
        <v>0</v>
      </c>
      <c r="S91" s="3265"/>
    </row>
    <row r="92" spans="1:19" x14ac:dyDescent="0.2">
      <c r="A92" s="3690">
        <v>11</v>
      </c>
      <c r="B92" s="3702"/>
      <c r="C92" s="3702"/>
      <c r="D92" s="3703"/>
      <c r="E92" s="3703"/>
      <c r="F92" s="3703"/>
      <c r="G92" s="3704"/>
      <c r="H92" s="2748" t="str">
        <f t="shared" si="10"/>
        <v/>
      </c>
      <c r="I92" s="3686"/>
      <c r="J92" s="3686"/>
      <c r="K92" s="3686"/>
      <c r="L92" s="3688"/>
      <c r="M92" s="3601"/>
      <c r="O92" s="3265">
        <f t="shared" si="11"/>
        <v>0</v>
      </c>
      <c r="P92" s="3265">
        <f t="shared" si="12"/>
        <v>0</v>
      </c>
      <c r="Q92" s="3123"/>
      <c r="R92" s="3278">
        <f t="shared" si="13"/>
        <v>0</v>
      </c>
      <c r="S92" s="3265"/>
    </row>
    <row r="93" spans="1:19" x14ac:dyDescent="0.2">
      <c r="A93" s="3690">
        <v>12</v>
      </c>
      <c r="B93" s="3702"/>
      <c r="C93" s="3702"/>
      <c r="D93" s="3703"/>
      <c r="E93" s="3703"/>
      <c r="F93" s="3703"/>
      <c r="G93" s="3704"/>
      <c r="H93" s="2748" t="str">
        <f t="shared" si="10"/>
        <v/>
      </c>
      <c r="I93" s="3686"/>
      <c r="J93" s="3686"/>
      <c r="K93" s="3686"/>
      <c r="L93" s="3688"/>
      <c r="M93" s="3601"/>
      <c r="O93" s="3265">
        <f t="shared" si="11"/>
        <v>0</v>
      </c>
      <c r="P93" s="3265">
        <f t="shared" si="12"/>
        <v>0</v>
      </c>
      <c r="Q93" s="3123"/>
      <c r="R93" s="3278">
        <f t="shared" si="13"/>
        <v>0</v>
      </c>
      <c r="S93" s="3265"/>
    </row>
    <row r="94" spans="1:19" hidden="1" x14ac:dyDescent="0.2">
      <c r="A94" s="3690">
        <v>13</v>
      </c>
      <c r="B94" s="3702"/>
      <c r="C94" s="3702"/>
      <c r="D94" s="3703"/>
      <c r="E94" s="3703"/>
      <c r="F94" s="3703"/>
      <c r="G94" s="3704"/>
      <c r="H94" s="2748" t="str">
        <f t="shared" ref="H94:H141" si="14">IF($O$80=1,"",IF(AND($G$80&gt;0,A94&lt;=$G$80,P94=0),re,IF(OR(AND($Q$2="y",A94&lt;=$G$80,P94&lt;&gt;6),AND(OR($Q$2=0,$Q$2="n"),A94&lt;=$G$80,P94&lt;&gt;5)),"All data!",IF(AND(OR($Q$2=0,$Q$2="n"),C94&lt;&gt;""),"Check Pg2 Q30!",IF(AND(P94&gt;0,A94&gt;$G$80),"Delete!","")))))</f>
        <v/>
      </c>
      <c r="I94" s="3686"/>
      <c r="J94" s="3686"/>
      <c r="K94" s="3686"/>
      <c r="L94" s="3688"/>
      <c r="M94" s="3601"/>
      <c r="O94" s="3265">
        <f t="shared" ref="O94:O141" si="15">IF(H94="",0,1)</f>
      </c>
      <c r="P94" s="3265">
        <f t="shared" ref="P94:P141" si="16">IF($Q$2="y",COUNTA(B94:G94),COUNTA(B94,D94,E94,F94,G94))</f>
      </c>
      <c r="Q94" s="3123"/>
      <c r="R94" s="3278">
        <f t="shared" ref="R94:R141" si="17">IF(AND($Q$2="n",C94&lt;&gt;""),1,0)</f>
      </c>
      <c r="S94" s="3265"/>
    </row>
    <row r="95" spans="1:19" hidden="1" x14ac:dyDescent="0.2">
      <c r="A95" s="3690">
        <v>14</v>
      </c>
      <c r="B95" s="3702"/>
      <c r="C95" s="3702"/>
      <c r="D95" s="3703"/>
      <c r="E95" s="3703"/>
      <c r="F95" s="3703"/>
      <c r="G95" s="3704"/>
      <c r="H95" s="2748" t="str">
        <f t="shared" si="14"/>
        <v/>
      </c>
      <c r="I95" s="3686"/>
      <c r="J95" s="3686"/>
      <c r="K95" s="3686"/>
      <c r="L95" s="3688"/>
      <c r="M95" s="3601"/>
      <c r="O95" s="3265">
        <f t="shared" si="15"/>
        <v>0</v>
      </c>
      <c r="P95" s="3265">
        <f t="shared" si="16"/>
        <v>0</v>
      </c>
      <c r="Q95" s="3123"/>
      <c r="R95" s="3278">
        <f t="shared" si="17"/>
        <v>0</v>
      </c>
      <c r="S95" s="3265"/>
    </row>
    <row r="96" spans="1:19" hidden="1" x14ac:dyDescent="0.2">
      <c r="A96" s="3690">
        <v>15</v>
      </c>
      <c r="B96" s="3702"/>
      <c r="C96" s="3702"/>
      <c r="D96" s="3703"/>
      <c r="E96" s="3703"/>
      <c r="F96" s="3703"/>
      <c r="G96" s="3704"/>
      <c r="H96" s="2748" t="str">
        <f t="shared" si="14"/>
        <v/>
      </c>
      <c r="I96" s="3686"/>
      <c r="J96" s="3686"/>
      <c r="K96" s="3686"/>
      <c r="L96" s="3688"/>
      <c r="M96" s="3601"/>
      <c r="O96" s="3265">
        <f t="shared" si="15"/>
        <v>0</v>
      </c>
      <c r="P96" s="3265">
        <f t="shared" si="16"/>
        <v>0</v>
      </c>
      <c r="Q96" s="3123"/>
      <c r="R96" s="3278">
        <f t="shared" si="17"/>
        <v>0</v>
      </c>
      <c r="S96" s="3265"/>
    </row>
    <row r="97" spans="1:19" hidden="1" x14ac:dyDescent="0.2">
      <c r="A97" s="3690">
        <v>16</v>
      </c>
      <c r="B97" s="3702"/>
      <c r="C97" s="3702"/>
      <c r="D97" s="3703"/>
      <c r="E97" s="3703"/>
      <c r="F97" s="3703"/>
      <c r="G97" s="3704"/>
      <c r="H97" s="2748" t="str">
        <f t="shared" si="14"/>
        <v/>
      </c>
      <c r="I97" s="3686"/>
      <c r="J97" s="3686"/>
      <c r="K97" s="3686"/>
      <c r="L97" s="3688"/>
      <c r="M97" s="3601"/>
      <c r="O97" s="3265">
        <f t="shared" si="15"/>
        <v>0</v>
      </c>
      <c r="P97" s="3265">
        <f t="shared" si="16"/>
        <v>0</v>
      </c>
      <c r="Q97" s="3123"/>
      <c r="R97" s="3278">
        <f t="shared" si="17"/>
        <v>0</v>
      </c>
      <c r="S97" s="3265"/>
    </row>
    <row r="98" spans="1:19" hidden="1" x14ac:dyDescent="0.2">
      <c r="A98" s="3690">
        <v>17</v>
      </c>
      <c r="B98" s="3702"/>
      <c r="C98" s="3702"/>
      <c r="D98" s="3703"/>
      <c r="E98" s="3703"/>
      <c r="F98" s="3703"/>
      <c r="G98" s="3704"/>
      <c r="H98" s="2748" t="str">
        <f t="shared" si="14"/>
        <v/>
      </c>
      <c r="I98" s="3686"/>
      <c r="J98" s="3686"/>
      <c r="K98" s="3686"/>
      <c r="L98" s="3688"/>
      <c r="M98" s="3601"/>
      <c r="O98" s="3265">
        <f t="shared" si="15"/>
        <v>0</v>
      </c>
      <c r="P98" s="3265">
        <f t="shared" si="16"/>
        <v>0</v>
      </c>
      <c r="Q98" s="3123"/>
      <c r="R98" s="3278">
        <f t="shared" si="17"/>
        <v>0</v>
      </c>
      <c r="S98" s="3265"/>
    </row>
    <row r="99" spans="1:19" hidden="1" x14ac:dyDescent="0.2">
      <c r="A99" s="3690">
        <v>18</v>
      </c>
      <c r="B99" s="3702"/>
      <c r="C99" s="3702"/>
      <c r="D99" s="3703"/>
      <c r="E99" s="3703"/>
      <c r="F99" s="3703"/>
      <c r="G99" s="3704"/>
      <c r="H99" s="2748" t="str">
        <f t="shared" si="14"/>
        <v/>
      </c>
      <c r="I99" s="3686"/>
      <c r="J99" s="3686"/>
      <c r="K99" s="3686"/>
      <c r="L99" s="3688"/>
      <c r="M99" s="3601"/>
      <c r="O99" s="3265">
        <f t="shared" si="15"/>
        <v>0</v>
      </c>
      <c r="P99" s="3265">
        <f t="shared" si="16"/>
        <v>0</v>
      </c>
      <c r="Q99" s="3123"/>
      <c r="R99" s="3278">
        <f t="shared" si="17"/>
        <v>0</v>
      </c>
      <c r="S99" s="3265"/>
    </row>
    <row r="100" spans="1:19" hidden="1" x14ac:dyDescent="0.2">
      <c r="A100" s="3690">
        <v>19</v>
      </c>
      <c r="B100" s="3702"/>
      <c r="C100" s="3702"/>
      <c r="D100" s="3703"/>
      <c r="E100" s="3703"/>
      <c r="F100" s="3703"/>
      <c r="G100" s="3704"/>
      <c r="H100" s="2748" t="str">
        <f t="shared" si="14"/>
        <v/>
      </c>
      <c r="I100" s="3686"/>
      <c r="J100" s="3686"/>
      <c r="K100" s="3686"/>
      <c r="L100" s="3688"/>
      <c r="M100" s="3601"/>
      <c r="O100" s="3265">
        <f t="shared" si="15"/>
        <v>0</v>
      </c>
      <c r="P100" s="3265">
        <f t="shared" si="16"/>
        <v>0</v>
      </c>
      <c r="Q100" s="3123"/>
      <c r="R100" s="3278">
        <f t="shared" si="17"/>
        <v>0</v>
      </c>
      <c r="S100" s="3265"/>
    </row>
    <row r="101" spans="1:19" hidden="1" x14ac:dyDescent="0.2">
      <c r="A101" s="3690">
        <v>20</v>
      </c>
      <c r="B101" s="3702"/>
      <c r="C101" s="3702"/>
      <c r="D101" s="3703"/>
      <c r="E101" s="3703"/>
      <c r="F101" s="3703"/>
      <c r="G101" s="3704"/>
      <c r="H101" s="2748" t="str">
        <f t="shared" si="14"/>
        <v/>
      </c>
      <c r="I101" s="3686"/>
      <c r="J101" s="3686"/>
      <c r="K101" s="3686"/>
      <c r="L101" s="3688"/>
      <c r="M101" s="3601"/>
      <c r="O101" s="3265">
        <f t="shared" si="15"/>
        <v>0</v>
      </c>
      <c r="P101" s="3265">
        <f t="shared" si="16"/>
        <v>0</v>
      </c>
      <c r="Q101" s="3123"/>
      <c r="R101" s="3278">
        <f t="shared" si="17"/>
        <v>0</v>
      </c>
      <c r="S101" s="3265"/>
    </row>
    <row r="102" spans="1:19" hidden="1" x14ac:dyDescent="0.2">
      <c r="A102" s="3690">
        <v>21</v>
      </c>
      <c r="B102" s="3702"/>
      <c r="C102" s="3702"/>
      <c r="D102" s="3703"/>
      <c r="E102" s="3703"/>
      <c r="F102" s="3703"/>
      <c r="G102" s="3704"/>
      <c r="H102" s="2748" t="str">
        <f t="shared" si="14"/>
        <v/>
      </c>
      <c r="I102" s="3686"/>
      <c r="J102" s="3686"/>
      <c r="K102" s="3686"/>
      <c r="L102" s="3688"/>
      <c r="M102" s="3601"/>
      <c r="O102" s="3265">
        <f t="shared" si="15"/>
        <v>0</v>
      </c>
      <c r="P102" s="3265">
        <f t="shared" si="16"/>
        <v>0</v>
      </c>
      <c r="Q102" s="3123"/>
      <c r="R102" s="3278">
        <f t="shared" si="17"/>
        <v>0</v>
      </c>
      <c r="S102" s="3265"/>
    </row>
    <row r="103" spans="1:19" hidden="1" x14ac:dyDescent="0.2">
      <c r="A103" s="3690">
        <v>22</v>
      </c>
      <c r="B103" s="3702"/>
      <c r="C103" s="3702"/>
      <c r="D103" s="3703"/>
      <c r="E103" s="3703"/>
      <c r="F103" s="3703"/>
      <c r="G103" s="3704"/>
      <c r="H103" s="2748" t="str">
        <f t="shared" si="14"/>
        <v/>
      </c>
      <c r="I103" s="3686"/>
      <c r="J103" s="3686"/>
      <c r="K103" s="3686"/>
      <c r="L103" s="3688"/>
      <c r="M103" s="3601"/>
      <c r="O103" s="3265">
        <f t="shared" si="15"/>
        <v>0</v>
      </c>
      <c r="P103" s="3265">
        <f t="shared" si="16"/>
        <v>0</v>
      </c>
      <c r="Q103" s="3123"/>
      <c r="R103" s="3278">
        <f t="shared" si="17"/>
        <v>0</v>
      </c>
      <c r="S103" s="3265"/>
    </row>
    <row r="104" spans="1:19" hidden="1" x14ac:dyDescent="0.2">
      <c r="A104" s="3690">
        <v>23</v>
      </c>
      <c r="B104" s="3702"/>
      <c r="C104" s="3702"/>
      <c r="D104" s="3703"/>
      <c r="E104" s="3703"/>
      <c r="F104" s="3703"/>
      <c r="G104" s="3704"/>
      <c r="H104" s="2748" t="str">
        <f t="shared" si="14"/>
        <v/>
      </c>
      <c r="I104" s="3686"/>
      <c r="J104" s="3686"/>
      <c r="K104" s="3686"/>
      <c r="L104" s="3688"/>
      <c r="M104" s="3601"/>
      <c r="O104" s="3265">
        <f t="shared" si="15"/>
        <v>0</v>
      </c>
      <c r="P104" s="3265">
        <f t="shared" si="16"/>
        <v>0</v>
      </c>
      <c r="Q104" s="3123"/>
      <c r="R104" s="3278">
        <f t="shared" si="17"/>
        <v>0</v>
      </c>
      <c r="S104" s="3265"/>
    </row>
    <row r="105" spans="1:19" hidden="1" x14ac:dyDescent="0.2">
      <c r="A105" s="3690">
        <v>24</v>
      </c>
      <c r="B105" s="3702"/>
      <c r="C105" s="3702"/>
      <c r="D105" s="3703"/>
      <c r="E105" s="3703"/>
      <c r="F105" s="3703"/>
      <c r="G105" s="3704"/>
      <c r="H105" s="2748" t="str">
        <f t="shared" si="14"/>
        <v/>
      </c>
      <c r="I105" s="3686"/>
      <c r="J105" s="3686"/>
      <c r="K105" s="3686"/>
      <c r="L105" s="3688"/>
      <c r="M105" s="3601"/>
      <c r="O105" s="3265">
        <f t="shared" si="15"/>
        <v>0</v>
      </c>
      <c r="P105" s="3265">
        <f t="shared" si="16"/>
        <v>0</v>
      </c>
      <c r="Q105" s="3123"/>
      <c r="R105" s="3278">
        <f t="shared" si="17"/>
        <v>0</v>
      </c>
      <c r="S105" s="3265"/>
    </row>
    <row r="106" spans="1:19" hidden="1" x14ac:dyDescent="0.2">
      <c r="A106" s="3690">
        <v>25</v>
      </c>
      <c r="B106" s="3702"/>
      <c r="C106" s="3702"/>
      <c r="D106" s="3703"/>
      <c r="E106" s="3703"/>
      <c r="F106" s="3703"/>
      <c r="G106" s="3704"/>
      <c r="H106" s="2748" t="str">
        <f t="shared" si="14"/>
        <v/>
      </c>
      <c r="I106" s="3686"/>
      <c r="J106" s="3686"/>
      <c r="K106" s="3686"/>
      <c r="L106" s="3688"/>
      <c r="M106" s="3601"/>
      <c r="O106" s="3265">
        <f t="shared" si="15"/>
        <v>0</v>
      </c>
      <c r="P106" s="3265">
        <f t="shared" si="16"/>
        <v>0</v>
      </c>
      <c r="Q106" s="3123"/>
      <c r="R106" s="3278">
        <f t="shared" si="17"/>
        <v>0</v>
      </c>
      <c r="S106" s="3265"/>
    </row>
    <row r="107" spans="1:19" hidden="1" x14ac:dyDescent="0.2">
      <c r="A107" s="3690">
        <v>26</v>
      </c>
      <c r="B107" s="3702"/>
      <c r="C107" s="3702"/>
      <c r="D107" s="3703"/>
      <c r="E107" s="3703"/>
      <c r="F107" s="3703"/>
      <c r="G107" s="3704"/>
      <c r="H107" s="2748" t="str">
        <f t="shared" si="14"/>
        <v/>
      </c>
      <c r="I107" s="3686"/>
      <c r="J107" s="3686"/>
      <c r="K107" s="3686"/>
      <c r="L107" s="3688"/>
      <c r="M107" s="3601"/>
      <c r="O107" s="3265">
        <f t="shared" si="15"/>
        <v>0</v>
      </c>
      <c r="P107" s="3265">
        <f t="shared" si="16"/>
        <v>0</v>
      </c>
      <c r="Q107" s="3123"/>
      <c r="R107" s="3278">
        <f t="shared" si="17"/>
        <v>0</v>
      </c>
      <c r="S107" s="3265"/>
    </row>
    <row r="108" spans="1:19" hidden="1" x14ac:dyDescent="0.2">
      <c r="A108" s="3690">
        <v>27</v>
      </c>
      <c r="B108" s="3702"/>
      <c r="C108" s="3702"/>
      <c r="D108" s="3703"/>
      <c r="E108" s="3703"/>
      <c r="F108" s="3703"/>
      <c r="G108" s="3704"/>
      <c r="H108" s="2748" t="str">
        <f t="shared" si="14"/>
        <v/>
      </c>
      <c r="I108" s="3686"/>
      <c r="J108" s="3686"/>
      <c r="K108" s="3686"/>
      <c r="L108" s="3688"/>
      <c r="M108" s="3601"/>
      <c r="O108" s="3265">
        <f t="shared" si="15"/>
        <v>0</v>
      </c>
      <c r="P108" s="3265">
        <f t="shared" si="16"/>
        <v>0</v>
      </c>
      <c r="Q108" s="3123"/>
      <c r="R108" s="3278">
        <f t="shared" si="17"/>
        <v>0</v>
      </c>
      <c r="S108" s="3265"/>
    </row>
    <row r="109" spans="1:19" hidden="1" x14ac:dyDescent="0.2">
      <c r="A109" s="3690">
        <v>28</v>
      </c>
      <c r="B109" s="3702"/>
      <c r="C109" s="3702"/>
      <c r="D109" s="3703"/>
      <c r="E109" s="3703"/>
      <c r="F109" s="3703"/>
      <c r="G109" s="3704"/>
      <c r="H109" s="2748" t="str">
        <f t="shared" si="14"/>
        <v/>
      </c>
      <c r="I109" s="3686"/>
      <c r="J109" s="3686"/>
      <c r="K109" s="3686"/>
      <c r="L109" s="3688"/>
      <c r="M109" s="3601"/>
      <c r="O109" s="3265">
        <f t="shared" si="15"/>
        <v>0</v>
      </c>
      <c r="P109" s="3265">
        <f t="shared" si="16"/>
        <v>0</v>
      </c>
      <c r="Q109" s="3123"/>
      <c r="R109" s="3278">
        <f t="shared" si="17"/>
        <v>0</v>
      </c>
      <c r="S109" s="3265"/>
    </row>
    <row r="110" spans="1:19" hidden="1" x14ac:dyDescent="0.2">
      <c r="A110" s="3690">
        <v>29</v>
      </c>
      <c r="B110" s="3702"/>
      <c r="C110" s="3702"/>
      <c r="D110" s="3703"/>
      <c r="E110" s="3703"/>
      <c r="F110" s="3703"/>
      <c r="G110" s="3704"/>
      <c r="H110" s="2748" t="str">
        <f t="shared" si="14"/>
        <v/>
      </c>
      <c r="I110" s="3686"/>
      <c r="J110" s="3686"/>
      <c r="K110" s="3686"/>
      <c r="L110" s="3688"/>
      <c r="M110" s="3601"/>
      <c r="O110" s="3265">
        <f t="shared" si="15"/>
        <v>0</v>
      </c>
      <c r="P110" s="3265">
        <f t="shared" si="16"/>
        <v>0</v>
      </c>
      <c r="Q110" s="3123"/>
      <c r="R110" s="3278">
        <f t="shared" si="17"/>
        <v>0</v>
      </c>
      <c r="S110" s="3265"/>
    </row>
    <row r="111" spans="1:19" hidden="1" x14ac:dyDescent="0.2">
      <c r="A111" s="3690">
        <v>30</v>
      </c>
      <c r="B111" s="3702"/>
      <c r="C111" s="3702"/>
      <c r="D111" s="3703"/>
      <c r="E111" s="3703"/>
      <c r="F111" s="3703"/>
      <c r="G111" s="3704"/>
      <c r="H111" s="2748" t="str">
        <f t="shared" si="14"/>
        <v/>
      </c>
      <c r="I111" s="3686"/>
      <c r="J111" s="3686"/>
      <c r="K111" s="3686"/>
      <c r="L111" s="3688"/>
      <c r="M111" s="3601"/>
      <c r="O111" s="3265">
        <f t="shared" si="15"/>
        <v>0</v>
      </c>
      <c r="P111" s="3265">
        <f t="shared" si="16"/>
        <v>0</v>
      </c>
      <c r="Q111" s="3123"/>
      <c r="R111" s="3278">
        <f t="shared" si="17"/>
        <v>0</v>
      </c>
      <c r="S111" s="3265"/>
    </row>
    <row r="112" spans="1:19" hidden="1" x14ac:dyDescent="0.2">
      <c r="A112" s="3690">
        <v>31</v>
      </c>
      <c r="B112" s="3702"/>
      <c r="C112" s="3702"/>
      <c r="D112" s="3703"/>
      <c r="E112" s="3703"/>
      <c r="F112" s="3703"/>
      <c r="G112" s="3704"/>
      <c r="H112" s="2748" t="str">
        <f t="shared" si="14"/>
        <v/>
      </c>
      <c r="I112" s="3686"/>
      <c r="J112" s="3686"/>
      <c r="K112" s="3686"/>
      <c r="L112" s="3688"/>
      <c r="M112" s="3601"/>
      <c r="O112" s="3265">
        <f t="shared" si="15"/>
        <v>0</v>
      </c>
      <c r="P112" s="3265">
        <f t="shared" si="16"/>
        <v>0</v>
      </c>
      <c r="Q112" s="3123"/>
      <c r="R112" s="3278">
        <f t="shared" si="17"/>
        <v>0</v>
      </c>
      <c r="S112" s="3265"/>
    </row>
    <row r="113" spans="1:19" hidden="1" x14ac:dyDescent="0.2">
      <c r="A113" s="3690">
        <v>32</v>
      </c>
      <c r="B113" s="3702"/>
      <c r="C113" s="3702"/>
      <c r="D113" s="3703"/>
      <c r="E113" s="3703"/>
      <c r="F113" s="3703"/>
      <c r="G113" s="3704"/>
      <c r="H113" s="2748" t="str">
        <f t="shared" si="14"/>
        <v/>
      </c>
      <c r="I113" s="3686"/>
      <c r="J113" s="3686"/>
      <c r="K113" s="3686"/>
      <c r="L113" s="3688"/>
      <c r="M113" s="3601"/>
      <c r="O113" s="3265">
        <f t="shared" si="15"/>
        <v>0</v>
      </c>
      <c r="P113" s="3265">
        <f t="shared" si="16"/>
        <v>0</v>
      </c>
      <c r="Q113" s="3123"/>
      <c r="R113" s="3278">
        <f t="shared" si="17"/>
        <v>0</v>
      </c>
      <c r="S113" s="3265"/>
    </row>
    <row r="114" spans="1:19" hidden="1" x14ac:dyDescent="0.2">
      <c r="A114" s="3690">
        <v>33</v>
      </c>
      <c r="B114" s="3702"/>
      <c r="C114" s="3702"/>
      <c r="D114" s="3703"/>
      <c r="E114" s="3703"/>
      <c r="F114" s="3703"/>
      <c r="G114" s="3704"/>
      <c r="H114" s="2748" t="str">
        <f t="shared" si="14"/>
        <v/>
      </c>
      <c r="I114" s="3686"/>
      <c r="J114" s="3686"/>
      <c r="K114" s="3686"/>
      <c r="L114" s="3688"/>
      <c r="M114" s="3601"/>
      <c r="O114" s="3265">
        <f t="shared" si="15"/>
        <v>0</v>
      </c>
      <c r="P114" s="3265">
        <f t="shared" si="16"/>
        <v>0</v>
      </c>
      <c r="Q114" s="3123"/>
      <c r="R114" s="3278">
        <f t="shared" si="17"/>
        <v>0</v>
      </c>
      <c r="S114" s="3265"/>
    </row>
    <row r="115" spans="1:19" hidden="1" x14ac:dyDescent="0.2">
      <c r="A115" s="3690">
        <v>34</v>
      </c>
      <c r="B115" s="3702"/>
      <c r="C115" s="3702"/>
      <c r="D115" s="3703"/>
      <c r="E115" s="3703"/>
      <c r="F115" s="3703"/>
      <c r="G115" s="3704"/>
      <c r="H115" s="2748" t="str">
        <f t="shared" si="14"/>
        <v/>
      </c>
      <c r="I115" s="3686"/>
      <c r="J115" s="3686"/>
      <c r="K115" s="3686"/>
      <c r="L115" s="3688"/>
      <c r="M115" s="3601"/>
      <c r="O115" s="3265">
        <f t="shared" si="15"/>
        <v>0</v>
      </c>
      <c r="P115" s="3265">
        <f t="shared" si="16"/>
        <v>0</v>
      </c>
      <c r="Q115" s="3123"/>
      <c r="R115" s="3278">
        <f t="shared" si="17"/>
        <v>0</v>
      </c>
      <c r="S115" s="3265"/>
    </row>
    <row r="116" spans="1:19" hidden="1" x14ac:dyDescent="0.2">
      <c r="A116" s="3690">
        <v>35</v>
      </c>
      <c r="B116" s="3702"/>
      <c r="C116" s="3702"/>
      <c r="D116" s="3703"/>
      <c r="E116" s="3703"/>
      <c r="F116" s="3703"/>
      <c r="G116" s="3704"/>
      <c r="H116" s="2748" t="str">
        <f t="shared" si="14"/>
        <v/>
      </c>
      <c r="I116" s="3686"/>
      <c r="J116" s="3686"/>
      <c r="K116" s="3686"/>
      <c r="L116" s="3688"/>
      <c r="M116" s="3601"/>
      <c r="O116" s="3265">
        <f t="shared" si="15"/>
        <v>0</v>
      </c>
      <c r="P116" s="3265">
        <f t="shared" si="16"/>
        <v>0</v>
      </c>
      <c r="Q116" s="3123"/>
      <c r="R116" s="3278">
        <f t="shared" si="17"/>
        <v>0</v>
      </c>
      <c r="S116" s="3265"/>
    </row>
    <row r="117" spans="1:19" hidden="1" x14ac:dyDescent="0.2">
      <c r="A117" s="3690">
        <v>36</v>
      </c>
      <c r="B117" s="3702"/>
      <c r="C117" s="3702"/>
      <c r="D117" s="3703"/>
      <c r="E117" s="3703"/>
      <c r="F117" s="3703"/>
      <c r="G117" s="3704"/>
      <c r="H117" s="2748" t="str">
        <f t="shared" si="14"/>
        <v/>
      </c>
      <c r="I117" s="3686"/>
      <c r="J117" s="3686"/>
      <c r="K117" s="3686"/>
      <c r="L117" s="3688"/>
      <c r="M117" s="3601"/>
      <c r="O117" s="3265">
        <f t="shared" si="15"/>
        <v>0</v>
      </c>
      <c r="P117" s="3265">
        <f t="shared" si="16"/>
        <v>0</v>
      </c>
      <c r="Q117" s="3123"/>
      <c r="R117" s="3278">
        <f t="shared" si="17"/>
        <v>0</v>
      </c>
      <c r="S117" s="3265"/>
    </row>
    <row r="118" spans="1:19" hidden="1" x14ac:dyDescent="0.2">
      <c r="A118" s="3690">
        <v>37</v>
      </c>
      <c r="B118" s="3702"/>
      <c r="C118" s="3702"/>
      <c r="D118" s="3703"/>
      <c r="E118" s="3703"/>
      <c r="F118" s="3703"/>
      <c r="G118" s="3704"/>
      <c r="H118" s="2748" t="str">
        <f t="shared" si="14"/>
        <v/>
      </c>
      <c r="I118" s="3686"/>
      <c r="J118" s="3686"/>
      <c r="K118" s="3686"/>
      <c r="L118" s="3688"/>
      <c r="M118" s="3601"/>
      <c r="O118" s="3265">
        <f t="shared" si="15"/>
        <v>0</v>
      </c>
      <c r="P118" s="3265">
        <f t="shared" si="16"/>
        <v>0</v>
      </c>
      <c r="Q118" s="3123"/>
      <c r="R118" s="3278">
        <f t="shared" si="17"/>
        <v>0</v>
      </c>
      <c r="S118" s="3265"/>
    </row>
    <row r="119" spans="1:19" hidden="1" x14ac:dyDescent="0.2">
      <c r="A119" s="3690">
        <v>38</v>
      </c>
      <c r="B119" s="3702"/>
      <c r="C119" s="3702"/>
      <c r="D119" s="3703"/>
      <c r="E119" s="3703"/>
      <c r="F119" s="3703"/>
      <c r="G119" s="3704"/>
      <c r="H119" s="2748" t="str">
        <f t="shared" si="14"/>
        <v/>
      </c>
      <c r="I119" s="3686"/>
      <c r="J119" s="3686"/>
      <c r="K119" s="3686"/>
      <c r="L119" s="3688"/>
      <c r="M119" s="3601"/>
      <c r="O119" s="3265">
        <f t="shared" si="15"/>
        <v>0</v>
      </c>
      <c r="P119" s="3265">
        <f t="shared" si="16"/>
        <v>0</v>
      </c>
      <c r="Q119" s="3123"/>
      <c r="R119" s="3278">
        <f t="shared" si="17"/>
        <v>0</v>
      </c>
      <c r="S119" s="3265"/>
    </row>
    <row r="120" spans="1:19" hidden="1" x14ac:dyDescent="0.2">
      <c r="A120" s="3690">
        <v>39</v>
      </c>
      <c r="B120" s="3702"/>
      <c r="C120" s="3702"/>
      <c r="D120" s="3703"/>
      <c r="E120" s="3703"/>
      <c r="F120" s="3703"/>
      <c r="G120" s="3704"/>
      <c r="H120" s="2748" t="str">
        <f t="shared" si="14"/>
        <v/>
      </c>
      <c r="I120" s="3686"/>
      <c r="J120" s="3686"/>
      <c r="K120" s="3686"/>
      <c r="L120" s="3688"/>
      <c r="M120" s="3601"/>
      <c r="O120" s="3265">
        <f t="shared" si="15"/>
        <v>0</v>
      </c>
      <c r="P120" s="3265">
        <f t="shared" si="16"/>
        <v>0</v>
      </c>
      <c r="Q120" s="3123"/>
      <c r="R120" s="3278">
        <f t="shared" si="17"/>
        <v>0</v>
      </c>
      <c r="S120" s="3265"/>
    </row>
    <row r="121" spans="1:19" hidden="1" x14ac:dyDescent="0.2">
      <c r="A121" s="3690">
        <v>40</v>
      </c>
      <c r="B121" s="3702"/>
      <c r="C121" s="3702"/>
      <c r="D121" s="3703"/>
      <c r="E121" s="3703"/>
      <c r="F121" s="3703"/>
      <c r="G121" s="3704"/>
      <c r="H121" s="2748" t="str">
        <f t="shared" si="14"/>
        <v/>
      </c>
      <c r="I121" s="3686"/>
      <c r="J121" s="3686"/>
      <c r="K121" s="3686"/>
      <c r="L121" s="3688"/>
      <c r="M121" s="3601"/>
      <c r="O121" s="3265">
        <f t="shared" si="15"/>
        <v>0</v>
      </c>
      <c r="P121" s="3265">
        <f t="shared" si="16"/>
        <v>0</v>
      </c>
      <c r="Q121" s="3123"/>
      <c r="R121" s="3278">
        <f t="shared" si="17"/>
        <v>0</v>
      </c>
      <c r="S121" s="3265"/>
    </row>
    <row r="122" spans="1:19" hidden="1" x14ac:dyDescent="0.2">
      <c r="A122" s="3690">
        <v>41</v>
      </c>
      <c r="B122" s="3702"/>
      <c r="C122" s="3702"/>
      <c r="D122" s="3703"/>
      <c r="E122" s="3703"/>
      <c r="F122" s="3703"/>
      <c r="G122" s="3704"/>
      <c r="H122" s="2748" t="str">
        <f t="shared" si="14"/>
        <v/>
      </c>
      <c r="I122" s="3686"/>
      <c r="J122" s="3686"/>
      <c r="K122" s="3686"/>
      <c r="L122" s="3688"/>
      <c r="M122" s="3601"/>
      <c r="O122" s="3265">
        <f t="shared" si="15"/>
        <v>0</v>
      </c>
      <c r="P122" s="3265">
        <f t="shared" si="16"/>
        <v>0</v>
      </c>
      <c r="Q122" s="3123"/>
      <c r="R122" s="3278">
        <f t="shared" si="17"/>
        <v>0</v>
      </c>
      <c r="S122" s="3265"/>
    </row>
    <row r="123" spans="1:19" hidden="1" x14ac:dyDescent="0.2">
      <c r="A123" s="3690">
        <v>42</v>
      </c>
      <c r="B123" s="3702"/>
      <c r="C123" s="3702"/>
      <c r="D123" s="3703"/>
      <c r="E123" s="3703"/>
      <c r="F123" s="3703"/>
      <c r="G123" s="3704"/>
      <c r="H123" s="2748" t="str">
        <f t="shared" si="14"/>
        <v/>
      </c>
      <c r="I123" s="3686"/>
      <c r="J123" s="3686"/>
      <c r="K123" s="3686"/>
      <c r="L123" s="3688"/>
      <c r="M123" s="3601"/>
      <c r="O123" s="3265">
        <f t="shared" si="15"/>
        <v>0</v>
      </c>
      <c r="P123" s="3265">
        <f t="shared" si="16"/>
        <v>0</v>
      </c>
      <c r="Q123" s="3123"/>
      <c r="R123" s="3278">
        <f t="shared" si="17"/>
        <v>0</v>
      </c>
      <c r="S123" s="3265"/>
    </row>
    <row r="124" spans="1:19" hidden="1" x14ac:dyDescent="0.2">
      <c r="A124" s="3690">
        <v>43</v>
      </c>
      <c r="B124" s="3702"/>
      <c r="C124" s="3702"/>
      <c r="D124" s="3703"/>
      <c r="E124" s="3703"/>
      <c r="F124" s="3703"/>
      <c r="G124" s="3704"/>
      <c r="H124" s="2748" t="str">
        <f t="shared" si="14"/>
        <v/>
      </c>
      <c r="I124" s="3686"/>
      <c r="J124" s="3686"/>
      <c r="K124" s="3686"/>
      <c r="L124" s="3688"/>
      <c r="M124" s="3601"/>
      <c r="O124" s="3265">
        <f t="shared" si="15"/>
        <v>0</v>
      </c>
      <c r="P124" s="3265">
        <f t="shared" si="16"/>
        <v>0</v>
      </c>
      <c r="Q124" s="3123"/>
      <c r="R124" s="3278">
        <f t="shared" si="17"/>
        <v>0</v>
      </c>
      <c r="S124" s="3265"/>
    </row>
    <row r="125" spans="1:19" hidden="1" x14ac:dyDescent="0.2">
      <c r="A125" s="3690">
        <v>44</v>
      </c>
      <c r="B125" s="3702"/>
      <c r="C125" s="3702"/>
      <c r="D125" s="3703"/>
      <c r="E125" s="3703"/>
      <c r="F125" s="3703"/>
      <c r="G125" s="3704"/>
      <c r="H125" s="2748" t="str">
        <f t="shared" si="14"/>
        <v/>
      </c>
      <c r="I125" s="3686"/>
      <c r="J125" s="3686"/>
      <c r="K125" s="3686"/>
      <c r="L125" s="3688"/>
      <c r="M125" s="3601"/>
      <c r="O125" s="3265">
        <f t="shared" si="15"/>
        <v>0</v>
      </c>
      <c r="P125" s="3265">
        <f t="shared" si="16"/>
        <v>0</v>
      </c>
      <c r="Q125" s="3123"/>
      <c r="R125" s="3278">
        <f t="shared" si="17"/>
        <v>0</v>
      </c>
      <c r="S125" s="3265"/>
    </row>
    <row r="126" spans="1:19" hidden="1" x14ac:dyDescent="0.2">
      <c r="A126" s="3690">
        <v>45</v>
      </c>
      <c r="B126" s="3702"/>
      <c r="C126" s="3702"/>
      <c r="D126" s="3703"/>
      <c r="E126" s="3703"/>
      <c r="F126" s="3703"/>
      <c r="G126" s="3704"/>
      <c r="H126" s="2748" t="str">
        <f t="shared" si="14"/>
        <v/>
      </c>
      <c r="I126" s="3686"/>
      <c r="J126" s="3686"/>
      <c r="K126" s="3686"/>
      <c r="L126" s="3688"/>
      <c r="M126" s="3601"/>
      <c r="O126" s="3265">
        <f t="shared" si="15"/>
        <v>0</v>
      </c>
      <c r="P126" s="3265">
        <f t="shared" si="16"/>
        <v>0</v>
      </c>
      <c r="Q126" s="3123"/>
      <c r="R126" s="3278">
        <f t="shared" si="17"/>
        <v>0</v>
      </c>
      <c r="S126" s="3265"/>
    </row>
    <row r="127" spans="1:19" hidden="1" x14ac:dyDescent="0.2">
      <c r="A127" s="3690">
        <v>46</v>
      </c>
      <c r="B127" s="3702"/>
      <c r="C127" s="3702"/>
      <c r="D127" s="3703"/>
      <c r="E127" s="3703"/>
      <c r="F127" s="3703"/>
      <c r="G127" s="3704"/>
      <c r="H127" s="2748" t="str">
        <f t="shared" si="14"/>
        <v/>
      </c>
      <c r="I127" s="3686"/>
      <c r="J127" s="3686"/>
      <c r="K127" s="3686"/>
      <c r="L127" s="3688"/>
      <c r="M127" s="3601"/>
      <c r="O127" s="3265">
        <f t="shared" si="15"/>
        <v>0</v>
      </c>
      <c r="P127" s="3265">
        <f t="shared" si="16"/>
        <v>0</v>
      </c>
      <c r="Q127" s="3123"/>
      <c r="R127" s="3278">
        <f t="shared" si="17"/>
        <v>0</v>
      </c>
      <c r="S127" s="3265"/>
    </row>
    <row r="128" spans="1:19" hidden="1" x14ac:dyDescent="0.2">
      <c r="A128" s="3690">
        <v>47</v>
      </c>
      <c r="B128" s="3702"/>
      <c r="C128" s="3702"/>
      <c r="D128" s="3703"/>
      <c r="E128" s="3703"/>
      <c r="F128" s="3703"/>
      <c r="G128" s="3704"/>
      <c r="H128" s="2748" t="str">
        <f t="shared" si="14"/>
        <v/>
      </c>
      <c r="I128" s="3686"/>
      <c r="J128" s="3686"/>
      <c r="K128" s="3686"/>
      <c r="L128" s="3688"/>
      <c r="M128" s="3601"/>
      <c r="O128" s="3265">
        <f t="shared" si="15"/>
        <v>0</v>
      </c>
      <c r="P128" s="3265">
        <f t="shared" si="16"/>
        <v>0</v>
      </c>
      <c r="Q128" s="3123"/>
      <c r="R128" s="3278">
        <f t="shared" si="17"/>
        <v>0</v>
      </c>
      <c r="S128" s="3265"/>
    </row>
    <row r="129" spans="1:19" hidden="1" x14ac:dyDescent="0.2">
      <c r="A129" s="3690">
        <v>48</v>
      </c>
      <c r="B129" s="3702"/>
      <c r="C129" s="3702"/>
      <c r="D129" s="3703"/>
      <c r="E129" s="3703"/>
      <c r="F129" s="3703"/>
      <c r="G129" s="3704"/>
      <c r="H129" s="2748" t="str">
        <f t="shared" si="14"/>
        <v/>
      </c>
      <c r="I129" s="3686"/>
      <c r="J129" s="3686"/>
      <c r="K129" s="3686"/>
      <c r="L129" s="3688"/>
      <c r="M129" s="3601"/>
      <c r="O129" s="3265">
        <f t="shared" si="15"/>
        <v>0</v>
      </c>
      <c r="P129" s="3265">
        <f t="shared" si="16"/>
        <v>0</v>
      </c>
      <c r="Q129" s="3123"/>
      <c r="R129" s="3278">
        <f t="shared" si="17"/>
        <v>0</v>
      </c>
      <c r="S129" s="3265"/>
    </row>
    <row r="130" spans="1:19" hidden="1" x14ac:dyDescent="0.2">
      <c r="A130" s="3690">
        <v>49</v>
      </c>
      <c r="B130" s="3702"/>
      <c r="C130" s="3702"/>
      <c r="D130" s="3703"/>
      <c r="E130" s="3703"/>
      <c r="F130" s="3703"/>
      <c r="G130" s="3704"/>
      <c r="H130" s="2748" t="str">
        <f t="shared" si="14"/>
        <v/>
      </c>
      <c r="I130" s="3686"/>
      <c r="J130" s="3686"/>
      <c r="K130" s="3686"/>
      <c r="L130" s="3688"/>
      <c r="M130" s="3601"/>
      <c r="O130" s="3265">
        <f t="shared" si="15"/>
        <v>0</v>
      </c>
      <c r="P130" s="3265">
        <f t="shared" si="16"/>
        <v>0</v>
      </c>
      <c r="Q130" s="3123"/>
      <c r="R130" s="3278">
        <f t="shared" si="17"/>
        <v>0</v>
      </c>
      <c r="S130" s="3265"/>
    </row>
    <row r="131" spans="1:19" hidden="1" x14ac:dyDescent="0.2">
      <c r="A131" s="3690">
        <v>50</v>
      </c>
      <c r="B131" s="3702"/>
      <c r="C131" s="3702"/>
      <c r="D131" s="3703"/>
      <c r="E131" s="3703"/>
      <c r="F131" s="3703"/>
      <c r="G131" s="3704"/>
      <c r="H131" s="2748" t="str">
        <f t="shared" si="14"/>
        <v/>
      </c>
      <c r="I131" s="3686"/>
      <c r="J131" s="3686"/>
      <c r="K131" s="3686"/>
      <c r="L131" s="3688"/>
      <c r="M131" s="3601"/>
      <c r="O131" s="3265">
        <f t="shared" si="15"/>
        <v>0</v>
      </c>
      <c r="P131" s="3265">
        <f t="shared" si="16"/>
        <v>0</v>
      </c>
      <c r="Q131" s="3123"/>
      <c r="R131" s="3278">
        <f t="shared" si="17"/>
        <v>0</v>
      </c>
      <c r="S131" s="3265"/>
    </row>
    <row r="132" spans="1:19" hidden="1" x14ac:dyDescent="0.2">
      <c r="A132" s="3690">
        <v>51</v>
      </c>
      <c r="B132" s="3702"/>
      <c r="C132" s="3702"/>
      <c r="D132" s="3703"/>
      <c r="E132" s="3703"/>
      <c r="F132" s="3703"/>
      <c r="G132" s="3704"/>
      <c r="H132" s="2748" t="str">
        <f t="shared" si="14"/>
        <v/>
      </c>
      <c r="I132" s="3686"/>
      <c r="J132" s="3686"/>
      <c r="K132" s="3686"/>
      <c r="L132" s="3688"/>
      <c r="M132" s="3601"/>
      <c r="O132" s="3265">
        <f t="shared" si="15"/>
        <v>0</v>
      </c>
      <c r="P132" s="3265">
        <f t="shared" si="16"/>
        <v>0</v>
      </c>
      <c r="Q132" s="3123"/>
      <c r="R132" s="3278">
        <f t="shared" si="17"/>
        <v>0</v>
      </c>
      <c r="S132" s="3265"/>
    </row>
    <row r="133" spans="1:19" hidden="1" x14ac:dyDescent="0.2">
      <c r="A133" s="3690">
        <v>52</v>
      </c>
      <c r="B133" s="3702"/>
      <c r="C133" s="3702"/>
      <c r="D133" s="3703"/>
      <c r="E133" s="3703"/>
      <c r="F133" s="3703"/>
      <c r="G133" s="3704"/>
      <c r="H133" s="2748" t="str">
        <f t="shared" si="14"/>
        <v/>
      </c>
      <c r="I133" s="3686"/>
      <c r="J133" s="3686"/>
      <c r="K133" s="3686"/>
      <c r="L133" s="3688"/>
      <c r="M133" s="3601"/>
      <c r="O133" s="3265">
        <f t="shared" si="15"/>
        <v>0</v>
      </c>
      <c r="P133" s="3265">
        <f t="shared" si="16"/>
        <v>0</v>
      </c>
      <c r="Q133" s="3123"/>
      <c r="R133" s="3278">
        <f t="shared" si="17"/>
        <v>0</v>
      </c>
      <c r="S133" s="3265"/>
    </row>
    <row r="134" spans="1:19" hidden="1" x14ac:dyDescent="0.2">
      <c r="A134" s="3690">
        <v>53</v>
      </c>
      <c r="B134" s="3702"/>
      <c r="C134" s="3702"/>
      <c r="D134" s="3703"/>
      <c r="E134" s="3703"/>
      <c r="F134" s="3703"/>
      <c r="G134" s="3704"/>
      <c r="H134" s="2748" t="str">
        <f t="shared" si="14"/>
        <v/>
      </c>
      <c r="I134" s="3686"/>
      <c r="J134" s="3686"/>
      <c r="K134" s="3686"/>
      <c r="L134" s="3688"/>
      <c r="M134" s="3601"/>
      <c r="O134" s="3265">
        <f t="shared" si="15"/>
        <v>0</v>
      </c>
      <c r="P134" s="3265">
        <f t="shared" si="16"/>
        <v>0</v>
      </c>
      <c r="Q134" s="3123"/>
      <c r="R134" s="3278">
        <f t="shared" si="17"/>
        <v>0</v>
      </c>
      <c r="S134" s="3265"/>
    </row>
    <row r="135" spans="1:19" hidden="1" x14ac:dyDescent="0.2">
      <c r="A135" s="3690">
        <v>54</v>
      </c>
      <c r="B135" s="3702"/>
      <c r="C135" s="3702"/>
      <c r="D135" s="3703"/>
      <c r="E135" s="3703"/>
      <c r="F135" s="3703"/>
      <c r="G135" s="3704"/>
      <c r="H135" s="2748" t="str">
        <f t="shared" si="14"/>
        <v/>
      </c>
      <c r="I135" s="3686"/>
      <c r="J135" s="3686"/>
      <c r="K135" s="3686"/>
      <c r="L135" s="3688"/>
      <c r="M135" s="3601"/>
      <c r="O135" s="3265">
        <f t="shared" si="15"/>
        <v>0</v>
      </c>
      <c r="P135" s="3265">
        <f t="shared" si="16"/>
        <v>0</v>
      </c>
      <c r="Q135" s="3123"/>
      <c r="R135" s="3278">
        <f t="shared" si="17"/>
        <v>0</v>
      </c>
      <c r="S135" s="3265"/>
    </row>
    <row r="136" spans="1:19" hidden="1" x14ac:dyDescent="0.2">
      <c r="A136" s="3690">
        <v>55</v>
      </c>
      <c r="B136" s="3702"/>
      <c r="C136" s="3702"/>
      <c r="D136" s="3703"/>
      <c r="E136" s="3703"/>
      <c r="F136" s="3703"/>
      <c r="G136" s="3704"/>
      <c r="H136" s="2748" t="str">
        <f t="shared" si="14"/>
        <v/>
      </c>
      <c r="I136" s="3686"/>
      <c r="J136" s="3686"/>
      <c r="K136" s="3686"/>
      <c r="L136" s="3688"/>
      <c r="M136" s="3601"/>
      <c r="O136" s="3265">
        <f t="shared" si="15"/>
        <v>0</v>
      </c>
      <c r="P136" s="3265">
        <f t="shared" si="16"/>
        <v>0</v>
      </c>
      <c r="Q136" s="3123"/>
      <c r="R136" s="3278">
        <f t="shared" si="17"/>
        <v>0</v>
      </c>
      <c r="S136" s="3265"/>
    </row>
    <row r="137" spans="1:19" hidden="1" x14ac:dyDescent="0.2">
      <c r="A137" s="3690">
        <v>56</v>
      </c>
      <c r="B137" s="3702"/>
      <c r="C137" s="3702"/>
      <c r="D137" s="3703"/>
      <c r="E137" s="3703"/>
      <c r="F137" s="3703"/>
      <c r="G137" s="3704"/>
      <c r="H137" s="2748" t="str">
        <f t="shared" si="14"/>
        <v/>
      </c>
      <c r="I137" s="3686"/>
      <c r="J137" s="3686"/>
      <c r="K137" s="3686"/>
      <c r="L137" s="3688"/>
      <c r="M137" s="3601"/>
      <c r="O137" s="3265">
        <f t="shared" si="15"/>
        <v>0</v>
      </c>
      <c r="P137" s="3265">
        <f t="shared" si="16"/>
        <v>0</v>
      </c>
      <c r="Q137" s="3123"/>
      <c r="R137" s="3278">
        <f t="shared" si="17"/>
        <v>0</v>
      </c>
      <c r="S137" s="3265"/>
    </row>
    <row r="138" spans="1:19" hidden="1" x14ac:dyDescent="0.2">
      <c r="A138" s="3690">
        <v>57</v>
      </c>
      <c r="B138" s="3702"/>
      <c r="C138" s="3702"/>
      <c r="D138" s="3703"/>
      <c r="E138" s="3703"/>
      <c r="F138" s="3703"/>
      <c r="G138" s="3704"/>
      <c r="H138" s="2748" t="str">
        <f t="shared" si="14"/>
        <v/>
      </c>
      <c r="I138" s="3686"/>
      <c r="J138" s="3686"/>
      <c r="K138" s="3686"/>
      <c r="L138" s="3688"/>
      <c r="M138" s="3601"/>
      <c r="O138" s="3265">
        <f t="shared" si="15"/>
        <v>0</v>
      </c>
      <c r="P138" s="3265">
        <f t="shared" si="16"/>
        <v>0</v>
      </c>
      <c r="Q138" s="3123"/>
      <c r="R138" s="3278">
        <f t="shared" si="17"/>
        <v>0</v>
      </c>
      <c r="S138" s="3265"/>
    </row>
    <row r="139" spans="1:19" hidden="1" x14ac:dyDescent="0.2">
      <c r="A139" s="3690">
        <v>58</v>
      </c>
      <c r="B139" s="3702"/>
      <c r="C139" s="3702"/>
      <c r="D139" s="3703"/>
      <c r="E139" s="3703"/>
      <c r="F139" s="3703"/>
      <c r="G139" s="3704"/>
      <c r="H139" s="2748" t="str">
        <f t="shared" si="14"/>
        <v/>
      </c>
      <c r="I139" s="3686"/>
      <c r="J139" s="3686"/>
      <c r="K139" s="3686"/>
      <c r="L139" s="3688"/>
      <c r="M139" s="3601"/>
      <c r="O139" s="3265">
        <f t="shared" si="15"/>
        <v>0</v>
      </c>
      <c r="P139" s="3265">
        <f t="shared" si="16"/>
        <v>0</v>
      </c>
      <c r="Q139" s="3123"/>
      <c r="R139" s="3278">
        <f t="shared" si="17"/>
        <v>0</v>
      </c>
      <c r="S139" s="3265"/>
    </row>
    <row r="140" spans="1:19" hidden="1" x14ac:dyDescent="0.2">
      <c r="A140" s="3690">
        <v>59</v>
      </c>
      <c r="B140" s="3702"/>
      <c r="C140" s="3702"/>
      <c r="D140" s="3703"/>
      <c r="E140" s="3703"/>
      <c r="F140" s="3703"/>
      <c r="G140" s="3704"/>
      <c r="H140" s="2748" t="str">
        <f t="shared" si="14"/>
        <v/>
      </c>
      <c r="I140" s="3686"/>
      <c r="J140" s="3686"/>
      <c r="K140" s="3686"/>
      <c r="L140" s="3688"/>
      <c r="M140" s="3601"/>
      <c r="O140" s="3265">
        <f t="shared" si="15"/>
        <v>0</v>
      </c>
      <c r="P140" s="3265">
        <f t="shared" si="16"/>
        <v>0</v>
      </c>
      <c r="Q140" s="3123"/>
      <c r="R140" s="3278">
        <f>IF(AND($Q$2="n",C140&lt;&gt;""),1,0)</f>
      </c>
      <c r="S140" s="3265"/>
    </row>
    <row r="141" spans="1:19" hidden="1" x14ac:dyDescent="0.2">
      <c r="A141" s="3690">
        <v>60</v>
      </c>
      <c r="B141" s="3702"/>
      <c r="C141" s="3702"/>
      <c r="D141" s="3703"/>
      <c r="E141" s="3703"/>
      <c r="F141" s="3703"/>
      <c r="G141" s="3704"/>
      <c r="H141" s="2748" t="str">
        <f t="shared" si="14"/>
        <v/>
      </c>
      <c r="I141" s="3686"/>
      <c r="J141" s="3686"/>
      <c r="K141" s="3686"/>
      <c r="L141" s="3688"/>
      <c r="M141" s="3601"/>
      <c r="O141" s="3265">
        <f t="shared" si="15"/>
        <v>0</v>
      </c>
      <c r="P141" s="3265">
        <f t="shared" si="16"/>
        <v>0</v>
      </c>
      <c r="Q141" s="3123"/>
      <c r="R141" s="3278">
        <f t="shared" si="17"/>
        <v>0</v>
      </c>
      <c r="S141" s="3265"/>
    </row>
    <row r="142" spans="1:19" x14ac:dyDescent="0.2">
      <c r="A142" s="3695"/>
      <c r="B142" s="5395" t="s">
        <v>6940</v>
      </c>
      <c r="C142" s="5397"/>
      <c r="D142" s="5397"/>
      <c r="E142" s="5397"/>
      <c r="F142" s="5396"/>
      <c r="G142" s="3694">
        <f>(SUM(G82:G141))</f>
      </c>
      <c r="H142" s="3686"/>
      <c r="I142" s="3686"/>
      <c r="J142" s="3686"/>
      <c r="K142" s="3686"/>
      <c r="L142" s="3688"/>
      <c r="M142" s="3601"/>
      <c r="O142" s="3701"/>
      <c r="P142" s="3701"/>
    </row>
    <row r="143" spans="1:19" x14ac:dyDescent="0.2">
      <c r="A143" s="3695"/>
      <c r="B143" s="3686"/>
      <c r="C143" s="3686"/>
      <c r="D143" s="3686"/>
      <c r="E143" s="3686"/>
      <c r="F143" s="3686"/>
      <c r="G143" s="3686"/>
      <c r="H143" s="3686"/>
      <c r="I143" s="3686"/>
      <c r="J143" s="3686"/>
      <c r="K143" s="3686"/>
      <c r="M143" s="3601"/>
      <c r="O143" s="3701"/>
      <c r="P143" s="3701"/>
    </row>
    <row r="144" spans="1:19" x14ac:dyDescent="0.2">
      <c r="A144" s="3695"/>
      <c r="B144" s="5398" t="s">
        <v>10086</v>
      </c>
      <c r="C144" s="5399"/>
      <c r="D144" s="5399"/>
      <c r="E144" s="5400"/>
      <c r="F144" s="5395" t="s">
        <v>10082</v>
      </c>
      <c r="G144" s="5396"/>
      <c r="H144" s="3668"/>
      <c r="I144" s="2748" t="str">
        <f>IF(AND(OR($Q$1="n",$Q$1=0),H144&gt;0),"Check Pg2 Q33!",IF(AND($Q$1="y",H144=""),re,""))</f>
        <v/>
      </c>
      <c r="J144" s="3686"/>
      <c r="K144" s="3686"/>
      <c r="L144" s="3698"/>
      <c r="M144" s="3601"/>
      <c r="O144" s="3265">
        <f>IF(I144="",0,1)</f>
      </c>
      <c r="P144" s="3265">
        <f>IF(H144="",0,1)</f>
      </c>
    </row>
    <row r="145" spans="1:19" ht="52.5" customHeight="1" x14ac:dyDescent="0.2">
      <c r="A145" s="3695"/>
      <c r="B145" s="3691" t="s">
        <v>10087</v>
      </c>
      <c r="C145" s="3691" t="s">
        <v>10088</v>
      </c>
      <c r="D145" s="3691" t="s">
        <v>10185</v>
      </c>
      <c r="E145" s="3691" t="s">
        <v>8857</v>
      </c>
      <c r="F145" s="3691" t="s">
        <v>10075</v>
      </c>
      <c r="G145" s="3691" t="s">
        <v>10089</v>
      </c>
      <c r="H145" s="3691" t="s">
        <v>10090</v>
      </c>
      <c r="I145" s="3686"/>
      <c r="J145" s="3686"/>
      <c r="K145" s="3686"/>
      <c r="L145" s="3699" t="s">
        <v>10078</v>
      </c>
      <c r="M145" s="3601"/>
      <c r="Q145" s="3123"/>
      <c r="R145" s="3688" t="s">
        <v>10079</v>
      </c>
    </row>
    <row r="146" spans="1:19" x14ac:dyDescent="0.2">
      <c r="A146" s="3693">
        <v>1</v>
      </c>
      <c r="B146" s="3702"/>
      <c r="C146" s="3703"/>
      <c r="D146" s="3703"/>
      <c r="E146" s="3703"/>
      <c r="F146" s="3704"/>
      <c r="G146" s="3702"/>
      <c r="H146" s="3788" t="str">
        <f>IF(G146="","",IF(G146="yes",0,F146))</f>
        <v/>
      </c>
      <c r="I146" s="2748" t="str">
        <f t="shared" ref="I146:I157" si="18">IF($O$144=1,"",IF(AND($H$144&gt;0,A146&lt;=$H$144,P146=0),re,IF(OR(AND($Q$2="y",A146&lt;=$H$144,P146&lt;&gt;6),AND(OR($Q$2=0,$Q$2="n"),A146&lt;=$H$144,P146&lt;&gt;5)),"All data!",IF(AND(OR($Q$2=0,$Q$2="n"),B146&lt;&gt;""),"Check Pg2 Q30!",IF(AND(P146&gt;0,A146&gt;$H$144),"Delete!","")))))</f>
        <v/>
      </c>
      <c r="J146" s="3686"/>
      <c r="K146" s="3686"/>
      <c r="L146" s="3700"/>
      <c r="M146" s="3601"/>
      <c r="O146" s="3265">
        <f>IF(I146="",0,1)</f>
      </c>
      <c r="P146" s="3265">
        <f t="shared" ref="P146:P157" si="19">IF($Q$2="y",COUNTA(B146:G146),COUNTA(C146,D146,E146,F146,G146))</f>
      </c>
      <c r="Q146" s="3278"/>
      <c r="R146" s="3278">
        <f t="shared" ref="R146:R157" si="20">IF(AND($Q$2="n",B146&lt;&gt;""),1,0)</f>
      </c>
    </row>
    <row r="147" spans="1:19" x14ac:dyDescent="0.2">
      <c r="A147" s="3690">
        <v>2</v>
      </c>
      <c r="B147" s="3702"/>
      <c r="C147" s="3703"/>
      <c r="D147" s="3703"/>
      <c r="E147" s="3703"/>
      <c r="F147" s="3704"/>
      <c r="G147" s="3702"/>
      <c r="H147" s="3788" t="str">
        <f t="shared" ref="H147:H157" si="21">IF(G147="","",IF(G147="yes",0,F147))</f>
        <v/>
      </c>
      <c r="I147" s="2748" t="str">
        <f t="shared" si="18"/>
        <v/>
      </c>
      <c r="J147" s="3686"/>
      <c r="K147" s="3686"/>
      <c r="L147" s="3688"/>
      <c r="M147" s="3601"/>
      <c r="O147" s="3265">
        <f t="shared" ref="O147:O157" si="22">IF(I147="",0,1)</f>
      </c>
      <c r="P147" s="3265">
        <f t="shared" si="19"/>
        <v>0</v>
      </c>
      <c r="Q147" s="3123"/>
      <c r="R147" s="3278">
        <f t="shared" si="20"/>
        <v>0</v>
      </c>
    </row>
    <row r="148" spans="1:19" x14ac:dyDescent="0.2">
      <c r="A148" s="3690">
        <v>3</v>
      </c>
      <c r="B148" s="3702"/>
      <c r="C148" s="3703"/>
      <c r="D148" s="3703"/>
      <c r="E148" s="3703"/>
      <c r="F148" s="3704"/>
      <c r="G148" s="3702"/>
      <c r="H148" s="3788" t="str">
        <f t="shared" si="21"/>
        <v/>
      </c>
      <c r="I148" s="2748" t="str">
        <f t="shared" si="18"/>
        <v/>
      </c>
      <c r="J148" s="3686"/>
      <c r="K148" s="3686"/>
      <c r="L148" s="3688"/>
      <c r="M148" s="3601"/>
      <c r="O148" s="3265">
        <f t="shared" si="22"/>
        <v>0</v>
      </c>
      <c r="P148" s="3265">
        <f t="shared" si="19"/>
        <v>0</v>
      </c>
      <c r="Q148" s="3123"/>
      <c r="R148" s="3278">
        <f t="shared" si="20"/>
        <v>0</v>
      </c>
    </row>
    <row r="149" spans="1:19" x14ac:dyDescent="0.2">
      <c r="A149" s="3690">
        <v>4</v>
      </c>
      <c r="B149" s="3702"/>
      <c r="C149" s="3703"/>
      <c r="D149" s="3703"/>
      <c r="E149" s="3703"/>
      <c r="F149" s="3704"/>
      <c r="G149" s="3702"/>
      <c r="H149" s="3788" t="str">
        <f t="shared" si="21"/>
        <v/>
      </c>
      <c r="I149" s="2748" t="str">
        <f t="shared" si="18"/>
        <v/>
      </c>
      <c r="J149" s="3686"/>
      <c r="K149" s="3686"/>
      <c r="L149" s="3688"/>
      <c r="M149" s="3601"/>
      <c r="O149" s="3265">
        <f t="shared" si="22"/>
        <v>0</v>
      </c>
      <c r="P149" s="3265">
        <f t="shared" si="19"/>
        <v>0</v>
      </c>
      <c r="Q149" s="3123"/>
      <c r="R149" s="3278">
        <f t="shared" si="20"/>
        <v>0</v>
      </c>
    </row>
    <row r="150" spans="1:19" x14ac:dyDescent="0.2">
      <c r="A150" s="3690">
        <v>5</v>
      </c>
      <c r="B150" s="3702"/>
      <c r="C150" s="3703"/>
      <c r="D150" s="3703"/>
      <c r="E150" s="3703"/>
      <c r="F150" s="3704"/>
      <c r="G150" s="3702"/>
      <c r="H150" s="3788" t="str">
        <f t="shared" si="21"/>
        <v/>
      </c>
      <c r="I150" s="2748" t="str">
        <f t="shared" si="18"/>
        <v/>
      </c>
      <c r="J150" s="3686"/>
      <c r="K150" s="3686"/>
      <c r="L150" s="3688"/>
      <c r="M150" s="3601"/>
      <c r="O150" s="3265">
        <f t="shared" si="22"/>
        <v>0</v>
      </c>
      <c r="P150" s="3265">
        <f t="shared" si="19"/>
        <v>0</v>
      </c>
      <c r="Q150" s="3123"/>
      <c r="R150" s="3278">
        <f t="shared" si="20"/>
        <v>0</v>
      </c>
    </row>
    <row r="151" spans="1:19" x14ac:dyDescent="0.2">
      <c r="A151" s="3690">
        <v>6</v>
      </c>
      <c r="B151" s="3702"/>
      <c r="C151" s="3703"/>
      <c r="D151" s="3703"/>
      <c r="E151" s="3703"/>
      <c r="F151" s="3704"/>
      <c r="G151" s="3702"/>
      <c r="H151" s="3788" t="str">
        <f t="shared" si="21"/>
        <v/>
      </c>
      <c r="I151" s="2748" t="str">
        <f t="shared" si="18"/>
        <v/>
      </c>
      <c r="J151" s="3686"/>
      <c r="K151" s="3686"/>
      <c r="L151" s="3688"/>
      <c r="M151" s="3601"/>
      <c r="O151" s="3265">
        <f t="shared" si="22"/>
        <v>0</v>
      </c>
      <c r="P151" s="3265">
        <f t="shared" si="19"/>
        <v>0</v>
      </c>
      <c r="Q151" s="3123"/>
      <c r="R151" s="3278">
        <f t="shared" si="20"/>
        <v>0</v>
      </c>
      <c r="S151" s="3265"/>
    </row>
    <row r="152" spans="1:19" x14ac:dyDescent="0.2">
      <c r="A152" s="3690">
        <v>7</v>
      </c>
      <c r="B152" s="3702"/>
      <c r="C152" s="3703"/>
      <c r="D152" s="3703"/>
      <c r="E152" s="3703"/>
      <c r="F152" s="3704"/>
      <c r="G152" s="3702"/>
      <c r="H152" s="3788" t="str">
        <f t="shared" si="21"/>
        <v/>
      </c>
      <c r="I152" s="2748" t="str">
        <f t="shared" si="18"/>
        <v/>
      </c>
      <c r="J152" s="3686"/>
      <c r="K152" s="3686"/>
      <c r="L152" s="3688"/>
      <c r="M152" s="3601"/>
      <c r="O152" s="3265">
        <f t="shared" si="22"/>
        <v>0</v>
      </c>
      <c r="P152" s="3265">
        <f t="shared" si="19"/>
        <v>0</v>
      </c>
      <c r="Q152" s="3123"/>
      <c r="R152" s="3278">
        <f t="shared" si="20"/>
        <v>0</v>
      </c>
      <c r="S152" s="3265"/>
    </row>
    <row r="153" spans="1:19" x14ac:dyDescent="0.2">
      <c r="A153" s="3690">
        <v>8</v>
      </c>
      <c r="B153" s="3702"/>
      <c r="C153" s="3703"/>
      <c r="D153" s="3703"/>
      <c r="E153" s="3703"/>
      <c r="F153" s="3704"/>
      <c r="G153" s="3702"/>
      <c r="H153" s="3788" t="str">
        <f t="shared" si="21"/>
        <v/>
      </c>
      <c r="I153" s="2748" t="str">
        <f t="shared" si="18"/>
        <v/>
      </c>
      <c r="J153" s="3686"/>
      <c r="K153" s="3686"/>
      <c r="L153" s="3688"/>
      <c r="M153" s="3601"/>
      <c r="O153" s="3265">
        <f t="shared" si="22"/>
        <v>0</v>
      </c>
      <c r="P153" s="3265">
        <f t="shared" si="19"/>
        <v>0</v>
      </c>
      <c r="Q153" s="3123"/>
      <c r="R153" s="3278">
        <f t="shared" si="20"/>
        <v>0</v>
      </c>
      <c r="S153" s="3265"/>
    </row>
    <row r="154" spans="1:19" x14ac:dyDescent="0.2">
      <c r="A154" s="3690">
        <v>9</v>
      </c>
      <c r="B154" s="3702"/>
      <c r="C154" s="3703"/>
      <c r="D154" s="3703"/>
      <c r="E154" s="3703"/>
      <c r="F154" s="3704"/>
      <c r="G154" s="3702"/>
      <c r="H154" s="3788" t="str">
        <f t="shared" si="21"/>
        <v/>
      </c>
      <c r="I154" s="2748" t="str">
        <f t="shared" si="18"/>
        <v/>
      </c>
      <c r="J154" s="3686"/>
      <c r="K154" s="3686"/>
      <c r="L154" s="3688"/>
      <c r="M154" s="3601"/>
      <c r="O154" s="3265">
        <f t="shared" si="22"/>
        <v>0</v>
      </c>
      <c r="P154" s="3265">
        <f t="shared" si="19"/>
        <v>0</v>
      </c>
      <c r="Q154" s="3123"/>
      <c r="R154" s="3278">
        <f t="shared" si="20"/>
        <v>0</v>
      </c>
      <c r="S154" s="3265"/>
    </row>
    <row r="155" spans="1:19" x14ac:dyDescent="0.2">
      <c r="A155" s="3690">
        <v>10</v>
      </c>
      <c r="B155" s="3702"/>
      <c r="C155" s="3703"/>
      <c r="D155" s="3703"/>
      <c r="E155" s="3703"/>
      <c r="F155" s="3704"/>
      <c r="G155" s="3702"/>
      <c r="H155" s="3788" t="str">
        <f t="shared" si="21"/>
        <v/>
      </c>
      <c r="I155" s="2748" t="str">
        <f t="shared" si="18"/>
        <v/>
      </c>
      <c r="J155" s="3686"/>
      <c r="K155" s="3686"/>
      <c r="L155" s="3688"/>
      <c r="M155" s="3601"/>
      <c r="O155" s="3265">
        <f t="shared" si="22"/>
        <v>0</v>
      </c>
      <c r="P155" s="3265">
        <f t="shared" si="19"/>
        <v>0</v>
      </c>
      <c r="Q155" s="3123"/>
      <c r="R155" s="3278">
        <f t="shared" si="20"/>
        <v>0</v>
      </c>
      <c r="S155" s="3265"/>
    </row>
    <row r="156" spans="1:19" x14ac:dyDescent="0.2">
      <c r="A156" s="3690">
        <v>11</v>
      </c>
      <c r="B156" s="3702"/>
      <c r="C156" s="3703"/>
      <c r="D156" s="3703"/>
      <c r="E156" s="3703"/>
      <c r="F156" s="3704"/>
      <c r="G156" s="3702"/>
      <c r="H156" s="3788" t="str">
        <f t="shared" si="21"/>
        <v/>
      </c>
      <c r="I156" s="2748" t="str">
        <f t="shared" si="18"/>
        <v/>
      </c>
      <c r="J156" s="3686"/>
      <c r="K156" s="3686"/>
      <c r="L156" s="3688"/>
      <c r="M156" s="3601"/>
      <c r="O156" s="3265">
        <f t="shared" si="22"/>
        <v>0</v>
      </c>
      <c r="P156" s="3265">
        <f t="shared" si="19"/>
        <v>0</v>
      </c>
      <c r="Q156" s="3123"/>
      <c r="R156" s="3278">
        <f t="shared" si="20"/>
        <v>0</v>
      </c>
      <c r="S156" s="3265"/>
    </row>
    <row r="157" spans="1:19" x14ac:dyDescent="0.2">
      <c r="A157" s="3690">
        <v>12</v>
      </c>
      <c r="B157" s="3702"/>
      <c r="C157" s="3703"/>
      <c r="D157" s="3703"/>
      <c r="E157" s="3703"/>
      <c r="F157" s="3704"/>
      <c r="G157" s="3702"/>
      <c r="H157" s="3788" t="str">
        <f t="shared" si="21"/>
        <v/>
      </c>
      <c r="I157" s="2748" t="str">
        <f t="shared" si="18"/>
        <v/>
      </c>
      <c r="J157" s="3686"/>
      <c r="K157" s="3686"/>
      <c r="L157" s="3688"/>
      <c r="M157" s="3601"/>
      <c r="O157" s="3265">
        <f t="shared" si="22"/>
        <v>0</v>
      </c>
      <c r="P157" s="3265">
        <f t="shared" si="19"/>
        <v>0</v>
      </c>
      <c r="Q157" s="3123"/>
      <c r="R157" s="3278">
        <f t="shared" si="20"/>
        <v>0</v>
      </c>
      <c r="S157" s="3265"/>
    </row>
    <row r="158" spans="1:19" hidden="1" x14ac:dyDescent="0.2">
      <c r="A158" s="3690">
        <v>13</v>
      </c>
      <c r="B158" s="3702"/>
      <c r="C158" s="3703"/>
      <c r="D158" s="3703"/>
      <c r="E158" s="3703"/>
      <c r="F158" s="3704"/>
      <c r="G158" s="3702"/>
      <c r="H158" s="3788" t="str">
        <f t="shared" ref="H158:H205" si="23">IF(G158="","",IF(G158="yes",0,F158))</f>
        <v/>
      </c>
      <c r="I158" s="2748" t="str">
        <f t="shared" ref="I158:I205" si="24">IF($O$144=1,"",IF(AND($H$144&gt;0,A158&lt;=$H$144,P158=0),re,IF(OR(AND($Q$2="y",A158&lt;=$H$144,P158&lt;&gt;6),AND(OR($Q$2=0,$Q$2="n"),A158&lt;=$H$144,P158&lt;&gt;5)),"All data!",IF(AND(OR($Q$2=0,$Q$2="n"),B158&lt;&gt;""),"Check Pg2 Q30!",IF(AND(P158&gt;0,A158&gt;$H$144),"Delete!","")))))</f>
        <v/>
      </c>
      <c r="J158" s="3686"/>
      <c r="K158" s="3686"/>
      <c r="L158" s="3688"/>
      <c r="M158" s="3601"/>
      <c r="O158" s="3265">
        <f t="shared" ref="O158:O205" si="25">IF(I158="",0,1)</f>
      </c>
      <c r="P158" s="3265">
        <f t="shared" ref="P158:P205" si="26">IF($Q$2="y",COUNTA(B158:G158),COUNTA(C158,D158,E158,F158,G158))</f>
      </c>
      <c r="Q158" s="3123"/>
      <c r="R158" s="3278">
        <f t="shared" ref="R158:R205" si="27">IF(AND($Q$2="n",B158&lt;&gt;""),1,0)</f>
      </c>
      <c r="S158" s="3265"/>
    </row>
    <row r="159" spans="1:19" hidden="1" x14ac:dyDescent="0.2">
      <c r="A159" s="3690">
        <v>14</v>
      </c>
      <c r="B159" s="3702"/>
      <c r="C159" s="3703"/>
      <c r="D159" s="3703"/>
      <c r="E159" s="3703"/>
      <c r="F159" s="3704"/>
      <c r="G159" s="3702"/>
      <c r="H159" s="3788" t="str">
        <f t="shared" si="23"/>
        <v/>
      </c>
      <c r="I159" s="2748" t="str">
        <f t="shared" si="24"/>
        <v/>
      </c>
      <c r="J159" s="3686"/>
      <c r="K159" s="3686"/>
      <c r="L159" s="3688"/>
      <c r="M159" s="3601"/>
      <c r="O159" s="3265">
        <f t="shared" si="25"/>
        <v>0</v>
      </c>
      <c r="P159" s="3265">
        <f t="shared" si="26"/>
        <v>0</v>
      </c>
      <c r="Q159" s="3123"/>
      <c r="R159" s="3278">
        <f t="shared" si="27"/>
        <v>0</v>
      </c>
      <c r="S159" s="3265"/>
    </row>
    <row r="160" spans="1:19" hidden="1" x14ac:dyDescent="0.2">
      <c r="A160" s="3690">
        <v>15</v>
      </c>
      <c r="B160" s="3702"/>
      <c r="C160" s="3703"/>
      <c r="D160" s="3703"/>
      <c r="E160" s="3703"/>
      <c r="F160" s="3704"/>
      <c r="G160" s="3702"/>
      <c r="H160" s="3788" t="str">
        <f t="shared" si="23"/>
        <v/>
      </c>
      <c r="I160" s="2748" t="str">
        <f t="shared" si="24"/>
        <v/>
      </c>
      <c r="J160" s="3686"/>
      <c r="K160" s="3686"/>
      <c r="L160" s="3688"/>
      <c r="M160" s="3601"/>
      <c r="O160" s="3265">
        <f t="shared" si="25"/>
        <v>0</v>
      </c>
      <c r="P160" s="3265">
        <f t="shared" si="26"/>
        <v>0</v>
      </c>
      <c r="Q160" s="3123"/>
      <c r="R160" s="3278">
        <f t="shared" si="27"/>
        <v>0</v>
      </c>
      <c r="S160" s="3265"/>
    </row>
    <row r="161" spans="1:19" hidden="1" x14ac:dyDescent="0.2">
      <c r="A161" s="3690">
        <v>16</v>
      </c>
      <c r="B161" s="3702"/>
      <c r="C161" s="3703"/>
      <c r="D161" s="3703"/>
      <c r="E161" s="3703"/>
      <c r="F161" s="3704"/>
      <c r="G161" s="3702"/>
      <c r="H161" s="3788" t="str">
        <f t="shared" si="23"/>
        <v/>
      </c>
      <c r="I161" s="2748" t="str">
        <f t="shared" si="24"/>
        <v/>
      </c>
      <c r="J161" s="3686"/>
      <c r="K161" s="3686"/>
      <c r="L161" s="3688"/>
      <c r="M161" s="3601"/>
      <c r="O161" s="3265">
        <f t="shared" si="25"/>
        <v>0</v>
      </c>
      <c r="P161" s="3265">
        <f t="shared" si="26"/>
        <v>0</v>
      </c>
      <c r="Q161" s="3123"/>
      <c r="R161" s="3278">
        <f t="shared" si="27"/>
        <v>0</v>
      </c>
      <c r="S161" s="3265"/>
    </row>
    <row r="162" spans="1:19" hidden="1" x14ac:dyDescent="0.2">
      <c r="A162" s="3690">
        <v>17</v>
      </c>
      <c r="B162" s="3702"/>
      <c r="C162" s="3703"/>
      <c r="D162" s="3703"/>
      <c r="E162" s="3703"/>
      <c r="F162" s="3704"/>
      <c r="G162" s="3702"/>
      <c r="H162" s="3788" t="str">
        <f t="shared" si="23"/>
        <v/>
      </c>
      <c r="I162" s="2748" t="str">
        <f t="shared" si="24"/>
        <v/>
      </c>
      <c r="J162" s="3686"/>
      <c r="K162" s="3686"/>
      <c r="L162" s="3688"/>
      <c r="M162" s="3601"/>
      <c r="O162" s="3265">
        <f t="shared" si="25"/>
        <v>0</v>
      </c>
      <c r="P162" s="3265">
        <f t="shared" si="26"/>
        <v>0</v>
      </c>
      <c r="Q162" s="3123"/>
      <c r="R162" s="3278">
        <f t="shared" si="27"/>
        <v>0</v>
      </c>
      <c r="S162" s="3265"/>
    </row>
    <row r="163" spans="1:19" hidden="1" x14ac:dyDescent="0.2">
      <c r="A163" s="3690">
        <v>18</v>
      </c>
      <c r="B163" s="3702"/>
      <c r="C163" s="3703"/>
      <c r="D163" s="3703"/>
      <c r="E163" s="3703"/>
      <c r="F163" s="3704"/>
      <c r="G163" s="3702"/>
      <c r="H163" s="3788" t="str">
        <f t="shared" si="23"/>
        <v/>
      </c>
      <c r="I163" s="2748" t="str">
        <f t="shared" si="24"/>
        <v/>
      </c>
      <c r="J163" s="3686"/>
      <c r="K163" s="3686"/>
      <c r="L163" s="3688"/>
      <c r="M163" s="3601"/>
      <c r="O163" s="3265">
        <f t="shared" si="25"/>
        <v>0</v>
      </c>
      <c r="P163" s="3265">
        <f t="shared" si="26"/>
        <v>0</v>
      </c>
      <c r="Q163" s="3123"/>
      <c r="R163" s="3278">
        <f t="shared" si="27"/>
        <v>0</v>
      </c>
      <c r="S163" s="3265"/>
    </row>
    <row r="164" spans="1:19" hidden="1" x14ac:dyDescent="0.2">
      <c r="A164" s="3690">
        <v>19</v>
      </c>
      <c r="B164" s="3702"/>
      <c r="C164" s="3703"/>
      <c r="D164" s="3703"/>
      <c r="E164" s="3703"/>
      <c r="F164" s="3704"/>
      <c r="G164" s="3702"/>
      <c r="H164" s="3788" t="str">
        <f t="shared" si="23"/>
        <v/>
      </c>
      <c r="I164" s="2748" t="str">
        <f t="shared" si="24"/>
        <v/>
      </c>
      <c r="J164" s="3686"/>
      <c r="K164" s="3686"/>
      <c r="L164" s="3688"/>
      <c r="M164" s="3601"/>
      <c r="O164" s="3265">
        <f t="shared" si="25"/>
        <v>0</v>
      </c>
      <c r="P164" s="3265">
        <f t="shared" si="26"/>
        <v>0</v>
      </c>
      <c r="Q164" s="3123"/>
      <c r="R164" s="3278">
        <f t="shared" si="27"/>
        <v>0</v>
      </c>
      <c r="S164" s="3265"/>
    </row>
    <row r="165" spans="1:19" hidden="1" x14ac:dyDescent="0.2">
      <c r="A165" s="3690">
        <v>20</v>
      </c>
      <c r="B165" s="3702"/>
      <c r="C165" s="3703"/>
      <c r="D165" s="3703"/>
      <c r="E165" s="3703"/>
      <c r="F165" s="3704"/>
      <c r="G165" s="3702"/>
      <c r="H165" s="3788" t="str">
        <f t="shared" si="23"/>
        <v/>
      </c>
      <c r="I165" s="2748" t="str">
        <f t="shared" si="24"/>
        <v/>
      </c>
      <c r="J165" s="3686"/>
      <c r="K165" s="3686"/>
      <c r="L165" s="3688"/>
      <c r="M165" s="3601"/>
      <c r="O165" s="3265">
        <f t="shared" si="25"/>
        <v>0</v>
      </c>
      <c r="P165" s="3265">
        <f t="shared" si="26"/>
        <v>0</v>
      </c>
      <c r="Q165" s="3123"/>
      <c r="R165" s="3278">
        <f t="shared" si="27"/>
        <v>0</v>
      </c>
      <c r="S165" s="3265"/>
    </row>
    <row r="166" spans="1:19" hidden="1" x14ac:dyDescent="0.2">
      <c r="A166" s="3690">
        <v>21</v>
      </c>
      <c r="B166" s="3702"/>
      <c r="C166" s="3703"/>
      <c r="D166" s="3703"/>
      <c r="E166" s="3703"/>
      <c r="F166" s="3704"/>
      <c r="G166" s="3702"/>
      <c r="H166" s="3788" t="str">
        <f t="shared" si="23"/>
        <v/>
      </c>
      <c r="I166" s="2748" t="str">
        <f t="shared" si="24"/>
        <v/>
      </c>
      <c r="J166" s="3686"/>
      <c r="K166" s="3686"/>
      <c r="L166" s="3688"/>
      <c r="M166" s="3601"/>
      <c r="O166" s="3265">
        <f t="shared" si="25"/>
        <v>0</v>
      </c>
      <c r="P166" s="3265">
        <f t="shared" si="26"/>
        <v>0</v>
      </c>
      <c r="Q166" s="3123"/>
      <c r="R166" s="3278">
        <f t="shared" si="27"/>
        <v>0</v>
      </c>
      <c r="S166" s="3265"/>
    </row>
    <row r="167" spans="1:19" hidden="1" x14ac:dyDescent="0.2">
      <c r="A167" s="3690">
        <v>22</v>
      </c>
      <c r="B167" s="3702"/>
      <c r="C167" s="3703"/>
      <c r="D167" s="3703"/>
      <c r="E167" s="3703"/>
      <c r="F167" s="3704"/>
      <c r="G167" s="3702"/>
      <c r="H167" s="3788" t="str">
        <f t="shared" si="23"/>
        <v/>
      </c>
      <c r="I167" s="2748" t="str">
        <f t="shared" si="24"/>
        <v/>
      </c>
      <c r="J167" s="3686"/>
      <c r="K167" s="3686"/>
      <c r="L167" s="3688"/>
      <c r="M167" s="3601"/>
      <c r="O167" s="3265">
        <f t="shared" si="25"/>
        <v>0</v>
      </c>
      <c r="P167" s="3265">
        <f t="shared" si="26"/>
        <v>0</v>
      </c>
      <c r="Q167" s="3123"/>
      <c r="R167" s="3278">
        <f t="shared" si="27"/>
        <v>0</v>
      </c>
      <c r="S167" s="3265"/>
    </row>
    <row r="168" spans="1:19" hidden="1" x14ac:dyDescent="0.2">
      <c r="A168" s="3690">
        <v>23</v>
      </c>
      <c r="B168" s="3702"/>
      <c r="C168" s="3703"/>
      <c r="D168" s="3703"/>
      <c r="E168" s="3703"/>
      <c r="F168" s="3704"/>
      <c r="G168" s="3702"/>
      <c r="H168" s="3788" t="str">
        <f t="shared" si="23"/>
        <v/>
      </c>
      <c r="I168" s="2748" t="str">
        <f t="shared" si="24"/>
        <v/>
      </c>
      <c r="J168" s="3686"/>
      <c r="K168" s="3686"/>
      <c r="L168" s="3688"/>
      <c r="M168" s="3601"/>
      <c r="O168" s="3265">
        <f t="shared" si="25"/>
        <v>0</v>
      </c>
      <c r="P168" s="3265">
        <f t="shared" si="26"/>
        <v>0</v>
      </c>
      <c r="Q168" s="3123"/>
      <c r="R168" s="3278">
        <f t="shared" si="27"/>
        <v>0</v>
      </c>
      <c r="S168" s="3265"/>
    </row>
    <row r="169" spans="1:19" hidden="1" x14ac:dyDescent="0.2">
      <c r="A169" s="3690">
        <v>24</v>
      </c>
      <c r="B169" s="3702"/>
      <c r="C169" s="3703"/>
      <c r="D169" s="3703"/>
      <c r="E169" s="3703"/>
      <c r="F169" s="3704"/>
      <c r="G169" s="3702"/>
      <c r="H169" s="3788" t="str">
        <f t="shared" si="23"/>
        <v/>
      </c>
      <c r="I169" s="2748" t="str">
        <f t="shared" si="24"/>
        <v/>
      </c>
      <c r="J169" s="3686"/>
      <c r="K169" s="3686"/>
      <c r="L169" s="3688"/>
      <c r="M169" s="3601"/>
      <c r="O169" s="3265">
        <f t="shared" si="25"/>
        <v>0</v>
      </c>
      <c r="P169" s="3265">
        <f t="shared" si="26"/>
        <v>0</v>
      </c>
      <c r="Q169" s="3123"/>
      <c r="R169" s="3278">
        <f t="shared" si="27"/>
        <v>0</v>
      </c>
      <c r="S169" s="3265"/>
    </row>
    <row r="170" spans="1:19" hidden="1" x14ac:dyDescent="0.2">
      <c r="A170" s="3690">
        <v>25</v>
      </c>
      <c r="B170" s="3702"/>
      <c r="C170" s="3703"/>
      <c r="D170" s="3703"/>
      <c r="E170" s="3703"/>
      <c r="F170" s="3704"/>
      <c r="G170" s="3702"/>
      <c r="H170" s="3788" t="str">
        <f t="shared" si="23"/>
        <v/>
      </c>
      <c r="I170" s="2748" t="str">
        <f t="shared" si="24"/>
        <v/>
      </c>
      <c r="J170" s="3686"/>
      <c r="K170" s="3686"/>
      <c r="L170" s="3688"/>
      <c r="M170" s="3601"/>
      <c r="O170" s="3265">
        <f t="shared" si="25"/>
        <v>0</v>
      </c>
      <c r="P170" s="3265">
        <f t="shared" si="26"/>
        <v>0</v>
      </c>
      <c r="Q170" s="3123"/>
      <c r="R170" s="3278">
        <f t="shared" si="27"/>
        <v>0</v>
      </c>
      <c r="S170" s="3265"/>
    </row>
    <row r="171" spans="1:19" hidden="1" x14ac:dyDescent="0.2">
      <c r="A171" s="3690">
        <v>26</v>
      </c>
      <c r="B171" s="3702"/>
      <c r="C171" s="3703"/>
      <c r="D171" s="3703"/>
      <c r="E171" s="3703"/>
      <c r="F171" s="3704"/>
      <c r="G171" s="3702"/>
      <c r="H171" s="3788" t="str">
        <f t="shared" si="23"/>
        <v/>
      </c>
      <c r="I171" s="2748" t="str">
        <f t="shared" si="24"/>
        <v/>
      </c>
      <c r="J171" s="3686"/>
      <c r="K171" s="3686"/>
      <c r="L171" s="3688"/>
      <c r="M171" s="3601"/>
      <c r="O171" s="3265">
        <f t="shared" si="25"/>
        <v>0</v>
      </c>
      <c r="P171" s="3265">
        <f t="shared" si="26"/>
        <v>0</v>
      </c>
      <c r="Q171" s="3123"/>
      <c r="R171" s="3278">
        <f t="shared" si="27"/>
        <v>0</v>
      </c>
      <c r="S171" s="3265"/>
    </row>
    <row r="172" spans="1:19" hidden="1" x14ac:dyDescent="0.2">
      <c r="A172" s="3690">
        <v>27</v>
      </c>
      <c r="B172" s="3702"/>
      <c r="C172" s="3703"/>
      <c r="D172" s="3703"/>
      <c r="E172" s="3703"/>
      <c r="F172" s="3704"/>
      <c r="G172" s="3702"/>
      <c r="H172" s="3788" t="str">
        <f t="shared" si="23"/>
        <v/>
      </c>
      <c r="I172" s="2748" t="str">
        <f t="shared" si="24"/>
        <v/>
      </c>
      <c r="J172" s="3686"/>
      <c r="K172" s="3686"/>
      <c r="L172" s="3688"/>
      <c r="M172" s="3601"/>
      <c r="O172" s="3265">
        <f t="shared" si="25"/>
        <v>0</v>
      </c>
      <c r="P172" s="3265">
        <f t="shared" si="26"/>
        <v>0</v>
      </c>
      <c r="Q172" s="3123"/>
      <c r="R172" s="3278">
        <f t="shared" si="27"/>
        <v>0</v>
      </c>
      <c r="S172" s="3265"/>
    </row>
    <row r="173" spans="1:19" hidden="1" x14ac:dyDescent="0.2">
      <c r="A173" s="3690">
        <v>28</v>
      </c>
      <c r="B173" s="3702"/>
      <c r="C173" s="3703"/>
      <c r="D173" s="3703"/>
      <c r="E173" s="3703"/>
      <c r="F173" s="3704"/>
      <c r="G173" s="3702"/>
      <c r="H173" s="3788" t="str">
        <f t="shared" si="23"/>
        <v/>
      </c>
      <c r="I173" s="2748" t="str">
        <f t="shared" si="24"/>
        <v/>
      </c>
      <c r="J173" s="3686"/>
      <c r="K173" s="3686"/>
      <c r="L173" s="3688"/>
      <c r="M173" s="3601"/>
      <c r="O173" s="3265">
        <f t="shared" si="25"/>
        <v>0</v>
      </c>
      <c r="P173" s="3265">
        <f t="shared" si="26"/>
        <v>0</v>
      </c>
      <c r="Q173" s="3123"/>
      <c r="R173" s="3278">
        <f t="shared" si="27"/>
        <v>0</v>
      </c>
      <c r="S173" s="3265"/>
    </row>
    <row r="174" spans="1:19" hidden="1" x14ac:dyDescent="0.2">
      <c r="A174" s="3690">
        <v>29</v>
      </c>
      <c r="B174" s="3702"/>
      <c r="C174" s="3703"/>
      <c r="D174" s="3703"/>
      <c r="E174" s="3703"/>
      <c r="F174" s="3704"/>
      <c r="G174" s="3702"/>
      <c r="H174" s="3788" t="str">
        <f t="shared" si="23"/>
        <v/>
      </c>
      <c r="I174" s="2748" t="str">
        <f t="shared" si="24"/>
        <v/>
      </c>
      <c r="J174" s="3686"/>
      <c r="K174" s="3686"/>
      <c r="L174" s="3688"/>
      <c r="M174" s="3601"/>
      <c r="O174" s="3265">
        <f t="shared" si="25"/>
        <v>0</v>
      </c>
      <c r="P174" s="3265">
        <f t="shared" si="26"/>
        <v>0</v>
      </c>
      <c r="Q174" s="3123"/>
      <c r="R174" s="3278">
        <f t="shared" si="27"/>
        <v>0</v>
      </c>
      <c r="S174" s="3265"/>
    </row>
    <row r="175" spans="1:19" hidden="1" x14ac:dyDescent="0.2">
      <c r="A175" s="3690">
        <v>30</v>
      </c>
      <c r="B175" s="3702"/>
      <c r="C175" s="3703"/>
      <c r="D175" s="3703"/>
      <c r="E175" s="3703"/>
      <c r="F175" s="3704"/>
      <c r="G175" s="3702"/>
      <c r="H175" s="3788" t="str">
        <f t="shared" si="23"/>
        <v/>
      </c>
      <c r="I175" s="2748" t="str">
        <f t="shared" si="24"/>
        <v/>
      </c>
      <c r="J175" s="3686"/>
      <c r="K175" s="3686"/>
      <c r="L175" s="3688"/>
      <c r="M175" s="3601"/>
      <c r="O175" s="3265">
        <f t="shared" si="25"/>
        <v>0</v>
      </c>
      <c r="P175" s="3265">
        <f t="shared" si="26"/>
        <v>0</v>
      </c>
      <c r="Q175" s="3123"/>
      <c r="R175" s="3278">
        <f t="shared" si="27"/>
        <v>0</v>
      </c>
      <c r="S175" s="3265"/>
    </row>
    <row r="176" spans="1:19" hidden="1" x14ac:dyDescent="0.2">
      <c r="A176" s="3690">
        <v>31</v>
      </c>
      <c r="B176" s="3702"/>
      <c r="C176" s="3703"/>
      <c r="D176" s="3703"/>
      <c r="E176" s="3703"/>
      <c r="F176" s="3704"/>
      <c r="G176" s="3702"/>
      <c r="H176" s="3788" t="str">
        <f t="shared" si="23"/>
        <v/>
      </c>
      <c r="I176" s="2748" t="str">
        <f t="shared" si="24"/>
        <v/>
      </c>
      <c r="J176" s="3686"/>
      <c r="K176" s="3686"/>
      <c r="L176" s="3688"/>
      <c r="M176" s="3601"/>
      <c r="O176" s="3265">
        <f t="shared" si="25"/>
        <v>0</v>
      </c>
      <c r="P176" s="3265">
        <f t="shared" si="26"/>
        <v>0</v>
      </c>
      <c r="Q176" s="3123"/>
      <c r="R176" s="3278">
        <f t="shared" si="27"/>
        <v>0</v>
      </c>
      <c r="S176" s="3265"/>
    </row>
    <row r="177" spans="1:19" hidden="1" x14ac:dyDescent="0.2">
      <c r="A177" s="3690">
        <v>32</v>
      </c>
      <c r="B177" s="3702"/>
      <c r="C177" s="3703"/>
      <c r="D177" s="3703"/>
      <c r="E177" s="3703"/>
      <c r="F177" s="3704"/>
      <c r="G177" s="3702"/>
      <c r="H177" s="3788" t="str">
        <f t="shared" si="23"/>
        <v/>
      </c>
      <c r="I177" s="2748" t="str">
        <f t="shared" si="24"/>
        <v/>
      </c>
      <c r="J177" s="3686"/>
      <c r="K177" s="3686"/>
      <c r="L177" s="3688"/>
      <c r="M177" s="3601"/>
      <c r="O177" s="3265">
        <f t="shared" si="25"/>
        <v>0</v>
      </c>
      <c r="P177" s="3265">
        <f t="shared" si="26"/>
        <v>0</v>
      </c>
      <c r="Q177" s="3123"/>
      <c r="R177" s="3278">
        <f t="shared" si="27"/>
        <v>0</v>
      </c>
      <c r="S177" s="3265"/>
    </row>
    <row r="178" spans="1:19" hidden="1" x14ac:dyDescent="0.2">
      <c r="A178" s="3690">
        <v>33</v>
      </c>
      <c r="B178" s="3702"/>
      <c r="C178" s="3703"/>
      <c r="D178" s="3703"/>
      <c r="E178" s="3703"/>
      <c r="F178" s="3704"/>
      <c r="G178" s="3702"/>
      <c r="H178" s="3788" t="str">
        <f t="shared" si="23"/>
        <v/>
      </c>
      <c r="I178" s="2748" t="str">
        <f t="shared" si="24"/>
        <v/>
      </c>
      <c r="J178" s="3686"/>
      <c r="K178" s="3686"/>
      <c r="L178" s="3688"/>
      <c r="M178" s="3601"/>
      <c r="O178" s="3265">
        <f t="shared" si="25"/>
        <v>0</v>
      </c>
      <c r="P178" s="3265">
        <f t="shared" si="26"/>
        <v>0</v>
      </c>
      <c r="Q178" s="3123"/>
      <c r="R178" s="3278">
        <f t="shared" si="27"/>
        <v>0</v>
      </c>
      <c r="S178" s="3265"/>
    </row>
    <row r="179" spans="1:19" hidden="1" x14ac:dyDescent="0.2">
      <c r="A179" s="3690">
        <v>34</v>
      </c>
      <c r="B179" s="3702"/>
      <c r="C179" s="3703"/>
      <c r="D179" s="3703"/>
      <c r="E179" s="3703"/>
      <c r="F179" s="3704"/>
      <c r="G179" s="3702"/>
      <c r="H179" s="3788" t="str">
        <f t="shared" si="23"/>
        <v/>
      </c>
      <c r="I179" s="2748" t="str">
        <f t="shared" si="24"/>
        <v/>
      </c>
      <c r="J179" s="3686"/>
      <c r="K179" s="3686"/>
      <c r="L179" s="3688"/>
      <c r="M179" s="3601"/>
      <c r="O179" s="3265">
        <f t="shared" si="25"/>
        <v>0</v>
      </c>
      <c r="P179" s="3265">
        <f t="shared" si="26"/>
        <v>0</v>
      </c>
      <c r="Q179" s="3123"/>
      <c r="R179" s="3278">
        <f t="shared" si="27"/>
        <v>0</v>
      </c>
      <c r="S179" s="3265"/>
    </row>
    <row r="180" spans="1:19" hidden="1" x14ac:dyDescent="0.2">
      <c r="A180" s="3690">
        <v>35</v>
      </c>
      <c r="B180" s="3702"/>
      <c r="C180" s="3703"/>
      <c r="D180" s="3703"/>
      <c r="E180" s="3703"/>
      <c r="F180" s="3704"/>
      <c r="G180" s="3702"/>
      <c r="H180" s="3788" t="str">
        <f t="shared" si="23"/>
        <v/>
      </c>
      <c r="I180" s="2748" t="str">
        <f t="shared" si="24"/>
        <v/>
      </c>
      <c r="J180" s="3686"/>
      <c r="K180" s="3686"/>
      <c r="L180" s="3688"/>
      <c r="M180" s="3601"/>
      <c r="O180" s="3265">
        <f t="shared" si="25"/>
        <v>0</v>
      </c>
      <c r="P180" s="3265">
        <f t="shared" si="26"/>
        <v>0</v>
      </c>
      <c r="Q180" s="3123"/>
      <c r="R180" s="3278">
        <f t="shared" si="27"/>
        <v>0</v>
      </c>
      <c r="S180" s="3265"/>
    </row>
    <row r="181" spans="1:19" hidden="1" x14ac:dyDescent="0.2">
      <c r="A181" s="3690">
        <v>36</v>
      </c>
      <c r="B181" s="3702"/>
      <c r="C181" s="3703"/>
      <c r="D181" s="3703"/>
      <c r="E181" s="3703"/>
      <c r="F181" s="3704"/>
      <c r="G181" s="3702"/>
      <c r="H181" s="3788" t="str">
        <f t="shared" si="23"/>
        <v/>
      </c>
      <c r="I181" s="2748" t="str">
        <f t="shared" si="24"/>
        <v/>
      </c>
      <c r="J181" s="3686"/>
      <c r="K181" s="3686"/>
      <c r="L181" s="3688"/>
      <c r="M181" s="3601"/>
      <c r="O181" s="3265">
        <f t="shared" si="25"/>
        <v>0</v>
      </c>
      <c r="P181" s="3265">
        <f t="shared" si="26"/>
        <v>0</v>
      </c>
      <c r="Q181" s="3123"/>
      <c r="R181" s="3278">
        <f t="shared" si="27"/>
        <v>0</v>
      </c>
      <c r="S181" s="3265"/>
    </row>
    <row r="182" spans="1:19" hidden="1" x14ac:dyDescent="0.2">
      <c r="A182" s="3690">
        <v>37</v>
      </c>
      <c r="B182" s="3702"/>
      <c r="C182" s="3703"/>
      <c r="D182" s="3703"/>
      <c r="E182" s="3703"/>
      <c r="F182" s="3704"/>
      <c r="G182" s="3702"/>
      <c r="H182" s="3788" t="str">
        <f t="shared" si="23"/>
        <v/>
      </c>
      <c r="I182" s="2748" t="str">
        <f t="shared" si="24"/>
        <v/>
      </c>
      <c r="J182" s="3686"/>
      <c r="K182" s="3686"/>
      <c r="L182" s="3688"/>
      <c r="M182" s="3601"/>
      <c r="O182" s="3265">
        <f t="shared" si="25"/>
        <v>0</v>
      </c>
      <c r="P182" s="3265">
        <f t="shared" si="26"/>
        <v>0</v>
      </c>
      <c r="Q182" s="3123"/>
      <c r="R182" s="3278">
        <f t="shared" si="27"/>
        <v>0</v>
      </c>
      <c r="S182" s="3265"/>
    </row>
    <row r="183" spans="1:19" hidden="1" x14ac:dyDescent="0.2">
      <c r="A183" s="3690">
        <v>38</v>
      </c>
      <c r="B183" s="3702"/>
      <c r="C183" s="3703"/>
      <c r="D183" s="3703"/>
      <c r="E183" s="3703"/>
      <c r="F183" s="3704"/>
      <c r="G183" s="3702"/>
      <c r="H183" s="3788" t="str">
        <f t="shared" si="23"/>
        <v/>
      </c>
      <c r="I183" s="2748" t="str">
        <f t="shared" si="24"/>
        <v/>
      </c>
      <c r="J183" s="3686"/>
      <c r="K183" s="3686"/>
      <c r="L183" s="3688"/>
      <c r="M183" s="3601"/>
      <c r="O183" s="3265">
        <f t="shared" si="25"/>
        <v>0</v>
      </c>
      <c r="P183" s="3265">
        <f t="shared" si="26"/>
        <v>0</v>
      </c>
      <c r="Q183" s="3123"/>
      <c r="R183" s="3278">
        <f t="shared" si="27"/>
        <v>0</v>
      </c>
      <c r="S183" s="3265"/>
    </row>
    <row r="184" spans="1:19" hidden="1" x14ac:dyDescent="0.2">
      <c r="A184" s="3690">
        <v>39</v>
      </c>
      <c r="B184" s="3702"/>
      <c r="C184" s="3703"/>
      <c r="D184" s="3703"/>
      <c r="E184" s="3703"/>
      <c r="F184" s="3704"/>
      <c r="G184" s="3702"/>
      <c r="H184" s="3788" t="str">
        <f t="shared" si="23"/>
        <v/>
      </c>
      <c r="I184" s="2748" t="str">
        <f t="shared" si="24"/>
        <v/>
      </c>
      <c r="J184" s="3686"/>
      <c r="K184" s="3686"/>
      <c r="L184" s="3688"/>
      <c r="M184" s="3601"/>
      <c r="O184" s="3265">
        <f t="shared" si="25"/>
        <v>0</v>
      </c>
      <c r="P184" s="3265">
        <f t="shared" si="26"/>
        <v>0</v>
      </c>
      <c r="Q184" s="3123"/>
      <c r="R184" s="3278">
        <f t="shared" si="27"/>
        <v>0</v>
      </c>
      <c r="S184" s="3265"/>
    </row>
    <row r="185" spans="1:19" hidden="1" x14ac:dyDescent="0.2">
      <c r="A185" s="3690">
        <v>40</v>
      </c>
      <c r="B185" s="3702"/>
      <c r="C185" s="3703"/>
      <c r="D185" s="3703"/>
      <c r="E185" s="3703"/>
      <c r="F185" s="3704"/>
      <c r="G185" s="3702"/>
      <c r="H185" s="3788" t="str">
        <f t="shared" si="23"/>
        <v/>
      </c>
      <c r="I185" s="2748" t="str">
        <f t="shared" si="24"/>
        <v/>
      </c>
      <c r="J185" s="3686"/>
      <c r="K185" s="3686"/>
      <c r="L185" s="3688"/>
      <c r="M185" s="3601"/>
      <c r="O185" s="3265">
        <f t="shared" si="25"/>
        <v>0</v>
      </c>
      <c r="P185" s="3265">
        <f t="shared" si="26"/>
        <v>0</v>
      </c>
      <c r="Q185" s="3123"/>
      <c r="R185" s="3278">
        <f t="shared" si="27"/>
        <v>0</v>
      </c>
      <c r="S185" s="3265"/>
    </row>
    <row r="186" spans="1:19" hidden="1" x14ac:dyDescent="0.2">
      <c r="A186" s="3690">
        <v>41</v>
      </c>
      <c r="B186" s="3702"/>
      <c r="C186" s="3703"/>
      <c r="D186" s="3703"/>
      <c r="E186" s="3703"/>
      <c r="F186" s="3704"/>
      <c r="G186" s="3702"/>
      <c r="H186" s="3788" t="str">
        <f t="shared" si="23"/>
        <v/>
      </c>
      <c r="I186" s="2748" t="str">
        <f t="shared" si="24"/>
        <v/>
      </c>
      <c r="J186" s="3686"/>
      <c r="K186" s="3686"/>
      <c r="L186" s="3688"/>
      <c r="M186" s="3601"/>
      <c r="O186" s="3265">
        <f t="shared" si="25"/>
        <v>0</v>
      </c>
      <c r="P186" s="3265">
        <f t="shared" si="26"/>
        <v>0</v>
      </c>
      <c r="Q186" s="3123"/>
      <c r="R186" s="3278">
        <f t="shared" si="27"/>
        <v>0</v>
      </c>
      <c r="S186" s="3265"/>
    </row>
    <row r="187" spans="1:19" hidden="1" x14ac:dyDescent="0.2">
      <c r="A187" s="3690">
        <v>42</v>
      </c>
      <c r="B187" s="3702"/>
      <c r="C187" s="3703"/>
      <c r="D187" s="3703"/>
      <c r="E187" s="3703"/>
      <c r="F187" s="3704"/>
      <c r="G187" s="3702"/>
      <c r="H187" s="3788" t="str">
        <f t="shared" si="23"/>
        <v/>
      </c>
      <c r="I187" s="2748" t="str">
        <f t="shared" si="24"/>
        <v/>
      </c>
      <c r="J187" s="3686"/>
      <c r="K187" s="3686"/>
      <c r="L187" s="3688"/>
      <c r="M187" s="3601"/>
      <c r="O187" s="3265">
        <f t="shared" si="25"/>
        <v>0</v>
      </c>
      <c r="P187" s="3265">
        <f t="shared" si="26"/>
        <v>0</v>
      </c>
      <c r="Q187" s="3123"/>
      <c r="R187" s="3278">
        <f t="shared" si="27"/>
        <v>0</v>
      </c>
      <c r="S187" s="3265"/>
    </row>
    <row r="188" spans="1:19" hidden="1" x14ac:dyDescent="0.2">
      <c r="A188" s="3690">
        <v>43</v>
      </c>
      <c r="B188" s="3702"/>
      <c r="C188" s="3703"/>
      <c r="D188" s="3703"/>
      <c r="E188" s="3703"/>
      <c r="F188" s="3704"/>
      <c r="G188" s="3702"/>
      <c r="H188" s="3788" t="str">
        <f t="shared" si="23"/>
        <v/>
      </c>
      <c r="I188" s="2748" t="str">
        <f t="shared" si="24"/>
        <v/>
      </c>
      <c r="J188" s="3686"/>
      <c r="K188" s="3686"/>
      <c r="L188" s="3688"/>
      <c r="M188" s="3601"/>
      <c r="O188" s="3265">
        <f t="shared" si="25"/>
        <v>0</v>
      </c>
      <c r="P188" s="3265">
        <f t="shared" si="26"/>
        <v>0</v>
      </c>
      <c r="Q188" s="3123"/>
      <c r="R188" s="3278">
        <f t="shared" si="27"/>
        <v>0</v>
      </c>
      <c r="S188" s="3265"/>
    </row>
    <row r="189" spans="1:19" hidden="1" x14ac:dyDescent="0.2">
      <c r="A189" s="3690">
        <v>44</v>
      </c>
      <c r="B189" s="3702"/>
      <c r="C189" s="3703"/>
      <c r="D189" s="3703"/>
      <c r="E189" s="3703"/>
      <c r="F189" s="3704"/>
      <c r="G189" s="3702"/>
      <c r="H189" s="3788" t="str">
        <f t="shared" si="23"/>
        <v/>
      </c>
      <c r="I189" s="2748" t="str">
        <f t="shared" si="24"/>
        <v/>
      </c>
      <c r="J189" s="3686"/>
      <c r="K189" s="3686"/>
      <c r="L189" s="3688"/>
      <c r="M189" s="3601"/>
      <c r="O189" s="3265">
        <f t="shared" si="25"/>
        <v>0</v>
      </c>
      <c r="P189" s="3265">
        <f t="shared" si="26"/>
        <v>0</v>
      </c>
      <c r="Q189" s="3123"/>
      <c r="R189" s="3278">
        <f t="shared" si="27"/>
        <v>0</v>
      </c>
      <c r="S189" s="3265"/>
    </row>
    <row r="190" spans="1:19" hidden="1" x14ac:dyDescent="0.2">
      <c r="A190" s="3690">
        <v>45</v>
      </c>
      <c r="B190" s="3702"/>
      <c r="C190" s="3703"/>
      <c r="D190" s="3703"/>
      <c r="E190" s="3703"/>
      <c r="F190" s="3704"/>
      <c r="G190" s="3702"/>
      <c r="H190" s="3788" t="str">
        <f t="shared" si="23"/>
        <v/>
      </c>
      <c r="I190" s="2748" t="str">
        <f t="shared" si="24"/>
        <v/>
      </c>
      <c r="J190" s="3686"/>
      <c r="K190" s="3686"/>
      <c r="L190" s="3688"/>
      <c r="M190" s="3601"/>
      <c r="O190" s="3265">
        <f t="shared" si="25"/>
        <v>0</v>
      </c>
      <c r="P190" s="3265">
        <f t="shared" si="26"/>
        <v>0</v>
      </c>
      <c r="Q190" s="3123"/>
      <c r="R190" s="3278">
        <f t="shared" si="27"/>
        <v>0</v>
      </c>
      <c r="S190" s="3265"/>
    </row>
    <row r="191" spans="1:19" hidden="1" x14ac:dyDescent="0.2">
      <c r="A191" s="3690">
        <v>46</v>
      </c>
      <c r="B191" s="3702"/>
      <c r="C191" s="3703"/>
      <c r="D191" s="3703"/>
      <c r="E191" s="3703"/>
      <c r="F191" s="3704"/>
      <c r="G191" s="3702"/>
      <c r="H191" s="3788" t="str">
        <f t="shared" si="23"/>
        <v/>
      </c>
      <c r="I191" s="2748" t="str">
        <f t="shared" si="24"/>
        <v/>
      </c>
      <c r="J191" s="3686"/>
      <c r="K191" s="3686"/>
      <c r="L191" s="3688"/>
      <c r="M191" s="3601"/>
      <c r="O191" s="3265">
        <f t="shared" si="25"/>
        <v>0</v>
      </c>
      <c r="P191" s="3265">
        <f t="shared" si="26"/>
        <v>0</v>
      </c>
      <c r="Q191" s="3123"/>
      <c r="R191" s="3278">
        <f t="shared" si="27"/>
        <v>0</v>
      </c>
      <c r="S191" s="3265"/>
    </row>
    <row r="192" spans="1:19" hidden="1" x14ac:dyDescent="0.2">
      <c r="A192" s="3690">
        <v>47</v>
      </c>
      <c r="B192" s="3702"/>
      <c r="C192" s="3703"/>
      <c r="D192" s="3703"/>
      <c r="E192" s="3703"/>
      <c r="F192" s="3704"/>
      <c r="G192" s="3702"/>
      <c r="H192" s="3788" t="str">
        <f t="shared" si="23"/>
        <v/>
      </c>
      <c r="I192" s="2748" t="str">
        <f t="shared" si="24"/>
        <v/>
      </c>
      <c r="J192" s="3686"/>
      <c r="K192" s="3686"/>
      <c r="L192" s="3688"/>
      <c r="M192" s="3601"/>
      <c r="O192" s="3265">
        <f t="shared" si="25"/>
        <v>0</v>
      </c>
      <c r="P192" s="3265">
        <f t="shared" si="26"/>
        <v>0</v>
      </c>
      <c r="Q192" s="3123"/>
      <c r="R192" s="3278">
        <f t="shared" si="27"/>
        <v>0</v>
      </c>
      <c r="S192" s="3265"/>
    </row>
    <row r="193" spans="1:19" hidden="1" x14ac:dyDescent="0.2">
      <c r="A193" s="3690">
        <v>48</v>
      </c>
      <c r="B193" s="3702"/>
      <c r="C193" s="3703"/>
      <c r="D193" s="3703"/>
      <c r="E193" s="3703"/>
      <c r="F193" s="3704"/>
      <c r="G193" s="3702"/>
      <c r="H193" s="3788" t="str">
        <f t="shared" si="23"/>
        <v/>
      </c>
      <c r="I193" s="2748" t="str">
        <f t="shared" si="24"/>
        <v/>
      </c>
      <c r="J193" s="3686"/>
      <c r="K193" s="3686"/>
      <c r="L193" s="3688"/>
      <c r="M193" s="3601"/>
      <c r="O193" s="3265">
        <f t="shared" si="25"/>
        <v>0</v>
      </c>
      <c r="P193" s="3265">
        <f t="shared" si="26"/>
        <v>0</v>
      </c>
      <c r="Q193" s="3123"/>
      <c r="R193" s="3278">
        <f t="shared" si="27"/>
        <v>0</v>
      </c>
      <c r="S193" s="3265"/>
    </row>
    <row r="194" spans="1:19" hidden="1" x14ac:dyDescent="0.2">
      <c r="A194" s="3690">
        <v>49</v>
      </c>
      <c r="B194" s="3702"/>
      <c r="C194" s="3703"/>
      <c r="D194" s="3703"/>
      <c r="E194" s="3703"/>
      <c r="F194" s="3704"/>
      <c r="G194" s="3702"/>
      <c r="H194" s="3788" t="str">
        <f t="shared" si="23"/>
        <v/>
      </c>
      <c r="I194" s="2748" t="str">
        <f t="shared" si="24"/>
        <v/>
      </c>
      <c r="J194" s="3686"/>
      <c r="K194" s="3686"/>
      <c r="L194" s="3688"/>
      <c r="M194" s="3601"/>
      <c r="O194" s="3265">
        <f t="shared" si="25"/>
        <v>0</v>
      </c>
      <c r="P194" s="3265">
        <f t="shared" si="26"/>
        <v>0</v>
      </c>
      <c r="Q194" s="3123"/>
      <c r="R194" s="3278">
        <f t="shared" si="27"/>
        <v>0</v>
      </c>
      <c r="S194" s="3265"/>
    </row>
    <row r="195" spans="1:19" hidden="1" x14ac:dyDescent="0.2">
      <c r="A195" s="3690">
        <v>50</v>
      </c>
      <c r="B195" s="3702"/>
      <c r="C195" s="3703"/>
      <c r="D195" s="3703"/>
      <c r="E195" s="3703"/>
      <c r="F195" s="3704"/>
      <c r="G195" s="3702"/>
      <c r="H195" s="3788" t="str">
        <f t="shared" si="23"/>
        <v/>
      </c>
      <c r="I195" s="2748" t="str">
        <f t="shared" si="24"/>
        <v/>
      </c>
      <c r="J195" s="3686"/>
      <c r="K195" s="3686"/>
      <c r="L195" s="3688"/>
      <c r="M195" s="3601"/>
      <c r="O195" s="3265">
        <f t="shared" si="25"/>
        <v>0</v>
      </c>
      <c r="P195" s="3265">
        <f t="shared" si="26"/>
        <v>0</v>
      </c>
      <c r="Q195" s="3123"/>
      <c r="R195" s="3278">
        <f t="shared" si="27"/>
        <v>0</v>
      </c>
      <c r="S195" s="3265"/>
    </row>
    <row r="196" spans="1:19" hidden="1" x14ac:dyDescent="0.2">
      <c r="A196" s="3690">
        <v>51</v>
      </c>
      <c r="B196" s="3702"/>
      <c r="C196" s="3703"/>
      <c r="D196" s="3703"/>
      <c r="E196" s="3703"/>
      <c r="F196" s="3704"/>
      <c r="G196" s="3702"/>
      <c r="H196" s="3788" t="str">
        <f t="shared" si="23"/>
        <v/>
      </c>
      <c r="I196" s="2748" t="str">
        <f t="shared" si="24"/>
        <v/>
      </c>
      <c r="J196" s="3686"/>
      <c r="K196" s="3686"/>
      <c r="L196" s="3688"/>
      <c r="M196" s="3601"/>
      <c r="O196" s="3265">
        <f t="shared" si="25"/>
        <v>0</v>
      </c>
      <c r="P196" s="3265">
        <f t="shared" si="26"/>
        <v>0</v>
      </c>
      <c r="Q196" s="3123"/>
      <c r="R196" s="3278">
        <f t="shared" si="27"/>
        <v>0</v>
      </c>
      <c r="S196" s="3265"/>
    </row>
    <row r="197" spans="1:19" hidden="1" x14ac:dyDescent="0.2">
      <c r="A197" s="3690">
        <v>52</v>
      </c>
      <c r="B197" s="3702"/>
      <c r="C197" s="3703"/>
      <c r="D197" s="3703"/>
      <c r="E197" s="3703"/>
      <c r="F197" s="3704"/>
      <c r="G197" s="3702"/>
      <c r="H197" s="3788" t="str">
        <f t="shared" si="23"/>
        <v/>
      </c>
      <c r="I197" s="2748" t="str">
        <f t="shared" si="24"/>
        <v/>
      </c>
      <c r="J197" s="3686"/>
      <c r="K197" s="3686"/>
      <c r="L197" s="3688"/>
      <c r="M197" s="3601"/>
      <c r="O197" s="3265">
        <f t="shared" si="25"/>
        <v>0</v>
      </c>
      <c r="P197" s="3265">
        <f t="shared" si="26"/>
        <v>0</v>
      </c>
      <c r="Q197" s="3123"/>
      <c r="R197" s="3278">
        <f t="shared" si="27"/>
        <v>0</v>
      </c>
      <c r="S197" s="3265"/>
    </row>
    <row r="198" spans="1:19" hidden="1" x14ac:dyDescent="0.2">
      <c r="A198" s="3690">
        <v>53</v>
      </c>
      <c r="B198" s="3702"/>
      <c r="C198" s="3703"/>
      <c r="D198" s="3703"/>
      <c r="E198" s="3703"/>
      <c r="F198" s="3704"/>
      <c r="G198" s="3702"/>
      <c r="H198" s="3788" t="str">
        <f t="shared" si="23"/>
        <v/>
      </c>
      <c r="I198" s="2748" t="str">
        <f t="shared" si="24"/>
        <v/>
      </c>
      <c r="J198" s="3686"/>
      <c r="K198" s="3686"/>
      <c r="L198" s="3688"/>
      <c r="M198" s="3601"/>
      <c r="O198" s="3265">
        <f t="shared" si="25"/>
        <v>0</v>
      </c>
      <c r="P198" s="3265">
        <f t="shared" si="26"/>
        <v>0</v>
      </c>
      <c r="Q198" s="3123"/>
      <c r="R198" s="3278">
        <f t="shared" si="27"/>
        <v>0</v>
      </c>
      <c r="S198" s="3265"/>
    </row>
    <row r="199" spans="1:19" hidden="1" x14ac:dyDescent="0.2">
      <c r="A199" s="3690">
        <v>54</v>
      </c>
      <c r="B199" s="3702"/>
      <c r="C199" s="3703"/>
      <c r="D199" s="3703"/>
      <c r="E199" s="3703"/>
      <c r="F199" s="3704"/>
      <c r="G199" s="3702"/>
      <c r="H199" s="3788" t="str">
        <f t="shared" si="23"/>
        <v/>
      </c>
      <c r="I199" s="2748" t="str">
        <f t="shared" si="24"/>
        <v/>
      </c>
      <c r="J199" s="3686"/>
      <c r="K199" s="3686"/>
      <c r="L199" s="3688"/>
      <c r="M199" s="3601"/>
      <c r="O199" s="3265">
        <f t="shared" si="25"/>
        <v>0</v>
      </c>
      <c r="P199" s="3265">
        <f t="shared" si="26"/>
        <v>0</v>
      </c>
      <c r="Q199" s="3123"/>
      <c r="R199" s="3278">
        <f t="shared" si="27"/>
        <v>0</v>
      </c>
      <c r="S199" s="3265"/>
    </row>
    <row r="200" spans="1:19" hidden="1" x14ac:dyDescent="0.2">
      <c r="A200" s="3690">
        <v>55</v>
      </c>
      <c r="B200" s="3702"/>
      <c r="C200" s="3703"/>
      <c r="D200" s="3703"/>
      <c r="E200" s="3703"/>
      <c r="F200" s="3704"/>
      <c r="G200" s="3702"/>
      <c r="H200" s="3788" t="str">
        <f t="shared" si="23"/>
        <v/>
      </c>
      <c r="I200" s="2748" t="str">
        <f t="shared" si="24"/>
        <v/>
      </c>
      <c r="J200" s="3686"/>
      <c r="K200" s="3686"/>
      <c r="L200" s="3688"/>
      <c r="M200" s="3601"/>
      <c r="O200" s="3265">
        <f t="shared" si="25"/>
        <v>0</v>
      </c>
      <c r="P200" s="3265">
        <f t="shared" si="26"/>
        <v>0</v>
      </c>
      <c r="Q200" s="3123"/>
      <c r="R200" s="3278">
        <f t="shared" si="27"/>
        <v>0</v>
      </c>
      <c r="S200" s="3265"/>
    </row>
    <row r="201" spans="1:19" hidden="1" x14ac:dyDescent="0.2">
      <c r="A201" s="3690">
        <v>56</v>
      </c>
      <c r="B201" s="3702"/>
      <c r="C201" s="3703"/>
      <c r="D201" s="3703"/>
      <c r="E201" s="3703"/>
      <c r="F201" s="3704"/>
      <c r="G201" s="3702"/>
      <c r="H201" s="3788" t="str">
        <f t="shared" si="23"/>
        <v/>
      </c>
      <c r="I201" s="2748" t="str">
        <f t="shared" si="24"/>
        <v/>
      </c>
      <c r="J201" s="3686"/>
      <c r="K201" s="3686"/>
      <c r="L201" s="3688"/>
      <c r="M201" s="3601"/>
      <c r="O201" s="3265">
        <f t="shared" si="25"/>
        <v>0</v>
      </c>
      <c r="P201" s="3265">
        <f t="shared" si="26"/>
        <v>0</v>
      </c>
      <c r="Q201" s="3123"/>
      <c r="R201" s="3278">
        <f t="shared" si="27"/>
        <v>0</v>
      </c>
      <c r="S201" s="3265"/>
    </row>
    <row r="202" spans="1:19" hidden="1" x14ac:dyDescent="0.2">
      <c r="A202" s="3690">
        <v>57</v>
      </c>
      <c r="B202" s="3702"/>
      <c r="C202" s="3703"/>
      <c r="D202" s="3703"/>
      <c r="E202" s="3703"/>
      <c r="F202" s="3704"/>
      <c r="G202" s="3702"/>
      <c r="H202" s="3788" t="str">
        <f t="shared" si="23"/>
        <v/>
      </c>
      <c r="I202" s="2748" t="str">
        <f t="shared" si="24"/>
        <v/>
      </c>
      <c r="J202" s="3686"/>
      <c r="K202" s="3686"/>
      <c r="L202" s="3688"/>
      <c r="M202" s="3601"/>
      <c r="O202" s="3265">
        <f t="shared" si="25"/>
        <v>0</v>
      </c>
      <c r="P202" s="3265">
        <f t="shared" si="26"/>
        <v>0</v>
      </c>
      <c r="Q202" s="3123"/>
      <c r="R202" s="3278">
        <f t="shared" si="27"/>
        <v>0</v>
      </c>
      <c r="S202" s="3265"/>
    </row>
    <row r="203" spans="1:19" hidden="1" x14ac:dyDescent="0.2">
      <c r="A203" s="3690">
        <v>58</v>
      </c>
      <c r="B203" s="3702"/>
      <c r="C203" s="3703"/>
      <c r="D203" s="3703"/>
      <c r="E203" s="3703"/>
      <c r="F203" s="3704"/>
      <c r="G203" s="3702"/>
      <c r="H203" s="3788" t="str">
        <f t="shared" si="23"/>
        <v/>
      </c>
      <c r="I203" s="2748" t="str">
        <f t="shared" si="24"/>
        <v/>
      </c>
      <c r="J203" s="3686"/>
      <c r="K203" s="3686"/>
      <c r="L203" s="3688"/>
      <c r="M203" s="3601"/>
      <c r="O203" s="3265">
        <f t="shared" si="25"/>
        <v>0</v>
      </c>
      <c r="P203" s="3265">
        <f t="shared" si="26"/>
        <v>0</v>
      </c>
      <c r="Q203" s="3123"/>
      <c r="R203" s="3278">
        <f t="shared" si="27"/>
        <v>0</v>
      </c>
      <c r="S203" s="3265"/>
    </row>
    <row r="204" spans="1:19" hidden="1" x14ac:dyDescent="0.2">
      <c r="A204" s="3690">
        <v>59</v>
      </c>
      <c r="B204" s="3702"/>
      <c r="C204" s="3703"/>
      <c r="D204" s="3703"/>
      <c r="E204" s="3703"/>
      <c r="F204" s="3704"/>
      <c r="G204" s="3702"/>
      <c r="H204" s="3788" t="str">
        <f t="shared" si="23"/>
        <v/>
      </c>
      <c r="I204" s="2748" t="str">
        <f t="shared" si="24"/>
        <v/>
      </c>
      <c r="J204" s="3686"/>
      <c r="K204" s="3686"/>
      <c r="L204" s="3688"/>
      <c r="M204" s="3601"/>
      <c r="O204" s="3265">
        <f t="shared" si="25"/>
        <v>0</v>
      </c>
      <c r="P204" s="3265">
        <f t="shared" si="26"/>
        <v>0</v>
      </c>
      <c r="Q204" s="3123"/>
      <c r="R204" s="3278">
        <f t="shared" si="27"/>
        <v>0</v>
      </c>
      <c r="S204" s="3265"/>
    </row>
    <row r="205" spans="1:19" hidden="1" x14ac:dyDescent="0.2">
      <c r="A205" s="3690">
        <v>60</v>
      </c>
      <c r="B205" s="3702"/>
      <c r="C205" s="3703"/>
      <c r="D205" s="3703"/>
      <c r="E205" s="3703"/>
      <c r="F205" s="3704"/>
      <c r="G205" s="3702"/>
      <c r="H205" s="3788" t="str">
        <f t="shared" si="23"/>
        <v/>
      </c>
      <c r="I205" s="2748" t="str">
        <f t="shared" si="24"/>
        <v/>
      </c>
      <c r="J205" s="3686"/>
      <c r="K205" s="3686"/>
      <c r="L205" s="3688"/>
      <c r="M205" s="3601"/>
      <c r="O205" s="3265">
        <f t="shared" si="25"/>
        <v>0</v>
      </c>
      <c r="P205" s="3265">
        <f t="shared" si="26"/>
        <v>0</v>
      </c>
      <c r="Q205" s="3123"/>
      <c r="R205" s="3278">
        <f t="shared" si="27"/>
        <v>0</v>
      </c>
      <c r="S205" s="3265"/>
    </row>
    <row r="206" spans="1:19" x14ac:dyDescent="0.2">
      <c r="A206" s="3695"/>
      <c r="B206" s="5395" t="s">
        <v>6940</v>
      </c>
      <c r="C206" s="5397"/>
      <c r="D206" s="5397"/>
      <c r="E206" s="5397"/>
      <c r="F206" s="5397"/>
      <c r="G206" s="5396"/>
      <c r="H206" s="3694">
        <f>(SUM(H146:H205))</f>
      </c>
      <c r="I206" s="3686"/>
      <c r="J206" s="3686"/>
      <c r="K206" s="3686"/>
      <c r="L206" s="3688"/>
      <c r="M206" s="3601"/>
      <c r="O206" s="3701"/>
      <c r="P206" s="3701"/>
    </row>
    <row r="207" spans="1:19" x14ac:dyDescent="0.2">
      <c r="A207" s="3690"/>
      <c r="B207" s="3601"/>
      <c r="C207" s="3601"/>
      <c r="D207" s="3601"/>
      <c r="E207" s="3601"/>
      <c r="F207" s="3601"/>
      <c r="G207" s="3601"/>
      <c r="H207" s="3601"/>
      <c r="I207" s="3601"/>
      <c r="J207" s="3686"/>
      <c r="K207" s="3686"/>
      <c r="L207" s="3601"/>
      <c r="M207" s="3601"/>
      <c r="O207" s="3701"/>
      <c r="P207" s="3701"/>
    </row>
    <row r="208" spans="1:19" x14ac:dyDescent="0.2">
      <c r="A208" s="3695"/>
      <c r="B208" s="5398" t="s">
        <v>10166</v>
      </c>
      <c r="C208" s="5399"/>
      <c r="D208" s="5395" t="s">
        <v>10082</v>
      </c>
      <c r="E208" s="5396"/>
      <c r="F208" s="3668"/>
      <c r="G208" s="2748" t="str">
        <f>IF(AND(OR($Q$1="n",$Q$1=0),F208&gt;0),"Check Pg2 Q33!",IF(AND($Q$1="y",F208=""),re,""))</f>
        <v/>
      </c>
      <c r="H208" s="3601"/>
      <c r="I208" s="3601"/>
      <c r="J208" s="3686"/>
      <c r="K208" s="3686"/>
      <c r="L208" s="3698"/>
      <c r="M208" s="3601"/>
      <c r="O208" s="3265">
        <f>IF(G208="",0,1)</f>
      </c>
      <c r="P208" s="3265">
        <f>IF(H208="",0,1)</f>
      </c>
    </row>
    <row r="209" spans="1:18" ht="51" x14ac:dyDescent="0.2">
      <c r="A209" s="3695"/>
      <c r="B209" s="3691" t="s">
        <v>10087</v>
      </c>
      <c r="C209" s="3691" t="s">
        <v>10074</v>
      </c>
      <c r="D209" s="3691" t="s">
        <v>10186</v>
      </c>
      <c r="E209" s="3691" t="s">
        <v>8857</v>
      </c>
      <c r="F209" s="3691" t="s">
        <v>10091</v>
      </c>
      <c r="G209" s="3601"/>
      <c r="H209" s="3601"/>
      <c r="I209" s="3601"/>
      <c r="J209" s="3686"/>
      <c r="K209" s="3686"/>
      <c r="L209" s="3699" t="s">
        <v>10078</v>
      </c>
      <c r="M209" s="3601"/>
      <c r="Q209" s="3123"/>
      <c r="R209" s="3688" t="s">
        <v>10079</v>
      </c>
    </row>
    <row r="210" spans="1:18" x14ac:dyDescent="0.2">
      <c r="A210" s="3693">
        <v>1</v>
      </c>
      <c r="B210" s="3702"/>
      <c r="C210" s="3703"/>
      <c r="D210" s="3703"/>
      <c r="E210" s="3703"/>
      <c r="F210" s="3704"/>
      <c r="G210" s="2748" t="str">
        <f t="shared" ref="G210:G241" si="28">IF($O$208=1,"",IF(AND($F$208&gt;0,A210&lt;=$F$208,P210=0),re,IF(OR(AND($Q$2="y",A210&lt;=$F$208,P210&lt;&gt;5),AND(OR($Q$2=0,$Q$2="n"),A210&lt;=$F$208,P210&lt;&gt;4)),"All data!",IF(AND(OR($Q$2=0,$Q$2="n"),B210&lt;&gt;""),"Check Pg2 Q30!",IF(AND(P210&gt;0,A210&gt;$F$208),"Delete!","")))))</f>
        <v/>
      </c>
      <c r="H210" s="3601"/>
      <c r="I210" s="3601"/>
      <c r="J210" s="3686"/>
      <c r="K210" s="3686"/>
      <c r="L210" s="3688"/>
      <c r="M210" s="3601"/>
      <c r="O210" s="3265">
        <f>IF(G210="",0,1)</f>
      </c>
      <c r="P210" s="3265">
        <f>IF($Q$2="y",COUNTA(B210:F210),COUNTA(C210,D210,E210,F210))</f>
      </c>
      <c r="Q210" s="3278"/>
      <c r="R210" s="3278">
        <f t="shared" ref="R210:R221" si="29">IF(AND($Q$2="n",B210&lt;&gt;""),1,0)</f>
      </c>
    </row>
    <row r="211" spans="1:18" x14ac:dyDescent="0.2">
      <c r="A211" s="3690">
        <v>2</v>
      </c>
      <c r="B211" s="3702"/>
      <c r="C211" s="3703"/>
      <c r="D211" s="3703"/>
      <c r="E211" s="3703"/>
      <c r="F211" s="3704"/>
      <c r="G211" s="2748" t="str">
        <f t="shared" si="28"/>
        <v/>
      </c>
      <c r="H211" s="3601"/>
      <c r="I211" s="3601"/>
      <c r="J211" s="3686"/>
      <c r="K211" s="3686"/>
      <c r="L211" s="3688"/>
      <c r="M211" s="3601"/>
      <c r="O211" s="3265">
        <f t="shared" ref="O211:O221" si="30">IF(G211="",0,1)</f>
      </c>
      <c r="P211" s="3265">
        <f t="shared" ref="P211:P221" si="31">IF($Q$2="y",COUNTA(B211:F211),COUNTA(C211,D211,E211,F211))</f>
      </c>
      <c r="Q211" s="3123"/>
      <c r="R211" s="3278">
        <f t="shared" si="29"/>
        <v>0</v>
      </c>
    </row>
    <row r="212" spans="1:18" x14ac:dyDescent="0.2">
      <c r="A212" s="3690">
        <v>3</v>
      </c>
      <c r="B212" s="3702"/>
      <c r="C212" s="3703"/>
      <c r="D212" s="3703"/>
      <c r="E212" s="3703"/>
      <c r="F212" s="3704"/>
      <c r="G212" s="2748" t="str">
        <f t="shared" si="28"/>
        <v/>
      </c>
      <c r="H212" s="3601"/>
      <c r="I212" s="3601"/>
      <c r="J212" s="3686"/>
      <c r="K212" s="3686"/>
      <c r="L212" s="3688"/>
      <c r="M212" s="3601"/>
      <c r="O212" s="3265">
        <f t="shared" si="30"/>
        <v>0</v>
      </c>
      <c r="P212" s="3265">
        <f t="shared" si="31"/>
        <v>0</v>
      </c>
      <c r="Q212" s="3123"/>
      <c r="R212" s="3278">
        <f t="shared" si="29"/>
        <v>0</v>
      </c>
    </row>
    <row r="213" spans="1:18" x14ac:dyDescent="0.2">
      <c r="A213" s="3690">
        <v>4</v>
      </c>
      <c r="B213" s="3702"/>
      <c r="C213" s="3703"/>
      <c r="D213" s="3703"/>
      <c r="E213" s="3703"/>
      <c r="F213" s="3704"/>
      <c r="G213" s="2748" t="str">
        <f t="shared" si="28"/>
        <v/>
      </c>
      <c r="H213" s="3601"/>
      <c r="I213" s="3601"/>
      <c r="J213" s="3686"/>
      <c r="K213" s="3686"/>
      <c r="L213" s="3688"/>
      <c r="M213" s="3601"/>
      <c r="O213" s="3265">
        <f t="shared" si="30"/>
        <v>0</v>
      </c>
      <c r="P213" s="3265">
        <f t="shared" si="31"/>
        <v>0</v>
      </c>
      <c r="Q213" s="3123"/>
      <c r="R213" s="3278">
        <f t="shared" si="29"/>
        <v>0</v>
      </c>
    </row>
    <row r="214" spans="1:18" x14ac:dyDescent="0.2">
      <c r="A214" s="3690">
        <v>5</v>
      </c>
      <c r="B214" s="3702"/>
      <c r="C214" s="3703"/>
      <c r="D214" s="3703"/>
      <c r="E214" s="3703"/>
      <c r="F214" s="3704"/>
      <c r="G214" s="2748" t="str">
        <f t="shared" si="28"/>
        <v/>
      </c>
      <c r="H214" s="3601"/>
      <c r="I214" s="3601"/>
      <c r="J214" s="3686"/>
      <c r="K214" s="3686"/>
      <c r="L214" s="3688"/>
      <c r="M214" s="3601"/>
      <c r="O214" s="3265">
        <f t="shared" si="30"/>
        <v>0</v>
      </c>
      <c r="P214" s="3265">
        <f t="shared" si="31"/>
        <v>0</v>
      </c>
      <c r="Q214" s="3123"/>
      <c r="R214" s="3278">
        <f t="shared" si="29"/>
        <v>0</v>
      </c>
    </row>
    <row r="215" spans="1:18" x14ac:dyDescent="0.2">
      <c r="A215" s="3690">
        <v>6</v>
      </c>
      <c r="B215" s="3702"/>
      <c r="C215" s="3703"/>
      <c r="D215" s="3703"/>
      <c r="E215" s="3703"/>
      <c r="F215" s="3704"/>
      <c r="G215" s="2748" t="str">
        <f t="shared" si="28"/>
        <v/>
      </c>
      <c r="H215" s="3601"/>
      <c r="I215" s="3601"/>
      <c r="J215" s="3686"/>
      <c r="K215" s="3686"/>
      <c r="L215" s="3688"/>
      <c r="M215" s="3601"/>
      <c r="O215" s="3265">
        <f t="shared" si="30"/>
        <v>0</v>
      </c>
      <c r="P215" s="3265">
        <f t="shared" si="31"/>
        <v>0</v>
      </c>
      <c r="Q215" s="3123"/>
      <c r="R215" s="3278">
        <f t="shared" si="29"/>
        <v>0</v>
      </c>
    </row>
    <row r="216" spans="1:18" x14ac:dyDescent="0.2">
      <c r="A216" s="3690">
        <v>7</v>
      </c>
      <c r="B216" s="3702"/>
      <c r="C216" s="3703"/>
      <c r="D216" s="3703"/>
      <c r="E216" s="3703"/>
      <c r="F216" s="3704"/>
      <c r="G216" s="2748" t="str">
        <f t="shared" si="28"/>
        <v/>
      </c>
      <c r="H216" s="3601"/>
      <c r="I216" s="3601"/>
      <c r="J216" s="3686"/>
      <c r="K216" s="3686"/>
      <c r="L216" s="3688"/>
      <c r="M216" s="3601"/>
      <c r="O216" s="3265">
        <f t="shared" si="30"/>
        <v>0</v>
      </c>
      <c r="P216" s="3265">
        <f t="shared" si="31"/>
        <v>0</v>
      </c>
      <c r="Q216" s="3123"/>
      <c r="R216" s="3278">
        <f t="shared" si="29"/>
        <v>0</v>
      </c>
    </row>
    <row r="217" spans="1:18" x14ac:dyDescent="0.2">
      <c r="A217" s="3690">
        <v>8</v>
      </c>
      <c r="B217" s="3702"/>
      <c r="C217" s="3703"/>
      <c r="D217" s="3703"/>
      <c r="E217" s="3703"/>
      <c r="F217" s="3704"/>
      <c r="G217" s="2748" t="str">
        <f t="shared" si="28"/>
        <v/>
      </c>
      <c r="H217" s="3601"/>
      <c r="I217" s="3601"/>
      <c r="J217" s="3686"/>
      <c r="K217" s="3686"/>
      <c r="L217" s="3688"/>
      <c r="M217" s="3601"/>
      <c r="O217" s="3265">
        <f t="shared" si="30"/>
        <v>0</v>
      </c>
      <c r="P217" s="3265">
        <f t="shared" si="31"/>
        <v>0</v>
      </c>
      <c r="Q217" s="3123"/>
      <c r="R217" s="3278">
        <f t="shared" si="29"/>
        <v>0</v>
      </c>
    </row>
    <row r="218" spans="1:18" x14ac:dyDescent="0.2">
      <c r="A218" s="3690">
        <v>9</v>
      </c>
      <c r="B218" s="3702"/>
      <c r="C218" s="3703"/>
      <c r="D218" s="3703"/>
      <c r="E218" s="3703"/>
      <c r="F218" s="3704"/>
      <c r="G218" s="2748" t="str">
        <f t="shared" si="28"/>
        <v/>
      </c>
      <c r="H218" s="3601"/>
      <c r="I218" s="3601"/>
      <c r="J218" s="3686"/>
      <c r="K218" s="3686"/>
      <c r="L218" s="3688"/>
      <c r="M218" s="3601"/>
      <c r="O218" s="3265">
        <f t="shared" si="30"/>
        <v>0</v>
      </c>
      <c r="P218" s="3265">
        <f t="shared" si="31"/>
        <v>0</v>
      </c>
      <c r="Q218" s="3123"/>
      <c r="R218" s="3278">
        <f t="shared" si="29"/>
        <v>0</v>
      </c>
    </row>
    <row r="219" spans="1:18" x14ac:dyDescent="0.2">
      <c r="A219" s="3690">
        <v>10</v>
      </c>
      <c r="B219" s="3702"/>
      <c r="C219" s="3703"/>
      <c r="D219" s="3703"/>
      <c r="E219" s="3703"/>
      <c r="F219" s="3704"/>
      <c r="G219" s="2748" t="str">
        <f t="shared" si="28"/>
        <v/>
      </c>
      <c r="H219" s="3601"/>
      <c r="I219" s="3601"/>
      <c r="J219" s="3686"/>
      <c r="K219" s="3686"/>
      <c r="L219" s="3688"/>
      <c r="M219" s="3601"/>
      <c r="O219" s="3265">
        <f t="shared" si="30"/>
        <v>0</v>
      </c>
      <c r="P219" s="3265">
        <f t="shared" si="31"/>
        <v>0</v>
      </c>
      <c r="Q219" s="3123"/>
      <c r="R219" s="3278">
        <f t="shared" si="29"/>
        <v>0</v>
      </c>
    </row>
    <row r="220" spans="1:18" x14ac:dyDescent="0.2">
      <c r="A220" s="3690">
        <v>11</v>
      </c>
      <c r="B220" s="3702"/>
      <c r="C220" s="3703"/>
      <c r="D220" s="3703"/>
      <c r="E220" s="3703"/>
      <c r="F220" s="3704"/>
      <c r="G220" s="2748" t="str">
        <f t="shared" si="28"/>
        <v/>
      </c>
      <c r="H220" s="3601"/>
      <c r="I220" s="3601"/>
      <c r="J220" s="3686"/>
      <c r="K220" s="3686"/>
      <c r="L220" s="3688"/>
      <c r="M220" s="3601"/>
      <c r="O220" s="3265">
        <f t="shared" si="30"/>
        <v>0</v>
      </c>
      <c r="P220" s="3265">
        <f t="shared" si="31"/>
        <v>0</v>
      </c>
      <c r="Q220" s="3123"/>
      <c r="R220" s="3278">
        <f t="shared" si="29"/>
        <v>0</v>
      </c>
    </row>
    <row r="221" spans="1:18" x14ac:dyDescent="0.2">
      <c r="A221" s="3690">
        <v>12</v>
      </c>
      <c r="B221" s="3702"/>
      <c r="C221" s="3703"/>
      <c r="D221" s="3703"/>
      <c r="E221" s="3703"/>
      <c r="F221" s="3704"/>
      <c r="G221" s="2748" t="str">
        <f t="shared" si="28"/>
        <v/>
      </c>
      <c r="H221" s="3601"/>
      <c r="I221" s="3601"/>
      <c r="J221" s="3686"/>
      <c r="K221" s="3686"/>
      <c r="L221" s="3688"/>
      <c r="M221" s="3601"/>
      <c r="O221" s="3265">
        <f t="shared" si="30"/>
        <v>0</v>
      </c>
      <c r="P221" s="3265">
        <f t="shared" si="31"/>
        <v>0</v>
      </c>
      <c r="Q221" s="3123"/>
      <c r="R221" s="3278">
        <f t="shared" si="29"/>
        <v>0</v>
      </c>
    </row>
    <row r="222" spans="1:18" hidden="1" x14ac:dyDescent="0.2">
      <c r="A222" s="3690">
        <v>13</v>
      </c>
      <c r="B222" s="3702"/>
      <c r="C222" s="3703"/>
      <c r="D222" s="3703"/>
      <c r="E222" s="3703"/>
      <c r="F222" s="3704"/>
      <c r="G222" s="2748" t="str">
        <f t="shared" si="28"/>
        <v/>
      </c>
      <c r="H222" s="3601"/>
      <c r="I222" s="3601"/>
      <c r="J222" s="3686"/>
      <c r="K222" s="3686"/>
      <c r="L222" s="3688"/>
      <c r="M222" s="3601"/>
      <c r="O222" s="3265">
        <f t="shared" ref="O222:O271" si="32">IF(G222="",0,1)</f>
      </c>
      <c r="P222" s="3265">
        <f t="shared" ref="P222:P271" si="33">IF($Q$2="y",COUNTA(B222:F222),COUNTA(C222,D222,E222,F222))</f>
      </c>
      <c r="Q222" s="3123"/>
      <c r="R222" s="3278">
        <f t="shared" ref="R222:R271" si="34">IF(AND($Q$2="n",B222&lt;&gt;""),1,0)</f>
      </c>
    </row>
    <row r="223" spans="1:18" hidden="1" x14ac:dyDescent="0.2">
      <c r="A223" s="3690">
        <v>14</v>
      </c>
      <c r="B223" s="3702"/>
      <c r="C223" s="3703"/>
      <c r="D223" s="3703"/>
      <c r="E223" s="3703"/>
      <c r="F223" s="3704"/>
      <c r="G223" s="2748" t="str">
        <f t="shared" si="28"/>
        <v/>
      </c>
      <c r="H223" s="3601"/>
      <c r="I223" s="3601"/>
      <c r="J223" s="3686"/>
      <c r="K223" s="3686"/>
      <c r="L223" s="3688"/>
      <c r="M223" s="3601"/>
      <c r="O223" s="3265">
        <f t="shared" si="32"/>
        <v>0</v>
      </c>
      <c r="P223" s="3265">
        <f t="shared" si="33"/>
        <v>0</v>
      </c>
      <c r="Q223" s="3123"/>
      <c r="R223" s="3278">
        <f t="shared" si="34"/>
        <v>0</v>
      </c>
    </row>
    <row r="224" spans="1:18" hidden="1" x14ac:dyDescent="0.2">
      <c r="A224" s="3690">
        <v>15</v>
      </c>
      <c r="B224" s="3702"/>
      <c r="C224" s="3703"/>
      <c r="D224" s="3703"/>
      <c r="E224" s="3703"/>
      <c r="F224" s="3704"/>
      <c r="G224" s="2748" t="str">
        <f t="shared" si="28"/>
        <v/>
      </c>
      <c r="H224" s="3601"/>
      <c r="I224" s="3601"/>
      <c r="J224" s="3686"/>
      <c r="K224" s="3686"/>
      <c r="L224" s="3688"/>
      <c r="M224" s="3601"/>
      <c r="O224" s="3265">
        <f t="shared" si="32"/>
        <v>0</v>
      </c>
      <c r="P224" s="3265">
        <f t="shared" si="33"/>
        <v>0</v>
      </c>
      <c r="Q224" s="3123"/>
      <c r="R224" s="3278">
        <f t="shared" si="34"/>
        <v>0</v>
      </c>
    </row>
    <row r="225" spans="1:18" hidden="1" x14ac:dyDescent="0.2">
      <c r="A225" s="3690">
        <v>16</v>
      </c>
      <c r="B225" s="3702"/>
      <c r="C225" s="3703"/>
      <c r="D225" s="3703"/>
      <c r="E225" s="3703"/>
      <c r="F225" s="3704"/>
      <c r="G225" s="2748" t="str">
        <f t="shared" si="28"/>
        <v/>
      </c>
      <c r="H225" s="3601"/>
      <c r="I225" s="3601"/>
      <c r="J225" s="3686"/>
      <c r="K225" s="3686"/>
      <c r="L225" s="3688"/>
      <c r="M225" s="3601"/>
      <c r="O225" s="3265">
        <f t="shared" si="32"/>
        <v>0</v>
      </c>
      <c r="P225" s="3265">
        <f t="shared" si="33"/>
        <v>0</v>
      </c>
      <c r="Q225" s="3123"/>
      <c r="R225" s="3278">
        <f t="shared" si="34"/>
        <v>0</v>
      </c>
    </row>
    <row r="226" spans="1:18" hidden="1" x14ac:dyDescent="0.2">
      <c r="A226" s="3690">
        <v>17</v>
      </c>
      <c r="B226" s="3702"/>
      <c r="C226" s="3703"/>
      <c r="D226" s="3703"/>
      <c r="E226" s="3703"/>
      <c r="F226" s="3704"/>
      <c r="G226" s="2748" t="str">
        <f t="shared" si="28"/>
        <v/>
      </c>
      <c r="H226" s="3601"/>
      <c r="I226" s="3601"/>
      <c r="J226" s="3686"/>
      <c r="K226" s="3686"/>
      <c r="L226" s="3688"/>
      <c r="M226" s="3601"/>
      <c r="O226" s="3265">
        <f t="shared" si="32"/>
        <v>0</v>
      </c>
      <c r="P226" s="3265">
        <f t="shared" si="33"/>
        <v>0</v>
      </c>
      <c r="Q226" s="3123"/>
      <c r="R226" s="3278">
        <f t="shared" si="34"/>
        <v>0</v>
      </c>
    </row>
    <row r="227" spans="1:18" hidden="1" x14ac:dyDescent="0.2">
      <c r="A227" s="3690">
        <v>18</v>
      </c>
      <c r="B227" s="3702"/>
      <c r="C227" s="3703"/>
      <c r="D227" s="3703"/>
      <c r="E227" s="3703"/>
      <c r="F227" s="3704"/>
      <c r="G227" s="2748" t="str">
        <f t="shared" si="28"/>
        <v/>
      </c>
      <c r="H227" s="3601"/>
      <c r="I227" s="3601"/>
      <c r="J227" s="3686"/>
      <c r="K227" s="3686"/>
      <c r="L227" s="3688"/>
      <c r="M227" s="3601"/>
      <c r="O227" s="3265">
        <f t="shared" si="32"/>
        <v>0</v>
      </c>
      <c r="P227" s="3265">
        <f t="shared" si="33"/>
        <v>0</v>
      </c>
      <c r="Q227" s="3123"/>
      <c r="R227" s="3278">
        <f t="shared" si="34"/>
        <v>0</v>
      </c>
    </row>
    <row r="228" spans="1:18" hidden="1" x14ac:dyDescent="0.2">
      <c r="A228" s="3690">
        <v>19</v>
      </c>
      <c r="B228" s="3702"/>
      <c r="C228" s="3703"/>
      <c r="D228" s="3703"/>
      <c r="E228" s="3703"/>
      <c r="F228" s="3704"/>
      <c r="G228" s="2748" t="str">
        <f t="shared" si="28"/>
        <v/>
      </c>
      <c r="H228" s="3601"/>
      <c r="I228" s="3601"/>
      <c r="J228" s="3686"/>
      <c r="K228" s="3686"/>
      <c r="L228" s="3688"/>
      <c r="M228" s="3601"/>
      <c r="O228" s="3265">
        <f t="shared" si="32"/>
        <v>0</v>
      </c>
      <c r="P228" s="3265">
        <f t="shared" si="33"/>
        <v>0</v>
      </c>
      <c r="Q228" s="3123"/>
      <c r="R228" s="3278">
        <f t="shared" si="34"/>
        <v>0</v>
      </c>
    </row>
    <row r="229" spans="1:18" hidden="1" x14ac:dyDescent="0.2">
      <c r="A229" s="3690">
        <v>20</v>
      </c>
      <c r="B229" s="3702"/>
      <c r="C229" s="3703"/>
      <c r="D229" s="3703"/>
      <c r="E229" s="3703"/>
      <c r="F229" s="3704"/>
      <c r="G229" s="2748" t="str">
        <f t="shared" si="28"/>
        <v/>
      </c>
      <c r="H229" s="3601"/>
      <c r="I229" s="3601"/>
      <c r="J229" s="3686"/>
      <c r="K229" s="3686"/>
      <c r="L229" s="3688"/>
      <c r="M229" s="3601"/>
      <c r="O229" s="3265">
        <f t="shared" si="32"/>
        <v>0</v>
      </c>
      <c r="P229" s="3265">
        <f t="shared" si="33"/>
        <v>0</v>
      </c>
      <c r="Q229" s="3123"/>
      <c r="R229" s="3278">
        <f t="shared" si="34"/>
        <v>0</v>
      </c>
    </row>
    <row r="230" spans="1:18" hidden="1" x14ac:dyDescent="0.2">
      <c r="A230" s="3690">
        <v>21</v>
      </c>
      <c r="B230" s="3702"/>
      <c r="C230" s="3703"/>
      <c r="D230" s="3703"/>
      <c r="E230" s="3703"/>
      <c r="F230" s="3704"/>
      <c r="G230" s="2748" t="str">
        <f t="shared" si="28"/>
        <v/>
      </c>
      <c r="H230" s="3601"/>
      <c r="I230" s="3601"/>
      <c r="J230" s="3686"/>
      <c r="K230" s="3686"/>
      <c r="L230" s="3688"/>
      <c r="M230" s="3601"/>
      <c r="O230" s="3265">
        <f t="shared" si="32"/>
        <v>0</v>
      </c>
      <c r="P230" s="3265">
        <f t="shared" si="33"/>
        <v>0</v>
      </c>
      <c r="Q230" s="3123"/>
      <c r="R230" s="3278">
        <f t="shared" si="34"/>
        <v>0</v>
      </c>
    </row>
    <row r="231" spans="1:18" hidden="1" x14ac:dyDescent="0.2">
      <c r="A231" s="3690">
        <v>22</v>
      </c>
      <c r="B231" s="3702"/>
      <c r="C231" s="3703"/>
      <c r="D231" s="3703"/>
      <c r="E231" s="3703"/>
      <c r="F231" s="3704"/>
      <c r="G231" s="2748" t="str">
        <f t="shared" si="28"/>
        <v/>
      </c>
      <c r="H231" s="3601"/>
      <c r="I231" s="3601"/>
      <c r="J231" s="3686"/>
      <c r="K231" s="3686"/>
      <c r="L231" s="3688"/>
      <c r="M231" s="3601"/>
      <c r="O231" s="3265">
        <f t="shared" si="32"/>
        <v>0</v>
      </c>
      <c r="P231" s="3265">
        <f t="shared" si="33"/>
        <v>0</v>
      </c>
      <c r="Q231" s="3123"/>
      <c r="R231" s="3278">
        <f t="shared" si="34"/>
        <v>0</v>
      </c>
    </row>
    <row r="232" spans="1:18" hidden="1" x14ac:dyDescent="0.2">
      <c r="A232" s="3690">
        <v>23</v>
      </c>
      <c r="B232" s="3702"/>
      <c r="C232" s="3703"/>
      <c r="D232" s="3703"/>
      <c r="E232" s="3703"/>
      <c r="F232" s="3704"/>
      <c r="G232" s="2748" t="str">
        <f t="shared" si="28"/>
        <v/>
      </c>
      <c r="H232" s="3601"/>
      <c r="I232" s="3601"/>
      <c r="J232" s="3686"/>
      <c r="K232" s="3686"/>
      <c r="L232" s="3688"/>
      <c r="M232" s="3601"/>
      <c r="O232" s="3265">
        <f t="shared" si="32"/>
        <v>0</v>
      </c>
      <c r="P232" s="3265">
        <f t="shared" si="33"/>
        <v>0</v>
      </c>
      <c r="Q232" s="3123"/>
      <c r="R232" s="3278">
        <f t="shared" si="34"/>
        <v>0</v>
      </c>
    </row>
    <row r="233" spans="1:18" hidden="1" x14ac:dyDescent="0.2">
      <c r="A233" s="3690">
        <v>24</v>
      </c>
      <c r="B233" s="3702"/>
      <c r="C233" s="3703"/>
      <c r="D233" s="3703"/>
      <c r="E233" s="3703"/>
      <c r="F233" s="3704"/>
      <c r="G233" s="2748" t="str">
        <f t="shared" si="28"/>
        <v/>
      </c>
      <c r="H233" s="3601"/>
      <c r="I233" s="3601"/>
      <c r="J233" s="3686"/>
      <c r="K233" s="3686"/>
      <c r="L233" s="3688"/>
      <c r="M233" s="3601"/>
      <c r="O233" s="3265">
        <f t="shared" si="32"/>
        <v>0</v>
      </c>
      <c r="P233" s="3265">
        <f t="shared" si="33"/>
        <v>0</v>
      </c>
      <c r="Q233" s="3123"/>
      <c r="R233" s="3278">
        <f t="shared" si="34"/>
        <v>0</v>
      </c>
    </row>
    <row r="234" spans="1:18" hidden="1" x14ac:dyDescent="0.2">
      <c r="A234" s="3690">
        <v>25</v>
      </c>
      <c r="B234" s="3702"/>
      <c r="C234" s="3703"/>
      <c r="D234" s="3703"/>
      <c r="E234" s="3703"/>
      <c r="F234" s="3704"/>
      <c r="G234" s="2748" t="str">
        <f t="shared" si="28"/>
        <v/>
      </c>
      <c r="H234" s="3601"/>
      <c r="I234" s="3601"/>
      <c r="J234" s="3686"/>
      <c r="K234" s="3686"/>
      <c r="L234" s="3688"/>
      <c r="M234" s="3601"/>
      <c r="O234" s="3265">
        <f t="shared" si="32"/>
        <v>0</v>
      </c>
      <c r="P234" s="3265">
        <f t="shared" si="33"/>
        <v>0</v>
      </c>
      <c r="Q234" s="3123"/>
      <c r="R234" s="3278">
        <f t="shared" si="34"/>
        <v>0</v>
      </c>
    </row>
    <row r="235" spans="1:18" hidden="1" x14ac:dyDescent="0.2">
      <c r="A235" s="3690">
        <v>26</v>
      </c>
      <c r="B235" s="3702"/>
      <c r="C235" s="3703"/>
      <c r="D235" s="3703"/>
      <c r="E235" s="3703"/>
      <c r="F235" s="3704"/>
      <c r="G235" s="2748" t="str">
        <f t="shared" si="28"/>
        <v/>
      </c>
      <c r="H235" s="3601"/>
      <c r="I235" s="3601"/>
      <c r="J235" s="3686"/>
      <c r="K235" s="3686"/>
      <c r="L235" s="3688"/>
      <c r="M235" s="3601"/>
      <c r="O235" s="3265">
        <f t="shared" si="32"/>
        <v>0</v>
      </c>
      <c r="P235" s="3265">
        <f t="shared" si="33"/>
        <v>0</v>
      </c>
      <c r="Q235" s="3123"/>
      <c r="R235" s="3278">
        <f t="shared" si="34"/>
        <v>0</v>
      </c>
    </row>
    <row r="236" spans="1:18" hidden="1" x14ac:dyDescent="0.2">
      <c r="A236" s="3690">
        <v>27</v>
      </c>
      <c r="B236" s="3702"/>
      <c r="C236" s="3703"/>
      <c r="D236" s="3703"/>
      <c r="E236" s="3703"/>
      <c r="F236" s="3704"/>
      <c r="G236" s="2748" t="str">
        <f t="shared" si="28"/>
        <v/>
      </c>
      <c r="H236" s="3601"/>
      <c r="I236" s="3601"/>
      <c r="J236" s="3686"/>
      <c r="K236" s="3686"/>
      <c r="L236" s="3688"/>
      <c r="M236" s="3601"/>
      <c r="O236" s="3265">
        <f t="shared" si="32"/>
        <v>0</v>
      </c>
      <c r="P236" s="3265">
        <f t="shared" si="33"/>
        <v>0</v>
      </c>
      <c r="Q236" s="3123"/>
      <c r="R236" s="3278">
        <f t="shared" si="34"/>
        <v>0</v>
      </c>
    </row>
    <row r="237" spans="1:18" hidden="1" x14ac:dyDescent="0.2">
      <c r="A237" s="3690">
        <v>28</v>
      </c>
      <c r="B237" s="3702"/>
      <c r="C237" s="3703"/>
      <c r="D237" s="3703"/>
      <c r="E237" s="3703"/>
      <c r="F237" s="3704"/>
      <c r="G237" s="2748" t="str">
        <f t="shared" si="28"/>
        <v/>
      </c>
      <c r="H237" s="3601"/>
      <c r="I237" s="3601"/>
      <c r="J237" s="3686"/>
      <c r="K237" s="3686"/>
      <c r="L237" s="3688"/>
      <c r="M237" s="3601"/>
      <c r="O237" s="3265">
        <f t="shared" si="32"/>
        <v>0</v>
      </c>
      <c r="P237" s="3265">
        <f t="shared" si="33"/>
        <v>0</v>
      </c>
      <c r="Q237" s="3123"/>
      <c r="R237" s="3278">
        <f t="shared" si="34"/>
        <v>0</v>
      </c>
    </row>
    <row r="238" spans="1:18" hidden="1" x14ac:dyDescent="0.2">
      <c r="A238" s="3690">
        <v>29</v>
      </c>
      <c r="B238" s="3702"/>
      <c r="C238" s="3703"/>
      <c r="D238" s="3703"/>
      <c r="E238" s="3703"/>
      <c r="F238" s="3704"/>
      <c r="G238" s="2748" t="str">
        <f t="shared" si="28"/>
        <v/>
      </c>
      <c r="H238" s="3601"/>
      <c r="I238" s="3601"/>
      <c r="J238" s="3686"/>
      <c r="K238" s="3686"/>
      <c r="L238" s="3688"/>
      <c r="M238" s="3601"/>
      <c r="O238" s="3265">
        <f t="shared" si="32"/>
        <v>0</v>
      </c>
      <c r="P238" s="3265">
        <f t="shared" si="33"/>
        <v>0</v>
      </c>
      <c r="Q238" s="3123"/>
      <c r="R238" s="3278">
        <f t="shared" si="34"/>
        <v>0</v>
      </c>
    </row>
    <row r="239" spans="1:18" hidden="1" x14ac:dyDescent="0.2">
      <c r="A239" s="3690">
        <v>30</v>
      </c>
      <c r="B239" s="3702"/>
      <c r="C239" s="3703"/>
      <c r="D239" s="3703"/>
      <c r="E239" s="3703"/>
      <c r="F239" s="3704"/>
      <c r="G239" s="2748" t="str">
        <f t="shared" si="28"/>
        <v/>
      </c>
      <c r="H239" s="3601"/>
      <c r="I239" s="3601"/>
      <c r="J239" s="3686"/>
      <c r="K239" s="3686"/>
      <c r="L239" s="3688"/>
      <c r="M239" s="3601"/>
      <c r="O239" s="3265">
        <f t="shared" si="32"/>
        <v>0</v>
      </c>
      <c r="P239" s="3265">
        <f t="shared" si="33"/>
        <v>0</v>
      </c>
      <c r="Q239" s="3123"/>
      <c r="R239" s="3278">
        <f t="shared" si="34"/>
        <v>0</v>
      </c>
    </row>
    <row r="240" spans="1:18" hidden="1" x14ac:dyDescent="0.2">
      <c r="A240" s="3690">
        <v>31</v>
      </c>
      <c r="B240" s="3702"/>
      <c r="C240" s="3703"/>
      <c r="D240" s="3703"/>
      <c r="E240" s="3703"/>
      <c r="F240" s="3704"/>
      <c r="G240" s="2748" t="str">
        <f t="shared" si="28"/>
        <v/>
      </c>
      <c r="H240" s="3601"/>
      <c r="I240" s="3601"/>
      <c r="J240" s="3686"/>
      <c r="K240" s="3686"/>
      <c r="L240" s="3688"/>
      <c r="M240" s="3601"/>
      <c r="O240" s="3265">
        <f t="shared" si="32"/>
        <v>0</v>
      </c>
      <c r="P240" s="3265">
        <f t="shared" si="33"/>
        <v>0</v>
      </c>
      <c r="Q240" s="3123"/>
      <c r="R240" s="3278">
        <f t="shared" si="34"/>
        <v>0</v>
      </c>
    </row>
    <row r="241" spans="1:18" hidden="1" x14ac:dyDescent="0.2">
      <c r="A241" s="3690">
        <v>32</v>
      </c>
      <c r="B241" s="3702"/>
      <c r="C241" s="3703"/>
      <c r="D241" s="3703"/>
      <c r="E241" s="3703"/>
      <c r="F241" s="3704"/>
      <c r="G241" s="2748" t="str">
        <f t="shared" si="28"/>
        <v/>
      </c>
      <c r="H241" s="3601"/>
      <c r="I241" s="3601"/>
      <c r="J241" s="3686"/>
      <c r="K241" s="3686"/>
      <c r="L241" s="3688"/>
      <c r="M241" s="3601"/>
      <c r="O241" s="3265">
        <f t="shared" si="32"/>
        <v>0</v>
      </c>
      <c r="P241" s="3265">
        <f t="shared" si="33"/>
        <v>0</v>
      </c>
      <c r="Q241" s="3123"/>
      <c r="R241" s="3278">
        <f t="shared" si="34"/>
        <v>0</v>
      </c>
    </row>
    <row r="242" spans="1:18" hidden="1" x14ac:dyDescent="0.2">
      <c r="A242" s="3690">
        <v>33</v>
      </c>
      <c r="B242" s="3702"/>
      <c r="C242" s="3703"/>
      <c r="D242" s="3703"/>
      <c r="E242" s="3703"/>
      <c r="F242" s="3704"/>
      <c r="G242" s="2748" t="str">
        <f t="shared" ref="G242:G271" si="35">IF($O$208=1,"",IF(AND($F$208&gt;0,A242&lt;=$F$208,P242=0),re,IF(OR(AND($Q$2="y",A242&lt;=$F$208,P242&lt;&gt;5),AND(OR($Q$2=0,$Q$2="n"),A242&lt;=$F$208,P242&lt;&gt;4)),"All data!",IF(AND(OR($Q$2=0,$Q$2="n"),B242&lt;&gt;""),"Check Pg2 Q30!",IF(AND(P242&gt;0,A242&gt;$F$208),"Delete!","")))))</f>
        <v/>
      </c>
      <c r="H242" s="3601"/>
      <c r="I242" s="3601"/>
      <c r="J242" s="3686"/>
      <c r="K242" s="3686"/>
      <c r="L242" s="3688"/>
      <c r="M242" s="3601"/>
      <c r="O242" s="3265">
        <f t="shared" si="32"/>
        <v>0</v>
      </c>
      <c r="P242" s="3265">
        <f t="shared" si="33"/>
        <v>0</v>
      </c>
      <c r="Q242" s="3123"/>
      <c r="R242" s="3278">
        <f t="shared" si="34"/>
        <v>0</v>
      </c>
    </row>
    <row r="243" spans="1:18" hidden="1" x14ac:dyDescent="0.2">
      <c r="A243" s="3690">
        <v>34</v>
      </c>
      <c r="B243" s="3702"/>
      <c r="C243" s="3703"/>
      <c r="D243" s="3703"/>
      <c r="E243" s="3703"/>
      <c r="F243" s="3704"/>
      <c r="G243" s="2748" t="str">
        <f t="shared" si="35"/>
        <v/>
      </c>
      <c r="H243" s="3601"/>
      <c r="I243" s="3601"/>
      <c r="J243" s="3686"/>
      <c r="K243" s="3686"/>
      <c r="L243" s="3688"/>
      <c r="M243" s="3601"/>
      <c r="O243" s="3265">
        <f t="shared" si="32"/>
        <v>0</v>
      </c>
      <c r="P243" s="3265">
        <f t="shared" si="33"/>
        <v>0</v>
      </c>
      <c r="Q243" s="3123"/>
      <c r="R243" s="3278">
        <f t="shared" si="34"/>
        <v>0</v>
      </c>
    </row>
    <row r="244" spans="1:18" hidden="1" x14ac:dyDescent="0.2">
      <c r="A244" s="3690">
        <v>35</v>
      </c>
      <c r="B244" s="3702"/>
      <c r="C244" s="3703"/>
      <c r="D244" s="3703"/>
      <c r="E244" s="3703"/>
      <c r="F244" s="3704"/>
      <c r="G244" s="2748" t="str">
        <f t="shared" si="35"/>
        <v/>
      </c>
      <c r="H244" s="3601"/>
      <c r="I244" s="3601"/>
      <c r="J244" s="3686"/>
      <c r="K244" s="3686"/>
      <c r="L244" s="3688"/>
      <c r="M244" s="3601"/>
      <c r="O244" s="3265">
        <f t="shared" si="32"/>
        <v>0</v>
      </c>
      <c r="P244" s="3265">
        <f t="shared" si="33"/>
        <v>0</v>
      </c>
      <c r="Q244" s="3123"/>
      <c r="R244" s="3278">
        <f t="shared" si="34"/>
        <v>0</v>
      </c>
    </row>
    <row r="245" spans="1:18" hidden="1" x14ac:dyDescent="0.2">
      <c r="A245" s="3690">
        <v>36</v>
      </c>
      <c r="B245" s="3702"/>
      <c r="C245" s="3703"/>
      <c r="D245" s="3703"/>
      <c r="E245" s="3703"/>
      <c r="F245" s="3704"/>
      <c r="G245" s="2748" t="str">
        <f t="shared" si="35"/>
        <v/>
      </c>
      <c r="H245" s="3601"/>
      <c r="I245" s="3601"/>
      <c r="J245" s="3686"/>
      <c r="K245" s="3686"/>
      <c r="L245" s="3688"/>
      <c r="M245" s="3601"/>
      <c r="O245" s="3265">
        <f t="shared" si="32"/>
        <v>0</v>
      </c>
      <c r="P245" s="3265">
        <f t="shared" si="33"/>
        <v>0</v>
      </c>
      <c r="Q245" s="3123"/>
      <c r="R245" s="3278">
        <f t="shared" si="34"/>
        <v>0</v>
      </c>
    </row>
    <row r="246" spans="1:18" hidden="1" x14ac:dyDescent="0.2">
      <c r="A246" s="3690">
        <v>37</v>
      </c>
      <c r="B246" s="3702"/>
      <c r="C246" s="3703"/>
      <c r="D246" s="3703"/>
      <c r="E246" s="3703"/>
      <c r="F246" s="3704"/>
      <c r="G246" s="2748" t="str">
        <f t="shared" si="35"/>
        <v/>
      </c>
      <c r="H246" s="3601"/>
      <c r="I246" s="3601"/>
      <c r="J246" s="3686"/>
      <c r="K246" s="3686"/>
      <c r="L246" s="3688"/>
      <c r="M246" s="3601"/>
      <c r="O246" s="3265">
        <f t="shared" si="32"/>
        <v>0</v>
      </c>
      <c r="P246" s="3265">
        <f t="shared" si="33"/>
        <v>0</v>
      </c>
      <c r="Q246" s="3123"/>
      <c r="R246" s="3278">
        <f t="shared" si="34"/>
        <v>0</v>
      </c>
    </row>
    <row r="247" spans="1:18" hidden="1" x14ac:dyDescent="0.2">
      <c r="A247" s="3690">
        <v>38</v>
      </c>
      <c r="B247" s="3702"/>
      <c r="C247" s="3703"/>
      <c r="D247" s="3703"/>
      <c r="E247" s="3703"/>
      <c r="F247" s="3704"/>
      <c r="G247" s="2748" t="str">
        <f t="shared" si="35"/>
        <v/>
      </c>
      <c r="H247" s="3601"/>
      <c r="I247" s="3601"/>
      <c r="J247" s="3686"/>
      <c r="K247" s="3686"/>
      <c r="L247" s="3688"/>
      <c r="M247" s="3601"/>
      <c r="O247" s="3265">
        <f t="shared" si="32"/>
        <v>0</v>
      </c>
      <c r="P247" s="3265">
        <f t="shared" si="33"/>
        <v>0</v>
      </c>
      <c r="Q247" s="3123"/>
      <c r="R247" s="3278">
        <f t="shared" si="34"/>
        <v>0</v>
      </c>
    </row>
    <row r="248" spans="1:18" hidden="1" x14ac:dyDescent="0.2">
      <c r="A248" s="3690">
        <v>39</v>
      </c>
      <c r="B248" s="3702"/>
      <c r="C248" s="3703"/>
      <c r="D248" s="3703"/>
      <c r="E248" s="3703"/>
      <c r="F248" s="3704"/>
      <c r="G248" s="2748" t="str">
        <f t="shared" si="35"/>
        <v/>
      </c>
      <c r="H248" s="3601"/>
      <c r="I248" s="3601"/>
      <c r="J248" s="3686"/>
      <c r="K248" s="3686"/>
      <c r="L248" s="3688"/>
      <c r="M248" s="3601"/>
      <c r="O248" s="3265">
        <f t="shared" si="32"/>
        <v>0</v>
      </c>
      <c r="P248" s="3265">
        <f t="shared" si="33"/>
        <v>0</v>
      </c>
      <c r="Q248" s="3123"/>
      <c r="R248" s="3278">
        <f t="shared" si="34"/>
        <v>0</v>
      </c>
    </row>
    <row r="249" spans="1:18" hidden="1" x14ac:dyDescent="0.2">
      <c r="A249" s="3690">
        <v>40</v>
      </c>
      <c r="B249" s="3702"/>
      <c r="C249" s="3703"/>
      <c r="D249" s="3703"/>
      <c r="E249" s="3703"/>
      <c r="F249" s="3704"/>
      <c r="G249" s="2748" t="str">
        <f t="shared" si="35"/>
        <v/>
      </c>
      <c r="H249" s="3601"/>
      <c r="I249" s="3601"/>
      <c r="J249" s="3686"/>
      <c r="K249" s="3686"/>
      <c r="L249" s="3688"/>
      <c r="M249" s="3601"/>
      <c r="O249" s="3265">
        <f t="shared" si="32"/>
        <v>0</v>
      </c>
      <c r="P249" s="3265">
        <f t="shared" si="33"/>
        <v>0</v>
      </c>
      <c r="Q249" s="3123"/>
      <c r="R249" s="3278">
        <f t="shared" si="34"/>
        <v>0</v>
      </c>
    </row>
    <row r="250" spans="1:18" hidden="1" x14ac:dyDescent="0.2">
      <c r="A250" s="3690">
        <v>41</v>
      </c>
      <c r="B250" s="3702"/>
      <c r="C250" s="3703"/>
      <c r="D250" s="3703"/>
      <c r="E250" s="3703"/>
      <c r="F250" s="3704"/>
      <c r="G250" s="2748" t="str">
        <f t="shared" si="35"/>
        <v/>
      </c>
      <c r="H250" s="3601"/>
      <c r="I250" s="3601"/>
      <c r="J250" s="3686"/>
      <c r="K250" s="3686"/>
      <c r="L250" s="3688"/>
      <c r="M250" s="3601"/>
      <c r="O250" s="3265">
        <f t="shared" si="32"/>
        <v>0</v>
      </c>
      <c r="P250" s="3265">
        <f t="shared" si="33"/>
        <v>0</v>
      </c>
      <c r="Q250" s="3123"/>
      <c r="R250" s="3278">
        <f t="shared" si="34"/>
        <v>0</v>
      </c>
    </row>
    <row r="251" spans="1:18" hidden="1" x14ac:dyDescent="0.2">
      <c r="A251" s="3690">
        <v>42</v>
      </c>
      <c r="B251" s="3702"/>
      <c r="C251" s="3703"/>
      <c r="D251" s="3703"/>
      <c r="E251" s="3703"/>
      <c r="F251" s="3704"/>
      <c r="G251" s="2748" t="str">
        <f t="shared" si="35"/>
        <v/>
      </c>
      <c r="H251" s="3601"/>
      <c r="I251" s="3601"/>
      <c r="J251" s="3686"/>
      <c r="K251" s="3686"/>
      <c r="L251" s="3688"/>
      <c r="M251" s="3601"/>
      <c r="O251" s="3265">
        <f t="shared" si="32"/>
        <v>0</v>
      </c>
      <c r="P251" s="3265">
        <f t="shared" si="33"/>
        <v>0</v>
      </c>
      <c r="Q251" s="3123"/>
      <c r="R251" s="3278">
        <f t="shared" si="34"/>
        <v>0</v>
      </c>
    </row>
    <row r="252" spans="1:18" hidden="1" x14ac:dyDescent="0.2">
      <c r="A252" s="3690">
        <v>43</v>
      </c>
      <c r="B252" s="3702"/>
      <c r="C252" s="3703"/>
      <c r="D252" s="3703"/>
      <c r="E252" s="3703"/>
      <c r="F252" s="3704"/>
      <c r="G252" s="2748" t="str">
        <f t="shared" si="35"/>
        <v/>
      </c>
      <c r="H252" s="3601"/>
      <c r="I252" s="3601"/>
      <c r="J252" s="3686"/>
      <c r="K252" s="3686"/>
      <c r="L252" s="3688"/>
      <c r="M252" s="3601"/>
      <c r="O252" s="3265">
        <f t="shared" si="32"/>
        <v>0</v>
      </c>
      <c r="P252" s="3265">
        <f t="shared" si="33"/>
        <v>0</v>
      </c>
      <c r="Q252" s="3123"/>
      <c r="R252" s="3278">
        <f t="shared" si="34"/>
        <v>0</v>
      </c>
    </row>
    <row r="253" spans="1:18" hidden="1" x14ac:dyDescent="0.2">
      <c r="A253" s="3690">
        <v>44</v>
      </c>
      <c r="B253" s="3702"/>
      <c r="C253" s="3703"/>
      <c r="D253" s="3703"/>
      <c r="E253" s="3703"/>
      <c r="F253" s="3704"/>
      <c r="G253" s="2748" t="str">
        <f t="shared" si="35"/>
        <v/>
      </c>
      <c r="H253" s="3601"/>
      <c r="I253" s="3601"/>
      <c r="J253" s="3686"/>
      <c r="K253" s="3686"/>
      <c r="L253" s="3688"/>
      <c r="M253" s="3601"/>
      <c r="O253" s="3265">
        <f t="shared" si="32"/>
        <v>0</v>
      </c>
      <c r="P253" s="3265">
        <f t="shared" si="33"/>
        <v>0</v>
      </c>
      <c r="Q253" s="3123"/>
      <c r="R253" s="3278">
        <f t="shared" si="34"/>
        <v>0</v>
      </c>
    </row>
    <row r="254" spans="1:18" hidden="1" x14ac:dyDescent="0.2">
      <c r="A254" s="3690">
        <v>45</v>
      </c>
      <c r="B254" s="3702"/>
      <c r="C254" s="3703"/>
      <c r="D254" s="3703"/>
      <c r="E254" s="3703"/>
      <c r="F254" s="3704"/>
      <c r="G254" s="2748" t="str">
        <f t="shared" si="35"/>
        <v/>
      </c>
      <c r="H254" s="3601"/>
      <c r="I254" s="3601"/>
      <c r="J254" s="3686"/>
      <c r="K254" s="3686"/>
      <c r="L254" s="3688"/>
      <c r="M254" s="3601"/>
      <c r="O254" s="3265">
        <f t="shared" si="32"/>
        <v>0</v>
      </c>
      <c r="P254" s="3265">
        <f t="shared" si="33"/>
        <v>0</v>
      </c>
      <c r="Q254" s="3123"/>
      <c r="R254" s="3278">
        <f t="shared" si="34"/>
        <v>0</v>
      </c>
    </row>
    <row r="255" spans="1:18" hidden="1" x14ac:dyDescent="0.2">
      <c r="A255" s="3690">
        <v>46</v>
      </c>
      <c r="B255" s="3702"/>
      <c r="C255" s="3703"/>
      <c r="D255" s="3703"/>
      <c r="E255" s="3703"/>
      <c r="F255" s="3704"/>
      <c r="G255" s="2748" t="str">
        <f t="shared" si="35"/>
        <v/>
      </c>
      <c r="H255" s="3601"/>
      <c r="I255" s="3601"/>
      <c r="J255" s="3686"/>
      <c r="K255" s="3686"/>
      <c r="L255" s="3688"/>
      <c r="M255" s="3601"/>
      <c r="O255" s="3265">
        <f t="shared" si="32"/>
        <v>0</v>
      </c>
      <c r="P255" s="3265">
        <f t="shared" si="33"/>
        <v>0</v>
      </c>
      <c r="Q255" s="3123"/>
      <c r="R255" s="3278">
        <f t="shared" si="34"/>
        <v>0</v>
      </c>
    </row>
    <row r="256" spans="1:18" hidden="1" x14ac:dyDescent="0.2">
      <c r="A256" s="3690">
        <v>47</v>
      </c>
      <c r="B256" s="3702"/>
      <c r="C256" s="3703"/>
      <c r="D256" s="3703"/>
      <c r="E256" s="3703"/>
      <c r="F256" s="3704"/>
      <c r="G256" s="2748" t="str">
        <f t="shared" si="35"/>
        <v/>
      </c>
      <c r="H256" s="3601"/>
      <c r="I256" s="3601"/>
      <c r="J256" s="3686"/>
      <c r="K256" s="3686"/>
      <c r="L256" s="3688"/>
      <c r="M256" s="3601"/>
      <c r="O256" s="3265">
        <f t="shared" si="32"/>
        <v>0</v>
      </c>
      <c r="P256" s="3265">
        <f t="shared" si="33"/>
        <v>0</v>
      </c>
      <c r="Q256" s="3123"/>
      <c r="R256" s="3278">
        <f t="shared" si="34"/>
        <v>0</v>
      </c>
    </row>
    <row r="257" spans="1:18" hidden="1" x14ac:dyDescent="0.2">
      <c r="A257" s="3690">
        <v>48</v>
      </c>
      <c r="B257" s="3702"/>
      <c r="C257" s="3703"/>
      <c r="D257" s="3703"/>
      <c r="E257" s="3703"/>
      <c r="F257" s="3704"/>
      <c r="G257" s="2748" t="str">
        <f t="shared" si="35"/>
        <v/>
      </c>
      <c r="H257" s="3601"/>
      <c r="I257" s="3601"/>
      <c r="J257" s="3686"/>
      <c r="K257" s="3686"/>
      <c r="L257" s="3688"/>
      <c r="M257" s="3601"/>
      <c r="O257" s="3265">
        <f t="shared" si="32"/>
        <v>0</v>
      </c>
      <c r="P257" s="3265">
        <f t="shared" si="33"/>
        <v>0</v>
      </c>
      <c r="Q257" s="3123"/>
      <c r="R257" s="3278">
        <f t="shared" si="34"/>
        <v>0</v>
      </c>
    </row>
    <row r="258" spans="1:18" hidden="1" x14ac:dyDescent="0.2">
      <c r="A258" s="3690">
        <v>49</v>
      </c>
      <c r="B258" s="3702"/>
      <c r="C258" s="3703"/>
      <c r="D258" s="3703"/>
      <c r="E258" s="3703"/>
      <c r="F258" s="3704"/>
      <c r="G258" s="2748" t="str">
        <f t="shared" si="35"/>
        <v/>
      </c>
      <c r="H258" s="3601"/>
      <c r="I258" s="3601"/>
      <c r="J258" s="3686"/>
      <c r="K258" s="3686"/>
      <c r="L258" s="3688"/>
      <c r="M258" s="3601"/>
      <c r="O258" s="3265">
        <f t="shared" si="32"/>
        <v>0</v>
      </c>
      <c r="P258" s="3265">
        <f t="shared" si="33"/>
        <v>0</v>
      </c>
      <c r="Q258" s="3123"/>
      <c r="R258" s="3278">
        <f t="shared" si="34"/>
        <v>0</v>
      </c>
    </row>
    <row r="259" spans="1:18" hidden="1" x14ac:dyDescent="0.2">
      <c r="A259" s="3690">
        <v>50</v>
      </c>
      <c r="B259" s="3702"/>
      <c r="C259" s="3703"/>
      <c r="D259" s="3703"/>
      <c r="E259" s="3703"/>
      <c r="F259" s="3704"/>
      <c r="G259" s="2748" t="str">
        <f t="shared" si="35"/>
        <v/>
      </c>
      <c r="H259" s="3601"/>
      <c r="I259" s="3601"/>
      <c r="J259" s="3686"/>
      <c r="K259" s="3686"/>
      <c r="L259" s="3688"/>
      <c r="M259" s="3601"/>
      <c r="O259" s="3265">
        <f t="shared" si="32"/>
        <v>0</v>
      </c>
      <c r="P259" s="3265">
        <f t="shared" si="33"/>
        <v>0</v>
      </c>
      <c r="Q259" s="3123"/>
      <c r="R259" s="3278">
        <f t="shared" si="34"/>
        <v>0</v>
      </c>
    </row>
    <row r="260" spans="1:18" hidden="1" x14ac:dyDescent="0.2">
      <c r="A260" s="3690">
        <v>51</v>
      </c>
      <c r="B260" s="3702"/>
      <c r="C260" s="3703"/>
      <c r="D260" s="3703"/>
      <c r="E260" s="3703"/>
      <c r="F260" s="3704"/>
      <c r="G260" s="2748" t="str">
        <f t="shared" si="35"/>
        <v/>
      </c>
      <c r="H260" s="3601"/>
      <c r="I260" s="3601"/>
      <c r="J260" s="3686"/>
      <c r="K260" s="3686"/>
      <c r="L260" s="3688"/>
      <c r="M260" s="3601"/>
      <c r="O260" s="3265">
        <f t="shared" si="32"/>
        <v>0</v>
      </c>
      <c r="P260" s="3265">
        <f t="shared" si="33"/>
        <v>0</v>
      </c>
      <c r="Q260" s="3123"/>
      <c r="R260" s="3278">
        <f t="shared" si="34"/>
        <v>0</v>
      </c>
    </row>
    <row r="261" spans="1:18" hidden="1" x14ac:dyDescent="0.2">
      <c r="A261" s="3690">
        <v>52</v>
      </c>
      <c r="B261" s="3702"/>
      <c r="C261" s="3703"/>
      <c r="D261" s="3703"/>
      <c r="E261" s="3703"/>
      <c r="F261" s="3704"/>
      <c r="G261" s="2748" t="str">
        <f t="shared" si="35"/>
        <v/>
      </c>
      <c r="H261" s="3601"/>
      <c r="I261" s="3601"/>
      <c r="J261" s="3686"/>
      <c r="K261" s="3686"/>
      <c r="L261" s="3688"/>
      <c r="M261" s="3601"/>
      <c r="O261" s="3265">
        <f t="shared" si="32"/>
        <v>0</v>
      </c>
      <c r="P261" s="3265">
        <f t="shared" si="33"/>
        <v>0</v>
      </c>
      <c r="Q261" s="3123"/>
      <c r="R261" s="3278">
        <f t="shared" si="34"/>
        <v>0</v>
      </c>
    </row>
    <row r="262" spans="1:18" hidden="1" x14ac:dyDescent="0.2">
      <c r="A262" s="3690">
        <v>53</v>
      </c>
      <c r="B262" s="3702"/>
      <c r="C262" s="3703"/>
      <c r="D262" s="3703"/>
      <c r="E262" s="3703"/>
      <c r="F262" s="3704"/>
      <c r="G262" s="2748" t="str">
        <f t="shared" si="35"/>
        <v/>
      </c>
      <c r="H262" s="3601"/>
      <c r="I262" s="3601"/>
      <c r="J262" s="3686"/>
      <c r="K262" s="3686"/>
      <c r="L262" s="3688"/>
      <c r="M262" s="3601"/>
      <c r="O262" s="3265">
        <f t="shared" si="32"/>
        <v>0</v>
      </c>
      <c r="P262" s="3265">
        <f t="shared" si="33"/>
        <v>0</v>
      </c>
      <c r="Q262" s="3123"/>
      <c r="R262" s="3278">
        <f t="shared" si="34"/>
        <v>0</v>
      </c>
    </row>
    <row r="263" spans="1:18" hidden="1" x14ac:dyDescent="0.2">
      <c r="A263" s="3690">
        <v>54</v>
      </c>
      <c r="B263" s="3702"/>
      <c r="C263" s="3703"/>
      <c r="D263" s="3703"/>
      <c r="E263" s="3703"/>
      <c r="F263" s="3704"/>
      <c r="G263" s="2748" t="str">
        <f t="shared" si="35"/>
        <v/>
      </c>
      <c r="H263" s="3601"/>
      <c r="I263" s="3601"/>
      <c r="J263" s="3686"/>
      <c r="K263" s="3686"/>
      <c r="L263" s="3688"/>
      <c r="M263" s="3601"/>
      <c r="O263" s="3265">
        <f t="shared" si="32"/>
        <v>0</v>
      </c>
      <c r="P263" s="3265">
        <f t="shared" si="33"/>
        <v>0</v>
      </c>
      <c r="Q263" s="3123"/>
      <c r="R263" s="3278">
        <f t="shared" si="34"/>
        <v>0</v>
      </c>
    </row>
    <row r="264" spans="1:18" hidden="1" x14ac:dyDescent="0.2">
      <c r="A264" s="3690">
        <v>55</v>
      </c>
      <c r="B264" s="3702"/>
      <c r="C264" s="3703"/>
      <c r="D264" s="3703"/>
      <c r="E264" s="3703"/>
      <c r="F264" s="3704"/>
      <c r="G264" s="2748" t="str">
        <f t="shared" si="35"/>
        <v/>
      </c>
      <c r="H264" s="3601"/>
      <c r="I264" s="3601"/>
      <c r="J264" s="3686"/>
      <c r="K264" s="3686"/>
      <c r="L264" s="3688"/>
      <c r="M264" s="3601"/>
      <c r="O264" s="3265">
        <f t="shared" si="32"/>
        <v>0</v>
      </c>
      <c r="P264" s="3265">
        <f t="shared" si="33"/>
        <v>0</v>
      </c>
      <c r="Q264" s="3123"/>
      <c r="R264" s="3278">
        <f t="shared" si="34"/>
        <v>0</v>
      </c>
    </row>
    <row r="265" spans="1:18" hidden="1" x14ac:dyDescent="0.2">
      <c r="A265" s="3690">
        <v>56</v>
      </c>
      <c r="B265" s="3702"/>
      <c r="C265" s="3703"/>
      <c r="D265" s="3703"/>
      <c r="E265" s="3703"/>
      <c r="F265" s="3704"/>
      <c r="G265" s="2748" t="str">
        <f t="shared" si="35"/>
        <v/>
      </c>
      <c r="H265" s="3601"/>
      <c r="I265" s="3601"/>
      <c r="J265" s="3686"/>
      <c r="K265" s="3686"/>
      <c r="L265" s="3688"/>
      <c r="M265" s="3601"/>
      <c r="O265" s="3265">
        <f t="shared" si="32"/>
        <v>0</v>
      </c>
      <c r="P265" s="3265">
        <f t="shared" si="33"/>
        <v>0</v>
      </c>
      <c r="Q265" s="3123"/>
      <c r="R265" s="3278">
        <f t="shared" si="34"/>
        <v>0</v>
      </c>
    </row>
    <row r="266" spans="1:18" hidden="1" x14ac:dyDescent="0.2">
      <c r="A266" s="3690">
        <v>57</v>
      </c>
      <c r="B266" s="3702"/>
      <c r="C266" s="3703"/>
      <c r="D266" s="3703"/>
      <c r="E266" s="3703"/>
      <c r="F266" s="3704"/>
      <c r="G266" s="2748" t="str">
        <f t="shared" si="35"/>
        <v/>
      </c>
      <c r="H266" s="3601"/>
      <c r="I266" s="3601"/>
      <c r="J266" s="3686"/>
      <c r="K266" s="3686"/>
      <c r="L266" s="3688"/>
      <c r="M266" s="3601"/>
      <c r="O266" s="3265">
        <f t="shared" si="32"/>
        <v>0</v>
      </c>
      <c r="P266" s="3265">
        <f t="shared" si="33"/>
        <v>0</v>
      </c>
      <c r="Q266" s="3123"/>
      <c r="R266" s="3278">
        <f t="shared" si="34"/>
        <v>0</v>
      </c>
    </row>
    <row r="267" spans="1:18" hidden="1" x14ac:dyDescent="0.2">
      <c r="A267" s="3690">
        <v>58</v>
      </c>
      <c r="B267" s="3702"/>
      <c r="C267" s="3703"/>
      <c r="D267" s="3703"/>
      <c r="E267" s="3703"/>
      <c r="F267" s="3704"/>
      <c r="G267" s="2748" t="str">
        <f t="shared" si="35"/>
        <v/>
      </c>
      <c r="H267" s="3601"/>
      <c r="I267" s="3601"/>
      <c r="J267" s="3686"/>
      <c r="K267" s="3686"/>
      <c r="L267" s="3688"/>
      <c r="M267" s="3601"/>
      <c r="O267" s="3265">
        <f t="shared" si="32"/>
        <v>0</v>
      </c>
      <c r="P267" s="3265">
        <f t="shared" si="33"/>
        <v>0</v>
      </c>
      <c r="Q267" s="3123"/>
      <c r="R267" s="3278">
        <f t="shared" si="34"/>
        <v>0</v>
      </c>
    </row>
    <row r="268" spans="1:18" hidden="1" x14ac:dyDescent="0.2">
      <c r="A268" s="3690">
        <v>59</v>
      </c>
      <c r="B268" s="3702"/>
      <c r="C268" s="3703"/>
      <c r="D268" s="3703"/>
      <c r="E268" s="3703"/>
      <c r="F268" s="3704"/>
      <c r="G268" s="2748" t="str">
        <f t="shared" si="35"/>
        <v/>
      </c>
      <c r="H268" s="3601"/>
      <c r="I268" s="3601"/>
      <c r="J268" s="3686"/>
      <c r="K268" s="3686"/>
      <c r="L268" s="3688"/>
      <c r="M268" s="3601"/>
      <c r="O268" s="3265">
        <f t="shared" si="32"/>
        <v>0</v>
      </c>
      <c r="P268" s="3265">
        <f t="shared" si="33"/>
        <v>0</v>
      </c>
      <c r="Q268" s="3123"/>
      <c r="R268" s="3278">
        <f t="shared" si="34"/>
        <v>0</v>
      </c>
    </row>
    <row r="269" spans="1:18" hidden="1" x14ac:dyDescent="0.2">
      <c r="A269" s="3690">
        <v>60</v>
      </c>
      <c r="B269" s="3702"/>
      <c r="C269" s="3703"/>
      <c r="D269" s="3703"/>
      <c r="E269" s="3703"/>
      <c r="F269" s="3704"/>
      <c r="G269" s="2748" t="str">
        <f t="shared" si="35"/>
        <v/>
      </c>
      <c r="H269" s="3601"/>
      <c r="I269" s="3601"/>
      <c r="J269" s="3686"/>
      <c r="K269" s="3686"/>
      <c r="L269" s="3688"/>
      <c r="M269" s="3601"/>
      <c r="O269" s="3265">
        <f t="shared" si="32"/>
        <v>0</v>
      </c>
      <c r="P269" s="3265">
        <f t="shared" si="33"/>
        <v>0</v>
      </c>
      <c r="Q269" s="3123"/>
      <c r="R269" s="3278">
        <f t="shared" si="34"/>
        <v>0</v>
      </c>
    </row>
    <row r="270" spans="1:18" hidden="1" x14ac:dyDescent="0.2">
      <c r="A270" s="3690">
        <v>61</v>
      </c>
      <c r="B270" s="3702"/>
      <c r="C270" s="3703"/>
      <c r="D270" s="3703"/>
      <c r="E270" s="3703"/>
      <c r="F270" s="3704"/>
      <c r="G270" s="2748" t="str">
        <f t="shared" si="35"/>
        <v/>
      </c>
      <c r="H270" s="3601"/>
      <c r="I270" s="3601"/>
      <c r="J270" s="3686"/>
      <c r="K270" s="3686"/>
      <c r="L270" s="3688"/>
      <c r="M270" s="3601"/>
      <c r="O270" s="3265">
        <f t="shared" si="32"/>
        <v>0</v>
      </c>
      <c r="P270" s="3265">
        <f t="shared" si="33"/>
        <v>0</v>
      </c>
      <c r="Q270" s="3123"/>
      <c r="R270" s="3278">
        <f t="shared" si="34"/>
        <v>0</v>
      </c>
    </row>
    <row r="271" spans="1:18" hidden="1" x14ac:dyDescent="0.2">
      <c r="A271" s="3690">
        <v>62</v>
      </c>
      <c r="B271" s="3702"/>
      <c r="C271" s="3703"/>
      <c r="D271" s="3703"/>
      <c r="E271" s="3703"/>
      <c r="F271" s="3704"/>
      <c r="G271" s="2748" t="str">
        <f t="shared" si="35"/>
        <v/>
      </c>
      <c r="H271" s="3601"/>
      <c r="I271" s="3601"/>
      <c r="J271" s="3686"/>
      <c r="K271" s="3686"/>
      <c r="L271" s="3688"/>
      <c r="M271" s="3601"/>
      <c r="O271" s="3265">
        <f t="shared" si="32"/>
        <v>0</v>
      </c>
      <c r="P271" s="3265">
        <f t="shared" si="33"/>
        <v>0</v>
      </c>
      <c r="Q271" s="3123"/>
      <c r="R271" s="3278">
        <f t="shared" si="34"/>
        <v>0</v>
      </c>
    </row>
    <row r="272" spans="1:18" x14ac:dyDescent="0.2">
      <c r="A272" s="3695"/>
      <c r="B272" s="5395" t="s">
        <v>6940</v>
      </c>
      <c r="C272" s="5397"/>
      <c r="D272" s="5397"/>
      <c r="E272" s="5396"/>
      <c r="F272" s="3694">
        <f>(SUM(F210:F271))</f>
      </c>
      <c r="G272" s="3601"/>
      <c r="H272" s="3601"/>
      <c r="I272" s="3601"/>
      <c r="J272" s="3686"/>
      <c r="K272" s="3686"/>
      <c r="L272" s="3601"/>
      <c r="M272" s="3601"/>
      <c r="O272" s="3701"/>
      <c r="P272" s="3701"/>
    </row>
    <row r="273" spans="1:18" x14ac:dyDescent="0.2">
      <c r="A273" s="3695"/>
      <c r="B273" s="3695"/>
      <c r="C273" s="3695"/>
      <c r="D273" s="3695"/>
      <c r="E273" s="3695"/>
      <c r="F273" s="3695"/>
      <c r="G273" s="3601"/>
      <c r="H273" s="3601"/>
      <c r="I273" s="3601"/>
      <c r="J273" s="3686"/>
      <c r="K273" s="3686"/>
      <c r="L273" s="3601"/>
      <c r="M273" s="3601"/>
      <c r="O273" s="3701"/>
      <c r="P273" s="3701"/>
    </row>
    <row r="274" spans="1:18" x14ac:dyDescent="0.2">
      <c r="A274" s="3695"/>
      <c r="B274" s="3696" t="s">
        <v>10175</v>
      </c>
      <c r="C274" s="3697"/>
      <c r="D274" s="3697"/>
      <c r="E274" s="5395" t="s">
        <v>10176</v>
      </c>
      <c r="F274" s="5396"/>
      <c r="G274" s="3668"/>
      <c r="H274" s="2748" t="str">
        <f>IF(AND(OR($Q$1="n",$Q$1=0),G274&gt;0),"Check Pg2 Q33!",IF(AND($Q$1="y",G274=""),re,""))</f>
        <v/>
      </c>
      <c r="I274" s="3601"/>
      <c r="J274" s="3686"/>
      <c r="K274" s="3686"/>
      <c r="L274" s="3601"/>
      <c r="M274" s="3601"/>
      <c r="O274" s="3265">
        <f>IF(H274="",0,1)</f>
      </c>
      <c r="P274" s="3265">
        <f>IF(G274="",0,1)</f>
      </c>
    </row>
    <row r="275" spans="1:18" ht="63.75" x14ac:dyDescent="0.2">
      <c r="A275" s="3695"/>
      <c r="B275" s="3691" t="s">
        <v>10072</v>
      </c>
      <c r="C275" s="3691" t="s">
        <v>10083</v>
      </c>
      <c r="D275" s="3691" t="s">
        <v>10074</v>
      </c>
      <c r="E275" s="3691" t="s">
        <v>10192</v>
      </c>
      <c r="F275" s="3691" t="s">
        <v>8857</v>
      </c>
      <c r="G275" s="3691" t="s">
        <v>10177</v>
      </c>
      <c r="H275" s="3601"/>
      <c r="I275" s="3601"/>
      <c r="J275" s="3686"/>
      <c r="K275" s="3686"/>
      <c r="L275" s="3601"/>
      <c r="M275" s="3601"/>
      <c r="O275" s="3123"/>
      <c r="P275" s="3123"/>
      <c r="Q275" s="3123"/>
      <c r="R275" s="3688" t="s">
        <v>10079</v>
      </c>
    </row>
    <row r="276" spans="1:18" x14ac:dyDescent="0.2">
      <c r="A276" s="3693">
        <v>1</v>
      </c>
      <c r="B276" s="3702"/>
      <c r="C276" s="3702"/>
      <c r="D276" s="3703"/>
      <c r="E276" s="3703"/>
      <c r="F276" s="3703"/>
      <c r="G276" s="3704"/>
      <c r="H276" s="2748" t="str">
        <f t="shared" ref="H276:H307" si="36">IF($O$274=1,"",IF(AND($G$274&gt;0,A276&lt;=$G$274,P276=0),re,IF(OR(AND($Q$2="y",A276&lt;=$G$274,P276&lt;&gt;6),AND(OR($Q$2=0,$Q$2="n"),A276&lt;=$G$274,P276&lt;&gt;5)),"All data!",IF(AND(OR($Q$2=0,$Q$2="n"),C276&lt;&gt;""),"Check Pg2 Q30!",IF(AND(P276&gt;0,A276&gt;$G$274),"Delete!","")))))</f>
        <v/>
      </c>
      <c r="I276" s="3601"/>
      <c r="J276" s="3686"/>
      <c r="K276" s="3686"/>
      <c r="L276" s="3601"/>
      <c r="M276" s="3601"/>
      <c r="O276" s="3265">
        <f t="shared" ref="O276:O281" si="37">IF(H276="",0,1)</f>
      </c>
      <c r="P276" s="3265">
        <f t="shared" ref="P276:P281" si="38">IF($Q$2="y",COUNTA(B276:G276),COUNTA(B276,D276,E276,F276,G276))</f>
      </c>
      <c r="Q276" s="3278"/>
      <c r="R276" s="3278">
        <f t="shared" ref="R276:R281" si="39">IF(AND($Q$2="n",C276&lt;&gt;""),1,0)</f>
      </c>
    </row>
    <row r="277" spans="1:18" x14ac:dyDescent="0.2">
      <c r="A277" s="3690">
        <v>2</v>
      </c>
      <c r="B277" s="3702"/>
      <c r="C277" s="3702"/>
      <c r="D277" s="3703"/>
      <c r="E277" s="3703"/>
      <c r="F277" s="3703"/>
      <c r="G277" s="3704"/>
      <c r="H277" s="2748" t="str">
        <f t="shared" si="36"/>
        <v/>
      </c>
      <c r="I277" s="3601"/>
      <c r="J277" s="3686"/>
      <c r="K277" s="3686"/>
      <c r="L277" s="3601"/>
      <c r="M277" s="3601"/>
      <c r="O277" s="3265">
        <f t="shared" si="37"/>
        <v>0</v>
      </c>
      <c r="P277" s="3265">
        <f t="shared" si="38"/>
        <v>0</v>
      </c>
      <c r="R277" s="3278">
        <f t="shared" si="39"/>
        <v>0</v>
      </c>
    </row>
    <row r="278" spans="1:18" x14ac:dyDescent="0.2">
      <c r="A278" s="3690">
        <v>3</v>
      </c>
      <c r="B278" s="3702"/>
      <c r="C278" s="3702"/>
      <c r="D278" s="3703"/>
      <c r="E278" s="3703"/>
      <c r="F278" s="3703"/>
      <c r="G278" s="3704"/>
      <c r="H278" s="2748" t="str">
        <f t="shared" si="36"/>
        <v/>
      </c>
      <c r="I278" s="3601"/>
      <c r="J278" s="3686"/>
      <c r="K278" s="3686"/>
      <c r="L278" s="3601"/>
      <c r="M278" s="3601"/>
      <c r="O278" s="3265">
        <f t="shared" si="37"/>
        <v>0</v>
      </c>
      <c r="P278" s="3265">
        <f t="shared" si="38"/>
        <v>0</v>
      </c>
      <c r="R278" s="3278">
        <f t="shared" si="39"/>
        <v>0</v>
      </c>
    </row>
    <row r="279" spans="1:18" x14ac:dyDescent="0.2">
      <c r="A279" s="3690">
        <v>4</v>
      </c>
      <c r="B279" s="3702"/>
      <c r="C279" s="3702"/>
      <c r="D279" s="3703"/>
      <c r="E279" s="3703"/>
      <c r="F279" s="3703"/>
      <c r="G279" s="3704"/>
      <c r="H279" s="2748" t="str">
        <f t="shared" si="36"/>
        <v/>
      </c>
      <c r="I279" s="3601"/>
      <c r="J279" s="3686"/>
      <c r="K279" s="3686"/>
      <c r="L279" s="3601"/>
      <c r="M279" s="3601"/>
      <c r="O279" s="3265">
        <f t="shared" si="37"/>
        <v>0</v>
      </c>
      <c r="P279" s="3265">
        <f t="shared" si="38"/>
        <v>0</v>
      </c>
      <c r="R279" s="3278">
        <f t="shared" si="39"/>
        <v>0</v>
      </c>
    </row>
    <row r="280" spans="1:18" x14ac:dyDescent="0.2">
      <c r="A280" s="3693">
        <v>5</v>
      </c>
      <c r="B280" s="3702"/>
      <c r="C280" s="3702"/>
      <c r="D280" s="3703"/>
      <c r="E280" s="3703"/>
      <c r="F280" s="3703"/>
      <c r="G280" s="3704"/>
      <c r="H280" s="2748" t="str">
        <f t="shared" si="36"/>
        <v/>
      </c>
      <c r="I280" s="3601"/>
      <c r="J280" s="3686"/>
      <c r="K280" s="3686"/>
      <c r="L280" s="3601"/>
      <c r="M280" s="3601"/>
      <c r="O280" s="3265">
        <f t="shared" si="37"/>
        <v>0</v>
      </c>
      <c r="P280" s="3265">
        <f t="shared" si="38"/>
        <v>0</v>
      </c>
      <c r="R280" s="3278">
        <f t="shared" si="39"/>
        <v>0</v>
      </c>
    </row>
    <row r="281" spans="1:18" x14ac:dyDescent="0.2">
      <c r="A281" s="3690">
        <v>6</v>
      </c>
      <c r="B281" s="3702"/>
      <c r="C281" s="3702"/>
      <c r="D281" s="3703"/>
      <c r="E281" s="3703"/>
      <c r="F281" s="3703"/>
      <c r="G281" s="3704"/>
      <c r="H281" s="2748" t="str">
        <f t="shared" si="36"/>
        <v/>
      </c>
      <c r="I281" s="3601"/>
      <c r="J281" s="3686"/>
      <c r="K281" s="3686"/>
      <c r="L281" s="3601"/>
      <c r="M281" s="3601"/>
      <c r="O281" s="3265">
        <f t="shared" si="37"/>
        <v>0</v>
      </c>
      <c r="P281" s="3265">
        <f t="shared" si="38"/>
        <v>0</v>
      </c>
      <c r="R281" s="3278">
        <f t="shared" si="39"/>
        <v>0</v>
      </c>
    </row>
    <row r="282" spans="1:18" hidden="1" x14ac:dyDescent="0.2">
      <c r="A282" s="3693">
        <v>7</v>
      </c>
      <c r="B282" s="3702"/>
      <c r="C282" s="3702"/>
      <c r="D282" s="3703"/>
      <c r="E282" s="3703"/>
      <c r="F282" s="3703"/>
      <c r="G282" s="3704"/>
      <c r="H282" s="2748" t="str">
        <f t="shared" si="36"/>
        <v/>
      </c>
      <c r="I282" s="3601"/>
      <c r="J282" s="3686"/>
      <c r="K282" s="3686"/>
      <c r="L282" s="3601"/>
      <c r="M282" s="3601"/>
      <c r="O282" s="3265">
        <f t="shared" ref="O282:O335" si="40">IF(H282="",0,1)</f>
      </c>
      <c r="P282" s="3265">
        <f t="shared" ref="P282:P335" si="41">IF($Q$2="y",COUNTA(B282:G282),COUNTA(B282,D282,E282,F282,G282))</f>
      </c>
      <c r="R282" s="3278">
        <f t="shared" ref="R282:R335" si="42">IF(AND($Q$2="n",C282&lt;&gt;""),1,0)</f>
      </c>
    </row>
    <row r="283" spans="1:18" hidden="1" x14ac:dyDescent="0.2">
      <c r="A283" s="3690">
        <v>8</v>
      </c>
      <c r="B283" s="3702"/>
      <c r="C283" s="3702"/>
      <c r="D283" s="3703"/>
      <c r="E283" s="3703"/>
      <c r="F283" s="3703"/>
      <c r="G283" s="3704"/>
      <c r="H283" s="2748" t="str">
        <f t="shared" si="36"/>
        <v/>
      </c>
      <c r="I283" s="3601"/>
      <c r="J283" s="3686"/>
      <c r="K283" s="3686"/>
      <c r="L283" s="3601"/>
      <c r="M283" s="3601"/>
      <c r="O283" s="3265">
        <f t="shared" si="40"/>
        <v>0</v>
      </c>
      <c r="P283" s="3265">
        <f t="shared" si="41"/>
        <v>0</v>
      </c>
      <c r="R283" s="3278">
        <f t="shared" si="42"/>
        <v>0</v>
      </c>
    </row>
    <row r="284" spans="1:18" hidden="1" x14ac:dyDescent="0.2">
      <c r="A284" s="3693">
        <v>9</v>
      </c>
      <c r="B284" s="3702"/>
      <c r="C284" s="3702"/>
      <c r="D284" s="3703"/>
      <c r="E284" s="3703"/>
      <c r="F284" s="3703"/>
      <c r="G284" s="3704"/>
      <c r="H284" s="2748" t="str">
        <f t="shared" si="36"/>
        <v/>
      </c>
      <c r="I284" s="3601"/>
      <c r="J284" s="3686"/>
      <c r="K284" s="3686"/>
      <c r="L284" s="3601"/>
      <c r="M284" s="3601"/>
      <c r="O284" s="3265">
        <f t="shared" si="40"/>
        <v>0</v>
      </c>
      <c r="P284" s="3265">
        <f t="shared" si="41"/>
        <v>0</v>
      </c>
      <c r="R284" s="3278">
        <f t="shared" si="42"/>
        <v>0</v>
      </c>
    </row>
    <row r="285" spans="1:18" hidden="1" x14ac:dyDescent="0.2">
      <c r="A285" s="3690">
        <v>10</v>
      </c>
      <c r="B285" s="3702"/>
      <c r="C285" s="3702"/>
      <c r="D285" s="3703"/>
      <c r="E285" s="3703"/>
      <c r="F285" s="3703"/>
      <c r="G285" s="3704"/>
      <c r="H285" s="2748" t="str">
        <f t="shared" si="36"/>
        <v/>
      </c>
      <c r="I285" s="3601"/>
      <c r="J285" s="3686"/>
      <c r="K285" s="3686"/>
      <c r="L285" s="3601"/>
      <c r="M285" s="3601"/>
      <c r="O285" s="3265">
        <f t="shared" si="40"/>
        <v>0</v>
      </c>
      <c r="P285" s="3265">
        <f t="shared" si="41"/>
        <v>0</v>
      </c>
      <c r="R285" s="3278">
        <f t="shared" si="42"/>
        <v>0</v>
      </c>
    </row>
    <row r="286" spans="1:18" hidden="1" x14ac:dyDescent="0.2">
      <c r="A286" s="3693">
        <v>11</v>
      </c>
      <c r="B286" s="3702"/>
      <c r="C286" s="3702"/>
      <c r="D286" s="3703"/>
      <c r="E286" s="3703"/>
      <c r="F286" s="3703"/>
      <c r="G286" s="3704"/>
      <c r="H286" s="2748" t="str">
        <f t="shared" si="36"/>
        <v/>
      </c>
      <c r="I286" s="3601"/>
      <c r="J286" s="3686"/>
      <c r="K286" s="3686"/>
      <c r="L286" s="3601"/>
      <c r="M286" s="3601"/>
      <c r="O286" s="3265">
        <f t="shared" si="40"/>
        <v>0</v>
      </c>
      <c r="P286" s="3265">
        <f t="shared" si="41"/>
        <v>0</v>
      </c>
      <c r="R286" s="3278">
        <f t="shared" si="42"/>
        <v>0</v>
      </c>
    </row>
    <row r="287" spans="1:18" hidden="1" x14ac:dyDescent="0.2">
      <c r="A287" s="3690">
        <v>12</v>
      </c>
      <c r="B287" s="3702"/>
      <c r="C287" s="3702"/>
      <c r="D287" s="3703"/>
      <c r="E287" s="3703"/>
      <c r="F287" s="3703"/>
      <c r="G287" s="3704"/>
      <c r="H287" s="2748" t="str">
        <f t="shared" si="36"/>
        <v/>
      </c>
      <c r="I287" s="3601"/>
      <c r="J287" s="3686"/>
      <c r="K287" s="3686"/>
      <c r="L287" s="3601"/>
      <c r="M287" s="3601"/>
      <c r="O287" s="3265">
        <f t="shared" si="40"/>
        <v>0</v>
      </c>
      <c r="P287" s="3265">
        <f t="shared" si="41"/>
        <v>0</v>
      </c>
      <c r="R287" s="3278">
        <f t="shared" si="42"/>
        <v>0</v>
      </c>
    </row>
    <row r="288" spans="1:18" hidden="1" x14ac:dyDescent="0.2">
      <c r="A288" s="3693">
        <v>13</v>
      </c>
      <c r="B288" s="3702"/>
      <c r="C288" s="3702"/>
      <c r="D288" s="3703"/>
      <c r="E288" s="3703"/>
      <c r="F288" s="3703"/>
      <c r="G288" s="3704"/>
      <c r="H288" s="2748" t="str">
        <f t="shared" si="36"/>
        <v/>
      </c>
      <c r="I288" s="3601"/>
      <c r="J288" s="3686"/>
      <c r="K288" s="3686"/>
      <c r="L288" s="3601"/>
      <c r="M288" s="3601"/>
      <c r="O288" s="3265">
        <f t="shared" si="40"/>
        <v>0</v>
      </c>
      <c r="P288" s="3265">
        <f t="shared" si="41"/>
        <v>0</v>
      </c>
      <c r="R288" s="3278">
        <f t="shared" si="42"/>
        <v>0</v>
      </c>
    </row>
    <row r="289" spans="1:18" hidden="1" x14ac:dyDescent="0.2">
      <c r="A289" s="3690">
        <v>14</v>
      </c>
      <c r="B289" s="3702"/>
      <c r="C289" s="3702"/>
      <c r="D289" s="3703"/>
      <c r="E289" s="3703"/>
      <c r="F289" s="3703"/>
      <c r="G289" s="3704"/>
      <c r="H289" s="2748" t="str">
        <f t="shared" si="36"/>
        <v/>
      </c>
      <c r="I289" s="3601"/>
      <c r="J289" s="3686"/>
      <c r="K289" s="3686"/>
      <c r="L289" s="3601"/>
      <c r="M289" s="3601"/>
      <c r="O289" s="3265">
        <f t="shared" si="40"/>
        <v>0</v>
      </c>
      <c r="P289" s="3265">
        <f t="shared" si="41"/>
        <v>0</v>
      </c>
      <c r="R289" s="3278">
        <f t="shared" si="42"/>
        <v>0</v>
      </c>
    </row>
    <row r="290" spans="1:18" hidden="1" x14ac:dyDescent="0.2">
      <c r="A290" s="3693">
        <v>15</v>
      </c>
      <c r="B290" s="3702"/>
      <c r="C290" s="3702"/>
      <c r="D290" s="3703"/>
      <c r="E290" s="3703"/>
      <c r="F290" s="3703"/>
      <c r="G290" s="3704"/>
      <c r="H290" s="2748" t="str">
        <f t="shared" si="36"/>
        <v/>
      </c>
      <c r="I290" s="3601"/>
      <c r="J290" s="3686"/>
      <c r="K290" s="3686"/>
      <c r="L290" s="3601"/>
      <c r="M290" s="3601"/>
      <c r="O290" s="3265">
        <f t="shared" si="40"/>
        <v>0</v>
      </c>
      <c r="P290" s="3265">
        <f t="shared" si="41"/>
        <v>0</v>
      </c>
      <c r="R290" s="3278">
        <f t="shared" si="42"/>
        <v>0</v>
      </c>
    </row>
    <row r="291" spans="1:18" hidden="1" x14ac:dyDescent="0.2">
      <c r="A291" s="3690">
        <v>16</v>
      </c>
      <c r="B291" s="3702"/>
      <c r="C291" s="3702"/>
      <c r="D291" s="3703"/>
      <c r="E291" s="3703"/>
      <c r="F291" s="3703"/>
      <c r="G291" s="3704"/>
      <c r="H291" s="2748" t="str">
        <f t="shared" si="36"/>
        <v/>
      </c>
      <c r="I291" s="3601"/>
      <c r="J291" s="3686"/>
      <c r="K291" s="3686"/>
      <c r="L291" s="3601"/>
      <c r="M291" s="3601"/>
      <c r="O291" s="3265">
        <f t="shared" si="40"/>
        <v>0</v>
      </c>
      <c r="P291" s="3265">
        <f t="shared" si="41"/>
        <v>0</v>
      </c>
      <c r="R291" s="3278">
        <f t="shared" si="42"/>
        <v>0</v>
      </c>
    </row>
    <row r="292" spans="1:18" hidden="1" x14ac:dyDescent="0.2">
      <c r="A292" s="3693">
        <v>17</v>
      </c>
      <c r="B292" s="3702"/>
      <c r="C292" s="3702"/>
      <c r="D292" s="3703"/>
      <c r="E292" s="3703"/>
      <c r="F292" s="3703"/>
      <c r="G292" s="3704"/>
      <c r="H292" s="2748" t="str">
        <f t="shared" si="36"/>
        <v/>
      </c>
      <c r="I292" s="3601"/>
      <c r="J292" s="3686"/>
      <c r="K292" s="3686"/>
      <c r="L292" s="3601"/>
      <c r="M292" s="3601"/>
      <c r="O292" s="3265">
        <f t="shared" si="40"/>
        <v>0</v>
      </c>
      <c r="P292" s="3265">
        <f t="shared" si="41"/>
        <v>0</v>
      </c>
      <c r="R292" s="3278">
        <f t="shared" si="42"/>
        <v>0</v>
      </c>
    </row>
    <row r="293" spans="1:18" hidden="1" x14ac:dyDescent="0.2">
      <c r="A293" s="3690">
        <v>18</v>
      </c>
      <c r="B293" s="3702"/>
      <c r="C293" s="3702"/>
      <c r="D293" s="3703"/>
      <c r="E293" s="3703"/>
      <c r="F293" s="3703"/>
      <c r="G293" s="3704"/>
      <c r="H293" s="2748" t="str">
        <f t="shared" si="36"/>
        <v/>
      </c>
      <c r="I293" s="3601"/>
      <c r="J293" s="3686"/>
      <c r="K293" s="3686"/>
      <c r="L293" s="3601"/>
      <c r="M293" s="3601"/>
      <c r="O293" s="3265">
        <f t="shared" si="40"/>
        <v>0</v>
      </c>
      <c r="P293" s="3265">
        <f t="shared" si="41"/>
        <v>0</v>
      </c>
      <c r="R293" s="3278">
        <f t="shared" si="42"/>
        <v>0</v>
      </c>
    </row>
    <row r="294" spans="1:18" hidden="1" x14ac:dyDescent="0.2">
      <c r="A294" s="3693">
        <v>19</v>
      </c>
      <c r="B294" s="3702"/>
      <c r="C294" s="3702"/>
      <c r="D294" s="3703"/>
      <c r="E294" s="3703"/>
      <c r="F294" s="3703"/>
      <c r="G294" s="3704"/>
      <c r="H294" s="2748" t="str">
        <f t="shared" si="36"/>
        <v/>
      </c>
      <c r="I294" s="3601"/>
      <c r="J294" s="3686"/>
      <c r="K294" s="3686"/>
      <c r="L294" s="3601"/>
      <c r="M294" s="3601"/>
      <c r="O294" s="3265">
        <f t="shared" si="40"/>
        <v>0</v>
      </c>
      <c r="P294" s="3265">
        <f t="shared" si="41"/>
        <v>0</v>
      </c>
      <c r="R294" s="3278">
        <f t="shared" si="42"/>
        <v>0</v>
      </c>
    </row>
    <row r="295" spans="1:18" hidden="1" x14ac:dyDescent="0.2">
      <c r="A295" s="3690">
        <v>20</v>
      </c>
      <c r="B295" s="3702"/>
      <c r="C295" s="3702"/>
      <c r="D295" s="3703"/>
      <c r="E295" s="3703"/>
      <c r="F295" s="3703"/>
      <c r="G295" s="3704"/>
      <c r="H295" s="2748" t="str">
        <f t="shared" si="36"/>
        <v/>
      </c>
      <c r="I295" s="3601"/>
      <c r="J295" s="3686"/>
      <c r="K295" s="3686"/>
      <c r="L295" s="3601"/>
      <c r="M295" s="3601"/>
      <c r="O295" s="3265">
        <f t="shared" si="40"/>
        <v>0</v>
      </c>
      <c r="P295" s="3265">
        <f t="shared" si="41"/>
        <v>0</v>
      </c>
      <c r="R295" s="3278">
        <f t="shared" si="42"/>
        <v>0</v>
      </c>
    </row>
    <row r="296" spans="1:18" hidden="1" x14ac:dyDescent="0.2">
      <c r="A296" s="3693">
        <v>21</v>
      </c>
      <c r="B296" s="3702"/>
      <c r="C296" s="3702"/>
      <c r="D296" s="3703"/>
      <c r="E296" s="3703"/>
      <c r="F296" s="3703"/>
      <c r="G296" s="3704"/>
      <c r="H296" s="2748" t="str">
        <f t="shared" si="36"/>
        <v/>
      </c>
      <c r="I296" s="3601"/>
      <c r="J296" s="3686"/>
      <c r="K296" s="3686"/>
      <c r="L296" s="3601"/>
      <c r="M296" s="3601"/>
      <c r="O296" s="3265">
        <f t="shared" si="40"/>
        <v>0</v>
      </c>
      <c r="P296" s="3265">
        <f t="shared" si="41"/>
        <v>0</v>
      </c>
      <c r="R296" s="3278">
        <f t="shared" si="42"/>
        <v>0</v>
      </c>
    </row>
    <row r="297" spans="1:18" hidden="1" x14ac:dyDescent="0.2">
      <c r="A297" s="3690">
        <v>22</v>
      </c>
      <c r="B297" s="3702"/>
      <c r="C297" s="3702"/>
      <c r="D297" s="3703"/>
      <c r="E297" s="3703"/>
      <c r="F297" s="3703"/>
      <c r="G297" s="3704"/>
      <c r="H297" s="2748" t="str">
        <f t="shared" si="36"/>
        <v/>
      </c>
      <c r="I297" s="3601"/>
      <c r="J297" s="3686"/>
      <c r="K297" s="3686"/>
      <c r="L297" s="3601"/>
      <c r="M297" s="3601"/>
      <c r="O297" s="3265">
        <f t="shared" si="40"/>
        <v>0</v>
      </c>
      <c r="P297" s="3265">
        <f t="shared" si="41"/>
        <v>0</v>
      </c>
      <c r="R297" s="3278">
        <f t="shared" si="42"/>
        <v>0</v>
      </c>
    </row>
    <row r="298" spans="1:18" hidden="1" x14ac:dyDescent="0.2">
      <c r="A298" s="3693">
        <v>23</v>
      </c>
      <c r="B298" s="3702"/>
      <c r="C298" s="3702"/>
      <c r="D298" s="3703"/>
      <c r="E298" s="3703"/>
      <c r="F298" s="3703"/>
      <c r="G298" s="3704"/>
      <c r="H298" s="2748" t="str">
        <f t="shared" si="36"/>
        <v/>
      </c>
      <c r="I298" s="3601"/>
      <c r="J298" s="3686"/>
      <c r="K298" s="3686"/>
      <c r="L298" s="3601"/>
      <c r="M298" s="3601"/>
      <c r="O298" s="3265">
        <f t="shared" si="40"/>
        <v>0</v>
      </c>
      <c r="P298" s="3265">
        <f t="shared" si="41"/>
        <v>0</v>
      </c>
      <c r="R298" s="3278">
        <f t="shared" si="42"/>
        <v>0</v>
      </c>
    </row>
    <row r="299" spans="1:18" hidden="1" x14ac:dyDescent="0.2">
      <c r="A299" s="3690">
        <v>24</v>
      </c>
      <c r="B299" s="3702"/>
      <c r="C299" s="3702"/>
      <c r="D299" s="3703"/>
      <c r="E299" s="3703"/>
      <c r="F299" s="3703"/>
      <c r="G299" s="3704"/>
      <c r="H299" s="2748" t="str">
        <f t="shared" si="36"/>
        <v/>
      </c>
      <c r="I299" s="3601"/>
      <c r="J299" s="3686"/>
      <c r="K299" s="3686"/>
      <c r="L299" s="3601"/>
      <c r="M299" s="3601"/>
      <c r="O299" s="3265">
        <f t="shared" si="40"/>
        <v>0</v>
      </c>
      <c r="P299" s="3265">
        <f t="shared" si="41"/>
        <v>0</v>
      </c>
      <c r="R299" s="3278">
        <f t="shared" si="42"/>
        <v>0</v>
      </c>
    </row>
    <row r="300" spans="1:18" hidden="1" x14ac:dyDescent="0.2">
      <c r="A300" s="3693">
        <v>25</v>
      </c>
      <c r="B300" s="3702"/>
      <c r="C300" s="3702"/>
      <c r="D300" s="3703"/>
      <c r="E300" s="3703"/>
      <c r="F300" s="3703"/>
      <c r="G300" s="3704"/>
      <c r="H300" s="2748" t="str">
        <f t="shared" si="36"/>
        <v/>
      </c>
      <c r="I300" s="3601"/>
      <c r="J300" s="3686"/>
      <c r="K300" s="3686"/>
      <c r="L300" s="3601"/>
      <c r="M300" s="3601"/>
      <c r="O300" s="3265">
        <f t="shared" si="40"/>
        <v>0</v>
      </c>
      <c r="P300" s="3265">
        <f t="shared" si="41"/>
        <v>0</v>
      </c>
      <c r="R300" s="3278">
        <f t="shared" si="42"/>
        <v>0</v>
      </c>
    </row>
    <row r="301" spans="1:18" hidden="1" x14ac:dyDescent="0.2">
      <c r="A301" s="3690">
        <v>26</v>
      </c>
      <c r="B301" s="3702"/>
      <c r="C301" s="3702"/>
      <c r="D301" s="3703"/>
      <c r="E301" s="3703"/>
      <c r="F301" s="3703"/>
      <c r="G301" s="3704"/>
      <c r="H301" s="2748" t="str">
        <f t="shared" si="36"/>
        <v/>
      </c>
      <c r="I301" s="3601"/>
      <c r="J301" s="3686"/>
      <c r="K301" s="3686"/>
      <c r="L301" s="3601"/>
      <c r="M301" s="3601"/>
      <c r="O301" s="3265">
        <f t="shared" si="40"/>
        <v>0</v>
      </c>
      <c r="P301" s="3265">
        <f t="shared" si="41"/>
        <v>0</v>
      </c>
      <c r="R301" s="3278">
        <f t="shared" si="42"/>
        <v>0</v>
      </c>
    </row>
    <row r="302" spans="1:18" hidden="1" x14ac:dyDescent="0.2">
      <c r="A302" s="3693">
        <v>27</v>
      </c>
      <c r="B302" s="3702"/>
      <c r="C302" s="3702"/>
      <c r="D302" s="3703"/>
      <c r="E302" s="3703"/>
      <c r="F302" s="3703"/>
      <c r="G302" s="3704"/>
      <c r="H302" s="2748" t="str">
        <f t="shared" si="36"/>
        <v/>
      </c>
      <c r="I302" s="3601"/>
      <c r="J302" s="3686"/>
      <c r="K302" s="3686"/>
      <c r="L302" s="3601"/>
      <c r="M302" s="3601"/>
      <c r="O302" s="3265">
        <f t="shared" si="40"/>
        <v>0</v>
      </c>
      <c r="P302" s="3265">
        <f t="shared" si="41"/>
        <v>0</v>
      </c>
      <c r="R302" s="3278">
        <f t="shared" si="42"/>
        <v>0</v>
      </c>
    </row>
    <row r="303" spans="1:18" hidden="1" x14ac:dyDescent="0.2">
      <c r="A303" s="3690">
        <v>28</v>
      </c>
      <c r="B303" s="3702"/>
      <c r="C303" s="3702"/>
      <c r="D303" s="3703"/>
      <c r="E303" s="3703"/>
      <c r="F303" s="3703"/>
      <c r="G303" s="3704"/>
      <c r="H303" s="2748" t="str">
        <f t="shared" si="36"/>
        <v/>
      </c>
      <c r="I303" s="3601"/>
      <c r="J303" s="3686"/>
      <c r="K303" s="3686"/>
      <c r="L303" s="3601"/>
      <c r="M303" s="3601"/>
      <c r="O303" s="3265">
        <f t="shared" si="40"/>
        <v>0</v>
      </c>
      <c r="P303" s="3265">
        <f t="shared" si="41"/>
        <v>0</v>
      </c>
      <c r="R303" s="3278">
        <f t="shared" si="42"/>
        <v>0</v>
      </c>
    </row>
    <row r="304" spans="1:18" hidden="1" x14ac:dyDescent="0.2">
      <c r="A304" s="3693">
        <v>29</v>
      </c>
      <c r="B304" s="3702"/>
      <c r="C304" s="3702"/>
      <c r="D304" s="3703"/>
      <c r="E304" s="3703"/>
      <c r="F304" s="3703"/>
      <c r="G304" s="3704"/>
      <c r="H304" s="2748" t="str">
        <f t="shared" si="36"/>
        <v/>
      </c>
      <c r="I304" s="3601"/>
      <c r="J304" s="3686"/>
      <c r="K304" s="3686"/>
      <c r="L304" s="3601"/>
      <c r="M304" s="3601"/>
      <c r="O304" s="3265">
        <f t="shared" si="40"/>
        <v>0</v>
      </c>
      <c r="P304" s="3265">
        <f t="shared" si="41"/>
        <v>0</v>
      </c>
      <c r="R304" s="3278">
        <f t="shared" si="42"/>
        <v>0</v>
      </c>
    </row>
    <row r="305" spans="1:18" hidden="1" x14ac:dyDescent="0.2">
      <c r="A305" s="3690">
        <v>30</v>
      </c>
      <c r="B305" s="3702"/>
      <c r="C305" s="3702"/>
      <c r="D305" s="3703"/>
      <c r="E305" s="3703"/>
      <c r="F305" s="3703"/>
      <c r="G305" s="3704"/>
      <c r="H305" s="2748" t="str">
        <f t="shared" si="36"/>
        <v/>
      </c>
      <c r="I305" s="3601"/>
      <c r="J305" s="3686"/>
      <c r="K305" s="3686"/>
      <c r="L305" s="3601"/>
      <c r="M305" s="3601"/>
      <c r="O305" s="3265">
        <f t="shared" si="40"/>
        <v>0</v>
      </c>
      <c r="P305" s="3265">
        <f t="shared" si="41"/>
        <v>0</v>
      </c>
      <c r="R305" s="3278">
        <f t="shared" si="42"/>
        <v>0</v>
      </c>
    </row>
    <row r="306" spans="1:18" hidden="1" x14ac:dyDescent="0.2">
      <c r="A306" s="3693">
        <v>31</v>
      </c>
      <c r="B306" s="3702"/>
      <c r="C306" s="3702"/>
      <c r="D306" s="3703"/>
      <c r="E306" s="3703"/>
      <c r="F306" s="3703"/>
      <c r="G306" s="3704"/>
      <c r="H306" s="2748" t="str">
        <f t="shared" si="36"/>
        <v/>
      </c>
      <c r="I306" s="3601"/>
      <c r="J306" s="3686"/>
      <c r="K306" s="3686"/>
      <c r="L306" s="3601"/>
      <c r="M306" s="3601"/>
      <c r="O306" s="3265">
        <f t="shared" si="40"/>
        <v>0</v>
      </c>
      <c r="P306" s="3265">
        <f t="shared" si="41"/>
        <v>0</v>
      </c>
      <c r="R306" s="3278">
        <f t="shared" si="42"/>
        <v>0</v>
      </c>
    </row>
    <row r="307" spans="1:18" hidden="1" x14ac:dyDescent="0.2">
      <c r="A307" s="3690">
        <v>32</v>
      </c>
      <c r="B307" s="3702"/>
      <c r="C307" s="3702"/>
      <c r="D307" s="3703"/>
      <c r="E307" s="3703"/>
      <c r="F307" s="3703"/>
      <c r="G307" s="3704"/>
      <c r="H307" s="2748" t="str">
        <f t="shared" si="36"/>
        <v/>
      </c>
      <c r="I307" s="3601"/>
      <c r="J307" s="3686"/>
      <c r="K307" s="3686"/>
      <c r="L307" s="3601"/>
      <c r="M307" s="3601"/>
      <c r="O307" s="3265">
        <f t="shared" si="40"/>
        <v>0</v>
      </c>
      <c r="P307" s="3265">
        <f t="shared" si="41"/>
        <v>0</v>
      </c>
      <c r="R307" s="3278">
        <f t="shared" si="42"/>
        <v>0</v>
      </c>
    </row>
    <row r="308" spans="1:18" hidden="1" x14ac:dyDescent="0.2">
      <c r="A308" s="3693">
        <v>33</v>
      </c>
      <c r="B308" s="3702"/>
      <c r="C308" s="3702"/>
      <c r="D308" s="3703"/>
      <c r="E308" s="3703"/>
      <c r="F308" s="3703"/>
      <c r="G308" s="3704"/>
      <c r="H308" s="2748" t="str">
        <f t="shared" ref="H308:H335" si="43">IF($O$274=1,"",IF(AND($G$274&gt;0,A308&lt;=$G$274,P308=0),re,IF(OR(AND($Q$2="y",A308&lt;=$G$274,P308&lt;&gt;6),AND(OR($Q$2=0,$Q$2="n"),A308&lt;=$G$274,P308&lt;&gt;5)),"All data!",IF(AND(OR($Q$2=0,$Q$2="n"),C308&lt;&gt;""),"Check Pg2 Q30!",IF(AND(P308&gt;0,A308&gt;$G$274),"Delete!","")))))</f>
        <v/>
      </c>
      <c r="I308" s="3601"/>
      <c r="J308" s="3686"/>
      <c r="K308" s="3686"/>
      <c r="L308" s="3601"/>
      <c r="M308" s="3601"/>
      <c r="O308" s="3265">
        <f t="shared" si="40"/>
        <v>0</v>
      </c>
      <c r="P308" s="3265">
        <f t="shared" si="41"/>
        <v>0</v>
      </c>
      <c r="R308" s="3278">
        <f t="shared" si="42"/>
        <v>0</v>
      </c>
    </row>
    <row r="309" spans="1:18" hidden="1" x14ac:dyDescent="0.2">
      <c r="A309" s="3690">
        <v>34</v>
      </c>
      <c r="B309" s="3702"/>
      <c r="C309" s="3702"/>
      <c r="D309" s="3703"/>
      <c r="E309" s="3703"/>
      <c r="F309" s="3703"/>
      <c r="G309" s="3704"/>
      <c r="H309" s="2748" t="str">
        <f t="shared" si="43"/>
        <v/>
      </c>
      <c r="I309" s="3601"/>
      <c r="J309" s="3686"/>
      <c r="K309" s="3686"/>
      <c r="L309" s="3601"/>
      <c r="M309" s="3601"/>
      <c r="O309" s="3265">
        <f t="shared" si="40"/>
        <v>0</v>
      </c>
      <c r="P309" s="3265">
        <f t="shared" si="41"/>
        <v>0</v>
      </c>
      <c r="R309" s="3278">
        <f t="shared" si="42"/>
        <v>0</v>
      </c>
    </row>
    <row r="310" spans="1:18" hidden="1" x14ac:dyDescent="0.2">
      <c r="A310" s="3693">
        <v>35</v>
      </c>
      <c r="B310" s="3702"/>
      <c r="C310" s="3702"/>
      <c r="D310" s="3703"/>
      <c r="E310" s="3703"/>
      <c r="F310" s="3703"/>
      <c r="G310" s="3704"/>
      <c r="H310" s="2748" t="str">
        <f t="shared" si="43"/>
        <v/>
      </c>
      <c r="I310" s="3601"/>
      <c r="J310" s="3686"/>
      <c r="K310" s="3686"/>
      <c r="L310" s="3601"/>
      <c r="M310" s="3601"/>
      <c r="O310" s="3265">
        <f t="shared" si="40"/>
        <v>0</v>
      </c>
      <c r="P310" s="3265">
        <f t="shared" si="41"/>
        <v>0</v>
      </c>
      <c r="R310" s="3278">
        <f t="shared" si="42"/>
        <v>0</v>
      </c>
    </row>
    <row r="311" spans="1:18" hidden="1" x14ac:dyDescent="0.2">
      <c r="A311" s="3690">
        <v>36</v>
      </c>
      <c r="B311" s="3702"/>
      <c r="C311" s="3702"/>
      <c r="D311" s="3703"/>
      <c r="E311" s="3703"/>
      <c r="F311" s="3703"/>
      <c r="G311" s="3704"/>
      <c r="H311" s="2748" t="str">
        <f t="shared" si="43"/>
        <v/>
      </c>
      <c r="I311" s="3601"/>
      <c r="J311" s="3686"/>
      <c r="K311" s="3686"/>
      <c r="L311" s="3601"/>
      <c r="M311" s="3601"/>
      <c r="O311" s="3265">
        <f t="shared" si="40"/>
        <v>0</v>
      </c>
      <c r="P311" s="3265">
        <f t="shared" si="41"/>
        <v>0</v>
      </c>
      <c r="R311" s="3278">
        <f t="shared" si="42"/>
        <v>0</v>
      </c>
    </row>
    <row r="312" spans="1:18" hidden="1" x14ac:dyDescent="0.2">
      <c r="A312" s="3693">
        <v>37</v>
      </c>
      <c r="B312" s="3702"/>
      <c r="C312" s="3702"/>
      <c r="D312" s="3703"/>
      <c r="E312" s="3703"/>
      <c r="F312" s="3703"/>
      <c r="G312" s="3704"/>
      <c r="H312" s="2748" t="str">
        <f t="shared" si="43"/>
        <v/>
      </c>
      <c r="I312" s="3601"/>
      <c r="J312" s="3686"/>
      <c r="K312" s="3686"/>
      <c r="L312" s="3601"/>
      <c r="M312" s="3601"/>
      <c r="O312" s="3265">
        <f t="shared" si="40"/>
        <v>0</v>
      </c>
      <c r="P312" s="3265">
        <f t="shared" si="41"/>
        <v>0</v>
      </c>
      <c r="R312" s="3278">
        <f t="shared" si="42"/>
        <v>0</v>
      </c>
    </row>
    <row r="313" spans="1:18" hidden="1" x14ac:dyDescent="0.2">
      <c r="A313" s="3690">
        <v>38</v>
      </c>
      <c r="B313" s="3702"/>
      <c r="C313" s="3702"/>
      <c r="D313" s="3703"/>
      <c r="E313" s="3703"/>
      <c r="F313" s="3703"/>
      <c r="G313" s="3704"/>
      <c r="H313" s="2748" t="str">
        <f t="shared" si="43"/>
        <v/>
      </c>
      <c r="I313" s="3601"/>
      <c r="J313" s="3686"/>
      <c r="K313" s="3686"/>
      <c r="L313" s="3601"/>
      <c r="M313" s="3601"/>
      <c r="O313" s="3265">
        <f t="shared" si="40"/>
        <v>0</v>
      </c>
      <c r="P313" s="3265">
        <f t="shared" si="41"/>
        <v>0</v>
      </c>
      <c r="R313" s="3278">
        <f t="shared" si="42"/>
        <v>0</v>
      </c>
    </row>
    <row r="314" spans="1:18" hidden="1" x14ac:dyDescent="0.2">
      <c r="A314" s="3693">
        <v>39</v>
      </c>
      <c r="B314" s="3702"/>
      <c r="C314" s="3702"/>
      <c r="D314" s="3703"/>
      <c r="E314" s="3703"/>
      <c r="F314" s="3703"/>
      <c r="G314" s="3704"/>
      <c r="H314" s="2748" t="str">
        <f t="shared" si="43"/>
        <v/>
      </c>
      <c r="I314" s="3601"/>
      <c r="J314" s="3686"/>
      <c r="K314" s="3686"/>
      <c r="L314" s="3601"/>
      <c r="M314" s="3601"/>
      <c r="O314" s="3265">
        <f t="shared" si="40"/>
        <v>0</v>
      </c>
      <c r="P314" s="3265">
        <f t="shared" si="41"/>
        <v>0</v>
      </c>
      <c r="R314" s="3278">
        <f t="shared" si="42"/>
        <v>0</v>
      </c>
    </row>
    <row r="315" spans="1:18" hidden="1" x14ac:dyDescent="0.2">
      <c r="A315" s="3690">
        <v>40</v>
      </c>
      <c r="B315" s="3702"/>
      <c r="C315" s="3702"/>
      <c r="D315" s="3703"/>
      <c r="E315" s="3703"/>
      <c r="F315" s="3703"/>
      <c r="G315" s="3704"/>
      <c r="H315" s="2748" t="str">
        <f t="shared" si="43"/>
        <v/>
      </c>
      <c r="I315" s="3601"/>
      <c r="J315" s="3686"/>
      <c r="K315" s="3686"/>
      <c r="L315" s="3601"/>
      <c r="M315" s="3601"/>
      <c r="O315" s="3265">
        <f t="shared" si="40"/>
        <v>0</v>
      </c>
      <c r="P315" s="3265">
        <f t="shared" si="41"/>
        <v>0</v>
      </c>
      <c r="R315" s="3278">
        <f t="shared" si="42"/>
        <v>0</v>
      </c>
    </row>
    <row r="316" spans="1:18" hidden="1" x14ac:dyDescent="0.2">
      <c r="A316" s="3693">
        <v>41</v>
      </c>
      <c r="B316" s="3702"/>
      <c r="C316" s="3702"/>
      <c r="D316" s="3703"/>
      <c r="E316" s="3703"/>
      <c r="F316" s="3703"/>
      <c r="G316" s="3704"/>
      <c r="H316" s="2748" t="str">
        <f t="shared" si="43"/>
        <v/>
      </c>
      <c r="I316" s="3601"/>
      <c r="J316" s="3686"/>
      <c r="K316" s="3686"/>
      <c r="L316" s="3601"/>
      <c r="M316" s="3601"/>
      <c r="O316" s="3265">
        <f t="shared" si="40"/>
        <v>0</v>
      </c>
      <c r="P316" s="3265">
        <f t="shared" si="41"/>
        <v>0</v>
      </c>
      <c r="R316" s="3278">
        <f t="shared" si="42"/>
        <v>0</v>
      </c>
    </row>
    <row r="317" spans="1:18" hidden="1" x14ac:dyDescent="0.2">
      <c r="A317" s="3690">
        <v>42</v>
      </c>
      <c r="B317" s="3702"/>
      <c r="C317" s="3702"/>
      <c r="D317" s="3703"/>
      <c r="E317" s="3703"/>
      <c r="F317" s="3703"/>
      <c r="G317" s="3704"/>
      <c r="H317" s="2748" t="str">
        <f t="shared" si="43"/>
        <v/>
      </c>
      <c r="I317" s="3601"/>
      <c r="J317" s="3686"/>
      <c r="K317" s="3686"/>
      <c r="L317" s="3601"/>
      <c r="M317" s="3601"/>
      <c r="O317" s="3265">
        <f t="shared" si="40"/>
        <v>0</v>
      </c>
      <c r="P317" s="3265">
        <f t="shared" si="41"/>
        <v>0</v>
      </c>
      <c r="R317" s="3278">
        <f t="shared" si="42"/>
        <v>0</v>
      </c>
    </row>
    <row r="318" spans="1:18" hidden="1" x14ac:dyDescent="0.2">
      <c r="A318" s="3693">
        <v>43</v>
      </c>
      <c r="B318" s="3702"/>
      <c r="C318" s="3702"/>
      <c r="D318" s="3703"/>
      <c r="E318" s="3703"/>
      <c r="F318" s="3703"/>
      <c r="G318" s="3704"/>
      <c r="H318" s="2748" t="str">
        <f t="shared" si="43"/>
        <v/>
      </c>
      <c r="I318" s="3601"/>
      <c r="J318" s="3686"/>
      <c r="K318" s="3686"/>
      <c r="L318" s="3601"/>
      <c r="M318" s="3601"/>
      <c r="O318" s="3265">
        <f t="shared" si="40"/>
        <v>0</v>
      </c>
      <c r="P318" s="3265">
        <f t="shared" si="41"/>
        <v>0</v>
      </c>
      <c r="R318" s="3278">
        <f t="shared" si="42"/>
        <v>0</v>
      </c>
    </row>
    <row r="319" spans="1:18" hidden="1" x14ac:dyDescent="0.2">
      <c r="A319" s="3690">
        <v>44</v>
      </c>
      <c r="B319" s="3702"/>
      <c r="C319" s="3702"/>
      <c r="D319" s="3703"/>
      <c r="E319" s="3703"/>
      <c r="F319" s="3703"/>
      <c r="G319" s="3704"/>
      <c r="H319" s="2748" t="str">
        <f t="shared" si="43"/>
        <v/>
      </c>
      <c r="I319" s="3601"/>
      <c r="J319" s="3686"/>
      <c r="K319" s="3686"/>
      <c r="L319" s="3601"/>
      <c r="M319" s="3601"/>
      <c r="O319" s="3265">
        <f t="shared" si="40"/>
        <v>0</v>
      </c>
      <c r="P319" s="3265">
        <f t="shared" si="41"/>
        <v>0</v>
      </c>
      <c r="R319" s="3278">
        <f t="shared" si="42"/>
        <v>0</v>
      </c>
    </row>
    <row r="320" spans="1:18" hidden="1" x14ac:dyDescent="0.2">
      <c r="A320" s="3693">
        <v>45</v>
      </c>
      <c r="B320" s="3702"/>
      <c r="C320" s="3702"/>
      <c r="D320" s="3703"/>
      <c r="E320" s="3703"/>
      <c r="F320" s="3703"/>
      <c r="G320" s="3704"/>
      <c r="H320" s="2748" t="str">
        <f t="shared" si="43"/>
        <v/>
      </c>
      <c r="I320" s="3601"/>
      <c r="J320" s="3686"/>
      <c r="K320" s="3686"/>
      <c r="L320" s="3601"/>
      <c r="M320" s="3601"/>
      <c r="O320" s="3265">
        <f t="shared" si="40"/>
        <v>0</v>
      </c>
      <c r="P320" s="3265">
        <f t="shared" si="41"/>
        <v>0</v>
      </c>
      <c r="R320" s="3278">
        <f t="shared" si="42"/>
        <v>0</v>
      </c>
    </row>
    <row r="321" spans="1:18" hidden="1" x14ac:dyDescent="0.2">
      <c r="A321" s="3690">
        <v>46</v>
      </c>
      <c r="B321" s="3702"/>
      <c r="C321" s="3702"/>
      <c r="D321" s="3703"/>
      <c r="E321" s="3703"/>
      <c r="F321" s="3703"/>
      <c r="G321" s="3704"/>
      <c r="H321" s="2748" t="str">
        <f t="shared" si="43"/>
        <v/>
      </c>
      <c r="I321" s="3601"/>
      <c r="J321" s="3686"/>
      <c r="K321" s="3686"/>
      <c r="L321" s="3601"/>
      <c r="M321" s="3601"/>
      <c r="O321" s="3265">
        <f t="shared" si="40"/>
        <v>0</v>
      </c>
      <c r="P321" s="3265">
        <f t="shared" si="41"/>
        <v>0</v>
      </c>
      <c r="R321" s="3278">
        <f t="shared" si="42"/>
        <v>0</v>
      </c>
    </row>
    <row r="322" spans="1:18" hidden="1" x14ac:dyDescent="0.2">
      <c r="A322" s="3693">
        <v>47</v>
      </c>
      <c r="B322" s="3702"/>
      <c r="C322" s="3702"/>
      <c r="D322" s="3703"/>
      <c r="E322" s="3703"/>
      <c r="F322" s="3703"/>
      <c r="G322" s="3704"/>
      <c r="H322" s="2748" t="str">
        <f t="shared" si="43"/>
        <v/>
      </c>
      <c r="I322" s="3601"/>
      <c r="J322" s="3686"/>
      <c r="K322" s="3686"/>
      <c r="L322" s="3601"/>
      <c r="M322" s="3601"/>
      <c r="O322" s="3265">
        <f t="shared" si="40"/>
        <v>0</v>
      </c>
      <c r="P322" s="3265">
        <f t="shared" si="41"/>
        <v>0</v>
      </c>
      <c r="R322" s="3278">
        <f t="shared" si="42"/>
        <v>0</v>
      </c>
    </row>
    <row r="323" spans="1:18" hidden="1" x14ac:dyDescent="0.2">
      <c r="A323" s="3690">
        <v>48</v>
      </c>
      <c r="B323" s="3702"/>
      <c r="C323" s="3702"/>
      <c r="D323" s="3703"/>
      <c r="E323" s="3703"/>
      <c r="F323" s="3703"/>
      <c r="G323" s="3704"/>
      <c r="H323" s="2748" t="str">
        <f t="shared" si="43"/>
        <v/>
      </c>
      <c r="I323" s="3601"/>
      <c r="J323" s="3686"/>
      <c r="K323" s="3686"/>
      <c r="L323" s="3601"/>
      <c r="M323" s="3601"/>
      <c r="O323" s="3265">
        <f t="shared" si="40"/>
        <v>0</v>
      </c>
      <c r="P323" s="3265">
        <f t="shared" si="41"/>
        <v>0</v>
      </c>
      <c r="R323" s="3278">
        <f t="shared" si="42"/>
        <v>0</v>
      </c>
    </row>
    <row r="324" spans="1:18" hidden="1" x14ac:dyDescent="0.2">
      <c r="A324" s="3693">
        <v>49</v>
      </c>
      <c r="B324" s="3702"/>
      <c r="C324" s="3702"/>
      <c r="D324" s="3703"/>
      <c r="E324" s="3703"/>
      <c r="F324" s="3703"/>
      <c r="G324" s="3704"/>
      <c r="H324" s="2748" t="str">
        <f t="shared" si="43"/>
        <v/>
      </c>
      <c r="I324" s="3601"/>
      <c r="J324" s="3686"/>
      <c r="K324" s="3686"/>
      <c r="L324" s="3601"/>
      <c r="M324" s="3601"/>
      <c r="O324" s="3265">
        <f t="shared" si="40"/>
        <v>0</v>
      </c>
      <c r="P324" s="3265">
        <f t="shared" si="41"/>
        <v>0</v>
      </c>
      <c r="R324" s="3278">
        <f t="shared" si="42"/>
        <v>0</v>
      </c>
    </row>
    <row r="325" spans="1:18" hidden="1" x14ac:dyDescent="0.2">
      <c r="A325" s="3690">
        <v>50</v>
      </c>
      <c r="B325" s="3702"/>
      <c r="C325" s="3702"/>
      <c r="D325" s="3703"/>
      <c r="E325" s="3703"/>
      <c r="F325" s="3703"/>
      <c r="G325" s="3704"/>
      <c r="H325" s="2748" t="str">
        <f t="shared" si="43"/>
        <v/>
      </c>
      <c r="I325" s="3601"/>
      <c r="J325" s="3686"/>
      <c r="K325" s="3686"/>
      <c r="L325" s="3601"/>
      <c r="M325" s="3601"/>
      <c r="O325" s="3265">
        <f t="shared" si="40"/>
        <v>0</v>
      </c>
      <c r="P325" s="3265">
        <f t="shared" si="41"/>
        <v>0</v>
      </c>
      <c r="R325" s="3278">
        <f t="shared" si="42"/>
        <v>0</v>
      </c>
    </row>
    <row r="326" spans="1:18" hidden="1" x14ac:dyDescent="0.2">
      <c r="A326" s="3693">
        <v>51</v>
      </c>
      <c r="B326" s="3702"/>
      <c r="C326" s="3702"/>
      <c r="D326" s="3703"/>
      <c r="E326" s="3703"/>
      <c r="F326" s="3703"/>
      <c r="G326" s="3704"/>
      <c r="H326" s="2748" t="str">
        <f t="shared" si="43"/>
        <v/>
      </c>
      <c r="I326" s="3601"/>
      <c r="J326" s="3686"/>
      <c r="K326" s="3686"/>
      <c r="L326" s="3601"/>
      <c r="M326" s="3601"/>
      <c r="O326" s="3265">
        <f t="shared" si="40"/>
        <v>0</v>
      </c>
      <c r="P326" s="3265">
        <f t="shared" si="41"/>
        <v>0</v>
      </c>
      <c r="R326" s="3278">
        <f t="shared" si="42"/>
        <v>0</v>
      </c>
    </row>
    <row r="327" spans="1:18" hidden="1" x14ac:dyDescent="0.2">
      <c r="A327" s="3690">
        <v>52</v>
      </c>
      <c r="B327" s="3702"/>
      <c r="C327" s="3702"/>
      <c r="D327" s="3703"/>
      <c r="E327" s="3703"/>
      <c r="F327" s="3703"/>
      <c r="G327" s="3704"/>
      <c r="H327" s="2748" t="str">
        <f t="shared" si="43"/>
        <v/>
      </c>
      <c r="I327" s="3601"/>
      <c r="J327" s="3686"/>
      <c r="K327" s="3686"/>
      <c r="L327" s="3601"/>
      <c r="M327" s="3601"/>
      <c r="O327" s="3265">
        <f t="shared" si="40"/>
        <v>0</v>
      </c>
      <c r="P327" s="3265">
        <f t="shared" si="41"/>
        <v>0</v>
      </c>
      <c r="R327" s="3278">
        <f t="shared" si="42"/>
        <v>0</v>
      </c>
    </row>
    <row r="328" spans="1:18" hidden="1" x14ac:dyDescent="0.2">
      <c r="A328" s="3693">
        <v>53</v>
      </c>
      <c r="B328" s="3702"/>
      <c r="C328" s="3702"/>
      <c r="D328" s="3703"/>
      <c r="E328" s="3703"/>
      <c r="F328" s="3703"/>
      <c r="G328" s="3704"/>
      <c r="H328" s="2748" t="str">
        <f t="shared" si="43"/>
        <v/>
      </c>
      <c r="I328" s="3601"/>
      <c r="J328" s="3686"/>
      <c r="K328" s="3686"/>
      <c r="L328" s="3601"/>
      <c r="M328" s="3601"/>
      <c r="O328" s="3265">
        <f t="shared" si="40"/>
        <v>0</v>
      </c>
      <c r="P328" s="3265">
        <f t="shared" si="41"/>
        <v>0</v>
      </c>
      <c r="R328" s="3278">
        <f t="shared" si="42"/>
        <v>0</v>
      </c>
    </row>
    <row r="329" spans="1:18" hidden="1" x14ac:dyDescent="0.2">
      <c r="A329" s="3690">
        <v>54</v>
      </c>
      <c r="B329" s="3702"/>
      <c r="C329" s="3702"/>
      <c r="D329" s="3703"/>
      <c r="E329" s="3703"/>
      <c r="F329" s="3703"/>
      <c r="G329" s="3704"/>
      <c r="H329" s="2748" t="str">
        <f t="shared" si="43"/>
        <v/>
      </c>
      <c r="I329" s="3601"/>
      <c r="J329" s="3686"/>
      <c r="K329" s="3686"/>
      <c r="L329" s="3601"/>
      <c r="M329" s="3601"/>
      <c r="O329" s="3265">
        <f t="shared" si="40"/>
        <v>0</v>
      </c>
      <c r="P329" s="3265">
        <f t="shared" si="41"/>
        <v>0</v>
      </c>
      <c r="R329" s="3278">
        <f t="shared" si="42"/>
        <v>0</v>
      </c>
    </row>
    <row r="330" spans="1:18" hidden="1" x14ac:dyDescent="0.2">
      <c r="A330" s="3693">
        <v>55</v>
      </c>
      <c r="B330" s="3702"/>
      <c r="C330" s="3702"/>
      <c r="D330" s="3703"/>
      <c r="E330" s="3703"/>
      <c r="F330" s="3703"/>
      <c r="G330" s="3704"/>
      <c r="H330" s="2748" t="str">
        <f t="shared" si="43"/>
        <v/>
      </c>
      <c r="I330" s="3601"/>
      <c r="J330" s="3686"/>
      <c r="K330" s="3686"/>
      <c r="L330" s="3601"/>
      <c r="M330" s="3601"/>
      <c r="O330" s="3265">
        <f t="shared" si="40"/>
        <v>0</v>
      </c>
      <c r="P330" s="3265">
        <f t="shared" si="41"/>
        <v>0</v>
      </c>
      <c r="R330" s="3278">
        <f t="shared" si="42"/>
        <v>0</v>
      </c>
    </row>
    <row r="331" spans="1:18" hidden="1" x14ac:dyDescent="0.2">
      <c r="A331" s="3690">
        <v>56</v>
      </c>
      <c r="B331" s="3702"/>
      <c r="C331" s="3702"/>
      <c r="D331" s="3703"/>
      <c r="E331" s="3703"/>
      <c r="F331" s="3703"/>
      <c r="G331" s="3704"/>
      <c r="H331" s="2748" t="str">
        <f t="shared" si="43"/>
        <v/>
      </c>
      <c r="I331" s="3601"/>
      <c r="J331" s="3686"/>
      <c r="K331" s="3686"/>
      <c r="L331" s="3601"/>
      <c r="M331" s="3601"/>
      <c r="O331" s="3265">
        <f t="shared" si="40"/>
        <v>0</v>
      </c>
      <c r="P331" s="3265">
        <f t="shared" si="41"/>
        <v>0</v>
      </c>
      <c r="R331" s="3278">
        <f t="shared" si="42"/>
        <v>0</v>
      </c>
    </row>
    <row r="332" spans="1:18" hidden="1" x14ac:dyDescent="0.2">
      <c r="A332" s="3693">
        <v>57</v>
      </c>
      <c r="B332" s="3702"/>
      <c r="C332" s="3702"/>
      <c r="D332" s="3703"/>
      <c r="E332" s="3703"/>
      <c r="F332" s="3703"/>
      <c r="G332" s="3704"/>
      <c r="H332" s="2748" t="str">
        <f t="shared" si="43"/>
        <v/>
      </c>
      <c r="I332" s="3601"/>
      <c r="J332" s="3686"/>
      <c r="K332" s="3686"/>
      <c r="L332" s="3601"/>
      <c r="M332" s="3601"/>
      <c r="O332" s="3265">
        <f t="shared" si="40"/>
        <v>0</v>
      </c>
      <c r="P332" s="3265">
        <f t="shared" si="41"/>
        <v>0</v>
      </c>
      <c r="R332" s="3278">
        <f t="shared" si="42"/>
        <v>0</v>
      </c>
    </row>
    <row r="333" spans="1:18" hidden="1" x14ac:dyDescent="0.2">
      <c r="A333" s="3690">
        <v>58</v>
      </c>
      <c r="B333" s="3702"/>
      <c r="C333" s="3702"/>
      <c r="D333" s="3703"/>
      <c r="E333" s="3703"/>
      <c r="F333" s="3703"/>
      <c r="G333" s="3704"/>
      <c r="H333" s="2748" t="str">
        <f t="shared" si="43"/>
        <v/>
      </c>
      <c r="I333" s="3601"/>
      <c r="J333" s="3686"/>
      <c r="K333" s="3686"/>
      <c r="L333" s="3601"/>
      <c r="M333" s="3601"/>
      <c r="O333" s="3265">
        <f t="shared" si="40"/>
        <v>0</v>
      </c>
      <c r="P333" s="3265">
        <f t="shared" si="41"/>
        <v>0</v>
      </c>
      <c r="R333" s="3278">
        <f t="shared" si="42"/>
        <v>0</v>
      </c>
    </row>
    <row r="334" spans="1:18" hidden="1" x14ac:dyDescent="0.2">
      <c r="A334" s="3693">
        <v>59</v>
      </c>
      <c r="B334" s="3702"/>
      <c r="C334" s="3702"/>
      <c r="D334" s="3703"/>
      <c r="E334" s="3703"/>
      <c r="F334" s="3703"/>
      <c r="G334" s="3704"/>
      <c r="H334" s="2748" t="str">
        <f t="shared" si="43"/>
        <v/>
      </c>
      <c r="I334" s="3601"/>
      <c r="J334" s="3686"/>
      <c r="K334" s="3686"/>
      <c r="L334" s="3601"/>
      <c r="M334" s="3601"/>
      <c r="O334" s="3265">
        <f t="shared" si="40"/>
        <v>0</v>
      </c>
      <c r="P334" s="3265">
        <f t="shared" si="41"/>
        <v>0</v>
      </c>
      <c r="R334" s="3278">
        <f t="shared" si="42"/>
        <v>0</v>
      </c>
    </row>
    <row r="335" spans="1:18" hidden="1" x14ac:dyDescent="0.2">
      <c r="A335" s="3690">
        <v>60</v>
      </c>
      <c r="B335" s="3702"/>
      <c r="C335" s="3702"/>
      <c r="D335" s="3703"/>
      <c r="E335" s="3703"/>
      <c r="F335" s="3703"/>
      <c r="G335" s="3704"/>
      <c r="H335" s="2748" t="str">
        <f t="shared" si="43"/>
        <v/>
      </c>
      <c r="I335" s="3601"/>
      <c r="J335" s="3686"/>
      <c r="K335" s="3686"/>
      <c r="L335" s="3601"/>
      <c r="M335" s="3601"/>
      <c r="O335" s="3265">
        <f t="shared" si="40"/>
        <v>0</v>
      </c>
      <c r="P335" s="3265">
        <f t="shared" si="41"/>
        <v>0</v>
      </c>
      <c r="R335" s="3278">
        <f t="shared" si="42"/>
        <v>0</v>
      </c>
    </row>
    <row r="336" spans="1:18" x14ac:dyDescent="0.2">
      <c r="A336" s="3695"/>
      <c r="B336" s="5395" t="s">
        <v>6940</v>
      </c>
      <c r="C336" s="5397"/>
      <c r="D336" s="5397"/>
      <c r="E336" s="5397"/>
      <c r="F336" s="5396"/>
      <c r="G336" s="3694">
        <f>(SUM(G276:G335))</f>
      </c>
      <c r="H336" s="3601"/>
      <c r="I336" s="3601"/>
      <c r="J336" s="3686"/>
      <c r="K336" s="3686"/>
      <c r="L336" s="3601"/>
      <c r="M336" s="3601"/>
      <c r="O336" s="3701"/>
      <c r="P336" s="3701"/>
    </row>
    <row r="337" spans="1:19" x14ac:dyDescent="0.2">
      <c r="A337" s="3601"/>
      <c r="B337" s="3601"/>
      <c r="C337" s="3601"/>
      <c r="D337" s="3601"/>
      <c r="E337" s="3601"/>
      <c r="F337" s="3601"/>
      <c r="G337" s="3601"/>
      <c r="H337" s="3601"/>
      <c r="I337" s="3601"/>
      <c r="J337" s="3686"/>
      <c r="K337" s="3686"/>
      <c r="L337" s="3601"/>
      <c r="M337" s="3601"/>
      <c r="O337" s="3701"/>
      <c r="P337" s="3701"/>
    </row>
    <row r="338" spans="1:19" x14ac:dyDescent="0.2">
      <c r="A338" s="3695"/>
      <c r="B338" s="3696" t="s">
        <v>10190</v>
      </c>
      <c r="C338" s="3697"/>
      <c r="D338" s="3697"/>
      <c r="E338" s="5395" t="s">
        <v>10179</v>
      </c>
      <c r="F338" s="5397"/>
      <c r="G338" s="5396"/>
      <c r="H338" s="3668"/>
      <c r="I338" s="2748" t="str">
        <f>IF(AND(OR($Q$1="n",$Q$1=0),H338&gt;0),"Check Pg2 Q33!",IF(AND($Q$1="y",H338=""),re,""))</f>
        <v/>
      </c>
      <c r="J338" s="3686"/>
      <c r="K338" s="3686"/>
      <c r="L338" s="3601"/>
      <c r="M338" s="3601"/>
      <c r="O338" s="3265">
        <f>IF(I338="",0,1)</f>
      </c>
      <c r="P338" s="3265">
        <f>IF(H338="",0,1)</f>
      </c>
    </row>
    <row r="339" spans="1:19" ht="63.75" x14ac:dyDescent="0.2">
      <c r="A339" s="3695"/>
      <c r="B339" s="3691" t="s">
        <v>10083</v>
      </c>
      <c r="C339" s="3691" t="s">
        <v>10182</v>
      </c>
      <c r="D339" s="3691" t="s">
        <v>8857</v>
      </c>
      <c r="E339" s="3691" t="s">
        <v>10180</v>
      </c>
      <c r="F339" s="3786" t="s">
        <v>10191</v>
      </c>
      <c r="G339" s="3786" t="s">
        <v>10181</v>
      </c>
      <c r="H339" s="3786" t="s">
        <v>10090</v>
      </c>
      <c r="I339" s="3601"/>
      <c r="J339" s="3686"/>
      <c r="K339" s="3686"/>
      <c r="L339" s="3601"/>
      <c r="M339" s="3601"/>
      <c r="R339" s="3688" t="s">
        <v>10079</v>
      </c>
      <c r="S339" s="3787" t="s">
        <v>10187</v>
      </c>
    </row>
    <row r="340" spans="1:19" x14ac:dyDescent="0.2">
      <c r="A340" s="3693">
        <v>1</v>
      </c>
      <c r="B340" s="3702"/>
      <c r="C340" s="3703"/>
      <c r="D340" s="3703"/>
      <c r="E340" s="3704"/>
      <c r="F340" s="3702"/>
      <c r="G340" s="3702"/>
      <c r="H340" s="3788" t="str">
        <f t="shared" ref="H340:H345" si="44">IF(E340="","",IF(AND(F340="no",G340="yes"),0,IF(AND(F340="yes",G340="no"),E340,IF(F340="no",E340,0))))</f>
        <v/>
      </c>
      <c r="I340" s="2748" t="str">
        <f t="shared" ref="I340:I371" si="45">IF($O$338=1,"",IF(AND($H$338&gt;0,A340&lt;=$H$338,P340=0),re,IF(AND(P340&gt;0,A340&gt;$H$338),"Delete!",IF(AND(COUNTA(B340:G340)&gt;0,F340=""),"All data!",IF(OR(AND($Q$2="y",F340="yes",A340&lt;=$H$338,P340&lt;&gt;6),AND($Q$2="y",F340="no",A340&lt;=$H$338,P340&lt;&gt;5),AND(OR($Q$2=0,$Q$2="n"),F340="yes",A340&lt;=$H$338,P340&lt;&gt;5),AND(OR($Q$2=0,$Q$2="n"),F340="no",A340&lt;=$H$338,P340&lt;&gt;4)),"All data!",IF(AND(OR($Q$2=0,$Q$2="n"),B340&lt;&gt;""),"Check Pg2 Q30!",IF(S340=1,"Delete!","")))))))</f>
        <v/>
      </c>
      <c r="J340" s="3686"/>
      <c r="K340" s="3686"/>
      <c r="L340" s="3601"/>
      <c r="M340" s="3601"/>
      <c r="O340" s="3265">
        <f t="shared" ref="O340:O345" si="46">IF(I340="",0,1)</f>
      </c>
      <c r="P340" s="3265">
        <f t="shared" ref="P340:P345" si="47">IF(AND($Q$2="y",F340="yes"),COUNTA(B340:G340),IF(AND($Q$2="y",F340="no"),COUNTA(B340:F340),IF(AND(OR($Q$2="n",$Q$2=0),F340="yes"),COUNTA(C340:G340),IF(AND(OR($Q$2="n",$Q$2=0),F340="no"),COUNTA(C340:F340),COUNTA(B340:G340)))))</f>
      </c>
      <c r="Q340" s="3278"/>
      <c r="R340" s="3278">
        <f t="shared" ref="R340:R345" si="48">IF(AND($Q$2="n",B340&lt;&gt;""),1,0)</f>
      </c>
      <c r="S340" s="3278">
        <f t="shared" ref="S340:S345" si="49">IF(AND(F340="no",G340&lt;&gt;""),1,0)</f>
      </c>
    </row>
    <row r="341" spans="1:19" x14ac:dyDescent="0.2">
      <c r="A341" s="3690">
        <v>2</v>
      </c>
      <c r="B341" s="3702"/>
      <c r="C341" s="3703"/>
      <c r="D341" s="3703"/>
      <c r="E341" s="3704"/>
      <c r="F341" s="3702"/>
      <c r="G341" s="3702"/>
      <c r="H341" s="3788" t="str">
        <f t="shared" si="44"/>
        <v/>
      </c>
      <c r="I341" s="2748" t="str">
        <f t="shared" si="45"/>
        <v/>
      </c>
      <c r="J341" s="3686"/>
      <c r="K341" s="3686"/>
      <c r="L341" s="3601"/>
      <c r="M341" s="3601"/>
      <c r="O341" s="3265">
        <f t="shared" si="46"/>
        <v>0</v>
      </c>
      <c r="P341" s="3265">
        <f t="shared" si="47"/>
        <v>0</v>
      </c>
      <c r="R341" s="3278">
        <f t="shared" si="48"/>
        <v>0</v>
      </c>
      <c r="S341" s="3278">
        <f t="shared" si="49"/>
        <v>0</v>
      </c>
    </row>
    <row r="342" spans="1:19" x14ac:dyDescent="0.2">
      <c r="A342" s="3690">
        <v>3</v>
      </c>
      <c r="B342" s="3702"/>
      <c r="C342" s="3703"/>
      <c r="D342" s="3703"/>
      <c r="E342" s="3704"/>
      <c r="F342" s="3702"/>
      <c r="G342" s="3702"/>
      <c r="H342" s="3788" t="str">
        <f t="shared" si="44"/>
        <v/>
      </c>
      <c r="I342" s="2748" t="str">
        <f t="shared" si="45"/>
        <v/>
      </c>
      <c r="J342" s="3686"/>
      <c r="K342" s="3686"/>
      <c r="L342" s="3601"/>
      <c r="M342" s="3601"/>
      <c r="O342" s="3265">
        <f t="shared" si="46"/>
        <v>0</v>
      </c>
      <c r="P342" s="3265">
        <f t="shared" si="47"/>
        <v>0</v>
      </c>
      <c r="R342" s="3278">
        <f t="shared" si="48"/>
        <v>0</v>
      </c>
      <c r="S342" s="3278">
        <f t="shared" si="49"/>
        <v>0</v>
      </c>
    </row>
    <row r="343" spans="1:19" x14ac:dyDescent="0.2">
      <c r="A343" s="3690">
        <v>4</v>
      </c>
      <c r="B343" s="3702"/>
      <c r="C343" s="3703"/>
      <c r="D343" s="3703"/>
      <c r="E343" s="3704"/>
      <c r="F343" s="3702"/>
      <c r="G343" s="3702"/>
      <c r="H343" s="3788" t="str">
        <f t="shared" si="44"/>
        <v/>
      </c>
      <c r="I343" s="2748" t="str">
        <f t="shared" si="45"/>
        <v/>
      </c>
      <c r="J343" s="3686"/>
      <c r="K343" s="3686"/>
      <c r="L343" s="3601"/>
      <c r="M343" s="3601"/>
      <c r="O343" s="3265">
        <f t="shared" si="46"/>
        <v>0</v>
      </c>
      <c r="P343" s="3265">
        <f t="shared" si="47"/>
        <v>0</v>
      </c>
      <c r="R343" s="3278">
        <f t="shared" si="48"/>
        <v>0</v>
      </c>
      <c r="S343" s="3278">
        <f t="shared" si="49"/>
        <v>0</v>
      </c>
    </row>
    <row r="344" spans="1:19" x14ac:dyDescent="0.2">
      <c r="A344" s="3693">
        <v>5</v>
      </c>
      <c r="B344" s="3702"/>
      <c r="C344" s="3703"/>
      <c r="D344" s="3703"/>
      <c r="E344" s="3704"/>
      <c r="F344" s="3702"/>
      <c r="G344" s="3702"/>
      <c r="H344" s="3788" t="str">
        <f t="shared" si="44"/>
        <v/>
      </c>
      <c r="I344" s="2748" t="str">
        <f t="shared" si="45"/>
        <v/>
      </c>
      <c r="J344" s="3686"/>
      <c r="K344" s="3686"/>
      <c r="L344" s="3601"/>
      <c r="M344" s="3601"/>
      <c r="O344" s="3265">
        <f t="shared" si="46"/>
        <v>0</v>
      </c>
      <c r="P344" s="3265">
        <f t="shared" si="47"/>
        <v>0</v>
      </c>
      <c r="R344" s="3278">
        <f t="shared" si="48"/>
        <v>0</v>
      </c>
      <c r="S344" s="3278">
        <f t="shared" si="49"/>
        <v>0</v>
      </c>
    </row>
    <row r="345" spans="1:19" x14ac:dyDescent="0.2">
      <c r="A345" s="3690">
        <v>6</v>
      </c>
      <c r="B345" s="3702"/>
      <c r="C345" s="3703"/>
      <c r="D345" s="3703"/>
      <c r="E345" s="3704"/>
      <c r="F345" s="3702"/>
      <c r="G345" s="3702"/>
      <c r="H345" s="3788" t="str">
        <f t="shared" si="44"/>
        <v/>
      </c>
      <c r="I345" s="2748" t="str">
        <f t="shared" si="45"/>
        <v/>
      </c>
      <c r="J345" s="3686"/>
      <c r="K345" s="3686"/>
      <c r="L345" s="3601"/>
      <c r="M345" s="3601"/>
      <c r="O345" s="3265">
        <f t="shared" si="46"/>
        <v>0</v>
      </c>
      <c r="P345" s="3265">
        <f t="shared" si="47"/>
        <v>0</v>
      </c>
      <c r="R345" s="3278">
        <f t="shared" si="48"/>
        <v>0</v>
      </c>
      <c r="S345" s="3278">
        <f t="shared" si="49"/>
        <v>0</v>
      </c>
    </row>
    <row r="346" spans="1:19" hidden="1" x14ac:dyDescent="0.2">
      <c r="A346" s="3693">
        <v>7</v>
      </c>
      <c r="B346" s="3702"/>
      <c r="C346" s="3703"/>
      <c r="D346" s="3703"/>
      <c r="E346" s="3704"/>
      <c r="F346" s="3702"/>
      <c r="G346" s="3702"/>
      <c r="H346" s="3788" t="str">
        <f t="shared" ref="H346:H392" si="50">IF(E346="","",IF(AND(F346="no",G346="yes"),0,IF(AND(F346="yes",G346="no"),E346,IF(F346="no",E346,0))))</f>
        <v/>
      </c>
      <c r="I346" s="2748" t="str">
        <f t="shared" si="45"/>
        <v/>
      </c>
      <c r="J346" s="3686"/>
      <c r="K346" s="3686"/>
      <c r="L346" s="3601"/>
      <c r="M346" s="3601"/>
      <c r="O346" s="3265">
        <f t="shared" ref="O346:O392" si="51">IF(I346="",0,1)</f>
      </c>
      <c r="P346" s="3265">
        <f t="shared" ref="P346:P392" si="52">IF(AND($Q$2="y",F346="yes"),COUNTA(B346:G346),IF(AND($Q$2="y",F346="no"),COUNTA(B346:F346),IF(AND(OR($Q$2="n",$Q$2=0),F346="yes"),COUNTA(C346:G346),IF(AND(OR($Q$2="n",$Q$2=0),F346="no"),COUNTA(C346:F346),COUNTA(B346:G346)))))</f>
      </c>
      <c r="R346" s="3278">
        <f t="shared" ref="R346:R392" si="53">IF(AND($Q$2="n",B346&lt;&gt;""),1,0)</f>
      </c>
      <c r="S346" s="3278">
        <f t="shared" ref="S346:S392" si="54">IF(AND(F346="no",G346&lt;&gt;""),1,0)</f>
      </c>
    </row>
    <row r="347" spans="1:19" hidden="1" x14ac:dyDescent="0.2">
      <c r="A347" s="3690">
        <v>8</v>
      </c>
      <c r="B347" s="3702"/>
      <c r="C347" s="3703"/>
      <c r="D347" s="3703"/>
      <c r="E347" s="3704"/>
      <c r="F347" s="3702"/>
      <c r="G347" s="3702"/>
      <c r="H347" s="3788" t="str">
        <f t="shared" si="50"/>
        <v/>
      </c>
      <c r="I347" s="2748" t="str">
        <f t="shared" si="45"/>
        <v/>
      </c>
      <c r="J347" s="3686"/>
      <c r="K347" s="3686"/>
      <c r="L347" s="3601"/>
      <c r="M347" s="3601"/>
      <c r="O347" s="3265">
        <f t="shared" si="51"/>
        <v>0</v>
      </c>
      <c r="P347" s="3265">
        <f t="shared" si="52"/>
        <v>0</v>
      </c>
      <c r="R347" s="3278">
        <f t="shared" si="53"/>
        <v>0</v>
      </c>
      <c r="S347" s="3278">
        <f t="shared" si="54"/>
        <v>0</v>
      </c>
    </row>
    <row r="348" spans="1:19" hidden="1" x14ac:dyDescent="0.2">
      <c r="A348" s="3693">
        <v>9</v>
      </c>
      <c r="B348" s="3702"/>
      <c r="C348" s="3703"/>
      <c r="D348" s="3703"/>
      <c r="E348" s="3704"/>
      <c r="F348" s="3702"/>
      <c r="G348" s="3702"/>
      <c r="H348" s="3788" t="str">
        <f t="shared" si="50"/>
        <v/>
      </c>
      <c r="I348" s="2748" t="str">
        <f t="shared" si="45"/>
        <v/>
      </c>
      <c r="J348" s="3686"/>
      <c r="K348" s="3686"/>
      <c r="L348" s="3601"/>
      <c r="M348" s="3601"/>
      <c r="O348" s="3265">
        <f t="shared" si="51"/>
        <v>0</v>
      </c>
      <c r="P348" s="3265">
        <f t="shared" si="52"/>
        <v>0</v>
      </c>
      <c r="R348" s="3278">
        <f t="shared" si="53"/>
        <v>0</v>
      </c>
      <c r="S348" s="3278">
        <f t="shared" si="54"/>
        <v>0</v>
      </c>
    </row>
    <row r="349" spans="1:19" hidden="1" x14ac:dyDescent="0.2">
      <c r="A349" s="3690">
        <v>10</v>
      </c>
      <c r="B349" s="3702"/>
      <c r="C349" s="3703"/>
      <c r="D349" s="3703"/>
      <c r="E349" s="3704"/>
      <c r="F349" s="3702"/>
      <c r="G349" s="3702"/>
      <c r="H349" s="3788" t="str">
        <f t="shared" si="50"/>
        <v/>
      </c>
      <c r="I349" s="2748" t="str">
        <f t="shared" si="45"/>
        <v/>
      </c>
      <c r="J349" s="3686"/>
      <c r="K349" s="3686"/>
      <c r="L349" s="3601"/>
      <c r="M349" s="3601"/>
      <c r="O349" s="3265">
        <f t="shared" si="51"/>
        <v>0</v>
      </c>
      <c r="P349" s="3265">
        <f t="shared" si="52"/>
        <v>0</v>
      </c>
      <c r="R349" s="3278">
        <f t="shared" si="53"/>
        <v>0</v>
      </c>
      <c r="S349" s="3278">
        <f t="shared" si="54"/>
        <v>0</v>
      </c>
    </row>
    <row r="350" spans="1:19" hidden="1" x14ac:dyDescent="0.2">
      <c r="A350" s="3693">
        <v>11</v>
      </c>
      <c r="B350" s="3702"/>
      <c r="C350" s="3703"/>
      <c r="D350" s="3703"/>
      <c r="E350" s="3704"/>
      <c r="F350" s="3702"/>
      <c r="G350" s="3702"/>
      <c r="H350" s="3788" t="str">
        <f t="shared" si="50"/>
        <v/>
      </c>
      <c r="I350" s="2748" t="str">
        <f t="shared" si="45"/>
        <v/>
      </c>
      <c r="J350" s="3686"/>
      <c r="K350" s="3686"/>
      <c r="L350" s="3601"/>
      <c r="M350" s="3601"/>
      <c r="O350" s="3265">
        <f t="shared" si="51"/>
        <v>0</v>
      </c>
      <c r="P350" s="3265">
        <f t="shared" si="52"/>
        <v>0</v>
      </c>
      <c r="R350" s="3278">
        <f t="shared" si="53"/>
        <v>0</v>
      </c>
      <c r="S350" s="3278">
        <f t="shared" si="54"/>
        <v>0</v>
      </c>
    </row>
    <row r="351" spans="1:19" hidden="1" x14ac:dyDescent="0.2">
      <c r="A351" s="3690">
        <v>12</v>
      </c>
      <c r="B351" s="3702"/>
      <c r="C351" s="3703"/>
      <c r="D351" s="3703"/>
      <c r="E351" s="3704"/>
      <c r="F351" s="3702"/>
      <c r="G351" s="3702"/>
      <c r="H351" s="3788" t="str">
        <f t="shared" si="50"/>
        <v/>
      </c>
      <c r="I351" s="2748" t="str">
        <f t="shared" si="45"/>
        <v/>
      </c>
      <c r="J351" s="3686"/>
      <c r="K351" s="3686"/>
      <c r="L351" s="3601"/>
      <c r="M351" s="3601"/>
      <c r="O351" s="3265">
        <f t="shared" si="51"/>
        <v>0</v>
      </c>
      <c r="P351" s="3265">
        <f t="shared" si="52"/>
        <v>0</v>
      </c>
      <c r="R351" s="3278">
        <f t="shared" si="53"/>
        <v>0</v>
      </c>
      <c r="S351" s="3278">
        <f t="shared" si="54"/>
        <v>0</v>
      </c>
    </row>
    <row r="352" spans="1:19" hidden="1" x14ac:dyDescent="0.2">
      <c r="A352" s="3693">
        <v>13</v>
      </c>
      <c r="B352" s="3702"/>
      <c r="C352" s="3703"/>
      <c r="D352" s="3703"/>
      <c r="E352" s="3704"/>
      <c r="F352" s="3702"/>
      <c r="G352" s="3702"/>
      <c r="H352" s="3788" t="str">
        <f t="shared" si="50"/>
        <v/>
      </c>
      <c r="I352" s="2748" t="str">
        <f t="shared" si="45"/>
        <v/>
      </c>
      <c r="J352" s="3686"/>
      <c r="K352" s="3686"/>
      <c r="L352" s="3601"/>
      <c r="M352" s="3601"/>
      <c r="O352" s="3265">
        <f t="shared" si="51"/>
        <v>0</v>
      </c>
      <c r="P352" s="3265">
        <f t="shared" si="52"/>
        <v>0</v>
      </c>
      <c r="R352" s="3278">
        <f t="shared" si="53"/>
        <v>0</v>
      </c>
      <c r="S352" s="3278">
        <f t="shared" si="54"/>
        <v>0</v>
      </c>
    </row>
    <row r="353" spans="1:19" hidden="1" x14ac:dyDescent="0.2">
      <c r="A353" s="3690">
        <v>14</v>
      </c>
      <c r="B353" s="3702"/>
      <c r="C353" s="3703"/>
      <c r="D353" s="3703"/>
      <c r="E353" s="3704"/>
      <c r="F353" s="3702"/>
      <c r="G353" s="3702"/>
      <c r="H353" s="3788" t="str">
        <f t="shared" si="50"/>
        <v/>
      </c>
      <c r="I353" s="2748" t="str">
        <f t="shared" si="45"/>
        <v/>
      </c>
      <c r="J353" s="3686"/>
      <c r="K353" s="3686"/>
      <c r="L353" s="3601"/>
      <c r="M353" s="3601"/>
      <c r="O353" s="3265">
        <f t="shared" si="51"/>
        <v>0</v>
      </c>
      <c r="P353" s="3265">
        <f t="shared" si="52"/>
        <v>0</v>
      </c>
      <c r="R353" s="3278">
        <f t="shared" si="53"/>
        <v>0</v>
      </c>
      <c r="S353" s="3278">
        <f t="shared" si="54"/>
        <v>0</v>
      </c>
    </row>
    <row r="354" spans="1:19" hidden="1" x14ac:dyDescent="0.2">
      <c r="A354" s="3693">
        <v>15</v>
      </c>
      <c r="B354" s="3702"/>
      <c r="C354" s="3703"/>
      <c r="D354" s="3703"/>
      <c r="E354" s="3704"/>
      <c r="F354" s="3702"/>
      <c r="G354" s="3702"/>
      <c r="H354" s="3788" t="str">
        <f t="shared" si="50"/>
        <v/>
      </c>
      <c r="I354" s="2748" t="str">
        <f t="shared" si="45"/>
        <v/>
      </c>
      <c r="J354" s="3686"/>
      <c r="K354" s="3686"/>
      <c r="L354" s="3601"/>
      <c r="M354" s="3601"/>
      <c r="O354" s="3265">
        <f t="shared" si="51"/>
        <v>0</v>
      </c>
      <c r="P354" s="3265">
        <f t="shared" si="52"/>
        <v>0</v>
      </c>
      <c r="R354" s="3278">
        <f t="shared" si="53"/>
        <v>0</v>
      </c>
      <c r="S354" s="3278">
        <f t="shared" si="54"/>
        <v>0</v>
      </c>
    </row>
    <row r="355" spans="1:19" hidden="1" x14ac:dyDescent="0.2">
      <c r="A355" s="3690">
        <v>16</v>
      </c>
      <c r="B355" s="3702"/>
      <c r="C355" s="3703"/>
      <c r="D355" s="3703"/>
      <c r="E355" s="3704"/>
      <c r="F355" s="3702"/>
      <c r="G355" s="3702"/>
      <c r="H355" s="3788" t="str">
        <f t="shared" si="50"/>
        <v/>
      </c>
      <c r="I355" s="2748" t="str">
        <f t="shared" si="45"/>
        <v/>
      </c>
      <c r="J355" s="3686"/>
      <c r="K355" s="3686"/>
      <c r="L355" s="3601"/>
      <c r="M355" s="3601"/>
      <c r="O355" s="3265">
        <f t="shared" si="51"/>
        <v>0</v>
      </c>
      <c r="P355" s="3265">
        <f t="shared" si="52"/>
        <v>0</v>
      </c>
      <c r="R355" s="3278">
        <f t="shared" si="53"/>
        <v>0</v>
      </c>
      <c r="S355" s="3278">
        <f t="shared" si="54"/>
        <v>0</v>
      </c>
    </row>
    <row r="356" spans="1:19" hidden="1" x14ac:dyDescent="0.2">
      <c r="A356" s="3693">
        <v>17</v>
      </c>
      <c r="B356" s="3702"/>
      <c r="C356" s="3703"/>
      <c r="D356" s="3703"/>
      <c r="E356" s="3704"/>
      <c r="F356" s="3702"/>
      <c r="G356" s="3702"/>
      <c r="H356" s="3788" t="str">
        <f t="shared" si="50"/>
        <v/>
      </c>
      <c r="I356" s="2748" t="str">
        <f t="shared" si="45"/>
        <v/>
      </c>
      <c r="J356" s="3686"/>
      <c r="K356" s="3686"/>
      <c r="L356" s="3601"/>
      <c r="M356" s="3601"/>
      <c r="O356" s="3265">
        <f t="shared" si="51"/>
        <v>0</v>
      </c>
      <c r="P356" s="3265">
        <f t="shared" si="52"/>
        <v>0</v>
      </c>
      <c r="R356" s="3278">
        <f t="shared" si="53"/>
        <v>0</v>
      </c>
      <c r="S356" s="3278">
        <f t="shared" si="54"/>
        <v>0</v>
      </c>
    </row>
    <row r="357" spans="1:19" hidden="1" x14ac:dyDescent="0.2">
      <c r="A357" s="3690">
        <v>18</v>
      </c>
      <c r="B357" s="3702"/>
      <c r="C357" s="3703"/>
      <c r="D357" s="3703"/>
      <c r="E357" s="3704"/>
      <c r="F357" s="3702"/>
      <c r="G357" s="3702"/>
      <c r="H357" s="3788" t="str">
        <f t="shared" si="50"/>
        <v/>
      </c>
      <c r="I357" s="2748" t="str">
        <f t="shared" si="45"/>
        <v/>
      </c>
      <c r="J357" s="3686"/>
      <c r="K357" s="3686"/>
      <c r="L357" s="3601"/>
      <c r="M357" s="3601"/>
      <c r="O357" s="3265">
        <f t="shared" si="51"/>
        <v>0</v>
      </c>
      <c r="P357" s="3265">
        <f t="shared" si="52"/>
        <v>0</v>
      </c>
      <c r="R357" s="3278">
        <f t="shared" si="53"/>
        <v>0</v>
      </c>
      <c r="S357" s="3278">
        <f t="shared" si="54"/>
        <v>0</v>
      </c>
    </row>
    <row r="358" spans="1:19" hidden="1" x14ac:dyDescent="0.2">
      <c r="A358" s="3693">
        <v>19</v>
      </c>
      <c r="B358" s="3702"/>
      <c r="C358" s="3703"/>
      <c r="D358" s="3703"/>
      <c r="E358" s="3704"/>
      <c r="F358" s="3702"/>
      <c r="G358" s="3702"/>
      <c r="H358" s="3788" t="str">
        <f t="shared" si="50"/>
        <v/>
      </c>
      <c r="I358" s="2748" t="str">
        <f t="shared" si="45"/>
        <v/>
      </c>
      <c r="J358" s="3686"/>
      <c r="K358" s="3686"/>
      <c r="L358" s="3601"/>
      <c r="M358" s="3601"/>
      <c r="O358" s="3265">
        <f t="shared" si="51"/>
        <v>0</v>
      </c>
      <c r="P358" s="3265">
        <f t="shared" si="52"/>
        <v>0</v>
      </c>
      <c r="R358" s="3278">
        <f t="shared" si="53"/>
        <v>0</v>
      </c>
      <c r="S358" s="3278">
        <f t="shared" si="54"/>
        <v>0</v>
      </c>
    </row>
    <row r="359" spans="1:19" hidden="1" x14ac:dyDescent="0.2">
      <c r="A359" s="3690">
        <v>20</v>
      </c>
      <c r="B359" s="3702"/>
      <c r="C359" s="3703"/>
      <c r="D359" s="3703"/>
      <c r="E359" s="3704"/>
      <c r="F359" s="3702"/>
      <c r="G359" s="3702"/>
      <c r="H359" s="3788" t="str">
        <f t="shared" si="50"/>
        <v/>
      </c>
      <c r="I359" s="2748" t="str">
        <f t="shared" si="45"/>
        <v/>
      </c>
      <c r="J359" s="3686"/>
      <c r="K359" s="3686"/>
      <c r="L359" s="3601"/>
      <c r="M359" s="3601"/>
      <c r="O359" s="3265">
        <f t="shared" si="51"/>
        <v>0</v>
      </c>
      <c r="P359" s="3265">
        <f t="shared" si="52"/>
        <v>0</v>
      </c>
      <c r="R359" s="3278">
        <f t="shared" si="53"/>
        <v>0</v>
      </c>
      <c r="S359" s="3278">
        <f t="shared" si="54"/>
        <v>0</v>
      </c>
    </row>
    <row r="360" spans="1:19" hidden="1" x14ac:dyDescent="0.2">
      <c r="A360" s="3693">
        <v>21</v>
      </c>
      <c r="B360" s="3702"/>
      <c r="C360" s="3703"/>
      <c r="D360" s="3703"/>
      <c r="E360" s="3704"/>
      <c r="F360" s="3702"/>
      <c r="G360" s="3702"/>
      <c r="H360" s="3788" t="str">
        <f t="shared" si="50"/>
        <v/>
      </c>
      <c r="I360" s="2748" t="str">
        <f t="shared" si="45"/>
        <v/>
      </c>
      <c r="J360" s="3686"/>
      <c r="K360" s="3686"/>
      <c r="L360" s="3601"/>
      <c r="M360" s="3601"/>
      <c r="O360" s="3265">
        <f t="shared" si="51"/>
        <v>0</v>
      </c>
      <c r="P360" s="3265">
        <f t="shared" si="52"/>
        <v>0</v>
      </c>
      <c r="R360" s="3278">
        <f t="shared" si="53"/>
        <v>0</v>
      </c>
      <c r="S360" s="3278">
        <f t="shared" si="54"/>
        <v>0</v>
      </c>
    </row>
    <row r="361" spans="1:19" hidden="1" x14ac:dyDescent="0.2">
      <c r="A361" s="3690">
        <v>22</v>
      </c>
      <c r="B361" s="3702"/>
      <c r="C361" s="3703"/>
      <c r="D361" s="3703"/>
      <c r="E361" s="3704"/>
      <c r="F361" s="3702"/>
      <c r="G361" s="3702"/>
      <c r="H361" s="3788" t="str">
        <f t="shared" si="50"/>
        <v/>
      </c>
      <c r="I361" s="2748" t="str">
        <f t="shared" si="45"/>
        <v/>
      </c>
      <c r="J361" s="3686"/>
      <c r="K361" s="3686"/>
      <c r="L361" s="3601"/>
      <c r="M361" s="3601"/>
      <c r="O361" s="3265">
        <f t="shared" si="51"/>
        <v>0</v>
      </c>
      <c r="P361" s="3265">
        <f t="shared" si="52"/>
        <v>0</v>
      </c>
      <c r="R361" s="3278">
        <f t="shared" si="53"/>
        <v>0</v>
      </c>
      <c r="S361" s="3278">
        <f t="shared" si="54"/>
        <v>0</v>
      </c>
    </row>
    <row r="362" spans="1:19" hidden="1" x14ac:dyDescent="0.2">
      <c r="A362" s="3693">
        <v>23</v>
      </c>
      <c r="B362" s="3702"/>
      <c r="C362" s="3703"/>
      <c r="D362" s="3703"/>
      <c r="E362" s="3704"/>
      <c r="F362" s="3702"/>
      <c r="G362" s="3702"/>
      <c r="H362" s="3788" t="str">
        <f t="shared" si="50"/>
        <v/>
      </c>
      <c r="I362" s="2748" t="str">
        <f t="shared" si="45"/>
        <v/>
      </c>
      <c r="J362" s="3686"/>
      <c r="K362" s="3686"/>
      <c r="L362" s="3601"/>
      <c r="M362" s="3601"/>
      <c r="O362" s="3265">
        <f t="shared" si="51"/>
        <v>0</v>
      </c>
      <c r="P362" s="3265">
        <f t="shared" si="52"/>
        <v>0</v>
      </c>
      <c r="R362" s="3278">
        <f t="shared" si="53"/>
        <v>0</v>
      </c>
      <c r="S362" s="3278">
        <f t="shared" si="54"/>
        <v>0</v>
      </c>
    </row>
    <row r="363" spans="1:19" hidden="1" x14ac:dyDescent="0.2">
      <c r="A363" s="3690">
        <v>24</v>
      </c>
      <c r="B363" s="3702"/>
      <c r="C363" s="3703"/>
      <c r="D363" s="3703"/>
      <c r="E363" s="3704"/>
      <c r="F363" s="3702"/>
      <c r="G363" s="3702"/>
      <c r="H363" s="3788" t="str">
        <f t="shared" si="50"/>
        <v/>
      </c>
      <c r="I363" s="2748" t="str">
        <f t="shared" si="45"/>
        <v/>
      </c>
      <c r="J363" s="3686"/>
      <c r="K363" s="3686"/>
      <c r="L363" s="3601"/>
      <c r="M363" s="3601"/>
      <c r="O363" s="3265">
        <f t="shared" si="51"/>
        <v>0</v>
      </c>
      <c r="P363" s="3265">
        <f t="shared" si="52"/>
        <v>0</v>
      </c>
      <c r="R363" s="3278">
        <f t="shared" si="53"/>
        <v>0</v>
      </c>
      <c r="S363" s="3278">
        <f t="shared" si="54"/>
        <v>0</v>
      </c>
    </row>
    <row r="364" spans="1:19" hidden="1" x14ac:dyDescent="0.2">
      <c r="A364" s="3693">
        <v>25</v>
      </c>
      <c r="B364" s="3702"/>
      <c r="C364" s="3703"/>
      <c r="D364" s="3703"/>
      <c r="E364" s="3704"/>
      <c r="F364" s="3702"/>
      <c r="G364" s="3702"/>
      <c r="H364" s="3788" t="str">
        <f t="shared" si="50"/>
        <v/>
      </c>
      <c r="I364" s="2748" t="str">
        <f t="shared" si="45"/>
        <v/>
      </c>
      <c r="J364" s="3686"/>
      <c r="K364" s="3686"/>
      <c r="L364" s="3601"/>
      <c r="M364" s="3601"/>
      <c r="O364" s="3265">
        <f t="shared" si="51"/>
        <v>0</v>
      </c>
      <c r="P364" s="3265">
        <f t="shared" si="52"/>
        <v>0</v>
      </c>
      <c r="R364" s="3278">
        <f t="shared" si="53"/>
        <v>0</v>
      </c>
      <c r="S364" s="3278">
        <f t="shared" si="54"/>
        <v>0</v>
      </c>
    </row>
    <row r="365" spans="1:19" hidden="1" x14ac:dyDescent="0.2">
      <c r="A365" s="3690">
        <v>26</v>
      </c>
      <c r="B365" s="3702"/>
      <c r="C365" s="3703"/>
      <c r="D365" s="3703"/>
      <c r="E365" s="3704"/>
      <c r="F365" s="3702"/>
      <c r="G365" s="3702"/>
      <c r="H365" s="3788" t="str">
        <f t="shared" si="50"/>
        <v/>
      </c>
      <c r="I365" s="2748" t="str">
        <f t="shared" si="45"/>
        <v/>
      </c>
      <c r="J365" s="3686"/>
      <c r="K365" s="3686"/>
      <c r="L365" s="3601"/>
      <c r="M365" s="3601"/>
      <c r="O365" s="3265">
        <f t="shared" si="51"/>
        <v>0</v>
      </c>
      <c r="P365" s="3265">
        <f t="shared" si="52"/>
        <v>0</v>
      </c>
      <c r="R365" s="3278">
        <f t="shared" si="53"/>
        <v>0</v>
      </c>
      <c r="S365" s="3278">
        <f t="shared" si="54"/>
        <v>0</v>
      </c>
    </row>
    <row r="366" spans="1:19" hidden="1" x14ac:dyDescent="0.2">
      <c r="A366" s="3693">
        <v>27</v>
      </c>
      <c r="B366" s="3702"/>
      <c r="C366" s="3703"/>
      <c r="D366" s="3703"/>
      <c r="E366" s="3704"/>
      <c r="F366" s="3702"/>
      <c r="G366" s="3702"/>
      <c r="H366" s="3788" t="str">
        <f t="shared" si="50"/>
        <v/>
      </c>
      <c r="I366" s="2748" t="str">
        <f t="shared" si="45"/>
        <v/>
      </c>
      <c r="J366" s="3686"/>
      <c r="K366" s="3686"/>
      <c r="L366" s="3601"/>
      <c r="M366" s="3601"/>
      <c r="O366" s="3265">
        <f t="shared" si="51"/>
        <v>0</v>
      </c>
      <c r="P366" s="3265">
        <f t="shared" si="52"/>
        <v>0</v>
      </c>
      <c r="R366" s="3278">
        <f t="shared" si="53"/>
        <v>0</v>
      </c>
      <c r="S366" s="3278">
        <f t="shared" si="54"/>
        <v>0</v>
      </c>
    </row>
    <row r="367" spans="1:19" hidden="1" x14ac:dyDescent="0.2">
      <c r="A367" s="3690">
        <v>28</v>
      </c>
      <c r="B367" s="3702"/>
      <c r="C367" s="3703"/>
      <c r="D367" s="3703"/>
      <c r="E367" s="3704"/>
      <c r="F367" s="3702"/>
      <c r="G367" s="3702"/>
      <c r="H367" s="3788" t="str">
        <f t="shared" si="50"/>
        <v/>
      </c>
      <c r="I367" s="2748" t="str">
        <f t="shared" si="45"/>
        <v/>
      </c>
      <c r="J367" s="3686"/>
      <c r="K367" s="3686"/>
      <c r="L367" s="3601"/>
      <c r="M367" s="3601"/>
      <c r="O367" s="3265">
        <f t="shared" si="51"/>
        <v>0</v>
      </c>
      <c r="P367" s="3265">
        <f t="shared" si="52"/>
        <v>0</v>
      </c>
      <c r="R367" s="3278">
        <f t="shared" si="53"/>
        <v>0</v>
      </c>
      <c r="S367" s="3278">
        <f t="shared" si="54"/>
        <v>0</v>
      </c>
    </row>
    <row r="368" spans="1:19" hidden="1" x14ac:dyDescent="0.2">
      <c r="A368" s="3693">
        <v>29</v>
      </c>
      <c r="B368" s="3702"/>
      <c r="C368" s="3703"/>
      <c r="D368" s="3703"/>
      <c r="E368" s="3704"/>
      <c r="F368" s="3702"/>
      <c r="G368" s="3702"/>
      <c r="H368" s="3788" t="str">
        <f t="shared" si="50"/>
        <v/>
      </c>
      <c r="I368" s="2748" t="str">
        <f t="shared" si="45"/>
        <v/>
      </c>
      <c r="J368" s="3686"/>
      <c r="K368" s="3686"/>
      <c r="L368" s="3601"/>
      <c r="M368" s="3601"/>
      <c r="O368" s="3265">
        <f t="shared" si="51"/>
        <v>0</v>
      </c>
      <c r="P368" s="3265">
        <f t="shared" si="52"/>
        <v>0</v>
      </c>
      <c r="R368" s="3278">
        <f t="shared" si="53"/>
        <v>0</v>
      </c>
      <c r="S368" s="3278">
        <f t="shared" si="54"/>
        <v>0</v>
      </c>
    </row>
    <row r="369" spans="1:19" hidden="1" x14ac:dyDescent="0.2">
      <c r="A369" s="3690">
        <v>30</v>
      </c>
      <c r="B369" s="3702"/>
      <c r="C369" s="3703"/>
      <c r="D369" s="3703"/>
      <c r="E369" s="3704"/>
      <c r="F369" s="3702"/>
      <c r="G369" s="3702"/>
      <c r="H369" s="3788" t="str">
        <f t="shared" si="50"/>
        <v/>
      </c>
      <c r="I369" s="2748" t="str">
        <f t="shared" si="45"/>
        <v/>
      </c>
      <c r="J369" s="3686"/>
      <c r="K369" s="3686"/>
      <c r="L369" s="3601"/>
      <c r="M369" s="3601"/>
      <c r="O369" s="3265">
        <f t="shared" si="51"/>
        <v>0</v>
      </c>
      <c r="P369" s="3265">
        <f t="shared" si="52"/>
        <v>0</v>
      </c>
      <c r="R369" s="3278">
        <f t="shared" si="53"/>
        <v>0</v>
      </c>
      <c r="S369" s="3278">
        <f t="shared" si="54"/>
        <v>0</v>
      </c>
    </row>
    <row r="370" spans="1:19" hidden="1" x14ac:dyDescent="0.2">
      <c r="A370" s="3693">
        <v>31</v>
      </c>
      <c r="B370" s="3702"/>
      <c r="C370" s="3703"/>
      <c r="D370" s="3703"/>
      <c r="E370" s="3704"/>
      <c r="F370" s="3702"/>
      <c r="G370" s="3702"/>
      <c r="H370" s="3788" t="str">
        <f t="shared" si="50"/>
        <v/>
      </c>
      <c r="I370" s="2748" t="str">
        <f t="shared" si="45"/>
        <v/>
      </c>
      <c r="J370" s="3686"/>
      <c r="K370" s="3686"/>
      <c r="L370" s="3601"/>
      <c r="M370" s="3601"/>
      <c r="O370" s="3265">
        <f t="shared" si="51"/>
        <v>0</v>
      </c>
      <c r="P370" s="3265">
        <f t="shared" si="52"/>
        <v>0</v>
      </c>
      <c r="R370" s="3278">
        <f t="shared" si="53"/>
        <v>0</v>
      </c>
      <c r="S370" s="3278">
        <f t="shared" si="54"/>
        <v>0</v>
      </c>
    </row>
    <row r="371" spans="1:19" hidden="1" x14ac:dyDescent="0.2">
      <c r="A371" s="3690">
        <v>32</v>
      </c>
      <c r="B371" s="3702"/>
      <c r="C371" s="3703"/>
      <c r="D371" s="3703"/>
      <c r="E371" s="3704"/>
      <c r="F371" s="3702"/>
      <c r="G371" s="3702"/>
      <c r="H371" s="3788" t="str">
        <f t="shared" si="50"/>
        <v/>
      </c>
      <c r="I371" s="2748" t="str">
        <f t="shared" si="45"/>
        <v/>
      </c>
      <c r="J371" s="3686"/>
      <c r="K371" s="3686"/>
      <c r="L371" s="3601"/>
      <c r="M371" s="3601"/>
      <c r="O371" s="3265">
        <f t="shared" si="51"/>
        <v>0</v>
      </c>
      <c r="P371" s="3265">
        <f t="shared" si="52"/>
        <v>0</v>
      </c>
      <c r="R371" s="3278">
        <f t="shared" si="53"/>
        <v>0</v>
      </c>
      <c r="S371" s="3278">
        <f t="shared" si="54"/>
        <v>0</v>
      </c>
    </row>
    <row r="372" spans="1:19" hidden="1" x14ac:dyDescent="0.2">
      <c r="A372" s="3693">
        <v>33</v>
      </c>
      <c r="B372" s="3702"/>
      <c r="C372" s="3703"/>
      <c r="D372" s="3703"/>
      <c r="E372" s="3704"/>
      <c r="F372" s="3702"/>
      <c r="G372" s="3702"/>
      <c r="H372" s="3788" t="str">
        <f t="shared" si="50"/>
        <v/>
      </c>
      <c r="I372" s="2748" t="str">
        <f t="shared" ref="I372:I392" si="55">IF($O$338=1,"",IF(AND($H$338&gt;0,A372&lt;=$H$338,P372=0),re,IF(AND(P372&gt;0,A372&gt;$H$338),"Delete!",IF(AND(COUNTA(B372:G372)&gt;0,F372=""),"All data!",IF(OR(AND($Q$2="y",F372="yes",A372&lt;=$H$338,P372&lt;&gt;6),AND($Q$2="y",F372="no",A372&lt;=$H$338,P372&lt;&gt;5),AND(OR($Q$2=0,$Q$2="n"),F372="yes",A372&lt;=$H$338,P372&lt;&gt;5),AND(OR($Q$2=0,$Q$2="n"),F372="no",A372&lt;=$H$338,P372&lt;&gt;4)),"All data!",IF(AND(OR($Q$2=0,$Q$2="n"),B372&lt;&gt;""),"Check Pg2 Q30!",IF(S372=1,"Delete!","")))))))</f>
        <v/>
      </c>
      <c r="J372" s="3686"/>
      <c r="K372" s="3686"/>
      <c r="L372" s="3601"/>
      <c r="M372" s="3601"/>
      <c r="O372" s="3265">
        <f t="shared" si="51"/>
        <v>0</v>
      </c>
      <c r="P372" s="3265">
        <f t="shared" si="52"/>
        <v>0</v>
      </c>
      <c r="R372" s="3278">
        <f t="shared" si="53"/>
        <v>0</v>
      </c>
      <c r="S372" s="3278">
        <f t="shared" si="54"/>
        <v>0</v>
      </c>
    </row>
    <row r="373" spans="1:19" hidden="1" x14ac:dyDescent="0.2">
      <c r="A373" s="3690">
        <v>34</v>
      </c>
      <c r="B373" s="3702"/>
      <c r="C373" s="3703"/>
      <c r="D373" s="3703"/>
      <c r="E373" s="3704"/>
      <c r="F373" s="3702"/>
      <c r="G373" s="3702"/>
      <c r="H373" s="3788" t="str">
        <f t="shared" si="50"/>
        <v/>
      </c>
      <c r="I373" s="2748" t="str">
        <f t="shared" si="55"/>
        <v/>
      </c>
      <c r="J373" s="3686"/>
      <c r="K373" s="3686"/>
      <c r="L373" s="3601"/>
      <c r="M373" s="3601"/>
      <c r="O373" s="3265">
        <f t="shared" si="51"/>
        <v>0</v>
      </c>
      <c r="P373" s="3265">
        <f t="shared" si="52"/>
        <v>0</v>
      </c>
      <c r="R373" s="3278">
        <f t="shared" si="53"/>
        <v>0</v>
      </c>
      <c r="S373" s="3278">
        <f t="shared" si="54"/>
        <v>0</v>
      </c>
    </row>
    <row r="374" spans="1:19" hidden="1" x14ac:dyDescent="0.2">
      <c r="A374" s="3693">
        <v>35</v>
      </c>
      <c r="B374" s="3702"/>
      <c r="C374" s="3703"/>
      <c r="D374" s="3703"/>
      <c r="E374" s="3704"/>
      <c r="F374" s="3702"/>
      <c r="G374" s="3702"/>
      <c r="H374" s="3788" t="str">
        <f t="shared" si="50"/>
        <v/>
      </c>
      <c r="I374" s="2748" t="str">
        <f t="shared" si="55"/>
        <v/>
      </c>
      <c r="J374" s="3686"/>
      <c r="K374" s="3686"/>
      <c r="L374" s="3601"/>
      <c r="M374" s="3601"/>
      <c r="O374" s="3265">
        <f t="shared" si="51"/>
        <v>0</v>
      </c>
      <c r="P374" s="3265">
        <f t="shared" si="52"/>
        <v>0</v>
      </c>
      <c r="R374" s="3278">
        <f t="shared" si="53"/>
        <v>0</v>
      </c>
      <c r="S374" s="3278">
        <f t="shared" si="54"/>
        <v>0</v>
      </c>
    </row>
    <row r="375" spans="1:19" hidden="1" x14ac:dyDescent="0.2">
      <c r="A375" s="3690">
        <v>36</v>
      </c>
      <c r="B375" s="3702"/>
      <c r="C375" s="3703"/>
      <c r="D375" s="3703"/>
      <c r="E375" s="3704"/>
      <c r="F375" s="3702"/>
      <c r="G375" s="3702"/>
      <c r="H375" s="3788" t="str">
        <f t="shared" si="50"/>
        <v/>
      </c>
      <c r="I375" s="2748" t="str">
        <f t="shared" si="55"/>
        <v/>
      </c>
      <c r="J375" s="3686"/>
      <c r="K375" s="3686"/>
      <c r="L375" s="3601"/>
      <c r="M375" s="3601"/>
      <c r="O375" s="3265">
        <f t="shared" si="51"/>
        <v>0</v>
      </c>
      <c r="P375" s="3265">
        <f t="shared" si="52"/>
        <v>0</v>
      </c>
      <c r="R375" s="3278">
        <f t="shared" si="53"/>
        <v>0</v>
      </c>
      <c r="S375" s="3278">
        <f t="shared" si="54"/>
        <v>0</v>
      </c>
    </row>
    <row r="376" spans="1:19" hidden="1" x14ac:dyDescent="0.2">
      <c r="A376" s="3693">
        <v>37</v>
      </c>
      <c r="B376" s="3702"/>
      <c r="C376" s="3703"/>
      <c r="D376" s="3703"/>
      <c r="E376" s="3704"/>
      <c r="F376" s="3702"/>
      <c r="G376" s="3702"/>
      <c r="H376" s="3788" t="str">
        <f t="shared" si="50"/>
        <v/>
      </c>
      <c r="I376" s="2748" t="str">
        <f t="shared" si="55"/>
        <v/>
      </c>
      <c r="J376" s="3686"/>
      <c r="K376" s="3686"/>
      <c r="L376" s="3601"/>
      <c r="M376" s="3601"/>
      <c r="O376" s="3265">
        <f t="shared" si="51"/>
        <v>0</v>
      </c>
      <c r="P376" s="3265">
        <f t="shared" si="52"/>
        <v>0</v>
      </c>
      <c r="R376" s="3278">
        <f t="shared" si="53"/>
        <v>0</v>
      </c>
      <c r="S376" s="3278">
        <f t="shared" si="54"/>
        <v>0</v>
      </c>
    </row>
    <row r="377" spans="1:19" hidden="1" x14ac:dyDescent="0.2">
      <c r="A377" s="3690">
        <v>38</v>
      </c>
      <c r="B377" s="3702"/>
      <c r="C377" s="3703"/>
      <c r="D377" s="3703"/>
      <c r="E377" s="3704"/>
      <c r="F377" s="3702"/>
      <c r="G377" s="3702"/>
      <c r="H377" s="3788" t="str">
        <f t="shared" si="50"/>
        <v/>
      </c>
      <c r="I377" s="2748" t="str">
        <f t="shared" si="55"/>
        <v/>
      </c>
      <c r="J377" s="3686"/>
      <c r="K377" s="3686"/>
      <c r="L377" s="3601"/>
      <c r="M377" s="3601"/>
      <c r="O377" s="3265">
        <f t="shared" si="51"/>
        <v>0</v>
      </c>
      <c r="P377" s="3265">
        <f t="shared" si="52"/>
        <v>0</v>
      </c>
      <c r="R377" s="3278">
        <f t="shared" si="53"/>
        <v>0</v>
      </c>
      <c r="S377" s="3278">
        <f t="shared" si="54"/>
        <v>0</v>
      </c>
    </row>
    <row r="378" spans="1:19" hidden="1" x14ac:dyDescent="0.2">
      <c r="A378" s="3693">
        <v>39</v>
      </c>
      <c r="B378" s="3702"/>
      <c r="C378" s="3703"/>
      <c r="D378" s="3703"/>
      <c r="E378" s="3704"/>
      <c r="F378" s="3702"/>
      <c r="G378" s="3702"/>
      <c r="H378" s="3788" t="str">
        <f t="shared" si="50"/>
        <v/>
      </c>
      <c r="I378" s="2748" t="str">
        <f t="shared" si="55"/>
        <v/>
      </c>
      <c r="J378" s="3686"/>
      <c r="K378" s="3686"/>
      <c r="L378" s="3601"/>
      <c r="M378" s="3601"/>
      <c r="O378" s="3265">
        <f t="shared" si="51"/>
        <v>0</v>
      </c>
      <c r="P378" s="3265">
        <f t="shared" si="52"/>
        <v>0</v>
      </c>
      <c r="R378" s="3278">
        <f t="shared" si="53"/>
        <v>0</v>
      </c>
      <c r="S378" s="3278">
        <f t="shared" si="54"/>
        <v>0</v>
      </c>
    </row>
    <row r="379" spans="1:19" hidden="1" x14ac:dyDescent="0.2">
      <c r="A379" s="3690">
        <v>40</v>
      </c>
      <c r="B379" s="3702"/>
      <c r="C379" s="3703"/>
      <c r="D379" s="3703"/>
      <c r="E379" s="3704"/>
      <c r="F379" s="3702"/>
      <c r="G379" s="3702"/>
      <c r="H379" s="3788" t="str">
        <f t="shared" si="50"/>
        <v/>
      </c>
      <c r="I379" s="2748" t="str">
        <f t="shared" si="55"/>
        <v/>
      </c>
      <c r="J379" s="3686"/>
      <c r="K379" s="3686"/>
      <c r="L379" s="3601"/>
      <c r="M379" s="3601"/>
      <c r="O379" s="3265">
        <f t="shared" si="51"/>
        <v>0</v>
      </c>
      <c r="P379" s="3265">
        <f t="shared" si="52"/>
        <v>0</v>
      </c>
      <c r="R379" s="3278">
        <f t="shared" si="53"/>
        <v>0</v>
      </c>
      <c r="S379" s="3278">
        <f t="shared" si="54"/>
        <v>0</v>
      </c>
    </row>
    <row r="380" spans="1:19" hidden="1" x14ac:dyDescent="0.2">
      <c r="A380" s="3693">
        <v>41</v>
      </c>
      <c r="B380" s="3702"/>
      <c r="C380" s="3703"/>
      <c r="D380" s="3703"/>
      <c r="E380" s="3704"/>
      <c r="F380" s="3702"/>
      <c r="G380" s="3702"/>
      <c r="H380" s="3788" t="str">
        <f t="shared" si="50"/>
        <v/>
      </c>
      <c r="I380" s="2748" t="str">
        <f t="shared" si="55"/>
        <v/>
      </c>
      <c r="J380" s="3686"/>
      <c r="K380" s="3686"/>
      <c r="L380" s="3601"/>
      <c r="M380" s="3601"/>
      <c r="O380" s="3265">
        <f t="shared" si="51"/>
        <v>0</v>
      </c>
      <c r="P380" s="3265">
        <f t="shared" si="52"/>
        <v>0</v>
      </c>
      <c r="R380" s="3278">
        <f t="shared" si="53"/>
        <v>0</v>
      </c>
      <c r="S380" s="3278">
        <f t="shared" si="54"/>
        <v>0</v>
      </c>
    </row>
    <row r="381" spans="1:19" hidden="1" x14ac:dyDescent="0.2">
      <c r="A381" s="3690">
        <v>42</v>
      </c>
      <c r="B381" s="3702"/>
      <c r="C381" s="3703"/>
      <c r="D381" s="3703"/>
      <c r="E381" s="3704"/>
      <c r="F381" s="3702"/>
      <c r="G381" s="3702"/>
      <c r="H381" s="3788" t="str">
        <f t="shared" si="50"/>
        <v/>
      </c>
      <c r="I381" s="2748" t="str">
        <f t="shared" si="55"/>
        <v/>
      </c>
      <c r="J381" s="3686"/>
      <c r="K381" s="3686"/>
      <c r="L381" s="3601"/>
      <c r="M381" s="3601"/>
      <c r="O381" s="3265">
        <f t="shared" si="51"/>
        <v>0</v>
      </c>
      <c r="P381" s="3265">
        <f t="shared" si="52"/>
        <v>0</v>
      </c>
      <c r="R381" s="3278">
        <f t="shared" si="53"/>
        <v>0</v>
      </c>
      <c r="S381" s="3278">
        <f t="shared" si="54"/>
        <v>0</v>
      </c>
    </row>
    <row r="382" spans="1:19" hidden="1" x14ac:dyDescent="0.2">
      <c r="A382" s="3693">
        <v>43</v>
      </c>
      <c r="B382" s="3702"/>
      <c r="C382" s="3703"/>
      <c r="D382" s="3703"/>
      <c r="E382" s="3704"/>
      <c r="F382" s="3702"/>
      <c r="G382" s="3702"/>
      <c r="H382" s="3788" t="str">
        <f t="shared" si="50"/>
        <v/>
      </c>
      <c r="I382" s="2748" t="str">
        <f t="shared" si="55"/>
        <v/>
      </c>
      <c r="J382" s="3686"/>
      <c r="K382" s="3686"/>
      <c r="L382" s="3601"/>
      <c r="M382" s="3601"/>
      <c r="O382" s="3265">
        <f t="shared" si="51"/>
        <v>0</v>
      </c>
      <c r="P382" s="3265">
        <f t="shared" si="52"/>
        <v>0</v>
      </c>
      <c r="R382" s="3278">
        <f t="shared" si="53"/>
        <v>0</v>
      </c>
      <c r="S382" s="3278">
        <f t="shared" si="54"/>
        <v>0</v>
      </c>
    </row>
    <row r="383" spans="1:19" hidden="1" x14ac:dyDescent="0.2">
      <c r="A383" s="3690">
        <v>44</v>
      </c>
      <c r="B383" s="3702"/>
      <c r="C383" s="3703"/>
      <c r="D383" s="3703"/>
      <c r="E383" s="3704"/>
      <c r="F383" s="3702"/>
      <c r="G383" s="3702"/>
      <c r="H383" s="3788" t="str">
        <f t="shared" si="50"/>
        <v/>
      </c>
      <c r="I383" s="2748" t="str">
        <f t="shared" si="55"/>
        <v/>
      </c>
      <c r="J383" s="3686"/>
      <c r="K383" s="3686"/>
      <c r="L383" s="3601"/>
      <c r="M383" s="3601"/>
      <c r="O383" s="3265">
        <f t="shared" si="51"/>
        <v>0</v>
      </c>
      <c r="P383" s="3265">
        <f t="shared" si="52"/>
        <v>0</v>
      </c>
      <c r="R383" s="3278">
        <f t="shared" si="53"/>
        <v>0</v>
      </c>
      <c r="S383" s="3278">
        <f t="shared" si="54"/>
        <v>0</v>
      </c>
    </row>
    <row r="384" spans="1:19" hidden="1" x14ac:dyDescent="0.2">
      <c r="A384" s="3693">
        <v>45</v>
      </c>
      <c r="B384" s="3702"/>
      <c r="C384" s="3703"/>
      <c r="D384" s="3703"/>
      <c r="E384" s="3704"/>
      <c r="F384" s="3702"/>
      <c r="G384" s="3702"/>
      <c r="H384" s="3788" t="str">
        <f t="shared" si="50"/>
        <v/>
      </c>
      <c r="I384" s="2748" t="str">
        <f t="shared" si="55"/>
        <v/>
      </c>
      <c r="J384" s="3686"/>
      <c r="K384" s="3686"/>
      <c r="L384" s="3601"/>
      <c r="M384" s="3601"/>
      <c r="O384" s="3265">
        <f t="shared" si="51"/>
        <v>0</v>
      </c>
      <c r="P384" s="3265">
        <f t="shared" si="52"/>
        <v>0</v>
      </c>
      <c r="R384" s="3278">
        <f t="shared" si="53"/>
        <v>0</v>
      </c>
      <c r="S384" s="3278">
        <f t="shared" si="54"/>
        <v>0</v>
      </c>
    </row>
    <row r="385" spans="1:21" hidden="1" x14ac:dyDescent="0.2">
      <c r="A385" s="3690">
        <v>46</v>
      </c>
      <c r="B385" s="3702"/>
      <c r="C385" s="3703"/>
      <c r="D385" s="3703"/>
      <c r="E385" s="3704"/>
      <c r="F385" s="3702"/>
      <c r="G385" s="3702"/>
      <c r="H385" s="3788" t="str">
        <f t="shared" si="50"/>
        <v/>
      </c>
      <c r="I385" s="2748" t="str">
        <f t="shared" si="55"/>
        <v/>
      </c>
      <c r="J385" s="3686"/>
      <c r="K385" s="3686"/>
      <c r="L385" s="3601"/>
      <c r="M385" s="3601"/>
      <c r="O385" s="3265">
        <f t="shared" si="51"/>
        <v>0</v>
      </c>
      <c r="P385" s="3265">
        <f t="shared" si="52"/>
        <v>0</v>
      </c>
      <c r="R385" s="3278">
        <f t="shared" si="53"/>
        <v>0</v>
      </c>
      <c r="S385" s="3278">
        <f t="shared" si="54"/>
        <v>0</v>
      </c>
    </row>
    <row r="386" spans="1:21" hidden="1" x14ac:dyDescent="0.2">
      <c r="A386" s="3693">
        <v>47</v>
      </c>
      <c r="B386" s="3702"/>
      <c r="C386" s="3703"/>
      <c r="D386" s="3703"/>
      <c r="E386" s="3704"/>
      <c r="F386" s="3702"/>
      <c r="G386" s="3702"/>
      <c r="H386" s="3788" t="str">
        <f t="shared" si="50"/>
        <v/>
      </c>
      <c r="I386" s="2748" t="str">
        <f t="shared" si="55"/>
        <v/>
      </c>
      <c r="J386" s="3686"/>
      <c r="K386" s="3686"/>
      <c r="L386" s="3601"/>
      <c r="M386" s="3601"/>
      <c r="O386" s="3265">
        <f t="shared" si="51"/>
        <v>0</v>
      </c>
      <c r="P386" s="3265">
        <f t="shared" si="52"/>
        <v>0</v>
      </c>
      <c r="R386" s="3278">
        <f t="shared" si="53"/>
        <v>0</v>
      </c>
      <c r="S386" s="3278">
        <f t="shared" si="54"/>
        <v>0</v>
      </c>
    </row>
    <row r="387" spans="1:21" hidden="1" x14ac:dyDescent="0.2">
      <c r="A387" s="3690">
        <v>48</v>
      </c>
      <c r="B387" s="3702"/>
      <c r="C387" s="3703"/>
      <c r="D387" s="3703"/>
      <c r="E387" s="3704"/>
      <c r="F387" s="3702"/>
      <c r="G387" s="3702"/>
      <c r="H387" s="3788" t="str">
        <f t="shared" si="50"/>
        <v/>
      </c>
      <c r="I387" s="2748" t="str">
        <f t="shared" si="55"/>
        <v/>
      </c>
      <c r="J387" s="3686"/>
      <c r="K387" s="3686"/>
      <c r="L387" s="3601"/>
      <c r="M387" s="3601"/>
      <c r="O387" s="3265">
        <f t="shared" si="51"/>
        <v>0</v>
      </c>
      <c r="P387" s="3265">
        <f t="shared" si="52"/>
        <v>0</v>
      </c>
      <c r="R387" s="3278">
        <f t="shared" si="53"/>
        <v>0</v>
      </c>
      <c r="S387" s="3278">
        <f t="shared" si="54"/>
        <v>0</v>
      </c>
    </row>
    <row r="388" spans="1:21" hidden="1" x14ac:dyDescent="0.2">
      <c r="A388" s="3693">
        <v>49</v>
      </c>
      <c r="B388" s="3702"/>
      <c r="C388" s="3703"/>
      <c r="D388" s="3703"/>
      <c r="E388" s="3704"/>
      <c r="F388" s="3702"/>
      <c r="G388" s="3702"/>
      <c r="H388" s="3788" t="str">
        <f t="shared" si="50"/>
        <v/>
      </c>
      <c r="I388" s="2748" t="str">
        <f t="shared" si="55"/>
        <v/>
      </c>
      <c r="J388" s="3686"/>
      <c r="K388" s="3686"/>
      <c r="L388" s="3601"/>
      <c r="M388" s="3601"/>
      <c r="O388" s="3265">
        <f t="shared" si="51"/>
        <v>0</v>
      </c>
      <c r="P388" s="3265">
        <f t="shared" si="52"/>
        <v>0</v>
      </c>
      <c r="R388" s="3278">
        <f t="shared" si="53"/>
        <v>0</v>
      </c>
      <c r="S388" s="3278">
        <f t="shared" si="54"/>
        <v>0</v>
      </c>
    </row>
    <row r="389" spans="1:21" hidden="1" x14ac:dyDescent="0.2">
      <c r="A389" s="3690">
        <v>50</v>
      </c>
      <c r="B389" s="3702"/>
      <c r="C389" s="3703"/>
      <c r="D389" s="3703"/>
      <c r="E389" s="3704"/>
      <c r="F389" s="3702"/>
      <c r="G389" s="3702"/>
      <c r="H389" s="3788" t="str">
        <f t="shared" si="50"/>
        <v/>
      </c>
      <c r="I389" s="2748" t="str">
        <f t="shared" si="55"/>
        <v/>
      </c>
      <c r="J389" s="3686"/>
      <c r="K389" s="3686"/>
      <c r="L389" s="3601"/>
      <c r="M389" s="3601"/>
      <c r="O389" s="3265">
        <f t="shared" si="51"/>
        <v>0</v>
      </c>
      <c r="P389" s="3265">
        <f t="shared" si="52"/>
        <v>0</v>
      </c>
      <c r="R389" s="3278">
        <f t="shared" si="53"/>
        <v>0</v>
      </c>
      <c r="S389" s="3278">
        <f t="shared" si="54"/>
        <v>0</v>
      </c>
    </row>
    <row r="390" spans="1:21" hidden="1" x14ac:dyDescent="0.2">
      <c r="A390" s="3693">
        <v>51</v>
      </c>
      <c r="B390" s="3702"/>
      <c r="C390" s="3703"/>
      <c r="D390" s="3703"/>
      <c r="E390" s="3704"/>
      <c r="F390" s="3702"/>
      <c r="G390" s="3702"/>
      <c r="H390" s="3788" t="str">
        <f t="shared" si="50"/>
        <v/>
      </c>
      <c r="I390" s="2748" t="str">
        <f t="shared" si="55"/>
        <v/>
      </c>
      <c r="J390" s="3686"/>
      <c r="K390" s="3686"/>
      <c r="L390" s="3601"/>
      <c r="M390" s="3601"/>
      <c r="O390" s="3265">
        <f t="shared" si="51"/>
        <v>0</v>
      </c>
      <c r="P390" s="3265">
        <f t="shared" si="52"/>
        <v>0</v>
      </c>
      <c r="R390" s="3278">
        <f t="shared" si="53"/>
        <v>0</v>
      </c>
      <c r="S390" s="3278">
        <f t="shared" si="54"/>
        <v>0</v>
      </c>
    </row>
    <row r="391" spans="1:21" hidden="1" x14ac:dyDescent="0.2">
      <c r="A391" s="3690">
        <v>52</v>
      </c>
      <c r="B391" s="3702"/>
      <c r="C391" s="3703"/>
      <c r="D391" s="3703"/>
      <c r="E391" s="3704"/>
      <c r="F391" s="3702"/>
      <c r="G391" s="3702"/>
      <c r="H391" s="3788" t="str">
        <f t="shared" si="50"/>
        <v/>
      </c>
      <c r="I391" s="2748" t="str">
        <f t="shared" si="55"/>
        <v/>
      </c>
      <c r="J391" s="3686"/>
      <c r="K391" s="3686"/>
      <c r="L391" s="3601"/>
      <c r="M391" s="3601"/>
      <c r="O391" s="3265">
        <f t="shared" si="51"/>
        <v>0</v>
      </c>
      <c r="P391" s="3265">
        <f t="shared" si="52"/>
        <v>0</v>
      </c>
      <c r="R391" s="3278">
        <f t="shared" si="53"/>
        <v>0</v>
      </c>
      <c r="S391" s="3278">
        <f t="shared" si="54"/>
        <v>0</v>
      </c>
    </row>
    <row r="392" spans="1:21" hidden="1" x14ac:dyDescent="0.2">
      <c r="A392" s="3693">
        <v>53</v>
      </c>
      <c r="B392" s="3702"/>
      <c r="C392" s="3703"/>
      <c r="D392" s="3703"/>
      <c r="E392" s="3704"/>
      <c r="F392" s="3702"/>
      <c r="G392" s="3702"/>
      <c r="H392" s="3788" t="str">
        <f t="shared" si="50"/>
        <v/>
      </c>
      <c r="I392" s="2748" t="str">
        <f t="shared" si="55"/>
        <v/>
      </c>
      <c r="J392" s="3686"/>
      <c r="K392" s="3686"/>
      <c r="L392" s="3601"/>
      <c r="M392" s="3601"/>
      <c r="O392" s="3265">
        <f t="shared" si="51"/>
        <v>0</v>
      </c>
      <c r="P392" s="3265">
        <f t="shared" si="52"/>
        <v>0</v>
      </c>
      <c r="R392" s="3278">
        <f t="shared" si="53"/>
        <v>0</v>
      </c>
      <c r="S392" s="3278">
        <f t="shared" si="54"/>
        <v>0</v>
      </c>
    </row>
    <row r="393" spans="1:21" x14ac:dyDescent="0.2">
      <c r="A393" s="3695"/>
      <c r="B393" s="5395" t="s">
        <v>6940</v>
      </c>
      <c r="C393" s="5397"/>
      <c r="D393" s="5397"/>
      <c r="E393" s="5397"/>
      <c r="F393" s="5397"/>
      <c r="G393" s="5396"/>
      <c r="H393" s="3694">
        <f>SUM(H340:H345)</f>
      </c>
      <c r="I393" s="3601"/>
      <c r="J393" s="3686"/>
      <c r="K393" s="3686"/>
      <c r="L393" s="3601"/>
      <c r="M393" s="3601"/>
      <c r="O393" s="3701"/>
      <c r="P393" s="3701"/>
    </row>
    <row r="394" spans="1:21" ht="13.5" customHeight="1" x14ac:dyDescent="0.2">
      <c r="A394" s="3695"/>
      <c r="B394" s="3686"/>
      <c r="C394" s="3686"/>
      <c r="D394" s="3686"/>
      <c r="E394" s="3686"/>
      <c r="F394" s="3686"/>
      <c r="G394" s="3686"/>
      <c r="H394" s="3601"/>
      <c r="I394" s="3601"/>
      <c r="J394" s="3686"/>
      <c r="K394" s="3686"/>
      <c r="L394" s="3601"/>
      <c r="M394" s="3601"/>
      <c r="O394" s="3701"/>
      <c r="P394" s="3701"/>
    </row>
    <row r="395" spans="1:21" x14ac:dyDescent="0.2">
      <c r="A395" s="3695"/>
      <c r="B395" s="3686"/>
      <c r="C395" s="3315"/>
      <c r="D395" s="3356" t="s">
        <v>4802</v>
      </c>
      <c r="E395" s="3352"/>
      <c r="F395" s="3351" t="str">
        <f>IF(P5=0,"",IF(E395="",re,""))</f>
        <v/>
      </c>
      <c r="G395" s="3686"/>
      <c r="H395" s="3601"/>
      <c r="I395" s="3601"/>
      <c r="J395" s="3686"/>
      <c r="K395" s="3686"/>
      <c r="L395" s="3601"/>
      <c r="M395" s="3601"/>
      <c r="O395" s="3265">
        <f>IF(F395="",0,1)</f>
      </c>
      <c r="P395" s="3701"/>
    </row>
    <row r="396" spans="1:21" ht="8.25" customHeight="1" x14ac:dyDescent="0.2">
      <c r="A396" s="3695"/>
      <c r="B396" s="3686"/>
      <c r="C396" s="3686"/>
      <c r="D396" s="3686"/>
      <c r="E396" s="3686"/>
      <c r="F396" s="3686"/>
      <c r="G396" s="3686"/>
      <c r="H396" s="3601"/>
      <c r="I396" s="3601"/>
      <c r="J396" s="3686"/>
      <c r="K396" s="3686"/>
      <c r="L396" s="3601"/>
      <c r="M396" s="3601"/>
      <c r="O396" s="3701"/>
      <c r="P396" s="3701"/>
    </row>
    <row r="397" spans="1:21" s="3123" customFormat="1" x14ac:dyDescent="0.2">
      <c r="A397" s="3315"/>
      <c r="B397" s="3315" t="s">
        <v>10574</v>
      </c>
      <c r="C397" s="3315"/>
      <c r="D397" s="3357" t="str">
        <f>ver</f>
        <v>TA2_e-CO_2025_Ver 1.1</v>
      </c>
      <c r="E397" s="3686"/>
      <c r="F397" s="3686"/>
      <c r="G397" s="3345"/>
      <c r="H397" s="3315"/>
      <c r="I397" s="3357" t="s">
        <v>10092</v>
      </c>
      <c r="J397" s="3315"/>
      <c r="K397" s="3315"/>
      <c r="M397" s="3601"/>
      <c r="T397" s="3265" t="s">
        <v>10093</v>
      </c>
      <c r="U397" s="3621">
        <f>SUM(F272+H206+G142+I78+G336+H393)</f>
      </c>
    </row>
    <row r="398" spans="1:21" s="3123" customFormat="1" ht="7.5" customHeight="1" x14ac:dyDescent="0.2">
      <c r="A398" s="3315"/>
      <c r="B398" s="3315"/>
      <c r="C398" s="3315"/>
      <c r="D398" s="3315"/>
      <c r="E398" s="3686"/>
      <c r="F398" s="3686"/>
      <c r="G398" s="3315"/>
      <c r="H398" s="3315"/>
      <c r="I398" s="3315"/>
      <c r="J398" s="3315"/>
      <c r="K398" s="3315"/>
      <c r="M398" s="3601"/>
    </row>
    <row r="399" spans="1:21" s="3123" customFormat="1" x14ac:dyDescent="0.2">
      <c r="A399" s="3315"/>
      <c r="B399" s="3233" t="s">
        <v>6290</v>
      </c>
      <c r="C399" s="3358"/>
      <c r="D399" s="3358"/>
      <c r="E399" s="3686"/>
      <c r="F399" s="3686"/>
      <c r="G399" s="3315"/>
      <c r="H399" s="3315"/>
      <c r="I399" s="3315"/>
      <c r="J399" s="3315"/>
      <c r="K399" s="3315"/>
      <c r="M399" s="3601"/>
    </row>
    <row r="400" spans="1:21" ht="15.75" customHeight="1" x14ac:dyDescent="0.2">
      <c r="A400" s="3686"/>
      <c r="B400" s="3686"/>
      <c r="C400" s="3686"/>
      <c r="D400" s="3686"/>
      <c r="E400" s="3686"/>
      <c r="F400" s="3686"/>
      <c r="G400" s="3686"/>
      <c r="H400" s="3601"/>
      <c r="I400" s="3601"/>
      <c r="J400" s="3686"/>
      <c r="K400" s="3686"/>
      <c r="L400" s="3601"/>
      <c r="M400" s="3601"/>
      <c r="O400" s="3701"/>
      <c r="P400" s="1742">
        <f>IF(AND(O5=0,P5=0),0,IF(O5&lt;&gt;0,100,IF(E395="Yes",1,100)))</f>
      </c>
    </row>
    <row r="401" spans="1:16" hidden="1" x14ac:dyDescent="0.2">
      <c r="A401" s="3701"/>
      <c r="B401" s="3701"/>
      <c r="C401" s="3701"/>
      <c r="D401" s="3701"/>
      <c r="E401" s="3701"/>
      <c r="F401" s="3701"/>
      <c r="G401" s="3701"/>
      <c r="H401" s="3701"/>
      <c r="I401" s="3701"/>
      <c r="J401" s="3701"/>
      <c r="K401" s="3701"/>
      <c r="L401" s="3701"/>
      <c r="M401" s="3701"/>
      <c r="N401" s="3701"/>
      <c r="O401" s="3701"/>
      <c r="P401" s="3701"/>
    </row>
    <row r="402" spans="1:16" hidden="1" x14ac:dyDescent="0.2">
      <c r="M402" s="3123"/>
      <c r="O402" s="3701"/>
      <c r="P402" s="3701"/>
    </row>
    <row r="403" spans="1:16" hidden="1" x14ac:dyDescent="0.2">
      <c r="M403" s="3123"/>
      <c r="O403" s="3701"/>
      <c r="P403" s="3701"/>
    </row>
    <row r="404" spans="1:16" hidden="1" x14ac:dyDescent="0.2">
      <c r="M404" s="3123"/>
      <c r="O404" s="3701"/>
      <c r="P404" s="3701"/>
    </row>
    <row r="405" spans="1:16" hidden="1" x14ac:dyDescent="0.2">
      <c r="M405" s="3123"/>
      <c r="O405" s="3701"/>
      <c r="P405" s="3701"/>
    </row>
    <row r="406" spans="1:16" hidden="1" x14ac:dyDescent="0.2">
      <c r="O406" s="3701"/>
      <c r="P406" s="3701"/>
    </row>
    <row r="407" spans="1:16" hidden="1" x14ac:dyDescent="0.2">
      <c r="O407" s="3701"/>
      <c r="P407" s="3701"/>
    </row>
    <row r="408" spans="1:16" hidden="1" x14ac:dyDescent="0.2">
      <c r="O408" s="3701"/>
      <c r="P408" s="3701"/>
    </row>
    <row r="409" spans="1:16" hidden="1" x14ac:dyDescent="0.2">
      <c r="O409" s="3701"/>
      <c r="P409" s="3701"/>
    </row>
  </sheetData>
  <sheetProtection algorithmName="SHA-512" hashValue="UgU+qEggrPq+Boiswfw/IyFJyR/9PUzSGFMLjrWIcn7FhEwL768DzhaCB13i+hDWMVnc2aavpNKCayyh+R7gRw==" saltValue="3H4KB6qJhgB7xaCgXwf5jw==" spinCount="100000" sheet="1" objects="1" scenarios="1"/>
  <mergeCells count="17">
    <mergeCell ref="A1:H1"/>
    <mergeCell ref="B272:E272"/>
    <mergeCell ref="B17:F17"/>
    <mergeCell ref="G17:H17"/>
    <mergeCell ref="B78:H78"/>
    <mergeCell ref="E80:F80"/>
    <mergeCell ref="B142:F142"/>
    <mergeCell ref="B3:I3"/>
    <mergeCell ref="B144:E144"/>
    <mergeCell ref="F144:G144"/>
    <mergeCell ref="B206:G206"/>
    <mergeCell ref="B208:C208"/>
    <mergeCell ref="D208:E208"/>
    <mergeCell ref="E274:F274"/>
    <mergeCell ref="B336:F336"/>
    <mergeCell ref="E338:G338"/>
    <mergeCell ref="B393:G393"/>
  </mergeCells>
  <conditionalFormatting sqref="B146:B205">
    <cfRule type="expression" dxfId="122" priority="5">
      <formula>R146=1</formula>
    </cfRule>
  </conditionalFormatting>
  <conditionalFormatting sqref="B210:B271">
    <cfRule type="expression" dxfId="121" priority="4">
      <formula>R210=1</formula>
    </cfRule>
  </conditionalFormatting>
  <conditionalFormatting sqref="B340:B392">
    <cfRule type="expression" dxfId="120" priority="2">
      <formula>Q340=1</formula>
    </cfRule>
  </conditionalFormatting>
  <conditionalFormatting sqref="C19">
    <cfRule type="expression" dxfId="119" priority="92">
      <formula>$R$19=1</formula>
    </cfRule>
  </conditionalFormatting>
  <conditionalFormatting sqref="C20">
    <cfRule type="expression" dxfId="118" priority="91">
      <formula>$R$20=1</formula>
    </cfRule>
  </conditionalFormatting>
  <conditionalFormatting sqref="C21:C77">
    <cfRule type="expression" dxfId="117" priority="7">
      <formula>R21=1</formula>
    </cfRule>
  </conditionalFormatting>
  <conditionalFormatting sqref="C82:C141">
    <cfRule type="expression" dxfId="116" priority="6">
      <formula>R82=1</formula>
    </cfRule>
  </conditionalFormatting>
  <conditionalFormatting sqref="C276:C335">
    <cfRule type="expression" dxfId="115" priority="3">
      <formula>R276=1</formula>
    </cfRule>
  </conditionalFormatting>
  <conditionalFormatting sqref="G340">
    <cfRule type="expression" dxfId="114" priority="13">
      <formula>$S$340=1</formula>
    </cfRule>
  </conditionalFormatting>
  <conditionalFormatting sqref="G341">
    <cfRule type="expression" dxfId="113" priority="12">
      <formula>$S$341=1</formula>
    </cfRule>
  </conditionalFormatting>
  <conditionalFormatting sqref="G342">
    <cfRule type="expression" dxfId="112" priority="11">
      <formula>$S$342=1</formula>
    </cfRule>
  </conditionalFormatting>
  <conditionalFormatting sqref="G343">
    <cfRule type="expression" dxfId="111" priority="10">
      <formula>$S$343=1</formula>
    </cfRule>
  </conditionalFormatting>
  <conditionalFormatting sqref="G344">
    <cfRule type="expression" dxfId="110" priority="9">
      <formula>$S$344=1</formula>
    </cfRule>
  </conditionalFormatting>
  <conditionalFormatting sqref="G345:G392">
    <cfRule type="expression" dxfId="109" priority="1">
      <formula>$S$345=1</formula>
    </cfRule>
  </conditionalFormatting>
  <dataValidations disablePrompts="1" count="11">
    <dataValidation type="list" showInputMessage="1" showErrorMessage="1" sqref="E395" xr:uid="{00000000-0002-0000-6900-000000000000}">
      <formula1>yn</formula1>
    </dataValidation>
    <dataValidation type="list" allowBlank="1" showInputMessage="1" showErrorMessage="1" sqref="B210:B271 C19:C77 B146:B205 B340:B392 C276:C335 C82:C141" xr:uid="{00000000-0002-0000-6900-000001000000}">
      <formula1>FU</formula1>
    </dataValidation>
    <dataValidation type="textLength" operator="greaterThanOrEqual" allowBlank="1" showInputMessage="1" showErrorMessage="1" errorTitle="Name of payer" error="Insert proper details!" sqref="D19:D77 D82:D141 D276:D335 C210:C271 C146:C205" xr:uid="{00000000-0002-0000-6900-000002000000}">
      <formula1>4</formula1>
    </dataValidation>
    <dataValidation type="textLength" operator="greaterThanOrEqual" allowBlank="1" showInputMessage="1" showErrorMessage="1" errorTitle="TIN" error="Insert correct TIN number" sqref="E19:E77 E82:E141 C340:C392 D210:D271 E276:E335 D146:D205" xr:uid="{00000000-0002-0000-6900-000003000000}">
      <formula1>4</formula1>
    </dataValidation>
    <dataValidation type="textLength" operator="greaterThanOrEqual" allowBlank="1" showInputMessage="1" showErrorMessage="1" errorTitle="Jurisdiction" error="Insert proper jurisdiction!" sqref="F19:F77 F82:F141 D340:D392 E210:E271 F276:F335 E146:E205" xr:uid="{00000000-0002-0000-6900-000004000000}">
      <formula1>3</formula1>
    </dataValidation>
    <dataValidation type="whole" operator="greaterThan" allowBlank="1" showInputMessage="1" showErrorMessage="1" errorTitle="Mismatch Amount" error="Amount should be greater than 0!" sqref="E340:E392 G82:G141 G19:G77 F210:F271 G276:G335 F146:F205" xr:uid="{00000000-0002-0000-6900-000005000000}">
      <formula1>0</formula1>
    </dataValidation>
    <dataValidation type="list" allowBlank="1" showInputMessage="1" showErrorMessage="1" sqref="G147:G205" xr:uid="{00000000-0002-0000-6900-000006000000}">
      <formula1>yn</formula1>
    </dataValidation>
    <dataValidation type="list" allowBlank="1" showInputMessage="1" showErrorMessage="1" sqref="B19:B77" xr:uid="{00000000-0002-0000-6900-000007000000}">
      <formula1>$X$1:$X$3</formula1>
    </dataValidation>
    <dataValidation type="list" allowBlank="1" showInputMessage="1" showErrorMessage="1" sqref="B82:B141" xr:uid="{00000000-0002-0000-6900-000008000000}">
      <formula1>$V$1:$V$7</formula1>
    </dataValidation>
    <dataValidation type="list" allowBlank="1" showInputMessage="1" showErrorMessage="1" sqref="B276:B335" xr:uid="{00000000-0002-0000-6900-000009000000}">
      <formula1>$Z$1:$Z$8</formula1>
    </dataValidation>
    <dataValidation type="list" allowBlank="1" showInputMessage="1" showErrorMessage="1" sqref="H19:H77 G146 F340:G392" xr:uid="{00000000-0002-0000-6900-00000A000000}">
      <formula1>$AB$1:$AB$3</formula1>
    </dataValidation>
  </dataValidations>
  <hyperlinks>
    <hyperlink ref="B399" location="Index!B126" display="B A C K   T O   I N D E X" xr:uid="{00000000-0004-0000-6900-000000000000}"/>
  </hyperlinks>
  <pageMargins left="0.7" right="0.7" top="0.75" bottom="0.75" header="0.3" footer="0.3"/>
  <pageSetup paperSize="9" orientation="portrait" r:id="rId1"/>
  <legacy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17"/>
  <dimension ref="A1:R115"/>
  <sheetViews>
    <sheetView workbookViewId="0"/>
  </sheetViews>
  <sheetFormatPr defaultColWidth="0" defaultRowHeight="12.75" zeroHeight="1" x14ac:dyDescent="0.2"/>
  <cols>
    <col min="1" max="1" width="1" style="3123" customWidth="1"/>
    <col min="2" max="2" width="26.28515625" style="3123" customWidth="1"/>
    <col min="3" max="3" width="20.5703125" style="3123" customWidth="1"/>
    <col min="4" max="4" width="11.5703125" style="3123" customWidth="1"/>
    <col min="5" max="5" width="13" style="3123" customWidth="1"/>
    <col min="6" max="6" width="26.7109375" style="3123" customWidth="1"/>
    <col min="7" max="7" width="0.7109375" style="3123" customWidth="1"/>
    <col min="8" max="8" width="8.7109375" style="3123" hidden="1" customWidth="1"/>
    <col min="9" max="16384" width="9.28515625" style="3123" hidden="1"/>
  </cols>
  <sheetData>
    <row r="1" spans="1:13" ht="13.5" customHeight="1" x14ac:dyDescent="0.2">
      <c r="A1" s="3601"/>
      <c r="B1" s="5407" t="str">
        <f>_ref1</f>
      </c>
      <c r="C1" s="5407"/>
      <c r="D1" s="5407"/>
      <c r="E1" s="5407"/>
      <c r="F1" s="3319" t="str">
        <f>_YA1</f>
      </c>
      <c r="G1" s="3601"/>
      <c r="K1" s="3265" t="s">
        <v>10097</v>
      </c>
      <c r="L1" s="3123" t="str">
        <f>'p2'!G40</f>
      </c>
    </row>
    <row r="2" spans="1:13" x14ac:dyDescent="0.2">
      <c r="A2" s="3601"/>
      <c r="B2" s="3601"/>
      <c r="C2" s="3601"/>
      <c r="D2" s="3601"/>
      <c r="E2" s="3601"/>
      <c r="F2" s="3601"/>
      <c r="G2" s="3601"/>
      <c r="K2" s="3265" t="s">
        <v>10063</v>
      </c>
      <c r="L2" s="3123" t="str">
        <f>'p2'!G36</f>
      </c>
    </row>
    <row r="3" spans="1:13" ht="15" x14ac:dyDescent="0.25">
      <c r="A3" s="3601"/>
      <c r="B3" s="3674" t="s">
        <v>10098</v>
      </c>
      <c r="C3" s="3675"/>
      <c r="D3" s="3675"/>
      <c r="E3" s="3676"/>
      <c r="F3" s="3677"/>
      <c r="G3" s="3601"/>
    </row>
    <row r="4" spans="1:13" ht="15" x14ac:dyDescent="0.25">
      <c r="A4" s="3601"/>
      <c r="B4" s="3678" t="s">
        <v>10099</v>
      </c>
      <c r="C4" s="3679"/>
      <c r="D4" s="3679"/>
      <c r="E4" s="3680"/>
      <c r="F4" s="3681"/>
      <c r="G4" s="3601"/>
      <c r="I4" s="3123" t="s">
        <v>10066</v>
      </c>
      <c r="J4" s="3123" t="s">
        <v>10067</v>
      </c>
    </row>
    <row r="5" spans="1:13" x14ac:dyDescent="0.2">
      <c r="A5" s="3601"/>
      <c r="B5" s="1941"/>
      <c r="C5" s="1941"/>
      <c r="D5" s="3601"/>
      <c r="E5" s="3601"/>
      <c r="F5" s="3601"/>
      <c r="G5" s="3601"/>
      <c r="I5" s="3621">
        <f>SUM(I6:I111)</f>
      </c>
      <c r="J5" s="3621">
        <f>SUM(J6:J109)</f>
      </c>
    </row>
    <row r="6" spans="1:13" x14ac:dyDescent="0.2">
      <c r="A6" s="3601"/>
      <c r="B6" s="3601"/>
      <c r="C6" s="3705" t="s">
        <v>10100</v>
      </c>
      <c r="D6" s="3668"/>
      <c r="E6" s="3706" t="str">
        <f>IF(OR($L$1="n",$L$1=0),"",IF(AND($L$1="y",OR(D6=0,D6="")),re,""))</f>
        <v/>
      </c>
      <c r="F6" s="3601"/>
      <c r="G6" s="3601"/>
      <c r="I6" s="3265">
        <f>IF(E6="",0,1)</f>
      </c>
      <c r="J6" s="3265">
        <f>IF(D6="",0,1)</f>
      </c>
    </row>
    <row r="7" spans="1:13" x14ac:dyDescent="0.2">
      <c r="A7" s="3601"/>
      <c r="B7" s="3601"/>
      <c r="C7" s="3601"/>
      <c r="D7" s="3601"/>
      <c r="E7" s="3601"/>
      <c r="F7" s="3601"/>
      <c r="G7" s="3601"/>
    </row>
    <row r="8" spans="1:13" ht="25.5" x14ac:dyDescent="0.2">
      <c r="A8" s="3601"/>
      <c r="B8" s="3601"/>
      <c r="C8" s="3707" t="s">
        <v>10073</v>
      </c>
      <c r="D8" s="5408" t="s">
        <v>10101</v>
      </c>
      <c r="E8" s="5409"/>
      <c r="F8" s="3601"/>
      <c r="G8" s="3601"/>
      <c r="I8" s="3265"/>
      <c r="J8" s="3265"/>
      <c r="M8" s="3621" t="s">
        <v>10079</v>
      </c>
    </row>
    <row r="9" spans="1:13" s="3278" customFormat="1" x14ac:dyDescent="0.2">
      <c r="A9" s="3708"/>
      <c r="B9" s="3693">
        <v>1</v>
      </c>
      <c r="C9" s="3702"/>
      <c r="D9" s="5406"/>
      <c r="E9" s="5406"/>
      <c r="F9" s="2748" t="str">
        <f>IF($I$6=1,"",IF(AND($D$6&gt;0,B9&lt;=$D$6,J9=0),re,IF(AND($L$2="n",C9&lt;&gt;""),"Check Pg2 Q30!",IF(OR(AND($L$2="y",B9&lt;=$D$6,J9&lt;&gt;2),AND($L$2="n",B9&lt;=$D$6,J9&lt;&gt;1)),"All data!",IF(AND(J9&gt;0,B9&gt;$D$6),"Delete!","")))))</f>
        <v/>
      </c>
      <c r="G9" s="3708"/>
      <c r="I9" s="3265">
        <f t="shared" ref="I9:I40" si="0">IF(F9="",0,1)</f>
      </c>
      <c r="J9" s="3265">
        <f>IF($L$2="y",COUNTA(C9:E9),COUNTA(D9))</f>
      </c>
      <c r="M9" s="3278">
        <f>IF(AND($L$2="n",C9&lt;&gt;""),1,0)</f>
      </c>
    </row>
    <row r="10" spans="1:13" x14ac:dyDescent="0.2">
      <c r="A10" s="3601"/>
      <c r="B10" s="3690">
        <v>2</v>
      </c>
      <c r="C10" s="3702"/>
      <c r="D10" s="5406"/>
      <c r="E10" s="5406"/>
      <c r="F10" s="2748" t="str">
        <f>IF($I$6=1,"",IF(AND($D$6&gt;0,B10&lt;=$D$6,J10=0),re,IF(AND($L$2="n",C10&lt;&gt;""),"Check Pg2 Q30!",IF(OR(AND($L$2="y",B10&lt;=$D$6,J10&lt;&gt;2),AND($L$2="n",B10&lt;=$D$6,J10&lt;&gt;1)),"All data!",IF(AND(J10&gt;0,B10&gt;$D$6),"Delete!","")))))</f>
        <v/>
      </c>
      <c r="G10" s="3601"/>
      <c r="I10" s="3265">
        <f t="shared" si="0"/>
        <v>0</v>
      </c>
      <c r="J10" s="3265">
        <f t="shared" ref="J10:J73" si="1">IF($L$2="y",COUNTA(C10:E10),COUNTA(D10))</f>
      </c>
      <c r="M10" s="3278">
        <f>IF(AND($L$2="n",C10&lt;&gt;""),1,0)</f>
      </c>
    </row>
    <row r="11" spans="1:13" x14ac:dyDescent="0.2">
      <c r="A11" s="3601"/>
      <c r="B11" s="3690">
        <v>3</v>
      </c>
      <c r="C11" s="3702"/>
      <c r="D11" s="5406"/>
      <c r="E11" s="5406"/>
      <c r="F11" s="2748" t="str">
        <f t="shared" ref="F11:F42" si="2">IF($I$6=1,"",IF(AND($D$6&gt;0,B11&lt;=$D$6,J11=0),re,IF(OR(AND($L$2="y",B11&lt;=$D$6,J11&lt;&gt;2),AND($L$2="n",B11&lt;=$D$6,J11&lt;&gt;1)),"All data!",IF(AND($L$2="n",C11&lt;&gt;""),"Check Pg2 Q30!",IF(AND(J11&gt;0,B11&gt;$D$6),"Delete!","")))))</f>
        <v/>
      </c>
      <c r="G11" s="3601"/>
      <c r="I11" s="3265">
        <f t="shared" si="0"/>
        <v>0</v>
      </c>
      <c r="J11" s="3265">
        <f t="shared" si="1"/>
        <v>0</v>
      </c>
      <c r="M11" s="3278">
        <f>IF(AND($L$2="n",C11&lt;&gt;""),1,0)</f>
      </c>
    </row>
    <row r="12" spans="1:13" x14ac:dyDescent="0.2">
      <c r="A12" s="3601"/>
      <c r="B12" s="3690">
        <v>4</v>
      </c>
      <c r="C12" s="3702"/>
      <c r="D12" s="5406"/>
      <c r="E12" s="5406"/>
      <c r="F12" s="2748" t="str">
        <f t="shared" si="2"/>
        <v/>
      </c>
      <c r="G12" s="3601"/>
      <c r="I12" s="3265">
        <f t="shared" si="0"/>
        <v>0</v>
      </c>
      <c r="J12" s="3265">
        <f t="shared" si="1"/>
        <v>0</v>
      </c>
      <c r="M12" s="3278">
        <f t="shared" ref="M12:M75" si="3">IF(AND($L$2="n",C12&lt;&gt;""),1,0)</f>
      </c>
    </row>
    <row r="13" spans="1:13" x14ac:dyDescent="0.2">
      <c r="A13" s="3601"/>
      <c r="B13" s="3690">
        <v>5</v>
      </c>
      <c r="C13" s="3702"/>
      <c r="D13" s="5406"/>
      <c r="E13" s="5406"/>
      <c r="F13" s="2748" t="str">
        <f t="shared" si="2"/>
        <v/>
      </c>
      <c r="G13" s="3601"/>
      <c r="I13" s="3265">
        <f t="shared" si="0"/>
        <v>0</v>
      </c>
      <c r="J13" s="3265">
        <f t="shared" si="1"/>
        <v>0</v>
      </c>
      <c r="M13" s="3278">
        <f t="shared" si="3"/>
        <v>0</v>
      </c>
    </row>
    <row r="14" spans="1:13" x14ac:dyDescent="0.2">
      <c r="A14" s="3601"/>
      <c r="B14" s="3693">
        <v>6</v>
      </c>
      <c r="C14" s="3702"/>
      <c r="D14" s="5406"/>
      <c r="E14" s="5406"/>
      <c r="F14" s="2748" t="str">
        <f t="shared" si="2"/>
        <v/>
      </c>
      <c r="G14" s="3601"/>
      <c r="I14" s="3265">
        <f t="shared" si="0"/>
        <v>0</v>
      </c>
      <c r="J14" s="3265">
        <f t="shared" si="1"/>
        <v>0</v>
      </c>
      <c r="M14" s="3278">
        <f t="shared" si="3"/>
        <v>0</v>
      </c>
    </row>
    <row r="15" spans="1:13" x14ac:dyDescent="0.2">
      <c r="A15" s="3601"/>
      <c r="B15" s="3690">
        <v>7</v>
      </c>
      <c r="C15" s="3702"/>
      <c r="D15" s="5406"/>
      <c r="E15" s="5406"/>
      <c r="F15" s="2748" t="str">
        <f t="shared" si="2"/>
        <v/>
      </c>
      <c r="G15" s="3601"/>
      <c r="I15" s="3265">
        <f t="shared" si="0"/>
        <v>0</v>
      </c>
      <c r="J15" s="3265">
        <f t="shared" si="1"/>
        <v>0</v>
      </c>
      <c r="M15" s="3278">
        <f t="shared" si="3"/>
        <v>0</v>
      </c>
    </row>
    <row r="16" spans="1:13" x14ac:dyDescent="0.2">
      <c r="A16" s="3601"/>
      <c r="B16" s="3690">
        <v>8</v>
      </c>
      <c r="C16" s="3702"/>
      <c r="D16" s="5406"/>
      <c r="E16" s="5406"/>
      <c r="F16" s="2748" t="str">
        <f t="shared" si="2"/>
        <v/>
      </c>
      <c r="G16" s="3601"/>
      <c r="I16" s="3265">
        <f t="shared" si="0"/>
        <v>0</v>
      </c>
      <c r="J16" s="3265">
        <f t="shared" si="1"/>
        <v>0</v>
      </c>
      <c r="M16" s="3278">
        <f t="shared" si="3"/>
        <v>0</v>
      </c>
    </row>
    <row r="17" spans="1:13" x14ac:dyDescent="0.2">
      <c r="A17" s="3601"/>
      <c r="B17" s="3690">
        <v>9</v>
      </c>
      <c r="C17" s="3702"/>
      <c r="D17" s="5406"/>
      <c r="E17" s="5406"/>
      <c r="F17" s="2748" t="str">
        <f t="shared" si="2"/>
        <v/>
      </c>
      <c r="G17" s="3601"/>
      <c r="I17" s="3265">
        <f t="shared" si="0"/>
        <v>0</v>
      </c>
      <c r="J17" s="3265">
        <f t="shared" si="1"/>
        <v>0</v>
      </c>
      <c r="M17" s="3278">
        <f t="shared" si="3"/>
        <v>0</v>
      </c>
    </row>
    <row r="18" spans="1:13" x14ac:dyDescent="0.2">
      <c r="A18" s="3601"/>
      <c r="B18" s="3690">
        <v>10</v>
      </c>
      <c r="C18" s="3702"/>
      <c r="D18" s="5406"/>
      <c r="E18" s="5406"/>
      <c r="F18" s="2748" t="str">
        <f t="shared" si="2"/>
        <v/>
      </c>
      <c r="G18" s="3601"/>
      <c r="I18" s="3265">
        <f t="shared" si="0"/>
        <v>0</v>
      </c>
      <c r="J18" s="3265">
        <f t="shared" si="1"/>
        <v>0</v>
      </c>
      <c r="M18" s="3278">
        <f t="shared" si="3"/>
        <v>0</v>
      </c>
    </row>
    <row r="19" spans="1:13" x14ac:dyDescent="0.2">
      <c r="A19" s="3601"/>
      <c r="B19" s="3693">
        <v>11</v>
      </c>
      <c r="C19" s="3702"/>
      <c r="D19" s="5406"/>
      <c r="E19" s="5406"/>
      <c r="F19" s="2748" t="str">
        <f t="shared" si="2"/>
        <v/>
      </c>
      <c r="G19" s="3601"/>
      <c r="I19" s="3265">
        <f t="shared" si="0"/>
        <v>0</v>
      </c>
      <c r="J19" s="3265">
        <f t="shared" si="1"/>
        <v>0</v>
      </c>
      <c r="M19" s="3278">
        <f t="shared" si="3"/>
        <v>0</v>
      </c>
    </row>
    <row r="20" spans="1:13" x14ac:dyDescent="0.2">
      <c r="A20" s="3601"/>
      <c r="B20" s="3690">
        <v>12</v>
      </c>
      <c r="C20" s="3702"/>
      <c r="D20" s="5406"/>
      <c r="E20" s="5406"/>
      <c r="F20" s="2748" t="str">
        <f t="shared" si="2"/>
        <v/>
      </c>
      <c r="G20" s="3601"/>
      <c r="I20" s="3265">
        <f t="shared" si="0"/>
        <v>0</v>
      </c>
      <c r="J20" s="3265">
        <f t="shared" si="1"/>
        <v>0</v>
      </c>
      <c r="M20" s="3278">
        <f t="shared" si="3"/>
        <v>0</v>
      </c>
    </row>
    <row r="21" spans="1:13" x14ac:dyDescent="0.2">
      <c r="A21" s="3601"/>
      <c r="B21" s="3690">
        <v>13</v>
      </c>
      <c r="C21" s="3702"/>
      <c r="D21" s="5406"/>
      <c r="E21" s="5406"/>
      <c r="F21" s="2748" t="str">
        <f t="shared" si="2"/>
        <v/>
      </c>
      <c r="G21" s="3601"/>
      <c r="I21" s="3265">
        <f t="shared" si="0"/>
        <v>0</v>
      </c>
      <c r="J21" s="3265">
        <f t="shared" si="1"/>
        <v>0</v>
      </c>
      <c r="M21" s="3278">
        <f t="shared" si="3"/>
        <v>0</v>
      </c>
    </row>
    <row r="22" spans="1:13" x14ac:dyDescent="0.2">
      <c r="A22" s="3601"/>
      <c r="B22" s="3690">
        <v>14</v>
      </c>
      <c r="C22" s="3702"/>
      <c r="D22" s="5406"/>
      <c r="E22" s="5406"/>
      <c r="F22" s="2748" t="str">
        <f t="shared" si="2"/>
        <v/>
      </c>
      <c r="G22" s="3601"/>
      <c r="I22" s="3265">
        <f t="shared" si="0"/>
        <v>0</v>
      </c>
      <c r="J22" s="3265">
        <f t="shared" si="1"/>
        <v>0</v>
      </c>
      <c r="M22" s="3278">
        <f t="shared" si="3"/>
        <v>0</v>
      </c>
    </row>
    <row r="23" spans="1:13" x14ac:dyDescent="0.2">
      <c r="A23" s="3601"/>
      <c r="B23" s="3690">
        <v>15</v>
      </c>
      <c r="C23" s="3702"/>
      <c r="D23" s="5406"/>
      <c r="E23" s="5406"/>
      <c r="F23" s="2748" t="str">
        <f t="shared" si="2"/>
        <v/>
      </c>
      <c r="G23" s="3601"/>
      <c r="I23" s="3265">
        <f t="shared" si="0"/>
        <v>0</v>
      </c>
      <c r="J23" s="3265">
        <f t="shared" si="1"/>
        <v>0</v>
      </c>
      <c r="M23" s="3278">
        <f t="shared" si="3"/>
        <v>0</v>
      </c>
    </row>
    <row r="24" spans="1:13" x14ac:dyDescent="0.2">
      <c r="A24" s="3601"/>
      <c r="B24" s="3693">
        <v>16</v>
      </c>
      <c r="C24" s="3710"/>
      <c r="D24" s="5406"/>
      <c r="E24" s="5406"/>
      <c r="F24" s="2748" t="str">
        <f t="shared" si="2"/>
        <v/>
      </c>
      <c r="G24" s="3601"/>
      <c r="I24" s="3265">
        <f t="shared" si="0"/>
        <v>0</v>
      </c>
      <c r="J24" s="3265">
        <f t="shared" si="1"/>
        <v>0</v>
      </c>
      <c r="M24" s="3278">
        <f t="shared" si="3"/>
        <v>0</v>
      </c>
    </row>
    <row r="25" spans="1:13" x14ac:dyDescent="0.2">
      <c r="A25" s="3601"/>
      <c r="B25" s="3690">
        <v>17</v>
      </c>
      <c r="C25" s="3710"/>
      <c r="D25" s="5406"/>
      <c r="E25" s="5406"/>
      <c r="F25" s="2748" t="str">
        <f t="shared" si="2"/>
        <v/>
      </c>
      <c r="G25" s="3601"/>
      <c r="I25" s="3265">
        <f t="shared" si="0"/>
        <v>0</v>
      </c>
      <c r="J25" s="3265">
        <f t="shared" si="1"/>
        <v>0</v>
      </c>
      <c r="M25" s="3278">
        <f t="shared" si="3"/>
        <v>0</v>
      </c>
    </row>
    <row r="26" spans="1:13" x14ac:dyDescent="0.2">
      <c r="A26" s="3601"/>
      <c r="B26" s="3690">
        <v>18</v>
      </c>
      <c r="C26" s="3710"/>
      <c r="D26" s="5406"/>
      <c r="E26" s="5406"/>
      <c r="F26" s="2748" t="str">
        <f t="shared" si="2"/>
        <v/>
      </c>
      <c r="G26" s="3601"/>
      <c r="I26" s="3265">
        <f t="shared" si="0"/>
        <v>0</v>
      </c>
      <c r="J26" s="3265">
        <f t="shared" si="1"/>
        <v>0</v>
      </c>
      <c r="M26" s="3278">
        <f t="shared" si="3"/>
        <v>0</v>
      </c>
    </row>
    <row r="27" spans="1:13" x14ac:dyDescent="0.2">
      <c r="A27" s="3601"/>
      <c r="B27" s="3690">
        <v>19</v>
      </c>
      <c r="C27" s="3710"/>
      <c r="D27" s="5406"/>
      <c r="E27" s="5406"/>
      <c r="F27" s="2748" t="str">
        <f t="shared" si="2"/>
        <v/>
      </c>
      <c r="G27" s="3601"/>
      <c r="I27" s="3265">
        <f t="shared" si="0"/>
        <v>0</v>
      </c>
      <c r="J27" s="3265">
        <f t="shared" si="1"/>
        <v>0</v>
      </c>
      <c r="M27" s="3278">
        <f t="shared" si="3"/>
        <v>0</v>
      </c>
    </row>
    <row r="28" spans="1:13" x14ac:dyDescent="0.2">
      <c r="A28" s="3601"/>
      <c r="B28" s="3690">
        <v>20</v>
      </c>
      <c r="C28" s="3710"/>
      <c r="D28" s="5406"/>
      <c r="E28" s="5406"/>
      <c r="F28" s="2748" t="str">
        <f t="shared" si="2"/>
        <v/>
      </c>
      <c r="G28" s="3601"/>
      <c r="I28" s="3265">
        <f t="shared" si="0"/>
        <v>0</v>
      </c>
      <c r="J28" s="3265">
        <f t="shared" si="1"/>
        <v>0</v>
      </c>
      <c r="M28" s="3278">
        <f t="shared" si="3"/>
        <v>0</v>
      </c>
    </row>
    <row r="29" spans="1:13" hidden="1" x14ac:dyDescent="0.2">
      <c r="A29" s="3601"/>
      <c r="B29" s="3705">
        <v>21</v>
      </c>
      <c r="C29" s="3709"/>
      <c r="D29" s="5405"/>
      <c r="E29" s="5405"/>
      <c r="F29" s="2748" t="str">
        <f t="shared" si="2"/>
        <v/>
      </c>
      <c r="G29" s="3601"/>
      <c r="I29" s="3265">
        <f t="shared" si="0"/>
        <v>0</v>
      </c>
      <c r="J29" s="3265">
        <f t="shared" si="1"/>
        <v>0</v>
      </c>
      <c r="M29" s="3278">
        <f t="shared" si="3"/>
        <v>0</v>
      </c>
    </row>
    <row r="30" spans="1:13" hidden="1" x14ac:dyDescent="0.2">
      <c r="A30" s="3601"/>
      <c r="B30" s="3705">
        <v>22</v>
      </c>
      <c r="C30" s="3709"/>
      <c r="D30" s="5405"/>
      <c r="E30" s="5405"/>
      <c r="F30" s="2748" t="str">
        <f t="shared" si="2"/>
        <v/>
      </c>
      <c r="G30" s="3601"/>
      <c r="I30" s="3265">
        <f t="shared" si="0"/>
        <v>0</v>
      </c>
      <c r="J30" s="3265">
        <f t="shared" si="1"/>
        <v>0</v>
      </c>
      <c r="M30" s="3278">
        <f t="shared" si="3"/>
        <v>0</v>
      </c>
    </row>
    <row r="31" spans="1:13" hidden="1" x14ac:dyDescent="0.2">
      <c r="A31" s="3601"/>
      <c r="B31" s="3601">
        <v>23</v>
      </c>
      <c r="C31" s="3709"/>
      <c r="D31" s="5405"/>
      <c r="E31" s="5405"/>
      <c r="F31" s="2748" t="str">
        <f t="shared" si="2"/>
        <v/>
      </c>
      <c r="G31" s="3601"/>
      <c r="I31" s="3265">
        <f t="shared" si="0"/>
        <v>0</v>
      </c>
      <c r="J31" s="3265">
        <f t="shared" si="1"/>
        <v>0</v>
      </c>
      <c r="M31" s="3278">
        <f t="shared" si="3"/>
        <v>0</v>
      </c>
    </row>
    <row r="32" spans="1:13" hidden="1" x14ac:dyDescent="0.2">
      <c r="A32" s="3601"/>
      <c r="B32" s="3601">
        <v>24</v>
      </c>
      <c r="C32" s="3709"/>
      <c r="D32" s="5405"/>
      <c r="E32" s="5405"/>
      <c r="F32" s="2748" t="str">
        <f t="shared" si="2"/>
        <v/>
      </c>
      <c r="G32" s="3601"/>
      <c r="I32" s="3265">
        <f t="shared" si="0"/>
        <v>0</v>
      </c>
      <c r="J32" s="3265">
        <f t="shared" si="1"/>
        <v>0</v>
      </c>
      <c r="M32" s="3278">
        <f t="shared" si="3"/>
        <v>0</v>
      </c>
    </row>
    <row r="33" spans="1:13" hidden="1" x14ac:dyDescent="0.2">
      <c r="A33" s="3601"/>
      <c r="B33" s="3601">
        <v>25</v>
      </c>
      <c r="C33" s="3709"/>
      <c r="D33" s="5405"/>
      <c r="E33" s="5405"/>
      <c r="F33" s="2748" t="str">
        <f t="shared" si="2"/>
        <v/>
      </c>
      <c r="G33" s="3601"/>
      <c r="I33" s="3265">
        <f t="shared" si="0"/>
        <v>0</v>
      </c>
      <c r="J33" s="3265">
        <f t="shared" si="1"/>
        <v>0</v>
      </c>
      <c r="M33" s="3278">
        <f t="shared" si="3"/>
        <v>0</v>
      </c>
    </row>
    <row r="34" spans="1:13" hidden="1" x14ac:dyDescent="0.2">
      <c r="A34" s="3601"/>
      <c r="B34" s="3601">
        <v>26</v>
      </c>
      <c r="C34" s="3709"/>
      <c r="D34" s="5405"/>
      <c r="E34" s="5405"/>
      <c r="F34" s="2748" t="str">
        <f t="shared" si="2"/>
        <v/>
      </c>
      <c r="G34" s="3601"/>
      <c r="I34" s="3265">
        <f t="shared" si="0"/>
        <v>0</v>
      </c>
      <c r="J34" s="3265">
        <f t="shared" si="1"/>
        <v>0</v>
      </c>
      <c r="M34" s="3278">
        <f t="shared" si="3"/>
        <v>0</v>
      </c>
    </row>
    <row r="35" spans="1:13" hidden="1" x14ac:dyDescent="0.2">
      <c r="A35" s="3601"/>
      <c r="B35" s="3705">
        <v>27</v>
      </c>
      <c r="C35" s="3709"/>
      <c r="D35" s="5405"/>
      <c r="E35" s="5405"/>
      <c r="F35" s="2748" t="str">
        <f t="shared" si="2"/>
        <v/>
      </c>
      <c r="G35" s="3601"/>
      <c r="I35" s="3265">
        <f t="shared" si="0"/>
        <v>0</v>
      </c>
      <c r="J35" s="3265">
        <f t="shared" si="1"/>
        <v>0</v>
      </c>
      <c r="M35" s="3278">
        <f t="shared" si="3"/>
        <v>0</v>
      </c>
    </row>
    <row r="36" spans="1:13" hidden="1" x14ac:dyDescent="0.2">
      <c r="A36" s="3601"/>
      <c r="B36" s="3601">
        <v>28</v>
      </c>
      <c r="C36" s="3709"/>
      <c r="D36" s="5405"/>
      <c r="E36" s="5405"/>
      <c r="F36" s="2748" t="str">
        <f t="shared" si="2"/>
        <v/>
      </c>
      <c r="G36" s="3601"/>
      <c r="I36" s="3265">
        <f t="shared" si="0"/>
        <v>0</v>
      </c>
      <c r="J36" s="3265">
        <f t="shared" si="1"/>
        <v>0</v>
      </c>
      <c r="M36" s="3278">
        <f t="shared" si="3"/>
        <v>0</v>
      </c>
    </row>
    <row r="37" spans="1:13" hidden="1" x14ac:dyDescent="0.2">
      <c r="A37" s="3601"/>
      <c r="B37" s="3601">
        <v>29</v>
      </c>
      <c r="C37" s="3709"/>
      <c r="D37" s="5405"/>
      <c r="E37" s="5405"/>
      <c r="F37" s="2748" t="str">
        <f t="shared" si="2"/>
        <v/>
      </c>
      <c r="G37" s="3601"/>
      <c r="I37" s="3265">
        <f t="shared" si="0"/>
        <v>0</v>
      </c>
      <c r="J37" s="3265">
        <f t="shared" si="1"/>
        <v>0</v>
      </c>
      <c r="M37" s="3278">
        <f t="shared" si="3"/>
        <v>0</v>
      </c>
    </row>
    <row r="38" spans="1:13" hidden="1" x14ac:dyDescent="0.2">
      <c r="A38" s="3601"/>
      <c r="B38" s="3601">
        <v>30</v>
      </c>
      <c r="C38" s="3709"/>
      <c r="D38" s="5405"/>
      <c r="E38" s="5405"/>
      <c r="F38" s="2748" t="str">
        <f t="shared" si="2"/>
        <v/>
      </c>
      <c r="G38" s="3601"/>
      <c r="I38" s="3265">
        <f t="shared" si="0"/>
        <v>0</v>
      </c>
      <c r="J38" s="3265">
        <f t="shared" si="1"/>
        <v>0</v>
      </c>
      <c r="M38" s="3278">
        <f t="shared" si="3"/>
        <v>0</v>
      </c>
    </row>
    <row r="39" spans="1:13" hidden="1" x14ac:dyDescent="0.2">
      <c r="A39" s="3601"/>
      <c r="B39" s="3601">
        <v>31</v>
      </c>
      <c r="C39" s="3709"/>
      <c r="D39" s="5405"/>
      <c r="E39" s="5405"/>
      <c r="F39" s="2748" t="str">
        <f t="shared" si="2"/>
        <v/>
      </c>
      <c r="G39" s="3601"/>
      <c r="I39" s="3265">
        <f t="shared" si="0"/>
        <v>0</v>
      </c>
      <c r="J39" s="3265">
        <f t="shared" si="1"/>
        <v>0</v>
      </c>
      <c r="M39" s="3278">
        <f t="shared" si="3"/>
        <v>0</v>
      </c>
    </row>
    <row r="40" spans="1:13" hidden="1" x14ac:dyDescent="0.2">
      <c r="A40" s="3601"/>
      <c r="B40" s="3705">
        <v>32</v>
      </c>
      <c r="C40" s="3709"/>
      <c r="D40" s="5405"/>
      <c r="E40" s="5405"/>
      <c r="F40" s="2748" t="str">
        <f t="shared" si="2"/>
        <v/>
      </c>
      <c r="G40" s="3601"/>
      <c r="I40" s="3265">
        <f t="shared" si="0"/>
        <v>0</v>
      </c>
      <c r="J40" s="3265">
        <f t="shared" si="1"/>
        <v>0</v>
      </c>
      <c r="M40" s="3278">
        <f t="shared" si="3"/>
        <v>0</v>
      </c>
    </row>
    <row r="41" spans="1:13" hidden="1" x14ac:dyDescent="0.2">
      <c r="A41" s="3601"/>
      <c r="B41" s="3601">
        <v>33</v>
      </c>
      <c r="C41" s="3709"/>
      <c r="D41" s="5405"/>
      <c r="E41" s="5405"/>
      <c r="F41" s="2748" t="str">
        <f t="shared" si="2"/>
        <v/>
      </c>
      <c r="G41" s="3601"/>
      <c r="I41" s="3265">
        <f t="shared" ref="I41:I72" si="4">IF(F41="",0,1)</f>
      </c>
      <c r="J41" s="3265">
        <f t="shared" si="1"/>
        <v>0</v>
      </c>
      <c r="M41" s="3278">
        <f t="shared" si="3"/>
        <v>0</v>
      </c>
    </row>
    <row r="42" spans="1:13" hidden="1" x14ac:dyDescent="0.2">
      <c r="A42" s="3601"/>
      <c r="B42" s="3601">
        <v>34</v>
      </c>
      <c r="C42" s="3709"/>
      <c r="D42" s="5405"/>
      <c r="E42" s="5405"/>
      <c r="F42" s="2748" t="str">
        <f t="shared" si="2"/>
        <v/>
      </c>
      <c r="G42" s="3601"/>
      <c r="I42" s="3265">
        <f t="shared" si="4"/>
        <v>0</v>
      </c>
      <c r="J42" s="3265">
        <f t="shared" si="1"/>
        <v>0</v>
      </c>
      <c r="M42" s="3278">
        <f t="shared" si="3"/>
        <v>0</v>
      </c>
    </row>
    <row r="43" spans="1:13" hidden="1" x14ac:dyDescent="0.2">
      <c r="A43" s="3601"/>
      <c r="B43" s="3601">
        <v>35</v>
      </c>
      <c r="C43" s="3709"/>
      <c r="D43" s="5405"/>
      <c r="E43" s="5405"/>
      <c r="F43" s="2748" t="str">
        <f t="shared" ref="F43:F74" si="5">IF($I$6=1,"",IF(AND($D$6&gt;0,B43&lt;=$D$6,J43=0),re,IF(OR(AND($L$2="y",B43&lt;=$D$6,J43&lt;&gt;2),AND($L$2="n",B43&lt;=$D$6,J43&lt;&gt;1)),"All data!",IF(AND($L$2="n",C43&lt;&gt;""),"Check Pg2 Q30!",IF(AND(J43&gt;0,B43&gt;$D$6),"Delete!","")))))</f>
        <v/>
      </c>
      <c r="G43" s="3601"/>
      <c r="I43" s="3265">
        <f t="shared" si="4"/>
        <v>0</v>
      </c>
      <c r="J43" s="3265">
        <f t="shared" si="1"/>
        <v>0</v>
      </c>
      <c r="M43" s="3278">
        <f t="shared" si="3"/>
        <v>0</v>
      </c>
    </row>
    <row r="44" spans="1:13" hidden="1" x14ac:dyDescent="0.2">
      <c r="A44" s="3601"/>
      <c r="B44" s="3601">
        <v>36</v>
      </c>
      <c r="C44" s="3709"/>
      <c r="D44" s="5405"/>
      <c r="E44" s="5405"/>
      <c r="F44" s="2748" t="str">
        <f t="shared" si="5"/>
        <v/>
      </c>
      <c r="G44" s="3601"/>
      <c r="I44" s="3265">
        <f t="shared" si="4"/>
        <v>0</v>
      </c>
      <c r="J44" s="3265">
        <f t="shared" si="1"/>
        <v>0</v>
      </c>
      <c r="M44" s="3278">
        <f t="shared" si="3"/>
        <v>0</v>
      </c>
    </row>
    <row r="45" spans="1:13" hidden="1" x14ac:dyDescent="0.2">
      <c r="A45" s="3601"/>
      <c r="B45" s="3705">
        <v>37</v>
      </c>
      <c r="C45" s="3709"/>
      <c r="D45" s="5405"/>
      <c r="E45" s="5405"/>
      <c r="F45" s="2748" t="str">
        <f t="shared" si="5"/>
        <v/>
      </c>
      <c r="G45" s="3601"/>
      <c r="I45" s="3265">
        <f t="shared" si="4"/>
        <v>0</v>
      </c>
      <c r="J45" s="3265">
        <f t="shared" si="1"/>
        <v>0</v>
      </c>
      <c r="M45" s="3278">
        <f t="shared" si="3"/>
        <v>0</v>
      </c>
    </row>
    <row r="46" spans="1:13" hidden="1" x14ac:dyDescent="0.2">
      <c r="A46" s="3601"/>
      <c r="B46" s="3601">
        <v>38</v>
      </c>
      <c r="C46" s="3709"/>
      <c r="D46" s="5405"/>
      <c r="E46" s="5405"/>
      <c r="F46" s="2748" t="str">
        <f t="shared" si="5"/>
        <v/>
      </c>
      <c r="G46" s="3601"/>
      <c r="I46" s="3265">
        <f t="shared" si="4"/>
        <v>0</v>
      </c>
      <c r="J46" s="3265">
        <f t="shared" si="1"/>
        <v>0</v>
      </c>
      <c r="M46" s="3278">
        <f t="shared" si="3"/>
        <v>0</v>
      </c>
    </row>
    <row r="47" spans="1:13" hidden="1" x14ac:dyDescent="0.2">
      <c r="A47" s="3601"/>
      <c r="B47" s="3601">
        <v>39</v>
      </c>
      <c r="C47" s="3709"/>
      <c r="D47" s="5405"/>
      <c r="E47" s="5405"/>
      <c r="F47" s="2748" t="str">
        <f t="shared" si="5"/>
        <v/>
      </c>
      <c r="G47" s="3601"/>
      <c r="I47" s="3265">
        <f t="shared" si="4"/>
        <v>0</v>
      </c>
      <c r="J47" s="3265">
        <f t="shared" si="1"/>
        <v>0</v>
      </c>
      <c r="M47" s="3278">
        <f t="shared" si="3"/>
        <v>0</v>
      </c>
    </row>
    <row r="48" spans="1:13" hidden="1" x14ac:dyDescent="0.2">
      <c r="A48" s="3601"/>
      <c r="B48" s="3601">
        <v>40</v>
      </c>
      <c r="C48" s="3709"/>
      <c r="D48" s="5405"/>
      <c r="E48" s="5405"/>
      <c r="F48" s="2748" t="str">
        <f t="shared" si="5"/>
        <v/>
      </c>
      <c r="G48" s="3601"/>
      <c r="I48" s="3265">
        <f t="shared" si="4"/>
        <v>0</v>
      </c>
      <c r="J48" s="3265">
        <f t="shared" si="1"/>
        <v>0</v>
      </c>
      <c r="M48" s="3278">
        <f t="shared" si="3"/>
        <v>0</v>
      </c>
    </row>
    <row r="49" spans="1:13" hidden="1" x14ac:dyDescent="0.2">
      <c r="A49" s="3601"/>
      <c r="B49" s="3601">
        <v>41</v>
      </c>
      <c r="C49" s="3709"/>
      <c r="D49" s="5405"/>
      <c r="E49" s="5405"/>
      <c r="F49" s="2748" t="str">
        <f t="shared" si="5"/>
        <v/>
      </c>
      <c r="G49" s="3601"/>
      <c r="I49" s="3265">
        <f t="shared" si="4"/>
        <v>0</v>
      </c>
      <c r="J49" s="3265">
        <f t="shared" si="1"/>
        <v>0</v>
      </c>
      <c r="M49" s="3278">
        <f t="shared" si="3"/>
        <v>0</v>
      </c>
    </row>
    <row r="50" spans="1:13" hidden="1" x14ac:dyDescent="0.2">
      <c r="A50" s="3601"/>
      <c r="B50" s="3705">
        <v>42</v>
      </c>
      <c r="C50" s="3709"/>
      <c r="D50" s="5405"/>
      <c r="E50" s="5405"/>
      <c r="F50" s="2748" t="str">
        <f t="shared" si="5"/>
        <v/>
      </c>
      <c r="G50" s="3601"/>
      <c r="I50" s="3265">
        <f t="shared" si="4"/>
        <v>0</v>
      </c>
      <c r="J50" s="3265">
        <f t="shared" si="1"/>
        <v>0</v>
      </c>
      <c r="M50" s="3278">
        <f t="shared" si="3"/>
        <v>0</v>
      </c>
    </row>
    <row r="51" spans="1:13" hidden="1" x14ac:dyDescent="0.2">
      <c r="A51" s="3601"/>
      <c r="B51" s="3705">
        <v>43</v>
      </c>
      <c r="C51" s="3709"/>
      <c r="D51" s="5405"/>
      <c r="E51" s="5405"/>
      <c r="F51" s="2748" t="str">
        <f t="shared" si="5"/>
        <v/>
      </c>
      <c r="G51" s="3601"/>
      <c r="I51" s="3265">
        <f t="shared" si="4"/>
        <v>0</v>
      </c>
      <c r="J51" s="3265">
        <f t="shared" si="1"/>
        <v>0</v>
      </c>
      <c r="M51" s="3278">
        <f t="shared" si="3"/>
        <v>0</v>
      </c>
    </row>
    <row r="52" spans="1:13" hidden="1" x14ac:dyDescent="0.2">
      <c r="A52" s="3601"/>
      <c r="B52" s="3601">
        <v>44</v>
      </c>
      <c r="C52" s="3709"/>
      <c r="D52" s="5405"/>
      <c r="E52" s="5405"/>
      <c r="F52" s="2748" t="str">
        <f t="shared" si="5"/>
        <v/>
      </c>
      <c r="G52" s="3601"/>
      <c r="I52" s="3265">
        <f t="shared" si="4"/>
        <v>0</v>
      </c>
      <c r="J52" s="3265">
        <f t="shared" si="1"/>
        <v>0</v>
      </c>
      <c r="M52" s="3278">
        <f t="shared" si="3"/>
        <v>0</v>
      </c>
    </row>
    <row r="53" spans="1:13" hidden="1" x14ac:dyDescent="0.2">
      <c r="A53" s="3601"/>
      <c r="B53" s="3601">
        <v>45</v>
      </c>
      <c r="C53" s="3709"/>
      <c r="D53" s="5405"/>
      <c r="E53" s="5405"/>
      <c r="F53" s="2748" t="str">
        <f t="shared" si="5"/>
        <v/>
      </c>
      <c r="G53" s="3601"/>
      <c r="I53" s="3265">
        <f t="shared" si="4"/>
        <v>0</v>
      </c>
      <c r="J53" s="3265">
        <f t="shared" si="1"/>
        <v>0</v>
      </c>
      <c r="M53" s="3278">
        <f t="shared" si="3"/>
        <v>0</v>
      </c>
    </row>
    <row r="54" spans="1:13" hidden="1" x14ac:dyDescent="0.2">
      <c r="A54" s="3601"/>
      <c r="B54" s="3601">
        <v>46</v>
      </c>
      <c r="C54" s="3709"/>
      <c r="D54" s="5405"/>
      <c r="E54" s="5405"/>
      <c r="F54" s="2748" t="str">
        <f t="shared" si="5"/>
        <v/>
      </c>
      <c r="G54" s="3601"/>
      <c r="I54" s="3265">
        <f t="shared" si="4"/>
        <v>0</v>
      </c>
      <c r="J54" s="3265">
        <f t="shared" si="1"/>
        <v>0</v>
      </c>
      <c r="M54" s="3278">
        <f t="shared" si="3"/>
        <v>0</v>
      </c>
    </row>
    <row r="55" spans="1:13" hidden="1" x14ac:dyDescent="0.2">
      <c r="A55" s="3601"/>
      <c r="B55" s="3601">
        <v>47</v>
      </c>
      <c r="C55" s="3709"/>
      <c r="D55" s="5405"/>
      <c r="E55" s="5405"/>
      <c r="F55" s="2748" t="str">
        <f t="shared" si="5"/>
        <v/>
      </c>
      <c r="G55" s="3601"/>
      <c r="I55" s="3265">
        <f t="shared" si="4"/>
        <v>0</v>
      </c>
      <c r="J55" s="3265">
        <f t="shared" si="1"/>
        <v>0</v>
      </c>
      <c r="M55" s="3278">
        <f t="shared" si="3"/>
        <v>0</v>
      </c>
    </row>
    <row r="56" spans="1:13" hidden="1" x14ac:dyDescent="0.2">
      <c r="A56" s="3601"/>
      <c r="B56" s="3705">
        <v>48</v>
      </c>
      <c r="C56" s="3709"/>
      <c r="D56" s="5405"/>
      <c r="E56" s="5405"/>
      <c r="F56" s="2748" t="str">
        <f t="shared" si="5"/>
        <v/>
      </c>
      <c r="G56" s="3601"/>
      <c r="I56" s="3265">
        <f t="shared" si="4"/>
        <v>0</v>
      </c>
      <c r="J56" s="3265">
        <f t="shared" si="1"/>
        <v>0</v>
      </c>
      <c r="M56" s="3278">
        <f t="shared" si="3"/>
        <v>0</v>
      </c>
    </row>
    <row r="57" spans="1:13" hidden="1" x14ac:dyDescent="0.2">
      <c r="A57" s="3601"/>
      <c r="B57" s="3601">
        <v>49</v>
      </c>
      <c r="C57" s="3709"/>
      <c r="D57" s="5405"/>
      <c r="E57" s="5405"/>
      <c r="F57" s="2748" t="str">
        <f t="shared" si="5"/>
        <v/>
      </c>
      <c r="G57" s="3601"/>
      <c r="I57" s="3265">
        <f t="shared" si="4"/>
        <v>0</v>
      </c>
      <c r="J57" s="3265">
        <f t="shared" si="1"/>
        <v>0</v>
      </c>
      <c r="M57" s="3278">
        <f t="shared" si="3"/>
        <v>0</v>
      </c>
    </row>
    <row r="58" spans="1:13" hidden="1" x14ac:dyDescent="0.2">
      <c r="A58" s="3601"/>
      <c r="B58" s="3601">
        <v>50</v>
      </c>
      <c r="C58" s="3709"/>
      <c r="D58" s="5405"/>
      <c r="E58" s="5405"/>
      <c r="F58" s="2748" t="str">
        <f t="shared" si="5"/>
        <v/>
      </c>
      <c r="G58" s="3601"/>
      <c r="I58" s="3265">
        <f t="shared" si="4"/>
        <v>0</v>
      </c>
      <c r="J58" s="3265">
        <f t="shared" si="1"/>
        <v>0</v>
      </c>
      <c r="M58" s="3278">
        <f t="shared" si="3"/>
        <v>0</v>
      </c>
    </row>
    <row r="59" spans="1:13" hidden="1" x14ac:dyDescent="0.2">
      <c r="A59" s="3601"/>
      <c r="B59" s="3601">
        <v>51</v>
      </c>
      <c r="C59" s="3709"/>
      <c r="D59" s="5405"/>
      <c r="E59" s="5405"/>
      <c r="F59" s="2748" t="str">
        <f t="shared" si="5"/>
        <v/>
      </c>
      <c r="G59" s="3601"/>
      <c r="I59" s="3265">
        <f t="shared" si="4"/>
        <v>0</v>
      </c>
      <c r="J59" s="3265">
        <f t="shared" si="1"/>
        <v>0</v>
      </c>
      <c r="M59" s="3278">
        <f t="shared" si="3"/>
        <v>0</v>
      </c>
    </row>
    <row r="60" spans="1:13" hidden="1" x14ac:dyDescent="0.2">
      <c r="A60" s="3601"/>
      <c r="B60" s="3601">
        <v>52</v>
      </c>
      <c r="C60" s="3709"/>
      <c r="D60" s="5405"/>
      <c r="E60" s="5405"/>
      <c r="F60" s="2748" t="str">
        <f t="shared" si="5"/>
        <v/>
      </c>
      <c r="G60" s="3601"/>
      <c r="I60" s="3265">
        <f t="shared" si="4"/>
        <v>0</v>
      </c>
      <c r="J60" s="3265">
        <f t="shared" si="1"/>
        <v>0</v>
      </c>
      <c r="M60" s="3278">
        <f t="shared" si="3"/>
        <v>0</v>
      </c>
    </row>
    <row r="61" spans="1:13" hidden="1" x14ac:dyDescent="0.2">
      <c r="A61" s="3601"/>
      <c r="B61" s="3705">
        <v>53</v>
      </c>
      <c r="C61" s="3709"/>
      <c r="D61" s="5405"/>
      <c r="E61" s="5405"/>
      <c r="F61" s="2748" t="str">
        <f t="shared" si="5"/>
        <v/>
      </c>
      <c r="G61" s="3601"/>
      <c r="I61" s="3265">
        <f t="shared" si="4"/>
        <v>0</v>
      </c>
      <c r="J61" s="3265">
        <f t="shared" si="1"/>
        <v>0</v>
      </c>
      <c r="M61" s="3278">
        <f t="shared" si="3"/>
        <v>0</v>
      </c>
    </row>
    <row r="62" spans="1:13" hidden="1" x14ac:dyDescent="0.2">
      <c r="A62" s="3601"/>
      <c r="B62" s="3601">
        <v>54</v>
      </c>
      <c r="C62" s="3709"/>
      <c r="D62" s="5405"/>
      <c r="E62" s="5405"/>
      <c r="F62" s="2748" t="str">
        <f t="shared" si="5"/>
        <v/>
      </c>
      <c r="G62" s="3601"/>
      <c r="I62" s="3265">
        <f t="shared" si="4"/>
        <v>0</v>
      </c>
      <c r="J62" s="3265">
        <f t="shared" si="1"/>
        <v>0</v>
      </c>
      <c r="M62" s="3278">
        <f t="shared" si="3"/>
        <v>0</v>
      </c>
    </row>
    <row r="63" spans="1:13" hidden="1" x14ac:dyDescent="0.2">
      <c r="A63" s="3601"/>
      <c r="B63" s="3601">
        <v>55</v>
      </c>
      <c r="C63" s="3709"/>
      <c r="D63" s="5405"/>
      <c r="E63" s="5405"/>
      <c r="F63" s="2748" t="str">
        <f t="shared" si="5"/>
        <v/>
      </c>
      <c r="G63" s="3601"/>
      <c r="I63" s="3265">
        <f t="shared" si="4"/>
        <v>0</v>
      </c>
      <c r="J63" s="3265">
        <f t="shared" si="1"/>
        <v>0</v>
      </c>
      <c r="M63" s="3278">
        <f t="shared" si="3"/>
        <v>0</v>
      </c>
    </row>
    <row r="64" spans="1:13" hidden="1" x14ac:dyDescent="0.2">
      <c r="A64" s="3601"/>
      <c r="B64" s="3601">
        <v>56</v>
      </c>
      <c r="C64" s="3709"/>
      <c r="D64" s="5405"/>
      <c r="E64" s="5405"/>
      <c r="F64" s="2748" t="str">
        <f t="shared" si="5"/>
        <v/>
      </c>
      <c r="G64" s="3601"/>
      <c r="I64" s="3265">
        <f t="shared" si="4"/>
        <v>0</v>
      </c>
      <c r="J64" s="3265">
        <f t="shared" si="1"/>
        <v>0</v>
      </c>
      <c r="M64" s="3278">
        <f t="shared" si="3"/>
        <v>0</v>
      </c>
    </row>
    <row r="65" spans="1:13" hidden="1" x14ac:dyDescent="0.2">
      <c r="A65" s="3601"/>
      <c r="B65" s="3601">
        <v>57</v>
      </c>
      <c r="C65" s="3709"/>
      <c r="D65" s="5405"/>
      <c r="E65" s="5405"/>
      <c r="F65" s="2748" t="str">
        <f t="shared" si="5"/>
        <v/>
      </c>
      <c r="G65" s="3601"/>
      <c r="I65" s="3265">
        <f t="shared" si="4"/>
        <v>0</v>
      </c>
      <c r="J65" s="3265">
        <f t="shared" si="1"/>
        <v>0</v>
      </c>
      <c r="M65" s="3278">
        <f t="shared" si="3"/>
        <v>0</v>
      </c>
    </row>
    <row r="66" spans="1:13" hidden="1" x14ac:dyDescent="0.2">
      <c r="A66" s="3601"/>
      <c r="B66" s="3705">
        <v>58</v>
      </c>
      <c r="C66" s="3709"/>
      <c r="D66" s="5405"/>
      <c r="E66" s="5405"/>
      <c r="F66" s="2748" t="str">
        <f t="shared" si="5"/>
        <v/>
      </c>
      <c r="G66" s="3601"/>
      <c r="I66" s="3265">
        <f t="shared" si="4"/>
        <v>0</v>
      </c>
      <c r="J66" s="3265">
        <f t="shared" si="1"/>
        <v>0</v>
      </c>
      <c r="M66" s="3278">
        <f t="shared" si="3"/>
        <v>0</v>
      </c>
    </row>
    <row r="67" spans="1:13" hidden="1" x14ac:dyDescent="0.2">
      <c r="A67" s="3601"/>
      <c r="B67" s="3601">
        <v>59</v>
      </c>
      <c r="C67" s="3709"/>
      <c r="D67" s="5405"/>
      <c r="E67" s="5405"/>
      <c r="F67" s="2748" t="str">
        <f t="shared" si="5"/>
        <v/>
      </c>
      <c r="G67" s="3601"/>
      <c r="I67" s="3265">
        <f t="shared" si="4"/>
        <v>0</v>
      </c>
      <c r="J67" s="3265">
        <f t="shared" si="1"/>
        <v>0</v>
      </c>
      <c r="M67" s="3278">
        <f t="shared" si="3"/>
        <v>0</v>
      </c>
    </row>
    <row r="68" spans="1:13" hidden="1" x14ac:dyDescent="0.2">
      <c r="A68" s="3601"/>
      <c r="B68" s="3601">
        <v>60</v>
      </c>
      <c r="C68" s="3709"/>
      <c r="D68" s="5405"/>
      <c r="E68" s="5405"/>
      <c r="F68" s="2748" t="str">
        <f t="shared" si="5"/>
        <v/>
      </c>
      <c r="G68" s="3601"/>
      <c r="I68" s="3265">
        <f t="shared" si="4"/>
        <v>0</v>
      </c>
      <c r="J68" s="3265">
        <f t="shared" si="1"/>
        <v>0</v>
      </c>
      <c r="M68" s="3278">
        <f t="shared" si="3"/>
        <v>0</v>
      </c>
    </row>
    <row r="69" spans="1:13" hidden="1" x14ac:dyDescent="0.2">
      <c r="A69" s="3601"/>
      <c r="B69" s="3601">
        <v>61</v>
      </c>
      <c r="C69" s="3709"/>
      <c r="D69" s="5405"/>
      <c r="E69" s="5405"/>
      <c r="F69" s="2748" t="str">
        <f t="shared" si="5"/>
        <v/>
      </c>
      <c r="G69" s="3601"/>
      <c r="I69" s="3265">
        <f t="shared" si="4"/>
        <v>0</v>
      </c>
      <c r="J69" s="3265">
        <f t="shared" si="1"/>
        <v>0</v>
      </c>
      <c r="M69" s="3278">
        <f t="shared" si="3"/>
        <v>0</v>
      </c>
    </row>
    <row r="70" spans="1:13" hidden="1" x14ac:dyDescent="0.2">
      <c r="A70" s="3601"/>
      <c r="B70" s="3601">
        <v>62</v>
      </c>
      <c r="C70" s="3709"/>
      <c r="D70" s="5405"/>
      <c r="E70" s="5405"/>
      <c r="F70" s="2748" t="str">
        <f t="shared" si="5"/>
        <v/>
      </c>
      <c r="G70" s="3601"/>
      <c r="I70" s="3265">
        <f t="shared" si="4"/>
        <v>0</v>
      </c>
      <c r="J70" s="3265">
        <f t="shared" si="1"/>
        <v>0</v>
      </c>
      <c r="M70" s="3278">
        <f t="shared" si="3"/>
        <v>0</v>
      </c>
    </row>
    <row r="71" spans="1:13" hidden="1" x14ac:dyDescent="0.2">
      <c r="A71" s="3601"/>
      <c r="B71" s="3705">
        <v>63</v>
      </c>
      <c r="C71" s="3709"/>
      <c r="D71" s="5405"/>
      <c r="E71" s="5405"/>
      <c r="F71" s="2748" t="str">
        <f t="shared" si="5"/>
        <v/>
      </c>
      <c r="G71" s="3601"/>
      <c r="I71" s="3265">
        <f t="shared" si="4"/>
        <v>0</v>
      </c>
      <c r="J71" s="3265">
        <f t="shared" si="1"/>
        <v>0</v>
      </c>
      <c r="M71" s="3278">
        <f t="shared" si="3"/>
        <v>0</v>
      </c>
    </row>
    <row r="72" spans="1:13" hidden="1" x14ac:dyDescent="0.2">
      <c r="A72" s="3601"/>
      <c r="B72" s="3705">
        <v>64</v>
      </c>
      <c r="C72" s="3709"/>
      <c r="D72" s="5405"/>
      <c r="E72" s="5405"/>
      <c r="F72" s="2748" t="str">
        <f t="shared" si="5"/>
        <v/>
      </c>
      <c r="G72" s="3601"/>
      <c r="I72" s="3265">
        <f t="shared" si="4"/>
        <v>0</v>
      </c>
      <c r="J72" s="3265">
        <f t="shared" si="1"/>
        <v>0</v>
      </c>
      <c r="M72" s="3278">
        <f t="shared" si="3"/>
        <v>0</v>
      </c>
    </row>
    <row r="73" spans="1:13" hidden="1" x14ac:dyDescent="0.2">
      <c r="A73" s="3601"/>
      <c r="B73" s="3601">
        <v>65</v>
      </c>
      <c r="C73" s="3709"/>
      <c r="D73" s="5405"/>
      <c r="E73" s="5405"/>
      <c r="F73" s="2748" t="str">
        <f t="shared" si="5"/>
        <v/>
      </c>
      <c r="G73" s="3601"/>
      <c r="I73" s="3265">
        <f t="shared" ref="I73:I108" si="6">IF(F73="",0,1)</f>
      </c>
      <c r="J73" s="3265">
        <f t="shared" si="1"/>
        <v>0</v>
      </c>
      <c r="M73" s="3278">
        <f t="shared" si="3"/>
        <v>0</v>
      </c>
    </row>
    <row r="74" spans="1:13" hidden="1" x14ac:dyDescent="0.2">
      <c r="A74" s="3601"/>
      <c r="B74" s="3601">
        <v>66</v>
      </c>
      <c r="C74" s="3709"/>
      <c r="D74" s="5405"/>
      <c r="E74" s="5405"/>
      <c r="F74" s="2748" t="str">
        <f t="shared" si="5"/>
        <v/>
      </c>
      <c r="G74" s="3601"/>
      <c r="I74" s="3265">
        <f t="shared" si="6"/>
        <v>0</v>
      </c>
      <c r="J74" s="3265">
        <f t="shared" ref="J74:J108" si="7">IF($L$2="y",COUNTA(C74:E74),COUNTA(D74))</f>
      </c>
      <c r="M74" s="3278">
        <f t="shared" si="3"/>
        <v>0</v>
      </c>
    </row>
    <row r="75" spans="1:13" hidden="1" x14ac:dyDescent="0.2">
      <c r="A75" s="3601"/>
      <c r="B75" s="3601">
        <v>67</v>
      </c>
      <c r="C75" s="3709"/>
      <c r="D75" s="5405"/>
      <c r="E75" s="5405"/>
      <c r="F75" s="2748" t="str">
        <f t="shared" ref="F75:F108" si="8">IF($I$6=1,"",IF(AND($D$6&gt;0,B75&lt;=$D$6,J75=0),re,IF(OR(AND($L$2="y",B75&lt;=$D$6,J75&lt;&gt;2),AND($L$2="n",B75&lt;=$D$6,J75&lt;&gt;1)),"All data!",IF(AND($L$2="n",C75&lt;&gt;""),"Check Pg2 Q30!",IF(AND(J75&gt;0,B75&gt;$D$6),"Delete!","")))))</f>
        <v/>
      </c>
      <c r="G75" s="3601"/>
      <c r="I75" s="3265">
        <f t="shared" si="6"/>
        <v>0</v>
      </c>
      <c r="J75" s="3265">
        <f t="shared" si="7"/>
        <v>0</v>
      </c>
      <c r="M75" s="3278">
        <f t="shared" si="3"/>
        <v>0</v>
      </c>
    </row>
    <row r="76" spans="1:13" hidden="1" x14ac:dyDescent="0.2">
      <c r="A76" s="3601"/>
      <c r="B76" s="3601">
        <v>68</v>
      </c>
      <c r="C76" s="3709"/>
      <c r="D76" s="5405"/>
      <c r="E76" s="5405"/>
      <c r="F76" s="2748" t="str">
        <f t="shared" si="8"/>
        <v/>
      </c>
      <c r="G76" s="3601"/>
      <c r="I76" s="3265">
        <f t="shared" si="6"/>
        <v>0</v>
      </c>
      <c r="J76" s="3265">
        <f t="shared" si="7"/>
        <v>0</v>
      </c>
      <c r="M76" s="3278">
        <f t="shared" ref="M76:M108" si="9">IF(AND($L$2="n",C76&lt;&gt;""),1,0)</f>
      </c>
    </row>
    <row r="77" spans="1:13" hidden="1" x14ac:dyDescent="0.2">
      <c r="A77" s="3601"/>
      <c r="B77" s="3705">
        <v>69</v>
      </c>
      <c r="C77" s="3709"/>
      <c r="D77" s="5405"/>
      <c r="E77" s="5405"/>
      <c r="F77" s="2748" t="str">
        <f t="shared" si="8"/>
        <v/>
      </c>
      <c r="G77" s="3601"/>
      <c r="I77" s="3265">
        <f t="shared" si="6"/>
        <v>0</v>
      </c>
      <c r="J77" s="3265">
        <f t="shared" si="7"/>
        <v>0</v>
      </c>
      <c r="M77" s="3278">
        <f t="shared" si="9"/>
        <v>0</v>
      </c>
    </row>
    <row r="78" spans="1:13" hidden="1" x14ac:dyDescent="0.2">
      <c r="A78" s="3601"/>
      <c r="B78" s="3601">
        <v>70</v>
      </c>
      <c r="C78" s="3709"/>
      <c r="D78" s="5405"/>
      <c r="E78" s="5405"/>
      <c r="F78" s="2748" t="str">
        <f t="shared" si="8"/>
        <v/>
      </c>
      <c r="G78" s="3601"/>
      <c r="I78" s="3265">
        <f t="shared" si="6"/>
        <v>0</v>
      </c>
      <c r="J78" s="3265">
        <f t="shared" si="7"/>
        <v>0</v>
      </c>
      <c r="M78" s="3278">
        <f t="shared" si="9"/>
        <v>0</v>
      </c>
    </row>
    <row r="79" spans="1:13" hidden="1" x14ac:dyDescent="0.2">
      <c r="A79" s="3601"/>
      <c r="B79" s="3601">
        <v>71</v>
      </c>
      <c r="C79" s="3709"/>
      <c r="D79" s="5405"/>
      <c r="E79" s="5405"/>
      <c r="F79" s="2748" t="str">
        <f t="shared" si="8"/>
        <v/>
      </c>
      <c r="G79" s="3601"/>
      <c r="I79" s="3265">
        <f t="shared" si="6"/>
        <v>0</v>
      </c>
      <c r="J79" s="3265">
        <f t="shared" si="7"/>
        <v>0</v>
      </c>
      <c r="M79" s="3278">
        <f t="shared" si="9"/>
        <v>0</v>
      </c>
    </row>
    <row r="80" spans="1:13" hidden="1" x14ac:dyDescent="0.2">
      <c r="A80" s="3601"/>
      <c r="B80" s="3601">
        <v>72</v>
      </c>
      <c r="C80" s="3709"/>
      <c r="D80" s="5405"/>
      <c r="E80" s="5405"/>
      <c r="F80" s="2748" t="str">
        <f t="shared" si="8"/>
        <v/>
      </c>
      <c r="G80" s="3601"/>
      <c r="I80" s="3265">
        <f t="shared" si="6"/>
        <v>0</v>
      </c>
      <c r="J80" s="3265">
        <f t="shared" si="7"/>
        <v>0</v>
      </c>
      <c r="M80" s="3278">
        <f t="shared" si="9"/>
        <v>0</v>
      </c>
    </row>
    <row r="81" spans="1:13" hidden="1" x14ac:dyDescent="0.2">
      <c r="A81" s="3601"/>
      <c r="B81" s="3601">
        <v>73</v>
      </c>
      <c r="C81" s="3709"/>
      <c r="D81" s="5405"/>
      <c r="E81" s="5405"/>
      <c r="F81" s="2748" t="str">
        <f t="shared" si="8"/>
        <v/>
      </c>
      <c r="G81" s="3601"/>
      <c r="I81" s="3265">
        <f t="shared" si="6"/>
        <v>0</v>
      </c>
      <c r="J81" s="3265">
        <f t="shared" si="7"/>
        <v>0</v>
      </c>
      <c r="M81" s="3278">
        <f t="shared" si="9"/>
        <v>0</v>
      </c>
    </row>
    <row r="82" spans="1:13" hidden="1" x14ac:dyDescent="0.2">
      <c r="A82" s="3601"/>
      <c r="B82" s="3705">
        <v>74</v>
      </c>
      <c r="C82" s="3709"/>
      <c r="D82" s="5405"/>
      <c r="E82" s="5405"/>
      <c r="F82" s="2748" t="str">
        <f t="shared" si="8"/>
        <v/>
      </c>
      <c r="G82" s="3601"/>
      <c r="I82" s="3265">
        <f t="shared" si="6"/>
        <v>0</v>
      </c>
      <c r="J82" s="3265">
        <f t="shared" si="7"/>
        <v>0</v>
      </c>
      <c r="M82" s="3278">
        <f t="shared" si="9"/>
        <v>0</v>
      </c>
    </row>
    <row r="83" spans="1:13" hidden="1" x14ac:dyDescent="0.2">
      <c r="A83" s="3601"/>
      <c r="B83" s="3601">
        <v>75</v>
      </c>
      <c r="C83" s="3709"/>
      <c r="D83" s="5405"/>
      <c r="E83" s="5405"/>
      <c r="F83" s="2748" t="str">
        <f t="shared" si="8"/>
        <v/>
      </c>
      <c r="G83" s="3601"/>
      <c r="I83" s="3265">
        <f t="shared" si="6"/>
        <v>0</v>
      </c>
      <c r="J83" s="3265">
        <f t="shared" si="7"/>
        <v>0</v>
      </c>
      <c r="M83" s="3278">
        <f t="shared" si="9"/>
        <v>0</v>
      </c>
    </row>
    <row r="84" spans="1:13" hidden="1" x14ac:dyDescent="0.2">
      <c r="A84" s="3601"/>
      <c r="B84" s="3601">
        <v>76</v>
      </c>
      <c r="C84" s="3709"/>
      <c r="D84" s="5405"/>
      <c r="E84" s="5405"/>
      <c r="F84" s="2748" t="str">
        <f t="shared" si="8"/>
        <v/>
      </c>
      <c r="G84" s="3601"/>
      <c r="I84" s="3265">
        <f t="shared" si="6"/>
        <v>0</v>
      </c>
      <c r="J84" s="3265">
        <f t="shared" si="7"/>
        <v>0</v>
      </c>
      <c r="M84" s="3278">
        <f t="shared" si="9"/>
        <v>0</v>
      </c>
    </row>
    <row r="85" spans="1:13" hidden="1" x14ac:dyDescent="0.2">
      <c r="A85" s="3601"/>
      <c r="B85" s="3601">
        <v>77</v>
      </c>
      <c r="C85" s="3709"/>
      <c r="D85" s="5405"/>
      <c r="E85" s="5405"/>
      <c r="F85" s="2748" t="str">
        <f t="shared" si="8"/>
        <v/>
      </c>
      <c r="G85" s="3601"/>
      <c r="I85" s="3265">
        <f t="shared" si="6"/>
        <v>0</v>
      </c>
      <c r="J85" s="3265">
        <f t="shared" si="7"/>
        <v>0</v>
      </c>
      <c r="M85" s="3278">
        <f t="shared" si="9"/>
        <v>0</v>
      </c>
    </row>
    <row r="86" spans="1:13" hidden="1" x14ac:dyDescent="0.2">
      <c r="A86" s="3601"/>
      <c r="B86" s="3601">
        <v>78</v>
      </c>
      <c r="C86" s="3709"/>
      <c r="D86" s="5405"/>
      <c r="E86" s="5405"/>
      <c r="F86" s="2748" t="str">
        <f t="shared" si="8"/>
        <v/>
      </c>
      <c r="G86" s="3601"/>
      <c r="I86" s="3265">
        <f t="shared" si="6"/>
        <v>0</v>
      </c>
      <c r="J86" s="3265">
        <f t="shared" si="7"/>
        <v>0</v>
      </c>
      <c r="M86" s="3278">
        <f t="shared" si="9"/>
        <v>0</v>
      </c>
    </row>
    <row r="87" spans="1:13" hidden="1" x14ac:dyDescent="0.2">
      <c r="A87" s="3601"/>
      <c r="B87" s="3705">
        <v>79</v>
      </c>
      <c r="C87" s="3709"/>
      <c r="D87" s="5405"/>
      <c r="E87" s="5405"/>
      <c r="F87" s="2748" t="str">
        <f t="shared" si="8"/>
        <v/>
      </c>
      <c r="G87" s="3601"/>
      <c r="I87" s="3265">
        <f t="shared" si="6"/>
        <v>0</v>
      </c>
      <c r="J87" s="3265">
        <f t="shared" si="7"/>
        <v>0</v>
      </c>
      <c r="M87" s="3278">
        <f t="shared" si="9"/>
        <v>0</v>
      </c>
    </row>
    <row r="88" spans="1:13" hidden="1" x14ac:dyDescent="0.2">
      <c r="A88" s="3601"/>
      <c r="B88" s="3601">
        <v>80</v>
      </c>
      <c r="C88" s="3709"/>
      <c r="D88" s="5405"/>
      <c r="E88" s="5405"/>
      <c r="F88" s="2748" t="str">
        <f t="shared" si="8"/>
        <v/>
      </c>
      <c r="G88" s="3601"/>
      <c r="I88" s="3265">
        <f t="shared" si="6"/>
        <v>0</v>
      </c>
      <c r="J88" s="3265">
        <f t="shared" si="7"/>
        <v>0</v>
      </c>
      <c r="M88" s="3278">
        <f t="shared" si="9"/>
        <v>0</v>
      </c>
    </row>
    <row r="89" spans="1:13" hidden="1" x14ac:dyDescent="0.2">
      <c r="A89" s="3601"/>
      <c r="B89" s="3601">
        <v>81</v>
      </c>
      <c r="C89" s="3709"/>
      <c r="D89" s="5405"/>
      <c r="E89" s="5405"/>
      <c r="F89" s="2748" t="str">
        <f t="shared" si="8"/>
        <v/>
      </c>
      <c r="G89" s="3601"/>
      <c r="I89" s="3265">
        <f t="shared" si="6"/>
        <v>0</v>
      </c>
      <c r="J89" s="3265">
        <f t="shared" si="7"/>
        <v>0</v>
      </c>
      <c r="M89" s="3278">
        <f t="shared" si="9"/>
        <v>0</v>
      </c>
    </row>
    <row r="90" spans="1:13" hidden="1" x14ac:dyDescent="0.2">
      <c r="A90" s="3601"/>
      <c r="B90" s="3601">
        <v>82</v>
      </c>
      <c r="C90" s="3709"/>
      <c r="D90" s="5405"/>
      <c r="E90" s="5405"/>
      <c r="F90" s="2748" t="str">
        <f t="shared" si="8"/>
        <v/>
      </c>
      <c r="G90" s="3601"/>
      <c r="I90" s="3265">
        <f t="shared" si="6"/>
        <v>0</v>
      </c>
      <c r="J90" s="3265">
        <f t="shared" si="7"/>
        <v>0</v>
      </c>
      <c r="M90" s="3278">
        <f t="shared" si="9"/>
        <v>0</v>
      </c>
    </row>
    <row r="91" spans="1:13" hidden="1" x14ac:dyDescent="0.2">
      <c r="A91" s="3601"/>
      <c r="B91" s="3601">
        <v>83</v>
      </c>
      <c r="C91" s="3709"/>
      <c r="D91" s="5405"/>
      <c r="E91" s="5405"/>
      <c r="F91" s="2748" t="str">
        <f t="shared" si="8"/>
        <v/>
      </c>
      <c r="G91" s="3601"/>
      <c r="I91" s="3265">
        <f t="shared" si="6"/>
        <v>0</v>
      </c>
      <c r="J91" s="3265">
        <f t="shared" si="7"/>
        <v>0</v>
      </c>
      <c r="M91" s="3278">
        <f t="shared" si="9"/>
        <v>0</v>
      </c>
    </row>
    <row r="92" spans="1:13" hidden="1" x14ac:dyDescent="0.2">
      <c r="A92" s="3601"/>
      <c r="B92" s="3705">
        <v>84</v>
      </c>
      <c r="C92" s="3709"/>
      <c r="D92" s="5405"/>
      <c r="E92" s="5405"/>
      <c r="F92" s="2748" t="str">
        <f t="shared" si="8"/>
        <v/>
      </c>
      <c r="G92" s="3601"/>
      <c r="I92" s="3265">
        <f t="shared" si="6"/>
        <v>0</v>
      </c>
      <c r="J92" s="3265">
        <f t="shared" si="7"/>
        <v>0</v>
      </c>
      <c r="M92" s="3278">
        <f t="shared" si="9"/>
        <v>0</v>
      </c>
    </row>
    <row r="93" spans="1:13" hidden="1" x14ac:dyDescent="0.2">
      <c r="A93" s="3601"/>
      <c r="B93" s="3705">
        <v>85</v>
      </c>
      <c r="C93" s="3709"/>
      <c r="D93" s="5405"/>
      <c r="E93" s="5405"/>
      <c r="F93" s="2748" t="str">
        <f t="shared" si="8"/>
        <v/>
      </c>
      <c r="G93" s="3601"/>
      <c r="I93" s="3265">
        <f t="shared" si="6"/>
        <v>0</v>
      </c>
      <c r="J93" s="3265">
        <f t="shared" si="7"/>
        <v>0</v>
      </c>
      <c r="M93" s="3278">
        <f t="shared" si="9"/>
        <v>0</v>
      </c>
    </row>
    <row r="94" spans="1:13" hidden="1" x14ac:dyDescent="0.2">
      <c r="A94" s="3601"/>
      <c r="B94" s="3601">
        <v>86</v>
      </c>
      <c r="C94" s="3709"/>
      <c r="D94" s="5405"/>
      <c r="E94" s="5405"/>
      <c r="F94" s="2748" t="str">
        <f t="shared" si="8"/>
        <v/>
      </c>
      <c r="G94" s="3601"/>
      <c r="I94" s="3265">
        <f t="shared" si="6"/>
        <v>0</v>
      </c>
      <c r="J94" s="3265">
        <f t="shared" si="7"/>
        <v>0</v>
      </c>
      <c r="M94" s="3278">
        <f t="shared" si="9"/>
        <v>0</v>
      </c>
    </row>
    <row r="95" spans="1:13" hidden="1" x14ac:dyDescent="0.2">
      <c r="A95" s="3601"/>
      <c r="B95" s="3601">
        <v>87</v>
      </c>
      <c r="C95" s="3709"/>
      <c r="D95" s="5405"/>
      <c r="E95" s="5405"/>
      <c r="F95" s="2748" t="str">
        <f t="shared" si="8"/>
        <v/>
      </c>
      <c r="G95" s="3601"/>
      <c r="I95" s="3265">
        <f t="shared" si="6"/>
        <v>0</v>
      </c>
      <c r="J95" s="3265">
        <f t="shared" si="7"/>
        <v>0</v>
      </c>
      <c r="M95" s="3278">
        <f t="shared" si="9"/>
        <v>0</v>
      </c>
    </row>
    <row r="96" spans="1:13" hidden="1" x14ac:dyDescent="0.2">
      <c r="A96" s="3601"/>
      <c r="B96" s="3601">
        <v>88</v>
      </c>
      <c r="C96" s="3709"/>
      <c r="D96" s="5405"/>
      <c r="E96" s="5405"/>
      <c r="F96" s="2748" t="str">
        <f t="shared" si="8"/>
        <v/>
      </c>
      <c r="G96" s="3601"/>
      <c r="I96" s="3265">
        <f t="shared" si="6"/>
        <v>0</v>
      </c>
      <c r="J96" s="3265">
        <f t="shared" si="7"/>
        <v>0</v>
      </c>
      <c r="M96" s="3278">
        <f t="shared" si="9"/>
        <v>0</v>
      </c>
    </row>
    <row r="97" spans="1:18" hidden="1" x14ac:dyDescent="0.2">
      <c r="A97" s="3601"/>
      <c r="B97" s="3601">
        <v>89</v>
      </c>
      <c r="C97" s="3709"/>
      <c r="D97" s="5405"/>
      <c r="E97" s="5405"/>
      <c r="F97" s="2748" t="str">
        <f t="shared" si="8"/>
        <v/>
      </c>
      <c r="G97" s="3601"/>
      <c r="I97" s="3265">
        <f t="shared" si="6"/>
        <v>0</v>
      </c>
      <c r="J97" s="3265">
        <f t="shared" si="7"/>
        <v>0</v>
      </c>
      <c r="M97" s="3278">
        <f t="shared" si="9"/>
        <v>0</v>
      </c>
    </row>
    <row r="98" spans="1:18" hidden="1" x14ac:dyDescent="0.2">
      <c r="A98" s="3601"/>
      <c r="B98" s="3705">
        <v>90</v>
      </c>
      <c r="C98" s="3709"/>
      <c r="D98" s="5405"/>
      <c r="E98" s="5405"/>
      <c r="F98" s="2748" t="str">
        <f t="shared" si="8"/>
        <v/>
      </c>
      <c r="G98" s="3601"/>
      <c r="I98" s="3265">
        <f t="shared" si="6"/>
        <v>0</v>
      </c>
      <c r="J98" s="3265">
        <f t="shared" si="7"/>
        <v>0</v>
      </c>
      <c r="M98" s="3278">
        <f t="shared" si="9"/>
        <v>0</v>
      </c>
    </row>
    <row r="99" spans="1:18" hidden="1" x14ac:dyDescent="0.2">
      <c r="A99" s="3601"/>
      <c r="B99" s="3601">
        <v>91</v>
      </c>
      <c r="C99" s="3709"/>
      <c r="D99" s="5405"/>
      <c r="E99" s="5405"/>
      <c r="F99" s="2748" t="str">
        <f t="shared" si="8"/>
        <v/>
      </c>
      <c r="G99" s="3601"/>
      <c r="I99" s="3265">
        <f t="shared" si="6"/>
        <v>0</v>
      </c>
      <c r="J99" s="3265">
        <f t="shared" si="7"/>
        <v>0</v>
      </c>
      <c r="M99" s="3278">
        <f t="shared" si="9"/>
        <v>0</v>
      </c>
    </row>
    <row r="100" spans="1:18" hidden="1" x14ac:dyDescent="0.2">
      <c r="A100" s="3601"/>
      <c r="B100" s="3601">
        <v>92</v>
      </c>
      <c r="C100" s="3709"/>
      <c r="D100" s="5405"/>
      <c r="E100" s="5405"/>
      <c r="F100" s="2748" t="str">
        <f t="shared" si="8"/>
        <v/>
      </c>
      <c r="G100" s="3601"/>
      <c r="I100" s="3265">
        <f t="shared" si="6"/>
        <v>0</v>
      </c>
      <c r="J100" s="3265">
        <f t="shared" si="7"/>
        <v>0</v>
      </c>
      <c r="M100" s="3278">
        <f t="shared" si="9"/>
        <v>0</v>
      </c>
    </row>
    <row r="101" spans="1:18" hidden="1" x14ac:dyDescent="0.2">
      <c r="A101" s="3601"/>
      <c r="B101" s="3601">
        <v>93</v>
      </c>
      <c r="C101" s="3709"/>
      <c r="D101" s="5405"/>
      <c r="E101" s="5405"/>
      <c r="F101" s="2748" t="str">
        <f t="shared" si="8"/>
        <v/>
      </c>
      <c r="G101" s="3601"/>
      <c r="I101" s="3265">
        <f t="shared" si="6"/>
        <v>0</v>
      </c>
      <c r="J101" s="3265">
        <f t="shared" si="7"/>
        <v>0</v>
      </c>
      <c r="M101" s="3278">
        <f t="shared" si="9"/>
        <v>0</v>
      </c>
    </row>
    <row r="102" spans="1:18" hidden="1" x14ac:dyDescent="0.2">
      <c r="A102" s="3601"/>
      <c r="B102" s="3601">
        <v>94</v>
      </c>
      <c r="C102" s="3709"/>
      <c r="D102" s="5405"/>
      <c r="E102" s="5405"/>
      <c r="F102" s="2748" t="str">
        <f t="shared" si="8"/>
        <v/>
      </c>
      <c r="G102" s="3601"/>
      <c r="I102" s="3265">
        <f t="shared" si="6"/>
        <v>0</v>
      </c>
      <c r="J102" s="3265">
        <f t="shared" si="7"/>
        <v>0</v>
      </c>
      <c r="M102" s="3278">
        <f t="shared" si="9"/>
        <v>0</v>
      </c>
    </row>
    <row r="103" spans="1:18" hidden="1" x14ac:dyDescent="0.2">
      <c r="A103" s="3601"/>
      <c r="B103" s="3705">
        <v>95</v>
      </c>
      <c r="C103" s="3709"/>
      <c r="D103" s="5405"/>
      <c r="E103" s="5405"/>
      <c r="F103" s="2748" t="str">
        <f t="shared" si="8"/>
        <v/>
      </c>
      <c r="G103" s="3601"/>
      <c r="I103" s="3265">
        <f t="shared" si="6"/>
        <v>0</v>
      </c>
      <c r="J103" s="3265">
        <f t="shared" si="7"/>
        <v>0</v>
      </c>
      <c r="M103" s="3278">
        <f t="shared" si="9"/>
        <v>0</v>
      </c>
    </row>
    <row r="104" spans="1:18" hidden="1" x14ac:dyDescent="0.2">
      <c r="A104" s="3601"/>
      <c r="B104" s="3601">
        <v>96</v>
      </c>
      <c r="C104" s="3709"/>
      <c r="D104" s="5405"/>
      <c r="E104" s="5405"/>
      <c r="F104" s="2748" t="str">
        <f t="shared" si="8"/>
        <v/>
      </c>
      <c r="G104" s="3601"/>
      <c r="I104" s="3265">
        <f t="shared" si="6"/>
        <v>0</v>
      </c>
      <c r="J104" s="3265">
        <f t="shared" si="7"/>
        <v>0</v>
      </c>
      <c r="M104" s="3278">
        <f t="shared" si="9"/>
        <v>0</v>
      </c>
    </row>
    <row r="105" spans="1:18" hidden="1" x14ac:dyDescent="0.2">
      <c r="A105" s="3601"/>
      <c r="B105" s="3601">
        <v>97</v>
      </c>
      <c r="C105" s="3709"/>
      <c r="D105" s="5405"/>
      <c r="E105" s="5405"/>
      <c r="F105" s="2748" t="str">
        <f t="shared" si="8"/>
        <v/>
      </c>
      <c r="G105" s="3601"/>
      <c r="I105" s="3265">
        <f t="shared" si="6"/>
        <v>0</v>
      </c>
      <c r="J105" s="3265">
        <f t="shared" si="7"/>
        <v>0</v>
      </c>
      <c r="M105" s="3278">
        <f t="shared" si="9"/>
        <v>0</v>
      </c>
    </row>
    <row r="106" spans="1:18" hidden="1" x14ac:dyDescent="0.2">
      <c r="A106" s="3601"/>
      <c r="B106" s="3601">
        <v>98</v>
      </c>
      <c r="C106" s="3709"/>
      <c r="D106" s="5405"/>
      <c r="E106" s="5405"/>
      <c r="F106" s="2748" t="str">
        <f t="shared" si="8"/>
        <v/>
      </c>
      <c r="G106" s="3601"/>
      <c r="I106" s="3265">
        <f t="shared" si="6"/>
        <v>0</v>
      </c>
      <c r="J106" s="3265">
        <f t="shared" si="7"/>
        <v>0</v>
      </c>
      <c r="M106" s="3278">
        <f t="shared" si="9"/>
        <v>0</v>
      </c>
    </row>
    <row r="107" spans="1:18" hidden="1" x14ac:dyDescent="0.2">
      <c r="A107" s="3601"/>
      <c r="B107" s="3601">
        <v>99</v>
      </c>
      <c r="C107" s="3709"/>
      <c r="D107" s="5405"/>
      <c r="E107" s="5405"/>
      <c r="F107" s="2748" t="str">
        <f t="shared" si="8"/>
        <v/>
      </c>
      <c r="G107" s="3601"/>
      <c r="I107" s="3265">
        <f t="shared" si="6"/>
        <v>0</v>
      </c>
      <c r="J107" s="3265">
        <f t="shared" si="7"/>
        <v>0</v>
      </c>
      <c r="M107" s="3278">
        <f t="shared" si="9"/>
        <v>0</v>
      </c>
    </row>
    <row r="108" spans="1:18" hidden="1" x14ac:dyDescent="0.2">
      <c r="A108" s="3601"/>
      <c r="B108" s="3705">
        <v>100</v>
      </c>
      <c r="C108" s="3709"/>
      <c r="D108" s="5405"/>
      <c r="E108" s="5405"/>
      <c r="F108" s="2748" t="str">
        <f t="shared" si="8"/>
        <v/>
      </c>
      <c r="G108" s="3601"/>
      <c r="I108" s="3265">
        <f t="shared" si="6"/>
        <v>0</v>
      </c>
      <c r="J108" s="3265">
        <f t="shared" si="7"/>
        <v>0</v>
      </c>
      <c r="M108" s="3278">
        <f t="shared" si="9"/>
        <v>0</v>
      </c>
    </row>
    <row r="109" spans="1:18" ht="15.75" customHeight="1" x14ac:dyDescent="0.2">
      <c r="A109" s="3601"/>
      <c r="B109" s="3601"/>
      <c r="C109" s="3601"/>
      <c r="D109" s="3601"/>
      <c r="E109" s="3601"/>
      <c r="F109" s="3601"/>
      <c r="G109" s="3601"/>
      <c r="I109" s="3265"/>
    </row>
    <row r="110" spans="1:18" s="3687" customFormat="1" ht="14.25" x14ac:dyDescent="0.2">
      <c r="A110" s="3695"/>
      <c r="B110" s="3686"/>
      <c r="C110" s="3356" t="s">
        <v>4802</v>
      </c>
      <c r="D110" s="3352"/>
      <c r="E110" s="3682" t="str">
        <f>IF(J5=0,"",IF(D110="",re,""))</f>
        <v/>
      </c>
      <c r="F110" s="3601"/>
      <c r="G110" s="3351" t="e">
        <f>IF(#REF!=0,"",IF(D110="",re,""))</f>
      </c>
      <c r="H110" s="3123"/>
      <c r="I110" s="3265">
        <f>IF(E110="",0,1)</f>
      </c>
      <c r="J110" s="3123"/>
      <c r="K110" s="3123"/>
      <c r="L110" s="3123"/>
      <c r="M110" s="3123"/>
      <c r="N110" s="3123"/>
      <c r="O110" s="3123"/>
      <c r="Q110" s="3265"/>
      <c r="R110" s="3701"/>
    </row>
    <row r="111" spans="1:18" s="3687" customFormat="1" ht="8.25" customHeight="1" x14ac:dyDescent="0.2">
      <c r="A111" s="3695"/>
      <c r="B111" s="3686"/>
      <c r="C111" s="3686"/>
      <c r="D111" s="3686"/>
      <c r="E111" s="3686"/>
      <c r="F111" s="3686"/>
      <c r="G111" s="3686"/>
      <c r="I111" s="3123"/>
      <c r="J111" s="3123"/>
      <c r="K111" s="3123"/>
      <c r="L111" s="3123"/>
      <c r="M111" s="3123"/>
      <c r="N111" s="3123"/>
      <c r="O111" s="3123"/>
      <c r="Q111" s="3701"/>
      <c r="R111" s="3701"/>
    </row>
    <row r="112" spans="1:18" ht="14.25" x14ac:dyDescent="0.2">
      <c r="A112" s="3315"/>
      <c r="B112" s="3315" t="s">
        <v>10574</v>
      </c>
      <c r="C112" s="5404" t="str">
        <f>ver</f>
        <v>TA2_e-CO_2025_Ver 1.1</v>
      </c>
      <c r="D112" s="5404"/>
      <c r="E112" s="5404"/>
      <c r="F112" s="3314" t="s">
        <v>10102</v>
      </c>
      <c r="G112" s="3686"/>
      <c r="H112" s="3687"/>
    </row>
    <row r="113" spans="1:18" ht="7.5" customHeight="1" x14ac:dyDescent="0.2">
      <c r="A113" s="3315"/>
      <c r="B113" s="3315"/>
      <c r="C113" s="3315"/>
      <c r="D113" s="3315"/>
      <c r="E113" s="3315"/>
      <c r="F113" s="3686"/>
      <c r="G113" s="3686"/>
      <c r="H113" s="3687"/>
    </row>
    <row r="114" spans="1:18" ht="14.25" x14ac:dyDescent="0.2">
      <c r="A114" s="3315"/>
      <c r="B114" s="3233" t="s">
        <v>6290</v>
      </c>
      <c r="C114" s="3358"/>
      <c r="D114" s="3358"/>
      <c r="E114" s="3358"/>
      <c r="F114" s="3686"/>
      <c r="G114" s="3686"/>
      <c r="H114" s="3687"/>
      <c r="J114" s="3756">
        <f>IF(AND(I5=0,J5=0),0,IF(I5&lt;&gt;0,100,IF(D110="Yes",1,100)))</f>
      </c>
    </row>
    <row r="115" spans="1:18" s="3687" customFormat="1" ht="14.25" x14ac:dyDescent="0.2">
      <c r="A115" s="3686"/>
      <c r="B115" s="3686"/>
      <c r="C115" s="3686"/>
      <c r="D115" s="3686"/>
      <c r="E115" s="3686"/>
      <c r="F115" s="3686"/>
      <c r="G115" s="3686"/>
      <c r="I115" s="3123"/>
      <c r="J115" s="3123"/>
      <c r="K115" s="3123"/>
      <c r="L115" s="3123"/>
      <c r="M115" s="3123"/>
      <c r="N115" s="3123"/>
      <c r="O115" s="3123"/>
      <c r="Q115" s="3701"/>
      <c r="R115" s="3123"/>
    </row>
  </sheetData>
  <sheetProtection algorithmName="SHA-512" hashValue="ULQiTNdsCuc2dQYo5LJmDcCnnsdQqgQyfijJZYoUEFy7iWV4y/o562n+7+eDkyjAxYOmlYwimSygv7WofOL3vg==" saltValue="XX8FEwERz9DLBaUtFVpekg==" spinCount="100000" sheet="1" objects="1" scenarios="1"/>
  <mergeCells count="103">
    <mergeCell ref="B1:E1"/>
    <mergeCell ref="D8:E8"/>
    <mergeCell ref="D9:E9"/>
    <mergeCell ref="D10:E10"/>
    <mergeCell ref="D11:E11"/>
    <mergeCell ref="D12:E12"/>
    <mergeCell ref="D19:E19"/>
    <mergeCell ref="D20:E20"/>
    <mergeCell ref="D21:E21"/>
    <mergeCell ref="D22:E22"/>
    <mergeCell ref="D23:E23"/>
    <mergeCell ref="D24:E24"/>
    <mergeCell ref="D13:E13"/>
    <mergeCell ref="D14:E14"/>
    <mergeCell ref="D15:E15"/>
    <mergeCell ref="D16:E16"/>
    <mergeCell ref="D17:E17"/>
    <mergeCell ref="D18:E18"/>
    <mergeCell ref="D31:E31"/>
    <mergeCell ref="D32:E32"/>
    <mergeCell ref="D33:E33"/>
    <mergeCell ref="D34:E34"/>
    <mergeCell ref="D35:E35"/>
    <mergeCell ref="D36:E36"/>
    <mergeCell ref="D25:E25"/>
    <mergeCell ref="D26:E26"/>
    <mergeCell ref="D27:E27"/>
    <mergeCell ref="D28:E28"/>
    <mergeCell ref="D29:E29"/>
    <mergeCell ref="D30:E30"/>
    <mergeCell ref="D43:E43"/>
    <mergeCell ref="D44:E44"/>
    <mergeCell ref="D45:E45"/>
    <mergeCell ref="D46:E46"/>
    <mergeCell ref="D47:E47"/>
    <mergeCell ref="D48:E48"/>
    <mergeCell ref="D37:E37"/>
    <mergeCell ref="D38:E38"/>
    <mergeCell ref="D39:E39"/>
    <mergeCell ref="D40:E40"/>
    <mergeCell ref="D41:E41"/>
    <mergeCell ref="D42:E42"/>
    <mergeCell ref="D55:E55"/>
    <mergeCell ref="D56:E56"/>
    <mergeCell ref="D57:E57"/>
    <mergeCell ref="D58:E58"/>
    <mergeCell ref="D59:E59"/>
    <mergeCell ref="D60:E60"/>
    <mergeCell ref="D49:E49"/>
    <mergeCell ref="D50:E50"/>
    <mergeCell ref="D51:E51"/>
    <mergeCell ref="D52:E52"/>
    <mergeCell ref="D53:E53"/>
    <mergeCell ref="D54:E54"/>
    <mergeCell ref="D67:E67"/>
    <mergeCell ref="D68:E68"/>
    <mergeCell ref="D69:E69"/>
    <mergeCell ref="D70:E70"/>
    <mergeCell ref="D71:E71"/>
    <mergeCell ref="D72:E72"/>
    <mergeCell ref="D61:E61"/>
    <mergeCell ref="D62:E62"/>
    <mergeCell ref="D63:E63"/>
    <mergeCell ref="D64:E64"/>
    <mergeCell ref="D65:E65"/>
    <mergeCell ref="D66:E66"/>
    <mergeCell ref="D79:E79"/>
    <mergeCell ref="D80:E80"/>
    <mergeCell ref="D81:E81"/>
    <mergeCell ref="D82:E82"/>
    <mergeCell ref="D83:E83"/>
    <mergeCell ref="D84:E84"/>
    <mergeCell ref="D73:E73"/>
    <mergeCell ref="D74:E74"/>
    <mergeCell ref="D75:E75"/>
    <mergeCell ref="D76:E76"/>
    <mergeCell ref="D77:E77"/>
    <mergeCell ref="D78:E78"/>
    <mergeCell ref="D91:E91"/>
    <mergeCell ref="D92:E92"/>
    <mergeCell ref="D93:E93"/>
    <mergeCell ref="D94:E94"/>
    <mergeCell ref="D95:E95"/>
    <mergeCell ref="D96:E96"/>
    <mergeCell ref="D85:E85"/>
    <mergeCell ref="D86:E86"/>
    <mergeCell ref="D87:E87"/>
    <mergeCell ref="D88:E88"/>
    <mergeCell ref="D89:E89"/>
    <mergeCell ref="D90:E90"/>
    <mergeCell ref="C112:E112"/>
    <mergeCell ref="D103:E103"/>
    <mergeCell ref="D104:E104"/>
    <mergeCell ref="D105:E105"/>
    <mergeCell ref="D106:E106"/>
    <mergeCell ref="D107:E107"/>
    <mergeCell ref="D108:E108"/>
    <mergeCell ref="D97:E97"/>
    <mergeCell ref="D98:E98"/>
    <mergeCell ref="D99:E99"/>
    <mergeCell ref="D100:E100"/>
    <mergeCell ref="D101:E101"/>
    <mergeCell ref="D102:E102"/>
  </mergeCells>
  <conditionalFormatting sqref="C9:C108">
    <cfRule type="expression" dxfId="108" priority="1">
      <formula>#REF!=1</formula>
    </cfRule>
  </conditionalFormatting>
  <dataValidations count="4">
    <dataValidation type="textLength" operator="equal" allowBlank="1" showInputMessage="1" showErrorMessage="1" errorTitle="Arrangement Reference Number" error="Enter correct reference number (17 digit number)!" sqref="D9:E28" xr:uid="{00000000-0002-0000-6A00-000000000000}">
      <formula1>17</formula1>
    </dataValidation>
    <dataValidation type="list" showInputMessage="1" showErrorMessage="1" sqref="D110" xr:uid="{00000000-0002-0000-6A00-000001000000}">
      <formula1>yn</formula1>
    </dataValidation>
    <dataValidation type="list" allowBlank="1" showInputMessage="1" showErrorMessage="1" sqref="C9:C108" xr:uid="{00000000-0002-0000-6A00-000002000000}">
      <formula1>FU</formula1>
    </dataValidation>
    <dataValidation type="whole" allowBlank="1" showInputMessage="1" showErrorMessage="1" errorTitle="No. of cross border arrangements" error="Maximum input 100 cross-border arrangements - Please contact CfR for further assistance" sqref="D6" xr:uid="{00000000-0002-0000-6A00-000003000000}">
      <formula1>0</formula1>
      <formula2>100</formula2>
    </dataValidation>
  </dataValidations>
  <hyperlinks>
    <hyperlink ref="B114" location="Index!B127" display="B A C K   T O   I N D E X" xr:uid="{00000000-0004-0000-6A00-000000000000}"/>
  </hyperlinks>
  <pageMargins left="0.7" right="0.7" top="0.75" bottom="0.75" header="0.3" footer="0.3"/>
  <pageSetup paperSize="9" orientation="portrait" r:id="rId1"/>
  <ignoredErrors>
    <ignoredError sqref="G110" evalError="1"/>
  </ignoredError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18"/>
  <dimension ref="A1:CC76"/>
  <sheetViews>
    <sheetView topLeftCell="A23" workbookViewId="0">
      <selection activeCell="J57" sqref="J57"/>
    </sheetView>
  </sheetViews>
  <sheetFormatPr defaultColWidth="0" defaultRowHeight="12.75" zeroHeight="1" x14ac:dyDescent="0.2"/>
  <cols>
    <col min="1" max="1" width="0.7109375" style="46" customWidth="1"/>
    <col min="2" max="2" width="15.28515625" style="46" customWidth="1"/>
    <col min="3" max="3" width="36.7109375" style="46" customWidth="1"/>
    <col min="4" max="4" width="0.7109375" style="46" customWidth="1"/>
    <col min="5" max="5" width="0.5703125" style="46" customWidth="1"/>
    <col min="6" max="6" width="8.7109375" style="46" customWidth="1"/>
    <col min="7" max="8" width="10.7109375" style="46" customWidth="1"/>
    <col min="9" max="9" width="39.7109375" style="46" customWidth="1"/>
    <col min="10" max="10" width="10.28515625" style="46" customWidth="1"/>
    <col min="11" max="15" width="10.7109375" style="46" customWidth="1"/>
    <col min="16" max="16" width="26.7109375" style="2189" customWidth="1"/>
    <col min="17" max="19" width="9.28515625" style="46" hidden="1" customWidth="1"/>
    <col min="20" max="20" width="12.7109375" style="46" hidden="1" customWidth="1"/>
    <col min="21" max="21" width="16.28515625" style="46" hidden="1" customWidth="1"/>
    <col min="22" max="22" width="10.28515625" style="46" hidden="1" customWidth="1"/>
    <col min="23" max="23" width="9.28515625" style="46" hidden="1" customWidth="1"/>
    <col min="24" max="24" width="10.5703125" style="46" hidden="1" customWidth="1"/>
    <col min="25" max="80" width="9.28515625" style="46" hidden="1" customWidth="1"/>
    <col min="81" max="81" width="9.28515625" style="1736" hidden="1" customWidth="1"/>
    <col min="82" max="16384" width="9.28515625" style="46" hidden="1"/>
  </cols>
  <sheetData>
    <row r="1" spans="1:53" s="1736" customFormat="1" ht="16.149999999999999" customHeight="1" x14ac:dyDescent="0.2">
      <c r="A1" s="2189"/>
      <c r="B1" s="5413" t="str">
        <f>_ref1</f>
      </c>
      <c r="C1" s="5413"/>
      <c r="D1" s="5413"/>
      <c r="E1" s="5413"/>
      <c r="F1" s="5413"/>
      <c r="G1" s="5413"/>
      <c r="H1" s="5413"/>
      <c r="I1" s="5413"/>
      <c r="J1" s="5413"/>
      <c r="K1" s="5413"/>
      <c r="L1" s="5413"/>
      <c r="M1" s="5413"/>
      <c r="N1" s="5413"/>
      <c r="O1" s="3711" t="str">
        <f>_YA1</f>
      </c>
      <c r="P1" s="2189"/>
      <c r="R1" s="1736" t="s">
        <v>9962</v>
      </c>
      <c r="S1" s="1736" t="str">
        <f>'p2'!G36</f>
      </c>
      <c r="U1" s="1736" t="s">
        <v>4195</v>
      </c>
      <c r="W1" s="1736" t="s">
        <v>10104</v>
      </c>
      <c r="AZ1" s="1485"/>
      <c r="BA1" s="1485"/>
    </row>
    <row r="2" spans="1:53" s="1736" customFormat="1" ht="3.75" customHeight="1" x14ac:dyDescent="0.2">
      <c r="A2" s="2189"/>
      <c r="B2" s="2189"/>
      <c r="C2" s="2189"/>
      <c r="D2" s="2189"/>
      <c r="E2" s="2189"/>
      <c r="F2" s="2189"/>
      <c r="G2" s="2189"/>
      <c r="H2" s="2189"/>
      <c r="I2" s="2189"/>
      <c r="J2" s="2189"/>
      <c r="K2" s="2189"/>
      <c r="L2" s="2189"/>
      <c r="M2" s="2189"/>
      <c r="N2" s="2189"/>
      <c r="O2" s="2189"/>
      <c r="P2" s="2189"/>
      <c r="AZ2" s="1485" t="s">
        <v>7731</v>
      </c>
      <c r="BA2" s="1870">
        <v>0.12</v>
      </c>
    </row>
    <row r="3" spans="1:53" s="1736" customFormat="1" ht="15" x14ac:dyDescent="0.2">
      <c r="A3" s="2189"/>
      <c r="B3" s="5414" t="s">
        <v>10105</v>
      </c>
      <c r="C3" s="5415"/>
      <c r="D3" s="5415"/>
      <c r="E3" s="5415"/>
      <c r="F3" s="5415"/>
      <c r="G3" s="5415"/>
      <c r="H3" s="5415"/>
      <c r="I3" s="5415"/>
      <c r="J3" s="5415"/>
      <c r="K3" s="5415"/>
      <c r="L3" s="5415"/>
      <c r="M3" s="5415"/>
      <c r="N3" s="5415"/>
      <c r="O3" s="5416"/>
      <c r="P3" s="3712"/>
      <c r="R3" s="1736" t="s">
        <v>10106</v>
      </c>
      <c r="S3" s="1736">
        <v>100000</v>
      </c>
      <c r="U3" s="1736" t="s">
        <v>5552</v>
      </c>
      <c r="AB3" s="1974"/>
      <c r="AZ3" s="1485" t="s">
        <v>7732</v>
      </c>
      <c r="BA3" s="1870">
        <v>0.08</v>
      </c>
    </row>
    <row r="4" spans="1:53" s="1736" customFormat="1" ht="15.75" x14ac:dyDescent="0.25">
      <c r="A4" s="2247"/>
      <c r="B4" s="3755" t="s">
        <v>10525</v>
      </c>
      <c r="C4" s="3270"/>
      <c r="D4" s="3270"/>
      <c r="E4" s="3270"/>
      <c r="F4" s="3270"/>
      <c r="G4" s="3270"/>
      <c r="H4" s="3270"/>
      <c r="I4" s="3270"/>
      <c r="J4" s="3270"/>
      <c r="K4" s="3270"/>
      <c r="L4" s="3270"/>
      <c r="M4" s="3270"/>
      <c r="N4" s="3270"/>
      <c r="O4" s="3685"/>
      <c r="P4" s="3712"/>
      <c r="U4" s="1736" t="s">
        <v>4605</v>
      </c>
      <c r="AA4" s="1736" t="s">
        <v>4457</v>
      </c>
      <c r="AB4" s="1974"/>
      <c r="AZ4" s="3713" t="s">
        <v>7733</v>
      </c>
      <c r="BA4" s="1870">
        <v>0.1</v>
      </c>
    </row>
    <row r="5" spans="1:53" s="1736" customFormat="1" ht="18" customHeight="1" x14ac:dyDescent="0.25">
      <c r="A5" s="2189"/>
      <c r="B5" s="2189"/>
      <c r="C5" s="3714"/>
      <c r="D5" s="3715"/>
      <c r="E5" s="3716"/>
      <c r="F5" s="3715"/>
      <c r="G5" s="3715"/>
      <c r="H5" s="3715"/>
      <c r="I5" s="3715"/>
      <c r="J5" s="3715"/>
      <c r="K5" s="2166"/>
      <c r="L5" s="2166"/>
      <c r="M5" s="2166"/>
      <c r="N5" s="2166"/>
      <c r="O5" s="2166"/>
      <c r="P5" s="3712"/>
      <c r="U5" s="1736" t="s">
        <v>5551</v>
      </c>
      <c r="AA5" s="1736" t="s">
        <v>1736</v>
      </c>
      <c r="AB5" s="1974"/>
      <c r="AZ5" s="3713" t="s">
        <v>7734</v>
      </c>
      <c r="BA5" s="1870">
        <v>7.0000000000000007E-2</v>
      </c>
    </row>
    <row r="6" spans="1:53" s="1736" customFormat="1" ht="15.6" customHeight="1" x14ac:dyDescent="0.2">
      <c r="A6" s="2189"/>
      <c r="B6" s="5417" t="s">
        <v>10087</v>
      </c>
      <c r="C6" s="5417" t="s">
        <v>4606</v>
      </c>
      <c r="D6" s="3715"/>
      <c r="E6" s="3716"/>
      <c r="F6" s="5419" t="s">
        <v>10107</v>
      </c>
      <c r="G6" s="5410" t="s">
        <v>10108</v>
      </c>
      <c r="H6" s="5410" t="s">
        <v>10109</v>
      </c>
      <c r="I6" s="5421" t="s">
        <v>6087</v>
      </c>
      <c r="J6" s="5421"/>
      <c r="K6" s="5421"/>
      <c r="L6" s="5410" t="s">
        <v>10110</v>
      </c>
      <c r="M6" s="5410" t="s">
        <v>10111</v>
      </c>
      <c r="N6" s="5410" t="s">
        <v>10112</v>
      </c>
      <c r="O6" s="5410" t="s">
        <v>7638</v>
      </c>
      <c r="P6" s="2189"/>
      <c r="T6" s="1761">
        <f>U6-365</f>
      </c>
      <c r="U6" s="1761" t="str">
        <f>CONCATENATE(B_Sheet!C4, B_Sheet!D4, B_Sheet!E4)</f>
      </c>
      <c r="V6" s="1761">
        <v>44197</v>
      </c>
      <c r="X6" s="1761">
        <f>DATE(ya-1,12,31)</f>
      </c>
      <c r="AB6" s="1974"/>
      <c r="AZ6" s="1485" t="s">
        <v>7735</v>
      </c>
      <c r="BA6" s="1870">
        <v>0.05</v>
      </c>
    </row>
    <row r="7" spans="1:53" s="1736" customFormat="1" ht="63.75" customHeight="1" x14ac:dyDescent="0.25">
      <c r="A7" s="2189"/>
      <c r="B7" s="5418"/>
      <c r="C7" s="5418"/>
      <c r="D7" s="3715"/>
      <c r="E7" s="3716"/>
      <c r="F7" s="5420"/>
      <c r="G7" s="5411"/>
      <c r="H7" s="5411"/>
      <c r="I7" s="3717" t="s">
        <v>1805</v>
      </c>
      <c r="J7" s="3718" t="s">
        <v>6085</v>
      </c>
      <c r="K7" s="3718" t="s">
        <v>6086</v>
      </c>
      <c r="L7" s="5411"/>
      <c r="M7" s="5411"/>
      <c r="N7" s="5411"/>
      <c r="O7" s="5411"/>
      <c r="P7" s="3719"/>
      <c r="Q7" s="1736" t="s">
        <v>7439</v>
      </c>
      <c r="R7" s="1393" t="s">
        <v>7445</v>
      </c>
      <c r="S7" s="1778" t="s">
        <v>10113</v>
      </c>
      <c r="T7" s="1736" t="s">
        <v>10114</v>
      </c>
      <c r="AB7" s="2107"/>
      <c r="AZ7" s="3713" t="s">
        <v>7736</v>
      </c>
      <c r="BA7" s="1870">
        <v>0.1</v>
      </c>
    </row>
    <row r="8" spans="1:53" s="1736" customFormat="1" ht="16.149999999999999" customHeight="1" x14ac:dyDescent="0.25">
      <c r="A8" s="2189"/>
      <c r="B8" s="3558"/>
      <c r="C8" s="820"/>
      <c r="D8" s="3596"/>
      <c r="E8" s="2189"/>
      <c r="F8" s="364"/>
      <c r="G8" s="561"/>
      <c r="H8" s="561"/>
      <c r="I8" s="822"/>
      <c r="J8" s="823"/>
      <c r="K8" s="561"/>
      <c r="L8" s="3683">
        <f>IF(F8&gt;=$V$6, (H8+K8), IF(G8&lt;=$S$3,(H8+K8),IF(H8&gt;G8,0,ROUND((H8+K8)/G8*$S$3,0))))</f>
      </c>
      <c r="M8" s="3683">
        <f>(H8+K8-L8)</f>
      </c>
      <c r="N8" s="3683">
        <f>IF(F8&gt;=$V$6,IF(H8&gt;G8,0,G8-L8),IF(H8&gt;G8,0,IF(G8&gt;=$S$3,$S$3-L8,G8-L8)))</f>
      </c>
      <c r="O8" s="561"/>
      <c r="P8" s="3720" t="str">
        <f>IF(AND($S$1=0,R8&gt;0,R8&lt;&gt;7),$U$5,IF(AND($S$1="y",R8&gt;1,R8&lt;8),$U$5,IF(AND($U$1="n",R8&gt;1,R8&lt;7),$U$5,IF(AND($S$1="y",R8&gt;1,K8=""),$W$1,IF(AND(K8&gt;0,T8=0),$U$3,IF(AND($S$1="n",B8&lt;&gt;"")," Details of IT ref - Check Pg 2 Q 30",IF(OR(O8&gt;S8+1,O8&lt;S8-1),$U$4,"")))))))</f>
        <v/>
      </c>
      <c r="Q8" s="1736">
        <f>IF(P8="",0,1)</f>
      </c>
      <c r="R8" s="3721">
        <f>IF($S$1="y",COUNTA(B8,C8,F8,G8,H8,J8,K8,O8),COUNTA(C8,F8,G8,H8,J8,K8,O8))</f>
      </c>
      <c r="S8" s="3722">
        <f t="shared" ref="S8:S32" si="0">IF(N8=0,0,ROUND(N8*15%,0))</f>
      </c>
      <c r="T8" s="31">
        <f>COUNTA(I8:J8)</f>
      </c>
      <c r="X8" s="1983"/>
      <c r="AZ8" s="3713" t="s">
        <v>7737</v>
      </c>
      <c r="BA8" s="1870">
        <v>0.12</v>
      </c>
    </row>
    <row r="9" spans="1:53" s="1736" customFormat="1" ht="15" x14ac:dyDescent="0.2">
      <c r="A9" s="2189"/>
      <c r="B9" s="3558"/>
      <c r="C9" s="820"/>
      <c r="D9" s="3596"/>
      <c r="E9" s="2189"/>
      <c r="F9" s="364"/>
      <c r="G9" s="561"/>
      <c r="H9" s="561"/>
      <c r="I9" s="822"/>
      <c r="J9" s="823"/>
      <c r="K9" s="561"/>
      <c r="L9" s="3683">
        <f>IF(F9&gt;=$V$6, (H9+K9), IF(G9&lt;=$S$3,(H9+K9),IF(H9&gt;G9,0,ROUND((H9+K9)/G9*$S$3,0))))</f>
      </c>
      <c r="M9" s="3683">
        <f t="shared" ref="M9:M32" si="1">(H9+K9-L9)</f>
      </c>
      <c r="N9" s="3683">
        <f>IF(F9&gt;=$V$6,IF(H9&gt;G9,0,G9-L9),IF(H9&gt;G9,0,IF(G9&gt;=$S$3,$S$3-L9,G9-L9)))</f>
      </c>
      <c r="O9" s="561"/>
      <c r="P9" s="3720" t="str">
        <f t="shared" ref="P9:P32" si="2">IF(AND($S$1=0,R9&gt;0,R9&lt;&gt;7),$U$5,IF(AND($S$1="y",R9&gt;1,R9&lt;8),$U$5,IF(AND($U$1="n",R9&gt;1,R9&lt;7),$U$5,IF(AND($S$1="y",R9&gt;1,K9=""),$W$1,IF(AND(K9&gt;0,T9=0),$U$3,IF(AND($S$1="n",B9&lt;&gt;"")," Details of IT ref - Check Pg 2 Q 30",IF(OR(O9&gt;S9+1,O9&lt;S9-1),$U$4,"")))))))</f>
        <v/>
      </c>
      <c r="Q9" s="1736">
        <f t="shared" ref="Q9:Q32" si="3">IF(P9="",0,1)</f>
      </c>
      <c r="R9" s="3721">
        <f>IF($S$1="y",COUNTA(B9,C9,F9,G9,H9,J9,K9,O9),COUNTA(C9,F9,G9,H9,J9,K9,O9))</f>
      </c>
      <c r="S9" s="3722">
        <f t="shared" si="0"/>
        <v>0</v>
      </c>
      <c r="T9" s="31">
        <f t="shared" ref="T9:T32" si="4">COUNTA(I9:J9)</f>
      </c>
      <c r="X9" s="1983"/>
      <c r="AZ9" s="1485" t="s">
        <v>7738</v>
      </c>
      <c r="BA9" s="1870">
        <v>0.05</v>
      </c>
    </row>
    <row r="10" spans="1:53" s="1736" customFormat="1" ht="16.149999999999999" customHeight="1" x14ac:dyDescent="0.2">
      <c r="A10" s="2189"/>
      <c r="B10" s="3558"/>
      <c r="C10" s="820"/>
      <c r="D10" s="3596"/>
      <c r="E10" s="2189"/>
      <c r="F10" s="364"/>
      <c r="G10" s="561"/>
      <c r="H10" s="561"/>
      <c r="I10" s="822"/>
      <c r="J10" s="823"/>
      <c r="K10" s="561"/>
      <c r="L10" s="3683">
        <f t="shared" ref="L10:L32" si="5">IF(F10&gt;=$V$6, (H10+K10), IF(G10&lt;=$S$3,(H10+K10),IF(H10&gt;G10,0,ROUND((H10+K10)/G10*$S$3,0))))</f>
      </c>
      <c r="M10" s="3683">
        <f t="shared" si="1"/>
        <v>0</v>
      </c>
      <c r="N10" s="3683">
        <f t="shared" ref="N10:N32" si="6">IF(F10&gt;=$V$6,IF(H10&gt;G10,0,G10-L10),IF(H10&gt;G10,0,IF(G10&gt;=$S$3,$S$3-L10,G10-L10)))</f>
      </c>
      <c r="O10" s="561"/>
      <c r="P10" s="3720" t="str">
        <f t="shared" si="2"/>
        <v/>
      </c>
      <c r="Q10" s="1736">
        <f t="shared" si="3"/>
        <v>0</v>
      </c>
      <c r="R10" s="3721">
        <f t="shared" ref="R10:R32" si="7">IF($S$1="y",COUNTA(B10,C10,F10,G10,H10,J10,K10,O10),COUNTA(C10,F10,G10,H10,J10,K10,O10))</f>
      </c>
      <c r="S10" s="3722">
        <f t="shared" si="0"/>
        <v>0</v>
      </c>
      <c r="T10" s="31">
        <f t="shared" si="4"/>
        <v>0</v>
      </c>
      <c r="X10" s="1983"/>
    </row>
    <row r="11" spans="1:53" s="1736" customFormat="1" ht="16.149999999999999" customHeight="1" x14ac:dyDescent="0.2">
      <c r="A11" s="2189"/>
      <c r="B11" s="3558"/>
      <c r="C11" s="820"/>
      <c r="D11" s="3596"/>
      <c r="E11" s="2189"/>
      <c r="F11" s="364"/>
      <c r="G11" s="561"/>
      <c r="H11" s="561"/>
      <c r="I11" s="822"/>
      <c r="J11" s="823"/>
      <c r="K11" s="561"/>
      <c r="L11" s="3683">
        <f t="shared" si="5"/>
        <v>0</v>
      </c>
      <c r="M11" s="3683">
        <f t="shared" si="1"/>
        <v>0</v>
      </c>
      <c r="N11" s="3683">
        <f t="shared" si="6"/>
        <v>0</v>
      </c>
      <c r="O11" s="561"/>
      <c r="P11" s="3720" t="str">
        <f t="shared" si="2"/>
        <v/>
      </c>
      <c r="Q11" s="1736">
        <f t="shared" si="3"/>
        <v>0</v>
      </c>
      <c r="R11" s="3721">
        <f t="shared" si="7"/>
        <v>0</v>
      </c>
      <c r="S11" s="3722">
        <f t="shared" si="0"/>
        <v>0</v>
      </c>
      <c r="T11" s="31">
        <f t="shared" si="4"/>
        <v>0</v>
      </c>
      <c r="X11" s="1983"/>
    </row>
    <row r="12" spans="1:53" s="1736" customFormat="1" ht="16.149999999999999" customHeight="1" x14ac:dyDescent="0.2">
      <c r="A12" s="2189"/>
      <c r="B12" s="3558"/>
      <c r="C12" s="820"/>
      <c r="D12" s="3596"/>
      <c r="E12" s="2189"/>
      <c r="F12" s="364"/>
      <c r="G12" s="561"/>
      <c r="H12" s="561"/>
      <c r="I12" s="822"/>
      <c r="J12" s="823"/>
      <c r="K12" s="561"/>
      <c r="L12" s="3683">
        <f>IF(F12&gt;=$V$6, (H12+K12), IF(G12&lt;=$S$3,(H12+K12),IF(H12&gt;G12,0,ROUND((H12+K12)/G12*$S$3,0))))</f>
      </c>
      <c r="M12" s="3683">
        <f t="shared" si="1"/>
        <v>0</v>
      </c>
      <c r="N12" s="3683">
        <f t="shared" si="6"/>
        <v>0</v>
      </c>
      <c r="O12" s="561"/>
      <c r="P12" s="3720" t="str">
        <f t="shared" si="2"/>
        <v/>
      </c>
      <c r="Q12" s="1736">
        <f t="shared" si="3"/>
        <v>0</v>
      </c>
      <c r="R12" s="3721">
        <f t="shared" si="7"/>
        <v>0</v>
      </c>
      <c r="S12" s="3722">
        <f t="shared" si="0"/>
        <v>0</v>
      </c>
      <c r="T12" s="31">
        <f t="shared" si="4"/>
        <v>0</v>
      </c>
      <c r="X12" s="1983"/>
    </row>
    <row r="13" spans="1:53" s="1736" customFormat="1" ht="16.149999999999999" customHeight="1" x14ac:dyDescent="0.2">
      <c r="A13" s="2189"/>
      <c r="B13" s="3558"/>
      <c r="C13" s="820"/>
      <c r="D13" s="3596"/>
      <c r="E13" s="2189"/>
      <c r="F13" s="364"/>
      <c r="G13" s="561"/>
      <c r="H13" s="561"/>
      <c r="I13" s="822"/>
      <c r="J13" s="823"/>
      <c r="K13" s="561"/>
      <c r="L13" s="3683">
        <f t="shared" si="5"/>
        <v>0</v>
      </c>
      <c r="M13" s="3683">
        <f t="shared" si="1"/>
        <v>0</v>
      </c>
      <c r="N13" s="3683">
        <f t="shared" si="6"/>
        <v>0</v>
      </c>
      <c r="O13" s="561"/>
      <c r="P13" s="3720" t="str">
        <f t="shared" si="2"/>
        <v/>
      </c>
      <c r="Q13" s="1736">
        <f t="shared" si="3"/>
        <v>0</v>
      </c>
      <c r="R13" s="3721">
        <f t="shared" si="7"/>
        <v>0</v>
      </c>
      <c r="S13" s="3722">
        <f t="shared" si="0"/>
        <v>0</v>
      </c>
      <c r="T13" s="31">
        <f t="shared" si="4"/>
        <v>0</v>
      </c>
      <c r="X13" s="1983"/>
    </row>
    <row r="14" spans="1:53" s="1736" customFormat="1" ht="16.149999999999999" customHeight="1" x14ac:dyDescent="0.2">
      <c r="A14" s="2189"/>
      <c r="B14" s="3558"/>
      <c r="C14" s="820"/>
      <c r="D14" s="3596"/>
      <c r="E14" s="2189"/>
      <c r="F14" s="364"/>
      <c r="G14" s="561"/>
      <c r="H14" s="561"/>
      <c r="I14" s="822"/>
      <c r="J14" s="823"/>
      <c r="K14" s="561"/>
      <c r="L14" s="3683">
        <f t="shared" si="5"/>
        <v>0</v>
      </c>
      <c r="M14" s="3683">
        <f t="shared" si="1"/>
        <v>0</v>
      </c>
      <c r="N14" s="3683">
        <f t="shared" si="6"/>
        <v>0</v>
      </c>
      <c r="O14" s="561"/>
      <c r="P14" s="3720" t="str">
        <f t="shared" si="2"/>
        <v/>
      </c>
      <c r="Q14" s="1736">
        <f t="shared" si="3"/>
        <v>0</v>
      </c>
      <c r="R14" s="3721">
        <f t="shared" si="7"/>
        <v>0</v>
      </c>
      <c r="S14" s="3722">
        <f t="shared" si="0"/>
        <v>0</v>
      </c>
      <c r="T14" s="31">
        <f t="shared" si="4"/>
        <v>0</v>
      </c>
      <c r="X14" s="1983"/>
    </row>
    <row r="15" spans="1:53" s="1736" customFormat="1" ht="16.149999999999999" customHeight="1" x14ac:dyDescent="0.2">
      <c r="A15" s="2189"/>
      <c r="B15" s="3558"/>
      <c r="C15" s="820"/>
      <c r="D15" s="3596"/>
      <c r="E15" s="2189"/>
      <c r="F15" s="364"/>
      <c r="G15" s="561"/>
      <c r="H15" s="561"/>
      <c r="I15" s="822"/>
      <c r="J15" s="823"/>
      <c r="K15" s="561"/>
      <c r="L15" s="3683">
        <f t="shared" si="5"/>
        <v>0</v>
      </c>
      <c r="M15" s="3683">
        <f t="shared" si="1"/>
        <v>0</v>
      </c>
      <c r="N15" s="3683">
        <f t="shared" si="6"/>
        <v>0</v>
      </c>
      <c r="O15" s="561"/>
      <c r="P15" s="3720" t="str">
        <f t="shared" si="2"/>
        <v/>
      </c>
      <c r="Q15" s="1736">
        <f t="shared" si="3"/>
        <v>0</v>
      </c>
      <c r="R15" s="3721">
        <f t="shared" si="7"/>
        <v>0</v>
      </c>
      <c r="S15" s="3722">
        <f t="shared" si="0"/>
        <v>0</v>
      </c>
      <c r="T15" s="31">
        <f t="shared" si="4"/>
        <v>0</v>
      </c>
      <c r="X15" s="1983"/>
    </row>
    <row r="16" spans="1:53" s="1736" customFormat="1" ht="16.149999999999999" customHeight="1" x14ac:dyDescent="0.2">
      <c r="A16" s="2189"/>
      <c r="B16" s="3558"/>
      <c r="C16" s="820"/>
      <c r="D16" s="3596"/>
      <c r="E16" s="2189"/>
      <c r="F16" s="364"/>
      <c r="G16" s="561"/>
      <c r="H16" s="561"/>
      <c r="I16" s="822"/>
      <c r="J16" s="823"/>
      <c r="K16" s="561"/>
      <c r="L16" s="3683">
        <f t="shared" si="5"/>
        <v>0</v>
      </c>
      <c r="M16" s="3683">
        <f t="shared" si="1"/>
        <v>0</v>
      </c>
      <c r="N16" s="3683">
        <f t="shared" si="6"/>
        <v>0</v>
      </c>
      <c r="O16" s="561"/>
      <c r="P16" s="3720" t="str">
        <f t="shared" si="2"/>
        <v/>
      </c>
      <c r="Q16" s="1736">
        <f t="shared" si="3"/>
        <v>0</v>
      </c>
      <c r="R16" s="3721">
        <f t="shared" si="7"/>
        <v>0</v>
      </c>
      <c r="S16" s="3722">
        <f t="shared" si="0"/>
        <v>0</v>
      </c>
      <c r="T16" s="31">
        <f t="shared" si="4"/>
        <v>0</v>
      </c>
      <c r="X16" s="1983"/>
    </row>
    <row r="17" spans="1:24" s="1736" customFormat="1" ht="16.149999999999999" customHeight="1" x14ac:dyDescent="0.2">
      <c r="A17" s="2189"/>
      <c r="B17" s="3558"/>
      <c r="C17" s="820"/>
      <c r="D17" s="3596"/>
      <c r="E17" s="2189"/>
      <c r="F17" s="364"/>
      <c r="G17" s="561"/>
      <c r="H17" s="561"/>
      <c r="I17" s="822"/>
      <c r="J17" s="823"/>
      <c r="K17" s="561"/>
      <c r="L17" s="3683">
        <f t="shared" si="5"/>
        <v>0</v>
      </c>
      <c r="M17" s="3683">
        <f t="shared" si="1"/>
        <v>0</v>
      </c>
      <c r="N17" s="3683">
        <f t="shared" si="6"/>
        <v>0</v>
      </c>
      <c r="O17" s="561"/>
      <c r="P17" s="3720" t="str">
        <f t="shared" si="2"/>
        <v/>
      </c>
      <c r="Q17" s="1736">
        <f t="shared" si="3"/>
        <v>0</v>
      </c>
      <c r="R17" s="3721">
        <f t="shared" si="7"/>
        <v>0</v>
      </c>
      <c r="S17" s="3722">
        <f t="shared" si="0"/>
        <v>0</v>
      </c>
      <c r="T17" s="31">
        <f t="shared" si="4"/>
        <v>0</v>
      </c>
      <c r="X17" s="1983"/>
    </row>
    <row r="18" spans="1:24" s="1736" customFormat="1" ht="16.149999999999999" customHeight="1" x14ac:dyDescent="0.2">
      <c r="A18" s="2189"/>
      <c r="B18" s="3558"/>
      <c r="C18" s="820"/>
      <c r="D18" s="3596"/>
      <c r="E18" s="2189"/>
      <c r="F18" s="364"/>
      <c r="G18" s="561"/>
      <c r="H18" s="561"/>
      <c r="I18" s="822"/>
      <c r="J18" s="823"/>
      <c r="K18" s="561"/>
      <c r="L18" s="3683">
        <f t="shared" si="5"/>
        <v>0</v>
      </c>
      <c r="M18" s="3683">
        <f t="shared" si="1"/>
        <v>0</v>
      </c>
      <c r="N18" s="3683">
        <f t="shared" si="6"/>
        <v>0</v>
      </c>
      <c r="O18" s="561"/>
      <c r="P18" s="3720" t="str">
        <f t="shared" si="2"/>
        <v/>
      </c>
      <c r="Q18" s="1736">
        <f t="shared" si="3"/>
        <v>0</v>
      </c>
      <c r="R18" s="3721">
        <f t="shared" si="7"/>
        <v>0</v>
      </c>
      <c r="S18" s="3722">
        <f t="shared" si="0"/>
        <v>0</v>
      </c>
      <c r="T18" s="31">
        <f t="shared" si="4"/>
        <v>0</v>
      </c>
      <c r="X18" s="1983"/>
    </row>
    <row r="19" spans="1:24" s="1736" customFormat="1" ht="16.149999999999999" customHeight="1" x14ac:dyDescent="0.2">
      <c r="A19" s="2189"/>
      <c r="B19" s="3558"/>
      <c r="C19" s="820"/>
      <c r="D19" s="3596"/>
      <c r="E19" s="2189"/>
      <c r="F19" s="364"/>
      <c r="G19" s="561"/>
      <c r="H19" s="561"/>
      <c r="I19" s="822"/>
      <c r="J19" s="823"/>
      <c r="K19" s="561"/>
      <c r="L19" s="3683">
        <f t="shared" si="5"/>
        <v>0</v>
      </c>
      <c r="M19" s="3683">
        <f t="shared" si="1"/>
        <v>0</v>
      </c>
      <c r="N19" s="3683">
        <f t="shared" si="6"/>
        <v>0</v>
      </c>
      <c r="O19" s="561"/>
      <c r="P19" s="3720" t="str">
        <f t="shared" si="2"/>
        <v/>
      </c>
      <c r="Q19" s="1736">
        <f t="shared" si="3"/>
        <v>0</v>
      </c>
      <c r="R19" s="3721">
        <f t="shared" si="7"/>
        <v>0</v>
      </c>
      <c r="S19" s="3722">
        <f t="shared" si="0"/>
        <v>0</v>
      </c>
      <c r="T19" s="31">
        <f t="shared" si="4"/>
        <v>0</v>
      </c>
      <c r="X19" s="1983"/>
    </row>
    <row r="20" spans="1:24" s="1736" customFormat="1" ht="16.149999999999999" customHeight="1" x14ac:dyDescent="0.2">
      <c r="A20" s="2189"/>
      <c r="B20" s="3558"/>
      <c r="C20" s="820"/>
      <c r="D20" s="3596"/>
      <c r="E20" s="2189"/>
      <c r="F20" s="364"/>
      <c r="G20" s="561"/>
      <c r="H20" s="561"/>
      <c r="I20" s="822"/>
      <c r="J20" s="823"/>
      <c r="K20" s="561"/>
      <c r="L20" s="3683">
        <f t="shared" si="5"/>
        <v>0</v>
      </c>
      <c r="M20" s="3683">
        <f t="shared" si="1"/>
        <v>0</v>
      </c>
      <c r="N20" s="3683">
        <f t="shared" si="6"/>
        <v>0</v>
      </c>
      <c r="O20" s="561"/>
      <c r="P20" s="3720" t="str">
        <f t="shared" si="2"/>
        <v/>
      </c>
      <c r="Q20" s="1736">
        <f t="shared" si="3"/>
        <v>0</v>
      </c>
      <c r="R20" s="3721">
        <f t="shared" si="7"/>
        <v>0</v>
      </c>
      <c r="S20" s="3722">
        <f t="shared" si="0"/>
        <v>0</v>
      </c>
      <c r="T20" s="31">
        <f t="shared" si="4"/>
        <v>0</v>
      </c>
      <c r="X20" s="1983"/>
    </row>
    <row r="21" spans="1:24" s="1736" customFormat="1" ht="16.149999999999999" customHeight="1" x14ac:dyDescent="0.2">
      <c r="A21" s="2189"/>
      <c r="B21" s="3558"/>
      <c r="C21" s="820"/>
      <c r="D21" s="3596"/>
      <c r="E21" s="2189"/>
      <c r="F21" s="364"/>
      <c r="G21" s="561"/>
      <c r="H21" s="561"/>
      <c r="I21" s="822"/>
      <c r="J21" s="823"/>
      <c r="K21" s="561"/>
      <c r="L21" s="3683">
        <f t="shared" si="5"/>
        <v>0</v>
      </c>
      <c r="M21" s="3683">
        <f t="shared" si="1"/>
        <v>0</v>
      </c>
      <c r="N21" s="3683">
        <f t="shared" si="6"/>
        <v>0</v>
      </c>
      <c r="O21" s="561"/>
      <c r="P21" s="3720" t="str">
        <f t="shared" si="2"/>
        <v/>
      </c>
      <c r="Q21" s="1736">
        <f t="shared" si="3"/>
        <v>0</v>
      </c>
      <c r="R21" s="3721">
        <f t="shared" si="7"/>
        <v>0</v>
      </c>
      <c r="S21" s="3722">
        <f t="shared" si="0"/>
        <v>0</v>
      </c>
      <c r="T21" s="31">
        <f t="shared" si="4"/>
        <v>0</v>
      </c>
      <c r="X21" s="1983"/>
    </row>
    <row r="22" spans="1:24" s="1736" customFormat="1" ht="16.149999999999999" customHeight="1" x14ac:dyDescent="0.2">
      <c r="A22" s="2189"/>
      <c r="B22" s="3558"/>
      <c r="C22" s="820"/>
      <c r="D22" s="3596"/>
      <c r="E22" s="2189"/>
      <c r="F22" s="364"/>
      <c r="G22" s="561"/>
      <c r="H22" s="561"/>
      <c r="I22" s="822"/>
      <c r="J22" s="823"/>
      <c r="K22" s="561"/>
      <c r="L22" s="3683">
        <f t="shared" si="5"/>
        <v>0</v>
      </c>
      <c r="M22" s="3683">
        <f t="shared" si="1"/>
        <v>0</v>
      </c>
      <c r="N22" s="3683">
        <f t="shared" si="6"/>
        <v>0</v>
      </c>
      <c r="O22" s="561"/>
      <c r="P22" s="3720" t="str">
        <f t="shared" si="2"/>
        <v/>
      </c>
      <c r="Q22" s="1736">
        <f t="shared" si="3"/>
        <v>0</v>
      </c>
      <c r="R22" s="3721">
        <f t="shared" si="7"/>
        <v>0</v>
      </c>
      <c r="S22" s="3722">
        <f t="shared" si="0"/>
        <v>0</v>
      </c>
      <c r="T22" s="31">
        <f t="shared" si="4"/>
        <v>0</v>
      </c>
      <c r="X22" s="1983"/>
    </row>
    <row r="23" spans="1:24" s="1736" customFormat="1" ht="16.149999999999999" customHeight="1" x14ac:dyDescent="0.2">
      <c r="A23" s="2189"/>
      <c r="B23" s="3558"/>
      <c r="C23" s="820"/>
      <c r="D23" s="3596"/>
      <c r="E23" s="2189"/>
      <c r="F23" s="364"/>
      <c r="G23" s="561"/>
      <c r="H23" s="561"/>
      <c r="I23" s="822"/>
      <c r="J23" s="823"/>
      <c r="K23" s="561"/>
      <c r="L23" s="3683">
        <f t="shared" si="5"/>
        <v>0</v>
      </c>
      <c r="M23" s="3683">
        <f t="shared" si="1"/>
        <v>0</v>
      </c>
      <c r="N23" s="3683">
        <f t="shared" si="6"/>
        <v>0</v>
      </c>
      <c r="O23" s="561"/>
      <c r="P23" s="3720" t="str">
        <f t="shared" si="2"/>
        <v/>
      </c>
      <c r="Q23" s="1736">
        <f t="shared" si="3"/>
        <v>0</v>
      </c>
      <c r="R23" s="3721">
        <f t="shared" si="7"/>
        <v>0</v>
      </c>
      <c r="S23" s="3722">
        <f t="shared" si="0"/>
        <v>0</v>
      </c>
      <c r="T23" s="31">
        <f t="shared" si="4"/>
        <v>0</v>
      </c>
      <c r="X23" s="1983"/>
    </row>
    <row r="24" spans="1:24" s="1736" customFormat="1" ht="16.149999999999999" customHeight="1" x14ac:dyDescent="0.2">
      <c r="A24" s="2189"/>
      <c r="B24" s="3558"/>
      <c r="C24" s="820"/>
      <c r="D24" s="3596"/>
      <c r="E24" s="2189"/>
      <c r="F24" s="364"/>
      <c r="G24" s="561"/>
      <c r="H24" s="561"/>
      <c r="I24" s="822"/>
      <c r="J24" s="823"/>
      <c r="K24" s="561"/>
      <c r="L24" s="3683">
        <f t="shared" si="5"/>
        <v>0</v>
      </c>
      <c r="M24" s="3683">
        <f t="shared" si="1"/>
        <v>0</v>
      </c>
      <c r="N24" s="3683">
        <f t="shared" si="6"/>
        <v>0</v>
      </c>
      <c r="O24" s="561"/>
      <c r="P24" s="3720" t="str">
        <f t="shared" si="2"/>
        <v/>
      </c>
      <c r="Q24" s="1736">
        <f t="shared" si="3"/>
        <v>0</v>
      </c>
      <c r="R24" s="3721">
        <f t="shared" si="7"/>
        <v>0</v>
      </c>
      <c r="S24" s="3722">
        <f t="shared" si="0"/>
        <v>0</v>
      </c>
      <c r="T24" s="31">
        <f t="shared" si="4"/>
        <v>0</v>
      </c>
      <c r="X24" s="1983"/>
    </row>
    <row r="25" spans="1:24" s="1736" customFormat="1" ht="16.149999999999999" customHeight="1" x14ac:dyDescent="0.2">
      <c r="A25" s="2189"/>
      <c r="B25" s="3558"/>
      <c r="C25" s="820"/>
      <c r="D25" s="3596"/>
      <c r="E25" s="2189"/>
      <c r="F25" s="364"/>
      <c r="G25" s="561"/>
      <c r="H25" s="561"/>
      <c r="I25" s="822"/>
      <c r="J25" s="823"/>
      <c r="K25" s="561"/>
      <c r="L25" s="3683">
        <f t="shared" si="5"/>
        <v>0</v>
      </c>
      <c r="M25" s="3683">
        <f t="shared" si="1"/>
        <v>0</v>
      </c>
      <c r="N25" s="3683">
        <f t="shared" si="6"/>
        <v>0</v>
      </c>
      <c r="O25" s="561"/>
      <c r="P25" s="3720" t="str">
        <f t="shared" si="2"/>
        <v/>
      </c>
      <c r="Q25" s="1736">
        <f t="shared" si="3"/>
        <v>0</v>
      </c>
      <c r="R25" s="3721">
        <f t="shared" si="7"/>
        <v>0</v>
      </c>
      <c r="S25" s="3722">
        <f t="shared" si="0"/>
        <v>0</v>
      </c>
      <c r="T25" s="31">
        <f t="shared" si="4"/>
        <v>0</v>
      </c>
      <c r="X25" s="1983"/>
    </row>
    <row r="26" spans="1:24" s="1736" customFormat="1" ht="16.149999999999999" customHeight="1" x14ac:dyDescent="0.2">
      <c r="A26" s="2189"/>
      <c r="B26" s="3558"/>
      <c r="C26" s="820"/>
      <c r="D26" s="3596"/>
      <c r="E26" s="2189"/>
      <c r="F26" s="364"/>
      <c r="G26" s="561"/>
      <c r="H26" s="561"/>
      <c r="I26" s="822"/>
      <c r="J26" s="823"/>
      <c r="K26" s="561"/>
      <c r="L26" s="3683">
        <f t="shared" si="5"/>
        <v>0</v>
      </c>
      <c r="M26" s="3683">
        <f t="shared" si="1"/>
        <v>0</v>
      </c>
      <c r="N26" s="3683">
        <f t="shared" si="6"/>
        <v>0</v>
      </c>
      <c r="O26" s="561"/>
      <c r="P26" s="3720" t="str">
        <f t="shared" si="2"/>
        <v/>
      </c>
      <c r="Q26" s="1736">
        <f t="shared" si="3"/>
        <v>0</v>
      </c>
      <c r="R26" s="3721">
        <f t="shared" si="7"/>
        <v>0</v>
      </c>
      <c r="S26" s="3722">
        <f t="shared" si="0"/>
        <v>0</v>
      </c>
      <c r="T26" s="31">
        <f t="shared" si="4"/>
        <v>0</v>
      </c>
      <c r="X26" s="1983"/>
    </row>
    <row r="27" spans="1:24" s="1736" customFormat="1" ht="16.149999999999999" customHeight="1" x14ac:dyDescent="0.2">
      <c r="A27" s="2189"/>
      <c r="B27" s="3558"/>
      <c r="C27" s="820"/>
      <c r="D27" s="3596"/>
      <c r="E27" s="2189"/>
      <c r="F27" s="364"/>
      <c r="G27" s="561"/>
      <c r="H27" s="561"/>
      <c r="I27" s="822"/>
      <c r="J27" s="823"/>
      <c r="K27" s="561"/>
      <c r="L27" s="3683">
        <f t="shared" si="5"/>
        <v>0</v>
      </c>
      <c r="M27" s="3683">
        <f t="shared" si="1"/>
        <v>0</v>
      </c>
      <c r="N27" s="3683">
        <f t="shared" si="6"/>
        <v>0</v>
      </c>
      <c r="O27" s="561"/>
      <c r="P27" s="3720" t="str">
        <f t="shared" si="2"/>
        <v/>
      </c>
      <c r="Q27" s="1736">
        <f t="shared" si="3"/>
        <v>0</v>
      </c>
      <c r="R27" s="3721">
        <f t="shared" si="7"/>
        <v>0</v>
      </c>
      <c r="S27" s="3722">
        <f t="shared" si="0"/>
        <v>0</v>
      </c>
      <c r="T27" s="31">
        <f t="shared" si="4"/>
        <v>0</v>
      </c>
      <c r="X27" s="1983"/>
    </row>
    <row r="28" spans="1:24" s="1736" customFormat="1" ht="16.149999999999999" customHeight="1" x14ac:dyDescent="0.2">
      <c r="A28" s="2189"/>
      <c r="B28" s="3558"/>
      <c r="C28" s="820"/>
      <c r="D28" s="3596"/>
      <c r="E28" s="2189"/>
      <c r="F28" s="364"/>
      <c r="G28" s="561"/>
      <c r="H28" s="561"/>
      <c r="I28" s="822"/>
      <c r="J28" s="823"/>
      <c r="K28" s="561"/>
      <c r="L28" s="3683">
        <f t="shared" si="5"/>
        <v>0</v>
      </c>
      <c r="M28" s="3683">
        <f t="shared" si="1"/>
        <v>0</v>
      </c>
      <c r="N28" s="3683">
        <f t="shared" si="6"/>
        <v>0</v>
      </c>
      <c r="O28" s="561"/>
      <c r="P28" s="3720" t="str">
        <f t="shared" si="2"/>
        <v/>
      </c>
      <c r="Q28" s="1736">
        <f t="shared" si="3"/>
        <v>0</v>
      </c>
      <c r="R28" s="3721">
        <f t="shared" si="7"/>
        <v>0</v>
      </c>
      <c r="S28" s="3722">
        <f t="shared" si="0"/>
        <v>0</v>
      </c>
      <c r="T28" s="31">
        <f t="shared" si="4"/>
        <v>0</v>
      </c>
      <c r="X28" s="1983"/>
    </row>
    <row r="29" spans="1:24" s="1736" customFormat="1" ht="16.149999999999999" customHeight="1" x14ac:dyDescent="0.2">
      <c r="A29" s="2189"/>
      <c r="B29" s="3558"/>
      <c r="C29" s="820"/>
      <c r="D29" s="3596"/>
      <c r="E29" s="2189"/>
      <c r="F29" s="364"/>
      <c r="G29" s="561"/>
      <c r="H29" s="561"/>
      <c r="I29" s="822"/>
      <c r="J29" s="823"/>
      <c r="K29" s="561"/>
      <c r="L29" s="3683">
        <f t="shared" si="5"/>
        <v>0</v>
      </c>
      <c r="M29" s="3683">
        <f t="shared" si="1"/>
        <v>0</v>
      </c>
      <c r="N29" s="3683">
        <f t="shared" si="6"/>
        <v>0</v>
      </c>
      <c r="O29" s="561"/>
      <c r="P29" s="3720" t="str">
        <f t="shared" si="2"/>
        <v/>
      </c>
      <c r="Q29" s="1736">
        <f t="shared" si="3"/>
        <v>0</v>
      </c>
      <c r="R29" s="3721">
        <f t="shared" si="7"/>
        <v>0</v>
      </c>
      <c r="S29" s="3722">
        <f t="shared" si="0"/>
        <v>0</v>
      </c>
      <c r="T29" s="31">
        <f t="shared" si="4"/>
        <v>0</v>
      </c>
      <c r="X29" s="1983"/>
    </row>
    <row r="30" spans="1:24" s="1736" customFormat="1" ht="16.149999999999999" customHeight="1" x14ac:dyDescent="0.2">
      <c r="A30" s="2189"/>
      <c r="B30" s="3558"/>
      <c r="C30" s="820"/>
      <c r="D30" s="3596"/>
      <c r="E30" s="2189"/>
      <c r="F30" s="364"/>
      <c r="G30" s="561"/>
      <c r="H30" s="561"/>
      <c r="I30" s="822"/>
      <c r="J30" s="823"/>
      <c r="K30" s="561"/>
      <c r="L30" s="3683">
        <f t="shared" si="5"/>
        <v>0</v>
      </c>
      <c r="M30" s="3683">
        <f t="shared" si="1"/>
        <v>0</v>
      </c>
      <c r="N30" s="3683">
        <f t="shared" si="6"/>
        <v>0</v>
      </c>
      <c r="O30" s="561"/>
      <c r="P30" s="3720" t="str">
        <f t="shared" si="2"/>
        <v/>
      </c>
      <c r="Q30" s="1736">
        <f t="shared" si="3"/>
        <v>0</v>
      </c>
      <c r="R30" s="3721">
        <f t="shared" si="7"/>
        <v>0</v>
      </c>
      <c r="S30" s="3722">
        <f t="shared" si="0"/>
        <v>0</v>
      </c>
      <c r="T30" s="31">
        <f t="shared" si="4"/>
        <v>0</v>
      </c>
      <c r="X30" s="1983"/>
    </row>
    <row r="31" spans="1:24" s="1736" customFormat="1" ht="16.149999999999999" customHeight="1" x14ac:dyDescent="0.2">
      <c r="A31" s="2189"/>
      <c r="B31" s="3558"/>
      <c r="C31" s="820"/>
      <c r="D31" s="3596"/>
      <c r="E31" s="2189"/>
      <c r="F31" s="364"/>
      <c r="G31" s="1171"/>
      <c r="H31" s="1171"/>
      <c r="I31" s="1186"/>
      <c r="J31" s="823"/>
      <c r="K31" s="561"/>
      <c r="L31" s="3683">
        <f t="shared" si="5"/>
        <v>0</v>
      </c>
      <c r="M31" s="3683">
        <f t="shared" si="1"/>
        <v>0</v>
      </c>
      <c r="N31" s="3683">
        <f t="shared" si="6"/>
        <v>0</v>
      </c>
      <c r="O31" s="561"/>
      <c r="P31" s="3720" t="str">
        <f t="shared" si="2"/>
        <v/>
      </c>
      <c r="Q31" s="1736">
        <f t="shared" si="3"/>
        <v>0</v>
      </c>
      <c r="R31" s="3721">
        <f t="shared" si="7"/>
        <v>0</v>
      </c>
      <c r="S31" s="3722">
        <f t="shared" si="0"/>
        <v>0</v>
      </c>
      <c r="T31" s="31">
        <f t="shared" si="4"/>
        <v>0</v>
      </c>
      <c r="X31" s="1983"/>
    </row>
    <row r="32" spans="1:24" s="1736" customFormat="1" ht="16.149999999999999" customHeight="1" x14ac:dyDescent="0.2">
      <c r="A32" s="2189"/>
      <c r="B32" s="3558"/>
      <c r="C32" s="820"/>
      <c r="D32" s="3596"/>
      <c r="E32" s="2189"/>
      <c r="F32" s="364"/>
      <c r="G32" s="561"/>
      <c r="H32" s="561"/>
      <c r="I32" s="820"/>
      <c r="J32" s="823"/>
      <c r="K32" s="561"/>
      <c r="L32" s="3683">
        <f t="shared" si="5"/>
        <v>0</v>
      </c>
      <c r="M32" s="3683">
        <f t="shared" si="1"/>
        <v>0</v>
      </c>
      <c r="N32" s="3683">
        <f t="shared" si="6"/>
        <v>0</v>
      </c>
      <c r="O32" s="561"/>
      <c r="P32" s="3720" t="str">
        <f t="shared" si="2"/>
        <v/>
      </c>
      <c r="Q32" s="1736">
        <f t="shared" si="3"/>
        <v>0</v>
      </c>
      <c r="R32" s="3721">
        <f t="shared" si="7"/>
        <v>0</v>
      </c>
      <c r="S32" s="3722">
        <f t="shared" si="0"/>
        <v>0</v>
      </c>
      <c r="T32" s="31">
        <f t="shared" si="4"/>
        <v>0</v>
      </c>
      <c r="X32" s="1983"/>
    </row>
    <row r="33" spans="1:20" s="1736" customFormat="1" hidden="1" x14ac:dyDescent="0.2">
      <c r="A33" s="3719"/>
      <c r="B33" s="3719"/>
      <c r="C33" s="3719"/>
      <c r="D33" s="3719"/>
      <c r="E33" s="3719"/>
      <c r="F33" s="3719"/>
      <c r="G33" s="3719"/>
      <c r="H33" s="3719"/>
      <c r="I33" s="3719"/>
      <c r="J33" s="3719"/>
      <c r="K33" s="3719"/>
      <c r="L33" s="3719"/>
      <c r="M33" s="3719"/>
      <c r="N33" s="3719"/>
      <c r="O33" s="3719"/>
      <c r="P33" s="3719"/>
      <c r="T33" s="31"/>
    </row>
    <row r="34" spans="1:20" s="1736" customFormat="1" hidden="1" x14ac:dyDescent="0.2">
      <c r="A34" s="3719"/>
      <c r="B34" s="3719"/>
      <c r="C34" s="3719"/>
      <c r="D34" s="3719"/>
      <c r="E34" s="3719"/>
      <c r="F34" s="3719"/>
      <c r="G34" s="3719"/>
      <c r="H34" s="3719"/>
      <c r="I34" s="3719"/>
      <c r="J34" s="3719"/>
      <c r="K34" s="3719"/>
      <c r="L34" s="3719"/>
      <c r="M34" s="3719"/>
      <c r="N34" s="3719"/>
      <c r="O34" s="3719"/>
      <c r="P34" s="3719"/>
      <c r="T34" s="31"/>
    </row>
    <row r="35" spans="1:20" s="1736" customFormat="1" hidden="1" x14ac:dyDescent="0.2">
      <c r="A35" s="3719"/>
      <c r="B35" s="3719"/>
      <c r="C35" s="3719"/>
      <c r="D35" s="3719"/>
      <c r="E35" s="3719"/>
      <c r="F35" s="3719"/>
      <c r="G35" s="3719"/>
      <c r="H35" s="3719"/>
      <c r="I35" s="3719"/>
      <c r="J35" s="3719"/>
      <c r="K35" s="3719"/>
      <c r="L35" s="3719"/>
      <c r="M35" s="3719"/>
      <c r="N35" s="3719"/>
      <c r="O35" s="3719"/>
      <c r="P35" s="3719"/>
      <c r="T35" s="31"/>
    </row>
    <row r="36" spans="1:20" s="1736" customFormat="1" hidden="1" x14ac:dyDescent="0.2">
      <c r="A36" s="3719"/>
      <c r="B36" s="3719"/>
      <c r="C36" s="3719"/>
      <c r="D36" s="3719"/>
      <c r="E36" s="3719"/>
      <c r="F36" s="3719"/>
      <c r="G36" s="3719"/>
      <c r="H36" s="3719"/>
      <c r="I36" s="3719"/>
      <c r="J36" s="3719"/>
      <c r="K36" s="3719"/>
      <c r="L36" s="3719"/>
      <c r="M36" s="3719"/>
      <c r="N36" s="3719"/>
      <c r="O36" s="3719"/>
      <c r="P36" s="3719"/>
      <c r="T36" s="31"/>
    </row>
    <row r="37" spans="1:20" s="1736" customFormat="1" hidden="1" x14ac:dyDescent="0.2">
      <c r="A37" s="3719"/>
      <c r="B37" s="3719"/>
      <c r="C37" s="3719"/>
      <c r="D37" s="3719"/>
      <c r="E37" s="3719"/>
      <c r="F37" s="3719"/>
      <c r="G37" s="3719"/>
      <c r="H37" s="3719"/>
      <c r="I37" s="3719"/>
      <c r="J37" s="3719"/>
      <c r="K37" s="3719"/>
      <c r="L37" s="3719"/>
      <c r="M37" s="3719"/>
      <c r="N37" s="3719"/>
      <c r="O37" s="3719"/>
      <c r="P37" s="3719"/>
      <c r="T37" s="31"/>
    </row>
    <row r="38" spans="1:20" s="1736" customFormat="1" hidden="1" x14ac:dyDescent="0.2">
      <c r="A38" s="3719"/>
      <c r="B38" s="3719"/>
      <c r="C38" s="3719"/>
      <c r="D38" s="3719"/>
      <c r="E38" s="3719"/>
      <c r="F38" s="3719"/>
      <c r="G38" s="3719"/>
      <c r="H38" s="3719"/>
      <c r="I38" s="3719"/>
      <c r="J38" s="3719"/>
      <c r="K38" s="3719"/>
      <c r="L38" s="3719"/>
      <c r="M38" s="3719"/>
      <c r="N38" s="3719"/>
      <c r="O38" s="3719"/>
      <c r="P38" s="3719"/>
      <c r="T38" s="31"/>
    </row>
    <row r="39" spans="1:20" s="1736" customFormat="1" hidden="1" x14ac:dyDescent="0.2">
      <c r="A39" s="3719"/>
      <c r="B39" s="3719"/>
      <c r="C39" s="3719"/>
      <c r="D39" s="3719"/>
      <c r="E39" s="3719"/>
      <c r="F39" s="3719"/>
      <c r="G39" s="3719"/>
      <c r="H39" s="3719"/>
      <c r="I39" s="3719"/>
      <c r="J39" s="3719"/>
      <c r="K39" s="3719"/>
      <c r="L39" s="3719"/>
      <c r="M39" s="3719"/>
      <c r="N39" s="3719"/>
      <c r="O39" s="3719"/>
      <c r="P39" s="3719"/>
      <c r="T39" s="31"/>
    </row>
    <row r="40" spans="1:20" s="1736" customFormat="1" hidden="1" x14ac:dyDescent="0.2">
      <c r="A40" s="3719"/>
      <c r="B40" s="3719"/>
      <c r="C40" s="3719"/>
      <c r="D40" s="3719"/>
      <c r="E40" s="3719"/>
      <c r="F40" s="3719"/>
      <c r="G40" s="3719"/>
      <c r="H40" s="3719"/>
      <c r="I40" s="3719"/>
      <c r="J40" s="3719"/>
      <c r="K40" s="3719"/>
      <c r="L40" s="3719"/>
      <c r="M40" s="3719"/>
      <c r="N40" s="3719"/>
      <c r="O40" s="3719"/>
      <c r="P40" s="3719"/>
      <c r="T40" s="31"/>
    </row>
    <row r="41" spans="1:20" s="1736" customFormat="1" hidden="1" x14ac:dyDescent="0.2">
      <c r="A41" s="3719"/>
      <c r="B41" s="3719"/>
      <c r="C41" s="3719"/>
      <c r="D41" s="3719"/>
      <c r="E41" s="3719"/>
      <c r="F41" s="3719"/>
      <c r="G41" s="3719"/>
      <c r="H41" s="3719"/>
      <c r="I41" s="3719"/>
      <c r="J41" s="3719"/>
      <c r="K41" s="3719"/>
      <c r="L41" s="3719"/>
      <c r="M41" s="3719"/>
      <c r="N41" s="3719"/>
      <c r="O41" s="3719"/>
      <c r="P41" s="3719"/>
      <c r="T41" s="31"/>
    </row>
    <row r="42" spans="1:20" s="1736" customFormat="1" hidden="1" x14ac:dyDescent="0.2">
      <c r="A42" s="3719"/>
      <c r="B42" s="3719"/>
      <c r="C42" s="3719"/>
      <c r="D42" s="3719"/>
      <c r="E42" s="3719"/>
      <c r="F42" s="3719"/>
      <c r="G42" s="3719"/>
      <c r="H42" s="3719"/>
      <c r="I42" s="3719"/>
      <c r="J42" s="3719"/>
      <c r="K42" s="3719"/>
      <c r="L42" s="3719"/>
      <c r="M42" s="3719"/>
      <c r="N42" s="3719"/>
      <c r="O42" s="3719"/>
      <c r="P42" s="3719"/>
      <c r="T42" s="31"/>
    </row>
    <row r="43" spans="1:20" s="1736" customFormat="1" hidden="1" x14ac:dyDescent="0.2">
      <c r="A43" s="3719"/>
      <c r="B43" s="3719"/>
      <c r="C43" s="3719"/>
      <c r="D43" s="3719"/>
      <c r="E43" s="3719"/>
      <c r="F43" s="3719"/>
      <c r="G43" s="3719"/>
      <c r="H43" s="3719"/>
      <c r="I43" s="3719"/>
      <c r="J43" s="3719"/>
      <c r="K43" s="3719"/>
      <c r="L43" s="3719"/>
      <c r="M43" s="3719"/>
      <c r="N43" s="3719"/>
      <c r="O43" s="3719"/>
      <c r="P43" s="3719"/>
      <c r="T43" s="31"/>
    </row>
    <row r="44" spans="1:20" s="1736" customFormat="1" hidden="1" x14ac:dyDescent="0.2">
      <c r="A44" s="2189"/>
      <c r="B44" s="2189"/>
      <c r="C44" s="1942"/>
      <c r="D44" s="1942"/>
      <c r="E44" s="1942"/>
      <c r="F44" s="1942"/>
      <c r="G44" s="1942"/>
      <c r="H44" s="1942"/>
      <c r="I44" s="1942"/>
      <c r="J44" s="1942"/>
      <c r="K44" s="1942"/>
      <c r="L44" s="1942"/>
      <c r="M44" s="1942"/>
      <c r="N44" s="1942"/>
      <c r="O44" s="1942"/>
      <c r="P44" s="1942"/>
    </row>
    <row r="45" spans="1:20" s="1736" customFormat="1" hidden="1" x14ac:dyDescent="0.2">
      <c r="A45" s="2189"/>
      <c r="B45" s="2189"/>
      <c r="C45" s="1942"/>
      <c r="D45" s="1942"/>
      <c r="E45" s="1942"/>
      <c r="F45" s="1942"/>
      <c r="G45" s="1942"/>
      <c r="H45" s="1942"/>
      <c r="I45" s="1942"/>
      <c r="J45" s="1942"/>
      <c r="K45" s="1942"/>
      <c r="L45" s="1942"/>
      <c r="M45" s="1942"/>
      <c r="N45" s="1942"/>
      <c r="O45" s="1942"/>
      <c r="P45" s="1942"/>
    </row>
    <row r="46" spans="1:20" s="1736" customFormat="1" hidden="1" x14ac:dyDescent="0.2">
      <c r="A46" s="2189"/>
      <c r="B46" s="2189"/>
      <c r="C46" s="1942"/>
      <c r="D46" s="1942"/>
      <c r="E46" s="1942"/>
      <c r="F46" s="1942"/>
      <c r="G46" s="1942"/>
      <c r="H46" s="1942"/>
      <c r="I46" s="1942"/>
      <c r="J46" s="1942"/>
      <c r="K46" s="1942"/>
      <c r="L46" s="1942"/>
      <c r="M46" s="1942"/>
      <c r="N46" s="1942"/>
      <c r="O46" s="1942"/>
      <c r="P46" s="1942"/>
    </row>
    <row r="47" spans="1:20" s="1736" customFormat="1" hidden="1" x14ac:dyDescent="0.2">
      <c r="A47" s="2189"/>
      <c r="B47" s="2189"/>
      <c r="C47" s="1942"/>
      <c r="D47" s="1942"/>
      <c r="E47" s="1942"/>
      <c r="F47" s="1942"/>
      <c r="G47" s="1942"/>
      <c r="H47" s="1942"/>
      <c r="I47" s="1942"/>
      <c r="J47" s="1942"/>
      <c r="K47" s="1942"/>
      <c r="L47" s="1942"/>
      <c r="M47" s="1942"/>
      <c r="N47" s="1942"/>
      <c r="O47" s="1942"/>
      <c r="P47" s="1942"/>
    </row>
    <row r="48" spans="1:20" s="1736" customFormat="1" hidden="1" x14ac:dyDescent="0.2">
      <c r="A48" s="2189"/>
      <c r="B48" s="2189"/>
      <c r="C48" s="1942"/>
      <c r="D48" s="1942"/>
      <c r="E48" s="1942"/>
      <c r="F48" s="1942"/>
      <c r="G48" s="1942"/>
      <c r="H48" s="1942"/>
      <c r="I48" s="1942"/>
      <c r="J48" s="1942"/>
      <c r="K48" s="1942"/>
      <c r="L48" s="1942"/>
      <c r="M48" s="1942"/>
      <c r="N48" s="1942"/>
      <c r="O48" s="1942"/>
      <c r="P48" s="1942"/>
    </row>
    <row r="49" spans="1:30" s="1736" customFormat="1" hidden="1" x14ac:dyDescent="0.2">
      <c r="A49" s="2189"/>
      <c r="B49" s="2189"/>
      <c r="C49" s="1942"/>
      <c r="D49" s="1942"/>
      <c r="E49" s="1942"/>
      <c r="F49" s="1942"/>
      <c r="G49" s="1942"/>
      <c r="H49" s="1942"/>
      <c r="I49" s="1942"/>
      <c r="J49" s="1942"/>
      <c r="K49" s="1942"/>
      <c r="L49" s="1942"/>
      <c r="M49" s="1942"/>
      <c r="N49" s="1942"/>
      <c r="O49" s="1942"/>
      <c r="P49" s="1942"/>
    </row>
    <row r="50" spans="1:30" s="1736" customFormat="1" hidden="1" x14ac:dyDescent="0.2">
      <c r="A50" s="2189"/>
      <c r="B50" s="2189"/>
      <c r="C50" s="1942"/>
      <c r="D50" s="1942"/>
      <c r="E50" s="1942"/>
      <c r="F50" s="1942"/>
      <c r="G50" s="1942"/>
      <c r="H50" s="1942"/>
      <c r="I50" s="1942"/>
      <c r="J50" s="1942"/>
      <c r="K50" s="1942"/>
      <c r="L50" s="1942"/>
      <c r="M50" s="1942"/>
      <c r="N50" s="1942"/>
      <c r="O50" s="1942"/>
      <c r="P50" s="1942"/>
    </row>
    <row r="51" spans="1:30" s="1736" customFormat="1" hidden="1" x14ac:dyDescent="0.2">
      <c r="A51" s="2189"/>
      <c r="B51" s="2189"/>
      <c r="C51" s="1942"/>
      <c r="D51" s="1942"/>
      <c r="E51" s="1942"/>
      <c r="F51" s="1942"/>
      <c r="G51" s="1942"/>
      <c r="H51" s="1942"/>
      <c r="I51" s="1942"/>
      <c r="J51" s="1942"/>
      <c r="K51" s="1942"/>
      <c r="L51" s="1942"/>
      <c r="M51" s="1942"/>
      <c r="N51" s="1942"/>
      <c r="O51" s="1942"/>
      <c r="P51" s="1942"/>
    </row>
    <row r="52" spans="1:30" s="1736" customFormat="1" hidden="1" x14ac:dyDescent="0.2">
      <c r="A52" s="2189"/>
      <c r="B52" s="2189"/>
      <c r="C52" s="1942"/>
      <c r="D52" s="1942"/>
      <c r="E52" s="1942"/>
      <c r="F52" s="1942"/>
      <c r="G52" s="1942"/>
      <c r="H52" s="1942"/>
      <c r="I52" s="1942"/>
      <c r="J52" s="1942"/>
      <c r="K52" s="1942"/>
      <c r="L52" s="1942"/>
      <c r="M52" s="1942"/>
      <c r="N52" s="1942"/>
      <c r="O52" s="1942"/>
      <c r="P52" s="1942"/>
    </row>
    <row r="53" spans="1:30" s="1736" customFormat="1" hidden="1" x14ac:dyDescent="0.2">
      <c r="A53" s="2189"/>
      <c r="B53" s="2189"/>
      <c r="C53" s="1942"/>
      <c r="D53" s="1942"/>
      <c r="E53" s="1942"/>
      <c r="F53" s="1942"/>
      <c r="G53" s="1942"/>
      <c r="H53" s="1942"/>
      <c r="I53" s="1942"/>
      <c r="J53" s="1942"/>
      <c r="K53" s="1942"/>
      <c r="L53" s="1942"/>
      <c r="M53" s="1942"/>
      <c r="N53" s="1942"/>
      <c r="O53" s="1942"/>
      <c r="P53" s="1942"/>
    </row>
    <row r="54" spans="1:30" s="1736" customFormat="1" x14ac:dyDescent="0.2">
      <c r="A54" s="2189"/>
      <c r="B54" s="2189"/>
      <c r="C54" s="2189"/>
      <c r="D54" s="2189"/>
      <c r="E54" s="2189"/>
      <c r="F54" s="2189"/>
      <c r="G54" s="2189"/>
      <c r="H54" s="2189"/>
      <c r="I54" s="2189"/>
      <c r="J54" s="2189"/>
      <c r="K54" s="2189"/>
      <c r="L54" s="2189"/>
      <c r="M54" s="2189"/>
      <c r="N54" s="2189"/>
      <c r="O54" s="2189"/>
      <c r="P54" s="2189"/>
      <c r="T54" s="31"/>
      <c r="U54" s="46"/>
    </row>
    <row r="55" spans="1:30" s="206" customFormat="1" ht="12" x14ac:dyDescent="0.2">
      <c r="A55" s="3723"/>
      <c r="B55" s="3723"/>
      <c r="C55" s="3724" t="s">
        <v>5590</v>
      </c>
      <c r="D55" s="3723"/>
      <c r="E55" s="3723"/>
      <c r="F55" s="3725"/>
      <c r="G55" s="3726">
        <f>SUM(G8:G32)</f>
      </c>
      <c r="H55" s="3726">
        <f>SUM(H8:H32)</f>
      </c>
      <c r="I55" s="3723"/>
      <c r="J55" s="2189"/>
      <c r="K55" s="3726">
        <f>SUM(K8:K32)</f>
      </c>
      <c r="L55" s="3726">
        <f>SUM(L8:L32)</f>
      </c>
      <c r="M55" s="3726">
        <f>SUM(M8:M32)</f>
      </c>
      <c r="N55" s="3726">
        <f>SUM(N8:N32)</f>
      </c>
      <c r="O55" s="3726">
        <f>SUM(O8:O32)</f>
      </c>
      <c r="P55" s="3727"/>
      <c r="T55" s="206">
        <v>0</v>
      </c>
    </row>
    <row r="56" spans="1:30" s="1736" customFormat="1" x14ac:dyDescent="0.2">
      <c r="A56" s="2189"/>
      <c r="B56" s="2189"/>
      <c r="C56" s="2189"/>
      <c r="D56" s="2189"/>
      <c r="E56" s="2189"/>
      <c r="F56" s="2189"/>
      <c r="G56" s="2189"/>
      <c r="H56" s="2189"/>
      <c r="I56" s="2189"/>
      <c r="J56" s="2189"/>
      <c r="K56" s="2189"/>
      <c r="L56" s="2189"/>
      <c r="M56" s="2189"/>
      <c r="N56" s="3728" t="s">
        <v>3130</v>
      </c>
      <c r="O56" s="2189"/>
      <c r="P56" s="2189"/>
      <c r="R56" s="206"/>
      <c r="T56" s="31"/>
      <c r="U56" s="46"/>
    </row>
    <row r="57" spans="1:30" s="1736" customFormat="1" ht="16.149999999999999" customHeight="1" x14ac:dyDescent="0.2">
      <c r="A57" s="2189"/>
      <c r="B57" s="2189"/>
      <c r="C57" s="5412" t="s">
        <v>10115</v>
      </c>
      <c r="D57" s="5412"/>
      <c r="E57" s="5412"/>
      <c r="F57" s="5412"/>
      <c r="G57" s="5412"/>
      <c r="H57" s="5412"/>
      <c r="I57" s="5412"/>
      <c r="J57" s="3728" t="s">
        <v>4798</v>
      </c>
      <c r="K57" s="2374"/>
      <c r="L57" s="3729" t="str">
        <f>IF(AND(R65&gt;0,K57=""),re,IF(AND(R65&gt;0,K58&lt;&gt;K57),"Check!",""))</f>
        <v/>
      </c>
      <c r="M57" s="3730"/>
      <c r="N57" s="2189"/>
      <c r="O57" s="2189"/>
      <c r="P57" s="2189"/>
      <c r="Q57" s="1736">
        <f>IF(L57="",0,1)</f>
      </c>
      <c r="R57" s="3721">
        <f>COUNTA(K57)</f>
      </c>
      <c r="T57" s="31"/>
      <c r="U57" s="46"/>
    </row>
    <row r="58" spans="1:30" s="1736" customFormat="1" x14ac:dyDescent="0.2">
      <c r="A58" s="2189"/>
      <c r="B58" s="2189"/>
      <c r="C58" s="2189"/>
      <c r="D58" s="2189"/>
      <c r="E58" s="2189"/>
      <c r="F58" s="2189"/>
      <c r="G58" s="2189"/>
      <c r="H58" s="2189"/>
      <c r="I58" s="2189"/>
      <c r="J58" s="2189"/>
      <c r="K58" s="3731">
        <f>N55-O55</f>
      </c>
      <c r="L58" s="2189"/>
      <c r="M58" s="2189"/>
      <c r="N58" s="2189"/>
      <c r="O58" s="2189"/>
      <c r="P58" s="2189"/>
      <c r="T58" s="31"/>
      <c r="U58" s="46"/>
      <c r="AD58" s="1345">
        <v>0</v>
      </c>
    </row>
    <row r="59" spans="1:30" s="1736" customFormat="1" x14ac:dyDescent="0.2">
      <c r="A59" s="2189"/>
      <c r="B59" s="2189"/>
      <c r="C59" s="2785" t="s">
        <v>757</v>
      </c>
      <c r="D59" s="2189"/>
      <c r="E59" s="2189"/>
      <c r="F59" s="2189"/>
      <c r="G59" s="2189"/>
      <c r="H59" s="2189"/>
      <c r="I59" s="2189"/>
      <c r="J59" s="2189"/>
      <c r="K59" s="3684"/>
      <c r="L59" s="2188" t="str">
        <f>IF(AND(R65&gt;0,K59=""),re,IF(AND(K59="no",R65&gt;0),"No benefit!",""))</f>
        <v/>
      </c>
      <c r="M59" s="3728"/>
      <c r="N59" s="2189"/>
      <c r="O59" s="2189"/>
      <c r="P59" s="2189"/>
      <c r="Q59" s="1736">
        <f>IF(L59="",0,1)</f>
      </c>
      <c r="R59" s="3721">
        <f>COUNTA(K59)</f>
      </c>
      <c r="T59" s="31"/>
      <c r="U59" s="193"/>
    </row>
    <row r="60" spans="1:30" s="1736" customFormat="1" x14ac:dyDescent="0.2">
      <c r="A60" s="2189"/>
      <c r="B60" s="2189"/>
      <c r="C60" s="2785"/>
      <c r="D60" s="2189"/>
      <c r="E60" s="2189"/>
      <c r="F60" s="2189"/>
      <c r="G60" s="2189"/>
      <c r="H60" s="2189"/>
      <c r="I60" s="2189"/>
      <c r="J60" s="2189"/>
      <c r="K60" s="2189"/>
      <c r="L60" s="2188"/>
      <c r="M60" s="3728"/>
      <c r="N60" s="2189"/>
      <c r="O60" s="2189"/>
      <c r="P60" s="2189"/>
      <c r="R60" s="3721"/>
      <c r="T60" s="31"/>
      <c r="U60" s="193"/>
    </row>
    <row r="61" spans="1:30" s="1736" customFormat="1" x14ac:dyDescent="0.2">
      <c r="A61" s="2189"/>
      <c r="B61" s="2189"/>
      <c r="C61" s="2189"/>
      <c r="D61" s="2189"/>
      <c r="E61" s="2189"/>
      <c r="F61" s="2189"/>
      <c r="G61" s="2189"/>
      <c r="H61" s="2189"/>
      <c r="I61" s="2189"/>
      <c r="J61" s="2189"/>
      <c r="K61" s="2189"/>
      <c r="L61" s="3728"/>
      <c r="M61" s="3728"/>
      <c r="N61" s="2189"/>
      <c r="O61" s="2189"/>
      <c r="P61" s="2189"/>
      <c r="T61" s="31"/>
      <c r="U61" s="193"/>
    </row>
    <row r="62" spans="1:30" s="1736" customFormat="1" x14ac:dyDescent="0.2">
      <c r="A62" s="2189"/>
      <c r="B62" s="2189"/>
      <c r="C62" s="2189"/>
      <c r="D62" s="2189"/>
      <c r="E62" s="2189"/>
      <c r="F62" s="2189"/>
      <c r="G62" s="2189"/>
      <c r="H62" s="3732"/>
      <c r="I62" s="3732" t="str">
        <f>COM</f>
      </c>
      <c r="J62" s="275"/>
      <c r="K62" s="2189"/>
      <c r="L62" s="3728"/>
      <c r="M62" s="3728"/>
      <c r="N62" s="2189"/>
      <c r="O62" s="2189"/>
      <c r="P62" s="2189"/>
      <c r="Q62" s="1736">
        <f>IF(K62="",0,1)</f>
      </c>
      <c r="R62" s="3721">
        <f>COUNTA(K62)</f>
      </c>
      <c r="T62" s="31"/>
      <c r="U62" s="193"/>
    </row>
    <row r="63" spans="1:30" s="1736" customFormat="1" ht="6" customHeight="1" x14ac:dyDescent="0.2">
      <c r="A63" s="2189"/>
      <c r="B63" s="2189"/>
      <c r="C63" s="2189"/>
      <c r="D63" s="2189"/>
      <c r="E63" s="2189"/>
      <c r="F63" s="2189"/>
      <c r="G63" s="2189"/>
      <c r="H63" s="2189"/>
      <c r="I63" s="2189"/>
      <c r="J63" s="2189"/>
      <c r="K63" s="2189"/>
      <c r="L63" s="3728"/>
      <c r="M63" s="3728"/>
      <c r="N63" s="2189"/>
      <c r="O63" s="2189"/>
      <c r="P63" s="2189"/>
      <c r="T63" s="31"/>
      <c r="U63" s="193"/>
    </row>
    <row r="64" spans="1:30" s="1736" customFormat="1" ht="6" customHeight="1" x14ac:dyDescent="0.2">
      <c r="A64" s="2189"/>
      <c r="B64" s="2189"/>
      <c r="C64" s="2189"/>
      <c r="D64" s="2189"/>
      <c r="E64" s="2189"/>
      <c r="F64" s="2189"/>
      <c r="G64" s="2189"/>
      <c r="H64" s="2189"/>
      <c r="I64" s="2189"/>
      <c r="J64" s="2189"/>
      <c r="K64" s="2189"/>
      <c r="L64" s="3728"/>
      <c r="M64" s="3728"/>
      <c r="N64" s="2189"/>
      <c r="O64" s="2189"/>
      <c r="P64" s="2189"/>
      <c r="T64" s="31"/>
      <c r="U64" s="193"/>
    </row>
    <row r="65" spans="1:18" s="1736" customFormat="1" ht="16.149999999999999" customHeight="1" x14ac:dyDescent="0.2">
      <c r="A65" s="2189"/>
      <c r="B65" s="3733" t="s">
        <v>10574</v>
      </c>
      <c r="C65" s="1942"/>
      <c r="D65" s="3716"/>
      <c r="E65" s="3716"/>
      <c r="F65" s="3733"/>
      <c r="G65" s="3733"/>
      <c r="H65" s="3733"/>
      <c r="I65" s="3733" t="str">
        <f>ver</f>
        <v>TA2_e-CO_2025_Ver 1.1</v>
      </c>
      <c r="J65" s="3733"/>
      <c r="K65" s="3716"/>
      <c r="L65" s="3716"/>
      <c r="M65" s="3716"/>
      <c r="N65" s="3716"/>
      <c r="O65" s="3716" t="s">
        <v>10116</v>
      </c>
      <c r="P65" s="2189"/>
      <c r="Q65" s="1736">
        <f>SUM(Q8:Q63)</f>
      </c>
      <c r="R65" s="1736">
        <f>SUM(R8:R63)</f>
      </c>
    </row>
    <row r="66" spans="1:18" s="1736" customFormat="1" hidden="1" x14ac:dyDescent="0.2">
      <c r="A66" s="2189"/>
      <c r="B66" s="2189"/>
      <c r="C66" s="3734"/>
      <c r="D66" s="3734"/>
      <c r="E66" s="3735"/>
      <c r="F66" s="3736"/>
      <c r="G66" s="1941" t="s">
        <v>1020</v>
      </c>
      <c r="H66" s="1942"/>
      <c r="I66" s="1942"/>
      <c r="J66" s="1942"/>
      <c r="K66" s="2189"/>
      <c r="L66" s="2189"/>
      <c r="M66" s="2189"/>
      <c r="N66" s="2189"/>
      <c r="O66" s="2189"/>
      <c r="P66" s="2189"/>
    </row>
    <row r="67" spans="1:18" s="1736" customFormat="1" ht="16.149999999999999" customHeight="1" x14ac:dyDescent="0.2">
      <c r="A67" s="2189"/>
      <c r="B67" s="2189"/>
      <c r="C67" s="1942"/>
      <c r="D67" s="1942"/>
      <c r="E67" s="1942"/>
      <c r="F67" s="1942"/>
      <c r="G67" s="1942"/>
      <c r="H67" s="1942"/>
      <c r="I67" s="1942"/>
      <c r="J67" s="1942"/>
      <c r="K67" s="2189"/>
      <c r="L67" s="2189"/>
      <c r="M67" s="2189"/>
      <c r="N67" s="2189"/>
      <c r="O67" s="2189"/>
      <c r="P67" s="2189"/>
    </row>
    <row r="68" spans="1:18" s="1736" customFormat="1" ht="16.149999999999999" customHeight="1" x14ac:dyDescent="0.25">
      <c r="A68" s="2189"/>
      <c r="B68" s="3644" t="s">
        <v>6290</v>
      </c>
      <c r="C68" s="3644"/>
      <c r="D68" s="3644"/>
      <c r="E68" s="3644"/>
      <c r="F68" s="1942"/>
      <c r="G68" s="3644"/>
      <c r="H68" s="3644"/>
      <c r="I68" s="3644"/>
      <c r="J68" s="3644"/>
      <c r="K68" s="2189"/>
      <c r="L68" s="2189"/>
      <c r="M68" s="2189"/>
      <c r="N68" s="2189"/>
      <c r="O68" s="2189"/>
      <c r="P68" s="2189"/>
      <c r="Q68" s="3737">
        <f>IF(R65=0,0,IF(Q65&lt;&gt;0,100,IF(J62="Yes",1,100)))</f>
      </c>
    </row>
    <row r="69" spans="1:18" ht="16.149999999999999" customHeight="1" x14ac:dyDescent="0.2">
      <c r="A69" s="2189"/>
      <c r="B69" s="2189"/>
      <c r="C69" s="2189"/>
      <c r="D69" s="2189"/>
      <c r="E69" s="2189"/>
      <c r="F69" s="2189"/>
      <c r="G69" s="2189"/>
      <c r="H69" s="2189"/>
      <c r="I69" s="2189"/>
      <c r="J69" s="2189"/>
      <c r="K69" s="2189"/>
      <c r="L69" s="2189"/>
      <c r="M69" s="2189"/>
      <c r="N69" s="2189"/>
      <c r="O69" s="2189"/>
    </row>
    <row r="70" spans="1:18" ht="16.149999999999999" hidden="1" customHeight="1" x14ac:dyDescent="0.2"/>
    <row r="71" spans="1:18" ht="16.149999999999999" hidden="1" customHeight="1" x14ac:dyDescent="0.2"/>
    <row r="72" spans="1:18" ht="16.149999999999999" hidden="1" customHeight="1" x14ac:dyDescent="0.2"/>
    <row r="73" spans="1:18" ht="16.149999999999999" hidden="1" customHeight="1" x14ac:dyDescent="0.2"/>
    <row r="74" spans="1:18" ht="16.149999999999999" hidden="1" customHeight="1" x14ac:dyDescent="0.2"/>
    <row r="75" spans="1:18" ht="16.149999999999999" hidden="1" customHeight="1" x14ac:dyDescent="0.2">
      <c r="A75" s="46" t="s">
        <v>4457</v>
      </c>
    </row>
    <row r="76" spans="1:18" ht="16.149999999999999" hidden="1" customHeight="1" x14ac:dyDescent="0.2">
      <c r="A76" s="46" t="s">
        <v>1736</v>
      </c>
    </row>
  </sheetData>
  <sheetProtection algorithmName="SHA-512" hashValue="Oa0WuvKPa1ATpctGoLF6f4B0baM3NGkAQAtBFDTQATHwfLmcILC6gKxrt/cg+LKZXlhia67yDVtlqLlnt2W3Xw==" saltValue="bdQTnho8imVSpcPYqroZbA==" spinCount="100000" sheet="1" objects="1" scenarios="1"/>
  <mergeCells count="13">
    <mergeCell ref="M6:M7"/>
    <mergeCell ref="N6:N7"/>
    <mergeCell ref="O6:O7"/>
    <mergeCell ref="C57:I57"/>
    <mergeCell ref="B1:N1"/>
    <mergeCell ref="B3:O3"/>
    <mergeCell ref="B6:B7"/>
    <mergeCell ref="C6:C7"/>
    <mergeCell ref="F6:F7"/>
    <mergeCell ref="G6:G7"/>
    <mergeCell ref="H6:H7"/>
    <mergeCell ref="I6:K6"/>
    <mergeCell ref="L6:L7"/>
  </mergeCells>
  <conditionalFormatting sqref="B8:B32">
    <cfRule type="expression" dxfId="107" priority="1">
      <formula>$U$1="n"</formula>
    </cfRule>
  </conditionalFormatting>
  <dataValidations count="14">
    <dataValidation type="list" allowBlank="1" showInputMessage="1" showErrorMessage="1" errorTitle="Choose item from Dropdown list! " sqref="J62" xr:uid="{00000000-0002-0000-6B00-000000000000}">
      <formula1>$AA$3:$AA$5</formula1>
    </dataValidation>
    <dataValidation type="list" allowBlank="1" showInputMessage="1" showErrorMessage="1" sqref="K59" xr:uid="{00000000-0002-0000-6B00-000001000000}">
      <formula1>yn</formula1>
    </dataValidation>
    <dataValidation type="whole" operator="greaterThanOrEqual" allowBlank="1" showInputMessage="1" showErrorMessage="1" errorTitle="FWT paid" error="Please enter a positive value!" promptTitle="FWT paid" prompt="Always Required or 0!" sqref="O8:O32" xr:uid="{00000000-0002-0000-6B00-000002000000}">
      <formula1>0</formula1>
    </dataValidation>
    <dataValidation allowBlank="1" showErrorMessage="1" sqref="L8:N32" xr:uid="{00000000-0002-0000-6B00-000003000000}"/>
    <dataValidation type="whole" operator="greaterThanOrEqual" allowBlank="1" showErrorMessage="1" errorTitle="Other portion of general costs" error="Please enter a positive value!" prompt="Required or 0" sqref="S8:S32" xr:uid="{00000000-0002-0000-6B00-000004000000}">
      <formula1>0</formula1>
    </dataValidation>
    <dataValidation type="list" allowBlank="1" showInputMessage="1" showErrorMessage="1" sqref="B8:B32" xr:uid="{00000000-0002-0000-6B00-000005000000}">
      <formula1>FU</formula1>
    </dataValidation>
    <dataValidation type="whole" operator="greaterThanOrEqual" allowBlank="1" showInputMessage="1" showErrorMessage="1" errorTitle="Brokerage fees paid" error="Please enter a positive value!" promptTitle="Amount paid for brokerage" prompt="Always Required or 0!" sqref="K8:K32" xr:uid="{00000000-0002-0000-6B00-000006000000}">
      <formula1>0</formula1>
    </dataValidation>
    <dataValidation type="textLength" operator="greaterThanOrEqual" allowBlank="1" showInputMessage="1" showErrorMessage="1" errorTitle="Income Tax reference number" error="Please enter the correct reference number!" sqref="J8:J32" xr:uid="{00000000-0002-0000-6B00-000007000000}">
      <formula1>4</formula1>
    </dataValidation>
    <dataValidation type="textLength" operator="greaterThanOrEqual" allowBlank="1" showInputMessage="1" showErrorMessage="1" errorTitle="Name of broker" error="Please enter the correct details!" sqref="I8:I32" xr:uid="{00000000-0002-0000-6B00-000008000000}">
      <formula1>6</formula1>
    </dataValidation>
    <dataValidation type="whole" operator="greaterThanOrEqual" allowBlank="1" showInputMessage="1" showErrorMessage="1" errorTitle="Acquisition value" error="Please enter a positive value!" prompt="Required or 0" sqref="H8:H32" xr:uid="{00000000-0002-0000-6B00-000009000000}">
      <formula1>0</formula1>
    </dataValidation>
    <dataValidation type="whole" operator="greaterThanOrEqual" allowBlank="1" showInputMessage="1" showErrorMessage="1" errorTitle="Transfer value" error="Please enter a positive value!" prompt="Required or 0" sqref="G8:G32" xr:uid="{00000000-0002-0000-6B00-00000A000000}">
      <formula1>0</formula1>
    </dataValidation>
    <dataValidation type="list" allowBlank="1" showInputMessage="1" showErrorMessage="1" errorTitle="Choose item from Dropdown list! " sqref="F66" xr:uid="{00000000-0002-0000-6B00-00000D000000}">
      <formula1>$A$74:$A$76</formula1>
    </dataValidation>
    <dataValidation type="date" allowBlank="1" showInputMessage="1" showErrorMessage="1" errorTitle="DATE OF DEED" error="Please enter the correct date that falls within the current year of assessment!  If the period covered by this return is more than 12 months please insert the dates approved on page 1._x000a_" promptTitle="Date format" prompt="dd/mm/yyyy" sqref="F8:F32" xr:uid="{43CEA0B2-7C88-4EA7-B8D6-3FB0CE237567}">
      <formula1>$T$6</formula1>
      <formula2>$X$6</formula2>
    </dataValidation>
    <dataValidation type="textLength" operator="greaterThanOrEqual" allowBlank="1" showInputMessage="1" showErrorMessage="1" errorTitle="Property Description" error="Please enter the correct address!" sqref="C8:C32" xr:uid="{F3AA8A7C-D24E-46E3-813F-E1D74D5BC2E1}">
      <formula1>12</formula1>
    </dataValidation>
  </dataValidations>
  <hyperlinks>
    <hyperlink ref="B68" location="Index!A1" display="Index!A1" xr:uid="{00000000-0004-0000-6B00-000000000000}"/>
    <hyperlink ref="B68:E68" location="Index!A1" display="B A C K   T O   I N D E X" xr:uid="{00000000-0004-0000-6B00-000001000000}"/>
    <hyperlink ref="J57" location="TRA61_FTA!A1" display=" TRA 61" xr:uid="{00000000-0004-0000-6B00-000002000000}"/>
    <hyperlink ref="N56" location="'TRA60'!A1" display="TRA 60" xr:uid="{00000000-0004-0000-6B00-000003000000}"/>
  </hyperlinks>
  <pageMargins left="0.7" right="0.7" top="0.75" bottom="0.75" header="0.3" footer="0.3"/>
  <pageSetup paperSize="9" orientation="portrait" r:id="rId1"/>
  <ignoredErrors>
    <ignoredError sqref="I62 I65" unlockedFormula="1"/>
  </ignoredErrors>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19"/>
  <dimension ref="A1:T25"/>
  <sheetViews>
    <sheetView workbookViewId="0">
      <selection sqref="A1:H1"/>
    </sheetView>
  </sheetViews>
  <sheetFormatPr defaultColWidth="0" defaultRowHeight="12.75" zeroHeight="1" x14ac:dyDescent="0.2"/>
  <cols>
    <col min="1" max="1" width="2" style="1485" customWidth="1"/>
    <col min="2" max="5" width="9.28515625" style="1485" customWidth="1"/>
    <col min="6" max="6" width="10.42578125" style="1485" customWidth="1"/>
    <col min="7" max="7" width="9.28515625" style="1485" customWidth="1"/>
    <col min="8" max="8" width="2.7109375" style="1485" customWidth="1"/>
    <col min="9" max="9" width="9.28515625" style="1485" customWidth="1"/>
    <col min="10" max="10" width="10.5703125" style="1485" customWidth="1"/>
    <col min="11" max="11" width="15.42578125" style="1485" customWidth="1"/>
    <col min="12" max="12" width="2.28515625" style="1485" customWidth="1"/>
    <col min="13" max="15" width="9.28515625" style="1485" hidden="1" customWidth="1"/>
    <col min="16" max="19" width="10.28515625" style="1485" hidden="1" customWidth="1"/>
    <col min="20" max="16384" width="9.28515625" style="1485" hidden="1"/>
  </cols>
  <sheetData>
    <row r="1" spans="1:19" x14ac:dyDescent="0.2">
      <c r="A1" s="5371" t="str">
        <f>_ref1</f>
      </c>
      <c r="B1" s="5371"/>
      <c r="C1" s="5371"/>
      <c r="D1" s="5371"/>
      <c r="E1" s="5371"/>
      <c r="F1" s="5371"/>
      <c r="G1" s="5371"/>
      <c r="H1" s="5371"/>
      <c r="I1" s="3313"/>
      <c r="J1" s="3357"/>
      <c r="K1" s="3313" t="str">
        <f>_YA1</f>
      </c>
      <c r="L1" s="3313"/>
    </row>
    <row r="2" spans="1:19" x14ac:dyDescent="0.2">
      <c r="A2" s="2592"/>
      <c r="B2" s="2786"/>
      <c r="C2" s="2786"/>
      <c r="D2" s="2786"/>
      <c r="E2" s="2786"/>
      <c r="F2" s="2786"/>
      <c r="G2" s="2786"/>
      <c r="H2" s="2786"/>
      <c r="I2" s="2786"/>
      <c r="J2" s="2786"/>
      <c r="K2" s="2775"/>
      <c r="L2" s="2775"/>
    </row>
    <row r="3" spans="1:19" ht="15.75" x14ac:dyDescent="0.25">
      <c r="A3" s="2592"/>
      <c r="B3" s="5422" t="s">
        <v>10117</v>
      </c>
      <c r="C3" s="5423"/>
      <c r="D3" s="5423"/>
      <c r="E3" s="5423"/>
      <c r="F3" s="5423"/>
      <c r="G3" s="5423"/>
      <c r="H3" s="5423"/>
      <c r="I3" s="5423"/>
      <c r="J3" s="5423"/>
      <c r="K3" s="5424"/>
      <c r="L3" s="2775"/>
      <c r="P3" s="3123" t="s">
        <v>3994</v>
      </c>
      <c r="Q3" s="3123">
        <f>+ya</f>
      </c>
    </row>
    <row r="4" spans="1:19" ht="15.75" x14ac:dyDescent="0.25">
      <c r="A4" s="2592"/>
      <c r="B4" s="5425" t="s">
        <v>10523</v>
      </c>
      <c r="C4" s="5426"/>
      <c r="D4" s="5426"/>
      <c r="E4" s="5426"/>
      <c r="F4" s="5426"/>
      <c r="G4" s="5426"/>
      <c r="H4" s="5426"/>
      <c r="I4" s="5426"/>
      <c r="J4" s="5426"/>
      <c r="K4" s="5427"/>
      <c r="L4" s="2775"/>
      <c r="P4" s="3123" t="s">
        <v>2705</v>
      </c>
      <c r="Q4" s="3123">
        <f>+Q3-1</f>
      </c>
    </row>
    <row r="5" spans="1:19" x14ac:dyDescent="0.2">
      <c r="A5" s="2592"/>
      <c r="B5" s="2777"/>
      <c r="C5" s="2592"/>
      <c r="D5" s="2592"/>
      <c r="E5" s="2592"/>
      <c r="F5" s="2592"/>
      <c r="G5" s="2592"/>
      <c r="H5" s="2592"/>
      <c r="I5" s="2592"/>
      <c r="J5" s="2780"/>
      <c r="K5" s="2592"/>
      <c r="L5" s="2775"/>
    </row>
    <row r="6" spans="1:19" ht="15" x14ac:dyDescent="0.2">
      <c r="A6" s="2592"/>
      <c r="B6" s="3738" t="s">
        <v>8669</v>
      </c>
      <c r="C6" s="3686"/>
      <c r="D6" s="3686"/>
      <c r="E6" s="3686"/>
      <c r="F6" s="3686"/>
      <c r="G6" s="3686"/>
      <c r="H6" s="3686"/>
      <c r="I6" s="3686"/>
      <c r="J6" s="3739"/>
      <c r="K6" s="3686"/>
      <c r="L6" s="2775"/>
      <c r="M6" s="3123" t="s">
        <v>7754</v>
      </c>
      <c r="N6" s="3123" t="s">
        <v>7161</v>
      </c>
    </row>
    <row r="7" spans="1:19" ht="14.25" x14ac:dyDescent="0.2">
      <c r="A7" s="2592"/>
      <c r="B7" s="3740" t="s">
        <v>10617</v>
      </c>
      <c r="C7" s="3686"/>
      <c r="D7" s="3686"/>
      <c r="E7" s="3686"/>
      <c r="F7" s="3686"/>
      <c r="G7" s="3686"/>
      <c r="H7" s="3686"/>
      <c r="I7" s="3686"/>
      <c r="J7" s="3739"/>
      <c r="K7" s="3686"/>
      <c r="L7" s="3686"/>
      <c r="M7" s="3621">
        <f>SUM(M9:M22)</f>
      </c>
      <c r="N7" s="3621">
        <f>SUM(N9:N26)</f>
      </c>
    </row>
    <row r="8" spans="1:19" ht="14.25" x14ac:dyDescent="0.2">
      <c r="A8" s="2592"/>
      <c r="B8" s="3741"/>
      <c r="C8" s="3686"/>
      <c r="D8" s="3601"/>
      <c r="E8" s="3601"/>
      <c r="F8" s="3686"/>
      <c r="G8" s="3686"/>
      <c r="H8" s="3686"/>
      <c r="I8" s="3686"/>
      <c r="J8" s="3739"/>
      <c r="K8" s="3686"/>
      <c r="L8" s="3686"/>
      <c r="P8" s="1857" t="s">
        <v>10118</v>
      </c>
      <c r="Q8" s="3742">
        <v>43831</v>
      </c>
      <c r="R8" s="3123"/>
      <c r="S8" s="1736" t="s">
        <v>4457</v>
      </c>
    </row>
    <row r="9" spans="1:19" x14ac:dyDescent="0.2">
      <c r="A9" s="2592"/>
      <c r="B9" s="2777"/>
      <c r="C9" s="2592"/>
      <c r="D9" s="3600" t="s">
        <v>8670</v>
      </c>
      <c r="E9" s="3601"/>
      <c r="F9" s="1267"/>
      <c r="G9" s="2761" t="str">
        <f>IF(AND($N$7&gt;0,F9=""),re,"")</f>
        <v/>
      </c>
      <c r="H9" s="2592"/>
      <c r="I9" s="2592"/>
      <c r="J9" s="2780"/>
      <c r="K9" s="2592"/>
      <c r="L9" s="2592"/>
      <c r="M9" s="3123">
        <f>IF(G9&lt;&gt;"",1,0)</f>
      </c>
      <c r="N9" s="3123">
        <f>IF(F9="",0,1)</f>
      </c>
      <c r="P9" s="1857" t="s">
        <v>7449</v>
      </c>
      <c r="Q9" s="3743">
        <f>MIN(S11,S12)</f>
      </c>
      <c r="S9" s="1736" t="s">
        <v>1736</v>
      </c>
    </row>
    <row r="10" spans="1:19" ht="14.25" x14ac:dyDescent="0.2">
      <c r="A10" s="2592"/>
      <c r="B10" s="3741"/>
      <c r="C10" s="3686"/>
      <c r="D10" s="3600"/>
      <c r="E10" s="3686"/>
      <c r="F10" s="3686"/>
      <c r="G10" s="3686"/>
      <c r="H10" s="2592"/>
      <c r="I10" s="2592"/>
      <c r="J10" s="2780"/>
      <c r="K10" s="2592"/>
      <c r="L10" s="2592"/>
    </row>
    <row r="11" spans="1:19" x14ac:dyDescent="0.2">
      <c r="A11" s="2592"/>
      <c r="B11" s="2777"/>
      <c r="C11" s="2592"/>
      <c r="D11" s="3600" t="s">
        <v>8672</v>
      </c>
      <c r="E11" s="3601"/>
      <c r="F11" s="202"/>
      <c r="G11" s="2761" t="str">
        <f>IF(AND($N$7&gt;0,F11=""),re,"")</f>
        <v/>
      </c>
      <c r="H11" s="2592"/>
      <c r="I11" s="2592"/>
      <c r="J11" s="2780"/>
      <c r="K11" s="2592"/>
      <c r="L11" s="2592"/>
      <c r="M11" s="3123">
        <f>IF(G11&lt;&gt;"",1,0)</f>
      </c>
      <c r="N11" s="3123">
        <f>IF(F11="",0,1)</f>
      </c>
      <c r="Q11" s="1760" t="s">
        <v>10527</v>
      </c>
      <c r="R11" s="1736" t="s">
        <v>2705</v>
      </c>
      <c r="S11" s="3743">
        <f>DATE(ya-1,12,31)</f>
      </c>
    </row>
    <row r="12" spans="1:19" x14ac:dyDescent="0.2">
      <c r="A12" s="2592"/>
      <c r="B12" s="2777"/>
      <c r="C12" s="2592"/>
      <c r="D12" s="3601"/>
      <c r="E12" s="3601"/>
      <c r="F12" s="2592"/>
      <c r="G12" s="2592"/>
      <c r="H12" s="2592"/>
      <c r="I12" s="2592"/>
      <c r="J12" s="2780"/>
      <c r="K12" s="2592"/>
      <c r="L12" s="2592"/>
      <c r="R12" s="1736" t="s">
        <v>10528</v>
      </c>
      <c r="S12" s="4031">
        <v>45657</v>
      </c>
    </row>
    <row r="13" spans="1:19" ht="14.25" x14ac:dyDescent="0.2">
      <c r="A13" s="2592"/>
      <c r="B13" s="3744" t="s">
        <v>10146</v>
      </c>
      <c r="C13" s="3600"/>
      <c r="D13" s="3600"/>
      <c r="E13" s="3600"/>
      <c r="F13" s="3600"/>
      <c r="G13" s="3686"/>
      <c r="H13" s="2592"/>
      <c r="I13" s="3759" t="s">
        <v>215</v>
      </c>
      <c r="J13" s="2781"/>
      <c r="K13" s="2761" t="str">
        <f>IF(AND($N$7&gt;0,J13=""),re,"")</f>
        <v/>
      </c>
      <c r="L13" s="2761"/>
      <c r="M13" s="3123">
        <f>IF(G13&lt;&gt;"",1,0)</f>
      </c>
      <c r="N13" s="3123">
        <f>IF(J13="",0,1)</f>
      </c>
    </row>
    <row r="14" spans="1:19" ht="14.25" x14ac:dyDescent="0.2">
      <c r="A14" s="2592"/>
      <c r="B14" s="3744"/>
      <c r="C14" s="3600"/>
      <c r="D14" s="3600"/>
      <c r="E14" s="3600"/>
      <c r="F14" s="3600"/>
      <c r="G14" s="3686"/>
      <c r="H14" s="2592"/>
      <c r="I14" s="2592"/>
      <c r="J14" s="2780"/>
      <c r="K14" s="2592"/>
      <c r="L14" s="2592"/>
    </row>
    <row r="15" spans="1:19" ht="14.25" x14ac:dyDescent="0.2">
      <c r="A15" s="2592"/>
      <c r="B15" s="3769" t="s">
        <v>8676</v>
      </c>
      <c r="C15" s="3600"/>
      <c r="D15" s="3600"/>
      <c r="E15" s="3600"/>
      <c r="F15" s="3600"/>
      <c r="G15" s="3686"/>
      <c r="H15" s="2592"/>
      <c r="I15" s="3759" t="s">
        <v>215</v>
      </c>
      <c r="J15" s="2782" t="str">
        <f>IF(J13="","",IF(J13&lt;0,"",ROUND(J13*0.05,0)))</f>
        <v/>
      </c>
      <c r="K15" s="2592"/>
      <c r="L15" s="2592"/>
    </row>
    <row r="16" spans="1:19" ht="14.25" x14ac:dyDescent="0.2">
      <c r="A16" s="2592"/>
      <c r="B16" s="3744"/>
      <c r="C16" s="3600"/>
      <c r="D16" s="3600"/>
      <c r="E16" s="3600"/>
      <c r="F16" s="3600"/>
      <c r="G16" s="3686"/>
      <c r="H16" s="2592"/>
      <c r="I16" s="2592"/>
      <c r="J16" s="2780"/>
      <c r="K16" s="2592"/>
      <c r="L16" s="2592"/>
    </row>
    <row r="17" spans="1:20" ht="14.25" x14ac:dyDescent="0.2">
      <c r="A17" s="2592"/>
      <c r="B17" s="3769" t="s">
        <v>10119</v>
      </c>
      <c r="C17" s="3600"/>
      <c r="D17" s="3600"/>
      <c r="E17" s="3600"/>
      <c r="F17" s="3600"/>
      <c r="G17" s="3686"/>
      <c r="H17" s="2792"/>
      <c r="I17" s="3759" t="s">
        <v>215</v>
      </c>
      <c r="J17" s="3684"/>
      <c r="K17" s="2761" t="str">
        <f>IF(AND($N$7&gt;0,J17=""),re,"")</f>
        <v/>
      </c>
      <c r="L17" s="2761"/>
      <c r="M17" s="3123">
        <f>IF(K17="",0,1)</f>
      </c>
      <c r="N17" s="3123">
        <f>IF(J17="",0,1)</f>
      </c>
    </row>
    <row r="18" spans="1:20" ht="14.25" x14ac:dyDescent="0.2">
      <c r="A18" s="2592"/>
      <c r="B18" s="3744"/>
      <c r="C18" s="3600"/>
      <c r="D18" s="3600"/>
      <c r="E18" s="3600"/>
      <c r="F18" s="3600"/>
      <c r="G18" s="3686"/>
      <c r="H18" s="2592"/>
      <c r="I18" s="2592"/>
      <c r="J18" s="2780"/>
      <c r="K18" s="2592"/>
      <c r="L18" s="2592"/>
    </row>
    <row r="19" spans="1:20" ht="14.25" x14ac:dyDescent="0.2">
      <c r="A19" s="2592"/>
      <c r="B19" s="3769" t="s">
        <v>757</v>
      </c>
      <c r="C19" s="3600"/>
      <c r="D19" s="3600"/>
      <c r="E19" s="3600"/>
      <c r="F19" s="3600"/>
      <c r="G19" s="3686"/>
      <c r="H19" s="2592"/>
      <c r="I19" s="2592"/>
      <c r="J19" s="3684"/>
      <c r="K19" s="2761" t="str">
        <f>IF(AND($N$7&gt;0,J19=""),re,IF(AND(J19="no",N7&gt;0),"No benefit!",""))</f>
        <v/>
      </c>
      <c r="L19" s="2761"/>
      <c r="M19" s="3123">
        <f>IF(K19="",0,1)</f>
      </c>
      <c r="N19" s="3123">
        <f>IF(J19="",0,1)</f>
      </c>
    </row>
    <row r="20" spans="1:20" ht="14.25" x14ac:dyDescent="0.2">
      <c r="A20" s="2592"/>
      <c r="B20" s="3741"/>
      <c r="C20" s="3686"/>
      <c r="D20" s="3686"/>
      <c r="E20" s="3686"/>
      <c r="F20" s="3686"/>
      <c r="G20" s="3686"/>
      <c r="H20" s="2592"/>
      <c r="I20" s="2592"/>
      <c r="J20" s="2780"/>
      <c r="K20" s="2592"/>
      <c r="L20" s="2592"/>
    </row>
    <row r="21" spans="1:20" ht="14.25" x14ac:dyDescent="0.2">
      <c r="A21" s="2592"/>
      <c r="B21" s="3741"/>
      <c r="C21" s="3686"/>
      <c r="D21" s="3686"/>
      <c r="E21" s="3745"/>
      <c r="F21" s="3745"/>
      <c r="G21" s="2261" t="s">
        <v>4802</v>
      </c>
      <c r="H21" s="2592"/>
      <c r="I21" s="3684"/>
      <c r="J21" s="2761" t="str">
        <f>IF(AND($N$7&gt;0,I21=""),re,"")</f>
        <v/>
      </c>
      <c r="K21" s="2592"/>
      <c r="L21" s="2592"/>
      <c r="M21" s="3123">
        <f>IF(J21&lt;&gt;"",1,0)</f>
      </c>
      <c r="N21" s="3123">
        <f>IF(I21="",0,1)</f>
      </c>
      <c r="P21" s="1485" t="str">
        <f>IF(I21="yes","y","n")</f>
      </c>
    </row>
    <row r="22" spans="1:20" x14ac:dyDescent="0.2">
      <c r="A22" s="2592"/>
      <c r="B22" s="2777"/>
      <c r="C22" s="2592"/>
      <c r="D22" s="2592"/>
      <c r="E22" s="2592"/>
      <c r="F22" s="2592"/>
      <c r="G22" s="2592"/>
      <c r="H22" s="2592"/>
      <c r="I22" s="2592"/>
      <c r="J22" s="2780"/>
      <c r="K22" s="2592"/>
      <c r="L22" s="2592"/>
      <c r="T22" s="1485" t="s">
        <v>5806</v>
      </c>
    </row>
    <row r="23" spans="1:20" x14ac:dyDescent="0.2">
      <c r="A23" s="2189"/>
      <c r="B23" s="2787" t="s">
        <v>10574</v>
      </c>
      <c r="C23" s="2189"/>
      <c r="D23" s="2189"/>
      <c r="E23" s="2189"/>
      <c r="F23" s="2189" t="str">
        <f>ver</f>
        <v>TA2_e-CO_2025_Ver 1.1</v>
      </c>
      <c r="G23" s="2189"/>
      <c r="H23" s="2189"/>
      <c r="I23" s="2189"/>
      <c r="J23" s="2788"/>
      <c r="K23" s="2189" t="s">
        <v>10120</v>
      </c>
      <c r="L23" s="2189"/>
      <c r="T23" s="1485" t="s">
        <v>363</v>
      </c>
    </row>
    <row r="24" spans="1:20" ht="15" x14ac:dyDescent="0.25">
      <c r="A24" s="2592"/>
      <c r="B24" s="2777"/>
      <c r="C24" s="2592"/>
      <c r="D24" s="2592"/>
      <c r="E24" s="2592"/>
      <c r="F24" s="2592"/>
      <c r="G24" s="2592"/>
      <c r="H24" s="2592"/>
      <c r="I24" s="2592"/>
      <c r="J24" s="2780"/>
      <c r="K24" s="2592"/>
      <c r="L24" s="2592"/>
      <c r="M24" s="3737">
        <f>IF(N7=0,0,IF(M7&lt;&gt;0,100,IF(P21="Y",1,100)))</f>
      </c>
    </row>
    <row r="25" spans="1:20" x14ac:dyDescent="0.2">
      <c r="A25" s="2592"/>
      <c r="B25" s="3758" t="s">
        <v>6290</v>
      </c>
      <c r="C25" s="2592"/>
      <c r="D25" s="2592"/>
      <c r="E25" s="2592"/>
      <c r="F25" s="2592"/>
      <c r="G25" s="2592"/>
      <c r="H25" s="2592"/>
      <c r="I25" s="2592"/>
      <c r="J25" s="2780"/>
      <c r="K25" s="2592"/>
      <c r="L25" s="2592"/>
    </row>
  </sheetData>
  <sheetProtection algorithmName="SHA-512" hashValue="RlqmGBdUOez8usIDy2nRHaJwOt2r1dlsu8NC27wHtvd8ZlDVDqE1mhgk4o5kcnwodvv/thikM/5lSlH4Zc4QFQ==" saltValue="mRxOEUt9Y152c3M32Xr/uw==" spinCount="100000" sheet="1" objects="1" scenarios="1"/>
  <mergeCells count="3">
    <mergeCell ref="A1:H1"/>
    <mergeCell ref="B3:K3"/>
    <mergeCell ref="B4:K4"/>
  </mergeCells>
  <dataValidations count="6">
    <dataValidation type="whole" operator="greaterThan" allowBlank="1" showInputMessage="1" showErrorMessage="1" errorTitle="Income - qualifying activities" error="Figure must be greater than 0!" sqref="J13" xr:uid="{00000000-0002-0000-6C00-000000000000}">
      <formula1>0</formula1>
    </dataValidation>
    <dataValidation type="list" allowBlank="1" showInputMessage="1" showErrorMessage="1" errorTitle="Tax credit claimed" error="The tax credit cannot be more than 25% of gross fees _x000a_OR_x000a_Cannot exceed the tax on chargeable income derived from qualifying services." sqref="J17" xr:uid="{00000000-0002-0000-6C00-000001000000}">
      <formula1>$T$21:$T$23</formula1>
    </dataValidation>
    <dataValidation type="date" allowBlank="1" showInputMessage="1" showErrorMessage="1" errorTitle="Date of Issue" error="Please enter the correct date!" prompt="dd/mm/yyyy" sqref="F11" xr:uid="{00000000-0002-0000-6C00-000002000000}">
      <formula1>Q8</formula1>
      <formula2>Q9</formula2>
    </dataValidation>
    <dataValidation type="list" allowBlank="1" showInputMessage="1" showErrorMessage="1" sqref="J19" xr:uid="{00000000-0002-0000-6C00-000003000000}">
      <formula1>yn</formula1>
    </dataValidation>
    <dataValidation type="textLength" errorStyle="warning" operator="greaterThanOrEqual" allowBlank="1" showInputMessage="1" showErrorMessage="1" errorTitle="Permit reference " error="Please enter the correct permit reference!" sqref="F9" xr:uid="{00000000-0002-0000-6C00-000004000000}">
      <formula1>4</formula1>
    </dataValidation>
    <dataValidation type="list" allowBlank="1" showInputMessage="1" showErrorMessage="1" sqref="I21" xr:uid="{00000000-0002-0000-6C00-000005000000}">
      <formula1>$S$7:$S$9</formula1>
    </dataValidation>
  </dataValidations>
  <hyperlinks>
    <hyperlink ref="B25" location="Index!B129" display="B A C K   T O   I N D E X" xr:uid="{00000000-0004-0000-6C00-000000000000}"/>
    <hyperlink ref="I15" location="'TRA33'!A1" display="TRA33" xr:uid="{00000000-0004-0000-6C00-000001000000}"/>
    <hyperlink ref="I13" location="'TRA33'!A1" display="TRA33" xr:uid="{00000000-0004-0000-6C00-000002000000}"/>
    <hyperlink ref="I17" location="'TRA33'!A1" display="TRA33" xr:uid="{00000000-0004-0000-6C00-000003000000}"/>
  </hyperlinks>
  <pageMargins left="0.7" right="0.7" top="0.75" bottom="0.75" header="0.3" footer="0.3"/>
  <pageSetup paperSize="9" orientation="portrait" r:id="rId1"/>
  <ignoredErrors>
    <ignoredError sqref="J15" unlockedFormula="1"/>
  </ignoredErrors>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20"/>
  <dimension ref="A1:X71"/>
  <sheetViews>
    <sheetView zoomScale="130" zoomScaleNormal="130" workbookViewId="0">
      <selection sqref="A1:H1"/>
    </sheetView>
  </sheetViews>
  <sheetFormatPr defaultColWidth="0" defaultRowHeight="12.75" zeroHeight="1" x14ac:dyDescent="0.2"/>
  <cols>
    <col min="1" max="1" width="4.28515625" style="3123" customWidth="1"/>
    <col min="2" max="2" width="5.7109375" style="3123" customWidth="1"/>
    <col min="3" max="3" width="16" style="3123" customWidth="1"/>
    <col min="4" max="4" width="12.5703125" style="3123" customWidth="1"/>
    <col min="5" max="5" width="11.7109375" style="3123" customWidth="1"/>
    <col min="6" max="6" width="24.28515625" style="3123" customWidth="1"/>
    <col min="7" max="7" width="12.42578125" style="3123" customWidth="1"/>
    <col min="8" max="8" width="11.7109375" style="3123" customWidth="1"/>
    <col min="9" max="9" width="10.7109375" style="3123" customWidth="1"/>
    <col min="10" max="10" width="4.7109375" style="3123" customWidth="1"/>
    <col min="11" max="11" width="6.42578125" style="3123" customWidth="1"/>
    <col min="12" max="12" width="3" style="3123" hidden="1" customWidth="1"/>
    <col min="13" max="13" width="4.28515625" style="3123" hidden="1" customWidth="1"/>
    <col min="14" max="15" width="4.7109375" style="3123" hidden="1" customWidth="1"/>
    <col min="16" max="16" width="8.7109375" style="3123" hidden="1" customWidth="1"/>
    <col min="17" max="17" width="5.7109375" style="3123" hidden="1" customWidth="1"/>
    <col min="18" max="18" width="12.7109375" style="3123" hidden="1" customWidth="1"/>
    <col min="19" max="19" width="12.5703125" style="3123" hidden="1" customWidth="1"/>
    <col min="20" max="20" width="13.28515625" style="3123" hidden="1" customWidth="1"/>
    <col min="21" max="21" width="12" style="3123" hidden="1" customWidth="1"/>
    <col min="22" max="22" width="9.28515625" style="3123" hidden="1" customWidth="1"/>
    <col min="23" max="23" width="10.28515625" style="3123" hidden="1" customWidth="1"/>
    <col min="24" max="24" width="11.7109375" style="3123" hidden="1" customWidth="1"/>
    <col min="25" max="16384" width="9.28515625" style="3123" hidden="1"/>
  </cols>
  <sheetData>
    <row r="1" spans="1:23" ht="13.5" customHeight="1" x14ac:dyDescent="0.2">
      <c r="A1" s="5371" t="str">
        <f>_ref1</f>
      </c>
      <c r="B1" s="5371"/>
      <c r="C1" s="5371"/>
      <c r="D1" s="5371"/>
      <c r="E1" s="5371"/>
      <c r="F1" s="5371"/>
      <c r="G1" s="5371"/>
      <c r="H1" s="5371"/>
      <c r="I1" s="3313" t="str">
        <f>_YA1</f>
      </c>
      <c r="J1" s="3313"/>
      <c r="K1" s="3314"/>
      <c r="Q1" s="3265" t="s">
        <v>10121</v>
      </c>
      <c r="R1" s="3123" t="str">
        <f>'p2'!G36</f>
      </c>
      <c r="T1" s="3123" t="str">
        <f>cur</f>
      </c>
      <c r="U1" s="3123" t="s">
        <v>4591</v>
      </c>
    </row>
    <row r="2" spans="1:23" x14ac:dyDescent="0.2">
      <c r="A2" s="3315"/>
      <c r="B2" s="3315"/>
      <c r="C2" s="3315"/>
      <c r="D2" s="3315"/>
      <c r="E2" s="3315"/>
      <c r="F2" s="3315"/>
      <c r="G2" s="3315"/>
      <c r="H2" s="3315"/>
      <c r="I2" s="3315"/>
      <c r="J2" s="3315"/>
      <c r="K2" s="3315"/>
      <c r="S2" s="3265"/>
      <c r="T2" s="3316"/>
    </row>
    <row r="3" spans="1:23" ht="14.25" x14ac:dyDescent="0.2">
      <c r="A3" s="3315"/>
      <c r="B3" s="3317" t="s">
        <v>3218</v>
      </c>
      <c r="C3" s="3746"/>
      <c r="D3" s="3267"/>
      <c r="E3" s="3267"/>
      <c r="F3" s="3267"/>
      <c r="G3" s="3267"/>
      <c r="H3" s="3267"/>
      <c r="I3" s="3268"/>
      <c r="J3" s="3315"/>
      <c r="K3" s="3315"/>
      <c r="Q3" s="3123" t="s">
        <v>3994</v>
      </c>
      <c r="R3" s="3123">
        <f>+ya</f>
      </c>
      <c r="W3" s="3123">
        <v>1</v>
      </c>
    </row>
    <row r="4" spans="1:23" ht="14.25" x14ac:dyDescent="0.2">
      <c r="A4" s="3315"/>
      <c r="B4" s="3318" t="s">
        <v>10122</v>
      </c>
      <c r="C4" s="3747"/>
      <c r="D4" s="3270"/>
      <c r="E4" s="3270"/>
      <c r="F4" s="3270"/>
      <c r="G4" s="3270"/>
      <c r="H4" s="3270"/>
      <c r="I4" s="3271"/>
      <c r="J4" s="3315"/>
      <c r="K4" s="3315"/>
      <c r="Q4" s="3123" t="s">
        <v>2705</v>
      </c>
      <c r="R4" s="3123">
        <f>+R3-1</f>
      </c>
      <c r="W4" s="3123">
        <v>2</v>
      </c>
    </row>
    <row r="5" spans="1:23" x14ac:dyDescent="0.2">
      <c r="A5" s="3315"/>
      <c r="B5" s="3315"/>
      <c r="C5" s="3315"/>
      <c r="D5" s="3315"/>
      <c r="E5" s="3315"/>
      <c r="F5" s="3315"/>
      <c r="G5" s="3315"/>
      <c r="H5" s="3315"/>
      <c r="I5" s="3315"/>
      <c r="J5" s="3315"/>
      <c r="K5" s="3315"/>
      <c r="M5" s="3123" t="s">
        <v>7754</v>
      </c>
      <c r="N5" s="3123" t="s">
        <v>7161</v>
      </c>
      <c r="T5" s="3301"/>
      <c r="W5" s="3123">
        <v>3</v>
      </c>
    </row>
    <row r="6" spans="1:23" x14ac:dyDescent="0.2">
      <c r="A6" s="3315"/>
      <c r="B6" s="5369" t="s">
        <v>6317</v>
      </c>
      <c r="C6" s="5369"/>
      <c r="D6" s="5369"/>
      <c r="E6" s="5369"/>
      <c r="F6" s="5369"/>
      <c r="G6" s="5369"/>
      <c r="H6" s="5369"/>
      <c r="I6" s="5369"/>
      <c r="J6" s="3315"/>
      <c r="K6" s="3315"/>
      <c r="M6" s="3123">
        <f>SUM(M7:M66)</f>
      </c>
      <c r="N6" s="3123">
        <f>SUM(N7:N66)</f>
      </c>
      <c r="T6" s="3301"/>
      <c r="W6" s="3123">
        <v>4</v>
      </c>
    </row>
    <row r="7" spans="1:23" x14ac:dyDescent="0.2">
      <c r="A7" s="3315"/>
      <c r="B7" s="3315"/>
      <c r="C7" s="3315"/>
      <c r="D7" s="3315"/>
      <c r="E7" s="3315"/>
      <c r="F7" s="3315"/>
      <c r="G7" s="3315"/>
      <c r="H7" s="3315"/>
      <c r="I7" s="3315"/>
      <c r="J7" s="3315"/>
      <c r="K7" s="3315"/>
      <c r="R7" s="3123" t="s">
        <v>9220</v>
      </c>
      <c r="T7" s="3123">
        <v>200000</v>
      </c>
      <c r="W7" s="3123">
        <v>5</v>
      </c>
    </row>
    <row r="8" spans="1:23" x14ac:dyDescent="0.2">
      <c r="A8" s="3315"/>
      <c r="B8" s="3315"/>
      <c r="C8" s="3315"/>
      <c r="D8" s="3324"/>
      <c r="E8" s="3319"/>
      <c r="F8" s="3319" t="s">
        <v>10123</v>
      </c>
      <c r="G8" s="3321"/>
      <c r="H8" s="3322" t="str">
        <f>IF(R3&gt;2021,"",IF(N6=0,"",IF(G8="",re,"")))</f>
        <v/>
      </c>
      <c r="I8" s="3315"/>
      <c r="J8" s="3315"/>
      <c r="K8" s="3323"/>
      <c r="M8" s="3123">
        <f>IF(H8&lt;&gt;"",1,0)</f>
      </c>
      <c r="N8" s="3123">
        <f>IF(G8="",0,1)</f>
      </c>
      <c r="W8" s="3123">
        <v>6</v>
      </c>
    </row>
    <row r="9" spans="1:23" x14ac:dyDescent="0.2">
      <c r="A9" s="3315"/>
      <c r="B9" s="3315"/>
      <c r="C9" s="3315"/>
      <c r="D9" s="3324"/>
      <c r="E9" s="3319"/>
      <c r="F9" s="3320"/>
      <c r="G9" s="3320"/>
      <c r="H9" s="3323"/>
      <c r="I9" s="3315"/>
      <c r="J9" s="3315"/>
      <c r="K9" s="3323"/>
      <c r="W9" s="3123">
        <v>7</v>
      </c>
    </row>
    <row r="10" spans="1:23" ht="51" x14ac:dyDescent="0.2">
      <c r="A10" s="3315"/>
      <c r="B10" s="3315"/>
      <c r="C10" s="3279" t="s">
        <v>10124</v>
      </c>
      <c r="D10" s="3279" t="s">
        <v>10125</v>
      </c>
      <c r="E10" s="3279" t="s">
        <v>7155</v>
      </c>
      <c r="F10" s="3327" t="s">
        <v>10126</v>
      </c>
      <c r="G10" s="3327" t="s">
        <v>10127</v>
      </c>
      <c r="H10" s="3279" t="s">
        <v>784</v>
      </c>
      <c r="I10" s="3315"/>
      <c r="J10" s="3315"/>
      <c r="K10" s="3323"/>
      <c r="P10" s="3280" t="s">
        <v>10138</v>
      </c>
      <c r="Q10" s="3328"/>
      <c r="W10" s="3123">
        <v>8</v>
      </c>
    </row>
    <row r="11" spans="1:23" ht="14.25" customHeight="1" x14ac:dyDescent="0.2">
      <c r="A11" s="3315"/>
      <c r="B11" s="3748">
        <v>1</v>
      </c>
      <c r="C11" s="3754"/>
      <c r="D11" s="3330"/>
      <c r="E11" s="3331"/>
      <c r="F11" s="3749"/>
      <c r="G11" s="3333"/>
      <c r="H11" s="3750" t="str">
        <f>IF(N11=0,"",IF(G11/2&gt;2000,2000,G11/2))</f>
        <v/>
      </c>
      <c r="I11" s="3335" t="str">
        <f>IF(AND($G$8&gt;0,$R$4&lt;=2021,B11&lt;=$G$8,N11=0),re,IF(AND($R$1="n",C11&lt;&gt;""),"Not a fiscal Unit",IF(AND($G$8&gt;0,$R$4&lt;=2021,B11&lt;=$G$8,$R$1="y",N11&lt;5),"All data",IF(AND($G$8&gt;0,$R$4&lt;=2021,B11&lt;=$G$8,$R$1="n",N11&lt;4),"All data",IF(AND(N11&gt;0,OR($R$4&gt;P11,B11&gt;$G$8)),"Check date!",IF(H11&gt;G11,"Excessive!",""))))))</f>
        <v/>
      </c>
      <c r="J11" s="3315"/>
      <c r="K11" s="3323"/>
      <c r="M11" s="3123">
        <f t="shared" ref="M11:M22" si="0">IF(I11&lt;&gt;"",1,0)</f>
      </c>
      <c r="N11" s="3123">
        <f>IF($R$1="y",COUNTA(C11:G11),COUNTA(D11:G11))</f>
      </c>
      <c r="P11" s="3123" t="str">
        <f>IF(E11="","",YEAR(E11))</f>
        <v/>
      </c>
      <c r="W11" s="3123">
        <v>9</v>
      </c>
    </row>
    <row r="12" spans="1:23" ht="14.25" customHeight="1" x14ac:dyDescent="0.2">
      <c r="A12" s="3315"/>
      <c r="B12" s="3748">
        <v>2</v>
      </c>
      <c r="C12" s="3754"/>
      <c r="D12" s="3330"/>
      <c r="E12" s="3331"/>
      <c r="F12" s="3749"/>
      <c r="G12" s="3333"/>
      <c r="H12" s="3750" t="str">
        <f>IF(N12=0,"",IF(G12/2&gt;2000,2000,G12/2))</f>
        <v/>
      </c>
      <c r="I12" s="3335" t="str">
        <f t="shared" ref="I12:I22" si="1">IF(AND($G$8&gt;0,$R$4&lt;=2021,B12&lt;=$G$8,N12=0),re,IF(AND($R$1="n",C12&lt;&gt;""),"Not a fiscal Unit",IF(AND($G$8&gt;0,$R$4&lt;=2021,B12&lt;=$G$8,$R$1="y",N12&lt;5),"All data",IF(AND($G$8&gt;0,$R$4&lt;=2021,B12&lt;=$G$8,$R$1="n",N12&lt;4),"All data",IF(AND(N12&gt;0,OR($R$4&gt;P12,B12&gt;$G$8)),"No details required",IF(H12&gt;G12,"Excessive!",""))))))</f>
        <v/>
      </c>
      <c r="J12" s="3315"/>
      <c r="K12" s="3323"/>
      <c r="M12" s="3123">
        <f t="shared" si="0"/>
        <v>0</v>
      </c>
      <c r="N12" s="3123">
        <f t="shared" ref="N12:N22" si="2">IF($R$1="y",COUNTA(C12:G12),COUNTA(D12:G12))</f>
      </c>
      <c r="P12" s="3123" t="str">
        <f t="shared" ref="P12:P22" si="3">IF(E12="","",YEAR(E12))</f>
        <v/>
      </c>
      <c r="S12" s="3300"/>
      <c r="W12" s="3123">
        <v>10</v>
      </c>
    </row>
    <row r="13" spans="1:23" ht="14.25" customHeight="1" x14ac:dyDescent="0.2">
      <c r="A13" s="3315"/>
      <c r="B13" s="3748">
        <v>3</v>
      </c>
      <c r="C13" s="3754"/>
      <c r="D13" s="3330"/>
      <c r="E13" s="3331"/>
      <c r="F13" s="3749"/>
      <c r="G13" s="3333"/>
      <c r="H13" s="3750" t="str">
        <f t="shared" ref="H13:H22" si="4">IF(N13=0,"",IF(G13/2&gt;2000,2000,G13/2))</f>
        <v/>
      </c>
      <c r="I13" s="3335" t="str">
        <f t="shared" si="1"/>
        <v/>
      </c>
      <c r="J13" s="3315"/>
      <c r="K13" s="3323"/>
      <c r="M13" s="3123">
        <f t="shared" si="0"/>
        <v>0</v>
      </c>
      <c r="N13" s="3123">
        <f t="shared" si="2"/>
        <v>0</v>
      </c>
      <c r="P13" s="3123" t="str">
        <f t="shared" si="3"/>
        <v/>
      </c>
      <c r="S13" s="3301"/>
      <c r="V13" s="3300"/>
      <c r="W13" s="3123">
        <v>11</v>
      </c>
    </row>
    <row r="14" spans="1:23" ht="14.25" customHeight="1" x14ac:dyDescent="0.2">
      <c r="A14" s="3315"/>
      <c r="B14" s="3748">
        <v>4</v>
      </c>
      <c r="C14" s="3754"/>
      <c r="D14" s="3330"/>
      <c r="E14" s="3331"/>
      <c r="F14" s="3749"/>
      <c r="G14" s="3333"/>
      <c r="H14" s="3750" t="str">
        <f t="shared" si="4"/>
        <v/>
      </c>
      <c r="I14" s="3335" t="str">
        <f t="shared" si="1"/>
        <v/>
      </c>
      <c r="J14" s="3315"/>
      <c r="K14" s="3323"/>
      <c r="M14" s="3123">
        <f t="shared" si="0"/>
        <v>0</v>
      </c>
      <c r="N14" s="3123">
        <f t="shared" si="2"/>
        <v>0</v>
      </c>
      <c r="P14" s="3123" t="str">
        <f t="shared" si="3"/>
        <v/>
      </c>
      <c r="W14" s="3123">
        <v>12</v>
      </c>
    </row>
    <row r="15" spans="1:23" ht="14.25" customHeight="1" x14ac:dyDescent="0.2">
      <c r="A15" s="3315"/>
      <c r="B15" s="3748">
        <v>5</v>
      </c>
      <c r="C15" s="3754"/>
      <c r="D15" s="3330"/>
      <c r="E15" s="3331"/>
      <c r="F15" s="3749"/>
      <c r="G15" s="3333"/>
      <c r="H15" s="3750" t="str">
        <f t="shared" si="4"/>
        <v/>
      </c>
      <c r="I15" s="3335" t="str">
        <f t="shared" si="1"/>
        <v/>
      </c>
      <c r="J15" s="3315"/>
      <c r="K15" s="3323"/>
      <c r="M15" s="3123">
        <f t="shared" si="0"/>
        <v>0</v>
      </c>
      <c r="N15" s="3123">
        <f t="shared" si="2"/>
        <v>0</v>
      </c>
      <c r="P15" s="3123" t="str">
        <f t="shared" si="3"/>
        <v/>
      </c>
    </row>
    <row r="16" spans="1:23" ht="14.25" customHeight="1" x14ac:dyDescent="0.2">
      <c r="A16" s="3315"/>
      <c r="B16" s="3748">
        <v>6</v>
      </c>
      <c r="C16" s="3754"/>
      <c r="D16" s="3330"/>
      <c r="E16" s="3331"/>
      <c r="F16" s="3749"/>
      <c r="G16" s="3333"/>
      <c r="H16" s="3750" t="str">
        <f t="shared" si="4"/>
        <v/>
      </c>
      <c r="I16" s="3335" t="str">
        <f t="shared" si="1"/>
        <v/>
      </c>
      <c r="J16" s="3315"/>
      <c r="K16" s="3323"/>
      <c r="M16" s="3123">
        <f t="shared" si="0"/>
        <v>0</v>
      </c>
      <c r="N16" s="3123">
        <f t="shared" si="2"/>
        <v>0</v>
      </c>
      <c r="P16" s="3123" t="str">
        <f t="shared" si="3"/>
        <v/>
      </c>
    </row>
    <row r="17" spans="1:16" ht="14.25" customHeight="1" x14ac:dyDescent="0.2">
      <c r="A17" s="3315"/>
      <c r="B17" s="3748">
        <v>7</v>
      </c>
      <c r="C17" s="3754"/>
      <c r="D17" s="3330"/>
      <c r="E17" s="3331"/>
      <c r="F17" s="3749"/>
      <c r="G17" s="3333"/>
      <c r="H17" s="3750" t="str">
        <f t="shared" si="4"/>
        <v/>
      </c>
      <c r="I17" s="3335" t="str">
        <f t="shared" si="1"/>
        <v/>
      </c>
      <c r="J17" s="3315"/>
      <c r="K17" s="3323"/>
      <c r="M17" s="3123">
        <f t="shared" si="0"/>
        <v>0</v>
      </c>
      <c r="N17" s="3123">
        <f t="shared" si="2"/>
        <v>0</v>
      </c>
      <c r="P17" s="3123" t="str">
        <f t="shared" si="3"/>
        <v/>
      </c>
    </row>
    <row r="18" spans="1:16" ht="14.25" customHeight="1" x14ac:dyDescent="0.2">
      <c r="A18" s="3315"/>
      <c r="B18" s="3748">
        <v>8</v>
      </c>
      <c r="C18" s="3754"/>
      <c r="D18" s="3330"/>
      <c r="E18" s="3331"/>
      <c r="F18" s="3749"/>
      <c r="G18" s="3333"/>
      <c r="H18" s="3750" t="str">
        <f t="shared" si="4"/>
        <v/>
      </c>
      <c r="I18" s="3335" t="str">
        <f t="shared" si="1"/>
        <v/>
      </c>
      <c r="J18" s="3315"/>
      <c r="K18" s="3323"/>
      <c r="M18" s="3123">
        <f t="shared" si="0"/>
        <v>0</v>
      </c>
      <c r="N18" s="3123">
        <f t="shared" si="2"/>
        <v>0</v>
      </c>
      <c r="P18" s="3123" t="str">
        <f t="shared" si="3"/>
        <v/>
      </c>
    </row>
    <row r="19" spans="1:16" ht="14.25" customHeight="1" x14ac:dyDescent="0.2">
      <c r="A19" s="3315"/>
      <c r="B19" s="3748">
        <v>9</v>
      </c>
      <c r="C19" s="3754"/>
      <c r="D19" s="3330"/>
      <c r="E19" s="3331"/>
      <c r="F19" s="3749"/>
      <c r="G19" s="3333"/>
      <c r="H19" s="3750" t="str">
        <f t="shared" si="4"/>
        <v/>
      </c>
      <c r="I19" s="3335" t="str">
        <f t="shared" si="1"/>
        <v/>
      </c>
      <c r="J19" s="3315"/>
      <c r="K19" s="3323"/>
      <c r="M19" s="3123">
        <f t="shared" si="0"/>
        <v>0</v>
      </c>
      <c r="N19" s="3123">
        <f t="shared" si="2"/>
        <v>0</v>
      </c>
      <c r="P19" s="3123" t="str">
        <f t="shared" si="3"/>
        <v/>
      </c>
    </row>
    <row r="20" spans="1:16" ht="14.25" customHeight="1" x14ac:dyDescent="0.2">
      <c r="A20" s="3315"/>
      <c r="B20" s="3748">
        <v>10</v>
      </c>
      <c r="C20" s="3754"/>
      <c r="D20" s="3330"/>
      <c r="E20" s="3331"/>
      <c r="F20" s="3749"/>
      <c r="G20" s="3333"/>
      <c r="H20" s="3750" t="str">
        <f t="shared" si="4"/>
        <v/>
      </c>
      <c r="I20" s="3335" t="str">
        <f t="shared" si="1"/>
        <v/>
      </c>
      <c r="J20" s="3315"/>
      <c r="K20" s="3323"/>
      <c r="M20" s="3123">
        <f t="shared" si="0"/>
        <v>0</v>
      </c>
      <c r="N20" s="3123">
        <f t="shared" si="2"/>
        <v>0</v>
      </c>
      <c r="P20" s="3123" t="str">
        <f t="shared" si="3"/>
        <v/>
      </c>
    </row>
    <row r="21" spans="1:16" ht="14.25" customHeight="1" x14ac:dyDescent="0.2">
      <c r="A21" s="3315"/>
      <c r="B21" s="3748">
        <v>11</v>
      </c>
      <c r="C21" s="3754"/>
      <c r="D21" s="3330"/>
      <c r="E21" s="3331"/>
      <c r="F21" s="3749"/>
      <c r="G21" s="3333"/>
      <c r="H21" s="3750" t="str">
        <f t="shared" si="4"/>
        <v/>
      </c>
      <c r="I21" s="3335" t="str">
        <f t="shared" si="1"/>
        <v/>
      </c>
      <c r="J21" s="3315"/>
      <c r="K21" s="3323"/>
      <c r="M21" s="3123">
        <f t="shared" si="0"/>
        <v>0</v>
      </c>
      <c r="N21" s="3123">
        <f t="shared" si="2"/>
        <v>0</v>
      </c>
      <c r="P21" s="3123" t="str">
        <f t="shared" si="3"/>
        <v/>
      </c>
    </row>
    <row r="22" spans="1:16" ht="14.25" customHeight="1" x14ac:dyDescent="0.2">
      <c r="A22" s="3315"/>
      <c r="B22" s="3748">
        <v>12</v>
      </c>
      <c r="C22" s="3754"/>
      <c r="D22" s="3330"/>
      <c r="E22" s="3331"/>
      <c r="F22" s="3749"/>
      <c r="G22" s="3333"/>
      <c r="H22" s="3750" t="str">
        <f t="shared" si="4"/>
        <v/>
      </c>
      <c r="I22" s="3335" t="str">
        <f t="shared" si="1"/>
        <v/>
      </c>
      <c r="J22" s="3315"/>
      <c r="K22" s="3323"/>
      <c r="M22" s="3123">
        <f t="shared" si="0"/>
        <v>0</v>
      </c>
      <c r="N22" s="3123">
        <f t="shared" si="2"/>
        <v>0</v>
      </c>
      <c r="P22" s="3123" t="str">
        <f t="shared" si="3"/>
        <v/>
      </c>
    </row>
    <row r="23" spans="1:16" ht="14.25" hidden="1" customHeight="1" x14ac:dyDescent="0.2">
      <c r="A23" s="3315"/>
      <c r="B23" s="3748"/>
      <c r="C23" s="3778"/>
      <c r="D23" s="3779"/>
      <c r="E23" s="3780"/>
      <c r="F23" s="3781"/>
      <c r="G23" s="3782"/>
      <c r="H23" s="3750"/>
      <c r="I23" s="3335"/>
      <c r="J23" s="3315"/>
      <c r="K23" s="3323"/>
    </row>
    <row r="24" spans="1:16" ht="14.25" hidden="1" customHeight="1" x14ac:dyDescent="0.2">
      <c r="A24" s="3315"/>
      <c r="B24" s="3748"/>
      <c r="C24" s="3778"/>
      <c r="D24" s="3779"/>
      <c r="E24" s="3780"/>
      <c r="F24" s="3781"/>
      <c r="G24" s="3782"/>
      <c r="H24" s="3750"/>
      <c r="I24" s="3335"/>
      <c r="J24" s="3315"/>
      <c r="K24" s="3323"/>
    </row>
    <row r="25" spans="1:16" ht="14.25" hidden="1" customHeight="1" x14ac:dyDescent="0.2">
      <c r="A25" s="3315"/>
      <c r="B25" s="3748"/>
      <c r="C25" s="3778"/>
      <c r="D25" s="3779"/>
      <c r="E25" s="3780"/>
      <c r="F25" s="3781"/>
      <c r="G25" s="3782"/>
      <c r="H25" s="3750"/>
      <c r="I25" s="3335"/>
      <c r="J25" s="3315"/>
      <c r="K25" s="3323"/>
    </row>
    <row r="26" spans="1:16" ht="14.25" hidden="1" customHeight="1" x14ac:dyDescent="0.2">
      <c r="A26" s="3315"/>
      <c r="B26" s="3748"/>
      <c r="C26" s="3778"/>
      <c r="D26" s="3779"/>
      <c r="E26" s="3780"/>
      <c r="F26" s="3781"/>
      <c r="G26" s="3782"/>
      <c r="H26" s="3750"/>
      <c r="I26" s="3335"/>
      <c r="J26" s="3315"/>
      <c r="K26" s="3323"/>
    </row>
    <row r="27" spans="1:16" ht="14.25" hidden="1" customHeight="1" x14ac:dyDescent="0.2">
      <c r="A27" s="3315"/>
      <c r="B27" s="3748"/>
      <c r="C27" s="3778"/>
      <c r="D27" s="3779"/>
      <c r="E27" s="3780"/>
      <c r="F27" s="3781"/>
      <c r="G27" s="3782"/>
      <c r="H27" s="3750"/>
      <c r="I27" s="3335"/>
      <c r="J27" s="3315"/>
      <c r="K27" s="3323"/>
    </row>
    <row r="28" spans="1:16" ht="14.25" hidden="1" customHeight="1" x14ac:dyDescent="0.2">
      <c r="A28" s="3315"/>
      <c r="B28" s="3748"/>
      <c r="C28" s="3778"/>
      <c r="D28" s="3779"/>
      <c r="E28" s="3780"/>
      <c r="F28" s="3781"/>
      <c r="G28" s="3782"/>
      <c r="H28" s="3750"/>
      <c r="I28" s="3335"/>
      <c r="J28" s="3315"/>
      <c r="K28" s="3323"/>
    </row>
    <row r="29" spans="1:16" ht="14.25" hidden="1" customHeight="1" x14ac:dyDescent="0.2">
      <c r="A29" s="3315"/>
      <c r="B29" s="3748"/>
      <c r="C29" s="3778"/>
      <c r="D29" s="3779"/>
      <c r="E29" s="3780"/>
      <c r="F29" s="3781"/>
      <c r="G29" s="3782"/>
      <c r="H29" s="3750"/>
      <c r="I29" s="3335"/>
      <c r="J29" s="3315"/>
      <c r="K29" s="3323"/>
    </row>
    <row r="30" spans="1:16" ht="14.25" hidden="1" customHeight="1" x14ac:dyDescent="0.2">
      <c r="A30" s="3315"/>
      <c r="B30" s="3748"/>
      <c r="C30" s="3778"/>
      <c r="D30" s="3779"/>
      <c r="E30" s="3780"/>
      <c r="F30" s="3781"/>
      <c r="G30" s="3782"/>
      <c r="H30" s="3750"/>
      <c r="I30" s="3335"/>
      <c r="J30" s="3315"/>
      <c r="K30" s="3323"/>
    </row>
    <row r="31" spans="1:16" ht="14.25" hidden="1" customHeight="1" x14ac:dyDescent="0.2">
      <c r="A31" s="3315"/>
      <c r="B31" s="3748"/>
      <c r="C31" s="3778"/>
      <c r="D31" s="3779"/>
      <c r="E31" s="3780"/>
      <c r="F31" s="3781"/>
      <c r="G31" s="3782"/>
      <c r="H31" s="3750"/>
      <c r="I31" s="3335"/>
      <c r="J31" s="3315"/>
      <c r="K31" s="3323"/>
    </row>
    <row r="32" spans="1:16" ht="14.25" hidden="1" customHeight="1" x14ac:dyDescent="0.2">
      <c r="A32" s="3315"/>
      <c r="B32" s="3748"/>
      <c r="C32" s="3778"/>
      <c r="D32" s="3779"/>
      <c r="E32" s="3780"/>
      <c r="F32" s="3781"/>
      <c r="G32" s="3782"/>
      <c r="H32" s="3750"/>
      <c r="I32" s="3335"/>
      <c r="J32" s="3315"/>
      <c r="K32" s="3323"/>
    </row>
    <row r="33" spans="1:19" ht="14.25" hidden="1" customHeight="1" x14ac:dyDescent="0.2">
      <c r="A33" s="3315"/>
      <c r="B33" s="3748"/>
      <c r="C33" s="3778"/>
      <c r="D33" s="3779"/>
      <c r="E33" s="3780"/>
      <c r="F33" s="3781"/>
      <c r="G33" s="3782"/>
      <c r="H33" s="3750"/>
      <c r="I33" s="3335"/>
      <c r="J33" s="3315"/>
      <c r="K33" s="3323"/>
    </row>
    <row r="34" spans="1:19" ht="14.25" hidden="1" customHeight="1" x14ac:dyDescent="0.2">
      <c r="A34" s="3315"/>
      <c r="B34" s="3748"/>
      <c r="C34" s="3778"/>
      <c r="D34" s="3779"/>
      <c r="E34" s="3780"/>
      <c r="F34" s="3781"/>
      <c r="G34" s="3782"/>
      <c r="H34" s="3750"/>
      <c r="I34" s="3335"/>
      <c r="J34" s="3315"/>
      <c r="K34" s="3323"/>
    </row>
    <row r="35" spans="1:19" ht="14.25" hidden="1" customHeight="1" x14ac:dyDescent="0.2">
      <c r="A35" s="3315"/>
      <c r="B35" s="3748"/>
      <c r="C35" s="3778"/>
      <c r="D35" s="3779"/>
      <c r="E35" s="3780"/>
      <c r="F35" s="3781"/>
      <c r="G35" s="3782"/>
      <c r="H35" s="3750"/>
      <c r="I35" s="3335"/>
      <c r="J35" s="3315"/>
      <c r="K35" s="3323"/>
    </row>
    <row r="36" spans="1:19" ht="14.25" hidden="1" customHeight="1" x14ac:dyDescent="0.2">
      <c r="A36" s="3315"/>
      <c r="B36" s="3748"/>
      <c r="C36" s="3778"/>
      <c r="D36" s="3779"/>
      <c r="E36" s="3780"/>
      <c r="F36" s="3781"/>
      <c r="G36" s="3782"/>
      <c r="H36" s="3750"/>
      <c r="I36" s="3335"/>
      <c r="J36" s="3315"/>
      <c r="K36" s="3323"/>
    </row>
    <row r="37" spans="1:19" ht="14.25" hidden="1" customHeight="1" x14ac:dyDescent="0.2">
      <c r="A37" s="3315"/>
      <c r="B37" s="3748"/>
      <c r="C37" s="3778"/>
      <c r="D37" s="3779"/>
      <c r="E37" s="3780"/>
      <c r="F37" s="3781"/>
      <c r="G37" s="3782"/>
      <c r="H37" s="3750"/>
      <c r="I37" s="3335"/>
      <c r="J37" s="3315"/>
      <c r="K37" s="3323"/>
    </row>
    <row r="38" spans="1:19" ht="14.25" hidden="1" customHeight="1" x14ac:dyDescent="0.2">
      <c r="A38" s="3315"/>
      <c r="B38" s="3748"/>
      <c r="C38" s="3778"/>
      <c r="D38" s="3779"/>
      <c r="E38" s="3780"/>
      <c r="F38" s="3781"/>
      <c r="G38" s="3782"/>
      <c r="H38" s="3750"/>
      <c r="I38" s="3335"/>
      <c r="J38" s="3315"/>
      <c r="K38" s="3323"/>
    </row>
    <row r="39" spans="1:19" ht="14.25" hidden="1" customHeight="1" x14ac:dyDescent="0.2">
      <c r="A39" s="3315"/>
      <c r="B39" s="3748"/>
      <c r="C39" s="3778"/>
      <c r="D39" s="3779"/>
      <c r="E39" s="3780"/>
      <c r="F39" s="3781"/>
      <c r="G39" s="3782"/>
      <c r="H39" s="3750"/>
      <c r="I39" s="3335"/>
      <c r="J39" s="3315"/>
      <c r="K39" s="3323"/>
    </row>
    <row r="40" spans="1:19" ht="14.25" hidden="1" customHeight="1" x14ac:dyDescent="0.2">
      <c r="A40" s="3315"/>
      <c r="B40" s="3748"/>
      <c r="C40" s="3778"/>
      <c r="D40" s="3779"/>
      <c r="E40" s="3780"/>
      <c r="F40" s="3781"/>
      <c r="G40" s="3782"/>
      <c r="H40" s="3750"/>
      <c r="I40" s="3335"/>
      <c r="J40" s="3315"/>
      <c r="K40" s="3323"/>
    </row>
    <row r="41" spans="1:19" ht="14.25" hidden="1" customHeight="1" x14ac:dyDescent="0.2">
      <c r="A41" s="3315"/>
      <c r="B41" s="3748"/>
      <c r="C41" s="3778"/>
      <c r="D41" s="3779"/>
      <c r="E41" s="3780"/>
      <c r="F41" s="3781"/>
      <c r="G41" s="3782"/>
      <c r="H41" s="3750"/>
      <c r="I41" s="3335"/>
      <c r="J41" s="3315"/>
      <c r="K41" s="3323"/>
    </row>
    <row r="42" spans="1:19" ht="14.25" hidden="1" customHeight="1" x14ac:dyDescent="0.2">
      <c r="A42" s="3315"/>
      <c r="B42" s="3748"/>
      <c r="C42" s="3778"/>
      <c r="D42" s="3779"/>
      <c r="E42" s="3780"/>
      <c r="F42" s="3781"/>
      <c r="G42" s="3782"/>
      <c r="H42" s="3750"/>
      <c r="I42" s="3335"/>
      <c r="J42" s="3315"/>
      <c r="K42" s="3323"/>
    </row>
    <row r="43" spans="1:19" ht="14.25" hidden="1" customHeight="1" x14ac:dyDescent="0.2">
      <c r="A43" s="3315"/>
      <c r="B43" s="3748"/>
      <c r="C43" s="3778"/>
      <c r="D43" s="3779"/>
      <c r="E43" s="3780"/>
      <c r="F43" s="3781"/>
      <c r="G43" s="3782"/>
      <c r="H43" s="3750"/>
      <c r="I43" s="3335"/>
      <c r="J43" s="3315"/>
      <c r="K43" s="3323"/>
    </row>
    <row r="44" spans="1:19" ht="14.25" hidden="1" customHeight="1" x14ac:dyDescent="0.2">
      <c r="A44" s="3315"/>
      <c r="B44" s="3748"/>
      <c r="C44" s="3778"/>
      <c r="D44" s="3779"/>
      <c r="E44" s="3780"/>
      <c r="F44" s="3781"/>
      <c r="G44" s="3782"/>
      <c r="H44" s="3750"/>
      <c r="I44" s="3335"/>
      <c r="J44" s="3315"/>
      <c r="K44" s="3323"/>
    </row>
    <row r="45" spans="1:19" ht="14.25" hidden="1" customHeight="1" x14ac:dyDescent="0.2">
      <c r="A45" s="3315"/>
      <c r="B45" s="3748"/>
      <c r="C45" s="3778"/>
      <c r="D45" s="3779"/>
      <c r="E45" s="3780"/>
      <c r="F45" s="3781"/>
      <c r="G45" s="3782"/>
      <c r="H45" s="3750"/>
      <c r="I45" s="3335"/>
      <c r="J45" s="3315"/>
      <c r="K45" s="3323"/>
    </row>
    <row r="46" spans="1:19" ht="14.25" hidden="1" customHeight="1" x14ac:dyDescent="0.2">
      <c r="A46" s="3315"/>
      <c r="B46" s="3748"/>
      <c r="C46" s="3778"/>
      <c r="D46" s="3779"/>
      <c r="E46" s="3780"/>
      <c r="F46" s="3781"/>
      <c r="G46" s="3782"/>
      <c r="H46" s="3750"/>
      <c r="I46" s="3335"/>
      <c r="J46" s="3315"/>
      <c r="K46" s="3323"/>
    </row>
    <row r="47" spans="1:19" ht="15" customHeight="1" x14ac:dyDescent="0.2">
      <c r="A47" s="3315"/>
      <c r="B47" s="3315"/>
      <c r="C47" s="3315"/>
      <c r="D47" s="3319"/>
      <c r="E47" s="3323"/>
      <c r="F47" s="3323"/>
      <c r="G47" s="3323"/>
      <c r="H47" s="2638">
        <f>SUM(H11:H22)</f>
      </c>
      <c r="I47" s="3337" t="str">
        <f>IF(AND(T1=U1,R1="n",H47&gt;T7),"TC exceeds €200,000","")</f>
        <v/>
      </c>
      <c r="J47" s="3315"/>
      <c r="K47" s="3323"/>
      <c r="M47" s="3123">
        <f>IF(I47&lt;&gt;"",1,0)</f>
      </c>
      <c r="S47" s="3300"/>
    </row>
    <row r="48" spans="1:19" ht="15" customHeight="1" x14ac:dyDescent="0.2">
      <c r="A48" s="3315"/>
      <c r="B48" s="3319"/>
      <c r="C48" s="3319"/>
      <c r="D48" s="3319"/>
      <c r="E48" s="3319"/>
      <c r="F48" s="3319"/>
      <c r="G48" s="3319"/>
      <c r="H48" s="3323"/>
      <c r="I48" s="3315"/>
      <c r="J48" s="3315"/>
      <c r="K48" s="3323"/>
    </row>
    <row r="49" spans="1:24" x14ac:dyDescent="0.2">
      <c r="A49" s="3315"/>
      <c r="B49" s="5370" t="s">
        <v>4996</v>
      </c>
      <c r="C49" s="5370"/>
      <c r="D49" s="5370"/>
      <c r="E49" s="5370"/>
      <c r="F49" s="5370"/>
      <c r="G49" s="5370"/>
      <c r="H49" s="5370"/>
      <c r="I49" s="5370"/>
      <c r="J49" s="3315"/>
      <c r="K49" s="3323"/>
      <c r="T49" s="3338">
        <f>MIN(T50:U50)</f>
      </c>
    </row>
    <row r="50" spans="1:24" x14ac:dyDescent="0.2">
      <c r="A50" s="3315"/>
      <c r="B50" s="3339"/>
      <c r="C50" s="3339"/>
      <c r="D50" s="3339"/>
      <c r="E50" s="3339"/>
      <c r="F50" s="3339"/>
      <c r="G50" s="3339"/>
      <c r="H50" s="3340"/>
      <c r="I50" s="3315"/>
      <c r="J50" s="3315"/>
      <c r="K50" s="3323"/>
      <c r="S50" s="3338">
        <v>43101</v>
      </c>
      <c r="T50" s="3272">
        <v>44196</v>
      </c>
      <c r="U50" s="3272">
        <f>DATE(ya-1,12,31)</f>
      </c>
      <c r="X50" s="3123" t="s">
        <v>7024</v>
      </c>
    </row>
    <row r="51" spans="1:24" x14ac:dyDescent="0.2">
      <c r="A51" s="3315"/>
      <c r="B51" s="3314"/>
      <c r="C51" s="3314"/>
      <c r="D51" s="3315"/>
      <c r="E51" s="3339"/>
      <c r="F51" s="3319" t="s">
        <v>6221</v>
      </c>
      <c r="G51" s="3339"/>
      <c r="H51" s="3341">
        <f>IF(SUM(M11:M47)&gt;0,0,H47)</f>
      </c>
      <c r="I51" s="3315"/>
      <c r="J51" s="3315"/>
      <c r="K51" s="3323"/>
      <c r="M51" s="3123">
        <f>IF(I51&lt;&gt;"",1,0)</f>
      </c>
      <c r="R51" s="3300"/>
      <c r="U51" s="3272"/>
      <c r="X51" s="3123" t="s">
        <v>8716</v>
      </c>
    </row>
    <row r="52" spans="1:24" ht="6.75" customHeight="1" x14ac:dyDescent="0.2">
      <c r="A52" s="3315"/>
      <c r="B52" s="3342"/>
      <c r="C52" s="3342"/>
      <c r="D52" s="3315"/>
      <c r="E52" s="3339"/>
      <c r="F52" s="3324"/>
      <c r="G52" s="3339"/>
      <c r="H52" s="3315"/>
      <c r="I52" s="3315"/>
      <c r="J52" s="3315"/>
      <c r="K52" s="3323"/>
      <c r="Q52" s="3265"/>
      <c r="R52" s="3300"/>
      <c r="U52" s="3272"/>
      <c r="X52" s="3123" t="s">
        <v>9222</v>
      </c>
    </row>
    <row r="53" spans="1:24" x14ac:dyDescent="0.2">
      <c r="A53" s="3315"/>
      <c r="B53" s="3314"/>
      <c r="C53" s="3314"/>
      <c r="D53" s="3315"/>
      <c r="E53" s="3339"/>
      <c r="F53" s="3319" t="s">
        <v>6222</v>
      </c>
      <c r="G53" s="3339"/>
      <c r="H53" s="3343"/>
      <c r="I53" s="3344" t="str">
        <f>IF(N6=0,"",IF(AND(R3&lt;=2021,H53&gt;0),"Delete!",IF(AND(R3&gt;2021,H53=""),reo,"")))</f>
        <v/>
      </c>
      <c r="J53" s="3315"/>
      <c r="K53" s="3315"/>
      <c r="M53" s="3123">
        <f>IF(I53&lt;&gt;"",1,0)</f>
      </c>
      <c r="N53" s="3123">
        <f>IF(H53="",0,1)</f>
      </c>
      <c r="R53" s="3273"/>
      <c r="U53" s="3272"/>
      <c r="X53" s="3123" t="s">
        <v>8728</v>
      </c>
    </row>
    <row r="54" spans="1:24" ht="6.75" customHeight="1" x14ac:dyDescent="0.2">
      <c r="A54" s="3315"/>
      <c r="B54" s="3342"/>
      <c r="C54" s="3342"/>
      <c r="D54" s="3315"/>
      <c r="E54" s="3339"/>
      <c r="F54" s="3324"/>
      <c r="G54" s="3339"/>
      <c r="H54" s="3315"/>
      <c r="I54" s="3315"/>
      <c r="J54" s="3315"/>
      <c r="K54" s="3323"/>
      <c r="Q54" s="3265"/>
      <c r="R54" s="3300"/>
      <c r="U54" s="3272"/>
      <c r="X54" s="3123" t="s">
        <v>9223</v>
      </c>
    </row>
    <row r="55" spans="1:24" x14ac:dyDescent="0.2">
      <c r="A55" s="3315"/>
      <c r="B55" s="3314"/>
      <c r="C55" s="3314"/>
      <c r="D55" s="3315"/>
      <c r="E55" s="3339"/>
      <c r="F55" s="3319" t="s">
        <v>7456</v>
      </c>
      <c r="G55" s="3339"/>
      <c r="H55" s="3341">
        <f>IF(M53=1,0,H53+H51)</f>
      </c>
      <c r="I55" s="3315"/>
      <c r="J55" s="3315"/>
      <c r="K55" s="3323"/>
      <c r="X55" s="3123" t="s">
        <v>9224</v>
      </c>
    </row>
    <row r="56" spans="1:24" ht="6.75" customHeight="1" x14ac:dyDescent="0.2">
      <c r="A56" s="3315"/>
      <c r="B56" s="3342"/>
      <c r="C56" s="3342"/>
      <c r="D56" s="3315"/>
      <c r="E56" s="3339"/>
      <c r="F56" s="3324"/>
      <c r="G56" s="3339"/>
      <c r="H56" s="3315"/>
      <c r="I56" s="3315"/>
      <c r="J56" s="3315"/>
      <c r="K56" s="3323"/>
      <c r="Q56" s="3265"/>
      <c r="R56" s="3300"/>
      <c r="U56" s="3272"/>
      <c r="X56" s="3123" t="s">
        <v>9225</v>
      </c>
    </row>
    <row r="57" spans="1:24" x14ac:dyDescent="0.2">
      <c r="A57" s="3315"/>
      <c r="B57" s="3314"/>
      <c r="C57" s="3314"/>
      <c r="D57" s="3315"/>
      <c r="E57" s="3339"/>
      <c r="F57" s="3319" t="s">
        <v>6223</v>
      </c>
      <c r="G57" s="3751" t="s">
        <v>951</v>
      </c>
      <c r="H57" s="3343"/>
      <c r="I57" s="3323" t="str">
        <f>IF(N6=0,"",IF(AND(N68&gt;0,H57=""),reo,IF(R63&gt;R61,"Excessive!","")))</f>
        <v/>
      </c>
      <c r="J57" s="3315"/>
      <c r="K57" s="3315"/>
      <c r="M57" s="3123">
        <f>IF(I57&lt;&gt;"",1,0)</f>
      </c>
      <c r="N57" s="3123">
        <f>IF(H57="",0,1)</f>
      </c>
      <c r="R57" s="3300"/>
      <c r="X57" s="3123" t="s">
        <v>9226</v>
      </c>
    </row>
    <row r="58" spans="1:24" ht="6.75" customHeight="1" x14ac:dyDescent="0.2">
      <c r="A58" s="3315"/>
      <c r="B58" s="3342"/>
      <c r="C58" s="3342"/>
      <c r="D58" s="3315"/>
      <c r="E58" s="3339"/>
      <c r="F58" s="3324"/>
      <c r="G58" s="3339"/>
      <c r="H58" s="3315"/>
      <c r="I58" s="3315"/>
      <c r="J58" s="3315"/>
      <c r="K58" s="3323"/>
      <c r="Q58" s="3265"/>
      <c r="R58" s="3300"/>
      <c r="U58" s="3272"/>
      <c r="X58" s="3123" t="s">
        <v>7031</v>
      </c>
    </row>
    <row r="59" spans="1:24" x14ac:dyDescent="0.2">
      <c r="A59" s="3315"/>
      <c r="B59" s="3314"/>
      <c r="C59" s="3314"/>
      <c r="D59" s="3315"/>
      <c r="E59" s="3339"/>
      <c r="F59" s="3319" t="s">
        <v>3566</v>
      </c>
      <c r="G59" s="3339"/>
      <c r="H59" s="3341">
        <f>IF(H55="","",IF(H55&gt;H57,H55-H57,0))</f>
      </c>
      <c r="I59" s="3315"/>
      <c r="J59" s="3315"/>
      <c r="K59" s="3323"/>
      <c r="R59" s="3300"/>
      <c r="X59" s="3123" t="s">
        <v>9227</v>
      </c>
    </row>
    <row r="60" spans="1:24" x14ac:dyDescent="0.2">
      <c r="A60" s="3315"/>
      <c r="B60" s="3315"/>
      <c r="C60" s="3315"/>
      <c r="D60" s="3315"/>
      <c r="E60" s="3315"/>
      <c r="F60" s="3315"/>
      <c r="G60" s="3315"/>
      <c r="H60" s="3315"/>
      <c r="I60" s="3315"/>
      <c r="J60" s="3315"/>
      <c r="K60" s="3323"/>
      <c r="X60" s="3123" t="s">
        <v>9228</v>
      </c>
    </row>
    <row r="61" spans="1:24" x14ac:dyDescent="0.2">
      <c r="A61" s="3315"/>
      <c r="B61" s="3315"/>
      <c r="C61" s="3315"/>
      <c r="D61" s="3315"/>
      <c r="E61" s="3315"/>
      <c r="F61" s="3320"/>
      <c r="G61" s="3345"/>
      <c r="H61" s="3315"/>
      <c r="I61" s="3315"/>
      <c r="J61" s="3315"/>
      <c r="K61" s="3323"/>
      <c r="R61" s="3300"/>
      <c r="X61" s="3123" t="s">
        <v>8719</v>
      </c>
    </row>
    <row r="62" spans="1:24" x14ac:dyDescent="0.2">
      <c r="A62" s="3315"/>
      <c r="B62" s="3346" t="s">
        <v>5708</v>
      </c>
      <c r="C62" s="3347"/>
      <c r="D62" s="3347"/>
      <c r="E62" s="3347"/>
      <c r="F62" s="3347"/>
      <c r="G62" s="3752" t="s">
        <v>951</v>
      </c>
      <c r="H62" s="3753"/>
      <c r="I62" s="3348" t="str">
        <f>IF(N6=0,"",IF(AND(H57&gt;=0,H62=""),re,IF(AND(H57=0,H62&gt;0),"No tax credit claimed for the year!",IF(AND(H57&gt;0,H62=0),"Amount relieved by tax credit required!",IF(H62&lt;0,"Cannot be negative!",IF(OR(H62&gt;S63+1,H62&lt;T63-1),U63,""))))))</f>
        <v/>
      </c>
      <c r="J62" s="3315"/>
      <c r="K62" s="3315"/>
      <c r="M62" s="3123">
        <f>IF(I62&lt;&gt;"",1,0)</f>
      </c>
      <c r="N62" s="3123">
        <f>IF(H62="",0,1)</f>
      </c>
      <c r="S62" s="5367" t="s">
        <v>7073</v>
      </c>
      <c r="T62" s="5367"/>
      <c r="U62" s="5367"/>
      <c r="X62" s="3123" t="s">
        <v>9229</v>
      </c>
    </row>
    <row r="63" spans="1:24" x14ac:dyDescent="0.2">
      <c r="A63" s="3315"/>
      <c r="B63" s="3315"/>
      <c r="C63" s="3315"/>
      <c r="D63" s="3315"/>
      <c r="E63" s="3315"/>
      <c r="F63" s="3315"/>
      <c r="G63" s="3349"/>
      <c r="H63" s="3349"/>
      <c r="I63" s="3323"/>
      <c r="J63" s="3315"/>
      <c r="K63" s="3315"/>
      <c r="R63" s="3300"/>
      <c r="S63" s="3350">
        <f>ROUND(H57/5%,0)</f>
      </c>
      <c r="T63" s="3308">
        <f>ROUND(H57/0.35,0)</f>
      </c>
      <c r="U63" s="3309" t="s">
        <v>4787</v>
      </c>
      <c r="X63" s="3123" t="s">
        <v>9230</v>
      </c>
    </row>
    <row r="64" spans="1:24" x14ac:dyDescent="0.2">
      <c r="A64" s="3315"/>
      <c r="B64" s="3315" t="s">
        <v>2007</v>
      </c>
      <c r="C64" s="3315"/>
      <c r="D64" s="3315"/>
      <c r="E64" s="3315"/>
      <c r="F64" s="3315"/>
      <c r="G64" s="3351"/>
      <c r="H64" s="3352"/>
      <c r="I64" s="3682" t="str">
        <f>IF($N$68=0,"",IF(H64="",re,IF(AND(P64="n",H57&gt;0),"No benefit!","")))</f>
        <v/>
      </c>
      <c r="J64" s="3353"/>
      <c r="K64" s="3315"/>
      <c r="M64" s="3123">
        <f>IF(I64&lt;&gt;"",1,0)</f>
      </c>
      <c r="N64" s="3123">
        <f>IF(H64="",0,1)</f>
      </c>
      <c r="P64" s="3123" t="str">
        <f>IF(H64="yes","Y","n")</f>
      </c>
      <c r="X64" s="3123" t="s">
        <v>4910</v>
      </c>
    </row>
    <row r="65" spans="1:24" x14ac:dyDescent="0.2">
      <c r="A65" s="3315"/>
      <c r="B65" s="3315"/>
      <c r="C65" s="3315"/>
      <c r="D65" s="3315"/>
      <c r="E65" s="3315"/>
      <c r="F65" s="3315"/>
      <c r="G65" s="3351"/>
      <c r="H65" s="3354"/>
      <c r="I65" s="3315"/>
      <c r="J65" s="3315"/>
      <c r="K65" s="3315"/>
      <c r="R65" s="3300"/>
      <c r="X65" s="3123" t="s">
        <v>9231</v>
      </c>
    </row>
    <row r="66" spans="1:24" x14ac:dyDescent="0.2">
      <c r="A66" s="3315"/>
      <c r="B66" s="3315"/>
      <c r="C66" s="3315"/>
      <c r="D66" s="3355"/>
      <c r="E66" s="3355"/>
      <c r="F66" s="3315"/>
      <c r="G66" s="3356" t="s">
        <v>4802</v>
      </c>
      <c r="H66" s="3352"/>
      <c r="I66" s="3351" t="str">
        <f>IF(N68=0,"",IF(H66="",re,""))</f>
        <v/>
      </c>
      <c r="J66" s="3315"/>
      <c r="K66" s="3315"/>
      <c r="M66" s="3123">
        <f>IF(I66&lt;&gt;"",1,0)</f>
      </c>
      <c r="N66" s="3123">
        <f>IF(H66="",0,1)</f>
      </c>
      <c r="P66" s="3123" t="str">
        <f>IF(H66="yes","Y","n")</f>
      </c>
      <c r="X66" s="3123" t="s">
        <v>8723</v>
      </c>
    </row>
    <row r="67" spans="1:24" x14ac:dyDescent="0.2">
      <c r="A67" s="3315"/>
      <c r="B67" s="3315"/>
      <c r="C67" s="3315"/>
      <c r="D67" s="3315"/>
      <c r="E67" s="3315"/>
      <c r="F67" s="3315"/>
      <c r="G67" s="3345"/>
      <c r="H67" s="3315"/>
      <c r="I67" s="3315"/>
      <c r="J67" s="3315"/>
      <c r="K67" s="3315"/>
      <c r="X67" s="3123" t="s">
        <v>9232</v>
      </c>
    </row>
    <row r="68" spans="1:24" x14ac:dyDescent="0.2">
      <c r="A68" s="3315"/>
      <c r="B68" s="3315"/>
      <c r="C68" s="3315"/>
      <c r="D68" s="3315"/>
      <c r="E68" s="3315"/>
      <c r="F68" s="3315"/>
      <c r="G68" s="3345"/>
      <c r="H68" s="3315"/>
      <c r="I68" s="3315"/>
      <c r="J68" s="3315"/>
      <c r="K68" s="3315"/>
      <c r="M68" s="3123">
        <f>SUM(M6:M66)</f>
      </c>
      <c r="N68" s="3123">
        <f>SUM(N8:N67)</f>
      </c>
      <c r="X68" s="3123" t="s">
        <v>9233</v>
      </c>
    </row>
    <row r="69" spans="1:24" x14ac:dyDescent="0.2">
      <c r="A69" s="3315"/>
      <c r="B69" s="3315" t="s">
        <v>10574</v>
      </c>
      <c r="C69" s="3315"/>
      <c r="D69" s="3315"/>
      <c r="E69" s="3315"/>
      <c r="F69" s="3315" t="str">
        <f>ver</f>
        <v>TA2_e-CO_2025_Ver 1.1</v>
      </c>
      <c r="G69" s="3345"/>
      <c r="H69" s="3315"/>
      <c r="I69" s="3357" t="s">
        <v>10128</v>
      </c>
      <c r="J69" s="3315"/>
      <c r="K69" s="3315"/>
      <c r="X69" s="3123" t="s">
        <v>9235</v>
      </c>
    </row>
    <row r="70" spans="1:24" x14ac:dyDescent="0.2">
      <c r="A70" s="3315"/>
      <c r="B70" s="3315"/>
      <c r="C70" s="3315"/>
      <c r="D70" s="3315"/>
      <c r="E70" s="3315"/>
      <c r="F70" s="3315"/>
      <c r="G70" s="3315"/>
      <c r="H70" s="3315"/>
      <c r="I70" s="3315"/>
      <c r="J70" s="3315"/>
      <c r="K70" s="3315"/>
      <c r="X70" s="3123" t="s">
        <v>9236</v>
      </c>
    </row>
    <row r="71" spans="1:24" x14ac:dyDescent="0.2">
      <c r="A71" s="3315"/>
      <c r="B71" s="3233" t="s">
        <v>6290</v>
      </c>
      <c r="C71" s="3358"/>
      <c r="D71" s="3358"/>
      <c r="E71" s="3315"/>
      <c r="F71" s="3315"/>
      <c r="G71" s="3315"/>
      <c r="H71" s="3315"/>
      <c r="I71" s="3315"/>
      <c r="J71" s="3315"/>
      <c r="K71" s="3315"/>
      <c r="M71" s="1742">
        <f>IF(N6=0,0,IF(M68&lt;&gt;0,100,IF(P66="Y",1,100)))</f>
      </c>
      <c r="X71" s="3123" t="s">
        <v>9237</v>
      </c>
    </row>
  </sheetData>
  <sheetProtection algorithmName="SHA-512" hashValue="V8eSQjsZupWJIInASE+9ocMWk2bydFM1A2UJsCEVcCBTqWyUKaCYkAv0LuYxeBuV6LBQhopX28y4MlFKBo5tXQ==" saltValue="Lbw7fAWwXFaRATQlmdjOxw==" spinCount="100000" sheet="1" objects="1" scenarios="1"/>
  <mergeCells count="4">
    <mergeCell ref="A1:H1"/>
    <mergeCell ref="B6:I6"/>
    <mergeCell ref="B49:I49"/>
    <mergeCell ref="S62:U62"/>
  </mergeCells>
  <dataValidations disablePrompts="1" count="14">
    <dataValidation type="textLength" operator="lessThanOrEqual" allowBlank="1" showInputMessage="1" showErrorMessage="1" errorTitle="Details" error="Enter correct details!" sqref="F11" xr:uid="{00000000-0002-0000-6D00-000000000000}">
      <formula1>25</formula1>
    </dataValidation>
    <dataValidation type="textLength" operator="greaterThanOrEqual" allowBlank="1" showInputMessage="1" showErrorMessage="1" errorTitle="Date" error="Enter correct date!" sqref="F12:F46" xr:uid="{00000000-0002-0000-6D00-000001000000}">
      <formula1>25</formula1>
    </dataValidation>
    <dataValidation type="textLength" operator="greaterThanOrEqual" allowBlank="1" showInputMessage="1" showErrorMessage="1" errorTitle="Certificate No:" error="Please enter correct certificate number!" sqref="D11:D46" xr:uid="{00000000-0002-0000-6D00-000002000000}">
      <formula1>8</formula1>
    </dataValidation>
    <dataValidation type="list" operator="greaterThanOrEqual" allowBlank="1" showInputMessage="1" showErrorMessage="1" errorTitle="Certificate No:" error="Please enter correct certificate number!" sqref="C11:C46" xr:uid="{00000000-0002-0000-6D00-000003000000}">
      <formula1>FU</formula1>
    </dataValidation>
    <dataValidation type="whole" operator="greaterThan" allowBlank="1" showInputMessage="1" showErrorMessage="1" errorTitle="Eligible costs" error="Figure must be greater than 0!" sqref="G11:G46" xr:uid="{00000000-0002-0000-6D00-000004000000}">
      <formula1>0</formula1>
    </dataValidation>
    <dataValidation type="date" allowBlank="1" showInputMessage="1" showErrorMessage="1" errorTitle="Date" error="Enter correct date!" sqref="E11:E46" xr:uid="{00000000-0002-0000-6D00-000005000000}">
      <formula1>$S$50</formula1>
      <formula2>$T$49</formula2>
    </dataValidation>
    <dataValidation type="list" allowBlank="1" showInputMessage="1" showErrorMessage="1" sqref="G8" xr:uid="{00000000-0002-0000-6D00-000006000000}">
      <formula1>$W$2:$W$14</formula1>
    </dataValidation>
    <dataValidation type="whole" allowBlank="1" showInputMessage="1" showErrorMessage="1" errorTitle="Income on which tax relieved" error="Please enter the correct amount!" sqref="H62" xr:uid="{00000000-0002-0000-6D00-000007000000}">
      <formula1>T63</formula1>
      <formula2>S63</formula2>
    </dataValidation>
    <dataValidation type="list" showInputMessage="1" showErrorMessage="1" sqref="H64 H66" xr:uid="{00000000-0002-0000-6D00-000008000000}">
      <formula1>yn</formula1>
    </dataValidation>
    <dataValidation type="whole" allowBlank="1" showInputMessage="1" showErrorMessage="1" errorTitle="Value" error="Please a positive amount which is less than the credit available!" sqref="H57" xr:uid="{00000000-0002-0000-6D00-000009000000}">
      <formula1>0</formula1>
      <formula2>H55</formula2>
    </dataValidation>
    <dataValidation type="whole" operator="greaterThanOrEqual" allowBlank="1" showInputMessage="1" showErrorMessage="1" sqref="H53" xr:uid="{00000000-0002-0000-6D00-00000A000000}">
      <formula1>0</formula1>
    </dataValidation>
    <dataValidation type="whole" operator="greaterThan" allowBlank="1" showInputMessage="1" showErrorMessage="1" errorTitle="Value" error="Please a positive amount!" sqref="T2 R51 U51" xr:uid="{00000000-0002-0000-6D00-00000B000000}">
      <formula1>0</formula1>
    </dataValidation>
    <dataValidation allowBlank="1" showInputMessage="1" showErrorMessage="1" errorTitle="Value" error="Please a positive amount!" sqref="S51 U59" xr:uid="{00000000-0002-0000-6D00-00000C000000}"/>
    <dataValidation allowBlank="1" showInputMessage="1" showErrorMessage="1" errorTitle="Total Eligible Costs" error="Total eligible costs cannot be more than €20,000 or equivalent!" sqref="H59" xr:uid="{00000000-0002-0000-6D00-00000D000000}"/>
  </dataValidations>
  <hyperlinks>
    <hyperlink ref="G62" location="TRA35!A21" display="TRA 35" xr:uid="{00000000-0004-0000-6D00-000000000000}"/>
    <hyperlink ref="B71" location="Index!B130" display="B A C K   T O   I N D E X" xr:uid="{00000000-0004-0000-6D00-000001000000}"/>
    <hyperlink ref="G57" location="TRA35!A21" display="TRA 35" xr:uid="{00000000-0004-0000-6D00-000002000000}"/>
  </hyperlinks>
  <pageMargins left="0.7" right="0.7" top="0.75" bottom="0.75" header="0.3" footer="0.3"/>
  <pageSetup paperSize="9" orientation="portrait" r:id="rId1"/>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21"/>
  <dimension ref="A1:AB47"/>
  <sheetViews>
    <sheetView workbookViewId="0">
      <selection sqref="A1:H1"/>
    </sheetView>
  </sheetViews>
  <sheetFormatPr defaultColWidth="0" defaultRowHeight="12.75" zeroHeight="1" x14ac:dyDescent="0.2"/>
  <cols>
    <col min="1" max="1" width="4.28515625" style="3123" customWidth="1"/>
    <col min="2" max="2" width="5.7109375" style="3123" customWidth="1"/>
    <col min="3" max="3" width="16" style="3123" customWidth="1"/>
    <col min="4" max="4" width="12.5703125" style="3123" customWidth="1"/>
    <col min="5" max="5" width="11.7109375" style="3123" customWidth="1"/>
    <col min="6" max="6" width="37" style="3123" customWidth="1"/>
    <col min="7" max="7" width="12.42578125" style="3123" customWidth="1"/>
    <col min="8" max="8" width="11.7109375" style="3123" customWidth="1"/>
    <col min="9" max="9" width="10.7109375" style="3123" customWidth="1"/>
    <col min="10" max="10" width="4.7109375" style="3123" customWidth="1"/>
    <col min="11" max="11" width="6.42578125" style="3123" customWidth="1"/>
    <col min="12" max="12" width="3" style="3123" hidden="1" customWidth="1"/>
    <col min="13" max="13" width="4.28515625" style="3123" hidden="1" customWidth="1"/>
    <col min="14" max="15" width="4.7109375" style="3123" hidden="1" customWidth="1"/>
    <col min="16" max="16" width="8.7109375" style="3123" hidden="1" customWidth="1"/>
    <col min="17" max="17" width="5.7109375" style="3123" hidden="1" customWidth="1"/>
    <col min="18" max="18" width="12.7109375" style="3123" hidden="1" customWidth="1"/>
    <col min="19" max="19" width="12.5703125" style="3123" hidden="1" customWidth="1"/>
    <col min="20" max="20" width="13.28515625" style="3123" hidden="1" customWidth="1"/>
    <col min="21" max="21" width="12" style="3123" hidden="1" customWidth="1"/>
    <col min="22" max="22" width="9.28515625" style="3123" hidden="1" customWidth="1"/>
    <col min="23" max="23" width="10.28515625" style="3123" hidden="1" customWidth="1"/>
    <col min="24" max="24" width="11.7109375" style="3123" hidden="1" customWidth="1"/>
    <col min="25" max="16384" width="9.28515625" style="3123" hidden="1"/>
  </cols>
  <sheetData>
    <row r="1" spans="1:25" ht="13.5" customHeight="1" x14ac:dyDescent="0.2">
      <c r="A1" s="5371" t="str">
        <f>_ref1</f>
      </c>
      <c r="B1" s="5371"/>
      <c r="C1" s="5371"/>
      <c r="D1" s="5371"/>
      <c r="E1" s="5371"/>
      <c r="F1" s="5371"/>
      <c r="G1" s="5371"/>
      <c r="H1" s="5371"/>
      <c r="I1" s="3313" t="str">
        <f>_YA1</f>
      </c>
      <c r="J1" s="3313"/>
      <c r="K1" s="3314"/>
      <c r="Q1" s="3265" t="s">
        <v>10121</v>
      </c>
      <c r="R1" s="3123" t="str">
        <f>'p2'!G36</f>
      </c>
      <c r="T1" s="3123" t="str">
        <f>cur</f>
      </c>
      <c r="U1" s="3123" t="s">
        <v>4591</v>
      </c>
    </row>
    <row r="2" spans="1:25" x14ac:dyDescent="0.2">
      <c r="A2" s="3315"/>
      <c r="B2" s="3315"/>
      <c r="C2" s="3315"/>
      <c r="D2" s="3315"/>
      <c r="E2" s="3315"/>
      <c r="F2" s="3315"/>
      <c r="G2" s="3315"/>
      <c r="H2" s="3315"/>
      <c r="I2" s="3315"/>
      <c r="J2" s="3315"/>
      <c r="K2" s="3315"/>
      <c r="S2" s="3265"/>
      <c r="T2" s="3316"/>
    </row>
    <row r="3" spans="1:25" ht="14.25" x14ac:dyDescent="0.2">
      <c r="A3" s="3315"/>
      <c r="B3" s="3317" t="s">
        <v>3218</v>
      </c>
      <c r="C3" s="3746"/>
      <c r="D3" s="3267"/>
      <c r="E3" s="3267"/>
      <c r="F3" s="3267"/>
      <c r="G3" s="3267"/>
      <c r="H3" s="3267"/>
      <c r="I3" s="3268"/>
      <c r="J3" s="3315"/>
      <c r="K3" s="3315"/>
      <c r="Q3" s="3123" t="s">
        <v>3994</v>
      </c>
      <c r="R3" s="3123">
        <f>ya</f>
      </c>
      <c r="W3" s="3123">
        <v>1</v>
      </c>
      <c r="Y3" s="3123" t="s">
        <v>4457</v>
      </c>
    </row>
    <row r="4" spans="1:25" ht="14.25" x14ac:dyDescent="0.2">
      <c r="A4" s="3315"/>
      <c r="B4" s="3318" t="s">
        <v>10242</v>
      </c>
      <c r="C4" s="3747"/>
      <c r="D4" s="3270"/>
      <c r="E4" s="3270"/>
      <c r="F4" s="3270"/>
      <c r="G4" s="3270"/>
      <c r="H4" s="3270"/>
      <c r="I4" s="3271"/>
      <c r="J4" s="3315"/>
      <c r="K4" s="3315"/>
      <c r="Q4" s="3123" t="s">
        <v>2705</v>
      </c>
      <c r="R4" s="3123">
        <f>R3-1</f>
      </c>
      <c r="W4" s="3123">
        <v>2</v>
      </c>
      <c r="Y4" s="3123" t="s">
        <v>1736</v>
      </c>
    </row>
    <row r="5" spans="1:25" x14ac:dyDescent="0.2">
      <c r="A5" s="3315"/>
      <c r="B5" s="3315"/>
      <c r="C5" s="3315"/>
      <c r="D5" s="3315"/>
      <c r="E5" s="3315"/>
      <c r="F5" s="3315"/>
      <c r="G5" s="3315"/>
      <c r="H5" s="3315"/>
      <c r="I5" s="3315"/>
      <c r="J5" s="3315"/>
      <c r="K5" s="3315"/>
      <c r="M5" s="3123" t="s">
        <v>7754</v>
      </c>
      <c r="N5" s="3123" t="s">
        <v>7161</v>
      </c>
      <c r="T5" s="3301"/>
      <c r="W5" s="3123">
        <v>3</v>
      </c>
    </row>
    <row r="6" spans="1:25" x14ac:dyDescent="0.2">
      <c r="A6" s="3315"/>
      <c r="B6" s="5369" t="s">
        <v>6317</v>
      </c>
      <c r="C6" s="5369"/>
      <c r="D6" s="5369"/>
      <c r="E6" s="5369"/>
      <c r="F6" s="5369"/>
      <c r="G6" s="5369"/>
      <c r="H6" s="5369"/>
      <c r="I6" s="5369"/>
      <c r="J6" s="3315"/>
      <c r="K6" s="3315"/>
      <c r="M6" s="3123">
        <f>SUM(M7:M42)</f>
      </c>
      <c r="N6" s="3123">
        <f>SUM(N7:N42)</f>
      </c>
      <c r="T6" s="3301"/>
      <c r="W6" s="3123">
        <v>4</v>
      </c>
    </row>
    <row r="7" spans="1:25" x14ac:dyDescent="0.2">
      <c r="A7" s="3315"/>
      <c r="B7" s="3315"/>
      <c r="C7" s="3315"/>
      <c r="D7" s="3315"/>
      <c r="E7" s="3315"/>
      <c r="F7" s="3315"/>
      <c r="G7" s="3315"/>
      <c r="H7" s="3315"/>
      <c r="I7" s="3315"/>
      <c r="J7" s="3315"/>
      <c r="K7" s="3315"/>
      <c r="R7" s="3123" t="s">
        <v>9220</v>
      </c>
      <c r="T7" s="3123">
        <v>200000</v>
      </c>
      <c r="W7" s="3123">
        <v>5</v>
      </c>
    </row>
    <row r="8" spans="1:25" x14ac:dyDescent="0.2">
      <c r="A8" s="3315"/>
      <c r="B8" s="3315"/>
      <c r="C8" s="3315"/>
      <c r="D8" s="3324"/>
      <c r="E8" s="3319"/>
      <c r="F8" s="3319" t="s">
        <v>10123</v>
      </c>
      <c r="G8" s="3321"/>
      <c r="H8" s="3322" t="str">
        <f>IF(R3&gt;2021,"",IF(N6=0,"",IF(G8="",re,"")))</f>
        <v/>
      </c>
      <c r="I8" s="3315"/>
      <c r="J8" s="3315"/>
      <c r="K8" s="3323"/>
      <c r="M8" s="3123">
        <f>IF(H8&lt;&gt;"",1,0)</f>
      </c>
      <c r="N8" s="3123">
        <f>IF(G8="",0,1)</f>
      </c>
      <c r="W8" s="3123">
        <v>6</v>
      </c>
    </row>
    <row r="9" spans="1:25" x14ac:dyDescent="0.2">
      <c r="A9" s="3315"/>
      <c r="B9" s="3315"/>
      <c r="C9" s="3315"/>
      <c r="D9" s="3324"/>
      <c r="E9" s="3319"/>
      <c r="F9" s="3320"/>
      <c r="G9" s="3320"/>
      <c r="H9" s="3323"/>
      <c r="I9" s="3315"/>
      <c r="J9" s="3315"/>
      <c r="K9" s="3323"/>
      <c r="W9" s="3123">
        <v>7</v>
      </c>
    </row>
    <row r="10" spans="1:25" ht="51" x14ac:dyDescent="0.2">
      <c r="A10" s="3315"/>
      <c r="B10" s="3315"/>
      <c r="C10" s="3279" t="s">
        <v>10124</v>
      </c>
      <c r="D10" s="3279" t="s">
        <v>10125</v>
      </c>
      <c r="E10" s="3279" t="s">
        <v>7155</v>
      </c>
      <c r="F10" s="3327" t="s">
        <v>10243</v>
      </c>
      <c r="G10" s="3327" t="s">
        <v>10244</v>
      </c>
      <c r="H10" s="3279" t="s">
        <v>784</v>
      </c>
      <c r="I10" s="3315"/>
      <c r="J10" s="3315"/>
      <c r="K10" s="3323"/>
      <c r="P10" s="3280"/>
      <c r="Q10" s="3328"/>
      <c r="W10" s="3123">
        <v>8</v>
      </c>
    </row>
    <row r="11" spans="1:25" ht="23.25" customHeight="1" x14ac:dyDescent="0.2">
      <c r="A11" s="3315"/>
      <c r="B11" s="3748">
        <v>1</v>
      </c>
      <c r="C11" s="3321"/>
      <c r="D11" s="3330"/>
      <c r="E11" s="3331"/>
      <c r="F11" s="3749"/>
      <c r="G11" s="3333"/>
      <c r="H11" s="3333"/>
      <c r="I11" s="3335" t="str">
        <f t="shared" ref="I11:I22" si="0">IF(AND($G$8&gt;0,$R$4&lt;=2021,B11&lt;=$G$8,N11=0),re,IF(AND($R$1="n",C11&lt;&gt;""),"Not a fiscal Unit",IF(AND($G$8&gt;0,$R$4&lt;=2021,B11&lt;=$G$8,$R$1="y",N11&lt;6),"All data",IF(AND($G$8&gt;0,$R$4&lt;=2021,B11&lt;=$G$8,$R$1="n",N11&lt;5),"All data",IF(AND(N11&gt;0,OR($R$4&gt;P11,B11&gt;$G$8)),"No details required",IF(H11&gt;G11,"Excessive!",""))))))</f>
        <v/>
      </c>
      <c r="J11" s="3315"/>
      <c r="K11" s="3323"/>
      <c r="M11" s="3123">
        <f t="shared" ref="M11:M23" si="1">IF(I11&lt;&gt;"",1,0)</f>
      </c>
      <c r="N11" s="3123">
        <f>IF($R$1="y",COUNTA(C11:H11),COUNTA(D11:H11))</f>
      </c>
      <c r="P11" s="3123" t="str">
        <f>IF($E11="", "", YEAR($E11))</f>
        <v/>
      </c>
      <c r="W11" s="3123">
        <v>9</v>
      </c>
    </row>
    <row r="12" spans="1:25" ht="21.75" customHeight="1" x14ac:dyDescent="0.2">
      <c r="A12" s="3315"/>
      <c r="B12" s="3748">
        <v>2</v>
      </c>
      <c r="C12" s="3321"/>
      <c r="D12" s="3330"/>
      <c r="E12" s="3331"/>
      <c r="F12" s="3749"/>
      <c r="G12" s="3333"/>
      <c r="H12" s="3333"/>
      <c r="I12" s="3335" t="str">
        <f t="shared" si="0"/>
        <v/>
      </c>
      <c r="J12" s="3315"/>
      <c r="K12" s="3323"/>
      <c r="M12" s="3123">
        <f t="shared" si="1"/>
        <v>0</v>
      </c>
      <c r="N12" s="3123">
        <f t="shared" ref="N12:N22" si="2">IF($R$1="y",COUNTA(C12:H12),COUNTA(D12:H12))</f>
      </c>
      <c r="P12" s="3123" t="str">
        <f t="shared" ref="P12:P22" si="3">IF($E12="", "", YEAR($E12))</f>
        <v/>
      </c>
      <c r="S12" s="3300"/>
      <c r="W12" s="3123">
        <v>10</v>
      </c>
    </row>
    <row r="13" spans="1:25" ht="21.75" customHeight="1" x14ac:dyDescent="0.2">
      <c r="A13" s="3315"/>
      <c r="B13" s="3748">
        <v>3</v>
      </c>
      <c r="C13" s="3321"/>
      <c r="D13" s="3330"/>
      <c r="E13" s="3331"/>
      <c r="F13" s="3749"/>
      <c r="G13" s="3333"/>
      <c r="H13" s="3333"/>
      <c r="I13" s="3335" t="str">
        <f t="shared" si="0"/>
        <v/>
      </c>
      <c r="J13" s="3315"/>
      <c r="K13" s="3323"/>
      <c r="M13" s="3123">
        <f t="shared" si="1"/>
        <v>0</v>
      </c>
      <c r="N13" s="3123">
        <f t="shared" si="2"/>
        <v>0</v>
      </c>
      <c r="P13" s="3123" t="str">
        <f t="shared" si="3"/>
        <v/>
      </c>
      <c r="S13" s="3301"/>
      <c r="V13" s="3300"/>
      <c r="W13" s="3123">
        <v>11</v>
      </c>
    </row>
    <row r="14" spans="1:25" ht="21.75" customHeight="1" x14ac:dyDescent="0.2">
      <c r="A14" s="3315"/>
      <c r="B14" s="3748">
        <v>4</v>
      </c>
      <c r="C14" s="3321"/>
      <c r="D14" s="3330"/>
      <c r="E14" s="3331"/>
      <c r="F14" s="3749"/>
      <c r="G14" s="3333"/>
      <c r="H14" s="3333"/>
      <c r="I14" s="3335" t="str">
        <f t="shared" si="0"/>
        <v/>
      </c>
      <c r="J14" s="3315"/>
      <c r="K14" s="3323"/>
      <c r="M14" s="3123">
        <f t="shared" si="1"/>
        <v>0</v>
      </c>
      <c r="N14" s="3123">
        <f t="shared" si="2"/>
        <v>0</v>
      </c>
      <c r="P14" s="3123" t="str">
        <f t="shared" si="3"/>
        <v/>
      </c>
      <c r="W14" s="3123">
        <v>12</v>
      </c>
    </row>
    <row r="15" spans="1:25" ht="21.75" customHeight="1" x14ac:dyDescent="0.2">
      <c r="A15" s="3315"/>
      <c r="B15" s="3748">
        <v>5</v>
      </c>
      <c r="C15" s="3321"/>
      <c r="D15" s="3330"/>
      <c r="E15" s="3331"/>
      <c r="F15" s="3749"/>
      <c r="G15" s="3333"/>
      <c r="H15" s="3333"/>
      <c r="I15" s="3335" t="str">
        <f t="shared" si="0"/>
        <v/>
      </c>
      <c r="J15" s="3315"/>
      <c r="K15" s="3323"/>
      <c r="M15" s="3123">
        <f t="shared" si="1"/>
        <v>0</v>
      </c>
      <c r="N15" s="3123">
        <f t="shared" si="2"/>
        <v>0</v>
      </c>
      <c r="P15" s="3123" t="str">
        <f t="shared" si="3"/>
        <v/>
      </c>
    </row>
    <row r="16" spans="1:25" ht="21.75" customHeight="1" x14ac:dyDescent="0.2">
      <c r="A16" s="3315"/>
      <c r="B16" s="3748">
        <v>6</v>
      </c>
      <c r="C16" s="3321"/>
      <c r="D16" s="3330"/>
      <c r="E16" s="3331"/>
      <c r="F16" s="3749"/>
      <c r="G16" s="3333"/>
      <c r="H16" s="3333"/>
      <c r="I16" s="3335" t="str">
        <f t="shared" si="0"/>
        <v/>
      </c>
      <c r="J16" s="3315"/>
      <c r="K16" s="3323"/>
      <c r="M16" s="3123">
        <f t="shared" si="1"/>
        <v>0</v>
      </c>
      <c r="N16" s="3123">
        <f t="shared" si="2"/>
        <v>0</v>
      </c>
      <c r="P16" s="3123" t="str">
        <f t="shared" si="3"/>
        <v/>
      </c>
    </row>
    <row r="17" spans="1:28" ht="21.75" customHeight="1" x14ac:dyDescent="0.2">
      <c r="A17" s="3315"/>
      <c r="B17" s="3748">
        <v>7</v>
      </c>
      <c r="C17" s="3321"/>
      <c r="D17" s="3330"/>
      <c r="E17" s="3331"/>
      <c r="F17" s="3749"/>
      <c r="G17" s="3333"/>
      <c r="H17" s="3333"/>
      <c r="I17" s="3335" t="str">
        <f t="shared" si="0"/>
        <v/>
      </c>
      <c r="J17" s="3315"/>
      <c r="K17" s="3323"/>
      <c r="M17" s="3123">
        <f t="shared" si="1"/>
        <v>0</v>
      </c>
      <c r="N17" s="3123">
        <f t="shared" si="2"/>
        <v>0</v>
      </c>
      <c r="P17" s="3123" t="str">
        <f t="shared" si="3"/>
        <v/>
      </c>
    </row>
    <row r="18" spans="1:28" ht="21.75" customHeight="1" x14ac:dyDescent="0.2">
      <c r="A18" s="3315"/>
      <c r="B18" s="3748">
        <v>8</v>
      </c>
      <c r="C18" s="3321"/>
      <c r="D18" s="3330"/>
      <c r="E18" s="3331"/>
      <c r="F18" s="3749"/>
      <c r="G18" s="3333"/>
      <c r="H18" s="3333"/>
      <c r="I18" s="3335" t="str">
        <f t="shared" si="0"/>
        <v/>
      </c>
      <c r="J18" s="3315"/>
      <c r="K18" s="3323"/>
      <c r="M18" s="3123">
        <f t="shared" si="1"/>
        <v>0</v>
      </c>
      <c r="N18" s="3123">
        <f t="shared" si="2"/>
        <v>0</v>
      </c>
      <c r="P18" s="3123" t="str">
        <f t="shared" si="3"/>
        <v/>
      </c>
    </row>
    <row r="19" spans="1:28" ht="21.75" customHeight="1" x14ac:dyDescent="0.2">
      <c r="A19" s="3315"/>
      <c r="B19" s="3748">
        <v>9</v>
      </c>
      <c r="C19" s="3321"/>
      <c r="D19" s="3330"/>
      <c r="E19" s="3331"/>
      <c r="F19" s="3749"/>
      <c r="G19" s="3333"/>
      <c r="H19" s="3333"/>
      <c r="I19" s="3335" t="str">
        <f t="shared" si="0"/>
        <v/>
      </c>
      <c r="J19" s="3315"/>
      <c r="K19" s="3323"/>
      <c r="M19" s="3123">
        <f t="shared" si="1"/>
        <v>0</v>
      </c>
      <c r="N19" s="3123">
        <f t="shared" si="2"/>
        <v>0</v>
      </c>
      <c r="P19" s="3123" t="str">
        <f t="shared" si="3"/>
        <v/>
      </c>
    </row>
    <row r="20" spans="1:28" ht="21.75" customHeight="1" x14ac:dyDescent="0.2">
      <c r="A20" s="3315"/>
      <c r="B20" s="3748">
        <v>10</v>
      </c>
      <c r="C20" s="3321"/>
      <c r="D20" s="3330"/>
      <c r="E20" s="3331"/>
      <c r="F20" s="3749"/>
      <c r="G20" s="3333"/>
      <c r="H20" s="3333"/>
      <c r="I20" s="3335" t="str">
        <f t="shared" si="0"/>
        <v/>
      </c>
      <c r="J20" s="3315"/>
      <c r="K20" s="3323"/>
      <c r="M20" s="3123">
        <f t="shared" si="1"/>
        <v>0</v>
      </c>
      <c r="N20" s="3123">
        <f t="shared" si="2"/>
        <v>0</v>
      </c>
      <c r="P20" s="3123" t="str">
        <f t="shared" si="3"/>
        <v/>
      </c>
    </row>
    <row r="21" spans="1:28" ht="21.75" customHeight="1" x14ac:dyDescent="0.2">
      <c r="A21" s="3315"/>
      <c r="B21" s="3748">
        <v>11</v>
      </c>
      <c r="C21" s="3321"/>
      <c r="D21" s="3330"/>
      <c r="E21" s="3331"/>
      <c r="F21" s="3749"/>
      <c r="G21" s="3333"/>
      <c r="H21" s="3333"/>
      <c r="I21" s="3335" t="str">
        <f t="shared" si="0"/>
        <v/>
      </c>
      <c r="J21" s="3315"/>
      <c r="K21" s="3323"/>
      <c r="M21" s="3123">
        <f t="shared" si="1"/>
        <v>0</v>
      </c>
      <c r="N21" s="3123">
        <f t="shared" si="2"/>
        <v>0</v>
      </c>
      <c r="P21" s="3123" t="str">
        <f t="shared" si="3"/>
        <v/>
      </c>
    </row>
    <row r="22" spans="1:28" ht="21.75" customHeight="1" x14ac:dyDescent="0.2">
      <c r="A22" s="3315"/>
      <c r="B22" s="3748">
        <v>12</v>
      </c>
      <c r="C22" s="3321"/>
      <c r="D22" s="3330"/>
      <c r="E22" s="3331"/>
      <c r="F22" s="3749"/>
      <c r="G22" s="3333"/>
      <c r="H22" s="3333"/>
      <c r="I22" s="3335" t="str">
        <f t="shared" si="0"/>
        <v/>
      </c>
      <c r="J22" s="3315"/>
      <c r="K22" s="3323"/>
      <c r="M22" s="3123">
        <f t="shared" si="1"/>
        <v>0</v>
      </c>
      <c r="N22" s="3123">
        <f t="shared" si="2"/>
        <v>0</v>
      </c>
      <c r="P22" s="3123" t="str">
        <f t="shared" si="3"/>
        <v/>
      </c>
    </row>
    <row r="23" spans="1:28" ht="15" customHeight="1" x14ac:dyDescent="0.2">
      <c r="A23" s="3315"/>
      <c r="B23" s="3315"/>
      <c r="C23" s="3315"/>
      <c r="D23" s="3319"/>
      <c r="E23" s="3323"/>
      <c r="F23" s="3323"/>
      <c r="G23" s="3323"/>
      <c r="H23" s="2638">
        <f>SUM(H11:H22)</f>
      </c>
      <c r="I23" s="3337" t="str">
        <f>IF(AND(T1=U1,H23&gt;T7),"TC exceeds €200,000","")</f>
        <v/>
      </c>
      <c r="J23" s="3315"/>
      <c r="K23" s="3323"/>
      <c r="M23" s="3123">
        <f t="shared" si="1"/>
        <v>0</v>
      </c>
      <c r="S23" s="3300"/>
    </row>
    <row r="24" spans="1:28" ht="15" customHeight="1" x14ac:dyDescent="0.2">
      <c r="A24" s="3315"/>
      <c r="B24" s="3319"/>
      <c r="C24" s="3319"/>
      <c r="D24" s="3319"/>
      <c r="E24" s="3319"/>
      <c r="F24" s="3319"/>
      <c r="G24" s="3319"/>
      <c r="H24" s="3323"/>
      <c r="I24" s="3315"/>
      <c r="J24" s="3315"/>
      <c r="K24" s="3323"/>
    </row>
    <row r="25" spans="1:28" x14ac:dyDescent="0.2">
      <c r="A25" s="3315"/>
      <c r="B25" s="5370" t="s">
        <v>4996</v>
      </c>
      <c r="C25" s="5370"/>
      <c r="D25" s="5370"/>
      <c r="E25" s="5370"/>
      <c r="F25" s="5370"/>
      <c r="G25" s="5370"/>
      <c r="H25" s="5370"/>
      <c r="I25" s="5370"/>
      <c r="J25" s="3315"/>
      <c r="K25" s="3323"/>
      <c r="T25" s="3338">
        <f>MIN(T26:U26)</f>
      </c>
    </row>
    <row r="26" spans="1:28" x14ac:dyDescent="0.2">
      <c r="A26" s="3315"/>
      <c r="B26" s="3339"/>
      <c r="C26" s="3339"/>
      <c r="D26" s="3339"/>
      <c r="E26" s="3339"/>
      <c r="F26" s="3339"/>
      <c r="G26" s="3339"/>
      <c r="H26" s="3340"/>
      <c r="I26" s="3315"/>
      <c r="J26" s="3315"/>
      <c r="K26" s="3323"/>
      <c r="S26" s="3338">
        <v>44197</v>
      </c>
      <c r="T26" s="3272">
        <v>45291</v>
      </c>
      <c r="U26" s="3272">
        <f>DATE(ya-1,12,31)</f>
      </c>
      <c r="AB26" s="3123" t="s">
        <v>7024</v>
      </c>
    </row>
    <row r="27" spans="1:28" x14ac:dyDescent="0.2">
      <c r="A27" s="3315"/>
      <c r="B27" s="3314"/>
      <c r="C27" s="3314"/>
      <c r="D27" s="3315"/>
      <c r="E27" s="3339"/>
      <c r="F27" s="3319" t="s">
        <v>6221</v>
      </c>
      <c r="G27" s="3339"/>
      <c r="H27" s="3341">
        <f>IF(SUM(M11:M23)&gt;0,0,H23)</f>
      </c>
      <c r="I27" s="3315"/>
      <c r="J27" s="3315"/>
      <c r="K27" s="3323"/>
      <c r="M27" s="3123">
        <f>IF(I27&lt;&gt;"",1,0)</f>
      </c>
      <c r="R27" s="3300"/>
      <c r="U27" s="3272"/>
      <c r="AB27" s="3123" t="s">
        <v>10245</v>
      </c>
    </row>
    <row r="28" spans="1:28" ht="6.75" customHeight="1" x14ac:dyDescent="0.2">
      <c r="A28" s="3315"/>
      <c r="B28" s="3342"/>
      <c r="C28" s="3342"/>
      <c r="D28" s="3315"/>
      <c r="E28" s="3339"/>
      <c r="F28" s="3324"/>
      <c r="G28" s="3339"/>
      <c r="H28" s="3315"/>
      <c r="I28" s="3315"/>
      <c r="J28" s="3315"/>
      <c r="K28" s="3323"/>
      <c r="Q28" s="3265"/>
      <c r="R28" s="3300"/>
      <c r="U28" s="3272"/>
      <c r="AB28" s="3123" t="s">
        <v>10246</v>
      </c>
    </row>
    <row r="29" spans="1:28" x14ac:dyDescent="0.2">
      <c r="A29" s="3315"/>
      <c r="B29" s="3314"/>
      <c r="C29" s="3314"/>
      <c r="D29" s="3315"/>
      <c r="E29" s="3339"/>
      <c r="F29" s="3319" t="s">
        <v>6222</v>
      </c>
      <c r="G29" s="3339"/>
      <c r="H29" s="3343"/>
      <c r="I29" s="3344" t="str">
        <f>IF(N6=0,"",IF(AND(R3&lt;=2022,H29&gt;0),"Delete!",IF(AND(R3&gt;2022,H29=""),reo,"")))</f>
        <v/>
      </c>
      <c r="J29" s="3315"/>
      <c r="K29" s="3315"/>
      <c r="M29" s="3123">
        <f>IF(I29&lt;&gt;"",1,0)</f>
      </c>
      <c r="N29" s="3123">
        <f>IF(H29="",0,1)</f>
      </c>
      <c r="R29" s="3273"/>
      <c r="U29" s="3272"/>
      <c r="AB29" s="3123" t="s">
        <v>10247</v>
      </c>
    </row>
    <row r="30" spans="1:28" ht="6.75" customHeight="1" x14ac:dyDescent="0.2">
      <c r="A30" s="3315"/>
      <c r="B30" s="3342"/>
      <c r="C30" s="3342"/>
      <c r="D30" s="3315"/>
      <c r="E30" s="3339"/>
      <c r="F30" s="3324"/>
      <c r="G30" s="3339"/>
      <c r="H30" s="3315"/>
      <c r="I30" s="3315"/>
      <c r="J30" s="3315"/>
      <c r="K30" s="3323"/>
      <c r="Q30" s="3265"/>
      <c r="R30" s="3300"/>
      <c r="U30" s="3272"/>
      <c r="AB30" s="3123" t="s">
        <v>10248</v>
      </c>
    </row>
    <row r="31" spans="1:28" x14ac:dyDescent="0.2">
      <c r="A31" s="3315"/>
      <c r="B31" s="3314"/>
      <c r="C31" s="3314"/>
      <c r="D31" s="3315"/>
      <c r="E31" s="3339"/>
      <c r="F31" s="3319" t="s">
        <v>7456</v>
      </c>
      <c r="G31" s="3339"/>
      <c r="H31" s="3341">
        <f>IF(M29=1,0,H29+H27)</f>
      </c>
      <c r="I31" s="3315"/>
      <c r="J31" s="3315"/>
      <c r="K31" s="3323"/>
      <c r="AB31" s="3123" t="s">
        <v>10249</v>
      </c>
    </row>
    <row r="32" spans="1:28" ht="6.75" customHeight="1" x14ac:dyDescent="0.2">
      <c r="A32" s="3315"/>
      <c r="B32" s="3342"/>
      <c r="C32" s="3342"/>
      <c r="D32" s="3315"/>
      <c r="E32" s="3339"/>
      <c r="F32" s="3324"/>
      <c r="G32" s="3339"/>
      <c r="H32" s="3315"/>
      <c r="I32" s="3315"/>
      <c r="J32" s="3315"/>
      <c r="K32" s="3323"/>
      <c r="Q32" s="3265"/>
      <c r="R32" s="3300"/>
      <c r="U32" s="3272"/>
      <c r="AB32" s="3123" t="s">
        <v>10250</v>
      </c>
    </row>
    <row r="33" spans="1:28" x14ac:dyDescent="0.2">
      <c r="A33" s="3315"/>
      <c r="B33" s="3314"/>
      <c r="C33" s="3314"/>
      <c r="D33" s="3315"/>
      <c r="E33" s="3339"/>
      <c r="F33" s="3319" t="s">
        <v>6223</v>
      </c>
      <c r="G33" s="3751" t="s">
        <v>951</v>
      </c>
      <c r="H33" s="3343"/>
      <c r="I33" s="3323" t="str">
        <f>IF(N6=0,"",IF(AND(N44&gt;0,H33=""),reo,IF(R39&gt;R37,"Excessive!","")))</f>
        <v/>
      </c>
      <c r="J33" s="3315"/>
      <c r="K33" s="3315"/>
      <c r="M33" s="3123">
        <f>IF(I33&lt;&gt;"",1,0)</f>
      </c>
      <c r="N33" s="3123">
        <f>IF(H33="",0,1)</f>
      </c>
      <c r="R33" s="3300"/>
      <c r="AB33" s="3123" t="s">
        <v>10251</v>
      </c>
    </row>
    <row r="34" spans="1:28" ht="6.75" customHeight="1" x14ac:dyDescent="0.2">
      <c r="A34" s="3315"/>
      <c r="B34" s="3342"/>
      <c r="C34" s="3342"/>
      <c r="D34" s="3315"/>
      <c r="E34" s="3339"/>
      <c r="F34" s="3324"/>
      <c r="G34" s="3339"/>
      <c r="H34" s="3315"/>
      <c r="I34" s="3315"/>
      <c r="J34" s="3315"/>
      <c r="K34" s="3323"/>
      <c r="Q34" s="3265"/>
      <c r="R34" s="3300"/>
      <c r="U34" s="3272"/>
      <c r="AB34" s="3123" t="s">
        <v>10252</v>
      </c>
    </row>
    <row r="35" spans="1:28" x14ac:dyDescent="0.2">
      <c r="A35" s="3315"/>
      <c r="B35" s="3314"/>
      <c r="C35" s="3314"/>
      <c r="D35" s="3315"/>
      <c r="E35" s="3339"/>
      <c r="F35" s="3319" t="s">
        <v>3566</v>
      </c>
      <c r="G35" s="3339"/>
      <c r="H35" s="3341">
        <f>IF(H31="","",IF(H31&gt;H33,H31-H33,0))</f>
      </c>
      <c r="I35" s="3315"/>
      <c r="J35" s="3315"/>
      <c r="K35" s="3323"/>
      <c r="R35" s="3300"/>
      <c r="AB35" s="3123" t="s">
        <v>10253</v>
      </c>
    </row>
    <row r="36" spans="1:28" x14ac:dyDescent="0.2">
      <c r="A36" s="3315"/>
      <c r="B36" s="3315"/>
      <c r="C36" s="3315"/>
      <c r="D36" s="3315"/>
      <c r="E36" s="3315"/>
      <c r="F36" s="3315"/>
      <c r="G36" s="3315"/>
      <c r="H36" s="3315"/>
      <c r="I36" s="3315"/>
      <c r="J36" s="3315"/>
      <c r="K36" s="3323"/>
    </row>
    <row r="37" spans="1:28" x14ac:dyDescent="0.2">
      <c r="A37" s="3315"/>
      <c r="B37" s="3315"/>
      <c r="C37" s="3315"/>
      <c r="D37" s="3315"/>
      <c r="E37" s="3315"/>
      <c r="F37" s="3320"/>
      <c r="G37" s="3345"/>
      <c r="H37" s="3315"/>
      <c r="I37" s="3315"/>
      <c r="J37" s="3315"/>
      <c r="K37" s="3323"/>
      <c r="R37" s="3300"/>
    </row>
    <row r="38" spans="1:28" x14ac:dyDescent="0.2">
      <c r="A38" s="3315"/>
      <c r="B38" s="3346" t="s">
        <v>5708</v>
      </c>
      <c r="C38" s="3347"/>
      <c r="D38" s="3347"/>
      <c r="E38" s="3347"/>
      <c r="F38" s="3347"/>
      <c r="G38" s="3752" t="s">
        <v>951</v>
      </c>
      <c r="H38" s="3753"/>
      <c r="I38" s="3348" t="str">
        <f>IF(N6=0,"",IF(AND(H33&gt;=0,H38=""),re,IF(AND(H33=0,H38&gt;0),"No tax credit claimed for the year!",IF(AND(H33&gt;0,H38=0),"Amount relieved by tax credit required!",IF(H38&lt;0,"Cannot be negative!",IF(OR(H38&gt;S39+1,H38&lt;T39-1),U39,""))))))</f>
        <v/>
      </c>
      <c r="J38" s="3315"/>
      <c r="K38" s="3315"/>
      <c r="M38" s="3123">
        <f>IF(I38&lt;&gt;"",1,0)</f>
      </c>
      <c r="N38" s="3123">
        <f>IF(H38="",0,1)</f>
      </c>
      <c r="S38" s="5367" t="s">
        <v>7073</v>
      </c>
      <c r="T38" s="5367"/>
      <c r="U38" s="5367"/>
    </row>
    <row r="39" spans="1:28" x14ac:dyDescent="0.2">
      <c r="A39" s="3315"/>
      <c r="B39" s="3315"/>
      <c r="C39" s="3315"/>
      <c r="D39" s="3315"/>
      <c r="E39" s="3315"/>
      <c r="F39" s="3315"/>
      <c r="G39" s="3349"/>
      <c r="H39" s="3349"/>
      <c r="I39" s="3323"/>
      <c r="J39" s="3315"/>
      <c r="K39" s="3315"/>
      <c r="R39" s="3300"/>
      <c r="S39" s="3350">
        <f>ROUND(H33/5%,0)</f>
      </c>
      <c r="T39" s="3308">
        <f>ROUND(H33/0.35,0)</f>
      </c>
      <c r="U39" s="3309" t="s">
        <v>4787</v>
      </c>
    </row>
    <row r="40" spans="1:28" x14ac:dyDescent="0.2">
      <c r="A40" s="3315"/>
      <c r="B40" s="3315" t="s">
        <v>2007</v>
      </c>
      <c r="C40" s="3315"/>
      <c r="D40" s="3315"/>
      <c r="E40" s="3315"/>
      <c r="F40" s="3315"/>
      <c r="G40" s="3351"/>
      <c r="H40" s="3352"/>
      <c r="I40" s="3682" t="str">
        <f>IF($N$44=0,"",IF(H40="",re,IF(AND(P40="n",H33&gt;0),"No benefit!","")))</f>
        <v/>
      </c>
      <c r="J40" s="3353"/>
      <c r="K40" s="3315"/>
      <c r="M40" s="3123">
        <f>IF(I40&lt;&gt;"",1,0)</f>
      </c>
      <c r="N40" s="3123">
        <f>IF(H40="",0,1)</f>
      </c>
      <c r="P40" s="3123" t="str">
        <f>IF(H40="yes","Y","n")</f>
      </c>
    </row>
    <row r="41" spans="1:28" x14ac:dyDescent="0.2">
      <c r="A41" s="3315"/>
      <c r="B41" s="3315"/>
      <c r="C41" s="3315"/>
      <c r="D41" s="3315"/>
      <c r="E41" s="3315"/>
      <c r="F41" s="3315"/>
      <c r="G41" s="3351"/>
      <c r="H41" s="3354"/>
      <c r="I41" s="3315"/>
      <c r="J41" s="3315"/>
      <c r="K41" s="3315"/>
      <c r="R41" s="3300"/>
    </row>
    <row r="42" spans="1:28" x14ac:dyDescent="0.2">
      <c r="A42" s="3315"/>
      <c r="B42" s="3315"/>
      <c r="C42" s="3315"/>
      <c r="D42" s="3355"/>
      <c r="E42" s="3355"/>
      <c r="F42" s="3315"/>
      <c r="G42" s="3356" t="s">
        <v>4802</v>
      </c>
      <c r="H42" s="3352"/>
      <c r="I42" s="3351" t="str">
        <f>IF(N44=0,"",IF(H42="",re,""))</f>
        <v/>
      </c>
      <c r="J42" s="3315"/>
      <c r="K42" s="3315"/>
      <c r="M42" s="3123">
        <f>IF(I42&lt;&gt;"",1,0)</f>
      </c>
      <c r="N42" s="3123">
        <f>IF(H42="",0,1)</f>
      </c>
      <c r="P42" s="3123" t="str">
        <f>IF(H42="yes","Y","n")</f>
      </c>
    </row>
    <row r="43" spans="1:28" x14ac:dyDescent="0.2">
      <c r="A43" s="3315"/>
      <c r="B43" s="3315"/>
      <c r="C43" s="3315"/>
      <c r="D43" s="3315"/>
      <c r="E43" s="3315"/>
      <c r="F43" s="3315"/>
      <c r="G43" s="3345"/>
      <c r="H43" s="3315"/>
      <c r="I43" s="3315"/>
      <c r="J43" s="3315"/>
      <c r="K43" s="3315"/>
    </row>
    <row r="44" spans="1:28" x14ac:dyDescent="0.2">
      <c r="A44" s="3315"/>
      <c r="B44" s="3315"/>
      <c r="C44" s="3315"/>
      <c r="D44" s="3315"/>
      <c r="E44" s="3315"/>
      <c r="F44" s="3315"/>
      <c r="G44" s="3345"/>
      <c r="H44" s="3315"/>
      <c r="I44" s="3315"/>
      <c r="J44" s="3315"/>
      <c r="K44" s="3315"/>
      <c r="M44" s="3123">
        <f>SUM(M6:M42)</f>
      </c>
      <c r="N44" s="3123">
        <f>SUM(N8:N43)</f>
      </c>
    </row>
    <row r="45" spans="1:28" x14ac:dyDescent="0.2">
      <c r="A45" s="3315"/>
      <c r="B45" s="3315" t="s">
        <v>10574</v>
      </c>
      <c r="C45" s="3315"/>
      <c r="D45" s="3315"/>
      <c r="E45" s="3315"/>
      <c r="F45" s="3315" t="str">
        <f>ver</f>
        <v>TA2_e-CO_2025_Ver 1.1</v>
      </c>
      <c r="G45" s="3345"/>
      <c r="H45" s="3315"/>
      <c r="I45" s="3357" t="s">
        <v>10254</v>
      </c>
      <c r="J45" s="3315"/>
      <c r="K45" s="3315"/>
    </row>
    <row r="46" spans="1:28" x14ac:dyDescent="0.2">
      <c r="A46" s="3315"/>
      <c r="B46" s="3315"/>
      <c r="C46" s="3315"/>
      <c r="D46" s="3315"/>
      <c r="E46" s="3315"/>
      <c r="F46" s="3315"/>
      <c r="G46" s="3315"/>
      <c r="H46" s="3315"/>
      <c r="I46" s="3315"/>
      <c r="J46" s="3315"/>
      <c r="K46" s="3315"/>
    </row>
    <row r="47" spans="1:28" x14ac:dyDescent="0.2">
      <c r="A47" s="3315"/>
      <c r="B47" s="3358" t="s">
        <v>6290</v>
      </c>
      <c r="C47" s="3358"/>
      <c r="D47" s="3358"/>
      <c r="E47" s="3315"/>
      <c r="F47" s="3315"/>
      <c r="G47" s="3315"/>
      <c r="H47" s="3315"/>
      <c r="I47" s="3315"/>
      <c r="J47" s="3315"/>
      <c r="K47" s="3315"/>
      <c r="M47" s="3123">
        <f>IF(N6=0,0,IF(M44&lt;&gt;0,100,IF(P42="Y",1,100)))</f>
      </c>
    </row>
  </sheetData>
  <sheetProtection algorithmName="SHA-512" hashValue="x/1dEfFkSJADye1wj4XA+nZwN6fGq/8B7gTQtjxIb5Tc2cT/79vAm8rGWlJKqMmCEJruaTYyZJYhULEdXGjqrg==" saltValue="f1KFEAPxP6aG2Xk3g25BlA==" spinCount="100000" sheet="1" objects="1" scenarios="1"/>
  <mergeCells count="4">
    <mergeCell ref="A1:H1"/>
    <mergeCell ref="B6:I6"/>
    <mergeCell ref="B25:I25"/>
    <mergeCell ref="S38:U38"/>
  </mergeCells>
  <dataValidations disablePrompts="1" count="15">
    <dataValidation type="textLength" operator="greaterThanOrEqual" allowBlank="1" showInputMessage="1" showErrorMessage="1" errorTitle="Certificate No:" error="Please enter correct certificate number!" sqref="D11:D22" xr:uid="{00000000-0002-0000-6E00-000000000000}">
      <formula1>6</formula1>
    </dataValidation>
    <dataValidation type="whole" operator="lessThanOrEqual" allowBlank="1" showInputMessage="1" showErrorMessage="1" errorTitle="Credit Exceeds Costs" error="The Tax credit cannot exceed the total eligible costs" sqref="H11:H22" xr:uid="{00000000-0002-0000-6E00-000001000000}">
      <formula1>G11</formula1>
    </dataValidation>
    <dataValidation type="whole" operator="lessThanOrEqual" allowBlank="1" showInputMessage="1" showErrorMessage="1" errorTitle="Grant exceeds Maximum" sqref="H23" xr:uid="{00000000-0002-0000-6E00-000002000000}">
      <formula1>200000</formula1>
    </dataValidation>
    <dataValidation type="list" operator="greaterThanOrEqual" allowBlank="1" showInputMessage="1" showErrorMessage="1" errorTitle="Certificate No:" error="Please enter correct certificate number!" sqref="C11:C22" xr:uid="{00000000-0002-0000-6E00-000003000000}">
      <formula1>FU</formula1>
    </dataValidation>
    <dataValidation type="whole" operator="greaterThan" allowBlank="1" showInputMessage="1" showErrorMessage="1" errorTitle="Eligible costs" error="Figure must be greater than 0!" sqref="G11:G22" xr:uid="{00000000-0002-0000-6E00-000004000000}">
      <formula1>0</formula1>
    </dataValidation>
    <dataValidation type="date" allowBlank="1" showInputMessage="1" showErrorMessage="1" errorTitle="Date" error="Enter correct date!" sqref="E11:E22" xr:uid="{00000000-0002-0000-6E00-000005000000}">
      <formula1>$S$26</formula1>
      <formula2>$T$25</formula2>
    </dataValidation>
    <dataValidation type="list" allowBlank="1" showInputMessage="1" showErrorMessage="1" sqref="G8" xr:uid="{00000000-0002-0000-6E00-000006000000}">
      <formula1>$W$2:$W$14</formula1>
    </dataValidation>
    <dataValidation type="whole" allowBlank="1" showInputMessage="1" showErrorMessage="1" errorTitle="Income on which tax relieved" error="Please enter the correct amount!" sqref="H38" xr:uid="{00000000-0002-0000-6E00-000007000000}">
      <formula1>T39</formula1>
      <formula2>S39</formula2>
    </dataValidation>
    <dataValidation type="list" showInputMessage="1" showErrorMessage="1" sqref="H42 H40" xr:uid="{00000000-0002-0000-6E00-000008000000}">
      <formula1>$Y$2:$Y$4</formula1>
    </dataValidation>
    <dataValidation type="whole" allowBlank="1" showInputMessage="1" showErrorMessage="1" errorTitle="Value" error="Please a positive amount which is less than the credit available!" sqref="H33" xr:uid="{00000000-0002-0000-6E00-000009000000}">
      <formula1>0</formula1>
      <formula2>H31</formula2>
    </dataValidation>
    <dataValidation type="whole" operator="greaterThanOrEqual" allowBlank="1" showInputMessage="1" showErrorMessage="1" sqref="H29" xr:uid="{00000000-0002-0000-6E00-00000A000000}">
      <formula1>0</formula1>
    </dataValidation>
    <dataValidation type="whole" operator="greaterThan" allowBlank="1" showInputMessage="1" showErrorMessage="1" errorTitle="Value" error="Please a positive amount!" sqref="T2 R27 U27" xr:uid="{00000000-0002-0000-6E00-00000B000000}">
      <formula1>0</formula1>
    </dataValidation>
    <dataValidation allowBlank="1" showInputMessage="1" showErrorMessage="1" errorTitle="Value" error="Please a positive amount!" sqref="S27 U35" xr:uid="{00000000-0002-0000-6E00-00000C000000}"/>
    <dataValidation allowBlank="1" showInputMessage="1" showErrorMessage="1" errorTitle="Total Eligible Costs" error="Total eligible costs cannot be more than €20,000 or equivalent!" sqref="H35" xr:uid="{00000000-0002-0000-6E00-00000D000000}"/>
    <dataValidation type="list" allowBlank="1" showInputMessage="1" showErrorMessage="1" sqref="F11:F22" xr:uid="{00000000-0002-0000-6E00-00000E000000}">
      <formula1>$AB$26:$AB$35</formula1>
    </dataValidation>
  </dataValidations>
  <hyperlinks>
    <hyperlink ref="G38" location="'TRA35'!A36" display="TRA 35" xr:uid="{00000000-0004-0000-6E00-000000000000}"/>
    <hyperlink ref="B47" location="Index!B77" display="B A C K   T O   I N D E X" xr:uid="{00000000-0004-0000-6E00-000001000000}"/>
    <hyperlink ref="G33" location="'TRA35'!A36" display="TRA 35" xr:uid="{00000000-0004-0000-6E00-000002000000}"/>
  </hyperlinks>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22"/>
  <dimension ref="A1:BF264"/>
  <sheetViews>
    <sheetView showGridLines="0" zoomScale="110" zoomScaleNormal="110" workbookViewId="0"/>
  </sheetViews>
  <sheetFormatPr defaultColWidth="0" defaultRowHeight="15" zeroHeight="1" x14ac:dyDescent="0.25"/>
  <cols>
    <col min="1" max="1" width="1.28515625" style="3812" customWidth="1"/>
    <col min="2" max="2" width="4.28515625" style="3812" customWidth="1"/>
    <col min="3" max="3" width="9.28515625" style="3812" customWidth="1"/>
    <col min="4" max="4" width="13.5703125" style="3812" customWidth="1"/>
    <col min="5" max="5" width="18" style="3812" customWidth="1"/>
    <col min="6" max="7" width="11.7109375" style="3812" customWidth="1"/>
    <col min="8" max="8" width="11.28515625" style="3812" customWidth="1"/>
    <col min="9" max="9" width="15.7109375" style="3812" customWidth="1"/>
    <col min="10" max="10" width="11.7109375" style="3812" customWidth="1"/>
    <col min="11" max="11" width="8.28515625" style="3812" customWidth="1"/>
    <col min="12" max="12" width="0.5703125" style="3812" customWidth="1"/>
    <col min="13" max="13" width="0.28515625" style="3812" customWidth="1"/>
    <col min="14" max="14" width="1.42578125" style="3812" hidden="1" customWidth="1"/>
    <col min="15" max="15" width="2" style="3812" hidden="1" customWidth="1"/>
    <col min="16" max="16" width="7.42578125" style="3815" hidden="1" customWidth="1"/>
    <col min="17" max="19" width="11.42578125" style="3815" hidden="1" customWidth="1"/>
    <col min="20" max="20" width="2.5703125" style="3815" hidden="1" customWidth="1"/>
    <col min="21" max="21" width="13.5703125" style="3815" hidden="1" customWidth="1"/>
    <col min="22" max="22" width="9.42578125" style="3815" hidden="1" customWidth="1"/>
    <col min="23" max="23" width="2" style="3815" hidden="1" customWidth="1"/>
    <col min="24" max="24" width="13.28515625" style="3815" hidden="1" customWidth="1"/>
    <col min="25" max="25" width="5.5703125" style="3815" hidden="1" customWidth="1"/>
    <col min="26" max="26" width="5.7109375" style="3815" hidden="1" customWidth="1"/>
    <col min="27" max="27" width="59.5703125" style="3815" hidden="1" customWidth="1"/>
    <col min="28" max="28" width="11.42578125" style="3815" hidden="1" customWidth="1"/>
    <col min="29" max="29" width="13.28515625" style="3815" hidden="1" customWidth="1"/>
    <col min="30" max="30" width="23" style="3815" hidden="1" customWidth="1"/>
    <col min="31" max="32" width="10.28515625" style="3815" hidden="1" customWidth="1"/>
    <col min="33" max="33" width="11.28515625" style="3815" hidden="1" customWidth="1"/>
    <col min="34" max="34" width="5" style="3815" hidden="1" customWidth="1"/>
    <col min="35" max="35" width="0.42578125" style="3815" hidden="1" customWidth="1"/>
    <col min="36" max="36" width="6.28515625" style="3815" hidden="1" customWidth="1"/>
    <col min="37" max="37" width="52.5703125" style="3815" hidden="1" customWidth="1"/>
    <col min="38" max="38" width="0.42578125" style="3815" hidden="1" customWidth="1"/>
    <col min="39" max="39" width="47.28515625" style="3815" hidden="1" customWidth="1"/>
    <col min="40" max="40" width="2.7109375" style="3815" hidden="1" customWidth="1"/>
    <col min="41" max="53" width="14.7109375" style="3815" hidden="1" customWidth="1"/>
    <col min="54" max="54" width="9.28515625" style="3815" hidden="1" customWidth="1"/>
    <col min="55" max="55" width="2.5703125" style="3815" hidden="1" customWidth="1"/>
    <col min="56" max="56" width="3.7109375" style="3815" hidden="1" customWidth="1"/>
    <col min="57" max="57" width="4.5703125" style="3815" hidden="1" customWidth="1"/>
    <col min="58" max="58" width="4" style="3815" hidden="1" customWidth="1"/>
    <col min="59" max="16384" width="0.42578125" style="3815" hidden="1"/>
  </cols>
  <sheetData>
    <row r="1" spans="1:55" s="3805" customFormat="1" ht="12.75" x14ac:dyDescent="0.2">
      <c r="B1" s="5431" t="str">
        <f>_ref1</f>
      </c>
      <c r="C1" s="5431"/>
      <c r="D1" s="5431"/>
      <c r="E1" s="5431"/>
      <c r="F1" s="5431"/>
      <c r="G1" s="5431"/>
      <c r="H1" s="5431"/>
      <c r="I1" s="5431"/>
      <c r="J1" s="3806"/>
      <c r="K1" s="3807" t="str">
        <f>_YA1</f>
      </c>
      <c r="N1" s="3808"/>
      <c r="P1" s="3805" t="str">
        <f>CONCATENATE(B3," - ",B4)</f>
      </c>
      <c r="V1" s="3805" t="s">
        <v>9964</v>
      </c>
      <c r="W1" s="3805" t="str">
        <f>'p2'!G36</f>
      </c>
      <c r="X1" s="3807" t="s">
        <v>7019</v>
      </c>
      <c r="Y1" s="3809">
        <f>G21-1</f>
      </c>
      <c r="AD1" s="3805" t="s">
        <v>7020</v>
      </c>
      <c r="AE1" s="3810">
        <v>44197</v>
      </c>
      <c r="AG1" s="3805" t="s">
        <v>7021</v>
      </c>
      <c r="AH1" s="3811">
        <f>ya-1</f>
      </c>
    </row>
    <row r="2" spans="1:55" s="3805" customFormat="1" x14ac:dyDescent="0.25">
      <c r="A2" s="3812"/>
      <c r="B2" s="3812"/>
      <c r="C2" s="3812"/>
      <c r="D2" s="3812"/>
      <c r="E2" s="3812"/>
      <c r="F2" s="3812"/>
      <c r="G2" s="3812"/>
      <c r="H2" s="3812"/>
      <c r="I2" s="3812"/>
      <c r="J2" s="3812"/>
      <c r="K2" s="3812"/>
      <c r="L2" s="3812"/>
      <c r="N2" s="3813"/>
      <c r="O2" s="3812"/>
      <c r="AD2" s="3805" t="s">
        <v>7022</v>
      </c>
      <c r="AE2" s="3810">
        <f>DATE(MIN(AH1:AH2),12,31)</f>
      </c>
      <c r="AG2" s="3805" t="s">
        <v>7023</v>
      </c>
      <c r="AH2" s="3814">
        <v>2022</v>
      </c>
      <c r="AK2" s="3809" t="s">
        <v>7024</v>
      </c>
      <c r="AM2" s="3805" t="s">
        <v>3274</v>
      </c>
      <c r="AS2" s="3805" t="s">
        <v>7025</v>
      </c>
      <c r="BA2" s="3815" t="s">
        <v>7024</v>
      </c>
      <c r="BB2" s="3815" t="s">
        <v>412</v>
      </c>
      <c r="BC2" s="3815">
        <f t="shared" ref="BC2:BC17" si="0">LEN(BB2)</f>
      </c>
    </row>
    <row r="3" spans="1:55" s="3805" customFormat="1" x14ac:dyDescent="0.25">
      <c r="A3" s="3812"/>
      <c r="B3" s="3816" t="s">
        <v>7026</v>
      </c>
      <c r="C3" s="3817"/>
      <c r="D3" s="3817"/>
      <c r="E3" s="3817"/>
      <c r="F3" s="3817"/>
      <c r="G3" s="3817"/>
      <c r="H3" s="3817"/>
      <c r="I3" s="3817"/>
      <c r="J3" s="3817"/>
      <c r="K3" s="3818"/>
      <c r="Y3" s="3805" t="s">
        <v>4457</v>
      </c>
      <c r="AF3" s="3820"/>
      <c r="AK3" s="3805" t="s">
        <v>10258</v>
      </c>
      <c r="AM3" s="3815" t="s">
        <v>3281</v>
      </c>
      <c r="AN3" s="3807"/>
      <c r="AS3" s="3805" t="s">
        <v>7028</v>
      </c>
      <c r="BA3" s="3821" t="s">
        <v>10259</v>
      </c>
      <c r="BB3" s="3822" t="s">
        <v>413</v>
      </c>
      <c r="BC3" s="3805">
        <f t="shared" si="0"/>
        <v>1</v>
      </c>
    </row>
    <row r="4" spans="1:55" s="3805" customFormat="1" x14ac:dyDescent="0.25">
      <c r="A4" s="3812"/>
      <c r="B4" s="3823" t="s">
        <v>10305</v>
      </c>
      <c r="C4" s="3824"/>
      <c r="D4" s="3824"/>
      <c r="E4" s="3824"/>
      <c r="F4" s="3824"/>
      <c r="G4" s="3824"/>
      <c r="H4" s="3824"/>
      <c r="I4" s="3824"/>
      <c r="J4" s="3824"/>
      <c r="K4" s="3825"/>
      <c r="Y4" s="3805" t="s">
        <v>1736</v>
      </c>
      <c r="AF4" s="3820"/>
      <c r="AK4" s="3805" t="s">
        <v>10260</v>
      </c>
      <c r="AM4" s="3815" t="s">
        <v>3282</v>
      </c>
      <c r="BA4" s="3821" t="s">
        <v>10261</v>
      </c>
      <c r="BB4" s="3822" t="s">
        <v>10262</v>
      </c>
      <c r="BC4" s="3805">
        <f t="shared" si="0"/>
        <v>6</v>
      </c>
    </row>
    <row r="5" spans="1:55" s="3805" customFormat="1" x14ac:dyDescent="0.25">
      <c r="A5" s="3812"/>
      <c r="B5" s="3819"/>
      <c r="C5" s="3819"/>
      <c r="D5" s="3819"/>
      <c r="E5" s="3819"/>
      <c r="F5" s="3819"/>
      <c r="G5" s="3819"/>
      <c r="H5" s="3819"/>
      <c r="I5" s="3819"/>
      <c r="J5" s="3819"/>
      <c r="K5" s="3819"/>
      <c r="N5" s="3812"/>
      <c r="O5" s="3812"/>
      <c r="AK5" s="3805" t="s">
        <v>10263</v>
      </c>
      <c r="AM5" s="3815"/>
      <c r="BA5" s="3821" t="s">
        <v>7309</v>
      </c>
      <c r="BB5" s="3822" t="s">
        <v>1919</v>
      </c>
      <c r="BC5" s="3805">
        <f t="shared" si="0"/>
        <v>3</v>
      </c>
    </row>
    <row r="6" spans="1:55" s="3805" customFormat="1" x14ac:dyDescent="0.25">
      <c r="A6" s="3812"/>
      <c r="B6" s="3826">
        <v>1</v>
      </c>
      <c r="C6" s="3827" t="s">
        <v>10264</v>
      </c>
      <c r="D6" s="3827"/>
      <c r="E6" s="3827"/>
      <c r="F6" s="3828"/>
      <c r="G6" s="3828"/>
      <c r="H6" s="3828"/>
      <c r="I6" s="3828"/>
      <c r="J6" s="3828"/>
      <c r="K6" s="3829"/>
      <c r="N6" s="3812"/>
      <c r="O6" s="3812"/>
      <c r="AK6" s="3805" t="s">
        <v>10265</v>
      </c>
      <c r="AM6" s="3815"/>
      <c r="BA6" s="3821" t="s">
        <v>10266</v>
      </c>
      <c r="BB6" s="3822" t="s">
        <v>987</v>
      </c>
      <c r="BC6" s="3805">
        <f t="shared" si="0"/>
        <v>3</v>
      </c>
    </row>
    <row r="7" spans="1:55" s="3805" customFormat="1" x14ac:dyDescent="0.25">
      <c r="A7" s="3812"/>
      <c r="B7" s="3819"/>
      <c r="C7" s="3819"/>
      <c r="D7" s="3819"/>
      <c r="E7" s="3819"/>
      <c r="F7" s="3819"/>
      <c r="G7" s="3819"/>
      <c r="H7" s="3819"/>
      <c r="I7" s="3819"/>
      <c r="J7" s="3819"/>
      <c r="K7" s="3819"/>
      <c r="N7" s="3812"/>
      <c r="O7" s="3812"/>
      <c r="AK7" s="3805" t="s">
        <v>10267</v>
      </c>
      <c r="AM7" s="3815"/>
      <c r="BA7" s="3821" t="s">
        <v>10268</v>
      </c>
      <c r="BB7" s="3822" t="s">
        <v>4609</v>
      </c>
      <c r="BC7" s="3805">
        <f t="shared" si="0"/>
        <v>1</v>
      </c>
    </row>
    <row r="8" spans="1:55" s="3805" customFormat="1" hidden="1" x14ac:dyDescent="0.25">
      <c r="A8" s="3812"/>
      <c r="B8" s="3819"/>
      <c r="C8" s="3819"/>
      <c r="D8" s="3819"/>
      <c r="E8" s="3819"/>
      <c r="F8" s="3819"/>
      <c r="G8" s="3819"/>
      <c r="H8" s="3819"/>
      <c r="I8" s="3819"/>
      <c r="J8" s="3819"/>
      <c r="K8" s="3819"/>
      <c r="AK8" s="3805" t="s">
        <v>10269</v>
      </c>
      <c r="AM8" s="3815" t="s">
        <v>7038</v>
      </c>
      <c r="BA8" s="3821" t="s">
        <v>10270</v>
      </c>
      <c r="BB8" s="3822" t="s">
        <v>4610</v>
      </c>
      <c r="BC8" s="3805">
        <f t="shared" si="0"/>
        <v>1</v>
      </c>
    </row>
    <row r="9" spans="1:55" s="3805" customFormat="1" hidden="1" x14ac:dyDescent="0.25">
      <c r="A9" s="3812"/>
      <c r="B9" s="3819"/>
      <c r="C9" s="3819"/>
      <c r="D9" s="3819"/>
      <c r="E9" s="3819"/>
      <c r="F9" s="3819"/>
      <c r="G9" s="3819"/>
      <c r="H9" s="3819"/>
      <c r="I9" s="3819"/>
      <c r="J9" s="3819"/>
      <c r="K9" s="3819"/>
      <c r="AK9" s="3805" t="s">
        <v>10271</v>
      </c>
      <c r="AM9" s="3815" t="s">
        <v>7040</v>
      </c>
      <c r="BA9" s="3821" t="s">
        <v>10272</v>
      </c>
      <c r="BB9" s="3822" t="s">
        <v>4611</v>
      </c>
      <c r="BC9" s="3805">
        <f t="shared" si="0"/>
        <v>1</v>
      </c>
    </row>
    <row r="10" spans="1:55" s="3805" customFormat="1" hidden="1" x14ac:dyDescent="0.25">
      <c r="A10" s="3812"/>
      <c r="B10" s="3819"/>
      <c r="C10" s="3819"/>
      <c r="D10" s="3819"/>
      <c r="E10" s="3819"/>
      <c r="F10" s="3819"/>
      <c r="G10" s="3819"/>
      <c r="H10" s="3819"/>
      <c r="I10" s="3819"/>
      <c r="J10" s="3819"/>
      <c r="K10" s="3819"/>
      <c r="AK10" s="3805" t="s">
        <v>10273</v>
      </c>
      <c r="AM10" s="3815" t="s">
        <v>7045</v>
      </c>
      <c r="BA10" s="3821" t="s">
        <v>10274</v>
      </c>
      <c r="BB10" s="3822" t="s">
        <v>4613</v>
      </c>
      <c r="BC10" s="3805">
        <f t="shared" si="0"/>
        <v>1</v>
      </c>
    </row>
    <row r="11" spans="1:55" s="3805" customFormat="1" hidden="1" x14ac:dyDescent="0.25">
      <c r="A11" s="3812"/>
      <c r="B11" s="3819"/>
      <c r="C11" s="3819"/>
      <c r="D11" s="3819"/>
      <c r="E11" s="3819"/>
      <c r="F11" s="3819"/>
      <c r="G11" s="3819"/>
      <c r="H11" s="3819"/>
      <c r="I11" s="3819"/>
      <c r="J11" s="3819"/>
      <c r="K11" s="3819"/>
      <c r="P11" s="3805" t="s">
        <v>7030</v>
      </c>
      <c r="Q11" s="3805" t="s">
        <v>6977</v>
      </c>
      <c r="AK11" s="3805" t="s">
        <v>10275</v>
      </c>
      <c r="AM11" s="3815" t="s">
        <v>7043</v>
      </c>
      <c r="BA11" s="3821" t="s">
        <v>10276</v>
      </c>
      <c r="BB11" s="3822" t="s">
        <v>3097</v>
      </c>
      <c r="BC11" s="3805">
        <f t="shared" si="0"/>
        <v>1</v>
      </c>
    </row>
    <row r="12" spans="1:55" s="3805" customFormat="1" x14ac:dyDescent="0.25">
      <c r="A12" s="3812"/>
      <c r="B12" s="3819" t="s">
        <v>9984</v>
      </c>
      <c r="C12" s="3819"/>
      <c r="D12" s="3819"/>
      <c r="E12" s="3819"/>
      <c r="F12" s="3819"/>
      <c r="G12" s="3819"/>
      <c r="H12" s="3819"/>
      <c r="I12" s="3321"/>
      <c r="J12" s="3842" t="str">
        <f>IF(AND($W$1="y",I12="",Q83&gt;0),re,IF(AND($W$1="n",I12&lt;&gt;""),"Delete!",""))</f>
        <v/>
      </c>
      <c r="K12" s="3819"/>
      <c r="P12" s="3815">
        <f>IF(J12="",0,1)</f>
      </c>
      <c r="Q12" s="3805">
        <f>IF(I12&lt;&gt;"",1,0)</f>
      </c>
      <c r="S12" s="3843">
        <f>IF(AND($W$1="n",I12&lt;&gt;""),1,0)</f>
      </c>
      <c r="AK12" s="3805" t="s">
        <v>10277</v>
      </c>
      <c r="BA12" s="3821" t="s">
        <v>4910</v>
      </c>
      <c r="BB12" s="3822" t="s">
        <v>4615</v>
      </c>
      <c r="BC12" s="3805">
        <f t="shared" si="0"/>
        <v>1</v>
      </c>
    </row>
    <row r="13" spans="1:55" s="3805" customFormat="1" ht="12.75" x14ac:dyDescent="0.2">
      <c r="A13" s="3812"/>
      <c r="B13" s="3819"/>
      <c r="C13" s="3819"/>
      <c r="D13" s="3819"/>
      <c r="E13" s="3819"/>
      <c r="F13" s="3819"/>
      <c r="G13" s="3819"/>
      <c r="H13" s="3819"/>
      <c r="I13" s="3819"/>
      <c r="J13" s="3819"/>
      <c r="K13" s="3819"/>
      <c r="N13" s="3812"/>
      <c r="AK13" s="3805" t="s">
        <v>10278</v>
      </c>
      <c r="BA13" s="3821" t="s">
        <v>10279</v>
      </c>
      <c r="BB13" s="3822" t="s">
        <v>4616</v>
      </c>
      <c r="BC13" s="3805">
        <f t="shared" si="0"/>
        <v>1</v>
      </c>
    </row>
    <row r="14" spans="1:55" s="3805" customFormat="1" hidden="1" x14ac:dyDescent="0.25">
      <c r="A14" s="3812"/>
      <c r="B14" s="3819"/>
      <c r="C14" s="3819"/>
      <c r="D14" s="3819"/>
      <c r="E14" s="3819"/>
      <c r="F14" s="3819"/>
      <c r="G14" s="3819"/>
      <c r="H14" s="3819"/>
      <c r="I14" s="3819"/>
      <c r="J14" s="3819"/>
      <c r="K14" s="3819"/>
      <c r="N14" s="3812"/>
      <c r="O14" s="3845"/>
      <c r="P14" s="3815"/>
      <c r="AK14" s="3805" t="s">
        <v>10280</v>
      </c>
      <c r="AM14" s="3815" t="s">
        <v>7038</v>
      </c>
      <c r="BA14" s="3821" t="s">
        <v>10281</v>
      </c>
      <c r="BB14" s="3822" t="s">
        <v>10282</v>
      </c>
      <c r="BC14" s="3805">
        <f t="shared" si="0"/>
        <v>3</v>
      </c>
    </row>
    <row r="15" spans="1:55" s="3805" customFormat="1" hidden="1" x14ac:dyDescent="0.25">
      <c r="A15" s="3812"/>
      <c r="B15" s="3819"/>
      <c r="C15" s="3819"/>
      <c r="D15" s="3819"/>
      <c r="E15" s="3844"/>
      <c r="F15" s="3844"/>
      <c r="G15" s="3844"/>
      <c r="H15" s="3844"/>
      <c r="I15" s="3844"/>
      <c r="J15" s="3844"/>
      <c r="K15" s="3819"/>
      <c r="N15" s="3812"/>
      <c r="AK15" s="3805" t="s">
        <v>10283</v>
      </c>
      <c r="AM15" s="3923" t="s">
        <v>7043</v>
      </c>
      <c r="BA15" s="3821" t="s">
        <v>10284</v>
      </c>
      <c r="BB15" s="3822" t="s">
        <v>10285</v>
      </c>
      <c r="BC15" s="3805">
        <f t="shared" si="0"/>
        <v>3</v>
      </c>
    </row>
    <row r="16" spans="1:55" s="3805" customFormat="1" hidden="1" x14ac:dyDescent="0.25">
      <c r="A16" s="3812"/>
      <c r="B16" s="3819"/>
      <c r="C16" s="3819"/>
      <c r="D16" s="3819"/>
      <c r="E16" s="3844"/>
      <c r="F16" s="3844"/>
      <c r="G16" s="3844"/>
      <c r="H16" s="3844"/>
      <c r="I16" s="3844"/>
      <c r="J16" s="3844"/>
      <c r="K16" s="3819"/>
      <c r="AK16" s="3805" t="s">
        <v>10286</v>
      </c>
      <c r="AM16" s="3815"/>
      <c r="BA16" s="3821" t="s">
        <v>10287</v>
      </c>
      <c r="BB16" s="3822" t="s">
        <v>10288</v>
      </c>
      <c r="BC16" s="3805">
        <f t="shared" si="0"/>
        <v>3</v>
      </c>
    </row>
    <row r="17" spans="1:55" s="3805" customFormat="1" x14ac:dyDescent="0.25">
      <c r="A17" s="3812"/>
      <c r="B17" s="3846" t="s">
        <v>10289</v>
      </c>
      <c r="C17" s="3819"/>
      <c r="D17" s="3819"/>
      <c r="E17" s="3844"/>
      <c r="F17" s="3844"/>
      <c r="G17" s="3844"/>
      <c r="H17" s="3844"/>
      <c r="I17" s="3844"/>
      <c r="J17" s="3844"/>
      <c r="K17" s="3819"/>
      <c r="R17" s="3815"/>
      <c r="S17" s="3815"/>
      <c r="V17" s="3815"/>
      <c r="W17" s="3815"/>
      <c r="X17" s="3815"/>
      <c r="Y17" s="3815"/>
      <c r="Z17" s="3815"/>
      <c r="AA17" s="3815"/>
      <c r="AB17" s="3815"/>
      <c r="AC17" s="3815"/>
      <c r="AD17" s="3815"/>
      <c r="AE17" s="3815"/>
      <c r="AF17" s="3815"/>
      <c r="AG17" s="3815"/>
      <c r="AH17" s="3815"/>
      <c r="AI17" s="3815"/>
      <c r="AK17" s="3805" t="s">
        <v>10290</v>
      </c>
      <c r="AM17" s="3815"/>
      <c r="BA17" s="3821" t="s">
        <v>10291</v>
      </c>
      <c r="BB17" s="3822" t="s">
        <v>4618</v>
      </c>
      <c r="BC17" s="3805">
        <f t="shared" si="0"/>
        <v>1</v>
      </c>
    </row>
    <row r="18" spans="1:55" s="3805" customFormat="1" ht="6" customHeight="1" x14ac:dyDescent="0.25">
      <c r="A18" s="3812"/>
      <c r="B18" s="3847"/>
      <c r="C18" s="3819"/>
      <c r="D18" s="3819"/>
      <c r="E18" s="3844"/>
      <c r="F18" s="3844"/>
      <c r="G18" s="3844"/>
      <c r="H18" s="3844"/>
      <c r="I18" s="3844"/>
      <c r="J18" s="3844"/>
      <c r="K18" s="3819"/>
      <c r="R18" s="3815"/>
      <c r="S18" s="3815"/>
      <c r="V18" s="3815"/>
      <c r="W18" s="3815"/>
      <c r="X18" s="3815"/>
      <c r="Y18" s="3815"/>
      <c r="Z18" s="3815"/>
      <c r="AA18" s="3815"/>
      <c r="AB18" s="3815"/>
      <c r="AC18" s="3815"/>
      <c r="AD18" s="3815"/>
      <c r="AE18" s="3815"/>
      <c r="AF18" s="3815"/>
      <c r="AG18" s="3815"/>
      <c r="AH18" s="3815"/>
      <c r="AI18" s="3815"/>
      <c r="AK18" s="3805" t="s">
        <v>10292</v>
      </c>
      <c r="AM18" s="3815"/>
      <c r="BA18" s="3821"/>
      <c r="BB18" s="3822"/>
    </row>
    <row r="19" spans="1:55" x14ac:dyDescent="0.25">
      <c r="B19" s="3847"/>
      <c r="C19" s="3847" t="s">
        <v>7033</v>
      </c>
      <c r="D19" s="3847"/>
      <c r="E19" s="3844"/>
      <c r="F19" s="3844"/>
      <c r="G19" s="3848"/>
      <c r="H19" s="3842" t="str">
        <f>IF(AND(Q83&gt;0,G19=""),re,"")</f>
        <v/>
      </c>
      <c r="I19" s="3902" t="s">
        <v>7747</v>
      </c>
      <c r="J19" s="3850"/>
      <c r="K19" s="3851" t="str">
        <f>IF(AND(Q83&gt;0,J19=""),re,"")</f>
        <v/>
      </c>
      <c r="L19" s="3805"/>
      <c r="M19" s="3805"/>
      <c r="N19" s="3809"/>
      <c r="O19" s="3805"/>
      <c r="P19" s="3815">
        <f>IF(H19="",0,1)</f>
      </c>
      <c r="Q19" s="3805">
        <f>IF(G19&lt;&gt;"",1,0)</f>
      </c>
      <c r="AK19" s="3815" t="s">
        <v>9228</v>
      </c>
      <c r="BA19" s="3821"/>
      <c r="BB19" s="3822"/>
      <c r="BC19" s="3805"/>
    </row>
    <row r="20" spans="1:55" ht="4.5" customHeight="1" x14ac:dyDescent="0.25">
      <c r="B20" s="3847"/>
      <c r="C20" s="3847"/>
      <c r="D20" s="3847"/>
      <c r="E20" s="3844"/>
      <c r="F20" s="3844"/>
      <c r="G20" s="3844"/>
      <c r="H20" s="3844"/>
      <c r="I20" s="3844"/>
      <c r="J20" s="3844"/>
      <c r="K20" s="3847"/>
      <c r="L20" s="3805"/>
      <c r="M20" s="3805"/>
      <c r="P20" s="3805"/>
      <c r="Q20" s="3805"/>
      <c r="AK20" s="3815" t="s">
        <v>7053</v>
      </c>
      <c r="BA20" s="3821"/>
      <c r="BB20" s="3822"/>
      <c r="BC20" s="3805"/>
    </row>
    <row r="21" spans="1:55" x14ac:dyDescent="0.25">
      <c r="B21" s="3847"/>
      <c r="C21" s="3852" t="s">
        <v>7749</v>
      </c>
      <c r="D21" s="3847"/>
      <c r="E21" s="3844"/>
      <c r="F21" s="3844"/>
      <c r="G21" s="3848"/>
      <c r="H21" s="3842" t="str">
        <f>IF(AND(Q83&gt;0,G21=""),re,"")</f>
        <v/>
      </c>
      <c r="I21" s="3902" t="s">
        <v>7748</v>
      </c>
      <c r="J21" s="3853"/>
      <c r="K21" s="3851" t="str">
        <f>IF(AND(Q83&gt;0,J21=""),re,"")</f>
        <v/>
      </c>
      <c r="L21" s="3805"/>
      <c r="M21" s="3805"/>
      <c r="N21" s="3809"/>
      <c r="O21" s="3805"/>
      <c r="P21" s="3815">
        <f>IF(K19="",0,1)</f>
      </c>
      <c r="Q21" s="3805">
        <f>IF(J19&lt;&gt;"",1,0)</f>
      </c>
      <c r="AK21" s="3815" t="s">
        <v>10293</v>
      </c>
      <c r="BA21" s="3821"/>
      <c r="BB21" s="3822"/>
      <c r="BC21" s="3805"/>
    </row>
    <row r="22" spans="1:55" ht="11.25" customHeight="1" x14ac:dyDescent="0.25">
      <c r="B22" s="3847"/>
      <c r="C22" s="3847"/>
      <c r="D22" s="3847"/>
      <c r="E22" s="3844"/>
      <c r="F22" s="3844"/>
      <c r="G22" s="3854"/>
      <c r="H22" s="3842"/>
      <c r="I22" s="3844"/>
      <c r="J22" s="3844"/>
      <c r="K22" s="3847"/>
      <c r="L22" s="3805"/>
      <c r="M22" s="3805"/>
      <c r="P22" s="3805"/>
      <c r="Q22" s="3805">
        <f>IF(G21&lt;&gt;"",1,0)</f>
      </c>
      <c r="AK22" s="3815" t="s">
        <v>10294</v>
      </c>
      <c r="BA22" s="3821"/>
      <c r="BB22" s="3822"/>
      <c r="BC22" s="3805"/>
    </row>
    <row r="23" spans="1:55" x14ac:dyDescent="0.25">
      <c r="B23" s="3847"/>
      <c r="C23" s="3847" t="s">
        <v>7041</v>
      </c>
      <c r="D23" s="3847"/>
      <c r="E23" s="5432"/>
      <c r="F23" s="5433"/>
      <c r="G23" s="5433"/>
      <c r="H23" s="5433"/>
      <c r="I23" s="5433"/>
      <c r="J23" s="5434"/>
      <c r="K23" s="3851" t="str">
        <f>IF(AND(Q83&gt;0,E23=""),re,"")</f>
        <v/>
      </c>
      <c r="L23" s="3805"/>
      <c r="M23" s="3805"/>
      <c r="O23" s="3805"/>
      <c r="P23" s="3815">
        <f>IF(K23="",0,1)</f>
      </c>
      <c r="Q23" s="3805">
        <f>IF(E23&lt;&gt;"",1,0)</f>
      </c>
      <c r="Z23" s="3855"/>
      <c r="AK23" s="3815" t="s">
        <v>283</v>
      </c>
      <c r="BA23" s="3821"/>
      <c r="BB23" s="3822"/>
      <c r="BC23" s="3805"/>
    </row>
    <row r="24" spans="1:55" ht="8.25" customHeight="1" x14ac:dyDescent="0.25">
      <c r="B24" s="3847"/>
      <c r="C24" s="3847"/>
      <c r="D24" s="3847"/>
      <c r="E24" s="3844"/>
      <c r="F24" s="3844"/>
      <c r="G24" s="3844"/>
      <c r="H24" s="3844"/>
      <c r="I24" s="3844"/>
      <c r="J24" s="3844"/>
      <c r="K24" s="3847"/>
      <c r="M24" s="3805"/>
      <c r="P24" s="3805"/>
      <c r="Q24" s="3805"/>
      <c r="R24" s="3856"/>
      <c r="S24" s="3856"/>
      <c r="T24" s="3856"/>
      <c r="U24" s="3856"/>
      <c r="V24" s="3856"/>
      <c r="W24" s="3856"/>
      <c r="X24" s="3856"/>
      <c r="Y24" s="3856"/>
      <c r="Z24" s="3856"/>
      <c r="AC24" s="3856"/>
      <c r="AD24" s="3856"/>
      <c r="AE24" s="3856"/>
      <c r="AF24" s="3856"/>
      <c r="AG24" s="3856"/>
      <c r="AH24" s="3856"/>
      <c r="AI24" s="3856"/>
      <c r="AK24" s="3815" t="s">
        <v>10295</v>
      </c>
      <c r="BA24" s="3821"/>
      <c r="BB24" s="3822"/>
      <c r="BC24" s="3805"/>
    </row>
    <row r="25" spans="1:55" x14ac:dyDescent="0.25">
      <c r="B25" s="3847"/>
      <c r="C25" s="3847" t="s">
        <v>7046</v>
      </c>
      <c r="D25" s="3847"/>
      <c r="E25" s="5432"/>
      <c r="F25" s="5433"/>
      <c r="G25" s="5433"/>
      <c r="H25" s="5433"/>
      <c r="I25" s="5433"/>
      <c r="J25" s="5434"/>
      <c r="K25" s="3851" t="str">
        <f>IF(AND(Q83&gt;0,E25=""),re,"")</f>
        <v/>
      </c>
      <c r="L25" s="3809"/>
      <c r="M25" s="3805"/>
      <c r="P25" s="3815">
        <f>IF(K25="",0,1)</f>
      </c>
      <c r="Q25" s="3805">
        <f>IF(E25&lt;&gt;"",1,0)</f>
      </c>
      <c r="R25" s="3805"/>
      <c r="S25" s="3805"/>
      <c r="T25" s="3805"/>
      <c r="U25" s="3805"/>
      <c r="V25" s="3805"/>
      <c r="W25" s="3805"/>
      <c r="X25" s="3805"/>
      <c r="Y25" s="3805"/>
      <c r="Z25" s="3805"/>
      <c r="AC25" s="3805"/>
      <c r="AD25" s="3805"/>
      <c r="AE25" s="3805"/>
      <c r="AF25" s="3805"/>
      <c r="AG25" s="3805"/>
      <c r="AH25" s="3805"/>
      <c r="AI25" s="3805"/>
      <c r="AJ25" s="3856"/>
      <c r="BA25" s="3821"/>
      <c r="BB25" s="3822"/>
      <c r="BC25" s="3805"/>
    </row>
    <row r="26" spans="1:55" s="3805" customFormat="1" hidden="1" x14ac:dyDescent="0.25">
      <c r="A26" s="3812"/>
      <c r="B26" s="3847"/>
      <c r="C26" s="3847"/>
      <c r="D26" s="3847"/>
      <c r="E26" s="3844"/>
      <c r="F26" s="3844"/>
      <c r="G26" s="3844"/>
      <c r="H26" s="3844"/>
      <c r="I26" s="3844"/>
      <c r="J26" s="3844"/>
      <c r="K26" s="3847"/>
      <c r="L26" s="3812"/>
      <c r="N26" s="3812"/>
      <c r="O26" s="3812"/>
      <c r="AM26" s="3815"/>
    </row>
    <row r="27" spans="1:55" hidden="1" x14ac:dyDescent="0.25">
      <c r="B27" s="3847"/>
      <c r="D27" s="3847"/>
      <c r="E27" s="3844"/>
      <c r="F27" s="3844"/>
      <c r="G27" s="3857"/>
      <c r="H27" s="3857"/>
      <c r="I27" s="3844"/>
      <c r="J27" s="3844"/>
      <c r="K27" s="3847"/>
      <c r="M27" s="3805"/>
      <c r="N27" s="3809"/>
      <c r="P27" s="3815">
        <f>IF(K21="",0,1)</f>
      </c>
      <c r="Q27" s="3805">
        <f>IF(J21&lt;&gt;"",1,0)</f>
      </c>
      <c r="S27" s="3805"/>
      <c r="T27" s="3805"/>
      <c r="U27" s="3805"/>
      <c r="V27" s="3805"/>
      <c r="W27" s="3805"/>
      <c r="X27" s="3805"/>
      <c r="Y27" s="3805"/>
      <c r="Z27" s="3805"/>
      <c r="AC27" s="3805"/>
      <c r="AD27" s="3805"/>
      <c r="AE27" s="3805"/>
      <c r="AF27" s="3805"/>
      <c r="AG27" s="3805"/>
      <c r="AH27" s="3805"/>
      <c r="AI27" s="3805"/>
    </row>
    <row r="28" spans="1:55" x14ac:dyDescent="0.25">
      <c r="B28" s="3847"/>
      <c r="C28" s="3847"/>
      <c r="D28" s="3847"/>
      <c r="E28" s="3844"/>
      <c r="F28" s="3844"/>
      <c r="G28" s="3844"/>
      <c r="H28" s="3844"/>
      <c r="I28" s="3844"/>
      <c r="J28" s="3844"/>
      <c r="K28" s="3847"/>
      <c r="M28" s="3805"/>
      <c r="S28" s="3805"/>
      <c r="T28" s="3805"/>
      <c r="U28" s="3805"/>
      <c r="V28" s="3805"/>
      <c r="W28" s="3805"/>
      <c r="X28" s="3805"/>
      <c r="Y28" s="3805"/>
      <c r="Z28" s="3805"/>
      <c r="AI28" s="3805"/>
    </row>
    <row r="29" spans="1:55" x14ac:dyDescent="0.25">
      <c r="B29" s="3847"/>
      <c r="C29" s="3847" t="s">
        <v>7051</v>
      </c>
      <c r="D29" s="3847"/>
      <c r="E29" s="5432"/>
      <c r="F29" s="5433"/>
      <c r="G29" s="5433"/>
      <c r="H29" s="5433"/>
      <c r="I29" s="5433"/>
      <c r="J29" s="5434"/>
      <c r="K29" s="3851" t="str">
        <f>IF(AND(Q83&gt;0,E29=""),re,"")</f>
        <v/>
      </c>
      <c r="L29" s="3809"/>
      <c r="M29" s="3805"/>
      <c r="P29" s="3815">
        <f>IF(K29="",0,1)</f>
      </c>
      <c r="Q29" s="3805">
        <f>IF(E29&lt;&gt;"",1,0)</f>
      </c>
    </row>
    <row r="30" spans="1:55" x14ac:dyDescent="0.25">
      <c r="B30" s="3847"/>
      <c r="C30" s="3847"/>
      <c r="D30" s="3847"/>
      <c r="E30" s="3844"/>
      <c r="F30" s="3844"/>
      <c r="G30" s="3844"/>
      <c r="H30" s="3844"/>
      <c r="I30" s="3844"/>
      <c r="J30" s="3844"/>
      <c r="K30" s="3847"/>
      <c r="M30" s="3805"/>
      <c r="N30" s="3845"/>
      <c r="O30" s="3845"/>
      <c r="S30" s="3805"/>
      <c r="T30" s="3805"/>
      <c r="U30" s="3805"/>
      <c r="V30" s="3805"/>
      <c r="W30" s="3805"/>
      <c r="X30" s="3805"/>
      <c r="Y30" s="3805"/>
      <c r="Z30" s="3805"/>
      <c r="AF30" s="3805"/>
      <c r="AG30" s="3805"/>
      <c r="AH30" s="3805"/>
      <c r="AI30" s="3805"/>
    </row>
    <row r="31" spans="1:55" x14ac:dyDescent="0.25">
      <c r="B31" s="3847"/>
      <c r="C31" s="3847" t="s">
        <v>7054</v>
      </c>
      <c r="D31" s="3847"/>
      <c r="E31" s="3844"/>
      <c r="F31" s="5435"/>
      <c r="G31" s="5435"/>
      <c r="H31" s="5435"/>
      <c r="I31" s="5435"/>
      <c r="J31" s="5435"/>
      <c r="K31" s="3851" t="str">
        <f>IF(AND(Q83&gt;0,F31=""),re,"")</f>
        <v/>
      </c>
      <c r="L31" s="3809"/>
      <c r="M31" s="3805"/>
      <c r="N31" s="3858"/>
      <c r="O31" s="3858"/>
      <c r="P31" s="3815">
        <f>IF(K31="",0,1)</f>
      </c>
      <c r="Q31" s="3805">
        <f>IF(F31&lt;&gt;"",1,0)</f>
      </c>
      <c r="V31" s="3805"/>
      <c r="AA31" s="3805"/>
      <c r="AB31" s="3805"/>
      <c r="AI31" s="3805"/>
    </row>
    <row r="32" spans="1:55" x14ac:dyDescent="0.25">
      <c r="B32" s="3847"/>
      <c r="C32" s="3847"/>
      <c r="D32" s="3847"/>
      <c r="E32" s="3844"/>
      <c r="F32" s="3844"/>
      <c r="G32" s="3844"/>
      <c r="H32" s="3844"/>
      <c r="I32" s="3844"/>
      <c r="J32" s="3844"/>
      <c r="K32" s="3847"/>
      <c r="M32" s="3805"/>
      <c r="N32" s="3858"/>
      <c r="O32" s="3858"/>
      <c r="V32" s="3805"/>
      <c r="AA32" s="3805"/>
      <c r="AB32" s="3859"/>
      <c r="AI32" s="3805"/>
    </row>
    <row r="33" spans="2:35" x14ac:dyDescent="0.25">
      <c r="B33" s="3847"/>
      <c r="C33" s="3847"/>
      <c r="D33" s="3847"/>
      <c r="E33" s="3844"/>
      <c r="F33" s="3844"/>
      <c r="G33" s="3844"/>
      <c r="H33" s="3844"/>
      <c r="I33" s="3844"/>
      <c r="J33" s="3844"/>
      <c r="K33" s="3847"/>
      <c r="M33" s="3805"/>
      <c r="N33" s="3858"/>
      <c r="O33" s="3858"/>
      <c r="S33" s="3805"/>
      <c r="T33" s="3805"/>
      <c r="V33" s="3805"/>
      <c r="W33" s="3805"/>
      <c r="X33" s="3805"/>
      <c r="Y33" s="3805"/>
      <c r="Z33" s="3805"/>
      <c r="AB33" s="3859"/>
      <c r="AC33" s="3805"/>
      <c r="AD33" s="3805"/>
      <c r="AE33" s="3805"/>
      <c r="AF33" s="3805"/>
      <c r="AG33" s="3805"/>
      <c r="AH33" s="3805"/>
      <c r="AI33" s="3805"/>
    </row>
    <row r="34" spans="2:35" x14ac:dyDescent="0.25">
      <c r="B34" s="3847"/>
      <c r="C34" s="3860"/>
      <c r="D34" s="3847"/>
      <c r="E34" s="3844"/>
      <c r="F34" s="3844"/>
      <c r="G34" s="3849" t="s">
        <v>6947</v>
      </c>
      <c r="H34" s="3861">
        <f>ya-1</f>
      </c>
      <c r="I34" s="3854"/>
      <c r="J34" s="3854"/>
      <c r="K34" s="3862"/>
      <c r="L34" s="3845"/>
      <c r="M34" s="3805"/>
      <c r="N34" s="3858"/>
      <c r="O34" s="3858"/>
      <c r="S34" s="3805"/>
      <c r="T34" s="3805"/>
      <c r="V34" s="3805"/>
      <c r="W34" s="3805"/>
      <c r="X34" s="3805"/>
      <c r="Y34" s="3805"/>
      <c r="Z34" s="3805"/>
      <c r="AB34" s="3863"/>
      <c r="AC34" s="3805"/>
      <c r="AD34" s="3805"/>
      <c r="AE34" s="3805"/>
      <c r="AF34" s="3805"/>
      <c r="AG34" s="3805"/>
      <c r="AH34" s="3805"/>
      <c r="AI34" s="3805"/>
    </row>
    <row r="35" spans="2:35" hidden="1" x14ac:dyDescent="0.25">
      <c r="B35" s="3847"/>
      <c r="C35" s="3864"/>
      <c r="D35" s="3847"/>
      <c r="E35" s="3844"/>
      <c r="F35" s="3844"/>
      <c r="G35" s="3844"/>
      <c r="H35" s="3865"/>
      <c r="I35" s="3842"/>
      <c r="J35" s="3866"/>
      <c r="K35" s="3867"/>
      <c r="L35" s="3858"/>
      <c r="M35" s="3805"/>
      <c r="N35" s="3858"/>
      <c r="O35" s="3858"/>
      <c r="P35" s="3805"/>
      <c r="Q35" s="3805"/>
      <c r="S35" s="3805"/>
      <c r="T35" s="3805"/>
      <c r="V35" s="3805"/>
      <c r="W35" s="3805"/>
      <c r="X35" s="3805"/>
      <c r="Y35" s="3805"/>
      <c r="Z35" s="3805"/>
      <c r="AB35" s="3868"/>
    </row>
    <row r="36" spans="2:35" hidden="1" x14ac:dyDescent="0.25">
      <c r="B36" s="3847"/>
      <c r="C36" s="3847"/>
      <c r="D36" s="3847"/>
      <c r="E36" s="3844"/>
      <c r="F36" s="3844"/>
      <c r="G36" s="3844"/>
      <c r="H36" s="3866"/>
      <c r="I36" s="3842"/>
      <c r="J36" s="3866"/>
      <c r="K36" s="3867"/>
      <c r="L36" s="3858"/>
      <c r="M36" s="3805"/>
      <c r="N36" s="3858"/>
      <c r="O36" s="3858"/>
      <c r="Q36" s="3805"/>
      <c r="V36" s="3805"/>
      <c r="AB36" s="3869"/>
      <c r="AD36" s="3870"/>
      <c r="AE36" s="3871"/>
    </row>
    <row r="37" spans="2:35" hidden="1" x14ac:dyDescent="0.25">
      <c r="B37" s="3847"/>
      <c r="C37" s="3847"/>
      <c r="D37" s="3847"/>
      <c r="E37" s="3844"/>
      <c r="F37" s="3844"/>
      <c r="G37" s="3844"/>
      <c r="H37" s="3866"/>
      <c r="I37" s="3842"/>
      <c r="J37" s="3866"/>
      <c r="K37" s="3867"/>
      <c r="L37" s="3858"/>
      <c r="M37" s="3805"/>
      <c r="N37" s="3858"/>
      <c r="O37" s="3858"/>
      <c r="Q37" s="3805"/>
      <c r="S37" s="3805"/>
      <c r="T37" s="3805"/>
      <c r="V37" s="3805"/>
      <c r="W37" s="3805"/>
      <c r="X37" s="3805"/>
      <c r="Y37" s="3805"/>
      <c r="Z37" s="3805"/>
      <c r="AA37" s="3872"/>
      <c r="AB37" s="3868"/>
      <c r="AC37" s="3873"/>
      <c r="AD37" s="3873"/>
      <c r="AE37" s="3873"/>
      <c r="AF37" s="3873"/>
      <c r="AG37" s="3873"/>
      <c r="AH37" s="3873"/>
      <c r="AI37" s="3873"/>
    </row>
    <row r="38" spans="2:35" hidden="1" x14ac:dyDescent="0.25">
      <c r="B38" s="3847"/>
      <c r="C38" s="3847"/>
      <c r="D38" s="3847"/>
      <c r="E38" s="3844"/>
      <c r="F38" s="3844"/>
      <c r="G38" s="3844"/>
      <c r="H38" s="3866"/>
      <c r="I38" s="3842"/>
      <c r="J38" s="3866"/>
      <c r="K38" s="3867"/>
      <c r="L38" s="3858"/>
      <c r="M38" s="3805"/>
      <c r="N38" s="3858"/>
      <c r="O38" s="3858"/>
      <c r="Q38" s="3805"/>
      <c r="V38" s="3805"/>
    </row>
    <row r="39" spans="2:35" hidden="1" x14ac:dyDescent="0.25">
      <c r="B39" s="3847"/>
      <c r="C39" s="3847"/>
      <c r="D39" s="3847"/>
      <c r="E39" s="3844"/>
      <c r="F39" s="3844"/>
      <c r="G39" s="3844"/>
      <c r="H39" s="3866"/>
      <c r="I39" s="3842"/>
      <c r="J39" s="3866"/>
      <c r="K39" s="3867"/>
      <c r="L39" s="3858"/>
      <c r="M39" s="3805"/>
      <c r="N39" s="3858"/>
      <c r="O39" s="3858"/>
      <c r="V39" s="3805"/>
      <c r="AA39" s="3872"/>
      <c r="AB39" s="3869"/>
    </row>
    <row r="40" spans="2:35" hidden="1" x14ac:dyDescent="0.25">
      <c r="B40" s="3847"/>
      <c r="C40" s="3847"/>
      <c r="D40" s="3847"/>
      <c r="E40" s="3844"/>
      <c r="F40" s="3844"/>
      <c r="G40" s="3844"/>
      <c r="H40" s="3866"/>
      <c r="I40" s="3842"/>
      <c r="J40" s="3866"/>
      <c r="K40" s="3867"/>
      <c r="L40" s="3858"/>
      <c r="M40" s="3805"/>
      <c r="N40" s="3858"/>
      <c r="O40" s="3858"/>
      <c r="Q40" s="3805"/>
      <c r="V40" s="3805"/>
      <c r="AA40" s="3872"/>
      <c r="AB40" s="3869"/>
    </row>
    <row r="41" spans="2:35" hidden="1" x14ac:dyDescent="0.25">
      <c r="B41" s="3847"/>
      <c r="C41" s="3847"/>
      <c r="D41" s="3847"/>
      <c r="E41" s="3844"/>
      <c r="F41" s="3844"/>
      <c r="G41" s="3844"/>
      <c r="H41" s="3866"/>
      <c r="I41" s="3842"/>
      <c r="J41" s="3866"/>
      <c r="K41" s="3867"/>
      <c r="L41" s="3858"/>
      <c r="M41" s="3805"/>
      <c r="N41" s="3858"/>
      <c r="O41" s="3858"/>
      <c r="V41" s="3805"/>
      <c r="AB41" s="3868"/>
    </row>
    <row r="42" spans="2:35" hidden="1" x14ac:dyDescent="0.25">
      <c r="B42" s="3847"/>
      <c r="C42" s="3874"/>
      <c r="D42" s="3847"/>
      <c r="E42" s="3844"/>
      <c r="F42" s="3844"/>
      <c r="G42" s="3875"/>
      <c r="H42" s="3866"/>
      <c r="I42" s="3842"/>
      <c r="J42" s="3866"/>
      <c r="K42" s="3867"/>
      <c r="M42" s="3805"/>
      <c r="N42" s="3858"/>
      <c r="O42" s="3858"/>
      <c r="V42" s="3805"/>
      <c r="AB42" s="3868"/>
    </row>
    <row r="43" spans="2:35" hidden="1" x14ac:dyDescent="0.25">
      <c r="B43" s="3847"/>
      <c r="C43" s="3847"/>
      <c r="D43" s="3847"/>
      <c r="E43" s="3849"/>
      <c r="F43" s="3844"/>
      <c r="G43" s="3842"/>
      <c r="H43" s="3866"/>
      <c r="I43" s="3842"/>
      <c r="J43" s="3866"/>
      <c r="K43" s="3867"/>
      <c r="L43" s="3858"/>
      <c r="M43" s="3805"/>
      <c r="N43" s="3858"/>
      <c r="O43" s="3858"/>
      <c r="Q43" s="3805"/>
      <c r="V43" s="3805"/>
      <c r="AA43" s="3872"/>
      <c r="AB43" s="3868"/>
      <c r="AG43" s="3805"/>
    </row>
    <row r="44" spans="2:35" hidden="1" x14ac:dyDescent="0.25">
      <c r="B44" s="3847"/>
      <c r="C44" s="3847"/>
      <c r="D44" s="3847"/>
      <c r="E44" s="3849"/>
      <c r="F44" s="3844"/>
      <c r="G44" s="3842"/>
      <c r="H44" s="3866"/>
      <c r="I44" s="3842"/>
      <c r="J44" s="3866"/>
      <c r="K44" s="3867"/>
      <c r="L44" s="3858"/>
      <c r="M44" s="3805"/>
      <c r="N44" s="3858"/>
      <c r="O44" s="3858"/>
      <c r="Q44" s="3805"/>
      <c r="V44" s="3805"/>
      <c r="AB44" s="3868"/>
      <c r="AG44" s="3805"/>
    </row>
    <row r="45" spans="2:35" hidden="1" x14ac:dyDescent="0.25">
      <c r="B45" s="3847"/>
      <c r="C45" s="3847"/>
      <c r="D45" s="3847"/>
      <c r="E45" s="3844"/>
      <c r="F45" s="3844"/>
      <c r="G45" s="3844"/>
      <c r="H45" s="3876"/>
      <c r="I45" s="3842"/>
      <c r="J45" s="3866"/>
      <c r="K45" s="3867"/>
      <c r="L45" s="3858"/>
      <c r="M45" s="3805"/>
      <c r="Q45" s="3805"/>
      <c r="S45" s="3975"/>
      <c r="V45" s="3805"/>
      <c r="AG45" s="3805"/>
    </row>
    <row r="46" spans="2:35" hidden="1" x14ac:dyDescent="0.25">
      <c r="B46" s="3847"/>
      <c r="C46" s="3847"/>
      <c r="D46" s="3847"/>
      <c r="E46" s="3844"/>
      <c r="F46" s="3844"/>
      <c r="G46" s="3844"/>
      <c r="H46" s="3876"/>
      <c r="I46" s="3842"/>
      <c r="J46" s="3866"/>
      <c r="K46" s="3867"/>
      <c r="L46" s="3858"/>
      <c r="M46" s="3805"/>
      <c r="Q46" s="3805"/>
      <c r="V46" s="3805"/>
      <c r="W46" s="3807"/>
      <c r="X46" s="3877"/>
      <c r="AD46" s="3878"/>
      <c r="AE46" s="3878"/>
      <c r="AF46" s="3878"/>
      <c r="AG46" s="3805"/>
    </row>
    <row r="47" spans="2:35" hidden="1" x14ac:dyDescent="0.25">
      <c r="B47" s="3879"/>
      <c r="C47" s="3880"/>
      <c r="D47" s="3880"/>
      <c r="E47" s="3881"/>
      <c r="F47" s="3881"/>
      <c r="G47" s="3844"/>
      <c r="H47" s="3876"/>
      <c r="I47" s="3842"/>
      <c r="J47" s="3866"/>
      <c r="K47" s="3867"/>
      <c r="L47" s="3858"/>
      <c r="M47" s="3805"/>
      <c r="Q47" s="3805"/>
      <c r="V47" s="3805"/>
      <c r="W47" s="3882"/>
      <c r="X47" s="3877"/>
      <c r="AA47" s="3872"/>
      <c r="AD47" s="3883"/>
      <c r="AE47" s="3884" t="s">
        <v>7064</v>
      </c>
      <c r="AF47" s="3884" t="s">
        <v>10296</v>
      </c>
      <c r="AG47" s="3805"/>
    </row>
    <row r="48" spans="2:35" hidden="1" x14ac:dyDescent="0.25">
      <c r="B48" s="3847"/>
      <c r="C48" s="3847"/>
      <c r="D48" s="3847"/>
      <c r="E48" s="3844"/>
      <c r="F48" s="3844"/>
      <c r="G48" s="3844"/>
      <c r="H48" s="3876"/>
      <c r="I48" s="3866"/>
      <c r="J48" s="3866"/>
      <c r="K48" s="3867"/>
      <c r="L48" s="3858"/>
      <c r="M48" s="3805"/>
      <c r="V48" s="3805"/>
      <c r="W48" s="3882"/>
      <c r="X48" s="3877"/>
      <c r="AD48" s="3878" t="s">
        <v>3274</v>
      </c>
      <c r="AE48" s="3885">
        <v>0.15</v>
      </c>
      <c r="AF48" s="3886">
        <v>0.3</v>
      </c>
      <c r="AG48" s="3805"/>
    </row>
    <row r="49" spans="2:36" hidden="1" x14ac:dyDescent="0.25">
      <c r="B49" s="3847"/>
      <c r="C49" s="3847"/>
      <c r="D49" s="3847"/>
      <c r="E49" s="3844"/>
      <c r="F49" s="3844"/>
      <c r="G49" s="3844"/>
      <c r="H49" s="3876"/>
      <c r="I49" s="3844"/>
      <c r="J49" s="3844"/>
      <c r="K49" s="3847"/>
      <c r="M49" s="3805"/>
      <c r="V49" s="3805"/>
      <c r="W49" s="3872"/>
      <c r="X49" s="3871"/>
      <c r="AD49" s="3887" t="s">
        <v>3281</v>
      </c>
      <c r="AE49" s="3885">
        <v>0.15</v>
      </c>
      <c r="AF49" s="3885">
        <v>0.2</v>
      </c>
      <c r="AG49" s="3805"/>
      <c r="AJ49" s="3872"/>
    </row>
    <row r="50" spans="2:36" hidden="1" x14ac:dyDescent="0.25">
      <c r="B50" s="3847"/>
      <c r="C50" s="3880"/>
      <c r="D50" s="3847"/>
      <c r="E50" s="3844"/>
      <c r="F50" s="3844"/>
      <c r="G50" s="3844"/>
      <c r="H50" s="3876"/>
      <c r="I50" s="3842"/>
      <c r="J50" s="3844"/>
      <c r="K50" s="3847"/>
      <c r="M50" s="3805"/>
      <c r="Q50" s="3805"/>
      <c r="V50" s="3805"/>
      <c r="W50" s="3872"/>
      <c r="AA50" s="3872"/>
      <c r="AB50" s="3863"/>
      <c r="AD50" s="3883" t="s">
        <v>3282</v>
      </c>
      <c r="AE50" s="3888">
        <v>0.1</v>
      </c>
      <c r="AF50" s="3888">
        <v>0.1</v>
      </c>
      <c r="AG50" s="3805"/>
    </row>
    <row r="51" spans="2:36" hidden="1" x14ac:dyDescent="0.25">
      <c r="B51" s="3847"/>
      <c r="C51" s="3880"/>
      <c r="D51" s="3847"/>
      <c r="E51" s="3844"/>
      <c r="F51" s="3844"/>
      <c r="G51" s="3844"/>
      <c r="H51" s="3876"/>
      <c r="I51" s="3842"/>
      <c r="J51" s="3844"/>
      <c r="K51" s="3847"/>
      <c r="M51" s="3805"/>
      <c r="V51" s="3805"/>
      <c r="W51" s="3882"/>
      <c r="AA51" s="3872"/>
      <c r="AB51" s="3863"/>
    </row>
    <row r="52" spans="2:36" hidden="1" x14ac:dyDescent="0.25">
      <c r="B52" s="3879"/>
      <c r="C52" s="3847"/>
      <c r="D52" s="3847"/>
      <c r="E52" s="3844"/>
      <c r="F52" s="3844"/>
      <c r="G52" s="3844"/>
      <c r="H52" s="3876"/>
      <c r="I52" s="3842"/>
      <c r="J52" s="3844"/>
      <c r="K52" s="3847"/>
      <c r="M52" s="3805"/>
      <c r="Q52" s="3805"/>
      <c r="V52" s="3805"/>
      <c r="W52" s="3882"/>
      <c r="X52" s="3877"/>
      <c r="Z52" s="3889"/>
      <c r="AA52" s="3882"/>
      <c r="AB52" s="3863"/>
      <c r="AD52" s="3805" t="s">
        <v>7055</v>
      </c>
      <c r="AE52" s="3815">
        <f>IF($E$25=$AK$21,1,0)</f>
      </c>
    </row>
    <row r="53" spans="2:36" hidden="1" x14ac:dyDescent="0.25">
      <c r="B53" s="3879"/>
      <c r="C53" s="3880"/>
      <c r="D53" s="3847"/>
      <c r="E53" s="3844"/>
      <c r="F53" s="3844"/>
      <c r="G53" s="3844"/>
      <c r="H53" s="3876"/>
      <c r="I53" s="3844"/>
      <c r="J53" s="3844"/>
      <c r="K53" s="3847"/>
      <c r="M53" s="3805"/>
      <c r="V53" s="3805"/>
      <c r="W53" s="3882"/>
      <c r="X53" s="3877"/>
      <c r="AA53" s="3882"/>
      <c r="AB53" s="3863"/>
      <c r="AD53" s="3805" t="s">
        <v>10297</v>
      </c>
      <c r="AE53" s="3815">
        <f>J21</f>
      </c>
    </row>
    <row r="54" spans="2:36" hidden="1" x14ac:dyDescent="0.25">
      <c r="B54" s="3847"/>
      <c r="C54" s="3847"/>
      <c r="D54" s="3847"/>
      <c r="E54" s="3844"/>
      <c r="F54" s="3844"/>
      <c r="G54" s="3844"/>
      <c r="H54" s="3876"/>
      <c r="I54" s="3844"/>
      <c r="J54" s="3844"/>
      <c r="K54" s="3847"/>
      <c r="M54" s="3805"/>
      <c r="V54" s="3805"/>
    </row>
    <row r="55" spans="2:36" hidden="1" x14ac:dyDescent="0.25">
      <c r="B55" s="3846"/>
      <c r="C55" s="3847"/>
      <c r="D55" s="3847"/>
      <c r="E55" s="3844"/>
      <c r="F55" s="3844"/>
      <c r="G55" s="3844"/>
      <c r="H55" s="3876"/>
      <c r="I55" s="3844"/>
      <c r="J55" s="3844"/>
      <c r="K55" s="3847"/>
      <c r="M55" s="3805"/>
      <c r="V55" s="3805"/>
      <c r="AA55" s="3872"/>
      <c r="AB55" s="3873"/>
    </row>
    <row r="56" spans="2:36" hidden="1" x14ac:dyDescent="0.25">
      <c r="B56" s="3847"/>
      <c r="C56" s="3847"/>
      <c r="D56" s="3847"/>
      <c r="E56" s="3844"/>
      <c r="F56" s="3844"/>
      <c r="G56" s="3844"/>
      <c r="H56" s="3876"/>
      <c r="I56" s="3844"/>
      <c r="J56" s="3844"/>
      <c r="K56" s="3847"/>
      <c r="M56" s="3805"/>
      <c r="V56" s="3805"/>
    </row>
    <row r="57" spans="2:36" hidden="1" x14ac:dyDescent="0.25">
      <c r="B57" s="3847"/>
      <c r="C57" s="3847"/>
      <c r="D57" s="3847"/>
      <c r="E57" s="3844"/>
      <c r="F57" s="3844"/>
      <c r="G57" s="3844"/>
      <c r="H57" s="3876"/>
      <c r="I57" s="3844"/>
      <c r="J57" s="3844"/>
      <c r="K57" s="3847"/>
      <c r="M57" s="3805"/>
      <c r="Q57" s="3805"/>
      <c r="V57" s="3805"/>
    </row>
    <row r="58" spans="2:36" hidden="1" x14ac:dyDescent="0.25">
      <c r="B58" s="3847"/>
      <c r="C58" s="3847"/>
      <c r="D58" s="3847"/>
      <c r="E58" s="3844"/>
      <c r="F58" s="3844"/>
      <c r="G58" s="3844"/>
      <c r="H58" s="3876"/>
      <c r="I58" s="3844"/>
      <c r="J58" s="3844"/>
      <c r="K58" s="3847"/>
      <c r="M58" s="3805"/>
      <c r="V58" s="3805"/>
      <c r="AD58" s="3805"/>
    </row>
    <row r="59" spans="2:36" hidden="1" x14ac:dyDescent="0.25">
      <c r="B59" s="3847"/>
      <c r="C59" s="3847"/>
      <c r="D59" s="3847"/>
      <c r="E59" s="3844"/>
      <c r="F59" s="3844"/>
      <c r="G59" s="3844"/>
      <c r="H59" s="3876"/>
      <c r="I59" s="3844"/>
      <c r="J59" s="3844"/>
      <c r="K59" s="3847"/>
      <c r="M59" s="3805"/>
      <c r="Q59" s="3805"/>
      <c r="V59" s="3805"/>
      <c r="AD59" s="3805"/>
      <c r="AE59" s="3805"/>
      <c r="AF59" s="3805"/>
    </row>
    <row r="60" spans="2:36" hidden="1" x14ac:dyDescent="0.25">
      <c r="B60" s="3847"/>
      <c r="C60" s="3847"/>
      <c r="D60" s="3847"/>
      <c r="E60" s="3844"/>
      <c r="F60" s="3844"/>
      <c r="G60" s="3844"/>
      <c r="H60" s="3876"/>
      <c r="I60" s="3844"/>
      <c r="J60" s="3844"/>
      <c r="K60" s="3847"/>
      <c r="M60" s="3805"/>
      <c r="U60" s="3978" t="s">
        <v>7003</v>
      </c>
      <c r="V60" s="3805"/>
      <c r="AD60" s="3805"/>
      <c r="AE60" s="3805"/>
      <c r="AF60" s="3805"/>
      <c r="AI60" s="3872"/>
    </row>
    <row r="61" spans="2:36" hidden="1" x14ac:dyDescent="0.25">
      <c r="B61" s="3847"/>
      <c r="C61" s="3847"/>
      <c r="D61" s="3847"/>
      <c r="E61" s="3844"/>
      <c r="F61" s="3844"/>
      <c r="G61" s="3844"/>
      <c r="H61" s="3876"/>
      <c r="I61" s="3842"/>
      <c r="J61" s="3844"/>
      <c r="K61" s="3847"/>
      <c r="M61" s="3805"/>
      <c r="Q61" s="3805"/>
      <c r="U61" s="3979">
        <f>ya</f>
      </c>
      <c r="V61" s="3805"/>
      <c r="AD61" s="3805"/>
      <c r="AE61" s="3805"/>
      <c r="AF61" s="3805"/>
    </row>
    <row r="62" spans="2:36" hidden="1" x14ac:dyDescent="0.25">
      <c r="B62" s="3847"/>
      <c r="C62" s="3847"/>
      <c r="D62" s="3847"/>
      <c r="E62" s="3844"/>
      <c r="F62" s="3844"/>
      <c r="G62" s="3844"/>
      <c r="H62" s="3844"/>
      <c r="I62" s="3844"/>
      <c r="J62" s="3844"/>
      <c r="K62" s="3847"/>
      <c r="M62" s="3805"/>
      <c r="U62" s="3980">
        <f>G21</f>
      </c>
      <c r="V62" s="3805"/>
      <c r="AD62" s="3805"/>
      <c r="AE62" s="3805"/>
      <c r="AF62" s="3805"/>
    </row>
    <row r="63" spans="2:36" x14ac:dyDescent="0.25">
      <c r="B63" s="3874"/>
      <c r="C63" s="3847"/>
      <c r="D63" s="3847"/>
      <c r="E63" s="3844"/>
      <c r="F63" s="3844"/>
      <c r="G63" s="3844"/>
      <c r="H63" s="3844"/>
      <c r="I63" s="3844"/>
      <c r="J63" s="3844"/>
      <c r="K63" s="3847"/>
      <c r="M63" s="3805"/>
      <c r="U63" s="3883">
        <f>IF(G21=0,0,IF(U62&lt;&gt;U61,1,0))</f>
      </c>
      <c r="V63" s="3805"/>
      <c r="AD63" s="3805"/>
      <c r="AE63" s="3805"/>
      <c r="AF63" s="3805"/>
    </row>
    <row r="64" spans="2:36" x14ac:dyDescent="0.25">
      <c r="B64" s="3847"/>
      <c r="C64" s="3847" t="s">
        <v>7138</v>
      </c>
      <c r="D64" s="3847"/>
      <c r="E64" s="3844"/>
      <c r="F64" s="3844"/>
      <c r="G64" s="3844"/>
      <c r="H64" s="3890"/>
      <c r="I64" s="3842" t="str">
        <f>IF(AND(H64="",U63=0,Q83&gt;0),re,"")</f>
        <v/>
      </c>
      <c r="J64" s="3844"/>
      <c r="K64" s="3847"/>
      <c r="M64" s="3805"/>
      <c r="P64" s="3815">
        <f>IF(I64="",0,1)</f>
      </c>
      <c r="Q64" s="3805">
        <f>IF(H64&lt;&gt;"",1,0)</f>
      </c>
      <c r="W64" s="3882" t="s">
        <v>7138</v>
      </c>
      <c r="X64" s="3873">
        <f>IF(U62=U61,H64,0)</f>
      </c>
      <c r="AD64" s="3805"/>
      <c r="AE64" s="3805"/>
      <c r="AF64" s="3805"/>
    </row>
    <row r="65" spans="2:31" x14ac:dyDescent="0.25">
      <c r="B65" s="3847"/>
      <c r="C65" s="3880" t="s">
        <v>7151</v>
      </c>
      <c r="D65" s="3847"/>
      <c r="E65" s="3844"/>
      <c r="F65" s="3844"/>
      <c r="G65" s="3844"/>
      <c r="H65" s="3890"/>
      <c r="I65" s="3842" t="str">
        <f>IF(AND(AH1&gt;2021,Y1&lt;$AH$1,Q83&gt;0,H65=""),reo,"")</f>
        <v/>
      </c>
      <c r="J65" s="3844"/>
      <c r="K65" s="3847"/>
      <c r="M65" s="3805"/>
      <c r="P65" s="3815">
        <f>IF(I65="",0,1)</f>
      </c>
      <c r="Q65" s="3805">
        <f>IF(H65&lt;&gt;"",1,0)</f>
      </c>
      <c r="W65" s="3872" t="s">
        <v>7065</v>
      </c>
      <c r="X65" s="3863">
        <f>IF(OR($H$34=2021,Y1&gt;=AH1),0,H65)</f>
      </c>
      <c r="AE65" s="3871"/>
    </row>
    <row r="66" spans="2:31" hidden="1" x14ac:dyDescent="0.25">
      <c r="B66" s="3847"/>
      <c r="C66" s="3880"/>
      <c r="D66" s="3847"/>
      <c r="E66" s="3844"/>
      <c r="F66" s="3844"/>
      <c r="G66" s="3844"/>
      <c r="H66" s="3844"/>
      <c r="I66" s="3842"/>
      <c r="J66" s="3844"/>
      <c r="K66" s="3847"/>
      <c r="M66" s="3805"/>
      <c r="Q66" s="3805"/>
      <c r="W66" s="3872"/>
      <c r="X66" s="3863"/>
    </row>
    <row r="67" spans="2:31" hidden="1" x14ac:dyDescent="0.25">
      <c r="B67" s="3847"/>
      <c r="C67" s="3880"/>
      <c r="D67" s="3847"/>
      <c r="E67" s="3844"/>
      <c r="F67" s="3844"/>
      <c r="G67" s="3844"/>
      <c r="H67" s="3844"/>
      <c r="I67" s="3842"/>
      <c r="J67" s="3844"/>
      <c r="K67" s="3847"/>
      <c r="M67" s="3805"/>
      <c r="Q67" s="3805"/>
      <c r="W67" s="3872"/>
      <c r="X67" s="3863"/>
    </row>
    <row r="68" spans="2:31" x14ac:dyDescent="0.25">
      <c r="B68" s="3847"/>
      <c r="C68" s="3880" t="s">
        <v>7067</v>
      </c>
      <c r="D68" s="3847"/>
      <c r="E68" s="3844"/>
      <c r="F68" s="3844"/>
      <c r="G68" s="3844"/>
      <c r="H68" s="3925">
        <f>IF(P64=1,0,X68)</f>
      </c>
      <c r="I68" s="3891"/>
      <c r="J68" s="3844"/>
      <c r="K68" s="3847"/>
      <c r="M68" s="3805"/>
      <c r="W68" s="3882" t="s">
        <v>7067</v>
      </c>
      <c r="X68" s="3873">
        <f>X64+X65</f>
      </c>
    </row>
    <row r="69" spans="2:31" x14ac:dyDescent="0.25">
      <c r="B69" s="3847"/>
      <c r="C69" s="3880" t="s">
        <v>7182</v>
      </c>
      <c r="D69" s="3847"/>
      <c r="E69" s="3844"/>
      <c r="F69" s="3844"/>
      <c r="G69" s="3892"/>
      <c r="H69" s="3890"/>
      <c r="I69" s="3842" t="str">
        <f>IF(AND(Q83&gt;0,H69=""),reo,IF(X68&lt;(X69*-1),"Excessive!",""))</f>
        <v/>
      </c>
      <c r="J69" s="3844"/>
      <c r="K69" s="3847"/>
      <c r="M69" s="3805"/>
      <c r="P69" s="3815">
        <f>IF(I69="",0,1)</f>
      </c>
      <c r="Q69" s="3805">
        <f>IF(H69&lt;&gt;"",1,0)</f>
      </c>
      <c r="W69" s="3872" t="s">
        <v>7069</v>
      </c>
      <c r="X69" s="3863">
        <f>-H69</f>
      </c>
    </row>
    <row r="70" spans="2:31" x14ac:dyDescent="0.25">
      <c r="B70" s="3847"/>
      <c r="C70" s="3880" t="s">
        <v>7987</v>
      </c>
      <c r="D70" s="3847"/>
      <c r="E70" s="3844"/>
      <c r="F70" s="3844"/>
      <c r="G70" s="3844"/>
      <c r="H70" s="3925">
        <f>IF(P69=1,0,X70)</f>
      </c>
      <c r="I70" s="3891"/>
      <c r="J70" s="3844"/>
      <c r="K70" s="3847"/>
      <c r="M70" s="3805"/>
      <c r="W70" s="3977" t="s">
        <v>323</v>
      </c>
      <c r="X70" s="3863">
        <f>X68+X69</f>
      </c>
    </row>
    <row r="71" spans="2:31" x14ac:dyDescent="0.25">
      <c r="B71" s="3847"/>
      <c r="C71" s="3880" t="s">
        <v>10370</v>
      </c>
      <c r="D71" s="3847"/>
      <c r="E71" s="3844"/>
      <c r="F71" s="3844"/>
      <c r="G71" s="3844"/>
      <c r="H71" s="3976"/>
      <c r="I71" s="3842" t="str">
        <f>IF(AND(H70&gt;0,H71=""),re,"")</f>
        <v/>
      </c>
      <c r="J71" s="3844"/>
      <c r="K71" s="3847"/>
      <c r="M71" s="3805"/>
      <c r="P71" s="3815">
        <f>IF(I71="",0,1)</f>
      </c>
      <c r="Q71" s="3805">
        <f>IF(H71&lt;&gt;"",1,0)</f>
      </c>
      <c r="W71" s="3977" t="s">
        <v>10370</v>
      </c>
      <c r="X71" s="3863">
        <f>H71</f>
      </c>
    </row>
    <row r="72" spans="2:31" x14ac:dyDescent="0.25">
      <c r="B72" s="3880"/>
      <c r="C72" s="3880" t="s">
        <v>7986</v>
      </c>
      <c r="D72" s="3880"/>
      <c r="E72" s="3880"/>
      <c r="F72" s="3880"/>
      <c r="G72" s="3880"/>
      <c r="H72" s="3925">
        <f>IF(P71=1,0,X72)</f>
      </c>
      <c r="I72" s="3842"/>
      <c r="J72" s="3844"/>
      <c r="K72" s="3847"/>
      <c r="M72" s="3805"/>
      <c r="Q72" s="3805"/>
      <c r="W72" s="3882" t="s">
        <v>7986</v>
      </c>
      <c r="X72" s="3863">
        <f>X70*(100%+X71)</f>
      </c>
    </row>
    <row r="73" spans="2:31" x14ac:dyDescent="0.25">
      <c r="B73" s="3847"/>
      <c r="C73" s="3880"/>
      <c r="D73" s="3847"/>
      <c r="E73" s="3844"/>
      <c r="F73" s="3844"/>
      <c r="G73" s="3844"/>
      <c r="H73" s="3844"/>
      <c r="I73" s="3842"/>
      <c r="J73" s="3844"/>
      <c r="K73" s="3847"/>
      <c r="M73" s="3805"/>
      <c r="Q73" s="3805"/>
    </row>
    <row r="74" spans="2:31" ht="6" customHeight="1" x14ac:dyDescent="0.25">
      <c r="B74" s="3847"/>
      <c r="C74" s="3847"/>
      <c r="D74" s="3847"/>
      <c r="E74" s="3844"/>
      <c r="F74" s="3844"/>
      <c r="G74" s="3844"/>
      <c r="H74" s="3844"/>
      <c r="I74" s="3844"/>
      <c r="J74" s="3844"/>
      <c r="K74" s="3847"/>
      <c r="M74" s="3805"/>
      <c r="S74" s="5428" t="s">
        <v>7073</v>
      </c>
      <c r="T74" s="5429"/>
      <c r="U74" s="5430"/>
    </row>
    <row r="75" spans="2:31" x14ac:dyDescent="0.25">
      <c r="B75" s="3847"/>
      <c r="C75" s="3911" t="str">
        <f>CONCATENATE("Income the tax on which is deemed relieved by the tax credit [Current] Y/A",ya)</f>
      </c>
      <c r="D75" s="3912"/>
      <c r="E75" s="3893"/>
      <c r="F75" s="3893"/>
      <c r="G75" s="3893"/>
      <c r="H75" s="3894"/>
      <c r="I75" s="3895"/>
      <c r="J75" s="3896" t="str">
        <f>IF(Q83=0,"",IF(AND(H69&gt;=0,I75=""),re,IF(AND(H69=0,I75&gt;0),"No tax credit claimed for the year!",IF(AND(H69&gt;0,I75=0),"Amount relieved by tax credit required!",IF(I75&lt;0,"Cannot be negative!",IF(OR(I75&gt;S75,I75&lt;T75),U75,""))))))</f>
        <v/>
      </c>
      <c r="K75" s="3880"/>
      <c r="L75" s="3926"/>
      <c r="M75" s="3805"/>
      <c r="P75" s="3815">
        <f>IF(J75="",0,1)</f>
      </c>
      <c r="Q75" s="3805">
        <f>IF(I75&lt;&gt;"",1,0)</f>
      </c>
      <c r="S75" s="3897">
        <f>ROUND(H69/5%,0)+1</f>
      </c>
      <c r="T75" s="3898">
        <f>ROUND(H69/0.35,0)-1</f>
      </c>
      <c r="U75" s="3899" t="s">
        <v>4787</v>
      </c>
    </row>
    <row r="76" spans="2:31" x14ac:dyDescent="0.25">
      <c r="B76" s="3847"/>
      <c r="C76" s="3900"/>
      <c r="D76" s="3847"/>
      <c r="E76" s="3844"/>
      <c r="F76" s="3844"/>
      <c r="G76" s="3844"/>
      <c r="H76" s="3844"/>
      <c r="I76" s="3844"/>
      <c r="J76" s="3844"/>
      <c r="K76" s="3847"/>
      <c r="M76" s="3805"/>
    </row>
    <row r="77" spans="2:31" ht="4.5" customHeight="1" x14ac:dyDescent="0.25">
      <c r="B77" s="3847"/>
      <c r="C77" s="3847"/>
      <c r="D77" s="3847"/>
      <c r="E77" s="3844"/>
      <c r="F77" s="3844"/>
      <c r="G77" s="3844"/>
      <c r="H77" s="3844"/>
      <c r="I77" s="3844"/>
      <c r="J77" s="3844"/>
      <c r="K77" s="3847"/>
      <c r="M77" s="3805"/>
    </row>
    <row r="78" spans="2:31" x14ac:dyDescent="0.25">
      <c r="B78" s="3847"/>
      <c r="C78" s="3847"/>
      <c r="D78" s="3847"/>
      <c r="E78" s="3844"/>
      <c r="F78" s="3849" t="s">
        <v>2206</v>
      </c>
      <c r="G78" s="3853"/>
      <c r="H78" s="3842" t="str">
        <f>IF(AND(G78="",Q83&gt;0),re,IF(G78="no",nd,""))</f>
        <v/>
      </c>
      <c r="I78" s="3844"/>
      <c r="J78" s="3844"/>
      <c r="K78" s="3847"/>
      <c r="M78" s="3805"/>
      <c r="P78" s="3815">
        <f>IF(H78="",0,1)</f>
      </c>
      <c r="Q78" s="3805">
        <f>IF(G78&lt;&gt;"",1,0)</f>
      </c>
    </row>
    <row r="79" spans="2:31" ht="5.25" customHeight="1" x14ac:dyDescent="0.25">
      <c r="B79" s="3847"/>
      <c r="C79" s="3847"/>
      <c r="D79" s="3847"/>
      <c r="E79" s="3844"/>
      <c r="F79" s="3844"/>
      <c r="G79" s="3844"/>
      <c r="H79" s="3844"/>
      <c r="I79" s="3844"/>
      <c r="J79" s="3844"/>
      <c r="K79" s="3847"/>
      <c r="M79" s="3805"/>
    </row>
    <row r="80" spans="2:31" hidden="1" x14ac:dyDescent="0.25">
      <c r="B80" s="3847"/>
      <c r="C80" s="3847"/>
      <c r="D80" s="3847"/>
      <c r="E80" s="3844"/>
      <c r="F80" s="3901"/>
      <c r="G80" s="3901"/>
      <c r="H80" s="3842"/>
      <c r="I80" s="3844"/>
      <c r="J80" s="3844"/>
      <c r="K80" s="3847"/>
      <c r="M80" s="3805"/>
      <c r="Q80" s="3805"/>
    </row>
    <row r="81" spans="1:55" ht="9" customHeight="1" x14ac:dyDescent="0.25">
      <c r="B81" s="3847"/>
      <c r="C81" s="3847"/>
      <c r="D81" s="3847"/>
      <c r="E81" s="3847"/>
      <c r="F81" s="3847"/>
      <c r="G81" s="3847"/>
      <c r="H81" s="3847"/>
      <c r="I81" s="3847"/>
      <c r="J81" s="3847"/>
      <c r="K81" s="3847"/>
      <c r="M81" s="3805"/>
    </row>
    <row r="82" spans="1:55" ht="6.75" hidden="1" customHeight="1" x14ac:dyDescent="0.25">
      <c r="B82" s="3847"/>
      <c r="C82" s="3847"/>
      <c r="D82" s="3847"/>
      <c r="E82" s="3847"/>
      <c r="F82" s="3847"/>
      <c r="G82" s="3847"/>
      <c r="H82" s="3847"/>
      <c r="I82" s="3847"/>
      <c r="J82" s="3847"/>
      <c r="K82" s="3847"/>
      <c r="M82" s="3805"/>
    </row>
    <row r="83" spans="1:55" x14ac:dyDescent="0.25">
      <c r="B83" s="3847"/>
      <c r="C83" s="3847" t="str">
        <f>_xlfn.SINGLE(MTCA)</f>
      </c>
      <c r="D83" s="3847"/>
      <c r="E83" s="3847"/>
      <c r="F83" s="3847"/>
      <c r="G83" s="3862" t="str">
        <f>ver</f>
        <v>TA2_e-CO_2025_Ver 1.1</v>
      </c>
      <c r="H83" s="3847"/>
      <c r="I83" s="3847"/>
      <c r="J83" s="3847"/>
      <c r="K83" s="3902" t="s">
        <v>10298</v>
      </c>
      <c r="M83" s="3805"/>
      <c r="P83" s="3903">
        <f>SUM(P12:P81)</f>
      </c>
      <c r="Q83" s="3903">
        <f>SUM(Q12:Q81)</f>
      </c>
    </row>
    <row r="84" spans="1:55" x14ac:dyDescent="0.25">
      <c r="B84" s="3847"/>
      <c r="C84" s="3847"/>
      <c r="D84" s="3847"/>
      <c r="E84" s="3847"/>
      <c r="F84" s="3847"/>
      <c r="G84" s="3862"/>
      <c r="H84" s="3847"/>
      <c r="I84" s="3847"/>
      <c r="J84" s="3847"/>
      <c r="K84" s="3902"/>
      <c r="M84" s="3805"/>
      <c r="P84" s="3805"/>
      <c r="Q84" s="3805"/>
    </row>
    <row r="85" spans="1:55" x14ac:dyDescent="0.25">
      <c r="B85" s="3847"/>
      <c r="C85" s="3847"/>
      <c r="D85" s="3847"/>
      <c r="E85" s="3847"/>
      <c r="F85" s="3847"/>
      <c r="G85" s="3862"/>
      <c r="H85" s="3847"/>
      <c r="I85" s="3847"/>
      <c r="J85" s="3847"/>
      <c r="K85" s="3902"/>
      <c r="M85" s="3805"/>
      <c r="P85" s="3805"/>
      <c r="Q85" s="3805"/>
    </row>
    <row r="86" spans="1:55" s="3805" customFormat="1" ht="12.75" x14ac:dyDescent="0.2">
      <c r="B86" s="5431"/>
      <c r="C86" s="5431"/>
      <c r="D86" s="5431"/>
      <c r="E86" s="5431"/>
      <c r="F86" s="5431"/>
      <c r="G86" s="5431"/>
      <c r="H86" s="5431"/>
      <c r="I86" s="5431"/>
      <c r="J86" s="3806"/>
      <c r="K86" s="3807"/>
      <c r="N86" s="3808"/>
      <c r="X86" s="3807" t="s">
        <v>7019</v>
      </c>
      <c r="Y86" s="3809">
        <f>G105-1</f>
      </c>
      <c r="AD86" s="3805" t="s">
        <v>7020</v>
      </c>
      <c r="AE86" s="3810">
        <v>44197</v>
      </c>
      <c r="AG86" s="3805" t="s">
        <v>7021</v>
      </c>
      <c r="AH86" s="3811">
        <f>ya-1</f>
      </c>
    </row>
    <row r="87" spans="1:55" s="3805" customFormat="1" x14ac:dyDescent="0.25">
      <c r="A87" s="3812"/>
      <c r="B87" s="3812"/>
      <c r="C87" s="3812"/>
      <c r="D87" s="3812"/>
      <c r="E87" s="3812"/>
      <c r="F87" s="3812"/>
      <c r="G87" s="3812"/>
      <c r="H87" s="3812"/>
      <c r="I87" s="3812"/>
      <c r="J87" s="3812"/>
      <c r="K87" s="3812"/>
      <c r="L87" s="3812"/>
      <c r="N87" s="3813"/>
      <c r="O87" s="3812"/>
      <c r="AD87" s="3805" t="s">
        <v>7022</v>
      </c>
      <c r="AE87" s="3810">
        <f>DATE(MIN(AH86:AH87),12,31)</f>
      </c>
      <c r="AG87" s="3805" t="s">
        <v>7023</v>
      </c>
      <c r="AH87" s="3814">
        <v>2022</v>
      </c>
      <c r="AK87" s="3809"/>
      <c r="BA87" s="3815"/>
      <c r="BB87" s="3815"/>
      <c r="BC87" s="3815"/>
    </row>
    <row r="88" spans="1:55" s="3905" customFormat="1" x14ac:dyDescent="0.25">
      <c r="A88" s="3904"/>
      <c r="B88" s="3904"/>
      <c r="C88" s="3904"/>
      <c r="D88" s="3904"/>
      <c r="E88" s="3904"/>
      <c r="F88" s="3904"/>
      <c r="G88" s="3904"/>
      <c r="H88" s="3904"/>
      <c r="I88" s="3904"/>
      <c r="J88" s="3904"/>
      <c r="K88" s="3904"/>
      <c r="L88" s="3812"/>
      <c r="AF88" s="3906"/>
      <c r="AM88" s="3907"/>
      <c r="AN88" s="3908"/>
      <c r="BA88" s="3909"/>
      <c r="BB88" s="3910"/>
    </row>
    <row r="89" spans="1:55" s="3905" customFormat="1" x14ac:dyDescent="0.25">
      <c r="A89" s="3904"/>
      <c r="B89" s="3904"/>
      <c r="C89" s="3904"/>
      <c r="D89" s="3904"/>
      <c r="E89" s="3904"/>
      <c r="F89" s="3904"/>
      <c r="G89" s="3904"/>
      <c r="H89" s="3904"/>
      <c r="I89" s="3904"/>
      <c r="J89" s="3904"/>
      <c r="K89" s="3904"/>
      <c r="L89" s="3812"/>
      <c r="AF89" s="3906"/>
      <c r="AM89" s="3907"/>
      <c r="AN89" s="3908"/>
      <c r="BA89" s="3909"/>
      <c r="BB89" s="3910"/>
    </row>
    <row r="90" spans="1:55" s="3805" customFormat="1" x14ac:dyDescent="0.25">
      <c r="A90" s="3812"/>
      <c r="B90" s="3826">
        <v>2</v>
      </c>
      <c r="C90" s="3827" t="s">
        <v>10264</v>
      </c>
      <c r="D90" s="3827"/>
      <c r="E90" s="3827"/>
      <c r="F90" s="3828"/>
      <c r="G90" s="3828"/>
      <c r="H90" s="3828"/>
      <c r="I90" s="3828"/>
      <c r="J90" s="3828"/>
      <c r="K90" s="3829"/>
      <c r="N90" s="3812"/>
      <c r="O90" s="3812"/>
      <c r="AM90" s="3815"/>
      <c r="BA90" s="3821"/>
      <c r="BB90" s="3822"/>
    </row>
    <row r="91" spans="1:55" s="3805" customFormat="1" hidden="1" x14ac:dyDescent="0.25">
      <c r="A91" s="3812"/>
      <c r="B91" s="3819"/>
      <c r="C91" s="3819"/>
      <c r="D91" s="3819"/>
      <c r="E91" s="3819"/>
      <c r="F91" s="3819"/>
      <c r="G91" s="3819"/>
      <c r="H91" s="3819"/>
      <c r="I91" s="3819"/>
      <c r="J91" s="3819"/>
      <c r="K91" s="3819"/>
      <c r="N91" s="3812"/>
      <c r="O91" s="3812"/>
      <c r="AM91" s="3815"/>
      <c r="BA91" s="3821"/>
      <c r="BB91" s="3822"/>
    </row>
    <row r="92" spans="1:55" s="3805" customFormat="1" hidden="1" x14ac:dyDescent="0.25">
      <c r="A92" s="3812"/>
      <c r="B92" s="3830"/>
      <c r="C92" s="3831"/>
      <c r="D92" s="3832"/>
      <c r="E92" s="3832"/>
      <c r="F92" s="3832"/>
      <c r="G92" s="3832"/>
      <c r="H92" s="3832"/>
      <c r="I92" s="3832"/>
      <c r="J92" s="3832"/>
      <c r="K92" s="3833"/>
      <c r="AM92" s="3815"/>
      <c r="BA92" s="3821"/>
      <c r="BB92" s="3822"/>
    </row>
    <row r="93" spans="1:55" s="3805" customFormat="1" hidden="1" x14ac:dyDescent="0.25">
      <c r="A93" s="3812"/>
      <c r="B93" s="3834"/>
      <c r="C93" s="3835"/>
      <c r="D93" s="3836"/>
      <c r="E93" s="3836"/>
      <c r="F93" s="3836"/>
      <c r="G93" s="3836"/>
      <c r="H93" s="3836"/>
      <c r="I93" s="3836"/>
      <c r="J93" s="3836"/>
      <c r="K93" s="3837"/>
      <c r="AM93" s="3815"/>
      <c r="BA93" s="3821"/>
      <c r="BB93" s="3822"/>
    </row>
    <row r="94" spans="1:55" s="3805" customFormat="1" hidden="1" x14ac:dyDescent="0.25">
      <c r="A94" s="3812"/>
      <c r="B94" s="3838"/>
      <c r="C94" s="3839"/>
      <c r="D94" s="3840"/>
      <c r="E94" s="3840"/>
      <c r="F94" s="3840"/>
      <c r="G94" s="3840"/>
      <c r="H94" s="3840"/>
      <c r="I94" s="3840"/>
      <c r="J94" s="3840"/>
      <c r="K94" s="3841"/>
      <c r="AM94" s="3815"/>
      <c r="BA94" s="3821"/>
      <c r="BB94" s="3822"/>
    </row>
    <row r="95" spans="1:55" s="3805" customFormat="1" x14ac:dyDescent="0.25">
      <c r="A95" s="3812"/>
      <c r="B95" s="3819"/>
      <c r="C95" s="3819"/>
      <c r="D95" s="3819"/>
      <c r="E95" s="3819"/>
      <c r="F95" s="3819"/>
      <c r="G95" s="3819"/>
      <c r="H95" s="3819"/>
      <c r="I95" s="3819"/>
      <c r="J95" s="3819"/>
      <c r="K95" s="3819"/>
      <c r="P95" s="3805" t="s">
        <v>7030</v>
      </c>
      <c r="Q95" s="3805" t="s">
        <v>6977</v>
      </c>
      <c r="AM95" s="3815"/>
      <c r="BA95" s="3821"/>
      <c r="BB95" s="3822"/>
    </row>
    <row r="96" spans="1:55" s="3805" customFormat="1" x14ac:dyDescent="0.25">
      <c r="A96" s="3812"/>
      <c r="B96" s="3819" t="s">
        <v>9984</v>
      </c>
      <c r="C96" s="3819"/>
      <c r="D96" s="3819"/>
      <c r="E96" s="3819"/>
      <c r="F96" s="3819"/>
      <c r="G96" s="3819"/>
      <c r="H96" s="3819"/>
      <c r="I96" s="3321"/>
      <c r="J96" s="3842" t="str">
        <f>IF(AND($W$1="y",I96="",Q166&gt;0),re,IF(AND($W$1="n",I96&lt;&gt;""),"Delete!",""))</f>
        <v/>
      </c>
      <c r="K96" s="3819"/>
      <c r="P96" s="3815">
        <f>IF(J96="",0,1)</f>
      </c>
      <c r="Q96" s="3805">
        <f>IF(I96&lt;&gt;"",1,0)</f>
      </c>
      <c r="S96" s="3843">
        <f>IF(AND($W$1="n",I96&lt;&gt;""),1,0)</f>
      </c>
      <c r="BA96" s="3821"/>
      <c r="BB96" s="3822"/>
    </row>
    <row r="97" spans="1:55" s="3805" customFormat="1" ht="12.75" hidden="1" x14ac:dyDescent="0.2">
      <c r="A97" s="3812"/>
      <c r="B97" s="3819"/>
      <c r="C97" s="3819"/>
      <c r="D97" s="3819"/>
      <c r="E97" s="3819"/>
      <c r="F97" s="3819"/>
      <c r="G97" s="3819"/>
      <c r="H97" s="3819"/>
      <c r="I97" s="3819"/>
      <c r="J97" s="3819"/>
      <c r="K97" s="3819"/>
      <c r="N97" s="3812"/>
      <c r="BA97" s="3821"/>
      <c r="BB97" s="3822"/>
    </row>
    <row r="98" spans="1:55" s="3805" customFormat="1" hidden="1" x14ac:dyDescent="0.25">
      <c r="A98" s="3812"/>
      <c r="B98" s="3819" t="s">
        <v>7153</v>
      </c>
      <c r="C98" s="3819"/>
      <c r="D98" s="3819"/>
      <c r="E98" s="3844"/>
      <c r="F98" s="3844"/>
      <c r="G98" s="3844"/>
      <c r="H98" s="3844"/>
      <c r="I98" s="3924"/>
      <c r="J98" s="3842"/>
      <c r="K98" s="3819"/>
      <c r="N98" s="3812"/>
      <c r="O98" s="3845"/>
      <c r="P98" s="3815"/>
      <c r="AM98" s="3815"/>
      <c r="BA98" s="3821"/>
      <c r="BB98" s="3822"/>
    </row>
    <row r="99" spans="1:55" s="3805" customFormat="1" hidden="1" x14ac:dyDescent="0.25">
      <c r="A99" s="3812"/>
      <c r="B99" s="3819"/>
      <c r="C99" s="3819"/>
      <c r="D99" s="3819"/>
      <c r="E99" s="3844"/>
      <c r="F99" s="3844"/>
      <c r="G99" s="3844"/>
      <c r="H99" s="3844"/>
      <c r="I99" s="3844"/>
      <c r="J99" s="3844"/>
      <c r="K99" s="3819"/>
      <c r="N99" s="3812"/>
      <c r="AM99" s="3815"/>
      <c r="BA99" s="3821"/>
      <c r="BB99" s="3822"/>
    </row>
    <row r="100" spans="1:55" s="3805" customFormat="1" x14ac:dyDescent="0.25">
      <c r="A100" s="3812"/>
      <c r="B100" s="3819"/>
      <c r="C100" s="3819"/>
      <c r="D100" s="3819"/>
      <c r="E100" s="3844"/>
      <c r="F100" s="3844"/>
      <c r="G100" s="3844"/>
      <c r="H100" s="3844"/>
      <c r="I100" s="3844"/>
      <c r="J100" s="3844"/>
      <c r="K100" s="3819"/>
      <c r="AM100" s="3815"/>
      <c r="BA100" s="3821"/>
      <c r="BB100" s="3822"/>
    </row>
    <row r="101" spans="1:55" s="3805" customFormat="1" x14ac:dyDescent="0.25">
      <c r="A101" s="3812"/>
      <c r="B101" s="3846" t="s">
        <v>10289</v>
      </c>
      <c r="C101" s="3819"/>
      <c r="D101" s="3819"/>
      <c r="E101" s="3844"/>
      <c r="F101" s="3844"/>
      <c r="G101" s="3844"/>
      <c r="H101" s="3844"/>
      <c r="I101" s="3844"/>
      <c r="J101" s="3844"/>
      <c r="K101" s="3819"/>
      <c r="R101" s="3815"/>
      <c r="S101" s="3815"/>
      <c r="V101" s="3815"/>
      <c r="W101" s="3815"/>
      <c r="X101" s="3815"/>
      <c r="Y101" s="3815"/>
      <c r="Z101" s="3815"/>
      <c r="AA101" s="3815"/>
      <c r="AB101" s="3815"/>
      <c r="AC101" s="3815"/>
      <c r="AD101" s="3815"/>
      <c r="AE101" s="3815"/>
      <c r="AF101" s="3815"/>
      <c r="AG101" s="3815"/>
      <c r="AH101" s="3815"/>
      <c r="AI101" s="3815"/>
      <c r="AM101" s="3815"/>
      <c r="BA101" s="3821"/>
      <c r="BB101" s="3822"/>
    </row>
    <row r="102" spans="1:55" s="3805" customFormat="1" ht="6" customHeight="1" x14ac:dyDescent="0.25">
      <c r="A102" s="3812"/>
      <c r="B102" s="3847"/>
      <c r="C102" s="3819"/>
      <c r="D102" s="3819"/>
      <c r="E102" s="3844"/>
      <c r="F102" s="3844"/>
      <c r="G102" s="3844"/>
      <c r="H102" s="3844"/>
      <c r="I102" s="3844"/>
      <c r="J102" s="3844"/>
      <c r="K102" s="3819"/>
      <c r="R102" s="3815"/>
      <c r="S102" s="3815"/>
      <c r="V102" s="3815"/>
      <c r="W102" s="3815"/>
      <c r="X102" s="3815"/>
      <c r="Y102" s="3815"/>
      <c r="Z102" s="3815"/>
      <c r="AA102" s="3815"/>
      <c r="AB102" s="3815"/>
      <c r="AC102" s="3815"/>
      <c r="AD102" s="3815"/>
      <c r="AE102" s="3815"/>
      <c r="AF102" s="3815"/>
      <c r="AG102" s="3815"/>
      <c r="AH102" s="3815"/>
      <c r="AI102" s="3815"/>
      <c r="AM102" s="3815"/>
      <c r="BA102" s="3821"/>
      <c r="BB102" s="3822"/>
    </row>
    <row r="103" spans="1:55" x14ac:dyDescent="0.25">
      <c r="B103" s="3847"/>
      <c r="C103" s="3847" t="s">
        <v>7033</v>
      </c>
      <c r="D103" s="3847"/>
      <c r="E103" s="3844"/>
      <c r="F103" s="3844"/>
      <c r="G103" s="3848"/>
      <c r="H103" s="3842" t="str">
        <f>IF(AND(Q166&gt;0,G103=""),re,"")</f>
        <v/>
      </c>
      <c r="I103" s="3902" t="s">
        <v>7747</v>
      </c>
      <c r="J103" s="3850"/>
      <c r="K103" s="3851" t="str">
        <f>IF(AND(Q166&gt;0,J103=""),re,"")</f>
        <v/>
      </c>
      <c r="L103" s="3805"/>
      <c r="M103" s="3805"/>
      <c r="N103" s="3809"/>
      <c r="O103" s="3805"/>
      <c r="P103" s="3815">
        <f>IF(H103="",0,1)</f>
      </c>
      <c r="Q103" s="3805">
        <f>IF(G103&lt;&gt;"",1,0)</f>
      </c>
      <c r="BA103" s="3821"/>
      <c r="BB103" s="3822"/>
      <c r="BC103" s="3805"/>
    </row>
    <row r="104" spans="1:55" ht="4.5" customHeight="1" x14ac:dyDescent="0.25">
      <c r="B104" s="3847"/>
      <c r="C104" s="3847"/>
      <c r="D104" s="3847"/>
      <c r="E104" s="3844"/>
      <c r="F104" s="3844"/>
      <c r="G104" s="3844"/>
      <c r="H104" s="3844"/>
      <c r="I104" s="3849"/>
      <c r="J104" s="3844"/>
      <c r="K104" s="3847"/>
      <c r="L104" s="3805"/>
      <c r="M104" s="3805"/>
      <c r="P104" s="3805"/>
      <c r="Q104" s="3805"/>
      <c r="BA104" s="3821"/>
      <c r="BB104" s="3822"/>
      <c r="BC104" s="3805"/>
    </row>
    <row r="105" spans="1:55" x14ac:dyDescent="0.25">
      <c r="B105" s="3847"/>
      <c r="C105" s="3852" t="s">
        <v>7749</v>
      </c>
      <c r="D105" s="3847"/>
      <c r="E105" s="3844"/>
      <c r="F105" s="3844"/>
      <c r="G105" s="3848"/>
      <c r="H105" s="3842" t="str">
        <f>IF(AND(Q166&gt;0,G105=""),re,"")</f>
        <v/>
      </c>
      <c r="I105" s="3902" t="s">
        <v>7748</v>
      </c>
      <c r="J105" s="3853"/>
      <c r="K105" s="3851" t="str">
        <f>IF(AND(Q166&gt;0,J105=""),re,"")</f>
        <v/>
      </c>
      <c r="L105" s="3805"/>
      <c r="M105" s="3805"/>
      <c r="N105" s="3809"/>
      <c r="O105" s="3805"/>
      <c r="P105" s="3815">
        <f>IF(K103="",0,1)</f>
      </c>
      <c r="Q105" s="3805">
        <f>IF(J103&lt;&gt;"",1,0)</f>
      </c>
      <c r="BA105" s="3821"/>
      <c r="BB105" s="3822"/>
      <c r="BC105" s="3805"/>
    </row>
    <row r="106" spans="1:55" ht="11.25" customHeight="1" x14ac:dyDescent="0.25">
      <c r="B106" s="3847"/>
      <c r="C106" s="3847"/>
      <c r="D106" s="3847"/>
      <c r="E106" s="3844"/>
      <c r="F106" s="3844"/>
      <c r="G106" s="3854"/>
      <c r="H106" s="3842"/>
      <c r="I106" s="3844"/>
      <c r="J106" s="3844"/>
      <c r="K106" s="3847"/>
      <c r="L106" s="3805"/>
      <c r="M106" s="3805"/>
      <c r="P106" s="3805"/>
      <c r="Q106" s="3805">
        <f>IF(G105&lt;&gt;"",1,0)</f>
      </c>
      <c r="BA106" s="3821"/>
      <c r="BB106" s="3822"/>
      <c r="BC106" s="3805"/>
    </row>
    <row r="107" spans="1:55" x14ac:dyDescent="0.25">
      <c r="B107" s="3847"/>
      <c r="C107" s="3847" t="s">
        <v>7041</v>
      </c>
      <c r="D107" s="3847"/>
      <c r="E107" s="5432"/>
      <c r="F107" s="5433"/>
      <c r="G107" s="5433"/>
      <c r="H107" s="5433"/>
      <c r="I107" s="5433"/>
      <c r="J107" s="5434"/>
      <c r="K107" s="3851" t="str">
        <f>IF(AND(Q166&gt;0,E107=""),re,"")</f>
        <v/>
      </c>
      <c r="L107" s="3805"/>
      <c r="M107" s="3805"/>
      <c r="O107" s="3805"/>
      <c r="P107" s="3815">
        <f>IF(K107="",0,1)</f>
      </c>
      <c r="Q107" s="3805">
        <f>IF(E107&lt;&gt;"",1,0)</f>
      </c>
      <c r="Z107" s="3855"/>
      <c r="BA107" s="3821"/>
      <c r="BB107" s="3822"/>
      <c r="BC107" s="3805"/>
    </row>
    <row r="108" spans="1:55" ht="8.25" customHeight="1" x14ac:dyDescent="0.25">
      <c r="B108" s="3847"/>
      <c r="C108" s="3847"/>
      <c r="D108" s="3847"/>
      <c r="E108" s="3844"/>
      <c r="F108" s="3844"/>
      <c r="G108" s="3844"/>
      <c r="H108" s="3844"/>
      <c r="I108" s="3844"/>
      <c r="J108" s="3844"/>
      <c r="K108" s="3847"/>
      <c r="M108" s="3805"/>
      <c r="P108" s="3805"/>
      <c r="Q108" s="3805"/>
      <c r="R108" s="3856"/>
      <c r="S108" s="3856"/>
      <c r="T108" s="3856"/>
      <c r="U108" s="3856"/>
      <c r="V108" s="3856"/>
      <c r="W108" s="3856"/>
      <c r="X108" s="3856"/>
      <c r="Y108" s="3856"/>
      <c r="Z108" s="3856"/>
      <c r="AC108" s="3856"/>
      <c r="AD108" s="3856"/>
      <c r="AE108" s="3856"/>
      <c r="AF108" s="3856"/>
      <c r="AG108" s="3856"/>
      <c r="AH108" s="3856"/>
      <c r="AI108" s="3856"/>
      <c r="BA108" s="3821"/>
      <c r="BB108" s="3822"/>
      <c r="BC108" s="3805"/>
    </row>
    <row r="109" spans="1:55" x14ac:dyDescent="0.25">
      <c r="B109" s="3847"/>
      <c r="C109" s="3847" t="s">
        <v>7046</v>
      </c>
      <c r="D109" s="3847"/>
      <c r="E109" s="5432"/>
      <c r="F109" s="5433"/>
      <c r="G109" s="5433"/>
      <c r="H109" s="5433"/>
      <c r="I109" s="5433"/>
      <c r="J109" s="5434"/>
      <c r="K109" s="3851" t="str">
        <f>IF(AND(Q166&gt;0,E109=""),re,"")</f>
        <v/>
      </c>
      <c r="L109" s="3809"/>
      <c r="M109" s="3805"/>
      <c r="P109" s="3815">
        <f>IF(K109="",0,1)</f>
      </c>
      <c r="Q109" s="3805">
        <f>IF(E109&lt;&gt;"",1,0)</f>
      </c>
      <c r="R109" s="3805"/>
      <c r="S109" s="3805"/>
      <c r="T109" s="3805"/>
      <c r="U109" s="3805"/>
      <c r="V109" s="3805"/>
      <c r="W109" s="3805"/>
      <c r="X109" s="3805"/>
      <c r="Y109" s="3805"/>
      <c r="Z109" s="3805"/>
      <c r="AC109" s="3805"/>
      <c r="AD109" s="3805"/>
      <c r="AE109" s="3805"/>
      <c r="AF109" s="3805"/>
      <c r="AG109" s="3805"/>
      <c r="AH109" s="3805"/>
      <c r="AI109" s="3805"/>
      <c r="AJ109" s="3856"/>
      <c r="BA109" s="3821"/>
      <c r="BB109" s="3822"/>
      <c r="BC109" s="3805"/>
    </row>
    <row r="110" spans="1:55" s="3805" customFormat="1" hidden="1" x14ac:dyDescent="0.25">
      <c r="A110" s="3812"/>
      <c r="B110" s="3847"/>
      <c r="C110" s="3847"/>
      <c r="D110" s="3847"/>
      <c r="E110" s="3844"/>
      <c r="F110" s="3844"/>
      <c r="G110" s="3844"/>
      <c r="H110" s="3844"/>
      <c r="I110" s="3844"/>
      <c r="J110" s="3844"/>
      <c r="K110" s="3847"/>
      <c r="L110" s="3812"/>
      <c r="N110" s="3812"/>
      <c r="O110" s="3812"/>
      <c r="AM110" s="3815"/>
    </row>
    <row r="111" spans="1:55" hidden="1" x14ac:dyDescent="0.25">
      <c r="B111" s="3847"/>
      <c r="D111" s="3847"/>
      <c r="E111" s="3844"/>
      <c r="F111" s="3844"/>
      <c r="G111" s="3857"/>
      <c r="H111" s="3857"/>
      <c r="I111" s="3844"/>
      <c r="J111" s="3844"/>
      <c r="K111" s="3847"/>
      <c r="M111" s="3805"/>
      <c r="N111" s="3809"/>
      <c r="P111" s="3815">
        <f>IF(K105="",0,1)</f>
      </c>
      <c r="Q111" s="3805">
        <f>IF(J105&lt;&gt;"",1,0)</f>
      </c>
      <c r="S111" s="3805"/>
      <c r="T111" s="3805"/>
      <c r="U111" s="3805"/>
      <c r="V111" s="3805"/>
      <c r="W111" s="3805"/>
      <c r="X111" s="3805"/>
      <c r="Y111" s="3805"/>
      <c r="Z111" s="3805"/>
      <c r="AC111" s="3805"/>
      <c r="AD111" s="3805"/>
      <c r="AE111" s="3805"/>
      <c r="AF111" s="3805"/>
      <c r="AG111" s="3805"/>
      <c r="AH111" s="3805"/>
      <c r="AI111" s="3805"/>
    </row>
    <row r="112" spans="1:55" x14ac:dyDescent="0.25">
      <c r="B112" s="3847"/>
      <c r="C112" s="3847"/>
      <c r="D112" s="3847"/>
      <c r="E112" s="3844"/>
      <c r="F112" s="3844"/>
      <c r="G112" s="3844"/>
      <c r="H112" s="3844"/>
      <c r="I112" s="3844"/>
      <c r="J112" s="3844"/>
      <c r="K112" s="3847"/>
      <c r="M112" s="3805"/>
      <c r="S112" s="3805"/>
      <c r="T112" s="3805"/>
      <c r="U112" s="3805"/>
      <c r="V112" s="3805"/>
      <c r="W112" s="3805"/>
      <c r="X112" s="3805"/>
      <c r="Y112" s="3805"/>
      <c r="Z112" s="3805"/>
      <c r="AI112" s="3805"/>
    </row>
    <row r="113" spans="2:35" x14ac:dyDescent="0.25">
      <c r="B113" s="3847"/>
      <c r="C113" s="3847" t="s">
        <v>7051</v>
      </c>
      <c r="D113" s="3847"/>
      <c r="E113" s="5432"/>
      <c r="F113" s="5433"/>
      <c r="G113" s="5433"/>
      <c r="H113" s="5433"/>
      <c r="I113" s="5433"/>
      <c r="J113" s="5434"/>
      <c r="K113" s="3851" t="str">
        <f>IF(AND(Q166&gt;0,E113=""),re,"")</f>
        <v/>
      </c>
      <c r="L113" s="3809"/>
      <c r="M113" s="3805"/>
      <c r="P113" s="3815">
        <f>IF(K113="",0,1)</f>
      </c>
      <c r="Q113" s="3805">
        <f>IF(E113&lt;&gt;"",1,0)</f>
      </c>
    </row>
    <row r="114" spans="2:35" x14ac:dyDescent="0.25">
      <c r="B114" s="3847"/>
      <c r="C114" s="3847"/>
      <c r="D114" s="3847"/>
      <c r="E114" s="3844"/>
      <c r="F114" s="3844"/>
      <c r="G114" s="3844"/>
      <c r="H114" s="3844"/>
      <c r="I114" s="3844"/>
      <c r="J114" s="3844"/>
      <c r="K114" s="3847"/>
      <c r="M114" s="3805"/>
      <c r="N114" s="3845"/>
      <c r="O114" s="3845"/>
      <c r="S114" s="3805"/>
      <c r="T114" s="3805"/>
      <c r="U114" s="3805"/>
      <c r="V114" s="3805"/>
      <c r="W114" s="3805"/>
      <c r="X114" s="3805"/>
      <c r="Y114" s="3805"/>
      <c r="Z114" s="3805"/>
      <c r="AF114" s="3805"/>
      <c r="AG114" s="3805"/>
      <c r="AH114" s="3805"/>
      <c r="AI114" s="3805"/>
    </row>
    <row r="115" spans="2:35" x14ac:dyDescent="0.25">
      <c r="B115" s="3847"/>
      <c r="C115" s="3847" t="s">
        <v>7054</v>
      </c>
      <c r="D115" s="3847"/>
      <c r="E115" s="3844"/>
      <c r="F115" s="5435"/>
      <c r="G115" s="5435"/>
      <c r="H115" s="5435"/>
      <c r="I115" s="5435"/>
      <c r="J115" s="5435"/>
      <c r="K115" s="3851" t="str">
        <f>IF(AND(Q166&gt;0,F115=""),re,"")</f>
        <v/>
      </c>
      <c r="L115" s="3809"/>
      <c r="M115" s="3805"/>
      <c r="N115" s="3858"/>
      <c r="O115" s="3858"/>
      <c r="P115" s="3815">
        <f>IF(K115="",0,1)</f>
      </c>
      <c r="Q115" s="3805">
        <f>IF(F115&lt;&gt;"",1,0)</f>
      </c>
      <c r="AA115" s="3805"/>
      <c r="AB115" s="3805"/>
      <c r="AI115" s="3805"/>
    </row>
    <row r="116" spans="2:35" x14ac:dyDescent="0.25">
      <c r="B116" s="3847"/>
      <c r="C116" s="3847"/>
      <c r="D116" s="3847"/>
      <c r="E116" s="3844"/>
      <c r="F116" s="3844"/>
      <c r="G116" s="3844"/>
      <c r="H116" s="3844"/>
      <c r="I116" s="3844"/>
      <c r="J116" s="3844"/>
      <c r="K116" s="3847"/>
      <c r="M116" s="3805"/>
      <c r="N116" s="3858"/>
      <c r="O116" s="3858"/>
      <c r="AA116" s="3805"/>
      <c r="AB116" s="3859"/>
      <c r="AI116" s="3805"/>
    </row>
    <row r="117" spans="2:35" x14ac:dyDescent="0.25">
      <c r="B117" s="3847"/>
      <c r="C117" s="3847"/>
      <c r="D117" s="3847"/>
      <c r="E117" s="3844"/>
      <c r="F117" s="3844"/>
      <c r="G117" s="3844"/>
      <c r="H117" s="3844"/>
      <c r="I117" s="3844"/>
      <c r="J117" s="3844"/>
      <c r="K117" s="3847"/>
      <c r="M117" s="3805"/>
      <c r="N117" s="3858"/>
      <c r="O117" s="3858"/>
      <c r="S117" s="3805"/>
      <c r="T117" s="3805"/>
      <c r="U117" s="3805"/>
      <c r="V117" s="3805"/>
      <c r="W117" s="3805"/>
      <c r="X117" s="3805"/>
      <c r="Y117" s="3805"/>
      <c r="Z117" s="3805"/>
      <c r="AB117" s="3859"/>
      <c r="AC117" s="3805"/>
      <c r="AD117" s="3805"/>
      <c r="AE117" s="3805"/>
      <c r="AF117" s="3805"/>
      <c r="AG117" s="3805"/>
      <c r="AH117" s="3805"/>
      <c r="AI117" s="3805"/>
    </row>
    <row r="118" spans="2:35" x14ac:dyDescent="0.25">
      <c r="B118" s="3847"/>
      <c r="C118" s="3860"/>
      <c r="D118" s="3847"/>
      <c r="E118" s="3844"/>
      <c r="F118" s="3844"/>
      <c r="G118" s="3849" t="s">
        <v>6947</v>
      </c>
      <c r="H118" s="3861">
        <f>ya-1</f>
      </c>
      <c r="I118" s="3854"/>
      <c r="J118" s="3854"/>
      <c r="K118" s="3862"/>
      <c r="L118" s="3845"/>
      <c r="M118" s="3805"/>
      <c r="N118" s="3858"/>
      <c r="O118" s="3858"/>
      <c r="S118" s="3805"/>
      <c r="T118" s="3805"/>
      <c r="U118" s="3805"/>
      <c r="V118" s="3805"/>
      <c r="W118" s="3805"/>
      <c r="X118" s="3805"/>
      <c r="Y118" s="3805"/>
      <c r="Z118" s="3805"/>
      <c r="AB118" s="3863"/>
      <c r="AC118" s="3805"/>
      <c r="AD118" s="3805"/>
      <c r="AE118" s="3805"/>
      <c r="AF118" s="3805"/>
      <c r="AG118" s="3805"/>
      <c r="AH118" s="3805"/>
      <c r="AI118" s="3805"/>
    </row>
    <row r="119" spans="2:35" x14ac:dyDescent="0.25">
      <c r="B119" s="3847"/>
      <c r="C119" s="3864"/>
      <c r="D119" s="3847"/>
      <c r="E119" s="3844"/>
      <c r="F119" s="3844"/>
      <c r="G119" s="3844"/>
      <c r="H119" s="3865"/>
      <c r="I119" s="3842"/>
      <c r="J119" s="3866"/>
      <c r="K119" s="3867"/>
      <c r="L119" s="3858"/>
      <c r="M119" s="3805"/>
      <c r="N119" s="3858"/>
      <c r="O119" s="3858"/>
      <c r="P119" s="3805"/>
      <c r="Q119" s="3805"/>
      <c r="S119" s="3805"/>
      <c r="T119" s="3805"/>
      <c r="U119" s="3805"/>
      <c r="V119" s="3805"/>
      <c r="W119" s="3805"/>
      <c r="X119" s="3805"/>
      <c r="Y119" s="3805"/>
      <c r="Z119" s="3805"/>
      <c r="AB119" s="3868"/>
    </row>
    <row r="120" spans="2:35" hidden="1" x14ac:dyDescent="0.25">
      <c r="B120" s="3847"/>
      <c r="C120" s="3847"/>
      <c r="D120" s="3847"/>
      <c r="E120" s="3844"/>
      <c r="F120" s="3844"/>
      <c r="G120" s="3844"/>
      <c r="H120" s="3866"/>
      <c r="I120" s="3842"/>
      <c r="J120" s="3866"/>
      <c r="K120" s="3867"/>
      <c r="L120" s="3858"/>
      <c r="M120" s="3805"/>
      <c r="N120" s="3858"/>
      <c r="O120" s="3858"/>
      <c r="Q120" s="3805"/>
      <c r="AB120" s="3869"/>
      <c r="AD120" s="3870"/>
      <c r="AE120" s="3871"/>
    </row>
    <row r="121" spans="2:35" ht="12.75" hidden="1" customHeight="1" x14ac:dyDescent="0.25">
      <c r="B121" s="3847"/>
      <c r="C121" s="3847"/>
      <c r="D121" s="3847"/>
      <c r="E121" s="3844"/>
      <c r="F121" s="3844"/>
      <c r="G121" s="3844"/>
      <c r="H121" s="3866"/>
      <c r="I121" s="3842"/>
      <c r="J121" s="3866"/>
      <c r="K121" s="3867"/>
      <c r="L121" s="3858"/>
      <c r="M121" s="3805"/>
      <c r="N121" s="3858"/>
      <c r="O121" s="3858"/>
      <c r="Q121" s="3805"/>
      <c r="S121" s="3805"/>
      <c r="T121" s="3805"/>
      <c r="U121" s="3805"/>
      <c r="V121" s="3805"/>
      <c r="W121" s="3805"/>
      <c r="X121" s="3805"/>
      <c r="Y121" s="3805"/>
      <c r="Z121" s="3805"/>
      <c r="AA121" s="3872"/>
      <c r="AB121" s="3868"/>
      <c r="AC121" s="3873"/>
      <c r="AD121" s="3873"/>
      <c r="AE121" s="3873"/>
      <c r="AF121" s="3873"/>
      <c r="AG121" s="3873"/>
      <c r="AH121" s="3873"/>
      <c r="AI121" s="3873"/>
    </row>
    <row r="122" spans="2:35" hidden="1" x14ac:dyDescent="0.25">
      <c r="B122" s="3847"/>
      <c r="C122" s="3847"/>
      <c r="D122" s="3847"/>
      <c r="E122" s="3844"/>
      <c r="F122" s="3844"/>
      <c r="G122" s="3844"/>
      <c r="H122" s="3866"/>
      <c r="I122" s="3842"/>
      <c r="J122" s="3866"/>
      <c r="K122" s="3867"/>
      <c r="L122" s="3858"/>
      <c r="M122" s="3805"/>
      <c r="N122" s="3858"/>
      <c r="O122" s="3858"/>
      <c r="Q122" s="3805"/>
    </row>
    <row r="123" spans="2:35" ht="11.25" hidden="1" customHeight="1" x14ac:dyDescent="0.25">
      <c r="B123" s="3847"/>
      <c r="C123" s="3847"/>
      <c r="D123" s="3847"/>
      <c r="E123" s="3844"/>
      <c r="F123" s="3844"/>
      <c r="G123" s="3844"/>
      <c r="H123" s="3866"/>
      <c r="I123" s="3842"/>
      <c r="J123" s="3866"/>
      <c r="K123" s="3867"/>
      <c r="L123" s="3858"/>
      <c r="M123" s="3805"/>
      <c r="N123" s="3858"/>
      <c r="O123" s="3858"/>
      <c r="AA123" s="3872"/>
      <c r="AB123" s="3869"/>
    </row>
    <row r="124" spans="2:35" hidden="1" x14ac:dyDescent="0.25">
      <c r="B124" s="3847"/>
      <c r="C124" s="3847"/>
      <c r="D124" s="3847"/>
      <c r="E124" s="3844"/>
      <c r="F124" s="3844"/>
      <c r="G124" s="3844"/>
      <c r="H124" s="3866"/>
      <c r="I124" s="3842"/>
      <c r="J124" s="3866"/>
      <c r="K124" s="3867"/>
      <c r="L124" s="3858"/>
      <c r="M124" s="3805"/>
      <c r="N124" s="3858"/>
      <c r="O124" s="3858"/>
      <c r="Q124" s="3805"/>
      <c r="AA124" s="3872"/>
      <c r="AB124" s="3869"/>
    </row>
    <row r="125" spans="2:35" hidden="1" x14ac:dyDescent="0.25">
      <c r="B125" s="3847"/>
      <c r="C125" s="3847"/>
      <c r="D125" s="3847"/>
      <c r="E125" s="3844"/>
      <c r="F125" s="3844"/>
      <c r="G125" s="3844"/>
      <c r="H125" s="3866"/>
      <c r="I125" s="3842"/>
      <c r="J125" s="3866"/>
      <c r="K125" s="3867"/>
      <c r="L125" s="3858"/>
      <c r="M125" s="3805"/>
      <c r="N125" s="3858"/>
      <c r="O125" s="3858"/>
      <c r="AB125" s="3868"/>
    </row>
    <row r="126" spans="2:35" hidden="1" x14ac:dyDescent="0.25">
      <c r="B126" s="3847"/>
      <c r="C126" s="3874"/>
      <c r="D126" s="3847"/>
      <c r="E126" s="3844"/>
      <c r="F126" s="3844"/>
      <c r="G126" s="3875"/>
      <c r="H126" s="3866"/>
      <c r="I126" s="3842"/>
      <c r="J126" s="3866"/>
      <c r="K126" s="3867"/>
      <c r="M126" s="3805"/>
      <c r="N126" s="3858"/>
      <c r="O126" s="3858"/>
      <c r="AB126" s="3868"/>
    </row>
    <row r="127" spans="2:35" hidden="1" x14ac:dyDescent="0.25">
      <c r="B127" s="3847"/>
      <c r="C127" s="3847"/>
      <c r="D127" s="3847"/>
      <c r="E127" s="3849"/>
      <c r="F127" s="3844"/>
      <c r="G127" s="3842"/>
      <c r="H127" s="3866"/>
      <c r="I127" s="3842"/>
      <c r="J127" s="3866"/>
      <c r="K127" s="3867"/>
      <c r="L127" s="3858"/>
      <c r="M127" s="3805"/>
      <c r="N127" s="3858"/>
      <c r="O127" s="3858"/>
      <c r="Q127" s="3805"/>
      <c r="AA127" s="3872"/>
      <c r="AB127" s="3868"/>
      <c r="AG127" s="3805"/>
    </row>
    <row r="128" spans="2:35" hidden="1" x14ac:dyDescent="0.25">
      <c r="B128" s="3847"/>
      <c r="C128" s="3847"/>
      <c r="D128" s="3847"/>
      <c r="E128" s="3849"/>
      <c r="F128" s="3844"/>
      <c r="G128" s="3842"/>
      <c r="H128" s="3866"/>
      <c r="I128" s="3842"/>
      <c r="J128" s="3866"/>
      <c r="K128" s="3867"/>
      <c r="L128" s="3858"/>
      <c r="M128" s="3805"/>
      <c r="N128" s="3858"/>
      <c r="O128" s="3858"/>
      <c r="Q128" s="3805"/>
      <c r="AB128" s="3868"/>
      <c r="AG128" s="3805"/>
    </row>
    <row r="129" spans="2:36" ht="13.5" hidden="1" customHeight="1" x14ac:dyDescent="0.25">
      <c r="B129" s="3847"/>
      <c r="C129" s="3847"/>
      <c r="D129" s="3847"/>
      <c r="E129" s="3844"/>
      <c r="F129" s="3844"/>
      <c r="G129" s="3844"/>
      <c r="H129" s="3876"/>
      <c r="I129" s="3842"/>
      <c r="J129" s="3866"/>
      <c r="K129" s="3867"/>
      <c r="L129" s="3858"/>
      <c r="M129" s="3805"/>
      <c r="Q129" s="3805"/>
      <c r="AG129" s="3805"/>
    </row>
    <row r="130" spans="2:36" hidden="1" x14ac:dyDescent="0.25">
      <c r="B130" s="3847"/>
      <c r="C130" s="3847"/>
      <c r="D130" s="3847"/>
      <c r="E130" s="3844"/>
      <c r="F130" s="3844"/>
      <c r="G130" s="3844"/>
      <c r="H130" s="3876"/>
      <c r="I130" s="3842"/>
      <c r="J130" s="3866"/>
      <c r="K130" s="3867"/>
      <c r="L130" s="3858"/>
      <c r="M130" s="3805"/>
      <c r="Q130" s="3805"/>
      <c r="W130" s="3807"/>
      <c r="X130" s="3877"/>
      <c r="AD130" s="3878"/>
      <c r="AE130" s="3878"/>
      <c r="AF130" s="3878"/>
      <c r="AG130" s="3805"/>
    </row>
    <row r="131" spans="2:36" hidden="1" x14ac:dyDescent="0.25">
      <c r="B131" s="3879"/>
      <c r="C131" s="3880"/>
      <c r="D131" s="3880"/>
      <c r="E131" s="3881"/>
      <c r="F131" s="3881"/>
      <c r="G131" s="3844"/>
      <c r="H131" s="3876"/>
      <c r="I131" s="3842"/>
      <c r="J131" s="3866"/>
      <c r="K131" s="3867"/>
      <c r="L131" s="3858"/>
      <c r="M131" s="3805"/>
      <c r="Q131" s="3805"/>
      <c r="W131" s="3882"/>
      <c r="X131" s="3877"/>
      <c r="AA131" s="3872"/>
      <c r="AD131" s="3883"/>
      <c r="AE131" s="3884" t="s">
        <v>7064</v>
      </c>
      <c r="AF131" s="3884" t="s">
        <v>10296</v>
      </c>
      <c r="AG131" s="3805"/>
    </row>
    <row r="132" spans="2:36" hidden="1" x14ac:dyDescent="0.25">
      <c r="B132" s="3847"/>
      <c r="C132" s="3847"/>
      <c r="D132" s="3847"/>
      <c r="E132" s="3844"/>
      <c r="F132" s="3844"/>
      <c r="G132" s="3844"/>
      <c r="H132" s="3876"/>
      <c r="I132" s="3866"/>
      <c r="J132" s="3866"/>
      <c r="K132" s="3867"/>
      <c r="L132" s="3858"/>
      <c r="M132" s="3805"/>
      <c r="W132" s="3882"/>
      <c r="X132" s="3877"/>
      <c r="AD132" s="3878" t="s">
        <v>3274</v>
      </c>
      <c r="AE132" s="3885">
        <v>0.15</v>
      </c>
      <c r="AF132" s="3886">
        <v>0.3</v>
      </c>
      <c r="AG132" s="3805"/>
    </row>
    <row r="133" spans="2:36" ht="7.5" hidden="1" customHeight="1" x14ac:dyDescent="0.25">
      <c r="B133" s="3847"/>
      <c r="C133" s="3847"/>
      <c r="D133" s="3847"/>
      <c r="E133" s="3844"/>
      <c r="F133" s="3844"/>
      <c r="G133" s="3844"/>
      <c r="H133" s="3876"/>
      <c r="I133" s="3844"/>
      <c r="J133" s="3844"/>
      <c r="K133" s="3847"/>
      <c r="M133" s="3805"/>
      <c r="W133" s="3872"/>
      <c r="X133" s="3871"/>
      <c r="AD133" s="3887" t="s">
        <v>3281</v>
      </c>
      <c r="AE133" s="3885">
        <v>0.15</v>
      </c>
      <c r="AF133" s="3885">
        <v>0.2</v>
      </c>
      <c r="AG133" s="3805"/>
      <c r="AJ133" s="3872"/>
    </row>
    <row r="134" spans="2:36" hidden="1" x14ac:dyDescent="0.25">
      <c r="B134" s="3847"/>
      <c r="C134" s="3880"/>
      <c r="D134" s="3847"/>
      <c r="E134" s="3844"/>
      <c r="F134" s="3844"/>
      <c r="G134" s="3844"/>
      <c r="H134" s="3876"/>
      <c r="I134" s="3842"/>
      <c r="J134" s="3844"/>
      <c r="K134" s="3847"/>
      <c r="M134" s="3805"/>
      <c r="Q134" s="3805"/>
      <c r="W134" s="3872"/>
      <c r="AA134" s="3872"/>
      <c r="AB134" s="3863"/>
      <c r="AD134" s="3883" t="s">
        <v>3282</v>
      </c>
      <c r="AE134" s="3888">
        <v>0.1</v>
      </c>
      <c r="AF134" s="3888">
        <v>0.1</v>
      </c>
      <c r="AG134" s="3805"/>
    </row>
    <row r="135" spans="2:36" hidden="1" x14ac:dyDescent="0.25">
      <c r="B135" s="3847"/>
      <c r="C135" s="3880"/>
      <c r="D135" s="3847"/>
      <c r="E135" s="3844"/>
      <c r="F135" s="3844"/>
      <c r="G135" s="3844"/>
      <c r="H135" s="3876"/>
      <c r="I135" s="3842"/>
      <c r="J135" s="3844"/>
      <c r="K135" s="3847"/>
      <c r="M135" s="3805"/>
      <c r="W135" s="3882"/>
      <c r="AA135" s="3872"/>
      <c r="AB135" s="3863"/>
    </row>
    <row r="136" spans="2:36" hidden="1" x14ac:dyDescent="0.25">
      <c r="B136" s="3879"/>
      <c r="C136" s="3847"/>
      <c r="D136" s="3847"/>
      <c r="E136" s="3844"/>
      <c r="F136" s="3844"/>
      <c r="G136" s="3844"/>
      <c r="H136" s="3876"/>
      <c r="I136" s="3842"/>
      <c r="J136" s="3844"/>
      <c r="K136" s="3847"/>
      <c r="M136" s="3805"/>
      <c r="Q136" s="3805"/>
      <c r="W136" s="3882"/>
      <c r="X136" s="3877"/>
      <c r="Z136" s="3889"/>
      <c r="AA136" s="3882"/>
      <c r="AB136" s="3863"/>
      <c r="AD136" s="3805" t="s">
        <v>7055</v>
      </c>
      <c r="AE136" s="3815">
        <f>IF($E$109=$AK$21,1,0)</f>
      </c>
    </row>
    <row r="137" spans="2:36" hidden="1" x14ac:dyDescent="0.25">
      <c r="B137" s="3879"/>
      <c r="C137" s="3880"/>
      <c r="D137" s="3847"/>
      <c r="E137" s="3844"/>
      <c r="F137" s="3844"/>
      <c r="G137" s="3844"/>
      <c r="H137" s="3876"/>
      <c r="I137" s="3844"/>
      <c r="J137" s="3844"/>
      <c r="K137" s="3847"/>
      <c r="M137" s="3805"/>
      <c r="W137" s="3882"/>
      <c r="X137" s="3877"/>
      <c r="AA137" s="3882"/>
      <c r="AB137" s="3863"/>
      <c r="AD137" s="3805" t="s">
        <v>10297</v>
      </c>
      <c r="AE137" s="3815">
        <f>J105</f>
      </c>
    </row>
    <row r="138" spans="2:36" ht="15" hidden="1" customHeight="1" x14ac:dyDescent="0.25">
      <c r="B138" s="3847"/>
      <c r="C138" s="3847"/>
      <c r="D138" s="3847"/>
      <c r="E138" s="3844"/>
      <c r="F138" s="3844"/>
      <c r="G138" s="3844"/>
      <c r="H138" s="3876"/>
      <c r="I138" s="3844"/>
      <c r="J138" s="3844"/>
      <c r="K138" s="3847"/>
      <c r="M138" s="3805"/>
    </row>
    <row r="139" spans="2:36" hidden="1" x14ac:dyDescent="0.25">
      <c r="B139" s="3846"/>
      <c r="C139" s="3847"/>
      <c r="D139" s="3847"/>
      <c r="E139" s="3844"/>
      <c r="F139" s="3844"/>
      <c r="G139" s="3844"/>
      <c r="H139" s="3876"/>
      <c r="I139" s="3844"/>
      <c r="J139" s="3844"/>
      <c r="K139" s="3847"/>
      <c r="M139" s="3805"/>
      <c r="AA139" s="3872"/>
      <c r="AB139" s="3873"/>
    </row>
    <row r="140" spans="2:36" ht="18" hidden="1" customHeight="1" x14ac:dyDescent="0.25">
      <c r="B140" s="3847"/>
      <c r="C140" s="3847"/>
      <c r="D140" s="3847"/>
      <c r="E140" s="3844"/>
      <c r="F140" s="3844"/>
      <c r="G140" s="3844"/>
      <c r="H140" s="3876"/>
      <c r="I140" s="3844"/>
      <c r="J140" s="3844"/>
      <c r="K140" s="3847"/>
      <c r="M140" s="3805"/>
    </row>
    <row r="141" spans="2:36" hidden="1" x14ac:dyDescent="0.25">
      <c r="B141" s="3847"/>
      <c r="C141" s="3847"/>
      <c r="D141" s="3847"/>
      <c r="E141" s="3844"/>
      <c r="F141" s="3844"/>
      <c r="G141" s="3844"/>
      <c r="H141" s="3876"/>
      <c r="I141" s="3844"/>
      <c r="J141" s="3844"/>
      <c r="K141" s="3847"/>
      <c r="M141" s="3805"/>
      <c r="Q141" s="3805"/>
    </row>
    <row r="142" spans="2:36" ht="11.25" hidden="1" customHeight="1" x14ac:dyDescent="0.25">
      <c r="B142" s="3847"/>
      <c r="C142" s="3847"/>
      <c r="D142" s="3847"/>
      <c r="E142" s="3844"/>
      <c r="F142" s="3844"/>
      <c r="G142" s="3844"/>
      <c r="H142" s="3876"/>
      <c r="I142" s="3844"/>
      <c r="J142" s="3844"/>
      <c r="K142" s="3847"/>
      <c r="M142" s="3805"/>
      <c r="AD142" s="3805"/>
    </row>
    <row r="143" spans="2:36" hidden="1" x14ac:dyDescent="0.25">
      <c r="B143" s="3847"/>
      <c r="C143" s="3847"/>
      <c r="D143" s="3847"/>
      <c r="E143" s="3844"/>
      <c r="F143" s="3844"/>
      <c r="G143" s="3844"/>
      <c r="H143" s="3876"/>
      <c r="I143" s="3844"/>
      <c r="J143" s="3844"/>
      <c r="K143" s="3847"/>
      <c r="M143" s="3805"/>
      <c r="Q143" s="3805"/>
      <c r="AD143" s="3805"/>
      <c r="AE143" s="3805"/>
      <c r="AF143" s="3805"/>
    </row>
    <row r="144" spans="2:36" ht="12" hidden="1" customHeight="1" x14ac:dyDescent="0.25">
      <c r="B144" s="3847"/>
      <c r="C144" s="3847"/>
      <c r="D144" s="3847"/>
      <c r="E144" s="3844"/>
      <c r="F144" s="3844"/>
      <c r="G144" s="3844"/>
      <c r="H144" s="3876"/>
      <c r="I144" s="3844"/>
      <c r="J144" s="3844"/>
      <c r="K144" s="3847"/>
      <c r="M144" s="3805"/>
      <c r="U144" s="3978" t="s">
        <v>7003</v>
      </c>
      <c r="AD144" s="3805"/>
      <c r="AE144" s="3805"/>
      <c r="AF144" s="3805"/>
      <c r="AI144" s="3872"/>
    </row>
    <row r="145" spans="2:32" hidden="1" x14ac:dyDescent="0.25">
      <c r="B145" s="3847"/>
      <c r="C145" s="3847"/>
      <c r="D145" s="3847"/>
      <c r="E145" s="3844"/>
      <c r="F145" s="3844"/>
      <c r="G145" s="3844"/>
      <c r="H145" s="3876"/>
      <c r="I145" s="3842"/>
      <c r="J145" s="3844"/>
      <c r="K145" s="3847"/>
      <c r="M145" s="3805"/>
      <c r="Q145" s="3805"/>
      <c r="U145" s="3979">
        <f>ya</f>
      </c>
      <c r="AD145" s="3805"/>
      <c r="AE145" s="3805"/>
      <c r="AF145" s="3805"/>
    </row>
    <row r="146" spans="2:32" hidden="1" x14ac:dyDescent="0.25">
      <c r="B146" s="3847"/>
      <c r="C146" s="3847"/>
      <c r="D146" s="3847"/>
      <c r="E146" s="3844"/>
      <c r="F146" s="3844"/>
      <c r="G146" s="3844"/>
      <c r="H146" s="3844"/>
      <c r="I146" s="3844"/>
      <c r="J146" s="3844"/>
      <c r="K146" s="3847"/>
      <c r="M146" s="3805"/>
      <c r="U146" s="3980">
        <f>G105</f>
      </c>
      <c r="AD146" s="3805"/>
      <c r="AE146" s="3805"/>
      <c r="AF146" s="3805"/>
    </row>
    <row r="147" spans="2:32" hidden="1" x14ac:dyDescent="0.25">
      <c r="B147" s="3874"/>
      <c r="C147" s="3847"/>
      <c r="D147" s="3847"/>
      <c r="E147" s="3844"/>
      <c r="F147" s="3844"/>
      <c r="G147" s="3844"/>
      <c r="H147" s="3844"/>
      <c r="I147" s="3844"/>
      <c r="J147" s="3844"/>
      <c r="K147" s="3847"/>
      <c r="M147" s="3805"/>
      <c r="U147" s="3883">
        <f>IF(G105=0,0,IF(U146&lt;&gt;U145,1,0))</f>
      </c>
      <c r="AD147" s="3805"/>
      <c r="AE147" s="3805"/>
      <c r="AF147" s="3805"/>
    </row>
    <row r="148" spans="2:32" x14ac:dyDescent="0.25">
      <c r="B148" s="3847"/>
      <c r="C148" s="3847" t="s">
        <v>7138</v>
      </c>
      <c r="D148" s="3847"/>
      <c r="E148" s="3844"/>
      <c r="F148" s="3844"/>
      <c r="G148" s="3844"/>
      <c r="H148" s="3890"/>
      <c r="I148" s="3842" t="str">
        <f>IF(AND(H148="",U147=0,Q166&gt;0),re,"")</f>
        <v/>
      </c>
      <c r="J148" s="3844"/>
      <c r="K148" s="3847"/>
      <c r="M148" s="3805"/>
      <c r="P148" s="3815">
        <f>IF(I148="",0,1)</f>
      </c>
      <c r="Q148" s="3805">
        <f>IF(H148&lt;&gt;"",1,0)</f>
      </c>
      <c r="W148" s="3882" t="s">
        <v>7138</v>
      </c>
      <c r="X148" s="3873">
        <f>IF(U146=U145,H148,0)</f>
      </c>
      <c r="AD148" s="3805"/>
      <c r="AE148" s="3805"/>
      <c r="AF148" s="3805"/>
    </row>
    <row r="149" spans="2:32" x14ac:dyDescent="0.25">
      <c r="B149" s="3847"/>
      <c r="C149" s="3880" t="s">
        <v>7151</v>
      </c>
      <c r="D149" s="3847"/>
      <c r="E149" s="3844"/>
      <c r="F149" s="3844"/>
      <c r="G149" s="3844"/>
      <c r="H149" s="3890"/>
      <c r="I149" s="3842" t="str">
        <f>IF(AND(AH86&gt;2021,Y86&lt;$AH$1,Q166&gt;0,H149=""),reo,"")</f>
        <v/>
      </c>
      <c r="J149" s="3844"/>
      <c r="K149" s="3847"/>
      <c r="M149" s="3805"/>
      <c r="P149" s="3815">
        <f>IF(I149="",0,1)</f>
      </c>
      <c r="Q149" s="3805">
        <f>IF(H149&lt;&gt;"",1,0)</f>
      </c>
      <c r="W149" s="3872" t="s">
        <v>7065</v>
      </c>
      <c r="X149" s="3863">
        <f>IF(OR($H$34=2021,Y86&gt;=AH86),0,H149)</f>
      </c>
      <c r="AE149" s="3871"/>
    </row>
    <row r="150" spans="2:32" hidden="1" x14ac:dyDescent="0.25">
      <c r="B150" s="3847"/>
      <c r="C150" s="3880"/>
      <c r="D150" s="3847"/>
      <c r="E150" s="3844"/>
      <c r="F150" s="3844"/>
      <c r="G150" s="3844"/>
      <c r="H150" s="3844"/>
      <c r="I150" s="3842"/>
      <c r="J150" s="3844"/>
      <c r="K150" s="3847"/>
      <c r="M150" s="3805"/>
      <c r="Q150" s="3805"/>
      <c r="W150" s="3872"/>
      <c r="X150" s="3863"/>
    </row>
    <row r="151" spans="2:32" hidden="1" x14ac:dyDescent="0.25">
      <c r="B151" s="3847"/>
      <c r="C151" s="3880"/>
      <c r="D151" s="3847"/>
      <c r="E151" s="3844"/>
      <c r="F151" s="3844"/>
      <c r="G151" s="3844"/>
      <c r="H151" s="3844"/>
      <c r="I151" s="3842"/>
      <c r="J151" s="3844"/>
      <c r="K151" s="3847"/>
      <c r="M151" s="3805"/>
      <c r="Q151" s="3805"/>
      <c r="W151" s="3872"/>
      <c r="X151" s="3863"/>
    </row>
    <row r="152" spans="2:32" x14ac:dyDescent="0.25">
      <c r="B152" s="3847"/>
      <c r="C152" s="3880" t="s">
        <v>7067</v>
      </c>
      <c r="D152" s="3847"/>
      <c r="E152" s="3844"/>
      <c r="F152" s="3844"/>
      <c r="G152" s="3844"/>
      <c r="H152" s="3925">
        <f>IF(P148=1,0,X152)</f>
      </c>
      <c r="I152" s="3891"/>
      <c r="J152" s="3844"/>
      <c r="K152" s="3847"/>
      <c r="M152" s="3805"/>
      <c r="W152" s="3882" t="s">
        <v>7067</v>
      </c>
      <c r="X152" s="3873">
        <f>X148+X149</f>
      </c>
    </row>
    <row r="153" spans="2:32" x14ac:dyDescent="0.25">
      <c r="B153" s="3847"/>
      <c r="C153" s="3880" t="s">
        <v>7182</v>
      </c>
      <c r="D153" s="3847"/>
      <c r="E153" s="3844"/>
      <c r="F153" s="3844"/>
      <c r="G153" s="3892"/>
      <c r="H153" s="3890"/>
      <c r="I153" s="3842" t="str">
        <f>IF(AND(Q166&gt;0,H153=""),reo,IF(X152&lt;(X153*-1),"Excessive!",""))</f>
        <v/>
      </c>
      <c r="J153" s="3844"/>
      <c r="K153" s="3847"/>
      <c r="M153" s="3805"/>
      <c r="P153" s="3815">
        <f>IF(I153="",0,1)</f>
      </c>
      <c r="Q153" s="3805">
        <f>IF(H153&lt;&gt;"",1,0)</f>
      </c>
      <c r="W153" s="3872" t="s">
        <v>7069</v>
      </c>
      <c r="X153" s="3863">
        <f>-H153</f>
      </c>
    </row>
    <row r="154" spans="2:32" x14ac:dyDescent="0.25">
      <c r="B154" s="3847"/>
      <c r="C154" s="3880" t="s">
        <v>10371</v>
      </c>
      <c r="D154" s="3847"/>
      <c r="E154" s="3844"/>
      <c r="F154" s="3844"/>
      <c r="G154" s="3844"/>
      <c r="H154" s="3925">
        <f>IF(P153=1,0,X154)</f>
      </c>
      <c r="I154" s="3891"/>
      <c r="J154" s="3844"/>
      <c r="K154" s="3847"/>
      <c r="M154" s="3805"/>
      <c r="W154" s="3872" t="s">
        <v>7074</v>
      </c>
      <c r="X154" s="3863">
        <f>X152+X153</f>
      </c>
    </row>
    <row r="155" spans="2:32" x14ac:dyDescent="0.25">
      <c r="B155" s="3847"/>
      <c r="C155" s="3880" t="s">
        <v>10370</v>
      </c>
      <c r="D155" s="3847"/>
      <c r="E155" s="3844"/>
      <c r="F155" s="3844"/>
      <c r="G155" s="3844"/>
      <c r="H155" s="3976"/>
      <c r="I155" s="3842" t="str">
        <f>IF(AND(H154&gt;0,H155=""),re,"")</f>
        <v/>
      </c>
      <c r="J155" s="3847"/>
      <c r="K155" s="3844"/>
      <c r="M155" s="3805"/>
      <c r="P155" s="3815">
        <f>IF(I155="",0,1)</f>
      </c>
      <c r="Q155" s="3805">
        <f>IF(H155&lt;&gt;"",1,0)</f>
      </c>
      <c r="W155" s="3977" t="s">
        <v>10370</v>
      </c>
      <c r="X155" s="3863">
        <f>H155</f>
      </c>
    </row>
    <row r="156" spans="2:32" x14ac:dyDescent="0.25">
      <c r="B156" s="3847"/>
      <c r="C156" s="3880" t="s">
        <v>7986</v>
      </c>
      <c r="D156" s="3847"/>
      <c r="E156" s="3844"/>
      <c r="F156" s="3844"/>
      <c r="G156" s="3844"/>
      <c r="H156" s="3925">
        <f>IF(P155=1,0,X156)</f>
      </c>
      <c r="I156" s="3842"/>
      <c r="J156" s="3844"/>
      <c r="K156" s="3847"/>
      <c r="M156" s="3805"/>
      <c r="Q156" s="3805"/>
      <c r="W156" s="3882" t="s">
        <v>7986</v>
      </c>
      <c r="X156" s="3863">
        <f>X154*(100%+X155)</f>
      </c>
    </row>
    <row r="157" spans="2:32" x14ac:dyDescent="0.25">
      <c r="B157" s="3847"/>
      <c r="C157" s="3847"/>
      <c r="D157" s="3847"/>
      <c r="E157" s="3844"/>
      <c r="F157" s="3844"/>
      <c r="G157" s="3844"/>
      <c r="H157" s="3844"/>
      <c r="I157" s="3844"/>
      <c r="J157" s="3844"/>
      <c r="K157" s="3847"/>
      <c r="M157" s="3805"/>
      <c r="S157" s="5428" t="s">
        <v>7073</v>
      </c>
      <c r="T157" s="5429"/>
      <c r="U157" s="5430"/>
    </row>
    <row r="158" spans="2:32" x14ac:dyDescent="0.25">
      <c r="B158" s="3847"/>
      <c r="C158" s="3911" t="str">
        <f>CONCATENATE("Income the tax on which is deemed relieved by the tax credit [Current] Y/A",ya)</f>
      </c>
      <c r="D158" s="3912"/>
      <c r="E158" s="3893"/>
      <c r="F158" s="3893"/>
      <c r="G158" s="3893"/>
      <c r="H158" s="3894"/>
      <c r="I158" s="3895"/>
      <c r="J158" s="3896" t="str">
        <f>IF(Q166=0,"",IF(AND(H153&gt;=0,I158=""),re,IF(AND(H153=0,I158&gt;0),"No tax credit claimed for the year!",IF(AND(H153&gt;0,I158=0),"Amount relieved by tax credit required!",IF(I158&lt;0,"Cannot be negative!",IF(OR(I158&gt;S158,I158&lt;T158),U158,""))))))</f>
        <v/>
      </c>
      <c r="K158" s="3880"/>
      <c r="L158" s="3926"/>
      <c r="M158" s="3805"/>
      <c r="P158" s="3815">
        <f>IF(J158="",0,1)</f>
      </c>
      <c r="Q158" s="3805">
        <f>IF(I158&lt;&gt;"",1,0)</f>
      </c>
      <c r="S158" s="3897">
        <f>ROUND(H153/5%,0)+1</f>
      </c>
      <c r="T158" s="3898">
        <f>ROUND(H153/0.35,0)-1</f>
      </c>
      <c r="U158" s="3899" t="s">
        <v>4787</v>
      </c>
    </row>
    <row r="159" spans="2:32" x14ac:dyDescent="0.25">
      <c r="B159" s="3847"/>
      <c r="C159" s="3900"/>
      <c r="D159" s="3847"/>
      <c r="E159" s="3844"/>
      <c r="F159" s="3844"/>
      <c r="G159" s="3844"/>
      <c r="H159" s="3844"/>
      <c r="I159" s="3844"/>
      <c r="J159" s="3844"/>
      <c r="K159" s="3847"/>
      <c r="M159" s="3805"/>
    </row>
    <row r="160" spans="2:32" ht="4.5" customHeight="1" x14ac:dyDescent="0.25">
      <c r="B160" s="3847"/>
      <c r="C160" s="3847"/>
      <c r="D160" s="3847"/>
      <c r="E160" s="3844"/>
      <c r="F160" s="3844"/>
      <c r="G160" s="3844"/>
      <c r="H160" s="3844"/>
      <c r="I160" s="3844"/>
      <c r="J160" s="3844"/>
      <c r="K160" s="3847"/>
      <c r="M160" s="3805"/>
    </row>
    <row r="161" spans="1:55" x14ac:dyDescent="0.25">
      <c r="B161" s="3847"/>
      <c r="C161" s="3847"/>
      <c r="D161" s="3847"/>
      <c r="E161" s="3844"/>
      <c r="F161" s="3849" t="s">
        <v>2206</v>
      </c>
      <c r="G161" s="3853"/>
      <c r="H161" s="3842" t="str">
        <f>IF(AND(G161="",Q166&gt;0),re,IF(G161="no",nd,""))</f>
        <v/>
      </c>
      <c r="I161" s="3844"/>
      <c r="J161" s="3844"/>
      <c r="K161" s="3847"/>
      <c r="M161" s="3805"/>
      <c r="P161" s="3815">
        <f>IF(H161="",0,1)</f>
      </c>
      <c r="Q161" s="3805">
        <f>IF(G161&lt;&gt;"",1,0)</f>
      </c>
    </row>
    <row r="162" spans="1:55" ht="5.25" customHeight="1" x14ac:dyDescent="0.25">
      <c r="B162" s="3847"/>
      <c r="C162" s="3847"/>
      <c r="D162" s="3847"/>
      <c r="E162" s="3844"/>
      <c r="F162" s="3844"/>
      <c r="G162" s="3844"/>
      <c r="H162" s="3844"/>
      <c r="I162" s="3844"/>
      <c r="J162" s="3844"/>
      <c r="K162" s="3847"/>
      <c r="M162" s="3805"/>
    </row>
    <row r="163" spans="1:55" hidden="1" x14ac:dyDescent="0.25">
      <c r="B163" s="3847"/>
      <c r="C163" s="3847"/>
      <c r="D163" s="3847"/>
      <c r="E163" s="3844"/>
      <c r="F163" s="3901"/>
      <c r="G163" s="3901"/>
      <c r="H163" s="3842"/>
      <c r="I163" s="3844"/>
      <c r="J163" s="3844"/>
      <c r="K163" s="3847"/>
      <c r="M163" s="3805"/>
      <c r="Q163" s="3805"/>
    </row>
    <row r="164" spans="1:55" ht="9" customHeight="1" x14ac:dyDescent="0.25">
      <c r="B164" s="3847"/>
      <c r="C164" s="3847"/>
      <c r="D164" s="3847"/>
      <c r="E164" s="3847"/>
      <c r="F164" s="3847"/>
      <c r="G164" s="3847"/>
      <c r="H164" s="3847"/>
      <c r="I164" s="3847"/>
      <c r="J164" s="3847"/>
      <c r="K164" s="3847"/>
      <c r="M164" s="3805"/>
    </row>
    <row r="165" spans="1:55" ht="6.75" hidden="1" customHeight="1" x14ac:dyDescent="0.25">
      <c r="B165" s="3847"/>
      <c r="C165" s="3847"/>
      <c r="D165" s="3847"/>
      <c r="E165" s="3847"/>
      <c r="F165" s="3847"/>
      <c r="G165" s="3847"/>
      <c r="H165" s="3847"/>
      <c r="I165" s="3847"/>
      <c r="J165" s="3847"/>
      <c r="K165" s="3847"/>
      <c r="M165" s="3805"/>
    </row>
    <row r="166" spans="1:55" x14ac:dyDescent="0.25">
      <c r="B166" s="3847"/>
      <c r="C166" s="3847" t="str">
        <f>_xlfn.SINGLE(MTCA)</f>
      </c>
      <c r="D166" s="3847"/>
      <c r="E166" s="3847"/>
      <c r="F166" s="3847"/>
      <c r="G166" s="3862" t="str">
        <f>ver</f>
        <v>TA2_e-CO_2025_Ver 1.1</v>
      </c>
      <c r="H166" s="3847"/>
      <c r="I166" s="3847"/>
      <c r="J166" s="3847"/>
      <c r="K166" s="3902" t="s">
        <v>10299</v>
      </c>
      <c r="M166" s="3805"/>
      <c r="P166" s="3903">
        <f>SUM(P96:P164)</f>
      </c>
      <c r="Q166" s="3903">
        <f>SUM(Q96:Q164)</f>
      </c>
    </row>
    <row r="167" spans="1:55" x14ac:dyDescent="0.25">
      <c r="B167" s="3847"/>
      <c r="C167" s="3847"/>
      <c r="D167" s="3847"/>
      <c r="E167" s="3847"/>
      <c r="F167" s="3847"/>
      <c r="G167" s="3862"/>
      <c r="H167" s="3847"/>
      <c r="I167" s="3847"/>
      <c r="J167" s="3847"/>
      <c r="K167" s="3902"/>
      <c r="M167" s="3805"/>
      <c r="P167" s="3805"/>
      <c r="Q167" s="3805"/>
    </row>
    <row r="168" spans="1:55" x14ac:dyDescent="0.25">
      <c r="B168" s="3847"/>
      <c r="C168" s="3847"/>
      <c r="D168" s="3847"/>
      <c r="E168" s="3847"/>
      <c r="F168" s="3847"/>
      <c r="G168" s="3862"/>
      <c r="H168" s="3847"/>
      <c r="I168" s="3847"/>
      <c r="J168" s="3847"/>
      <c r="K168" s="3902"/>
      <c r="M168" s="3805"/>
      <c r="P168" s="3805"/>
      <c r="Q168" s="3805"/>
    </row>
    <row r="169" spans="1:55" s="3805" customFormat="1" ht="12.75" x14ac:dyDescent="0.2">
      <c r="B169" s="5431"/>
      <c r="C169" s="5431"/>
      <c r="D169" s="5431"/>
      <c r="E169" s="5431"/>
      <c r="F169" s="5431"/>
      <c r="G169" s="5431"/>
      <c r="H169" s="5431"/>
      <c r="I169" s="5431"/>
      <c r="J169" s="3806"/>
      <c r="K169" s="3807"/>
      <c r="N169" s="3808"/>
      <c r="X169" s="3807" t="s">
        <v>7019</v>
      </c>
      <c r="Y169" s="3809">
        <f>G188-1</f>
      </c>
      <c r="AD169" s="3805" t="s">
        <v>7020</v>
      </c>
      <c r="AE169" s="3810">
        <v>44197</v>
      </c>
      <c r="AG169" s="3805" t="s">
        <v>7021</v>
      </c>
      <c r="AH169" s="3811">
        <f>ya-1</f>
      </c>
    </row>
    <row r="170" spans="1:55" s="3805" customFormat="1" hidden="1" x14ac:dyDescent="0.25">
      <c r="A170" s="3812"/>
      <c r="B170" s="3812"/>
      <c r="C170" s="3812"/>
      <c r="D170" s="3812"/>
      <c r="E170" s="3812"/>
      <c r="F170" s="3812"/>
      <c r="G170" s="3812"/>
      <c r="H170" s="3812"/>
      <c r="I170" s="3812"/>
      <c r="J170" s="3812"/>
      <c r="K170" s="3812"/>
      <c r="L170" s="3812"/>
      <c r="N170" s="3813"/>
      <c r="O170" s="3812"/>
      <c r="AD170" s="3805" t="s">
        <v>7022</v>
      </c>
      <c r="AE170" s="3810">
        <f>DATE(MIN(AH169:AH170),12,31)</f>
      </c>
      <c r="AG170" s="3805" t="s">
        <v>7023</v>
      </c>
      <c r="AH170" s="3814">
        <v>2022</v>
      </c>
      <c r="AK170" s="3809"/>
      <c r="BA170" s="3815"/>
      <c r="BB170" s="3815"/>
      <c r="BC170" s="3815"/>
    </row>
    <row r="171" spans="1:55" s="3905" customFormat="1" hidden="1" x14ac:dyDescent="0.25">
      <c r="A171" s="3904"/>
      <c r="B171" s="3904"/>
      <c r="C171" s="3904"/>
      <c r="D171" s="3904"/>
      <c r="E171" s="3904"/>
      <c r="F171" s="3904"/>
      <c r="G171" s="3904"/>
      <c r="H171" s="3904"/>
      <c r="I171" s="3904"/>
      <c r="J171" s="3904"/>
      <c r="K171" s="3904"/>
      <c r="L171" s="3812"/>
      <c r="AF171" s="3906"/>
      <c r="AM171" s="3907"/>
      <c r="AN171" s="3908"/>
      <c r="BA171" s="3909"/>
      <c r="BB171" s="3910"/>
    </row>
    <row r="172" spans="1:55" s="3905" customFormat="1" hidden="1" x14ac:dyDescent="0.25">
      <c r="A172" s="3904"/>
      <c r="B172" s="3904"/>
      <c r="C172" s="3904"/>
      <c r="D172" s="3904"/>
      <c r="E172" s="3904"/>
      <c r="F172" s="3904"/>
      <c r="G172" s="3904"/>
      <c r="H172" s="3904"/>
      <c r="I172" s="3904"/>
      <c r="J172" s="3904"/>
      <c r="K172" s="3904"/>
      <c r="L172" s="3812"/>
      <c r="AF172" s="3906"/>
      <c r="AM172" s="3907"/>
      <c r="AN172" s="3908"/>
      <c r="BA172" s="3909"/>
      <c r="BB172" s="3910"/>
    </row>
    <row r="173" spans="1:55" s="3805" customFormat="1" x14ac:dyDescent="0.25">
      <c r="A173" s="3812"/>
      <c r="B173" s="3826">
        <v>3</v>
      </c>
      <c r="C173" s="3827" t="s">
        <v>10264</v>
      </c>
      <c r="D173" s="3827"/>
      <c r="E173" s="3827"/>
      <c r="F173" s="3828"/>
      <c r="G173" s="3828"/>
      <c r="H173" s="3828"/>
      <c r="I173" s="3828"/>
      <c r="J173" s="3828"/>
      <c r="K173" s="3829"/>
      <c r="N173" s="3812"/>
      <c r="O173" s="3812"/>
      <c r="AM173" s="3815"/>
      <c r="BA173" s="3821"/>
      <c r="BB173" s="3822"/>
    </row>
    <row r="174" spans="1:55" s="3805" customFormat="1" hidden="1" x14ac:dyDescent="0.25">
      <c r="A174" s="3812"/>
      <c r="B174" s="3819"/>
      <c r="C174" s="3819"/>
      <c r="D174" s="3819"/>
      <c r="E174" s="3819"/>
      <c r="F174" s="3819"/>
      <c r="G174" s="3819"/>
      <c r="H174" s="3819"/>
      <c r="I174" s="3819"/>
      <c r="J174" s="3819"/>
      <c r="K174" s="3819"/>
      <c r="N174" s="3812"/>
      <c r="O174" s="3812"/>
      <c r="AM174" s="3815"/>
      <c r="BA174" s="3821"/>
      <c r="BB174" s="3822"/>
    </row>
    <row r="175" spans="1:55" s="3805" customFormat="1" hidden="1" x14ac:dyDescent="0.25">
      <c r="A175" s="3812"/>
      <c r="B175" s="3830"/>
      <c r="C175" s="3831"/>
      <c r="D175" s="3832"/>
      <c r="E175" s="3832"/>
      <c r="F175" s="3832"/>
      <c r="G175" s="3832"/>
      <c r="H175" s="3832"/>
      <c r="I175" s="3832"/>
      <c r="J175" s="3832"/>
      <c r="K175" s="3833"/>
      <c r="AM175" s="3815"/>
      <c r="AS175" s="3805" t="s">
        <v>7035</v>
      </c>
      <c r="AU175" s="3805">
        <f>IF(F198="",0,IF(AS169=F198,1,2))</f>
      </c>
      <c r="BA175" s="3821"/>
      <c r="BB175" s="3822"/>
    </row>
    <row r="176" spans="1:55" s="3805" customFormat="1" hidden="1" x14ac:dyDescent="0.25">
      <c r="A176" s="3812"/>
      <c r="B176" s="3834"/>
      <c r="C176" s="3835"/>
      <c r="D176" s="3836"/>
      <c r="E176" s="3836"/>
      <c r="F176" s="3836"/>
      <c r="G176" s="3836"/>
      <c r="H176" s="3836"/>
      <c r="I176" s="3836"/>
      <c r="J176" s="3836"/>
      <c r="K176" s="3837"/>
      <c r="AM176" s="3815"/>
      <c r="BA176" s="3821"/>
      <c r="BB176" s="3822"/>
    </row>
    <row r="177" spans="1:55" s="3805" customFormat="1" hidden="1" x14ac:dyDescent="0.25">
      <c r="A177" s="3812"/>
      <c r="B177" s="3838"/>
      <c r="C177" s="3839"/>
      <c r="D177" s="3840"/>
      <c r="E177" s="3840"/>
      <c r="F177" s="3840"/>
      <c r="G177" s="3840"/>
      <c r="H177" s="3840"/>
      <c r="I177" s="3840"/>
      <c r="J177" s="3840"/>
      <c r="K177" s="3841"/>
      <c r="AM177" s="3815"/>
      <c r="BA177" s="3821"/>
      <c r="BB177" s="3822"/>
    </row>
    <row r="178" spans="1:55" s="3805" customFormat="1" x14ac:dyDescent="0.25">
      <c r="A178" s="3812"/>
      <c r="B178" s="3819"/>
      <c r="C178" s="3819"/>
      <c r="D178" s="3819"/>
      <c r="E178" s="3819"/>
      <c r="F178" s="3819"/>
      <c r="G178" s="3819"/>
      <c r="H178" s="3819"/>
      <c r="I178" s="3819"/>
      <c r="J178" s="3819"/>
      <c r="K178" s="3819"/>
      <c r="P178" s="3805" t="s">
        <v>7030</v>
      </c>
      <c r="Q178" s="3805" t="s">
        <v>6977</v>
      </c>
      <c r="AM178" s="3815"/>
      <c r="BA178" s="3821"/>
      <c r="BB178" s="3822"/>
    </row>
    <row r="179" spans="1:55" s="3805" customFormat="1" x14ac:dyDescent="0.25">
      <c r="A179" s="3812"/>
      <c r="B179" s="3819" t="s">
        <v>9984</v>
      </c>
      <c r="C179" s="3819"/>
      <c r="D179" s="3819"/>
      <c r="E179" s="3819"/>
      <c r="F179" s="3819"/>
      <c r="G179" s="3819"/>
      <c r="H179" s="3819"/>
      <c r="I179" s="3321"/>
      <c r="J179" s="3842" t="str">
        <f>IF(AND($W$1="y",I179="",Q249&gt;0),re,IF(AND($W$1="n",I179&lt;&gt;""),"Delete!",""))</f>
        <v/>
      </c>
      <c r="K179" s="3819"/>
      <c r="P179" s="3815">
        <f>IF(J179="",0,1)</f>
      </c>
      <c r="Q179" s="3805">
        <f>IF(I179&lt;&gt;"",1,0)</f>
      </c>
      <c r="S179" s="3843">
        <f>IF(AND($W$1="n",I179&lt;&gt;""),1,0)</f>
      </c>
      <c r="BA179" s="3821"/>
      <c r="BB179" s="3822"/>
    </row>
    <row r="180" spans="1:55" s="3805" customFormat="1" ht="12.75" hidden="1" x14ac:dyDescent="0.2">
      <c r="A180" s="3812"/>
      <c r="B180" s="3819"/>
      <c r="C180" s="3819"/>
      <c r="D180" s="3819"/>
      <c r="E180" s="3819"/>
      <c r="F180" s="3819"/>
      <c r="G180" s="3819"/>
      <c r="H180" s="3819"/>
      <c r="I180" s="3819"/>
      <c r="J180" s="3819"/>
      <c r="K180" s="3819"/>
      <c r="N180" s="3812"/>
      <c r="BA180" s="3821"/>
      <c r="BB180" s="3822"/>
    </row>
    <row r="181" spans="1:55" s="3805" customFormat="1" hidden="1" x14ac:dyDescent="0.25">
      <c r="A181" s="3812"/>
      <c r="B181" s="3819" t="s">
        <v>7153</v>
      </c>
      <c r="C181" s="3819"/>
      <c r="D181" s="3819"/>
      <c r="E181" s="3844"/>
      <c r="F181" s="3844"/>
      <c r="G181" s="3844"/>
      <c r="H181" s="3844"/>
      <c r="I181" s="3924"/>
      <c r="J181" s="3842"/>
      <c r="K181" s="3819"/>
      <c r="N181" s="3812"/>
      <c r="O181" s="3845"/>
      <c r="P181" s="3815"/>
      <c r="AM181" s="3815"/>
      <c r="BA181" s="3821"/>
      <c r="BB181" s="3822"/>
    </row>
    <row r="182" spans="1:55" s="3805" customFormat="1" hidden="1" x14ac:dyDescent="0.25">
      <c r="A182" s="3812"/>
      <c r="B182" s="3819"/>
      <c r="C182" s="3819"/>
      <c r="D182" s="3819"/>
      <c r="E182" s="3844"/>
      <c r="F182" s="3844"/>
      <c r="G182" s="3844"/>
      <c r="H182" s="3844"/>
      <c r="I182" s="3844"/>
      <c r="J182" s="3844"/>
      <c r="K182" s="3819"/>
      <c r="N182" s="3812"/>
      <c r="AM182" s="3815"/>
      <c r="BA182" s="3821"/>
      <c r="BB182" s="3822"/>
    </row>
    <row r="183" spans="1:55" s="3805" customFormat="1" x14ac:dyDescent="0.25">
      <c r="A183" s="3812"/>
      <c r="B183" s="3819"/>
      <c r="C183" s="3819"/>
      <c r="D183" s="3819"/>
      <c r="E183" s="3844"/>
      <c r="F183" s="3844"/>
      <c r="G183" s="3844"/>
      <c r="H183" s="3844"/>
      <c r="I183" s="3844"/>
      <c r="J183" s="3844"/>
      <c r="K183" s="3819"/>
      <c r="AM183" s="3815"/>
      <c r="BA183" s="3821"/>
      <c r="BB183" s="3822"/>
    </row>
    <row r="184" spans="1:55" s="3805" customFormat="1" x14ac:dyDescent="0.25">
      <c r="A184" s="3812"/>
      <c r="B184" s="3846" t="s">
        <v>10289</v>
      </c>
      <c r="C184" s="3819"/>
      <c r="D184" s="3819"/>
      <c r="E184" s="3844"/>
      <c r="F184" s="3844"/>
      <c r="G184" s="3844"/>
      <c r="H184" s="3844"/>
      <c r="I184" s="3844"/>
      <c r="J184" s="3844"/>
      <c r="K184" s="3819"/>
      <c r="R184" s="3815"/>
      <c r="S184" s="3815"/>
      <c r="V184" s="3815"/>
      <c r="W184" s="3815"/>
      <c r="X184" s="3815"/>
      <c r="Y184" s="3815"/>
      <c r="Z184" s="3815"/>
      <c r="AA184" s="3815"/>
      <c r="AB184" s="3815"/>
      <c r="AC184" s="3815"/>
      <c r="AD184" s="3815"/>
      <c r="AE184" s="3815"/>
      <c r="AF184" s="3815"/>
      <c r="AG184" s="3815"/>
      <c r="AH184" s="3815"/>
      <c r="AI184" s="3815"/>
      <c r="AM184" s="3815"/>
      <c r="BA184" s="3821"/>
      <c r="BB184" s="3822"/>
    </row>
    <row r="185" spans="1:55" s="3805" customFormat="1" ht="6" customHeight="1" x14ac:dyDescent="0.25">
      <c r="A185" s="3812"/>
      <c r="B185" s="3847"/>
      <c r="C185" s="3819"/>
      <c r="D185" s="3819"/>
      <c r="E185" s="3844"/>
      <c r="F185" s="3844"/>
      <c r="G185" s="3844"/>
      <c r="H185" s="3844"/>
      <c r="I185" s="3844"/>
      <c r="J185" s="3844"/>
      <c r="K185" s="3819"/>
      <c r="R185" s="3815"/>
      <c r="S185" s="3815"/>
      <c r="V185" s="3815"/>
      <c r="W185" s="3815"/>
      <c r="X185" s="3815"/>
      <c r="Y185" s="3815"/>
      <c r="Z185" s="3815"/>
      <c r="AA185" s="3815"/>
      <c r="AB185" s="3815"/>
      <c r="AC185" s="3815"/>
      <c r="AD185" s="3815"/>
      <c r="AE185" s="3815"/>
      <c r="AF185" s="3815"/>
      <c r="AG185" s="3815"/>
      <c r="AH185" s="3815"/>
      <c r="AI185" s="3815"/>
      <c r="AM185" s="3815"/>
      <c r="BA185" s="3821"/>
      <c r="BB185" s="3822"/>
    </row>
    <row r="186" spans="1:55" x14ac:dyDescent="0.25">
      <c r="B186" s="3847"/>
      <c r="C186" s="3847" t="s">
        <v>7033</v>
      </c>
      <c r="D186" s="3847"/>
      <c r="E186" s="3844"/>
      <c r="F186" s="3844"/>
      <c r="G186" s="3848"/>
      <c r="H186" s="3842" t="str">
        <f>IF(AND(Q249&gt;0,G186=""),re,"")</f>
        <v/>
      </c>
      <c r="I186" s="3902" t="s">
        <v>7747</v>
      </c>
      <c r="J186" s="3850"/>
      <c r="K186" s="3851" t="str">
        <f>IF(AND(Q249&gt;0,J186=""),re,"")</f>
        <v/>
      </c>
      <c r="L186" s="3805"/>
      <c r="M186" s="3805"/>
      <c r="N186" s="3809"/>
      <c r="O186" s="3805"/>
      <c r="P186" s="3815">
        <f>IF(H186="",0,1)</f>
      </c>
      <c r="Q186" s="3805">
        <f>IF(G186&lt;&gt;"",1,0)</f>
      </c>
      <c r="BA186" s="3821"/>
      <c r="BB186" s="3822"/>
      <c r="BC186" s="3805"/>
    </row>
    <row r="187" spans="1:55" ht="4.5" customHeight="1" x14ac:dyDescent="0.25">
      <c r="B187" s="3847"/>
      <c r="C187" s="3847"/>
      <c r="D187" s="3847"/>
      <c r="E187" s="3844"/>
      <c r="F187" s="3844"/>
      <c r="G187" s="3844"/>
      <c r="H187" s="3844"/>
      <c r="I187" s="3849"/>
      <c r="J187" s="3844"/>
      <c r="K187" s="3847"/>
      <c r="L187" s="3805"/>
      <c r="M187" s="3805"/>
      <c r="P187" s="3805"/>
      <c r="Q187" s="3805"/>
      <c r="BA187" s="3821"/>
      <c r="BB187" s="3822"/>
      <c r="BC187" s="3805"/>
    </row>
    <row r="188" spans="1:55" x14ac:dyDescent="0.25">
      <c r="B188" s="3847"/>
      <c r="C188" s="3852" t="s">
        <v>7749</v>
      </c>
      <c r="D188" s="3847"/>
      <c r="E188" s="3844"/>
      <c r="F188" s="3844"/>
      <c r="G188" s="3848"/>
      <c r="H188" s="3842" t="str">
        <f>IF(AND(Q249&gt;0,G188=""),re,"")</f>
        <v/>
      </c>
      <c r="I188" s="3902" t="s">
        <v>7748</v>
      </c>
      <c r="J188" s="3853"/>
      <c r="K188" s="3851" t="str">
        <f>IF(AND(Q249&gt;0,J188=""),re,"")</f>
        <v/>
      </c>
      <c r="L188" s="3805"/>
      <c r="M188" s="3805"/>
      <c r="N188" s="3809"/>
      <c r="O188" s="3805"/>
      <c r="P188" s="3815">
        <f>IF(K186="",0,1)</f>
      </c>
      <c r="Q188" s="3805">
        <f>IF(J186&lt;&gt;"",1,0)</f>
      </c>
      <c r="BA188" s="3821"/>
      <c r="BB188" s="3822"/>
      <c r="BC188" s="3805"/>
    </row>
    <row r="189" spans="1:55" ht="11.25" customHeight="1" x14ac:dyDescent="0.25">
      <c r="B189" s="3847"/>
      <c r="C189" s="3847"/>
      <c r="D189" s="3847"/>
      <c r="E189" s="3844"/>
      <c r="F189" s="3844"/>
      <c r="G189" s="3854"/>
      <c r="H189" s="3842"/>
      <c r="I189" s="3844"/>
      <c r="J189" s="3844"/>
      <c r="K189" s="3847"/>
      <c r="L189" s="3805"/>
      <c r="M189" s="3805"/>
      <c r="P189" s="3805"/>
      <c r="Q189" s="3805">
        <f>IF(G188&lt;&gt;"",1,0)</f>
      </c>
      <c r="BA189" s="3821"/>
      <c r="BB189" s="3822"/>
      <c r="BC189" s="3805"/>
    </row>
    <row r="190" spans="1:55" x14ac:dyDescent="0.25">
      <c r="B190" s="3847"/>
      <c r="C190" s="3847" t="s">
        <v>7041</v>
      </c>
      <c r="D190" s="3847"/>
      <c r="E190" s="5432"/>
      <c r="F190" s="5433"/>
      <c r="G190" s="5433"/>
      <c r="H190" s="5433"/>
      <c r="I190" s="5433"/>
      <c r="J190" s="5434"/>
      <c r="K190" s="3851" t="str">
        <f>IF(AND(Q249&gt;0,E190=""),re,"")</f>
        <v/>
      </c>
      <c r="L190" s="3805"/>
      <c r="M190" s="3805"/>
      <c r="O190" s="3805"/>
      <c r="P190" s="3815">
        <f>IF(K190="",0,1)</f>
      </c>
      <c r="Q190" s="3805">
        <f>IF(E190&lt;&gt;"",1,0)</f>
      </c>
      <c r="Z190" s="3855"/>
      <c r="BA190" s="3821"/>
      <c r="BB190" s="3822"/>
      <c r="BC190" s="3805"/>
    </row>
    <row r="191" spans="1:55" ht="8.25" customHeight="1" x14ac:dyDescent="0.25">
      <c r="B191" s="3847"/>
      <c r="C191" s="3847"/>
      <c r="D191" s="3847"/>
      <c r="E191" s="3844"/>
      <c r="F191" s="3844"/>
      <c r="G191" s="3844"/>
      <c r="H191" s="3844"/>
      <c r="I191" s="3844"/>
      <c r="J191" s="3844"/>
      <c r="K191" s="3847"/>
      <c r="M191" s="3805"/>
      <c r="P191" s="3805"/>
      <c r="Q191" s="3805"/>
      <c r="R191" s="3856"/>
      <c r="S191" s="3856"/>
      <c r="T191" s="3856"/>
      <c r="U191" s="3856"/>
      <c r="V191" s="3856"/>
      <c r="W191" s="3856"/>
      <c r="X191" s="3856"/>
      <c r="Y191" s="3856"/>
      <c r="Z191" s="3856"/>
      <c r="AC191" s="3856"/>
      <c r="AD191" s="3856"/>
      <c r="AE191" s="3856"/>
      <c r="AF191" s="3856"/>
      <c r="AG191" s="3856"/>
      <c r="AH191" s="3856"/>
      <c r="AI191" s="3856"/>
      <c r="BA191" s="3821"/>
      <c r="BB191" s="3822"/>
      <c r="BC191" s="3805"/>
    </row>
    <row r="192" spans="1:55" x14ac:dyDescent="0.25">
      <c r="B192" s="3847"/>
      <c r="C192" s="3847" t="s">
        <v>7046</v>
      </c>
      <c r="D192" s="3847"/>
      <c r="E192" s="5432"/>
      <c r="F192" s="5433"/>
      <c r="G192" s="5433"/>
      <c r="H192" s="5433"/>
      <c r="I192" s="5433"/>
      <c r="J192" s="5434"/>
      <c r="K192" s="3851" t="str">
        <f>IF(AND(Q249&gt;0,E192=""),re,"")</f>
        <v/>
      </c>
      <c r="L192" s="3809"/>
      <c r="M192" s="3805"/>
      <c r="P192" s="3815">
        <f>IF(K192="",0,1)</f>
      </c>
      <c r="Q192" s="3805">
        <f>IF(E192&lt;&gt;"",1,0)</f>
      </c>
      <c r="R192" s="3805"/>
      <c r="S192" s="3805"/>
      <c r="T192" s="3805"/>
      <c r="U192" s="3805"/>
      <c r="V192" s="3805"/>
      <c r="W192" s="3805"/>
      <c r="X192" s="3805"/>
      <c r="Y192" s="3805"/>
      <c r="Z192" s="3805"/>
      <c r="AC192" s="3805"/>
      <c r="AD192" s="3805"/>
      <c r="AE192" s="3805"/>
      <c r="AF192" s="3805"/>
      <c r="AG192" s="3805"/>
      <c r="AH192" s="3805"/>
      <c r="AI192" s="3805"/>
      <c r="AJ192" s="3856"/>
      <c r="BA192" s="3821"/>
      <c r="BB192" s="3822"/>
      <c r="BC192" s="3805"/>
    </row>
    <row r="193" spans="1:39" s="3805" customFormat="1" hidden="1" x14ac:dyDescent="0.25">
      <c r="A193" s="3812"/>
      <c r="B193" s="3847"/>
      <c r="C193" s="3847"/>
      <c r="D193" s="3847"/>
      <c r="E193" s="3844"/>
      <c r="F193" s="3844"/>
      <c r="G193" s="3844"/>
      <c r="H193" s="3844"/>
      <c r="I193" s="3844"/>
      <c r="J193" s="3844"/>
      <c r="K193" s="3847"/>
      <c r="L193" s="3812"/>
      <c r="N193" s="3812"/>
      <c r="O193" s="3812"/>
      <c r="AM193" s="3815"/>
    </row>
    <row r="194" spans="1:39" hidden="1" x14ac:dyDescent="0.25">
      <c r="B194" s="3847"/>
      <c r="D194" s="3847"/>
      <c r="E194" s="3844"/>
      <c r="F194" s="3844"/>
      <c r="G194" s="3857"/>
      <c r="H194" s="3857"/>
      <c r="I194" s="3844"/>
      <c r="J194" s="3844"/>
      <c r="K194" s="3847"/>
      <c r="M194" s="3805"/>
      <c r="N194" s="3809"/>
      <c r="P194" s="3815">
        <f>IF(K188="",0,1)</f>
      </c>
      <c r="Q194" s="3805">
        <f>IF(J188&lt;&gt;"",1,0)</f>
      </c>
      <c r="S194" s="3805"/>
      <c r="T194" s="3805"/>
      <c r="U194" s="3805"/>
      <c r="V194" s="3805"/>
      <c r="W194" s="3805"/>
      <c r="X194" s="3805"/>
      <c r="Y194" s="3805"/>
      <c r="Z194" s="3805"/>
      <c r="AC194" s="3805"/>
      <c r="AD194" s="3805"/>
      <c r="AE194" s="3805"/>
      <c r="AF194" s="3805"/>
      <c r="AG194" s="3805"/>
      <c r="AH194" s="3805"/>
      <c r="AI194" s="3805"/>
    </row>
    <row r="195" spans="1:39" x14ac:dyDescent="0.25">
      <c r="B195" s="3847"/>
      <c r="C195" s="3847"/>
      <c r="D195" s="3847"/>
      <c r="E195" s="3844"/>
      <c r="F195" s="3844"/>
      <c r="G195" s="3844"/>
      <c r="H195" s="3844"/>
      <c r="I195" s="3844"/>
      <c r="J195" s="3844"/>
      <c r="K195" s="3847"/>
      <c r="M195" s="3805"/>
      <c r="S195" s="3805"/>
      <c r="T195" s="3805"/>
      <c r="U195" s="3805"/>
      <c r="V195" s="3805"/>
      <c r="W195" s="3805"/>
      <c r="X195" s="3805"/>
      <c r="Y195" s="3805"/>
      <c r="Z195" s="3805"/>
      <c r="AI195" s="3805"/>
    </row>
    <row r="196" spans="1:39" x14ac:dyDescent="0.25">
      <c r="B196" s="3847"/>
      <c r="C196" s="3847" t="s">
        <v>7051</v>
      </c>
      <c r="D196" s="3847"/>
      <c r="E196" s="5432"/>
      <c r="F196" s="5433"/>
      <c r="G196" s="5433"/>
      <c r="H196" s="5433"/>
      <c r="I196" s="5433"/>
      <c r="J196" s="5434"/>
      <c r="K196" s="3851" t="str">
        <f>IF(AND(Q249&gt;0,E196=""),re,"")</f>
        <v/>
      </c>
      <c r="L196" s="3809"/>
      <c r="M196" s="3805"/>
      <c r="P196" s="3815">
        <f>IF(K196="",0,1)</f>
      </c>
      <c r="Q196" s="3805">
        <f>IF(E196&lt;&gt;"",1,0)</f>
      </c>
    </row>
    <row r="197" spans="1:39" x14ac:dyDescent="0.25">
      <c r="B197" s="3847"/>
      <c r="C197" s="3847"/>
      <c r="D197" s="3847"/>
      <c r="E197" s="3844"/>
      <c r="F197" s="3844"/>
      <c r="G197" s="3844"/>
      <c r="H197" s="3844"/>
      <c r="I197" s="3844"/>
      <c r="J197" s="3844"/>
      <c r="K197" s="3847"/>
      <c r="M197" s="3805"/>
      <c r="N197" s="3845"/>
      <c r="O197" s="3845"/>
      <c r="S197" s="3805"/>
      <c r="T197" s="3805"/>
      <c r="U197" s="3805"/>
      <c r="V197" s="3805"/>
      <c r="W197" s="3805"/>
      <c r="X197" s="3805"/>
      <c r="Y197" s="3805"/>
      <c r="Z197" s="3805"/>
      <c r="AF197" s="3805"/>
      <c r="AG197" s="3805"/>
      <c r="AH197" s="3805"/>
      <c r="AI197" s="3805"/>
    </row>
    <row r="198" spans="1:39" x14ac:dyDescent="0.25">
      <c r="B198" s="3847"/>
      <c r="C198" s="3847" t="s">
        <v>7054</v>
      </c>
      <c r="D198" s="3847"/>
      <c r="E198" s="3844"/>
      <c r="F198" s="5435"/>
      <c r="G198" s="5435"/>
      <c r="H198" s="5435"/>
      <c r="I198" s="5435"/>
      <c r="J198" s="5435"/>
      <c r="K198" s="3851" t="str">
        <f>IF(AND(Q249&gt;0,F198=""),re,"")</f>
        <v/>
      </c>
      <c r="L198" s="3809"/>
      <c r="M198" s="3805"/>
      <c r="N198" s="3858"/>
      <c r="O198" s="3858"/>
      <c r="P198" s="3815">
        <f>IF(K198="",0,1)</f>
      </c>
      <c r="Q198" s="3805">
        <f>IF(F198&lt;&gt;"",1,0)</f>
      </c>
      <c r="AA198" s="3805"/>
      <c r="AB198" s="3805"/>
      <c r="AI198" s="3805"/>
    </row>
    <row r="199" spans="1:39" x14ac:dyDescent="0.25">
      <c r="B199" s="3847"/>
      <c r="C199" s="3847"/>
      <c r="D199" s="3847"/>
      <c r="E199" s="3844"/>
      <c r="F199" s="3844"/>
      <c r="G199" s="3844"/>
      <c r="H199" s="3844"/>
      <c r="I199" s="3844"/>
      <c r="J199" s="3844"/>
      <c r="K199" s="3847"/>
      <c r="M199" s="3805"/>
      <c r="N199" s="3858"/>
      <c r="O199" s="3858"/>
      <c r="AA199" s="3805"/>
      <c r="AB199" s="3859"/>
      <c r="AI199" s="3805"/>
    </row>
    <row r="200" spans="1:39" x14ac:dyDescent="0.25">
      <c r="B200" s="3847"/>
      <c r="C200" s="3847"/>
      <c r="D200" s="3847"/>
      <c r="E200" s="3844"/>
      <c r="F200" s="3844"/>
      <c r="G200" s="3844"/>
      <c r="H200" s="3844"/>
      <c r="I200" s="3844"/>
      <c r="J200" s="3844"/>
      <c r="K200" s="3847"/>
      <c r="M200" s="3805"/>
      <c r="N200" s="3858"/>
      <c r="O200" s="3858"/>
      <c r="S200" s="3805"/>
      <c r="T200" s="3805"/>
      <c r="U200" s="3805"/>
      <c r="V200" s="3805"/>
      <c r="W200" s="3805"/>
      <c r="X200" s="3805"/>
      <c r="Y200" s="3805"/>
      <c r="Z200" s="3805"/>
      <c r="AB200" s="3859"/>
      <c r="AC200" s="3805"/>
      <c r="AD200" s="3805"/>
      <c r="AE200" s="3805"/>
      <c r="AF200" s="3805"/>
      <c r="AG200" s="3805"/>
      <c r="AH200" s="3805"/>
      <c r="AI200" s="3805"/>
    </row>
    <row r="201" spans="1:39" x14ac:dyDescent="0.25">
      <c r="B201" s="3847"/>
      <c r="C201" s="3860"/>
      <c r="D201" s="3847"/>
      <c r="E201" s="3844"/>
      <c r="F201" s="3844"/>
      <c r="G201" s="3849" t="s">
        <v>6947</v>
      </c>
      <c r="H201" s="3861">
        <f>ya-1</f>
      </c>
      <c r="I201" s="3854"/>
      <c r="J201" s="3854"/>
      <c r="K201" s="3862"/>
      <c r="L201" s="3845"/>
      <c r="M201" s="3805"/>
      <c r="N201" s="3858"/>
      <c r="O201" s="3858"/>
      <c r="S201" s="3805"/>
      <c r="T201" s="3805"/>
      <c r="U201" s="3805"/>
      <c r="V201" s="3805"/>
      <c r="W201" s="3805"/>
      <c r="X201" s="3805"/>
      <c r="Y201" s="3805"/>
      <c r="Z201" s="3805"/>
      <c r="AB201" s="3863"/>
      <c r="AC201" s="3805"/>
      <c r="AD201" s="3805"/>
      <c r="AE201" s="3805"/>
      <c r="AF201" s="3805"/>
      <c r="AG201" s="3805"/>
      <c r="AH201" s="3805"/>
      <c r="AI201" s="3805"/>
    </row>
    <row r="202" spans="1:39" hidden="1" x14ac:dyDescent="0.25">
      <c r="B202" s="3847"/>
      <c r="C202" s="3864"/>
      <c r="D202" s="3847"/>
      <c r="E202" s="3844"/>
      <c r="F202" s="3844"/>
      <c r="G202" s="3844"/>
      <c r="H202" s="3865"/>
      <c r="I202" s="3842"/>
      <c r="J202" s="3866"/>
      <c r="K202" s="3867"/>
      <c r="L202" s="3858"/>
      <c r="M202" s="3805"/>
      <c r="N202" s="3858"/>
      <c r="O202" s="3858"/>
      <c r="P202" s="3805"/>
      <c r="Q202" s="3805"/>
      <c r="S202" s="3805"/>
      <c r="T202" s="3805"/>
      <c r="U202" s="3805"/>
      <c r="V202" s="3805"/>
      <c r="W202" s="3805"/>
      <c r="X202" s="3805"/>
      <c r="Y202" s="3805"/>
      <c r="Z202" s="3805"/>
      <c r="AB202" s="3868"/>
    </row>
    <row r="203" spans="1:39" hidden="1" x14ac:dyDescent="0.25">
      <c r="B203" s="3847"/>
      <c r="C203" s="3847"/>
      <c r="D203" s="3847"/>
      <c r="E203" s="3844"/>
      <c r="F203" s="3844"/>
      <c r="G203" s="3844"/>
      <c r="H203" s="3866"/>
      <c r="I203" s="3842"/>
      <c r="J203" s="3866"/>
      <c r="K203" s="3867"/>
      <c r="L203" s="3858"/>
      <c r="M203" s="3805"/>
      <c r="N203" s="3858"/>
      <c r="O203" s="3858"/>
      <c r="Q203" s="3805"/>
      <c r="AB203" s="3869"/>
      <c r="AD203" s="3870"/>
      <c r="AE203" s="3871"/>
    </row>
    <row r="204" spans="1:39" ht="12.75" hidden="1" customHeight="1" x14ac:dyDescent="0.25">
      <c r="B204" s="3847"/>
      <c r="C204" s="3847"/>
      <c r="D204" s="3847"/>
      <c r="E204" s="3844"/>
      <c r="F204" s="3844"/>
      <c r="G204" s="3844"/>
      <c r="H204" s="3866"/>
      <c r="I204" s="3842"/>
      <c r="J204" s="3866"/>
      <c r="K204" s="3867"/>
      <c r="L204" s="3858"/>
      <c r="M204" s="3805"/>
      <c r="N204" s="3858"/>
      <c r="O204" s="3858"/>
      <c r="Q204" s="3805"/>
      <c r="S204" s="3805"/>
      <c r="T204" s="3805"/>
      <c r="U204" s="3805"/>
      <c r="V204" s="3805"/>
      <c r="W204" s="3805"/>
      <c r="X204" s="3805"/>
      <c r="Y204" s="3805"/>
      <c r="Z204" s="3805"/>
      <c r="AA204" s="3872"/>
      <c r="AB204" s="3868"/>
      <c r="AC204" s="3873"/>
      <c r="AD204" s="3873"/>
      <c r="AE204" s="3873"/>
      <c r="AF204" s="3873"/>
      <c r="AG204" s="3873"/>
      <c r="AH204" s="3873"/>
      <c r="AI204" s="3873"/>
    </row>
    <row r="205" spans="1:39" hidden="1" x14ac:dyDescent="0.25">
      <c r="B205" s="3847"/>
      <c r="C205" s="3847"/>
      <c r="D205" s="3847"/>
      <c r="E205" s="3844"/>
      <c r="F205" s="3844"/>
      <c r="G205" s="3844"/>
      <c r="H205" s="3866"/>
      <c r="I205" s="3842"/>
      <c r="J205" s="3866"/>
      <c r="K205" s="3867"/>
      <c r="L205" s="3858"/>
      <c r="M205" s="3805"/>
      <c r="N205" s="3858"/>
      <c r="O205" s="3858"/>
      <c r="Q205" s="3805"/>
    </row>
    <row r="206" spans="1:39" ht="11.25" hidden="1" customHeight="1" x14ac:dyDescent="0.25">
      <c r="B206" s="3847"/>
      <c r="C206" s="3847"/>
      <c r="D206" s="3847"/>
      <c r="E206" s="3844"/>
      <c r="F206" s="3844"/>
      <c r="G206" s="3844"/>
      <c r="H206" s="3866"/>
      <c r="I206" s="3842"/>
      <c r="J206" s="3866"/>
      <c r="K206" s="3867"/>
      <c r="L206" s="3858"/>
      <c r="M206" s="3805"/>
      <c r="N206" s="3858"/>
      <c r="O206" s="3858"/>
      <c r="AA206" s="3872"/>
      <c r="AB206" s="3869"/>
    </row>
    <row r="207" spans="1:39" hidden="1" x14ac:dyDescent="0.25">
      <c r="B207" s="3847"/>
      <c r="C207" s="3847"/>
      <c r="D207" s="3847"/>
      <c r="E207" s="3844"/>
      <c r="F207" s="3844"/>
      <c r="G207" s="3844"/>
      <c r="H207" s="3866"/>
      <c r="I207" s="3842"/>
      <c r="J207" s="3866"/>
      <c r="K207" s="3867"/>
      <c r="L207" s="3858"/>
      <c r="M207" s="3805"/>
      <c r="N207" s="3858"/>
      <c r="O207" s="3858"/>
      <c r="Q207" s="3805"/>
      <c r="AA207" s="3872"/>
      <c r="AB207" s="3869"/>
    </row>
    <row r="208" spans="1:39" hidden="1" x14ac:dyDescent="0.25">
      <c r="B208" s="3847"/>
      <c r="C208" s="3847"/>
      <c r="D208" s="3847"/>
      <c r="E208" s="3844"/>
      <c r="F208" s="3844"/>
      <c r="G208" s="3844"/>
      <c r="H208" s="3866"/>
      <c r="I208" s="3842"/>
      <c r="J208" s="3866"/>
      <c r="K208" s="3867"/>
      <c r="L208" s="3858"/>
      <c r="M208" s="3805"/>
      <c r="N208" s="3858"/>
      <c r="O208" s="3858"/>
      <c r="AB208" s="3868"/>
    </row>
    <row r="209" spans="2:36" ht="21.75" hidden="1" customHeight="1" x14ac:dyDescent="0.25">
      <c r="B209" s="3847"/>
      <c r="C209" s="3874"/>
      <c r="D209" s="3847"/>
      <c r="E209" s="3844"/>
      <c r="F209" s="3844"/>
      <c r="G209" s="3875"/>
      <c r="H209" s="3866"/>
      <c r="I209" s="3842"/>
      <c r="J209" s="3866"/>
      <c r="K209" s="3867"/>
      <c r="M209" s="3805"/>
      <c r="N209" s="3858"/>
      <c r="O209" s="3858"/>
      <c r="AB209" s="3868"/>
    </row>
    <row r="210" spans="2:36" hidden="1" x14ac:dyDescent="0.25">
      <c r="B210" s="3847"/>
      <c r="C210" s="3847"/>
      <c r="D210" s="3847"/>
      <c r="E210" s="3849"/>
      <c r="F210" s="3844"/>
      <c r="G210" s="3842"/>
      <c r="H210" s="3866"/>
      <c r="I210" s="3842"/>
      <c r="J210" s="3866"/>
      <c r="K210" s="3867"/>
      <c r="L210" s="3858"/>
      <c r="M210" s="3805"/>
      <c r="N210" s="3858"/>
      <c r="O210" s="3858"/>
      <c r="Q210" s="3805"/>
      <c r="AA210" s="3872"/>
      <c r="AB210" s="3868"/>
      <c r="AG210" s="3805"/>
    </row>
    <row r="211" spans="2:36" hidden="1" x14ac:dyDescent="0.25">
      <c r="B211" s="3847"/>
      <c r="C211" s="3847"/>
      <c r="D211" s="3847"/>
      <c r="E211" s="3849"/>
      <c r="F211" s="3844"/>
      <c r="G211" s="3842"/>
      <c r="H211" s="3866"/>
      <c r="I211" s="3842"/>
      <c r="J211" s="3866"/>
      <c r="K211" s="3867"/>
      <c r="L211" s="3858"/>
      <c r="M211" s="3805"/>
      <c r="N211" s="3858"/>
      <c r="O211" s="3858"/>
      <c r="Q211" s="3805"/>
      <c r="AB211" s="3868"/>
      <c r="AG211" s="3805"/>
    </row>
    <row r="212" spans="2:36" ht="13.5" customHeight="1" x14ac:dyDescent="0.25">
      <c r="B212" s="3847"/>
      <c r="C212" s="3847"/>
      <c r="D212" s="3847"/>
      <c r="E212" s="3844"/>
      <c r="F212" s="3844"/>
      <c r="G212" s="3844"/>
      <c r="H212" s="3876"/>
      <c r="I212" s="3842"/>
      <c r="J212" s="3866"/>
      <c r="K212" s="3867"/>
      <c r="L212" s="3858"/>
      <c r="M212" s="3805"/>
      <c r="Q212" s="3805"/>
      <c r="AG212" s="3805"/>
    </row>
    <row r="213" spans="2:36" hidden="1" x14ac:dyDescent="0.25">
      <c r="B213" s="3847"/>
      <c r="C213" s="3847"/>
      <c r="D213" s="3847"/>
      <c r="E213" s="3844"/>
      <c r="F213" s="3844"/>
      <c r="G213" s="3844"/>
      <c r="H213" s="3876"/>
      <c r="I213" s="3842"/>
      <c r="J213" s="3866"/>
      <c r="K213" s="3867"/>
      <c r="L213" s="3858"/>
      <c r="M213" s="3805"/>
      <c r="Q213" s="3805"/>
      <c r="W213" s="3807"/>
      <c r="X213" s="3877"/>
      <c r="AD213" s="3878"/>
      <c r="AE213" s="3878"/>
      <c r="AF213" s="3878"/>
      <c r="AG213" s="3805"/>
    </row>
    <row r="214" spans="2:36" hidden="1" x14ac:dyDescent="0.25">
      <c r="B214" s="3879"/>
      <c r="C214" s="3880"/>
      <c r="D214" s="3880"/>
      <c r="E214" s="3881"/>
      <c r="F214" s="3881"/>
      <c r="G214" s="3844"/>
      <c r="H214" s="3876"/>
      <c r="I214" s="3842"/>
      <c r="J214" s="3866"/>
      <c r="K214" s="3867"/>
      <c r="L214" s="3858"/>
      <c r="M214" s="3805"/>
      <c r="Q214" s="3805"/>
      <c r="W214" s="3882"/>
      <c r="X214" s="3877"/>
      <c r="AA214" s="3872"/>
      <c r="AD214" s="3883"/>
      <c r="AE214" s="3884" t="s">
        <v>7064</v>
      </c>
      <c r="AF214" s="3884" t="s">
        <v>10296</v>
      </c>
      <c r="AG214" s="3805"/>
    </row>
    <row r="215" spans="2:36" hidden="1" x14ac:dyDescent="0.25">
      <c r="B215" s="3847"/>
      <c r="C215" s="3847"/>
      <c r="D215" s="3847"/>
      <c r="E215" s="3844"/>
      <c r="F215" s="3844"/>
      <c r="G215" s="3844"/>
      <c r="H215" s="3876"/>
      <c r="I215" s="3866"/>
      <c r="J215" s="3866"/>
      <c r="K215" s="3867"/>
      <c r="L215" s="3858"/>
      <c r="M215" s="3805"/>
      <c r="W215" s="3882"/>
      <c r="X215" s="3877"/>
      <c r="AD215" s="3878" t="s">
        <v>3274</v>
      </c>
      <c r="AE215" s="3885">
        <v>0.15</v>
      </c>
      <c r="AF215" s="3886">
        <v>0.3</v>
      </c>
      <c r="AG215" s="3805"/>
    </row>
    <row r="216" spans="2:36" ht="7.5" hidden="1" customHeight="1" x14ac:dyDescent="0.25">
      <c r="B216" s="3847"/>
      <c r="C216" s="3847"/>
      <c r="D216" s="3847"/>
      <c r="E216" s="3844"/>
      <c r="F216" s="3844"/>
      <c r="G216" s="3844"/>
      <c r="H216" s="3876"/>
      <c r="I216" s="3844"/>
      <c r="J216" s="3844"/>
      <c r="K216" s="3847"/>
      <c r="M216" s="3805"/>
      <c r="W216" s="3872"/>
      <c r="X216" s="3871"/>
      <c r="AD216" s="3887" t="s">
        <v>3281</v>
      </c>
      <c r="AE216" s="3885">
        <v>0.15</v>
      </c>
      <c r="AF216" s="3885">
        <v>0.2</v>
      </c>
      <c r="AG216" s="3805"/>
      <c r="AJ216" s="3872"/>
    </row>
    <row r="217" spans="2:36" hidden="1" x14ac:dyDescent="0.25">
      <c r="B217" s="3847"/>
      <c r="C217" s="3880"/>
      <c r="D217" s="3847"/>
      <c r="E217" s="3844"/>
      <c r="F217" s="3844"/>
      <c r="G217" s="3844"/>
      <c r="H217" s="3876"/>
      <c r="I217" s="3842"/>
      <c r="J217" s="3844"/>
      <c r="K217" s="3847"/>
      <c r="M217" s="3805"/>
      <c r="Q217" s="3805"/>
      <c r="W217" s="3872"/>
      <c r="AA217" s="3872"/>
      <c r="AB217" s="3863"/>
      <c r="AD217" s="3883" t="s">
        <v>3282</v>
      </c>
      <c r="AE217" s="3888">
        <v>0.1</v>
      </c>
      <c r="AF217" s="3888">
        <v>0.1</v>
      </c>
      <c r="AG217" s="3805"/>
    </row>
    <row r="218" spans="2:36" hidden="1" x14ac:dyDescent="0.25">
      <c r="B218" s="3847"/>
      <c r="C218" s="3880"/>
      <c r="D218" s="3847"/>
      <c r="E218" s="3844"/>
      <c r="F218" s="3844"/>
      <c r="G218" s="3844"/>
      <c r="H218" s="3876"/>
      <c r="I218" s="3842"/>
      <c r="J218" s="3844"/>
      <c r="K218" s="3847"/>
      <c r="M218" s="3805"/>
      <c r="W218" s="3882"/>
      <c r="AA218" s="3872"/>
      <c r="AB218" s="3863"/>
    </row>
    <row r="219" spans="2:36" hidden="1" x14ac:dyDescent="0.25">
      <c r="B219" s="3879"/>
      <c r="C219" s="3847"/>
      <c r="D219" s="3847"/>
      <c r="E219" s="3844"/>
      <c r="F219" s="3844"/>
      <c r="G219" s="3844"/>
      <c r="H219" s="3876"/>
      <c r="I219" s="3842"/>
      <c r="J219" s="3844"/>
      <c r="K219" s="3847"/>
      <c r="M219" s="3805"/>
      <c r="Q219" s="3805"/>
      <c r="W219" s="3882"/>
      <c r="X219" s="3877"/>
      <c r="Z219" s="3889"/>
      <c r="AA219" s="3882"/>
      <c r="AB219" s="3863"/>
      <c r="AD219" s="3805" t="s">
        <v>7055</v>
      </c>
      <c r="AE219" s="3815">
        <f>IF($E$192=$AK$21,1,0)</f>
      </c>
    </row>
    <row r="220" spans="2:36" hidden="1" x14ac:dyDescent="0.25">
      <c r="B220" s="3879"/>
      <c r="C220" s="3880"/>
      <c r="D220" s="3847"/>
      <c r="E220" s="3844"/>
      <c r="F220" s="3844"/>
      <c r="G220" s="3844"/>
      <c r="H220" s="3876"/>
      <c r="I220" s="3844"/>
      <c r="J220" s="3844"/>
      <c r="K220" s="3847"/>
      <c r="M220" s="3805"/>
      <c r="W220" s="3882"/>
      <c r="X220" s="3877"/>
      <c r="AA220" s="3882"/>
      <c r="AB220" s="3863"/>
      <c r="AD220" s="3805" t="s">
        <v>10297</v>
      </c>
      <c r="AE220" s="3815">
        <f>J188</f>
      </c>
    </row>
    <row r="221" spans="2:36" ht="15" hidden="1" customHeight="1" x14ac:dyDescent="0.25">
      <c r="B221" s="3847"/>
      <c r="C221" s="3847"/>
      <c r="D221" s="3847"/>
      <c r="E221" s="3844"/>
      <c r="F221" s="3844"/>
      <c r="G221" s="3844"/>
      <c r="H221" s="3844"/>
      <c r="I221" s="3844"/>
      <c r="J221" s="3844"/>
      <c r="K221" s="3847"/>
      <c r="M221" s="3805"/>
    </row>
    <row r="222" spans="2:36" hidden="1" x14ac:dyDescent="0.25">
      <c r="B222" s="3846"/>
      <c r="C222" s="3847"/>
      <c r="D222" s="3847"/>
      <c r="E222" s="3844"/>
      <c r="F222" s="3844"/>
      <c r="G222" s="3844"/>
      <c r="H222" s="3844"/>
      <c r="I222" s="3844"/>
      <c r="J222" s="3844"/>
      <c r="K222" s="3847"/>
      <c r="M222" s="3805"/>
      <c r="AA222" s="3872"/>
      <c r="AB222" s="3873"/>
    </row>
    <row r="223" spans="2:36" ht="18" hidden="1" customHeight="1" x14ac:dyDescent="0.25">
      <c r="B223" s="3847"/>
      <c r="C223" s="3847"/>
      <c r="D223" s="3847"/>
      <c r="E223" s="3844"/>
      <c r="F223" s="3844"/>
      <c r="G223" s="3844"/>
      <c r="H223" s="3844"/>
      <c r="I223" s="3844"/>
      <c r="J223" s="3844"/>
      <c r="K223" s="3847"/>
      <c r="M223" s="3805"/>
    </row>
    <row r="224" spans="2:36" hidden="1" x14ac:dyDescent="0.25">
      <c r="B224" s="3847"/>
      <c r="C224" s="3847"/>
      <c r="D224" s="3847"/>
      <c r="E224" s="3844"/>
      <c r="F224" s="3844"/>
      <c r="G224" s="3844"/>
      <c r="H224" s="3844"/>
      <c r="I224" s="3844"/>
      <c r="J224" s="3844"/>
      <c r="K224" s="3847"/>
      <c r="M224" s="3805"/>
      <c r="Q224" s="3805"/>
    </row>
    <row r="225" spans="2:35" ht="11.25" hidden="1" customHeight="1" x14ac:dyDescent="0.25">
      <c r="B225" s="3847"/>
      <c r="C225" s="3847"/>
      <c r="D225" s="3847"/>
      <c r="E225" s="3844"/>
      <c r="F225" s="3844"/>
      <c r="G225" s="3844"/>
      <c r="H225" s="3844"/>
      <c r="I225" s="3844"/>
      <c r="J225" s="3844"/>
      <c r="K225" s="3847"/>
      <c r="M225" s="3805"/>
      <c r="AD225" s="3805"/>
    </row>
    <row r="226" spans="2:35" hidden="1" x14ac:dyDescent="0.25">
      <c r="B226" s="3847"/>
      <c r="C226" s="3847"/>
      <c r="D226" s="3847"/>
      <c r="E226" s="3844"/>
      <c r="F226" s="3844"/>
      <c r="G226" s="3844"/>
      <c r="H226" s="3844"/>
      <c r="I226" s="3844"/>
      <c r="J226" s="3844"/>
      <c r="K226" s="3847"/>
      <c r="M226" s="3805"/>
      <c r="Q226" s="3805"/>
      <c r="AD226" s="3805"/>
      <c r="AE226" s="3805"/>
      <c r="AF226" s="3805"/>
    </row>
    <row r="227" spans="2:35" ht="12" hidden="1" customHeight="1" x14ac:dyDescent="0.25">
      <c r="B227" s="3847"/>
      <c r="C227" s="3847"/>
      <c r="D227" s="3847"/>
      <c r="E227" s="3844"/>
      <c r="F227" s="3844"/>
      <c r="G227" s="3844"/>
      <c r="H227" s="3844"/>
      <c r="I227" s="3844"/>
      <c r="J227" s="3844"/>
      <c r="K227" s="3847"/>
      <c r="M227" s="3805"/>
      <c r="U227" s="3978" t="s">
        <v>7003</v>
      </c>
      <c r="AD227" s="3805"/>
      <c r="AE227" s="3805"/>
      <c r="AF227" s="3805"/>
      <c r="AI227" s="3872"/>
    </row>
    <row r="228" spans="2:35" hidden="1" x14ac:dyDescent="0.25">
      <c r="B228" s="3847"/>
      <c r="C228" s="3847"/>
      <c r="D228" s="3847"/>
      <c r="E228" s="3844"/>
      <c r="F228" s="3844"/>
      <c r="G228" s="3844"/>
      <c r="H228" s="3844"/>
      <c r="I228" s="3842"/>
      <c r="J228" s="3844"/>
      <c r="K228" s="3847"/>
      <c r="M228" s="3805"/>
      <c r="Q228" s="3805"/>
      <c r="U228" s="3979">
        <f>ya</f>
      </c>
      <c r="AD228" s="3805"/>
      <c r="AE228" s="3805"/>
      <c r="AF228" s="3805"/>
    </row>
    <row r="229" spans="2:35" hidden="1" x14ac:dyDescent="0.25">
      <c r="B229" s="3847"/>
      <c r="C229" s="3847"/>
      <c r="D229" s="3847"/>
      <c r="E229" s="3844"/>
      <c r="F229" s="3844"/>
      <c r="G229" s="3844"/>
      <c r="H229" s="3844"/>
      <c r="I229" s="3844"/>
      <c r="J229" s="3844"/>
      <c r="K229" s="3847"/>
      <c r="M229" s="3805"/>
      <c r="U229" s="3980">
        <f>G188</f>
      </c>
      <c r="AD229" s="3805"/>
      <c r="AE229" s="3805"/>
      <c r="AF229" s="3805"/>
    </row>
    <row r="230" spans="2:35" hidden="1" x14ac:dyDescent="0.25">
      <c r="B230" s="3874"/>
      <c r="C230" s="3847"/>
      <c r="D230" s="3847"/>
      <c r="E230" s="3844"/>
      <c r="F230" s="3844"/>
      <c r="G230" s="3844"/>
      <c r="H230" s="3844"/>
      <c r="I230" s="3844"/>
      <c r="J230" s="3844"/>
      <c r="K230" s="3847"/>
      <c r="M230" s="3805"/>
      <c r="U230" s="3883">
        <f>IF(G188=0,0,IF(U229&lt;&gt;U228,1,0))</f>
      </c>
      <c r="AD230" s="3805"/>
      <c r="AE230" s="3805"/>
      <c r="AF230" s="3805"/>
    </row>
    <row r="231" spans="2:35" x14ac:dyDescent="0.25">
      <c r="B231" s="3847"/>
      <c r="C231" s="3847" t="s">
        <v>7138</v>
      </c>
      <c r="D231" s="3847"/>
      <c r="E231" s="3844"/>
      <c r="F231" s="3844"/>
      <c r="G231" s="3844"/>
      <c r="H231" s="3890"/>
      <c r="I231" s="3842" t="str">
        <f>IF(AND(H231="",U230=0,Q249&gt;0),re,"")</f>
        <v/>
      </c>
      <c r="J231" s="3844"/>
      <c r="K231" s="3847"/>
      <c r="M231" s="3805"/>
      <c r="P231" s="3815">
        <f>IF(I231="",0,1)</f>
      </c>
      <c r="W231" s="3882" t="s">
        <v>7138</v>
      </c>
      <c r="X231" s="3873">
        <f>IF(U229=U228,H231,0)</f>
      </c>
      <c r="AD231" s="3805"/>
      <c r="AE231" s="3805"/>
      <c r="AF231" s="3805"/>
    </row>
    <row r="232" spans="2:35" x14ac:dyDescent="0.25">
      <c r="B232" s="3847"/>
      <c r="C232" s="3880" t="s">
        <v>7151</v>
      </c>
      <c r="D232" s="3847"/>
      <c r="E232" s="3844"/>
      <c r="F232" s="3844"/>
      <c r="G232" s="3844"/>
      <c r="H232" s="3890"/>
      <c r="I232" s="3842" t="str">
        <f>IF(AND(AH169&gt;2021,Y169&lt;$AH$1,Q249&gt;0,H232=""),reo,"")</f>
        <v/>
      </c>
      <c r="J232" s="3844"/>
      <c r="K232" s="3847"/>
      <c r="M232" s="3805"/>
      <c r="P232" s="3815">
        <f>IF(I232="",0,1)</f>
      </c>
      <c r="Q232" s="3805">
        <f>IF(H232&lt;&gt;"",1,0)</f>
      </c>
      <c r="W232" s="3872" t="s">
        <v>7065</v>
      </c>
      <c r="X232" s="3863">
        <f>IF(OR($H$34=2021,Y169&gt;=AH169),0,H232)</f>
      </c>
      <c r="AE232" s="3871"/>
    </row>
    <row r="233" spans="2:35" hidden="1" x14ac:dyDescent="0.25">
      <c r="B233" s="3847"/>
      <c r="C233" s="3880"/>
      <c r="D233" s="3847"/>
      <c r="E233" s="3844"/>
      <c r="F233" s="3844"/>
      <c r="G233" s="3844"/>
      <c r="H233" s="3844"/>
      <c r="I233" s="3842"/>
      <c r="J233" s="3844"/>
      <c r="K233" s="3847"/>
      <c r="M233" s="3805"/>
      <c r="Q233" s="3805"/>
      <c r="W233" s="3872"/>
      <c r="X233" s="3863"/>
    </row>
    <row r="234" spans="2:35" hidden="1" x14ac:dyDescent="0.25">
      <c r="B234" s="3847"/>
      <c r="C234" s="3880"/>
      <c r="D234" s="3847"/>
      <c r="E234" s="3844"/>
      <c r="F234" s="3844"/>
      <c r="G234" s="3844"/>
      <c r="H234" s="3844"/>
      <c r="I234" s="3842"/>
      <c r="J234" s="3844"/>
      <c r="K234" s="3847"/>
      <c r="M234" s="3805"/>
      <c r="Q234" s="3805"/>
      <c r="W234" s="3872"/>
      <c r="X234" s="3863"/>
    </row>
    <row r="235" spans="2:35" x14ac:dyDescent="0.25">
      <c r="B235" s="3847"/>
      <c r="C235" s="3880" t="s">
        <v>7067</v>
      </c>
      <c r="D235" s="3847"/>
      <c r="E235" s="3844"/>
      <c r="F235" s="3844"/>
      <c r="G235" s="3844"/>
      <c r="H235" s="3925">
        <f>IF(P231=1,0,X235)</f>
      </c>
      <c r="I235" s="3891"/>
      <c r="J235" s="3844"/>
      <c r="K235" s="3847"/>
      <c r="M235" s="3805"/>
      <c r="W235" s="3882" t="s">
        <v>7067</v>
      </c>
      <c r="X235" s="3873">
        <f>X231+X232</f>
      </c>
    </row>
    <row r="236" spans="2:35" x14ac:dyDescent="0.25">
      <c r="B236" s="3847"/>
      <c r="C236" s="3880" t="s">
        <v>7182</v>
      </c>
      <c r="D236" s="3847"/>
      <c r="E236" s="3844"/>
      <c r="F236" s="3844"/>
      <c r="G236" s="3892"/>
      <c r="H236" s="3890"/>
      <c r="I236" s="3842" t="str">
        <f>IF(AND(Q249&gt;0,H236=""),reo,IF(X235&lt;(X236*-1),"Excessive!",""))</f>
        <v/>
      </c>
      <c r="J236" s="3844"/>
      <c r="K236" s="3847"/>
      <c r="M236" s="3805"/>
      <c r="P236" s="3815">
        <f>IF(I236="",0,1)</f>
      </c>
      <c r="Q236" s="3805">
        <f>IF(H236&lt;&gt;"",1,0)</f>
      </c>
      <c r="W236" s="3872" t="s">
        <v>7069</v>
      </c>
      <c r="X236" s="3863">
        <f>-H236</f>
      </c>
    </row>
    <row r="237" spans="2:35" x14ac:dyDescent="0.25">
      <c r="B237" s="3847"/>
      <c r="C237" s="3880" t="s">
        <v>7987</v>
      </c>
      <c r="D237" s="3847"/>
      <c r="E237" s="3844"/>
      <c r="F237" s="3844"/>
      <c r="G237" s="3844"/>
      <c r="H237" s="3925">
        <f>IF(P236=1,0,X237)</f>
      </c>
      <c r="I237" s="3891"/>
      <c r="J237" s="3844"/>
      <c r="K237" s="3847"/>
      <c r="M237" s="3805"/>
      <c r="W237" s="3872" t="s">
        <v>7074</v>
      </c>
      <c r="X237" s="3863">
        <f>X235+X236</f>
      </c>
    </row>
    <row r="238" spans="2:35" x14ac:dyDescent="0.25">
      <c r="B238" s="3847"/>
      <c r="C238" s="3880" t="s">
        <v>10370</v>
      </c>
      <c r="D238" s="3847"/>
      <c r="E238" s="3844"/>
      <c r="F238" s="3844"/>
      <c r="G238" s="3844"/>
      <c r="H238" s="3976"/>
      <c r="I238" s="3842" t="str">
        <f>IF(AND(H237&gt;0,H238=""),re,"")</f>
        <v/>
      </c>
      <c r="J238" s="3844"/>
      <c r="K238" s="3847"/>
      <c r="M238" s="3805"/>
      <c r="P238" s="3815">
        <f>IF(I238="",0,1)</f>
      </c>
      <c r="Q238" s="3805">
        <f>IF(H238&lt;&gt;"",1,0)</f>
      </c>
      <c r="V238" s="3807"/>
      <c r="W238" s="3882" t="s">
        <v>10370</v>
      </c>
      <c r="X238" s="3863">
        <f>H238</f>
      </c>
    </row>
    <row r="239" spans="2:35" x14ac:dyDescent="0.25">
      <c r="B239" s="3847"/>
      <c r="C239" s="3880" t="s">
        <v>7986</v>
      </c>
      <c r="D239" s="3847"/>
      <c r="E239" s="3844"/>
      <c r="F239" s="3844"/>
      <c r="G239" s="3844"/>
      <c r="H239" s="3925">
        <f>IF(P238=1,0,X239)</f>
      </c>
      <c r="I239" s="3842"/>
      <c r="J239" s="3844"/>
      <c r="K239" s="3847"/>
      <c r="M239" s="3805"/>
      <c r="Q239" s="3805"/>
      <c r="W239" s="3882" t="s">
        <v>7986</v>
      </c>
      <c r="X239" s="3863">
        <f>X237*(100%+X238)</f>
      </c>
    </row>
    <row r="240" spans="2:35" ht="6" customHeight="1" x14ac:dyDescent="0.25">
      <c r="B240" s="3847"/>
      <c r="C240" s="3847"/>
      <c r="D240" s="3847"/>
      <c r="E240" s="3844"/>
      <c r="F240" s="3844"/>
      <c r="G240" s="3844"/>
      <c r="H240" s="3844"/>
      <c r="I240" s="3844"/>
      <c r="J240" s="3844"/>
      <c r="K240" s="3847"/>
      <c r="M240" s="3805"/>
      <c r="S240" s="5428" t="s">
        <v>7073</v>
      </c>
      <c r="T240" s="5429"/>
      <c r="U240" s="5430"/>
    </row>
    <row r="241" spans="2:21" x14ac:dyDescent="0.25">
      <c r="B241" s="3847"/>
      <c r="C241" s="3911" t="str">
        <f>CONCATENATE("Income the tax on which is deemed relieved by the tax credit [Current] Y/A",ya)</f>
      </c>
      <c r="D241" s="3912"/>
      <c r="E241" s="3893"/>
      <c r="F241" s="3893"/>
      <c r="G241" s="3893"/>
      <c r="H241" s="3894"/>
      <c r="I241" s="3895"/>
      <c r="J241" s="3896" t="str">
        <f>IF(Q249=0,"",IF(AND(H236&gt;=0,I241=""),re,IF(AND(H236=0,I241&gt;0),"No tax credit claimed for the year!",IF(AND(H236&gt;0,I241=0),"Amount relieved by tax credit required!",IF(I241&lt;0,"Cannot be negative!",IF(OR(I241&gt;S241,I241&lt;T241),U241,""))))))</f>
        <v/>
      </c>
      <c r="K241" s="3880"/>
      <c r="L241" s="3926"/>
      <c r="M241" s="3805"/>
      <c r="P241" s="3815">
        <f>IF(J241="",0,1)</f>
      </c>
      <c r="Q241" s="3805">
        <f>IF(I241&lt;&gt;"",1,0)</f>
      </c>
      <c r="S241" s="3897">
        <f>ROUND(H236/5%,0)+1</f>
      </c>
      <c r="T241" s="3898">
        <f>ROUND(H236/0.35,0)-1</f>
      </c>
      <c r="U241" s="3899" t="s">
        <v>4787</v>
      </c>
    </row>
    <row r="242" spans="2:21" x14ac:dyDescent="0.25">
      <c r="B242" s="3847"/>
      <c r="C242" s="3900"/>
      <c r="D242" s="3847"/>
      <c r="E242" s="3844"/>
      <c r="F242" s="3844"/>
      <c r="G242" s="3844"/>
      <c r="H242" s="3844"/>
      <c r="I242" s="3844"/>
      <c r="J242" s="3844"/>
      <c r="K242" s="3847"/>
      <c r="M242" s="3805"/>
    </row>
    <row r="243" spans="2:21" ht="4.5" customHeight="1" x14ac:dyDescent="0.25">
      <c r="B243" s="3847"/>
      <c r="C243" s="3847"/>
      <c r="D243" s="3847"/>
      <c r="E243" s="3844"/>
      <c r="F243" s="3844"/>
      <c r="G243" s="3844"/>
      <c r="H243" s="3844"/>
      <c r="I243" s="3844"/>
      <c r="J243" s="3844"/>
      <c r="K243" s="3847"/>
      <c r="M243" s="3805"/>
    </row>
    <row r="244" spans="2:21" x14ac:dyDescent="0.25">
      <c r="B244" s="3847"/>
      <c r="C244" s="3847"/>
      <c r="D244" s="3847"/>
      <c r="E244" s="3844"/>
      <c r="F244" s="3849" t="s">
        <v>2206</v>
      </c>
      <c r="G244" s="3853"/>
      <c r="H244" s="3842" t="str">
        <f>IF(AND(G244="",Q249&gt;0),re,IF(G244="no",nd,""))</f>
        <v/>
      </c>
      <c r="I244" s="3844"/>
      <c r="J244" s="3844"/>
      <c r="K244" s="3847"/>
      <c r="M244" s="3805"/>
      <c r="P244" s="3815">
        <f>IF(H244="",0,1)</f>
      </c>
      <c r="Q244" s="3805">
        <f>IF(G244&lt;&gt;"",1,0)</f>
      </c>
    </row>
    <row r="245" spans="2:21" ht="5.25" customHeight="1" x14ac:dyDescent="0.25">
      <c r="B245" s="3847"/>
      <c r="C245" s="3847"/>
      <c r="D245" s="3847"/>
      <c r="E245" s="3844"/>
      <c r="F245" s="3844"/>
      <c r="G245" s="3844"/>
      <c r="H245" s="3844"/>
      <c r="I245" s="3844"/>
      <c r="J245" s="3844"/>
      <c r="K245" s="3847"/>
      <c r="M245" s="3805"/>
    </row>
    <row r="246" spans="2:21" hidden="1" x14ac:dyDescent="0.25">
      <c r="B246" s="3847"/>
      <c r="C246" s="3847"/>
      <c r="D246" s="3847"/>
      <c r="E246" s="3844"/>
      <c r="F246" s="3901"/>
      <c r="G246" s="3901"/>
      <c r="H246" s="3842"/>
      <c r="I246" s="3844"/>
      <c r="J246" s="3844"/>
      <c r="K246" s="3847"/>
      <c r="M246" s="3805"/>
      <c r="Q246" s="3805"/>
    </row>
    <row r="247" spans="2:21" ht="9" customHeight="1" x14ac:dyDescent="0.25">
      <c r="B247" s="3847"/>
      <c r="C247" s="3847"/>
      <c r="D247" s="3847"/>
      <c r="E247" s="3847"/>
      <c r="F247" s="3847"/>
      <c r="G247" s="3847"/>
      <c r="H247" s="3847"/>
      <c r="I247" s="3847"/>
      <c r="J247" s="3847"/>
      <c r="K247" s="3847"/>
      <c r="M247" s="3805"/>
    </row>
    <row r="248" spans="2:21" ht="6.75" hidden="1" customHeight="1" x14ac:dyDescent="0.25">
      <c r="B248" s="3847"/>
      <c r="C248" s="3847"/>
      <c r="D248" s="3847"/>
      <c r="E248" s="3847"/>
      <c r="F248" s="3847"/>
      <c r="G248" s="3847"/>
      <c r="H248" s="3847"/>
      <c r="I248" s="3847"/>
      <c r="J248" s="3847"/>
      <c r="K248" s="3847"/>
      <c r="M248" s="3805"/>
    </row>
    <row r="249" spans="2:21" x14ac:dyDescent="0.25">
      <c r="B249" s="3847"/>
      <c r="C249" s="3847" t="str">
        <f>_xlfn.SINGLE(MTCA)</f>
      </c>
      <c r="D249" s="3847"/>
      <c r="E249" s="3847"/>
      <c r="F249" s="3847"/>
      <c r="G249" s="3862" t="str">
        <f>ver</f>
        <v>TA2_e-CO_2025_Ver 1.1</v>
      </c>
      <c r="H249" s="3847"/>
      <c r="I249" s="3847"/>
      <c r="J249" s="3847"/>
      <c r="K249" s="3902" t="s">
        <v>10300</v>
      </c>
      <c r="M249" s="3805"/>
      <c r="P249" s="3903">
        <f>SUM(P179:P247)</f>
      </c>
      <c r="Q249" s="3903">
        <f>SUM(Q179:Q247)</f>
      </c>
    </row>
    <row r="250" spans="2:21" x14ac:dyDescent="0.25">
      <c r="B250" s="3847"/>
      <c r="C250" s="3847"/>
      <c r="D250" s="3847"/>
      <c r="E250" s="3847"/>
      <c r="F250" s="3847"/>
      <c r="G250" s="3862"/>
      <c r="H250" s="3847"/>
      <c r="I250" s="3847"/>
      <c r="J250" s="3847"/>
      <c r="K250" s="3902"/>
      <c r="M250" s="3805"/>
      <c r="P250" s="3805"/>
      <c r="Q250" s="3805"/>
    </row>
    <row r="251" spans="2:21" x14ac:dyDescent="0.25">
      <c r="B251" s="3847"/>
      <c r="C251" s="3847"/>
      <c r="D251" s="3847"/>
      <c r="E251" s="3847"/>
      <c r="F251" s="3847"/>
      <c r="G251" s="3862"/>
      <c r="H251" s="3847"/>
      <c r="I251" s="3847"/>
      <c r="J251" s="3847"/>
      <c r="K251" s="3902"/>
      <c r="M251" s="3805"/>
      <c r="P251" s="3805"/>
      <c r="Q251" s="3805"/>
    </row>
    <row r="252" spans="2:21" x14ac:dyDescent="0.25">
      <c r="B252" s="3847"/>
      <c r="C252" s="3847"/>
      <c r="D252" s="3847"/>
      <c r="E252" s="3847"/>
      <c r="F252" s="3847"/>
      <c r="G252" s="3862"/>
      <c r="H252" s="3847"/>
      <c r="I252" s="3847"/>
      <c r="J252" s="3847"/>
      <c r="K252" s="3902"/>
      <c r="M252" s="3805"/>
      <c r="P252" s="3805"/>
      <c r="Q252" s="3805"/>
    </row>
    <row r="253" spans="2:21" x14ac:dyDescent="0.25">
      <c r="B253" s="3805"/>
      <c r="C253" s="3805"/>
      <c r="D253" s="3805"/>
      <c r="E253" s="3805"/>
      <c r="F253" s="3805"/>
      <c r="G253" s="3805"/>
      <c r="H253" s="3805"/>
      <c r="I253" s="3805"/>
      <c r="J253" s="3805"/>
      <c r="K253" s="3805"/>
      <c r="L253" s="3805"/>
      <c r="M253" s="3805"/>
      <c r="P253" s="3805"/>
      <c r="Q253" s="3805"/>
    </row>
    <row r="254" spans="2:21" s="3843" customFormat="1" ht="12.75" x14ac:dyDescent="0.2">
      <c r="B254" s="5436" t="s">
        <v>10301</v>
      </c>
      <c r="C254" s="5437"/>
      <c r="D254" s="5437"/>
      <c r="E254" s="5437"/>
      <c r="F254" s="5437"/>
      <c r="G254" s="5437"/>
      <c r="H254" s="5437"/>
      <c r="I254" s="5437"/>
      <c r="J254" s="5437"/>
      <c r="K254" s="5438"/>
    </row>
    <row r="255" spans="2:21" s="3843" customFormat="1" ht="12.75" x14ac:dyDescent="0.2">
      <c r="B255" s="3914"/>
      <c r="C255" s="3913"/>
      <c r="D255" s="3915"/>
      <c r="E255" s="3915"/>
      <c r="F255" s="3915"/>
      <c r="G255" s="3915"/>
      <c r="H255" s="3913"/>
      <c r="I255" s="3913"/>
      <c r="J255" s="3913"/>
      <c r="K255" s="3915"/>
      <c r="P255" s="3916" t="s">
        <v>9985</v>
      </c>
      <c r="Q255" s="3916">
        <f>Q166+Q249+Q260+Q83</f>
      </c>
    </row>
    <row r="256" spans="2:21" s="3843" customFormat="1" ht="12.75" x14ac:dyDescent="0.2">
      <c r="B256" s="3914"/>
      <c r="C256" s="3917" t="s">
        <v>7157</v>
      </c>
      <c r="D256" s="3915"/>
      <c r="E256" s="3915"/>
      <c r="F256" s="3915"/>
      <c r="G256" s="3915"/>
      <c r="H256" s="3918" t="s">
        <v>951</v>
      </c>
      <c r="I256" s="3919">
        <f>IF($W$1="n",H69,SUM(H69+H153+H236))</f>
      </c>
      <c r="J256" s="3913"/>
      <c r="K256" s="3915"/>
      <c r="P256" s="3916" t="s">
        <v>9986</v>
      </c>
      <c r="Q256" s="3920">
        <f>P249+P166+P260+P83</f>
      </c>
    </row>
    <row r="257" spans="2:17" s="3843" customFormat="1" ht="12.75" x14ac:dyDescent="0.2">
      <c r="B257" s="3914"/>
      <c r="C257" s="3917"/>
      <c r="D257" s="3915"/>
      <c r="E257" s="3915"/>
      <c r="F257" s="3915"/>
      <c r="G257" s="3915"/>
      <c r="H257" s="3913"/>
      <c r="I257" s="3913"/>
      <c r="J257" s="3913"/>
      <c r="K257" s="3915"/>
    </row>
    <row r="258" spans="2:17" s="3843" customFormat="1" ht="12.75" x14ac:dyDescent="0.2">
      <c r="B258" s="3914"/>
      <c r="C258" s="3917" t="s">
        <v>8079</v>
      </c>
      <c r="D258" s="3915"/>
      <c r="E258" s="3915"/>
      <c r="F258" s="3915"/>
      <c r="G258" s="3915"/>
      <c r="H258" s="3918" t="s">
        <v>951</v>
      </c>
      <c r="I258" s="3919">
        <f>IF($W$1="n",I75,SUM(I241+I158+I75))</f>
      </c>
      <c r="J258" s="3913"/>
      <c r="K258" s="3915"/>
    </row>
    <row r="259" spans="2:17" s="3843" customFormat="1" ht="12.75" x14ac:dyDescent="0.2">
      <c r="B259" s="3914"/>
      <c r="C259" s="3913"/>
      <c r="D259" s="3915"/>
      <c r="E259" s="3915"/>
      <c r="F259" s="3915"/>
      <c r="G259" s="3915"/>
      <c r="H259" s="3913"/>
      <c r="I259" s="3913"/>
      <c r="J259" s="3913"/>
      <c r="K259" s="3915"/>
    </row>
    <row r="260" spans="2:17" s="3843" customFormat="1" ht="12.75" x14ac:dyDescent="0.2">
      <c r="B260" s="3913"/>
      <c r="C260" s="3913"/>
      <c r="D260" s="3915"/>
      <c r="E260" s="3914" t="s">
        <v>4802</v>
      </c>
      <c r="F260" s="3915"/>
      <c r="G260" s="3913"/>
      <c r="H260" s="3913"/>
      <c r="I260" s="3853"/>
      <c r="J260" s="3921" t="str">
        <f>IF(Q255=0,"",IF(AND(Q166+Q83+Q249=0,I260&lt;&gt;""),"Delete",IF(I260="",re,"")))</f>
        <v/>
      </c>
      <c r="K260" s="3913"/>
      <c r="L260" s="3927"/>
      <c r="P260" s="3843">
        <f>IF(J260="",0,1)</f>
      </c>
      <c r="Q260" s="3843">
        <f>IF(I260&gt;0,1,0)</f>
      </c>
    </row>
    <row r="261" spans="2:17" ht="19.149999999999999" customHeight="1" x14ac:dyDescent="0.25">
      <c r="B261" s="3847"/>
      <c r="C261" s="3847" t="str">
        <f>_xlfn.SINGLE(MTCA)</f>
      </c>
      <c r="D261" s="3847"/>
      <c r="E261" s="3847"/>
      <c r="F261" s="3847"/>
      <c r="G261" s="3862" t="str">
        <f>ver</f>
        <v>TA2_e-CO_2025_Ver 1.1</v>
      </c>
      <c r="H261" s="3847"/>
      <c r="I261" s="3847"/>
      <c r="J261" s="3847"/>
      <c r="K261" s="3902" t="s">
        <v>10302</v>
      </c>
      <c r="M261" s="3805"/>
      <c r="P261" s="3809">
        <f>IF(Q255=0,0,IF(Q256&gt;0,100,IF(I260="no",100,1)))</f>
      </c>
    </row>
    <row r="262" spans="2:17" ht="19.149999999999999" customHeight="1" x14ac:dyDescent="0.25">
      <c r="B262" s="3847"/>
      <c r="C262" s="3847"/>
      <c r="D262" s="3847"/>
      <c r="E262" s="3847"/>
      <c r="F262" s="3847"/>
      <c r="G262" s="3862"/>
      <c r="H262" s="3847"/>
      <c r="I262" s="3847"/>
      <c r="J262" s="3847"/>
      <c r="K262" s="3902"/>
      <c r="M262" s="3805"/>
      <c r="P262" s="3809"/>
    </row>
    <row r="263" spans="2:17" x14ac:dyDescent="0.25">
      <c r="C263" s="3922" t="s">
        <v>1700</v>
      </c>
    </row>
    <row r="264" spans="2:17" x14ac:dyDescent="0.25"/>
  </sheetData>
  <sheetProtection algorithmName="SHA-512" hashValue="k3XrSpKMrWEG/+0Ce1P8PrqDSGw5e1DFpgP6Goi3tS2+ecrt8xTfGV2PvEXawwThaoYXLjhzet3mwdh3bOIPsg==" saltValue="6a9LdkRgv1aNKK3J9OymHw==" spinCount="100000" sheet="1" objects="1" scenarios="1"/>
  <mergeCells count="19">
    <mergeCell ref="B254:K254"/>
    <mergeCell ref="B169:I169"/>
    <mergeCell ref="E190:J190"/>
    <mergeCell ref="E192:J192"/>
    <mergeCell ref="E196:J196"/>
    <mergeCell ref="F198:J198"/>
    <mergeCell ref="S240:U240"/>
    <mergeCell ref="B86:I86"/>
    <mergeCell ref="E107:J107"/>
    <mergeCell ref="E109:J109"/>
    <mergeCell ref="E113:J113"/>
    <mergeCell ref="F115:J115"/>
    <mergeCell ref="S157:U157"/>
    <mergeCell ref="S74:U74"/>
    <mergeCell ref="B1:I1"/>
    <mergeCell ref="E23:J23"/>
    <mergeCell ref="E25:J25"/>
    <mergeCell ref="E29:J29"/>
    <mergeCell ref="F31:J31"/>
  </mergeCells>
  <conditionalFormatting sqref="H64">
    <cfRule type="expression" dxfId="106" priority="4">
      <formula>$G$21&lt;ya</formula>
    </cfRule>
  </conditionalFormatting>
  <conditionalFormatting sqref="H65">
    <cfRule type="expression" dxfId="105" priority="13">
      <formula>$G$21=ya</formula>
    </cfRule>
  </conditionalFormatting>
  <conditionalFormatting sqref="H148">
    <cfRule type="expression" dxfId="104" priority="3">
      <formula>$G$105&lt;ya</formula>
    </cfRule>
  </conditionalFormatting>
  <conditionalFormatting sqref="H149">
    <cfRule type="expression" dxfId="103" priority="10">
      <formula>$G$105=ya</formula>
    </cfRule>
  </conditionalFormatting>
  <conditionalFormatting sqref="H231">
    <cfRule type="expression" dxfId="102" priority="1">
      <formula>$G$188&lt;ya</formula>
    </cfRule>
  </conditionalFormatting>
  <conditionalFormatting sqref="H232">
    <cfRule type="expression" dxfId="101" priority="7">
      <formula>$G$188=ya</formula>
    </cfRule>
  </conditionalFormatting>
  <dataValidations count="20">
    <dataValidation type="date" errorStyle="warning" allowBlank="1" showInputMessage="1" showErrorMessage="1" errorTitle="Date of certificate" error="Date is after the current year of assessment or 31/12/2021!" sqref="J186 J103" xr:uid="{00000000-0002-0000-6F00-000000000000}">
      <formula1>44197</formula1>
      <formula2>AE87</formula2>
    </dataValidation>
    <dataValidation type="list" allowBlank="1" showInputMessage="1" showErrorMessage="1" sqref="G78 G161 G244" xr:uid="{00000000-0002-0000-6F00-000001000000}">
      <formula1>$Y$2:$Y$4</formula1>
    </dataValidation>
    <dataValidation type="list" allowBlank="1" showInputMessage="1" showErrorMessage="1" sqref="E23:J23 E107:J107 E190:J190" xr:uid="{00000000-0002-0000-6F00-000002000000}">
      <formula1>$BA$1:$BA$17</formula1>
    </dataValidation>
    <dataValidation type="list" allowBlank="1" showInputMessage="1" showErrorMessage="1" sqref="E25:J25 E109:J109 E192:J192" xr:uid="{00000000-0002-0000-6F00-000003000000}">
      <formula1>$AK$1:$AK$24</formula1>
    </dataValidation>
    <dataValidation type="whole" allowBlank="1" showInputMessage="1" showErrorMessage="1" errorTitle="First year of assessment" error="Cannot be less than Y/A 2022 or greater than current Y/A!" sqref="G21 G105 G188" xr:uid="{00000000-0002-0000-6F00-000004000000}">
      <formula1>2022</formula1>
      <formula2>ya</formula2>
    </dataValidation>
    <dataValidation type="whole" allowBlank="1" showInputMessage="1" showErrorMessage="1" errorTitle="Income relieved by a tax credit" error="Please enter a positive value that does not exceed the available tax credits!_x000a_" sqref="I75 I158 I241" xr:uid="{00000000-0002-0000-6F00-000005000000}">
      <formula1>T75</formula1>
      <formula2>S75</formula2>
    </dataValidation>
    <dataValidation type="whole" allowBlank="1" showInputMessage="1" showErrorMessage="1" errorTitle="Approved assistance" error="Figure must be greater than 0 but must not exceed Total Available Investment Tax Credit" sqref="H69 H153 H236" xr:uid="{00000000-0002-0000-6F00-000006000000}">
      <formula1>0</formula1>
      <formula2>H68</formula2>
    </dataValidation>
    <dataValidation type="list" allowBlank="1" showInputMessage="1" showErrorMessage="1" sqref="J21 J105 J188" xr:uid="{00000000-0002-0000-6F00-000007000000}">
      <formula1>$AM$1:$AM$4</formula1>
    </dataValidation>
    <dataValidation type="list" allowBlank="1" showInputMessage="1" showErrorMessage="1" sqref="F31:J31 F115:J115 F198:J198" xr:uid="{00000000-0002-0000-6F00-000008000000}">
      <formula1>$AS$1:$AS$3</formula1>
    </dataValidation>
    <dataValidation operator="lessThanOrEqual" allowBlank="1" showInputMessage="1" showErrorMessage="1" errorTitle="Approved assistance" error="Figure must be negative!" sqref="H70:H71 H68 H154:H155 H152 H237:H238 H235" xr:uid="{00000000-0002-0000-6F00-000009000000}"/>
    <dataValidation type="whole" operator="greaterThanOrEqual" allowBlank="1" showInputMessage="1" showErrorMessage="1" errorTitle="Approved assistance" error="Figure must be greater than or equal to 0!" sqref="H65 H148:H149 H232" xr:uid="{00000000-0002-0000-6F00-00000A000000}">
      <formula1>0</formula1>
    </dataValidation>
    <dataValidation type="whole" operator="greaterThanOrEqual" allowBlank="1" showInputMessage="1" showErrorMessage="1" sqref="H64 L43:L44 L35:L41 J46:L46 J35:K44 N42 N44 O42:O44 N31:N40 H202:H211 H35:H44 I215:L215 H156 L127:L128 L119:L125 J130:L130 J119:K128 N126 N128 O126:O128 N115:N124 I48:L48 H119:H128 H72 H231 L210:L211 L202:L208 J213:L213 J202:K211 N209 N211 O209:O211 N198:N207 H239 I132:L132" xr:uid="{00000000-0002-0000-6F00-00000B000000}">
      <formula1>0</formula1>
    </dataValidation>
    <dataValidation type="textLength" operator="greaterThanOrEqual" allowBlank="1" showInputMessage="1" showErrorMessage="1" errorTitle="Certificate Reference" error="Enter correct reference!" sqref="G19 G103 G186" xr:uid="{00000000-0002-0000-6F00-00000C000000}">
      <formula1>6</formula1>
    </dataValidation>
    <dataValidation type="whole" operator="lessThanOrEqual" allowBlank="1" showInputMessage="1" showErrorMessage="1" errorTitle="Assistance entitlement claimed" error="Please enter a -ve amount!" sqref="J214:L214 N43 J47:L47 J131:L131 N210 N127" xr:uid="{00000000-0002-0000-6F00-00000D000000}">
      <formula1>0</formula1>
    </dataValidation>
    <dataValidation type="list" allowBlank="1" showInputMessage="1" showErrorMessage="1" errorTitle="Dropdown list" error="Choose an item from the list! " sqref="I12 I96 I179" xr:uid="{00000000-0002-0000-6F00-00000E000000}">
      <formula1>FU</formula1>
    </dataValidation>
    <dataValidation type="date" errorStyle="warning" allowBlank="1" showInputMessage="1" showErrorMessage="1" errorTitle="Date of certificate" error="Date is after the current year of assessment or 31/12/2021!_x000a_" sqref="J19" xr:uid="{00000000-0002-0000-6F00-00000F000000}">
      <formula1>44197</formula1>
      <formula2>AE2</formula2>
    </dataValidation>
    <dataValidation type="list" showInputMessage="1" showErrorMessage="1" sqref="I260" xr:uid="{00000000-0002-0000-6F00-000010000000}">
      <formula1>$Y$2:$Y$4</formula1>
    </dataValidation>
    <dataValidation type="list" allowBlank="1" showInputMessage="1" showErrorMessage="1" sqref="E29:J29" xr:uid="{00000000-0002-0000-6F00-000011000000}">
      <formula1>IF(J21="Large",AM13:AM15,AM7:AM11)</formula1>
    </dataValidation>
    <dataValidation type="list" allowBlank="1" showInputMessage="1" showErrorMessage="1" sqref="E196:J196" xr:uid="{00000000-0002-0000-6F00-000012000000}">
      <formula1>IF(J188="Large",AM13:AM15,AM7:AM11)</formula1>
    </dataValidation>
    <dataValidation type="list" allowBlank="1" showInputMessage="1" showErrorMessage="1" sqref="E113:J113" xr:uid="{00000000-0002-0000-6F00-000013000000}">
      <formula1>IF(J105="Large",AM13:AM15,AM7:AM11)</formula1>
    </dataValidation>
  </dataValidations>
  <hyperlinks>
    <hyperlink ref="C263" location="Index!A1" display="BACK TO INDEX" xr:uid="{00000000-0004-0000-6F00-000000000000}"/>
    <hyperlink ref="H258" location="'TRA35'!A1" display="TRA 35" xr:uid="{00000000-0004-0000-6F00-000001000000}"/>
    <hyperlink ref="H256" location="'TRA35'!A1" display="TRA 35" xr:uid="{00000000-0004-0000-6F00-000002000000}"/>
  </hyperlinks>
  <pageMargins left="0.7" right="0.7" top="0.75" bottom="0.75" header="0.3" footer="0.3"/>
  <pageSetup paperSize="9" orientation="portrait"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23"/>
  <dimension ref="A1:AB252"/>
  <sheetViews>
    <sheetView showGridLines="0" zoomScale="95" zoomScaleNormal="95" workbookViewId="0">
      <selection sqref="A1:G1"/>
    </sheetView>
  </sheetViews>
  <sheetFormatPr defaultColWidth="0" defaultRowHeight="12.75" zeroHeight="1" x14ac:dyDescent="0.2"/>
  <cols>
    <col min="1" max="1" width="1" style="1485" customWidth="1"/>
    <col min="2" max="2" width="12" style="1485" customWidth="1"/>
    <col min="3" max="3" width="15.7109375" style="1485" customWidth="1"/>
    <col min="4" max="4" width="13.7109375" style="1485" customWidth="1"/>
    <col min="5" max="5" width="13.28515625" style="1485" customWidth="1"/>
    <col min="6" max="6" width="16.7109375" style="1485" bestFit="1" customWidth="1"/>
    <col min="7" max="7" width="16.28515625" style="1485" customWidth="1"/>
    <col min="8" max="8" width="13.7109375" style="1485" customWidth="1"/>
    <col min="9" max="9" width="1.28515625" style="1485" customWidth="1"/>
    <col min="10" max="11" width="9.28515625" style="1485" hidden="1" customWidth="1"/>
    <col min="12" max="12" width="11.28515625" style="1485" hidden="1" customWidth="1"/>
    <col min="13" max="13" width="9.28515625" style="1485" hidden="1" customWidth="1"/>
    <col min="14" max="14" width="13.5703125" style="1485" hidden="1" customWidth="1"/>
    <col min="15" max="15" width="10.42578125" style="1485" hidden="1" customWidth="1"/>
    <col min="16" max="16384" width="9.28515625" style="1485" hidden="1"/>
  </cols>
  <sheetData>
    <row r="1" spans="1:28" x14ac:dyDescent="0.2">
      <c r="A1" s="4679" t="str">
        <f>_ref1</f>
      </c>
      <c r="B1" s="4679"/>
      <c r="C1" s="4679"/>
      <c r="D1" s="4679"/>
      <c r="E1" s="4679"/>
      <c r="F1" s="4679"/>
      <c r="G1" s="4679"/>
      <c r="H1" s="3510" t="str">
        <f>_YA1</f>
      </c>
      <c r="I1" s="3509"/>
      <c r="P1" s="1485" t="s">
        <v>9897</v>
      </c>
      <c r="Q1" s="1485" t="str">
        <f>'p2'!G36</f>
      </c>
      <c r="AB1" s="1485" t="s">
        <v>10372</v>
      </c>
    </row>
    <row r="2" spans="1:28" x14ac:dyDescent="0.2">
      <c r="A2" s="3509"/>
      <c r="B2" s="3509"/>
      <c r="C2" s="3509"/>
      <c r="D2" s="3509"/>
      <c r="E2" s="3509"/>
      <c r="F2" s="3509"/>
      <c r="G2" s="3509"/>
      <c r="H2" s="3509"/>
      <c r="I2" s="3509"/>
      <c r="N2" s="1485" t="s">
        <v>4457</v>
      </c>
      <c r="P2" s="1485" t="s">
        <v>10364</v>
      </c>
      <c r="Q2" s="1485" t="str">
        <f>'p2'!G41</f>
      </c>
      <c r="AB2" s="1485" t="s">
        <v>10373</v>
      </c>
    </row>
    <row r="3" spans="1:28" ht="15.75" x14ac:dyDescent="0.25">
      <c r="A3" s="3509"/>
      <c r="B3" s="3928" t="s">
        <v>33</v>
      </c>
      <c r="C3" s="3929"/>
      <c r="D3" s="3929"/>
      <c r="E3" s="3929"/>
      <c r="F3" s="3929"/>
      <c r="G3" s="3929"/>
      <c r="H3" s="3930"/>
      <c r="I3" s="3509"/>
      <c r="N3" s="1485" t="s">
        <v>1736</v>
      </c>
      <c r="AB3" s="1485" t="s">
        <v>10374</v>
      </c>
    </row>
    <row r="4" spans="1:28" ht="15.75" customHeight="1" x14ac:dyDescent="0.2">
      <c r="A4" s="3509"/>
      <c r="B4" s="5443" t="s">
        <v>10368</v>
      </c>
      <c r="C4" s="5444"/>
      <c r="D4" s="5444"/>
      <c r="E4" s="5444"/>
      <c r="F4" s="5444"/>
      <c r="G4" s="5444"/>
      <c r="H4" s="5445"/>
      <c r="I4" s="3509"/>
      <c r="AB4" s="1485" t="s">
        <v>10375</v>
      </c>
    </row>
    <row r="5" spans="1:28" ht="15.75" customHeight="1" x14ac:dyDescent="0.2">
      <c r="A5" s="3509"/>
      <c r="B5" s="5446"/>
      <c r="C5" s="5447"/>
      <c r="D5" s="5447"/>
      <c r="E5" s="5447"/>
      <c r="F5" s="5447"/>
      <c r="G5" s="5447"/>
      <c r="H5" s="5448"/>
      <c r="I5" s="3509"/>
      <c r="K5" s="1485" t="s">
        <v>7439</v>
      </c>
      <c r="L5" s="1485" t="s">
        <v>7161</v>
      </c>
      <c r="AB5" s="1485" t="s">
        <v>479</v>
      </c>
    </row>
    <row r="6" spans="1:28" x14ac:dyDescent="0.2">
      <c r="A6" s="3509"/>
      <c r="B6" s="3509"/>
      <c r="C6" s="3509"/>
      <c r="D6" s="3509"/>
      <c r="E6" s="3509"/>
      <c r="F6" s="3509"/>
      <c r="G6" s="3509"/>
      <c r="H6" s="3509"/>
      <c r="I6" s="3509"/>
      <c r="AB6" s="1485" t="s">
        <v>10376</v>
      </c>
    </row>
    <row r="7" spans="1:28" hidden="1" x14ac:dyDescent="0.2">
      <c r="A7" s="3509"/>
      <c r="B7" s="3509"/>
      <c r="C7" s="3509"/>
      <c r="D7" s="3509"/>
      <c r="E7" s="3509"/>
      <c r="F7" s="3509"/>
      <c r="G7" s="3509"/>
      <c r="H7" s="3509"/>
      <c r="I7" s="3509"/>
      <c r="AB7" s="1485" t="s">
        <v>10377</v>
      </c>
    </row>
    <row r="8" spans="1:28" hidden="1" x14ac:dyDescent="0.2">
      <c r="A8" s="3509"/>
      <c r="B8" s="3509"/>
      <c r="C8" s="3509"/>
      <c r="D8" s="3509"/>
      <c r="E8" s="3509"/>
      <c r="F8" s="3509"/>
      <c r="G8" s="3509"/>
      <c r="H8" s="3509"/>
      <c r="I8" s="3509"/>
      <c r="AB8" s="1485" t="s">
        <v>10378</v>
      </c>
    </row>
    <row r="9" spans="1:28" hidden="1" x14ac:dyDescent="0.2">
      <c r="A9" s="3509"/>
      <c r="B9" s="3509"/>
      <c r="C9" s="3509"/>
      <c r="D9" s="3509"/>
      <c r="E9" s="3509"/>
      <c r="F9" s="3509"/>
      <c r="G9" s="3509"/>
      <c r="H9" s="3509"/>
      <c r="I9" s="3509"/>
      <c r="AB9" s="1485" t="s">
        <v>10379</v>
      </c>
    </row>
    <row r="10" spans="1:28" hidden="1" x14ac:dyDescent="0.2">
      <c r="A10" s="3509"/>
      <c r="B10" s="3509"/>
      <c r="C10" s="3509"/>
      <c r="D10" s="3509"/>
      <c r="E10" s="3509"/>
      <c r="F10" s="3509"/>
      <c r="G10" s="3509"/>
      <c r="H10" s="3509"/>
      <c r="I10" s="3509"/>
      <c r="AB10" s="1485" t="s">
        <v>480</v>
      </c>
    </row>
    <row r="11" spans="1:28" hidden="1" x14ac:dyDescent="0.2">
      <c r="A11" s="3509"/>
      <c r="B11" s="3509"/>
      <c r="C11" s="3509"/>
      <c r="D11" s="3509"/>
      <c r="E11" s="3509"/>
      <c r="F11" s="3509"/>
      <c r="G11" s="3509"/>
      <c r="H11" s="3509"/>
      <c r="I11" s="3509"/>
      <c r="AB11" s="1485" t="s">
        <v>10380</v>
      </c>
    </row>
    <row r="12" spans="1:28" ht="15.75" hidden="1" customHeight="1" x14ac:dyDescent="0.2">
      <c r="A12" s="3509"/>
      <c r="B12" s="3509"/>
      <c r="C12" s="3509"/>
      <c r="D12" s="3509"/>
      <c r="E12" s="3509"/>
      <c r="F12" s="3509"/>
      <c r="G12" s="3509"/>
      <c r="H12" s="3509"/>
      <c r="I12" s="3509"/>
      <c r="AB12" s="1485" t="s">
        <v>10381</v>
      </c>
    </row>
    <row r="13" spans="1:28" ht="15.75" customHeight="1" x14ac:dyDescent="0.25">
      <c r="A13" s="3509"/>
      <c r="B13" s="3509" t="s">
        <v>10365</v>
      </c>
      <c r="C13" s="3509"/>
      <c r="D13" s="3509"/>
      <c r="E13" s="3509"/>
      <c r="F13" s="3509"/>
      <c r="G13" s="3352"/>
      <c r="H13" s="3939" t="str">
        <f>IF(AND(G13="",$Q$2="y"),re,IF(AND(G13&lt;&gt;"",OR(Q2=0,Q2="n")),"Check pg 2 Q35!",""))</f>
        <v/>
      </c>
      <c r="I13" s="3509"/>
      <c r="J13" s="3940"/>
      <c r="K13" s="3815">
        <f>IF(H13="",0,1)</f>
      </c>
      <c r="L13" s="3805">
        <f>IF(G13&lt;&gt;"",1,0)</f>
      </c>
      <c r="AB13" s="1485" t="s">
        <v>10382</v>
      </c>
    </row>
    <row r="14" spans="1:28" ht="5.25" customHeight="1" x14ac:dyDescent="0.25">
      <c r="A14" s="3509"/>
      <c r="B14" s="3509"/>
      <c r="C14" s="3509"/>
      <c r="D14" s="3509"/>
      <c r="E14" s="3509"/>
      <c r="F14" s="3509"/>
      <c r="G14" s="3509"/>
      <c r="H14" s="3509"/>
      <c r="I14" s="3509"/>
      <c r="J14" s="3940"/>
      <c r="AB14" s="1485" t="s">
        <v>10383</v>
      </c>
    </row>
    <row r="15" spans="1:28" ht="15" x14ac:dyDescent="0.25">
      <c r="A15" s="3509"/>
      <c r="B15" s="3509" t="s">
        <v>10366</v>
      </c>
      <c r="C15" s="3509"/>
      <c r="D15" s="3509"/>
      <c r="E15" s="3509"/>
      <c r="F15" s="3509"/>
      <c r="G15" s="3352"/>
      <c r="H15" s="3939" t="str">
        <f>IF(AND(G15="",$Q$2="y"),re,IF(AND(G15&lt;&gt;"",OR(Q2=0,Q2="n")),"Check pg 2 Q35!",""))</f>
        <v/>
      </c>
      <c r="I15" s="3509"/>
      <c r="K15" s="3815">
        <f>IF(H15="",0,1)</f>
      </c>
      <c r="L15" s="3805">
        <f>IF(G15&lt;&gt;"",1,0)</f>
      </c>
      <c r="AB15" s="1485" t="s">
        <v>481</v>
      </c>
    </row>
    <row r="16" spans="1:28" x14ac:dyDescent="0.2">
      <c r="A16" s="3509"/>
      <c r="B16" s="3509"/>
      <c r="C16" s="3509"/>
      <c r="D16" s="3509"/>
      <c r="E16" s="3509"/>
      <c r="F16" s="3509"/>
      <c r="G16" s="3509"/>
      <c r="H16" s="3509"/>
      <c r="I16" s="3509"/>
      <c r="AB16" s="1485" t="s">
        <v>10384</v>
      </c>
    </row>
    <row r="17" spans="1:28" ht="38.25" customHeight="1" x14ac:dyDescent="0.2">
      <c r="A17" s="3509"/>
      <c r="B17" s="5439" t="s">
        <v>10083</v>
      </c>
      <c r="C17" s="5439" t="s">
        <v>10307</v>
      </c>
      <c r="D17" s="5441" t="s">
        <v>10308</v>
      </c>
      <c r="E17" s="5442"/>
      <c r="F17" s="5439" t="s">
        <v>10309</v>
      </c>
      <c r="G17" s="5439" t="s">
        <v>10363</v>
      </c>
      <c r="H17" s="3509"/>
      <c r="I17" s="3509"/>
      <c r="AB17" s="1485" t="s">
        <v>10385</v>
      </c>
    </row>
    <row r="18" spans="1:28" x14ac:dyDescent="0.2">
      <c r="A18" s="3509"/>
      <c r="B18" s="5440"/>
      <c r="C18" s="5440"/>
      <c r="D18" s="3932" t="s">
        <v>4450</v>
      </c>
      <c r="E18" s="3932" t="s">
        <v>4693</v>
      </c>
      <c r="F18" s="5440"/>
      <c r="G18" s="5440"/>
      <c r="H18" s="3509"/>
      <c r="I18" s="3509"/>
      <c r="O18" s="1485" t="s">
        <v>10231</v>
      </c>
      <c r="AB18" s="1485" t="s">
        <v>10386</v>
      </c>
    </row>
    <row r="19" spans="1:28" ht="15" x14ac:dyDescent="0.25">
      <c r="A19" s="3509"/>
      <c r="B19" s="3352"/>
      <c r="C19" s="3352"/>
      <c r="D19" s="3703"/>
      <c r="E19" s="3933"/>
      <c r="F19" s="3933"/>
      <c r="G19" s="3352"/>
      <c r="H19" s="3931" t="str">
        <f>IF(AND(L19&gt;0,OR(G13="",$G$13="no")),"Delete!",IF(AND($Q$1="n",B19&lt;&gt;""),"Not a fiscal unit",IF(AND($G$13="yes",L19=0),re,IF(AND(D19&lt;&gt;"",O19=1),"Check TIFD code!",IF(AND(G13="Yes",$Q$1="y",L19&lt;&gt;6),"All data!",IF(AND(OR(Q1=0,$Q$1="n"),G13="yes",L19&lt;&gt;5),"All data!",""))))))</f>
        <v/>
      </c>
      <c r="I19" s="3509"/>
      <c r="K19" s="3815">
        <f t="shared" ref="K19:K49" si="0">IF(H19="",0,1)</f>
      </c>
      <c r="L19" s="3805">
        <f>IF($Q$1="y",COUNTA(B19:G19),COUNTA(C19:G19))</f>
      </c>
      <c r="O19" s="1485">
        <f t="shared" ref="O19:O49" si="1">IF(ISERROR(VLOOKUP(D19,TIFD_Income,1,FALSE))=TRUE,1,0)</f>
      </c>
      <c r="AB19" s="1485" t="s">
        <v>10387</v>
      </c>
    </row>
    <row r="20" spans="1:28" ht="15" x14ac:dyDescent="0.25">
      <c r="A20" s="3509"/>
      <c r="B20" s="3352"/>
      <c r="C20" s="3352"/>
      <c r="D20" s="3703"/>
      <c r="E20" s="3933"/>
      <c r="F20" s="3933"/>
      <c r="G20" s="3352"/>
      <c r="H20" s="3931" t="str">
        <f>IF(AND(L20&gt;0,OR($G$13="",$G$13="no")),"Delete!",IF(AND($Q$1="n",B20&lt;&gt;""),"Not a fiscal unit",IF(AND(D20&lt;&gt;"",O20=1),"Check TIFD code!",IF(AND($Q$1="y",L20&gt;0,L20&lt;&gt;6),"All data!",IF(AND(OR($Q$1=0,$Q$1="n"),L20&gt;0,L20&lt;&gt;5),"All data!","")))))</f>
        <v/>
      </c>
      <c r="I20" s="3509"/>
      <c r="K20" s="3815">
        <f t="shared" si="0"/>
        <v>0</v>
      </c>
      <c r="L20" s="3805">
        <f t="shared" ref="L20:L49" si="2">IF($Q$1="y",COUNTA(B20:G20),COUNTA(C20:G20))</f>
      </c>
      <c r="O20" s="1485">
        <f t="shared" si="1"/>
        <v>1</v>
      </c>
      <c r="AB20" s="1485" t="s">
        <v>10388</v>
      </c>
    </row>
    <row r="21" spans="1:28" ht="15" x14ac:dyDescent="0.25">
      <c r="A21" s="3509"/>
      <c r="B21" s="3352"/>
      <c r="C21" s="3352"/>
      <c r="D21" s="3703"/>
      <c r="E21" s="3933"/>
      <c r="F21" s="3933"/>
      <c r="G21" s="3352"/>
      <c r="H21" s="3931" t="str">
        <f t="shared" ref="H21:H49" si="3">IF(AND(L21&gt;0,OR($G$13="",$G$13="no")),"Delete!",IF(AND($Q$1="n",B21&lt;&gt;""),"Not a fiscal unit",IF(AND(D21&lt;&gt;"",O21=1),"Check TIFD code!",IF(AND($Q$1="y",L21&gt;0,L21&lt;&gt;6),"All data!",IF(AND(OR($Q$1=0,$Q$1="n"),L21&gt;0,L21&lt;&gt;5),"All data!","")))))</f>
        <v/>
      </c>
      <c r="I21" s="3509"/>
      <c r="K21" s="3815">
        <f t="shared" si="0"/>
        <v>0</v>
      </c>
      <c r="L21" s="3805">
        <f t="shared" si="2"/>
        <v>0</v>
      </c>
      <c r="O21" s="1485">
        <f t="shared" si="1"/>
        <v>1</v>
      </c>
      <c r="AB21" s="1485" t="s">
        <v>10389</v>
      </c>
    </row>
    <row r="22" spans="1:28" ht="15" x14ac:dyDescent="0.25">
      <c r="A22" s="3509"/>
      <c r="B22" s="3352"/>
      <c r="C22" s="3352"/>
      <c r="D22" s="3703"/>
      <c r="E22" s="3933"/>
      <c r="F22" s="3933"/>
      <c r="G22" s="3352"/>
      <c r="H22" s="3931" t="str">
        <f t="shared" si="3"/>
        <v/>
      </c>
      <c r="I22" s="3509"/>
      <c r="K22" s="3815">
        <f t="shared" si="0"/>
        <v>0</v>
      </c>
      <c r="L22" s="3805">
        <f t="shared" si="2"/>
        <v>0</v>
      </c>
      <c r="O22" s="1485">
        <f t="shared" si="1"/>
        <v>1</v>
      </c>
      <c r="AB22" s="1485" t="s">
        <v>10390</v>
      </c>
    </row>
    <row r="23" spans="1:28" ht="15" x14ac:dyDescent="0.25">
      <c r="A23" s="3509"/>
      <c r="B23" s="3352"/>
      <c r="C23" s="3352"/>
      <c r="D23" s="3703"/>
      <c r="E23" s="3933"/>
      <c r="F23" s="3933"/>
      <c r="G23" s="3352"/>
      <c r="H23" s="3931" t="str">
        <f t="shared" si="3"/>
        <v/>
      </c>
      <c r="I23" s="3509"/>
      <c r="K23" s="3815">
        <f t="shared" si="0"/>
        <v>0</v>
      </c>
      <c r="L23" s="3805">
        <f t="shared" si="2"/>
        <v>0</v>
      </c>
      <c r="O23" s="1485">
        <f t="shared" si="1"/>
        <v>1</v>
      </c>
      <c r="AB23" s="1485" t="s">
        <v>3357</v>
      </c>
    </row>
    <row r="24" spans="1:28" ht="15" x14ac:dyDescent="0.25">
      <c r="A24" s="3509"/>
      <c r="B24" s="3352"/>
      <c r="C24" s="3352"/>
      <c r="D24" s="3703"/>
      <c r="E24" s="3933"/>
      <c r="F24" s="3933"/>
      <c r="G24" s="3352"/>
      <c r="H24" s="3931" t="str">
        <f t="shared" si="3"/>
        <v/>
      </c>
      <c r="I24" s="3509"/>
      <c r="K24" s="3815">
        <f t="shared" si="0"/>
        <v>0</v>
      </c>
      <c r="L24" s="3805">
        <f t="shared" si="2"/>
        <v>0</v>
      </c>
      <c r="O24" s="1485">
        <f t="shared" si="1"/>
        <v>1</v>
      </c>
      <c r="AB24" s="1485" t="s">
        <v>10391</v>
      </c>
    </row>
    <row r="25" spans="1:28" ht="15" x14ac:dyDescent="0.25">
      <c r="A25" s="3509"/>
      <c r="B25" s="3352"/>
      <c r="C25" s="3352"/>
      <c r="D25" s="3703"/>
      <c r="E25" s="3933"/>
      <c r="F25" s="3933"/>
      <c r="G25" s="3352"/>
      <c r="H25" s="3931" t="str">
        <f t="shared" si="3"/>
        <v/>
      </c>
      <c r="I25" s="3509"/>
      <c r="K25" s="3815">
        <f t="shared" si="0"/>
        <v>0</v>
      </c>
      <c r="L25" s="3805">
        <f t="shared" si="2"/>
        <v>0</v>
      </c>
      <c r="O25" s="1485">
        <f t="shared" si="1"/>
        <v>1</v>
      </c>
      <c r="AB25" s="1485" t="s">
        <v>482</v>
      </c>
    </row>
    <row r="26" spans="1:28" ht="15" x14ac:dyDescent="0.25">
      <c r="A26" s="3509"/>
      <c r="B26" s="3352"/>
      <c r="C26" s="3352"/>
      <c r="D26" s="3703"/>
      <c r="E26" s="3933"/>
      <c r="F26" s="3933"/>
      <c r="G26" s="3352"/>
      <c r="H26" s="3931" t="str">
        <f t="shared" si="3"/>
        <v/>
      </c>
      <c r="I26" s="3509"/>
      <c r="K26" s="3815">
        <f t="shared" si="0"/>
        <v>0</v>
      </c>
      <c r="L26" s="3805">
        <f t="shared" si="2"/>
        <v>0</v>
      </c>
      <c r="O26" s="1485">
        <f t="shared" si="1"/>
        <v>1</v>
      </c>
      <c r="AB26" s="1485" t="s">
        <v>483</v>
      </c>
    </row>
    <row r="27" spans="1:28" ht="15" x14ac:dyDescent="0.25">
      <c r="A27" s="3509"/>
      <c r="B27" s="3352"/>
      <c r="C27" s="3352"/>
      <c r="D27" s="3703"/>
      <c r="E27" s="3933"/>
      <c r="F27" s="3933"/>
      <c r="G27" s="3352"/>
      <c r="H27" s="3931" t="str">
        <f t="shared" si="3"/>
        <v/>
      </c>
      <c r="I27" s="3509"/>
      <c r="K27" s="3815">
        <f t="shared" si="0"/>
        <v>0</v>
      </c>
      <c r="L27" s="3805">
        <f t="shared" si="2"/>
        <v>0</v>
      </c>
      <c r="O27" s="1485">
        <f t="shared" si="1"/>
        <v>1</v>
      </c>
      <c r="AB27" s="1485" t="s">
        <v>484</v>
      </c>
    </row>
    <row r="28" spans="1:28" ht="15" x14ac:dyDescent="0.25">
      <c r="A28" s="3509"/>
      <c r="B28" s="3352"/>
      <c r="C28" s="3352"/>
      <c r="D28" s="3703"/>
      <c r="E28" s="3933"/>
      <c r="F28" s="3933"/>
      <c r="G28" s="3352"/>
      <c r="H28" s="3931" t="str">
        <f t="shared" si="3"/>
        <v/>
      </c>
      <c r="I28" s="3509"/>
      <c r="K28" s="3815">
        <f t="shared" si="0"/>
        <v>0</v>
      </c>
      <c r="L28" s="3805">
        <f t="shared" si="2"/>
        <v>0</v>
      </c>
      <c r="O28" s="1485">
        <f t="shared" si="1"/>
        <v>1</v>
      </c>
      <c r="AB28" s="1485" t="s">
        <v>10392</v>
      </c>
    </row>
    <row r="29" spans="1:28" ht="15" x14ac:dyDescent="0.25">
      <c r="A29" s="3509"/>
      <c r="B29" s="3352"/>
      <c r="C29" s="3352"/>
      <c r="D29" s="3703"/>
      <c r="E29" s="3933"/>
      <c r="F29" s="3933"/>
      <c r="G29" s="3352"/>
      <c r="H29" s="3931" t="str">
        <f t="shared" si="3"/>
        <v/>
      </c>
      <c r="I29" s="3509"/>
      <c r="K29" s="3815">
        <f t="shared" si="0"/>
        <v>0</v>
      </c>
      <c r="L29" s="3805">
        <f t="shared" si="2"/>
        <v>0</v>
      </c>
      <c r="O29" s="1485">
        <f t="shared" si="1"/>
        <v>1</v>
      </c>
      <c r="AB29" s="1485" t="s">
        <v>10393</v>
      </c>
    </row>
    <row r="30" spans="1:28" ht="15" x14ac:dyDescent="0.25">
      <c r="A30" s="3509"/>
      <c r="B30" s="3352"/>
      <c r="C30" s="3352"/>
      <c r="D30" s="3703"/>
      <c r="E30" s="3933"/>
      <c r="F30" s="3933"/>
      <c r="G30" s="3352"/>
      <c r="H30" s="3931" t="str">
        <f t="shared" si="3"/>
        <v/>
      </c>
      <c r="I30" s="3509"/>
      <c r="K30" s="3815">
        <f t="shared" si="0"/>
        <v>0</v>
      </c>
      <c r="L30" s="3805">
        <f t="shared" si="2"/>
        <v>0</v>
      </c>
      <c r="O30" s="1485">
        <f t="shared" si="1"/>
        <v>1</v>
      </c>
      <c r="AB30" s="1485" t="s">
        <v>485</v>
      </c>
    </row>
    <row r="31" spans="1:28" ht="15" x14ac:dyDescent="0.25">
      <c r="A31" s="3509"/>
      <c r="B31" s="3352"/>
      <c r="C31" s="3352"/>
      <c r="D31" s="3703"/>
      <c r="E31" s="3933"/>
      <c r="F31" s="3933"/>
      <c r="G31" s="3352"/>
      <c r="H31" s="3931" t="str">
        <f t="shared" si="3"/>
        <v/>
      </c>
      <c r="I31" s="3509"/>
      <c r="K31" s="3815">
        <f t="shared" si="0"/>
        <v>0</v>
      </c>
      <c r="L31" s="3805">
        <f t="shared" si="2"/>
        <v>0</v>
      </c>
      <c r="O31" s="1485">
        <f t="shared" si="1"/>
        <v>1</v>
      </c>
      <c r="AB31" s="1485" t="s">
        <v>486</v>
      </c>
    </row>
    <row r="32" spans="1:28" ht="15" x14ac:dyDescent="0.25">
      <c r="A32" s="3509"/>
      <c r="B32" s="3352"/>
      <c r="C32" s="3352"/>
      <c r="D32" s="3703"/>
      <c r="E32" s="3933"/>
      <c r="F32" s="3933"/>
      <c r="G32" s="3352"/>
      <c r="H32" s="3931" t="str">
        <f t="shared" si="3"/>
        <v/>
      </c>
      <c r="I32" s="3509"/>
      <c r="K32" s="3815">
        <f t="shared" si="0"/>
        <v>0</v>
      </c>
      <c r="L32" s="3805">
        <f t="shared" si="2"/>
        <v>0</v>
      </c>
      <c r="O32" s="1485">
        <f t="shared" si="1"/>
        <v>1</v>
      </c>
      <c r="AB32" s="1485" t="s">
        <v>487</v>
      </c>
    </row>
    <row r="33" spans="1:28" ht="15" x14ac:dyDescent="0.25">
      <c r="A33" s="3509"/>
      <c r="B33" s="3352"/>
      <c r="C33" s="3352"/>
      <c r="D33" s="3703"/>
      <c r="E33" s="3933"/>
      <c r="F33" s="3933"/>
      <c r="G33" s="3352"/>
      <c r="H33" s="3931" t="str">
        <f t="shared" si="3"/>
        <v/>
      </c>
      <c r="I33" s="3509"/>
      <c r="K33" s="3815">
        <f t="shared" si="0"/>
        <v>0</v>
      </c>
      <c r="L33" s="3805">
        <f t="shared" si="2"/>
        <v>0</v>
      </c>
      <c r="O33" s="1485">
        <f t="shared" si="1"/>
        <v>1</v>
      </c>
      <c r="AB33" s="1485" t="s">
        <v>10394</v>
      </c>
    </row>
    <row r="34" spans="1:28" ht="15" x14ac:dyDescent="0.25">
      <c r="A34" s="3509"/>
      <c r="B34" s="3352"/>
      <c r="C34" s="3352"/>
      <c r="D34" s="3703"/>
      <c r="E34" s="3933"/>
      <c r="F34" s="3933"/>
      <c r="G34" s="3352"/>
      <c r="H34" s="3931" t="str">
        <f t="shared" si="3"/>
        <v/>
      </c>
      <c r="I34" s="3509"/>
      <c r="K34" s="3815">
        <f t="shared" si="0"/>
        <v>0</v>
      </c>
      <c r="L34" s="3805">
        <f t="shared" si="2"/>
        <v>0</v>
      </c>
      <c r="O34" s="1485">
        <f t="shared" si="1"/>
        <v>1</v>
      </c>
      <c r="AB34" s="1485" t="s">
        <v>488</v>
      </c>
    </row>
    <row r="35" spans="1:28" ht="15" x14ac:dyDescent="0.25">
      <c r="A35" s="3509"/>
      <c r="B35" s="3352"/>
      <c r="C35" s="3352"/>
      <c r="D35" s="3703"/>
      <c r="E35" s="3933"/>
      <c r="F35" s="3933"/>
      <c r="G35" s="3352"/>
      <c r="H35" s="3931" t="str">
        <f t="shared" si="3"/>
        <v/>
      </c>
      <c r="I35" s="3509"/>
      <c r="K35" s="3815">
        <f t="shared" si="0"/>
        <v>0</v>
      </c>
      <c r="L35" s="3805">
        <f t="shared" si="2"/>
        <v>0</v>
      </c>
      <c r="O35" s="1485">
        <f t="shared" si="1"/>
        <v>1</v>
      </c>
      <c r="AB35" s="1485" t="s">
        <v>10395</v>
      </c>
    </row>
    <row r="36" spans="1:28" ht="15" x14ac:dyDescent="0.25">
      <c r="A36" s="3509"/>
      <c r="B36" s="3352"/>
      <c r="C36" s="3352"/>
      <c r="D36" s="3703"/>
      <c r="E36" s="3933"/>
      <c r="F36" s="3933"/>
      <c r="G36" s="3352"/>
      <c r="H36" s="3931" t="str">
        <f t="shared" si="3"/>
        <v/>
      </c>
      <c r="I36" s="3509"/>
      <c r="K36" s="3815">
        <f t="shared" si="0"/>
        <v>0</v>
      </c>
      <c r="L36" s="3805">
        <f t="shared" si="2"/>
        <v>0</v>
      </c>
      <c r="O36" s="1485">
        <f t="shared" si="1"/>
        <v>1</v>
      </c>
      <c r="AB36" s="1485" t="s">
        <v>489</v>
      </c>
    </row>
    <row r="37" spans="1:28" ht="15" x14ac:dyDescent="0.25">
      <c r="A37" s="3509"/>
      <c r="B37" s="3352"/>
      <c r="C37" s="3352"/>
      <c r="D37" s="3703"/>
      <c r="E37" s="3933"/>
      <c r="F37" s="3933"/>
      <c r="G37" s="3352"/>
      <c r="H37" s="3931" t="str">
        <f t="shared" si="3"/>
        <v/>
      </c>
      <c r="I37" s="3509"/>
      <c r="K37" s="3815">
        <f t="shared" si="0"/>
        <v>0</v>
      </c>
      <c r="L37" s="3805">
        <f t="shared" si="2"/>
        <v>0</v>
      </c>
      <c r="O37" s="1485">
        <f t="shared" si="1"/>
        <v>1</v>
      </c>
      <c r="AB37" s="1485" t="s">
        <v>10396</v>
      </c>
    </row>
    <row r="38" spans="1:28" ht="15" x14ac:dyDescent="0.25">
      <c r="A38" s="3509"/>
      <c r="B38" s="3352"/>
      <c r="C38" s="3352"/>
      <c r="D38" s="3703"/>
      <c r="E38" s="3933"/>
      <c r="F38" s="3933"/>
      <c r="G38" s="3352"/>
      <c r="H38" s="3931" t="str">
        <f t="shared" si="3"/>
        <v/>
      </c>
      <c r="I38" s="3509"/>
      <c r="K38" s="3815">
        <f t="shared" si="0"/>
        <v>0</v>
      </c>
      <c r="L38" s="3805">
        <f t="shared" si="2"/>
        <v>0</v>
      </c>
      <c r="O38" s="1485">
        <f t="shared" si="1"/>
        <v>1</v>
      </c>
      <c r="AB38" s="1485" t="s">
        <v>10397</v>
      </c>
    </row>
    <row r="39" spans="1:28" ht="15" x14ac:dyDescent="0.25">
      <c r="A39" s="3509"/>
      <c r="B39" s="3352"/>
      <c r="C39" s="3352"/>
      <c r="D39" s="3703"/>
      <c r="E39" s="3933"/>
      <c r="F39" s="3933"/>
      <c r="G39" s="3352"/>
      <c r="H39" s="3931" t="str">
        <f t="shared" si="3"/>
        <v/>
      </c>
      <c r="I39" s="3509"/>
      <c r="K39" s="3815">
        <f t="shared" si="0"/>
        <v>0</v>
      </c>
      <c r="L39" s="3805">
        <f t="shared" si="2"/>
        <v>0</v>
      </c>
      <c r="O39" s="1485">
        <f t="shared" si="1"/>
        <v>1</v>
      </c>
      <c r="AB39" s="1485" t="s">
        <v>490</v>
      </c>
    </row>
    <row r="40" spans="1:28" ht="15" x14ac:dyDescent="0.25">
      <c r="A40" s="3509"/>
      <c r="B40" s="3352"/>
      <c r="C40" s="3352"/>
      <c r="D40" s="3703"/>
      <c r="E40" s="3933"/>
      <c r="F40" s="3933"/>
      <c r="G40" s="3352"/>
      <c r="H40" s="3931" t="str">
        <f t="shared" si="3"/>
        <v/>
      </c>
      <c r="I40" s="3509"/>
      <c r="K40" s="3815">
        <f t="shared" si="0"/>
        <v>0</v>
      </c>
      <c r="L40" s="3805">
        <f t="shared" si="2"/>
        <v>0</v>
      </c>
      <c r="O40" s="1485">
        <f t="shared" si="1"/>
        <v>1</v>
      </c>
      <c r="AB40" s="1485" t="s">
        <v>10398</v>
      </c>
    </row>
    <row r="41" spans="1:28" ht="15" x14ac:dyDescent="0.25">
      <c r="A41" s="3509"/>
      <c r="B41" s="3352"/>
      <c r="C41" s="3352"/>
      <c r="D41" s="3703"/>
      <c r="E41" s="3933"/>
      <c r="F41" s="3933"/>
      <c r="G41" s="3352"/>
      <c r="H41" s="3931" t="str">
        <f t="shared" si="3"/>
        <v/>
      </c>
      <c r="I41" s="3509"/>
      <c r="K41" s="3815">
        <f t="shared" si="0"/>
        <v>0</v>
      </c>
      <c r="L41" s="3805">
        <f t="shared" si="2"/>
        <v>0</v>
      </c>
      <c r="O41" s="1485">
        <f t="shared" si="1"/>
        <v>1</v>
      </c>
      <c r="AB41" s="1485" t="s">
        <v>10399</v>
      </c>
    </row>
    <row r="42" spans="1:28" ht="15" x14ac:dyDescent="0.25">
      <c r="A42" s="3509"/>
      <c r="B42" s="3352"/>
      <c r="C42" s="3352"/>
      <c r="D42" s="3703"/>
      <c r="E42" s="3933"/>
      <c r="F42" s="3933"/>
      <c r="G42" s="3352"/>
      <c r="H42" s="3931" t="str">
        <f t="shared" si="3"/>
        <v/>
      </c>
      <c r="I42" s="3509"/>
      <c r="K42" s="3815">
        <f t="shared" si="0"/>
        <v>0</v>
      </c>
      <c r="L42" s="3805">
        <f t="shared" si="2"/>
        <v>0</v>
      </c>
      <c r="O42" s="1485">
        <f t="shared" si="1"/>
        <v>1</v>
      </c>
      <c r="AB42" s="1485" t="s">
        <v>10400</v>
      </c>
    </row>
    <row r="43" spans="1:28" ht="15" x14ac:dyDescent="0.25">
      <c r="A43" s="3509"/>
      <c r="B43" s="3352"/>
      <c r="C43" s="3352"/>
      <c r="D43" s="3703"/>
      <c r="E43" s="3933"/>
      <c r="F43" s="3933"/>
      <c r="G43" s="3352"/>
      <c r="H43" s="3931" t="str">
        <f t="shared" si="3"/>
        <v/>
      </c>
      <c r="I43" s="3509"/>
      <c r="K43" s="3815">
        <f t="shared" si="0"/>
        <v>0</v>
      </c>
      <c r="L43" s="3805">
        <f t="shared" si="2"/>
        <v>0</v>
      </c>
      <c r="O43" s="1485">
        <f t="shared" si="1"/>
        <v>1</v>
      </c>
      <c r="AB43" s="1485" t="s">
        <v>10401</v>
      </c>
    </row>
    <row r="44" spans="1:28" ht="15" x14ac:dyDescent="0.25">
      <c r="A44" s="3509"/>
      <c r="B44" s="3352"/>
      <c r="C44" s="3352"/>
      <c r="D44" s="3703"/>
      <c r="E44" s="3933"/>
      <c r="F44" s="3933"/>
      <c r="G44" s="3352"/>
      <c r="H44" s="3931" t="str">
        <f t="shared" si="3"/>
        <v/>
      </c>
      <c r="I44" s="3509"/>
      <c r="K44" s="3815">
        <f t="shared" si="0"/>
        <v>0</v>
      </c>
      <c r="L44" s="3805">
        <f t="shared" si="2"/>
        <v>0</v>
      </c>
      <c r="O44" s="1485">
        <f t="shared" si="1"/>
        <v>1</v>
      </c>
      <c r="AB44" s="1485" t="s">
        <v>10402</v>
      </c>
    </row>
    <row r="45" spans="1:28" ht="15" x14ac:dyDescent="0.25">
      <c r="A45" s="3509"/>
      <c r="B45" s="3352"/>
      <c r="C45" s="3352"/>
      <c r="D45" s="3703"/>
      <c r="E45" s="3933"/>
      <c r="F45" s="3933"/>
      <c r="G45" s="3352"/>
      <c r="H45" s="3931" t="str">
        <f t="shared" si="3"/>
        <v/>
      </c>
      <c r="I45" s="3509"/>
      <c r="K45" s="3815">
        <f t="shared" si="0"/>
        <v>0</v>
      </c>
      <c r="L45" s="3805">
        <f t="shared" si="2"/>
        <v>0</v>
      </c>
      <c r="O45" s="1485">
        <f t="shared" si="1"/>
        <v>1</v>
      </c>
      <c r="AB45" s="1485" t="s">
        <v>491</v>
      </c>
    </row>
    <row r="46" spans="1:28" ht="15" x14ac:dyDescent="0.25">
      <c r="A46" s="3509"/>
      <c r="B46" s="3352"/>
      <c r="C46" s="3352"/>
      <c r="D46" s="3703"/>
      <c r="E46" s="3933"/>
      <c r="F46" s="3933"/>
      <c r="G46" s="3352"/>
      <c r="H46" s="3931" t="str">
        <f t="shared" si="3"/>
        <v/>
      </c>
      <c r="I46" s="3509"/>
      <c r="K46" s="3815">
        <f t="shared" si="0"/>
        <v>0</v>
      </c>
      <c r="L46" s="3805">
        <f t="shared" si="2"/>
        <v>0</v>
      </c>
      <c r="O46" s="1485">
        <f t="shared" si="1"/>
        <v>1</v>
      </c>
      <c r="AB46" s="1485" t="s">
        <v>10403</v>
      </c>
    </row>
    <row r="47" spans="1:28" ht="15" x14ac:dyDescent="0.25">
      <c r="A47" s="3509"/>
      <c r="B47" s="3352"/>
      <c r="C47" s="3352"/>
      <c r="D47" s="3703"/>
      <c r="E47" s="3933"/>
      <c r="F47" s="3933"/>
      <c r="G47" s="3352"/>
      <c r="H47" s="3931" t="str">
        <f t="shared" si="3"/>
        <v/>
      </c>
      <c r="I47" s="3509"/>
      <c r="K47" s="3815">
        <f t="shared" si="0"/>
        <v>0</v>
      </c>
      <c r="L47" s="3805">
        <f t="shared" si="2"/>
        <v>0</v>
      </c>
      <c r="O47" s="1485">
        <f t="shared" si="1"/>
        <v>1</v>
      </c>
      <c r="AB47" s="1485" t="s">
        <v>10404</v>
      </c>
    </row>
    <row r="48" spans="1:28" ht="15" x14ac:dyDescent="0.25">
      <c r="A48" s="3509"/>
      <c r="B48" s="3352"/>
      <c r="C48" s="3352"/>
      <c r="D48" s="3703"/>
      <c r="E48" s="3933"/>
      <c r="F48" s="3933"/>
      <c r="G48" s="3352"/>
      <c r="H48" s="3931" t="str">
        <f t="shared" si="3"/>
        <v/>
      </c>
      <c r="I48" s="3509"/>
      <c r="K48" s="3815">
        <f t="shared" si="0"/>
        <v>0</v>
      </c>
      <c r="L48" s="3805">
        <f t="shared" si="2"/>
        <v>0</v>
      </c>
      <c r="O48" s="1485">
        <f t="shared" si="1"/>
        <v>1</v>
      </c>
      <c r="AB48" s="1485" t="s">
        <v>492</v>
      </c>
    </row>
    <row r="49" spans="1:28" ht="15" x14ac:dyDescent="0.25">
      <c r="A49" s="3509"/>
      <c r="B49" s="3352"/>
      <c r="C49" s="3352"/>
      <c r="D49" s="3703"/>
      <c r="E49" s="3933"/>
      <c r="F49" s="3933"/>
      <c r="G49" s="3352"/>
      <c r="H49" s="3931" t="str">
        <f t="shared" si="3"/>
        <v/>
      </c>
      <c r="I49" s="3509"/>
      <c r="K49" s="3815">
        <f t="shared" si="0"/>
        <v>0</v>
      </c>
      <c r="L49" s="3805">
        <f t="shared" si="2"/>
        <v>0</v>
      </c>
      <c r="O49" s="1485">
        <f t="shared" si="1"/>
        <v>1</v>
      </c>
      <c r="AB49" s="1485" t="s">
        <v>10405</v>
      </c>
    </row>
    <row r="50" spans="1:28" ht="15" x14ac:dyDescent="0.25">
      <c r="A50" s="3509"/>
      <c r="B50" s="3352"/>
      <c r="C50" s="3352"/>
      <c r="D50" s="3703"/>
      <c r="E50" s="3933"/>
      <c r="F50" s="3933"/>
      <c r="G50" s="3352"/>
      <c r="H50" s="3931" t="str">
        <f t="shared" ref="H50:H100" si="4">IF(AND(L50&gt;0,OR($G$13="",$G$13="no")),"Delete!",IF(AND($Q$1="n",B50&lt;&gt;""),"Not a fiscal unit",IF(AND(D50&lt;&gt;"",O50=1),"Check TIFD code!",IF(AND($Q$1="y",L50&gt;0,L50&lt;&gt;6),"All data!",IF(AND(OR($Q$1=0,$Q$1="n"),L50&gt;0,L50&lt;&gt;5),"All data!","")))))</f>
        <v/>
      </c>
      <c r="I50" s="3509"/>
      <c r="K50" s="3815">
        <f t="shared" ref="K50:K100" si="5">IF(H50="",0,1)</f>
      </c>
      <c r="L50" s="3805">
        <f t="shared" ref="L50:L100" si="6">IF($Q$1="y",COUNTA(B50:G50),COUNTA(C50:G50))</f>
      </c>
      <c r="O50" s="1485">
        <f t="shared" ref="O50:O100" si="7">IF(ISERROR(VLOOKUP(D50,TIFD_Income,1,FALSE))=TRUE,1,0)</f>
      </c>
      <c r="AB50" s="1485" t="s">
        <v>10406</v>
      </c>
    </row>
    <row r="51" spans="1:28" ht="15" x14ac:dyDescent="0.25">
      <c r="A51" s="3509"/>
      <c r="B51" s="3352"/>
      <c r="C51" s="3352"/>
      <c r="D51" s="3703"/>
      <c r="E51" s="3933"/>
      <c r="F51" s="3933"/>
      <c r="G51" s="3352"/>
      <c r="H51" s="3931" t="str">
        <f t="shared" si="4"/>
        <v/>
      </c>
      <c r="I51" s="3509"/>
      <c r="K51" s="3815">
        <f t="shared" si="5"/>
        <v>0</v>
      </c>
      <c r="L51" s="3805">
        <f t="shared" si="6"/>
        <v>0</v>
      </c>
      <c r="O51" s="1485">
        <f t="shared" si="7"/>
        <v>1</v>
      </c>
      <c r="AB51" s="1485" t="s">
        <v>10407</v>
      </c>
    </row>
    <row r="52" spans="1:28" ht="15" x14ac:dyDescent="0.25">
      <c r="A52" s="3509"/>
      <c r="B52" s="3352"/>
      <c r="C52" s="3352"/>
      <c r="D52" s="3703"/>
      <c r="E52" s="3933"/>
      <c r="F52" s="3933"/>
      <c r="G52" s="3352"/>
      <c r="H52" s="3931" t="str">
        <f t="shared" si="4"/>
        <v/>
      </c>
      <c r="I52" s="3509"/>
      <c r="K52" s="3815">
        <f t="shared" si="5"/>
        <v>0</v>
      </c>
      <c r="L52" s="3805">
        <f t="shared" si="6"/>
        <v>0</v>
      </c>
      <c r="O52" s="1485">
        <f t="shared" si="7"/>
        <v>1</v>
      </c>
      <c r="AB52" s="1485" t="s">
        <v>10408</v>
      </c>
    </row>
    <row r="53" spans="1:28" ht="15" x14ac:dyDescent="0.25">
      <c r="A53" s="3509"/>
      <c r="B53" s="3352"/>
      <c r="C53" s="3352"/>
      <c r="D53" s="3703"/>
      <c r="E53" s="3933"/>
      <c r="F53" s="3933"/>
      <c r="G53" s="3352"/>
      <c r="H53" s="3931" t="str">
        <f t="shared" si="4"/>
        <v/>
      </c>
      <c r="I53" s="3509"/>
      <c r="K53" s="3815">
        <f t="shared" si="5"/>
        <v>0</v>
      </c>
      <c r="L53" s="3805">
        <f t="shared" si="6"/>
        <v>0</v>
      </c>
      <c r="O53" s="1485">
        <f t="shared" si="7"/>
        <v>1</v>
      </c>
      <c r="AB53" s="1485" t="s">
        <v>10409</v>
      </c>
    </row>
    <row r="54" spans="1:28" ht="15" x14ac:dyDescent="0.25">
      <c r="A54" s="3509"/>
      <c r="B54" s="3352"/>
      <c r="C54" s="3352"/>
      <c r="D54" s="3703"/>
      <c r="E54" s="3933"/>
      <c r="F54" s="3933"/>
      <c r="G54" s="3352"/>
      <c r="H54" s="3931" t="str">
        <f t="shared" si="4"/>
        <v/>
      </c>
      <c r="I54" s="3509"/>
      <c r="K54" s="3815">
        <f t="shared" si="5"/>
        <v>0</v>
      </c>
      <c r="L54" s="3805">
        <f t="shared" si="6"/>
        <v>0</v>
      </c>
      <c r="O54" s="1485">
        <f t="shared" si="7"/>
        <v>1</v>
      </c>
      <c r="AB54" s="1485" t="s">
        <v>10410</v>
      </c>
    </row>
    <row r="55" spans="1:28" ht="15" x14ac:dyDescent="0.25">
      <c r="A55" s="3509"/>
      <c r="B55" s="3352"/>
      <c r="C55" s="3352"/>
      <c r="D55" s="3703"/>
      <c r="E55" s="3933"/>
      <c r="F55" s="3933"/>
      <c r="G55" s="3352"/>
      <c r="H55" s="3931" t="str">
        <f t="shared" si="4"/>
        <v/>
      </c>
      <c r="I55" s="3509"/>
      <c r="K55" s="3815">
        <f t="shared" si="5"/>
        <v>0</v>
      </c>
      <c r="L55" s="3805">
        <f t="shared" si="6"/>
        <v>0</v>
      </c>
      <c r="O55" s="1485">
        <f t="shared" si="7"/>
        <v>1</v>
      </c>
      <c r="AB55" s="1485" t="s">
        <v>10411</v>
      </c>
    </row>
    <row r="56" spans="1:28" ht="15" x14ac:dyDescent="0.25">
      <c r="A56" s="3509"/>
      <c r="B56" s="3352"/>
      <c r="C56" s="3352"/>
      <c r="D56" s="3703"/>
      <c r="E56" s="3933"/>
      <c r="F56" s="3933"/>
      <c r="G56" s="3352"/>
      <c r="H56" s="3931" t="str">
        <f t="shared" si="4"/>
        <v/>
      </c>
      <c r="I56" s="3509"/>
      <c r="K56" s="3815">
        <f t="shared" si="5"/>
        <v>0</v>
      </c>
      <c r="L56" s="3805">
        <f t="shared" si="6"/>
        <v>0</v>
      </c>
      <c r="O56" s="1485">
        <f t="shared" si="7"/>
        <v>1</v>
      </c>
      <c r="AB56" s="1485" t="s">
        <v>10412</v>
      </c>
    </row>
    <row r="57" spans="1:28" ht="15" x14ac:dyDescent="0.25">
      <c r="A57" s="3509"/>
      <c r="B57" s="3352"/>
      <c r="C57" s="3352"/>
      <c r="D57" s="3703"/>
      <c r="E57" s="3933"/>
      <c r="F57" s="3933"/>
      <c r="G57" s="3352"/>
      <c r="H57" s="3931" t="str">
        <f t="shared" si="4"/>
        <v/>
      </c>
      <c r="I57" s="3509"/>
      <c r="K57" s="3815">
        <f t="shared" si="5"/>
        <v>0</v>
      </c>
      <c r="L57" s="3805">
        <f t="shared" si="6"/>
        <v>0</v>
      </c>
      <c r="O57" s="1485">
        <f t="shared" si="7"/>
        <v>1</v>
      </c>
      <c r="AB57" s="1485" t="s">
        <v>493</v>
      </c>
    </row>
    <row r="58" spans="1:28" ht="15" x14ac:dyDescent="0.25">
      <c r="A58" s="3509"/>
      <c r="B58" s="3352"/>
      <c r="C58" s="3352"/>
      <c r="D58" s="3703"/>
      <c r="E58" s="3933"/>
      <c r="F58" s="3933"/>
      <c r="G58" s="3352"/>
      <c r="H58" s="3931" t="str">
        <f t="shared" si="4"/>
        <v/>
      </c>
      <c r="I58" s="3509"/>
      <c r="K58" s="3815">
        <f t="shared" si="5"/>
        <v>0</v>
      </c>
      <c r="L58" s="3805">
        <f t="shared" si="6"/>
        <v>0</v>
      </c>
      <c r="O58" s="1485">
        <f t="shared" si="7"/>
        <v>1</v>
      </c>
      <c r="AB58" s="1485" t="s">
        <v>10413</v>
      </c>
    </row>
    <row r="59" spans="1:28" ht="15" x14ac:dyDescent="0.25">
      <c r="A59" s="3509"/>
      <c r="B59" s="3352"/>
      <c r="C59" s="3352"/>
      <c r="D59" s="3703"/>
      <c r="E59" s="3933"/>
      <c r="F59" s="3933"/>
      <c r="G59" s="3352"/>
      <c r="H59" s="3931" t="str">
        <f t="shared" si="4"/>
        <v/>
      </c>
      <c r="I59" s="3509"/>
      <c r="K59" s="3815">
        <f t="shared" si="5"/>
        <v>0</v>
      </c>
      <c r="L59" s="3805">
        <f t="shared" si="6"/>
        <v>0</v>
      </c>
      <c r="O59" s="1485">
        <f t="shared" si="7"/>
        <v>1</v>
      </c>
      <c r="AB59" s="1485" t="s">
        <v>10414</v>
      </c>
    </row>
    <row r="60" spans="1:28" ht="15" x14ac:dyDescent="0.25">
      <c r="A60" s="3509"/>
      <c r="B60" s="3352"/>
      <c r="C60" s="3352"/>
      <c r="D60" s="3703"/>
      <c r="E60" s="3933"/>
      <c r="F60" s="3933"/>
      <c r="G60" s="3352"/>
      <c r="H60" s="3931" t="str">
        <f t="shared" si="4"/>
        <v/>
      </c>
      <c r="I60" s="3509"/>
      <c r="K60" s="3815">
        <f t="shared" si="5"/>
        <v>0</v>
      </c>
      <c r="L60" s="3805">
        <f t="shared" si="6"/>
        <v>0</v>
      </c>
      <c r="O60" s="1485">
        <f t="shared" si="7"/>
        <v>1</v>
      </c>
      <c r="AB60" s="1485" t="s">
        <v>10415</v>
      </c>
    </row>
    <row r="61" spans="1:28" ht="15" x14ac:dyDescent="0.25">
      <c r="A61" s="3509"/>
      <c r="B61" s="3352"/>
      <c r="C61" s="3352"/>
      <c r="D61" s="3703"/>
      <c r="E61" s="3933"/>
      <c r="F61" s="3933"/>
      <c r="G61" s="3352"/>
      <c r="H61" s="3931" t="str">
        <f t="shared" si="4"/>
        <v/>
      </c>
      <c r="I61" s="3509"/>
      <c r="K61" s="3815">
        <f t="shared" si="5"/>
        <v>0</v>
      </c>
      <c r="L61" s="3805">
        <f t="shared" si="6"/>
        <v>0</v>
      </c>
      <c r="O61" s="1485">
        <f t="shared" si="7"/>
        <v>1</v>
      </c>
      <c r="AB61" s="1485" t="s">
        <v>494</v>
      </c>
    </row>
    <row r="62" spans="1:28" ht="15" x14ac:dyDescent="0.25">
      <c r="A62" s="3509"/>
      <c r="B62" s="3352"/>
      <c r="C62" s="3352"/>
      <c r="D62" s="3703"/>
      <c r="E62" s="3933"/>
      <c r="F62" s="3933"/>
      <c r="G62" s="3352"/>
      <c r="H62" s="3931" t="str">
        <f t="shared" si="4"/>
        <v/>
      </c>
      <c r="I62" s="3509"/>
      <c r="K62" s="3815">
        <f t="shared" si="5"/>
        <v>0</v>
      </c>
      <c r="L62" s="3805">
        <f t="shared" si="6"/>
        <v>0</v>
      </c>
      <c r="O62" s="1485">
        <f t="shared" si="7"/>
        <v>1</v>
      </c>
      <c r="AB62" s="1485" t="s">
        <v>495</v>
      </c>
    </row>
    <row r="63" spans="1:28" ht="15" x14ac:dyDescent="0.25">
      <c r="A63" s="3509"/>
      <c r="B63" s="3352"/>
      <c r="C63" s="3352"/>
      <c r="D63" s="3703"/>
      <c r="E63" s="3933"/>
      <c r="F63" s="3933"/>
      <c r="G63" s="3352"/>
      <c r="H63" s="3931" t="str">
        <f t="shared" si="4"/>
        <v/>
      </c>
      <c r="I63" s="3509"/>
      <c r="K63" s="3815">
        <f t="shared" si="5"/>
        <v>0</v>
      </c>
      <c r="L63" s="3805">
        <f t="shared" si="6"/>
        <v>0</v>
      </c>
      <c r="O63" s="1485">
        <f t="shared" si="7"/>
        <v>1</v>
      </c>
      <c r="AB63" s="1485" t="s">
        <v>10416</v>
      </c>
    </row>
    <row r="64" spans="1:28" ht="15" x14ac:dyDescent="0.25">
      <c r="A64" s="3509"/>
      <c r="B64" s="3352"/>
      <c r="C64" s="3352"/>
      <c r="D64" s="3703"/>
      <c r="E64" s="3933"/>
      <c r="F64" s="3933"/>
      <c r="G64" s="3352"/>
      <c r="H64" s="3931" t="str">
        <f t="shared" si="4"/>
        <v/>
      </c>
      <c r="I64" s="3509"/>
      <c r="K64" s="3815">
        <f t="shared" si="5"/>
        <v>0</v>
      </c>
      <c r="L64" s="3805">
        <f t="shared" si="6"/>
        <v>0</v>
      </c>
      <c r="O64" s="1485">
        <f t="shared" si="7"/>
        <v>1</v>
      </c>
      <c r="AB64" s="1485" t="s">
        <v>10417</v>
      </c>
    </row>
    <row r="65" spans="1:28" ht="15" x14ac:dyDescent="0.25">
      <c r="A65" s="3509"/>
      <c r="B65" s="3352"/>
      <c r="C65" s="3352"/>
      <c r="D65" s="3703"/>
      <c r="E65" s="3933"/>
      <c r="F65" s="3933"/>
      <c r="G65" s="3352"/>
      <c r="H65" s="3931" t="str">
        <f t="shared" si="4"/>
        <v/>
      </c>
      <c r="I65" s="3509"/>
      <c r="K65" s="3815">
        <f t="shared" si="5"/>
        <v>0</v>
      </c>
      <c r="L65" s="3805">
        <f t="shared" si="6"/>
        <v>0</v>
      </c>
      <c r="O65" s="1485">
        <f t="shared" si="7"/>
        <v>1</v>
      </c>
      <c r="AB65" s="1485" t="s">
        <v>10418</v>
      </c>
    </row>
    <row r="66" spans="1:28" ht="15" x14ac:dyDescent="0.25">
      <c r="A66" s="3509"/>
      <c r="B66" s="3352"/>
      <c r="C66" s="3352"/>
      <c r="D66" s="3703"/>
      <c r="E66" s="3933"/>
      <c r="F66" s="3933"/>
      <c r="G66" s="3352"/>
      <c r="H66" s="3931" t="str">
        <f t="shared" si="4"/>
        <v/>
      </c>
      <c r="I66" s="3509"/>
      <c r="K66" s="3815">
        <f t="shared" si="5"/>
        <v>0</v>
      </c>
      <c r="L66" s="3805">
        <f t="shared" si="6"/>
        <v>0</v>
      </c>
      <c r="O66" s="1485">
        <f t="shared" si="7"/>
        <v>1</v>
      </c>
      <c r="AB66" s="1485" t="s">
        <v>10419</v>
      </c>
    </row>
    <row r="67" spans="1:28" ht="15" x14ac:dyDescent="0.25">
      <c r="A67" s="3509"/>
      <c r="B67" s="3352"/>
      <c r="C67" s="3352"/>
      <c r="D67" s="3703"/>
      <c r="E67" s="3933"/>
      <c r="F67" s="3933"/>
      <c r="G67" s="3352"/>
      <c r="H67" s="3931" t="str">
        <f t="shared" si="4"/>
        <v/>
      </c>
      <c r="I67" s="3509"/>
      <c r="K67" s="3815">
        <f t="shared" si="5"/>
        <v>0</v>
      </c>
      <c r="L67" s="3805">
        <f t="shared" si="6"/>
        <v>0</v>
      </c>
      <c r="O67" s="1485">
        <f t="shared" si="7"/>
        <v>1</v>
      </c>
      <c r="AB67" s="1485" t="s">
        <v>10420</v>
      </c>
    </row>
    <row r="68" spans="1:28" ht="15" x14ac:dyDescent="0.25">
      <c r="A68" s="3509"/>
      <c r="B68" s="3352"/>
      <c r="C68" s="3352"/>
      <c r="D68" s="3703"/>
      <c r="E68" s="3933"/>
      <c r="F68" s="3933"/>
      <c r="G68" s="3352"/>
      <c r="H68" s="3931" t="str">
        <f t="shared" si="4"/>
        <v/>
      </c>
      <c r="I68" s="3509"/>
      <c r="K68" s="3815">
        <f t="shared" si="5"/>
        <v>0</v>
      </c>
      <c r="L68" s="3805">
        <f t="shared" si="6"/>
        <v>0</v>
      </c>
      <c r="O68" s="1485">
        <f t="shared" si="7"/>
        <v>1</v>
      </c>
      <c r="AB68" s="1485" t="s">
        <v>10421</v>
      </c>
    </row>
    <row r="69" spans="1:28" ht="15" x14ac:dyDescent="0.25">
      <c r="A69" s="3509"/>
      <c r="B69" s="3352"/>
      <c r="C69" s="3352"/>
      <c r="D69" s="3703"/>
      <c r="E69" s="3933"/>
      <c r="F69" s="3933"/>
      <c r="G69" s="3352"/>
      <c r="H69" s="3931" t="str">
        <f t="shared" si="4"/>
        <v/>
      </c>
      <c r="I69" s="3509"/>
      <c r="K69" s="3815">
        <f t="shared" si="5"/>
        <v>0</v>
      </c>
      <c r="L69" s="3805">
        <f t="shared" si="6"/>
        <v>0</v>
      </c>
      <c r="O69" s="1485">
        <f t="shared" si="7"/>
        <v>1</v>
      </c>
      <c r="AB69" s="1485" t="s">
        <v>3348</v>
      </c>
    </row>
    <row r="70" spans="1:28" ht="15" x14ac:dyDescent="0.25">
      <c r="A70" s="3509"/>
      <c r="B70" s="3352"/>
      <c r="C70" s="3352"/>
      <c r="D70" s="3703"/>
      <c r="E70" s="3933"/>
      <c r="F70" s="3933"/>
      <c r="G70" s="3352"/>
      <c r="H70" s="3931" t="str">
        <f t="shared" si="4"/>
        <v/>
      </c>
      <c r="I70" s="3509"/>
      <c r="K70" s="3815">
        <f t="shared" si="5"/>
        <v>0</v>
      </c>
      <c r="L70" s="3805">
        <f t="shared" si="6"/>
        <v>0</v>
      </c>
      <c r="O70" s="1485">
        <f t="shared" si="7"/>
        <v>1</v>
      </c>
      <c r="AB70" s="1485" t="s">
        <v>10422</v>
      </c>
    </row>
    <row r="71" spans="1:28" ht="15" x14ac:dyDescent="0.25">
      <c r="A71" s="3509"/>
      <c r="B71" s="3352"/>
      <c r="C71" s="3352"/>
      <c r="D71" s="3703"/>
      <c r="E71" s="3933"/>
      <c r="F71" s="3933"/>
      <c r="G71" s="3352"/>
      <c r="H71" s="3931" t="str">
        <f t="shared" si="4"/>
        <v/>
      </c>
      <c r="I71" s="3509"/>
      <c r="K71" s="3815">
        <f t="shared" si="5"/>
        <v>0</v>
      </c>
      <c r="L71" s="3805">
        <f t="shared" si="6"/>
        <v>0</v>
      </c>
      <c r="O71" s="1485">
        <f t="shared" si="7"/>
        <v>1</v>
      </c>
      <c r="AB71" s="1485" t="s">
        <v>10423</v>
      </c>
    </row>
    <row r="72" spans="1:28" ht="15" x14ac:dyDescent="0.25">
      <c r="A72" s="3509"/>
      <c r="B72" s="3352"/>
      <c r="C72" s="3352"/>
      <c r="D72" s="3703"/>
      <c r="E72" s="3933"/>
      <c r="F72" s="3933"/>
      <c r="G72" s="3352"/>
      <c r="H72" s="3931" t="str">
        <f t="shared" si="4"/>
        <v/>
      </c>
      <c r="I72" s="3509"/>
      <c r="K72" s="3815">
        <f t="shared" si="5"/>
        <v>0</v>
      </c>
      <c r="L72" s="3805">
        <f t="shared" si="6"/>
        <v>0</v>
      </c>
      <c r="O72" s="1485">
        <f t="shared" si="7"/>
        <v>1</v>
      </c>
      <c r="AB72" s="1485" t="s">
        <v>10424</v>
      </c>
    </row>
    <row r="73" spans="1:28" ht="15" x14ac:dyDescent="0.25">
      <c r="A73" s="3509"/>
      <c r="B73" s="3352"/>
      <c r="C73" s="3352"/>
      <c r="D73" s="3703"/>
      <c r="E73" s="3933"/>
      <c r="F73" s="3933"/>
      <c r="G73" s="3352"/>
      <c r="H73" s="3931" t="str">
        <f t="shared" si="4"/>
        <v/>
      </c>
      <c r="I73" s="3509"/>
      <c r="K73" s="3815">
        <f t="shared" si="5"/>
        <v>0</v>
      </c>
      <c r="L73" s="3805">
        <f t="shared" si="6"/>
        <v>0</v>
      </c>
      <c r="O73" s="1485">
        <f t="shared" si="7"/>
        <v>1</v>
      </c>
      <c r="AB73" s="1485" t="s">
        <v>10425</v>
      </c>
    </row>
    <row r="74" spans="1:28" ht="15" x14ac:dyDescent="0.25">
      <c r="A74" s="3509"/>
      <c r="B74" s="3352"/>
      <c r="C74" s="3352"/>
      <c r="D74" s="3703"/>
      <c r="E74" s="3933"/>
      <c r="F74" s="3933"/>
      <c r="G74" s="3352"/>
      <c r="H74" s="3931" t="str">
        <f t="shared" si="4"/>
        <v/>
      </c>
      <c r="I74" s="3509"/>
      <c r="K74" s="3815">
        <f t="shared" si="5"/>
        <v>0</v>
      </c>
      <c r="L74" s="3805">
        <f t="shared" si="6"/>
        <v>0</v>
      </c>
      <c r="O74" s="1485">
        <f t="shared" si="7"/>
        <v>1</v>
      </c>
      <c r="AB74" s="1485" t="s">
        <v>10426</v>
      </c>
    </row>
    <row r="75" spans="1:28" ht="15" x14ac:dyDescent="0.25">
      <c r="A75" s="3509"/>
      <c r="B75" s="3352"/>
      <c r="C75" s="3352"/>
      <c r="D75" s="3703"/>
      <c r="E75" s="3933"/>
      <c r="F75" s="3933"/>
      <c r="G75" s="3352"/>
      <c r="H75" s="3931" t="str">
        <f t="shared" si="4"/>
        <v/>
      </c>
      <c r="I75" s="3509"/>
      <c r="K75" s="3815">
        <f t="shared" si="5"/>
        <v>0</v>
      </c>
      <c r="L75" s="3805">
        <f t="shared" si="6"/>
        <v>0</v>
      </c>
      <c r="O75" s="1485">
        <f t="shared" si="7"/>
        <v>1</v>
      </c>
      <c r="AB75" s="1485" t="s">
        <v>496</v>
      </c>
    </row>
    <row r="76" spans="1:28" ht="15" x14ac:dyDescent="0.25">
      <c r="A76" s="3509"/>
      <c r="B76" s="3352"/>
      <c r="C76" s="3352"/>
      <c r="D76" s="3703"/>
      <c r="E76" s="3933"/>
      <c r="F76" s="3933"/>
      <c r="G76" s="3352"/>
      <c r="H76" s="3931" t="str">
        <f t="shared" si="4"/>
        <v/>
      </c>
      <c r="I76" s="3509"/>
      <c r="K76" s="3815">
        <f t="shared" si="5"/>
        <v>0</v>
      </c>
      <c r="L76" s="3805">
        <f t="shared" si="6"/>
        <v>0</v>
      </c>
      <c r="O76" s="1485">
        <f t="shared" si="7"/>
        <v>1</v>
      </c>
      <c r="AB76" s="1485" t="s">
        <v>10427</v>
      </c>
    </row>
    <row r="77" spans="1:28" ht="15" x14ac:dyDescent="0.25">
      <c r="A77" s="3509"/>
      <c r="B77" s="3352"/>
      <c r="C77" s="3352"/>
      <c r="D77" s="3703"/>
      <c r="E77" s="3933"/>
      <c r="F77" s="3933"/>
      <c r="G77" s="3352"/>
      <c r="H77" s="3931" t="str">
        <f t="shared" si="4"/>
        <v/>
      </c>
      <c r="I77" s="3509"/>
      <c r="K77" s="3815">
        <f t="shared" si="5"/>
        <v>0</v>
      </c>
      <c r="L77" s="3805">
        <f t="shared" si="6"/>
        <v>0</v>
      </c>
      <c r="O77" s="1485">
        <f t="shared" si="7"/>
        <v>1</v>
      </c>
      <c r="AB77" s="1485" t="s">
        <v>10428</v>
      </c>
    </row>
    <row r="78" spans="1:28" ht="15" x14ac:dyDescent="0.25">
      <c r="A78" s="3509"/>
      <c r="B78" s="3352"/>
      <c r="C78" s="3352"/>
      <c r="D78" s="3703"/>
      <c r="E78" s="3933"/>
      <c r="F78" s="3933"/>
      <c r="G78" s="3352"/>
      <c r="H78" s="3931" t="str">
        <f t="shared" si="4"/>
        <v/>
      </c>
      <c r="I78" s="3509"/>
      <c r="K78" s="3815">
        <f t="shared" si="5"/>
        <v>0</v>
      </c>
      <c r="L78" s="3805">
        <f t="shared" si="6"/>
        <v>0</v>
      </c>
      <c r="O78" s="1485">
        <f t="shared" si="7"/>
        <v>1</v>
      </c>
      <c r="AB78" s="1485" t="s">
        <v>10429</v>
      </c>
    </row>
    <row r="79" spans="1:28" ht="15" x14ac:dyDescent="0.25">
      <c r="A79" s="3509"/>
      <c r="B79" s="3352"/>
      <c r="C79" s="3352"/>
      <c r="D79" s="3703"/>
      <c r="E79" s="3933"/>
      <c r="F79" s="3933"/>
      <c r="G79" s="3352"/>
      <c r="H79" s="3931" t="str">
        <f t="shared" si="4"/>
        <v/>
      </c>
      <c r="I79" s="3509"/>
      <c r="K79" s="3815">
        <f t="shared" si="5"/>
        <v>0</v>
      </c>
      <c r="L79" s="3805">
        <f t="shared" si="6"/>
        <v>0</v>
      </c>
      <c r="O79" s="1485">
        <f t="shared" si="7"/>
        <v>1</v>
      </c>
      <c r="AB79" s="1485" t="s">
        <v>10430</v>
      </c>
    </row>
    <row r="80" spans="1:28" ht="15" x14ac:dyDescent="0.25">
      <c r="A80" s="3509"/>
      <c r="B80" s="3352"/>
      <c r="C80" s="3352"/>
      <c r="D80" s="3703"/>
      <c r="E80" s="3933"/>
      <c r="F80" s="3933"/>
      <c r="G80" s="3352"/>
      <c r="H80" s="3931" t="str">
        <f t="shared" si="4"/>
        <v/>
      </c>
      <c r="I80" s="3509"/>
      <c r="K80" s="3815">
        <f t="shared" si="5"/>
        <v>0</v>
      </c>
      <c r="L80" s="3805">
        <f t="shared" si="6"/>
        <v>0</v>
      </c>
      <c r="O80" s="1485">
        <f t="shared" si="7"/>
        <v>1</v>
      </c>
      <c r="AB80" s="1485" t="s">
        <v>497</v>
      </c>
    </row>
    <row r="81" spans="1:28" ht="15" x14ac:dyDescent="0.25">
      <c r="A81" s="3509"/>
      <c r="B81" s="3352"/>
      <c r="C81" s="3352"/>
      <c r="D81" s="3703"/>
      <c r="E81" s="3933"/>
      <c r="F81" s="3933"/>
      <c r="G81" s="3352"/>
      <c r="H81" s="3931" t="str">
        <f t="shared" si="4"/>
        <v/>
      </c>
      <c r="I81" s="3509"/>
      <c r="K81" s="3815">
        <f t="shared" si="5"/>
        <v>0</v>
      </c>
      <c r="L81" s="3805">
        <f t="shared" si="6"/>
        <v>0</v>
      </c>
      <c r="O81" s="1485">
        <f t="shared" si="7"/>
        <v>1</v>
      </c>
      <c r="AB81" s="1485" t="s">
        <v>498</v>
      </c>
    </row>
    <row r="82" spans="1:28" ht="15" x14ac:dyDescent="0.25">
      <c r="A82" s="3509"/>
      <c r="B82" s="3352"/>
      <c r="C82" s="3352"/>
      <c r="D82" s="3703"/>
      <c r="E82" s="3933"/>
      <c r="F82" s="3933"/>
      <c r="G82" s="3352"/>
      <c r="H82" s="3931" t="str">
        <f t="shared" si="4"/>
        <v/>
      </c>
      <c r="I82" s="3509"/>
      <c r="K82" s="3815">
        <f t="shared" si="5"/>
        <v>0</v>
      </c>
      <c r="L82" s="3805">
        <f t="shared" si="6"/>
        <v>0</v>
      </c>
      <c r="O82" s="1485">
        <f t="shared" si="7"/>
        <v>1</v>
      </c>
      <c r="AB82" s="1485" t="s">
        <v>10431</v>
      </c>
    </row>
    <row r="83" spans="1:28" ht="15" x14ac:dyDescent="0.25">
      <c r="A83" s="3509"/>
      <c r="B83" s="3352"/>
      <c r="C83" s="3352"/>
      <c r="D83" s="3703"/>
      <c r="E83" s="3933"/>
      <c r="F83" s="3933"/>
      <c r="G83" s="3352"/>
      <c r="H83" s="3931" t="str">
        <f t="shared" si="4"/>
        <v/>
      </c>
      <c r="I83" s="3509"/>
      <c r="K83" s="3815">
        <f t="shared" si="5"/>
        <v>0</v>
      </c>
      <c r="L83" s="3805">
        <f t="shared" si="6"/>
        <v>0</v>
      </c>
      <c r="O83" s="1485">
        <f t="shared" si="7"/>
        <v>1</v>
      </c>
      <c r="AB83" s="1485" t="s">
        <v>499</v>
      </c>
    </row>
    <row r="84" spans="1:28" ht="15" x14ac:dyDescent="0.25">
      <c r="A84" s="3509"/>
      <c r="B84" s="3352"/>
      <c r="C84" s="3352"/>
      <c r="D84" s="3703"/>
      <c r="E84" s="3933"/>
      <c r="F84" s="3933"/>
      <c r="G84" s="3352"/>
      <c r="H84" s="3931" t="str">
        <f t="shared" si="4"/>
        <v/>
      </c>
      <c r="I84" s="3509"/>
      <c r="K84" s="3815">
        <f t="shared" si="5"/>
        <v>0</v>
      </c>
      <c r="L84" s="3805">
        <f t="shared" si="6"/>
        <v>0</v>
      </c>
      <c r="O84" s="1485">
        <f t="shared" si="7"/>
        <v>1</v>
      </c>
      <c r="AB84" s="1485" t="s">
        <v>10432</v>
      </c>
    </row>
    <row r="85" spans="1:28" ht="15" x14ac:dyDescent="0.25">
      <c r="A85" s="3509"/>
      <c r="B85" s="3352"/>
      <c r="C85" s="3352"/>
      <c r="D85" s="3703"/>
      <c r="E85" s="3933"/>
      <c r="F85" s="3933"/>
      <c r="G85" s="3352"/>
      <c r="H85" s="3931" t="str">
        <f t="shared" si="4"/>
        <v/>
      </c>
      <c r="I85" s="3509"/>
      <c r="K85" s="3815">
        <f t="shared" si="5"/>
        <v>0</v>
      </c>
      <c r="L85" s="3805">
        <f t="shared" si="6"/>
        <v>0</v>
      </c>
      <c r="O85" s="1485">
        <f t="shared" si="7"/>
        <v>1</v>
      </c>
      <c r="AB85" s="1485" t="s">
        <v>10433</v>
      </c>
    </row>
    <row r="86" spans="1:28" ht="15" x14ac:dyDescent="0.25">
      <c r="A86" s="3509"/>
      <c r="B86" s="3352"/>
      <c r="C86" s="3352"/>
      <c r="D86" s="3703"/>
      <c r="E86" s="3933"/>
      <c r="F86" s="3933"/>
      <c r="G86" s="3352"/>
      <c r="H86" s="3931" t="str">
        <f t="shared" si="4"/>
        <v/>
      </c>
      <c r="I86" s="3509"/>
      <c r="K86" s="3815">
        <f t="shared" si="5"/>
        <v>0</v>
      </c>
      <c r="L86" s="3805">
        <f t="shared" si="6"/>
        <v>0</v>
      </c>
      <c r="O86" s="1485">
        <f t="shared" si="7"/>
        <v>1</v>
      </c>
      <c r="AB86" s="1485" t="s">
        <v>10434</v>
      </c>
    </row>
    <row r="87" spans="1:28" ht="15" x14ac:dyDescent="0.25">
      <c r="A87" s="3509"/>
      <c r="B87" s="3352"/>
      <c r="C87" s="3352"/>
      <c r="D87" s="3703"/>
      <c r="E87" s="3933"/>
      <c r="F87" s="3933"/>
      <c r="G87" s="3352"/>
      <c r="H87" s="3931" t="str">
        <f t="shared" si="4"/>
        <v/>
      </c>
      <c r="I87" s="3509"/>
      <c r="K87" s="3815">
        <f t="shared" si="5"/>
        <v>0</v>
      </c>
      <c r="L87" s="3805">
        <f t="shared" si="6"/>
        <v>0</v>
      </c>
      <c r="O87" s="1485">
        <f t="shared" si="7"/>
        <v>1</v>
      </c>
      <c r="AB87" s="1485" t="s">
        <v>10435</v>
      </c>
    </row>
    <row r="88" spans="1:28" ht="15" x14ac:dyDescent="0.25">
      <c r="A88" s="3509"/>
      <c r="B88" s="3352"/>
      <c r="C88" s="3352"/>
      <c r="D88" s="3703"/>
      <c r="E88" s="3933"/>
      <c r="F88" s="3933"/>
      <c r="G88" s="3352"/>
      <c r="H88" s="3931" t="str">
        <f t="shared" si="4"/>
        <v/>
      </c>
      <c r="I88" s="3509"/>
      <c r="K88" s="3815">
        <f t="shared" si="5"/>
        <v>0</v>
      </c>
      <c r="L88" s="3805">
        <f t="shared" si="6"/>
        <v>0</v>
      </c>
      <c r="O88" s="1485">
        <f t="shared" si="7"/>
        <v>1</v>
      </c>
      <c r="AB88" s="1736" t="s">
        <v>10500</v>
      </c>
    </row>
    <row r="89" spans="1:28" ht="15" x14ac:dyDescent="0.25">
      <c r="A89" s="3509"/>
      <c r="B89" s="3352"/>
      <c r="C89" s="3352"/>
      <c r="D89" s="3703"/>
      <c r="E89" s="3933"/>
      <c r="F89" s="3933"/>
      <c r="G89" s="3352"/>
      <c r="H89" s="3931" t="str">
        <f t="shared" si="4"/>
        <v/>
      </c>
      <c r="I89" s="3509"/>
      <c r="K89" s="3815">
        <f t="shared" si="5"/>
        <v>0</v>
      </c>
      <c r="L89" s="3805">
        <f t="shared" si="6"/>
        <v>0</v>
      </c>
      <c r="O89" s="1485">
        <f t="shared" si="7"/>
        <v>1</v>
      </c>
      <c r="AB89" s="1485" t="s">
        <v>10436</v>
      </c>
    </row>
    <row r="90" spans="1:28" ht="15" x14ac:dyDescent="0.25">
      <c r="A90" s="3509"/>
      <c r="B90" s="3352"/>
      <c r="C90" s="3352"/>
      <c r="D90" s="3703"/>
      <c r="E90" s="3933"/>
      <c r="F90" s="3933"/>
      <c r="G90" s="3352"/>
      <c r="H90" s="3931" t="str">
        <f t="shared" si="4"/>
        <v/>
      </c>
      <c r="I90" s="3509"/>
      <c r="K90" s="3815">
        <f t="shared" si="5"/>
        <v>0</v>
      </c>
      <c r="L90" s="3805">
        <f t="shared" si="6"/>
        <v>0</v>
      </c>
      <c r="O90" s="1485">
        <f t="shared" si="7"/>
        <v>1</v>
      </c>
      <c r="AB90" s="1485" t="s">
        <v>500</v>
      </c>
    </row>
    <row r="91" spans="1:28" ht="15" x14ac:dyDescent="0.25">
      <c r="A91" s="3509"/>
      <c r="B91" s="3352"/>
      <c r="C91" s="3352"/>
      <c r="D91" s="3703"/>
      <c r="E91" s="3933"/>
      <c r="F91" s="3933"/>
      <c r="G91" s="3352"/>
      <c r="H91" s="3931" t="str">
        <f t="shared" si="4"/>
        <v/>
      </c>
      <c r="I91" s="3509"/>
      <c r="K91" s="3815">
        <f t="shared" si="5"/>
        <v>0</v>
      </c>
      <c r="L91" s="3805">
        <f t="shared" si="6"/>
        <v>0</v>
      </c>
      <c r="O91" s="1485">
        <f t="shared" si="7"/>
        <v>1</v>
      </c>
      <c r="AB91" s="1485" t="s">
        <v>10437</v>
      </c>
    </row>
    <row r="92" spans="1:28" ht="15" x14ac:dyDescent="0.25">
      <c r="A92" s="3509"/>
      <c r="B92" s="3352"/>
      <c r="C92" s="3352"/>
      <c r="D92" s="3703"/>
      <c r="E92" s="3933"/>
      <c r="F92" s="3933"/>
      <c r="G92" s="3352"/>
      <c r="H92" s="3931" t="str">
        <f t="shared" si="4"/>
        <v/>
      </c>
      <c r="I92" s="3509"/>
      <c r="K92" s="3815">
        <f t="shared" si="5"/>
        <v>0</v>
      </c>
      <c r="L92" s="3805">
        <f t="shared" si="6"/>
        <v>0</v>
      </c>
      <c r="O92" s="1485">
        <f t="shared" si="7"/>
        <v>1</v>
      </c>
      <c r="AB92" s="1485" t="s">
        <v>10438</v>
      </c>
    </row>
    <row r="93" spans="1:28" ht="15" x14ac:dyDescent="0.25">
      <c r="A93" s="3509"/>
      <c r="B93" s="3352"/>
      <c r="C93" s="3352"/>
      <c r="D93" s="3703"/>
      <c r="E93" s="3933"/>
      <c r="F93" s="3933"/>
      <c r="G93" s="3352"/>
      <c r="H93" s="3931" t="str">
        <f t="shared" si="4"/>
        <v/>
      </c>
      <c r="I93" s="3509"/>
      <c r="K93" s="3815">
        <f t="shared" si="5"/>
        <v>0</v>
      </c>
      <c r="L93" s="3805">
        <f t="shared" si="6"/>
        <v>0</v>
      </c>
      <c r="O93" s="1485">
        <f t="shared" si="7"/>
        <v>1</v>
      </c>
      <c r="AB93" s="1485" t="s">
        <v>502</v>
      </c>
    </row>
    <row r="94" spans="1:28" ht="15" x14ac:dyDescent="0.25">
      <c r="A94" s="3509"/>
      <c r="B94" s="3352"/>
      <c r="C94" s="3352"/>
      <c r="D94" s="3703"/>
      <c r="E94" s="3933"/>
      <c r="F94" s="3933"/>
      <c r="G94" s="3352"/>
      <c r="H94" s="3931" t="str">
        <f t="shared" si="4"/>
        <v/>
      </c>
      <c r="I94" s="3509"/>
      <c r="K94" s="3815">
        <f t="shared" si="5"/>
        <v>0</v>
      </c>
      <c r="L94" s="3805">
        <f t="shared" si="6"/>
        <v>0</v>
      </c>
      <c r="O94" s="1485">
        <f t="shared" si="7"/>
        <v>1</v>
      </c>
      <c r="AB94" s="1485" t="s">
        <v>503</v>
      </c>
    </row>
    <row r="95" spans="1:28" ht="15" x14ac:dyDescent="0.25">
      <c r="A95" s="3509"/>
      <c r="B95" s="3352"/>
      <c r="C95" s="3352"/>
      <c r="D95" s="3703"/>
      <c r="E95" s="3933"/>
      <c r="F95" s="3933"/>
      <c r="G95" s="3352"/>
      <c r="H95" s="3931" t="str">
        <f t="shared" si="4"/>
        <v/>
      </c>
      <c r="I95" s="3509"/>
      <c r="K95" s="3815">
        <f t="shared" si="5"/>
        <v>0</v>
      </c>
      <c r="L95" s="3805">
        <f t="shared" si="6"/>
        <v>0</v>
      </c>
      <c r="O95" s="1485">
        <f t="shared" si="7"/>
        <v>1</v>
      </c>
      <c r="AB95" s="1485" t="s">
        <v>10439</v>
      </c>
    </row>
    <row r="96" spans="1:28" ht="15" x14ac:dyDescent="0.25">
      <c r="A96" s="3509"/>
      <c r="B96" s="3352"/>
      <c r="C96" s="3352"/>
      <c r="D96" s="3703"/>
      <c r="E96" s="3933"/>
      <c r="F96" s="3933"/>
      <c r="G96" s="3352"/>
      <c r="H96" s="3931" t="str">
        <f t="shared" si="4"/>
        <v/>
      </c>
      <c r="I96" s="3509"/>
      <c r="K96" s="3815">
        <f t="shared" si="5"/>
        <v>0</v>
      </c>
      <c r="L96" s="3805">
        <f t="shared" si="6"/>
        <v>0</v>
      </c>
      <c r="O96" s="1485">
        <f t="shared" si="7"/>
        <v>1</v>
      </c>
      <c r="AB96" s="1485" t="s">
        <v>10439</v>
      </c>
    </row>
    <row r="97" spans="1:28" ht="15" x14ac:dyDescent="0.25">
      <c r="A97" s="3509"/>
      <c r="B97" s="3352"/>
      <c r="C97" s="3352"/>
      <c r="D97" s="3703"/>
      <c r="E97" s="3933"/>
      <c r="F97" s="3933"/>
      <c r="G97" s="3352"/>
      <c r="H97" s="3931" t="str">
        <f t="shared" si="4"/>
        <v/>
      </c>
      <c r="I97" s="3509"/>
      <c r="K97" s="3815">
        <f t="shared" si="5"/>
        <v>0</v>
      </c>
      <c r="L97" s="3805">
        <f t="shared" si="6"/>
        <v>0</v>
      </c>
      <c r="O97" s="1485">
        <f t="shared" si="7"/>
        <v>1</v>
      </c>
      <c r="AB97" s="1485" t="s">
        <v>10440</v>
      </c>
    </row>
    <row r="98" spans="1:28" ht="15" x14ac:dyDescent="0.25">
      <c r="A98" s="3509"/>
      <c r="B98" s="3352"/>
      <c r="C98" s="3352"/>
      <c r="D98" s="3703"/>
      <c r="E98" s="3933"/>
      <c r="F98" s="3933"/>
      <c r="G98" s="3352"/>
      <c r="H98" s="3931" t="str">
        <f t="shared" si="4"/>
        <v/>
      </c>
      <c r="I98" s="3509"/>
      <c r="K98" s="3815">
        <f t="shared" si="5"/>
        <v>0</v>
      </c>
      <c r="L98" s="3805">
        <f t="shared" si="6"/>
        <v>0</v>
      </c>
      <c r="O98" s="1485">
        <f t="shared" si="7"/>
        <v>1</v>
      </c>
      <c r="AB98" s="1485" t="s">
        <v>10441</v>
      </c>
    </row>
    <row r="99" spans="1:28" ht="15" x14ac:dyDescent="0.25">
      <c r="A99" s="3509"/>
      <c r="B99" s="3352"/>
      <c r="C99" s="3352"/>
      <c r="D99" s="3703"/>
      <c r="E99" s="3933"/>
      <c r="F99" s="3933"/>
      <c r="G99" s="3352"/>
      <c r="H99" s="3931" t="str">
        <f t="shared" si="4"/>
        <v/>
      </c>
      <c r="I99" s="3509"/>
      <c r="K99" s="3815">
        <f t="shared" si="5"/>
        <v>0</v>
      </c>
      <c r="L99" s="3805">
        <f t="shared" si="6"/>
        <v>0</v>
      </c>
      <c r="O99" s="1485">
        <f t="shared" si="7"/>
        <v>1</v>
      </c>
      <c r="AB99" s="1485" t="s">
        <v>10442</v>
      </c>
    </row>
    <row r="100" spans="1:28" ht="15" x14ac:dyDescent="0.25">
      <c r="A100" s="3509"/>
      <c r="B100" s="3352"/>
      <c r="C100" s="3352"/>
      <c r="D100" s="3703"/>
      <c r="E100" s="3933"/>
      <c r="F100" s="3933"/>
      <c r="G100" s="3352"/>
      <c r="H100" s="3931" t="str">
        <f t="shared" si="4"/>
        <v/>
      </c>
      <c r="I100" s="3509"/>
      <c r="K100" s="3815">
        <f t="shared" si="5"/>
        <v>0</v>
      </c>
      <c r="L100" s="3805">
        <f t="shared" si="6"/>
        <v>0</v>
      </c>
      <c r="O100" s="1485">
        <f t="shared" si="7"/>
        <v>1</v>
      </c>
      <c r="AB100" s="1485" t="s">
        <v>10443</v>
      </c>
    </row>
    <row r="101" spans="1:28" x14ac:dyDescent="0.2">
      <c r="A101" s="3509"/>
      <c r="B101" s="3509"/>
      <c r="C101" s="3509"/>
      <c r="D101" s="3509"/>
      <c r="E101" s="3509"/>
      <c r="F101" s="3509"/>
      <c r="G101" s="3509"/>
      <c r="H101" s="3509"/>
      <c r="I101" s="3509"/>
      <c r="AB101" s="1485" t="s">
        <v>10444</v>
      </c>
    </row>
    <row r="102" spans="1:28" ht="32.25" customHeight="1" x14ac:dyDescent="0.2">
      <c r="A102" s="3509"/>
      <c r="B102" s="5439" t="s">
        <v>10083</v>
      </c>
      <c r="C102" s="5439" t="s">
        <v>10307</v>
      </c>
      <c r="D102" s="5441" t="s">
        <v>10310</v>
      </c>
      <c r="E102" s="5442"/>
      <c r="F102" s="5439" t="s">
        <v>10363</v>
      </c>
      <c r="G102" s="3509"/>
      <c r="H102" s="3509"/>
      <c r="I102" s="3509"/>
      <c r="AB102" s="1485" t="s">
        <v>10445</v>
      </c>
    </row>
    <row r="103" spans="1:28" ht="15.75" customHeight="1" x14ac:dyDescent="0.2">
      <c r="A103" s="3509"/>
      <c r="B103" s="5440"/>
      <c r="C103" s="5440"/>
      <c r="D103" s="3932" t="s">
        <v>4450</v>
      </c>
      <c r="E103" s="3932" t="s">
        <v>4693</v>
      </c>
      <c r="F103" s="5440"/>
      <c r="G103" s="3509"/>
      <c r="H103" s="3509"/>
      <c r="I103" s="3509"/>
      <c r="O103" s="1485" t="s">
        <v>10231</v>
      </c>
      <c r="AB103" s="1485" t="s">
        <v>10446</v>
      </c>
    </row>
    <row r="104" spans="1:28" ht="15" x14ac:dyDescent="0.25">
      <c r="A104" s="3509"/>
      <c r="B104" s="3352"/>
      <c r="C104" s="3352"/>
      <c r="D104" s="3703"/>
      <c r="E104" s="3933"/>
      <c r="F104" s="3352"/>
      <c r="G104" s="3931" t="str">
        <f>IF(AND(L104&gt;0,OR(G15="",$G$15="no")),"Delete!",IF(AND($Q$1="n",B104&lt;&gt;""),"Not a fiscal unit",IF(AND($G$15="yes",L104=0),re,IF(AND(D104&lt;&gt;"",O104=1),"Check TIFD code!",IF(AND(G15="Yes",$Q$1="y",L104&lt;&gt;5),"All data!",IF(AND(OR(Q1=0,$Q$1="n"),G15="yes",L104&lt;&gt;4),"All data!",""))))))</f>
        <v/>
      </c>
      <c r="H104" s="3509"/>
      <c r="I104" s="3509"/>
      <c r="K104" s="3815">
        <f>IF(G104="",0,1)</f>
      </c>
      <c r="L104" s="3805">
        <f>IF($Q$1="y",COUNTA(B104:F104),COUNTA(C104:F104))</f>
      </c>
      <c r="O104" s="1485">
        <f t="shared" ref="O104:O139" si="8">IF(ISERROR(VLOOKUP(D104,TIFD_cg,1,FALSE))=TRUE,1,0)</f>
      </c>
      <c r="AB104" s="1485" t="s">
        <v>504</v>
      </c>
    </row>
    <row r="105" spans="1:28" ht="15" x14ac:dyDescent="0.25">
      <c r="A105" s="3509"/>
      <c r="B105" s="3352"/>
      <c r="C105" s="3352"/>
      <c r="D105" s="3703"/>
      <c r="E105" s="3933"/>
      <c r="F105" s="3352"/>
      <c r="G105" s="3931" t="str">
        <f>IF(AND(L105&gt;0,OR($G$15="",$G$15="no")),"Delete!",IF(AND($Q$1="n",B105&lt;&gt;""),"Not a fiscal unit",IF(AND(D105&lt;&gt;"",O105=1),"Check TIFD code!",IF(AND($Q$1="y",L105&gt;0,L105&lt;&gt;5),"All data!",IF(AND(OR($Q$1=0,$Q$1="n"),L105&gt;0,L105&lt;&gt;4),"All data!","")))))</f>
        <v/>
      </c>
      <c r="H105" s="3509"/>
      <c r="I105" s="3509"/>
      <c r="K105" s="3815">
        <f t="shared" ref="K105:K139" si="9">IF(G105="",0,1)</f>
      </c>
      <c r="L105" s="3805">
        <f t="shared" ref="L105:L139" si="10">IF($Q$1="y",COUNTA(B105:F105),COUNTA(C105:F105))</f>
      </c>
      <c r="O105" s="1485">
        <f t="shared" si="8"/>
        <v>1</v>
      </c>
      <c r="AB105" s="1485" t="s">
        <v>10447</v>
      </c>
    </row>
    <row r="106" spans="1:28" ht="15" x14ac:dyDescent="0.25">
      <c r="A106" s="3509"/>
      <c r="B106" s="3352"/>
      <c r="C106" s="3352"/>
      <c r="D106" s="3703"/>
      <c r="E106" s="3933"/>
      <c r="F106" s="3352"/>
      <c r="G106" s="3931" t="str">
        <f t="shared" ref="G106:G169" si="11">IF(AND(L106&gt;0,OR($G$15="",$G$15="no")),"Delete!",IF(AND($Q$1="n",B106&lt;&gt;""),"Not a fiscal unit",IF(AND(D106&lt;&gt;"",O106=1),"Check TIFD code!",IF(AND($Q$1="y",L106&gt;0,L106&lt;&gt;5),"All data!",IF(AND(OR($Q$1=0,$Q$1="n"),L106&gt;0,L106&lt;&gt;4),"All data!","")))))</f>
        <v/>
      </c>
      <c r="H106" s="3509"/>
      <c r="I106" s="3509"/>
      <c r="K106" s="3815">
        <f t="shared" si="9"/>
        <v>0</v>
      </c>
      <c r="L106" s="3805">
        <f t="shared" si="10"/>
        <v>0</v>
      </c>
      <c r="O106" s="1485">
        <f t="shared" si="8"/>
        <v>1</v>
      </c>
      <c r="AB106" s="1485" t="s">
        <v>10448</v>
      </c>
    </row>
    <row r="107" spans="1:28" ht="15" x14ac:dyDescent="0.25">
      <c r="A107" s="3509"/>
      <c r="B107" s="3352"/>
      <c r="C107" s="3352"/>
      <c r="D107" s="3703"/>
      <c r="E107" s="3933"/>
      <c r="F107" s="3352"/>
      <c r="G107" s="3931" t="str">
        <f t="shared" si="11"/>
        <v/>
      </c>
      <c r="H107" s="3509"/>
      <c r="I107" s="3509"/>
      <c r="K107" s="3815">
        <f t="shared" si="9"/>
        <v>0</v>
      </c>
      <c r="L107" s="3805">
        <f t="shared" si="10"/>
        <v>0</v>
      </c>
      <c r="O107" s="1485">
        <f t="shared" si="8"/>
        <v>1</v>
      </c>
      <c r="AB107" s="1485" t="s">
        <v>10449</v>
      </c>
    </row>
    <row r="108" spans="1:28" ht="15" x14ac:dyDescent="0.25">
      <c r="A108" s="3509"/>
      <c r="B108" s="3352"/>
      <c r="C108" s="3352"/>
      <c r="D108" s="3703"/>
      <c r="E108" s="3933"/>
      <c r="F108" s="3352"/>
      <c r="G108" s="3931" t="str">
        <f t="shared" si="11"/>
        <v/>
      </c>
      <c r="H108" s="3509"/>
      <c r="I108" s="3509"/>
      <c r="K108" s="3815">
        <f t="shared" si="9"/>
        <v>0</v>
      </c>
      <c r="L108" s="3805">
        <f t="shared" si="10"/>
        <v>0</v>
      </c>
      <c r="O108" s="1485">
        <f t="shared" si="8"/>
        <v>1</v>
      </c>
      <c r="AB108" s="1485" t="s">
        <v>10450</v>
      </c>
    </row>
    <row r="109" spans="1:28" ht="15" x14ac:dyDescent="0.25">
      <c r="A109" s="3509"/>
      <c r="B109" s="3352"/>
      <c r="C109" s="3352"/>
      <c r="D109" s="3703"/>
      <c r="E109" s="3933"/>
      <c r="F109" s="3352"/>
      <c r="G109" s="3931" t="str">
        <f t="shared" si="11"/>
        <v/>
      </c>
      <c r="H109" s="3509"/>
      <c r="I109" s="3509"/>
      <c r="K109" s="3815">
        <f t="shared" si="9"/>
        <v>0</v>
      </c>
      <c r="L109" s="3805">
        <f t="shared" si="10"/>
        <v>0</v>
      </c>
      <c r="O109" s="1485">
        <f t="shared" si="8"/>
        <v>1</v>
      </c>
    </row>
    <row r="110" spans="1:28" ht="15" x14ac:dyDescent="0.25">
      <c r="A110" s="3509"/>
      <c r="B110" s="3352"/>
      <c r="C110" s="3352"/>
      <c r="D110" s="3703"/>
      <c r="E110" s="3933"/>
      <c r="F110" s="3352"/>
      <c r="G110" s="3931" t="str">
        <f t="shared" si="11"/>
        <v/>
      </c>
      <c r="H110" s="3509"/>
      <c r="I110" s="3509"/>
      <c r="K110" s="3815">
        <f t="shared" si="9"/>
        <v>0</v>
      </c>
      <c r="L110" s="3805">
        <f t="shared" si="10"/>
        <v>0</v>
      </c>
      <c r="O110" s="1485">
        <f t="shared" si="8"/>
        <v>1</v>
      </c>
    </row>
    <row r="111" spans="1:28" ht="15" x14ac:dyDescent="0.25">
      <c r="A111" s="3509"/>
      <c r="B111" s="3352"/>
      <c r="C111" s="3352"/>
      <c r="D111" s="3703"/>
      <c r="E111" s="3933"/>
      <c r="F111" s="3352"/>
      <c r="G111" s="3931" t="str">
        <f t="shared" si="11"/>
        <v/>
      </c>
      <c r="H111" s="3509"/>
      <c r="I111" s="3509"/>
      <c r="K111" s="3815">
        <f t="shared" si="9"/>
        <v>0</v>
      </c>
      <c r="L111" s="3805">
        <f t="shared" si="10"/>
        <v>0</v>
      </c>
      <c r="O111" s="1485">
        <f t="shared" si="8"/>
        <v>1</v>
      </c>
    </row>
    <row r="112" spans="1:28" ht="15" x14ac:dyDescent="0.25">
      <c r="A112" s="3509"/>
      <c r="B112" s="3352"/>
      <c r="C112" s="3352"/>
      <c r="D112" s="3703"/>
      <c r="E112" s="3933"/>
      <c r="F112" s="3352"/>
      <c r="G112" s="3931" t="str">
        <f t="shared" si="11"/>
        <v/>
      </c>
      <c r="H112" s="3509"/>
      <c r="I112" s="3509"/>
      <c r="K112" s="3815">
        <f t="shared" si="9"/>
        <v>0</v>
      </c>
      <c r="L112" s="3805">
        <f t="shared" si="10"/>
        <v>0</v>
      </c>
      <c r="O112" s="1485">
        <f t="shared" si="8"/>
        <v>1</v>
      </c>
    </row>
    <row r="113" spans="1:15" ht="15" x14ac:dyDescent="0.25">
      <c r="A113" s="3509"/>
      <c r="B113" s="3352"/>
      <c r="C113" s="3352"/>
      <c r="D113" s="3703"/>
      <c r="E113" s="3933"/>
      <c r="F113" s="3352"/>
      <c r="G113" s="3931" t="str">
        <f t="shared" si="11"/>
        <v/>
      </c>
      <c r="H113" s="3509"/>
      <c r="I113" s="3509"/>
      <c r="K113" s="3815">
        <f t="shared" si="9"/>
        <v>0</v>
      </c>
      <c r="L113" s="3805">
        <f t="shared" si="10"/>
        <v>0</v>
      </c>
      <c r="O113" s="1485">
        <f t="shared" si="8"/>
        <v>1</v>
      </c>
    </row>
    <row r="114" spans="1:15" ht="15" x14ac:dyDescent="0.25">
      <c r="A114" s="3509"/>
      <c r="B114" s="3352"/>
      <c r="C114" s="3352"/>
      <c r="D114" s="3703"/>
      <c r="E114" s="3933"/>
      <c r="F114" s="3352"/>
      <c r="G114" s="3931" t="str">
        <f t="shared" si="11"/>
        <v/>
      </c>
      <c r="H114" s="3509"/>
      <c r="I114" s="3509"/>
      <c r="K114" s="3815">
        <f t="shared" si="9"/>
        <v>0</v>
      </c>
      <c r="L114" s="3805">
        <f t="shared" si="10"/>
        <v>0</v>
      </c>
      <c r="O114" s="1485">
        <f t="shared" si="8"/>
        <v>1</v>
      </c>
    </row>
    <row r="115" spans="1:15" ht="15" x14ac:dyDescent="0.25">
      <c r="A115" s="3509"/>
      <c r="B115" s="3352"/>
      <c r="C115" s="3352"/>
      <c r="D115" s="3703"/>
      <c r="E115" s="3933"/>
      <c r="F115" s="3352"/>
      <c r="G115" s="3931" t="str">
        <f t="shared" si="11"/>
        <v/>
      </c>
      <c r="H115" s="3509"/>
      <c r="I115" s="3509"/>
      <c r="K115" s="3815">
        <f t="shared" si="9"/>
        <v>0</v>
      </c>
      <c r="L115" s="3805">
        <f t="shared" si="10"/>
        <v>0</v>
      </c>
      <c r="O115" s="1485">
        <f t="shared" si="8"/>
        <v>1</v>
      </c>
    </row>
    <row r="116" spans="1:15" ht="15" x14ac:dyDescent="0.25">
      <c r="A116" s="3509"/>
      <c r="B116" s="3352"/>
      <c r="C116" s="3352"/>
      <c r="D116" s="3703"/>
      <c r="E116" s="3933"/>
      <c r="F116" s="3352"/>
      <c r="G116" s="3931" t="str">
        <f t="shared" si="11"/>
        <v/>
      </c>
      <c r="H116" s="3509"/>
      <c r="I116" s="3509"/>
      <c r="K116" s="3815">
        <f t="shared" si="9"/>
        <v>0</v>
      </c>
      <c r="L116" s="3805">
        <f t="shared" si="10"/>
        <v>0</v>
      </c>
      <c r="O116" s="1485">
        <f t="shared" si="8"/>
        <v>1</v>
      </c>
    </row>
    <row r="117" spans="1:15" ht="15" x14ac:dyDescent="0.25">
      <c r="A117" s="3509"/>
      <c r="B117" s="3352"/>
      <c r="C117" s="3352"/>
      <c r="D117" s="3703"/>
      <c r="E117" s="3933"/>
      <c r="F117" s="3352"/>
      <c r="G117" s="3931" t="str">
        <f t="shared" si="11"/>
        <v/>
      </c>
      <c r="H117" s="3509"/>
      <c r="I117" s="3509"/>
      <c r="K117" s="3815">
        <f t="shared" si="9"/>
        <v>0</v>
      </c>
      <c r="L117" s="3805">
        <f t="shared" si="10"/>
        <v>0</v>
      </c>
      <c r="O117" s="1485">
        <f t="shared" si="8"/>
        <v>1</v>
      </c>
    </row>
    <row r="118" spans="1:15" ht="15" x14ac:dyDescent="0.25">
      <c r="A118" s="3509"/>
      <c r="B118" s="3352"/>
      <c r="C118" s="3352"/>
      <c r="D118" s="3703"/>
      <c r="E118" s="3933"/>
      <c r="F118" s="3352"/>
      <c r="G118" s="3931" t="str">
        <f t="shared" si="11"/>
        <v/>
      </c>
      <c r="H118" s="3509"/>
      <c r="I118" s="3509"/>
      <c r="K118" s="3815">
        <f t="shared" si="9"/>
        <v>0</v>
      </c>
      <c r="L118" s="3805">
        <f t="shared" si="10"/>
        <v>0</v>
      </c>
      <c r="O118" s="1485">
        <f t="shared" si="8"/>
        <v>1</v>
      </c>
    </row>
    <row r="119" spans="1:15" ht="15" x14ac:dyDescent="0.25">
      <c r="A119" s="3509"/>
      <c r="B119" s="3352"/>
      <c r="C119" s="3352"/>
      <c r="D119" s="3703"/>
      <c r="E119" s="3933"/>
      <c r="F119" s="3352"/>
      <c r="G119" s="3931" t="str">
        <f t="shared" si="11"/>
        <v/>
      </c>
      <c r="H119" s="3509"/>
      <c r="I119" s="3509"/>
      <c r="K119" s="3815">
        <f t="shared" si="9"/>
        <v>0</v>
      </c>
      <c r="L119" s="3805">
        <f t="shared" si="10"/>
        <v>0</v>
      </c>
      <c r="O119" s="1485">
        <f t="shared" si="8"/>
        <v>1</v>
      </c>
    </row>
    <row r="120" spans="1:15" ht="15" x14ac:dyDescent="0.25">
      <c r="A120" s="3509"/>
      <c r="B120" s="3352"/>
      <c r="C120" s="3352"/>
      <c r="D120" s="3703"/>
      <c r="E120" s="3933"/>
      <c r="F120" s="3352"/>
      <c r="G120" s="3931" t="str">
        <f t="shared" si="11"/>
        <v/>
      </c>
      <c r="H120" s="3509"/>
      <c r="I120" s="3509"/>
      <c r="K120" s="3815">
        <f t="shared" si="9"/>
        <v>0</v>
      </c>
      <c r="L120" s="3805">
        <f t="shared" si="10"/>
        <v>0</v>
      </c>
      <c r="O120" s="1485">
        <f t="shared" si="8"/>
        <v>1</v>
      </c>
    </row>
    <row r="121" spans="1:15" ht="15" x14ac:dyDescent="0.25">
      <c r="A121" s="3509"/>
      <c r="B121" s="3352"/>
      <c r="C121" s="3352"/>
      <c r="D121" s="3703"/>
      <c r="E121" s="3933"/>
      <c r="F121" s="3352"/>
      <c r="G121" s="3931" t="str">
        <f t="shared" si="11"/>
        <v/>
      </c>
      <c r="H121" s="3509"/>
      <c r="I121" s="3509"/>
      <c r="K121" s="3815">
        <f t="shared" si="9"/>
        <v>0</v>
      </c>
      <c r="L121" s="3805">
        <f t="shared" si="10"/>
        <v>0</v>
      </c>
      <c r="O121" s="1485">
        <f t="shared" si="8"/>
        <v>1</v>
      </c>
    </row>
    <row r="122" spans="1:15" ht="15" x14ac:dyDescent="0.25">
      <c r="A122" s="3509"/>
      <c r="B122" s="3352"/>
      <c r="C122" s="3352"/>
      <c r="D122" s="3703"/>
      <c r="E122" s="3933"/>
      <c r="F122" s="3352"/>
      <c r="G122" s="3931" t="str">
        <f t="shared" si="11"/>
        <v/>
      </c>
      <c r="H122" s="3509"/>
      <c r="I122" s="3509"/>
      <c r="K122" s="3815">
        <f t="shared" si="9"/>
        <v>0</v>
      </c>
      <c r="L122" s="3805">
        <f t="shared" si="10"/>
        <v>0</v>
      </c>
      <c r="O122" s="1485">
        <f t="shared" si="8"/>
        <v>1</v>
      </c>
    </row>
    <row r="123" spans="1:15" ht="15" x14ac:dyDescent="0.25">
      <c r="A123" s="3509"/>
      <c r="B123" s="3352"/>
      <c r="C123" s="3352"/>
      <c r="D123" s="3703"/>
      <c r="E123" s="3933"/>
      <c r="F123" s="3352"/>
      <c r="G123" s="3931" t="str">
        <f t="shared" si="11"/>
        <v/>
      </c>
      <c r="H123" s="3509"/>
      <c r="I123" s="3509"/>
      <c r="K123" s="3815">
        <f t="shared" si="9"/>
        <v>0</v>
      </c>
      <c r="L123" s="3805">
        <f t="shared" si="10"/>
        <v>0</v>
      </c>
      <c r="O123" s="1485">
        <f t="shared" si="8"/>
        <v>1</v>
      </c>
    </row>
    <row r="124" spans="1:15" ht="15" x14ac:dyDescent="0.25">
      <c r="A124" s="3509"/>
      <c r="B124" s="3352"/>
      <c r="C124" s="3352"/>
      <c r="D124" s="3703"/>
      <c r="E124" s="3933"/>
      <c r="F124" s="3352"/>
      <c r="G124" s="3931" t="str">
        <f t="shared" si="11"/>
        <v/>
      </c>
      <c r="H124" s="3509"/>
      <c r="I124" s="3509"/>
      <c r="K124" s="3815">
        <f t="shared" si="9"/>
        <v>0</v>
      </c>
      <c r="L124" s="3805">
        <f t="shared" si="10"/>
        <v>0</v>
      </c>
      <c r="O124" s="1485">
        <f t="shared" si="8"/>
        <v>1</v>
      </c>
    </row>
    <row r="125" spans="1:15" ht="15" x14ac:dyDescent="0.25">
      <c r="A125" s="3509"/>
      <c r="B125" s="3352"/>
      <c r="C125" s="3352"/>
      <c r="D125" s="3703"/>
      <c r="E125" s="3933"/>
      <c r="F125" s="3352"/>
      <c r="G125" s="3931" t="str">
        <f t="shared" si="11"/>
        <v/>
      </c>
      <c r="H125" s="3509"/>
      <c r="I125" s="3509"/>
      <c r="K125" s="3815">
        <f t="shared" si="9"/>
        <v>0</v>
      </c>
      <c r="L125" s="3805">
        <f t="shared" si="10"/>
        <v>0</v>
      </c>
      <c r="O125" s="1485">
        <f t="shared" si="8"/>
        <v>1</v>
      </c>
    </row>
    <row r="126" spans="1:15" ht="15" x14ac:dyDescent="0.25">
      <c r="A126" s="3509"/>
      <c r="B126" s="3352"/>
      <c r="C126" s="3352"/>
      <c r="D126" s="3703"/>
      <c r="E126" s="3933"/>
      <c r="F126" s="3352"/>
      <c r="G126" s="3931" t="str">
        <f t="shared" si="11"/>
        <v/>
      </c>
      <c r="H126" s="3509"/>
      <c r="I126" s="3509"/>
      <c r="K126" s="3815">
        <f t="shared" si="9"/>
        <v>0</v>
      </c>
      <c r="L126" s="3805">
        <f t="shared" si="10"/>
        <v>0</v>
      </c>
      <c r="O126" s="1485">
        <f t="shared" si="8"/>
        <v>1</v>
      </c>
    </row>
    <row r="127" spans="1:15" ht="15" x14ac:dyDescent="0.25">
      <c r="A127" s="3509"/>
      <c r="B127" s="3352"/>
      <c r="C127" s="3352"/>
      <c r="D127" s="3703"/>
      <c r="E127" s="3933"/>
      <c r="F127" s="3352"/>
      <c r="G127" s="3931" t="str">
        <f t="shared" si="11"/>
        <v/>
      </c>
      <c r="H127" s="3509"/>
      <c r="I127" s="3509"/>
      <c r="K127" s="3815">
        <f t="shared" si="9"/>
        <v>0</v>
      </c>
      <c r="L127" s="3805">
        <f t="shared" si="10"/>
        <v>0</v>
      </c>
      <c r="O127" s="1485">
        <f t="shared" si="8"/>
        <v>1</v>
      </c>
    </row>
    <row r="128" spans="1:15" ht="15" x14ac:dyDescent="0.25">
      <c r="A128" s="3509"/>
      <c r="B128" s="3352"/>
      <c r="C128" s="3352"/>
      <c r="D128" s="3703"/>
      <c r="E128" s="3933"/>
      <c r="F128" s="3352"/>
      <c r="G128" s="3931" t="str">
        <f t="shared" si="11"/>
        <v/>
      </c>
      <c r="H128" s="3509"/>
      <c r="I128" s="3509"/>
      <c r="K128" s="3815">
        <f t="shared" si="9"/>
        <v>0</v>
      </c>
      <c r="L128" s="3805">
        <f t="shared" si="10"/>
        <v>0</v>
      </c>
      <c r="O128" s="1485">
        <f t="shared" si="8"/>
        <v>1</v>
      </c>
    </row>
    <row r="129" spans="1:15" ht="15" x14ac:dyDescent="0.25">
      <c r="A129" s="3509"/>
      <c r="B129" s="3352"/>
      <c r="C129" s="3352"/>
      <c r="D129" s="3703"/>
      <c r="E129" s="3933"/>
      <c r="F129" s="3352"/>
      <c r="G129" s="3931" t="str">
        <f t="shared" si="11"/>
        <v/>
      </c>
      <c r="H129" s="3509"/>
      <c r="I129" s="3509"/>
      <c r="K129" s="3815">
        <f t="shared" si="9"/>
        <v>0</v>
      </c>
      <c r="L129" s="3805">
        <f t="shared" si="10"/>
        <v>0</v>
      </c>
      <c r="O129" s="1485">
        <f t="shared" si="8"/>
        <v>1</v>
      </c>
    </row>
    <row r="130" spans="1:15" ht="15" x14ac:dyDescent="0.25">
      <c r="A130" s="3509"/>
      <c r="B130" s="3352"/>
      <c r="C130" s="3352"/>
      <c r="D130" s="3703"/>
      <c r="E130" s="3933"/>
      <c r="F130" s="3352"/>
      <c r="G130" s="3931" t="str">
        <f t="shared" si="11"/>
        <v/>
      </c>
      <c r="H130" s="3509"/>
      <c r="I130" s="3509"/>
      <c r="K130" s="3815">
        <f t="shared" si="9"/>
        <v>0</v>
      </c>
      <c r="L130" s="3805">
        <f t="shared" si="10"/>
        <v>0</v>
      </c>
      <c r="O130" s="1485">
        <f t="shared" si="8"/>
        <v>1</v>
      </c>
    </row>
    <row r="131" spans="1:15" ht="15" x14ac:dyDescent="0.25">
      <c r="A131" s="3509"/>
      <c r="B131" s="3352"/>
      <c r="C131" s="3352"/>
      <c r="D131" s="3703"/>
      <c r="E131" s="3933"/>
      <c r="F131" s="3352"/>
      <c r="G131" s="3931" t="str">
        <f t="shared" si="11"/>
        <v/>
      </c>
      <c r="H131" s="3509"/>
      <c r="I131" s="3509"/>
      <c r="K131" s="3815">
        <f t="shared" si="9"/>
        <v>0</v>
      </c>
      <c r="L131" s="3805">
        <f t="shared" si="10"/>
        <v>0</v>
      </c>
      <c r="O131" s="1485">
        <f t="shared" si="8"/>
        <v>1</v>
      </c>
    </row>
    <row r="132" spans="1:15" ht="15" x14ac:dyDescent="0.25">
      <c r="A132" s="3509"/>
      <c r="B132" s="3352"/>
      <c r="C132" s="3352"/>
      <c r="D132" s="3703"/>
      <c r="E132" s="3933"/>
      <c r="F132" s="3352"/>
      <c r="G132" s="3931" t="str">
        <f t="shared" si="11"/>
        <v/>
      </c>
      <c r="H132" s="3509"/>
      <c r="I132" s="3509"/>
      <c r="K132" s="3815">
        <f t="shared" si="9"/>
        <v>0</v>
      </c>
      <c r="L132" s="3805">
        <f t="shared" si="10"/>
        <v>0</v>
      </c>
      <c r="O132" s="1485">
        <f t="shared" si="8"/>
        <v>1</v>
      </c>
    </row>
    <row r="133" spans="1:15" ht="15" x14ac:dyDescent="0.25">
      <c r="A133" s="3509"/>
      <c r="B133" s="3352"/>
      <c r="C133" s="3352"/>
      <c r="D133" s="3703"/>
      <c r="E133" s="3933"/>
      <c r="F133" s="3352"/>
      <c r="G133" s="3931" t="str">
        <f t="shared" si="11"/>
        <v/>
      </c>
      <c r="H133" s="3509"/>
      <c r="I133" s="3509"/>
      <c r="K133" s="3815">
        <f t="shared" si="9"/>
        <v>0</v>
      </c>
      <c r="L133" s="3805">
        <f t="shared" si="10"/>
        <v>0</v>
      </c>
      <c r="O133" s="1485">
        <f t="shared" si="8"/>
        <v>1</v>
      </c>
    </row>
    <row r="134" spans="1:15" ht="15" x14ac:dyDescent="0.25">
      <c r="A134" s="3509"/>
      <c r="B134" s="3352"/>
      <c r="C134" s="3352"/>
      <c r="D134" s="3703"/>
      <c r="E134" s="3933"/>
      <c r="F134" s="3352"/>
      <c r="G134" s="3931" t="str">
        <f t="shared" si="11"/>
        <v/>
      </c>
      <c r="H134" s="3509"/>
      <c r="I134" s="3509"/>
      <c r="K134" s="3815">
        <f t="shared" si="9"/>
        <v>0</v>
      </c>
      <c r="L134" s="3805">
        <f t="shared" si="10"/>
        <v>0</v>
      </c>
      <c r="O134" s="1485">
        <f t="shared" si="8"/>
        <v>1</v>
      </c>
    </row>
    <row r="135" spans="1:15" ht="15" hidden="1" x14ac:dyDescent="0.25">
      <c r="A135" s="3509"/>
      <c r="B135" s="3352"/>
      <c r="C135" s="3352"/>
      <c r="D135" s="3703"/>
      <c r="E135" s="3933"/>
      <c r="F135" s="3352"/>
      <c r="G135" s="3931" t="str">
        <f t="shared" si="11"/>
        <v/>
      </c>
      <c r="H135" s="3509"/>
      <c r="I135" s="3509"/>
      <c r="K135" s="3815">
        <f t="shared" si="9"/>
        <v>0</v>
      </c>
      <c r="L135" s="3805">
        <f t="shared" si="10"/>
        <v>0</v>
      </c>
      <c r="O135" s="1485">
        <f t="shared" si="8"/>
        <v>1</v>
      </c>
    </row>
    <row r="136" spans="1:15" ht="15" hidden="1" x14ac:dyDescent="0.25">
      <c r="A136" s="3509"/>
      <c r="B136" s="3352"/>
      <c r="C136" s="3352"/>
      <c r="D136" s="3703"/>
      <c r="E136" s="3933"/>
      <c r="F136" s="3352"/>
      <c r="G136" s="3931" t="str">
        <f t="shared" si="11"/>
        <v/>
      </c>
      <c r="H136" s="3509"/>
      <c r="I136" s="3509"/>
      <c r="K136" s="3815">
        <f t="shared" si="9"/>
        <v>0</v>
      </c>
      <c r="L136" s="3805">
        <f t="shared" si="10"/>
        <v>0</v>
      </c>
      <c r="O136" s="1485">
        <f t="shared" si="8"/>
        <v>1</v>
      </c>
    </row>
    <row r="137" spans="1:15" ht="15" hidden="1" x14ac:dyDescent="0.25">
      <c r="A137" s="3509"/>
      <c r="B137" s="3352"/>
      <c r="C137" s="3352"/>
      <c r="D137" s="3703"/>
      <c r="E137" s="3933"/>
      <c r="F137" s="3352"/>
      <c r="G137" s="3931" t="str">
        <f t="shared" si="11"/>
        <v/>
      </c>
      <c r="H137" s="3509"/>
      <c r="I137" s="3509"/>
      <c r="K137" s="3815">
        <f t="shared" si="9"/>
        <v>0</v>
      </c>
      <c r="L137" s="3805">
        <f t="shared" si="10"/>
        <v>0</v>
      </c>
      <c r="O137" s="1485">
        <f t="shared" si="8"/>
        <v>1</v>
      </c>
    </row>
    <row r="138" spans="1:15" ht="15" hidden="1" x14ac:dyDescent="0.25">
      <c r="A138" s="3509"/>
      <c r="B138" s="3352"/>
      <c r="C138" s="3352"/>
      <c r="D138" s="3703"/>
      <c r="E138" s="3933"/>
      <c r="F138" s="3352"/>
      <c r="G138" s="3931" t="str">
        <f t="shared" si="11"/>
        <v/>
      </c>
      <c r="H138" s="3509"/>
      <c r="I138" s="3509"/>
      <c r="K138" s="3815">
        <f t="shared" si="9"/>
        <v>0</v>
      </c>
      <c r="L138" s="3805">
        <f t="shared" si="10"/>
        <v>0</v>
      </c>
      <c r="O138" s="1485">
        <f t="shared" si="8"/>
        <v>1</v>
      </c>
    </row>
    <row r="139" spans="1:15" ht="15" hidden="1" x14ac:dyDescent="0.25">
      <c r="A139" s="3509"/>
      <c r="B139" s="3352"/>
      <c r="C139" s="3352"/>
      <c r="D139" s="3703"/>
      <c r="E139" s="3933"/>
      <c r="F139" s="3352"/>
      <c r="G139" s="3931" t="str">
        <f t="shared" si="11"/>
        <v/>
      </c>
      <c r="H139" s="3509"/>
      <c r="I139" s="3509"/>
      <c r="K139" s="3815">
        <f t="shared" si="9"/>
        <v>0</v>
      </c>
      <c r="L139" s="3805">
        <f t="shared" si="10"/>
        <v>0</v>
      </c>
      <c r="O139" s="1485">
        <f t="shared" si="8"/>
        <v>1</v>
      </c>
    </row>
    <row r="140" spans="1:15" ht="15" hidden="1" x14ac:dyDescent="0.25">
      <c r="A140" s="3509"/>
      <c r="B140" s="3352"/>
      <c r="C140" s="3352"/>
      <c r="D140" s="3703"/>
      <c r="E140" s="3933"/>
      <c r="F140" s="3352"/>
      <c r="G140" s="3931" t="str">
        <f t="shared" si="11"/>
        <v/>
      </c>
      <c r="H140" s="3509"/>
      <c r="I140" s="3509"/>
      <c r="K140" s="3815">
        <f t="shared" ref="K140:K189" si="12">IF(G140="",0,1)</f>
      </c>
      <c r="L140" s="3805">
        <f t="shared" ref="L140:L189" si="13">IF($Q$1="y",COUNTA(B140:F140),COUNTA(C140:F140))</f>
      </c>
      <c r="O140" s="1485">
        <f t="shared" ref="O140:O189" si="14">IF(ISERROR(VLOOKUP(D140,TIFD_cg,1,FALSE))=TRUE,1,0)</f>
      </c>
    </row>
    <row r="141" spans="1:15" ht="15" hidden="1" x14ac:dyDescent="0.25">
      <c r="A141" s="3509"/>
      <c r="B141" s="3352"/>
      <c r="C141" s="3352"/>
      <c r="D141" s="3703"/>
      <c r="E141" s="3933"/>
      <c r="F141" s="3352"/>
      <c r="G141" s="3931" t="str">
        <f t="shared" si="11"/>
        <v/>
      </c>
      <c r="H141" s="3509"/>
      <c r="I141" s="3509"/>
      <c r="K141" s="3815">
        <f t="shared" si="12"/>
        <v>0</v>
      </c>
      <c r="L141" s="3805">
        <f t="shared" si="13"/>
        <v>0</v>
      </c>
      <c r="O141" s="1485">
        <f t="shared" si="14"/>
        <v>1</v>
      </c>
    </row>
    <row r="142" spans="1:15" ht="15" hidden="1" x14ac:dyDescent="0.25">
      <c r="A142" s="3509"/>
      <c r="B142" s="3352"/>
      <c r="C142" s="3352"/>
      <c r="D142" s="3703"/>
      <c r="E142" s="3933"/>
      <c r="F142" s="3352"/>
      <c r="G142" s="3931" t="str">
        <f t="shared" si="11"/>
        <v/>
      </c>
      <c r="H142" s="3509"/>
      <c r="I142" s="3509"/>
      <c r="K142" s="3815">
        <f t="shared" si="12"/>
        <v>0</v>
      </c>
      <c r="L142" s="3805">
        <f t="shared" si="13"/>
        <v>0</v>
      </c>
      <c r="O142" s="1485">
        <f t="shared" si="14"/>
        <v>1</v>
      </c>
    </row>
    <row r="143" spans="1:15" ht="15" hidden="1" x14ac:dyDescent="0.25">
      <c r="A143" s="3509"/>
      <c r="B143" s="3352"/>
      <c r="C143" s="3352"/>
      <c r="D143" s="3703"/>
      <c r="E143" s="3933"/>
      <c r="F143" s="3352"/>
      <c r="G143" s="3931" t="str">
        <f t="shared" si="11"/>
        <v/>
      </c>
      <c r="H143" s="3509"/>
      <c r="I143" s="3509"/>
      <c r="K143" s="3815">
        <f t="shared" si="12"/>
        <v>0</v>
      </c>
      <c r="L143" s="3805">
        <f t="shared" si="13"/>
        <v>0</v>
      </c>
      <c r="O143" s="1485">
        <f t="shared" si="14"/>
        <v>1</v>
      </c>
    </row>
    <row r="144" spans="1:15" ht="15" hidden="1" x14ac:dyDescent="0.25">
      <c r="A144" s="3509"/>
      <c r="B144" s="3352"/>
      <c r="C144" s="3352"/>
      <c r="D144" s="3703"/>
      <c r="E144" s="3933"/>
      <c r="F144" s="3352"/>
      <c r="G144" s="3931" t="str">
        <f t="shared" si="11"/>
        <v/>
      </c>
      <c r="H144" s="3509"/>
      <c r="I144" s="3509"/>
      <c r="K144" s="3815">
        <f t="shared" si="12"/>
        <v>0</v>
      </c>
      <c r="L144" s="3805">
        <f t="shared" si="13"/>
        <v>0</v>
      </c>
      <c r="O144" s="1485">
        <f t="shared" si="14"/>
        <v>1</v>
      </c>
    </row>
    <row r="145" spans="1:15" ht="15" hidden="1" x14ac:dyDescent="0.25">
      <c r="A145" s="3509"/>
      <c r="B145" s="3352"/>
      <c r="C145" s="3352"/>
      <c r="D145" s="3703"/>
      <c r="E145" s="3933"/>
      <c r="F145" s="3352"/>
      <c r="G145" s="3931" t="str">
        <f t="shared" si="11"/>
        <v/>
      </c>
      <c r="H145" s="3509"/>
      <c r="I145" s="3509"/>
      <c r="K145" s="3815">
        <f t="shared" si="12"/>
        <v>0</v>
      </c>
      <c r="L145" s="3805">
        <f t="shared" si="13"/>
        <v>0</v>
      </c>
      <c r="O145" s="1485">
        <f t="shared" si="14"/>
        <v>1</v>
      </c>
    </row>
    <row r="146" spans="1:15" ht="15" hidden="1" x14ac:dyDescent="0.25">
      <c r="A146" s="3509"/>
      <c r="B146" s="3352"/>
      <c r="C146" s="3352"/>
      <c r="D146" s="3703"/>
      <c r="E146" s="3933"/>
      <c r="F146" s="3352"/>
      <c r="G146" s="3931" t="str">
        <f t="shared" si="11"/>
        <v/>
      </c>
      <c r="H146" s="3509"/>
      <c r="I146" s="3509"/>
      <c r="K146" s="3815">
        <f t="shared" si="12"/>
        <v>0</v>
      </c>
      <c r="L146" s="3805">
        <f t="shared" si="13"/>
        <v>0</v>
      </c>
      <c r="O146" s="1485">
        <f t="shared" si="14"/>
        <v>1</v>
      </c>
    </row>
    <row r="147" spans="1:15" ht="15" hidden="1" x14ac:dyDescent="0.25">
      <c r="A147" s="3509"/>
      <c r="B147" s="3352"/>
      <c r="C147" s="3352"/>
      <c r="D147" s="3703"/>
      <c r="E147" s="3933"/>
      <c r="F147" s="3352"/>
      <c r="G147" s="3931" t="str">
        <f t="shared" si="11"/>
        <v/>
      </c>
      <c r="H147" s="3509"/>
      <c r="I147" s="3509"/>
      <c r="K147" s="3815">
        <f t="shared" si="12"/>
        <v>0</v>
      </c>
      <c r="L147" s="3805">
        <f t="shared" si="13"/>
        <v>0</v>
      </c>
      <c r="O147" s="1485">
        <f t="shared" si="14"/>
        <v>1</v>
      </c>
    </row>
    <row r="148" spans="1:15" ht="15" hidden="1" x14ac:dyDescent="0.25">
      <c r="A148" s="3509"/>
      <c r="B148" s="3352"/>
      <c r="C148" s="3352"/>
      <c r="D148" s="3703"/>
      <c r="E148" s="3933"/>
      <c r="F148" s="3352"/>
      <c r="G148" s="3931" t="str">
        <f t="shared" si="11"/>
        <v/>
      </c>
      <c r="H148" s="3509"/>
      <c r="I148" s="3509"/>
      <c r="K148" s="3815">
        <f t="shared" si="12"/>
        <v>0</v>
      </c>
      <c r="L148" s="3805">
        <f t="shared" si="13"/>
        <v>0</v>
      </c>
      <c r="O148" s="1485">
        <f t="shared" si="14"/>
        <v>1</v>
      </c>
    </row>
    <row r="149" spans="1:15" ht="15" hidden="1" x14ac:dyDescent="0.25">
      <c r="A149" s="3509"/>
      <c r="B149" s="3352"/>
      <c r="C149" s="3352"/>
      <c r="D149" s="3703"/>
      <c r="E149" s="3933"/>
      <c r="F149" s="3352"/>
      <c r="G149" s="3931" t="str">
        <f t="shared" si="11"/>
        <v/>
      </c>
      <c r="H149" s="3509"/>
      <c r="I149" s="3509"/>
      <c r="K149" s="3815">
        <f t="shared" si="12"/>
        <v>0</v>
      </c>
      <c r="L149" s="3805">
        <f t="shared" si="13"/>
        <v>0</v>
      </c>
      <c r="O149" s="1485">
        <f t="shared" si="14"/>
        <v>1</v>
      </c>
    </row>
    <row r="150" spans="1:15" ht="15" hidden="1" x14ac:dyDescent="0.25">
      <c r="A150" s="3509"/>
      <c r="B150" s="3352"/>
      <c r="C150" s="3352"/>
      <c r="D150" s="3703"/>
      <c r="E150" s="3933"/>
      <c r="F150" s="3352"/>
      <c r="G150" s="3931" t="str">
        <f t="shared" si="11"/>
        <v/>
      </c>
      <c r="H150" s="3509"/>
      <c r="I150" s="3509"/>
      <c r="K150" s="3815">
        <f t="shared" si="12"/>
        <v>0</v>
      </c>
      <c r="L150" s="3805">
        <f t="shared" si="13"/>
        <v>0</v>
      </c>
      <c r="O150" s="1485">
        <f t="shared" si="14"/>
        <v>1</v>
      </c>
    </row>
    <row r="151" spans="1:15" ht="15" hidden="1" x14ac:dyDescent="0.25">
      <c r="A151" s="3509"/>
      <c r="B151" s="3352"/>
      <c r="C151" s="3352"/>
      <c r="D151" s="3703"/>
      <c r="E151" s="3933"/>
      <c r="F151" s="3352"/>
      <c r="G151" s="3931" t="str">
        <f t="shared" si="11"/>
        <v/>
      </c>
      <c r="H151" s="3509"/>
      <c r="I151" s="3509"/>
      <c r="K151" s="3815">
        <f t="shared" si="12"/>
        <v>0</v>
      </c>
      <c r="L151" s="3805">
        <f t="shared" si="13"/>
        <v>0</v>
      </c>
      <c r="O151" s="1485">
        <f t="shared" si="14"/>
        <v>1</v>
      </c>
    </row>
    <row r="152" spans="1:15" ht="15" hidden="1" x14ac:dyDescent="0.25">
      <c r="A152" s="3509"/>
      <c r="B152" s="3352"/>
      <c r="C152" s="3352"/>
      <c r="D152" s="3703"/>
      <c r="E152" s="3933"/>
      <c r="F152" s="3352"/>
      <c r="G152" s="3931" t="str">
        <f t="shared" si="11"/>
        <v/>
      </c>
      <c r="H152" s="3509"/>
      <c r="I152" s="3509"/>
      <c r="K152" s="3815">
        <f t="shared" si="12"/>
        <v>0</v>
      </c>
      <c r="L152" s="3805">
        <f t="shared" si="13"/>
        <v>0</v>
      </c>
      <c r="O152" s="1485">
        <f t="shared" si="14"/>
        <v>1</v>
      </c>
    </row>
    <row r="153" spans="1:15" ht="15" hidden="1" x14ac:dyDescent="0.25">
      <c r="A153" s="3509"/>
      <c r="B153" s="3352"/>
      <c r="C153" s="3352"/>
      <c r="D153" s="3703"/>
      <c r="E153" s="3933"/>
      <c r="F153" s="3352"/>
      <c r="G153" s="3931" t="str">
        <f t="shared" si="11"/>
        <v/>
      </c>
      <c r="H153" s="3509"/>
      <c r="I153" s="3509"/>
      <c r="K153" s="3815">
        <f t="shared" si="12"/>
        <v>0</v>
      </c>
      <c r="L153" s="3805">
        <f t="shared" si="13"/>
        <v>0</v>
      </c>
      <c r="O153" s="1485">
        <f t="shared" si="14"/>
        <v>1</v>
      </c>
    </row>
    <row r="154" spans="1:15" ht="15" hidden="1" x14ac:dyDescent="0.25">
      <c r="A154" s="3509"/>
      <c r="B154" s="3352"/>
      <c r="C154" s="3352"/>
      <c r="D154" s="3703"/>
      <c r="E154" s="3933"/>
      <c r="F154" s="3352"/>
      <c r="G154" s="3931" t="str">
        <f t="shared" si="11"/>
        <v/>
      </c>
      <c r="H154" s="3509"/>
      <c r="I154" s="3509"/>
      <c r="K154" s="3815">
        <f t="shared" si="12"/>
        <v>0</v>
      </c>
      <c r="L154" s="3805">
        <f t="shared" si="13"/>
        <v>0</v>
      </c>
      <c r="O154" s="1485">
        <f t="shared" si="14"/>
        <v>1</v>
      </c>
    </row>
    <row r="155" spans="1:15" ht="15" hidden="1" x14ac:dyDescent="0.25">
      <c r="A155" s="3509"/>
      <c r="B155" s="3352"/>
      <c r="C155" s="3352"/>
      <c r="D155" s="3703"/>
      <c r="E155" s="3933"/>
      <c r="F155" s="3352"/>
      <c r="G155" s="3931" t="str">
        <f t="shared" si="11"/>
        <v/>
      </c>
      <c r="H155" s="3509"/>
      <c r="I155" s="3509"/>
      <c r="K155" s="3815">
        <f t="shared" si="12"/>
        <v>0</v>
      </c>
      <c r="L155" s="3805">
        <f t="shared" si="13"/>
        <v>0</v>
      </c>
      <c r="O155" s="1485">
        <f t="shared" si="14"/>
        <v>1</v>
      </c>
    </row>
    <row r="156" spans="1:15" ht="15" hidden="1" x14ac:dyDescent="0.25">
      <c r="A156" s="3509"/>
      <c r="B156" s="3352"/>
      <c r="C156" s="3352"/>
      <c r="D156" s="3703"/>
      <c r="E156" s="3933"/>
      <c r="F156" s="3352"/>
      <c r="G156" s="3931" t="str">
        <f t="shared" si="11"/>
        <v/>
      </c>
      <c r="H156" s="3509"/>
      <c r="I156" s="3509"/>
      <c r="K156" s="3815">
        <f t="shared" si="12"/>
        <v>0</v>
      </c>
      <c r="L156" s="3805">
        <f t="shared" si="13"/>
        <v>0</v>
      </c>
      <c r="O156" s="1485">
        <f t="shared" si="14"/>
        <v>1</v>
      </c>
    </row>
    <row r="157" spans="1:15" ht="15" hidden="1" x14ac:dyDescent="0.25">
      <c r="A157" s="3509"/>
      <c r="B157" s="3352"/>
      <c r="C157" s="3352"/>
      <c r="D157" s="3703"/>
      <c r="E157" s="3933"/>
      <c r="F157" s="3352"/>
      <c r="G157" s="3931" t="str">
        <f t="shared" si="11"/>
        <v/>
      </c>
      <c r="H157" s="3509"/>
      <c r="I157" s="3509"/>
      <c r="K157" s="3815">
        <f t="shared" si="12"/>
        <v>0</v>
      </c>
      <c r="L157" s="3805">
        <f t="shared" si="13"/>
        <v>0</v>
      </c>
      <c r="O157" s="1485">
        <f t="shared" si="14"/>
        <v>1</v>
      </c>
    </row>
    <row r="158" spans="1:15" ht="15" hidden="1" x14ac:dyDescent="0.25">
      <c r="A158" s="3509"/>
      <c r="B158" s="3352"/>
      <c r="C158" s="3352"/>
      <c r="D158" s="3703"/>
      <c r="E158" s="3933"/>
      <c r="F158" s="3352"/>
      <c r="G158" s="3931" t="str">
        <f t="shared" si="11"/>
        <v/>
      </c>
      <c r="H158" s="3509"/>
      <c r="I158" s="3509"/>
      <c r="K158" s="3815">
        <f t="shared" si="12"/>
        <v>0</v>
      </c>
      <c r="L158" s="3805">
        <f t="shared" si="13"/>
        <v>0</v>
      </c>
      <c r="O158" s="1485">
        <f t="shared" si="14"/>
        <v>1</v>
      </c>
    </row>
    <row r="159" spans="1:15" ht="15" hidden="1" x14ac:dyDescent="0.25">
      <c r="A159" s="3509"/>
      <c r="B159" s="3352"/>
      <c r="C159" s="3352"/>
      <c r="D159" s="3703"/>
      <c r="E159" s="3933"/>
      <c r="F159" s="3352"/>
      <c r="G159" s="3931" t="str">
        <f t="shared" si="11"/>
        <v/>
      </c>
      <c r="H159" s="3509"/>
      <c r="I159" s="3509"/>
      <c r="K159" s="3815">
        <f t="shared" si="12"/>
        <v>0</v>
      </c>
      <c r="L159" s="3805">
        <f t="shared" si="13"/>
        <v>0</v>
      </c>
      <c r="O159" s="1485">
        <f t="shared" si="14"/>
        <v>1</v>
      </c>
    </row>
    <row r="160" spans="1:15" ht="15" hidden="1" x14ac:dyDescent="0.25">
      <c r="A160" s="3509"/>
      <c r="B160" s="3352"/>
      <c r="C160" s="3352"/>
      <c r="D160" s="3703"/>
      <c r="E160" s="3933"/>
      <c r="F160" s="3352"/>
      <c r="G160" s="3931" t="str">
        <f t="shared" si="11"/>
        <v/>
      </c>
      <c r="H160" s="3509"/>
      <c r="I160" s="3509"/>
      <c r="K160" s="3815">
        <f t="shared" si="12"/>
        <v>0</v>
      </c>
      <c r="L160" s="3805">
        <f t="shared" si="13"/>
        <v>0</v>
      </c>
      <c r="O160" s="1485">
        <f t="shared" si="14"/>
        <v>1</v>
      </c>
    </row>
    <row r="161" spans="1:15" ht="15" hidden="1" x14ac:dyDescent="0.25">
      <c r="A161" s="3509"/>
      <c r="B161" s="3352"/>
      <c r="C161" s="3352"/>
      <c r="D161" s="3703"/>
      <c r="E161" s="3933"/>
      <c r="F161" s="3352"/>
      <c r="G161" s="3931" t="str">
        <f t="shared" si="11"/>
        <v/>
      </c>
      <c r="H161" s="3509"/>
      <c r="I161" s="3509"/>
      <c r="K161" s="3815">
        <f t="shared" si="12"/>
        <v>0</v>
      </c>
      <c r="L161" s="3805">
        <f t="shared" si="13"/>
        <v>0</v>
      </c>
      <c r="O161" s="1485">
        <f t="shared" si="14"/>
        <v>1</v>
      </c>
    </row>
    <row r="162" spans="1:15" ht="15" hidden="1" x14ac:dyDescent="0.25">
      <c r="A162" s="3509"/>
      <c r="B162" s="3352"/>
      <c r="C162" s="3352"/>
      <c r="D162" s="3703"/>
      <c r="E162" s="3933"/>
      <c r="F162" s="3352"/>
      <c r="G162" s="3931" t="str">
        <f t="shared" si="11"/>
        <v/>
      </c>
      <c r="H162" s="3509"/>
      <c r="I162" s="3509"/>
      <c r="K162" s="3815">
        <f t="shared" si="12"/>
        <v>0</v>
      </c>
      <c r="L162" s="3805">
        <f t="shared" si="13"/>
        <v>0</v>
      </c>
      <c r="O162" s="1485">
        <f t="shared" si="14"/>
        <v>1</v>
      </c>
    </row>
    <row r="163" spans="1:15" ht="15" hidden="1" x14ac:dyDescent="0.25">
      <c r="A163" s="3509"/>
      <c r="B163" s="3352"/>
      <c r="C163" s="3352"/>
      <c r="D163" s="3703"/>
      <c r="E163" s="3933"/>
      <c r="F163" s="3352"/>
      <c r="G163" s="3931" t="str">
        <f t="shared" si="11"/>
        <v/>
      </c>
      <c r="H163" s="3509"/>
      <c r="I163" s="3509"/>
      <c r="K163" s="3815">
        <f t="shared" si="12"/>
        <v>0</v>
      </c>
      <c r="L163" s="3805">
        <f t="shared" si="13"/>
        <v>0</v>
      </c>
      <c r="O163" s="1485">
        <f t="shared" si="14"/>
        <v>1</v>
      </c>
    </row>
    <row r="164" spans="1:15" ht="15" hidden="1" x14ac:dyDescent="0.25">
      <c r="A164" s="3509"/>
      <c r="B164" s="3352"/>
      <c r="C164" s="3352"/>
      <c r="D164" s="3703"/>
      <c r="E164" s="3933"/>
      <c r="F164" s="3352"/>
      <c r="G164" s="3931" t="str">
        <f t="shared" si="11"/>
        <v/>
      </c>
      <c r="H164" s="3509"/>
      <c r="I164" s="3509"/>
      <c r="K164" s="3815">
        <f t="shared" si="12"/>
        <v>0</v>
      </c>
      <c r="L164" s="3805">
        <f t="shared" si="13"/>
        <v>0</v>
      </c>
      <c r="O164" s="1485">
        <f t="shared" si="14"/>
        <v>1</v>
      </c>
    </row>
    <row r="165" spans="1:15" ht="15" hidden="1" x14ac:dyDescent="0.25">
      <c r="A165" s="3509"/>
      <c r="B165" s="3352"/>
      <c r="C165" s="3352"/>
      <c r="D165" s="3703"/>
      <c r="E165" s="3933"/>
      <c r="F165" s="3352"/>
      <c r="G165" s="3931" t="str">
        <f t="shared" si="11"/>
        <v/>
      </c>
      <c r="H165" s="3509"/>
      <c r="I165" s="3509"/>
      <c r="K165" s="3815">
        <f t="shared" si="12"/>
        <v>0</v>
      </c>
      <c r="L165" s="3805">
        <f t="shared" si="13"/>
        <v>0</v>
      </c>
      <c r="O165" s="1485">
        <f t="shared" si="14"/>
        <v>1</v>
      </c>
    </row>
    <row r="166" spans="1:15" ht="15" hidden="1" x14ac:dyDescent="0.25">
      <c r="A166" s="3509"/>
      <c r="B166" s="3352"/>
      <c r="C166" s="3352"/>
      <c r="D166" s="3703"/>
      <c r="E166" s="3933"/>
      <c r="F166" s="3352"/>
      <c r="G166" s="3931" t="str">
        <f t="shared" si="11"/>
        <v/>
      </c>
      <c r="H166" s="3509"/>
      <c r="I166" s="3509"/>
      <c r="K166" s="3815">
        <f t="shared" si="12"/>
        <v>0</v>
      </c>
      <c r="L166" s="3805">
        <f t="shared" si="13"/>
        <v>0</v>
      </c>
      <c r="O166" s="1485">
        <f t="shared" si="14"/>
        <v>1</v>
      </c>
    </row>
    <row r="167" spans="1:15" ht="15" hidden="1" x14ac:dyDescent="0.25">
      <c r="A167" s="3509"/>
      <c r="B167" s="3352"/>
      <c r="C167" s="3352"/>
      <c r="D167" s="3703"/>
      <c r="E167" s="3933"/>
      <c r="F167" s="3352"/>
      <c r="G167" s="3931" t="str">
        <f t="shared" si="11"/>
        <v/>
      </c>
      <c r="H167" s="3509"/>
      <c r="I167" s="3509"/>
      <c r="K167" s="3815">
        <f t="shared" si="12"/>
        <v>0</v>
      </c>
      <c r="L167" s="3805">
        <f t="shared" si="13"/>
        <v>0</v>
      </c>
      <c r="O167" s="1485">
        <f t="shared" si="14"/>
        <v>1</v>
      </c>
    </row>
    <row r="168" spans="1:15" ht="15" hidden="1" x14ac:dyDescent="0.25">
      <c r="A168" s="3509"/>
      <c r="B168" s="3352"/>
      <c r="C168" s="3352"/>
      <c r="D168" s="3703"/>
      <c r="E168" s="3933"/>
      <c r="F168" s="3352"/>
      <c r="G168" s="3931" t="str">
        <f t="shared" si="11"/>
        <v/>
      </c>
      <c r="H168" s="3509"/>
      <c r="I168" s="3509"/>
      <c r="K168" s="3815">
        <f t="shared" si="12"/>
        <v>0</v>
      </c>
      <c r="L168" s="3805">
        <f t="shared" si="13"/>
        <v>0</v>
      </c>
      <c r="O168" s="1485">
        <f t="shared" si="14"/>
        <v>1</v>
      </c>
    </row>
    <row r="169" spans="1:15" ht="15" hidden="1" x14ac:dyDescent="0.25">
      <c r="A169" s="3509"/>
      <c r="B169" s="3352"/>
      <c r="C169" s="3352"/>
      <c r="D169" s="3703"/>
      <c r="E169" s="3933"/>
      <c r="F169" s="3352"/>
      <c r="G169" s="3931" t="str">
        <f t="shared" si="11"/>
        <v/>
      </c>
      <c r="H169" s="3509"/>
      <c r="I169" s="3509"/>
      <c r="K169" s="3815">
        <f t="shared" si="12"/>
        <v>0</v>
      </c>
      <c r="L169" s="3805">
        <f t="shared" si="13"/>
        <v>0</v>
      </c>
      <c r="O169" s="1485">
        <f t="shared" si="14"/>
        <v>1</v>
      </c>
    </row>
    <row r="170" spans="1:15" ht="15" hidden="1" x14ac:dyDescent="0.25">
      <c r="A170" s="3509"/>
      <c r="B170" s="3352"/>
      <c r="C170" s="3352"/>
      <c r="D170" s="3703"/>
      <c r="E170" s="3933"/>
      <c r="F170" s="3352"/>
      <c r="G170" s="3931" t="str">
        <f t="shared" ref="G170:G189" si="15">IF(AND(L170&gt;0,OR($G$15="",$G$15="no")),"Delete!",IF(AND($Q$1="n",B170&lt;&gt;""),"Not a fiscal unit",IF(AND(D170&lt;&gt;"",O170=1),"Check TIFD code!",IF(AND($Q$1="y",L170&gt;0,L170&lt;&gt;5),"All data!",IF(AND(OR($Q$1=0,$Q$1="n"),L170&gt;0,L170&lt;&gt;4),"All data!","")))))</f>
        <v/>
      </c>
      <c r="H170" s="3509"/>
      <c r="I170" s="3509"/>
      <c r="K170" s="3815">
        <f t="shared" si="12"/>
        <v>0</v>
      </c>
      <c r="L170" s="3805">
        <f t="shared" si="13"/>
        <v>0</v>
      </c>
      <c r="O170" s="1485">
        <f t="shared" si="14"/>
        <v>1</v>
      </c>
    </row>
    <row r="171" spans="1:15" ht="15" hidden="1" x14ac:dyDescent="0.25">
      <c r="A171" s="3509"/>
      <c r="B171" s="3352"/>
      <c r="C171" s="3352"/>
      <c r="D171" s="3703"/>
      <c r="E171" s="3933"/>
      <c r="F171" s="3352"/>
      <c r="G171" s="3931" t="str">
        <f t="shared" si="15"/>
        <v/>
      </c>
      <c r="H171" s="3509"/>
      <c r="I171" s="3509"/>
      <c r="K171" s="3815">
        <f t="shared" si="12"/>
        <v>0</v>
      </c>
      <c r="L171" s="3805">
        <f t="shared" si="13"/>
        <v>0</v>
      </c>
      <c r="O171" s="1485">
        <f t="shared" si="14"/>
        <v>1</v>
      </c>
    </row>
    <row r="172" spans="1:15" ht="15" hidden="1" x14ac:dyDescent="0.25">
      <c r="A172" s="3509"/>
      <c r="B172" s="3352"/>
      <c r="C172" s="3352"/>
      <c r="D172" s="3703"/>
      <c r="E172" s="3933"/>
      <c r="F172" s="3352"/>
      <c r="G172" s="3931" t="str">
        <f t="shared" si="15"/>
        <v/>
      </c>
      <c r="H172" s="3509"/>
      <c r="I172" s="3509"/>
      <c r="K172" s="3815">
        <f t="shared" si="12"/>
        <v>0</v>
      </c>
      <c r="L172" s="3805">
        <f t="shared" si="13"/>
        <v>0</v>
      </c>
      <c r="O172" s="1485">
        <f t="shared" si="14"/>
        <v>1</v>
      </c>
    </row>
    <row r="173" spans="1:15" ht="15" hidden="1" x14ac:dyDescent="0.25">
      <c r="A173" s="3509"/>
      <c r="B173" s="3352"/>
      <c r="C173" s="3352"/>
      <c r="D173" s="3703"/>
      <c r="E173" s="3933"/>
      <c r="F173" s="3352"/>
      <c r="G173" s="3931" t="str">
        <f t="shared" si="15"/>
        <v/>
      </c>
      <c r="H173" s="3509"/>
      <c r="I173" s="3509"/>
      <c r="K173" s="3815">
        <f t="shared" si="12"/>
        <v>0</v>
      </c>
      <c r="L173" s="3805">
        <f t="shared" si="13"/>
        <v>0</v>
      </c>
      <c r="O173" s="1485">
        <f t="shared" si="14"/>
        <v>1</v>
      </c>
    </row>
    <row r="174" spans="1:15" ht="15" hidden="1" x14ac:dyDescent="0.25">
      <c r="A174" s="3509"/>
      <c r="B174" s="3352"/>
      <c r="C174" s="3352"/>
      <c r="D174" s="3703"/>
      <c r="E174" s="3933"/>
      <c r="F174" s="3352"/>
      <c r="G174" s="3931" t="str">
        <f t="shared" si="15"/>
        <v/>
      </c>
      <c r="H174" s="3509"/>
      <c r="I174" s="3509"/>
      <c r="K174" s="3815">
        <f t="shared" si="12"/>
        <v>0</v>
      </c>
      <c r="L174" s="3805">
        <f t="shared" si="13"/>
        <v>0</v>
      </c>
      <c r="O174" s="1485">
        <f t="shared" si="14"/>
        <v>1</v>
      </c>
    </row>
    <row r="175" spans="1:15" ht="15" hidden="1" x14ac:dyDescent="0.25">
      <c r="A175" s="3509"/>
      <c r="B175" s="3352"/>
      <c r="C175" s="3352"/>
      <c r="D175" s="3703"/>
      <c r="E175" s="3933"/>
      <c r="F175" s="3352"/>
      <c r="G175" s="3931" t="str">
        <f t="shared" si="15"/>
        <v/>
      </c>
      <c r="H175" s="3509"/>
      <c r="I175" s="3509"/>
      <c r="K175" s="3815">
        <f t="shared" si="12"/>
        <v>0</v>
      </c>
      <c r="L175" s="3805">
        <f t="shared" si="13"/>
        <v>0</v>
      </c>
      <c r="O175" s="1485">
        <f t="shared" si="14"/>
        <v>1</v>
      </c>
    </row>
    <row r="176" spans="1:15" ht="15" hidden="1" x14ac:dyDescent="0.25">
      <c r="A176" s="3509"/>
      <c r="B176" s="3352"/>
      <c r="C176" s="3352"/>
      <c r="D176" s="3703"/>
      <c r="E176" s="3933"/>
      <c r="F176" s="3352"/>
      <c r="G176" s="3931" t="str">
        <f t="shared" si="15"/>
        <v/>
      </c>
      <c r="H176" s="3509"/>
      <c r="I176" s="3509"/>
      <c r="K176" s="3815">
        <f t="shared" si="12"/>
        <v>0</v>
      </c>
      <c r="L176" s="3805">
        <f t="shared" si="13"/>
        <v>0</v>
      </c>
      <c r="O176" s="1485">
        <f t="shared" si="14"/>
        <v>1</v>
      </c>
    </row>
    <row r="177" spans="1:15" ht="15" hidden="1" x14ac:dyDescent="0.25">
      <c r="A177" s="3509"/>
      <c r="B177" s="3352"/>
      <c r="C177" s="3352"/>
      <c r="D177" s="3703"/>
      <c r="E177" s="3933"/>
      <c r="F177" s="3352"/>
      <c r="G177" s="3931" t="str">
        <f t="shared" si="15"/>
        <v/>
      </c>
      <c r="H177" s="3509"/>
      <c r="I177" s="3509"/>
      <c r="K177" s="3815">
        <f t="shared" si="12"/>
        <v>0</v>
      </c>
      <c r="L177" s="3805">
        <f t="shared" si="13"/>
        <v>0</v>
      </c>
      <c r="O177" s="1485">
        <f t="shared" si="14"/>
        <v>1</v>
      </c>
    </row>
    <row r="178" spans="1:15" ht="15" hidden="1" x14ac:dyDescent="0.25">
      <c r="A178" s="3509"/>
      <c r="B178" s="3352"/>
      <c r="C178" s="3352"/>
      <c r="D178" s="3703"/>
      <c r="E178" s="3933"/>
      <c r="F178" s="3352"/>
      <c r="G178" s="3931" t="str">
        <f t="shared" si="15"/>
        <v/>
      </c>
      <c r="H178" s="3509"/>
      <c r="I178" s="3509"/>
      <c r="K178" s="3815">
        <f t="shared" si="12"/>
        <v>0</v>
      </c>
      <c r="L178" s="3805">
        <f t="shared" si="13"/>
        <v>0</v>
      </c>
      <c r="O178" s="1485">
        <f t="shared" si="14"/>
        <v>1</v>
      </c>
    </row>
    <row r="179" spans="1:15" ht="15" hidden="1" x14ac:dyDescent="0.25">
      <c r="A179" s="3509"/>
      <c r="B179" s="3352"/>
      <c r="C179" s="3352"/>
      <c r="D179" s="3703"/>
      <c r="E179" s="3933"/>
      <c r="F179" s="3352"/>
      <c r="G179" s="3931" t="str">
        <f t="shared" si="15"/>
        <v/>
      </c>
      <c r="H179" s="3509"/>
      <c r="I179" s="3509"/>
      <c r="K179" s="3815">
        <f t="shared" si="12"/>
        <v>0</v>
      </c>
      <c r="L179" s="3805">
        <f t="shared" si="13"/>
        <v>0</v>
      </c>
      <c r="O179" s="1485">
        <f t="shared" si="14"/>
        <v>1</v>
      </c>
    </row>
    <row r="180" spans="1:15" ht="15" hidden="1" x14ac:dyDescent="0.25">
      <c r="A180" s="3509"/>
      <c r="B180" s="3352"/>
      <c r="C180" s="3352"/>
      <c r="D180" s="3703"/>
      <c r="E180" s="3933"/>
      <c r="F180" s="3352"/>
      <c r="G180" s="3931" t="str">
        <f t="shared" si="15"/>
        <v/>
      </c>
      <c r="H180" s="3509"/>
      <c r="I180" s="3509"/>
      <c r="K180" s="3815">
        <f t="shared" si="12"/>
        <v>0</v>
      </c>
      <c r="L180" s="3805">
        <f t="shared" si="13"/>
        <v>0</v>
      </c>
      <c r="O180" s="1485">
        <f t="shared" si="14"/>
        <v>1</v>
      </c>
    </row>
    <row r="181" spans="1:15" ht="15" hidden="1" x14ac:dyDescent="0.25">
      <c r="A181" s="3509"/>
      <c r="B181" s="3352"/>
      <c r="C181" s="3352"/>
      <c r="D181" s="3703"/>
      <c r="E181" s="3933"/>
      <c r="F181" s="3352"/>
      <c r="G181" s="3931" t="str">
        <f t="shared" si="15"/>
        <v/>
      </c>
      <c r="H181" s="3509"/>
      <c r="I181" s="3509"/>
      <c r="K181" s="3815">
        <f t="shared" si="12"/>
        <v>0</v>
      </c>
      <c r="L181" s="3805">
        <f t="shared" si="13"/>
        <v>0</v>
      </c>
      <c r="O181" s="1485">
        <f t="shared" si="14"/>
        <v>1</v>
      </c>
    </row>
    <row r="182" spans="1:15" ht="15" hidden="1" x14ac:dyDescent="0.25">
      <c r="A182" s="3509"/>
      <c r="B182" s="3352"/>
      <c r="C182" s="3352"/>
      <c r="D182" s="3703"/>
      <c r="E182" s="3933"/>
      <c r="F182" s="3352"/>
      <c r="G182" s="3931" t="str">
        <f t="shared" si="15"/>
        <v/>
      </c>
      <c r="H182" s="3509"/>
      <c r="I182" s="3509"/>
      <c r="K182" s="3815">
        <f t="shared" si="12"/>
        <v>0</v>
      </c>
      <c r="L182" s="3805">
        <f t="shared" si="13"/>
        <v>0</v>
      </c>
      <c r="O182" s="1485">
        <f t="shared" si="14"/>
        <v>1</v>
      </c>
    </row>
    <row r="183" spans="1:15" ht="15" hidden="1" x14ac:dyDescent="0.25">
      <c r="A183" s="3509"/>
      <c r="B183" s="3352"/>
      <c r="C183" s="3352"/>
      <c r="D183" s="3703"/>
      <c r="E183" s="3933"/>
      <c r="F183" s="3352"/>
      <c r="G183" s="3931" t="str">
        <f t="shared" si="15"/>
        <v/>
      </c>
      <c r="H183" s="3509"/>
      <c r="I183" s="3509"/>
      <c r="K183" s="3815">
        <f t="shared" si="12"/>
        <v>0</v>
      </c>
      <c r="L183" s="3805">
        <f t="shared" si="13"/>
        <v>0</v>
      </c>
      <c r="O183" s="1485">
        <f t="shared" si="14"/>
        <v>1</v>
      </c>
    </row>
    <row r="184" spans="1:15" ht="15" hidden="1" x14ac:dyDescent="0.25">
      <c r="A184" s="3509"/>
      <c r="B184" s="3352"/>
      <c r="C184" s="3352"/>
      <c r="D184" s="3703"/>
      <c r="E184" s="3933"/>
      <c r="F184" s="3352"/>
      <c r="G184" s="3931" t="str">
        <f t="shared" si="15"/>
        <v/>
      </c>
      <c r="H184" s="3509"/>
      <c r="I184" s="3509"/>
      <c r="K184" s="3815">
        <f t="shared" si="12"/>
        <v>0</v>
      </c>
      <c r="L184" s="3805">
        <f t="shared" si="13"/>
        <v>0</v>
      </c>
      <c r="O184" s="1485">
        <f t="shared" si="14"/>
        <v>1</v>
      </c>
    </row>
    <row r="185" spans="1:15" ht="15" hidden="1" x14ac:dyDescent="0.25">
      <c r="A185" s="3509"/>
      <c r="B185" s="3352"/>
      <c r="C185" s="3352"/>
      <c r="D185" s="3703"/>
      <c r="E185" s="3933"/>
      <c r="F185" s="3352"/>
      <c r="G185" s="3931" t="str">
        <f t="shared" si="15"/>
        <v/>
      </c>
      <c r="H185" s="3509"/>
      <c r="I185" s="3509"/>
      <c r="K185" s="3815">
        <f t="shared" si="12"/>
        <v>0</v>
      </c>
      <c r="L185" s="3805">
        <f t="shared" si="13"/>
        <v>0</v>
      </c>
      <c r="O185" s="1485">
        <f t="shared" si="14"/>
        <v>1</v>
      </c>
    </row>
    <row r="186" spans="1:15" ht="15" hidden="1" x14ac:dyDescent="0.25">
      <c r="A186" s="3509"/>
      <c r="B186" s="3352"/>
      <c r="C186" s="3352"/>
      <c r="D186" s="3703"/>
      <c r="E186" s="3933"/>
      <c r="F186" s="3352"/>
      <c r="G186" s="3931" t="str">
        <f t="shared" si="15"/>
        <v/>
      </c>
      <c r="H186" s="3509"/>
      <c r="I186" s="3509"/>
      <c r="K186" s="3815">
        <f t="shared" si="12"/>
        <v>0</v>
      </c>
      <c r="L186" s="3805">
        <f t="shared" si="13"/>
        <v>0</v>
      </c>
      <c r="O186" s="1485">
        <f t="shared" si="14"/>
        <v>1</v>
      </c>
    </row>
    <row r="187" spans="1:15" ht="15" hidden="1" x14ac:dyDescent="0.25">
      <c r="A187" s="3509"/>
      <c r="B187" s="3352"/>
      <c r="C187" s="3352"/>
      <c r="D187" s="3703"/>
      <c r="E187" s="3933"/>
      <c r="F187" s="3352"/>
      <c r="G187" s="3931" t="str">
        <f t="shared" si="15"/>
        <v/>
      </c>
      <c r="H187" s="3509"/>
      <c r="I187" s="3509"/>
      <c r="K187" s="3815">
        <f t="shared" si="12"/>
        <v>0</v>
      </c>
      <c r="L187" s="3805">
        <f t="shared" si="13"/>
        <v>0</v>
      </c>
      <c r="O187" s="1485">
        <f t="shared" si="14"/>
        <v>1</v>
      </c>
    </row>
    <row r="188" spans="1:15" ht="15" hidden="1" x14ac:dyDescent="0.25">
      <c r="A188" s="3509"/>
      <c r="B188" s="3352"/>
      <c r="C188" s="3352"/>
      <c r="D188" s="3703"/>
      <c r="E188" s="3933"/>
      <c r="F188" s="3352"/>
      <c r="G188" s="3931" t="str">
        <f t="shared" si="15"/>
        <v/>
      </c>
      <c r="H188" s="3509"/>
      <c r="I188" s="3509"/>
      <c r="K188" s="3815">
        <f t="shared" si="12"/>
        <v>0</v>
      </c>
      <c r="L188" s="3805">
        <f t="shared" si="13"/>
        <v>0</v>
      </c>
      <c r="O188" s="1485">
        <f t="shared" si="14"/>
        <v>1</v>
      </c>
    </row>
    <row r="189" spans="1:15" ht="15" hidden="1" x14ac:dyDescent="0.25">
      <c r="A189" s="3509"/>
      <c r="B189" s="3352"/>
      <c r="C189" s="3352"/>
      <c r="D189" s="3703"/>
      <c r="E189" s="3933"/>
      <c r="F189" s="3352"/>
      <c r="G189" s="3931" t="str">
        <f t="shared" si="15"/>
        <v/>
      </c>
      <c r="H189" s="3509"/>
      <c r="I189" s="3509"/>
      <c r="K189" s="3815">
        <f t="shared" si="12"/>
        <v>0</v>
      </c>
      <c r="L189" s="3805">
        <f t="shared" si="13"/>
        <v>0</v>
      </c>
      <c r="O189" s="1485">
        <f t="shared" si="14"/>
        <v>1</v>
      </c>
    </row>
    <row r="190" spans="1:15" x14ac:dyDescent="0.2">
      <c r="A190" s="3509"/>
      <c r="B190" s="3509"/>
      <c r="C190" s="3509"/>
      <c r="D190" s="3509"/>
      <c r="E190" s="3509"/>
      <c r="F190" s="3509"/>
      <c r="G190" s="3509"/>
      <c r="H190" s="3509"/>
      <c r="I190" s="3509"/>
    </row>
    <row r="191" spans="1:15" ht="15" x14ac:dyDescent="0.25">
      <c r="A191" s="3509"/>
      <c r="B191" s="3509"/>
      <c r="C191" s="3934"/>
      <c r="D191" s="3935" t="s">
        <v>10311</v>
      </c>
      <c r="E191" s="275"/>
      <c r="F191" s="3512" t="str">
        <f>IF(AND(E191="",L194&gt;0),re,"")</f>
        <v/>
      </c>
      <c r="G191" s="3509"/>
      <c r="H191" s="3509"/>
      <c r="I191" s="3509"/>
      <c r="K191" s="3815">
        <f>IF(F191="",0,1)</f>
      </c>
      <c r="L191" s="3805">
        <f>COUNTA(E191)</f>
      </c>
    </row>
    <row r="192" spans="1:15" ht="9" customHeight="1" x14ac:dyDescent="0.2">
      <c r="A192" s="3509"/>
      <c r="B192" s="3509"/>
      <c r="C192" s="3509"/>
      <c r="D192" s="3509"/>
      <c r="E192" s="3509"/>
      <c r="F192" s="3509"/>
      <c r="G192" s="3509"/>
      <c r="H192" s="3509"/>
      <c r="I192" s="3509"/>
    </row>
    <row r="193" spans="1:16" x14ac:dyDescent="0.2">
      <c r="A193" s="3936" t="str">
        <f>_xlfn.SINGLE(MTCA)</f>
      </c>
      <c r="B193" s="3936"/>
      <c r="C193" s="3934"/>
      <c r="D193" s="3936"/>
      <c r="E193" s="3937" t="str">
        <f>ver</f>
        <v>TA2_e-CO_2025_Ver 1.1</v>
      </c>
      <c r="F193" s="3936"/>
      <c r="G193" s="3509"/>
      <c r="H193" s="3938" t="s">
        <v>10519</v>
      </c>
      <c r="I193" s="3936"/>
    </row>
    <row r="194" spans="1:16" x14ac:dyDescent="0.2">
      <c r="A194" s="3509"/>
      <c r="B194" s="3509"/>
      <c r="C194" s="3509"/>
      <c r="D194" s="3509"/>
      <c r="E194" s="3509"/>
      <c r="F194" s="3509"/>
      <c r="G194" s="3509"/>
      <c r="H194" s="3509"/>
      <c r="I194" s="3509"/>
      <c r="K194" s="1485">
        <f>SUM(K6:K193)</f>
      </c>
      <c r="L194" s="1485">
        <f>SUM(L6:L193)</f>
      </c>
    </row>
    <row r="195" spans="1:16" x14ac:dyDescent="0.2">
      <c r="B195" s="3922" t="s">
        <v>1700</v>
      </c>
      <c r="K195" s="3809"/>
    </row>
    <row r="196" spans="1:16" x14ac:dyDescent="0.2">
      <c r="K196" s="3809">
        <f>IF(AND(L194=0,K194=0),0,IF(K194&gt;0,100,IF(E191="no",100,1)))</f>
      </c>
    </row>
    <row r="197" spans="1:16" x14ac:dyDescent="0.2"/>
    <row r="198" spans="1:16" x14ac:dyDescent="0.2"/>
    <row r="199" spans="1:16" x14ac:dyDescent="0.2"/>
    <row r="200" spans="1:16" x14ac:dyDescent="0.2"/>
    <row r="201" spans="1:16" x14ac:dyDescent="0.2"/>
    <row r="202" spans="1:16" x14ac:dyDescent="0.2"/>
    <row r="203" spans="1:16" hidden="1" x14ac:dyDescent="0.2">
      <c r="M203" s="1485" t="s">
        <v>10312</v>
      </c>
      <c r="P203" s="1485" t="s">
        <v>10313</v>
      </c>
    </row>
    <row r="204" spans="1:16" ht="33.75" hidden="1" x14ac:dyDescent="0.2">
      <c r="L204" s="1607" t="s">
        <v>2734</v>
      </c>
      <c r="M204" s="2754">
        <v>5000</v>
      </c>
      <c r="O204" s="1610" t="s">
        <v>5399</v>
      </c>
      <c r="P204" s="2754">
        <v>5280</v>
      </c>
    </row>
    <row r="205" spans="1:16" hidden="1" x14ac:dyDescent="0.2">
      <c r="L205" s="1608" t="s">
        <v>5485</v>
      </c>
      <c r="M205" s="2754">
        <v>5001</v>
      </c>
      <c r="O205" s="1610" t="s">
        <v>5400</v>
      </c>
      <c r="P205" s="2754">
        <v>5281</v>
      </c>
    </row>
    <row r="206" spans="1:16" hidden="1" x14ac:dyDescent="0.2">
      <c r="L206" s="1608" t="s">
        <v>5416</v>
      </c>
      <c r="M206" s="2754">
        <v>5002</v>
      </c>
      <c r="O206" s="1610" t="s">
        <v>3324</v>
      </c>
      <c r="P206" s="2754">
        <v>5282</v>
      </c>
    </row>
    <row r="207" spans="1:16" hidden="1" x14ac:dyDescent="0.2">
      <c r="L207" s="1608" t="s">
        <v>5417</v>
      </c>
      <c r="M207" s="2754">
        <v>5003</v>
      </c>
      <c r="O207" s="1610" t="s">
        <v>2986</v>
      </c>
      <c r="P207" s="2754">
        <v>5283</v>
      </c>
    </row>
    <row r="208" spans="1:16" hidden="1" x14ac:dyDescent="0.2">
      <c r="L208" s="1608" t="s">
        <v>5418</v>
      </c>
      <c r="M208" s="2754">
        <v>5004</v>
      </c>
      <c r="O208" s="1610" t="s">
        <v>3427</v>
      </c>
      <c r="P208" s="2754">
        <v>5284</v>
      </c>
    </row>
    <row r="209" spans="12:16" hidden="1" x14ac:dyDescent="0.2">
      <c r="L209" s="1608" t="s">
        <v>6632</v>
      </c>
      <c r="M209" s="2754">
        <v>5005</v>
      </c>
      <c r="O209" s="1610" t="s">
        <v>5537</v>
      </c>
      <c r="P209" s="2754">
        <v>5301</v>
      </c>
    </row>
    <row r="210" spans="12:16" hidden="1" x14ac:dyDescent="0.2">
      <c r="L210" s="1608" t="s">
        <v>4847</v>
      </c>
      <c r="M210" s="2754">
        <v>5006</v>
      </c>
    </row>
    <row r="211" spans="12:16" hidden="1" x14ac:dyDescent="0.2">
      <c r="L211" s="1608" t="s">
        <v>4848</v>
      </c>
      <c r="M211" s="2754">
        <v>5007</v>
      </c>
    </row>
    <row r="212" spans="12:16" hidden="1" x14ac:dyDescent="0.2">
      <c r="L212" s="1608" t="s">
        <v>6576</v>
      </c>
      <c r="M212" s="2754">
        <v>5008</v>
      </c>
    </row>
    <row r="213" spans="12:16" hidden="1" x14ac:dyDescent="0.2">
      <c r="L213" s="1608" t="s">
        <v>6577</v>
      </c>
      <c r="M213" s="2754">
        <v>5009</v>
      </c>
    </row>
    <row r="214" spans="12:16" hidden="1" x14ac:dyDescent="0.2">
      <c r="L214" s="1608" t="s">
        <v>1914</v>
      </c>
      <c r="M214" s="2754">
        <v>5010</v>
      </c>
    </row>
    <row r="215" spans="12:16" hidden="1" x14ac:dyDescent="0.2">
      <c r="L215" s="1608" t="s">
        <v>1915</v>
      </c>
      <c r="M215" s="2754">
        <v>5011</v>
      </c>
    </row>
    <row r="216" spans="12:16" hidden="1" x14ac:dyDescent="0.2">
      <c r="L216" s="1609" t="s">
        <v>3628</v>
      </c>
      <c r="M216" s="3941">
        <v>5099</v>
      </c>
    </row>
    <row r="217" spans="12:16" hidden="1" x14ac:dyDescent="0.2">
      <c r="L217" s="1610" t="s">
        <v>3629</v>
      </c>
      <c r="M217" s="2754">
        <v>5100</v>
      </c>
    </row>
    <row r="218" spans="12:16" hidden="1" x14ac:dyDescent="0.2">
      <c r="L218" s="1610" t="s">
        <v>3630</v>
      </c>
      <c r="M218" s="2754">
        <v>5101</v>
      </c>
    </row>
    <row r="219" spans="12:16" hidden="1" x14ac:dyDescent="0.2">
      <c r="L219" s="1610" t="s">
        <v>5525</v>
      </c>
      <c r="M219" s="2754">
        <v>5102</v>
      </c>
    </row>
    <row r="220" spans="12:16" hidden="1" x14ac:dyDescent="0.2">
      <c r="L220" s="1610" t="s">
        <v>5179</v>
      </c>
      <c r="M220" s="2754">
        <v>5103</v>
      </c>
    </row>
    <row r="221" spans="12:16" hidden="1" x14ac:dyDescent="0.2">
      <c r="L221" s="1610" t="s">
        <v>5180</v>
      </c>
      <c r="M221" s="2754">
        <v>5104</v>
      </c>
    </row>
    <row r="222" spans="12:16" hidden="1" x14ac:dyDescent="0.2">
      <c r="L222" s="1610" t="s">
        <v>3787</v>
      </c>
      <c r="M222" s="2754">
        <v>5105</v>
      </c>
    </row>
    <row r="223" spans="12:16" hidden="1" x14ac:dyDescent="0.2">
      <c r="L223" s="1610" t="s">
        <v>3788</v>
      </c>
      <c r="M223" s="2754">
        <v>5106</v>
      </c>
    </row>
    <row r="224" spans="12:16" hidden="1" x14ac:dyDescent="0.2">
      <c r="L224" s="1611" t="s">
        <v>5699</v>
      </c>
      <c r="M224" s="2754">
        <v>5107</v>
      </c>
    </row>
    <row r="225" spans="12:13" hidden="1" x14ac:dyDescent="0.2">
      <c r="L225" s="1610" t="s">
        <v>2381</v>
      </c>
      <c r="M225" s="2754">
        <v>5108</v>
      </c>
    </row>
    <row r="226" spans="12:13" hidden="1" x14ac:dyDescent="0.2">
      <c r="L226" s="1610" t="s">
        <v>2441</v>
      </c>
      <c r="M226" s="2754">
        <v>5109</v>
      </c>
    </row>
    <row r="227" spans="12:13" hidden="1" x14ac:dyDescent="0.2">
      <c r="L227" s="1610" t="s">
        <v>2442</v>
      </c>
      <c r="M227" s="2754">
        <v>5110</v>
      </c>
    </row>
    <row r="228" spans="12:13" hidden="1" x14ac:dyDescent="0.2">
      <c r="L228" s="1610" t="s">
        <v>2443</v>
      </c>
      <c r="M228" s="2754">
        <v>5111</v>
      </c>
    </row>
    <row r="229" spans="12:13" hidden="1" x14ac:dyDescent="0.2">
      <c r="L229" s="1610" t="s">
        <v>5397</v>
      </c>
      <c r="M229" s="2754">
        <v>5112</v>
      </c>
    </row>
    <row r="230" spans="12:13" hidden="1" x14ac:dyDescent="0.2">
      <c r="L230" s="1610" t="s">
        <v>1906</v>
      </c>
      <c r="M230" s="2754">
        <v>5190</v>
      </c>
    </row>
    <row r="231" spans="12:13" hidden="1" x14ac:dyDescent="0.2">
      <c r="L231" s="1610" t="s">
        <v>1907</v>
      </c>
      <c r="M231" s="2754">
        <v>5191</v>
      </c>
    </row>
    <row r="232" spans="12:13" hidden="1" x14ac:dyDescent="0.2">
      <c r="L232" s="1610" t="s">
        <v>1908</v>
      </c>
      <c r="M232" s="2754">
        <v>5200</v>
      </c>
    </row>
    <row r="233" spans="12:13" hidden="1" x14ac:dyDescent="0.2">
      <c r="L233" s="1610" t="s">
        <v>1909</v>
      </c>
      <c r="M233" s="2754">
        <v>5201</v>
      </c>
    </row>
    <row r="234" spans="12:13" hidden="1" x14ac:dyDescent="0.2">
      <c r="L234" s="1610" t="s">
        <v>1910</v>
      </c>
      <c r="M234" s="2754">
        <v>5202</v>
      </c>
    </row>
    <row r="235" spans="12:13" hidden="1" x14ac:dyDescent="0.2">
      <c r="L235" s="1610" t="s">
        <v>1911</v>
      </c>
      <c r="M235" s="2754">
        <v>5203</v>
      </c>
    </row>
    <row r="236" spans="12:13" hidden="1" x14ac:dyDescent="0.2">
      <c r="L236" s="1610" t="s">
        <v>1912</v>
      </c>
      <c r="M236" s="2754">
        <v>5204</v>
      </c>
    </row>
    <row r="237" spans="12:13" hidden="1" x14ac:dyDescent="0.2">
      <c r="L237" s="1610" t="s">
        <v>616</v>
      </c>
      <c r="M237" s="2754">
        <v>5250</v>
      </c>
    </row>
    <row r="238" spans="12:13" hidden="1" x14ac:dyDescent="0.2">
      <c r="L238" s="1610" t="s">
        <v>617</v>
      </c>
      <c r="M238" s="2754">
        <v>5251</v>
      </c>
    </row>
    <row r="239" spans="12:13" hidden="1" x14ac:dyDescent="0.2">
      <c r="L239" s="1610" t="s">
        <v>1913</v>
      </c>
      <c r="M239" s="2754">
        <v>5252</v>
      </c>
    </row>
    <row r="240" spans="12:13" hidden="1" x14ac:dyDescent="0.2">
      <c r="L240" s="1610" t="s">
        <v>5398</v>
      </c>
      <c r="M240" s="2754">
        <v>5253</v>
      </c>
    </row>
    <row r="241" spans="12:13" hidden="1" x14ac:dyDescent="0.2">
      <c r="L241" s="1610" t="s">
        <v>3428</v>
      </c>
      <c r="M241" s="2754">
        <v>5300</v>
      </c>
    </row>
    <row r="242" spans="12:13" hidden="1" x14ac:dyDescent="0.2">
      <c r="L242" s="1610" t="s">
        <v>5537</v>
      </c>
      <c r="M242" s="2754">
        <v>5301</v>
      </c>
    </row>
    <row r="243" spans="12:13" hidden="1" x14ac:dyDescent="0.2">
      <c r="L243" s="1610" t="s">
        <v>5538</v>
      </c>
      <c r="M243" s="2754">
        <v>5302</v>
      </c>
    </row>
    <row r="244" spans="12:13" hidden="1" x14ac:dyDescent="0.2">
      <c r="L244" s="1610" t="s">
        <v>5539</v>
      </c>
      <c r="M244" s="2754">
        <v>5303</v>
      </c>
    </row>
    <row r="245" spans="12:13" hidden="1" x14ac:dyDescent="0.2">
      <c r="L245" s="1610" t="s">
        <v>5540</v>
      </c>
      <c r="M245" s="2754">
        <v>5304</v>
      </c>
    </row>
    <row r="246" spans="12:13" hidden="1" x14ac:dyDescent="0.2">
      <c r="L246" s="1610" t="s">
        <v>5541</v>
      </c>
      <c r="M246" s="2754">
        <v>5305</v>
      </c>
    </row>
    <row r="247" spans="12:13" hidden="1" x14ac:dyDescent="0.2">
      <c r="L247" s="1610" t="s">
        <v>5542</v>
      </c>
      <c r="M247" s="2754">
        <v>5306</v>
      </c>
    </row>
    <row r="248" spans="12:13" hidden="1" x14ac:dyDescent="0.2">
      <c r="L248" s="1610" t="s">
        <v>5543</v>
      </c>
      <c r="M248" s="2754">
        <v>5307</v>
      </c>
    </row>
    <row r="249" spans="12:13" hidden="1" x14ac:dyDescent="0.2">
      <c r="L249" s="1610" t="s">
        <v>5544</v>
      </c>
      <c r="M249" s="2754">
        <v>5308</v>
      </c>
    </row>
    <row r="250" spans="12:13" hidden="1" x14ac:dyDescent="0.2">
      <c r="L250" s="1610" t="s">
        <v>9</v>
      </c>
      <c r="M250" s="2754">
        <v>5309</v>
      </c>
    </row>
    <row r="251" spans="12:13" hidden="1" x14ac:dyDescent="0.2">
      <c r="L251" s="1610" t="s">
        <v>457</v>
      </c>
      <c r="M251" s="2754">
        <v>5310</v>
      </c>
    </row>
    <row r="252" spans="12:13" hidden="1" x14ac:dyDescent="0.2">
      <c r="L252" s="1610" t="s">
        <v>458</v>
      </c>
      <c r="M252" s="2754">
        <v>5311</v>
      </c>
    </row>
  </sheetData>
  <sheetProtection algorithmName="SHA-512" hashValue="0DNcAzhqElO1e3URN68hh3X7G1KZrJ22fY1lfJkNtnU0ae9/x36upu7PrsBW32VtxvPIKVguLivMI4UtP0HaoQ==" saltValue="DaTpE4rECPNyk2uSTgbc3g==" spinCount="100000" sheet="1" objects="1" scenarios="1"/>
  <mergeCells count="11">
    <mergeCell ref="B102:B103"/>
    <mergeCell ref="C102:C103"/>
    <mergeCell ref="D102:E102"/>
    <mergeCell ref="F102:F103"/>
    <mergeCell ref="A1:G1"/>
    <mergeCell ref="B4:H5"/>
    <mergeCell ref="B17:B18"/>
    <mergeCell ref="C17:C18"/>
    <mergeCell ref="D17:E17"/>
    <mergeCell ref="F17:F18"/>
    <mergeCell ref="G17:G18"/>
  </mergeCells>
  <conditionalFormatting sqref="F191">
    <cfRule type="cellIs" dxfId="100" priority="1" stopIfTrue="1" operator="notEqual">
      <formula>#REF!</formula>
    </cfRule>
  </conditionalFormatting>
  <dataValidations count="8">
    <dataValidation type="list" allowBlank="1" showInputMessage="1" showErrorMessage="1" errorTitle="Choose item from Dropdown list! " sqref="E191" xr:uid="{00000000-0002-0000-7000-000000000000}">
      <formula1>$N$1:$N$3</formula1>
    </dataValidation>
    <dataValidation type="whole" operator="greaterThan" allowBlank="1" showInputMessage="1" showErrorMessage="1" errorTitle="TIN" error="Insert a positive amount!" sqref="E104:E189 E19:E100" xr:uid="{00000000-0002-0000-7000-000001000000}">
      <formula1>0</formula1>
    </dataValidation>
    <dataValidation type="textLength" operator="greaterThanOrEqual" allowBlank="1" showInputMessage="1" showErrorMessage="1" errorTitle="TIN" error="Insert correct TIFD code!" sqref="D104:D189 D19:D100" xr:uid="{00000000-0002-0000-7000-000002000000}">
      <formula1>4</formula1>
    </dataValidation>
    <dataValidation type="list" allowBlank="1" showInputMessage="1" showErrorMessage="1" sqref="G13 G15" xr:uid="{00000000-0002-0000-7000-000003000000}">
      <formula1>$N$1:$N$3</formula1>
    </dataValidation>
    <dataValidation type="list" allowBlank="1" showInputMessage="1" showErrorMessage="1" sqref="B104:B189 B19:B100" xr:uid="{00000000-0002-0000-7000-000004000000}">
      <formula1>FU</formula1>
    </dataValidation>
    <dataValidation errorStyle="warning" allowBlank="1" showInputMessage="1" showErrorMessage="1" sqref="L204:M252 O204:P209" xr:uid="{00000000-0002-0000-7000-000005000000}"/>
    <dataValidation type="list" operator="greaterThan" allowBlank="1" showInputMessage="1" showErrorMessage="1" errorTitle="Country" error="Choose a country from the list" sqref="G19:G100 F104:F189 C19:C100 C104:C189" xr:uid="{00000000-0002-0000-7000-000006000000}">
      <formula1>ctry_list</formula1>
    </dataValidation>
    <dataValidation type="whole" operator="greaterThanOrEqual" allowBlank="1" showInputMessage="1" showErrorMessage="1" errorTitle="TIN" error="Insert a positive amount!" sqref="F19:F100" xr:uid="{00000000-0002-0000-7000-000007000000}">
      <formula1>0</formula1>
    </dataValidation>
  </dataValidations>
  <hyperlinks>
    <hyperlink ref="B195" location="Index!A1" display="BACK TO INDEX" xr:uid="{00000000-0004-0000-7000-000000000000}"/>
  </hyperlinks>
  <pageMargins left="0.7" right="0.7" top="0.75" bottom="0.75" header="0.3" footer="0.3"/>
  <pageSetup paperSize="9" orientation="portrait" r:id="rId1"/>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24"/>
  <dimension ref="A1:CE264"/>
  <sheetViews>
    <sheetView showGridLines="0" zoomScale="120" zoomScaleNormal="120" workbookViewId="0">
      <selection sqref="A1:H1"/>
    </sheetView>
  </sheetViews>
  <sheetFormatPr defaultColWidth="0" defaultRowHeight="12.75" zeroHeight="1" x14ac:dyDescent="0.2"/>
  <cols>
    <col min="1" max="1" width="1" style="1634" customWidth="1"/>
    <col min="2" max="2" width="13.5703125" style="1736" customWidth="1"/>
    <col min="3" max="3" width="40.28515625" style="1736" customWidth="1"/>
    <col min="4" max="4" width="11.5703125" style="1736" customWidth="1"/>
    <col min="5" max="5" width="0.7109375" style="1736" customWidth="1"/>
    <col min="6" max="6" width="10.7109375" style="1736" customWidth="1"/>
    <col min="7" max="7" width="0.7109375" style="1736" customWidth="1"/>
    <col min="8" max="8" width="11.28515625" style="31" customWidth="1"/>
    <col min="9" max="9" width="0.7109375" style="1736" customWidth="1"/>
    <col min="10" max="10" width="11.28515625" style="1736" customWidth="1"/>
    <col min="11" max="11" width="0.7109375" style="1736" customWidth="1"/>
    <col min="12" max="12" width="11.28515625" style="1736" customWidth="1"/>
    <col min="13" max="13" width="21.5703125" style="1957" bestFit="1" customWidth="1"/>
    <col min="14" max="14" width="4.7109375" style="1957" customWidth="1"/>
    <col min="15" max="83" width="9.28515625" style="1736" hidden="1" customWidth="1"/>
    <col min="84" max="16384" width="9.28515625" style="1634" hidden="1"/>
  </cols>
  <sheetData>
    <row r="1" spans="1:25" ht="12.75" customHeight="1" x14ac:dyDescent="0.2">
      <c r="A1" s="4679" t="str">
        <f>_ref1</f>
      </c>
      <c r="B1" s="4679"/>
      <c r="C1" s="4679"/>
      <c r="D1" s="4679"/>
      <c r="E1" s="4679"/>
      <c r="F1" s="4679"/>
      <c r="G1" s="4679"/>
      <c r="H1" s="4679"/>
      <c r="I1" s="3934"/>
      <c r="J1" s="3934"/>
      <c r="K1" s="3934"/>
      <c r="L1" s="3934"/>
      <c r="M1" s="3510" t="str">
        <f>_YA1</f>
      </c>
      <c r="N1" s="3942"/>
      <c r="Q1" s="1760" t="s">
        <v>10315</v>
      </c>
      <c r="R1" s="1736" t="str">
        <f>'p2'!G14</f>
      </c>
    </row>
    <row r="2" spans="1:25" ht="12.75" customHeight="1" x14ac:dyDescent="0.2">
      <c r="A2" s="3509"/>
      <c r="B2" s="3509"/>
      <c r="C2" s="3509"/>
      <c r="D2" s="3509"/>
      <c r="E2" s="3509"/>
      <c r="F2" s="3509"/>
      <c r="G2" s="3509"/>
      <c r="H2" s="3509"/>
      <c r="I2" s="3934"/>
      <c r="J2" s="3934"/>
      <c r="K2" s="3510"/>
      <c r="L2" s="3510"/>
      <c r="M2" s="3942"/>
      <c r="N2" s="3942"/>
      <c r="Q2" s="1760"/>
    </row>
    <row r="3" spans="1:25" ht="12.75" customHeight="1" x14ac:dyDescent="0.25">
      <c r="A3" s="3509"/>
      <c r="B3" s="3928" t="s">
        <v>10453</v>
      </c>
      <c r="C3" s="3929"/>
      <c r="D3" s="3929"/>
      <c r="E3" s="3929"/>
      <c r="F3" s="3929"/>
      <c r="G3" s="3929"/>
      <c r="H3" s="3929"/>
      <c r="I3" s="3929"/>
      <c r="J3" s="3929"/>
      <c r="K3" s="3929"/>
      <c r="L3" s="3929"/>
      <c r="M3" s="3930"/>
      <c r="N3" s="3942"/>
      <c r="Q3" s="1760"/>
    </row>
    <row r="4" spans="1:25" ht="12.75" customHeight="1" x14ac:dyDescent="0.2">
      <c r="A4" s="3509"/>
      <c r="B4" s="5455"/>
      <c r="C4" s="5456"/>
      <c r="D4" s="5456"/>
      <c r="E4" s="5456"/>
      <c r="F4" s="5456"/>
      <c r="G4" s="5456"/>
      <c r="H4" s="5456"/>
      <c r="I4" s="5456"/>
      <c r="J4" s="5456"/>
      <c r="K4" s="5456"/>
      <c r="L4" s="5456"/>
      <c r="M4" s="5457"/>
      <c r="N4" s="3942"/>
      <c r="Q4" s="1760"/>
    </row>
    <row r="5" spans="1:25" ht="12.75" hidden="1" customHeight="1" x14ac:dyDescent="0.2">
      <c r="A5" s="3509"/>
      <c r="B5" s="3509"/>
      <c r="C5" s="3509"/>
      <c r="D5" s="3509"/>
      <c r="E5" s="3509"/>
      <c r="F5" s="3509"/>
      <c r="G5" s="3509"/>
      <c r="H5" s="3509"/>
      <c r="I5" s="3934"/>
      <c r="J5" s="3934"/>
      <c r="K5" s="3510"/>
      <c r="L5" s="3510"/>
      <c r="M5" s="3943"/>
      <c r="N5" s="3942"/>
      <c r="Q5" s="1760"/>
    </row>
    <row r="6" spans="1:25" ht="12.75" hidden="1" customHeight="1" x14ac:dyDescent="0.2">
      <c r="A6" s="3509"/>
      <c r="B6" s="3509"/>
      <c r="C6" s="3509"/>
      <c r="D6" s="3509"/>
      <c r="E6" s="3509"/>
      <c r="F6" s="3509"/>
      <c r="G6" s="3509"/>
      <c r="H6" s="3509"/>
      <c r="I6" s="3934"/>
      <c r="J6" s="3934"/>
      <c r="K6" s="3510"/>
      <c r="L6" s="3510"/>
      <c r="M6" s="3943"/>
      <c r="N6" s="3942"/>
      <c r="Q6" s="1760"/>
    </row>
    <row r="7" spans="1:25" ht="12.75" hidden="1" customHeight="1" x14ac:dyDescent="0.2">
      <c r="A7" s="3509"/>
      <c r="B7" s="3509"/>
      <c r="C7" s="3509"/>
      <c r="D7" s="3509"/>
      <c r="E7" s="3509"/>
      <c r="F7" s="3509"/>
      <c r="G7" s="3509"/>
      <c r="H7" s="3509"/>
      <c r="I7" s="3934"/>
      <c r="J7" s="3934"/>
      <c r="K7" s="3510"/>
      <c r="L7" s="3510"/>
      <c r="M7" s="3943"/>
      <c r="N7" s="3942"/>
      <c r="Q7" s="1760"/>
    </row>
    <row r="8" spans="1:25" ht="12.75" customHeight="1" x14ac:dyDescent="0.2">
      <c r="A8" s="3509"/>
      <c r="B8" s="3509"/>
      <c r="C8" s="3509"/>
      <c r="D8" s="3509"/>
      <c r="E8" s="3509"/>
      <c r="F8" s="3509"/>
      <c r="G8" s="3509"/>
      <c r="H8" s="3509"/>
      <c r="I8" s="3934"/>
      <c r="J8" s="3934"/>
      <c r="K8" s="3510"/>
      <c r="L8" s="3510"/>
      <c r="M8" s="3943"/>
      <c r="N8" s="3942"/>
      <c r="P8" s="1634" t="s">
        <v>10066</v>
      </c>
      <c r="Q8" s="1736" t="s">
        <v>10316</v>
      </c>
      <c r="X8" s="1736" t="s">
        <v>4457</v>
      </c>
      <c r="Y8" s="1736" t="s">
        <v>10317</v>
      </c>
    </row>
    <row r="9" spans="1:25" x14ac:dyDescent="0.2">
      <c r="A9" s="3509"/>
      <c r="B9" s="4680" t="s">
        <v>10318</v>
      </c>
      <c r="C9" s="4680"/>
      <c r="D9" s="4680"/>
      <c r="E9" s="4680"/>
      <c r="F9" s="4680"/>
      <c r="G9" s="4680"/>
      <c r="H9" s="4680"/>
      <c r="I9" s="4680"/>
      <c r="J9" s="4680"/>
      <c r="K9" s="3510"/>
      <c r="L9" s="3934"/>
      <c r="M9" s="3943"/>
      <c r="N9" s="3943"/>
      <c r="X9" s="1736" t="s">
        <v>1736</v>
      </c>
      <c r="Y9" s="1736" t="s">
        <v>10319</v>
      </c>
    </row>
    <row r="10" spans="1:25" ht="15" x14ac:dyDescent="0.25">
      <c r="A10" s="3509"/>
      <c r="B10" s="4680" t="s">
        <v>10454</v>
      </c>
      <c r="C10" s="4680"/>
      <c r="D10" s="4680"/>
      <c r="E10" s="4680"/>
      <c r="F10" s="4680"/>
      <c r="G10" s="4680"/>
      <c r="H10" s="4680"/>
      <c r="I10" s="4680"/>
      <c r="J10" s="3944"/>
      <c r="K10" s="3512"/>
      <c r="L10" s="3945"/>
      <c r="M10" s="3512" t="str">
        <f>IF(AND(OR(R1=0,R1="n"),L10&lt;&gt;""),"Check Pg 2 Q8","")</f>
        <v/>
      </c>
      <c r="N10" s="3512"/>
      <c r="P10" s="3815">
        <f>IF(M10="",0,1)</f>
      </c>
      <c r="Q10" s="3805">
        <f>IF(L10&lt;&gt;"",1,0)</f>
      </c>
    </row>
    <row r="11" spans="1:25" ht="3.75" customHeight="1" x14ac:dyDescent="0.2">
      <c r="A11" s="3509"/>
      <c r="B11" s="3944"/>
      <c r="C11" s="3944"/>
      <c r="D11" s="3944"/>
      <c r="E11" s="3944"/>
      <c r="F11" s="3944"/>
      <c r="G11" s="3944"/>
      <c r="H11" s="3944"/>
      <c r="I11" s="3944"/>
      <c r="J11" s="3944"/>
      <c r="K11" s="3512"/>
      <c r="L11" s="3512"/>
      <c r="M11" s="3512"/>
      <c r="N11" s="3512"/>
    </row>
    <row r="12" spans="1:25" ht="15" x14ac:dyDescent="0.25">
      <c r="A12" s="3509"/>
      <c r="B12" s="4680" t="s">
        <v>10320</v>
      </c>
      <c r="C12" s="4680"/>
      <c r="D12" s="4680"/>
      <c r="E12" s="4680"/>
      <c r="F12" s="4680"/>
      <c r="G12" s="4680"/>
      <c r="H12" s="4680"/>
      <c r="I12" s="4680"/>
      <c r="J12" s="3944"/>
      <c r="K12" s="3512"/>
      <c r="L12" s="3945"/>
      <c r="M12" s="3512" t="str">
        <f>IF(AND(Q10=1,L12=""),re,"")</f>
        <v/>
      </c>
      <c r="N12" s="3512"/>
      <c r="P12" s="3815">
        <f>IF(M12="",0,1)</f>
      </c>
      <c r="Q12" s="3805">
        <f>IF(L12&lt;&gt;"",1,0)</f>
      </c>
      <c r="Y12" s="1634"/>
    </row>
    <row r="13" spans="1:25" ht="14.25" customHeight="1" x14ac:dyDescent="0.25">
      <c r="A13" s="3509"/>
      <c r="B13" s="3944"/>
      <c r="C13" s="3944"/>
      <c r="D13" s="3944"/>
      <c r="E13" s="3944"/>
      <c r="F13" s="3944"/>
      <c r="G13" s="3944"/>
      <c r="H13" s="3944"/>
      <c r="I13" s="3944"/>
      <c r="J13" s="3944"/>
      <c r="K13" s="3944"/>
      <c r="L13" s="3944"/>
      <c r="M13" s="3512"/>
      <c r="N13" s="3512"/>
      <c r="P13" s="3815"/>
      <c r="Q13" s="3805"/>
    </row>
    <row r="14" spans="1:25" ht="15" hidden="1" x14ac:dyDescent="0.25">
      <c r="A14" s="3509"/>
      <c r="B14" s="3944"/>
      <c r="C14" s="3944"/>
      <c r="D14" s="3944"/>
      <c r="E14" s="3944"/>
      <c r="F14" s="3944"/>
      <c r="G14" s="3944"/>
      <c r="H14" s="3944"/>
      <c r="I14" s="3944"/>
      <c r="J14" s="3944"/>
      <c r="K14" s="3944"/>
      <c r="L14" s="3944"/>
      <c r="M14" s="3512"/>
      <c r="N14" s="3512"/>
      <c r="P14" s="3815"/>
      <c r="Q14" s="3805"/>
    </row>
    <row r="15" spans="1:25" ht="15" hidden="1" x14ac:dyDescent="0.25">
      <c r="A15" s="3509"/>
      <c r="B15" s="3944"/>
      <c r="C15" s="3944"/>
      <c r="D15" s="3944"/>
      <c r="E15" s="3944"/>
      <c r="F15" s="3944"/>
      <c r="G15" s="3944"/>
      <c r="H15" s="3944"/>
      <c r="I15" s="3944"/>
      <c r="J15" s="3944"/>
      <c r="K15" s="3944"/>
      <c r="L15" s="3944"/>
      <c r="M15" s="3512"/>
      <c r="N15" s="3512"/>
      <c r="P15" s="3815"/>
      <c r="Q15" s="3805"/>
    </row>
    <row r="16" spans="1:25" ht="13.5" hidden="1" customHeight="1" x14ac:dyDescent="0.2">
      <c r="A16" s="3509"/>
      <c r="B16" s="3944"/>
      <c r="C16" s="3944"/>
      <c r="D16" s="3944"/>
      <c r="E16" s="3944"/>
      <c r="F16" s="3512"/>
      <c r="G16" s="3512"/>
      <c r="H16" s="3512"/>
      <c r="I16" s="3512"/>
      <c r="J16" s="3944"/>
      <c r="K16" s="3944"/>
      <c r="L16" s="3944"/>
      <c r="M16" s="3512"/>
      <c r="N16" s="3512"/>
    </row>
    <row r="17" spans="1:26" ht="0.75" customHeight="1" x14ac:dyDescent="0.2">
      <c r="A17" s="3512"/>
      <c r="B17" s="3512"/>
      <c r="C17" s="3512"/>
      <c r="D17" s="3512"/>
      <c r="E17" s="3512"/>
      <c r="F17" s="3512"/>
      <c r="G17" s="3512"/>
      <c r="H17" s="3512"/>
      <c r="I17" s="3512"/>
      <c r="J17" s="3512"/>
      <c r="K17" s="3512"/>
      <c r="L17" s="3512"/>
      <c r="M17" s="3512"/>
      <c r="N17" s="3512"/>
    </row>
    <row r="18" spans="1:26" x14ac:dyDescent="0.2">
      <c r="A18" s="3512"/>
      <c r="B18" s="3946" t="s">
        <v>10321</v>
      </c>
      <c r="C18" s="3512"/>
      <c r="D18" s="3965"/>
      <c r="E18" s="3512"/>
      <c r="F18" s="3512"/>
      <c r="G18" s="3512"/>
      <c r="H18" s="3512"/>
      <c r="I18" s="3512"/>
      <c r="J18" s="3512"/>
      <c r="K18" s="3512"/>
      <c r="L18" s="3512"/>
      <c r="M18" s="3512"/>
      <c r="N18" s="3512"/>
      <c r="P18" s="2734"/>
    </row>
    <row r="19" spans="1:26" x14ac:dyDescent="0.2">
      <c r="A19" s="3512"/>
      <c r="B19" s="5461"/>
      <c r="C19" s="5461"/>
      <c r="D19" s="5461"/>
      <c r="E19" s="5461"/>
      <c r="F19" s="5461"/>
      <c r="G19" s="5461"/>
      <c r="H19" s="5461"/>
      <c r="I19" s="5461"/>
      <c r="J19" s="5461"/>
      <c r="K19" s="5461"/>
      <c r="L19" s="5461"/>
      <c r="M19" s="5461"/>
      <c r="N19" s="3512"/>
      <c r="P19" s="2734"/>
    </row>
    <row r="20" spans="1:26" ht="3.75" customHeight="1" x14ac:dyDescent="0.2">
      <c r="A20" s="3512"/>
      <c r="B20" s="3946"/>
      <c r="C20" s="3512"/>
      <c r="D20" s="3512"/>
      <c r="E20" s="3512"/>
      <c r="F20" s="3512"/>
      <c r="G20" s="3512"/>
      <c r="H20" s="3512"/>
      <c r="I20" s="3512"/>
      <c r="J20" s="3512"/>
      <c r="K20" s="3512"/>
      <c r="L20" s="3512"/>
      <c r="M20" s="3512"/>
      <c r="N20" s="3512"/>
      <c r="P20" s="2734"/>
    </row>
    <row r="21" spans="1:26" ht="33.75" x14ac:dyDescent="0.2">
      <c r="A21" s="3509"/>
      <c r="B21" s="3947"/>
      <c r="C21" s="3947"/>
      <c r="D21" s="3947"/>
      <c r="E21" s="3948"/>
      <c r="F21" s="3512"/>
      <c r="G21" s="3512"/>
      <c r="H21" s="3949" t="s">
        <v>3712</v>
      </c>
      <c r="I21" s="3950"/>
      <c r="J21" s="3949" t="s">
        <v>2105</v>
      </c>
      <c r="K21" s="3950"/>
      <c r="L21" s="3949" t="s">
        <v>2106</v>
      </c>
      <c r="M21" s="3512"/>
      <c r="N21" s="3512"/>
      <c r="O21" s="3951"/>
      <c r="P21" s="1634" t="str">
        <f>IF(AND($V$23=TRUE,ISBLANK($H$23)=FALSE),"Check Page 4, Box 42a",IF(AND($X$23=TRUE,ISBLANK($J$23)=FALSE),"Check Page 4, Box 42b",IF(AND($Z$23=TRUE,ISBLANK($L$23)=FALSE),"Check Page 4, Box 42c","")))</f>
        <v/>
      </c>
      <c r="R21" s="1634"/>
    </row>
    <row r="22" spans="1:26" ht="10.5" customHeight="1" x14ac:dyDescent="0.2">
      <c r="A22" s="3509"/>
      <c r="B22" s="3509"/>
      <c r="C22" s="3509"/>
      <c r="D22" s="3947"/>
      <c r="E22" s="3512"/>
      <c r="F22" s="3512"/>
      <c r="G22" s="3512"/>
      <c r="H22" s="3509"/>
      <c r="I22" s="3512"/>
      <c r="J22" s="3509"/>
      <c r="K22" s="3512"/>
      <c r="L22" s="3509"/>
      <c r="M22" s="3509"/>
      <c r="N22" s="3509"/>
      <c r="O22" s="69"/>
      <c r="P22" s="1634"/>
      <c r="U22" s="1736" t="s">
        <v>10322</v>
      </c>
    </row>
    <row r="23" spans="1:26" ht="15" x14ac:dyDescent="0.25">
      <c r="A23" s="3509"/>
      <c r="B23" s="3947" t="s">
        <v>10323</v>
      </c>
      <c r="C23" s="3509"/>
      <c r="D23" s="3947"/>
      <c r="E23" s="3947"/>
      <c r="F23" s="3512"/>
      <c r="G23" s="3512"/>
      <c r="H23" s="863"/>
      <c r="I23" s="3947"/>
      <c r="J23" s="863"/>
      <c r="K23" s="3947"/>
      <c r="L23" s="863"/>
      <c r="M23" s="3952" t="str">
        <f>IF(AND(Q23&gt;0,$L$12=$Y$9),"Delete!",IF(AND($V$23=TRUE,ISBLANK($H$23)=FALSE),"Check Page 4, Box 42a",IF(AND($X$23=TRUE,ISBLANK($J$23)=FALSE),"Check Page 4, Box 42b",IF(AND($Z$23=TRUE,ISBLANK($L$23)=FALSE),"Check Page 4, Box 42c",IF(AND($L$12=$Y$8,Q23&lt;&gt;3),reo,IF(OR(H23&lt;&gt;H24,J23&lt;&gt;J24,L23&lt;&gt;L24),"Check!",""))))))</f>
        <v/>
      </c>
      <c r="N23" s="3952"/>
      <c r="O23" s="1634"/>
      <c r="P23" s="3815">
        <f>IF(M23="",0,1)</f>
      </c>
      <c r="Q23" s="1736">
        <f>COUNTA(H23,J23,L23)</f>
      </c>
      <c r="U23" s="1736" t="s">
        <v>10324</v>
      </c>
      <c r="V23" s="3953" t="b">
        <f>ISBLANK('p4'!K13)=TRUE</f>
      </c>
      <c r="W23" s="1634" t="s">
        <v>10325</v>
      </c>
      <c r="X23" s="3953" t="b">
        <f>ISBLANK('p4'!O13)</f>
      </c>
      <c r="Y23" s="1634" t="s">
        <v>10326</v>
      </c>
      <c r="Z23" s="3953" t="b">
        <f>ISBLANK('p4'!R13)</f>
      </c>
    </row>
    <row r="24" spans="1:26" ht="15" x14ac:dyDescent="0.25">
      <c r="A24" s="3509"/>
      <c r="B24" s="3947"/>
      <c r="C24" s="3509"/>
      <c r="D24" s="3947"/>
      <c r="E24" s="3947"/>
      <c r="F24" s="3512"/>
      <c r="G24" s="3512"/>
      <c r="H24" s="3954">
        <f>IF(OR(L12="",L12=Y9),0,-'p4'!K13)</f>
      </c>
      <c r="I24" s="3954"/>
      <c r="J24" s="3954">
        <f>IF(OR(L12="",L12=Y9),0,-'p4'!O13)</f>
      </c>
      <c r="K24" s="3954"/>
      <c r="L24" s="3954">
        <f>IF(OR(L12="",L12=Y9),0,-'p4'!R13)</f>
      </c>
      <c r="M24" s="3952"/>
      <c r="N24" s="3952"/>
      <c r="O24" s="1634"/>
      <c r="P24" s="3815"/>
      <c r="U24" s="1634"/>
    </row>
    <row r="25" spans="1:26" ht="12" customHeight="1" x14ac:dyDescent="0.25">
      <c r="A25" s="3509"/>
      <c r="B25" s="3947" t="s">
        <v>10327</v>
      </c>
      <c r="C25" s="3509"/>
      <c r="D25" s="3947"/>
      <c r="E25" s="3516"/>
      <c r="F25" s="3512"/>
      <c r="G25" s="3512"/>
      <c r="H25" s="863"/>
      <c r="I25" s="3947"/>
      <c r="J25" s="863"/>
      <c r="K25" s="3947"/>
      <c r="L25" s="863"/>
      <c r="M25" s="3952" t="str">
        <f>IF(AND(Q25&gt;0,$L$12=$Y$9),"Delete!",IF(AND($Y$8=$L$12,Q25&lt;&gt;3),reo,""))</f>
        <v/>
      </c>
      <c r="N25" s="3952"/>
      <c r="O25" s="66"/>
      <c r="P25" s="3815">
        <f>IF(M25="",0,1)</f>
      </c>
      <c r="Q25" s="1736">
        <f>COUNTA(H25,J25,L25)</f>
      </c>
    </row>
    <row r="26" spans="1:26" ht="11.25" customHeight="1" x14ac:dyDescent="0.25">
      <c r="A26" s="3509"/>
      <c r="B26" s="3947" t="s">
        <v>10494</v>
      </c>
      <c r="C26" s="3509"/>
      <c r="D26" s="3947"/>
      <c r="E26" s="3516"/>
      <c r="F26" s="3512"/>
      <c r="G26" s="3512"/>
      <c r="H26" s="3955">
        <f>IF(AND(H23&gt;H25,$L$10="Yes",L12=Y8),H23-H25,0)</f>
      </c>
      <c r="I26" s="3947"/>
      <c r="J26" s="3955">
        <f>IF(AND(J23&gt;J25,$L$10="Yes",L12=Y8),J23-J25,0)</f>
      </c>
      <c r="K26" s="3947"/>
      <c r="L26" s="3955">
        <f>IF(AND(L23&gt;L25,$L$10="Yes",L12=Y8),L23-L25,0)</f>
      </c>
      <c r="M26" s="3947"/>
      <c r="N26" s="3947"/>
      <c r="O26" s="66"/>
      <c r="P26" s="3815"/>
      <c r="Q26" s="3805"/>
      <c r="V26" s="1736" t="s">
        <v>10328</v>
      </c>
      <c r="X26" s="1736" t="s">
        <v>10329</v>
      </c>
      <c r="Z26" s="1736" t="s">
        <v>10330</v>
      </c>
    </row>
    <row r="27" spans="1:26" x14ac:dyDescent="0.2">
      <c r="A27" s="3509"/>
      <c r="B27" s="3947"/>
      <c r="C27" s="3509"/>
      <c r="D27" s="3947"/>
      <c r="E27" s="3947"/>
      <c r="F27" s="3512"/>
      <c r="G27" s="3512"/>
      <c r="H27" s="3512"/>
      <c r="I27" s="3512"/>
      <c r="J27" s="3512"/>
      <c r="K27" s="3512"/>
      <c r="L27" s="3512"/>
      <c r="M27" s="3947"/>
      <c r="N27" s="3947"/>
      <c r="O27" s="66"/>
      <c r="U27" s="1736" t="s">
        <v>5806</v>
      </c>
      <c r="V27" s="1736" t="s">
        <v>10331</v>
      </c>
      <c r="W27" s="1846">
        <f>'p4'!K14</f>
      </c>
      <c r="X27" s="1736" t="s">
        <v>10332</v>
      </c>
      <c r="Y27" s="1846">
        <f>'p4'!K17</f>
      </c>
      <c r="Z27" s="1846">
        <f>W27+Y27</f>
      </c>
    </row>
    <row r="28" spans="1:26" ht="13.5" hidden="1" customHeight="1" x14ac:dyDescent="0.2">
      <c r="A28" s="3509"/>
      <c r="B28" s="3947" t="s">
        <v>10333</v>
      </c>
      <c r="C28" s="3509"/>
      <c r="D28" s="3947"/>
      <c r="E28" s="3947"/>
      <c r="F28" s="3512"/>
      <c r="G28" s="3512"/>
      <c r="H28" s="3955"/>
      <c r="I28" s="3512"/>
      <c r="J28" s="3955"/>
      <c r="K28" s="3947"/>
      <c r="L28" s="3955"/>
      <c r="M28" s="3947"/>
      <c r="N28" s="3947"/>
      <c r="O28" s="66"/>
      <c r="U28" s="1736" t="s">
        <v>363</v>
      </c>
      <c r="V28" s="1736" t="s">
        <v>10334</v>
      </c>
      <c r="W28" s="1846">
        <f>'p4'!O14</f>
      </c>
      <c r="X28" s="1736" t="s">
        <v>10335</v>
      </c>
      <c r="Y28" s="1846">
        <f>'p4'!O17</f>
      </c>
      <c r="Z28" s="1846">
        <f>W28+Y28</f>
      </c>
    </row>
    <row r="29" spans="1:26" ht="11.25" hidden="1" customHeight="1" x14ac:dyDescent="0.2">
      <c r="A29" s="3509"/>
      <c r="B29" s="3947" t="s">
        <v>10336</v>
      </c>
      <c r="C29" s="3509"/>
      <c r="D29" s="3947"/>
      <c r="E29" s="3947"/>
      <c r="F29" s="3512"/>
      <c r="G29" s="3512"/>
      <c r="H29" s="3955"/>
      <c r="I29" s="3512"/>
      <c r="J29" s="3955"/>
      <c r="K29" s="3947"/>
      <c r="L29" s="3955"/>
      <c r="M29" s="3947"/>
      <c r="N29" s="3947"/>
      <c r="O29" s="66"/>
      <c r="U29" s="1736" t="s">
        <v>2372</v>
      </c>
      <c r="V29" s="1736" t="s">
        <v>10337</v>
      </c>
      <c r="W29" s="1846">
        <f>'p4'!R14</f>
      </c>
      <c r="X29" s="1736" t="s">
        <v>10338</v>
      </c>
      <c r="Y29" s="1846">
        <f>'p4'!R17</f>
      </c>
      <c r="Z29" s="1846">
        <f>W29+Y29</f>
      </c>
    </row>
    <row r="30" spans="1:26" ht="11.25" hidden="1" customHeight="1" x14ac:dyDescent="0.2">
      <c r="A30" s="3509"/>
      <c r="B30" s="3947"/>
      <c r="C30" s="3509"/>
      <c r="D30" s="3947"/>
      <c r="E30" s="3947"/>
      <c r="F30" s="3512"/>
      <c r="G30" s="3512"/>
      <c r="H30" s="3512"/>
      <c r="I30" s="3512"/>
      <c r="J30" s="3512"/>
      <c r="K30" s="3512"/>
      <c r="L30" s="3512"/>
      <c r="M30" s="3947"/>
      <c r="N30" s="3947"/>
      <c r="O30" s="66"/>
    </row>
    <row r="31" spans="1:26" ht="15" x14ac:dyDescent="0.25">
      <c r="A31" s="3509"/>
      <c r="B31" s="3947" t="s">
        <v>10495</v>
      </c>
      <c r="C31" s="3509"/>
      <c r="D31" s="3947"/>
      <c r="E31" s="3947"/>
      <c r="F31" s="3512"/>
      <c r="G31" s="3512"/>
      <c r="H31" s="863"/>
      <c r="I31" s="3947"/>
      <c r="J31" s="863"/>
      <c r="K31" s="3947"/>
      <c r="L31" s="863"/>
      <c r="M31" s="3952" t="str">
        <f>IF(AND(Q31&gt;0,$L$12=$Y$9),"Delete!",IF(AND($Y$8=$L$12,Q31&lt;&gt;3),reo,IF(H31&gt;H32,"Check pg 4 Box 47a!",IF(J31&gt;J32,"Check pg 4 Box 47b!",IF(L31&gt;L32,"Check pg 4 Box 47b!",IF(OR(H31&gt;H26,J31&gt;J26,L31&gt;L26),"Cannot exceed CAs for YA2021 and YA2022",""))))))</f>
        <v/>
      </c>
      <c r="N31" s="3952"/>
      <c r="O31" s="66"/>
      <c r="P31" s="3815">
        <f>IF(M31="",0,1)</f>
      </c>
      <c r="Q31" s="1736">
        <f>COUNTA(H31,J31,L31)</f>
      </c>
      <c r="U31" s="1736" t="s">
        <v>10339</v>
      </c>
      <c r="V31" s="3953" t="b">
        <f>ISBLANK('p4'!K18)=TRUE</f>
      </c>
      <c r="W31" s="1634" t="s">
        <v>10340</v>
      </c>
      <c r="X31" s="3953" t="b">
        <f>ISBLANK('p4'!O18)</f>
      </c>
      <c r="Y31" s="1634" t="s">
        <v>10341</v>
      </c>
      <c r="Z31" s="3953" t="b">
        <f>ISBLANK('p4'!R18)</f>
      </c>
    </row>
    <row r="32" spans="1:26" x14ac:dyDescent="0.2">
      <c r="A32" s="3509"/>
      <c r="B32" s="3947"/>
      <c r="C32" s="3509"/>
      <c r="D32" s="3947"/>
      <c r="E32" s="3947"/>
      <c r="F32" s="3512"/>
      <c r="G32" s="3512"/>
      <c r="H32" s="4015">
        <f>IF(OR(L12="",Y9=L12),0,'p4'!K18)</f>
      </c>
      <c r="I32" s="4016"/>
      <c r="J32" s="4015">
        <f>IF(OR(L12="",L12=Y9),0,'p4'!O18)</f>
      </c>
      <c r="K32" s="4016"/>
      <c r="L32" s="4015">
        <f>IF(OR(L12="",L12=Y9),0,'p4'!R18)</f>
      </c>
      <c r="M32" s="3947"/>
      <c r="N32" s="3947"/>
      <c r="O32" s="66"/>
    </row>
    <row r="33" spans="1:17" x14ac:dyDescent="0.2">
      <c r="A33" s="3509"/>
      <c r="B33" s="3947" t="s">
        <v>10496</v>
      </c>
      <c r="C33" s="3509"/>
      <c r="D33" s="3947"/>
      <c r="E33" s="3947"/>
      <c r="F33" s="3512"/>
      <c r="G33" s="3512"/>
      <c r="H33" s="3955">
        <f>H26-H31</f>
      </c>
      <c r="I33" s="3947"/>
      <c r="J33" s="3955">
        <f>J26-J31</f>
      </c>
      <c r="K33" s="3947"/>
      <c r="L33" s="3955">
        <f>L26-L31</f>
      </c>
      <c r="M33" s="3947"/>
      <c r="N33" s="3947"/>
      <c r="O33" s="66"/>
    </row>
    <row r="34" spans="1:17" ht="10.5" customHeight="1" x14ac:dyDescent="0.2">
      <c r="A34" s="3509"/>
      <c r="B34" s="3947"/>
      <c r="C34" s="3947"/>
      <c r="D34" s="3947"/>
      <c r="E34" s="3947"/>
      <c r="F34" s="3947"/>
      <c r="G34" s="3512"/>
      <c r="H34" s="3947"/>
      <c r="I34" s="3947"/>
      <c r="J34" s="3947"/>
      <c r="K34" s="3947"/>
      <c r="L34" s="3947"/>
      <c r="M34" s="3512"/>
      <c r="N34" s="3512"/>
    </row>
    <row r="35" spans="1:17" ht="61.5" customHeight="1" x14ac:dyDescent="0.2">
      <c r="A35" s="3509"/>
      <c r="B35" s="3981" t="s">
        <v>10456</v>
      </c>
      <c r="C35" s="5449" t="s">
        <v>10512</v>
      </c>
      <c r="D35" s="5449"/>
      <c r="E35" s="5449"/>
      <c r="F35" s="5449"/>
      <c r="G35" s="5449"/>
      <c r="H35" s="5449"/>
      <c r="I35" s="5449"/>
      <c r="J35" s="5449"/>
      <c r="K35" s="5449"/>
      <c r="L35" s="5449"/>
      <c r="M35" s="5450"/>
      <c r="N35" s="3512"/>
    </row>
    <row r="36" spans="1:17" ht="8.25" customHeight="1" x14ac:dyDescent="0.2">
      <c r="A36" s="3509"/>
      <c r="B36" s="3947"/>
      <c r="C36" s="3947"/>
      <c r="D36" s="3947"/>
      <c r="E36" s="3947"/>
      <c r="F36" s="3947"/>
      <c r="G36" s="3947"/>
      <c r="H36" s="3947"/>
      <c r="I36" s="3947"/>
      <c r="J36" s="3947"/>
      <c r="K36" s="3947"/>
      <c r="L36" s="3947"/>
      <c r="M36" s="3512"/>
      <c r="N36" s="3512"/>
    </row>
    <row r="37" spans="1:17" ht="12.75" hidden="1" customHeight="1" x14ac:dyDescent="0.2">
      <c r="A37" s="3509"/>
      <c r="B37" s="3509"/>
      <c r="C37" s="3509"/>
      <c r="D37" s="3509"/>
      <c r="E37" s="3509"/>
      <c r="F37" s="3509"/>
      <c r="G37" s="3509"/>
      <c r="H37" s="3509"/>
      <c r="I37" s="3934"/>
      <c r="J37" s="3934"/>
      <c r="K37" s="3934"/>
      <c r="L37" s="3934"/>
      <c r="M37" s="3512"/>
      <c r="N37" s="3512"/>
    </row>
    <row r="38" spans="1:17" ht="12.75" hidden="1" customHeight="1" x14ac:dyDescent="0.2">
      <c r="A38" s="3509"/>
      <c r="B38" s="3509"/>
      <c r="C38" s="3509"/>
      <c r="D38" s="3509"/>
      <c r="E38" s="3509"/>
      <c r="F38" s="3509"/>
      <c r="G38" s="3509"/>
      <c r="H38" s="3509"/>
      <c r="I38" s="3934"/>
      <c r="J38" s="3934"/>
      <c r="K38" s="3934"/>
      <c r="L38" s="3934"/>
      <c r="M38" s="3512"/>
      <c r="N38" s="3512"/>
    </row>
    <row r="39" spans="1:17" ht="12.75" hidden="1" customHeight="1" x14ac:dyDescent="0.2">
      <c r="A39" s="3509"/>
      <c r="B39" s="3509"/>
      <c r="C39" s="3509"/>
      <c r="D39" s="3509"/>
      <c r="E39" s="3509"/>
      <c r="F39" s="3509"/>
      <c r="G39" s="3509"/>
      <c r="H39" s="3509"/>
      <c r="I39" s="3934"/>
      <c r="J39" s="3934"/>
      <c r="K39" s="3934"/>
      <c r="L39" s="3934"/>
      <c r="M39" s="3512"/>
      <c r="N39" s="3512"/>
    </row>
    <row r="40" spans="1:17" ht="12.75" hidden="1" customHeight="1" x14ac:dyDescent="0.2">
      <c r="A40" s="3509"/>
      <c r="B40" s="3509"/>
      <c r="C40" s="3509"/>
      <c r="D40" s="3509"/>
      <c r="E40" s="3509"/>
      <c r="F40" s="3509"/>
      <c r="G40" s="3509"/>
      <c r="H40" s="3509"/>
      <c r="I40" s="3934"/>
      <c r="J40" s="3934"/>
      <c r="K40" s="3934"/>
      <c r="L40" s="3934"/>
      <c r="M40" s="3512"/>
      <c r="N40" s="3512"/>
    </row>
    <row r="41" spans="1:17" ht="12.75" hidden="1" customHeight="1" x14ac:dyDescent="0.2">
      <c r="A41" s="3509"/>
      <c r="B41" s="3509"/>
      <c r="C41" s="3509"/>
      <c r="D41" s="3509"/>
      <c r="E41" s="3509"/>
      <c r="F41" s="3509"/>
      <c r="G41" s="3509"/>
      <c r="H41" s="3509"/>
      <c r="I41" s="3934"/>
      <c r="J41" s="3934"/>
      <c r="K41" s="3934"/>
      <c r="L41" s="3934"/>
      <c r="M41" s="3512"/>
      <c r="N41" s="3512"/>
    </row>
    <row r="42" spans="1:17" ht="12.75" hidden="1" customHeight="1" x14ac:dyDescent="0.2">
      <c r="A42" s="3509"/>
      <c r="B42" s="3509"/>
      <c r="C42" s="3509"/>
      <c r="D42" s="3509"/>
      <c r="E42" s="3509"/>
      <c r="F42" s="3509"/>
      <c r="G42" s="3509"/>
      <c r="H42" s="3509"/>
      <c r="I42" s="3934"/>
      <c r="J42" s="3934"/>
      <c r="K42" s="3934"/>
      <c r="L42" s="3934"/>
      <c r="M42" s="3512"/>
      <c r="N42" s="3512"/>
    </row>
    <row r="43" spans="1:17" ht="12.75" hidden="1" customHeight="1" x14ac:dyDescent="0.2">
      <c r="A43" s="3509"/>
      <c r="B43" s="3509"/>
      <c r="C43" s="3509"/>
      <c r="D43" s="3509"/>
      <c r="E43" s="3509"/>
      <c r="F43" s="3509"/>
      <c r="G43" s="3509"/>
      <c r="H43" s="3509"/>
      <c r="I43" s="3934"/>
      <c r="J43" s="3934"/>
      <c r="K43" s="3510"/>
      <c r="L43" s="3510"/>
      <c r="M43" s="3943"/>
      <c r="N43" s="3943"/>
    </row>
    <row r="44" spans="1:17" ht="17.25" customHeight="1" x14ac:dyDescent="0.2">
      <c r="A44" s="3509"/>
      <c r="B44" s="5458" t="s">
        <v>10457</v>
      </c>
      <c r="C44" s="5459"/>
      <c r="D44" s="5459"/>
      <c r="E44" s="5459"/>
      <c r="F44" s="5459"/>
      <c r="G44" s="5459"/>
      <c r="H44" s="5459"/>
      <c r="I44" s="5459"/>
      <c r="J44" s="5459"/>
      <c r="K44" s="5459"/>
      <c r="L44" s="5460"/>
      <c r="M44" s="3943"/>
      <c r="N44" s="3943"/>
    </row>
    <row r="45" spans="1:17" ht="12.75" customHeight="1" x14ac:dyDescent="0.2">
      <c r="A45" s="3509"/>
      <c r="B45" s="5451" t="s">
        <v>10343</v>
      </c>
      <c r="C45" s="5465" t="s">
        <v>10455</v>
      </c>
      <c r="D45" s="5465"/>
      <c r="E45" s="5465"/>
      <c r="F45" s="5465"/>
      <c r="G45" s="3516"/>
      <c r="H45" s="5451" t="s">
        <v>3712</v>
      </c>
      <c r="I45" s="3520"/>
      <c r="J45" s="5451" t="s">
        <v>2105</v>
      </c>
      <c r="K45" s="3520"/>
      <c r="L45" s="5451" t="s">
        <v>2106</v>
      </c>
      <c r="M45" s="3943"/>
      <c r="N45" s="3943"/>
    </row>
    <row r="46" spans="1:17" ht="12.75" customHeight="1" x14ac:dyDescent="0.2">
      <c r="A46" s="3509"/>
      <c r="B46" s="5452"/>
      <c r="C46" s="5465"/>
      <c r="D46" s="5465"/>
      <c r="E46" s="5465"/>
      <c r="F46" s="5465"/>
      <c r="G46" s="3516"/>
      <c r="H46" s="5452"/>
      <c r="I46" s="3520"/>
      <c r="J46" s="5452"/>
      <c r="K46" s="3520"/>
      <c r="L46" s="5452"/>
      <c r="M46" s="3943"/>
      <c r="N46" s="3943"/>
    </row>
    <row r="47" spans="1:17" x14ac:dyDescent="0.2">
      <c r="A47" s="3509"/>
      <c r="B47" s="5453"/>
      <c r="C47" s="5465"/>
      <c r="D47" s="5465"/>
      <c r="E47" s="5465"/>
      <c r="F47" s="5465"/>
      <c r="G47" s="3516"/>
      <c r="H47" s="5453"/>
      <c r="I47" s="3520"/>
      <c r="J47" s="5453"/>
      <c r="K47" s="3520"/>
      <c r="L47" s="5453"/>
      <c r="M47" s="3943"/>
      <c r="N47" s="3943"/>
    </row>
    <row r="48" spans="1:17" ht="15" x14ac:dyDescent="0.25">
      <c r="A48" s="3509"/>
      <c r="B48" s="742"/>
      <c r="C48" s="5454"/>
      <c r="D48" s="5454"/>
      <c r="E48" s="5454"/>
      <c r="F48" s="5454"/>
      <c r="G48" s="3516"/>
      <c r="H48" s="223"/>
      <c r="I48" s="3520"/>
      <c r="J48" s="223"/>
      <c r="K48" s="3520"/>
      <c r="L48" s="223"/>
      <c r="M48" s="3512" t="str">
        <f>IF(Q48=0,"",IF(AND($L$12=$Y$8,Q48&lt;&gt;5),"All details!",IF(AND($L$12&lt;&gt;$Y$8,Q48&gt;0),"Delete!","")))</f>
        <v/>
      </c>
      <c r="N48" s="3512"/>
      <c r="P48" s="3815">
        <f t="shared" ref="P48:P90" si="0">IF(M48="",0,1)</f>
      </c>
      <c r="Q48" s="1736">
        <f>COUNTA(B48,C48,H48,J48,L48)</f>
      </c>
    </row>
    <row r="49" spans="1:17" ht="15" x14ac:dyDescent="0.25">
      <c r="A49" s="3509"/>
      <c r="B49" s="742"/>
      <c r="C49" s="5454"/>
      <c r="D49" s="5454"/>
      <c r="E49" s="5454"/>
      <c r="F49" s="5454"/>
      <c r="G49" s="3516"/>
      <c r="H49" s="223"/>
      <c r="I49" s="3520"/>
      <c r="J49" s="223"/>
      <c r="K49" s="3520"/>
      <c r="L49" s="223"/>
      <c r="M49" s="3512" t="str">
        <f t="shared" ref="M49:M89" si="1">IF(Q49=0,"",IF(AND($L$12=$Y$8,Q49&lt;&gt;5),"All details!",IF(AND($L$12&lt;&gt;$Y$8,Q49&gt;0),"Delete!","")))</f>
        <v/>
      </c>
      <c r="N49" s="3512"/>
      <c r="P49" s="3815">
        <f t="shared" si="0"/>
        <v>0</v>
      </c>
      <c r="Q49" s="1736">
        <f t="shared" ref="Q49:Q89" si="2">COUNTA(B49,C49,H49,J49,L49)</f>
      </c>
    </row>
    <row r="50" spans="1:17" ht="15" x14ac:dyDescent="0.25">
      <c r="A50" s="3509"/>
      <c r="B50" s="742"/>
      <c r="C50" s="5454"/>
      <c r="D50" s="5454"/>
      <c r="E50" s="5454"/>
      <c r="F50" s="5454"/>
      <c r="G50" s="3516"/>
      <c r="H50" s="223"/>
      <c r="I50" s="3520"/>
      <c r="J50" s="223"/>
      <c r="K50" s="3520"/>
      <c r="L50" s="223"/>
      <c r="M50" s="3512" t="str">
        <f t="shared" si="1"/>
        <v/>
      </c>
      <c r="N50" s="3512"/>
      <c r="P50" s="3815">
        <f t="shared" si="0"/>
        <v>0</v>
      </c>
      <c r="Q50" s="1736">
        <f t="shared" si="2"/>
        <v>0</v>
      </c>
    </row>
    <row r="51" spans="1:17" ht="15" x14ac:dyDescent="0.25">
      <c r="A51" s="3509"/>
      <c r="B51" s="742"/>
      <c r="C51" s="5454"/>
      <c r="D51" s="5454"/>
      <c r="E51" s="5454"/>
      <c r="F51" s="5454"/>
      <c r="G51" s="3516"/>
      <c r="H51" s="223"/>
      <c r="I51" s="3520"/>
      <c r="J51" s="223"/>
      <c r="K51" s="3520"/>
      <c r="L51" s="223"/>
      <c r="M51" s="3512" t="str">
        <f t="shared" si="1"/>
        <v/>
      </c>
      <c r="N51" s="3512"/>
      <c r="P51" s="3815">
        <f t="shared" si="0"/>
        <v>0</v>
      </c>
      <c r="Q51" s="1736">
        <f t="shared" si="2"/>
        <v>0</v>
      </c>
    </row>
    <row r="52" spans="1:17" ht="15" x14ac:dyDescent="0.25">
      <c r="A52" s="3509"/>
      <c r="B52" s="742"/>
      <c r="C52" s="5462"/>
      <c r="D52" s="5463"/>
      <c r="E52" s="5463"/>
      <c r="F52" s="5464"/>
      <c r="G52" s="3516"/>
      <c r="H52" s="223"/>
      <c r="I52" s="3520"/>
      <c r="J52" s="223"/>
      <c r="K52" s="3520"/>
      <c r="L52" s="223"/>
      <c r="M52" s="3512" t="str">
        <f t="shared" si="1"/>
        <v/>
      </c>
      <c r="N52" s="3512"/>
      <c r="P52" s="3815">
        <f t="shared" si="0"/>
        <v>0</v>
      </c>
      <c r="Q52" s="1736">
        <f t="shared" si="2"/>
        <v>0</v>
      </c>
    </row>
    <row r="53" spans="1:17" ht="15" x14ac:dyDescent="0.25">
      <c r="A53" s="3509"/>
      <c r="B53" s="742"/>
      <c r="C53" s="5462"/>
      <c r="D53" s="5463"/>
      <c r="E53" s="5463"/>
      <c r="F53" s="5464"/>
      <c r="G53" s="3516"/>
      <c r="H53" s="223"/>
      <c r="I53" s="3520"/>
      <c r="J53" s="223"/>
      <c r="K53" s="3520"/>
      <c r="L53" s="223"/>
      <c r="M53" s="3512" t="str">
        <f t="shared" si="1"/>
        <v/>
      </c>
      <c r="N53" s="3512"/>
      <c r="P53" s="3815">
        <f t="shared" si="0"/>
        <v>0</v>
      </c>
      <c r="Q53" s="1736">
        <f t="shared" si="2"/>
        <v>0</v>
      </c>
    </row>
    <row r="54" spans="1:17" ht="15" x14ac:dyDescent="0.25">
      <c r="A54" s="3509"/>
      <c r="B54" s="742"/>
      <c r="C54" s="5462"/>
      <c r="D54" s="5463"/>
      <c r="E54" s="5463"/>
      <c r="F54" s="5464"/>
      <c r="G54" s="3516"/>
      <c r="H54" s="223"/>
      <c r="I54" s="3520"/>
      <c r="J54" s="223"/>
      <c r="K54" s="3520"/>
      <c r="L54" s="223"/>
      <c r="M54" s="3512" t="str">
        <f t="shared" si="1"/>
        <v/>
      </c>
      <c r="N54" s="3512"/>
      <c r="P54" s="3815">
        <f t="shared" si="0"/>
        <v>0</v>
      </c>
      <c r="Q54" s="1736">
        <f t="shared" si="2"/>
        <v>0</v>
      </c>
    </row>
    <row r="55" spans="1:17" ht="15" x14ac:dyDescent="0.25">
      <c r="A55" s="3509"/>
      <c r="B55" s="742"/>
      <c r="C55" s="5462"/>
      <c r="D55" s="5463"/>
      <c r="E55" s="5463"/>
      <c r="F55" s="5464"/>
      <c r="G55" s="3516"/>
      <c r="H55" s="223"/>
      <c r="I55" s="3520"/>
      <c r="J55" s="223"/>
      <c r="K55" s="3520"/>
      <c r="L55" s="223"/>
      <c r="M55" s="3512" t="str">
        <f t="shared" si="1"/>
        <v/>
      </c>
      <c r="N55" s="3512"/>
      <c r="P55" s="3815">
        <f t="shared" si="0"/>
        <v>0</v>
      </c>
      <c r="Q55" s="1736">
        <f t="shared" si="2"/>
        <v>0</v>
      </c>
    </row>
    <row r="56" spans="1:17" ht="15" x14ac:dyDescent="0.25">
      <c r="A56" s="3509"/>
      <c r="B56" s="742"/>
      <c r="C56" s="5462"/>
      <c r="D56" s="5463"/>
      <c r="E56" s="5463"/>
      <c r="F56" s="5464"/>
      <c r="G56" s="3516"/>
      <c r="H56" s="223"/>
      <c r="I56" s="3520"/>
      <c r="J56" s="223"/>
      <c r="K56" s="3520"/>
      <c r="L56" s="223"/>
      <c r="M56" s="3512" t="str">
        <f t="shared" si="1"/>
        <v/>
      </c>
      <c r="N56" s="3512"/>
      <c r="P56" s="3815">
        <f t="shared" si="0"/>
        <v>0</v>
      </c>
      <c r="Q56" s="1736">
        <f t="shared" si="2"/>
        <v>0</v>
      </c>
    </row>
    <row r="57" spans="1:17" ht="15" x14ac:dyDescent="0.25">
      <c r="A57" s="3509"/>
      <c r="B57" s="742"/>
      <c r="C57" s="5462"/>
      <c r="D57" s="5463"/>
      <c r="E57" s="5463"/>
      <c r="F57" s="5464"/>
      <c r="G57" s="3516"/>
      <c r="H57" s="223"/>
      <c r="I57" s="3520"/>
      <c r="J57" s="223"/>
      <c r="K57" s="3520"/>
      <c r="L57" s="223"/>
      <c r="M57" s="3512" t="str">
        <f t="shared" si="1"/>
        <v/>
      </c>
      <c r="N57" s="3512"/>
      <c r="P57" s="3815">
        <f t="shared" si="0"/>
        <v>0</v>
      </c>
      <c r="Q57" s="1736">
        <f t="shared" si="2"/>
        <v>0</v>
      </c>
    </row>
    <row r="58" spans="1:17" ht="15" x14ac:dyDescent="0.25">
      <c r="A58" s="3509"/>
      <c r="B58" s="742"/>
      <c r="C58" s="5462"/>
      <c r="D58" s="5463"/>
      <c r="E58" s="5463"/>
      <c r="F58" s="5464"/>
      <c r="G58" s="3516"/>
      <c r="H58" s="223"/>
      <c r="I58" s="3520"/>
      <c r="J58" s="223"/>
      <c r="K58" s="3520"/>
      <c r="L58" s="223"/>
      <c r="M58" s="3512" t="str">
        <f t="shared" si="1"/>
        <v/>
      </c>
      <c r="N58" s="3512"/>
      <c r="P58" s="3815">
        <f t="shared" si="0"/>
        <v>0</v>
      </c>
      <c r="Q58" s="1736">
        <f t="shared" si="2"/>
        <v>0</v>
      </c>
    </row>
    <row r="59" spans="1:17" ht="15" x14ac:dyDescent="0.25">
      <c r="A59" s="3509"/>
      <c r="B59" s="742"/>
      <c r="C59" s="5462"/>
      <c r="D59" s="5463"/>
      <c r="E59" s="5463"/>
      <c r="F59" s="5464"/>
      <c r="G59" s="3516"/>
      <c r="H59" s="223"/>
      <c r="I59" s="3520"/>
      <c r="J59" s="223"/>
      <c r="K59" s="3520"/>
      <c r="L59" s="223"/>
      <c r="M59" s="3512" t="str">
        <f t="shared" si="1"/>
        <v/>
      </c>
      <c r="N59" s="3512"/>
      <c r="P59" s="3815">
        <f t="shared" si="0"/>
        <v>0</v>
      </c>
      <c r="Q59" s="1736">
        <f t="shared" si="2"/>
        <v>0</v>
      </c>
    </row>
    <row r="60" spans="1:17" ht="15" x14ac:dyDescent="0.25">
      <c r="A60" s="3509"/>
      <c r="B60" s="742"/>
      <c r="C60" s="5462"/>
      <c r="D60" s="5463"/>
      <c r="E60" s="5463"/>
      <c r="F60" s="5464"/>
      <c r="G60" s="3516"/>
      <c r="H60" s="223"/>
      <c r="I60" s="3520"/>
      <c r="J60" s="223"/>
      <c r="K60" s="3520"/>
      <c r="L60" s="223"/>
      <c r="M60" s="3512" t="str">
        <f t="shared" si="1"/>
        <v/>
      </c>
      <c r="N60" s="3512"/>
      <c r="P60" s="3815">
        <f t="shared" si="0"/>
        <v>0</v>
      </c>
      <c r="Q60" s="1736">
        <f t="shared" si="2"/>
        <v>0</v>
      </c>
    </row>
    <row r="61" spans="1:17" ht="15" hidden="1" x14ac:dyDescent="0.25">
      <c r="A61" s="3509"/>
      <c r="B61" s="742"/>
      <c r="C61" s="5454"/>
      <c r="D61" s="5454"/>
      <c r="E61" s="5454"/>
      <c r="F61" s="5454"/>
      <c r="G61" s="3516"/>
      <c r="H61" s="223"/>
      <c r="I61" s="3520"/>
      <c r="J61" s="223"/>
      <c r="K61" s="3520"/>
      <c r="L61" s="223"/>
      <c r="M61" s="3512" t="str">
        <f t="shared" si="1"/>
        <v/>
      </c>
      <c r="N61" s="3512"/>
      <c r="P61" s="3815">
        <f t="shared" si="0"/>
        <v>0</v>
      </c>
      <c r="Q61" s="1736">
        <f t="shared" si="2"/>
        <v>0</v>
      </c>
    </row>
    <row r="62" spans="1:17" ht="15" hidden="1" x14ac:dyDescent="0.25">
      <c r="A62" s="3509"/>
      <c r="B62" s="742"/>
      <c r="C62" s="5454"/>
      <c r="D62" s="5454"/>
      <c r="E62" s="5454"/>
      <c r="F62" s="5454"/>
      <c r="G62" s="3516"/>
      <c r="H62" s="223"/>
      <c r="I62" s="3520"/>
      <c r="J62" s="223"/>
      <c r="K62" s="3520"/>
      <c r="L62" s="223"/>
      <c r="M62" s="3512" t="str">
        <f t="shared" si="1"/>
        <v/>
      </c>
      <c r="N62" s="3512"/>
      <c r="P62" s="3815">
        <f t="shared" si="0"/>
        <v>0</v>
      </c>
      <c r="Q62" s="1736">
        <f t="shared" si="2"/>
        <v>0</v>
      </c>
    </row>
    <row r="63" spans="1:17" ht="15" hidden="1" x14ac:dyDescent="0.25">
      <c r="A63" s="3509"/>
      <c r="B63" s="742"/>
      <c r="C63" s="5462"/>
      <c r="D63" s="5463"/>
      <c r="E63" s="5463"/>
      <c r="F63" s="5464"/>
      <c r="G63" s="3516"/>
      <c r="H63" s="223"/>
      <c r="I63" s="3520"/>
      <c r="J63" s="223"/>
      <c r="K63" s="3520"/>
      <c r="L63" s="223"/>
      <c r="M63" s="3512" t="str">
        <f t="shared" si="1"/>
        <v/>
      </c>
      <c r="N63" s="3512"/>
      <c r="P63" s="3815">
        <f t="shared" si="0"/>
        <v>0</v>
      </c>
      <c r="Q63" s="1736">
        <f t="shared" si="2"/>
        <v>0</v>
      </c>
    </row>
    <row r="64" spans="1:17" ht="15" hidden="1" x14ac:dyDescent="0.25">
      <c r="A64" s="3509"/>
      <c r="B64" s="742"/>
      <c r="C64" s="5462"/>
      <c r="D64" s="5463"/>
      <c r="E64" s="5463"/>
      <c r="F64" s="5464"/>
      <c r="G64" s="3516"/>
      <c r="H64" s="223"/>
      <c r="I64" s="3520"/>
      <c r="J64" s="223"/>
      <c r="K64" s="3520"/>
      <c r="L64" s="223"/>
      <c r="M64" s="3512" t="str">
        <f t="shared" si="1"/>
        <v/>
      </c>
      <c r="N64" s="3512"/>
      <c r="P64" s="3815">
        <f t="shared" si="0"/>
        <v>0</v>
      </c>
      <c r="Q64" s="1736">
        <f t="shared" si="2"/>
        <v>0</v>
      </c>
    </row>
    <row r="65" spans="1:17" ht="15" hidden="1" x14ac:dyDescent="0.25">
      <c r="A65" s="3509"/>
      <c r="B65" s="742"/>
      <c r="C65" s="5462"/>
      <c r="D65" s="5463"/>
      <c r="E65" s="5463"/>
      <c r="F65" s="5464"/>
      <c r="G65" s="3516"/>
      <c r="H65" s="223"/>
      <c r="I65" s="3520"/>
      <c r="J65" s="223"/>
      <c r="K65" s="3520"/>
      <c r="L65" s="223"/>
      <c r="M65" s="3512" t="str">
        <f t="shared" si="1"/>
        <v/>
      </c>
      <c r="N65" s="3512"/>
      <c r="P65" s="3815">
        <f t="shared" si="0"/>
        <v>0</v>
      </c>
      <c r="Q65" s="1736">
        <f t="shared" si="2"/>
        <v>0</v>
      </c>
    </row>
    <row r="66" spans="1:17" ht="15" hidden="1" x14ac:dyDescent="0.25">
      <c r="A66" s="3509"/>
      <c r="B66" s="742"/>
      <c r="C66" s="5462"/>
      <c r="D66" s="5463"/>
      <c r="E66" s="5463"/>
      <c r="F66" s="5464"/>
      <c r="G66" s="3516"/>
      <c r="H66" s="223"/>
      <c r="I66" s="3520"/>
      <c r="J66" s="223"/>
      <c r="K66" s="3520"/>
      <c r="L66" s="223"/>
      <c r="M66" s="3512" t="str">
        <f t="shared" si="1"/>
        <v/>
      </c>
      <c r="N66" s="3512"/>
      <c r="P66" s="3815">
        <f t="shared" si="0"/>
        <v>0</v>
      </c>
      <c r="Q66" s="1736">
        <f t="shared" si="2"/>
        <v>0</v>
      </c>
    </row>
    <row r="67" spans="1:17" ht="15" hidden="1" x14ac:dyDescent="0.25">
      <c r="A67" s="3509"/>
      <c r="B67" s="742"/>
      <c r="C67" s="5462"/>
      <c r="D67" s="5463"/>
      <c r="E67" s="5463"/>
      <c r="F67" s="5464"/>
      <c r="G67" s="3516"/>
      <c r="H67" s="223"/>
      <c r="I67" s="3520"/>
      <c r="J67" s="223"/>
      <c r="K67" s="3520"/>
      <c r="L67" s="223"/>
      <c r="M67" s="3512" t="str">
        <f t="shared" si="1"/>
        <v/>
      </c>
      <c r="N67" s="3512"/>
      <c r="P67" s="3815">
        <f t="shared" si="0"/>
        <v>0</v>
      </c>
      <c r="Q67" s="1736">
        <f t="shared" si="2"/>
        <v>0</v>
      </c>
    </row>
    <row r="68" spans="1:17" ht="15" hidden="1" x14ac:dyDescent="0.25">
      <c r="A68" s="3509"/>
      <c r="B68" s="742"/>
      <c r="C68" s="5462"/>
      <c r="D68" s="5463"/>
      <c r="E68" s="5463"/>
      <c r="F68" s="5464"/>
      <c r="G68" s="3516"/>
      <c r="H68" s="223"/>
      <c r="I68" s="3520"/>
      <c r="J68" s="223"/>
      <c r="K68" s="3520"/>
      <c r="L68" s="223"/>
      <c r="M68" s="3512" t="str">
        <f t="shared" si="1"/>
        <v/>
      </c>
      <c r="N68" s="3512"/>
      <c r="P68" s="3815">
        <f t="shared" si="0"/>
        <v>0</v>
      </c>
      <c r="Q68" s="1736">
        <f t="shared" si="2"/>
        <v>0</v>
      </c>
    </row>
    <row r="69" spans="1:17" ht="15" hidden="1" x14ac:dyDescent="0.25">
      <c r="A69" s="3509"/>
      <c r="B69" s="742"/>
      <c r="C69" s="5462"/>
      <c r="D69" s="5463"/>
      <c r="E69" s="5463"/>
      <c r="F69" s="5464"/>
      <c r="G69" s="3516"/>
      <c r="H69" s="223"/>
      <c r="I69" s="3520"/>
      <c r="J69" s="223"/>
      <c r="K69" s="3520"/>
      <c r="L69" s="223"/>
      <c r="M69" s="3512" t="str">
        <f t="shared" si="1"/>
        <v/>
      </c>
      <c r="N69" s="3512"/>
      <c r="P69" s="3815">
        <f t="shared" si="0"/>
        <v>0</v>
      </c>
      <c r="Q69" s="1736">
        <f t="shared" si="2"/>
        <v>0</v>
      </c>
    </row>
    <row r="70" spans="1:17" ht="15" hidden="1" x14ac:dyDescent="0.25">
      <c r="A70" s="3509"/>
      <c r="B70" s="742"/>
      <c r="C70" s="5462"/>
      <c r="D70" s="5463"/>
      <c r="E70" s="5463"/>
      <c r="F70" s="5464"/>
      <c r="G70" s="3516"/>
      <c r="H70" s="223"/>
      <c r="I70" s="3520"/>
      <c r="J70" s="223"/>
      <c r="K70" s="3520"/>
      <c r="L70" s="223"/>
      <c r="M70" s="3512" t="str">
        <f t="shared" si="1"/>
        <v/>
      </c>
      <c r="N70" s="3512"/>
      <c r="P70" s="3815">
        <f t="shared" si="0"/>
        <v>0</v>
      </c>
      <c r="Q70" s="1736">
        <f t="shared" si="2"/>
        <v>0</v>
      </c>
    </row>
    <row r="71" spans="1:17" ht="15" hidden="1" x14ac:dyDescent="0.25">
      <c r="A71" s="3509"/>
      <c r="B71" s="742"/>
      <c r="C71" s="5462"/>
      <c r="D71" s="5463"/>
      <c r="E71" s="5463"/>
      <c r="F71" s="5464"/>
      <c r="G71" s="3516"/>
      <c r="H71" s="223"/>
      <c r="I71" s="3520"/>
      <c r="J71" s="223"/>
      <c r="K71" s="3520"/>
      <c r="L71" s="223"/>
      <c r="M71" s="3512" t="str">
        <f t="shared" si="1"/>
        <v/>
      </c>
      <c r="N71" s="3512"/>
      <c r="P71" s="3815">
        <f t="shared" si="0"/>
        <v>0</v>
      </c>
      <c r="Q71" s="1736">
        <f t="shared" si="2"/>
        <v>0</v>
      </c>
    </row>
    <row r="72" spans="1:17" ht="15" hidden="1" x14ac:dyDescent="0.25">
      <c r="A72" s="3509"/>
      <c r="B72" s="742"/>
      <c r="C72" s="5462"/>
      <c r="D72" s="5463"/>
      <c r="E72" s="5463"/>
      <c r="F72" s="5464"/>
      <c r="G72" s="3516"/>
      <c r="H72" s="223"/>
      <c r="I72" s="3520"/>
      <c r="J72" s="223"/>
      <c r="K72" s="3520"/>
      <c r="L72" s="223"/>
      <c r="M72" s="3512" t="str">
        <f t="shared" si="1"/>
        <v/>
      </c>
      <c r="N72" s="3512"/>
      <c r="P72" s="3815">
        <f t="shared" si="0"/>
        <v>0</v>
      </c>
      <c r="Q72" s="1736">
        <f t="shared" si="2"/>
        <v>0</v>
      </c>
    </row>
    <row r="73" spans="1:17" ht="15" hidden="1" x14ac:dyDescent="0.25">
      <c r="A73" s="3509"/>
      <c r="B73" s="742"/>
      <c r="C73" s="5462"/>
      <c r="D73" s="5463"/>
      <c r="E73" s="5463"/>
      <c r="F73" s="5464"/>
      <c r="G73" s="3516"/>
      <c r="H73" s="223"/>
      <c r="I73" s="3520"/>
      <c r="J73" s="223"/>
      <c r="K73" s="3520"/>
      <c r="L73" s="223"/>
      <c r="M73" s="3512" t="str">
        <f t="shared" si="1"/>
        <v/>
      </c>
      <c r="N73" s="3512"/>
      <c r="P73" s="3815">
        <f t="shared" si="0"/>
        <v>0</v>
      </c>
      <c r="Q73" s="1736">
        <f t="shared" si="2"/>
        <v>0</v>
      </c>
    </row>
    <row r="74" spans="1:17" ht="15" hidden="1" x14ac:dyDescent="0.25">
      <c r="A74" s="3509"/>
      <c r="B74" s="742"/>
      <c r="C74" s="5462"/>
      <c r="D74" s="5463"/>
      <c r="E74" s="5463"/>
      <c r="F74" s="5464"/>
      <c r="G74" s="3516"/>
      <c r="H74" s="223"/>
      <c r="I74" s="3520"/>
      <c r="J74" s="223"/>
      <c r="K74" s="3520"/>
      <c r="L74" s="223"/>
      <c r="M74" s="3512" t="str">
        <f t="shared" si="1"/>
        <v/>
      </c>
      <c r="N74" s="3512"/>
      <c r="P74" s="3815">
        <f t="shared" si="0"/>
        <v>0</v>
      </c>
      <c r="Q74" s="1736">
        <f t="shared" si="2"/>
        <v>0</v>
      </c>
    </row>
    <row r="75" spans="1:17" ht="15" hidden="1" x14ac:dyDescent="0.25">
      <c r="A75" s="3509"/>
      <c r="B75" s="742"/>
      <c r="C75" s="5462"/>
      <c r="D75" s="5463"/>
      <c r="E75" s="5463"/>
      <c r="F75" s="5464"/>
      <c r="G75" s="3516"/>
      <c r="H75" s="223"/>
      <c r="I75" s="3520"/>
      <c r="J75" s="223"/>
      <c r="K75" s="3520"/>
      <c r="L75" s="223"/>
      <c r="M75" s="3512" t="str">
        <f t="shared" si="1"/>
        <v/>
      </c>
      <c r="N75" s="3512"/>
      <c r="P75" s="3815">
        <f t="shared" si="0"/>
        <v>0</v>
      </c>
      <c r="Q75" s="1736">
        <f t="shared" si="2"/>
        <v>0</v>
      </c>
    </row>
    <row r="76" spans="1:17" ht="15" hidden="1" x14ac:dyDescent="0.25">
      <c r="A76" s="3509"/>
      <c r="B76" s="742"/>
      <c r="C76" s="5462"/>
      <c r="D76" s="5463"/>
      <c r="E76" s="5463"/>
      <c r="F76" s="5464"/>
      <c r="G76" s="3516"/>
      <c r="H76" s="223"/>
      <c r="I76" s="3520"/>
      <c r="J76" s="223"/>
      <c r="K76" s="3520"/>
      <c r="L76" s="223"/>
      <c r="M76" s="3512" t="str">
        <f t="shared" si="1"/>
        <v/>
      </c>
      <c r="N76" s="3512"/>
      <c r="P76" s="3815">
        <f t="shared" si="0"/>
        <v>0</v>
      </c>
      <c r="Q76" s="1736">
        <f t="shared" si="2"/>
        <v>0</v>
      </c>
    </row>
    <row r="77" spans="1:17" ht="15" hidden="1" x14ac:dyDescent="0.25">
      <c r="A77" s="3509"/>
      <c r="B77" s="742"/>
      <c r="C77" s="5462"/>
      <c r="D77" s="5463"/>
      <c r="E77" s="5463"/>
      <c r="F77" s="5464"/>
      <c r="G77" s="3516"/>
      <c r="H77" s="223"/>
      <c r="I77" s="3520"/>
      <c r="J77" s="223"/>
      <c r="K77" s="3520"/>
      <c r="L77" s="223"/>
      <c r="M77" s="3512" t="str">
        <f t="shared" si="1"/>
        <v/>
      </c>
      <c r="N77" s="3512"/>
      <c r="P77" s="3815">
        <f t="shared" si="0"/>
        <v>0</v>
      </c>
      <c r="Q77" s="1736">
        <f t="shared" si="2"/>
        <v>0</v>
      </c>
    </row>
    <row r="78" spans="1:17" ht="15" hidden="1" x14ac:dyDescent="0.25">
      <c r="A78" s="3509"/>
      <c r="B78" s="742"/>
      <c r="C78" s="5462"/>
      <c r="D78" s="5463"/>
      <c r="E78" s="5463"/>
      <c r="F78" s="5464"/>
      <c r="G78" s="3516"/>
      <c r="H78" s="223"/>
      <c r="I78" s="3520"/>
      <c r="J78" s="223"/>
      <c r="K78" s="3520"/>
      <c r="L78" s="223"/>
      <c r="M78" s="3512" t="str">
        <f t="shared" si="1"/>
        <v/>
      </c>
      <c r="N78" s="3512"/>
      <c r="P78" s="3815">
        <f t="shared" si="0"/>
        <v>0</v>
      </c>
      <c r="Q78" s="1736">
        <f t="shared" si="2"/>
        <v>0</v>
      </c>
    </row>
    <row r="79" spans="1:17" ht="15" hidden="1" x14ac:dyDescent="0.25">
      <c r="A79" s="3509"/>
      <c r="B79" s="742"/>
      <c r="C79" s="5462"/>
      <c r="D79" s="5463"/>
      <c r="E79" s="5463"/>
      <c r="F79" s="5464"/>
      <c r="G79" s="3516"/>
      <c r="H79" s="223"/>
      <c r="I79" s="3520"/>
      <c r="J79" s="223"/>
      <c r="K79" s="3520"/>
      <c r="L79" s="223"/>
      <c r="M79" s="3512" t="str">
        <f t="shared" si="1"/>
        <v/>
      </c>
      <c r="N79" s="3512"/>
      <c r="P79" s="3815">
        <f t="shared" si="0"/>
        <v>0</v>
      </c>
      <c r="Q79" s="1736">
        <f t="shared" si="2"/>
        <v>0</v>
      </c>
    </row>
    <row r="80" spans="1:17" ht="15" hidden="1" x14ac:dyDescent="0.25">
      <c r="A80" s="3509"/>
      <c r="B80" s="742"/>
      <c r="C80" s="5462"/>
      <c r="D80" s="5463"/>
      <c r="E80" s="5463"/>
      <c r="F80" s="5464"/>
      <c r="G80" s="3516"/>
      <c r="H80" s="223"/>
      <c r="I80" s="3520"/>
      <c r="J80" s="223"/>
      <c r="K80" s="3520"/>
      <c r="L80" s="223"/>
      <c r="M80" s="3512" t="str">
        <f t="shared" si="1"/>
        <v/>
      </c>
      <c r="N80" s="3512"/>
      <c r="P80" s="3815">
        <f t="shared" si="0"/>
        <v>0</v>
      </c>
      <c r="Q80" s="1736">
        <f t="shared" si="2"/>
        <v>0</v>
      </c>
    </row>
    <row r="81" spans="1:17" ht="15" hidden="1" x14ac:dyDescent="0.25">
      <c r="A81" s="3509"/>
      <c r="B81" s="742"/>
      <c r="C81" s="5462"/>
      <c r="D81" s="5463"/>
      <c r="E81" s="5463"/>
      <c r="F81" s="5464"/>
      <c r="G81" s="3516"/>
      <c r="H81" s="223"/>
      <c r="I81" s="3520"/>
      <c r="J81" s="223"/>
      <c r="K81" s="3520"/>
      <c r="L81" s="223"/>
      <c r="M81" s="3512" t="str">
        <f t="shared" si="1"/>
        <v/>
      </c>
      <c r="N81" s="3512"/>
      <c r="P81" s="3815">
        <f t="shared" si="0"/>
        <v>0</v>
      </c>
      <c r="Q81" s="1736">
        <f t="shared" si="2"/>
        <v>0</v>
      </c>
    </row>
    <row r="82" spans="1:17" ht="15" hidden="1" x14ac:dyDescent="0.25">
      <c r="A82" s="3509"/>
      <c r="B82" s="742"/>
      <c r="C82" s="5462"/>
      <c r="D82" s="5463"/>
      <c r="E82" s="5463"/>
      <c r="F82" s="5464"/>
      <c r="G82" s="3516"/>
      <c r="H82" s="223"/>
      <c r="I82" s="3520"/>
      <c r="J82" s="223"/>
      <c r="K82" s="3520"/>
      <c r="L82" s="223"/>
      <c r="M82" s="3512" t="str">
        <f t="shared" si="1"/>
        <v/>
      </c>
      <c r="N82" s="3512"/>
      <c r="P82" s="3815">
        <f t="shared" si="0"/>
        <v>0</v>
      </c>
      <c r="Q82" s="1736">
        <f t="shared" si="2"/>
        <v>0</v>
      </c>
    </row>
    <row r="83" spans="1:17" ht="15" hidden="1" x14ac:dyDescent="0.25">
      <c r="A83" s="3509"/>
      <c r="B83" s="742"/>
      <c r="C83" s="5462"/>
      <c r="D83" s="5463"/>
      <c r="E83" s="5463"/>
      <c r="F83" s="5464"/>
      <c r="G83" s="3516"/>
      <c r="H83" s="223"/>
      <c r="I83" s="3520"/>
      <c r="J83" s="223"/>
      <c r="K83" s="3520"/>
      <c r="L83" s="223"/>
      <c r="M83" s="3512" t="str">
        <f t="shared" si="1"/>
        <v/>
      </c>
      <c r="N83" s="3512"/>
      <c r="P83" s="3815">
        <f t="shared" si="0"/>
        <v>0</v>
      </c>
      <c r="Q83" s="1736">
        <f t="shared" si="2"/>
        <v>0</v>
      </c>
    </row>
    <row r="84" spans="1:17" ht="15" hidden="1" x14ac:dyDescent="0.25">
      <c r="A84" s="3509"/>
      <c r="B84" s="742"/>
      <c r="C84" s="5462"/>
      <c r="D84" s="5463"/>
      <c r="E84" s="5463"/>
      <c r="F84" s="5464"/>
      <c r="G84" s="3516"/>
      <c r="H84" s="223"/>
      <c r="I84" s="3520"/>
      <c r="J84" s="223"/>
      <c r="K84" s="3520"/>
      <c r="L84" s="223"/>
      <c r="M84" s="3512" t="str">
        <f t="shared" si="1"/>
        <v/>
      </c>
      <c r="N84" s="3512"/>
      <c r="P84" s="3815">
        <f t="shared" si="0"/>
        <v>0</v>
      </c>
      <c r="Q84" s="1736">
        <f t="shared" si="2"/>
        <v>0</v>
      </c>
    </row>
    <row r="85" spans="1:17" ht="15" hidden="1" x14ac:dyDescent="0.25">
      <c r="A85" s="3509"/>
      <c r="B85" s="742"/>
      <c r="C85" s="5462"/>
      <c r="D85" s="5463"/>
      <c r="E85" s="5463"/>
      <c r="F85" s="5464"/>
      <c r="G85" s="3516"/>
      <c r="H85" s="223"/>
      <c r="I85" s="3520"/>
      <c r="J85" s="223"/>
      <c r="K85" s="3520"/>
      <c r="L85" s="223"/>
      <c r="M85" s="3512" t="str">
        <f t="shared" si="1"/>
        <v/>
      </c>
      <c r="N85" s="3512"/>
      <c r="P85" s="3815">
        <f t="shared" si="0"/>
        <v>0</v>
      </c>
      <c r="Q85" s="1736">
        <f t="shared" si="2"/>
        <v>0</v>
      </c>
    </row>
    <row r="86" spans="1:17" ht="15" hidden="1" x14ac:dyDescent="0.25">
      <c r="A86" s="3509"/>
      <c r="B86" s="742"/>
      <c r="C86" s="5462"/>
      <c r="D86" s="5463"/>
      <c r="E86" s="5463"/>
      <c r="F86" s="5464"/>
      <c r="G86" s="3516"/>
      <c r="H86" s="223"/>
      <c r="I86" s="3520"/>
      <c r="J86" s="223"/>
      <c r="K86" s="3520"/>
      <c r="L86" s="223"/>
      <c r="M86" s="3512" t="str">
        <f t="shared" si="1"/>
        <v/>
      </c>
      <c r="N86" s="3512"/>
      <c r="P86" s="3815">
        <f t="shared" si="0"/>
        <v>0</v>
      </c>
      <c r="Q86" s="1736">
        <f t="shared" si="2"/>
        <v>0</v>
      </c>
    </row>
    <row r="87" spans="1:17" ht="15" hidden="1" x14ac:dyDescent="0.25">
      <c r="A87" s="3509"/>
      <c r="B87" s="742"/>
      <c r="C87" s="5462"/>
      <c r="D87" s="5463"/>
      <c r="E87" s="5463"/>
      <c r="F87" s="5464"/>
      <c r="G87" s="3516"/>
      <c r="H87" s="223"/>
      <c r="I87" s="3520"/>
      <c r="J87" s="223"/>
      <c r="K87" s="3520"/>
      <c r="L87" s="223"/>
      <c r="M87" s="3512" t="str">
        <f t="shared" si="1"/>
        <v/>
      </c>
      <c r="N87" s="3512"/>
      <c r="P87" s="3815">
        <f t="shared" si="0"/>
        <v>0</v>
      </c>
      <c r="Q87" s="1736">
        <f t="shared" si="2"/>
        <v>0</v>
      </c>
    </row>
    <row r="88" spans="1:17" ht="15" hidden="1" x14ac:dyDescent="0.25">
      <c r="A88" s="3509"/>
      <c r="B88" s="742"/>
      <c r="C88" s="5462"/>
      <c r="D88" s="5463"/>
      <c r="E88" s="5463"/>
      <c r="F88" s="5464"/>
      <c r="G88" s="3516"/>
      <c r="H88" s="223"/>
      <c r="I88" s="3520"/>
      <c r="J88" s="223"/>
      <c r="K88" s="3520"/>
      <c r="L88" s="223"/>
      <c r="M88" s="3512" t="str">
        <f t="shared" si="1"/>
        <v/>
      </c>
      <c r="N88" s="3512"/>
      <c r="P88" s="3815">
        <f t="shared" si="0"/>
        <v>0</v>
      </c>
      <c r="Q88" s="1736">
        <f t="shared" si="2"/>
        <v>0</v>
      </c>
    </row>
    <row r="89" spans="1:17" ht="15" hidden="1" x14ac:dyDescent="0.25">
      <c r="A89" s="3509"/>
      <c r="B89" s="742"/>
      <c r="C89" s="5462"/>
      <c r="D89" s="5463"/>
      <c r="E89" s="5463"/>
      <c r="F89" s="5464"/>
      <c r="G89" s="3516"/>
      <c r="H89" s="223"/>
      <c r="I89" s="3520"/>
      <c r="J89" s="223"/>
      <c r="K89" s="3520"/>
      <c r="L89" s="223"/>
      <c r="M89" s="3512" t="str">
        <f t="shared" si="1"/>
        <v/>
      </c>
      <c r="N89" s="3512"/>
      <c r="P89" s="3815">
        <f t="shared" si="0"/>
        <v>0</v>
      </c>
      <c r="Q89" s="1736">
        <f t="shared" si="2"/>
        <v>0</v>
      </c>
    </row>
    <row r="90" spans="1:17" ht="15" x14ac:dyDescent="0.25">
      <c r="A90" s="3509"/>
      <c r="B90" s="3518"/>
      <c r="C90" s="5466" t="s">
        <v>10344</v>
      </c>
      <c r="D90" s="5466"/>
      <c r="E90" s="5466"/>
      <c r="F90" s="5466"/>
      <c r="G90" s="3516"/>
      <c r="H90" s="3957">
        <f>SUM(H48:H89)</f>
      </c>
      <c r="I90" s="3958"/>
      <c r="J90" s="3957">
        <f>SUM(J48:J89)</f>
      </c>
      <c r="K90" s="3958"/>
      <c r="L90" s="3957">
        <f>SUM(L48:L89)</f>
      </c>
      <c r="M90" s="3952" t="str">
        <f>IF(OR(H90&gt;H33,J90&gt;J33,L90&gt;L33),"Excessive!","")</f>
        <v/>
      </c>
      <c r="N90" s="3952"/>
      <c r="P90" s="3815">
        <f t="shared" si="0"/>
        <v>0</v>
      </c>
    </row>
    <row r="91" spans="1:17" hidden="1" x14ac:dyDescent="0.2">
      <c r="A91" s="3509"/>
      <c r="B91" s="3519" t="s">
        <v>1020</v>
      </c>
      <c r="C91" s="3959"/>
      <c r="D91" s="3520"/>
      <c r="E91" s="3520"/>
      <c r="F91" s="3520"/>
      <c r="G91" s="3520"/>
      <c r="H91" s="3954"/>
      <c r="I91" s="3956"/>
      <c r="J91" s="3954"/>
      <c r="K91" s="3956"/>
      <c r="L91" s="3954"/>
      <c r="M91" s="3943"/>
      <c r="N91" s="3943"/>
    </row>
    <row r="92" spans="1:17" x14ac:dyDescent="0.2">
      <c r="A92" s="3509"/>
      <c r="B92" s="3519"/>
      <c r="C92" s="3959"/>
      <c r="D92" s="3520"/>
      <c r="E92" s="3520"/>
      <c r="F92" s="3520"/>
      <c r="G92" s="3520"/>
      <c r="H92" s="3954"/>
      <c r="I92" s="3956"/>
      <c r="J92" s="3954"/>
      <c r="K92" s="3956"/>
      <c r="L92" s="3954"/>
      <c r="M92" s="3943"/>
      <c r="N92" s="3943"/>
      <c r="Q92" s="1742">
        <f>SUM(Q9:Q90)</f>
      </c>
    </row>
    <row r="93" spans="1:17" hidden="1" x14ac:dyDescent="0.2">
      <c r="A93" s="3509"/>
      <c r="B93" s="3519"/>
      <c r="C93" s="3959"/>
      <c r="D93" s="3520"/>
      <c r="E93" s="3520"/>
      <c r="F93" s="3520"/>
      <c r="G93" s="3520"/>
      <c r="H93" s="3954"/>
      <c r="I93" s="3956"/>
      <c r="J93" s="3954"/>
      <c r="K93" s="3956"/>
      <c r="L93" s="3954"/>
      <c r="M93" s="3943"/>
      <c r="N93" s="3943"/>
    </row>
    <row r="94" spans="1:17" hidden="1" x14ac:dyDescent="0.2">
      <c r="A94" s="3509"/>
      <c r="B94" s="3519"/>
      <c r="C94" s="3959"/>
      <c r="D94" s="3520"/>
      <c r="E94" s="3520"/>
      <c r="F94" s="3520"/>
      <c r="G94" s="3520"/>
      <c r="H94" s="3954"/>
      <c r="I94" s="3956"/>
      <c r="J94" s="3954"/>
      <c r="K94" s="3956"/>
      <c r="L94" s="3954"/>
      <c r="M94" s="3943"/>
      <c r="N94" s="3943"/>
    </row>
    <row r="95" spans="1:17" hidden="1" x14ac:dyDescent="0.2">
      <c r="A95" s="3509"/>
      <c r="B95" s="3519"/>
      <c r="C95" s="3959"/>
      <c r="D95" s="3520"/>
      <c r="E95" s="3520"/>
      <c r="F95" s="3520"/>
      <c r="G95" s="3520"/>
      <c r="H95" s="3954"/>
      <c r="I95" s="3956"/>
      <c r="J95" s="3954"/>
      <c r="K95" s="3956"/>
      <c r="L95" s="3954"/>
      <c r="M95" s="3943"/>
      <c r="N95" s="3943"/>
    </row>
    <row r="96" spans="1:17" hidden="1" x14ac:dyDescent="0.2">
      <c r="A96" s="3509"/>
      <c r="B96" s="3519"/>
      <c r="C96" s="3959"/>
      <c r="D96" s="3520"/>
      <c r="E96" s="3520"/>
      <c r="F96" s="3520"/>
      <c r="G96" s="3520"/>
      <c r="H96" s="3954"/>
      <c r="I96" s="3956"/>
      <c r="J96" s="3954"/>
      <c r="K96" s="3956"/>
      <c r="L96" s="3954"/>
      <c r="M96" s="3943"/>
      <c r="N96" s="3943"/>
    </row>
    <row r="97" spans="1:14" hidden="1" x14ac:dyDescent="0.2">
      <c r="A97" s="3509"/>
      <c r="B97" s="3519"/>
      <c r="C97" s="3959"/>
      <c r="D97" s="3520"/>
      <c r="E97" s="3520"/>
      <c r="F97" s="3520"/>
      <c r="G97" s="3520"/>
      <c r="H97" s="3954"/>
      <c r="I97" s="3956"/>
      <c r="J97" s="3954"/>
      <c r="K97" s="3956"/>
      <c r="L97" s="3954"/>
      <c r="M97" s="3943"/>
      <c r="N97" s="3943"/>
    </row>
    <row r="98" spans="1:14" hidden="1" x14ac:dyDescent="0.2">
      <c r="A98" s="3509"/>
      <c r="B98" s="3519"/>
      <c r="C98" s="3959"/>
      <c r="D98" s="3520"/>
      <c r="E98" s="3520"/>
      <c r="F98" s="3520"/>
      <c r="G98" s="3520"/>
      <c r="H98" s="3954"/>
      <c r="I98" s="3956"/>
      <c r="J98" s="3954"/>
      <c r="K98" s="3956"/>
      <c r="L98" s="3954"/>
      <c r="M98" s="3943"/>
      <c r="N98" s="3943"/>
    </row>
    <row r="99" spans="1:14" hidden="1" x14ac:dyDescent="0.2">
      <c r="A99" s="3509"/>
      <c r="B99" s="3519"/>
      <c r="C99" s="3959"/>
      <c r="D99" s="3520"/>
      <c r="E99" s="3520"/>
      <c r="F99" s="3520"/>
      <c r="G99" s="3520"/>
      <c r="H99" s="3954"/>
      <c r="I99" s="3956"/>
      <c r="J99" s="3954"/>
      <c r="K99" s="3956"/>
      <c r="L99" s="3954"/>
      <c r="M99" s="3943"/>
      <c r="N99" s="3943"/>
    </row>
    <row r="100" spans="1:14" hidden="1" x14ac:dyDescent="0.2">
      <c r="A100" s="3509"/>
      <c r="B100" s="3519"/>
      <c r="C100" s="3959"/>
      <c r="D100" s="3520"/>
      <c r="E100" s="3520"/>
      <c r="F100" s="3520"/>
      <c r="G100" s="3520"/>
      <c r="H100" s="3954"/>
      <c r="I100" s="3956"/>
      <c r="J100" s="3954"/>
      <c r="K100" s="3956"/>
      <c r="L100" s="3954"/>
      <c r="M100" s="3943"/>
      <c r="N100" s="3943"/>
    </row>
    <row r="101" spans="1:14" hidden="1" x14ac:dyDescent="0.2">
      <c r="A101" s="3509"/>
      <c r="B101" s="3519"/>
      <c r="C101" s="3959"/>
      <c r="D101" s="3520"/>
      <c r="E101" s="3520"/>
      <c r="F101" s="3520"/>
      <c r="G101" s="3520"/>
      <c r="H101" s="3954"/>
      <c r="I101" s="3956"/>
      <c r="J101" s="3954"/>
      <c r="K101" s="3956"/>
      <c r="L101" s="3954"/>
      <c r="M101" s="3943"/>
      <c r="N101" s="3943"/>
    </row>
    <row r="102" spans="1:14" hidden="1" x14ac:dyDescent="0.2">
      <c r="A102" s="3509"/>
      <c r="B102" s="3519"/>
      <c r="C102" s="3959"/>
      <c r="D102" s="3520"/>
      <c r="E102" s="3520"/>
      <c r="F102" s="3520"/>
      <c r="G102" s="3520"/>
      <c r="H102" s="3954"/>
      <c r="I102" s="3956"/>
      <c r="J102" s="3954"/>
      <c r="K102" s="3956"/>
      <c r="L102" s="3954"/>
      <c r="M102" s="3943"/>
      <c r="N102" s="3943"/>
    </row>
    <row r="103" spans="1:14" hidden="1" x14ac:dyDescent="0.2">
      <c r="A103" s="3509"/>
      <c r="B103" s="3519"/>
      <c r="C103" s="3959"/>
      <c r="D103" s="3520"/>
      <c r="E103" s="3520"/>
      <c r="F103" s="3520"/>
      <c r="G103" s="3520"/>
      <c r="H103" s="3954"/>
      <c r="I103" s="3956"/>
      <c r="J103" s="3954"/>
      <c r="K103" s="3956"/>
      <c r="L103" s="3954"/>
      <c r="M103" s="3943"/>
      <c r="N103" s="3943"/>
    </row>
    <row r="104" spans="1:14" hidden="1" x14ac:dyDescent="0.2">
      <c r="A104" s="3509"/>
      <c r="B104" s="3519"/>
      <c r="C104" s="3959"/>
      <c r="D104" s="3520"/>
      <c r="E104" s="3520"/>
      <c r="F104" s="3520"/>
      <c r="G104" s="3520"/>
      <c r="H104" s="3954"/>
      <c r="I104" s="3956"/>
      <c r="J104" s="3954"/>
      <c r="K104" s="3956"/>
      <c r="L104" s="3954"/>
      <c r="M104" s="3943"/>
      <c r="N104" s="3943"/>
    </row>
    <row r="105" spans="1:14" hidden="1" x14ac:dyDescent="0.2">
      <c r="A105" s="3509"/>
      <c r="B105" s="3519"/>
      <c r="C105" s="3959"/>
      <c r="D105" s="3520"/>
      <c r="E105" s="3520"/>
      <c r="F105" s="3520"/>
      <c r="G105" s="3520"/>
      <c r="H105" s="3954"/>
      <c r="I105" s="3956"/>
      <c r="J105" s="3954"/>
      <c r="K105" s="3956"/>
      <c r="L105" s="3954"/>
      <c r="M105" s="3943"/>
      <c r="N105" s="3943"/>
    </row>
    <row r="106" spans="1:14" hidden="1" x14ac:dyDescent="0.2">
      <c r="A106" s="3509"/>
      <c r="B106" s="3519"/>
      <c r="C106" s="3959"/>
      <c r="D106" s="3520"/>
      <c r="E106" s="3520"/>
      <c r="F106" s="3520"/>
      <c r="G106" s="3520"/>
      <c r="H106" s="3954"/>
      <c r="I106" s="3956"/>
      <c r="J106" s="3954"/>
      <c r="K106" s="3956"/>
      <c r="L106" s="3954"/>
      <c r="M106" s="3943"/>
      <c r="N106" s="3943"/>
    </row>
    <row r="107" spans="1:14" hidden="1" x14ac:dyDescent="0.2">
      <c r="A107" s="3509"/>
      <c r="B107" s="3519"/>
      <c r="C107" s="3959"/>
      <c r="D107" s="3520"/>
      <c r="E107" s="3520"/>
      <c r="F107" s="3520"/>
      <c r="G107" s="3520"/>
      <c r="H107" s="3954"/>
      <c r="I107" s="3956"/>
      <c r="J107" s="3954"/>
      <c r="K107" s="3956"/>
      <c r="L107" s="3954"/>
      <c r="M107" s="3943"/>
      <c r="N107" s="3943"/>
    </row>
    <row r="108" spans="1:14" hidden="1" x14ac:dyDescent="0.2">
      <c r="A108" s="3509"/>
      <c r="B108" s="3519"/>
      <c r="C108" s="3959"/>
      <c r="D108" s="3520"/>
      <c r="E108" s="3520"/>
      <c r="F108" s="3520"/>
      <c r="G108" s="3520"/>
      <c r="H108" s="3954"/>
      <c r="I108" s="3956"/>
      <c r="J108" s="3954"/>
      <c r="K108" s="3956"/>
      <c r="L108" s="3954"/>
      <c r="M108" s="3943"/>
      <c r="N108" s="3943"/>
    </row>
    <row r="109" spans="1:14" hidden="1" x14ac:dyDescent="0.2">
      <c r="A109" s="3509"/>
      <c r="B109" s="3519"/>
      <c r="C109" s="3959"/>
      <c r="D109" s="3520"/>
      <c r="E109" s="3520"/>
      <c r="F109" s="3520"/>
      <c r="G109" s="3520"/>
      <c r="H109" s="3954"/>
      <c r="I109" s="3956"/>
      <c r="J109" s="3954"/>
      <c r="K109" s="3956"/>
      <c r="L109" s="3954"/>
      <c r="M109" s="3943"/>
      <c r="N109" s="3943"/>
    </row>
    <row r="110" spans="1:14" hidden="1" x14ac:dyDescent="0.2">
      <c r="A110" s="3509"/>
      <c r="B110" s="3519"/>
      <c r="C110" s="3959"/>
      <c r="D110" s="3520"/>
      <c r="E110" s="3520"/>
      <c r="F110" s="3520"/>
      <c r="G110" s="3520"/>
      <c r="H110" s="3954"/>
      <c r="I110" s="3956"/>
      <c r="J110" s="3954"/>
      <c r="K110" s="3956"/>
      <c r="L110" s="3954"/>
      <c r="M110" s="3943"/>
      <c r="N110" s="3943"/>
    </row>
    <row r="111" spans="1:14" hidden="1" x14ac:dyDescent="0.2">
      <c r="A111" s="3509"/>
      <c r="B111" s="3519"/>
      <c r="C111" s="3959"/>
      <c r="D111" s="3520"/>
      <c r="E111" s="3520"/>
      <c r="F111" s="3520"/>
      <c r="G111" s="3520"/>
      <c r="H111" s="3954"/>
      <c r="I111" s="3956"/>
      <c r="J111" s="3954"/>
      <c r="K111" s="3956"/>
      <c r="L111" s="3954"/>
      <c r="M111" s="3943"/>
      <c r="N111" s="3943"/>
    </row>
    <row r="112" spans="1:14" hidden="1" x14ac:dyDescent="0.2">
      <c r="A112" s="3509"/>
      <c r="B112" s="3519"/>
      <c r="C112" s="3959"/>
      <c r="D112" s="3520"/>
      <c r="E112" s="3520"/>
      <c r="F112" s="3520"/>
      <c r="G112" s="3520"/>
      <c r="H112" s="3954"/>
      <c r="I112" s="3956"/>
      <c r="J112" s="3954"/>
      <c r="K112" s="3956"/>
      <c r="L112" s="3954"/>
      <c r="M112" s="3943"/>
      <c r="N112" s="3943"/>
    </row>
    <row r="113" spans="1:17" hidden="1" x14ac:dyDescent="0.2">
      <c r="A113" s="3509"/>
      <c r="B113" s="3519"/>
      <c r="C113" s="3959"/>
      <c r="D113" s="3520"/>
      <c r="E113" s="3520"/>
      <c r="F113" s="3520"/>
      <c r="G113" s="3520"/>
      <c r="H113" s="3954"/>
      <c r="I113" s="3956"/>
      <c r="J113" s="3954"/>
      <c r="K113" s="3956"/>
      <c r="L113" s="3954"/>
      <c r="M113" s="3943"/>
      <c r="N113" s="3943"/>
    </row>
    <row r="114" spans="1:17" hidden="1" x14ac:dyDescent="0.2">
      <c r="A114" s="3509"/>
      <c r="B114" s="3934"/>
      <c r="C114" s="3934"/>
      <c r="D114" s="3934"/>
      <c r="E114" s="3934"/>
      <c r="F114" s="3934"/>
      <c r="G114" s="3934"/>
      <c r="H114" s="3518"/>
      <c r="I114" s="3934"/>
      <c r="J114" s="3934"/>
      <c r="K114" s="3934"/>
      <c r="L114" s="3934"/>
      <c r="M114" s="3943"/>
      <c r="N114" s="3943"/>
    </row>
    <row r="115" spans="1:17" x14ac:dyDescent="0.2">
      <c r="A115" s="3509"/>
      <c r="B115" s="3960" t="s">
        <v>10345</v>
      </c>
      <c r="C115" s="3517"/>
      <c r="D115" s="3517"/>
      <c r="E115" s="3517"/>
      <c r="F115" s="3517"/>
      <c r="G115" s="3517"/>
      <c r="H115" s="3520"/>
      <c r="I115" s="3934"/>
      <c r="J115" s="3954"/>
      <c r="K115" s="3934"/>
      <c r="L115" s="3934"/>
      <c r="M115" s="3943"/>
      <c r="N115" s="3943"/>
    </row>
    <row r="116" spans="1:17" x14ac:dyDescent="0.2">
      <c r="A116" s="3509"/>
      <c r="B116" s="3960"/>
      <c r="C116" s="3517"/>
      <c r="D116" s="3517"/>
      <c r="E116" s="3517"/>
      <c r="F116" s="3517"/>
      <c r="G116" s="3517"/>
      <c r="H116" s="3520"/>
      <c r="I116" s="3934"/>
      <c r="J116" s="3954"/>
      <c r="K116" s="3934"/>
      <c r="L116" s="3934"/>
      <c r="M116" s="3943"/>
      <c r="N116" s="3943"/>
    </row>
    <row r="117" spans="1:17" ht="48.75" customHeight="1" x14ac:dyDescent="0.2">
      <c r="A117" s="3509"/>
      <c r="B117" s="3981" t="s">
        <v>10456</v>
      </c>
      <c r="C117" s="5449" t="s">
        <v>10513</v>
      </c>
      <c r="D117" s="5449"/>
      <c r="E117" s="5449"/>
      <c r="F117" s="5449"/>
      <c r="G117" s="5449"/>
      <c r="H117" s="5449"/>
      <c r="I117" s="5449"/>
      <c r="J117" s="5449"/>
      <c r="K117" s="5449"/>
      <c r="L117" s="5449"/>
      <c r="M117" s="5450"/>
      <c r="N117" s="3943"/>
    </row>
    <row r="118" spans="1:17" ht="8.25" customHeight="1" x14ac:dyDescent="0.2">
      <c r="A118" s="3509"/>
      <c r="B118" s="3960"/>
      <c r="C118" s="3517"/>
      <c r="D118" s="3517"/>
      <c r="E118" s="3517"/>
      <c r="F118" s="3517"/>
      <c r="G118" s="3517"/>
      <c r="H118" s="3520"/>
      <c r="I118" s="3934"/>
      <c r="J118" s="3954"/>
      <c r="K118" s="3934"/>
      <c r="L118" s="3934"/>
      <c r="M118" s="3943"/>
      <c r="N118" s="3943"/>
    </row>
    <row r="119" spans="1:17" hidden="1" x14ac:dyDescent="0.2">
      <c r="A119" s="3509"/>
      <c r="B119" s="3934"/>
      <c r="C119" s="3517"/>
      <c r="D119" s="3517"/>
      <c r="E119" s="3517"/>
      <c r="F119" s="3517"/>
      <c r="G119" s="3517"/>
      <c r="H119" s="3520"/>
      <c r="I119" s="3934"/>
      <c r="J119" s="3523"/>
      <c r="K119" s="3934"/>
      <c r="L119" s="3934"/>
      <c r="M119" s="3943"/>
      <c r="N119" s="3943"/>
    </row>
    <row r="120" spans="1:17" hidden="1" x14ac:dyDescent="0.2">
      <c r="A120" s="3509"/>
      <c r="B120" s="3934"/>
      <c r="C120" s="3517"/>
      <c r="D120" s="3517"/>
      <c r="E120" s="3517"/>
      <c r="F120" s="3517"/>
      <c r="G120" s="3517"/>
      <c r="H120" s="3520"/>
      <c r="I120" s="3934"/>
      <c r="J120" s="3523"/>
      <c r="K120" s="3934"/>
      <c r="L120" s="3934"/>
      <c r="M120" s="3943"/>
      <c r="N120" s="3943"/>
    </row>
    <row r="121" spans="1:17" ht="4.5" customHeight="1" x14ac:dyDescent="0.2">
      <c r="A121" s="3509"/>
      <c r="B121" s="3509"/>
      <c r="C121" s="3509"/>
      <c r="D121" s="3509"/>
      <c r="E121" s="3509"/>
      <c r="F121" s="3509"/>
      <c r="G121" s="3509"/>
      <c r="H121" s="3509"/>
      <c r="I121" s="3934"/>
      <c r="J121" s="3934"/>
      <c r="K121" s="3934"/>
      <c r="L121" s="3934"/>
      <c r="M121" s="3943"/>
      <c r="N121" s="3943"/>
    </row>
    <row r="122" spans="1:17" ht="15.75" customHeight="1" x14ac:dyDescent="0.2">
      <c r="A122" s="3509"/>
      <c r="B122" s="5458" t="s">
        <v>10458</v>
      </c>
      <c r="C122" s="5459"/>
      <c r="D122" s="5459"/>
      <c r="E122" s="5459"/>
      <c r="F122" s="5459"/>
      <c r="G122" s="5459"/>
      <c r="H122" s="5459"/>
      <c r="I122" s="5459"/>
      <c r="J122" s="5459"/>
      <c r="K122" s="5459"/>
      <c r="L122" s="5460"/>
      <c r="M122" s="3943"/>
      <c r="N122" s="3943"/>
    </row>
    <row r="123" spans="1:17" ht="12.75" customHeight="1" x14ac:dyDescent="0.2">
      <c r="A123" s="3509"/>
      <c r="B123" s="5451" t="s">
        <v>10347</v>
      </c>
      <c r="C123" s="5465" t="s">
        <v>10348</v>
      </c>
      <c r="D123" s="5465"/>
      <c r="E123" s="5465"/>
      <c r="F123" s="5465"/>
      <c r="G123" s="3516"/>
      <c r="H123" s="5451" t="s">
        <v>3712</v>
      </c>
      <c r="I123" s="3520"/>
      <c r="J123" s="5451" t="s">
        <v>2105</v>
      </c>
      <c r="K123" s="3520"/>
      <c r="L123" s="5451" t="s">
        <v>2106</v>
      </c>
      <c r="M123" s="3943"/>
      <c r="N123" s="3943"/>
    </row>
    <row r="124" spans="1:17" x14ac:dyDescent="0.2">
      <c r="A124" s="3509"/>
      <c r="B124" s="5452"/>
      <c r="C124" s="5465"/>
      <c r="D124" s="5465"/>
      <c r="E124" s="5465"/>
      <c r="F124" s="5465"/>
      <c r="G124" s="3516"/>
      <c r="H124" s="5452"/>
      <c r="I124" s="3520"/>
      <c r="J124" s="5452"/>
      <c r="K124" s="3520"/>
      <c r="L124" s="5452"/>
      <c r="M124" s="3943"/>
      <c r="N124" s="3943"/>
    </row>
    <row r="125" spans="1:17" x14ac:dyDescent="0.2">
      <c r="A125" s="3509"/>
      <c r="B125" s="5453"/>
      <c r="C125" s="5465"/>
      <c r="D125" s="5465"/>
      <c r="E125" s="5465"/>
      <c r="F125" s="5465"/>
      <c r="G125" s="3526"/>
      <c r="H125" s="5453"/>
      <c r="I125" s="3520"/>
      <c r="J125" s="5453"/>
      <c r="K125" s="3520"/>
      <c r="L125" s="5453"/>
      <c r="M125" s="3943"/>
      <c r="N125" s="3943"/>
    </row>
    <row r="126" spans="1:17" ht="15" x14ac:dyDescent="0.25">
      <c r="A126" s="3509"/>
      <c r="B126" s="742"/>
      <c r="C126" s="5454"/>
      <c r="D126" s="5454"/>
      <c r="E126" s="5454"/>
      <c r="F126" s="5454"/>
      <c r="G126" s="3516"/>
      <c r="H126" s="223"/>
      <c r="I126" s="3520"/>
      <c r="J126" s="223"/>
      <c r="K126" s="3520"/>
      <c r="L126" s="223"/>
      <c r="M126" s="3512" t="str">
        <f>IF(Q126=0,"",IF(AND($L$12=$Y$9,Q126&lt;&gt;5),"All details!",IF(AND($L$12&lt;&gt;$Y$9,Q126&gt;0),"Delete!","")))</f>
        <v/>
      </c>
      <c r="N126" s="3512"/>
      <c r="P126" s="3815">
        <f t="shared" ref="P126:P167" si="3">IF(M126="",0,1)</f>
      </c>
      <c r="Q126" s="1736">
        <f t="shared" ref="Q126:Q167" si="4">COUNTA(B126,C126,H126,J126,L126)</f>
      </c>
    </row>
    <row r="127" spans="1:17" ht="15" x14ac:dyDescent="0.25">
      <c r="A127" s="3509"/>
      <c r="B127" s="742"/>
      <c r="C127" s="5454"/>
      <c r="D127" s="5454"/>
      <c r="E127" s="5454"/>
      <c r="F127" s="5454"/>
      <c r="G127" s="3526"/>
      <c r="H127" s="223"/>
      <c r="I127" s="3520"/>
      <c r="J127" s="223"/>
      <c r="K127" s="3520"/>
      <c r="L127" s="223"/>
      <c r="M127" s="3512" t="str">
        <f t="shared" ref="M127:M167" si="5">IF(Q127=0,"",IF(AND($L$12=$Y$9,Q127&lt;&gt;5),"All details!",IF(AND($L$12&lt;&gt;$Y$9,Q127&gt;0),"Delete!","")))</f>
        <v/>
      </c>
      <c r="N127" s="3512"/>
      <c r="P127" s="3815">
        <f t="shared" si="3"/>
        <v>0</v>
      </c>
      <c r="Q127" s="1736">
        <f t="shared" si="4"/>
        <v>0</v>
      </c>
    </row>
    <row r="128" spans="1:17" ht="15" x14ac:dyDescent="0.25">
      <c r="A128" s="3509"/>
      <c r="B128" s="742"/>
      <c r="C128" s="5454"/>
      <c r="D128" s="5454"/>
      <c r="E128" s="5454"/>
      <c r="F128" s="5454"/>
      <c r="G128" s="3526"/>
      <c r="H128" s="223"/>
      <c r="I128" s="3520"/>
      <c r="J128" s="223"/>
      <c r="K128" s="3520"/>
      <c r="L128" s="223"/>
      <c r="M128" s="3512" t="str">
        <f t="shared" si="5"/>
        <v/>
      </c>
      <c r="N128" s="3512"/>
      <c r="P128" s="3815">
        <f t="shared" si="3"/>
        <v>0</v>
      </c>
      <c r="Q128" s="1736">
        <f t="shared" si="4"/>
        <v>0</v>
      </c>
    </row>
    <row r="129" spans="1:17" ht="15" x14ac:dyDescent="0.25">
      <c r="A129" s="3509"/>
      <c r="B129" s="742"/>
      <c r="C129" s="5454"/>
      <c r="D129" s="5454"/>
      <c r="E129" s="5454"/>
      <c r="F129" s="5454"/>
      <c r="G129" s="3526"/>
      <c r="H129" s="223"/>
      <c r="I129" s="3520"/>
      <c r="J129" s="223"/>
      <c r="K129" s="3520"/>
      <c r="L129" s="223"/>
      <c r="M129" s="3512" t="str">
        <f t="shared" si="5"/>
        <v/>
      </c>
      <c r="N129" s="3512"/>
      <c r="P129" s="3815">
        <f t="shared" si="3"/>
        <v>0</v>
      </c>
      <c r="Q129" s="1736">
        <f t="shared" si="4"/>
        <v>0</v>
      </c>
    </row>
    <row r="130" spans="1:17" ht="15" x14ac:dyDescent="0.25">
      <c r="A130" s="3509"/>
      <c r="B130" s="742"/>
      <c r="C130" s="5454"/>
      <c r="D130" s="5454"/>
      <c r="E130" s="5454"/>
      <c r="F130" s="5454"/>
      <c r="G130" s="3526"/>
      <c r="H130" s="223"/>
      <c r="I130" s="3520"/>
      <c r="J130" s="223"/>
      <c r="K130" s="3520"/>
      <c r="L130" s="223"/>
      <c r="M130" s="3512" t="str">
        <f t="shared" si="5"/>
        <v/>
      </c>
      <c r="N130" s="3512"/>
      <c r="P130" s="3815">
        <f t="shared" si="3"/>
        <v>0</v>
      </c>
      <c r="Q130" s="1736">
        <f t="shared" si="4"/>
        <v>0</v>
      </c>
    </row>
    <row r="131" spans="1:17" ht="15" x14ac:dyDescent="0.25">
      <c r="A131" s="3509"/>
      <c r="B131" s="742"/>
      <c r="C131" s="5454"/>
      <c r="D131" s="5454"/>
      <c r="E131" s="5454"/>
      <c r="F131" s="5454"/>
      <c r="G131" s="3526"/>
      <c r="H131" s="223"/>
      <c r="I131" s="3520"/>
      <c r="J131" s="223"/>
      <c r="K131" s="3520"/>
      <c r="L131" s="223"/>
      <c r="M131" s="3512" t="str">
        <f t="shared" si="5"/>
        <v/>
      </c>
      <c r="N131" s="3512"/>
      <c r="P131" s="3815">
        <f t="shared" si="3"/>
        <v>0</v>
      </c>
      <c r="Q131" s="1736">
        <f t="shared" si="4"/>
        <v>0</v>
      </c>
    </row>
    <row r="132" spans="1:17" ht="15" x14ac:dyDescent="0.25">
      <c r="A132" s="3509"/>
      <c r="B132" s="742"/>
      <c r="C132" s="5454"/>
      <c r="D132" s="5454"/>
      <c r="E132" s="5454"/>
      <c r="F132" s="5454"/>
      <c r="G132" s="3526"/>
      <c r="H132" s="223"/>
      <c r="I132" s="3520"/>
      <c r="J132" s="223"/>
      <c r="K132" s="3520"/>
      <c r="L132" s="223"/>
      <c r="M132" s="3512" t="str">
        <f t="shared" si="5"/>
        <v/>
      </c>
      <c r="N132" s="3512"/>
      <c r="P132" s="3815">
        <f t="shared" si="3"/>
        <v>0</v>
      </c>
      <c r="Q132" s="1736">
        <f t="shared" si="4"/>
        <v>0</v>
      </c>
    </row>
    <row r="133" spans="1:17" ht="15" x14ac:dyDescent="0.25">
      <c r="A133" s="3509"/>
      <c r="B133" s="742"/>
      <c r="C133" s="5454"/>
      <c r="D133" s="5454"/>
      <c r="E133" s="5454"/>
      <c r="F133" s="5454"/>
      <c r="G133" s="3526"/>
      <c r="H133" s="223"/>
      <c r="I133" s="3520"/>
      <c r="J133" s="223"/>
      <c r="K133" s="3520"/>
      <c r="L133" s="223"/>
      <c r="M133" s="3512" t="str">
        <f t="shared" si="5"/>
        <v/>
      </c>
      <c r="N133" s="3512"/>
      <c r="P133" s="3815">
        <f t="shared" si="3"/>
        <v>0</v>
      </c>
      <c r="Q133" s="1736">
        <f t="shared" si="4"/>
        <v>0</v>
      </c>
    </row>
    <row r="134" spans="1:17" ht="15" x14ac:dyDescent="0.25">
      <c r="A134" s="3509"/>
      <c r="B134" s="742"/>
      <c r="C134" s="5454"/>
      <c r="D134" s="5454"/>
      <c r="E134" s="5454"/>
      <c r="F134" s="5454"/>
      <c r="G134" s="3526"/>
      <c r="H134" s="223"/>
      <c r="I134" s="3520"/>
      <c r="J134" s="223"/>
      <c r="K134" s="3520"/>
      <c r="L134" s="223"/>
      <c r="M134" s="3512" t="str">
        <f t="shared" si="5"/>
        <v/>
      </c>
      <c r="N134" s="3512"/>
      <c r="P134" s="3815">
        <f t="shared" si="3"/>
        <v>0</v>
      </c>
      <c r="Q134" s="1736">
        <f t="shared" si="4"/>
        <v>0</v>
      </c>
    </row>
    <row r="135" spans="1:17" ht="15" x14ac:dyDescent="0.25">
      <c r="A135" s="3509"/>
      <c r="B135" s="742"/>
      <c r="C135" s="5454"/>
      <c r="D135" s="5454"/>
      <c r="E135" s="5454"/>
      <c r="F135" s="5454"/>
      <c r="G135" s="3526"/>
      <c r="H135" s="223"/>
      <c r="I135" s="3520"/>
      <c r="J135" s="223"/>
      <c r="K135" s="3520"/>
      <c r="L135" s="223"/>
      <c r="M135" s="3512" t="str">
        <f t="shared" si="5"/>
        <v/>
      </c>
      <c r="N135" s="3512"/>
      <c r="P135" s="3815">
        <f t="shared" si="3"/>
        <v>0</v>
      </c>
      <c r="Q135" s="1736">
        <f t="shared" si="4"/>
        <v>0</v>
      </c>
    </row>
    <row r="136" spans="1:17" ht="15" x14ac:dyDescent="0.25">
      <c r="A136" s="3509"/>
      <c r="B136" s="742"/>
      <c r="C136" s="5454"/>
      <c r="D136" s="5454"/>
      <c r="E136" s="5454"/>
      <c r="F136" s="5454"/>
      <c r="G136" s="3526"/>
      <c r="H136" s="223"/>
      <c r="I136" s="3520"/>
      <c r="J136" s="223"/>
      <c r="K136" s="3520"/>
      <c r="L136" s="223"/>
      <c r="M136" s="3512" t="str">
        <f t="shared" si="5"/>
        <v/>
      </c>
      <c r="N136" s="3512"/>
      <c r="P136" s="3815">
        <f t="shared" si="3"/>
        <v>0</v>
      </c>
      <c r="Q136" s="1736">
        <f t="shared" si="4"/>
        <v>0</v>
      </c>
    </row>
    <row r="137" spans="1:17" ht="15" x14ac:dyDescent="0.25">
      <c r="A137" s="3509"/>
      <c r="B137" s="742"/>
      <c r="C137" s="5454"/>
      <c r="D137" s="5454"/>
      <c r="E137" s="5454"/>
      <c r="F137" s="5454"/>
      <c r="G137" s="3526"/>
      <c r="H137" s="223"/>
      <c r="I137" s="3520"/>
      <c r="J137" s="223"/>
      <c r="K137" s="3520"/>
      <c r="L137" s="223"/>
      <c r="M137" s="3512" t="str">
        <f t="shared" si="5"/>
        <v/>
      </c>
      <c r="N137" s="3512"/>
      <c r="P137" s="3815">
        <f t="shared" si="3"/>
        <v>0</v>
      </c>
      <c r="Q137" s="1736">
        <f t="shared" si="4"/>
        <v>0</v>
      </c>
    </row>
    <row r="138" spans="1:17" ht="15" x14ac:dyDescent="0.25">
      <c r="A138" s="3509"/>
      <c r="B138" s="742"/>
      <c r="C138" s="5454"/>
      <c r="D138" s="5454"/>
      <c r="E138" s="5454"/>
      <c r="F138" s="5454"/>
      <c r="G138" s="3526"/>
      <c r="H138" s="223"/>
      <c r="I138" s="3520"/>
      <c r="J138" s="223"/>
      <c r="K138" s="3520"/>
      <c r="L138" s="223"/>
      <c r="M138" s="3512" t="str">
        <f t="shared" si="5"/>
        <v/>
      </c>
      <c r="N138" s="3512"/>
      <c r="P138" s="3815">
        <f t="shared" si="3"/>
        <v>0</v>
      </c>
      <c r="Q138" s="1736">
        <f t="shared" si="4"/>
        <v>0</v>
      </c>
    </row>
    <row r="139" spans="1:17" ht="15" hidden="1" x14ac:dyDescent="0.25">
      <c r="A139" s="3509"/>
      <c r="B139" s="742"/>
      <c r="C139" s="5454"/>
      <c r="D139" s="5454"/>
      <c r="E139" s="5454"/>
      <c r="F139" s="5454"/>
      <c r="G139" s="3526"/>
      <c r="H139" s="223"/>
      <c r="I139" s="3520"/>
      <c r="J139" s="223"/>
      <c r="K139" s="3520"/>
      <c r="L139" s="223"/>
      <c r="M139" s="3512" t="str">
        <f t="shared" si="5"/>
        <v/>
      </c>
      <c r="N139" s="3512"/>
      <c r="P139" s="3815">
        <f t="shared" si="3"/>
        <v>0</v>
      </c>
      <c r="Q139" s="1736">
        <f t="shared" si="4"/>
        <v>0</v>
      </c>
    </row>
    <row r="140" spans="1:17" ht="15" hidden="1" x14ac:dyDescent="0.25">
      <c r="A140" s="3509"/>
      <c r="B140" s="742"/>
      <c r="C140" s="5454"/>
      <c r="D140" s="5454"/>
      <c r="E140" s="5454"/>
      <c r="F140" s="5454"/>
      <c r="G140" s="3526"/>
      <c r="H140" s="223"/>
      <c r="I140" s="3520"/>
      <c r="J140" s="223"/>
      <c r="K140" s="3520"/>
      <c r="L140" s="223"/>
      <c r="M140" s="3512" t="str">
        <f t="shared" si="5"/>
        <v/>
      </c>
      <c r="N140" s="3512"/>
      <c r="P140" s="3815">
        <f t="shared" si="3"/>
        <v>0</v>
      </c>
      <c r="Q140" s="1736">
        <f t="shared" si="4"/>
        <v>0</v>
      </c>
    </row>
    <row r="141" spans="1:17" ht="15" hidden="1" x14ac:dyDescent="0.25">
      <c r="A141" s="3509"/>
      <c r="B141" s="742"/>
      <c r="C141" s="5454"/>
      <c r="D141" s="5454"/>
      <c r="E141" s="5454"/>
      <c r="F141" s="5454"/>
      <c r="G141" s="3526"/>
      <c r="H141" s="223"/>
      <c r="I141" s="3520"/>
      <c r="J141" s="223"/>
      <c r="K141" s="3520"/>
      <c r="L141" s="223"/>
      <c r="M141" s="3512" t="str">
        <f t="shared" si="5"/>
        <v/>
      </c>
      <c r="N141" s="3512"/>
      <c r="P141" s="3815">
        <f t="shared" si="3"/>
        <v>0</v>
      </c>
      <c r="Q141" s="1736">
        <f t="shared" si="4"/>
        <v>0</v>
      </c>
    </row>
    <row r="142" spans="1:17" ht="15" hidden="1" x14ac:dyDescent="0.25">
      <c r="A142" s="3509"/>
      <c r="B142" s="742"/>
      <c r="C142" s="5454"/>
      <c r="D142" s="5454"/>
      <c r="E142" s="5454"/>
      <c r="F142" s="5454"/>
      <c r="G142" s="3526"/>
      <c r="H142" s="223"/>
      <c r="I142" s="3520"/>
      <c r="J142" s="223"/>
      <c r="K142" s="3520"/>
      <c r="L142" s="223"/>
      <c r="M142" s="3512" t="str">
        <f t="shared" si="5"/>
        <v/>
      </c>
      <c r="N142" s="3512"/>
      <c r="P142" s="3815">
        <f t="shared" si="3"/>
        <v>0</v>
      </c>
      <c r="Q142" s="1736">
        <f t="shared" si="4"/>
        <v>0</v>
      </c>
    </row>
    <row r="143" spans="1:17" ht="15" hidden="1" x14ac:dyDescent="0.25">
      <c r="A143" s="3509"/>
      <c r="B143" s="742"/>
      <c r="C143" s="5454"/>
      <c r="D143" s="5454"/>
      <c r="E143" s="5454"/>
      <c r="F143" s="5454"/>
      <c r="G143" s="3526"/>
      <c r="H143" s="223"/>
      <c r="I143" s="3520"/>
      <c r="J143" s="223"/>
      <c r="K143" s="3520"/>
      <c r="L143" s="223"/>
      <c r="M143" s="3512" t="str">
        <f t="shared" si="5"/>
        <v/>
      </c>
      <c r="N143" s="3512"/>
      <c r="P143" s="3815">
        <f t="shared" si="3"/>
        <v>0</v>
      </c>
      <c r="Q143" s="1736">
        <f t="shared" si="4"/>
        <v>0</v>
      </c>
    </row>
    <row r="144" spans="1:17" ht="15" hidden="1" x14ac:dyDescent="0.25">
      <c r="A144" s="3509"/>
      <c r="B144" s="742"/>
      <c r="C144" s="5454"/>
      <c r="D144" s="5454"/>
      <c r="E144" s="5454"/>
      <c r="F144" s="5454"/>
      <c r="G144" s="3526"/>
      <c r="H144" s="223"/>
      <c r="I144" s="3520"/>
      <c r="J144" s="223"/>
      <c r="K144" s="3520"/>
      <c r="L144" s="223"/>
      <c r="M144" s="3512" t="str">
        <f t="shared" si="5"/>
        <v/>
      </c>
      <c r="N144" s="3512"/>
      <c r="P144" s="3815">
        <f t="shared" si="3"/>
        <v>0</v>
      </c>
      <c r="Q144" s="1736">
        <f t="shared" si="4"/>
        <v>0</v>
      </c>
    </row>
    <row r="145" spans="1:17" ht="15" hidden="1" x14ac:dyDescent="0.25">
      <c r="A145" s="3509"/>
      <c r="B145" s="742"/>
      <c r="C145" s="5454"/>
      <c r="D145" s="5454"/>
      <c r="E145" s="5454"/>
      <c r="F145" s="5454"/>
      <c r="G145" s="3526"/>
      <c r="H145" s="223"/>
      <c r="I145" s="3520"/>
      <c r="J145" s="223"/>
      <c r="K145" s="3520"/>
      <c r="L145" s="223"/>
      <c r="M145" s="3512" t="str">
        <f t="shared" si="5"/>
        <v/>
      </c>
      <c r="N145" s="3512"/>
      <c r="P145" s="3815">
        <f t="shared" si="3"/>
        <v>0</v>
      </c>
      <c r="Q145" s="1736">
        <f t="shared" si="4"/>
        <v>0</v>
      </c>
    </row>
    <row r="146" spans="1:17" ht="15" hidden="1" x14ac:dyDescent="0.25">
      <c r="A146" s="3509"/>
      <c r="B146" s="742"/>
      <c r="C146" s="5454"/>
      <c r="D146" s="5454"/>
      <c r="E146" s="5454"/>
      <c r="F146" s="5454"/>
      <c r="G146" s="3526"/>
      <c r="H146" s="223"/>
      <c r="I146" s="3520"/>
      <c r="J146" s="223"/>
      <c r="K146" s="3520"/>
      <c r="L146" s="223"/>
      <c r="M146" s="3512" t="str">
        <f t="shared" si="5"/>
        <v/>
      </c>
      <c r="N146" s="3512"/>
      <c r="P146" s="3815">
        <f t="shared" si="3"/>
        <v>0</v>
      </c>
      <c r="Q146" s="1736">
        <f t="shared" si="4"/>
        <v>0</v>
      </c>
    </row>
    <row r="147" spans="1:17" ht="15" hidden="1" x14ac:dyDescent="0.25">
      <c r="A147" s="3509"/>
      <c r="B147" s="742"/>
      <c r="C147" s="5467"/>
      <c r="D147" s="5467"/>
      <c r="E147" s="5467"/>
      <c r="F147" s="5467"/>
      <c r="G147" s="3526"/>
      <c r="H147" s="223"/>
      <c r="I147" s="3520"/>
      <c r="J147" s="223"/>
      <c r="K147" s="3520"/>
      <c r="L147" s="223"/>
      <c r="M147" s="3512" t="str">
        <f t="shared" si="5"/>
        <v/>
      </c>
      <c r="N147" s="3512"/>
      <c r="P147" s="3815">
        <f t="shared" si="3"/>
        <v>0</v>
      </c>
      <c r="Q147" s="1736">
        <f t="shared" si="4"/>
        <v>0</v>
      </c>
    </row>
    <row r="148" spans="1:17" ht="15" hidden="1" x14ac:dyDescent="0.25">
      <c r="A148" s="3509"/>
      <c r="B148" s="742"/>
      <c r="C148" s="5454"/>
      <c r="D148" s="5454"/>
      <c r="E148" s="5454"/>
      <c r="F148" s="5454"/>
      <c r="G148" s="3526"/>
      <c r="H148" s="223"/>
      <c r="I148" s="3520"/>
      <c r="J148" s="223"/>
      <c r="K148" s="3520"/>
      <c r="L148" s="223"/>
      <c r="M148" s="3512" t="str">
        <f t="shared" si="5"/>
        <v/>
      </c>
      <c r="N148" s="3512"/>
      <c r="P148" s="3815">
        <f t="shared" si="3"/>
        <v>0</v>
      </c>
      <c r="Q148" s="1736">
        <f t="shared" si="4"/>
        <v>0</v>
      </c>
    </row>
    <row r="149" spans="1:17" ht="15" hidden="1" x14ac:dyDescent="0.25">
      <c r="A149" s="3509"/>
      <c r="B149" s="742"/>
      <c r="C149" s="5454"/>
      <c r="D149" s="5454"/>
      <c r="E149" s="5454"/>
      <c r="F149" s="5454"/>
      <c r="G149" s="3526"/>
      <c r="H149" s="223"/>
      <c r="I149" s="3520"/>
      <c r="J149" s="223"/>
      <c r="K149" s="3520"/>
      <c r="L149" s="223"/>
      <c r="M149" s="3512" t="str">
        <f t="shared" si="5"/>
        <v/>
      </c>
      <c r="N149" s="3512"/>
      <c r="P149" s="3815">
        <f t="shared" si="3"/>
        <v>0</v>
      </c>
      <c r="Q149" s="1736">
        <f t="shared" si="4"/>
        <v>0</v>
      </c>
    </row>
    <row r="150" spans="1:17" ht="15" hidden="1" x14ac:dyDescent="0.25">
      <c r="A150" s="3509"/>
      <c r="B150" s="742"/>
      <c r="C150" s="5454"/>
      <c r="D150" s="5454"/>
      <c r="E150" s="5454"/>
      <c r="F150" s="5454"/>
      <c r="G150" s="3526"/>
      <c r="H150" s="223"/>
      <c r="I150" s="3520"/>
      <c r="J150" s="223"/>
      <c r="K150" s="3520"/>
      <c r="L150" s="223"/>
      <c r="M150" s="3512" t="str">
        <f t="shared" si="5"/>
        <v/>
      </c>
      <c r="N150" s="3512"/>
      <c r="P150" s="3815">
        <f t="shared" si="3"/>
        <v>0</v>
      </c>
      <c r="Q150" s="1736">
        <f t="shared" si="4"/>
        <v>0</v>
      </c>
    </row>
    <row r="151" spans="1:17" ht="15" hidden="1" x14ac:dyDescent="0.25">
      <c r="A151" s="3509"/>
      <c r="B151" s="742"/>
      <c r="C151" s="5454"/>
      <c r="D151" s="5454"/>
      <c r="E151" s="5454"/>
      <c r="F151" s="5454"/>
      <c r="G151" s="3526"/>
      <c r="H151" s="223"/>
      <c r="I151" s="3520"/>
      <c r="J151" s="223"/>
      <c r="K151" s="3520"/>
      <c r="L151" s="223"/>
      <c r="M151" s="3512" t="str">
        <f t="shared" si="5"/>
        <v/>
      </c>
      <c r="N151" s="3512"/>
      <c r="P151" s="3815">
        <f t="shared" si="3"/>
        <v>0</v>
      </c>
      <c r="Q151" s="1736">
        <f t="shared" si="4"/>
        <v>0</v>
      </c>
    </row>
    <row r="152" spans="1:17" ht="15" hidden="1" x14ac:dyDescent="0.25">
      <c r="A152" s="3509"/>
      <c r="B152" s="742"/>
      <c r="C152" s="5454"/>
      <c r="D152" s="5454"/>
      <c r="E152" s="5454"/>
      <c r="F152" s="5454"/>
      <c r="G152" s="3526"/>
      <c r="H152" s="223"/>
      <c r="I152" s="3520"/>
      <c r="J152" s="223"/>
      <c r="K152" s="3520"/>
      <c r="L152" s="223"/>
      <c r="M152" s="3512" t="str">
        <f t="shared" si="5"/>
        <v/>
      </c>
      <c r="N152" s="3512"/>
      <c r="P152" s="3815">
        <f t="shared" si="3"/>
        <v>0</v>
      </c>
      <c r="Q152" s="1736">
        <f t="shared" si="4"/>
        <v>0</v>
      </c>
    </row>
    <row r="153" spans="1:17" ht="15" hidden="1" x14ac:dyDescent="0.25">
      <c r="A153" s="3509"/>
      <c r="B153" s="742"/>
      <c r="C153" s="5454"/>
      <c r="D153" s="5454"/>
      <c r="E153" s="5454"/>
      <c r="F153" s="5454"/>
      <c r="G153" s="3526"/>
      <c r="H153" s="223"/>
      <c r="I153" s="3520"/>
      <c r="J153" s="223"/>
      <c r="K153" s="3520"/>
      <c r="L153" s="223"/>
      <c r="M153" s="3512" t="str">
        <f t="shared" si="5"/>
        <v/>
      </c>
      <c r="N153" s="3512"/>
      <c r="P153" s="3815">
        <f t="shared" si="3"/>
        <v>0</v>
      </c>
      <c r="Q153" s="1736">
        <f t="shared" si="4"/>
        <v>0</v>
      </c>
    </row>
    <row r="154" spans="1:17" ht="15" hidden="1" x14ac:dyDescent="0.25">
      <c r="A154" s="3509"/>
      <c r="B154" s="742"/>
      <c r="C154" s="5454"/>
      <c r="D154" s="5454"/>
      <c r="E154" s="5454"/>
      <c r="F154" s="5454"/>
      <c r="G154" s="3526"/>
      <c r="H154" s="223"/>
      <c r="I154" s="3520"/>
      <c r="J154" s="223"/>
      <c r="K154" s="3520"/>
      <c r="L154" s="223"/>
      <c r="M154" s="3512" t="str">
        <f t="shared" si="5"/>
        <v/>
      </c>
      <c r="N154" s="3512"/>
      <c r="P154" s="3815">
        <f t="shared" si="3"/>
        <v>0</v>
      </c>
      <c r="Q154" s="1736">
        <f t="shared" si="4"/>
        <v>0</v>
      </c>
    </row>
    <row r="155" spans="1:17" ht="15" hidden="1" x14ac:dyDescent="0.25">
      <c r="A155" s="3509"/>
      <c r="B155" s="742"/>
      <c r="C155" s="5454"/>
      <c r="D155" s="5454"/>
      <c r="E155" s="5454"/>
      <c r="F155" s="5454"/>
      <c r="G155" s="3526"/>
      <c r="H155" s="223"/>
      <c r="I155" s="3520"/>
      <c r="J155" s="223"/>
      <c r="K155" s="3520"/>
      <c r="L155" s="223"/>
      <c r="M155" s="3512" t="str">
        <f t="shared" si="5"/>
        <v/>
      </c>
      <c r="N155" s="3512"/>
      <c r="P155" s="3815">
        <f t="shared" si="3"/>
        <v>0</v>
      </c>
      <c r="Q155" s="1736">
        <f t="shared" si="4"/>
        <v>0</v>
      </c>
    </row>
    <row r="156" spans="1:17" ht="15" hidden="1" x14ac:dyDescent="0.25">
      <c r="A156" s="3509"/>
      <c r="B156" s="742"/>
      <c r="C156" s="5454"/>
      <c r="D156" s="5454"/>
      <c r="E156" s="5454"/>
      <c r="F156" s="5454"/>
      <c r="G156" s="3526"/>
      <c r="H156" s="223"/>
      <c r="I156" s="3520"/>
      <c r="J156" s="223"/>
      <c r="K156" s="3520"/>
      <c r="L156" s="223"/>
      <c r="M156" s="3512" t="str">
        <f t="shared" si="5"/>
        <v/>
      </c>
      <c r="N156" s="3512"/>
      <c r="P156" s="3815">
        <f t="shared" si="3"/>
        <v>0</v>
      </c>
      <c r="Q156" s="1736">
        <f t="shared" si="4"/>
        <v>0</v>
      </c>
    </row>
    <row r="157" spans="1:17" ht="15" hidden="1" x14ac:dyDescent="0.25">
      <c r="A157" s="3509"/>
      <c r="B157" s="742"/>
      <c r="C157" s="5454"/>
      <c r="D157" s="5454"/>
      <c r="E157" s="5454"/>
      <c r="F157" s="5454"/>
      <c r="G157" s="3526"/>
      <c r="H157" s="223"/>
      <c r="I157" s="3520"/>
      <c r="J157" s="223"/>
      <c r="K157" s="3520"/>
      <c r="L157" s="223"/>
      <c r="M157" s="3512" t="str">
        <f t="shared" si="5"/>
        <v/>
      </c>
      <c r="N157" s="3512"/>
      <c r="P157" s="3815">
        <f t="shared" si="3"/>
        <v>0</v>
      </c>
      <c r="Q157" s="1736">
        <f t="shared" si="4"/>
        <v>0</v>
      </c>
    </row>
    <row r="158" spans="1:17" ht="15" hidden="1" x14ac:dyDescent="0.25">
      <c r="A158" s="3509"/>
      <c r="B158" s="742"/>
      <c r="C158" s="5454"/>
      <c r="D158" s="5454"/>
      <c r="E158" s="5454"/>
      <c r="F158" s="5454"/>
      <c r="G158" s="3526"/>
      <c r="H158" s="223"/>
      <c r="I158" s="3520"/>
      <c r="J158" s="223"/>
      <c r="K158" s="3520"/>
      <c r="L158" s="223"/>
      <c r="M158" s="3512" t="str">
        <f t="shared" si="5"/>
        <v/>
      </c>
      <c r="N158" s="3512"/>
      <c r="P158" s="3815">
        <f t="shared" si="3"/>
        <v>0</v>
      </c>
      <c r="Q158" s="1736">
        <f t="shared" si="4"/>
        <v>0</v>
      </c>
    </row>
    <row r="159" spans="1:17" ht="15" hidden="1" x14ac:dyDescent="0.25">
      <c r="A159" s="3509"/>
      <c r="B159" s="742"/>
      <c r="C159" s="5454"/>
      <c r="D159" s="5454"/>
      <c r="E159" s="5454"/>
      <c r="F159" s="5454"/>
      <c r="G159" s="3526"/>
      <c r="H159" s="223"/>
      <c r="I159" s="3520"/>
      <c r="J159" s="223"/>
      <c r="K159" s="3520"/>
      <c r="L159" s="223"/>
      <c r="M159" s="3512" t="str">
        <f t="shared" si="5"/>
        <v/>
      </c>
      <c r="N159" s="3512"/>
      <c r="P159" s="3815">
        <f t="shared" si="3"/>
        <v>0</v>
      </c>
      <c r="Q159" s="1736">
        <f t="shared" si="4"/>
        <v>0</v>
      </c>
    </row>
    <row r="160" spans="1:17" ht="15" hidden="1" x14ac:dyDescent="0.25">
      <c r="A160" s="3509"/>
      <c r="B160" s="742"/>
      <c r="C160" s="5454"/>
      <c r="D160" s="5454"/>
      <c r="E160" s="5454"/>
      <c r="F160" s="5454"/>
      <c r="G160" s="3526"/>
      <c r="H160" s="223"/>
      <c r="I160" s="3520"/>
      <c r="J160" s="223"/>
      <c r="K160" s="3520"/>
      <c r="L160" s="223"/>
      <c r="M160" s="3512" t="str">
        <f t="shared" si="5"/>
        <v/>
      </c>
      <c r="N160" s="3512"/>
      <c r="P160" s="3815">
        <f t="shared" si="3"/>
        <v>0</v>
      </c>
      <c r="Q160" s="1736">
        <f t="shared" si="4"/>
        <v>0</v>
      </c>
    </row>
    <row r="161" spans="1:26" ht="15" hidden="1" x14ac:dyDescent="0.25">
      <c r="A161" s="3509"/>
      <c r="B161" s="742"/>
      <c r="C161" s="5454"/>
      <c r="D161" s="5454"/>
      <c r="E161" s="5454"/>
      <c r="F161" s="5454"/>
      <c r="G161" s="3526"/>
      <c r="H161" s="223"/>
      <c r="I161" s="3520"/>
      <c r="J161" s="223"/>
      <c r="K161" s="3520"/>
      <c r="L161" s="223"/>
      <c r="M161" s="3512" t="str">
        <f t="shared" si="5"/>
        <v/>
      </c>
      <c r="N161" s="3512"/>
      <c r="P161" s="3815">
        <f t="shared" si="3"/>
        <v>0</v>
      </c>
      <c r="Q161" s="1736">
        <f t="shared" si="4"/>
        <v>0</v>
      </c>
    </row>
    <row r="162" spans="1:26" ht="15" hidden="1" x14ac:dyDescent="0.25">
      <c r="A162" s="3509"/>
      <c r="B162" s="742"/>
      <c r="C162" s="5454"/>
      <c r="D162" s="5454"/>
      <c r="E162" s="5454"/>
      <c r="F162" s="5454"/>
      <c r="G162" s="3526"/>
      <c r="H162" s="223"/>
      <c r="I162" s="3520"/>
      <c r="J162" s="223"/>
      <c r="K162" s="3520"/>
      <c r="L162" s="223"/>
      <c r="M162" s="3512" t="str">
        <f t="shared" si="5"/>
        <v/>
      </c>
      <c r="N162" s="3512"/>
      <c r="P162" s="3815">
        <f t="shared" si="3"/>
        <v>0</v>
      </c>
      <c r="Q162" s="1736">
        <f t="shared" si="4"/>
        <v>0</v>
      </c>
    </row>
    <row r="163" spans="1:26" ht="15" hidden="1" x14ac:dyDescent="0.25">
      <c r="A163" s="3509"/>
      <c r="B163" s="742"/>
      <c r="C163" s="5454"/>
      <c r="D163" s="5454"/>
      <c r="E163" s="5454"/>
      <c r="F163" s="5454"/>
      <c r="G163" s="3526"/>
      <c r="H163" s="223"/>
      <c r="I163" s="3520"/>
      <c r="J163" s="223"/>
      <c r="K163" s="3520"/>
      <c r="L163" s="223"/>
      <c r="M163" s="3512" t="str">
        <f t="shared" si="5"/>
        <v/>
      </c>
      <c r="N163" s="3512"/>
      <c r="P163" s="3815">
        <f t="shared" si="3"/>
        <v>0</v>
      </c>
      <c r="Q163" s="1736">
        <f t="shared" si="4"/>
        <v>0</v>
      </c>
      <c r="X163" s="1634" t="s">
        <v>5806</v>
      </c>
      <c r="Y163" s="1736" t="s">
        <v>363</v>
      </c>
      <c r="Z163" s="1736" t="s">
        <v>2372</v>
      </c>
    </row>
    <row r="164" spans="1:26" ht="15" hidden="1" x14ac:dyDescent="0.25">
      <c r="A164" s="3509"/>
      <c r="B164" s="742"/>
      <c r="C164" s="5454"/>
      <c r="D164" s="5454"/>
      <c r="E164" s="5454"/>
      <c r="F164" s="5454"/>
      <c r="G164" s="3526"/>
      <c r="H164" s="223"/>
      <c r="I164" s="3520"/>
      <c r="J164" s="223"/>
      <c r="K164" s="3520"/>
      <c r="L164" s="223"/>
      <c r="M164" s="3512" t="str">
        <f t="shared" si="5"/>
        <v/>
      </c>
      <c r="N164" s="3512"/>
      <c r="P164" s="3815">
        <f t="shared" si="3"/>
        <v>0</v>
      </c>
      <c r="Q164" s="1736">
        <f t="shared" si="4"/>
        <v>0</v>
      </c>
      <c r="U164" s="1634"/>
      <c r="V164" s="1634"/>
      <c r="W164" s="3970" t="s">
        <v>6629</v>
      </c>
      <c r="X164" s="1736">
        <f>'p4'!K53</f>
      </c>
      <c r="Y164" s="1736">
        <f>'p4'!O53</f>
      </c>
      <c r="Z164" s="1736">
        <f>'p4'!R53</f>
      </c>
    </row>
    <row r="165" spans="1:26" ht="15" hidden="1" customHeight="1" x14ac:dyDescent="0.25">
      <c r="A165" s="3509"/>
      <c r="B165" s="742"/>
      <c r="C165" s="5454"/>
      <c r="D165" s="5454"/>
      <c r="E165" s="5454"/>
      <c r="F165" s="5454"/>
      <c r="G165" s="3526"/>
      <c r="H165" s="223"/>
      <c r="I165" s="3520"/>
      <c r="J165" s="223"/>
      <c r="K165" s="3520"/>
      <c r="L165" s="223"/>
      <c r="M165" s="3512" t="str">
        <f t="shared" si="5"/>
        <v/>
      </c>
      <c r="N165" s="3512"/>
      <c r="P165" s="3815">
        <f t="shared" si="3"/>
        <v>0</v>
      </c>
      <c r="Q165" s="1736">
        <f t="shared" si="4"/>
        <v>0</v>
      </c>
      <c r="U165" s="1634"/>
      <c r="V165" s="1634"/>
      <c r="W165" s="3971" t="s">
        <v>963</v>
      </c>
      <c r="X165" s="3972">
        <f>'p4'!K54</f>
      </c>
      <c r="Y165" s="3972">
        <f>'p4'!O54</f>
      </c>
      <c r="Z165" s="1736">
        <f>'p4'!R54</f>
      </c>
    </row>
    <row r="166" spans="1:26" ht="15" hidden="1" customHeight="1" x14ac:dyDescent="0.25">
      <c r="A166" s="3509"/>
      <c r="B166" s="742"/>
      <c r="C166" s="5454"/>
      <c r="D166" s="5454"/>
      <c r="E166" s="5454"/>
      <c r="F166" s="5454"/>
      <c r="G166" s="3526"/>
      <c r="H166" s="223"/>
      <c r="I166" s="3520"/>
      <c r="J166" s="223"/>
      <c r="K166" s="3520"/>
      <c r="L166" s="223"/>
      <c r="M166" s="3512" t="str">
        <f t="shared" si="5"/>
        <v/>
      </c>
      <c r="N166" s="3512"/>
      <c r="P166" s="3815">
        <f t="shared" si="3"/>
        <v>0</v>
      </c>
      <c r="Q166" s="1736">
        <f t="shared" si="4"/>
        <v>0</v>
      </c>
      <c r="U166" s="1634"/>
      <c r="V166" s="1634"/>
      <c r="W166" s="3973" t="s">
        <v>7480</v>
      </c>
      <c r="X166" s="3969">
        <f>'p4'!K55</f>
      </c>
      <c r="Y166" s="3969"/>
    </row>
    <row r="167" spans="1:26" ht="15" hidden="1" x14ac:dyDescent="0.25">
      <c r="A167" s="3509"/>
      <c r="B167" s="742"/>
      <c r="C167" s="5454"/>
      <c r="D167" s="5454"/>
      <c r="E167" s="5454"/>
      <c r="F167" s="5454"/>
      <c r="G167" s="3526"/>
      <c r="H167" s="223"/>
      <c r="I167" s="3520"/>
      <c r="J167" s="223"/>
      <c r="K167" s="3520"/>
      <c r="L167" s="223"/>
      <c r="M167" s="3512" t="str">
        <f t="shared" si="5"/>
        <v/>
      </c>
      <c r="N167" s="3512"/>
      <c r="P167" s="3815">
        <f t="shared" si="3"/>
        <v>0</v>
      </c>
      <c r="Q167" s="1736">
        <f t="shared" si="4"/>
        <v>0</v>
      </c>
      <c r="X167" s="1736">
        <f>X164+X165+X166</f>
      </c>
      <c r="Y167" s="1736">
        <f>Y164+Y165+Y166</f>
      </c>
      <c r="Z167" s="1736">
        <f>Z164+Z165+Z166</f>
      </c>
    </row>
    <row r="168" spans="1:26" ht="15" customHeight="1" x14ac:dyDescent="0.2">
      <c r="A168" s="3509"/>
      <c r="B168" s="3959"/>
      <c r="C168" s="5466" t="s">
        <v>10349</v>
      </c>
      <c r="D168" s="5466"/>
      <c r="E168" s="5466"/>
      <c r="F168" s="5466"/>
      <c r="G168" s="3526"/>
      <c r="H168" s="3957">
        <f>SUM(H126:H167)</f>
      </c>
      <c r="I168" s="3958"/>
      <c r="J168" s="3957">
        <f>SUM(J126:J167)</f>
      </c>
      <c r="K168" s="3958"/>
      <c r="L168" s="3957">
        <f>SUM(L126:L167)</f>
      </c>
      <c r="M168" s="3512" t="str">
        <f>IF(OR(X174=1,Y174=1,Z174=1,X172=1),"Excessive, Check Page 4!","")</f>
      </c>
      <c r="N168" s="3943"/>
      <c r="W168" s="1634" t="s">
        <v>10361</v>
      </c>
      <c r="X168" s="1634"/>
      <c r="Y168" s="1634">
        <f>'p4'!O56</f>
      </c>
      <c r="Z168" s="1634">
        <f>'p4'!R56</f>
      </c>
    </row>
    <row r="169" spans="1:26" ht="15" customHeight="1" x14ac:dyDescent="0.25">
      <c r="A169" s="3509"/>
      <c r="B169" s="3959"/>
      <c r="C169" s="3959"/>
      <c r="D169" s="3959"/>
      <c r="E169" s="3959"/>
      <c r="F169" s="3959"/>
      <c r="G169" s="3959"/>
      <c r="H169" s="3959"/>
      <c r="I169" s="3959"/>
      <c r="J169" s="3959"/>
      <c r="K169" s="3959"/>
      <c r="L169" s="3959"/>
      <c r="M169" s="3943"/>
      <c r="N169" s="3943"/>
      <c r="P169" s="3815"/>
      <c r="Q169" s="1742">
        <f>SUM(Q126:Q167)</f>
      </c>
      <c r="W169" s="2058" t="s">
        <v>10362</v>
      </c>
      <c r="X169" s="1634">
        <f>X167+X168</f>
      </c>
      <c r="Y169" s="1634">
        <f>Y167+Y168</f>
      </c>
      <c r="Z169" s="1634">
        <f>Z167+Z168</f>
      </c>
    </row>
    <row r="170" spans="1:26" ht="15" customHeight="1" x14ac:dyDescent="0.25">
      <c r="A170" s="3509"/>
      <c r="B170" s="3959"/>
      <c r="C170" s="3959"/>
      <c r="D170" s="3959"/>
      <c r="E170" s="3959"/>
      <c r="F170" s="3966" t="s">
        <v>757</v>
      </c>
      <c r="G170" s="3959"/>
      <c r="H170" s="275"/>
      <c r="I170" s="3959"/>
      <c r="J170" s="3512" t="str">
        <f>IF(AND(H170="",Q172&gt;0),re,"")</f>
        <v/>
      </c>
      <c r="K170" s="3959"/>
      <c r="L170" s="3959"/>
      <c r="M170" s="3943"/>
      <c r="N170" s="3943"/>
      <c r="P170" s="3815">
        <f>IF(J170="",0,1)</f>
      </c>
      <c r="Q170" s="3805">
        <f>IF(H170&lt;&gt;"",1,0)</f>
      </c>
      <c r="W170" s="1760" t="s">
        <v>10346</v>
      </c>
      <c r="X170" s="1887">
        <f>H168</f>
      </c>
      <c r="Y170" s="1887">
        <f>J168</f>
      </c>
      <c r="Z170" s="1887">
        <f>L168</f>
      </c>
    </row>
    <row r="171" spans="1:26" ht="6.75" customHeight="1" x14ac:dyDescent="0.2">
      <c r="A171" s="3959"/>
      <c r="B171" s="3959"/>
      <c r="C171" s="3959"/>
      <c r="D171" s="3959"/>
      <c r="E171" s="3959"/>
      <c r="F171" s="3959"/>
      <c r="G171" s="3959"/>
      <c r="H171" s="3959"/>
      <c r="I171" s="3959"/>
      <c r="J171" s="3959"/>
      <c r="K171" s="3959"/>
      <c r="L171" s="3959"/>
      <c r="M171" s="3959"/>
      <c r="N171" s="3959"/>
      <c r="Q171" s="1634"/>
      <c r="X171" s="1887">
        <f>X169-X170</f>
      </c>
      <c r="Y171" s="1887">
        <f>Y169-Y170</f>
      </c>
      <c r="Z171" s="1887">
        <f>Z169-Z170</f>
      </c>
    </row>
    <row r="172" spans="1:26" x14ac:dyDescent="0.2">
      <c r="A172" s="3509"/>
      <c r="B172" s="3959"/>
      <c r="C172" s="3934"/>
      <c r="D172" s="3934"/>
      <c r="E172" s="3934"/>
      <c r="F172" s="3961" t="s">
        <v>10311</v>
      </c>
      <c r="G172" s="3934"/>
      <c r="H172" s="275"/>
      <c r="I172" s="3959"/>
      <c r="J172" s="3512" t="str">
        <f>IF(AND(H172="",Q172&gt;0),re,"")</f>
        <v/>
      </c>
      <c r="K172" s="3934"/>
      <c r="L172" s="3934"/>
      <c r="M172" s="3943"/>
      <c r="N172" s="3943"/>
      <c r="P172" s="1634">
        <f>SUM(P9:P171)</f>
      </c>
      <c r="Q172" s="1736">
        <f>SUM(Q169+Q92)+Q170</f>
      </c>
      <c r="W172" s="1760" t="s">
        <v>10359</v>
      </c>
      <c r="X172" s="1736">
        <f>IF(X166&gt;X171,1,0)</f>
      </c>
    </row>
    <row r="173" spans="1:26" ht="6.75" customHeight="1" x14ac:dyDescent="0.2">
      <c r="A173" s="3509"/>
      <c r="B173" s="3959"/>
      <c r="C173" s="3934"/>
      <c r="D173" s="3934"/>
      <c r="E173" s="3934"/>
      <c r="F173" s="3934"/>
      <c r="G173" s="3934"/>
      <c r="H173" s="3518"/>
      <c r="I173" s="3959"/>
      <c r="J173" s="3934"/>
      <c r="K173" s="3934"/>
      <c r="L173" s="3934"/>
      <c r="M173" s="3943"/>
      <c r="N173" s="3943"/>
      <c r="W173" s="1634"/>
    </row>
    <row r="174" spans="1:26" x14ac:dyDescent="0.2">
      <c r="A174" s="3509"/>
      <c r="B174" s="3936" t="str">
        <f>_xlfn.SINGLE(MTCA)</f>
      </c>
      <c r="C174" s="3936"/>
      <c r="D174" s="3934"/>
      <c r="E174" s="3936"/>
      <c r="F174" s="3937" t="str">
        <f>ver</f>
        <v>TA2_e-CO_2025_Ver 1.1</v>
      </c>
      <c r="G174" s="3936"/>
      <c r="H174" s="3936"/>
      <c r="I174" s="3936"/>
      <c r="J174" s="3954"/>
      <c r="K174" s="3934"/>
      <c r="L174" s="3934"/>
      <c r="M174" s="3938" t="s">
        <v>10350</v>
      </c>
      <c r="N174" s="3943"/>
      <c r="P174" s="3809">
        <f>IF(Q172=0,0,IF(P172&gt;0,100,IF(H172="no",100,1)))</f>
      </c>
      <c r="W174" s="1736" t="s">
        <v>10360</v>
      </c>
      <c r="X174" s="1736">
        <f>IF(X171&lt;0,1,0)</f>
      </c>
      <c r="Y174" s="1736">
        <f>IF(Y171&lt;0,1,0)</f>
      </c>
      <c r="Z174" s="1736">
        <f>IF(Z171&lt;0,1,0)</f>
      </c>
    </row>
    <row r="175" spans="1:26" x14ac:dyDescent="0.2">
      <c r="A175" s="3509"/>
      <c r="B175" s="3934"/>
      <c r="C175" s="3934"/>
      <c r="D175" s="3934"/>
      <c r="E175" s="3934"/>
      <c r="F175" s="3934"/>
      <c r="G175" s="3934"/>
      <c r="H175" s="3518"/>
      <c r="I175" s="3934"/>
      <c r="J175" s="3934"/>
      <c r="K175" s="3934"/>
      <c r="L175" s="3934"/>
      <c r="M175" s="3943"/>
      <c r="N175" s="3943"/>
    </row>
    <row r="176" spans="1:26" x14ac:dyDescent="0.2">
      <c r="A176" s="69"/>
    </row>
    <row r="177" spans="1:2" x14ac:dyDescent="0.2">
      <c r="A177" s="69"/>
      <c r="B177" s="3922" t="s">
        <v>1700</v>
      </c>
    </row>
    <row r="178" spans="1:2" x14ac:dyDescent="0.2">
      <c r="A178" s="69"/>
    </row>
    <row r="179" spans="1:2" hidden="1" x14ac:dyDescent="0.2">
      <c r="A179" s="69"/>
    </row>
    <row r="180" spans="1:2" hidden="1" x14ac:dyDescent="0.2">
      <c r="A180" s="69"/>
    </row>
    <row r="181" spans="1:2" hidden="1" x14ac:dyDescent="0.2">
      <c r="A181" s="69"/>
    </row>
    <row r="182" spans="1:2" hidden="1" x14ac:dyDescent="0.2">
      <c r="A182" s="69"/>
    </row>
    <row r="183" spans="1:2" hidden="1" x14ac:dyDescent="0.2">
      <c r="A183" s="69"/>
    </row>
    <row r="184" spans="1:2" hidden="1" x14ac:dyDescent="0.2">
      <c r="A184" s="69"/>
    </row>
    <row r="185" spans="1:2" hidden="1" x14ac:dyDescent="0.2">
      <c r="A185" s="69"/>
    </row>
    <row r="186" spans="1:2" hidden="1" x14ac:dyDescent="0.2">
      <c r="A186" s="69"/>
    </row>
    <row r="187" spans="1:2" hidden="1" x14ac:dyDescent="0.2">
      <c r="A187" s="69"/>
    </row>
    <row r="188" spans="1:2" hidden="1" x14ac:dyDescent="0.2">
      <c r="A188" s="69"/>
    </row>
    <row r="189" spans="1:2" hidden="1" x14ac:dyDescent="0.2">
      <c r="A189" s="69"/>
    </row>
    <row r="190" spans="1:2" hidden="1" x14ac:dyDescent="0.2">
      <c r="A190" s="69"/>
    </row>
    <row r="191" spans="1:2" hidden="1" x14ac:dyDescent="0.2">
      <c r="A191" s="69"/>
    </row>
    <row r="192" spans="1:2" hidden="1" x14ac:dyDescent="0.2">
      <c r="A192" s="69"/>
    </row>
    <row r="193" spans="1:1" hidden="1" x14ac:dyDescent="0.2">
      <c r="A193" s="69"/>
    </row>
    <row r="194" spans="1:1" hidden="1" x14ac:dyDescent="0.2">
      <c r="A194" s="69"/>
    </row>
    <row r="195" spans="1:1" hidden="1" x14ac:dyDescent="0.2">
      <c r="A195" s="69"/>
    </row>
    <row r="196" spans="1:1" hidden="1" x14ac:dyDescent="0.2">
      <c r="A196" s="69"/>
    </row>
    <row r="197" spans="1:1" hidden="1" x14ac:dyDescent="0.2">
      <c r="A197" s="69"/>
    </row>
    <row r="198" spans="1:1" hidden="1" x14ac:dyDescent="0.2">
      <c r="A198" s="69"/>
    </row>
    <row r="199" spans="1:1" hidden="1" x14ac:dyDescent="0.2">
      <c r="A199" s="69"/>
    </row>
    <row r="200" spans="1:1" hidden="1" x14ac:dyDescent="0.2">
      <c r="A200" s="69"/>
    </row>
    <row r="201" spans="1:1" hidden="1" x14ac:dyDescent="0.2">
      <c r="A201" s="69"/>
    </row>
    <row r="202" spans="1:1" hidden="1" x14ac:dyDescent="0.2">
      <c r="A202" s="69"/>
    </row>
    <row r="203" spans="1:1" hidden="1" x14ac:dyDescent="0.2">
      <c r="A203" s="69"/>
    </row>
    <row r="204" spans="1:1" hidden="1" x14ac:dyDescent="0.2">
      <c r="A204" s="69"/>
    </row>
    <row r="205" spans="1:1" hidden="1" x14ac:dyDescent="0.2">
      <c r="A205" s="69"/>
    </row>
    <row r="206" spans="1:1" hidden="1" x14ac:dyDescent="0.2">
      <c r="A206" s="69"/>
    </row>
    <row r="207" spans="1:1" hidden="1" x14ac:dyDescent="0.2">
      <c r="A207" s="69"/>
    </row>
    <row r="208" spans="1:1" hidden="1" x14ac:dyDescent="0.2">
      <c r="A208" s="69"/>
    </row>
    <row r="209" spans="1:1" hidden="1" x14ac:dyDescent="0.2">
      <c r="A209" s="69"/>
    </row>
    <row r="210" spans="1:1" hidden="1" x14ac:dyDescent="0.2">
      <c r="A210" s="69"/>
    </row>
    <row r="211" spans="1:1" hidden="1" x14ac:dyDescent="0.2">
      <c r="A211" s="69"/>
    </row>
    <row r="212" spans="1:1" hidden="1" x14ac:dyDescent="0.2">
      <c r="A212" s="69"/>
    </row>
    <row r="213" spans="1:1" hidden="1" x14ac:dyDescent="0.2">
      <c r="A213" s="69"/>
    </row>
    <row r="214" spans="1:1" hidden="1" x14ac:dyDescent="0.2">
      <c r="A214" s="69"/>
    </row>
    <row r="215" spans="1:1" hidden="1" x14ac:dyDescent="0.2">
      <c r="A215" s="69"/>
    </row>
    <row r="216" spans="1:1" hidden="1" x14ac:dyDescent="0.2">
      <c r="A216" s="69"/>
    </row>
    <row r="217" spans="1:1" hidden="1" x14ac:dyDescent="0.2">
      <c r="A217" s="69"/>
    </row>
    <row r="218" spans="1:1" hidden="1" x14ac:dyDescent="0.2">
      <c r="A218" s="69"/>
    </row>
    <row r="219" spans="1:1" hidden="1" x14ac:dyDescent="0.2">
      <c r="A219" s="69"/>
    </row>
    <row r="220" spans="1:1" hidden="1" x14ac:dyDescent="0.2">
      <c r="A220" s="69"/>
    </row>
    <row r="221" spans="1:1" hidden="1" x14ac:dyDescent="0.2">
      <c r="A221" s="69"/>
    </row>
    <row r="222" spans="1:1" hidden="1" x14ac:dyDescent="0.2">
      <c r="A222" s="69"/>
    </row>
    <row r="223" spans="1:1" hidden="1" x14ac:dyDescent="0.2">
      <c r="A223" s="69"/>
    </row>
    <row r="224" spans="1:1" hidden="1" x14ac:dyDescent="0.2">
      <c r="A224" s="69"/>
    </row>
    <row r="225" spans="1:1" hidden="1" x14ac:dyDescent="0.2">
      <c r="A225" s="69"/>
    </row>
    <row r="226" spans="1:1" hidden="1" x14ac:dyDescent="0.2">
      <c r="A226" s="69"/>
    </row>
    <row r="227" spans="1:1" hidden="1" x14ac:dyDescent="0.2">
      <c r="A227" s="69"/>
    </row>
    <row r="228" spans="1:1" hidden="1" x14ac:dyDescent="0.2">
      <c r="A228" s="69"/>
    </row>
    <row r="229" spans="1:1" hidden="1" x14ac:dyDescent="0.2">
      <c r="A229" s="69"/>
    </row>
    <row r="230" spans="1:1" hidden="1" x14ac:dyDescent="0.2">
      <c r="A230" s="69"/>
    </row>
    <row r="231" spans="1:1" hidden="1" x14ac:dyDescent="0.2">
      <c r="A231" s="69"/>
    </row>
    <row r="232" spans="1:1" hidden="1" x14ac:dyDescent="0.2">
      <c r="A232" s="69"/>
    </row>
    <row r="233" spans="1:1" hidden="1" x14ac:dyDescent="0.2">
      <c r="A233" s="69"/>
    </row>
    <row r="234" spans="1:1" hidden="1" x14ac:dyDescent="0.2">
      <c r="A234" s="69"/>
    </row>
    <row r="235" spans="1:1" hidden="1" x14ac:dyDescent="0.2">
      <c r="A235" s="69"/>
    </row>
    <row r="236" spans="1:1" hidden="1" x14ac:dyDescent="0.2">
      <c r="A236" s="69"/>
    </row>
    <row r="237" spans="1:1" hidden="1" x14ac:dyDescent="0.2">
      <c r="A237" s="69"/>
    </row>
    <row r="238" spans="1:1" hidden="1" x14ac:dyDescent="0.2">
      <c r="A238" s="69"/>
    </row>
    <row r="239" spans="1:1" hidden="1" x14ac:dyDescent="0.2">
      <c r="A239" s="69"/>
    </row>
    <row r="240" spans="1:1" hidden="1" x14ac:dyDescent="0.2">
      <c r="A240" s="69"/>
    </row>
    <row r="241" spans="1:1" hidden="1" x14ac:dyDescent="0.2">
      <c r="A241" s="69"/>
    </row>
    <row r="242" spans="1:1" hidden="1" x14ac:dyDescent="0.2">
      <c r="A242" s="69"/>
    </row>
    <row r="243" spans="1:1" hidden="1" x14ac:dyDescent="0.2">
      <c r="A243" s="69"/>
    </row>
    <row r="244" spans="1:1" hidden="1" x14ac:dyDescent="0.2">
      <c r="A244" s="69"/>
    </row>
    <row r="245" spans="1:1" hidden="1" x14ac:dyDescent="0.2">
      <c r="A245" s="69"/>
    </row>
    <row r="246" spans="1:1" hidden="1" x14ac:dyDescent="0.2">
      <c r="A246" s="69"/>
    </row>
    <row r="247" spans="1:1" hidden="1" x14ac:dyDescent="0.2">
      <c r="A247" s="69"/>
    </row>
    <row r="248" spans="1:1" hidden="1" x14ac:dyDescent="0.2">
      <c r="A248" s="69"/>
    </row>
    <row r="249" spans="1:1" hidden="1" x14ac:dyDescent="0.2">
      <c r="A249" s="69"/>
    </row>
    <row r="250" spans="1:1" hidden="1" x14ac:dyDescent="0.2">
      <c r="A250" s="69"/>
    </row>
    <row r="251" spans="1:1" hidden="1" x14ac:dyDescent="0.2">
      <c r="A251" s="69"/>
    </row>
    <row r="252" spans="1:1" hidden="1" x14ac:dyDescent="0.2">
      <c r="A252" s="69"/>
    </row>
    <row r="253" spans="1:1" hidden="1" x14ac:dyDescent="0.2">
      <c r="A253" s="69"/>
    </row>
    <row r="254" spans="1:1" hidden="1" x14ac:dyDescent="0.2">
      <c r="A254" s="69"/>
    </row>
    <row r="255" spans="1:1" hidden="1" x14ac:dyDescent="0.2">
      <c r="A255" s="69"/>
    </row>
    <row r="256" spans="1:1" hidden="1" x14ac:dyDescent="0.2">
      <c r="A256" s="69"/>
    </row>
    <row r="257" spans="1:1" hidden="1" x14ac:dyDescent="0.2">
      <c r="A257" s="69"/>
    </row>
    <row r="258" spans="1:1" hidden="1" x14ac:dyDescent="0.2">
      <c r="A258" s="69"/>
    </row>
    <row r="259" spans="1:1" hidden="1" x14ac:dyDescent="0.2">
      <c r="A259" s="69"/>
    </row>
    <row r="260" spans="1:1" hidden="1" x14ac:dyDescent="0.2">
      <c r="A260" s="69"/>
    </row>
    <row r="261" spans="1:1" hidden="1" x14ac:dyDescent="0.2">
      <c r="A261" s="69"/>
    </row>
    <row r="262" spans="1:1" hidden="1" x14ac:dyDescent="0.2">
      <c r="A262" s="69"/>
    </row>
    <row r="263" spans="1:1" hidden="1" x14ac:dyDescent="0.2">
      <c r="A263" s="69"/>
    </row>
    <row r="264" spans="1:1" hidden="1" x14ac:dyDescent="0.2">
      <c r="A264" s="69"/>
    </row>
  </sheetData>
  <sheetProtection algorithmName="SHA-512" hashValue="Ak8MV1MeRTbCry9lBjc7hVWE/6FtRpO186rbbi9wPiux4BBKHaC4B0poqHjVSuu7tWSZHiLp20mbFajXNDLKZw==" saltValue="MKleU4YLKZ+vtWcvWrt8uQ==" spinCount="100000" sheet="1" objects="1" scenarios="1"/>
  <mergeCells count="106">
    <mergeCell ref="C168:F168"/>
    <mergeCell ref="C162:F162"/>
    <mergeCell ref="C163:F163"/>
    <mergeCell ref="C164:F164"/>
    <mergeCell ref="C165:F165"/>
    <mergeCell ref="C166:F166"/>
    <mergeCell ref="C167:F167"/>
    <mergeCell ref="C156:F156"/>
    <mergeCell ref="C157:F157"/>
    <mergeCell ref="C158:F158"/>
    <mergeCell ref="C159:F159"/>
    <mergeCell ref="C160:F160"/>
    <mergeCell ref="C161:F161"/>
    <mergeCell ref="C150:F150"/>
    <mergeCell ref="C151:F151"/>
    <mergeCell ref="C152:F152"/>
    <mergeCell ref="C153:F153"/>
    <mergeCell ref="C154:F154"/>
    <mergeCell ref="C155:F155"/>
    <mergeCell ref="C144:F144"/>
    <mergeCell ref="C145:F145"/>
    <mergeCell ref="C146:F146"/>
    <mergeCell ref="C147:F147"/>
    <mergeCell ref="C148:F148"/>
    <mergeCell ref="C149:F149"/>
    <mergeCell ref="C138:F138"/>
    <mergeCell ref="C139:F139"/>
    <mergeCell ref="C140:F140"/>
    <mergeCell ref="C141:F141"/>
    <mergeCell ref="C142:F142"/>
    <mergeCell ref="C143:F143"/>
    <mergeCell ref="C132:F132"/>
    <mergeCell ref="C133:F133"/>
    <mergeCell ref="C134:F134"/>
    <mergeCell ref="C135:F135"/>
    <mergeCell ref="C136:F136"/>
    <mergeCell ref="C137:F137"/>
    <mergeCell ref="C126:F126"/>
    <mergeCell ref="C127:F127"/>
    <mergeCell ref="C128:F128"/>
    <mergeCell ref="C129:F129"/>
    <mergeCell ref="C130:F130"/>
    <mergeCell ref="C131:F131"/>
    <mergeCell ref="B122:L122"/>
    <mergeCell ref="B123:B125"/>
    <mergeCell ref="C123:F125"/>
    <mergeCell ref="H123:H125"/>
    <mergeCell ref="J123:J125"/>
    <mergeCell ref="L123:L125"/>
    <mergeCell ref="C85:F85"/>
    <mergeCell ref="C86:F86"/>
    <mergeCell ref="C87:F87"/>
    <mergeCell ref="C88:F88"/>
    <mergeCell ref="C89:F89"/>
    <mergeCell ref="C90:F90"/>
    <mergeCell ref="C79:F79"/>
    <mergeCell ref="C80:F80"/>
    <mergeCell ref="C81:F81"/>
    <mergeCell ref="C82:F82"/>
    <mergeCell ref="C83:F83"/>
    <mergeCell ref="C84:F84"/>
    <mergeCell ref="C73:F73"/>
    <mergeCell ref="C74:F74"/>
    <mergeCell ref="C75:F75"/>
    <mergeCell ref="C76:F76"/>
    <mergeCell ref="C77:F77"/>
    <mergeCell ref="C78:F78"/>
    <mergeCell ref="C67:F67"/>
    <mergeCell ref="C68:F68"/>
    <mergeCell ref="C69:F69"/>
    <mergeCell ref="C70:F70"/>
    <mergeCell ref="C71:F71"/>
    <mergeCell ref="C72:F72"/>
    <mergeCell ref="C64:F64"/>
    <mergeCell ref="C65:F65"/>
    <mergeCell ref="C66:F66"/>
    <mergeCell ref="C55:F55"/>
    <mergeCell ref="C56:F56"/>
    <mergeCell ref="C57:F57"/>
    <mergeCell ref="C58:F58"/>
    <mergeCell ref="C59:F59"/>
    <mergeCell ref="C60:F60"/>
    <mergeCell ref="C117:M117"/>
    <mergeCell ref="J45:J47"/>
    <mergeCell ref="L45:L47"/>
    <mergeCell ref="C48:F48"/>
    <mergeCell ref="A1:H1"/>
    <mergeCell ref="B4:M4"/>
    <mergeCell ref="B9:J9"/>
    <mergeCell ref="B10:I10"/>
    <mergeCell ref="B12:I12"/>
    <mergeCell ref="B44:L44"/>
    <mergeCell ref="B19:M19"/>
    <mergeCell ref="C35:M35"/>
    <mergeCell ref="C49:F49"/>
    <mergeCell ref="C50:F50"/>
    <mergeCell ref="C51:F51"/>
    <mergeCell ref="C52:F52"/>
    <mergeCell ref="C53:F53"/>
    <mergeCell ref="C54:F54"/>
    <mergeCell ref="B45:B47"/>
    <mergeCell ref="C45:F47"/>
    <mergeCell ref="H45:H47"/>
    <mergeCell ref="C61:F61"/>
    <mergeCell ref="C62:F62"/>
    <mergeCell ref="C63:F63"/>
  </mergeCells>
  <conditionalFormatting sqref="F20:F21 G21 E22:G22 F23:G26 G27:L27 F27:F33 G28:G29 I28:I29 G30:L30 G31:G34 M48:N89">
    <cfRule type="cellIs" dxfId="99" priority="6" stopIfTrue="1" operator="notEqual">
      <formula>#REF!</formula>
    </cfRule>
  </conditionalFormatting>
  <conditionalFormatting sqref="J170">
    <cfRule type="cellIs" dxfId="98" priority="2" stopIfTrue="1" operator="notEqual">
      <formula>#REF!</formula>
    </cfRule>
  </conditionalFormatting>
  <conditionalFormatting sqref="J172">
    <cfRule type="cellIs" dxfId="97" priority="4" stopIfTrue="1" operator="notEqual">
      <formula>#REF!</formula>
    </cfRule>
  </conditionalFormatting>
  <conditionalFormatting sqref="K10 M10:N18 K11:L11 K12 F16:I16 A17:L18 A19:B19 N19 A20:E20 G20:N20 M21:O21 I21:I22 K21:K22 M34:N34 N35 M36:N42">
    <cfRule type="cellIs" dxfId="96" priority="5" stopIfTrue="1" operator="notEqual">
      <formula>#REF!</formula>
    </cfRule>
  </conditionalFormatting>
  <conditionalFormatting sqref="M168">
    <cfRule type="cellIs" dxfId="95" priority="1" stopIfTrue="1" operator="notEqual">
      <formula>#REF!</formula>
    </cfRule>
  </conditionalFormatting>
  <conditionalFormatting sqref="M126:N167">
    <cfRule type="cellIs" dxfId="94" priority="3" stopIfTrue="1" operator="notEqual">
      <formula>#REF!</formula>
    </cfRule>
  </conditionalFormatting>
  <dataValidations count="11">
    <dataValidation type="list" allowBlank="1" showInputMessage="1" showErrorMessage="1" sqref="L12" xr:uid="{00000000-0002-0000-7100-000000000000}">
      <formula1>$Y$7:$Y$9</formula1>
    </dataValidation>
    <dataValidation type="textLength" operator="greaterThanOrEqual" allowBlank="1" showInputMessage="1" showErrorMessage="1" errorTitle="IT / ROC number" error="Please enter the correct reference!" sqref="B48:B89 B126:B167" xr:uid="{00000000-0002-0000-7100-000001000000}">
      <formula1>9</formula1>
    </dataValidation>
    <dataValidation type="whole" operator="greaterThanOrEqual" allowBlank="1" showInputMessage="1" showErrorMessage="1" errorTitle="Capital Allowances surrendered" error="Please enter a positive number !" sqref="H48:H89 J48:J89 L48:L89 H126 J126 L126" xr:uid="{00000000-0002-0000-7100-000002000000}">
      <formula1>0</formula1>
    </dataValidation>
    <dataValidation type="whole" operator="greaterThanOrEqual" allowBlank="1" showInputMessage="1" showErrorMessage="1" errorTitle="Capital allowances b/fwd" error="Figure must be greater than 0!" sqref="H23 J23 L23 H31 J31 L31" xr:uid="{00000000-0002-0000-7100-000003000000}">
      <formula1>0</formula1>
    </dataValidation>
    <dataValidation type="whole" allowBlank="1" showInputMessage="1" showErrorMessage="1" errorTitle="Capital allowances YA2020" error="Figure must be greater than 0 but cannot exceed total capital allowance b/fwd!" sqref="L25 J25" xr:uid="{00000000-0002-0000-7100-000004000000}">
      <formula1>0</formula1>
      <formula2>J23</formula2>
    </dataValidation>
    <dataValidation type="list" allowBlank="1" showInputMessage="1" showErrorMessage="1" sqref="L10" xr:uid="{00000000-0002-0000-7100-000005000000}">
      <formula1>$X$7:$X$9</formula1>
    </dataValidation>
    <dataValidation operator="greaterThanOrEqual" allowBlank="1" showInputMessage="1" showErrorMessage="1" errorTitle="TRA 19" error="Please enter a positive number !" sqref="J127:J167 L127:L167 H127:H167" xr:uid="{00000000-0002-0000-7100-000006000000}"/>
    <dataValidation type="list" allowBlank="1" showInputMessage="1" showErrorMessage="1" errorTitle="Choose item from Dropdown list! " sqref="H172 H170" xr:uid="{00000000-0002-0000-7100-000007000000}">
      <formula1>$X$7:$X$9</formula1>
    </dataValidation>
    <dataValidation type="whole" operator="lessThanOrEqual" allowBlank="1" showInputMessage="1" showErrorMessage="1" errorTitle="TRA 19" error="Please enter a positive number !" sqref="K127:K167" xr:uid="{00000000-0002-0000-7100-000008000000}">
      <formula1>0</formula1>
    </dataValidation>
    <dataValidation type="textLength" operator="greaterThanOrEqual" allowBlank="1" showInputMessage="1" showErrorMessage="1" errorTitle="Company Name" error="Please enter a proper name!" sqref="C48:C89 C148:C167 C126:C146" xr:uid="{00000000-0002-0000-7100-000009000000}">
      <formula1>6</formula1>
    </dataValidation>
    <dataValidation type="whole" allowBlank="1" showInputMessage="1" showErrorMessage="1" errorTitle="Capital allowances YA2020" error="Figure must be greater than 0 but cannot exceed total capital allowance b/fwd! " sqref="H25" xr:uid="{00000000-0002-0000-7100-00000A000000}">
      <formula1>0</formula1>
      <formula2>H23</formula2>
    </dataValidation>
  </dataValidations>
  <hyperlinks>
    <hyperlink ref="B177" location="Index!A1" display="BACK TO INDEX" xr:uid="{00000000-0004-0000-7100-000000000000}"/>
  </hyperlinks>
  <pageMargins left="0.7" right="0.7" top="0.75" bottom="0.75" header="0.3" footer="0.3"/>
  <pageSetup paperSize="9" orientation="portrait" r:id="rId1"/>
  <legacy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3AE2-BA20-4357-B17B-4C62F97C5216}">
  <sheetPr codeName="Sheet125"/>
  <dimension ref="A1:T94"/>
  <sheetViews>
    <sheetView showGridLines="0" zoomScale="85" zoomScaleNormal="85" workbookViewId="0"/>
  </sheetViews>
  <sheetFormatPr defaultColWidth="0" defaultRowHeight="12.75" zeroHeight="1" x14ac:dyDescent="0.2"/>
  <cols>
    <col min="1" max="1" width="5.710937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10" width="13.28515625" style="1485" customWidth="1"/>
    <col min="11" max="11" width="33.5703125" style="1485" customWidth="1"/>
    <col min="12" max="15" width="9.28515625" style="1485" hidden="1" customWidth="1"/>
    <col min="16" max="16" width="10.28515625" style="1485" hidden="1" customWidth="1"/>
    <col min="17" max="17" width="10.7109375" style="1485" hidden="1" customWidth="1"/>
    <col min="18" max="19" width="10.28515625" style="1485" hidden="1" customWidth="1"/>
    <col min="20" max="20" width="15.42578125" style="1485" hidden="1" customWidth="1"/>
    <col min="21" max="16384" width="9.28515625" style="1485" hidden="1"/>
  </cols>
  <sheetData>
    <row r="1" spans="1:20" x14ac:dyDescent="0.2">
      <c r="A1" s="3315" t="str">
        <f>_ref1</f>
      </c>
      <c r="B1" s="3315"/>
      <c r="C1" s="3315"/>
      <c r="D1" s="3315"/>
      <c r="E1" s="3315"/>
      <c r="F1" s="3315"/>
      <c r="G1" s="3315"/>
      <c r="H1" s="3315"/>
      <c r="I1" s="3315"/>
      <c r="J1" s="3315" t="str">
        <f>_YA1</f>
      </c>
      <c r="K1" s="3315"/>
      <c r="N1" s="1871" t="s">
        <v>10463</v>
      </c>
      <c r="O1" s="1485" t="str">
        <f>'p2'!G36</f>
      </c>
      <c r="Q1" s="3123" t="s">
        <v>3994</v>
      </c>
      <c r="R1" s="3123">
        <f>ya</f>
      </c>
    </row>
    <row r="2" spans="1:20" x14ac:dyDescent="0.2">
      <c r="A2" s="3315"/>
      <c r="B2" s="3315"/>
      <c r="C2" s="3315"/>
      <c r="D2" s="3315"/>
      <c r="E2" s="3315"/>
      <c r="F2" s="3315"/>
      <c r="G2" s="3315"/>
      <c r="H2" s="3315"/>
      <c r="I2" s="3315"/>
      <c r="J2" s="3315"/>
      <c r="K2" s="3315"/>
      <c r="Q2" s="3123" t="s">
        <v>2705</v>
      </c>
      <c r="R2" s="3123">
        <f>R1-1</f>
      </c>
      <c r="T2" s="1485" t="s">
        <v>10464</v>
      </c>
    </row>
    <row r="3" spans="1:20" ht="14.25" x14ac:dyDescent="0.2">
      <c r="A3" s="3315"/>
      <c r="B3" s="1808" t="s">
        <v>7026</v>
      </c>
      <c r="C3" s="1809"/>
      <c r="D3" s="1809"/>
      <c r="E3" s="1809"/>
      <c r="F3" s="1809"/>
      <c r="G3" s="1809"/>
      <c r="H3" s="1809"/>
      <c r="I3" s="1809"/>
      <c r="J3" s="1810"/>
      <c r="K3" s="3315"/>
      <c r="T3" s="1485" t="s">
        <v>1736</v>
      </c>
    </row>
    <row r="4" spans="1:20" ht="14.25" x14ac:dyDescent="0.2">
      <c r="A4" s="3315"/>
      <c r="B4" s="1811" t="s">
        <v>10465</v>
      </c>
      <c r="C4" s="1812"/>
      <c r="D4" s="1812"/>
      <c r="E4" s="1812"/>
      <c r="F4" s="1812"/>
      <c r="G4" s="1812"/>
      <c r="H4" s="1812"/>
      <c r="I4" s="1812"/>
      <c r="J4" s="1813"/>
      <c r="K4" s="3315"/>
      <c r="M4" s="1873">
        <f>SUM(M6:M88)</f>
      </c>
      <c r="N4" s="1873">
        <f>SUM(N6:N88)</f>
      </c>
      <c r="Q4" s="1485" t="s">
        <v>10466</v>
      </c>
      <c r="R4" s="1485">
        <v>2023</v>
      </c>
    </row>
    <row r="5" spans="1:20" x14ac:dyDescent="0.2">
      <c r="A5" s="3315"/>
      <c r="B5" s="3315"/>
      <c r="C5" s="3315"/>
      <c r="D5" s="3315"/>
      <c r="E5" s="3315"/>
      <c r="F5" s="3315"/>
      <c r="G5" s="3315"/>
      <c r="H5" s="3315"/>
      <c r="I5" s="3315"/>
      <c r="J5" s="3315"/>
      <c r="K5" s="3315"/>
      <c r="M5" s="1485" t="s">
        <v>7439</v>
      </c>
      <c r="N5" s="1485" t="s">
        <v>7161</v>
      </c>
      <c r="Q5" s="1485" t="s">
        <v>10467</v>
      </c>
      <c r="R5" s="1485">
        <f>IF(R1=2023,2023,2024)</f>
      </c>
    </row>
    <row r="6" spans="1:20" x14ac:dyDescent="0.2">
      <c r="A6" s="3315"/>
      <c r="B6" s="3315"/>
      <c r="C6" s="1938"/>
      <c r="D6" s="1938"/>
      <c r="E6" s="2239" t="s">
        <v>10468</v>
      </c>
      <c r="F6" s="3315"/>
      <c r="G6" s="3352"/>
      <c r="H6" s="3985" t="str">
        <f>IF(N4=0,"",IF(AND(N4&gt;0,G6=""),re,""))</f>
        <v/>
      </c>
      <c r="I6" s="3315"/>
      <c r="J6" s="3315"/>
      <c r="K6" s="3315"/>
      <c r="M6" s="3123">
        <f>IF(H6="",0,1)</f>
      </c>
      <c r="N6" s="3123">
        <f>IF(G6&lt;&gt;"",1,0)</f>
      </c>
    </row>
    <row r="7" spans="1:20" x14ac:dyDescent="0.2">
      <c r="A7" s="3315"/>
      <c r="B7" s="3315"/>
      <c r="C7" s="3315"/>
      <c r="D7" s="3315"/>
      <c r="E7" s="3315"/>
      <c r="F7" s="3315"/>
      <c r="G7" s="3315"/>
      <c r="H7" s="3315"/>
      <c r="I7" s="3315"/>
      <c r="J7" s="3315"/>
      <c r="K7" s="3315"/>
    </row>
    <row r="8" spans="1:20" ht="63.75" customHeight="1" x14ac:dyDescent="0.2">
      <c r="A8" s="3315"/>
      <c r="B8" s="1955" t="s">
        <v>10083</v>
      </c>
      <c r="C8" s="3986" t="s">
        <v>7154</v>
      </c>
      <c r="D8" s="3987" t="s">
        <v>7155</v>
      </c>
      <c r="E8" s="3986" t="s">
        <v>7156</v>
      </c>
      <c r="F8" s="3986" t="s">
        <v>9114</v>
      </c>
      <c r="G8" s="3986" t="s">
        <v>7159</v>
      </c>
      <c r="H8" s="3986" t="s">
        <v>10469</v>
      </c>
      <c r="I8" s="3986" t="s">
        <v>7157</v>
      </c>
      <c r="J8" s="3986" t="s">
        <v>10470</v>
      </c>
      <c r="K8" s="3315"/>
    </row>
    <row r="9" spans="1:20" x14ac:dyDescent="0.2">
      <c r="A9" s="3748">
        <v>1</v>
      </c>
      <c r="B9" s="3988"/>
      <c r="C9" s="1208"/>
      <c r="D9" s="809"/>
      <c r="E9" s="3989"/>
      <c r="F9" s="3990"/>
      <c r="G9" s="3989"/>
      <c r="H9" s="1899">
        <f>IF(F9="",0,E9-G9)</f>
      </c>
      <c r="I9" s="3989"/>
      <c r="J9" s="3991">
        <f>IF(H9=0,0,H9-I9)</f>
      </c>
      <c r="K9" s="3985" t="str">
        <f t="shared" ref="K9:K40" si="0">IF(AND($G$6&gt;0,A9&lt;=$G$6,N9=0),re,IF(AND($O$1="n",B9&lt;&gt;""),"Not a fiscal Unit",IF(AND($G$6&gt;0,A9&lt;=$G$6,$O$1="y",N9&lt;7),"All data",IF(AND(A9&gt;$G$6,N9&gt;0),"No details required",IF(AND($G$6&gt;0,A9&lt;=$G$6,$O$1="n",N9&lt;6),"All data",IF(AND(F9&gt;=$R$1,G9&gt;0),"Check utilised credit in previous years",IF(I9&gt;H9,"Excessive utilised credit!","")))))))</f>
        <v/>
      </c>
      <c r="M9" s="3123">
        <f>IF(K9="",0,1)</f>
      </c>
      <c r="N9" s="3123">
        <f t="shared" ref="N9:N40" si="1">IF($O$1="n",COUNTA(C9:G9,I9),IF($O$1="y",COUNTA(B9:G9,I9),0))</f>
      </c>
    </row>
    <row r="10" spans="1:20" x14ac:dyDescent="0.2">
      <c r="A10" s="3748">
        <v>2</v>
      </c>
      <c r="B10" s="3352"/>
      <c r="C10" s="1208"/>
      <c r="D10" s="809"/>
      <c r="E10" s="3989"/>
      <c r="F10" s="3990"/>
      <c r="G10" s="3989"/>
      <c r="H10" s="1899">
        <f t="shared" ref="H10:H78" si="2">IF(F10="",0,E10-G10)</f>
      </c>
      <c r="I10" s="3989"/>
      <c r="J10" s="3991">
        <f t="shared" ref="J10:J78" si="3">IF(H10=0,0,H10-I10)</f>
      </c>
      <c r="K10" s="3985" t="str">
        <f t="shared" si="0"/>
        <v/>
      </c>
      <c r="M10" s="3123">
        <f t="shared" ref="M10:M78" si="4">IF(K10="",0,1)</f>
      </c>
      <c r="N10" s="3123">
        <f t="shared" si="1"/>
        <v>0</v>
      </c>
    </row>
    <row r="11" spans="1:20" x14ac:dyDescent="0.2">
      <c r="A11" s="3748">
        <v>3</v>
      </c>
      <c r="B11" s="3352"/>
      <c r="C11" s="1208"/>
      <c r="D11" s="809"/>
      <c r="E11" s="3989"/>
      <c r="F11" s="3990"/>
      <c r="G11" s="3989"/>
      <c r="H11" s="1899">
        <f t="shared" si="2"/>
        <v>0</v>
      </c>
      <c r="I11" s="3989"/>
      <c r="J11" s="3991">
        <f t="shared" si="3"/>
        <v>0</v>
      </c>
      <c r="K11" s="3985" t="str">
        <f t="shared" si="0"/>
        <v/>
      </c>
      <c r="M11" s="3123">
        <f t="shared" si="4"/>
        <v>0</v>
      </c>
      <c r="N11" s="3123">
        <f t="shared" si="1"/>
        <v>0</v>
      </c>
    </row>
    <row r="12" spans="1:20" x14ac:dyDescent="0.2">
      <c r="A12" s="3748">
        <v>4</v>
      </c>
      <c r="B12" s="3352"/>
      <c r="C12" s="1208"/>
      <c r="D12" s="809"/>
      <c r="E12" s="3989"/>
      <c r="F12" s="3990"/>
      <c r="G12" s="3989"/>
      <c r="H12" s="1899">
        <f t="shared" si="2"/>
        <v>0</v>
      </c>
      <c r="I12" s="3989"/>
      <c r="J12" s="3991">
        <f t="shared" si="3"/>
        <v>0</v>
      </c>
      <c r="K12" s="3985" t="str">
        <f t="shared" si="0"/>
        <v/>
      </c>
      <c r="M12" s="3123">
        <f t="shared" si="4"/>
        <v>0</v>
      </c>
      <c r="N12" s="3123">
        <f t="shared" si="1"/>
        <v>0</v>
      </c>
    </row>
    <row r="13" spans="1:20" x14ac:dyDescent="0.2">
      <c r="A13" s="3748">
        <v>5</v>
      </c>
      <c r="B13" s="3352"/>
      <c r="C13" s="1208"/>
      <c r="D13" s="809"/>
      <c r="E13" s="3989"/>
      <c r="F13" s="3990"/>
      <c r="G13" s="3989"/>
      <c r="H13" s="1899">
        <f t="shared" si="2"/>
        <v>0</v>
      </c>
      <c r="I13" s="3989"/>
      <c r="J13" s="3991">
        <f t="shared" si="3"/>
        <v>0</v>
      </c>
      <c r="K13" s="3985" t="str">
        <f t="shared" si="0"/>
        <v/>
      </c>
      <c r="M13" s="3123">
        <f t="shared" si="4"/>
        <v>0</v>
      </c>
      <c r="N13" s="3123">
        <f t="shared" si="1"/>
        <v>0</v>
      </c>
    </row>
    <row r="14" spans="1:20" x14ac:dyDescent="0.2">
      <c r="A14" s="3748">
        <v>6</v>
      </c>
      <c r="B14" s="3352"/>
      <c r="C14" s="1208"/>
      <c r="D14" s="809"/>
      <c r="E14" s="3989"/>
      <c r="F14" s="3990"/>
      <c r="G14" s="3989"/>
      <c r="H14" s="1899">
        <f t="shared" si="2"/>
        <v>0</v>
      </c>
      <c r="I14" s="3989"/>
      <c r="J14" s="3991">
        <f t="shared" si="3"/>
        <v>0</v>
      </c>
      <c r="K14" s="3985" t="str">
        <f t="shared" si="0"/>
        <v/>
      </c>
      <c r="M14" s="3123">
        <f t="shared" si="4"/>
        <v>0</v>
      </c>
      <c r="N14" s="3123">
        <f t="shared" si="1"/>
        <v>0</v>
      </c>
    </row>
    <row r="15" spans="1:20" x14ac:dyDescent="0.2">
      <c r="A15" s="3748">
        <v>7</v>
      </c>
      <c r="B15" s="3352"/>
      <c r="C15" s="1208"/>
      <c r="D15" s="809"/>
      <c r="E15" s="3989"/>
      <c r="F15" s="3990"/>
      <c r="G15" s="3989"/>
      <c r="H15" s="1899">
        <f t="shared" si="2"/>
        <v>0</v>
      </c>
      <c r="I15" s="3989"/>
      <c r="J15" s="3991">
        <f t="shared" si="3"/>
        <v>0</v>
      </c>
      <c r="K15" s="3985" t="str">
        <f t="shared" si="0"/>
        <v/>
      </c>
      <c r="M15" s="3123">
        <f t="shared" si="4"/>
        <v>0</v>
      </c>
      <c r="N15" s="3123">
        <f t="shared" si="1"/>
        <v>0</v>
      </c>
    </row>
    <row r="16" spans="1:20" x14ac:dyDescent="0.2">
      <c r="A16" s="3748">
        <v>8</v>
      </c>
      <c r="B16" s="3352"/>
      <c r="C16" s="1208"/>
      <c r="D16" s="809"/>
      <c r="E16" s="3989"/>
      <c r="F16" s="3990"/>
      <c r="G16" s="3989"/>
      <c r="H16" s="1899">
        <f t="shared" si="2"/>
        <v>0</v>
      </c>
      <c r="I16" s="3989"/>
      <c r="J16" s="3991">
        <f t="shared" si="3"/>
        <v>0</v>
      </c>
      <c r="K16" s="3985" t="str">
        <f t="shared" si="0"/>
        <v/>
      </c>
      <c r="M16" s="3123">
        <f t="shared" si="4"/>
        <v>0</v>
      </c>
      <c r="N16" s="3123">
        <f t="shared" si="1"/>
        <v>0</v>
      </c>
    </row>
    <row r="17" spans="1:14" x14ac:dyDescent="0.2">
      <c r="A17" s="3748">
        <v>9</v>
      </c>
      <c r="B17" s="3352"/>
      <c r="C17" s="1208"/>
      <c r="D17" s="809"/>
      <c r="E17" s="3989"/>
      <c r="F17" s="3990"/>
      <c r="G17" s="3989"/>
      <c r="H17" s="1899">
        <f t="shared" si="2"/>
        <v>0</v>
      </c>
      <c r="I17" s="3989"/>
      <c r="J17" s="3991">
        <f t="shared" si="3"/>
        <v>0</v>
      </c>
      <c r="K17" s="3985" t="str">
        <f t="shared" si="0"/>
        <v/>
      </c>
      <c r="M17" s="3123">
        <f t="shared" si="4"/>
        <v>0</v>
      </c>
      <c r="N17" s="3123">
        <f t="shared" si="1"/>
        <v>0</v>
      </c>
    </row>
    <row r="18" spans="1:14" x14ac:dyDescent="0.2">
      <c r="A18" s="3748">
        <v>10</v>
      </c>
      <c r="B18" s="3352"/>
      <c r="C18" s="1208"/>
      <c r="D18" s="809"/>
      <c r="E18" s="3989"/>
      <c r="F18" s="3990"/>
      <c r="G18" s="3989"/>
      <c r="H18" s="1899">
        <f t="shared" si="2"/>
        <v>0</v>
      </c>
      <c r="I18" s="3989"/>
      <c r="J18" s="3991">
        <f t="shared" si="3"/>
        <v>0</v>
      </c>
      <c r="K18" s="3985" t="str">
        <f t="shared" si="0"/>
        <v/>
      </c>
      <c r="M18" s="3123">
        <f t="shared" si="4"/>
        <v>0</v>
      </c>
      <c r="N18" s="3123">
        <f t="shared" si="1"/>
        <v>0</v>
      </c>
    </row>
    <row r="19" spans="1:14" x14ac:dyDescent="0.2">
      <c r="A19" s="3748">
        <v>11</v>
      </c>
      <c r="B19" s="3352"/>
      <c r="C19" s="1208"/>
      <c r="D19" s="809"/>
      <c r="E19" s="3989"/>
      <c r="F19" s="3990"/>
      <c r="G19" s="3989"/>
      <c r="H19" s="1899">
        <f t="shared" si="2"/>
        <v>0</v>
      </c>
      <c r="I19" s="3989"/>
      <c r="J19" s="3991">
        <f t="shared" si="3"/>
        <v>0</v>
      </c>
      <c r="K19" s="3985" t="str">
        <f t="shared" si="0"/>
        <v/>
      </c>
      <c r="M19" s="3123">
        <f t="shared" si="4"/>
        <v>0</v>
      </c>
      <c r="N19" s="3123">
        <f t="shared" si="1"/>
        <v>0</v>
      </c>
    </row>
    <row r="20" spans="1:14" x14ac:dyDescent="0.2">
      <c r="A20" s="3748">
        <v>12</v>
      </c>
      <c r="B20" s="3352"/>
      <c r="C20" s="1208"/>
      <c r="D20" s="809"/>
      <c r="E20" s="3989"/>
      <c r="F20" s="3990"/>
      <c r="G20" s="3989"/>
      <c r="H20" s="1899">
        <f t="shared" si="2"/>
        <v>0</v>
      </c>
      <c r="I20" s="3989"/>
      <c r="J20" s="3991">
        <f t="shared" si="3"/>
        <v>0</v>
      </c>
      <c r="K20" s="3985" t="str">
        <f t="shared" si="0"/>
        <v/>
      </c>
      <c r="M20" s="3123">
        <f t="shared" si="4"/>
        <v>0</v>
      </c>
      <c r="N20" s="3123">
        <f t="shared" si="1"/>
        <v>0</v>
      </c>
    </row>
    <row r="21" spans="1:14" x14ac:dyDescent="0.2">
      <c r="A21" s="3748">
        <v>13</v>
      </c>
      <c r="B21" s="3352"/>
      <c r="C21" s="1208"/>
      <c r="D21" s="809"/>
      <c r="E21" s="3989"/>
      <c r="F21" s="3990"/>
      <c r="G21" s="3989"/>
      <c r="H21" s="1899">
        <f t="shared" si="2"/>
        <v>0</v>
      </c>
      <c r="I21" s="3989"/>
      <c r="J21" s="3991">
        <f t="shared" si="3"/>
        <v>0</v>
      </c>
      <c r="K21" s="3985" t="str">
        <f t="shared" si="0"/>
        <v/>
      </c>
      <c r="M21" s="3123">
        <f t="shared" si="4"/>
        <v>0</v>
      </c>
      <c r="N21" s="3123">
        <f t="shared" si="1"/>
        <v>0</v>
      </c>
    </row>
    <row r="22" spans="1:14" x14ac:dyDescent="0.2">
      <c r="A22" s="3748">
        <v>14</v>
      </c>
      <c r="B22" s="3352"/>
      <c r="C22" s="1208"/>
      <c r="D22" s="809"/>
      <c r="E22" s="3989"/>
      <c r="F22" s="3990"/>
      <c r="G22" s="3989"/>
      <c r="H22" s="1899">
        <f t="shared" si="2"/>
        <v>0</v>
      </c>
      <c r="I22" s="3989"/>
      <c r="J22" s="3991">
        <f t="shared" si="3"/>
        <v>0</v>
      </c>
      <c r="K22" s="3985" t="str">
        <f t="shared" si="0"/>
        <v/>
      </c>
      <c r="M22" s="3123">
        <f t="shared" si="4"/>
        <v>0</v>
      </c>
      <c r="N22" s="3123">
        <f t="shared" si="1"/>
        <v>0</v>
      </c>
    </row>
    <row r="23" spans="1:14" x14ac:dyDescent="0.2">
      <c r="A23" s="3748">
        <v>15</v>
      </c>
      <c r="B23" s="3352"/>
      <c r="C23" s="1208"/>
      <c r="D23" s="809"/>
      <c r="E23" s="3989"/>
      <c r="F23" s="3990"/>
      <c r="G23" s="3989"/>
      <c r="H23" s="1899">
        <f t="shared" si="2"/>
        <v>0</v>
      </c>
      <c r="I23" s="3989"/>
      <c r="J23" s="3991">
        <f t="shared" si="3"/>
        <v>0</v>
      </c>
      <c r="K23" s="3985" t="str">
        <f t="shared" si="0"/>
        <v/>
      </c>
      <c r="M23" s="3123">
        <f t="shared" si="4"/>
        <v>0</v>
      </c>
      <c r="N23" s="3123">
        <f t="shared" si="1"/>
        <v>0</v>
      </c>
    </row>
    <row r="24" spans="1:14" x14ac:dyDescent="0.2">
      <c r="A24" s="3748">
        <v>16</v>
      </c>
      <c r="B24" s="3352"/>
      <c r="C24" s="1208"/>
      <c r="D24" s="809"/>
      <c r="E24" s="3989"/>
      <c r="F24" s="3990"/>
      <c r="G24" s="3989"/>
      <c r="H24" s="1899">
        <f t="shared" si="2"/>
        <v>0</v>
      </c>
      <c r="I24" s="3989"/>
      <c r="J24" s="3991">
        <f t="shared" si="3"/>
        <v>0</v>
      </c>
      <c r="K24" s="3985" t="str">
        <f t="shared" si="0"/>
        <v/>
      </c>
      <c r="M24" s="3123">
        <f t="shared" si="4"/>
        <v>0</v>
      </c>
      <c r="N24" s="3123">
        <f t="shared" si="1"/>
        <v>0</v>
      </c>
    </row>
    <row r="25" spans="1:14" x14ac:dyDescent="0.2">
      <c r="A25" s="3748">
        <v>17</v>
      </c>
      <c r="B25" s="3352"/>
      <c r="C25" s="1208"/>
      <c r="D25" s="809"/>
      <c r="E25" s="3989"/>
      <c r="F25" s="3990"/>
      <c r="G25" s="3989"/>
      <c r="H25" s="1899">
        <f t="shared" si="2"/>
        <v>0</v>
      </c>
      <c r="I25" s="3989"/>
      <c r="J25" s="3991">
        <f t="shared" si="3"/>
        <v>0</v>
      </c>
      <c r="K25" s="3985" t="str">
        <f t="shared" si="0"/>
        <v/>
      </c>
      <c r="M25" s="3123">
        <f t="shared" si="4"/>
        <v>0</v>
      </c>
      <c r="N25" s="3123">
        <f t="shared" si="1"/>
        <v>0</v>
      </c>
    </row>
    <row r="26" spans="1:14" x14ac:dyDescent="0.2">
      <c r="A26" s="3748">
        <v>18</v>
      </c>
      <c r="B26" s="3352"/>
      <c r="C26" s="1208"/>
      <c r="D26" s="809"/>
      <c r="E26" s="3989"/>
      <c r="F26" s="3990"/>
      <c r="G26" s="3989"/>
      <c r="H26" s="1899">
        <f t="shared" si="2"/>
        <v>0</v>
      </c>
      <c r="I26" s="3989"/>
      <c r="J26" s="3991">
        <f t="shared" si="3"/>
        <v>0</v>
      </c>
      <c r="K26" s="3985" t="str">
        <f t="shared" si="0"/>
        <v/>
      </c>
      <c r="M26" s="3123">
        <f t="shared" si="4"/>
        <v>0</v>
      </c>
      <c r="N26" s="3123">
        <f t="shared" si="1"/>
        <v>0</v>
      </c>
    </row>
    <row r="27" spans="1:14" x14ac:dyDescent="0.2">
      <c r="A27" s="3748">
        <v>19</v>
      </c>
      <c r="B27" s="3352"/>
      <c r="C27" s="1208"/>
      <c r="D27" s="809"/>
      <c r="E27" s="3989"/>
      <c r="F27" s="3990"/>
      <c r="G27" s="3989"/>
      <c r="H27" s="1899">
        <f t="shared" si="2"/>
        <v>0</v>
      </c>
      <c r="I27" s="3989"/>
      <c r="J27" s="3991">
        <f t="shared" si="3"/>
        <v>0</v>
      </c>
      <c r="K27" s="3985" t="str">
        <f t="shared" si="0"/>
        <v/>
      </c>
      <c r="M27" s="3123">
        <f t="shared" si="4"/>
        <v>0</v>
      </c>
      <c r="N27" s="3123">
        <f t="shared" si="1"/>
        <v>0</v>
      </c>
    </row>
    <row r="28" spans="1:14" x14ac:dyDescent="0.2">
      <c r="A28" s="3748">
        <v>20</v>
      </c>
      <c r="B28" s="3352"/>
      <c r="C28" s="1208"/>
      <c r="D28" s="809"/>
      <c r="E28" s="3989"/>
      <c r="F28" s="3990"/>
      <c r="G28" s="3989"/>
      <c r="H28" s="1899">
        <f t="shared" si="2"/>
        <v>0</v>
      </c>
      <c r="I28" s="3989"/>
      <c r="J28" s="3991">
        <f t="shared" si="3"/>
        <v>0</v>
      </c>
      <c r="K28" s="3985" t="str">
        <f t="shared" si="0"/>
        <v/>
      </c>
      <c r="M28" s="3123">
        <f t="shared" si="4"/>
        <v>0</v>
      </c>
      <c r="N28" s="3123">
        <f t="shared" si="1"/>
        <v>0</v>
      </c>
    </row>
    <row r="29" spans="1:14" x14ac:dyDescent="0.2">
      <c r="A29" s="3748">
        <v>21</v>
      </c>
      <c r="B29" s="3352"/>
      <c r="C29" s="1208"/>
      <c r="D29" s="809"/>
      <c r="E29" s="3989"/>
      <c r="F29" s="3990"/>
      <c r="G29" s="3989"/>
      <c r="H29" s="1899">
        <f t="shared" si="2"/>
        <v>0</v>
      </c>
      <c r="I29" s="3989"/>
      <c r="J29" s="3991">
        <f t="shared" si="3"/>
        <v>0</v>
      </c>
      <c r="K29" s="3985" t="str">
        <f t="shared" si="0"/>
        <v/>
      </c>
      <c r="M29" s="3123">
        <f t="shared" si="4"/>
        <v>0</v>
      </c>
      <c r="N29" s="3123">
        <f t="shared" si="1"/>
        <v>0</v>
      </c>
    </row>
    <row r="30" spans="1:14" x14ac:dyDescent="0.2">
      <c r="A30" s="3748">
        <v>22</v>
      </c>
      <c r="B30" s="3352"/>
      <c r="C30" s="1208"/>
      <c r="D30" s="809"/>
      <c r="E30" s="3989"/>
      <c r="F30" s="3990"/>
      <c r="G30" s="3989"/>
      <c r="H30" s="1899">
        <f t="shared" si="2"/>
        <v>0</v>
      </c>
      <c r="I30" s="3989"/>
      <c r="J30" s="3991">
        <f t="shared" si="3"/>
        <v>0</v>
      </c>
      <c r="K30" s="3985" t="str">
        <f t="shared" si="0"/>
        <v/>
      </c>
      <c r="M30" s="3123">
        <f t="shared" si="4"/>
        <v>0</v>
      </c>
      <c r="N30" s="3123">
        <f t="shared" si="1"/>
        <v>0</v>
      </c>
    </row>
    <row r="31" spans="1:14" x14ac:dyDescent="0.2">
      <c r="A31" s="3748">
        <v>23</v>
      </c>
      <c r="B31" s="3352"/>
      <c r="C31" s="1208"/>
      <c r="D31" s="809"/>
      <c r="E31" s="3989"/>
      <c r="F31" s="3990"/>
      <c r="G31" s="3989"/>
      <c r="H31" s="1899">
        <f t="shared" si="2"/>
        <v>0</v>
      </c>
      <c r="I31" s="3989"/>
      <c r="J31" s="3991">
        <f t="shared" si="3"/>
        <v>0</v>
      </c>
      <c r="K31" s="3985" t="str">
        <f t="shared" si="0"/>
        <v/>
      </c>
      <c r="M31" s="3123">
        <f t="shared" si="4"/>
        <v>0</v>
      </c>
      <c r="N31" s="3123">
        <f t="shared" si="1"/>
        <v>0</v>
      </c>
    </row>
    <row r="32" spans="1:14" x14ac:dyDescent="0.2">
      <c r="A32" s="3748">
        <v>24</v>
      </c>
      <c r="B32" s="3352"/>
      <c r="C32" s="1208"/>
      <c r="D32" s="809"/>
      <c r="E32" s="3989"/>
      <c r="F32" s="3990"/>
      <c r="G32" s="3989"/>
      <c r="H32" s="1899">
        <f t="shared" si="2"/>
        <v>0</v>
      </c>
      <c r="I32" s="3989"/>
      <c r="J32" s="3991">
        <f t="shared" si="3"/>
        <v>0</v>
      </c>
      <c r="K32" s="3985" t="str">
        <f t="shared" si="0"/>
        <v/>
      </c>
      <c r="M32" s="3123">
        <f t="shared" si="4"/>
        <v>0</v>
      </c>
      <c r="N32" s="3123">
        <f t="shared" si="1"/>
        <v>0</v>
      </c>
    </row>
    <row r="33" spans="1:14" x14ac:dyDescent="0.2">
      <c r="A33" s="3748">
        <v>25</v>
      </c>
      <c r="B33" s="3352"/>
      <c r="C33" s="1208"/>
      <c r="D33" s="809"/>
      <c r="E33" s="3989"/>
      <c r="F33" s="3990"/>
      <c r="G33" s="3989"/>
      <c r="H33" s="1899">
        <f t="shared" si="2"/>
        <v>0</v>
      </c>
      <c r="I33" s="3989"/>
      <c r="J33" s="3991">
        <f t="shared" si="3"/>
        <v>0</v>
      </c>
      <c r="K33" s="3985" t="str">
        <f t="shared" si="0"/>
        <v/>
      </c>
      <c r="M33" s="3123">
        <f t="shared" si="4"/>
        <v>0</v>
      </c>
      <c r="N33" s="3123">
        <f t="shared" si="1"/>
        <v>0</v>
      </c>
    </row>
    <row r="34" spans="1:14" x14ac:dyDescent="0.2">
      <c r="A34" s="3748">
        <v>26</v>
      </c>
      <c r="B34" s="3352"/>
      <c r="C34" s="1208"/>
      <c r="D34" s="809"/>
      <c r="E34" s="3989"/>
      <c r="F34" s="3990"/>
      <c r="G34" s="3989"/>
      <c r="H34" s="1899">
        <f t="shared" si="2"/>
        <v>0</v>
      </c>
      <c r="I34" s="3989"/>
      <c r="J34" s="3991">
        <f t="shared" si="3"/>
        <v>0</v>
      </c>
      <c r="K34" s="3985" t="str">
        <f t="shared" si="0"/>
        <v/>
      </c>
      <c r="M34" s="3123">
        <f t="shared" si="4"/>
        <v>0</v>
      </c>
      <c r="N34" s="3123">
        <f t="shared" si="1"/>
        <v>0</v>
      </c>
    </row>
    <row r="35" spans="1:14" x14ac:dyDescent="0.2">
      <c r="A35" s="3748">
        <v>27</v>
      </c>
      <c r="B35" s="3352"/>
      <c r="C35" s="1208"/>
      <c r="D35" s="809"/>
      <c r="E35" s="3989"/>
      <c r="F35" s="3990"/>
      <c r="G35" s="3989"/>
      <c r="H35" s="1899">
        <f t="shared" si="2"/>
        <v>0</v>
      </c>
      <c r="I35" s="3989"/>
      <c r="J35" s="3991">
        <f t="shared" si="3"/>
        <v>0</v>
      </c>
      <c r="K35" s="3985" t="str">
        <f t="shared" si="0"/>
        <v/>
      </c>
      <c r="M35" s="3123">
        <f t="shared" si="4"/>
        <v>0</v>
      </c>
      <c r="N35" s="3123">
        <f t="shared" si="1"/>
        <v>0</v>
      </c>
    </row>
    <row r="36" spans="1:14" x14ac:dyDescent="0.2">
      <c r="A36" s="3748">
        <v>28</v>
      </c>
      <c r="B36" s="3352"/>
      <c r="C36" s="1208"/>
      <c r="D36" s="809"/>
      <c r="E36" s="3989"/>
      <c r="F36" s="3990"/>
      <c r="G36" s="3989"/>
      <c r="H36" s="1899">
        <f t="shared" si="2"/>
        <v>0</v>
      </c>
      <c r="I36" s="3989"/>
      <c r="J36" s="3991">
        <f t="shared" si="3"/>
        <v>0</v>
      </c>
      <c r="K36" s="3985" t="str">
        <f t="shared" si="0"/>
        <v/>
      </c>
      <c r="M36" s="3123">
        <f t="shared" si="4"/>
        <v>0</v>
      </c>
      <c r="N36" s="3123">
        <f t="shared" si="1"/>
        <v>0</v>
      </c>
    </row>
    <row r="37" spans="1:14" x14ac:dyDescent="0.2">
      <c r="A37" s="3748">
        <v>29</v>
      </c>
      <c r="B37" s="3352"/>
      <c r="C37" s="1208"/>
      <c r="D37" s="809"/>
      <c r="E37" s="3989"/>
      <c r="F37" s="3990"/>
      <c r="G37" s="3989"/>
      <c r="H37" s="1899">
        <f t="shared" si="2"/>
        <v>0</v>
      </c>
      <c r="I37" s="3989"/>
      <c r="J37" s="3991">
        <f t="shared" si="3"/>
        <v>0</v>
      </c>
      <c r="K37" s="3985" t="str">
        <f t="shared" si="0"/>
        <v/>
      </c>
      <c r="M37" s="3123">
        <f t="shared" si="4"/>
        <v>0</v>
      </c>
      <c r="N37" s="3123">
        <f t="shared" si="1"/>
        <v>0</v>
      </c>
    </row>
    <row r="38" spans="1:14" x14ac:dyDescent="0.2">
      <c r="A38" s="3748">
        <v>30</v>
      </c>
      <c r="B38" s="3352"/>
      <c r="C38" s="1208"/>
      <c r="D38" s="809"/>
      <c r="E38" s="3989"/>
      <c r="F38" s="3990"/>
      <c r="G38" s="3989"/>
      <c r="H38" s="1899">
        <f t="shared" si="2"/>
        <v>0</v>
      </c>
      <c r="I38" s="3989"/>
      <c r="J38" s="3991">
        <f t="shared" si="3"/>
        <v>0</v>
      </c>
      <c r="K38" s="3985" t="str">
        <f t="shared" si="0"/>
        <v/>
      </c>
      <c r="M38" s="3123">
        <f t="shared" si="4"/>
        <v>0</v>
      </c>
      <c r="N38" s="3123">
        <f t="shared" si="1"/>
        <v>0</v>
      </c>
    </row>
    <row r="39" spans="1:14" x14ac:dyDescent="0.2">
      <c r="A39" s="3748">
        <v>31</v>
      </c>
      <c r="B39" s="3352"/>
      <c r="C39" s="1208"/>
      <c r="D39" s="809"/>
      <c r="E39" s="3989"/>
      <c r="F39" s="3990"/>
      <c r="G39" s="3989"/>
      <c r="H39" s="1899">
        <f t="shared" si="2"/>
        <v>0</v>
      </c>
      <c r="I39" s="3989"/>
      <c r="J39" s="3991">
        <f t="shared" si="3"/>
        <v>0</v>
      </c>
      <c r="K39" s="3985" t="str">
        <f t="shared" si="0"/>
        <v/>
      </c>
      <c r="M39" s="3123">
        <f t="shared" si="4"/>
        <v>0</v>
      </c>
      <c r="N39" s="3123">
        <f t="shared" si="1"/>
        <v>0</v>
      </c>
    </row>
    <row r="40" spans="1:14" x14ac:dyDescent="0.2">
      <c r="A40" s="3748">
        <v>32</v>
      </c>
      <c r="B40" s="3352"/>
      <c r="C40" s="1208"/>
      <c r="D40" s="809"/>
      <c r="E40" s="3989"/>
      <c r="F40" s="3990"/>
      <c r="G40" s="3989"/>
      <c r="H40" s="1899">
        <f t="shared" si="2"/>
        <v>0</v>
      </c>
      <c r="I40" s="3989"/>
      <c r="J40" s="3991">
        <f t="shared" si="3"/>
        <v>0</v>
      </c>
      <c r="K40" s="3985" t="str">
        <f t="shared" si="0"/>
        <v/>
      </c>
      <c r="M40" s="3123">
        <f t="shared" si="4"/>
        <v>0</v>
      </c>
      <c r="N40" s="3123">
        <f t="shared" si="1"/>
        <v>0</v>
      </c>
    </row>
    <row r="41" spans="1:14" x14ac:dyDescent="0.2">
      <c r="A41" s="3748">
        <v>33</v>
      </c>
      <c r="B41" s="3352"/>
      <c r="C41" s="1208"/>
      <c r="D41" s="809"/>
      <c r="E41" s="3989"/>
      <c r="F41" s="3990"/>
      <c r="G41" s="3989"/>
      <c r="H41" s="1899">
        <f t="shared" si="2"/>
        <v>0</v>
      </c>
      <c r="I41" s="3989"/>
      <c r="J41" s="3991">
        <f t="shared" si="3"/>
        <v>0</v>
      </c>
      <c r="K41" s="3985"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f>
        <v/>
      </c>
      <c r="M41" s="3123">
        <f t="shared" si="4"/>
        <v>0</v>
      </c>
      <c r="N41" s="3123">
        <f t="shared" ref="N41:N72" si="6">IF($O$1="n",COUNTA(C41:G41,I41),IF($O$1="y",COUNTA(B41:G41,I41),0))</f>
      </c>
    </row>
    <row r="42" spans="1:14" x14ac:dyDescent="0.2">
      <c r="A42" s="3748">
        <v>34</v>
      </c>
      <c r="B42" s="3352"/>
      <c r="C42" s="1208"/>
      <c r="D42" s="809"/>
      <c r="E42" s="3989"/>
      <c r="F42" s="3990"/>
      <c r="G42" s="3989"/>
      <c r="H42" s="1899">
        <f t="shared" si="2"/>
        <v>0</v>
      </c>
      <c r="I42" s="3989"/>
      <c r="J42" s="3991">
        <f t="shared" si="3"/>
        <v>0</v>
      </c>
      <c r="K42" s="3985" t="str">
        <f t="shared" si="5"/>
        <v/>
      </c>
      <c r="M42" s="3123">
        <f t="shared" si="4"/>
        <v>0</v>
      </c>
      <c r="N42" s="3123">
        <f t="shared" si="6"/>
        <v>0</v>
      </c>
    </row>
    <row r="43" spans="1:14" x14ac:dyDescent="0.2">
      <c r="A43" s="3748">
        <v>35</v>
      </c>
      <c r="B43" s="3352"/>
      <c r="C43" s="1208"/>
      <c r="D43" s="809"/>
      <c r="E43" s="3989"/>
      <c r="F43" s="3990"/>
      <c r="G43" s="3989"/>
      <c r="H43" s="1899">
        <f t="shared" si="2"/>
        <v>0</v>
      </c>
      <c r="I43" s="3989"/>
      <c r="J43" s="3991">
        <f t="shared" si="3"/>
        <v>0</v>
      </c>
      <c r="K43" s="3985" t="str">
        <f t="shared" si="5"/>
        <v/>
      </c>
      <c r="M43" s="3123">
        <f t="shared" si="4"/>
        <v>0</v>
      </c>
      <c r="N43" s="3123">
        <f t="shared" si="6"/>
        <v>0</v>
      </c>
    </row>
    <row r="44" spans="1:14" x14ac:dyDescent="0.2">
      <c r="A44" s="3748">
        <v>36</v>
      </c>
      <c r="B44" s="3352"/>
      <c r="C44" s="1208"/>
      <c r="D44" s="809"/>
      <c r="E44" s="3989"/>
      <c r="F44" s="3990"/>
      <c r="G44" s="3989"/>
      <c r="H44" s="1899">
        <f t="shared" si="2"/>
        <v>0</v>
      </c>
      <c r="I44" s="3989"/>
      <c r="J44" s="3991">
        <f t="shared" si="3"/>
        <v>0</v>
      </c>
      <c r="K44" s="3985" t="str">
        <f t="shared" si="5"/>
        <v/>
      </c>
      <c r="M44" s="3123">
        <f t="shared" si="4"/>
        <v>0</v>
      </c>
      <c r="N44" s="3123">
        <f t="shared" si="6"/>
        <v>0</v>
      </c>
    </row>
    <row r="45" spans="1:14" x14ac:dyDescent="0.2">
      <c r="A45" s="3748">
        <v>37</v>
      </c>
      <c r="B45" s="3352"/>
      <c r="C45" s="1208"/>
      <c r="D45" s="809"/>
      <c r="E45" s="3989"/>
      <c r="F45" s="3990"/>
      <c r="G45" s="3989"/>
      <c r="H45" s="1899">
        <f t="shared" si="2"/>
        <v>0</v>
      </c>
      <c r="I45" s="3989"/>
      <c r="J45" s="3991">
        <f t="shared" si="3"/>
        <v>0</v>
      </c>
      <c r="K45" s="3985" t="str">
        <f t="shared" si="5"/>
        <v/>
      </c>
      <c r="M45" s="3123">
        <f t="shared" si="4"/>
        <v>0</v>
      </c>
      <c r="N45" s="3123">
        <f t="shared" si="6"/>
        <v>0</v>
      </c>
    </row>
    <row r="46" spans="1:14" x14ac:dyDescent="0.2">
      <c r="A46" s="3748">
        <v>38</v>
      </c>
      <c r="B46" s="3352"/>
      <c r="C46" s="1208"/>
      <c r="D46" s="809"/>
      <c r="E46" s="3989"/>
      <c r="F46" s="3990"/>
      <c r="G46" s="3989"/>
      <c r="H46" s="1899">
        <f t="shared" si="2"/>
        <v>0</v>
      </c>
      <c r="I46" s="3989"/>
      <c r="J46" s="3991">
        <f t="shared" si="3"/>
        <v>0</v>
      </c>
      <c r="K46" s="3985" t="str">
        <f t="shared" si="5"/>
        <v/>
      </c>
      <c r="M46" s="3123">
        <f t="shared" si="4"/>
        <v>0</v>
      </c>
      <c r="N46" s="3123">
        <f t="shared" si="6"/>
        <v>0</v>
      </c>
    </row>
    <row r="47" spans="1:14" x14ac:dyDescent="0.2">
      <c r="A47" s="3748">
        <v>39</v>
      </c>
      <c r="B47" s="3352"/>
      <c r="C47" s="1208"/>
      <c r="D47" s="809"/>
      <c r="E47" s="3989"/>
      <c r="F47" s="3990"/>
      <c r="G47" s="3989"/>
      <c r="H47" s="1899">
        <f t="shared" si="2"/>
        <v>0</v>
      </c>
      <c r="I47" s="3989"/>
      <c r="J47" s="3991">
        <f t="shared" si="3"/>
        <v>0</v>
      </c>
      <c r="K47" s="3985" t="str">
        <f t="shared" si="5"/>
        <v/>
      </c>
      <c r="M47" s="3123">
        <f t="shared" si="4"/>
        <v>0</v>
      </c>
      <c r="N47" s="3123">
        <f t="shared" si="6"/>
        <v>0</v>
      </c>
    </row>
    <row r="48" spans="1:14" x14ac:dyDescent="0.2">
      <c r="A48" s="3748">
        <v>40</v>
      </c>
      <c r="B48" s="3352"/>
      <c r="C48" s="1208"/>
      <c r="D48" s="809"/>
      <c r="E48" s="3989"/>
      <c r="F48" s="3990"/>
      <c r="G48" s="3989"/>
      <c r="H48" s="1899">
        <f t="shared" si="2"/>
        <v>0</v>
      </c>
      <c r="I48" s="3989"/>
      <c r="J48" s="3991">
        <f t="shared" si="3"/>
        <v>0</v>
      </c>
      <c r="K48" s="3985" t="str">
        <f t="shared" si="5"/>
        <v/>
      </c>
      <c r="M48" s="3123">
        <f t="shared" si="4"/>
        <v>0</v>
      </c>
      <c r="N48" s="3123">
        <f t="shared" si="6"/>
        <v>0</v>
      </c>
    </row>
    <row r="49" spans="1:14" x14ac:dyDescent="0.2">
      <c r="A49" s="3748">
        <v>41</v>
      </c>
      <c r="B49" s="3352"/>
      <c r="C49" s="1208"/>
      <c r="D49" s="809"/>
      <c r="E49" s="3989"/>
      <c r="F49" s="3990"/>
      <c r="G49" s="3989"/>
      <c r="H49" s="1899">
        <f t="shared" si="2"/>
        <v>0</v>
      </c>
      <c r="I49" s="3989"/>
      <c r="J49" s="3991">
        <f t="shared" si="3"/>
        <v>0</v>
      </c>
      <c r="K49" s="3985" t="str">
        <f t="shared" si="5"/>
        <v/>
      </c>
      <c r="M49" s="3123">
        <f t="shared" si="4"/>
        <v>0</v>
      </c>
      <c r="N49" s="3123">
        <f t="shared" si="6"/>
        <v>0</v>
      </c>
    </row>
    <row r="50" spans="1:14" x14ac:dyDescent="0.2">
      <c r="A50" s="3748">
        <v>42</v>
      </c>
      <c r="B50" s="3352"/>
      <c r="C50" s="1208"/>
      <c r="D50" s="809"/>
      <c r="E50" s="3989"/>
      <c r="F50" s="3990"/>
      <c r="G50" s="3989"/>
      <c r="H50" s="1899">
        <f t="shared" si="2"/>
        <v>0</v>
      </c>
      <c r="I50" s="3989"/>
      <c r="J50" s="3991">
        <f t="shared" si="3"/>
        <v>0</v>
      </c>
      <c r="K50" s="3985" t="str">
        <f t="shared" si="5"/>
        <v/>
      </c>
      <c r="M50" s="3123">
        <f t="shared" si="4"/>
        <v>0</v>
      </c>
      <c r="N50" s="3123">
        <f t="shared" si="6"/>
        <v>0</v>
      </c>
    </row>
    <row r="51" spans="1:14" x14ac:dyDescent="0.2">
      <c r="A51" s="3748">
        <v>43</v>
      </c>
      <c r="B51" s="3352"/>
      <c r="C51" s="1208"/>
      <c r="D51" s="809"/>
      <c r="E51" s="3989"/>
      <c r="F51" s="3990"/>
      <c r="G51" s="3989"/>
      <c r="H51" s="1899">
        <f t="shared" si="2"/>
        <v>0</v>
      </c>
      <c r="I51" s="3989"/>
      <c r="J51" s="3991">
        <f t="shared" si="3"/>
        <v>0</v>
      </c>
      <c r="K51" s="3985" t="str">
        <f t="shared" si="5"/>
        <v/>
      </c>
      <c r="M51" s="3123">
        <f t="shared" si="4"/>
        <v>0</v>
      </c>
      <c r="N51" s="3123">
        <f t="shared" si="6"/>
        <v>0</v>
      </c>
    </row>
    <row r="52" spans="1:14" x14ac:dyDescent="0.2">
      <c r="A52" s="3748">
        <v>44</v>
      </c>
      <c r="B52" s="3352"/>
      <c r="C52" s="1208"/>
      <c r="D52" s="809"/>
      <c r="E52" s="3989"/>
      <c r="F52" s="3990"/>
      <c r="G52" s="3989"/>
      <c r="H52" s="1899">
        <f t="shared" si="2"/>
        <v>0</v>
      </c>
      <c r="I52" s="3989"/>
      <c r="J52" s="3991">
        <f t="shared" si="3"/>
        <v>0</v>
      </c>
      <c r="K52" s="3985" t="str">
        <f t="shared" si="5"/>
        <v/>
      </c>
      <c r="M52" s="3123">
        <f t="shared" si="4"/>
        <v>0</v>
      </c>
      <c r="N52" s="3123">
        <f t="shared" si="6"/>
        <v>0</v>
      </c>
    </row>
    <row r="53" spans="1:14" x14ac:dyDescent="0.2">
      <c r="A53" s="3748">
        <v>45</v>
      </c>
      <c r="B53" s="3352"/>
      <c r="C53" s="1208"/>
      <c r="D53" s="809"/>
      <c r="E53" s="3989"/>
      <c r="F53" s="3990"/>
      <c r="G53" s="3989"/>
      <c r="H53" s="1899">
        <f t="shared" si="2"/>
        <v>0</v>
      </c>
      <c r="I53" s="3989"/>
      <c r="J53" s="3991">
        <f t="shared" si="3"/>
        <v>0</v>
      </c>
      <c r="K53" s="3985" t="str">
        <f t="shared" si="5"/>
        <v/>
      </c>
      <c r="M53" s="3123">
        <f t="shared" si="4"/>
        <v>0</v>
      </c>
      <c r="N53" s="3123">
        <f t="shared" si="6"/>
        <v>0</v>
      </c>
    </row>
    <row r="54" spans="1:14" x14ac:dyDescent="0.2">
      <c r="A54" s="3748">
        <v>46</v>
      </c>
      <c r="B54" s="3352"/>
      <c r="C54" s="1208"/>
      <c r="D54" s="809"/>
      <c r="E54" s="3989"/>
      <c r="F54" s="3990"/>
      <c r="G54" s="3989"/>
      <c r="H54" s="1899">
        <f t="shared" si="2"/>
        <v>0</v>
      </c>
      <c r="I54" s="3989"/>
      <c r="J54" s="3991">
        <f t="shared" si="3"/>
        <v>0</v>
      </c>
      <c r="K54" s="3985" t="str">
        <f t="shared" si="5"/>
        <v/>
      </c>
      <c r="M54" s="3123">
        <f t="shared" si="4"/>
        <v>0</v>
      </c>
      <c r="N54" s="3123">
        <f t="shared" si="6"/>
        <v>0</v>
      </c>
    </row>
    <row r="55" spans="1:14" x14ac:dyDescent="0.2">
      <c r="A55" s="3748">
        <v>47</v>
      </c>
      <c r="B55" s="3352"/>
      <c r="C55" s="1208"/>
      <c r="D55" s="809"/>
      <c r="E55" s="3989"/>
      <c r="F55" s="3990"/>
      <c r="G55" s="3989"/>
      <c r="H55" s="1899">
        <f t="shared" si="2"/>
        <v>0</v>
      </c>
      <c r="I55" s="3989"/>
      <c r="J55" s="3991">
        <f t="shared" si="3"/>
        <v>0</v>
      </c>
      <c r="K55" s="3985" t="str">
        <f t="shared" si="5"/>
        <v/>
      </c>
      <c r="M55" s="3123">
        <f t="shared" si="4"/>
        <v>0</v>
      </c>
      <c r="N55" s="3123">
        <f t="shared" si="6"/>
        <v>0</v>
      </c>
    </row>
    <row r="56" spans="1:14" x14ac:dyDescent="0.2">
      <c r="A56" s="3748">
        <v>48</v>
      </c>
      <c r="B56" s="3352"/>
      <c r="C56" s="1208"/>
      <c r="D56" s="809"/>
      <c r="E56" s="3989"/>
      <c r="F56" s="3990"/>
      <c r="G56" s="3989"/>
      <c r="H56" s="1899">
        <f t="shared" si="2"/>
        <v>0</v>
      </c>
      <c r="I56" s="3989"/>
      <c r="J56" s="3991">
        <f t="shared" si="3"/>
        <v>0</v>
      </c>
      <c r="K56" s="3985" t="str">
        <f t="shared" si="5"/>
        <v/>
      </c>
      <c r="M56" s="3123">
        <f t="shared" si="4"/>
        <v>0</v>
      </c>
      <c r="N56" s="3123">
        <f t="shared" si="6"/>
        <v>0</v>
      </c>
    </row>
    <row r="57" spans="1:14" x14ac:dyDescent="0.2">
      <c r="A57" s="3748">
        <v>49</v>
      </c>
      <c r="B57" s="3352"/>
      <c r="C57" s="1208"/>
      <c r="D57" s="809"/>
      <c r="E57" s="3989"/>
      <c r="F57" s="3990"/>
      <c r="G57" s="3989"/>
      <c r="H57" s="1899">
        <f t="shared" si="2"/>
        <v>0</v>
      </c>
      <c r="I57" s="3989"/>
      <c r="J57" s="3991">
        <f t="shared" si="3"/>
        <v>0</v>
      </c>
      <c r="K57" s="3985" t="str">
        <f t="shared" si="5"/>
        <v/>
      </c>
      <c r="M57" s="3123">
        <f t="shared" si="4"/>
        <v>0</v>
      </c>
      <c r="N57" s="3123">
        <f t="shared" si="6"/>
        <v>0</v>
      </c>
    </row>
    <row r="58" spans="1:14" x14ac:dyDescent="0.2">
      <c r="A58" s="3748">
        <v>50</v>
      </c>
      <c r="B58" s="3352"/>
      <c r="C58" s="1208"/>
      <c r="D58" s="809"/>
      <c r="E58" s="3989"/>
      <c r="F58" s="3990"/>
      <c r="G58" s="3989"/>
      <c r="H58" s="1899">
        <f t="shared" si="2"/>
        <v>0</v>
      </c>
      <c r="I58" s="3989"/>
      <c r="J58" s="3991">
        <f t="shared" si="3"/>
        <v>0</v>
      </c>
      <c r="K58" s="3985" t="str">
        <f t="shared" si="5"/>
        <v/>
      </c>
      <c r="M58" s="3123">
        <f t="shared" si="4"/>
        <v>0</v>
      </c>
      <c r="N58" s="3123">
        <f t="shared" si="6"/>
        <v>0</v>
      </c>
    </row>
    <row r="59" spans="1:14" x14ac:dyDescent="0.2">
      <c r="A59" s="3748">
        <v>51</v>
      </c>
      <c r="B59" s="3352"/>
      <c r="C59" s="1208"/>
      <c r="D59" s="809"/>
      <c r="E59" s="3989"/>
      <c r="F59" s="3990"/>
      <c r="G59" s="3989"/>
      <c r="H59" s="1899">
        <f t="shared" si="2"/>
        <v>0</v>
      </c>
      <c r="I59" s="3989"/>
      <c r="J59" s="3991">
        <f t="shared" si="3"/>
        <v>0</v>
      </c>
      <c r="K59" s="3985" t="str">
        <f t="shared" si="5"/>
        <v/>
      </c>
      <c r="M59" s="3123">
        <f t="shared" si="4"/>
        <v>0</v>
      </c>
      <c r="N59" s="3123">
        <f t="shared" si="6"/>
        <v>0</v>
      </c>
    </row>
    <row r="60" spans="1:14" x14ac:dyDescent="0.2">
      <c r="A60" s="3748">
        <v>52</v>
      </c>
      <c r="B60" s="3352"/>
      <c r="C60" s="1208"/>
      <c r="D60" s="809"/>
      <c r="E60" s="3989"/>
      <c r="F60" s="3990"/>
      <c r="G60" s="3989"/>
      <c r="H60" s="1899">
        <f t="shared" si="2"/>
        <v>0</v>
      </c>
      <c r="I60" s="3989"/>
      <c r="J60" s="3991">
        <f t="shared" si="3"/>
        <v>0</v>
      </c>
      <c r="K60" s="3985" t="str">
        <f t="shared" si="5"/>
        <v/>
      </c>
      <c r="M60" s="3123">
        <f t="shared" si="4"/>
        <v>0</v>
      </c>
      <c r="N60" s="3123">
        <f t="shared" si="6"/>
        <v>0</v>
      </c>
    </row>
    <row r="61" spans="1:14" x14ac:dyDescent="0.2">
      <c r="A61" s="3748">
        <v>53</v>
      </c>
      <c r="B61" s="3352"/>
      <c r="C61" s="1208"/>
      <c r="D61" s="809"/>
      <c r="E61" s="3989"/>
      <c r="F61" s="3990"/>
      <c r="G61" s="3989"/>
      <c r="H61" s="1899">
        <f t="shared" si="2"/>
        <v>0</v>
      </c>
      <c r="I61" s="3989"/>
      <c r="J61" s="3991">
        <f t="shared" si="3"/>
        <v>0</v>
      </c>
      <c r="K61" s="3985" t="str">
        <f t="shared" si="5"/>
        <v/>
      </c>
      <c r="M61" s="3123">
        <f t="shared" si="4"/>
        <v>0</v>
      </c>
      <c r="N61" s="3123">
        <f t="shared" si="6"/>
        <v>0</v>
      </c>
    </row>
    <row r="62" spans="1:14" x14ac:dyDescent="0.2">
      <c r="A62" s="3748">
        <v>54</v>
      </c>
      <c r="B62" s="3352"/>
      <c r="C62" s="1208"/>
      <c r="D62" s="809"/>
      <c r="E62" s="3989"/>
      <c r="F62" s="3990"/>
      <c r="G62" s="3989"/>
      <c r="H62" s="1899">
        <f t="shared" si="2"/>
        <v>0</v>
      </c>
      <c r="I62" s="3989"/>
      <c r="J62" s="3991">
        <f t="shared" si="3"/>
        <v>0</v>
      </c>
      <c r="K62" s="3985" t="str">
        <f t="shared" si="5"/>
        <v/>
      </c>
      <c r="M62" s="3123">
        <f t="shared" si="4"/>
        <v>0</v>
      </c>
      <c r="N62" s="3123">
        <f t="shared" si="6"/>
        <v>0</v>
      </c>
    </row>
    <row r="63" spans="1:14" x14ac:dyDescent="0.2">
      <c r="A63" s="3748">
        <v>55</v>
      </c>
      <c r="B63" s="3352"/>
      <c r="C63" s="1208"/>
      <c r="D63" s="809"/>
      <c r="E63" s="3989"/>
      <c r="F63" s="3990"/>
      <c r="G63" s="3989"/>
      <c r="H63" s="1899">
        <f t="shared" si="2"/>
        <v>0</v>
      </c>
      <c r="I63" s="3989"/>
      <c r="J63" s="3991">
        <f t="shared" si="3"/>
        <v>0</v>
      </c>
      <c r="K63" s="3985" t="str">
        <f t="shared" si="5"/>
        <v/>
      </c>
      <c r="M63" s="3123">
        <f t="shared" si="4"/>
        <v>0</v>
      </c>
      <c r="N63" s="3123">
        <f t="shared" si="6"/>
        <v>0</v>
      </c>
    </row>
    <row r="64" spans="1:14" x14ac:dyDescent="0.2">
      <c r="A64" s="3748">
        <v>56</v>
      </c>
      <c r="B64" s="3352"/>
      <c r="C64" s="1208"/>
      <c r="D64" s="809"/>
      <c r="E64" s="3989"/>
      <c r="F64" s="3990"/>
      <c r="G64" s="3989"/>
      <c r="H64" s="1899">
        <f t="shared" si="2"/>
        <v>0</v>
      </c>
      <c r="I64" s="3989"/>
      <c r="J64" s="3991">
        <f t="shared" si="3"/>
        <v>0</v>
      </c>
      <c r="K64" s="3985" t="str">
        <f t="shared" si="5"/>
        <v/>
      </c>
      <c r="M64" s="3123">
        <f t="shared" si="4"/>
        <v>0</v>
      </c>
      <c r="N64" s="3123">
        <f t="shared" si="6"/>
        <v>0</v>
      </c>
    </row>
    <row r="65" spans="1:18" x14ac:dyDescent="0.2">
      <c r="A65" s="3748">
        <v>57</v>
      </c>
      <c r="B65" s="3352"/>
      <c r="C65" s="1208"/>
      <c r="D65" s="809"/>
      <c r="E65" s="3989"/>
      <c r="F65" s="3990"/>
      <c r="G65" s="3989"/>
      <c r="H65" s="1899">
        <f t="shared" si="2"/>
        <v>0</v>
      </c>
      <c r="I65" s="3989"/>
      <c r="J65" s="3991">
        <f t="shared" si="3"/>
        <v>0</v>
      </c>
      <c r="K65" s="3985" t="str">
        <f t="shared" si="5"/>
        <v/>
      </c>
      <c r="M65" s="3123">
        <f t="shared" si="4"/>
        <v>0</v>
      </c>
      <c r="N65" s="3123">
        <f t="shared" si="6"/>
        <v>0</v>
      </c>
    </row>
    <row r="66" spans="1:18" x14ac:dyDescent="0.2">
      <c r="A66" s="3748">
        <v>58</v>
      </c>
      <c r="B66" s="3352"/>
      <c r="C66" s="1208"/>
      <c r="D66" s="809"/>
      <c r="E66" s="3989"/>
      <c r="F66" s="3990"/>
      <c r="G66" s="3989"/>
      <c r="H66" s="1899">
        <f t="shared" si="2"/>
        <v>0</v>
      </c>
      <c r="I66" s="3989"/>
      <c r="J66" s="3991">
        <f t="shared" si="3"/>
        <v>0</v>
      </c>
      <c r="K66" s="3985" t="str">
        <f t="shared" si="5"/>
        <v/>
      </c>
      <c r="M66" s="3123">
        <f t="shared" si="4"/>
        <v>0</v>
      </c>
      <c r="N66" s="3123">
        <f t="shared" si="6"/>
        <v>0</v>
      </c>
    </row>
    <row r="67" spans="1:18" x14ac:dyDescent="0.2">
      <c r="A67" s="3748">
        <v>59</v>
      </c>
      <c r="B67" s="3352"/>
      <c r="C67" s="1208"/>
      <c r="D67" s="809"/>
      <c r="E67" s="3989"/>
      <c r="F67" s="3990"/>
      <c r="G67" s="3989"/>
      <c r="H67" s="1899">
        <f t="shared" si="2"/>
        <v>0</v>
      </c>
      <c r="I67" s="3989"/>
      <c r="J67" s="3991">
        <f t="shared" si="3"/>
        <v>0</v>
      </c>
      <c r="K67" s="3985" t="str">
        <f t="shared" si="5"/>
        <v/>
      </c>
      <c r="M67" s="3123">
        <f t="shared" si="4"/>
        <v>0</v>
      </c>
      <c r="N67" s="3123">
        <f t="shared" si="6"/>
        <v>0</v>
      </c>
    </row>
    <row r="68" spans="1:18" x14ac:dyDescent="0.2">
      <c r="A68" s="3748">
        <v>60</v>
      </c>
      <c r="B68" s="3352"/>
      <c r="C68" s="1208"/>
      <c r="D68" s="809"/>
      <c r="E68" s="3989"/>
      <c r="F68" s="3990"/>
      <c r="G68" s="3989"/>
      <c r="H68" s="1899">
        <f t="shared" si="2"/>
        <v>0</v>
      </c>
      <c r="I68" s="3989"/>
      <c r="J68" s="3991">
        <f t="shared" si="3"/>
        <v>0</v>
      </c>
      <c r="K68" s="3985" t="str">
        <f t="shared" si="5"/>
        <v/>
      </c>
      <c r="M68" s="3123">
        <f t="shared" si="4"/>
        <v>0</v>
      </c>
      <c r="N68" s="3123">
        <f t="shared" si="6"/>
        <v>0</v>
      </c>
    </row>
    <row r="69" spans="1:18" x14ac:dyDescent="0.2">
      <c r="A69" s="3748">
        <v>61</v>
      </c>
      <c r="B69" s="3352"/>
      <c r="C69" s="1208"/>
      <c r="D69" s="809"/>
      <c r="E69" s="3989"/>
      <c r="F69" s="3990"/>
      <c r="G69" s="3989"/>
      <c r="H69" s="1899">
        <f t="shared" si="2"/>
        <v>0</v>
      </c>
      <c r="I69" s="3989"/>
      <c r="J69" s="3991">
        <f t="shared" si="3"/>
        <v>0</v>
      </c>
      <c r="K69" s="3985" t="str">
        <f t="shared" si="5"/>
        <v/>
      </c>
      <c r="M69" s="3123">
        <f t="shared" si="4"/>
        <v>0</v>
      </c>
      <c r="N69" s="3123">
        <f t="shared" si="6"/>
        <v>0</v>
      </c>
    </row>
    <row r="70" spans="1:18" x14ac:dyDescent="0.2">
      <c r="A70" s="3748">
        <v>62</v>
      </c>
      <c r="B70" s="3352"/>
      <c r="C70" s="1208"/>
      <c r="D70" s="809"/>
      <c r="E70" s="3989"/>
      <c r="F70" s="3990"/>
      <c r="G70" s="3989"/>
      <c r="H70" s="1899">
        <f t="shared" si="2"/>
        <v>0</v>
      </c>
      <c r="I70" s="3989"/>
      <c r="J70" s="3991">
        <f t="shared" si="3"/>
        <v>0</v>
      </c>
      <c r="K70" s="3985" t="str">
        <f t="shared" si="5"/>
        <v/>
      </c>
      <c r="M70" s="3123">
        <f t="shared" si="4"/>
        <v>0</v>
      </c>
      <c r="N70" s="3123">
        <f t="shared" si="6"/>
        <v>0</v>
      </c>
    </row>
    <row r="71" spans="1:18" x14ac:dyDescent="0.2">
      <c r="A71" s="3748">
        <v>63</v>
      </c>
      <c r="B71" s="3352"/>
      <c r="C71" s="1208"/>
      <c r="D71" s="809"/>
      <c r="E71" s="3989"/>
      <c r="F71" s="3990"/>
      <c r="G71" s="3989"/>
      <c r="H71" s="1899">
        <f t="shared" si="2"/>
        <v>0</v>
      </c>
      <c r="I71" s="3989"/>
      <c r="J71" s="3991">
        <f t="shared" si="3"/>
        <v>0</v>
      </c>
      <c r="K71" s="3985" t="str">
        <f t="shared" si="5"/>
        <v/>
      </c>
      <c r="M71" s="3123">
        <f t="shared" si="4"/>
        <v>0</v>
      </c>
      <c r="N71" s="3123">
        <f t="shared" si="6"/>
        <v>0</v>
      </c>
    </row>
    <row r="72" spans="1:18" x14ac:dyDescent="0.2">
      <c r="A72" s="3748">
        <v>64</v>
      </c>
      <c r="B72" s="3352"/>
      <c r="C72" s="1208"/>
      <c r="D72" s="809"/>
      <c r="E72" s="3989"/>
      <c r="F72" s="3990"/>
      <c r="G72" s="3989"/>
      <c r="H72" s="1899">
        <f t="shared" si="2"/>
        <v>0</v>
      </c>
      <c r="I72" s="3989"/>
      <c r="J72" s="3991">
        <f t="shared" si="3"/>
        <v>0</v>
      </c>
      <c r="K72" s="3985" t="str">
        <f t="shared" si="5"/>
        <v/>
      </c>
      <c r="M72" s="3123">
        <f t="shared" si="4"/>
        <v>0</v>
      </c>
      <c r="N72" s="3123">
        <f t="shared" si="6"/>
        <v>0</v>
      </c>
    </row>
    <row r="73" spans="1:18" x14ac:dyDescent="0.2">
      <c r="A73" s="3748">
        <v>65</v>
      </c>
      <c r="B73" s="3352"/>
      <c r="C73" s="1208"/>
      <c r="D73" s="809"/>
      <c r="E73" s="3989"/>
      <c r="F73" s="3990"/>
      <c r="G73" s="3989"/>
      <c r="H73" s="1899">
        <f t="shared" si="2"/>
        <v>0</v>
      </c>
      <c r="I73" s="3989"/>
      <c r="J73" s="3991">
        <f t="shared" si="3"/>
        <v>0</v>
      </c>
      <c r="K73" s="3985" t="str">
        <f t="shared" ref="K73:K78" si="7">IF(AND($G$6&gt;0,A73&lt;=$G$6,N73=0),re,IF(AND($O$1="n",B73&lt;&gt;""),"Not a fiscal Unit",IF(AND($G$6&gt;0,A73&lt;=$G$6,$O$1="y",N73&lt;7),"All data",IF(AND(A73&gt;$G$6,N73&gt;0),"No details required",IF(AND($G$6&gt;0,A73&lt;=$G$6,$O$1="n",N73&lt;6),"All data",IF(AND(F73&gt;=$R$1,G73&gt;0),"Check utilised credit in previous years",IF(I73&gt;H73,"Excessive utilised credit!","")))))))</f>
        <v/>
      </c>
      <c r="M73" s="3123">
        <f t="shared" si="4"/>
        <v>0</v>
      </c>
      <c r="N73" s="3123">
        <f t="shared" ref="N73:N78" si="8">IF($O$1="n",COUNTA(C73:G73,I73),IF($O$1="y",COUNTA(B73:G73,I73),0))</f>
      </c>
    </row>
    <row r="74" spans="1:18" x14ac:dyDescent="0.2">
      <c r="A74" s="3748">
        <v>66</v>
      </c>
      <c r="B74" s="3352"/>
      <c r="C74" s="1208"/>
      <c r="D74" s="809"/>
      <c r="E74" s="3989"/>
      <c r="F74" s="3990"/>
      <c r="G74" s="3989"/>
      <c r="H74" s="1899">
        <f t="shared" si="2"/>
        <v>0</v>
      </c>
      <c r="I74" s="3989"/>
      <c r="J74" s="3991">
        <f t="shared" si="3"/>
        <v>0</v>
      </c>
      <c r="K74" s="3985" t="str">
        <f t="shared" si="7"/>
        <v/>
      </c>
      <c r="M74" s="3123">
        <f t="shared" si="4"/>
        <v>0</v>
      </c>
      <c r="N74" s="3123">
        <f t="shared" si="8"/>
        <v>0</v>
      </c>
    </row>
    <row r="75" spans="1:18" x14ac:dyDescent="0.2">
      <c r="A75" s="3748">
        <v>67</v>
      </c>
      <c r="B75" s="3352"/>
      <c r="C75" s="1208"/>
      <c r="D75" s="809"/>
      <c r="E75" s="3989"/>
      <c r="F75" s="3990"/>
      <c r="G75" s="3989"/>
      <c r="H75" s="1899">
        <f t="shared" si="2"/>
        <v>0</v>
      </c>
      <c r="I75" s="3989"/>
      <c r="J75" s="3991">
        <f t="shared" si="3"/>
        <v>0</v>
      </c>
      <c r="K75" s="3985" t="str">
        <f t="shared" si="7"/>
        <v/>
      </c>
      <c r="M75" s="3123">
        <f t="shared" si="4"/>
        <v>0</v>
      </c>
      <c r="N75" s="3123">
        <f t="shared" si="8"/>
        <v>0</v>
      </c>
    </row>
    <row r="76" spans="1:18" x14ac:dyDescent="0.2">
      <c r="A76" s="3748">
        <v>68</v>
      </c>
      <c r="B76" s="3352"/>
      <c r="C76" s="1208"/>
      <c r="D76" s="809"/>
      <c r="E76" s="3989"/>
      <c r="F76" s="3990"/>
      <c r="G76" s="3989"/>
      <c r="H76" s="1899">
        <f t="shared" si="2"/>
        <v>0</v>
      </c>
      <c r="I76" s="3989"/>
      <c r="J76" s="3991">
        <f t="shared" si="3"/>
        <v>0</v>
      </c>
      <c r="K76" s="3985" t="str">
        <f t="shared" si="7"/>
        <v/>
      </c>
      <c r="M76" s="3123">
        <f t="shared" si="4"/>
        <v>0</v>
      </c>
      <c r="N76" s="3123">
        <f t="shared" si="8"/>
        <v>0</v>
      </c>
    </row>
    <row r="77" spans="1:18" x14ac:dyDescent="0.2">
      <c r="A77" s="3748">
        <v>69</v>
      </c>
      <c r="B77" s="3352"/>
      <c r="C77" s="1208"/>
      <c r="D77" s="809"/>
      <c r="E77" s="3989"/>
      <c r="F77" s="3990"/>
      <c r="G77" s="3989"/>
      <c r="H77" s="1899">
        <f t="shared" si="2"/>
        <v>0</v>
      </c>
      <c r="I77" s="3989"/>
      <c r="J77" s="3991">
        <f t="shared" si="3"/>
        <v>0</v>
      </c>
      <c r="K77" s="3985" t="str">
        <f t="shared" si="7"/>
        <v/>
      </c>
      <c r="M77" s="3123">
        <f t="shared" si="4"/>
        <v>0</v>
      </c>
      <c r="N77" s="3123">
        <f t="shared" si="8"/>
        <v>0</v>
      </c>
    </row>
    <row r="78" spans="1:18" x14ac:dyDescent="0.2">
      <c r="A78" s="3748">
        <v>70</v>
      </c>
      <c r="B78" s="3352"/>
      <c r="C78" s="1208"/>
      <c r="D78" s="809"/>
      <c r="E78" s="3989"/>
      <c r="F78" s="3990"/>
      <c r="G78" s="3989"/>
      <c r="H78" s="1899">
        <f t="shared" si="2"/>
        <v>0</v>
      </c>
      <c r="I78" s="3989"/>
      <c r="J78" s="3991">
        <f t="shared" si="3"/>
        <v>0</v>
      </c>
      <c r="K78" s="3985" t="str">
        <f t="shared" si="7"/>
        <v/>
      </c>
      <c r="M78" s="3123">
        <f t="shared" si="4"/>
        <v>0</v>
      </c>
      <c r="N78" s="3123">
        <f t="shared" si="8"/>
        <v>0</v>
      </c>
    </row>
    <row r="79" spans="1:18" x14ac:dyDescent="0.2">
      <c r="A79" s="3315"/>
      <c r="B79" s="2239" t="s">
        <v>9115</v>
      </c>
      <c r="C79" s="2238"/>
      <c r="D79" s="2238"/>
      <c r="E79" s="1898">
        <f>SUM(E9:E78)</f>
      </c>
      <c r="F79" s="3315"/>
      <c r="G79" s="3315"/>
      <c r="H79" s="3315"/>
      <c r="I79" s="3315"/>
      <c r="J79" s="3315"/>
      <c r="K79" s="3315"/>
    </row>
    <row r="80" spans="1:18" x14ac:dyDescent="0.2">
      <c r="A80" s="3315"/>
      <c r="B80" s="1942" t="s">
        <v>7159</v>
      </c>
      <c r="C80" s="2238"/>
      <c r="D80" s="1942"/>
      <c r="E80" s="1942"/>
      <c r="F80" s="1942"/>
      <c r="G80" s="1898">
        <f>SUM(G9:G78)</f>
      </c>
      <c r="H80" s="3315"/>
      <c r="I80" s="3315"/>
      <c r="J80" s="3315"/>
      <c r="K80" s="3315"/>
      <c r="P80" s="3123"/>
      <c r="Q80" s="3338">
        <f>MIN(Q82,R81)</f>
      </c>
      <c r="R80" s="3123"/>
    </row>
    <row r="81" spans="1:18" x14ac:dyDescent="0.2">
      <c r="A81" s="3315"/>
      <c r="B81" s="2239" t="s">
        <v>7332</v>
      </c>
      <c r="C81" s="2238"/>
      <c r="D81" s="2238"/>
      <c r="E81" s="2238"/>
      <c r="F81" s="2238"/>
      <c r="G81" s="2238"/>
      <c r="H81" s="1898">
        <f>SUM(H9:H78)</f>
      </c>
      <c r="I81" s="3315"/>
      <c r="J81" s="3315"/>
      <c r="K81" s="3315"/>
      <c r="P81" s="3338">
        <v>44562</v>
      </c>
      <c r="Q81" s="3272">
        <v>45291</v>
      </c>
      <c r="R81" s="3272">
        <f>DATE(ya,12,31)</f>
      </c>
    </row>
    <row r="82" spans="1:18" x14ac:dyDescent="0.2">
      <c r="A82" s="3315"/>
      <c r="B82" s="2239" t="s">
        <v>7157</v>
      </c>
      <c r="C82" s="2238"/>
      <c r="D82" s="2238"/>
      <c r="E82" s="2238"/>
      <c r="F82" s="2239"/>
      <c r="G82" s="2239"/>
      <c r="H82" s="3604" t="s">
        <v>951</v>
      </c>
      <c r="I82" s="1898">
        <f>SUM(I9:I78)</f>
      </c>
      <c r="J82" s="3315"/>
      <c r="K82" s="3315"/>
      <c r="P82" s="1871" t="s">
        <v>10471</v>
      </c>
      <c r="Q82" s="2774">
        <v>45657</v>
      </c>
    </row>
    <row r="83" spans="1:18" x14ac:dyDescent="0.2">
      <c r="A83" s="3315"/>
      <c r="B83" s="2237" t="s">
        <v>7074</v>
      </c>
      <c r="C83" s="2238"/>
      <c r="D83" s="2237"/>
      <c r="E83" s="2237"/>
      <c r="F83" s="2237"/>
      <c r="G83" s="2237"/>
      <c r="H83" s="2237"/>
      <c r="I83" s="3315"/>
      <c r="J83" s="1898">
        <f>IF(SUM(J9:J78)&lt;0,0,SUM(J9:J78))</f>
      </c>
      <c r="K83" s="3315"/>
    </row>
    <row r="84" spans="1:18" x14ac:dyDescent="0.2">
      <c r="A84" s="3315"/>
      <c r="B84" s="3315"/>
      <c r="C84" s="3315"/>
      <c r="D84" s="3315"/>
      <c r="E84" s="3315"/>
      <c r="F84" s="3315"/>
      <c r="G84" s="3315"/>
      <c r="H84" s="3315"/>
      <c r="I84" s="3315"/>
      <c r="J84" s="3315"/>
      <c r="K84" s="3315"/>
      <c r="O84" s="5468" t="s">
        <v>7073</v>
      </c>
      <c r="P84" s="5468"/>
      <c r="Q84" s="5468"/>
    </row>
    <row r="85" spans="1:18" ht="15" customHeight="1" x14ac:dyDescent="0.2">
      <c r="A85" s="3315"/>
      <c r="B85" s="3992" t="s">
        <v>10472</v>
      </c>
      <c r="C85" s="3993"/>
      <c r="D85" s="3993"/>
      <c r="E85" s="3993"/>
      <c r="F85" s="3993"/>
      <c r="G85" s="3993"/>
      <c r="H85" s="3993"/>
      <c r="I85" s="3997" t="s">
        <v>951</v>
      </c>
      <c r="J85" s="3998"/>
      <c r="K85" s="3985" t="str">
        <f>IF(N4=0,"",IF(AND(I82=0,J85=""),re,IF(AND(I82=0,J85&gt;0),"No tax credit claimed for the year!",IF(AND(I82&gt;0,J85=0),"Amount relieved by tax credit required!",IF(J85&lt;0,"Cannot be negative!",IF(OR(J85&gt;O85+1,J85&lt;P85-1),Q85,""))))))</f>
        <v/>
      </c>
      <c r="M85" s="3123">
        <f>IF(K85="",0,1)</f>
      </c>
      <c r="N85" s="3123">
        <f>COUNT(J85)</f>
      </c>
      <c r="O85" s="3994">
        <f>ROUND(I82/5%,0)</f>
      </c>
      <c r="P85" s="3995">
        <f>ROUND(I82/0.35,0)</f>
      </c>
      <c r="Q85" s="3996" t="s">
        <v>4787</v>
      </c>
    </row>
    <row r="86" spans="1:18" x14ac:dyDescent="0.2">
      <c r="A86" s="3315"/>
      <c r="B86" s="3315"/>
      <c r="C86" s="3315"/>
      <c r="D86" s="3315"/>
      <c r="E86" s="3315"/>
      <c r="F86" s="3315"/>
      <c r="G86" s="3315"/>
      <c r="H86" s="3315"/>
      <c r="I86" s="3315"/>
      <c r="J86" s="3315"/>
      <c r="K86" s="3315"/>
    </row>
    <row r="87" spans="1:18" x14ac:dyDescent="0.2">
      <c r="A87" s="3315"/>
      <c r="B87" s="3315" t="s">
        <v>9116</v>
      </c>
      <c r="C87" s="3315"/>
      <c r="D87" s="3315"/>
      <c r="E87" s="3315"/>
      <c r="F87" s="3315"/>
      <c r="G87" s="3315"/>
      <c r="H87" s="3315"/>
      <c r="I87" s="3315"/>
      <c r="J87" s="3352"/>
      <c r="K87" s="3985" t="str">
        <f>IF(I82=0,"",IF(J87="",re,IF(AND(J87="no",I82&gt;0),"No benefit!","")))</f>
        <v/>
      </c>
      <c r="M87" s="3123">
        <f>IF(K87="",0,1)</f>
      </c>
      <c r="N87" s="3123">
        <f>IF(J87&lt;&gt;"",1,0)</f>
      </c>
    </row>
    <row r="88" spans="1:18" x14ac:dyDescent="0.2">
      <c r="A88" s="3315"/>
      <c r="B88" s="3315"/>
      <c r="C88" s="3315"/>
      <c r="D88" s="3315"/>
      <c r="E88" s="3315"/>
      <c r="F88" s="3315"/>
      <c r="G88" s="3315"/>
      <c r="H88" s="3315"/>
      <c r="I88" s="3315"/>
      <c r="J88" s="3315"/>
      <c r="K88" s="3315"/>
    </row>
    <row r="89" spans="1:18" x14ac:dyDescent="0.2">
      <c r="A89" s="3315"/>
      <c r="B89" s="3315"/>
      <c r="C89" s="3315"/>
      <c r="D89" s="3315"/>
      <c r="E89" s="3315"/>
      <c r="F89" s="3355"/>
      <c r="G89" s="3356" t="s">
        <v>4456</v>
      </c>
      <c r="H89" s="3356"/>
      <c r="I89" s="3352"/>
      <c r="J89" s="3351" t="str">
        <f>IF(N4=0,"",IF(I89="",re,""))</f>
        <v/>
      </c>
      <c r="K89" s="3315"/>
    </row>
    <row r="90" spans="1:18" x14ac:dyDescent="0.2">
      <c r="A90" s="3315"/>
      <c r="B90" s="3315"/>
      <c r="C90" s="3315"/>
      <c r="D90" s="3315"/>
      <c r="E90" s="3315"/>
      <c r="F90" s="3315"/>
      <c r="G90" s="3315"/>
      <c r="H90" s="3315"/>
      <c r="I90" s="3315"/>
      <c r="J90" s="3315"/>
      <c r="K90" s="3315"/>
    </row>
    <row r="91" spans="1:18" x14ac:dyDescent="0.2">
      <c r="A91" s="3315"/>
      <c r="B91" s="3315" t="s">
        <v>10574</v>
      </c>
      <c r="C91" s="3315"/>
      <c r="D91" s="3315"/>
      <c r="E91" s="3315"/>
      <c r="F91" s="3315" t="str">
        <f>ver</f>
        <v>TA2_e-CO_2025_Ver 1.1</v>
      </c>
      <c r="G91" s="3315"/>
      <c r="H91" s="3315"/>
      <c r="I91" s="3315"/>
      <c r="J91" s="3319" t="s">
        <v>10473</v>
      </c>
      <c r="K91" s="3315"/>
      <c r="M91" s="3809">
        <f>IF(N4=0,0,IF(M4&gt;0,100,IF(OR(I89="no",I89&lt;=""),100,1)))</f>
      </c>
    </row>
    <row r="92" spans="1:18" x14ac:dyDescent="0.2"/>
    <row r="93" spans="1:18" x14ac:dyDescent="0.2">
      <c r="B93" s="3922" t="s">
        <v>1700</v>
      </c>
    </row>
    <row r="94" spans="1:18" x14ac:dyDescent="0.2"/>
  </sheetData>
  <sheetProtection algorithmName="SHA-512" hashValue="NsQ5PC6CDTxCwq9oQZdqAHJQwnYNHYfk6zSB5HRI0vvqXd5tBIR+za7SiNhhUMy7yJA2S/eZ5H4abtJD1UzVEQ==" saltValue="i6ldJyauhG7iHRNgTdFcOA==" spinCount="100000" sheet="1" objects="1" scenarios="1"/>
  <mergeCells count="1">
    <mergeCell ref="O84:Q84"/>
  </mergeCells>
  <conditionalFormatting sqref="J85">
    <cfRule type="expression" dxfId="93" priority="1" stopIfTrue="1">
      <formula>#REF!=nob</formula>
    </cfRule>
  </conditionalFormatting>
  <dataValidations count="11">
    <dataValidation type="whole" allowBlank="1" showInputMessage="1" showErrorMessage="1" errorTitle="Approved Tax Credit" error="Enter a whole figure that must not exceed €20,000!_x000a_" sqref="E9:E78" xr:uid="{D431A17E-888F-4592-A0C3-B478AC72FEA5}">
      <formula1>0</formula1>
      <formula2>20000</formula2>
    </dataValidation>
    <dataValidation type="list" operator="greaterThanOrEqual" allowBlank="1" showInputMessage="1" showErrorMessage="1" errorTitle="Certificate number" error="Please enter the correct reference!" sqref="G6" xr:uid="{9FDC77B1-7382-4B2C-96B3-658D25735B1F}">
      <formula1>$A$8:$A$78</formula1>
    </dataValidation>
    <dataValidation type="date" allowBlank="1" showInputMessage="1" showErrorMessage="1" errorTitle="Date" error="Enter correct date!" sqref="D9:D78" xr:uid="{675CA5D6-1667-4D6E-B864-8B90128AE3DB}">
      <formula1>$P$81</formula1>
      <formula2>$Q$80</formula2>
    </dataValidation>
    <dataValidation type="list" showInputMessage="1" showErrorMessage="1" sqref="I89" xr:uid="{D7EFC23E-5FBE-492D-AF1F-6EDF2498CBCE}">
      <formula1>$T$1:$T$3</formula1>
    </dataValidation>
    <dataValidation type="whole" allowBlank="1" showInputMessage="1" showErrorMessage="1" errorTitle="Tax credit first utilised" error="Please enter correct year of assessment!" sqref="F9:F78" xr:uid="{EEF7C830-4C6F-4E56-ABDC-C6C235300228}">
      <formula1>$R$4</formula1>
      <formula2>$R$5</formula2>
    </dataValidation>
    <dataValidation type="list" allowBlank="1" showInputMessage="1" showErrorMessage="1" sqref="B9:B78" xr:uid="{219F066D-E0D8-42E5-B371-22DE41F99A95}">
      <formula1>FU</formula1>
    </dataValidation>
    <dataValidation type="whole" allowBlank="1" showInputMessage="1" showErrorMessage="1" errorTitle="Income relieved by tax credit" error="Are you sure the amount entered is correct?" sqref="J85" xr:uid="{800C6935-CAD0-4E0C-A782-B7EDE41BA8F7}">
      <formula1>S85-1</formula1>
      <formula2>R85+1</formula2>
    </dataValidation>
    <dataValidation type="list" showInputMessage="1" showErrorMessage="1" sqref="J87" xr:uid="{D05223B7-D1A9-4B06-8E7C-47E1CF175D4D}">
      <formula1>yn</formula1>
    </dataValidation>
    <dataValidation type="textLength" operator="greaterThanOrEqual" allowBlank="1" showInputMessage="1" showErrorMessage="1" errorTitle="Certificate No:" error="Please enter correct certificate number!" sqref="C9:C78" xr:uid="{2C91C49E-D238-4245-88D2-B0619270B583}">
      <formula1>6</formula1>
    </dataValidation>
    <dataValidation type="whole" operator="greaterThanOrEqual" allowBlank="1" showInputMessage="1" showErrorMessage="1" errorTitle="Tax credits utilised " error="Enter a whole figure greater than 0!" sqref="G9:G78 I9:I78" xr:uid="{9417F480-FFF8-4683-9E78-AF30D46F9386}">
      <formula1>0</formula1>
    </dataValidation>
    <dataValidation operator="greaterThanOrEqual" allowBlank="1" showInputMessage="1" showErrorMessage="1" errorTitle="Tax credits utilised " error="Enter a whole figure greater than 0!" sqref="H9:H78" xr:uid="{AFF0ACDB-ACAE-4CE4-806E-B58DAFECF317}"/>
  </dataValidations>
  <hyperlinks>
    <hyperlink ref="H82" location="'TRA35'!A1" display="TRA 35" xr:uid="{C229B8EA-1BBD-4C7A-B92E-6ABB1CBF4514}"/>
    <hyperlink ref="I85" location="'TRA35'!A1" display="TRA 35" xr:uid="{E520314C-2B8E-43B4-A841-861CB76E70ED}"/>
    <hyperlink ref="B93" location="Index!A1" display="BACK TO INDEX" xr:uid="{A4C65161-2DD8-4C5A-9C13-A4EF5466578A}"/>
  </hyperlinks>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E1A8-C6DF-438C-854F-C9384A86C389}">
  <sheetPr codeName="Sheet126"/>
  <dimension ref="A1:U95"/>
  <sheetViews>
    <sheetView showGridLines="0" zoomScaleNormal="100" workbookViewId="0">
      <selection activeCell="G30" sqref="G30"/>
    </sheetView>
  </sheetViews>
  <sheetFormatPr defaultColWidth="0" defaultRowHeight="12.75" zeroHeight="1" x14ac:dyDescent="0.2"/>
  <cols>
    <col min="1" max="1" width="5.710937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9" width="13.28515625" style="1485" customWidth="1"/>
    <col min="10" max="10" width="13.28515625" style="1485" hidden="1" customWidth="1"/>
    <col min="11" max="11" width="33.5703125" style="1485" customWidth="1"/>
    <col min="12" max="15" width="9.28515625" style="1485" hidden="1" customWidth="1"/>
    <col min="16" max="16" width="10.28515625" style="1485" hidden="1" customWidth="1"/>
    <col min="17" max="17" width="10.7109375" style="1485" hidden="1" customWidth="1"/>
    <col min="18" max="19" width="10.28515625" style="1485" hidden="1" customWidth="1"/>
    <col min="20" max="21" width="15.42578125" style="1485" hidden="1" customWidth="1"/>
    <col min="22" max="16384" width="9.28515625" style="1485" hidden="1"/>
  </cols>
  <sheetData>
    <row r="1" spans="1:20" x14ac:dyDescent="0.2">
      <c r="A1" s="3315" t="str">
        <f>_ref1</f>
      </c>
      <c r="B1" s="3315"/>
      <c r="C1" s="3315"/>
      <c r="D1" s="3315"/>
      <c r="E1" s="3315"/>
      <c r="F1" s="3315"/>
      <c r="G1" s="3315"/>
      <c r="H1" s="3315"/>
      <c r="I1" s="3315" t="str">
        <f>_YA1</f>
      </c>
      <c r="J1" s="3315"/>
      <c r="K1" s="3315"/>
      <c r="N1" s="1871" t="s">
        <v>10463</v>
      </c>
      <c r="O1" s="1485" t="str">
        <f>'p2'!G36</f>
      </c>
      <c r="Q1" s="3123" t="s">
        <v>3994</v>
      </c>
      <c r="R1" s="3123">
        <f>ya</f>
      </c>
    </row>
    <row r="2" spans="1:20" x14ac:dyDescent="0.2">
      <c r="A2" s="3315"/>
      <c r="B2" s="3315"/>
      <c r="C2" s="3315"/>
      <c r="D2" s="3315"/>
      <c r="E2" s="3315"/>
      <c r="F2" s="3315"/>
      <c r="G2" s="3315"/>
      <c r="H2" s="3315"/>
      <c r="I2" s="3315"/>
      <c r="J2" s="3315"/>
      <c r="K2" s="3315"/>
      <c r="Q2" s="3123" t="s">
        <v>2705</v>
      </c>
      <c r="R2" s="3123">
        <f>R1-1</f>
      </c>
      <c r="T2" s="1485" t="s">
        <v>10464</v>
      </c>
    </row>
    <row r="3" spans="1:20" ht="14.25" customHeight="1" x14ac:dyDescent="0.2">
      <c r="A3" s="3315"/>
      <c r="B3" s="1808" t="s">
        <v>7026</v>
      </c>
      <c r="C3" s="1809"/>
      <c r="D3" s="1809"/>
      <c r="E3" s="1809"/>
      <c r="F3" s="1809"/>
      <c r="G3" s="1809"/>
      <c r="H3" s="1809"/>
      <c r="I3" s="1810"/>
      <c r="J3" s="1810"/>
      <c r="K3" s="3315"/>
      <c r="T3" s="1485" t="s">
        <v>1736</v>
      </c>
    </row>
    <row r="4" spans="1:20" ht="14.25" customHeight="1" x14ac:dyDescent="0.2">
      <c r="A4" s="3315"/>
      <c r="B4" s="1811" t="s">
        <v>10475</v>
      </c>
      <c r="C4" s="1812"/>
      <c r="D4" s="1812"/>
      <c r="E4" s="1812"/>
      <c r="F4" s="1812"/>
      <c r="G4" s="1812"/>
      <c r="H4" s="1812"/>
      <c r="I4" s="1813"/>
      <c r="J4" s="1813"/>
      <c r="K4" s="3315"/>
      <c r="M4" s="1873">
        <f>SUM(M6:M91)</f>
      </c>
      <c r="N4" s="1873">
        <f>SUM(N6:N90)</f>
      </c>
      <c r="Q4" s="1485" t="s">
        <v>10466</v>
      </c>
      <c r="R4" s="1485">
        <v>2023</v>
      </c>
    </row>
    <row r="5" spans="1:20" x14ac:dyDescent="0.2">
      <c r="A5" s="3315"/>
      <c r="B5" s="3315"/>
      <c r="C5" s="3315"/>
      <c r="D5" s="3315"/>
      <c r="E5" s="3315"/>
      <c r="F5" s="3315"/>
      <c r="G5" s="3315"/>
      <c r="H5" s="3315"/>
      <c r="I5" s="3315"/>
      <c r="J5" s="3315"/>
      <c r="K5" s="3315"/>
      <c r="M5" s="1485" t="s">
        <v>7439</v>
      </c>
      <c r="N5" s="1485" t="s">
        <v>7161</v>
      </c>
      <c r="Q5" s="1485" t="s">
        <v>10467</v>
      </c>
      <c r="R5" s="1485">
        <f>IF(R1=2023,2023,2024)</f>
      </c>
    </row>
    <row r="6" spans="1:20" x14ac:dyDescent="0.2">
      <c r="A6" s="3315"/>
      <c r="B6" s="3315"/>
      <c r="C6" s="1938"/>
      <c r="D6" s="1938"/>
      <c r="E6" s="2239" t="s">
        <v>10468</v>
      </c>
      <c r="F6" s="3315"/>
      <c r="G6" s="3352"/>
      <c r="H6" s="3315" t="str">
        <f>IF(N4=0,"",IF(AND(N4&gt;0,G6=""),re,""))</f>
        <v/>
      </c>
      <c r="I6" s="3315"/>
      <c r="J6" s="3315"/>
      <c r="K6" s="3315"/>
      <c r="M6" s="3123">
        <f>IF(H6="",0,1)</f>
      </c>
      <c r="N6" s="3123">
        <f>IF(G6&lt;&gt;"",1,0)</f>
      </c>
    </row>
    <row r="7" spans="1:20" x14ac:dyDescent="0.2">
      <c r="A7" s="3315"/>
      <c r="B7" s="3315"/>
      <c r="C7" s="3315"/>
      <c r="D7" s="3315"/>
      <c r="E7" s="3315"/>
      <c r="F7" s="3315"/>
      <c r="G7" s="3315"/>
      <c r="H7" s="3315"/>
      <c r="I7" s="3315"/>
      <c r="J7" s="3315"/>
      <c r="K7" s="3315"/>
    </row>
    <row r="8" spans="1:20" ht="63.75" customHeight="1" x14ac:dyDescent="0.2">
      <c r="A8" s="3315"/>
      <c r="B8" s="5471" t="s">
        <v>10083</v>
      </c>
      <c r="C8" s="5471" t="s">
        <v>7154</v>
      </c>
      <c r="D8" s="5469" t="s">
        <v>7155</v>
      </c>
      <c r="E8" s="5471" t="s">
        <v>7156</v>
      </c>
      <c r="F8" s="5471" t="s">
        <v>9114</v>
      </c>
      <c r="G8" s="5471" t="s">
        <v>10517</v>
      </c>
      <c r="H8" s="5471" t="s">
        <v>7157</v>
      </c>
      <c r="I8" s="5471" t="s">
        <v>10470</v>
      </c>
      <c r="J8" s="3986" t="s">
        <v>10514</v>
      </c>
      <c r="K8" s="3315"/>
    </row>
    <row r="9" spans="1:20" x14ac:dyDescent="0.2">
      <c r="A9" s="3315"/>
      <c r="B9" s="5472"/>
      <c r="C9" s="5472"/>
      <c r="D9" s="5470"/>
      <c r="E9" s="5472"/>
      <c r="F9" s="5472"/>
      <c r="G9" s="5472"/>
      <c r="H9" s="5472"/>
      <c r="I9" s="5472"/>
      <c r="J9" s="4026"/>
      <c r="K9" s="3315"/>
      <c r="M9" s="3123">
        <f>IF(K9="",0,1)</f>
      </c>
      <c r="N9" s="3123">
        <f>IF(J9&lt;&gt;"",1,0)</f>
      </c>
    </row>
    <row r="10" spans="1:20" x14ac:dyDescent="0.2">
      <c r="A10" s="3748">
        <v>1</v>
      </c>
      <c r="B10" s="3988"/>
      <c r="C10" s="363"/>
      <c r="D10" s="809"/>
      <c r="E10" s="3989"/>
      <c r="F10" s="3990"/>
      <c r="G10" s="3989"/>
      <c r="H10" s="3989"/>
      <c r="I10" s="3991">
        <f>IF(F10=ya,E10-H10,G10-H10)</f>
      </c>
      <c r="J10" s="3991">
        <f>I10*(100%+$J$9)</f>
      </c>
      <c r="K10" s="3351" t="str">
        <f t="shared" ref="K10:K41" si="0">IF(AND($G$6&gt;0,A10&lt;=$G$6,N10=0),re,IF(AND($O$1="n",B10&lt;&gt;""),"Not a fiscal Unit",IF(AND($G$6&gt;0,A10&lt;=$G$6,$O$1="y",N10&lt;7),"All data",IF(AND(A10&gt;$G$6,N10&gt;0),"No details required",IF(AND($G$6&gt;0,A10&lt;=$G$6,$O$1="n",N10&lt;6),"All data",IF(AND(F10=$R$1,G10&gt;0),"Check unutilsed tax credit b/fwd",IF(OR((AND(F10=ya,E10-H10&lt;0)),(AND(F10&lt;ya,G10-H10&lt;0))),"Excessive utilised credit!","")))))))</f>
        <v/>
      </c>
      <c r="M10" s="3123">
        <f>IF(K10="",0,1)</f>
      </c>
      <c r="N10" s="3123">
        <f t="shared" ref="N10:N41" si="1">IF(OR($O$1=0,$O$1="n"),COUNTA(C10:H10),IF($O$1="y",COUNTA(B10:H10),0))</f>
      </c>
    </row>
    <row r="11" spans="1:20" x14ac:dyDescent="0.2">
      <c r="A11" s="3748">
        <v>2</v>
      </c>
      <c r="B11" s="3988"/>
      <c r="C11" s="363"/>
      <c r="D11" s="809"/>
      <c r="E11" s="3989"/>
      <c r="F11" s="3990"/>
      <c r="G11" s="3989"/>
      <c r="H11" s="3989"/>
      <c r="I11" s="3991">
        <f t="shared" ref="I11:I41" si="2">IF(F11=ya,E11-H11,G11-H11)</f>
      </c>
      <c r="J11" s="3991">
        <f t="shared" ref="J11:J74" si="3">I11*(100%+$J$9)</f>
      </c>
      <c r="K11" s="3351" t="str">
        <f t="shared" si="0"/>
        <v/>
      </c>
      <c r="M11" s="3123">
        <f t="shared" ref="M11:M79" si="4">IF(K11="",0,1)</f>
      </c>
      <c r="N11" s="3123">
        <f t="shared" si="1"/>
        <v>0</v>
      </c>
    </row>
    <row r="12" spans="1:20" x14ac:dyDescent="0.2">
      <c r="A12" s="3748">
        <v>3</v>
      </c>
      <c r="B12" s="3988"/>
      <c r="C12" s="363"/>
      <c r="D12" s="809"/>
      <c r="E12" s="3989"/>
      <c r="F12" s="3990"/>
      <c r="G12" s="3989"/>
      <c r="H12" s="3989"/>
      <c r="I12" s="3991">
        <f t="shared" si="2"/>
        <v>0</v>
      </c>
      <c r="J12" s="3991">
        <f t="shared" si="3"/>
        <v>0</v>
      </c>
      <c r="K12" s="3351" t="str">
        <f t="shared" si="0"/>
        <v/>
      </c>
      <c r="M12" s="3123">
        <f t="shared" si="4"/>
        <v>0</v>
      </c>
      <c r="N12" s="3123">
        <f t="shared" si="1"/>
        <v>0</v>
      </c>
    </row>
    <row r="13" spans="1:20" x14ac:dyDescent="0.2">
      <c r="A13" s="3748">
        <v>4</v>
      </c>
      <c r="B13" s="3988"/>
      <c r="C13" s="363"/>
      <c r="D13" s="809"/>
      <c r="E13" s="3989"/>
      <c r="F13" s="3990"/>
      <c r="G13" s="3989"/>
      <c r="H13" s="3989"/>
      <c r="I13" s="3991">
        <f t="shared" si="2"/>
        <v>0</v>
      </c>
      <c r="J13" s="3991">
        <f t="shared" si="3"/>
        <v>0</v>
      </c>
      <c r="K13" s="3351" t="str">
        <f t="shared" si="0"/>
        <v/>
      </c>
      <c r="M13" s="3123">
        <f t="shared" si="4"/>
        <v>0</v>
      </c>
      <c r="N13" s="3123">
        <f t="shared" si="1"/>
        <v>0</v>
      </c>
    </row>
    <row r="14" spans="1:20" x14ac:dyDescent="0.2">
      <c r="A14" s="3748">
        <v>5</v>
      </c>
      <c r="B14" s="3988"/>
      <c r="C14" s="363"/>
      <c r="D14" s="809"/>
      <c r="E14" s="3989"/>
      <c r="F14" s="3990"/>
      <c r="G14" s="3989"/>
      <c r="H14" s="3989"/>
      <c r="I14" s="3991">
        <f t="shared" si="2"/>
        <v>0</v>
      </c>
      <c r="J14" s="3991">
        <f t="shared" si="3"/>
        <v>0</v>
      </c>
      <c r="K14" s="3351" t="str">
        <f t="shared" si="0"/>
        <v/>
      </c>
      <c r="M14" s="3123">
        <f t="shared" si="4"/>
        <v>0</v>
      </c>
      <c r="N14" s="3123">
        <f t="shared" si="1"/>
        <v>0</v>
      </c>
    </row>
    <row r="15" spans="1:20" x14ac:dyDescent="0.2">
      <c r="A15" s="3748">
        <v>6</v>
      </c>
      <c r="B15" s="3988"/>
      <c r="C15" s="363"/>
      <c r="D15" s="809"/>
      <c r="E15" s="3989"/>
      <c r="F15" s="3990"/>
      <c r="G15" s="3989"/>
      <c r="H15" s="3989"/>
      <c r="I15" s="3991">
        <f t="shared" si="2"/>
        <v>0</v>
      </c>
      <c r="J15" s="3991">
        <f t="shared" si="3"/>
        <v>0</v>
      </c>
      <c r="K15" s="3351" t="str">
        <f t="shared" si="0"/>
        <v/>
      </c>
      <c r="M15" s="3123">
        <f t="shared" si="4"/>
        <v>0</v>
      </c>
      <c r="N15" s="3123">
        <f t="shared" si="1"/>
        <v>0</v>
      </c>
    </row>
    <row r="16" spans="1:20" x14ac:dyDescent="0.2">
      <c r="A16" s="3748">
        <v>7</v>
      </c>
      <c r="B16" s="3988"/>
      <c r="C16" s="363"/>
      <c r="D16" s="809"/>
      <c r="E16" s="3989"/>
      <c r="F16" s="3990"/>
      <c r="G16" s="3989"/>
      <c r="H16" s="3989"/>
      <c r="I16" s="3991">
        <f t="shared" si="2"/>
        <v>0</v>
      </c>
      <c r="J16" s="3991">
        <f t="shared" si="3"/>
        <v>0</v>
      </c>
      <c r="K16" s="3351" t="str">
        <f t="shared" si="0"/>
        <v/>
      </c>
      <c r="M16" s="3123">
        <f t="shared" si="4"/>
        <v>0</v>
      </c>
      <c r="N16" s="3123">
        <f t="shared" si="1"/>
        <v>0</v>
      </c>
    </row>
    <row r="17" spans="1:14" x14ac:dyDescent="0.2">
      <c r="A17" s="3748">
        <v>8</v>
      </c>
      <c r="B17" s="3988"/>
      <c r="C17" s="363"/>
      <c r="D17" s="809"/>
      <c r="E17" s="3989"/>
      <c r="F17" s="3990"/>
      <c r="G17" s="3989"/>
      <c r="H17" s="3989"/>
      <c r="I17" s="3991">
        <f t="shared" si="2"/>
        <v>0</v>
      </c>
      <c r="J17" s="3991">
        <f t="shared" si="3"/>
        <v>0</v>
      </c>
      <c r="K17" s="3351" t="str">
        <f t="shared" si="0"/>
        <v/>
      </c>
      <c r="M17" s="3123">
        <f t="shared" si="4"/>
        <v>0</v>
      </c>
      <c r="N17" s="3123">
        <f t="shared" si="1"/>
        <v>0</v>
      </c>
    </row>
    <row r="18" spans="1:14" x14ac:dyDescent="0.2">
      <c r="A18" s="3748">
        <v>9</v>
      </c>
      <c r="B18" s="3988"/>
      <c r="C18" s="363"/>
      <c r="D18" s="809"/>
      <c r="E18" s="3989"/>
      <c r="F18" s="3990"/>
      <c r="G18" s="3989"/>
      <c r="H18" s="3989"/>
      <c r="I18" s="3991">
        <f t="shared" si="2"/>
        <v>0</v>
      </c>
      <c r="J18" s="3991">
        <f t="shared" si="3"/>
        <v>0</v>
      </c>
      <c r="K18" s="3351" t="str">
        <f t="shared" si="0"/>
        <v/>
      </c>
      <c r="M18" s="3123">
        <f t="shared" si="4"/>
        <v>0</v>
      </c>
      <c r="N18" s="3123">
        <f t="shared" si="1"/>
        <v>0</v>
      </c>
    </row>
    <row r="19" spans="1:14" x14ac:dyDescent="0.2">
      <c r="A19" s="3748">
        <v>10</v>
      </c>
      <c r="B19" s="3988"/>
      <c r="C19" s="363"/>
      <c r="D19" s="809"/>
      <c r="E19" s="3989"/>
      <c r="F19" s="3990"/>
      <c r="G19" s="3989"/>
      <c r="H19" s="3989"/>
      <c r="I19" s="3991">
        <f t="shared" si="2"/>
        <v>0</v>
      </c>
      <c r="J19" s="3991">
        <f t="shared" si="3"/>
        <v>0</v>
      </c>
      <c r="K19" s="3351" t="str">
        <f t="shared" si="0"/>
        <v/>
      </c>
      <c r="M19" s="3123">
        <f t="shared" si="4"/>
        <v>0</v>
      </c>
      <c r="N19" s="3123">
        <f t="shared" si="1"/>
        <v>0</v>
      </c>
    </row>
    <row r="20" spans="1:14" x14ac:dyDescent="0.2">
      <c r="A20" s="3748">
        <v>11</v>
      </c>
      <c r="B20" s="3988"/>
      <c r="C20" s="363"/>
      <c r="D20" s="809"/>
      <c r="E20" s="3989"/>
      <c r="F20" s="3990"/>
      <c r="G20" s="3989"/>
      <c r="H20" s="3989"/>
      <c r="I20" s="3991">
        <f t="shared" si="2"/>
        <v>0</v>
      </c>
      <c r="J20" s="3991">
        <f t="shared" si="3"/>
        <v>0</v>
      </c>
      <c r="K20" s="3351" t="str">
        <f t="shared" si="0"/>
        <v/>
      </c>
      <c r="M20" s="3123">
        <f t="shared" si="4"/>
        <v>0</v>
      </c>
      <c r="N20" s="3123">
        <f t="shared" si="1"/>
        <v>0</v>
      </c>
    </row>
    <row r="21" spans="1:14" x14ac:dyDescent="0.2">
      <c r="A21" s="3748">
        <v>12</v>
      </c>
      <c r="B21" s="3988"/>
      <c r="C21" s="363"/>
      <c r="D21" s="809"/>
      <c r="E21" s="3989"/>
      <c r="F21" s="3990"/>
      <c r="G21" s="3989"/>
      <c r="H21" s="3989"/>
      <c r="I21" s="3991">
        <f t="shared" si="2"/>
        <v>0</v>
      </c>
      <c r="J21" s="3991">
        <f t="shared" si="3"/>
        <v>0</v>
      </c>
      <c r="K21" s="3351" t="str">
        <f t="shared" si="0"/>
        <v/>
      </c>
      <c r="M21" s="3123">
        <f t="shared" si="4"/>
        <v>0</v>
      </c>
      <c r="N21" s="3123">
        <f t="shared" si="1"/>
        <v>0</v>
      </c>
    </row>
    <row r="22" spans="1:14" x14ac:dyDescent="0.2">
      <c r="A22" s="3748">
        <v>13</v>
      </c>
      <c r="B22" s="3988"/>
      <c r="C22" s="363"/>
      <c r="D22" s="809"/>
      <c r="E22" s="3989"/>
      <c r="F22" s="3990"/>
      <c r="G22" s="3989"/>
      <c r="H22" s="3989"/>
      <c r="I22" s="3991">
        <f t="shared" si="2"/>
        <v>0</v>
      </c>
      <c r="J22" s="3991">
        <f t="shared" si="3"/>
        <v>0</v>
      </c>
      <c r="K22" s="3351" t="str">
        <f t="shared" si="0"/>
        <v/>
      </c>
      <c r="M22" s="3123">
        <f t="shared" si="4"/>
        <v>0</v>
      </c>
      <c r="N22" s="3123">
        <f t="shared" si="1"/>
        <v>0</v>
      </c>
    </row>
    <row r="23" spans="1:14" x14ac:dyDescent="0.2">
      <c r="A23" s="3748">
        <v>14</v>
      </c>
      <c r="B23" s="3988"/>
      <c r="C23" s="363"/>
      <c r="D23" s="809"/>
      <c r="E23" s="3989"/>
      <c r="F23" s="3990"/>
      <c r="G23" s="3989"/>
      <c r="H23" s="3989"/>
      <c r="I23" s="3991">
        <f t="shared" si="2"/>
        <v>0</v>
      </c>
      <c r="J23" s="3991">
        <f t="shared" si="3"/>
        <v>0</v>
      </c>
      <c r="K23" s="3351" t="str">
        <f t="shared" si="0"/>
        <v/>
      </c>
      <c r="M23" s="3123">
        <f t="shared" si="4"/>
        <v>0</v>
      </c>
      <c r="N23" s="3123">
        <f t="shared" si="1"/>
        <v>0</v>
      </c>
    </row>
    <row r="24" spans="1:14" x14ac:dyDescent="0.2">
      <c r="A24" s="3748">
        <v>15</v>
      </c>
      <c r="B24" s="3988"/>
      <c r="C24" s="363"/>
      <c r="D24" s="809"/>
      <c r="E24" s="3989"/>
      <c r="F24" s="3990"/>
      <c r="G24" s="3989"/>
      <c r="H24" s="3989"/>
      <c r="I24" s="3991">
        <f t="shared" si="2"/>
        <v>0</v>
      </c>
      <c r="J24" s="3991">
        <f t="shared" si="3"/>
        <v>0</v>
      </c>
      <c r="K24" s="3351" t="str">
        <f t="shared" si="0"/>
        <v/>
      </c>
      <c r="M24" s="3123">
        <f t="shared" si="4"/>
        <v>0</v>
      </c>
      <c r="N24" s="3123">
        <f t="shared" si="1"/>
        <v>0</v>
      </c>
    </row>
    <row r="25" spans="1:14" x14ac:dyDescent="0.2">
      <c r="A25" s="3748">
        <v>16</v>
      </c>
      <c r="B25" s="3988"/>
      <c r="C25" s="363"/>
      <c r="D25" s="809"/>
      <c r="E25" s="3989"/>
      <c r="F25" s="3990"/>
      <c r="G25" s="3989"/>
      <c r="H25" s="3989"/>
      <c r="I25" s="3991">
        <f t="shared" si="2"/>
        <v>0</v>
      </c>
      <c r="J25" s="3991">
        <f t="shared" si="3"/>
        <v>0</v>
      </c>
      <c r="K25" s="3351" t="str">
        <f t="shared" si="0"/>
        <v/>
      </c>
      <c r="M25" s="3123">
        <f t="shared" si="4"/>
        <v>0</v>
      </c>
      <c r="N25" s="3123">
        <f t="shared" si="1"/>
        <v>0</v>
      </c>
    </row>
    <row r="26" spans="1:14" x14ac:dyDescent="0.2">
      <c r="A26" s="3748">
        <v>17</v>
      </c>
      <c r="B26" s="3988"/>
      <c r="C26" s="363"/>
      <c r="D26" s="809"/>
      <c r="E26" s="3989"/>
      <c r="F26" s="3990"/>
      <c r="G26" s="3989"/>
      <c r="H26" s="3989"/>
      <c r="I26" s="3991">
        <f t="shared" si="2"/>
        <v>0</v>
      </c>
      <c r="J26" s="3991">
        <f t="shared" si="3"/>
        <v>0</v>
      </c>
      <c r="K26" s="3351" t="str">
        <f t="shared" si="0"/>
        <v/>
      </c>
      <c r="M26" s="3123">
        <f t="shared" si="4"/>
        <v>0</v>
      </c>
      <c r="N26" s="3123">
        <f t="shared" si="1"/>
        <v>0</v>
      </c>
    </row>
    <row r="27" spans="1:14" x14ac:dyDescent="0.2">
      <c r="A27" s="3748">
        <v>18</v>
      </c>
      <c r="B27" s="3988"/>
      <c r="C27" s="363"/>
      <c r="D27" s="809"/>
      <c r="E27" s="3989"/>
      <c r="F27" s="3990"/>
      <c r="G27" s="3989"/>
      <c r="H27" s="3989"/>
      <c r="I27" s="3991">
        <f t="shared" si="2"/>
        <v>0</v>
      </c>
      <c r="J27" s="3991">
        <f t="shared" si="3"/>
        <v>0</v>
      </c>
      <c r="K27" s="3351" t="str">
        <f t="shared" si="0"/>
        <v/>
      </c>
      <c r="M27" s="3123">
        <f t="shared" si="4"/>
        <v>0</v>
      </c>
      <c r="N27" s="3123">
        <f t="shared" si="1"/>
        <v>0</v>
      </c>
    </row>
    <row r="28" spans="1:14" x14ac:dyDescent="0.2">
      <c r="A28" s="3748">
        <v>19</v>
      </c>
      <c r="B28" s="3988"/>
      <c r="C28" s="363"/>
      <c r="D28" s="809"/>
      <c r="E28" s="3989"/>
      <c r="F28" s="3990"/>
      <c r="G28" s="3989"/>
      <c r="H28" s="3989"/>
      <c r="I28" s="3991">
        <f t="shared" si="2"/>
        <v>0</v>
      </c>
      <c r="J28" s="3991">
        <f t="shared" si="3"/>
        <v>0</v>
      </c>
      <c r="K28" s="3351" t="str">
        <f t="shared" si="0"/>
        <v/>
      </c>
      <c r="M28" s="3123">
        <f t="shared" si="4"/>
        <v>0</v>
      </c>
      <c r="N28" s="3123">
        <f t="shared" si="1"/>
        <v>0</v>
      </c>
    </row>
    <row r="29" spans="1:14" x14ac:dyDescent="0.2">
      <c r="A29" s="3748">
        <v>20</v>
      </c>
      <c r="B29" s="3988"/>
      <c r="C29" s="363"/>
      <c r="D29" s="809"/>
      <c r="E29" s="3989"/>
      <c r="F29" s="3990"/>
      <c r="G29" s="3989"/>
      <c r="H29" s="3989"/>
      <c r="I29" s="3991">
        <f t="shared" si="2"/>
        <v>0</v>
      </c>
      <c r="J29" s="3991">
        <f t="shared" si="3"/>
        <v>0</v>
      </c>
      <c r="K29" s="3351" t="str">
        <f t="shared" si="0"/>
        <v/>
      </c>
      <c r="M29" s="3123">
        <f t="shared" si="4"/>
        <v>0</v>
      </c>
      <c r="N29" s="3123">
        <f t="shared" si="1"/>
        <v>0</v>
      </c>
    </row>
    <row r="30" spans="1:14" x14ac:dyDescent="0.2">
      <c r="A30" s="3748">
        <v>21</v>
      </c>
      <c r="B30" s="3988"/>
      <c r="C30" s="363"/>
      <c r="D30" s="809"/>
      <c r="E30" s="3989"/>
      <c r="F30" s="3990"/>
      <c r="G30" s="3989"/>
      <c r="H30" s="3989"/>
      <c r="I30" s="3991">
        <f t="shared" si="2"/>
        <v>0</v>
      </c>
      <c r="J30" s="3991">
        <f t="shared" si="3"/>
        <v>0</v>
      </c>
      <c r="K30" s="3351" t="str">
        <f t="shared" si="0"/>
        <v/>
      </c>
      <c r="M30" s="3123">
        <f t="shared" si="4"/>
        <v>0</v>
      </c>
      <c r="N30" s="3123">
        <f t="shared" si="1"/>
        <v>0</v>
      </c>
    </row>
    <row r="31" spans="1:14" x14ac:dyDescent="0.2">
      <c r="A31" s="3748">
        <v>22</v>
      </c>
      <c r="B31" s="3988"/>
      <c r="C31" s="363"/>
      <c r="D31" s="809"/>
      <c r="E31" s="3989"/>
      <c r="F31" s="3990"/>
      <c r="G31" s="3989"/>
      <c r="H31" s="3989"/>
      <c r="I31" s="3991">
        <f t="shared" si="2"/>
        <v>0</v>
      </c>
      <c r="J31" s="3991">
        <f t="shared" si="3"/>
        <v>0</v>
      </c>
      <c r="K31" s="3351" t="str">
        <f t="shared" si="0"/>
        <v/>
      </c>
      <c r="M31" s="3123">
        <f t="shared" si="4"/>
        <v>0</v>
      </c>
      <c r="N31" s="3123">
        <f t="shared" si="1"/>
        <v>0</v>
      </c>
    </row>
    <row r="32" spans="1:14" x14ac:dyDescent="0.2">
      <c r="A32" s="3748">
        <v>23</v>
      </c>
      <c r="B32" s="3988"/>
      <c r="C32" s="363"/>
      <c r="D32" s="809"/>
      <c r="E32" s="3989"/>
      <c r="F32" s="3990"/>
      <c r="G32" s="3989"/>
      <c r="H32" s="3989"/>
      <c r="I32" s="3991">
        <f t="shared" si="2"/>
        <v>0</v>
      </c>
      <c r="J32" s="3991">
        <f t="shared" si="3"/>
        <v>0</v>
      </c>
      <c r="K32" s="3351" t="str">
        <f t="shared" si="0"/>
        <v/>
      </c>
      <c r="M32" s="3123">
        <f t="shared" si="4"/>
        <v>0</v>
      </c>
      <c r="N32" s="3123">
        <f t="shared" si="1"/>
        <v>0</v>
      </c>
    </row>
    <row r="33" spans="1:14" x14ac:dyDescent="0.2">
      <c r="A33" s="3748">
        <v>24</v>
      </c>
      <c r="B33" s="3988"/>
      <c r="C33" s="363"/>
      <c r="D33" s="809"/>
      <c r="E33" s="3989"/>
      <c r="F33" s="3990"/>
      <c r="G33" s="3989"/>
      <c r="H33" s="3989"/>
      <c r="I33" s="3991">
        <f t="shared" si="2"/>
        <v>0</v>
      </c>
      <c r="J33" s="3991">
        <f t="shared" si="3"/>
        <v>0</v>
      </c>
      <c r="K33" s="3351" t="str">
        <f t="shared" si="0"/>
        <v/>
      </c>
      <c r="M33" s="3123">
        <f t="shared" si="4"/>
        <v>0</v>
      </c>
      <c r="N33" s="3123">
        <f t="shared" si="1"/>
        <v>0</v>
      </c>
    </row>
    <row r="34" spans="1:14" x14ac:dyDescent="0.2">
      <c r="A34" s="3748">
        <v>25</v>
      </c>
      <c r="B34" s="3988"/>
      <c r="C34" s="363"/>
      <c r="D34" s="809"/>
      <c r="E34" s="3989"/>
      <c r="F34" s="3990"/>
      <c r="G34" s="3989"/>
      <c r="H34" s="3989"/>
      <c r="I34" s="3991">
        <f t="shared" si="2"/>
        <v>0</v>
      </c>
      <c r="J34" s="3991">
        <f t="shared" si="3"/>
        <v>0</v>
      </c>
      <c r="K34" s="3351" t="str">
        <f t="shared" si="0"/>
        <v/>
      </c>
      <c r="M34" s="3123">
        <f t="shared" si="4"/>
        <v>0</v>
      </c>
      <c r="N34" s="3123">
        <f t="shared" si="1"/>
        <v>0</v>
      </c>
    </row>
    <row r="35" spans="1:14" x14ac:dyDescent="0.2">
      <c r="A35" s="3748">
        <v>26</v>
      </c>
      <c r="B35" s="3988"/>
      <c r="C35" s="363"/>
      <c r="D35" s="809"/>
      <c r="E35" s="3989"/>
      <c r="F35" s="3990"/>
      <c r="G35" s="3989"/>
      <c r="H35" s="3989"/>
      <c r="I35" s="3991">
        <f t="shared" si="2"/>
        <v>0</v>
      </c>
      <c r="J35" s="3991">
        <f t="shared" si="3"/>
        <v>0</v>
      </c>
      <c r="K35" s="3351" t="str">
        <f t="shared" si="0"/>
        <v/>
      </c>
      <c r="M35" s="3123">
        <f t="shared" si="4"/>
        <v>0</v>
      </c>
      <c r="N35" s="3123">
        <f t="shared" si="1"/>
        <v>0</v>
      </c>
    </row>
    <row r="36" spans="1:14" x14ac:dyDescent="0.2">
      <c r="A36" s="3748">
        <v>27</v>
      </c>
      <c r="B36" s="3988"/>
      <c r="C36" s="363"/>
      <c r="D36" s="809"/>
      <c r="E36" s="3989"/>
      <c r="F36" s="3990"/>
      <c r="G36" s="3989"/>
      <c r="H36" s="3989"/>
      <c r="I36" s="3991">
        <f t="shared" si="2"/>
        <v>0</v>
      </c>
      <c r="J36" s="3991">
        <f t="shared" si="3"/>
        <v>0</v>
      </c>
      <c r="K36" s="3351" t="str">
        <f t="shared" si="0"/>
        <v/>
      </c>
      <c r="M36" s="3123">
        <f t="shared" si="4"/>
        <v>0</v>
      </c>
      <c r="N36" s="3123">
        <f t="shared" si="1"/>
        <v>0</v>
      </c>
    </row>
    <row r="37" spans="1:14" x14ac:dyDescent="0.2">
      <c r="A37" s="3748">
        <v>28</v>
      </c>
      <c r="B37" s="3988"/>
      <c r="C37" s="363"/>
      <c r="D37" s="809"/>
      <c r="E37" s="3989"/>
      <c r="F37" s="3990"/>
      <c r="G37" s="3989"/>
      <c r="H37" s="3989"/>
      <c r="I37" s="3991">
        <f t="shared" si="2"/>
        <v>0</v>
      </c>
      <c r="J37" s="3991">
        <f t="shared" si="3"/>
        <v>0</v>
      </c>
      <c r="K37" s="3351" t="str">
        <f t="shared" si="0"/>
        <v/>
      </c>
      <c r="M37" s="3123">
        <f t="shared" si="4"/>
        <v>0</v>
      </c>
      <c r="N37" s="3123">
        <f t="shared" si="1"/>
        <v>0</v>
      </c>
    </row>
    <row r="38" spans="1:14" x14ac:dyDescent="0.2">
      <c r="A38" s="3748">
        <v>29</v>
      </c>
      <c r="B38" s="3988"/>
      <c r="C38" s="363"/>
      <c r="D38" s="809"/>
      <c r="E38" s="3989"/>
      <c r="F38" s="3990"/>
      <c r="G38" s="3989"/>
      <c r="H38" s="3989"/>
      <c r="I38" s="3991">
        <f t="shared" si="2"/>
        <v>0</v>
      </c>
      <c r="J38" s="3991">
        <f t="shared" si="3"/>
        <v>0</v>
      </c>
      <c r="K38" s="3351" t="str">
        <f t="shared" si="0"/>
        <v/>
      </c>
      <c r="M38" s="3123">
        <f t="shared" si="4"/>
        <v>0</v>
      </c>
      <c r="N38" s="3123">
        <f t="shared" si="1"/>
        <v>0</v>
      </c>
    </row>
    <row r="39" spans="1:14" x14ac:dyDescent="0.2">
      <c r="A39" s="3748">
        <v>30</v>
      </c>
      <c r="B39" s="3988"/>
      <c r="C39" s="363"/>
      <c r="D39" s="809"/>
      <c r="E39" s="3989"/>
      <c r="F39" s="3990"/>
      <c r="G39" s="3989"/>
      <c r="H39" s="3989"/>
      <c r="I39" s="3991">
        <f t="shared" si="2"/>
        <v>0</v>
      </c>
      <c r="J39" s="3991">
        <f t="shared" si="3"/>
        <v>0</v>
      </c>
      <c r="K39" s="3351" t="str">
        <f t="shared" si="0"/>
        <v/>
      </c>
      <c r="M39" s="3123">
        <f t="shared" si="4"/>
        <v>0</v>
      </c>
      <c r="N39" s="3123">
        <f t="shared" si="1"/>
        <v>0</v>
      </c>
    </row>
    <row r="40" spans="1:14" x14ac:dyDescent="0.2">
      <c r="A40" s="3748">
        <v>31</v>
      </c>
      <c r="B40" s="3988"/>
      <c r="C40" s="363"/>
      <c r="D40" s="809"/>
      <c r="E40" s="3989"/>
      <c r="F40" s="3990"/>
      <c r="G40" s="3989"/>
      <c r="H40" s="3989"/>
      <c r="I40" s="3991">
        <f t="shared" si="2"/>
        <v>0</v>
      </c>
      <c r="J40" s="3991">
        <f t="shared" si="3"/>
        <v>0</v>
      </c>
      <c r="K40" s="3351" t="str">
        <f t="shared" si="0"/>
        <v/>
      </c>
      <c r="M40" s="3123">
        <f t="shared" si="4"/>
        <v>0</v>
      </c>
      <c r="N40" s="3123">
        <f t="shared" si="1"/>
        <v>0</v>
      </c>
    </row>
    <row r="41" spans="1:14" x14ac:dyDescent="0.2">
      <c r="A41" s="3748">
        <v>32</v>
      </c>
      <c r="B41" s="3988"/>
      <c r="C41" s="363"/>
      <c r="D41" s="809"/>
      <c r="E41" s="3989"/>
      <c r="F41" s="3990"/>
      <c r="G41" s="3989"/>
      <c r="H41" s="3989"/>
      <c r="I41" s="3991">
        <f t="shared" si="2"/>
        <v>0</v>
      </c>
      <c r="J41" s="3991">
        <f t="shared" si="3"/>
        <v>0</v>
      </c>
      <c r="K41" s="3351" t="str">
        <f t="shared" si="0"/>
        <v/>
      </c>
      <c r="M41" s="3123">
        <f t="shared" si="4"/>
        <v>0</v>
      </c>
      <c r="N41" s="3123">
        <f t="shared" si="1"/>
        <v>0</v>
      </c>
    </row>
    <row r="42" spans="1:14" x14ac:dyDescent="0.2">
      <c r="A42" s="3748">
        <v>33</v>
      </c>
      <c r="B42" s="3988"/>
      <c r="C42" s="363"/>
      <c r="D42" s="809"/>
      <c r="E42" s="3989"/>
      <c r="F42" s="3990"/>
      <c r="G42" s="3989"/>
      <c r="H42" s="3989"/>
      <c r="I42" s="3991">
        <f t="shared" ref="I42:I73" si="5">IF(F42=ya,E42-H42,G42-H42)</f>
      </c>
      <c r="J42" s="3991">
        <f t="shared" si="3"/>
        <v>0</v>
      </c>
      <c r="K42" s="3351" t="str">
        <f t="shared" ref="K42:K73" si="6">IF(AND($G$6&gt;0,A42&lt;=$G$6,N42=0),re,IF(AND($O$1="n",B42&lt;&gt;""),"Not a fiscal Unit",IF(AND($G$6&gt;0,A42&lt;=$G$6,$O$1="y",N42&lt;7),"All data",IF(AND(A42&gt;$G$6,N42&gt;0),"No details required",IF(AND($G$6&gt;0,A42&lt;=$G$6,$O$1="n",N42&lt;6),"All data",IF(AND(F42=$R$1,G42&gt;0),"Check unutilsed tax credit b/fwd",IF(OR((AND(F42=ya,E42-H42&lt;0)),(AND(F42&lt;ya,G42-H42&lt;0))),"Excessive utilised credit!","")))))))</f>
        <v/>
      </c>
      <c r="M42" s="3123">
        <f t="shared" si="4"/>
        <v>0</v>
      </c>
      <c r="N42" s="3123">
        <f t="shared" ref="N42:N73" si="7">IF(OR($O$1=0,$O$1="n"),COUNTA(C42:H42),IF($O$1="y",COUNTA(B42:H42),0))</f>
      </c>
    </row>
    <row r="43" spans="1:14" x14ac:dyDescent="0.2">
      <c r="A43" s="3748">
        <v>34</v>
      </c>
      <c r="B43" s="3988"/>
      <c r="C43" s="363"/>
      <c r="D43" s="809"/>
      <c r="E43" s="3989"/>
      <c r="F43" s="3990"/>
      <c r="G43" s="3989"/>
      <c r="H43" s="3989"/>
      <c r="I43" s="3991">
        <f t="shared" si="5"/>
        <v>0</v>
      </c>
      <c r="J43" s="3991">
        <f t="shared" si="3"/>
        <v>0</v>
      </c>
      <c r="K43" s="3351" t="str">
        <f t="shared" si="6"/>
        <v/>
      </c>
      <c r="M43" s="3123">
        <f t="shared" si="4"/>
        <v>0</v>
      </c>
      <c r="N43" s="3123">
        <f t="shared" si="7"/>
        <v>0</v>
      </c>
    </row>
    <row r="44" spans="1:14" x14ac:dyDescent="0.2">
      <c r="A44" s="3748">
        <v>35</v>
      </c>
      <c r="B44" s="3988"/>
      <c r="C44" s="363"/>
      <c r="D44" s="809"/>
      <c r="E44" s="3989"/>
      <c r="F44" s="3990"/>
      <c r="G44" s="3989"/>
      <c r="H44" s="3989"/>
      <c r="I44" s="3991">
        <f t="shared" si="5"/>
        <v>0</v>
      </c>
      <c r="J44" s="3991">
        <f t="shared" si="3"/>
        <v>0</v>
      </c>
      <c r="K44" s="3351" t="str">
        <f t="shared" si="6"/>
        <v/>
      </c>
      <c r="M44" s="3123">
        <f t="shared" si="4"/>
        <v>0</v>
      </c>
      <c r="N44" s="3123">
        <f t="shared" si="7"/>
        <v>0</v>
      </c>
    </row>
    <row r="45" spans="1:14" x14ac:dyDescent="0.2">
      <c r="A45" s="3748">
        <v>36</v>
      </c>
      <c r="B45" s="3988"/>
      <c r="C45" s="363"/>
      <c r="D45" s="809"/>
      <c r="E45" s="3989"/>
      <c r="F45" s="3990"/>
      <c r="G45" s="3989"/>
      <c r="H45" s="3989"/>
      <c r="I45" s="3991">
        <f t="shared" si="5"/>
        <v>0</v>
      </c>
      <c r="J45" s="3991">
        <f t="shared" si="3"/>
        <v>0</v>
      </c>
      <c r="K45" s="3351" t="str">
        <f t="shared" si="6"/>
        <v/>
      </c>
      <c r="M45" s="3123">
        <f t="shared" si="4"/>
        <v>0</v>
      </c>
      <c r="N45" s="3123">
        <f t="shared" si="7"/>
        <v>0</v>
      </c>
    </row>
    <row r="46" spans="1:14" x14ac:dyDescent="0.2">
      <c r="A46" s="3748">
        <v>37</v>
      </c>
      <c r="B46" s="3988"/>
      <c r="C46" s="363"/>
      <c r="D46" s="809"/>
      <c r="E46" s="3989"/>
      <c r="F46" s="3990"/>
      <c r="G46" s="3989"/>
      <c r="H46" s="3989"/>
      <c r="I46" s="3991">
        <f t="shared" si="5"/>
        <v>0</v>
      </c>
      <c r="J46" s="3991">
        <f t="shared" si="3"/>
        <v>0</v>
      </c>
      <c r="K46" s="3351" t="str">
        <f t="shared" si="6"/>
        <v/>
      </c>
      <c r="M46" s="3123">
        <f t="shared" si="4"/>
        <v>0</v>
      </c>
      <c r="N46" s="3123">
        <f t="shared" si="7"/>
        <v>0</v>
      </c>
    </row>
    <row r="47" spans="1:14" x14ac:dyDescent="0.2">
      <c r="A47" s="3748">
        <v>38</v>
      </c>
      <c r="B47" s="3988"/>
      <c r="C47" s="363"/>
      <c r="D47" s="809"/>
      <c r="E47" s="3989"/>
      <c r="F47" s="3990"/>
      <c r="G47" s="3989"/>
      <c r="H47" s="3989"/>
      <c r="I47" s="3991">
        <f t="shared" si="5"/>
        <v>0</v>
      </c>
      <c r="J47" s="3991">
        <f t="shared" si="3"/>
        <v>0</v>
      </c>
      <c r="K47" s="3351" t="str">
        <f t="shared" si="6"/>
        <v/>
      </c>
      <c r="M47" s="3123">
        <f t="shared" si="4"/>
        <v>0</v>
      </c>
      <c r="N47" s="3123">
        <f t="shared" si="7"/>
        <v>0</v>
      </c>
    </row>
    <row r="48" spans="1:14" x14ac:dyDescent="0.2">
      <c r="A48" s="3748">
        <v>39</v>
      </c>
      <c r="B48" s="3988"/>
      <c r="C48" s="363"/>
      <c r="D48" s="809"/>
      <c r="E48" s="3989"/>
      <c r="F48" s="3990"/>
      <c r="G48" s="3989"/>
      <c r="H48" s="3989"/>
      <c r="I48" s="3991">
        <f t="shared" si="5"/>
        <v>0</v>
      </c>
      <c r="J48" s="3991">
        <f t="shared" si="3"/>
        <v>0</v>
      </c>
      <c r="K48" s="3351" t="str">
        <f t="shared" si="6"/>
        <v/>
      </c>
      <c r="M48" s="3123">
        <f t="shared" si="4"/>
        <v>0</v>
      </c>
      <c r="N48" s="3123">
        <f t="shared" si="7"/>
        <v>0</v>
      </c>
    </row>
    <row r="49" spans="1:14" x14ac:dyDescent="0.2">
      <c r="A49" s="3748">
        <v>40</v>
      </c>
      <c r="B49" s="3988"/>
      <c r="C49" s="363"/>
      <c r="D49" s="809"/>
      <c r="E49" s="3989"/>
      <c r="F49" s="3990"/>
      <c r="G49" s="3989"/>
      <c r="H49" s="3989"/>
      <c r="I49" s="3991">
        <f t="shared" si="5"/>
        <v>0</v>
      </c>
      <c r="J49" s="3991">
        <f t="shared" si="3"/>
        <v>0</v>
      </c>
      <c r="K49" s="3351" t="str">
        <f t="shared" si="6"/>
        <v/>
      </c>
      <c r="M49" s="3123">
        <f t="shared" si="4"/>
        <v>0</v>
      </c>
      <c r="N49" s="3123">
        <f t="shared" si="7"/>
        <v>0</v>
      </c>
    </row>
    <row r="50" spans="1:14" x14ac:dyDescent="0.2">
      <c r="A50" s="3748">
        <v>41</v>
      </c>
      <c r="B50" s="3988"/>
      <c r="C50" s="363"/>
      <c r="D50" s="809"/>
      <c r="E50" s="3989"/>
      <c r="F50" s="3990"/>
      <c r="G50" s="3989"/>
      <c r="H50" s="3989"/>
      <c r="I50" s="3991">
        <f t="shared" si="5"/>
        <v>0</v>
      </c>
      <c r="J50" s="3991">
        <f t="shared" si="3"/>
        <v>0</v>
      </c>
      <c r="K50" s="3351" t="str">
        <f t="shared" si="6"/>
        <v/>
      </c>
      <c r="M50" s="3123">
        <f t="shared" si="4"/>
        <v>0</v>
      </c>
      <c r="N50" s="3123">
        <f t="shared" si="7"/>
        <v>0</v>
      </c>
    </row>
    <row r="51" spans="1:14" x14ac:dyDescent="0.2">
      <c r="A51" s="3748">
        <v>42</v>
      </c>
      <c r="B51" s="3988"/>
      <c r="C51" s="363"/>
      <c r="D51" s="809"/>
      <c r="E51" s="3989"/>
      <c r="F51" s="3990"/>
      <c r="G51" s="3989"/>
      <c r="H51" s="3989"/>
      <c r="I51" s="3991">
        <f t="shared" si="5"/>
        <v>0</v>
      </c>
      <c r="J51" s="3991">
        <f t="shared" si="3"/>
        <v>0</v>
      </c>
      <c r="K51" s="3351" t="str">
        <f t="shared" si="6"/>
        <v/>
      </c>
      <c r="M51" s="3123">
        <f t="shared" si="4"/>
        <v>0</v>
      </c>
      <c r="N51" s="3123">
        <f t="shared" si="7"/>
        <v>0</v>
      </c>
    </row>
    <row r="52" spans="1:14" x14ac:dyDescent="0.2">
      <c r="A52" s="3748">
        <v>43</v>
      </c>
      <c r="B52" s="3988"/>
      <c r="C52" s="363"/>
      <c r="D52" s="809"/>
      <c r="E52" s="3989"/>
      <c r="F52" s="3990"/>
      <c r="G52" s="3989"/>
      <c r="H52" s="3989"/>
      <c r="I52" s="3991">
        <f t="shared" si="5"/>
        <v>0</v>
      </c>
      <c r="J52" s="3991">
        <f t="shared" si="3"/>
        <v>0</v>
      </c>
      <c r="K52" s="3351" t="str">
        <f t="shared" si="6"/>
        <v/>
      </c>
      <c r="M52" s="3123">
        <f t="shared" si="4"/>
        <v>0</v>
      </c>
      <c r="N52" s="3123">
        <f t="shared" si="7"/>
        <v>0</v>
      </c>
    </row>
    <row r="53" spans="1:14" x14ac:dyDescent="0.2">
      <c r="A53" s="3748">
        <v>44</v>
      </c>
      <c r="B53" s="3988"/>
      <c r="C53" s="363"/>
      <c r="D53" s="809"/>
      <c r="E53" s="3989"/>
      <c r="F53" s="3990"/>
      <c r="G53" s="3989"/>
      <c r="H53" s="3989"/>
      <c r="I53" s="3991">
        <f t="shared" si="5"/>
        <v>0</v>
      </c>
      <c r="J53" s="3991">
        <f t="shared" si="3"/>
        <v>0</v>
      </c>
      <c r="K53" s="3351" t="str">
        <f t="shared" si="6"/>
        <v/>
      </c>
      <c r="M53" s="3123">
        <f t="shared" si="4"/>
        <v>0</v>
      </c>
      <c r="N53" s="3123">
        <f t="shared" si="7"/>
        <v>0</v>
      </c>
    </row>
    <row r="54" spans="1:14" x14ac:dyDescent="0.2">
      <c r="A54" s="3748">
        <v>45</v>
      </c>
      <c r="B54" s="3988"/>
      <c r="C54" s="363"/>
      <c r="D54" s="809"/>
      <c r="E54" s="3989"/>
      <c r="F54" s="3990"/>
      <c r="G54" s="3989"/>
      <c r="H54" s="3989"/>
      <c r="I54" s="3991">
        <f t="shared" si="5"/>
        <v>0</v>
      </c>
      <c r="J54" s="3991">
        <f t="shared" si="3"/>
        <v>0</v>
      </c>
      <c r="K54" s="3351" t="str">
        <f t="shared" si="6"/>
        <v/>
      </c>
      <c r="M54" s="3123">
        <f t="shared" si="4"/>
        <v>0</v>
      </c>
      <c r="N54" s="3123">
        <f t="shared" si="7"/>
        <v>0</v>
      </c>
    </row>
    <row r="55" spans="1:14" x14ac:dyDescent="0.2">
      <c r="A55" s="3748">
        <v>46</v>
      </c>
      <c r="B55" s="3988"/>
      <c r="C55" s="363"/>
      <c r="D55" s="809"/>
      <c r="E55" s="3989"/>
      <c r="F55" s="3990"/>
      <c r="G55" s="3989"/>
      <c r="H55" s="3989"/>
      <c r="I55" s="3991">
        <f t="shared" si="5"/>
        <v>0</v>
      </c>
      <c r="J55" s="3991">
        <f t="shared" si="3"/>
        <v>0</v>
      </c>
      <c r="K55" s="3351" t="str">
        <f t="shared" si="6"/>
        <v/>
      </c>
      <c r="M55" s="3123">
        <f t="shared" si="4"/>
        <v>0</v>
      </c>
      <c r="N55" s="3123">
        <f t="shared" si="7"/>
        <v>0</v>
      </c>
    </row>
    <row r="56" spans="1:14" x14ac:dyDescent="0.2">
      <c r="A56" s="3748">
        <v>47</v>
      </c>
      <c r="B56" s="3988"/>
      <c r="C56" s="363"/>
      <c r="D56" s="809"/>
      <c r="E56" s="3989"/>
      <c r="F56" s="3990"/>
      <c r="G56" s="3989"/>
      <c r="H56" s="3989"/>
      <c r="I56" s="3991">
        <f t="shared" si="5"/>
        <v>0</v>
      </c>
      <c r="J56" s="3991">
        <f t="shared" si="3"/>
        <v>0</v>
      </c>
      <c r="K56" s="3351" t="str">
        <f t="shared" si="6"/>
        <v/>
      </c>
      <c r="M56" s="3123">
        <f t="shared" si="4"/>
        <v>0</v>
      </c>
      <c r="N56" s="3123">
        <f t="shared" si="7"/>
        <v>0</v>
      </c>
    </row>
    <row r="57" spans="1:14" x14ac:dyDescent="0.2">
      <c r="A57" s="3748">
        <v>48</v>
      </c>
      <c r="B57" s="3988"/>
      <c r="C57" s="363"/>
      <c r="D57" s="809"/>
      <c r="E57" s="3989"/>
      <c r="F57" s="3990"/>
      <c r="G57" s="3989"/>
      <c r="H57" s="3989"/>
      <c r="I57" s="3991">
        <f t="shared" si="5"/>
        <v>0</v>
      </c>
      <c r="J57" s="3991">
        <f t="shared" si="3"/>
        <v>0</v>
      </c>
      <c r="K57" s="3351" t="str">
        <f t="shared" si="6"/>
        <v/>
      </c>
      <c r="M57" s="3123">
        <f t="shared" si="4"/>
        <v>0</v>
      </c>
      <c r="N57" s="3123">
        <f t="shared" si="7"/>
        <v>0</v>
      </c>
    </row>
    <row r="58" spans="1:14" x14ac:dyDescent="0.2">
      <c r="A58" s="3748">
        <v>49</v>
      </c>
      <c r="B58" s="3988"/>
      <c r="C58" s="363"/>
      <c r="D58" s="809"/>
      <c r="E58" s="3989"/>
      <c r="F58" s="3990"/>
      <c r="G58" s="3989"/>
      <c r="H58" s="3989"/>
      <c r="I58" s="3991">
        <f t="shared" si="5"/>
        <v>0</v>
      </c>
      <c r="J58" s="3991">
        <f t="shared" si="3"/>
        <v>0</v>
      </c>
      <c r="K58" s="3351" t="str">
        <f t="shared" si="6"/>
        <v/>
      </c>
      <c r="M58" s="3123">
        <f t="shared" si="4"/>
        <v>0</v>
      </c>
      <c r="N58" s="3123">
        <f t="shared" si="7"/>
        <v>0</v>
      </c>
    </row>
    <row r="59" spans="1:14" x14ac:dyDescent="0.2">
      <c r="A59" s="3748">
        <v>50</v>
      </c>
      <c r="B59" s="3988"/>
      <c r="C59" s="363"/>
      <c r="D59" s="809"/>
      <c r="E59" s="3989"/>
      <c r="F59" s="3990"/>
      <c r="G59" s="3989"/>
      <c r="H59" s="3989"/>
      <c r="I59" s="3991">
        <f t="shared" si="5"/>
        <v>0</v>
      </c>
      <c r="J59" s="3991">
        <f t="shared" si="3"/>
        <v>0</v>
      </c>
      <c r="K59" s="3351" t="str">
        <f t="shared" si="6"/>
        <v/>
      </c>
      <c r="M59" s="3123">
        <f t="shared" si="4"/>
        <v>0</v>
      </c>
      <c r="N59" s="3123">
        <f t="shared" si="7"/>
        <v>0</v>
      </c>
    </row>
    <row r="60" spans="1:14" x14ac:dyDescent="0.2">
      <c r="A60" s="3748">
        <v>51</v>
      </c>
      <c r="B60" s="3988"/>
      <c r="C60" s="363"/>
      <c r="D60" s="809"/>
      <c r="E60" s="3989"/>
      <c r="F60" s="3990"/>
      <c r="G60" s="3989"/>
      <c r="H60" s="3989"/>
      <c r="I60" s="3991">
        <f t="shared" si="5"/>
        <v>0</v>
      </c>
      <c r="J60" s="3991">
        <f t="shared" si="3"/>
        <v>0</v>
      </c>
      <c r="K60" s="3351" t="str">
        <f t="shared" si="6"/>
        <v/>
      </c>
      <c r="M60" s="3123">
        <f t="shared" si="4"/>
        <v>0</v>
      </c>
      <c r="N60" s="3123">
        <f t="shared" si="7"/>
        <v>0</v>
      </c>
    </row>
    <row r="61" spans="1:14" x14ac:dyDescent="0.2">
      <c r="A61" s="3748">
        <v>52</v>
      </c>
      <c r="B61" s="3988"/>
      <c r="C61" s="363"/>
      <c r="D61" s="809"/>
      <c r="E61" s="3989"/>
      <c r="F61" s="3990"/>
      <c r="G61" s="3989"/>
      <c r="H61" s="3989"/>
      <c r="I61" s="3991">
        <f t="shared" si="5"/>
        <v>0</v>
      </c>
      <c r="J61" s="3991">
        <f t="shared" si="3"/>
        <v>0</v>
      </c>
      <c r="K61" s="3351" t="str">
        <f t="shared" si="6"/>
        <v/>
      </c>
      <c r="M61" s="3123">
        <f t="shared" si="4"/>
        <v>0</v>
      </c>
      <c r="N61" s="3123">
        <f t="shared" si="7"/>
        <v>0</v>
      </c>
    </row>
    <row r="62" spans="1:14" x14ac:dyDescent="0.2">
      <c r="A62" s="3748">
        <v>53</v>
      </c>
      <c r="B62" s="3988"/>
      <c r="C62" s="363"/>
      <c r="D62" s="809"/>
      <c r="E62" s="3989"/>
      <c r="F62" s="3990"/>
      <c r="G62" s="3989"/>
      <c r="H62" s="3989"/>
      <c r="I62" s="3991">
        <f t="shared" si="5"/>
        <v>0</v>
      </c>
      <c r="J62" s="3991">
        <f t="shared" si="3"/>
        <v>0</v>
      </c>
      <c r="K62" s="3351" t="str">
        <f t="shared" si="6"/>
        <v/>
      </c>
      <c r="M62" s="3123">
        <f t="shared" si="4"/>
        <v>0</v>
      </c>
      <c r="N62" s="3123">
        <f t="shared" si="7"/>
        <v>0</v>
      </c>
    </row>
    <row r="63" spans="1:14" x14ac:dyDescent="0.2">
      <c r="A63" s="3748">
        <v>54</v>
      </c>
      <c r="B63" s="3988"/>
      <c r="C63" s="363"/>
      <c r="D63" s="809"/>
      <c r="E63" s="3989"/>
      <c r="F63" s="3990"/>
      <c r="G63" s="3989"/>
      <c r="H63" s="3989"/>
      <c r="I63" s="3991">
        <f t="shared" si="5"/>
        <v>0</v>
      </c>
      <c r="J63" s="3991">
        <f t="shared" si="3"/>
        <v>0</v>
      </c>
      <c r="K63" s="3351" t="str">
        <f t="shared" si="6"/>
        <v/>
      </c>
      <c r="M63" s="3123">
        <f t="shared" si="4"/>
        <v>0</v>
      </c>
      <c r="N63" s="3123">
        <f t="shared" si="7"/>
        <v>0</v>
      </c>
    </row>
    <row r="64" spans="1:14" x14ac:dyDescent="0.2">
      <c r="A64" s="3748">
        <v>55</v>
      </c>
      <c r="B64" s="3988"/>
      <c r="C64" s="363"/>
      <c r="D64" s="809"/>
      <c r="E64" s="3989"/>
      <c r="F64" s="3990"/>
      <c r="G64" s="3989"/>
      <c r="H64" s="3989"/>
      <c r="I64" s="3991">
        <f t="shared" si="5"/>
        <v>0</v>
      </c>
      <c r="J64" s="3991">
        <f t="shared" si="3"/>
        <v>0</v>
      </c>
      <c r="K64" s="3351" t="str">
        <f t="shared" si="6"/>
        <v/>
      </c>
      <c r="M64" s="3123">
        <f t="shared" si="4"/>
        <v>0</v>
      </c>
      <c r="N64" s="3123">
        <f t="shared" si="7"/>
        <v>0</v>
      </c>
    </row>
    <row r="65" spans="1:14" x14ac:dyDescent="0.2">
      <c r="A65" s="3748">
        <v>56</v>
      </c>
      <c r="B65" s="3988"/>
      <c r="C65" s="363"/>
      <c r="D65" s="809"/>
      <c r="E65" s="3989"/>
      <c r="F65" s="3990"/>
      <c r="G65" s="3989"/>
      <c r="H65" s="3989"/>
      <c r="I65" s="3991">
        <f t="shared" si="5"/>
        <v>0</v>
      </c>
      <c r="J65" s="3991">
        <f t="shared" si="3"/>
        <v>0</v>
      </c>
      <c r="K65" s="3351" t="str">
        <f t="shared" si="6"/>
        <v/>
      </c>
      <c r="M65" s="3123">
        <f t="shared" si="4"/>
        <v>0</v>
      </c>
      <c r="N65" s="3123">
        <f t="shared" si="7"/>
        <v>0</v>
      </c>
    </row>
    <row r="66" spans="1:14" x14ac:dyDescent="0.2">
      <c r="A66" s="3748">
        <v>57</v>
      </c>
      <c r="B66" s="3988"/>
      <c r="C66" s="363"/>
      <c r="D66" s="809"/>
      <c r="E66" s="3989"/>
      <c r="F66" s="3990"/>
      <c r="G66" s="3989"/>
      <c r="H66" s="3989"/>
      <c r="I66" s="3991">
        <f t="shared" si="5"/>
        <v>0</v>
      </c>
      <c r="J66" s="3991">
        <f t="shared" si="3"/>
        <v>0</v>
      </c>
      <c r="K66" s="3351" t="str">
        <f t="shared" si="6"/>
        <v/>
      </c>
      <c r="M66" s="3123">
        <f t="shared" si="4"/>
        <v>0</v>
      </c>
      <c r="N66" s="3123">
        <f t="shared" si="7"/>
        <v>0</v>
      </c>
    </row>
    <row r="67" spans="1:14" x14ac:dyDescent="0.2">
      <c r="A67" s="3748">
        <v>58</v>
      </c>
      <c r="B67" s="3988"/>
      <c r="C67" s="363"/>
      <c r="D67" s="809"/>
      <c r="E67" s="3989"/>
      <c r="F67" s="3990"/>
      <c r="G67" s="3989"/>
      <c r="H67" s="3989"/>
      <c r="I67" s="3991">
        <f t="shared" si="5"/>
        <v>0</v>
      </c>
      <c r="J67" s="3991">
        <f t="shared" si="3"/>
        <v>0</v>
      </c>
      <c r="K67" s="3351" t="str">
        <f t="shared" si="6"/>
        <v/>
      </c>
      <c r="M67" s="3123">
        <f t="shared" si="4"/>
        <v>0</v>
      </c>
      <c r="N67" s="3123">
        <f t="shared" si="7"/>
        <v>0</v>
      </c>
    </row>
    <row r="68" spans="1:14" x14ac:dyDescent="0.2">
      <c r="A68" s="3748">
        <v>59</v>
      </c>
      <c r="B68" s="3988"/>
      <c r="C68" s="363"/>
      <c r="D68" s="809"/>
      <c r="E68" s="3989"/>
      <c r="F68" s="3990"/>
      <c r="G68" s="3989"/>
      <c r="H68" s="3989"/>
      <c r="I68" s="3991">
        <f t="shared" si="5"/>
        <v>0</v>
      </c>
      <c r="J68" s="3991">
        <f t="shared" si="3"/>
        <v>0</v>
      </c>
      <c r="K68" s="3351" t="str">
        <f t="shared" si="6"/>
        <v/>
      </c>
      <c r="M68" s="3123">
        <f t="shared" si="4"/>
        <v>0</v>
      </c>
      <c r="N68" s="3123">
        <f t="shared" si="7"/>
        <v>0</v>
      </c>
    </row>
    <row r="69" spans="1:14" x14ac:dyDescent="0.2">
      <c r="A69" s="3748">
        <v>60</v>
      </c>
      <c r="B69" s="3988"/>
      <c r="C69" s="363"/>
      <c r="D69" s="809"/>
      <c r="E69" s="3989"/>
      <c r="F69" s="3990"/>
      <c r="G69" s="3989"/>
      <c r="H69" s="3989"/>
      <c r="I69" s="3991">
        <f t="shared" si="5"/>
        <v>0</v>
      </c>
      <c r="J69" s="3991">
        <f t="shared" si="3"/>
        <v>0</v>
      </c>
      <c r="K69" s="3351" t="str">
        <f t="shared" si="6"/>
        <v/>
      </c>
      <c r="M69" s="3123">
        <f t="shared" si="4"/>
        <v>0</v>
      </c>
      <c r="N69" s="3123">
        <f t="shared" si="7"/>
        <v>0</v>
      </c>
    </row>
    <row r="70" spans="1:14" x14ac:dyDescent="0.2">
      <c r="A70" s="3748">
        <v>61</v>
      </c>
      <c r="B70" s="3988"/>
      <c r="C70" s="363"/>
      <c r="D70" s="809"/>
      <c r="E70" s="3989"/>
      <c r="F70" s="3990"/>
      <c r="G70" s="3989"/>
      <c r="H70" s="3989"/>
      <c r="I70" s="3991">
        <f t="shared" si="5"/>
        <v>0</v>
      </c>
      <c r="J70" s="3991">
        <f t="shared" si="3"/>
        <v>0</v>
      </c>
      <c r="K70" s="3351" t="str">
        <f t="shared" si="6"/>
        <v/>
      </c>
      <c r="M70" s="3123">
        <f t="shared" si="4"/>
        <v>0</v>
      </c>
      <c r="N70" s="3123">
        <f t="shared" si="7"/>
        <v>0</v>
      </c>
    </row>
    <row r="71" spans="1:14" x14ac:dyDescent="0.2">
      <c r="A71" s="3748">
        <v>62</v>
      </c>
      <c r="B71" s="3988"/>
      <c r="C71" s="363"/>
      <c r="D71" s="809"/>
      <c r="E71" s="3989"/>
      <c r="F71" s="3990"/>
      <c r="G71" s="3989"/>
      <c r="H71" s="3989"/>
      <c r="I71" s="3991">
        <f t="shared" si="5"/>
        <v>0</v>
      </c>
      <c r="J71" s="3991">
        <f t="shared" si="3"/>
        <v>0</v>
      </c>
      <c r="K71" s="3351" t="str">
        <f t="shared" si="6"/>
        <v/>
      </c>
      <c r="M71" s="3123">
        <f t="shared" si="4"/>
        <v>0</v>
      </c>
      <c r="N71" s="3123">
        <f t="shared" si="7"/>
        <v>0</v>
      </c>
    </row>
    <row r="72" spans="1:14" x14ac:dyDescent="0.2">
      <c r="A72" s="3748">
        <v>63</v>
      </c>
      <c r="B72" s="3988"/>
      <c r="C72" s="363"/>
      <c r="D72" s="809"/>
      <c r="E72" s="3989"/>
      <c r="F72" s="3990"/>
      <c r="G72" s="3989"/>
      <c r="H72" s="3989"/>
      <c r="I72" s="3991">
        <f t="shared" si="5"/>
        <v>0</v>
      </c>
      <c r="J72" s="3991">
        <f t="shared" si="3"/>
        <v>0</v>
      </c>
      <c r="K72" s="3351" t="str">
        <f t="shared" si="6"/>
        <v/>
      </c>
      <c r="M72" s="3123">
        <f t="shared" si="4"/>
        <v>0</v>
      </c>
      <c r="N72" s="3123">
        <f t="shared" si="7"/>
        <v>0</v>
      </c>
    </row>
    <row r="73" spans="1:14" x14ac:dyDescent="0.2">
      <c r="A73" s="3748">
        <v>64</v>
      </c>
      <c r="B73" s="3988"/>
      <c r="C73" s="363"/>
      <c r="D73" s="809"/>
      <c r="E73" s="3989"/>
      <c r="F73" s="3990"/>
      <c r="G73" s="3989"/>
      <c r="H73" s="3989"/>
      <c r="I73" s="3991">
        <f t="shared" si="5"/>
        <v>0</v>
      </c>
      <c r="J73" s="3991">
        <f t="shared" si="3"/>
        <v>0</v>
      </c>
      <c r="K73" s="3351" t="str">
        <f t="shared" si="6"/>
        <v/>
      </c>
      <c r="M73" s="3123">
        <f t="shared" si="4"/>
        <v>0</v>
      </c>
      <c r="N73" s="3123">
        <f t="shared" si="7"/>
        <v>0</v>
      </c>
    </row>
    <row r="74" spans="1:14" x14ac:dyDescent="0.2">
      <c r="A74" s="3748">
        <v>65</v>
      </c>
      <c r="B74" s="3988"/>
      <c r="C74" s="363"/>
      <c r="D74" s="809"/>
      <c r="E74" s="3989"/>
      <c r="F74" s="3990"/>
      <c r="G74" s="3989"/>
      <c r="H74" s="3989"/>
      <c r="I74" s="3991">
        <f t="shared" ref="I74:I79" si="8">IF(F74=ya,E74-H74,G74-H74)</f>
      </c>
      <c r="J74" s="3991">
        <f t="shared" si="3"/>
        <v>0</v>
      </c>
      <c r="K74" s="3351" t="str">
        <f t="shared" ref="K74:K79" si="9">IF(AND($G$6&gt;0,A74&lt;=$G$6,N74=0),re,IF(AND($O$1="n",B74&lt;&gt;""),"Not a fiscal Unit",IF(AND($G$6&gt;0,A74&lt;=$G$6,$O$1="y",N74&lt;7),"All data",IF(AND(A74&gt;$G$6,N74&gt;0),"No details required",IF(AND($G$6&gt;0,A74&lt;=$G$6,$O$1="n",N74&lt;6),"All data",IF(AND(F74=$R$1,G74&gt;0),"Check unutilsed tax credit b/fwd",IF(OR((AND(F74=ya,E74-H74&lt;0)),(AND(F74&lt;ya,G74-H74&lt;0))),"Excessive utilised credit!","")))))))</f>
        <v/>
      </c>
      <c r="M74" s="3123">
        <f t="shared" si="4"/>
        <v>0</v>
      </c>
      <c r="N74" s="3123">
        <f t="shared" ref="N74:N79" si="10">IF(OR($O$1=0,$O$1="n"),COUNTA(C74:H74),IF($O$1="y",COUNTA(B74:H74),0))</f>
      </c>
    </row>
    <row r="75" spans="1:14" x14ac:dyDescent="0.2">
      <c r="A75" s="3748">
        <v>66</v>
      </c>
      <c r="B75" s="3988"/>
      <c r="C75" s="363"/>
      <c r="D75" s="809"/>
      <c r="E75" s="3989"/>
      <c r="F75" s="3990"/>
      <c r="G75" s="3989"/>
      <c r="H75" s="3989"/>
      <c r="I75" s="3991">
        <f t="shared" si="8"/>
        <v>0</v>
      </c>
      <c r="J75" s="3991">
        <f>I75*(100%+$J$9)</f>
      </c>
      <c r="K75" s="3351" t="str">
        <f t="shared" si="9"/>
        <v/>
      </c>
      <c r="M75" s="3123">
        <f t="shared" si="4"/>
        <v>0</v>
      </c>
      <c r="N75" s="3123">
        <f t="shared" si="10"/>
        <v>0</v>
      </c>
    </row>
    <row r="76" spans="1:14" x14ac:dyDescent="0.2">
      <c r="A76" s="3748">
        <v>67</v>
      </c>
      <c r="B76" s="3988"/>
      <c r="C76" s="363"/>
      <c r="D76" s="809"/>
      <c r="E76" s="3989"/>
      <c r="F76" s="3990"/>
      <c r="G76" s="3989"/>
      <c r="H76" s="3989"/>
      <c r="I76" s="3991">
        <f t="shared" si="8"/>
        <v>0</v>
      </c>
      <c r="J76" s="3991">
        <f>I76*(100%+$J$9)</f>
      </c>
      <c r="K76" s="3351" t="str">
        <f t="shared" si="9"/>
        <v/>
      </c>
      <c r="M76" s="3123">
        <f t="shared" si="4"/>
        <v>0</v>
      </c>
      <c r="N76" s="3123">
        <f t="shared" si="10"/>
        <v>0</v>
      </c>
    </row>
    <row r="77" spans="1:14" x14ac:dyDescent="0.2">
      <c r="A77" s="3748">
        <v>68</v>
      </c>
      <c r="B77" s="3988"/>
      <c r="C77" s="363"/>
      <c r="D77" s="809"/>
      <c r="E77" s="3989"/>
      <c r="F77" s="3990"/>
      <c r="G77" s="3989"/>
      <c r="H77" s="3989"/>
      <c r="I77" s="3991">
        <f t="shared" si="8"/>
        <v>0</v>
      </c>
      <c r="J77" s="3991">
        <f>I77*(100%+$J$9)</f>
      </c>
      <c r="K77" s="3351" t="str">
        <f t="shared" si="9"/>
        <v/>
      </c>
      <c r="M77" s="3123">
        <f t="shared" si="4"/>
        <v>0</v>
      </c>
      <c r="N77" s="3123">
        <f t="shared" si="10"/>
        <v>0</v>
      </c>
    </row>
    <row r="78" spans="1:14" x14ac:dyDescent="0.2">
      <c r="A78" s="3748">
        <v>69</v>
      </c>
      <c r="B78" s="3988"/>
      <c r="C78" s="363"/>
      <c r="D78" s="809"/>
      <c r="E78" s="3989"/>
      <c r="F78" s="3990"/>
      <c r="G78" s="3989"/>
      <c r="H78" s="3989"/>
      <c r="I78" s="3991">
        <f t="shared" si="8"/>
        <v>0</v>
      </c>
      <c r="J78" s="3991">
        <f>I78*(100%+$J$9)</f>
      </c>
      <c r="K78" s="3351" t="str">
        <f t="shared" si="9"/>
        <v/>
      </c>
      <c r="M78" s="3123">
        <f t="shared" si="4"/>
        <v>0</v>
      </c>
      <c r="N78" s="3123">
        <f t="shared" si="10"/>
        <v>0</v>
      </c>
    </row>
    <row r="79" spans="1:14" x14ac:dyDescent="0.2">
      <c r="A79" s="3748">
        <v>70</v>
      </c>
      <c r="B79" s="3988"/>
      <c r="C79" s="363"/>
      <c r="D79" s="809"/>
      <c r="E79" s="3989"/>
      <c r="F79" s="3990"/>
      <c r="G79" s="3989"/>
      <c r="H79" s="3989"/>
      <c r="I79" s="3991">
        <f t="shared" si="8"/>
        <v>0</v>
      </c>
      <c r="J79" s="3991">
        <f>I79*(100%+$J$9)</f>
      </c>
      <c r="K79" s="3351" t="str">
        <f t="shared" si="9"/>
        <v/>
      </c>
      <c r="M79" s="3123">
        <f t="shared" si="4"/>
        <v>0</v>
      </c>
      <c r="N79" s="3123">
        <f t="shared" si="10"/>
        <v>0</v>
      </c>
    </row>
    <row r="80" spans="1:14" x14ac:dyDescent="0.2">
      <c r="A80" s="3315"/>
      <c r="B80" s="2239" t="s">
        <v>9115</v>
      </c>
      <c r="C80" s="2238"/>
      <c r="D80" s="2238"/>
      <c r="E80" s="1898">
        <f>SUM(E10:E79)</f>
      </c>
      <c r="F80" s="3315"/>
      <c r="G80" s="3315"/>
      <c r="H80" s="3315"/>
      <c r="I80" s="3315"/>
      <c r="J80" s="3315"/>
      <c r="K80" s="3315"/>
    </row>
    <row r="81" spans="1:18" x14ac:dyDescent="0.2">
      <c r="A81" s="3315"/>
      <c r="B81" s="1942" t="s">
        <v>10515</v>
      </c>
      <c r="C81" s="2238"/>
      <c r="D81" s="1942"/>
      <c r="E81" s="1942"/>
      <c r="F81" s="1942"/>
      <c r="G81" s="1898">
        <f>SUM(G10:G79)</f>
      </c>
      <c r="H81" s="3315"/>
      <c r="I81" s="3315"/>
      <c r="J81" s="3315"/>
      <c r="K81" s="3315"/>
      <c r="P81" s="3123"/>
      <c r="Q81" s="3338">
        <f>MIN(Q83,R82)</f>
      </c>
      <c r="R81" s="3123"/>
    </row>
    <row r="82" spans="1:18" hidden="1" x14ac:dyDescent="0.2">
      <c r="A82" s="3315"/>
      <c r="B82" s="2239"/>
      <c r="C82" s="2238"/>
      <c r="D82" s="2238"/>
      <c r="E82" s="2238"/>
      <c r="F82" s="2238"/>
      <c r="G82" s="2238"/>
      <c r="H82" s="3315"/>
      <c r="I82" s="3315"/>
      <c r="J82" s="3315"/>
      <c r="K82" s="3315"/>
      <c r="P82" s="3338">
        <v>44562</v>
      </c>
      <c r="Q82" s="3272">
        <v>45291</v>
      </c>
      <c r="R82" s="3272">
        <f>DATE(ya,12,31)</f>
      </c>
    </row>
    <row r="83" spans="1:18" x14ac:dyDescent="0.2">
      <c r="A83" s="3315"/>
      <c r="B83" s="2239" t="s">
        <v>7157</v>
      </c>
      <c r="C83" s="2238"/>
      <c r="D83" s="2238"/>
      <c r="E83" s="2238"/>
      <c r="F83" s="2239"/>
      <c r="G83" s="3604" t="s">
        <v>951</v>
      </c>
      <c r="H83" s="1898">
        <f>SUM(H10:H79)</f>
      </c>
      <c r="I83" s="3315"/>
      <c r="J83" s="3315"/>
      <c r="K83" s="3315"/>
      <c r="P83" s="1871" t="s">
        <v>10471</v>
      </c>
      <c r="Q83" s="2774">
        <v>45657</v>
      </c>
    </row>
    <row r="84" spans="1:18" x14ac:dyDescent="0.2">
      <c r="A84" s="3315"/>
      <c r="B84" s="2237" t="s">
        <v>10470</v>
      </c>
      <c r="C84" s="2238"/>
      <c r="D84" s="2237"/>
      <c r="E84" s="2237"/>
      <c r="F84" s="2237"/>
      <c r="G84" s="2237"/>
      <c r="H84" s="3315"/>
      <c r="I84" s="1898">
        <f>IF(SUM(I10:I79)&lt;0,0,SUM(I10:I79))</f>
      </c>
      <c r="J84" s="3315"/>
      <c r="K84" s="3315"/>
    </row>
    <row r="85" spans="1:18" hidden="1" x14ac:dyDescent="0.2">
      <c r="A85" s="3315"/>
      <c r="B85" s="2237" t="s">
        <v>10516</v>
      </c>
      <c r="C85" s="2238"/>
      <c r="D85" s="2237"/>
      <c r="E85" s="2237"/>
      <c r="F85" s="2237"/>
      <c r="G85" s="2237"/>
      <c r="H85" s="3315"/>
      <c r="I85" s="3315"/>
      <c r="J85" s="1898">
        <f>IF(SUM(J10:J79)&lt;0,0,SUM(J10:J79))</f>
      </c>
      <c r="K85" s="3315"/>
    </row>
    <row r="86" spans="1:18" x14ac:dyDescent="0.2">
      <c r="A86" s="3315"/>
      <c r="B86" s="3315"/>
      <c r="C86" s="3315"/>
      <c r="D86" s="3315"/>
      <c r="E86" s="3315"/>
      <c r="F86" s="3315"/>
      <c r="G86" s="3315"/>
      <c r="H86" s="3315"/>
      <c r="I86" s="3315"/>
      <c r="J86" s="3315"/>
      <c r="K86" s="3315"/>
      <c r="O86" s="5468" t="s">
        <v>7073</v>
      </c>
      <c r="P86" s="5468"/>
      <c r="Q86" s="5468"/>
    </row>
    <row r="87" spans="1:18" x14ac:dyDescent="0.2">
      <c r="A87" s="3315"/>
      <c r="B87" s="3992" t="s">
        <v>10476</v>
      </c>
      <c r="C87" s="3993"/>
      <c r="D87" s="3993"/>
      <c r="E87" s="3993"/>
      <c r="F87" s="3993"/>
      <c r="G87" s="3993"/>
      <c r="H87" s="3997" t="s">
        <v>951</v>
      </c>
      <c r="I87" s="737"/>
      <c r="J87" s="3315"/>
      <c r="K87" s="3351" t="str">
        <f>IF(N4=0,"",IF(AND(H83=0,I87=""),re,IF(AND(H83=0,I87&gt;0),"No tax credit claimed for the year!",IF(AND(H83&gt;0,I87=0),"Amount relieved by tax credit required!",IF(I87&lt;0,"Cannot be negative!",IF(OR(I87&gt;O87+1,I87&lt;P87-1),Q87,""))))))</f>
        <v/>
      </c>
      <c r="M87" s="3123">
        <f>IF(K87="",0,1)</f>
      </c>
      <c r="N87" s="3123">
        <f>COUNT(I87)</f>
      </c>
      <c r="O87" s="3994">
        <f>ROUND(H83/5%,0)</f>
      </c>
      <c r="P87" s="3995">
        <f>ROUND(H83/0.35,0)</f>
      </c>
      <c r="Q87" s="3996" t="s">
        <v>4787</v>
      </c>
    </row>
    <row r="88" spans="1:18" x14ac:dyDescent="0.2">
      <c r="A88" s="3315"/>
      <c r="B88" s="3315"/>
      <c r="C88" s="3315"/>
      <c r="D88" s="3315"/>
      <c r="E88" s="3315"/>
      <c r="F88" s="3315"/>
      <c r="G88" s="3315"/>
      <c r="H88" s="3315"/>
      <c r="I88" s="3315"/>
      <c r="J88" s="3315"/>
      <c r="K88" s="3315"/>
    </row>
    <row r="89" spans="1:18" x14ac:dyDescent="0.2">
      <c r="A89" s="3315"/>
      <c r="B89" s="3315" t="s">
        <v>9116</v>
      </c>
      <c r="C89" s="3315"/>
      <c r="D89" s="3315"/>
      <c r="E89" s="3315"/>
      <c r="F89" s="3315"/>
      <c r="G89" s="3315"/>
      <c r="H89" s="3315"/>
      <c r="I89" s="3352"/>
      <c r="J89" s="3315"/>
      <c r="K89" s="3351" t="str">
        <f>IF(H83=0,"",IF(I89="",re,IF(AND(I89="no",H83&gt;0),"No benefit!","")))</f>
        <v/>
      </c>
      <c r="M89" s="3123">
        <f>IF(K89="",0,1)</f>
      </c>
      <c r="N89" s="3123">
        <f>IF(I89&lt;&gt;"",1,0)</f>
      </c>
    </row>
    <row r="90" spans="1:18" x14ac:dyDescent="0.2">
      <c r="A90" s="3315"/>
      <c r="B90" s="3315"/>
      <c r="C90" s="3315"/>
      <c r="D90" s="3315"/>
      <c r="E90" s="3315"/>
      <c r="F90" s="3315"/>
      <c r="G90" s="3315"/>
      <c r="H90" s="3315"/>
      <c r="I90" s="3315"/>
      <c r="J90" s="3315"/>
      <c r="K90" s="3315"/>
    </row>
    <row r="91" spans="1:18" x14ac:dyDescent="0.2">
      <c r="A91" s="3315"/>
      <c r="B91" s="3315"/>
      <c r="C91" s="3315"/>
      <c r="D91" s="3315"/>
      <c r="E91" s="3315"/>
      <c r="F91" s="3355"/>
      <c r="G91" s="3356" t="s">
        <v>4456</v>
      </c>
      <c r="H91" s="3352"/>
      <c r="I91" s="3351" t="str">
        <f>IF(N4=0,"",IF(H91="",re,""))</f>
        <v/>
      </c>
      <c r="J91" s="3351"/>
      <c r="K91" s="3315"/>
      <c r="M91" s="3123">
        <f>IF(I91="",0,1)</f>
      </c>
    </row>
    <row r="92" spans="1:18" x14ac:dyDescent="0.2">
      <c r="A92" s="3315"/>
      <c r="B92" s="3315"/>
      <c r="C92" s="3315"/>
      <c r="D92" s="3315"/>
      <c r="E92" s="3315"/>
      <c r="F92" s="3315"/>
      <c r="G92" s="3315"/>
      <c r="H92" s="3315"/>
      <c r="I92" s="3315"/>
      <c r="J92" s="3315"/>
      <c r="K92" s="3315"/>
    </row>
    <row r="93" spans="1:18" x14ac:dyDescent="0.2">
      <c r="A93" s="3315"/>
      <c r="B93" s="3315" t="s">
        <v>10574</v>
      </c>
      <c r="C93" s="3315"/>
      <c r="D93" s="3315"/>
      <c r="E93" s="3315"/>
      <c r="F93" s="3315" t="str">
        <f>ver</f>
        <v>TA2_e-CO_2025_Ver 1.1</v>
      </c>
      <c r="G93" s="3315"/>
      <c r="H93" s="3315"/>
      <c r="I93" s="3319" t="s">
        <v>10477</v>
      </c>
      <c r="J93" s="3319"/>
      <c r="K93" s="3315"/>
      <c r="M93" s="3809">
        <f>IF(N4=0,0,IF(M4&gt;0,100,IF(H91="no",100,1)))</f>
      </c>
    </row>
    <row r="94" spans="1:18" x14ac:dyDescent="0.2"/>
    <row r="95" spans="1:18" x14ac:dyDescent="0.2">
      <c r="B95" s="3922" t="s">
        <v>1700</v>
      </c>
    </row>
  </sheetData>
  <sheetProtection algorithmName="SHA-512" hashValue="dx9ogWRzxRob8gGaY6pjLM6OlvXq2mmYhjjU3D0KELDYsMB2tydFgPH9KtE3/5liy0HllY+TOLCRNvSRt/IFDw==" saltValue="Bo6qG/OSoZNVN9ruH7uR3w==" spinCount="100000" sheet="1" objects="1" scenarios="1"/>
  <mergeCells count="9">
    <mergeCell ref="O86:Q86"/>
    <mergeCell ref="D8:D9"/>
    <mergeCell ref="C8:C9"/>
    <mergeCell ref="B8:B9"/>
    <mergeCell ref="I8:I9"/>
    <mergeCell ref="H8:H9"/>
    <mergeCell ref="G8:G9"/>
    <mergeCell ref="F8:F9"/>
    <mergeCell ref="E8:E9"/>
  </mergeCells>
  <conditionalFormatting sqref="I87">
    <cfRule type="expression" dxfId="92" priority="1" stopIfTrue="1">
      <formula>#REF!=nob</formula>
    </cfRule>
  </conditionalFormatting>
  <dataValidations count="10">
    <dataValidation type="whole" operator="greaterThan" allowBlank="1" showInputMessage="1" showErrorMessage="1" errorTitle="Approved tax credit" error="Input a whole number greater than 0!" sqref="E10:E79" xr:uid="{7021743A-21A1-4260-B9CE-42B01D3674C2}">
      <formula1>0</formula1>
    </dataValidation>
    <dataValidation type="whole" operator="greaterThanOrEqual" allowBlank="1" showInputMessage="1" showErrorMessage="1" errorTitle="Tax credits utilised " error="Enter a whole figure greater than 0!" sqref="G10:H79" xr:uid="{E2929A7C-940A-4A7F-BDE5-8BBAE519AFD7}">
      <formula1>0</formula1>
    </dataValidation>
    <dataValidation type="textLength" operator="greaterThanOrEqual" allowBlank="1" showInputMessage="1" showErrorMessage="1" errorTitle="Certificate No:" error="Please enter correct certificate number!" sqref="C10:C79" xr:uid="{9F8AC360-E8D5-4CB9-9DEE-360C0F62573D}">
      <formula1>6</formula1>
    </dataValidation>
    <dataValidation type="list" showInputMessage="1" showErrorMessage="1" sqref="I89" xr:uid="{D5F1FBC8-16A8-440F-8ED8-93C1A75D7081}">
      <formula1>yn</formula1>
    </dataValidation>
    <dataValidation type="whole" allowBlank="1" showInputMessage="1" showErrorMessage="1" errorTitle="Income relieved by tax credit" error="Are you sure the amount entered is correct?" sqref="I87" xr:uid="{49FE0653-DF4C-483B-BFE5-049AD22B06F7}">
      <formula1>S87-1</formula1>
      <formula2>R87+1</formula2>
    </dataValidation>
    <dataValidation type="list" allowBlank="1" showInputMessage="1" showErrorMessage="1" sqref="B10:B79" xr:uid="{35828B06-B217-4DE7-9AC5-16927F66182B}">
      <formula1>FU</formula1>
    </dataValidation>
    <dataValidation type="whole" allowBlank="1" showInputMessage="1" showErrorMessage="1" errorTitle="Tax credit first utilised" error="Please enter correct year of assessment!" sqref="F10:F79" xr:uid="{2A35A933-44D4-4E67-94A4-2055E7BECC9C}">
      <formula1>$R$4</formula1>
      <formula2>$R$5</formula2>
    </dataValidation>
    <dataValidation type="list" showInputMessage="1" showErrorMessage="1" sqref="H91" xr:uid="{B7842D86-C353-49CE-97A8-780AB04E2C02}">
      <formula1>$T$1:$T$3</formula1>
    </dataValidation>
    <dataValidation type="date" allowBlank="1" showInputMessage="1" showErrorMessage="1" errorTitle="Date" error="Enter correct date!" sqref="D10:D79" xr:uid="{603F2577-6F3A-4917-9972-E115CC1BAB2B}">
      <formula1>$P$82</formula1>
      <formula2>$Q$81</formula2>
    </dataValidation>
    <dataValidation type="list" operator="greaterThanOrEqual" allowBlank="1" showInputMessage="1" showErrorMessage="1" errorTitle="Certificate number" error="Please enter the correct reference!" sqref="G6" xr:uid="{403D481B-D498-4D04-8667-DA5C7FEFB3CE}">
      <formula1>$A$9:$A$79</formula1>
    </dataValidation>
  </dataValidations>
  <hyperlinks>
    <hyperlink ref="H87" location="'TRA35'!A1" display="TRA 35" xr:uid="{3A56E11C-C5DE-4508-8157-89BF50AAAEE7}"/>
    <hyperlink ref="B95" location="Index!A1" display="BACK TO INDEX" xr:uid="{E3AEFDA7-B979-4D45-8174-84DDC8B5838A}"/>
    <hyperlink ref="G83" location="'TRA35'!A1" display="TRA 35" xr:uid="{F76406CE-AF3E-4CD0-8801-D918E6CA08A6}"/>
  </hyperlink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5FF9-98FA-497C-A049-F22B7A78DC70}">
  <sheetPr codeName="Sheet127"/>
  <dimension ref="A1:T94"/>
  <sheetViews>
    <sheetView showGridLines="0" workbookViewId="0"/>
  </sheetViews>
  <sheetFormatPr defaultColWidth="0" defaultRowHeight="12.75" zeroHeight="1" x14ac:dyDescent="0.2"/>
  <cols>
    <col min="1" max="1" width="5.710937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10" width="13.28515625" style="1485" customWidth="1"/>
    <col min="11" max="11" width="33.5703125" style="1485" customWidth="1"/>
    <col min="12" max="15" width="9.28515625" style="1485" hidden="1" customWidth="1"/>
    <col min="16" max="16" width="10.28515625" style="1485" hidden="1" customWidth="1"/>
    <col min="17" max="17" width="10.7109375" style="1485" hidden="1" customWidth="1"/>
    <col min="18" max="19" width="10.28515625" style="1485" hidden="1" customWidth="1"/>
    <col min="20" max="20" width="15.42578125" style="1485" hidden="1" customWidth="1"/>
    <col min="21" max="16384" width="9.28515625" style="1485" hidden="1"/>
  </cols>
  <sheetData>
    <row r="1" spans="1:20" x14ac:dyDescent="0.2">
      <c r="A1" s="3315" t="str">
        <f>_ref1</f>
      </c>
      <c r="B1" s="3315"/>
      <c r="C1" s="3315"/>
      <c r="D1" s="3315"/>
      <c r="E1" s="3315"/>
      <c r="F1" s="3315"/>
      <c r="G1" s="3315"/>
      <c r="H1" s="3315"/>
      <c r="I1" s="3315"/>
      <c r="J1" s="3315" t="str">
        <f>_YA1</f>
      </c>
      <c r="K1" s="3315"/>
      <c r="N1" s="1871" t="s">
        <v>10463</v>
      </c>
      <c r="O1" s="1485" t="str">
        <f>'p2'!G36</f>
      </c>
      <c r="Q1" s="3123" t="s">
        <v>3994</v>
      </c>
      <c r="R1" s="3123">
        <f>ya</f>
      </c>
    </row>
    <row r="2" spans="1:20" x14ac:dyDescent="0.2">
      <c r="A2" s="3315"/>
      <c r="B2" s="3315"/>
      <c r="C2" s="3315"/>
      <c r="D2" s="3315"/>
      <c r="E2" s="3315"/>
      <c r="F2" s="3315"/>
      <c r="G2" s="3315"/>
      <c r="H2" s="3315"/>
      <c r="I2" s="3315"/>
      <c r="J2" s="3315"/>
      <c r="K2" s="3315"/>
      <c r="Q2" s="3123" t="s">
        <v>2705</v>
      </c>
      <c r="R2" s="3123">
        <f>R1-1</f>
      </c>
      <c r="T2" s="1485" t="s">
        <v>10464</v>
      </c>
    </row>
    <row r="3" spans="1:20" ht="14.25" x14ac:dyDescent="0.2">
      <c r="A3" s="3315"/>
      <c r="B3" s="1808" t="s">
        <v>7026</v>
      </c>
      <c r="C3" s="1809"/>
      <c r="D3" s="1809"/>
      <c r="E3" s="1809"/>
      <c r="F3" s="1809"/>
      <c r="G3" s="1809"/>
      <c r="H3" s="1809"/>
      <c r="I3" s="1809"/>
      <c r="J3" s="1810"/>
      <c r="K3" s="3315"/>
      <c r="T3" s="1485" t="s">
        <v>1736</v>
      </c>
    </row>
    <row r="4" spans="1:20" ht="14.25" x14ac:dyDescent="0.2">
      <c r="A4" s="3315"/>
      <c r="B4" s="1811" t="s">
        <v>10479</v>
      </c>
      <c r="C4" s="1812"/>
      <c r="D4" s="1812"/>
      <c r="E4" s="1812"/>
      <c r="F4" s="1812"/>
      <c r="G4" s="1812"/>
      <c r="H4" s="1812"/>
      <c r="I4" s="1812"/>
      <c r="J4" s="1813"/>
      <c r="K4" s="3315"/>
      <c r="M4" s="1873">
        <f>SUM(M6:M90)</f>
      </c>
      <c r="N4" s="1873">
        <f>SUM(N6:N88)</f>
      </c>
      <c r="Q4" s="1485" t="s">
        <v>10466</v>
      </c>
      <c r="R4" s="1485">
        <v>2023</v>
      </c>
    </row>
    <row r="5" spans="1:20" x14ac:dyDescent="0.2">
      <c r="A5" s="3315"/>
      <c r="B5" s="3315"/>
      <c r="C5" s="3315"/>
      <c r="D5" s="3315"/>
      <c r="E5" s="3315"/>
      <c r="F5" s="3315"/>
      <c r="G5" s="3315"/>
      <c r="H5" s="3315"/>
      <c r="I5" s="3315"/>
      <c r="J5" s="3315"/>
      <c r="K5" s="3315"/>
      <c r="M5" s="1485" t="s">
        <v>7439</v>
      </c>
      <c r="N5" s="1485" t="s">
        <v>7161</v>
      </c>
      <c r="Q5" s="1485" t="s">
        <v>10467</v>
      </c>
      <c r="R5" s="1485">
        <f>IF(R1=2023,2023,2024)</f>
      </c>
    </row>
    <row r="6" spans="1:20" x14ac:dyDescent="0.2">
      <c r="A6" s="3315"/>
      <c r="B6" s="3315"/>
      <c r="C6" s="1938"/>
      <c r="D6" s="1938"/>
      <c r="E6" s="2239" t="s">
        <v>10468</v>
      </c>
      <c r="F6" s="3315"/>
      <c r="G6" s="3352"/>
      <c r="H6" s="3985" t="str">
        <f>IF(N4=0,"",IF(AND(N4&gt;0,G6=""),re,""))</f>
        <v/>
      </c>
      <c r="I6" s="3315"/>
      <c r="J6" s="3315"/>
      <c r="K6" s="3315"/>
      <c r="M6" s="3123">
        <f>IF(H6="",0,1)</f>
      </c>
      <c r="N6" s="3123">
        <f>IF(G6&lt;&gt;"",1,0)</f>
      </c>
    </row>
    <row r="7" spans="1:20" x14ac:dyDescent="0.2">
      <c r="A7" s="3315"/>
      <c r="B7" s="3315"/>
      <c r="C7" s="3315"/>
      <c r="D7" s="3315"/>
      <c r="E7" s="3315"/>
      <c r="F7" s="3315"/>
      <c r="G7" s="3315"/>
      <c r="H7" s="3315"/>
      <c r="I7" s="3315"/>
      <c r="J7" s="3315"/>
      <c r="K7" s="3315"/>
    </row>
    <row r="8" spans="1:20" ht="63.75" x14ac:dyDescent="0.2">
      <c r="A8" s="3315"/>
      <c r="B8" s="1955" t="s">
        <v>10083</v>
      </c>
      <c r="C8" s="1955" t="s">
        <v>7154</v>
      </c>
      <c r="D8" s="3999" t="s">
        <v>7155</v>
      </c>
      <c r="E8" s="1955" t="s">
        <v>7156</v>
      </c>
      <c r="F8" s="1955" t="s">
        <v>9114</v>
      </c>
      <c r="G8" s="1955" t="s">
        <v>7159</v>
      </c>
      <c r="H8" s="1955" t="s">
        <v>10469</v>
      </c>
      <c r="I8" s="1955" t="s">
        <v>7157</v>
      </c>
      <c r="J8" s="1955" t="s">
        <v>10470</v>
      </c>
      <c r="K8" s="3315"/>
    </row>
    <row r="9" spans="1:20" x14ac:dyDescent="0.2">
      <c r="A9" s="3748">
        <v>1</v>
      </c>
      <c r="B9" s="3352"/>
      <c r="C9" s="363"/>
      <c r="D9" s="809"/>
      <c r="E9" s="3989"/>
      <c r="F9" s="3990"/>
      <c r="G9" s="3989"/>
      <c r="H9" s="1899">
        <f>IF(F9="",0,E9-G9)</f>
      </c>
      <c r="I9" s="3989"/>
      <c r="J9" s="3991">
        <f>IF(H9=0,0,H9-I9)</f>
      </c>
      <c r="K9" s="3985" t="str">
        <f t="shared" ref="K9:K40" si="0">IF(AND($G$6&gt;0,A9&lt;=$G$6,N9=0),re,IF(AND($O$1="n",B9&lt;&gt;""),"Not a fiscal Unit",IF(AND($G$6&gt;0,A9&lt;=$G$6,$O$1="y",N9&lt;7),"All data",IF(AND(A9&gt;$G$6,N9&gt;0),"No details required",IF(AND($G$6&gt;0,A9&lt;=$G$6,$O$1="n",N9&lt;6),"All data",IF(AND(F9&gt;=$R$1,G9&gt;0),"Check utilised credit in previous years",IF(I9&gt;H9,"Excessive utilised credit!","")))))))</f>
        <v/>
      </c>
      <c r="M9" s="3123">
        <f>IF(K9="",0,1)</f>
      </c>
      <c r="N9" s="3123">
        <f t="shared" ref="N9:N72" si="1">IF($O$1="n",COUNTA(C9:G9,I9),IF($O$1="y",COUNTA(B9:G9,I9),0))</f>
      </c>
    </row>
    <row r="10" spans="1:20" x14ac:dyDescent="0.2">
      <c r="A10" s="3748">
        <v>2</v>
      </c>
      <c r="B10" s="3352"/>
      <c r="C10" s="363"/>
      <c r="D10" s="809"/>
      <c r="E10" s="3989"/>
      <c r="F10" s="3990"/>
      <c r="G10" s="3989"/>
      <c r="H10" s="1899">
        <f t="shared" ref="H10:H78" si="2">IF(F10="",0,E10-G10)</f>
      </c>
      <c r="I10" s="3989"/>
      <c r="J10" s="3991">
        <f t="shared" ref="J10:J78" si="3">IF(H10=0,0,H10-I10)</f>
      </c>
      <c r="K10" s="3985" t="str">
        <f t="shared" si="0"/>
        <v/>
      </c>
      <c r="M10" s="3123">
        <f t="shared" ref="M10:M78" si="4">IF(K10="",0,1)</f>
      </c>
      <c r="N10" s="3123">
        <f t="shared" si="1"/>
        <v>0</v>
      </c>
    </row>
    <row r="11" spans="1:20" x14ac:dyDescent="0.2">
      <c r="A11" s="3748">
        <v>3</v>
      </c>
      <c r="B11" s="3352"/>
      <c r="C11" s="363"/>
      <c r="D11" s="809"/>
      <c r="E11" s="3989"/>
      <c r="F11" s="3990"/>
      <c r="G11" s="3989"/>
      <c r="H11" s="1899">
        <f t="shared" si="2"/>
        <v>0</v>
      </c>
      <c r="I11" s="3989"/>
      <c r="J11" s="3991">
        <f t="shared" si="3"/>
        <v>0</v>
      </c>
      <c r="K11" s="3985" t="str">
        <f t="shared" si="0"/>
        <v/>
      </c>
      <c r="M11" s="3123">
        <f t="shared" si="4"/>
        <v>0</v>
      </c>
      <c r="N11" s="3123">
        <f t="shared" si="1"/>
        <v>0</v>
      </c>
    </row>
    <row r="12" spans="1:20" x14ac:dyDescent="0.2">
      <c r="A12" s="3748">
        <v>4</v>
      </c>
      <c r="B12" s="3352"/>
      <c r="C12" s="363"/>
      <c r="D12" s="809"/>
      <c r="E12" s="3989"/>
      <c r="F12" s="3990"/>
      <c r="G12" s="3989"/>
      <c r="H12" s="1899">
        <f t="shared" si="2"/>
        <v>0</v>
      </c>
      <c r="I12" s="3989"/>
      <c r="J12" s="3991">
        <f t="shared" si="3"/>
        <v>0</v>
      </c>
      <c r="K12" s="3985" t="str">
        <f t="shared" si="0"/>
        <v/>
      </c>
      <c r="M12" s="3123">
        <f t="shared" si="4"/>
        <v>0</v>
      </c>
      <c r="N12" s="3123">
        <f t="shared" si="1"/>
        <v>0</v>
      </c>
    </row>
    <row r="13" spans="1:20" x14ac:dyDescent="0.2">
      <c r="A13" s="3748">
        <v>5</v>
      </c>
      <c r="B13" s="3352"/>
      <c r="C13" s="363"/>
      <c r="D13" s="809"/>
      <c r="E13" s="3989"/>
      <c r="F13" s="3990"/>
      <c r="G13" s="3989"/>
      <c r="H13" s="1899">
        <f t="shared" si="2"/>
        <v>0</v>
      </c>
      <c r="I13" s="3989"/>
      <c r="J13" s="3991">
        <f t="shared" si="3"/>
        <v>0</v>
      </c>
      <c r="K13" s="3985" t="str">
        <f t="shared" si="0"/>
        <v/>
      </c>
      <c r="M13" s="3123">
        <f t="shared" si="4"/>
        <v>0</v>
      </c>
      <c r="N13" s="3123">
        <f t="shared" si="1"/>
        <v>0</v>
      </c>
    </row>
    <row r="14" spans="1:20" x14ac:dyDescent="0.2">
      <c r="A14" s="3748">
        <v>6</v>
      </c>
      <c r="B14" s="3352"/>
      <c r="C14" s="363"/>
      <c r="D14" s="809"/>
      <c r="E14" s="3989"/>
      <c r="F14" s="3990"/>
      <c r="G14" s="3989"/>
      <c r="H14" s="1899">
        <f t="shared" si="2"/>
        <v>0</v>
      </c>
      <c r="I14" s="3989"/>
      <c r="J14" s="3991">
        <f t="shared" si="3"/>
        <v>0</v>
      </c>
      <c r="K14" s="3985" t="str">
        <f t="shared" si="0"/>
        <v/>
      </c>
      <c r="M14" s="3123">
        <f t="shared" si="4"/>
        <v>0</v>
      </c>
      <c r="N14" s="3123">
        <f t="shared" si="1"/>
        <v>0</v>
      </c>
    </row>
    <row r="15" spans="1:20" x14ac:dyDescent="0.2">
      <c r="A15" s="3748">
        <v>7</v>
      </c>
      <c r="B15" s="3352"/>
      <c r="C15" s="363"/>
      <c r="D15" s="809"/>
      <c r="E15" s="3989"/>
      <c r="F15" s="3990"/>
      <c r="G15" s="3989"/>
      <c r="H15" s="1899">
        <f t="shared" si="2"/>
        <v>0</v>
      </c>
      <c r="I15" s="3989"/>
      <c r="J15" s="3991">
        <f t="shared" si="3"/>
        <v>0</v>
      </c>
      <c r="K15" s="3985" t="str">
        <f t="shared" si="0"/>
        <v/>
      </c>
      <c r="M15" s="3123">
        <f t="shared" si="4"/>
        <v>0</v>
      </c>
      <c r="N15" s="3123">
        <f t="shared" si="1"/>
        <v>0</v>
      </c>
    </row>
    <row r="16" spans="1:20" x14ac:dyDescent="0.2">
      <c r="A16" s="3748">
        <v>8</v>
      </c>
      <c r="B16" s="3352"/>
      <c r="C16" s="363"/>
      <c r="D16" s="809"/>
      <c r="E16" s="3989"/>
      <c r="F16" s="3990"/>
      <c r="G16" s="3989"/>
      <c r="H16" s="1899">
        <f t="shared" si="2"/>
        <v>0</v>
      </c>
      <c r="I16" s="3989"/>
      <c r="J16" s="3991">
        <f t="shared" si="3"/>
        <v>0</v>
      </c>
      <c r="K16" s="3985" t="str">
        <f t="shared" si="0"/>
        <v/>
      </c>
      <c r="M16" s="3123">
        <f t="shared" si="4"/>
        <v>0</v>
      </c>
      <c r="N16" s="3123">
        <f t="shared" si="1"/>
        <v>0</v>
      </c>
    </row>
    <row r="17" spans="1:14" x14ac:dyDescent="0.2">
      <c r="A17" s="3748">
        <v>9</v>
      </c>
      <c r="B17" s="3352"/>
      <c r="C17" s="363"/>
      <c r="D17" s="809"/>
      <c r="E17" s="3989"/>
      <c r="F17" s="3990"/>
      <c r="G17" s="3989"/>
      <c r="H17" s="1899">
        <f t="shared" si="2"/>
        <v>0</v>
      </c>
      <c r="I17" s="3989"/>
      <c r="J17" s="3991">
        <f t="shared" si="3"/>
        <v>0</v>
      </c>
      <c r="K17" s="3985" t="str">
        <f t="shared" si="0"/>
        <v/>
      </c>
      <c r="M17" s="3123">
        <f t="shared" si="4"/>
        <v>0</v>
      </c>
      <c r="N17" s="3123">
        <f t="shared" si="1"/>
        <v>0</v>
      </c>
    </row>
    <row r="18" spans="1:14" x14ac:dyDescent="0.2">
      <c r="A18" s="3748">
        <v>10</v>
      </c>
      <c r="B18" s="3352"/>
      <c r="C18" s="363"/>
      <c r="D18" s="809"/>
      <c r="E18" s="3989"/>
      <c r="F18" s="3990"/>
      <c r="G18" s="3989"/>
      <c r="H18" s="1899">
        <f t="shared" si="2"/>
        <v>0</v>
      </c>
      <c r="I18" s="3989"/>
      <c r="J18" s="3991">
        <f t="shared" si="3"/>
        <v>0</v>
      </c>
      <c r="K18" s="3985" t="str">
        <f t="shared" si="0"/>
        <v/>
      </c>
      <c r="M18" s="3123">
        <f t="shared" si="4"/>
        <v>0</v>
      </c>
      <c r="N18" s="3123">
        <f t="shared" si="1"/>
        <v>0</v>
      </c>
    </row>
    <row r="19" spans="1:14" x14ac:dyDescent="0.2">
      <c r="A19" s="3748">
        <v>11</v>
      </c>
      <c r="B19" s="3352"/>
      <c r="C19" s="363"/>
      <c r="D19" s="809"/>
      <c r="E19" s="3989"/>
      <c r="F19" s="3990"/>
      <c r="G19" s="3989"/>
      <c r="H19" s="1899">
        <f t="shared" si="2"/>
        <v>0</v>
      </c>
      <c r="I19" s="3989"/>
      <c r="J19" s="3991">
        <f t="shared" si="3"/>
        <v>0</v>
      </c>
      <c r="K19" s="3985" t="str">
        <f t="shared" si="0"/>
        <v/>
      </c>
      <c r="M19" s="3123">
        <f t="shared" si="4"/>
        <v>0</v>
      </c>
      <c r="N19" s="3123">
        <f t="shared" si="1"/>
        <v>0</v>
      </c>
    </row>
    <row r="20" spans="1:14" x14ac:dyDescent="0.2">
      <c r="A20" s="3748">
        <v>12</v>
      </c>
      <c r="B20" s="3352"/>
      <c r="C20" s="363"/>
      <c r="D20" s="809"/>
      <c r="E20" s="3989"/>
      <c r="F20" s="3990"/>
      <c r="G20" s="3989"/>
      <c r="H20" s="1899">
        <f t="shared" si="2"/>
        <v>0</v>
      </c>
      <c r="I20" s="3989"/>
      <c r="J20" s="3991">
        <f t="shared" si="3"/>
        <v>0</v>
      </c>
      <c r="K20" s="3985" t="str">
        <f t="shared" si="0"/>
        <v/>
      </c>
      <c r="M20" s="3123">
        <f t="shared" si="4"/>
        <v>0</v>
      </c>
      <c r="N20" s="3123">
        <f t="shared" si="1"/>
        <v>0</v>
      </c>
    </row>
    <row r="21" spans="1:14" x14ac:dyDescent="0.2">
      <c r="A21" s="3748">
        <v>13</v>
      </c>
      <c r="B21" s="3352"/>
      <c r="C21" s="363"/>
      <c r="D21" s="809"/>
      <c r="E21" s="3989"/>
      <c r="F21" s="3990"/>
      <c r="G21" s="3989"/>
      <c r="H21" s="1899">
        <f t="shared" si="2"/>
        <v>0</v>
      </c>
      <c r="I21" s="3989"/>
      <c r="J21" s="3991">
        <f t="shared" si="3"/>
        <v>0</v>
      </c>
      <c r="K21" s="3985" t="str">
        <f t="shared" si="0"/>
        <v/>
      </c>
      <c r="M21" s="3123">
        <f t="shared" si="4"/>
        <v>0</v>
      </c>
      <c r="N21" s="3123">
        <f t="shared" si="1"/>
        <v>0</v>
      </c>
    </row>
    <row r="22" spans="1:14" x14ac:dyDescent="0.2">
      <c r="A22" s="3748">
        <v>14</v>
      </c>
      <c r="B22" s="3352"/>
      <c r="C22" s="363"/>
      <c r="D22" s="809"/>
      <c r="E22" s="3989"/>
      <c r="F22" s="3990"/>
      <c r="G22" s="3989"/>
      <c r="H22" s="1899">
        <f t="shared" si="2"/>
        <v>0</v>
      </c>
      <c r="I22" s="3989"/>
      <c r="J22" s="3991">
        <f t="shared" si="3"/>
        <v>0</v>
      </c>
      <c r="K22" s="3985" t="str">
        <f t="shared" si="0"/>
        <v/>
      </c>
      <c r="M22" s="3123">
        <f t="shared" si="4"/>
        <v>0</v>
      </c>
      <c r="N22" s="3123">
        <f t="shared" si="1"/>
        <v>0</v>
      </c>
    </row>
    <row r="23" spans="1:14" x14ac:dyDescent="0.2">
      <c r="A23" s="3748">
        <v>15</v>
      </c>
      <c r="B23" s="3352"/>
      <c r="C23" s="363"/>
      <c r="D23" s="809"/>
      <c r="E23" s="3989"/>
      <c r="F23" s="3990"/>
      <c r="G23" s="3989"/>
      <c r="H23" s="1899">
        <f t="shared" si="2"/>
        <v>0</v>
      </c>
      <c r="I23" s="3989"/>
      <c r="J23" s="3991">
        <f t="shared" si="3"/>
        <v>0</v>
      </c>
      <c r="K23" s="3985" t="str">
        <f t="shared" si="0"/>
        <v/>
      </c>
      <c r="M23" s="3123">
        <f t="shared" si="4"/>
        <v>0</v>
      </c>
      <c r="N23" s="3123">
        <f t="shared" si="1"/>
        <v>0</v>
      </c>
    </row>
    <row r="24" spans="1:14" x14ac:dyDescent="0.2">
      <c r="A24" s="3748">
        <v>16</v>
      </c>
      <c r="B24" s="3352"/>
      <c r="C24" s="363"/>
      <c r="D24" s="809"/>
      <c r="E24" s="3989"/>
      <c r="F24" s="3990"/>
      <c r="G24" s="3989"/>
      <c r="H24" s="1899">
        <f t="shared" si="2"/>
        <v>0</v>
      </c>
      <c r="I24" s="3989"/>
      <c r="J24" s="3991">
        <f t="shared" si="3"/>
        <v>0</v>
      </c>
      <c r="K24" s="3985" t="str">
        <f t="shared" si="0"/>
        <v/>
      </c>
      <c r="M24" s="3123">
        <f t="shared" si="4"/>
        <v>0</v>
      </c>
      <c r="N24" s="3123">
        <f t="shared" si="1"/>
        <v>0</v>
      </c>
    </row>
    <row r="25" spans="1:14" x14ac:dyDescent="0.2">
      <c r="A25" s="3748">
        <v>17</v>
      </c>
      <c r="B25" s="3352"/>
      <c r="C25" s="363"/>
      <c r="D25" s="809"/>
      <c r="E25" s="3989"/>
      <c r="F25" s="3990"/>
      <c r="G25" s="3989"/>
      <c r="H25" s="1899">
        <f t="shared" si="2"/>
        <v>0</v>
      </c>
      <c r="I25" s="3989"/>
      <c r="J25" s="3991">
        <f t="shared" si="3"/>
        <v>0</v>
      </c>
      <c r="K25" s="3985" t="str">
        <f t="shared" si="0"/>
        <v/>
      </c>
      <c r="M25" s="3123">
        <f t="shared" si="4"/>
        <v>0</v>
      </c>
      <c r="N25" s="3123">
        <f t="shared" si="1"/>
        <v>0</v>
      </c>
    </row>
    <row r="26" spans="1:14" x14ac:dyDescent="0.2">
      <c r="A26" s="3748">
        <v>18</v>
      </c>
      <c r="B26" s="3352"/>
      <c r="C26" s="363"/>
      <c r="D26" s="809"/>
      <c r="E26" s="3989"/>
      <c r="F26" s="3990"/>
      <c r="G26" s="3989"/>
      <c r="H26" s="1899">
        <f t="shared" si="2"/>
        <v>0</v>
      </c>
      <c r="I26" s="3989"/>
      <c r="J26" s="3991">
        <f t="shared" si="3"/>
        <v>0</v>
      </c>
      <c r="K26" s="3985" t="str">
        <f t="shared" si="0"/>
        <v/>
      </c>
      <c r="M26" s="3123">
        <f t="shared" si="4"/>
        <v>0</v>
      </c>
      <c r="N26" s="3123">
        <f t="shared" si="1"/>
        <v>0</v>
      </c>
    </row>
    <row r="27" spans="1:14" x14ac:dyDescent="0.2">
      <c r="A27" s="3748">
        <v>19</v>
      </c>
      <c r="B27" s="3352"/>
      <c r="C27" s="363"/>
      <c r="D27" s="809"/>
      <c r="E27" s="3989"/>
      <c r="F27" s="3990"/>
      <c r="G27" s="3989"/>
      <c r="H27" s="1899">
        <f t="shared" si="2"/>
        <v>0</v>
      </c>
      <c r="I27" s="3989"/>
      <c r="J27" s="3991">
        <f t="shared" si="3"/>
        <v>0</v>
      </c>
      <c r="K27" s="3985" t="str">
        <f t="shared" si="0"/>
        <v/>
      </c>
      <c r="M27" s="3123">
        <f t="shared" si="4"/>
        <v>0</v>
      </c>
      <c r="N27" s="3123">
        <f t="shared" si="1"/>
        <v>0</v>
      </c>
    </row>
    <row r="28" spans="1:14" x14ac:dyDescent="0.2">
      <c r="A28" s="3748">
        <v>20</v>
      </c>
      <c r="B28" s="3352"/>
      <c r="C28" s="363"/>
      <c r="D28" s="809"/>
      <c r="E28" s="3989"/>
      <c r="F28" s="3990"/>
      <c r="G28" s="3989"/>
      <c r="H28" s="1899">
        <f t="shared" si="2"/>
        <v>0</v>
      </c>
      <c r="I28" s="3989"/>
      <c r="J28" s="3991">
        <f t="shared" si="3"/>
        <v>0</v>
      </c>
      <c r="K28" s="3985" t="str">
        <f t="shared" si="0"/>
        <v/>
      </c>
      <c r="M28" s="3123">
        <f t="shared" si="4"/>
        <v>0</v>
      </c>
      <c r="N28" s="3123">
        <f t="shared" si="1"/>
        <v>0</v>
      </c>
    </row>
    <row r="29" spans="1:14" x14ac:dyDescent="0.2">
      <c r="A29" s="3748">
        <v>21</v>
      </c>
      <c r="B29" s="3352"/>
      <c r="C29" s="363"/>
      <c r="D29" s="809"/>
      <c r="E29" s="3989"/>
      <c r="F29" s="3990"/>
      <c r="G29" s="3989"/>
      <c r="H29" s="1899">
        <f t="shared" si="2"/>
        <v>0</v>
      </c>
      <c r="I29" s="3989"/>
      <c r="J29" s="3991">
        <f t="shared" si="3"/>
        <v>0</v>
      </c>
      <c r="K29" s="3985" t="str">
        <f t="shared" si="0"/>
        <v/>
      </c>
      <c r="M29" s="3123">
        <f t="shared" si="4"/>
        <v>0</v>
      </c>
      <c r="N29" s="3123">
        <f t="shared" si="1"/>
        <v>0</v>
      </c>
    </row>
    <row r="30" spans="1:14" x14ac:dyDescent="0.2">
      <c r="A30" s="3748">
        <v>22</v>
      </c>
      <c r="B30" s="3352"/>
      <c r="C30" s="363"/>
      <c r="D30" s="809"/>
      <c r="E30" s="3989"/>
      <c r="F30" s="3990"/>
      <c r="G30" s="3989"/>
      <c r="H30" s="1899">
        <f t="shared" si="2"/>
        <v>0</v>
      </c>
      <c r="I30" s="3989"/>
      <c r="J30" s="3991">
        <f t="shared" si="3"/>
        <v>0</v>
      </c>
      <c r="K30" s="3985" t="str">
        <f t="shared" si="0"/>
        <v/>
      </c>
      <c r="M30" s="3123">
        <f t="shared" si="4"/>
        <v>0</v>
      </c>
      <c r="N30" s="3123">
        <f t="shared" si="1"/>
        <v>0</v>
      </c>
    </row>
    <row r="31" spans="1:14" x14ac:dyDescent="0.2">
      <c r="A31" s="3748">
        <v>23</v>
      </c>
      <c r="B31" s="3352"/>
      <c r="C31" s="363"/>
      <c r="D31" s="809"/>
      <c r="E31" s="3989"/>
      <c r="F31" s="3990"/>
      <c r="G31" s="3989"/>
      <c r="H31" s="1899">
        <f t="shared" si="2"/>
        <v>0</v>
      </c>
      <c r="I31" s="3989"/>
      <c r="J31" s="3991">
        <f t="shared" si="3"/>
        <v>0</v>
      </c>
      <c r="K31" s="3985" t="str">
        <f t="shared" si="0"/>
        <v/>
      </c>
      <c r="M31" s="3123">
        <f t="shared" si="4"/>
        <v>0</v>
      </c>
      <c r="N31" s="3123">
        <f t="shared" si="1"/>
        <v>0</v>
      </c>
    </row>
    <row r="32" spans="1:14" x14ac:dyDescent="0.2">
      <c r="A32" s="3748">
        <v>24</v>
      </c>
      <c r="B32" s="3352"/>
      <c r="C32" s="363"/>
      <c r="D32" s="809"/>
      <c r="E32" s="3989"/>
      <c r="F32" s="3990"/>
      <c r="G32" s="3989"/>
      <c r="H32" s="1899">
        <f t="shared" si="2"/>
        <v>0</v>
      </c>
      <c r="I32" s="3989"/>
      <c r="J32" s="3991">
        <f t="shared" si="3"/>
        <v>0</v>
      </c>
      <c r="K32" s="3985" t="str">
        <f t="shared" si="0"/>
        <v/>
      </c>
      <c r="M32" s="3123">
        <f t="shared" si="4"/>
        <v>0</v>
      </c>
      <c r="N32" s="3123">
        <f t="shared" si="1"/>
        <v>0</v>
      </c>
    </row>
    <row r="33" spans="1:14" x14ac:dyDescent="0.2">
      <c r="A33" s="3748">
        <v>25</v>
      </c>
      <c r="B33" s="3352"/>
      <c r="C33" s="363"/>
      <c r="D33" s="809"/>
      <c r="E33" s="3989"/>
      <c r="F33" s="3990"/>
      <c r="G33" s="3989"/>
      <c r="H33" s="1899">
        <f t="shared" si="2"/>
        <v>0</v>
      </c>
      <c r="I33" s="3989"/>
      <c r="J33" s="3991">
        <f t="shared" si="3"/>
        <v>0</v>
      </c>
      <c r="K33" s="3985" t="str">
        <f t="shared" si="0"/>
        <v/>
      </c>
      <c r="M33" s="3123">
        <f t="shared" si="4"/>
        <v>0</v>
      </c>
      <c r="N33" s="3123">
        <f t="shared" si="1"/>
        <v>0</v>
      </c>
    </row>
    <row r="34" spans="1:14" x14ac:dyDescent="0.2">
      <c r="A34" s="3748">
        <v>26</v>
      </c>
      <c r="B34" s="3352"/>
      <c r="C34" s="363"/>
      <c r="D34" s="809"/>
      <c r="E34" s="3989"/>
      <c r="F34" s="3990"/>
      <c r="G34" s="3989"/>
      <c r="H34" s="1899">
        <f t="shared" si="2"/>
        <v>0</v>
      </c>
      <c r="I34" s="3989"/>
      <c r="J34" s="3991">
        <f t="shared" si="3"/>
        <v>0</v>
      </c>
      <c r="K34" s="3985" t="str">
        <f t="shared" si="0"/>
        <v/>
      </c>
      <c r="M34" s="3123">
        <f t="shared" si="4"/>
        <v>0</v>
      </c>
      <c r="N34" s="3123">
        <f t="shared" si="1"/>
        <v>0</v>
      </c>
    </row>
    <row r="35" spans="1:14" x14ac:dyDescent="0.2">
      <c r="A35" s="3748">
        <v>27</v>
      </c>
      <c r="B35" s="3352"/>
      <c r="C35" s="363"/>
      <c r="D35" s="809"/>
      <c r="E35" s="3989"/>
      <c r="F35" s="3990"/>
      <c r="G35" s="3989"/>
      <c r="H35" s="1899">
        <f t="shared" si="2"/>
        <v>0</v>
      </c>
      <c r="I35" s="3989"/>
      <c r="J35" s="3991">
        <f t="shared" si="3"/>
        <v>0</v>
      </c>
      <c r="K35" s="3985" t="str">
        <f t="shared" si="0"/>
        <v/>
      </c>
      <c r="M35" s="3123">
        <f t="shared" si="4"/>
        <v>0</v>
      </c>
      <c r="N35" s="3123">
        <f t="shared" si="1"/>
        <v>0</v>
      </c>
    </row>
    <row r="36" spans="1:14" x14ac:dyDescent="0.2">
      <c r="A36" s="3748">
        <v>28</v>
      </c>
      <c r="B36" s="3352"/>
      <c r="C36" s="363"/>
      <c r="D36" s="809"/>
      <c r="E36" s="3989"/>
      <c r="F36" s="3990"/>
      <c r="G36" s="3989"/>
      <c r="H36" s="1899">
        <f t="shared" si="2"/>
        <v>0</v>
      </c>
      <c r="I36" s="3989"/>
      <c r="J36" s="3991">
        <f t="shared" si="3"/>
        <v>0</v>
      </c>
      <c r="K36" s="3985" t="str">
        <f t="shared" si="0"/>
        <v/>
      </c>
      <c r="M36" s="3123">
        <f t="shared" si="4"/>
        <v>0</v>
      </c>
      <c r="N36" s="3123">
        <f t="shared" si="1"/>
        <v>0</v>
      </c>
    </row>
    <row r="37" spans="1:14" x14ac:dyDescent="0.2">
      <c r="A37" s="3748">
        <v>29</v>
      </c>
      <c r="B37" s="3352"/>
      <c r="C37" s="363"/>
      <c r="D37" s="809"/>
      <c r="E37" s="3989"/>
      <c r="F37" s="3990"/>
      <c r="G37" s="3989"/>
      <c r="H37" s="1899">
        <f t="shared" si="2"/>
        <v>0</v>
      </c>
      <c r="I37" s="3989"/>
      <c r="J37" s="3991">
        <f t="shared" si="3"/>
        <v>0</v>
      </c>
      <c r="K37" s="3985" t="str">
        <f t="shared" si="0"/>
        <v/>
      </c>
      <c r="M37" s="3123">
        <f t="shared" si="4"/>
        <v>0</v>
      </c>
      <c r="N37" s="3123">
        <f t="shared" si="1"/>
        <v>0</v>
      </c>
    </row>
    <row r="38" spans="1:14" x14ac:dyDescent="0.2">
      <c r="A38" s="3748">
        <v>30</v>
      </c>
      <c r="B38" s="3352"/>
      <c r="C38" s="363"/>
      <c r="D38" s="809"/>
      <c r="E38" s="3989"/>
      <c r="F38" s="3990"/>
      <c r="G38" s="3989"/>
      <c r="H38" s="1899">
        <f t="shared" si="2"/>
        <v>0</v>
      </c>
      <c r="I38" s="3989"/>
      <c r="J38" s="3991">
        <f t="shared" si="3"/>
        <v>0</v>
      </c>
      <c r="K38" s="3985" t="str">
        <f t="shared" si="0"/>
        <v/>
      </c>
      <c r="M38" s="3123">
        <f t="shared" si="4"/>
        <v>0</v>
      </c>
      <c r="N38" s="3123">
        <f t="shared" si="1"/>
        <v>0</v>
      </c>
    </row>
    <row r="39" spans="1:14" x14ac:dyDescent="0.2">
      <c r="A39" s="3748">
        <v>31</v>
      </c>
      <c r="B39" s="3352"/>
      <c r="C39" s="363"/>
      <c r="D39" s="809"/>
      <c r="E39" s="3989"/>
      <c r="F39" s="3990"/>
      <c r="G39" s="3989"/>
      <c r="H39" s="1899">
        <f t="shared" si="2"/>
        <v>0</v>
      </c>
      <c r="I39" s="3989"/>
      <c r="J39" s="3991">
        <f t="shared" si="3"/>
        <v>0</v>
      </c>
      <c r="K39" s="3985" t="str">
        <f t="shared" si="0"/>
        <v/>
      </c>
      <c r="M39" s="3123">
        <f t="shared" si="4"/>
        <v>0</v>
      </c>
      <c r="N39" s="3123">
        <f t="shared" si="1"/>
        <v>0</v>
      </c>
    </row>
    <row r="40" spans="1:14" x14ac:dyDescent="0.2">
      <c r="A40" s="3748">
        <v>32</v>
      </c>
      <c r="B40" s="3352"/>
      <c r="C40" s="363"/>
      <c r="D40" s="809"/>
      <c r="E40" s="3989"/>
      <c r="F40" s="3990"/>
      <c r="G40" s="3989"/>
      <c r="H40" s="1899">
        <f t="shared" si="2"/>
        <v>0</v>
      </c>
      <c r="I40" s="3989"/>
      <c r="J40" s="3991">
        <f t="shared" si="3"/>
        <v>0</v>
      </c>
      <c r="K40" s="3985" t="str">
        <f t="shared" si="0"/>
        <v/>
      </c>
      <c r="M40" s="3123">
        <f t="shared" si="4"/>
        <v>0</v>
      </c>
      <c r="N40" s="3123">
        <f t="shared" si="1"/>
        <v>0</v>
      </c>
    </row>
    <row r="41" spans="1:14" x14ac:dyDescent="0.2">
      <c r="A41" s="3748">
        <v>33</v>
      </c>
      <c r="B41" s="3352"/>
      <c r="C41" s="363"/>
      <c r="D41" s="809"/>
      <c r="E41" s="3989"/>
      <c r="F41" s="3990"/>
      <c r="G41" s="3989"/>
      <c r="H41" s="1899">
        <f t="shared" si="2"/>
        <v>0</v>
      </c>
      <c r="I41" s="3989"/>
      <c r="J41" s="3991">
        <f t="shared" si="3"/>
        <v>0</v>
      </c>
      <c r="K41" s="3985"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f>
        <v/>
      </c>
      <c r="M41" s="3123">
        <f t="shared" si="4"/>
        <v>0</v>
      </c>
      <c r="N41" s="3123">
        <f t="shared" si="1"/>
        <v>0</v>
      </c>
    </row>
    <row r="42" spans="1:14" x14ac:dyDescent="0.2">
      <c r="A42" s="3748">
        <v>34</v>
      </c>
      <c r="B42" s="3352"/>
      <c r="C42" s="363"/>
      <c r="D42" s="809"/>
      <c r="E42" s="3989"/>
      <c r="F42" s="3990"/>
      <c r="G42" s="3989"/>
      <c r="H42" s="1899">
        <f t="shared" si="2"/>
        <v>0</v>
      </c>
      <c r="I42" s="3989"/>
      <c r="J42" s="3991">
        <f t="shared" si="3"/>
        <v>0</v>
      </c>
      <c r="K42" s="3985" t="str">
        <f t="shared" si="5"/>
        <v/>
      </c>
      <c r="M42" s="3123">
        <f t="shared" si="4"/>
        <v>0</v>
      </c>
      <c r="N42" s="3123">
        <f t="shared" si="1"/>
        <v>0</v>
      </c>
    </row>
    <row r="43" spans="1:14" x14ac:dyDescent="0.2">
      <c r="A43" s="3748">
        <v>35</v>
      </c>
      <c r="B43" s="3352"/>
      <c r="C43" s="363"/>
      <c r="D43" s="809"/>
      <c r="E43" s="3989"/>
      <c r="F43" s="3990"/>
      <c r="G43" s="3989"/>
      <c r="H43" s="1899">
        <f t="shared" si="2"/>
        <v>0</v>
      </c>
      <c r="I43" s="3989"/>
      <c r="J43" s="3991">
        <f t="shared" si="3"/>
        <v>0</v>
      </c>
      <c r="K43" s="3985" t="str">
        <f t="shared" si="5"/>
        <v/>
      </c>
      <c r="M43" s="3123">
        <f t="shared" si="4"/>
        <v>0</v>
      </c>
      <c r="N43" s="3123">
        <f t="shared" si="1"/>
        <v>0</v>
      </c>
    </row>
    <row r="44" spans="1:14" x14ac:dyDescent="0.2">
      <c r="A44" s="3748">
        <v>36</v>
      </c>
      <c r="B44" s="3352"/>
      <c r="C44" s="363"/>
      <c r="D44" s="809"/>
      <c r="E44" s="3989"/>
      <c r="F44" s="3990"/>
      <c r="G44" s="3989"/>
      <c r="H44" s="1899">
        <f t="shared" si="2"/>
        <v>0</v>
      </c>
      <c r="I44" s="3989"/>
      <c r="J44" s="3991">
        <f t="shared" si="3"/>
        <v>0</v>
      </c>
      <c r="K44" s="3985" t="str">
        <f t="shared" si="5"/>
        <v/>
      </c>
      <c r="M44" s="3123">
        <f t="shared" si="4"/>
        <v>0</v>
      </c>
      <c r="N44" s="3123">
        <f t="shared" si="1"/>
        <v>0</v>
      </c>
    </row>
    <row r="45" spans="1:14" x14ac:dyDescent="0.2">
      <c r="A45" s="3748">
        <v>37</v>
      </c>
      <c r="B45" s="3352"/>
      <c r="C45" s="363"/>
      <c r="D45" s="809"/>
      <c r="E45" s="3989"/>
      <c r="F45" s="3990"/>
      <c r="G45" s="3989"/>
      <c r="H45" s="1899">
        <f t="shared" si="2"/>
        <v>0</v>
      </c>
      <c r="I45" s="3989"/>
      <c r="J45" s="3991">
        <f t="shared" si="3"/>
        <v>0</v>
      </c>
      <c r="K45" s="3985" t="str">
        <f t="shared" si="5"/>
        <v/>
      </c>
      <c r="M45" s="3123">
        <f t="shared" si="4"/>
        <v>0</v>
      </c>
      <c r="N45" s="3123">
        <f t="shared" si="1"/>
        <v>0</v>
      </c>
    </row>
    <row r="46" spans="1:14" x14ac:dyDescent="0.2">
      <c r="A46" s="3748">
        <v>38</v>
      </c>
      <c r="B46" s="3352"/>
      <c r="C46" s="363"/>
      <c r="D46" s="809"/>
      <c r="E46" s="3989"/>
      <c r="F46" s="3990"/>
      <c r="G46" s="3989"/>
      <c r="H46" s="1899">
        <f t="shared" si="2"/>
        <v>0</v>
      </c>
      <c r="I46" s="3989"/>
      <c r="J46" s="3991">
        <f t="shared" si="3"/>
        <v>0</v>
      </c>
      <c r="K46" s="3985" t="str">
        <f t="shared" si="5"/>
        <v/>
      </c>
      <c r="M46" s="3123">
        <f t="shared" si="4"/>
        <v>0</v>
      </c>
      <c r="N46" s="3123">
        <f t="shared" si="1"/>
        <v>0</v>
      </c>
    </row>
    <row r="47" spans="1:14" x14ac:dyDescent="0.2">
      <c r="A47" s="3748">
        <v>39</v>
      </c>
      <c r="B47" s="3352"/>
      <c r="C47" s="363"/>
      <c r="D47" s="809"/>
      <c r="E47" s="3989"/>
      <c r="F47" s="3990"/>
      <c r="G47" s="3989"/>
      <c r="H47" s="1899">
        <f t="shared" si="2"/>
        <v>0</v>
      </c>
      <c r="I47" s="3989"/>
      <c r="J47" s="3991">
        <f t="shared" si="3"/>
        <v>0</v>
      </c>
      <c r="K47" s="3985" t="str">
        <f t="shared" si="5"/>
        <v/>
      </c>
      <c r="M47" s="3123">
        <f t="shared" si="4"/>
        <v>0</v>
      </c>
      <c r="N47" s="3123">
        <f t="shared" si="1"/>
        <v>0</v>
      </c>
    </row>
    <row r="48" spans="1:14" x14ac:dyDescent="0.2">
      <c r="A48" s="3748">
        <v>40</v>
      </c>
      <c r="B48" s="3352"/>
      <c r="C48" s="363"/>
      <c r="D48" s="809"/>
      <c r="E48" s="3989"/>
      <c r="F48" s="3990"/>
      <c r="G48" s="3989"/>
      <c r="H48" s="1899">
        <f t="shared" si="2"/>
        <v>0</v>
      </c>
      <c r="I48" s="3989"/>
      <c r="J48" s="3991">
        <f t="shared" si="3"/>
        <v>0</v>
      </c>
      <c r="K48" s="3985" t="str">
        <f t="shared" si="5"/>
        <v/>
      </c>
      <c r="M48" s="3123">
        <f t="shared" si="4"/>
        <v>0</v>
      </c>
      <c r="N48" s="3123">
        <f t="shared" si="1"/>
        <v>0</v>
      </c>
    </row>
    <row r="49" spans="1:14" x14ac:dyDescent="0.2">
      <c r="A49" s="3748">
        <v>41</v>
      </c>
      <c r="B49" s="3352"/>
      <c r="C49" s="363"/>
      <c r="D49" s="809"/>
      <c r="E49" s="3989"/>
      <c r="F49" s="3990"/>
      <c r="G49" s="3989"/>
      <c r="H49" s="1899">
        <f t="shared" si="2"/>
        <v>0</v>
      </c>
      <c r="I49" s="3989"/>
      <c r="J49" s="3991">
        <f t="shared" si="3"/>
        <v>0</v>
      </c>
      <c r="K49" s="3985" t="str">
        <f t="shared" si="5"/>
        <v/>
      </c>
      <c r="M49" s="3123">
        <f t="shared" si="4"/>
        <v>0</v>
      </c>
      <c r="N49" s="3123">
        <f t="shared" si="1"/>
        <v>0</v>
      </c>
    </row>
    <row r="50" spans="1:14" x14ac:dyDescent="0.2">
      <c r="A50" s="3748">
        <v>42</v>
      </c>
      <c r="B50" s="3352"/>
      <c r="C50" s="363"/>
      <c r="D50" s="809"/>
      <c r="E50" s="3989"/>
      <c r="F50" s="3990"/>
      <c r="G50" s="3989"/>
      <c r="H50" s="1899">
        <f t="shared" si="2"/>
        <v>0</v>
      </c>
      <c r="I50" s="3989"/>
      <c r="J50" s="3991">
        <f t="shared" si="3"/>
        <v>0</v>
      </c>
      <c r="K50" s="3985" t="str">
        <f t="shared" si="5"/>
        <v/>
      </c>
      <c r="M50" s="3123">
        <f t="shared" si="4"/>
        <v>0</v>
      </c>
      <c r="N50" s="3123">
        <f t="shared" si="1"/>
        <v>0</v>
      </c>
    </row>
    <row r="51" spans="1:14" x14ac:dyDescent="0.2">
      <c r="A51" s="3748">
        <v>43</v>
      </c>
      <c r="B51" s="3352"/>
      <c r="C51" s="363"/>
      <c r="D51" s="809"/>
      <c r="E51" s="3989"/>
      <c r="F51" s="3990"/>
      <c r="G51" s="3989"/>
      <c r="H51" s="1899">
        <f t="shared" si="2"/>
        <v>0</v>
      </c>
      <c r="I51" s="3989"/>
      <c r="J51" s="3991">
        <f t="shared" si="3"/>
        <v>0</v>
      </c>
      <c r="K51" s="3985" t="str">
        <f t="shared" si="5"/>
        <v/>
      </c>
      <c r="M51" s="3123">
        <f t="shared" si="4"/>
        <v>0</v>
      </c>
      <c r="N51" s="3123">
        <f t="shared" si="1"/>
        <v>0</v>
      </c>
    </row>
    <row r="52" spans="1:14" x14ac:dyDescent="0.2">
      <c r="A52" s="3748">
        <v>44</v>
      </c>
      <c r="B52" s="3352"/>
      <c r="C52" s="363"/>
      <c r="D52" s="809"/>
      <c r="E52" s="3989"/>
      <c r="F52" s="3990"/>
      <c r="G52" s="3989"/>
      <c r="H52" s="1899">
        <f t="shared" si="2"/>
        <v>0</v>
      </c>
      <c r="I52" s="3989"/>
      <c r="J52" s="3991">
        <f t="shared" si="3"/>
        <v>0</v>
      </c>
      <c r="K52" s="3985" t="str">
        <f t="shared" si="5"/>
        <v/>
      </c>
      <c r="M52" s="3123">
        <f t="shared" si="4"/>
        <v>0</v>
      </c>
      <c r="N52" s="3123">
        <f t="shared" si="1"/>
        <v>0</v>
      </c>
    </row>
    <row r="53" spans="1:14" x14ac:dyDescent="0.2">
      <c r="A53" s="3748">
        <v>45</v>
      </c>
      <c r="B53" s="3352"/>
      <c r="C53" s="363"/>
      <c r="D53" s="809"/>
      <c r="E53" s="3989"/>
      <c r="F53" s="3990"/>
      <c r="G53" s="3989"/>
      <c r="H53" s="1899">
        <f t="shared" si="2"/>
        <v>0</v>
      </c>
      <c r="I53" s="3989"/>
      <c r="J53" s="3991">
        <f t="shared" si="3"/>
        <v>0</v>
      </c>
      <c r="K53" s="3985" t="str">
        <f t="shared" si="5"/>
        <v/>
      </c>
      <c r="M53" s="3123">
        <f t="shared" si="4"/>
        <v>0</v>
      </c>
      <c r="N53" s="3123">
        <f t="shared" si="1"/>
        <v>0</v>
      </c>
    </row>
    <row r="54" spans="1:14" x14ac:dyDescent="0.2">
      <c r="A54" s="3748">
        <v>46</v>
      </c>
      <c r="B54" s="3352"/>
      <c r="C54" s="363"/>
      <c r="D54" s="809"/>
      <c r="E54" s="3989"/>
      <c r="F54" s="3990"/>
      <c r="G54" s="3989"/>
      <c r="H54" s="1899">
        <f t="shared" si="2"/>
        <v>0</v>
      </c>
      <c r="I54" s="3989"/>
      <c r="J54" s="3991">
        <f t="shared" si="3"/>
        <v>0</v>
      </c>
      <c r="K54" s="3985" t="str">
        <f t="shared" si="5"/>
        <v/>
      </c>
      <c r="M54" s="3123">
        <f t="shared" si="4"/>
        <v>0</v>
      </c>
      <c r="N54" s="3123">
        <f t="shared" si="1"/>
        <v>0</v>
      </c>
    </row>
    <row r="55" spans="1:14" x14ac:dyDescent="0.2">
      <c r="A55" s="3748">
        <v>47</v>
      </c>
      <c r="B55" s="3352"/>
      <c r="C55" s="363"/>
      <c r="D55" s="809"/>
      <c r="E55" s="3989"/>
      <c r="F55" s="3990"/>
      <c r="G55" s="3989"/>
      <c r="H55" s="1899">
        <f t="shared" si="2"/>
        <v>0</v>
      </c>
      <c r="I55" s="3989"/>
      <c r="J55" s="3991">
        <f t="shared" si="3"/>
        <v>0</v>
      </c>
      <c r="K55" s="3985" t="str">
        <f t="shared" si="5"/>
        <v/>
      </c>
      <c r="M55" s="3123">
        <f t="shared" si="4"/>
        <v>0</v>
      </c>
      <c r="N55" s="3123">
        <f t="shared" si="1"/>
        <v>0</v>
      </c>
    </row>
    <row r="56" spans="1:14" x14ac:dyDescent="0.2">
      <c r="A56" s="3748">
        <v>48</v>
      </c>
      <c r="B56" s="3352"/>
      <c r="C56" s="363"/>
      <c r="D56" s="809"/>
      <c r="E56" s="3989"/>
      <c r="F56" s="3990"/>
      <c r="G56" s="3989"/>
      <c r="H56" s="1899">
        <f t="shared" si="2"/>
        <v>0</v>
      </c>
      <c r="I56" s="3989"/>
      <c r="J56" s="3991">
        <f t="shared" si="3"/>
        <v>0</v>
      </c>
      <c r="K56" s="3985" t="str">
        <f t="shared" si="5"/>
        <v/>
      </c>
      <c r="M56" s="3123">
        <f t="shared" si="4"/>
        <v>0</v>
      </c>
      <c r="N56" s="3123">
        <f t="shared" si="1"/>
        <v>0</v>
      </c>
    </row>
    <row r="57" spans="1:14" x14ac:dyDescent="0.2">
      <c r="A57" s="3748">
        <v>49</v>
      </c>
      <c r="B57" s="3352"/>
      <c r="C57" s="363"/>
      <c r="D57" s="809"/>
      <c r="E57" s="3989"/>
      <c r="F57" s="3990"/>
      <c r="G57" s="3989"/>
      <c r="H57" s="1899">
        <f t="shared" si="2"/>
        <v>0</v>
      </c>
      <c r="I57" s="3989"/>
      <c r="J57" s="3991">
        <f t="shared" si="3"/>
        <v>0</v>
      </c>
      <c r="K57" s="3985" t="str">
        <f t="shared" si="5"/>
        <v/>
      </c>
      <c r="M57" s="3123">
        <f t="shared" si="4"/>
        <v>0</v>
      </c>
      <c r="N57" s="3123">
        <f t="shared" si="1"/>
        <v>0</v>
      </c>
    </row>
    <row r="58" spans="1:14" x14ac:dyDescent="0.2">
      <c r="A58" s="3748">
        <v>50</v>
      </c>
      <c r="B58" s="3352"/>
      <c r="C58" s="363"/>
      <c r="D58" s="809"/>
      <c r="E58" s="3989"/>
      <c r="F58" s="3990"/>
      <c r="G58" s="3989"/>
      <c r="H58" s="1899">
        <f t="shared" si="2"/>
        <v>0</v>
      </c>
      <c r="I58" s="3989"/>
      <c r="J58" s="3991">
        <f t="shared" si="3"/>
        <v>0</v>
      </c>
      <c r="K58" s="3985" t="str">
        <f t="shared" si="5"/>
        <v/>
      </c>
      <c r="M58" s="3123">
        <f t="shared" si="4"/>
        <v>0</v>
      </c>
      <c r="N58" s="3123">
        <f t="shared" si="1"/>
        <v>0</v>
      </c>
    </row>
    <row r="59" spans="1:14" x14ac:dyDescent="0.2">
      <c r="A59" s="3748">
        <v>51</v>
      </c>
      <c r="B59" s="3352"/>
      <c r="C59" s="363"/>
      <c r="D59" s="809"/>
      <c r="E59" s="3989"/>
      <c r="F59" s="3990"/>
      <c r="G59" s="3989"/>
      <c r="H59" s="1899">
        <f t="shared" si="2"/>
        <v>0</v>
      </c>
      <c r="I59" s="3989"/>
      <c r="J59" s="3991">
        <f t="shared" si="3"/>
        <v>0</v>
      </c>
      <c r="K59" s="3985" t="str">
        <f t="shared" si="5"/>
        <v/>
      </c>
      <c r="M59" s="3123">
        <f t="shared" si="4"/>
        <v>0</v>
      </c>
      <c r="N59" s="3123">
        <f t="shared" si="1"/>
        <v>0</v>
      </c>
    </row>
    <row r="60" spans="1:14" x14ac:dyDescent="0.2">
      <c r="A60" s="3748">
        <v>52</v>
      </c>
      <c r="B60" s="3352"/>
      <c r="C60" s="363"/>
      <c r="D60" s="809"/>
      <c r="E60" s="3989"/>
      <c r="F60" s="3990"/>
      <c r="G60" s="3989"/>
      <c r="H60" s="1899">
        <f t="shared" si="2"/>
        <v>0</v>
      </c>
      <c r="I60" s="3989"/>
      <c r="J60" s="3991">
        <f t="shared" si="3"/>
        <v>0</v>
      </c>
      <c r="K60" s="3985" t="str">
        <f t="shared" si="5"/>
        <v/>
      </c>
      <c r="M60" s="3123">
        <f t="shared" si="4"/>
        <v>0</v>
      </c>
      <c r="N60" s="3123">
        <f t="shared" si="1"/>
        <v>0</v>
      </c>
    </row>
    <row r="61" spans="1:14" x14ac:dyDescent="0.2">
      <c r="A61" s="3748">
        <v>53</v>
      </c>
      <c r="B61" s="3352"/>
      <c r="C61" s="363"/>
      <c r="D61" s="809"/>
      <c r="E61" s="3989"/>
      <c r="F61" s="3990"/>
      <c r="G61" s="3989"/>
      <c r="H61" s="1899">
        <f t="shared" si="2"/>
        <v>0</v>
      </c>
      <c r="I61" s="3989"/>
      <c r="J61" s="3991">
        <f t="shared" si="3"/>
        <v>0</v>
      </c>
      <c r="K61" s="3985" t="str">
        <f t="shared" si="5"/>
        <v/>
      </c>
      <c r="M61" s="3123">
        <f t="shared" si="4"/>
        <v>0</v>
      </c>
      <c r="N61" s="3123">
        <f t="shared" si="1"/>
        <v>0</v>
      </c>
    </row>
    <row r="62" spans="1:14" x14ac:dyDescent="0.2">
      <c r="A62" s="3748">
        <v>54</v>
      </c>
      <c r="B62" s="3352"/>
      <c r="C62" s="363"/>
      <c r="D62" s="809"/>
      <c r="E62" s="3989"/>
      <c r="F62" s="3990"/>
      <c r="G62" s="3989"/>
      <c r="H62" s="1899">
        <f t="shared" si="2"/>
        <v>0</v>
      </c>
      <c r="I62" s="3989"/>
      <c r="J62" s="3991">
        <f t="shared" si="3"/>
        <v>0</v>
      </c>
      <c r="K62" s="3985" t="str">
        <f t="shared" si="5"/>
        <v/>
      </c>
      <c r="M62" s="3123">
        <f t="shared" si="4"/>
        <v>0</v>
      </c>
      <c r="N62" s="3123">
        <f t="shared" si="1"/>
        <v>0</v>
      </c>
    </row>
    <row r="63" spans="1:14" x14ac:dyDescent="0.2">
      <c r="A63" s="3748">
        <v>55</v>
      </c>
      <c r="B63" s="3352"/>
      <c r="C63" s="363"/>
      <c r="D63" s="809"/>
      <c r="E63" s="3989"/>
      <c r="F63" s="3990"/>
      <c r="G63" s="3989"/>
      <c r="H63" s="1899">
        <f t="shared" si="2"/>
        <v>0</v>
      </c>
      <c r="I63" s="3989"/>
      <c r="J63" s="3991">
        <f t="shared" si="3"/>
        <v>0</v>
      </c>
      <c r="K63" s="3985" t="str">
        <f t="shared" si="5"/>
        <v/>
      </c>
      <c r="M63" s="3123">
        <f t="shared" si="4"/>
        <v>0</v>
      </c>
      <c r="N63" s="3123">
        <f t="shared" si="1"/>
        <v>0</v>
      </c>
    </row>
    <row r="64" spans="1:14" x14ac:dyDescent="0.2">
      <c r="A64" s="3748">
        <v>56</v>
      </c>
      <c r="B64" s="3352"/>
      <c r="C64" s="363"/>
      <c r="D64" s="809"/>
      <c r="E64" s="3989"/>
      <c r="F64" s="3990"/>
      <c r="G64" s="3989"/>
      <c r="H64" s="1899">
        <f t="shared" si="2"/>
        <v>0</v>
      </c>
      <c r="I64" s="3989"/>
      <c r="J64" s="3991">
        <f t="shared" si="3"/>
        <v>0</v>
      </c>
      <c r="K64" s="3985" t="str">
        <f t="shared" si="5"/>
        <v/>
      </c>
      <c r="M64" s="3123">
        <f t="shared" si="4"/>
        <v>0</v>
      </c>
      <c r="N64" s="3123">
        <f t="shared" si="1"/>
        <v>0</v>
      </c>
    </row>
    <row r="65" spans="1:18" x14ac:dyDescent="0.2">
      <c r="A65" s="3748">
        <v>57</v>
      </c>
      <c r="B65" s="3352"/>
      <c r="C65" s="363"/>
      <c r="D65" s="809"/>
      <c r="E65" s="3989"/>
      <c r="F65" s="3990"/>
      <c r="G65" s="3989"/>
      <c r="H65" s="1899">
        <f t="shared" si="2"/>
        <v>0</v>
      </c>
      <c r="I65" s="3989"/>
      <c r="J65" s="3991">
        <f t="shared" si="3"/>
        <v>0</v>
      </c>
      <c r="K65" s="3985" t="str">
        <f t="shared" si="5"/>
        <v/>
      </c>
      <c r="M65" s="3123">
        <f t="shared" si="4"/>
        <v>0</v>
      </c>
      <c r="N65" s="3123">
        <f t="shared" si="1"/>
        <v>0</v>
      </c>
    </row>
    <row r="66" spans="1:18" x14ac:dyDescent="0.2">
      <c r="A66" s="3748">
        <v>58</v>
      </c>
      <c r="B66" s="3352"/>
      <c r="C66" s="363"/>
      <c r="D66" s="809"/>
      <c r="E66" s="3989"/>
      <c r="F66" s="3990"/>
      <c r="G66" s="3989"/>
      <c r="H66" s="1899">
        <f t="shared" si="2"/>
        <v>0</v>
      </c>
      <c r="I66" s="3989"/>
      <c r="J66" s="3991">
        <f t="shared" si="3"/>
        <v>0</v>
      </c>
      <c r="K66" s="3985" t="str">
        <f t="shared" si="5"/>
        <v/>
      </c>
      <c r="M66" s="3123">
        <f t="shared" si="4"/>
        <v>0</v>
      </c>
      <c r="N66" s="3123">
        <f t="shared" si="1"/>
        <v>0</v>
      </c>
    </row>
    <row r="67" spans="1:18" x14ac:dyDescent="0.2">
      <c r="A67" s="3748">
        <v>59</v>
      </c>
      <c r="B67" s="3352"/>
      <c r="C67" s="363"/>
      <c r="D67" s="809"/>
      <c r="E67" s="3989"/>
      <c r="F67" s="3990"/>
      <c r="G67" s="3989"/>
      <c r="H67" s="1899">
        <f t="shared" si="2"/>
        <v>0</v>
      </c>
      <c r="I67" s="3989"/>
      <c r="J67" s="3991">
        <f t="shared" si="3"/>
        <v>0</v>
      </c>
      <c r="K67" s="3985" t="str">
        <f t="shared" si="5"/>
        <v/>
      </c>
      <c r="M67" s="3123">
        <f t="shared" si="4"/>
        <v>0</v>
      </c>
      <c r="N67" s="3123">
        <f t="shared" si="1"/>
        <v>0</v>
      </c>
    </row>
    <row r="68" spans="1:18" x14ac:dyDescent="0.2">
      <c r="A68" s="3748">
        <v>60</v>
      </c>
      <c r="B68" s="3352"/>
      <c r="C68" s="363"/>
      <c r="D68" s="809"/>
      <c r="E68" s="3989"/>
      <c r="F68" s="3990"/>
      <c r="G68" s="3989"/>
      <c r="H68" s="1899">
        <f t="shared" si="2"/>
        <v>0</v>
      </c>
      <c r="I68" s="3989"/>
      <c r="J68" s="3991">
        <f t="shared" si="3"/>
        <v>0</v>
      </c>
      <c r="K68" s="3985" t="str">
        <f t="shared" si="5"/>
        <v/>
      </c>
      <c r="M68" s="3123">
        <f t="shared" si="4"/>
        <v>0</v>
      </c>
      <c r="N68" s="3123">
        <f t="shared" si="1"/>
        <v>0</v>
      </c>
    </row>
    <row r="69" spans="1:18" x14ac:dyDescent="0.2">
      <c r="A69" s="3748">
        <v>61</v>
      </c>
      <c r="B69" s="3352"/>
      <c r="C69" s="363"/>
      <c r="D69" s="809"/>
      <c r="E69" s="3989"/>
      <c r="F69" s="3990"/>
      <c r="G69" s="3989"/>
      <c r="H69" s="1899">
        <f t="shared" si="2"/>
        <v>0</v>
      </c>
      <c r="I69" s="3989"/>
      <c r="J69" s="3991">
        <f t="shared" si="3"/>
        <v>0</v>
      </c>
      <c r="K69" s="3985" t="str">
        <f t="shared" si="5"/>
        <v/>
      </c>
      <c r="M69" s="3123">
        <f t="shared" si="4"/>
        <v>0</v>
      </c>
      <c r="N69" s="3123">
        <f t="shared" si="1"/>
        <v>0</v>
      </c>
    </row>
    <row r="70" spans="1:18" x14ac:dyDescent="0.2">
      <c r="A70" s="3748">
        <v>62</v>
      </c>
      <c r="B70" s="3352"/>
      <c r="C70" s="363"/>
      <c r="D70" s="809"/>
      <c r="E70" s="3989"/>
      <c r="F70" s="3990"/>
      <c r="G70" s="3989"/>
      <c r="H70" s="1899">
        <f t="shared" si="2"/>
        <v>0</v>
      </c>
      <c r="I70" s="3989"/>
      <c r="J70" s="3991">
        <f t="shared" si="3"/>
        <v>0</v>
      </c>
      <c r="K70" s="3985" t="str">
        <f t="shared" si="5"/>
        <v/>
      </c>
      <c r="M70" s="3123">
        <f t="shared" si="4"/>
        <v>0</v>
      </c>
      <c r="N70" s="3123">
        <f t="shared" si="1"/>
        <v>0</v>
      </c>
    </row>
    <row r="71" spans="1:18" x14ac:dyDescent="0.2">
      <c r="A71" s="3748">
        <v>63</v>
      </c>
      <c r="B71" s="3352"/>
      <c r="C71" s="363"/>
      <c r="D71" s="809"/>
      <c r="E71" s="3989"/>
      <c r="F71" s="3990"/>
      <c r="G71" s="3989"/>
      <c r="H71" s="1899">
        <f t="shared" si="2"/>
        <v>0</v>
      </c>
      <c r="I71" s="3989"/>
      <c r="J71" s="3991">
        <f t="shared" si="3"/>
        <v>0</v>
      </c>
      <c r="K71" s="3985" t="str">
        <f t="shared" si="5"/>
        <v/>
      </c>
      <c r="M71" s="3123">
        <f t="shared" si="4"/>
        <v>0</v>
      </c>
      <c r="N71" s="3123">
        <f t="shared" si="1"/>
        <v>0</v>
      </c>
    </row>
    <row r="72" spans="1:18" x14ac:dyDescent="0.2">
      <c r="A72" s="3748">
        <v>64</v>
      </c>
      <c r="B72" s="3352"/>
      <c r="C72" s="363"/>
      <c r="D72" s="809"/>
      <c r="E72" s="3989"/>
      <c r="F72" s="3990"/>
      <c r="G72" s="3989"/>
      <c r="H72" s="1899">
        <f t="shared" si="2"/>
        <v>0</v>
      </c>
      <c r="I72" s="3989"/>
      <c r="J72" s="3991">
        <f t="shared" si="3"/>
        <v>0</v>
      </c>
      <c r="K72" s="3985" t="str">
        <f t="shared" si="5"/>
        <v/>
      </c>
      <c r="M72" s="3123">
        <f t="shared" si="4"/>
        <v>0</v>
      </c>
      <c r="N72" s="3123">
        <f t="shared" si="1"/>
        <v>0</v>
      </c>
    </row>
    <row r="73" spans="1:18" x14ac:dyDescent="0.2">
      <c r="A73" s="3748">
        <v>65</v>
      </c>
      <c r="B73" s="3352"/>
      <c r="C73" s="363"/>
      <c r="D73" s="809"/>
      <c r="E73" s="3989"/>
      <c r="F73" s="3990"/>
      <c r="G73" s="3989"/>
      <c r="H73" s="1899">
        <f t="shared" si="2"/>
        <v>0</v>
      </c>
      <c r="I73" s="3989"/>
      <c r="J73" s="3991">
        <f t="shared" si="3"/>
        <v>0</v>
      </c>
      <c r="K73" s="3985" t="str">
        <f t="shared" ref="K73:K78" si="6">IF(AND($G$6&gt;0,A73&lt;=$G$6,N73=0),re,IF(AND($O$1="n",B73&lt;&gt;""),"Not a fiscal Unit",IF(AND($G$6&gt;0,A73&lt;=$G$6,$O$1="y",N73&lt;7),"All data",IF(AND(A73&gt;$G$6,N73&gt;0),"No details required",IF(AND($G$6&gt;0,A73&lt;=$G$6,$O$1="n",N73&lt;6),"All data",IF(AND(F73&gt;=$R$1,G73&gt;0),"Check utilised credit in previous years",IF(I73&gt;H73,"Excessive utilised credit!","")))))))</f>
        <v/>
      </c>
      <c r="M73" s="3123">
        <f t="shared" si="4"/>
        <v>0</v>
      </c>
      <c r="N73" s="3123">
        <f t="shared" ref="N73:N78" si="7">IF($O$1="n",COUNTA(C73:G73,I73),IF($O$1="y",COUNTA(B73:G73,I73),0))</f>
      </c>
    </row>
    <row r="74" spans="1:18" x14ac:dyDescent="0.2">
      <c r="A74" s="3748">
        <v>66</v>
      </c>
      <c r="B74" s="3352"/>
      <c r="C74" s="363"/>
      <c r="D74" s="809"/>
      <c r="E74" s="3989"/>
      <c r="F74" s="3990"/>
      <c r="G74" s="3989"/>
      <c r="H74" s="1899">
        <f t="shared" si="2"/>
        <v>0</v>
      </c>
      <c r="I74" s="3989"/>
      <c r="J74" s="3991">
        <f t="shared" si="3"/>
        <v>0</v>
      </c>
      <c r="K74" s="3985" t="str">
        <f t="shared" si="6"/>
        <v/>
      </c>
      <c r="M74" s="3123">
        <f t="shared" si="4"/>
        <v>0</v>
      </c>
      <c r="N74" s="3123">
        <f t="shared" si="7"/>
        <v>0</v>
      </c>
    </row>
    <row r="75" spans="1:18" x14ac:dyDescent="0.2">
      <c r="A75" s="3748">
        <v>67</v>
      </c>
      <c r="B75" s="3352"/>
      <c r="C75" s="363"/>
      <c r="D75" s="809"/>
      <c r="E75" s="3989"/>
      <c r="F75" s="3990"/>
      <c r="G75" s="3989"/>
      <c r="H75" s="1899">
        <f t="shared" si="2"/>
        <v>0</v>
      </c>
      <c r="I75" s="3989"/>
      <c r="J75" s="3991">
        <f t="shared" si="3"/>
        <v>0</v>
      </c>
      <c r="K75" s="3985" t="str">
        <f t="shared" si="6"/>
        <v/>
      </c>
      <c r="M75" s="3123">
        <f t="shared" si="4"/>
        <v>0</v>
      </c>
      <c r="N75" s="3123">
        <f t="shared" si="7"/>
        <v>0</v>
      </c>
    </row>
    <row r="76" spans="1:18" x14ac:dyDescent="0.2">
      <c r="A76" s="3748">
        <v>68</v>
      </c>
      <c r="B76" s="3352"/>
      <c r="C76" s="363"/>
      <c r="D76" s="809"/>
      <c r="E76" s="3989"/>
      <c r="F76" s="3990"/>
      <c r="G76" s="3989"/>
      <c r="H76" s="1899">
        <f t="shared" si="2"/>
        <v>0</v>
      </c>
      <c r="I76" s="3989"/>
      <c r="J76" s="3991">
        <f t="shared" si="3"/>
        <v>0</v>
      </c>
      <c r="K76" s="3985" t="str">
        <f t="shared" si="6"/>
        <v/>
      </c>
      <c r="M76" s="3123">
        <f t="shared" si="4"/>
        <v>0</v>
      </c>
      <c r="N76" s="3123">
        <f t="shared" si="7"/>
        <v>0</v>
      </c>
    </row>
    <row r="77" spans="1:18" x14ac:dyDescent="0.2">
      <c r="A77" s="3748">
        <v>69</v>
      </c>
      <c r="B77" s="3352"/>
      <c r="C77" s="363"/>
      <c r="D77" s="809"/>
      <c r="E77" s="3989"/>
      <c r="F77" s="3990"/>
      <c r="G77" s="3989"/>
      <c r="H77" s="1899">
        <f t="shared" si="2"/>
        <v>0</v>
      </c>
      <c r="I77" s="3989"/>
      <c r="J77" s="3991">
        <f t="shared" si="3"/>
        <v>0</v>
      </c>
      <c r="K77" s="3985" t="str">
        <f t="shared" si="6"/>
        <v/>
      </c>
      <c r="M77" s="3123">
        <f t="shared" si="4"/>
        <v>0</v>
      </c>
      <c r="N77" s="3123">
        <f t="shared" si="7"/>
        <v>0</v>
      </c>
    </row>
    <row r="78" spans="1:18" x14ac:dyDescent="0.2">
      <c r="A78" s="3748">
        <v>70</v>
      </c>
      <c r="B78" s="3352"/>
      <c r="C78" s="363"/>
      <c r="D78" s="809"/>
      <c r="E78" s="3989"/>
      <c r="F78" s="3990"/>
      <c r="G78" s="3989"/>
      <c r="H78" s="1899">
        <f t="shared" si="2"/>
        <v>0</v>
      </c>
      <c r="I78" s="3989"/>
      <c r="J78" s="3991">
        <f t="shared" si="3"/>
        <v>0</v>
      </c>
      <c r="K78" s="3985" t="str">
        <f t="shared" si="6"/>
        <v/>
      </c>
      <c r="M78" s="3123">
        <f t="shared" si="4"/>
        <v>0</v>
      </c>
      <c r="N78" s="3123">
        <f t="shared" si="7"/>
        <v>0</v>
      </c>
    </row>
    <row r="79" spans="1:18" x14ac:dyDescent="0.2">
      <c r="A79" s="3315"/>
      <c r="B79" s="2239" t="s">
        <v>9115</v>
      </c>
      <c r="C79" s="2238"/>
      <c r="D79" s="2238"/>
      <c r="E79" s="1898">
        <f>SUM(E9:E78)</f>
      </c>
      <c r="F79" s="3315"/>
      <c r="G79" s="3315"/>
      <c r="H79" s="3315"/>
      <c r="I79" s="3315"/>
      <c r="J79" s="3315"/>
      <c r="K79" s="3315"/>
    </row>
    <row r="80" spans="1:18" x14ac:dyDescent="0.2">
      <c r="A80" s="3315"/>
      <c r="B80" s="1942" t="s">
        <v>7159</v>
      </c>
      <c r="C80" s="2238"/>
      <c r="D80" s="1942"/>
      <c r="E80" s="1942"/>
      <c r="F80" s="1942"/>
      <c r="G80" s="1898">
        <f>SUM(G9:G78)</f>
      </c>
      <c r="H80" s="3315"/>
      <c r="I80" s="3315"/>
      <c r="J80" s="3315"/>
      <c r="K80" s="3315"/>
      <c r="P80" s="3123"/>
      <c r="Q80" s="3338">
        <f>MIN(Q82,R81)</f>
      </c>
      <c r="R80" s="3123"/>
    </row>
    <row r="81" spans="1:18" x14ac:dyDescent="0.2">
      <c r="A81" s="3315"/>
      <c r="B81" s="2239" t="s">
        <v>7332</v>
      </c>
      <c r="C81" s="2238"/>
      <c r="D81" s="2238"/>
      <c r="E81" s="2238"/>
      <c r="F81" s="2238"/>
      <c r="G81" s="2238"/>
      <c r="H81" s="1898">
        <f>SUM(H9:H78)</f>
      </c>
      <c r="I81" s="3315"/>
      <c r="J81" s="3315"/>
      <c r="K81" s="3315"/>
      <c r="P81" s="3338">
        <v>44562</v>
      </c>
      <c r="Q81" s="3272">
        <v>45291</v>
      </c>
      <c r="R81" s="3272">
        <f>DATE(ya,12,31)</f>
      </c>
    </row>
    <row r="82" spans="1:18" x14ac:dyDescent="0.2">
      <c r="A82" s="3315"/>
      <c r="B82" s="2239" t="s">
        <v>7157</v>
      </c>
      <c r="C82" s="2238"/>
      <c r="D82" s="2238"/>
      <c r="E82" s="2238"/>
      <c r="F82" s="2239"/>
      <c r="G82" s="2239"/>
      <c r="H82" s="3604" t="s">
        <v>951</v>
      </c>
      <c r="I82" s="1898">
        <f>SUM(I9:I78)</f>
      </c>
      <c r="J82" s="3315"/>
      <c r="K82" s="3315"/>
      <c r="P82" s="1871" t="s">
        <v>10471</v>
      </c>
      <c r="Q82" s="2774">
        <v>45657</v>
      </c>
    </row>
    <row r="83" spans="1:18" x14ac:dyDescent="0.2">
      <c r="A83" s="3315"/>
      <c r="B83" s="2237" t="s">
        <v>7074</v>
      </c>
      <c r="C83" s="2238"/>
      <c r="D83" s="2237"/>
      <c r="E83" s="2237"/>
      <c r="F83" s="2237"/>
      <c r="G83" s="2237"/>
      <c r="H83" s="2237"/>
      <c r="I83" s="3315"/>
      <c r="J83" s="1898">
        <f>IF(SUM(J9:J78)&lt;0,0,SUM(J9:J78))</f>
      </c>
      <c r="K83" s="3315"/>
    </row>
    <row r="84" spans="1:18" x14ac:dyDescent="0.2">
      <c r="A84" s="3315"/>
      <c r="B84" s="3315"/>
      <c r="C84" s="3315"/>
      <c r="D84" s="3315"/>
      <c r="E84" s="3315"/>
      <c r="F84" s="3315"/>
      <c r="G84" s="3315"/>
      <c r="H84" s="3315"/>
      <c r="I84" s="3315"/>
      <c r="J84" s="3315"/>
      <c r="K84" s="3315"/>
      <c r="O84" s="5468" t="s">
        <v>7073</v>
      </c>
      <c r="P84" s="5468"/>
      <c r="Q84" s="5468"/>
    </row>
    <row r="85" spans="1:18" x14ac:dyDescent="0.2">
      <c r="A85" s="3315"/>
      <c r="B85" s="3992" t="s">
        <v>10476</v>
      </c>
      <c r="C85" s="3993"/>
      <c r="D85" s="3993"/>
      <c r="E85" s="3993"/>
      <c r="F85" s="3993"/>
      <c r="G85" s="3993"/>
      <c r="H85" s="3993"/>
      <c r="I85" s="3997" t="s">
        <v>951</v>
      </c>
      <c r="J85" s="737"/>
      <c r="K85" s="3985" t="str">
        <f>IF(N4=0,"",IF(AND(I82=0,J85=""),re,IF(AND(I82=0,J85&gt;0),"No tax credit claimed for the year!",IF(AND(I82&gt;0,J85=0),"Amount relieved by tax credit required!",IF(J85&lt;0,"Cannot be negative!",IF(OR(J85&gt;O85+1,J85&lt;P85-1),Q85,""))))))</f>
        <v/>
      </c>
      <c r="M85" s="3123">
        <f>IF(K85="",0,1)</f>
      </c>
      <c r="N85" s="3123">
        <f>COUNT(J85)</f>
      </c>
      <c r="O85" s="3994">
        <f>ROUND(I82/5%,0)</f>
      </c>
      <c r="P85" s="3995">
        <f>ROUND(I82/0.35,0)</f>
      </c>
      <c r="Q85" s="3996" t="s">
        <v>4787</v>
      </c>
    </row>
    <row r="86" spans="1:18" x14ac:dyDescent="0.2">
      <c r="A86" s="3315"/>
      <c r="B86" s="3315"/>
      <c r="C86" s="3315"/>
      <c r="D86" s="3315"/>
      <c r="E86" s="3315"/>
      <c r="F86" s="3315"/>
      <c r="G86" s="3315"/>
      <c r="H86" s="3315"/>
      <c r="I86" s="3315"/>
      <c r="J86" s="3315"/>
      <c r="K86" s="3315"/>
    </row>
    <row r="87" spans="1:18" x14ac:dyDescent="0.2">
      <c r="A87" s="3315"/>
      <c r="B87" s="3315" t="s">
        <v>9116</v>
      </c>
      <c r="C87" s="3315"/>
      <c r="D87" s="3315"/>
      <c r="E87" s="3315"/>
      <c r="F87" s="3315"/>
      <c r="G87" s="3315"/>
      <c r="H87" s="3315"/>
      <c r="I87" s="3315"/>
      <c r="J87" s="3352"/>
      <c r="K87" s="3985" t="str">
        <f>IF(I82=0,"",IF(J87="",re,IF(AND(J87="no",I82&gt;0),"No benefit!","")))</f>
        <v/>
      </c>
      <c r="M87" s="3123">
        <f>IF(K87="",0,1)</f>
      </c>
      <c r="N87" s="3123">
        <f>IF(J87&lt;&gt;"",1,0)</f>
      </c>
    </row>
    <row r="88" spans="1:18" x14ac:dyDescent="0.2">
      <c r="A88" s="3315"/>
      <c r="B88" s="3315"/>
      <c r="C88" s="3315"/>
      <c r="D88" s="3315"/>
      <c r="E88" s="3315"/>
      <c r="F88" s="3315"/>
      <c r="G88" s="3315"/>
      <c r="H88" s="3315"/>
      <c r="I88" s="3315"/>
      <c r="J88" s="3315"/>
      <c r="K88" s="3315"/>
    </row>
    <row r="89" spans="1:18" x14ac:dyDescent="0.2">
      <c r="A89" s="3315"/>
      <c r="B89" s="3315"/>
      <c r="C89" s="3315"/>
      <c r="D89" s="3315"/>
      <c r="E89" s="3315"/>
      <c r="F89" s="3355"/>
      <c r="G89" s="3356" t="s">
        <v>4456</v>
      </c>
      <c r="H89" s="3356"/>
      <c r="I89" s="3352"/>
      <c r="J89" s="3351" t="str">
        <f>IF(N4=0,"",IF(I89="",re,""))</f>
        <v/>
      </c>
      <c r="K89" s="3315"/>
      <c r="M89" s="3123">
        <f>IF(J89="",0,1)</f>
      </c>
    </row>
    <row r="90" spans="1:18" x14ac:dyDescent="0.2">
      <c r="A90" s="3315"/>
      <c r="B90" s="3315"/>
      <c r="C90" s="3315"/>
      <c r="D90" s="3315"/>
      <c r="E90" s="3315"/>
      <c r="F90" s="3315"/>
      <c r="G90" s="3315"/>
      <c r="H90" s="3315"/>
      <c r="I90" s="3315"/>
      <c r="J90" s="3315"/>
      <c r="K90" s="3315"/>
    </row>
    <row r="91" spans="1:18" x14ac:dyDescent="0.2">
      <c r="A91" s="3315"/>
      <c r="B91" s="3315" t="s">
        <v>10574</v>
      </c>
      <c r="C91" s="3315"/>
      <c r="D91" s="3315"/>
      <c r="E91" s="3315"/>
      <c r="F91" s="3315" t="str">
        <f>ver</f>
        <v>TA2_e-CO_2025_Ver 1.1</v>
      </c>
      <c r="G91" s="3315"/>
      <c r="H91" s="3315"/>
      <c r="I91" s="3315"/>
      <c r="J91" s="3319" t="s">
        <v>10481</v>
      </c>
      <c r="K91" s="3315"/>
      <c r="M91" s="3809">
        <f>IF(N4=0,0,IF(M4&gt;0,100,IF(I89="no",100,1)))</f>
      </c>
    </row>
    <row r="92" spans="1:18" x14ac:dyDescent="0.2"/>
    <row r="93" spans="1:18" x14ac:dyDescent="0.2">
      <c r="B93" s="3922" t="s">
        <v>1700</v>
      </c>
    </row>
    <row r="94" spans="1:18" x14ac:dyDescent="0.2"/>
  </sheetData>
  <sheetProtection algorithmName="SHA-512" hashValue="4F2JMZjNUhcBso0GsZZgXNEhWSWhne3qZvIkc6CsnYOtQDZAtIBYYyPqDx5G5mzb9qijNV2FCxaAiGdy5/MYxQ==" saltValue="OTp/JzMj/tKn3CoznsqpDg==" spinCount="100000" sheet="1" objects="1" scenarios="1"/>
  <mergeCells count="1">
    <mergeCell ref="O84:Q84"/>
  </mergeCells>
  <conditionalFormatting sqref="J85">
    <cfRule type="expression" dxfId="91" priority="1" stopIfTrue="1">
      <formula>#REF!=nob</formula>
    </cfRule>
  </conditionalFormatting>
  <dataValidations count="11">
    <dataValidation type="whole" operator="greaterThan" allowBlank="1" showInputMessage="1" showErrorMessage="1" errorTitle="Approved tax credit" error="Input a whole number greater than 0!" sqref="E9:E78" xr:uid="{B2C9C3D3-789D-4E6A-8CD9-7D1ECB4BF13D}">
      <formula1>0</formula1>
    </dataValidation>
    <dataValidation type="list" operator="greaterThanOrEqual" allowBlank="1" showInputMessage="1" showErrorMessage="1" errorTitle="Certificate number" error="Please enter the correct reference!" sqref="G6" xr:uid="{AC96450F-8600-495D-A82B-D1EEBC0374EB}">
      <formula1>$A$8:$A$78</formula1>
    </dataValidation>
    <dataValidation type="date" allowBlank="1" showInputMessage="1" showErrorMessage="1" errorTitle="Date" error="Enter correct date!" sqref="D9:D78" xr:uid="{FF20DC31-3778-4555-8809-DE5C3D134AD6}">
      <formula1>$P$81</formula1>
      <formula2>$Q$80</formula2>
    </dataValidation>
    <dataValidation type="list" showInputMessage="1" showErrorMessage="1" sqref="I89" xr:uid="{ADC76F8B-974A-4293-9D78-6C5950CD9920}">
      <formula1>$T$1:$T$3</formula1>
    </dataValidation>
    <dataValidation type="whole" allowBlank="1" showInputMessage="1" showErrorMessage="1" errorTitle="Tax credit first utilised" error="Please enter correct year of assessment!" sqref="F9:F78" xr:uid="{A9A36ED9-A8E5-4CA2-903C-E91932C08AC4}">
      <formula1>$R$4</formula1>
      <formula2>$R$5</formula2>
    </dataValidation>
    <dataValidation type="list" allowBlank="1" showInputMessage="1" showErrorMessage="1" sqref="B9:B78" xr:uid="{89BA7432-A11F-4A8E-B730-D0F46BD341A8}">
      <formula1>FU</formula1>
    </dataValidation>
    <dataValidation type="whole" allowBlank="1" showInputMessage="1" showErrorMessage="1" errorTitle="Income relieved by tax credit" error="Are you sure the amount entered is correct?" sqref="J85" xr:uid="{868EECD6-05C6-4CD9-A305-C5A3C9956054}">
      <formula1>S85-1</formula1>
      <formula2>R85+1</formula2>
    </dataValidation>
    <dataValidation type="list" showInputMessage="1" showErrorMessage="1" sqref="J87" xr:uid="{650E074C-192C-468B-836D-0AD6052A4069}">
      <formula1>yn</formula1>
    </dataValidation>
    <dataValidation type="textLength" operator="greaterThanOrEqual" allowBlank="1" showInputMessage="1" showErrorMessage="1" errorTitle="Certificate No:" error="Please enter correct certificate number!" sqref="C9:C78" xr:uid="{E9E83AEC-45D5-4875-947A-084AF4076EB4}">
      <formula1>6</formula1>
    </dataValidation>
    <dataValidation type="whole" operator="greaterThanOrEqual" allowBlank="1" showInputMessage="1" showErrorMessage="1" errorTitle="Tax credits utilised " error="Enter a whole figure greater than 0!" sqref="G9:G78 I9:I78" xr:uid="{396DFAFA-45AC-48EB-AB1F-7005CA2D7C8B}">
      <formula1>0</formula1>
    </dataValidation>
    <dataValidation operator="greaterThanOrEqual" allowBlank="1" showInputMessage="1" showErrorMessage="1" errorTitle="Tax credits utilised " error="Enter a whole figure greater than 0!" sqref="H9:H78" xr:uid="{096D6D42-BBEC-4D6B-9268-C58808E3F797}"/>
  </dataValidations>
  <hyperlinks>
    <hyperlink ref="I85" location="'TRA35'!A1" display="TRA 35" xr:uid="{588A75C8-8F2C-4299-9803-69833D8EF6DC}"/>
    <hyperlink ref="H82" location="'TRA35'!A1" display="TRA 35" xr:uid="{6EDA382A-18D8-453C-B645-9B9F01924BAD}"/>
    <hyperlink ref="B93" location="Index!A1" display="BACK TO INDEX" xr:uid="{925474F3-2756-4F57-9D5A-8A525F0D6C08}"/>
  </hyperlinks>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95B-D2E1-41B8-B6FA-77D04C9F9534}">
  <sheetPr codeName="Sheet128"/>
  <dimension ref="A1:U45"/>
  <sheetViews>
    <sheetView showGridLines="0" topLeftCell="A18" workbookViewId="0">
      <selection sqref="A1:H1"/>
    </sheetView>
  </sheetViews>
  <sheetFormatPr defaultColWidth="0" defaultRowHeight="12.75" zeroHeight="1" x14ac:dyDescent="0.2"/>
  <cols>
    <col min="1" max="2" width="9.28515625" style="1485" customWidth="1"/>
    <col min="3" max="3" width="57.7109375" style="1485" customWidth="1"/>
    <col min="4" max="4" width="6.7109375" style="1485" customWidth="1"/>
    <col min="5" max="5" width="6.28515625" style="1485" customWidth="1"/>
    <col min="6" max="6" width="5.28515625" style="1485" customWidth="1"/>
    <col min="7" max="7" width="14" style="1485" customWidth="1"/>
    <col min="8" max="9" width="12.5703125" style="1485" customWidth="1"/>
    <col min="10" max="10" width="9.28515625" style="1485" customWidth="1"/>
    <col min="11" max="13" width="9.28515625" style="1485" hidden="1" customWidth="1"/>
    <col min="14" max="14" width="10" style="1485" hidden="1" customWidth="1"/>
    <col min="15" max="21" width="0" style="1485" hidden="1" customWidth="1"/>
    <col min="22" max="16384" width="9.28515625" style="1485" hidden="1"/>
  </cols>
  <sheetData>
    <row r="1" spans="1:20" s="3123" customFormat="1" ht="13.5" customHeight="1" x14ac:dyDescent="0.2">
      <c r="A1" s="5371" t="str">
        <f>_ref1</f>
      </c>
      <c r="B1" s="5371"/>
      <c r="C1" s="5371"/>
      <c r="D1" s="5371"/>
      <c r="E1" s="5371"/>
      <c r="F1" s="5371"/>
      <c r="G1" s="5371"/>
      <c r="H1" s="5371"/>
      <c r="I1" s="3313" t="str">
        <f>_YA1</f>
      </c>
      <c r="J1" s="3313"/>
      <c r="L1" s="3123">
        <f>ya</f>
      </c>
      <c r="N1" s="3123">
        <v>991188224</v>
      </c>
      <c r="P1" s="3265"/>
    </row>
    <row r="2" spans="1:20" s="3123" customFormat="1" x14ac:dyDescent="0.2">
      <c r="A2" s="3315"/>
      <c r="B2" s="3315"/>
      <c r="C2" s="3315"/>
      <c r="D2" s="3315"/>
      <c r="E2" s="3315"/>
      <c r="F2" s="3315"/>
      <c r="G2" s="3315"/>
      <c r="H2" s="3315"/>
      <c r="I2" s="3315"/>
      <c r="J2" s="3315"/>
      <c r="R2" s="3265"/>
      <c r="S2" s="4000"/>
    </row>
    <row r="3" spans="1:20" s="3123" customFormat="1" ht="14.25" x14ac:dyDescent="0.2">
      <c r="A3" s="3315"/>
      <c r="B3" s="4001" t="s">
        <v>10482</v>
      </c>
      <c r="C3" s="3746"/>
      <c r="D3" s="3267"/>
      <c r="E3" s="3267"/>
      <c r="F3" s="3267"/>
      <c r="G3" s="3267"/>
      <c r="H3" s="3267"/>
      <c r="I3" s="3268"/>
      <c r="J3" s="3315"/>
      <c r="P3" s="3123" t="s">
        <v>4457</v>
      </c>
    </row>
    <row r="4" spans="1:20" s="3123" customFormat="1" ht="14.25" x14ac:dyDescent="0.2">
      <c r="A4" s="3315"/>
      <c r="B4" s="4002" t="s">
        <v>10483</v>
      </c>
      <c r="C4" s="3747"/>
      <c r="D4" s="3270"/>
      <c r="E4" s="3270"/>
      <c r="F4" s="3270"/>
      <c r="G4" s="3270"/>
      <c r="H4" s="3270"/>
      <c r="I4" s="3271"/>
      <c r="J4" s="3315"/>
      <c r="L4" s="3123">
        <f>SUM(L8:L38)</f>
      </c>
      <c r="M4" s="3123">
        <f>SUM(M8:M38)</f>
      </c>
      <c r="P4" s="3123" t="s">
        <v>1736</v>
      </c>
    </row>
    <row r="5" spans="1:20" s="3123" customFormat="1" x14ac:dyDescent="0.2">
      <c r="A5" s="3315"/>
      <c r="B5" s="3315"/>
      <c r="C5" s="3315"/>
      <c r="D5" s="3315"/>
      <c r="E5" s="3315"/>
      <c r="F5" s="3315"/>
      <c r="G5" s="3315"/>
      <c r="H5" s="3315"/>
      <c r="I5" s="3315"/>
      <c r="J5" s="3315"/>
    </row>
    <row r="6" spans="1:20" s="3123" customFormat="1" x14ac:dyDescent="0.2">
      <c r="A6" s="3315"/>
      <c r="B6" s="5474" t="str">
        <f>IF(reg&lt;&gt;N1,"The company is not entitled to claim this credit.  Do not compile this Tax Return Attachment","")</f>
      </c>
      <c r="C6" s="5474"/>
      <c r="D6" s="5474"/>
      <c r="E6" s="5474"/>
      <c r="F6" s="5474"/>
      <c r="G6" s="5474"/>
      <c r="H6" s="5474"/>
      <c r="I6" s="5474"/>
      <c r="J6" s="3315"/>
    </row>
    <row r="7" spans="1:20" s="3123" customFormat="1" x14ac:dyDescent="0.2">
      <c r="A7" s="3315"/>
      <c r="B7" s="3315"/>
      <c r="C7" s="3315"/>
      <c r="D7" s="3324"/>
      <c r="E7" s="3319"/>
      <c r="F7" s="3320"/>
      <c r="G7" s="3320"/>
      <c r="H7" s="3323"/>
      <c r="I7" s="3315"/>
      <c r="J7" s="3315"/>
      <c r="L7" s="3123" t="s">
        <v>7439</v>
      </c>
      <c r="M7" s="3123" t="s">
        <v>10484</v>
      </c>
    </row>
    <row r="8" spans="1:20" s="3123" customFormat="1" x14ac:dyDescent="0.2">
      <c r="A8" s="3315"/>
      <c r="B8" s="3315"/>
      <c r="C8" s="4003" t="s">
        <v>10485</v>
      </c>
      <c r="D8" s="3314"/>
      <c r="E8" s="3315"/>
      <c r="F8" s="3314"/>
      <c r="G8" s="4004"/>
      <c r="H8" s="3344" t="str">
        <f>IF(AND(L1&gt;2023,G8&lt;&gt;""),"Not applicable in current Y/A!",IF(AND(N1&lt;&gt;reg,G8&lt;&gt;""),"No entitlement to claim credit!",""))</f>
        <v/>
      </c>
      <c r="I8" s="3315"/>
      <c r="J8" s="3323"/>
      <c r="L8" s="3123">
        <f>IF(H8="",0,1)</f>
      </c>
      <c r="M8" s="3123">
        <f>IF(G8&lt;&gt;"",1,0)</f>
      </c>
      <c r="N8" s="3280"/>
      <c r="O8" s="3328"/>
    </row>
    <row r="9" spans="1:20" s="3123" customFormat="1" ht="6.75" customHeight="1" x14ac:dyDescent="0.2">
      <c r="A9" s="3315"/>
      <c r="B9" s="3342"/>
      <c r="C9" s="4003"/>
      <c r="D9" s="3342"/>
      <c r="E9" s="3315"/>
      <c r="F9" s="3314"/>
      <c r="G9" s="3339"/>
      <c r="H9" s="3315"/>
      <c r="I9" s="3315"/>
      <c r="J9" s="3315"/>
      <c r="P9" s="3265"/>
      <c r="Q9" s="3300"/>
      <c r="T9" s="3272"/>
    </row>
    <row r="10" spans="1:20" s="3123" customFormat="1" x14ac:dyDescent="0.2">
      <c r="A10" s="3315"/>
      <c r="B10" s="3748">
        <v>1</v>
      </c>
      <c r="C10" s="4003" t="s">
        <v>10486</v>
      </c>
      <c r="D10" s="3314"/>
      <c r="E10" s="3315"/>
      <c r="F10" s="3314"/>
      <c r="G10" s="4005"/>
      <c r="H10" s="3344" t="str">
        <f>IF(AND($L$1=2023,$M$8=1,G10=""),reo,"")</f>
        <v/>
      </c>
      <c r="I10" s="3315"/>
      <c r="J10" s="3323"/>
      <c r="L10" s="3123">
        <f>IF(H10="",0,1)</f>
      </c>
      <c r="M10" s="3123">
        <f>IF(G10&lt;&gt;"",1,0)</f>
      </c>
    </row>
    <row r="11" spans="1:20" s="3123" customFormat="1" ht="6.75" customHeight="1" x14ac:dyDescent="0.2">
      <c r="A11" s="3315"/>
      <c r="B11" s="3342"/>
      <c r="C11" s="3342"/>
      <c r="D11" s="3342"/>
      <c r="E11" s="3315"/>
      <c r="F11" s="3314"/>
      <c r="G11" s="3339"/>
      <c r="H11" s="3315"/>
      <c r="I11" s="3315"/>
      <c r="J11" s="3315"/>
      <c r="P11" s="3265"/>
      <c r="Q11" s="3300"/>
      <c r="T11" s="3272"/>
    </row>
    <row r="12" spans="1:20" s="3123" customFormat="1" x14ac:dyDescent="0.2">
      <c r="A12" s="3315"/>
      <c r="B12" s="3748">
        <v>2</v>
      </c>
      <c r="C12" s="4003" t="s">
        <v>10487</v>
      </c>
      <c r="D12" s="3314"/>
      <c r="E12" s="3315"/>
      <c r="F12" s="3314"/>
      <c r="G12" s="4005"/>
      <c r="H12" s="3344" t="str">
        <f>IF(AND($L$1=2023,$M$8=1,G12=""),reo,"")</f>
        <v/>
      </c>
      <c r="I12" s="3315"/>
      <c r="J12" s="3323"/>
      <c r="L12" s="3123">
        <f>IF(H12="",0,1)</f>
      </c>
      <c r="M12" s="3123">
        <f>IF(G12&lt;&gt;"",1,0)</f>
      </c>
      <c r="Q12" s="3300"/>
    </row>
    <row r="13" spans="1:20" s="3123" customFormat="1" ht="6.75" customHeight="1" x14ac:dyDescent="0.2">
      <c r="A13" s="3315"/>
      <c r="B13" s="3342"/>
      <c r="C13" s="4003"/>
      <c r="D13" s="3342"/>
      <c r="E13" s="3315"/>
      <c r="F13" s="3314"/>
      <c r="G13" s="3339"/>
      <c r="H13" s="3315"/>
      <c r="I13" s="3315"/>
      <c r="J13" s="3315"/>
      <c r="P13" s="3265"/>
      <c r="Q13" s="3300"/>
      <c r="T13" s="3272"/>
    </row>
    <row r="14" spans="1:20" s="3123" customFormat="1" x14ac:dyDescent="0.2">
      <c r="A14" s="3315"/>
      <c r="B14" s="3748">
        <v>3</v>
      </c>
      <c r="C14" s="4003" t="s">
        <v>10488</v>
      </c>
      <c r="D14" s="3314"/>
      <c r="E14" s="3315"/>
      <c r="F14" s="3314"/>
      <c r="G14" s="4005"/>
      <c r="H14" s="3344" t="str">
        <f>IF(AND($L$1=2023,$M$8=1,G14=""),reo,"")</f>
        <v/>
      </c>
      <c r="I14" s="3315"/>
      <c r="J14" s="3323"/>
      <c r="L14" s="3123">
        <f>IF(H14="",0,1)</f>
      </c>
      <c r="M14" s="3123">
        <f>IF(G14&lt;&gt;"",1,0)</f>
      </c>
      <c r="Q14" s="3301"/>
      <c r="T14" s="3300"/>
    </row>
    <row r="15" spans="1:20" s="3123" customFormat="1" ht="6.75" customHeight="1" x14ac:dyDescent="0.2">
      <c r="A15" s="3315"/>
      <c r="B15" s="3342"/>
      <c r="C15" s="3342"/>
      <c r="D15" s="3342"/>
      <c r="E15" s="3315"/>
      <c r="F15" s="3314"/>
      <c r="G15" s="3339"/>
      <c r="H15" s="3315"/>
      <c r="I15" s="3315"/>
      <c r="J15" s="3315"/>
      <c r="P15" s="3265"/>
      <c r="Q15" s="3300"/>
      <c r="T15" s="3272"/>
    </row>
    <row r="16" spans="1:20" s="3123" customFormat="1" x14ac:dyDescent="0.2">
      <c r="A16" s="3315"/>
      <c r="B16" s="3748">
        <v>4</v>
      </c>
      <c r="C16" s="4003" t="s">
        <v>10489</v>
      </c>
      <c r="D16" s="3314"/>
      <c r="E16" s="3315"/>
      <c r="F16" s="3314"/>
      <c r="G16" s="4006">
        <f>SUM(G14+G12+G10+G8)</f>
      </c>
      <c r="H16" s="3335" t="s">
        <v>1020</v>
      </c>
      <c r="I16" s="3315"/>
      <c r="J16" s="3323"/>
    </row>
    <row r="17" spans="1:21" s="3123" customFormat="1" ht="6.75" customHeight="1" x14ac:dyDescent="0.2">
      <c r="A17" s="3315"/>
      <c r="B17" s="3342">
        <v>5</v>
      </c>
      <c r="C17" s="4003"/>
      <c r="D17" s="3342"/>
      <c r="E17" s="3315"/>
      <c r="F17" s="3314"/>
      <c r="G17" s="3339"/>
      <c r="H17" s="3315" t="s">
        <v>1020</v>
      </c>
      <c r="I17" s="3315"/>
      <c r="J17" s="3315"/>
      <c r="P17" s="3265"/>
      <c r="Q17" s="3300"/>
      <c r="T17" s="3272"/>
    </row>
    <row r="18" spans="1:21" s="3123" customFormat="1" x14ac:dyDescent="0.2">
      <c r="A18" s="3315"/>
      <c r="B18" s="3748">
        <v>6</v>
      </c>
      <c r="C18" s="4003" t="s">
        <v>10490</v>
      </c>
      <c r="D18" s="3314"/>
      <c r="E18" s="3315"/>
      <c r="F18" s="3314"/>
      <c r="G18" s="4007">
        <f>IF(G16&lt;0,0,IF(AND(G16&gt;12000000),12000000,G16))</f>
      </c>
      <c r="H18" s="3335" t="s">
        <v>1020</v>
      </c>
      <c r="I18" s="3315"/>
      <c r="J18" s="3323"/>
    </row>
    <row r="19" spans="1:21" s="3123" customFormat="1" ht="15" customHeight="1" x14ac:dyDescent="0.2">
      <c r="A19" s="3315"/>
      <c r="B19" s="3319"/>
      <c r="C19" s="4003"/>
      <c r="D19" s="3319"/>
      <c r="E19" s="3319"/>
      <c r="F19" s="3319"/>
      <c r="G19" s="3319"/>
      <c r="H19" s="3323"/>
      <c r="I19" s="3315"/>
      <c r="J19" s="3315"/>
    </row>
    <row r="20" spans="1:21" s="3123" customFormat="1" x14ac:dyDescent="0.2">
      <c r="A20" s="3315"/>
      <c r="B20" s="5370" t="s">
        <v>4996</v>
      </c>
      <c r="C20" s="5370"/>
      <c r="D20" s="5370"/>
      <c r="E20" s="5370"/>
      <c r="F20" s="5370"/>
      <c r="G20" s="5370"/>
      <c r="H20" s="5370"/>
      <c r="I20" s="5370"/>
      <c r="J20" s="3315"/>
    </row>
    <row r="21" spans="1:21" s="3123" customFormat="1" x14ac:dyDescent="0.2">
      <c r="A21" s="3315"/>
      <c r="B21" s="3339"/>
      <c r="C21" s="3339"/>
      <c r="D21" s="3339"/>
      <c r="E21" s="3339"/>
      <c r="F21" s="3339"/>
      <c r="G21" s="3339"/>
      <c r="H21" s="3340"/>
      <c r="I21" s="3315"/>
      <c r="J21" s="3315"/>
      <c r="T21" s="3272"/>
    </row>
    <row r="22" spans="1:21" s="3123" customFormat="1" x14ac:dyDescent="0.2">
      <c r="A22" s="3315"/>
      <c r="B22" s="3314"/>
      <c r="C22" s="3314"/>
      <c r="D22" s="3315"/>
      <c r="E22" s="3339"/>
      <c r="F22" s="3319" t="s">
        <v>6221</v>
      </c>
      <c r="G22" s="3339"/>
      <c r="H22" s="3341">
        <f>G18</f>
      </c>
      <c r="I22" s="3315"/>
      <c r="J22" s="3315"/>
      <c r="Q22" s="3300"/>
      <c r="T22" s="3272"/>
    </row>
    <row r="23" spans="1:21" s="3123" customFormat="1" ht="6.75" customHeight="1" x14ac:dyDescent="0.2">
      <c r="A23" s="3315"/>
      <c r="B23" s="3342"/>
      <c r="C23" s="3342"/>
      <c r="D23" s="3315"/>
      <c r="E23" s="3339"/>
      <c r="F23" s="3324"/>
      <c r="G23" s="3339"/>
      <c r="H23" s="3315"/>
      <c r="I23" s="3315"/>
      <c r="J23" s="3315"/>
      <c r="P23" s="3265"/>
      <c r="Q23" s="3300"/>
      <c r="T23" s="3272"/>
    </row>
    <row r="24" spans="1:21" s="3123" customFormat="1" x14ac:dyDescent="0.2">
      <c r="A24" s="3315"/>
      <c r="B24" s="3314"/>
      <c r="C24" s="3314"/>
      <c r="D24" s="3315"/>
      <c r="E24" s="3339"/>
      <c r="F24" s="3319" t="s">
        <v>6222</v>
      </c>
      <c r="G24" s="3339"/>
      <c r="H24" s="3343"/>
      <c r="I24" s="3344" t="str">
        <f>IF($M$4=0,"",IF(AND(L1=2023,H24&gt;0),"Delete!",IF(AND(L1&gt;2023,H24=0),reo,"")))</f>
        <v/>
      </c>
      <c r="J24" s="3315"/>
      <c r="L24" s="3123">
        <f>IF(I24="",0,1)</f>
      </c>
      <c r="M24" s="3123">
        <f>IF(H24&lt;&gt;"",1,0)</f>
      </c>
      <c r="Q24" s="4008"/>
      <c r="T24" s="3272"/>
    </row>
    <row r="25" spans="1:21" s="3123" customFormat="1" ht="6.75" customHeight="1" x14ac:dyDescent="0.2">
      <c r="A25" s="3315"/>
      <c r="B25" s="3342"/>
      <c r="C25" s="3342"/>
      <c r="D25" s="3315"/>
      <c r="E25" s="3339"/>
      <c r="F25" s="3324"/>
      <c r="G25" s="3339"/>
      <c r="H25" s="3315"/>
      <c r="I25" s="3315"/>
      <c r="J25" s="3315"/>
      <c r="P25" s="3265"/>
      <c r="Q25" s="3300"/>
      <c r="T25" s="3272"/>
    </row>
    <row r="26" spans="1:21" s="3123" customFormat="1" x14ac:dyDescent="0.2">
      <c r="A26" s="3315"/>
      <c r="B26" s="3314"/>
      <c r="C26" s="3314"/>
      <c r="D26" s="3315"/>
      <c r="E26" s="3339"/>
      <c r="F26" s="3319" t="s">
        <v>7456</v>
      </c>
      <c r="G26" s="3339"/>
      <c r="H26" s="3341">
        <f>IF(L1=2023,H22,IF(L1&gt;2023,SUM(H22+H24),0))</f>
      </c>
      <c r="I26" s="3315"/>
      <c r="J26" s="3315"/>
    </row>
    <row r="27" spans="1:21" s="3123" customFormat="1" ht="6.75" customHeight="1" x14ac:dyDescent="0.2">
      <c r="A27" s="3315"/>
      <c r="B27" s="3342"/>
      <c r="C27" s="3342"/>
      <c r="D27" s="3315"/>
      <c r="E27" s="3339"/>
      <c r="F27" s="3324"/>
      <c r="G27" s="3339"/>
      <c r="H27" s="3315"/>
      <c r="I27" s="3315"/>
      <c r="J27" s="3315"/>
      <c r="P27" s="3265"/>
      <c r="Q27" s="3300"/>
      <c r="T27" s="3272"/>
    </row>
    <row r="28" spans="1:21" s="3123" customFormat="1" x14ac:dyDescent="0.2">
      <c r="A28" s="3315"/>
      <c r="B28" s="3314"/>
      <c r="C28" s="3314"/>
      <c r="D28" s="3315"/>
      <c r="E28" s="3339"/>
      <c r="F28" s="3319" t="s">
        <v>6223</v>
      </c>
      <c r="G28" s="4012" t="s">
        <v>951</v>
      </c>
      <c r="H28" s="3343"/>
      <c r="I28" s="3344" t="str">
        <f>IF(M4=0,"",IF(AND(M4&gt;0,H28=""),reo,IF(H28&gt;H26,"Excessive","")))</f>
        <v/>
      </c>
      <c r="J28" s="3315"/>
      <c r="L28" s="3123">
        <f>IF(I28="",0,1)</f>
      </c>
      <c r="M28" s="3123">
        <f>IF(H28&lt;&gt;"",1,0)</f>
      </c>
      <c r="Q28" s="3300"/>
    </row>
    <row r="29" spans="1:21" s="3123" customFormat="1" ht="6.75" customHeight="1" x14ac:dyDescent="0.2">
      <c r="A29" s="3315"/>
      <c r="B29" s="3342"/>
      <c r="C29" s="3342"/>
      <c r="D29" s="3315"/>
      <c r="E29" s="3339"/>
      <c r="F29" s="3324"/>
      <c r="G29" s="3339"/>
      <c r="H29" s="3315"/>
      <c r="I29" s="3315"/>
      <c r="J29" s="3315"/>
      <c r="P29" s="3265"/>
      <c r="Q29" s="3300"/>
      <c r="T29" s="3272"/>
    </row>
    <row r="30" spans="1:21" s="3123" customFormat="1" x14ac:dyDescent="0.2">
      <c r="A30" s="3315"/>
      <c r="B30" s="3314"/>
      <c r="C30" s="3314"/>
      <c r="D30" s="3315"/>
      <c r="E30" s="3339"/>
      <c r="F30" s="3319" t="s">
        <v>3566</v>
      </c>
      <c r="G30" s="3339"/>
      <c r="H30" s="3341">
        <f>H26-H28</f>
      </c>
      <c r="I30" s="3315"/>
      <c r="J30" s="3315"/>
      <c r="O30" s="1857"/>
      <c r="P30" s="1857"/>
      <c r="Q30" s="4009"/>
      <c r="R30" s="1857"/>
      <c r="S30" s="1857"/>
      <c r="T30" s="1857"/>
      <c r="U30" s="1857"/>
    </row>
    <row r="31" spans="1:21" s="3123" customFormat="1" x14ac:dyDescent="0.2">
      <c r="A31" s="3315"/>
      <c r="B31" s="3315"/>
      <c r="C31" s="3315"/>
      <c r="D31" s="3315"/>
      <c r="E31" s="3315"/>
      <c r="F31" s="3315"/>
      <c r="G31" s="3315"/>
      <c r="H31" s="3315"/>
      <c r="I31" s="3315"/>
      <c r="J31" s="3315"/>
      <c r="O31" s="1857"/>
      <c r="P31" s="1857"/>
      <c r="Q31" s="1857"/>
      <c r="R31" s="1857"/>
      <c r="S31" s="1857"/>
      <c r="T31" s="1857"/>
      <c r="U31" s="1857"/>
    </row>
    <row r="32" spans="1:21" s="3123" customFormat="1" x14ac:dyDescent="0.2">
      <c r="A32" s="3315"/>
      <c r="B32" s="3315"/>
      <c r="C32" s="3315"/>
      <c r="D32" s="3315"/>
      <c r="E32" s="3315"/>
      <c r="F32" s="3320"/>
      <c r="G32" s="3345"/>
      <c r="H32" s="3315"/>
      <c r="I32" s="3315"/>
      <c r="J32" s="3315"/>
      <c r="O32" s="5468" t="s">
        <v>7073</v>
      </c>
      <c r="P32" s="5468"/>
      <c r="Q32" s="5468"/>
      <c r="R32" s="1857"/>
      <c r="S32" s="1857"/>
      <c r="T32" s="1857"/>
      <c r="U32" s="1857"/>
    </row>
    <row r="33" spans="1:21" s="3123" customFormat="1" x14ac:dyDescent="0.2">
      <c r="A33" s="3315"/>
      <c r="B33" s="3346" t="s">
        <v>5708</v>
      </c>
      <c r="C33" s="3347"/>
      <c r="D33" s="3347"/>
      <c r="E33" s="3347"/>
      <c r="F33" s="3347"/>
      <c r="G33" s="4011" t="s">
        <v>951</v>
      </c>
      <c r="H33" s="3753"/>
      <c r="I33" s="4010" t="str">
        <f>IF(M4=0,"",IF(AND(H28=0,H33=""),re,IF(AND(H28=0,H33&gt;0),"No tax credit claimed for the year!",IF(AND(H28&gt;0,H33=0),"Amount relieved by tax credit required!",IF(H33&lt;0,"Cannot be negative!",IF(OR(H33&gt;O33+1,H33&lt;P33-1),Q33,""))))))</f>
        <v/>
      </c>
      <c r="J33" s="3315"/>
      <c r="L33" s="3123">
        <f>IF(I33="",0,1)</f>
      </c>
      <c r="M33" s="3123">
        <f>IF(H33&lt;&gt;"",1,0)</f>
      </c>
      <c r="O33" s="3994">
        <f>ROUND(H28/5%,0)</f>
      </c>
      <c r="P33" s="3995">
        <f>ROUND(H28/0.35,0)</f>
      </c>
      <c r="Q33" s="3996" t="s">
        <v>4787</v>
      </c>
      <c r="R33" s="1857"/>
      <c r="S33" s="1857"/>
      <c r="T33" s="1857"/>
      <c r="U33" s="1857"/>
    </row>
    <row r="34" spans="1:21" s="2433" customFormat="1" ht="25.5" customHeight="1" x14ac:dyDescent="0.2">
      <c r="A34" s="2432"/>
      <c r="B34" s="5475" t="s">
        <v>10491</v>
      </c>
      <c r="C34" s="5475"/>
      <c r="D34" s="5475"/>
      <c r="E34" s="5475"/>
      <c r="F34" s="5475"/>
      <c r="G34" s="5475"/>
      <c r="H34" s="5475"/>
      <c r="I34" s="2421"/>
      <c r="J34" s="2432"/>
      <c r="O34" s="2449"/>
      <c r="P34" s="2449"/>
      <c r="Q34" s="2449"/>
      <c r="R34" s="1857"/>
      <c r="S34" s="1857"/>
      <c r="T34" s="1857"/>
      <c r="U34" s="2449"/>
    </row>
    <row r="35" spans="1:21" s="3123" customFormat="1" x14ac:dyDescent="0.2">
      <c r="A35" s="3315"/>
      <c r="B35" s="3315"/>
      <c r="C35" s="3315"/>
      <c r="D35" s="3315"/>
      <c r="E35" s="3315"/>
      <c r="F35" s="3315"/>
      <c r="G35" s="3349"/>
      <c r="H35" s="3349"/>
      <c r="I35" s="3323"/>
      <c r="J35" s="3315"/>
      <c r="O35" s="1857"/>
      <c r="P35" s="1857"/>
      <c r="Q35" s="2449"/>
      <c r="R35" s="1857"/>
      <c r="S35" s="1857"/>
      <c r="T35" s="1857"/>
      <c r="U35" s="2449"/>
    </row>
    <row r="36" spans="1:21" s="3123" customFormat="1" x14ac:dyDescent="0.2">
      <c r="A36" s="3315"/>
      <c r="B36" s="3315"/>
      <c r="C36" s="3342"/>
      <c r="D36" s="3315"/>
      <c r="E36" s="3315"/>
      <c r="F36" s="3319" t="s">
        <v>757</v>
      </c>
      <c r="G36" s="3315"/>
      <c r="H36" s="3352"/>
      <c r="I36" s="3682" t="str">
        <f>IF(H28=0,"",IF(H36="",re,IF(AND(H36="no",H28&gt;0),"No benefit!","")))</f>
        <v/>
      </c>
      <c r="J36" s="3353"/>
      <c r="L36" s="3123">
        <f>IF(I36="",0,1)</f>
      </c>
      <c r="M36" s="3123">
        <f>IF(H36&lt;&gt;"",1,0)</f>
      </c>
      <c r="O36" s="1857"/>
      <c r="P36" s="1857"/>
      <c r="Q36" s="2449"/>
      <c r="R36" s="2449"/>
      <c r="S36" s="2449"/>
      <c r="T36" s="2449"/>
      <c r="U36" s="2449"/>
    </row>
    <row r="37" spans="1:21" s="3123" customFormat="1" x14ac:dyDescent="0.2">
      <c r="A37" s="3315"/>
      <c r="B37" s="3315"/>
      <c r="C37" s="3315"/>
      <c r="D37" s="3315"/>
      <c r="E37" s="3315"/>
      <c r="F37" s="3315"/>
      <c r="G37" s="3351"/>
      <c r="H37" s="3354"/>
      <c r="I37" s="3315"/>
      <c r="J37" s="3315"/>
      <c r="O37" s="1857"/>
      <c r="P37" s="1857"/>
      <c r="Q37" s="2449"/>
      <c r="R37" s="2449"/>
      <c r="S37" s="2449"/>
      <c r="T37" s="2449"/>
      <c r="U37" s="2449"/>
    </row>
    <row r="38" spans="1:21" s="3123" customFormat="1" x14ac:dyDescent="0.2">
      <c r="A38" s="3315"/>
      <c r="B38" s="3315"/>
      <c r="C38" s="3315"/>
      <c r="D38" s="3355"/>
      <c r="E38" s="3355"/>
      <c r="F38" s="3356" t="s">
        <v>4456</v>
      </c>
      <c r="G38" s="3356"/>
      <c r="H38" s="3352"/>
      <c r="I38" s="3351" t="str">
        <f>IF(M4=0,"",IF(H38="",re,""))</f>
        <v/>
      </c>
      <c r="J38" s="3315"/>
      <c r="L38" s="3123">
        <f>IF(I38="",0,1)</f>
      </c>
      <c r="M38" s="3123">
        <f>IF(H38&lt;&gt;"",1,0)</f>
      </c>
      <c r="O38" s="1857"/>
      <c r="P38" s="1857"/>
      <c r="Q38" s="1857"/>
      <c r="R38" s="1857"/>
      <c r="S38" s="1857"/>
      <c r="T38" s="1857"/>
      <c r="U38" s="1857"/>
    </row>
    <row r="39" spans="1:21" s="3123" customFormat="1" x14ac:dyDescent="0.2">
      <c r="A39" s="3315"/>
      <c r="B39" s="3315"/>
      <c r="C39" s="3315"/>
      <c r="D39" s="3315"/>
      <c r="E39" s="3315"/>
      <c r="F39" s="3315"/>
      <c r="G39" s="3345"/>
      <c r="H39" s="3315"/>
      <c r="I39" s="3315"/>
      <c r="J39" s="3315"/>
    </row>
    <row r="40" spans="1:21" s="3123" customFormat="1" x14ac:dyDescent="0.2">
      <c r="A40" s="3315"/>
      <c r="B40" s="3315"/>
      <c r="C40" s="3315"/>
      <c r="D40" s="3315"/>
      <c r="E40" s="3315"/>
      <c r="F40" s="3315"/>
      <c r="G40" s="3345"/>
      <c r="H40" s="3315"/>
      <c r="I40" s="3315"/>
      <c r="J40" s="3315"/>
      <c r="L40" s="3809">
        <f>IF(M4=0,0,IF(L4&gt;0,100,IF(H38="no",100,1)))</f>
      </c>
    </row>
    <row r="41" spans="1:21" s="3123" customFormat="1" x14ac:dyDescent="0.2">
      <c r="A41" s="3315" t="s">
        <v>10574</v>
      </c>
      <c r="B41" s="3315"/>
      <c r="C41" s="5473" t="str">
        <f>ver</f>
        <v>TA2_e-CO_2025_Ver 1.1</v>
      </c>
      <c r="D41" s="5473"/>
      <c r="E41" s="5473"/>
      <c r="F41" s="5473"/>
      <c r="G41" s="5473"/>
      <c r="H41" s="3315"/>
      <c r="I41" s="3357" t="s">
        <v>10493</v>
      </c>
      <c r="J41" s="3315"/>
    </row>
    <row r="42" spans="1:21" s="3123" customFormat="1" x14ac:dyDescent="0.2">
      <c r="A42" s="3315"/>
      <c r="B42" s="3315"/>
      <c r="C42" s="3315"/>
      <c r="D42" s="3315"/>
      <c r="E42" s="3315"/>
      <c r="F42" s="3315"/>
      <c r="G42" s="3315"/>
      <c r="H42" s="3315"/>
      <c r="I42" s="3315"/>
      <c r="J42" s="3315"/>
    </row>
    <row r="43" spans="1:21" s="3123" customFormat="1" x14ac:dyDescent="0.2"/>
    <row r="44" spans="1:21" s="3123" customFormat="1" x14ac:dyDescent="0.2">
      <c r="B44" s="3922" t="s">
        <v>1700</v>
      </c>
      <c r="C44" s="3312"/>
      <c r="D44" s="3312"/>
    </row>
    <row r="45" spans="1:21" x14ac:dyDescent="0.2"/>
  </sheetData>
  <sheetProtection algorithmName="SHA-512" hashValue="dFU+yXnqQqQ2qhmq5X/lk92OXgd7j76ItEA5ChrJTaqsUBTM0uOVHx45l4WJqA2PqZd5WSebzcjePWJi8VpD4A==" saltValue="MSI/AGr8DXLESfAOHWtYmg==" spinCount="100000" sheet="1" objects="1" scenarios="1"/>
  <mergeCells count="6">
    <mergeCell ref="C41:G41"/>
    <mergeCell ref="A1:H1"/>
    <mergeCell ref="B6:I6"/>
    <mergeCell ref="B20:I20"/>
    <mergeCell ref="O32:Q32"/>
    <mergeCell ref="B34:H34"/>
  </mergeCells>
  <dataValidations disablePrompts="1" count="13">
    <dataValidation type="whole" operator="lessThanOrEqual" allowBlank="1" showInputMessage="1" showErrorMessage="1" errorTitle="Eligible costs" error="Figure must be a negative amount!" sqref="G10 G12 G14" xr:uid="{6E0AB1F0-0F87-493E-82DB-B21D9CB77163}">
      <formula1>0</formula1>
    </dataValidation>
    <dataValidation type="list" allowBlank="1" showInputMessage="1" showErrorMessage="1" sqref="E10:E18" xr:uid="{17ECFBF7-63BC-463F-BDB2-50E4424C12CB}">
      <formula1>$AA$21:$AA$30</formula1>
    </dataValidation>
    <dataValidation allowBlank="1" showInputMessage="1" showErrorMessage="1" errorTitle="Total Eligible Costs" error="Total eligible costs cannot be more than €20,000 or equivalent!" sqref="H30" xr:uid="{A2966B72-F420-442A-983D-F43C1504160F}"/>
    <dataValidation allowBlank="1" showInputMessage="1" showErrorMessage="1" errorTitle="Value" error="Please a positive amount!" sqref="T30:T35" xr:uid="{8164EAE8-7E27-4384-83D4-92B65F1EA545}"/>
    <dataValidation type="whole" operator="greaterThan" allowBlank="1" showInputMessage="1" showErrorMessage="1" errorTitle="Value" error="Please a positive amount!" sqref="S2 Q22 T22" xr:uid="{D0CD7DA5-38E2-4C68-993F-9CD28FE93C8C}">
      <formula1>0</formula1>
    </dataValidation>
    <dataValidation type="whole" operator="greaterThanOrEqual" allowBlank="1" showInputMessage="1" showErrorMessage="1" errorTitle="Tax credit brought forward" error="Figure must be greater than 0" sqref="H24" xr:uid="{6F7E8F61-F377-4AF1-9688-FF2F8F1A440D}">
      <formula1>0</formula1>
    </dataValidation>
    <dataValidation type="whole" allowBlank="1" showInputMessage="1" showErrorMessage="1" errorTitle="Value" error="The value should be  a positive amount which is less than the credit available!" sqref="H28" xr:uid="{66D15066-59A1-456F-AFF5-DE6FF613AE7B}">
      <formula1>0</formula1>
      <formula2>H26</formula2>
    </dataValidation>
    <dataValidation type="list" showInputMessage="1" showErrorMessage="1" sqref="H38 H36" xr:uid="{AE14D6C2-F8DF-4E2E-95C5-33D5D6599091}">
      <formula1>$P$2:$P$4</formula1>
    </dataValidation>
    <dataValidation type="whole" allowBlank="1" showInputMessage="1" showErrorMessage="1" errorTitle="Income on which tax relieved" error="Please enter the correct amount!" sqref="H33" xr:uid="{ECC03A61-8E78-4EA2-AEE9-22FEB4BD0025}">
      <formula1>S35</formula1>
      <formula2>R35</formula2>
    </dataValidation>
    <dataValidation type="date" allowBlank="1" showInputMessage="1" showErrorMessage="1" errorTitle="Date" error="Enter correct date!" sqref="D10:D18" xr:uid="{DA71019C-01C8-4663-B1CA-8F3090C9781C}">
      <formula1>$R$21</formula1>
      <formula2>$S$20</formula2>
    </dataValidation>
    <dataValidation type="whole" operator="greaterThan" allowBlank="1" showInputMessage="1" showErrorMessage="1" errorTitle="Eligible costs" error="Figure must be greater than 0!" sqref="F10:F18 G8" xr:uid="{59085F67-AB4A-453A-9D67-F014AB1FEA71}">
      <formula1>0</formula1>
    </dataValidation>
    <dataValidation type="textLength" operator="greaterThanOrEqual" allowBlank="1" showInputMessage="1" showErrorMessage="1" errorTitle="Certificate No:" error="Please enter correct certificate number!" sqref="C10:C18" xr:uid="{182FF390-038D-4D63-A062-C224986B9AD5}">
      <formula1>6</formula1>
    </dataValidation>
    <dataValidation type="whole" operator="lessThanOrEqual" allowBlank="1" showInputMessage="1" showErrorMessage="1" errorTitle="Credit Exceeds Costs" error="The Tax credit cannot exceed the total eligible costs" sqref="G11 G13 G15:G18" xr:uid="{B566DB40-15A4-4DC8-8D67-43B54377CD3F}">
      <formula1>F11</formula1>
    </dataValidation>
  </dataValidations>
  <hyperlinks>
    <hyperlink ref="G33" location="'TRA35'!A41" display="TRA 35" xr:uid="{7D2F38A1-4D6B-4161-85DD-D0C5491A51B1}"/>
    <hyperlink ref="G28" location="'TRA35'!A41" display="TRA 35" xr:uid="{62D2040F-FD82-4250-9A3B-E9E2E842F66D}"/>
    <hyperlink ref="B44" location="Index!A1" display="BACK TO INDEX" xr:uid="{48E52012-8DB4-456C-8B67-E792095D8A77}"/>
  </hyperlinks>
  <pageMargins left="0.7" right="0.7" top="0.75" bottom="0.75" header="0.3" footer="0.3"/>
  <pageSetup paperSize="9" orientation="portrait" horizontalDpi="4294967293" verticalDpi="4294967293"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A29F-6B45-4E33-9835-AA19DFC1DC68}">
  <sheetPr codeName="Sheet129"/>
  <dimension ref="A1:T109"/>
  <sheetViews>
    <sheetView showGridLines="0" workbookViewId="0"/>
  </sheetViews>
  <sheetFormatPr defaultColWidth="0" defaultRowHeight="12.75" zeroHeight="1" x14ac:dyDescent="0.2"/>
  <cols>
    <col min="1" max="1" width="5.710937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10" width="13.28515625" style="1485" customWidth="1"/>
    <col min="11" max="11" width="33.5703125" style="1485" customWidth="1"/>
    <col min="12" max="15" width="9.28515625" style="1485" hidden="1" customWidth="1"/>
    <col min="16" max="16" width="10.28515625" style="1485" hidden="1" customWidth="1"/>
    <col min="17" max="17" width="10.7109375" style="1485" hidden="1" customWidth="1"/>
    <col min="18" max="19" width="10.28515625" style="1485" hidden="1" customWidth="1"/>
    <col min="20" max="20" width="15.42578125" style="1485" hidden="1" customWidth="1"/>
    <col min="21" max="16384" width="9.28515625" style="1485" hidden="1"/>
  </cols>
  <sheetData>
    <row r="1" spans="1:20" x14ac:dyDescent="0.2">
      <c r="A1" s="3315" t="str">
        <f>_ref1</f>
      </c>
      <c r="B1" s="3315"/>
      <c r="C1" s="3315"/>
      <c r="D1" s="3315"/>
      <c r="E1" s="3315"/>
      <c r="F1" s="3315"/>
      <c r="G1" s="3315"/>
      <c r="H1" s="3315"/>
      <c r="I1" s="3315"/>
      <c r="J1" s="3315" t="str">
        <f>_YA1</f>
      </c>
      <c r="K1" s="3315"/>
      <c r="N1" s="1871" t="s">
        <v>10463</v>
      </c>
      <c r="O1" s="1485" t="str">
        <f>'p2'!G36</f>
      </c>
      <c r="Q1" s="3123" t="s">
        <v>3994</v>
      </c>
      <c r="R1" s="3123">
        <f>ya</f>
      </c>
    </row>
    <row r="2" spans="1:20" x14ac:dyDescent="0.2">
      <c r="A2" s="3315"/>
      <c r="B2" s="3315"/>
      <c r="C2" s="3315"/>
      <c r="D2" s="3315"/>
      <c r="E2" s="3315"/>
      <c r="F2" s="3315"/>
      <c r="G2" s="3315"/>
      <c r="H2" s="3315"/>
      <c r="I2" s="3315"/>
      <c r="J2" s="3315"/>
      <c r="K2" s="3315"/>
      <c r="Q2" s="3123" t="s">
        <v>2705</v>
      </c>
      <c r="R2" s="3123">
        <f>R1-1</f>
      </c>
      <c r="T2" s="1485" t="s">
        <v>10464</v>
      </c>
    </row>
    <row r="3" spans="1:20" ht="14.25" x14ac:dyDescent="0.2">
      <c r="A3" s="3315"/>
      <c r="B3" s="1808" t="s">
        <v>7026</v>
      </c>
      <c r="C3" s="1809"/>
      <c r="D3" s="1809"/>
      <c r="E3" s="1809"/>
      <c r="F3" s="1809"/>
      <c r="G3" s="1809"/>
      <c r="H3" s="1809"/>
      <c r="I3" s="1809"/>
      <c r="J3" s="1810"/>
      <c r="K3" s="3315"/>
      <c r="T3" s="1485" t="s">
        <v>1736</v>
      </c>
    </row>
    <row r="4" spans="1:20" ht="14.25" x14ac:dyDescent="0.2">
      <c r="A4" s="3315"/>
      <c r="B4" s="1811" t="s">
        <v>10520</v>
      </c>
      <c r="C4" s="1812"/>
      <c r="D4" s="1812"/>
      <c r="E4" s="1812"/>
      <c r="F4" s="1812"/>
      <c r="G4" s="1812"/>
      <c r="H4" s="1812"/>
      <c r="I4" s="1812"/>
      <c r="J4" s="1813"/>
      <c r="K4" s="3315"/>
      <c r="M4" s="1873">
        <f>SUM(M6:M88)</f>
      </c>
      <c r="N4" s="1873">
        <f>SUM(N6:N88)</f>
      </c>
      <c r="Q4" s="1485" t="s">
        <v>10466</v>
      </c>
      <c r="R4" s="1485">
        <v>2024</v>
      </c>
    </row>
    <row r="5" spans="1:20" x14ac:dyDescent="0.2">
      <c r="A5" s="3315"/>
      <c r="B5" s="3315"/>
      <c r="C5" s="3315"/>
      <c r="D5" s="3315"/>
      <c r="E5" s="3315"/>
      <c r="F5" s="3315"/>
      <c r="G5" s="3315"/>
      <c r="H5" s="3315"/>
      <c r="I5" s="3315"/>
      <c r="J5" s="3315"/>
      <c r="K5" s="3315"/>
      <c r="M5" s="1485" t="s">
        <v>7439</v>
      </c>
      <c r="N5" s="1485" t="s">
        <v>7161</v>
      </c>
      <c r="Q5" s="1485" t="s">
        <v>10467</v>
      </c>
      <c r="R5" s="1485">
        <f>IF(R1=2024,2024,2025)</f>
      </c>
    </row>
    <row r="6" spans="1:20" x14ac:dyDescent="0.2">
      <c r="A6" s="3315"/>
      <c r="B6" s="3315"/>
      <c r="C6" s="1938"/>
      <c r="D6" s="1938"/>
      <c r="E6" s="2239" t="s">
        <v>10468</v>
      </c>
      <c r="F6" s="3315"/>
      <c r="G6" s="3352"/>
      <c r="H6" s="3985" t="str">
        <f>IF(N4=0,"",IF(AND(N4&gt;0,G6=""),re,""))</f>
        <v/>
      </c>
      <c r="I6" s="3315"/>
      <c r="J6" s="3315"/>
      <c r="K6" s="3315"/>
      <c r="M6" s="3123">
        <f>IF(H6="",0,1)</f>
      </c>
      <c r="N6" s="3123">
        <f>IF(G6&lt;&gt;"",1,0)</f>
      </c>
    </row>
    <row r="7" spans="1:20" x14ac:dyDescent="0.2">
      <c r="A7" s="3315"/>
      <c r="B7" s="3315"/>
      <c r="C7" s="3315"/>
      <c r="D7" s="3315"/>
      <c r="E7" s="3315"/>
      <c r="F7" s="3315"/>
      <c r="G7" s="3315"/>
      <c r="H7" s="3315"/>
      <c r="I7" s="3315"/>
      <c r="J7" s="3315"/>
      <c r="K7" s="3315"/>
    </row>
    <row r="8" spans="1:20" ht="63.75" x14ac:dyDescent="0.2">
      <c r="A8" s="3315"/>
      <c r="B8" s="1955" t="s">
        <v>10083</v>
      </c>
      <c r="C8" s="1955" t="s">
        <v>7154</v>
      </c>
      <c r="D8" s="3999" t="s">
        <v>7155</v>
      </c>
      <c r="E8" s="1955" t="s">
        <v>7156</v>
      </c>
      <c r="F8" s="1955" t="s">
        <v>9114</v>
      </c>
      <c r="G8" s="1955" t="s">
        <v>7159</v>
      </c>
      <c r="H8" s="1955" t="s">
        <v>10469</v>
      </c>
      <c r="I8" s="1955" t="s">
        <v>7157</v>
      </c>
      <c r="J8" s="1955" t="s">
        <v>10470</v>
      </c>
      <c r="K8" s="3315"/>
    </row>
    <row r="9" spans="1:20" x14ac:dyDescent="0.2">
      <c r="A9" s="3748">
        <v>1</v>
      </c>
      <c r="B9" s="3352"/>
      <c r="C9" s="363"/>
      <c r="D9" s="809"/>
      <c r="E9" s="3989"/>
      <c r="F9" s="3990"/>
      <c r="G9" s="3989"/>
      <c r="H9" s="1899">
        <f>IF(F9="",0,E9-G9)</f>
      </c>
      <c r="I9" s="3989"/>
      <c r="J9" s="3991">
        <f>IF(H9=0,0,H9-I9)</f>
      </c>
      <c r="K9" s="3985" t="str">
        <f t="shared" ref="K9:K40" si="0">IF(AND($G$6&gt;0,A9&lt;=$G$6,N9=0),re,IF(AND($O$1="n",B9&lt;&gt;""),"Not a fiscal Unit",IF(AND($G$6&gt;0,A9&lt;=$G$6,$O$1="y",N9&lt;7),"All data",IF(AND(A9&gt;$G$6,N9&gt;0),"No details required",IF(AND($G$6&gt;0,A9&lt;=$G$6,$O$1="n",N9&lt;6),"All data",IF(AND(F9&gt;=$R$1,G9&gt;0),"Check utilised credit in previous years",IF(I9&gt;H9,"Excessive utilised credit!",IF(AND(ya&gt;F9+4,I9&gt;0),"Credit cannot be utilised - 5 year limit",""))))))))</f>
        <v/>
      </c>
      <c r="M9" s="3123">
        <f>IF(K9="",0,1)</f>
      </c>
      <c r="N9" s="3123">
        <f t="shared" ref="N9:N72" si="1">IF($O$1="n",COUNTA(C9:G9,I9),IF($O$1="y",COUNTA(B9:G9,I9),0))</f>
      </c>
    </row>
    <row r="10" spans="1:20" x14ac:dyDescent="0.2">
      <c r="A10" s="3748">
        <v>2</v>
      </c>
      <c r="B10" s="3352"/>
      <c r="C10" s="363"/>
      <c r="D10" s="809"/>
      <c r="E10" s="3989"/>
      <c r="F10" s="3990"/>
      <c r="G10" s="3989"/>
      <c r="H10" s="1899">
        <f t="shared" ref="H10:H78" si="2">IF(F10="",0,E10-G10)</f>
      </c>
      <c r="I10" s="3989"/>
      <c r="J10" s="3991">
        <f t="shared" ref="J10:J78" si="3">IF(H10=0,0,H10-I10)</f>
      </c>
      <c r="K10" s="3985" t="str">
        <f t="shared" si="0"/>
        <v/>
      </c>
      <c r="M10" s="3123">
        <f t="shared" ref="M10:M78" si="4">IF(K10="",0,1)</f>
      </c>
      <c r="N10" s="3123">
        <f t="shared" si="1"/>
        <v>0</v>
      </c>
    </row>
    <row r="11" spans="1:20" x14ac:dyDescent="0.2">
      <c r="A11" s="3748">
        <v>3</v>
      </c>
      <c r="B11" s="3352"/>
      <c r="C11" s="363"/>
      <c r="D11" s="809"/>
      <c r="E11" s="3989"/>
      <c r="F11" s="3990"/>
      <c r="G11" s="3989"/>
      <c r="H11" s="1899">
        <f t="shared" si="2"/>
        <v>0</v>
      </c>
      <c r="I11" s="3989"/>
      <c r="J11" s="3991">
        <f t="shared" si="3"/>
        <v>0</v>
      </c>
      <c r="K11" s="3985" t="str">
        <f t="shared" si="0"/>
        <v/>
      </c>
      <c r="M11" s="3123">
        <f t="shared" si="4"/>
        <v>0</v>
      </c>
      <c r="N11" s="3123">
        <f t="shared" si="1"/>
        <v>0</v>
      </c>
    </row>
    <row r="12" spans="1:20" x14ac:dyDescent="0.2">
      <c r="A12" s="3748">
        <v>4</v>
      </c>
      <c r="B12" s="3352"/>
      <c r="C12" s="363"/>
      <c r="D12" s="809"/>
      <c r="E12" s="3989"/>
      <c r="F12" s="3990"/>
      <c r="G12" s="3989"/>
      <c r="H12" s="1899">
        <f t="shared" si="2"/>
        <v>0</v>
      </c>
      <c r="I12" s="3989"/>
      <c r="J12" s="3991">
        <f t="shared" si="3"/>
        <v>0</v>
      </c>
      <c r="K12" s="3985" t="str">
        <f t="shared" si="0"/>
        <v/>
      </c>
      <c r="M12" s="3123">
        <f t="shared" si="4"/>
        <v>0</v>
      </c>
      <c r="N12" s="3123">
        <f t="shared" si="1"/>
        <v>0</v>
      </c>
    </row>
    <row r="13" spans="1:20" x14ac:dyDescent="0.2">
      <c r="A13" s="3748">
        <v>5</v>
      </c>
      <c r="B13" s="3352"/>
      <c r="C13" s="363"/>
      <c r="D13" s="809"/>
      <c r="E13" s="3989"/>
      <c r="F13" s="3990"/>
      <c r="G13" s="3989"/>
      <c r="H13" s="1899">
        <f t="shared" si="2"/>
        <v>0</v>
      </c>
      <c r="I13" s="3989"/>
      <c r="J13" s="3991">
        <f t="shared" si="3"/>
        <v>0</v>
      </c>
      <c r="K13" s="3985" t="str">
        <f t="shared" si="0"/>
        <v/>
      </c>
      <c r="M13" s="3123">
        <f t="shared" si="4"/>
        <v>0</v>
      </c>
      <c r="N13" s="3123">
        <f t="shared" si="1"/>
        <v>0</v>
      </c>
    </row>
    <row r="14" spans="1:20" x14ac:dyDescent="0.2">
      <c r="A14" s="3748">
        <v>6</v>
      </c>
      <c r="B14" s="3352"/>
      <c r="C14" s="363"/>
      <c r="D14" s="809"/>
      <c r="E14" s="3989"/>
      <c r="F14" s="3990"/>
      <c r="G14" s="3989"/>
      <c r="H14" s="1899">
        <f t="shared" si="2"/>
        <v>0</v>
      </c>
      <c r="I14" s="3989"/>
      <c r="J14" s="3991">
        <f t="shared" si="3"/>
        <v>0</v>
      </c>
      <c r="K14" s="3985" t="str">
        <f t="shared" si="0"/>
        <v/>
      </c>
      <c r="M14" s="3123">
        <f t="shared" si="4"/>
        <v>0</v>
      </c>
      <c r="N14" s="3123">
        <f t="shared" si="1"/>
        <v>0</v>
      </c>
    </row>
    <row r="15" spans="1:20" x14ac:dyDescent="0.2">
      <c r="A15" s="3748">
        <v>7</v>
      </c>
      <c r="B15" s="3352"/>
      <c r="C15" s="363"/>
      <c r="D15" s="809"/>
      <c r="E15" s="3989"/>
      <c r="F15" s="3990"/>
      <c r="G15" s="3989"/>
      <c r="H15" s="1899">
        <f t="shared" si="2"/>
        <v>0</v>
      </c>
      <c r="I15" s="3989"/>
      <c r="J15" s="3991">
        <f t="shared" si="3"/>
        <v>0</v>
      </c>
      <c r="K15" s="3985" t="str">
        <f t="shared" si="0"/>
        <v/>
      </c>
      <c r="M15" s="3123">
        <f t="shared" si="4"/>
        <v>0</v>
      </c>
      <c r="N15" s="3123">
        <f t="shared" si="1"/>
        <v>0</v>
      </c>
    </row>
    <row r="16" spans="1:20" x14ac:dyDescent="0.2">
      <c r="A16" s="3748">
        <v>8</v>
      </c>
      <c r="B16" s="3352"/>
      <c r="C16" s="363"/>
      <c r="D16" s="809"/>
      <c r="E16" s="3989"/>
      <c r="F16" s="3990"/>
      <c r="G16" s="3989"/>
      <c r="H16" s="1899">
        <f t="shared" si="2"/>
        <v>0</v>
      </c>
      <c r="I16" s="3989"/>
      <c r="J16" s="3991">
        <f t="shared" si="3"/>
        <v>0</v>
      </c>
      <c r="K16" s="3985" t="str">
        <f t="shared" si="0"/>
        <v/>
      </c>
      <c r="M16" s="3123">
        <f t="shared" si="4"/>
        <v>0</v>
      </c>
      <c r="N16" s="3123">
        <f t="shared" si="1"/>
        <v>0</v>
      </c>
    </row>
    <row r="17" spans="1:14" x14ac:dyDescent="0.2">
      <c r="A17" s="3748">
        <v>9</v>
      </c>
      <c r="B17" s="3352"/>
      <c r="C17" s="363"/>
      <c r="D17" s="809"/>
      <c r="E17" s="3989"/>
      <c r="F17" s="3990"/>
      <c r="G17" s="3989"/>
      <c r="H17" s="1899">
        <f t="shared" si="2"/>
        <v>0</v>
      </c>
      <c r="I17" s="3989"/>
      <c r="J17" s="3991">
        <f t="shared" si="3"/>
        <v>0</v>
      </c>
      <c r="K17" s="3985" t="str">
        <f t="shared" si="0"/>
        <v/>
      </c>
      <c r="M17" s="3123">
        <f t="shared" si="4"/>
        <v>0</v>
      </c>
      <c r="N17" s="3123">
        <f t="shared" si="1"/>
        <v>0</v>
      </c>
    </row>
    <row r="18" spans="1:14" x14ac:dyDescent="0.2">
      <c r="A18" s="3748">
        <v>10</v>
      </c>
      <c r="B18" s="3352"/>
      <c r="C18" s="363"/>
      <c r="D18" s="809"/>
      <c r="E18" s="3989"/>
      <c r="F18" s="3990"/>
      <c r="G18" s="3989"/>
      <c r="H18" s="1899">
        <f t="shared" si="2"/>
        <v>0</v>
      </c>
      <c r="I18" s="3989"/>
      <c r="J18" s="3991">
        <f t="shared" si="3"/>
        <v>0</v>
      </c>
      <c r="K18" s="3985" t="str">
        <f t="shared" si="0"/>
        <v/>
      </c>
      <c r="M18" s="3123">
        <f t="shared" si="4"/>
        <v>0</v>
      </c>
      <c r="N18" s="3123">
        <f t="shared" si="1"/>
        <v>0</v>
      </c>
    </row>
    <row r="19" spans="1:14" x14ac:dyDescent="0.2">
      <c r="A19" s="3748">
        <v>11</v>
      </c>
      <c r="B19" s="3352"/>
      <c r="C19" s="363"/>
      <c r="D19" s="809"/>
      <c r="E19" s="3989"/>
      <c r="F19" s="3990"/>
      <c r="G19" s="3989"/>
      <c r="H19" s="1899">
        <f t="shared" si="2"/>
        <v>0</v>
      </c>
      <c r="I19" s="3989"/>
      <c r="J19" s="3991">
        <f t="shared" si="3"/>
        <v>0</v>
      </c>
      <c r="K19" s="3985" t="str">
        <f t="shared" si="0"/>
        <v/>
      </c>
      <c r="M19" s="3123">
        <f t="shared" si="4"/>
        <v>0</v>
      </c>
      <c r="N19" s="3123">
        <f t="shared" si="1"/>
        <v>0</v>
      </c>
    </row>
    <row r="20" spans="1:14" x14ac:dyDescent="0.2">
      <c r="A20" s="3748">
        <v>12</v>
      </c>
      <c r="B20" s="3352"/>
      <c r="C20" s="363"/>
      <c r="D20" s="809"/>
      <c r="E20" s="3989"/>
      <c r="F20" s="3990"/>
      <c r="G20" s="3989"/>
      <c r="H20" s="1899">
        <f t="shared" si="2"/>
        <v>0</v>
      </c>
      <c r="I20" s="3989"/>
      <c r="J20" s="3991">
        <f t="shared" si="3"/>
        <v>0</v>
      </c>
      <c r="K20" s="3985" t="str">
        <f t="shared" si="0"/>
        <v/>
      </c>
      <c r="M20" s="3123">
        <f t="shared" si="4"/>
        <v>0</v>
      </c>
      <c r="N20" s="3123">
        <f t="shared" si="1"/>
        <v>0</v>
      </c>
    </row>
    <row r="21" spans="1:14" x14ac:dyDescent="0.2">
      <c r="A21" s="3748">
        <v>13</v>
      </c>
      <c r="B21" s="3352"/>
      <c r="C21" s="363"/>
      <c r="D21" s="809"/>
      <c r="E21" s="3989"/>
      <c r="F21" s="3990"/>
      <c r="G21" s="3989"/>
      <c r="H21" s="1899">
        <f t="shared" si="2"/>
        <v>0</v>
      </c>
      <c r="I21" s="3989"/>
      <c r="J21" s="3991">
        <f t="shared" si="3"/>
        <v>0</v>
      </c>
      <c r="K21" s="3985" t="str">
        <f t="shared" si="0"/>
        <v/>
      </c>
      <c r="M21" s="3123">
        <f t="shared" si="4"/>
        <v>0</v>
      </c>
      <c r="N21" s="3123">
        <f t="shared" si="1"/>
        <v>0</v>
      </c>
    </row>
    <row r="22" spans="1:14" x14ac:dyDescent="0.2">
      <c r="A22" s="3748">
        <v>14</v>
      </c>
      <c r="B22" s="3352"/>
      <c r="C22" s="363"/>
      <c r="D22" s="809"/>
      <c r="E22" s="3989"/>
      <c r="F22" s="3990"/>
      <c r="G22" s="3989"/>
      <c r="H22" s="1899">
        <f t="shared" si="2"/>
        <v>0</v>
      </c>
      <c r="I22" s="3989"/>
      <c r="J22" s="3991">
        <f t="shared" si="3"/>
        <v>0</v>
      </c>
      <c r="K22" s="3985" t="str">
        <f t="shared" si="0"/>
        <v/>
      </c>
      <c r="M22" s="3123">
        <f t="shared" si="4"/>
        <v>0</v>
      </c>
      <c r="N22" s="3123">
        <f t="shared" si="1"/>
        <v>0</v>
      </c>
    </row>
    <row r="23" spans="1:14" x14ac:dyDescent="0.2">
      <c r="A23" s="3748">
        <v>15</v>
      </c>
      <c r="B23" s="3352"/>
      <c r="C23" s="363"/>
      <c r="D23" s="809"/>
      <c r="E23" s="3989"/>
      <c r="F23" s="3990"/>
      <c r="G23" s="3989"/>
      <c r="H23" s="1899">
        <f t="shared" si="2"/>
        <v>0</v>
      </c>
      <c r="I23" s="3989"/>
      <c r="J23" s="3991">
        <f t="shared" si="3"/>
        <v>0</v>
      </c>
      <c r="K23" s="3985" t="str">
        <f t="shared" si="0"/>
        <v/>
      </c>
      <c r="M23" s="3123">
        <f t="shared" si="4"/>
        <v>0</v>
      </c>
      <c r="N23" s="3123">
        <f t="shared" si="1"/>
        <v>0</v>
      </c>
    </row>
    <row r="24" spans="1:14" x14ac:dyDescent="0.2">
      <c r="A24" s="3748">
        <v>16</v>
      </c>
      <c r="B24" s="3352"/>
      <c r="C24" s="363"/>
      <c r="D24" s="809"/>
      <c r="E24" s="3989"/>
      <c r="F24" s="3990"/>
      <c r="G24" s="3989"/>
      <c r="H24" s="1899">
        <f t="shared" si="2"/>
        <v>0</v>
      </c>
      <c r="I24" s="3989"/>
      <c r="J24" s="3991">
        <f t="shared" si="3"/>
        <v>0</v>
      </c>
      <c r="K24" s="3985" t="str">
        <f t="shared" si="0"/>
        <v/>
      </c>
      <c r="M24" s="3123">
        <f t="shared" si="4"/>
        <v>0</v>
      </c>
      <c r="N24" s="3123">
        <f t="shared" si="1"/>
        <v>0</v>
      </c>
    </row>
    <row r="25" spans="1:14" x14ac:dyDescent="0.2">
      <c r="A25" s="3748">
        <v>17</v>
      </c>
      <c r="B25" s="3352"/>
      <c r="C25" s="363"/>
      <c r="D25" s="809"/>
      <c r="E25" s="3989"/>
      <c r="F25" s="3990"/>
      <c r="G25" s="3989"/>
      <c r="H25" s="1899">
        <f t="shared" si="2"/>
        <v>0</v>
      </c>
      <c r="I25" s="3989"/>
      <c r="J25" s="3991">
        <f t="shared" si="3"/>
        <v>0</v>
      </c>
      <c r="K25" s="3985" t="str">
        <f t="shared" si="0"/>
        <v/>
      </c>
      <c r="M25" s="3123">
        <f t="shared" si="4"/>
        <v>0</v>
      </c>
      <c r="N25" s="3123">
        <f t="shared" si="1"/>
        <v>0</v>
      </c>
    </row>
    <row r="26" spans="1:14" x14ac:dyDescent="0.2">
      <c r="A26" s="3748">
        <v>18</v>
      </c>
      <c r="B26" s="3352"/>
      <c r="C26" s="363"/>
      <c r="D26" s="809"/>
      <c r="E26" s="3989"/>
      <c r="F26" s="3990"/>
      <c r="G26" s="3989"/>
      <c r="H26" s="1899">
        <f t="shared" si="2"/>
        <v>0</v>
      </c>
      <c r="I26" s="3989"/>
      <c r="J26" s="3991">
        <f t="shared" si="3"/>
        <v>0</v>
      </c>
      <c r="K26" s="3985" t="str">
        <f t="shared" si="0"/>
        <v/>
      </c>
      <c r="M26" s="3123">
        <f t="shared" si="4"/>
        <v>0</v>
      </c>
      <c r="N26" s="3123">
        <f t="shared" si="1"/>
        <v>0</v>
      </c>
    </row>
    <row r="27" spans="1:14" x14ac:dyDescent="0.2">
      <c r="A27" s="3748">
        <v>19</v>
      </c>
      <c r="B27" s="3352"/>
      <c r="C27" s="363"/>
      <c r="D27" s="809"/>
      <c r="E27" s="3989"/>
      <c r="F27" s="3990"/>
      <c r="G27" s="3989"/>
      <c r="H27" s="1899">
        <f t="shared" si="2"/>
        <v>0</v>
      </c>
      <c r="I27" s="3989"/>
      <c r="J27" s="3991">
        <f t="shared" si="3"/>
        <v>0</v>
      </c>
      <c r="K27" s="3985" t="str">
        <f t="shared" si="0"/>
        <v/>
      </c>
      <c r="M27" s="3123">
        <f t="shared" si="4"/>
        <v>0</v>
      </c>
      <c r="N27" s="3123">
        <f t="shared" si="1"/>
        <v>0</v>
      </c>
    </row>
    <row r="28" spans="1:14" x14ac:dyDescent="0.2">
      <c r="A28" s="3748">
        <v>20</v>
      </c>
      <c r="B28" s="3352"/>
      <c r="C28" s="363"/>
      <c r="D28" s="809"/>
      <c r="E28" s="3989"/>
      <c r="F28" s="3990"/>
      <c r="G28" s="3989"/>
      <c r="H28" s="1899">
        <f t="shared" si="2"/>
        <v>0</v>
      </c>
      <c r="I28" s="3989"/>
      <c r="J28" s="3991">
        <f t="shared" si="3"/>
        <v>0</v>
      </c>
      <c r="K28" s="3985" t="str">
        <f t="shared" si="0"/>
        <v/>
      </c>
      <c r="M28" s="3123">
        <f t="shared" si="4"/>
        <v>0</v>
      </c>
      <c r="N28" s="3123">
        <f t="shared" si="1"/>
        <v>0</v>
      </c>
    </row>
    <row r="29" spans="1:14" x14ac:dyDescent="0.2">
      <c r="A29" s="3748">
        <v>21</v>
      </c>
      <c r="B29" s="3352"/>
      <c r="C29" s="363"/>
      <c r="D29" s="809"/>
      <c r="E29" s="3989"/>
      <c r="F29" s="3990"/>
      <c r="G29" s="3989"/>
      <c r="H29" s="1899">
        <f t="shared" si="2"/>
        <v>0</v>
      </c>
      <c r="I29" s="3989"/>
      <c r="J29" s="3991">
        <f t="shared" si="3"/>
        <v>0</v>
      </c>
      <c r="K29" s="3985" t="str">
        <f t="shared" si="0"/>
        <v/>
      </c>
      <c r="M29" s="3123">
        <f t="shared" si="4"/>
        <v>0</v>
      </c>
      <c r="N29" s="3123">
        <f t="shared" si="1"/>
        <v>0</v>
      </c>
    </row>
    <row r="30" spans="1:14" x14ac:dyDescent="0.2">
      <c r="A30" s="3748">
        <v>22</v>
      </c>
      <c r="B30" s="3352"/>
      <c r="C30" s="363"/>
      <c r="D30" s="809"/>
      <c r="E30" s="3989"/>
      <c r="F30" s="3990"/>
      <c r="G30" s="3989"/>
      <c r="H30" s="1899">
        <f t="shared" si="2"/>
        <v>0</v>
      </c>
      <c r="I30" s="3989"/>
      <c r="J30" s="3991">
        <f t="shared" si="3"/>
        <v>0</v>
      </c>
      <c r="K30" s="3985" t="str">
        <f t="shared" si="0"/>
        <v/>
      </c>
      <c r="M30" s="3123">
        <f t="shared" si="4"/>
        <v>0</v>
      </c>
      <c r="N30" s="3123">
        <f t="shared" si="1"/>
        <v>0</v>
      </c>
    </row>
    <row r="31" spans="1:14" x14ac:dyDescent="0.2">
      <c r="A31" s="3748">
        <v>23</v>
      </c>
      <c r="B31" s="3352"/>
      <c r="C31" s="363"/>
      <c r="D31" s="809"/>
      <c r="E31" s="3989"/>
      <c r="F31" s="3990"/>
      <c r="G31" s="3989"/>
      <c r="H31" s="1899">
        <f t="shared" si="2"/>
        <v>0</v>
      </c>
      <c r="I31" s="3989"/>
      <c r="J31" s="3991">
        <f t="shared" si="3"/>
        <v>0</v>
      </c>
      <c r="K31" s="3985" t="str">
        <f t="shared" si="0"/>
        <v/>
      </c>
      <c r="M31" s="3123">
        <f t="shared" si="4"/>
        <v>0</v>
      </c>
      <c r="N31" s="3123">
        <f t="shared" si="1"/>
        <v>0</v>
      </c>
    </row>
    <row r="32" spans="1:14" x14ac:dyDescent="0.2">
      <c r="A32" s="3748">
        <v>24</v>
      </c>
      <c r="B32" s="3352"/>
      <c r="C32" s="363"/>
      <c r="D32" s="809"/>
      <c r="E32" s="3989"/>
      <c r="F32" s="3990"/>
      <c r="G32" s="3989"/>
      <c r="H32" s="1899">
        <f t="shared" si="2"/>
        <v>0</v>
      </c>
      <c r="I32" s="3989"/>
      <c r="J32" s="3991">
        <f t="shared" si="3"/>
        <v>0</v>
      </c>
      <c r="K32" s="3985" t="str">
        <f t="shared" si="0"/>
        <v/>
      </c>
      <c r="M32" s="3123">
        <f t="shared" si="4"/>
        <v>0</v>
      </c>
      <c r="N32" s="3123">
        <f t="shared" si="1"/>
        <v>0</v>
      </c>
    </row>
    <row r="33" spans="1:14" x14ac:dyDescent="0.2">
      <c r="A33" s="3748">
        <v>25</v>
      </c>
      <c r="B33" s="3352"/>
      <c r="C33" s="363"/>
      <c r="D33" s="809"/>
      <c r="E33" s="3989"/>
      <c r="F33" s="3990"/>
      <c r="G33" s="3989"/>
      <c r="H33" s="1899">
        <f t="shared" si="2"/>
        <v>0</v>
      </c>
      <c r="I33" s="3989"/>
      <c r="J33" s="3991">
        <f t="shared" si="3"/>
        <v>0</v>
      </c>
      <c r="K33" s="3985" t="str">
        <f t="shared" si="0"/>
        <v/>
      </c>
      <c r="M33" s="3123">
        <f t="shared" si="4"/>
        <v>0</v>
      </c>
      <c r="N33" s="3123">
        <f t="shared" si="1"/>
        <v>0</v>
      </c>
    </row>
    <row r="34" spans="1:14" x14ac:dyDescent="0.2">
      <c r="A34" s="3748">
        <v>26</v>
      </c>
      <c r="B34" s="3352"/>
      <c r="C34" s="363"/>
      <c r="D34" s="809"/>
      <c r="E34" s="3989"/>
      <c r="F34" s="3990"/>
      <c r="G34" s="3989"/>
      <c r="H34" s="1899">
        <f t="shared" si="2"/>
        <v>0</v>
      </c>
      <c r="I34" s="3989"/>
      <c r="J34" s="3991">
        <f t="shared" si="3"/>
        <v>0</v>
      </c>
      <c r="K34" s="3985" t="str">
        <f t="shared" si="0"/>
        <v/>
      </c>
      <c r="M34" s="3123">
        <f t="shared" si="4"/>
        <v>0</v>
      </c>
      <c r="N34" s="3123">
        <f t="shared" si="1"/>
        <v>0</v>
      </c>
    </row>
    <row r="35" spans="1:14" x14ac:dyDescent="0.2">
      <c r="A35" s="3748">
        <v>27</v>
      </c>
      <c r="B35" s="3352"/>
      <c r="C35" s="363"/>
      <c r="D35" s="809"/>
      <c r="E35" s="3989"/>
      <c r="F35" s="3990"/>
      <c r="G35" s="3989"/>
      <c r="H35" s="1899">
        <f t="shared" si="2"/>
        <v>0</v>
      </c>
      <c r="I35" s="3989"/>
      <c r="J35" s="3991">
        <f t="shared" si="3"/>
        <v>0</v>
      </c>
      <c r="K35" s="3985" t="str">
        <f t="shared" si="0"/>
        <v/>
      </c>
      <c r="M35" s="3123">
        <f t="shared" si="4"/>
        <v>0</v>
      </c>
      <c r="N35" s="3123">
        <f t="shared" si="1"/>
        <v>0</v>
      </c>
    </row>
    <row r="36" spans="1:14" x14ac:dyDescent="0.2">
      <c r="A36" s="3748">
        <v>28</v>
      </c>
      <c r="B36" s="3352"/>
      <c r="C36" s="363"/>
      <c r="D36" s="809"/>
      <c r="E36" s="3989"/>
      <c r="F36" s="3990"/>
      <c r="G36" s="3989"/>
      <c r="H36" s="1899">
        <f t="shared" si="2"/>
        <v>0</v>
      </c>
      <c r="I36" s="3989"/>
      <c r="J36" s="3991">
        <f t="shared" si="3"/>
        <v>0</v>
      </c>
      <c r="K36" s="3985" t="str">
        <f t="shared" si="0"/>
        <v/>
      </c>
      <c r="M36" s="3123">
        <f t="shared" si="4"/>
        <v>0</v>
      </c>
      <c r="N36" s="3123">
        <f t="shared" si="1"/>
        <v>0</v>
      </c>
    </row>
    <row r="37" spans="1:14" x14ac:dyDescent="0.2">
      <c r="A37" s="3748">
        <v>29</v>
      </c>
      <c r="B37" s="3352"/>
      <c r="C37" s="363"/>
      <c r="D37" s="809"/>
      <c r="E37" s="3989"/>
      <c r="F37" s="3990"/>
      <c r="G37" s="3989"/>
      <c r="H37" s="1899">
        <f t="shared" si="2"/>
        <v>0</v>
      </c>
      <c r="I37" s="3989"/>
      <c r="J37" s="3991">
        <f t="shared" si="3"/>
        <v>0</v>
      </c>
      <c r="K37" s="3985" t="str">
        <f t="shared" si="0"/>
        <v/>
      </c>
      <c r="M37" s="3123">
        <f t="shared" si="4"/>
        <v>0</v>
      </c>
      <c r="N37" s="3123">
        <f t="shared" si="1"/>
        <v>0</v>
      </c>
    </row>
    <row r="38" spans="1:14" x14ac:dyDescent="0.2">
      <c r="A38" s="3748">
        <v>30</v>
      </c>
      <c r="B38" s="3352"/>
      <c r="C38" s="363"/>
      <c r="D38" s="809"/>
      <c r="E38" s="3989"/>
      <c r="F38" s="3990"/>
      <c r="G38" s="3989"/>
      <c r="H38" s="1899">
        <f t="shared" si="2"/>
        <v>0</v>
      </c>
      <c r="I38" s="3989"/>
      <c r="J38" s="3991">
        <f t="shared" si="3"/>
        <v>0</v>
      </c>
      <c r="K38" s="3985" t="str">
        <f t="shared" si="0"/>
        <v/>
      </c>
      <c r="M38" s="3123">
        <f t="shared" si="4"/>
        <v>0</v>
      </c>
      <c r="N38" s="3123">
        <f t="shared" si="1"/>
        <v>0</v>
      </c>
    </row>
    <row r="39" spans="1:14" x14ac:dyDescent="0.2">
      <c r="A39" s="3748">
        <v>31</v>
      </c>
      <c r="B39" s="3352"/>
      <c r="C39" s="363"/>
      <c r="D39" s="809"/>
      <c r="E39" s="3989"/>
      <c r="F39" s="3990"/>
      <c r="G39" s="3989"/>
      <c r="H39" s="1899">
        <f t="shared" si="2"/>
        <v>0</v>
      </c>
      <c r="I39" s="3989"/>
      <c r="J39" s="3991">
        <f t="shared" si="3"/>
        <v>0</v>
      </c>
      <c r="K39" s="3985" t="str">
        <f t="shared" si="0"/>
        <v/>
      </c>
      <c r="M39" s="3123">
        <f t="shared" si="4"/>
        <v>0</v>
      </c>
      <c r="N39" s="3123">
        <f t="shared" si="1"/>
        <v>0</v>
      </c>
    </row>
    <row r="40" spans="1:14" x14ac:dyDescent="0.2">
      <c r="A40" s="3748">
        <v>32</v>
      </c>
      <c r="B40" s="3352"/>
      <c r="C40" s="363"/>
      <c r="D40" s="809"/>
      <c r="E40" s="3989"/>
      <c r="F40" s="3990"/>
      <c r="G40" s="3989"/>
      <c r="H40" s="1899">
        <f t="shared" si="2"/>
        <v>0</v>
      </c>
      <c r="I40" s="3989"/>
      <c r="J40" s="3991">
        <f t="shared" si="3"/>
        <v>0</v>
      </c>
      <c r="K40" s="3985" t="str">
        <f t="shared" si="0"/>
        <v/>
      </c>
      <c r="M40" s="3123">
        <f t="shared" si="4"/>
        <v>0</v>
      </c>
      <c r="N40" s="3123">
        <f t="shared" si="1"/>
        <v>0</v>
      </c>
    </row>
    <row r="41" spans="1:14" x14ac:dyDescent="0.2">
      <c r="A41" s="3748">
        <v>33</v>
      </c>
      <c r="B41" s="3352"/>
      <c r="C41" s="363"/>
      <c r="D41" s="809"/>
      <c r="E41" s="3989"/>
      <c r="F41" s="3990"/>
      <c r="G41" s="3989"/>
      <c r="H41" s="1899">
        <f t="shared" si="2"/>
        <v>0</v>
      </c>
      <c r="I41" s="3989"/>
      <c r="J41" s="3991">
        <f t="shared" si="3"/>
        <v>0</v>
      </c>
      <c r="K41" s="3985"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credit!",IF(AND(ya&gt;F41+4,I41&gt;0),"Credit cannot be utilised - 5 year limit",""))))))))</f>
        <v/>
      </c>
      <c r="M41" s="3123">
        <f t="shared" si="4"/>
        <v>0</v>
      </c>
      <c r="N41" s="3123">
        <f t="shared" si="1"/>
        <v>0</v>
      </c>
    </row>
    <row r="42" spans="1:14" x14ac:dyDescent="0.2">
      <c r="A42" s="3748">
        <v>34</v>
      </c>
      <c r="B42" s="3352"/>
      <c r="C42" s="363"/>
      <c r="D42" s="809"/>
      <c r="E42" s="3989"/>
      <c r="F42" s="3990"/>
      <c r="G42" s="3989"/>
      <c r="H42" s="1899">
        <f t="shared" si="2"/>
        <v>0</v>
      </c>
      <c r="I42" s="3989"/>
      <c r="J42" s="3991">
        <f t="shared" si="3"/>
        <v>0</v>
      </c>
      <c r="K42" s="3985" t="str">
        <f t="shared" si="5"/>
        <v/>
      </c>
      <c r="M42" s="3123">
        <f t="shared" si="4"/>
        <v>0</v>
      </c>
      <c r="N42" s="3123">
        <f t="shared" si="1"/>
        <v>0</v>
      </c>
    </row>
    <row r="43" spans="1:14" x14ac:dyDescent="0.2">
      <c r="A43" s="3748">
        <v>35</v>
      </c>
      <c r="B43" s="3352"/>
      <c r="C43" s="363"/>
      <c r="D43" s="809"/>
      <c r="E43" s="3989"/>
      <c r="F43" s="3990"/>
      <c r="G43" s="3989"/>
      <c r="H43" s="1899">
        <f t="shared" si="2"/>
        <v>0</v>
      </c>
      <c r="I43" s="3989"/>
      <c r="J43" s="3991">
        <f t="shared" si="3"/>
        <v>0</v>
      </c>
      <c r="K43" s="3985" t="str">
        <f t="shared" si="5"/>
        <v/>
      </c>
      <c r="M43" s="3123">
        <f t="shared" si="4"/>
        <v>0</v>
      </c>
      <c r="N43" s="3123">
        <f t="shared" si="1"/>
        <v>0</v>
      </c>
    </row>
    <row r="44" spans="1:14" x14ac:dyDescent="0.2">
      <c r="A44" s="3748">
        <v>36</v>
      </c>
      <c r="B44" s="3352"/>
      <c r="C44" s="363"/>
      <c r="D44" s="809"/>
      <c r="E44" s="3989"/>
      <c r="F44" s="3990"/>
      <c r="G44" s="3989"/>
      <c r="H44" s="1899">
        <f t="shared" si="2"/>
        <v>0</v>
      </c>
      <c r="I44" s="3989"/>
      <c r="J44" s="3991">
        <f t="shared" si="3"/>
        <v>0</v>
      </c>
      <c r="K44" s="3985" t="str">
        <f t="shared" si="5"/>
        <v/>
      </c>
      <c r="M44" s="3123">
        <f t="shared" si="4"/>
        <v>0</v>
      </c>
      <c r="N44" s="3123">
        <f t="shared" si="1"/>
        <v>0</v>
      </c>
    </row>
    <row r="45" spans="1:14" x14ac:dyDescent="0.2">
      <c r="A45" s="3748">
        <v>37</v>
      </c>
      <c r="B45" s="3352"/>
      <c r="C45" s="363"/>
      <c r="D45" s="809"/>
      <c r="E45" s="3989"/>
      <c r="F45" s="3990"/>
      <c r="G45" s="3989"/>
      <c r="H45" s="1899">
        <f t="shared" si="2"/>
        <v>0</v>
      </c>
      <c r="I45" s="3989"/>
      <c r="J45" s="3991">
        <f t="shared" si="3"/>
        <v>0</v>
      </c>
      <c r="K45" s="3985" t="str">
        <f t="shared" si="5"/>
        <v/>
      </c>
      <c r="M45" s="3123">
        <f t="shared" si="4"/>
        <v>0</v>
      </c>
      <c r="N45" s="3123">
        <f t="shared" si="1"/>
        <v>0</v>
      </c>
    </row>
    <row r="46" spans="1:14" x14ac:dyDescent="0.2">
      <c r="A46" s="3748">
        <v>38</v>
      </c>
      <c r="B46" s="3352"/>
      <c r="C46" s="363"/>
      <c r="D46" s="809"/>
      <c r="E46" s="3989"/>
      <c r="F46" s="3990"/>
      <c r="G46" s="3989"/>
      <c r="H46" s="1899">
        <f t="shared" si="2"/>
        <v>0</v>
      </c>
      <c r="I46" s="3989"/>
      <c r="J46" s="3991">
        <f t="shared" si="3"/>
        <v>0</v>
      </c>
      <c r="K46" s="3985" t="str">
        <f t="shared" si="5"/>
        <v/>
      </c>
      <c r="M46" s="3123">
        <f t="shared" si="4"/>
        <v>0</v>
      </c>
      <c r="N46" s="3123">
        <f t="shared" si="1"/>
        <v>0</v>
      </c>
    </row>
    <row r="47" spans="1:14" x14ac:dyDescent="0.2">
      <c r="A47" s="3748">
        <v>39</v>
      </c>
      <c r="B47" s="3352"/>
      <c r="C47" s="363"/>
      <c r="D47" s="809"/>
      <c r="E47" s="3989"/>
      <c r="F47" s="3990"/>
      <c r="G47" s="3989"/>
      <c r="H47" s="1899">
        <f t="shared" si="2"/>
        <v>0</v>
      </c>
      <c r="I47" s="3989"/>
      <c r="J47" s="3991">
        <f t="shared" si="3"/>
        <v>0</v>
      </c>
      <c r="K47" s="3985" t="str">
        <f t="shared" si="5"/>
        <v/>
      </c>
      <c r="M47" s="3123">
        <f t="shared" si="4"/>
        <v>0</v>
      </c>
      <c r="N47" s="3123">
        <f t="shared" si="1"/>
        <v>0</v>
      </c>
    </row>
    <row r="48" spans="1:14" x14ac:dyDescent="0.2">
      <c r="A48" s="3748">
        <v>40</v>
      </c>
      <c r="B48" s="3352"/>
      <c r="C48" s="363"/>
      <c r="D48" s="809"/>
      <c r="E48" s="3989"/>
      <c r="F48" s="3990"/>
      <c r="G48" s="3989"/>
      <c r="H48" s="1899">
        <f t="shared" si="2"/>
        <v>0</v>
      </c>
      <c r="I48" s="3989"/>
      <c r="J48" s="3991">
        <f t="shared" si="3"/>
        <v>0</v>
      </c>
      <c r="K48" s="3985" t="str">
        <f t="shared" si="5"/>
        <v/>
      </c>
      <c r="M48" s="3123">
        <f t="shared" si="4"/>
        <v>0</v>
      </c>
      <c r="N48" s="3123">
        <f t="shared" si="1"/>
        <v>0</v>
      </c>
    </row>
    <row r="49" spans="1:14" x14ac:dyDescent="0.2">
      <c r="A49" s="3748">
        <v>41</v>
      </c>
      <c r="B49" s="3352"/>
      <c r="C49" s="363"/>
      <c r="D49" s="809"/>
      <c r="E49" s="3989"/>
      <c r="F49" s="3990"/>
      <c r="G49" s="3989"/>
      <c r="H49" s="1899">
        <f t="shared" si="2"/>
        <v>0</v>
      </c>
      <c r="I49" s="3989"/>
      <c r="J49" s="3991">
        <f t="shared" si="3"/>
        <v>0</v>
      </c>
      <c r="K49" s="3985" t="str">
        <f t="shared" si="5"/>
        <v/>
      </c>
      <c r="M49" s="3123">
        <f t="shared" si="4"/>
        <v>0</v>
      </c>
      <c r="N49" s="3123">
        <f t="shared" si="1"/>
        <v>0</v>
      </c>
    </row>
    <row r="50" spans="1:14" x14ac:dyDescent="0.2">
      <c r="A50" s="3748">
        <v>42</v>
      </c>
      <c r="B50" s="3352"/>
      <c r="C50" s="363"/>
      <c r="D50" s="809"/>
      <c r="E50" s="3989"/>
      <c r="F50" s="3990"/>
      <c r="G50" s="3989"/>
      <c r="H50" s="1899">
        <f t="shared" si="2"/>
        <v>0</v>
      </c>
      <c r="I50" s="3989"/>
      <c r="J50" s="3991">
        <f t="shared" si="3"/>
        <v>0</v>
      </c>
      <c r="K50" s="3985" t="str">
        <f t="shared" si="5"/>
        <v/>
      </c>
      <c r="M50" s="3123">
        <f t="shared" si="4"/>
        <v>0</v>
      </c>
      <c r="N50" s="3123">
        <f t="shared" si="1"/>
        <v>0</v>
      </c>
    </row>
    <row r="51" spans="1:14" x14ac:dyDescent="0.2">
      <c r="A51" s="3748">
        <v>43</v>
      </c>
      <c r="B51" s="3352"/>
      <c r="C51" s="363"/>
      <c r="D51" s="809"/>
      <c r="E51" s="3989"/>
      <c r="F51" s="3990"/>
      <c r="G51" s="3989"/>
      <c r="H51" s="1899">
        <f t="shared" si="2"/>
        <v>0</v>
      </c>
      <c r="I51" s="3989"/>
      <c r="J51" s="3991">
        <f t="shared" si="3"/>
        <v>0</v>
      </c>
      <c r="K51" s="3985" t="str">
        <f t="shared" si="5"/>
        <v/>
      </c>
      <c r="M51" s="3123">
        <f t="shared" si="4"/>
        <v>0</v>
      </c>
      <c r="N51" s="3123">
        <f t="shared" si="1"/>
        <v>0</v>
      </c>
    </row>
    <row r="52" spans="1:14" x14ac:dyDescent="0.2">
      <c r="A52" s="3748">
        <v>44</v>
      </c>
      <c r="B52" s="3352"/>
      <c r="C52" s="363"/>
      <c r="D52" s="809"/>
      <c r="E52" s="3989"/>
      <c r="F52" s="3990"/>
      <c r="G52" s="3989"/>
      <c r="H52" s="1899">
        <f t="shared" si="2"/>
        <v>0</v>
      </c>
      <c r="I52" s="3989"/>
      <c r="J52" s="3991">
        <f t="shared" si="3"/>
        <v>0</v>
      </c>
      <c r="K52" s="3985" t="str">
        <f t="shared" si="5"/>
        <v/>
      </c>
      <c r="M52" s="3123">
        <f t="shared" si="4"/>
        <v>0</v>
      </c>
      <c r="N52" s="3123">
        <f t="shared" si="1"/>
        <v>0</v>
      </c>
    </row>
    <row r="53" spans="1:14" x14ac:dyDescent="0.2">
      <c r="A53" s="3748">
        <v>45</v>
      </c>
      <c r="B53" s="3352"/>
      <c r="C53" s="363"/>
      <c r="D53" s="809"/>
      <c r="E53" s="3989"/>
      <c r="F53" s="3990"/>
      <c r="G53" s="3989"/>
      <c r="H53" s="1899">
        <f t="shared" si="2"/>
        <v>0</v>
      </c>
      <c r="I53" s="3989"/>
      <c r="J53" s="3991">
        <f t="shared" si="3"/>
        <v>0</v>
      </c>
      <c r="K53" s="3985" t="str">
        <f t="shared" si="5"/>
        <v/>
      </c>
      <c r="M53" s="3123">
        <f t="shared" si="4"/>
        <v>0</v>
      </c>
      <c r="N53" s="3123">
        <f t="shared" si="1"/>
        <v>0</v>
      </c>
    </row>
    <row r="54" spans="1:14" x14ac:dyDescent="0.2">
      <c r="A54" s="3748">
        <v>46</v>
      </c>
      <c r="B54" s="3352"/>
      <c r="C54" s="363"/>
      <c r="D54" s="809"/>
      <c r="E54" s="3989"/>
      <c r="F54" s="3990"/>
      <c r="G54" s="3989"/>
      <c r="H54" s="1899">
        <f t="shared" si="2"/>
        <v>0</v>
      </c>
      <c r="I54" s="3989"/>
      <c r="J54" s="3991">
        <f t="shared" si="3"/>
        <v>0</v>
      </c>
      <c r="K54" s="3985" t="str">
        <f t="shared" si="5"/>
        <v/>
      </c>
      <c r="M54" s="3123">
        <f t="shared" si="4"/>
        <v>0</v>
      </c>
      <c r="N54" s="3123">
        <f t="shared" si="1"/>
        <v>0</v>
      </c>
    </row>
    <row r="55" spans="1:14" x14ac:dyDescent="0.2">
      <c r="A55" s="3748">
        <v>47</v>
      </c>
      <c r="B55" s="3352"/>
      <c r="C55" s="363"/>
      <c r="D55" s="809"/>
      <c r="E55" s="3989"/>
      <c r="F55" s="3990"/>
      <c r="G55" s="3989"/>
      <c r="H55" s="1899">
        <f t="shared" si="2"/>
        <v>0</v>
      </c>
      <c r="I55" s="3989"/>
      <c r="J55" s="3991">
        <f t="shared" si="3"/>
        <v>0</v>
      </c>
      <c r="K55" s="3985" t="str">
        <f t="shared" si="5"/>
        <v/>
      </c>
      <c r="M55" s="3123">
        <f t="shared" si="4"/>
        <v>0</v>
      </c>
      <c r="N55" s="3123">
        <f t="shared" si="1"/>
        <v>0</v>
      </c>
    </row>
    <row r="56" spans="1:14" x14ac:dyDescent="0.2">
      <c r="A56" s="3748">
        <v>48</v>
      </c>
      <c r="B56" s="3352"/>
      <c r="C56" s="363"/>
      <c r="D56" s="809"/>
      <c r="E56" s="3989"/>
      <c r="F56" s="3990"/>
      <c r="G56" s="3989"/>
      <c r="H56" s="1899">
        <f t="shared" si="2"/>
        <v>0</v>
      </c>
      <c r="I56" s="3989"/>
      <c r="J56" s="3991">
        <f t="shared" si="3"/>
        <v>0</v>
      </c>
      <c r="K56" s="3985" t="str">
        <f t="shared" si="5"/>
        <v/>
      </c>
      <c r="M56" s="3123">
        <f t="shared" si="4"/>
        <v>0</v>
      </c>
      <c r="N56" s="3123">
        <f t="shared" si="1"/>
        <v>0</v>
      </c>
    </row>
    <row r="57" spans="1:14" x14ac:dyDescent="0.2">
      <c r="A57" s="3748">
        <v>49</v>
      </c>
      <c r="B57" s="3352"/>
      <c r="C57" s="363"/>
      <c r="D57" s="809"/>
      <c r="E57" s="3989"/>
      <c r="F57" s="3990"/>
      <c r="G57" s="3989"/>
      <c r="H57" s="1899">
        <f t="shared" si="2"/>
        <v>0</v>
      </c>
      <c r="I57" s="3989"/>
      <c r="J57" s="3991">
        <f t="shared" si="3"/>
        <v>0</v>
      </c>
      <c r="K57" s="3985" t="str">
        <f t="shared" si="5"/>
        <v/>
      </c>
      <c r="M57" s="3123">
        <f t="shared" si="4"/>
        <v>0</v>
      </c>
      <c r="N57" s="3123">
        <f t="shared" si="1"/>
        <v>0</v>
      </c>
    </row>
    <row r="58" spans="1:14" x14ac:dyDescent="0.2">
      <c r="A58" s="3748">
        <v>50</v>
      </c>
      <c r="B58" s="3352"/>
      <c r="C58" s="363"/>
      <c r="D58" s="809"/>
      <c r="E58" s="3989"/>
      <c r="F58" s="3990"/>
      <c r="G58" s="3989"/>
      <c r="H58" s="1899">
        <f t="shared" si="2"/>
        <v>0</v>
      </c>
      <c r="I58" s="3989"/>
      <c r="J58" s="3991">
        <f t="shared" si="3"/>
        <v>0</v>
      </c>
      <c r="K58" s="3985" t="str">
        <f t="shared" si="5"/>
        <v/>
      </c>
      <c r="M58" s="3123">
        <f t="shared" si="4"/>
        <v>0</v>
      </c>
      <c r="N58" s="3123">
        <f t="shared" si="1"/>
        <v>0</v>
      </c>
    </row>
    <row r="59" spans="1:14" x14ac:dyDescent="0.2">
      <c r="A59" s="3748">
        <v>51</v>
      </c>
      <c r="B59" s="3352"/>
      <c r="C59" s="363"/>
      <c r="D59" s="809"/>
      <c r="E59" s="3989"/>
      <c r="F59" s="3990"/>
      <c r="G59" s="3989"/>
      <c r="H59" s="1899">
        <f t="shared" si="2"/>
        <v>0</v>
      </c>
      <c r="I59" s="3989"/>
      <c r="J59" s="3991">
        <f t="shared" si="3"/>
        <v>0</v>
      </c>
      <c r="K59" s="3985" t="str">
        <f t="shared" si="5"/>
        <v/>
      </c>
      <c r="M59" s="3123">
        <f t="shared" si="4"/>
        <v>0</v>
      </c>
      <c r="N59" s="3123">
        <f t="shared" si="1"/>
        <v>0</v>
      </c>
    </row>
    <row r="60" spans="1:14" x14ac:dyDescent="0.2">
      <c r="A60" s="3748">
        <v>52</v>
      </c>
      <c r="B60" s="3352"/>
      <c r="C60" s="363"/>
      <c r="D60" s="809"/>
      <c r="E60" s="3989"/>
      <c r="F60" s="3990"/>
      <c r="G60" s="3989"/>
      <c r="H60" s="1899">
        <f t="shared" si="2"/>
        <v>0</v>
      </c>
      <c r="I60" s="3989"/>
      <c r="J60" s="3991">
        <f t="shared" si="3"/>
        <v>0</v>
      </c>
      <c r="K60" s="3985" t="str">
        <f t="shared" si="5"/>
        <v/>
      </c>
      <c r="M60" s="3123">
        <f t="shared" si="4"/>
        <v>0</v>
      </c>
      <c r="N60" s="3123">
        <f t="shared" si="1"/>
        <v>0</v>
      </c>
    </row>
    <row r="61" spans="1:14" x14ac:dyDescent="0.2">
      <c r="A61" s="3748">
        <v>53</v>
      </c>
      <c r="B61" s="3352"/>
      <c r="C61" s="363"/>
      <c r="D61" s="809"/>
      <c r="E61" s="3989"/>
      <c r="F61" s="3990"/>
      <c r="G61" s="3989"/>
      <c r="H61" s="1899">
        <f t="shared" si="2"/>
        <v>0</v>
      </c>
      <c r="I61" s="3989"/>
      <c r="J61" s="3991">
        <f t="shared" si="3"/>
        <v>0</v>
      </c>
      <c r="K61" s="3985" t="str">
        <f t="shared" si="5"/>
        <v/>
      </c>
      <c r="M61" s="3123">
        <f t="shared" si="4"/>
        <v>0</v>
      </c>
      <c r="N61" s="3123">
        <f t="shared" si="1"/>
        <v>0</v>
      </c>
    </row>
    <row r="62" spans="1:14" x14ac:dyDescent="0.2">
      <c r="A62" s="3748">
        <v>54</v>
      </c>
      <c r="B62" s="3352"/>
      <c r="C62" s="363"/>
      <c r="D62" s="809"/>
      <c r="E62" s="3989"/>
      <c r="F62" s="3990"/>
      <c r="G62" s="3989"/>
      <c r="H62" s="1899">
        <f t="shared" si="2"/>
        <v>0</v>
      </c>
      <c r="I62" s="3989"/>
      <c r="J62" s="3991">
        <f t="shared" si="3"/>
        <v>0</v>
      </c>
      <c r="K62" s="3985" t="str">
        <f t="shared" si="5"/>
        <v/>
      </c>
      <c r="M62" s="3123">
        <f t="shared" si="4"/>
        <v>0</v>
      </c>
      <c r="N62" s="3123">
        <f t="shared" si="1"/>
        <v>0</v>
      </c>
    </row>
    <row r="63" spans="1:14" x14ac:dyDescent="0.2">
      <c r="A63" s="3748">
        <v>55</v>
      </c>
      <c r="B63" s="3352"/>
      <c r="C63" s="363"/>
      <c r="D63" s="809"/>
      <c r="E63" s="3989"/>
      <c r="F63" s="3990"/>
      <c r="G63" s="3989"/>
      <c r="H63" s="1899">
        <f t="shared" si="2"/>
        <v>0</v>
      </c>
      <c r="I63" s="3989"/>
      <c r="J63" s="3991">
        <f t="shared" si="3"/>
        <v>0</v>
      </c>
      <c r="K63" s="3985" t="str">
        <f t="shared" si="5"/>
        <v/>
      </c>
      <c r="M63" s="3123">
        <f t="shared" si="4"/>
        <v>0</v>
      </c>
      <c r="N63" s="3123">
        <f t="shared" si="1"/>
        <v>0</v>
      </c>
    </row>
    <row r="64" spans="1:14" x14ac:dyDescent="0.2">
      <c r="A64" s="3748">
        <v>56</v>
      </c>
      <c r="B64" s="3352"/>
      <c r="C64" s="363"/>
      <c r="D64" s="809"/>
      <c r="E64" s="3989"/>
      <c r="F64" s="3990"/>
      <c r="G64" s="3989"/>
      <c r="H64" s="1899">
        <f t="shared" si="2"/>
        <v>0</v>
      </c>
      <c r="I64" s="3989"/>
      <c r="J64" s="3991">
        <f t="shared" si="3"/>
        <v>0</v>
      </c>
      <c r="K64" s="3985" t="str">
        <f t="shared" si="5"/>
        <v/>
      </c>
      <c r="M64" s="3123">
        <f t="shared" si="4"/>
        <v>0</v>
      </c>
      <c r="N64" s="3123">
        <f t="shared" si="1"/>
        <v>0</v>
      </c>
    </row>
    <row r="65" spans="1:18" x14ac:dyDescent="0.2">
      <c r="A65" s="3748">
        <v>57</v>
      </c>
      <c r="B65" s="3352"/>
      <c r="C65" s="363"/>
      <c r="D65" s="809"/>
      <c r="E65" s="3989"/>
      <c r="F65" s="3990"/>
      <c r="G65" s="3989"/>
      <c r="H65" s="1899">
        <f t="shared" si="2"/>
        <v>0</v>
      </c>
      <c r="I65" s="3989"/>
      <c r="J65" s="3991">
        <f t="shared" si="3"/>
        <v>0</v>
      </c>
      <c r="K65" s="3985" t="str">
        <f t="shared" si="5"/>
        <v/>
      </c>
      <c r="M65" s="3123">
        <f t="shared" si="4"/>
        <v>0</v>
      </c>
      <c r="N65" s="3123">
        <f t="shared" si="1"/>
        <v>0</v>
      </c>
    </row>
    <row r="66" spans="1:18" x14ac:dyDescent="0.2">
      <c r="A66" s="3748">
        <v>58</v>
      </c>
      <c r="B66" s="3352"/>
      <c r="C66" s="363"/>
      <c r="D66" s="809"/>
      <c r="E66" s="3989"/>
      <c r="F66" s="3990"/>
      <c r="G66" s="3989"/>
      <c r="H66" s="1899">
        <f t="shared" si="2"/>
        <v>0</v>
      </c>
      <c r="I66" s="3989"/>
      <c r="J66" s="3991">
        <f t="shared" si="3"/>
        <v>0</v>
      </c>
      <c r="K66" s="3985" t="str">
        <f t="shared" si="5"/>
        <v/>
      </c>
      <c r="M66" s="3123">
        <f t="shared" si="4"/>
        <v>0</v>
      </c>
      <c r="N66" s="3123">
        <f t="shared" si="1"/>
        <v>0</v>
      </c>
    </row>
    <row r="67" spans="1:18" x14ac:dyDescent="0.2">
      <c r="A67" s="3748">
        <v>59</v>
      </c>
      <c r="B67" s="3352"/>
      <c r="C67" s="363"/>
      <c r="D67" s="809"/>
      <c r="E67" s="3989"/>
      <c r="F67" s="3990"/>
      <c r="G67" s="3989"/>
      <c r="H67" s="1899">
        <f t="shared" si="2"/>
        <v>0</v>
      </c>
      <c r="I67" s="3989"/>
      <c r="J67" s="3991">
        <f t="shared" si="3"/>
        <v>0</v>
      </c>
      <c r="K67" s="3985" t="str">
        <f t="shared" si="5"/>
        <v/>
      </c>
      <c r="M67" s="3123">
        <f t="shared" si="4"/>
        <v>0</v>
      </c>
      <c r="N67" s="3123">
        <f t="shared" si="1"/>
        <v>0</v>
      </c>
    </row>
    <row r="68" spans="1:18" x14ac:dyDescent="0.2">
      <c r="A68" s="3748">
        <v>60</v>
      </c>
      <c r="B68" s="3352"/>
      <c r="C68" s="363"/>
      <c r="D68" s="809"/>
      <c r="E68" s="3989"/>
      <c r="F68" s="3990"/>
      <c r="G68" s="3989"/>
      <c r="H68" s="1899">
        <f t="shared" si="2"/>
        <v>0</v>
      </c>
      <c r="I68" s="3989"/>
      <c r="J68" s="3991">
        <f t="shared" si="3"/>
        <v>0</v>
      </c>
      <c r="K68" s="3985" t="str">
        <f t="shared" si="5"/>
        <v/>
      </c>
      <c r="M68" s="3123">
        <f t="shared" si="4"/>
        <v>0</v>
      </c>
      <c r="N68" s="3123">
        <f t="shared" si="1"/>
        <v>0</v>
      </c>
    </row>
    <row r="69" spans="1:18" x14ac:dyDescent="0.2">
      <c r="A69" s="3748">
        <v>61</v>
      </c>
      <c r="B69" s="3352"/>
      <c r="C69" s="363"/>
      <c r="D69" s="809"/>
      <c r="E69" s="3989"/>
      <c r="F69" s="3990"/>
      <c r="G69" s="3989"/>
      <c r="H69" s="1899">
        <f t="shared" si="2"/>
        <v>0</v>
      </c>
      <c r="I69" s="3989"/>
      <c r="J69" s="3991">
        <f t="shared" si="3"/>
        <v>0</v>
      </c>
      <c r="K69" s="3985" t="str">
        <f t="shared" si="5"/>
        <v/>
      </c>
      <c r="M69" s="3123">
        <f t="shared" si="4"/>
        <v>0</v>
      </c>
      <c r="N69" s="3123">
        <f t="shared" si="1"/>
        <v>0</v>
      </c>
    </row>
    <row r="70" spans="1:18" x14ac:dyDescent="0.2">
      <c r="A70" s="3748">
        <v>62</v>
      </c>
      <c r="B70" s="3352"/>
      <c r="C70" s="363"/>
      <c r="D70" s="809"/>
      <c r="E70" s="3989"/>
      <c r="F70" s="3990"/>
      <c r="G70" s="3989"/>
      <c r="H70" s="1899">
        <f t="shared" si="2"/>
        <v>0</v>
      </c>
      <c r="I70" s="3989"/>
      <c r="J70" s="3991">
        <f t="shared" si="3"/>
        <v>0</v>
      </c>
      <c r="K70" s="3985" t="str">
        <f t="shared" si="5"/>
        <v/>
      </c>
      <c r="M70" s="3123">
        <f t="shared" si="4"/>
        <v>0</v>
      </c>
      <c r="N70" s="3123">
        <f t="shared" si="1"/>
        <v>0</v>
      </c>
    </row>
    <row r="71" spans="1:18" x14ac:dyDescent="0.2">
      <c r="A71" s="3748">
        <v>63</v>
      </c>
      <c r="B71" s="3352"/>
      <c r="C71" s="363"/>
      <c r="D71" s="809"/>
      <c r="E71" s="3989"/>
      <c r="F71" s="3990"/>
      <c r="G71" s="3989"/>
      <c r="H71" s="1899">
        <f t="shared" si="2"/>
        <v>0</v>
      </c>
      <c r="I71" s="3989"/>
      <c r="J71" s="3991">
        <f t="shared" si="3"/>
        <v>0</v>
      </c>
      <c r="K71" s="3985" t="str">
        <f t="shared" si="5"/>
        <v/>
      </c>
      <c r="M71" s="3123">
        <f t="shared" si="4"/>
        <v>0</v>
      </c>
      <c r="N71" s="3123">
        <f t="shared" si="1"/>
        <v>0</v>
      </c>
    </row>
    <row r="72" spans="1:18" x14ac:dyDescent="0.2">
      <c r="A72" s="3748">
        <v>64</v>
      </c>
      <c r="B72" s="3352"/>
      <c r="C72" s="363"/>
      <c r="D72" s="809"/>
      <c r="E72" s="3989"/>
      <c r="F72" s="3990"/>
      <c r="G72" s="3989"/>
      <c r="H72" s="1899">
        <f t="shared" si="2"/>
        <v>0</v>
      </c>
      <c r="I72" s="3989"/>
      <c r="J72" s="3991">
        <f t="shared" si="3"/>
        <v>0</v>
      </c>
      <c r="K72" s="3985" t="str">
        <f t="shared" si="5"/>
        <v/>
      </c>
      <c r="M72" s="3123">
        <f t="shared" si="4"/>
        <v>0</v>
      </c>
      <c r="N72" s="3123">
        <f t="shared" si="1"/>
        <v>0</v>
      </c>
    </row>
    <row r="73" spans="1:18" x14ac:dyDescent="0.2">
      <c r="A73" s="3748">
        <v>65</v>
      </c>
      <c r="B73" s="3352"/>
      <c r="C73" s="363"/>
      <c r="D73" s="809"/>
      <c r="E73" s="3989"/>
      <c r="F73" s="3990"/>
      <c r="G73" s="3989"/>
      <c r="H73" s="1899">
        <f t="shared" si="2"/>
        <v>0</v>
      </c>
      <c r="I73" s="3989"/>
      <c r="J73" s="3991">
        <f t="shared" si="3"/>
        <v>0</v>
      </c>
      <c r="K73" s="3985" t="str">
        <f t="shared" ref="K73:K78" si="6">IF(AND($G$6&gt;0,A73&lt;=$G$6,N73=0),re,IF(AND($O$1="n",B73&lt;&gt;""),"Not a fiscal Unit",IF(AND($G$6&gt;0,A73&lt;=$G$6,$O$1="y",N73&lt;7),"All data",IF(AND(A73&gt;$G$6,N73&gt;0),"No details required",IF(AND($G$6&gt;0,A73&lt;=$G$6,$O$1="n",N73&lt;6),"All data",IF(AND(F73&gt;=$R$1,G73&gt;0),"Check utilised credit in previous years",IF(I73&gt;H73,"Excessive utilised credit!",IF(AND(ya&gt;F73+4,I73&gt;0),"Credit cannot be utilised - 5 year limit",""))))))))</f>
        <v/>
      </c>
      <c r="M73" s="3123">
        <f t="shared" si="4"/>
        <v>0</v>
      </c>
      <c r="N73" s="3123">
        <f t="shared" ref="N73:N78" si="7">IF($O$1="n",COUNTA(C73:G73,I73),IF($O$1="y",COUNTA(B73:G73,I73),0))</f>
      </c>
    </row>
    <row r="74" spans="1:18" x14ac:dyDescent="0.2">
      <c r="A74" s="3748">
        <v>66</v>
      </c>
      <c r="B74" s="3352"/>
      <c r="C74" s="363"/>
      <c r="D74" s="809"/>
      <c r="E74" s="3989"/>
      <c r="F74" s="3990"/>
      <c r="G74" s="3989"/>
      <c r="H74" s="1899">
        <f t="shared" si="2"/>
        <v>0</v>
      </c>
      <c r="I74" s="3989"/>
      <c r="J74" s="3991">
        <f t="shared" si="3"/>
        <v>0</v>
      </c>
      <c r="K74" s="3985" t="str">
        <f t="shared" si="6"/>
        <v/>
      </c>
      <c r="M74" s="3123">
        <f t="shared" si="4"/>
        <v>0</v>
      </c>
      <c r="N74" s="3123">
        <f t="shared" si="7"/>
        <v>0</v>
      </c>
    </row>
    <row r="75" spans="1:18" x14ac:dyDescent="0.2">
      <c r="A75" s="3748">
        <v>67</v>
      </c>
      <c r="B75" s="3352"/>
      <c r="C75" s="363"/>
      <c r="D75" s="809"/>
      <c r="E75" s="3989"/>
      <c r="F75" s="3990"/>
      <c r="G75" s="3989"/>
      <c r="H75" s="1899">
        <f t="shared" si="2"/>
        <v>0</v>
      </c>
      <c r="I75" s="3989"/>
      <c r="J75" s="3991">
        <f t="shared" si="3"/>
        <v>0</v>
      </c>
      <c r="K75" s="3985" t="str">
        <f t="shared" si="6"/>
        <v/>
      </c>
      <c r="M75" s="3123">
        <f t="shared" si="4"/>
        <v>0</v>
      </c>
      <c r="N75" s="3123">
        <f t="shared" si="7"/>
        <v>0</v>
      </c>
    </row>
    <row r="76" spans="1:18" x14ac:dyDescent="0.2">
      <c r="A76" s="3748">
        <v>68</v>
      </c>
      <c r="B76" s="3352"/>
      <c r="C76" s="363"/>
      <c r="D76" s="809"/>
      <c r="E76" s="3989"/>
      <c r="F76" s="3990"/>
      <c r="G76" s="3989"/>
      <c r="H76" s="1899">
        <f t="shared" si="2"/>
        <v>0</v>
      </c>
      <c r="I76" s="3989"/>
      <c r="J76" s="3991">
        <f t="shared" si="3"/>
        <v>0</v>
      </c>
      <c r="K76" s="3985" t="str">
        <f t="shared" si="6"/>
        <v/>
      </c>
      <c r="M76" s="3123">
        <f t="shared" si="4"/>
        <v>0</v>
      </c>
      <c r="N76" s="3123">
        <f t="shared" si="7"/>
        <v>0</v>
      </c>
    </row>
    <row r="77" spans="1:18" x14ac:dyDescent="0.2">
      <c r="A77" s="3748">
        <v>69</v>
      </c>
      <c r="B77" s="3352"/>
      <c r="C77" s="363"/>
      <c r="D77" s="809"/>
      <c r="E77" s="3989"/>
      <c r="F77" s="3990"/>
      <c r="G77" s="3989"/>
      <c r="H77" s="1899">
        <f t="shared" si="2"/>
        <v>0</v>
      </c>
      <c r="I77" s="3989"/>
      <c r="J77" s="3991">
        <f t="shared" si="3"/>
        <v>0</v>
      </c>
      <c r="K77" s="3985" t="str">
        <f t="shared" si="6"/>
        <v/>
      </c>
      <c r="M77" s="3123">
        <f t="shared" si="4"/>
        <v>0</v>
      </c>
      <c r="N77" s="3123">
        <f t="shared" si="7"/>
        <v>0</v>
      </c>
    </row>
    <row r="78" spans="1:18" x14ac:dyDescent="0.2">
      <c r="A78" s="3748">
        <v>70</v>
      </c>
      <c r="B78" s="3352"/>
      <c r="C78" s="363"/>
      <c r="D78" s="809"/>
      <c r="E78" s="3989"/>
      <c r="F78" s="3990"/>
      <c r="G78" s="3989"/>
      <c r="H78" s="1899">
        <f t="shared" si="2"/>
        <v>0</v>
      </c>
      <c r="I78" s="3989"/>
      <c r="J78" s="3991">
        <f t="shared" si="3"/>
        <v>0</v>
      </c>
      <c r="K78" s="3985" t="str">
        <f t="shared" si="6"/>
        <v/>
      </c>
      <c r="M78" s="3123">
        <f t="shared" si="4"/>
        <v>0</v>
      </c>
      <c r="N78" s="3123">
        <f t="shared" si="7"/>
        <v>0</v>
      </c>
    </row>
    <row r="79" spans="1:18" x14ac:dyDescent="0.2">
      <c r="A79" s="3315"/>
      <c r="B79" s="2239" t="s">
        <v>9115</v>
      </c>
      <c r="C79" s="2238"/>
      <c r="D79" s="2238"/>
      <c r="E79" s="1898">
        <f>SUM(E9:E78)</f>
      </c>
      <c r="F79" s="3315"/>
      <c r="G79" s="3315"/>
      <c r="H79" s="3315"/>
      <c r="I79" s="3315"/>
      <c r="J79" s="3315"/>
      <c r="K79" s="3315"/>
    </row>
    <row r="80" spans="1:18" x14ac:dyDescent="0.2">
      <c r="A80" s="3315"/>
      <c r="B80" s="1942" t="s">
        <v>7159</v>
      </c>
      <c r="C80" s="2238"/>
      <c r="D80" s="1942"/>
      <c r="E80" s="1942"/>
      <c r="F80" s="1942"/>
      <c r="G80" s="1898">
        <f>SUM(G9:G78)</f>
      </c>
      <c r="H80" s="3315"/>
      <c r="I80" s="3315"/>
      <c r="J80" s="3315"/>
      <c r="K80" s="3315"/>
      <c r="P80" s="3123"/>
      <c r="Q80" s="3338">
        <f>MIN(Q82,R81)</f>
      </c>
      <c r="R80" s="3123"/>
    </row>
    <row r="81" spans="1:18" x14ac:dyDescent="0.2">
      <c r="A81" s="3315"/>
      <c r="B81" s="2239" t="s">
        <v>7332</v>
      </c>
      <c r="C81" s="2238"/>
      <c r="D81" s="2238"/>
      <c r="E81" s="2238"/>
      <c r="F81" s="2238"/>
      <c r="G81" s="2238"/>
      <c r="H81" s="1898">
        <f>SUM(H9:H78)</f>
      </c>
      <c r="I81" s="3315"/>
      <c r="J81" s="3315"/>
      <c r="K81" s="3315"/>
      <c r="P81" s="3338">
        <v>44927</v>
      </c>
      <c r="Q81" s="3272">
        <v>45291</v>
      </c>
      <c r="R81" s="3272">
        <f>DATE(ya,12,31)</f>
      </c>
    </row>
    <row r="82" spans="1:18" x14ac:dyDescent="0.2">
      <c r="A82" s="3315"/>
      <c r="B82" s="2239" t="s">
        <v>7157</v>
      </c>
      <c r="C82" s="2238"/>
      <c r="D82" s="2238"/>
      <c r="E82" s="2238"/>
      <c r="F82" s="2239"/>
      <c r="G82" s="2239"/>
      <c r="H82" s="3604" t="s">
        <v>951</v>
      </c>
      <c r="I82" s="1898">
        <f>SUM(I9:I78)</f>
      </c>
      <c r="J82" s="3315"/>
      <c r="K82" s="3315"/>
      <c r="P82" s="1871" t="s">
        <v>10471</v>
      </c>
      <c r="Q82" s="2774">
        <v>45657</v>
      </c>
    </row>
    <row r="83" spans="1:18" x14ac:dyDescent="0.2">
      <c r="A83" s="3315"/>
      <c r="B83" s="2237" t="s">
        <v>7074</v>
      </c>
      <c r="C83" s="2238"/>
      <c r="D83" s="2237"/>
      <c r="E83" s="2237"/>
      <c r="F83" s="2237"/>
      <c r="G83" s="2237"/>
      <c r="H83" s="2237"/>
      <c r="I83" s="3315"/>
      <c r="J83" s="1898">
        <f>IF(SUM(J9:J78)&lt;0,0,SUM(J9:J78))</f>
      </c>
      <c r="K83" s="3315"/>
    </row>
    <row r="84" spans="1:18" x14ac:dyDescent="0.2">
      <c r="A84" s="3315"/>
      <c r="B84" s="3315"/>
      <c r="C84" s="3315"/>
      <c r="D84" s="3315"/>
      <c r="E84" s="3315"/>
      <c r="F84" s="3315"/>
      <c r="G84" s="3315"/>
      <c r="H84" s="3315"/>
      <c r="I84" s="3315"/>
      <c r="J84" s="3315"/>
      <c r="K84" s="3315"/>
      <c r="O84" s="5468" t="s">
        <v>7073</v>
      </c>
      <c r="P84" s="5468"/>
      <c r="Q84" s="5468"/>
    </row>
    <row r="85" spans="1:18" x14ac:dyDescent="0.2">
      <c r="A85" s="3315"/>
      <c r="B85" s="3992" t="s">
        <v>10476</v>
      </c>
      <c r="C85" s="3993"/>
      <c r="D85" s="3993"/>
      <c r="E85" s="3993"/>
      <c r="F85" s="3993"/>
      <c r="G85" s="3993"/>
      <c r="H85" s="3993"/>
      <c r="I85" s="3997" t="s">
        <v>951</v>
      </c>
      <c r="J85" s="737"/>
      <c r="K85" s="3985" t="str">
        <f>IF(N4=0,"",IF(AND(I82=0,J85=""),re,IF(AND(I82=0,J85&gt;0),"No tax credit claimed for the year!",IF(AND(I82&gt;0,J85=0),"Amount relieved by tax credit required!",IF(J85&lt;0,"Cannot be negative!",IF(OR(J85&gt;O85+1,J85&lt;P85-1),Q85,""))))))</f>
        <v/>
      </c>
      <c r="M85" s="3123">
        <f>IF(K85="",0,1)</f>
      </c>
      <c r="N85" s="3123">
        <f>COUNT(C85:G85,I85,#REF!)</f>
      </c>
      <c r="O85" s="3994">
        <f>ROUND(I82/5%,0)</f>
      </c>
      <c r="P85" s="3995">
        <f>ROUND(I82/0.35,0)</f>
      </c>
      <c r="Q85" s="3996" t="s">
        <v>4787</v>
      </c>
    </row>
    <row r="86" spans="1:18" x14ac:dyDescent="0.2">
      <c r="A86" s="3315"/>
      <c r="B86" s="3315"/>
      <c r="C86" s="3315"/>
      <c r="D86" s="3315"/>
      <c r="E86" s="3315"/>
      <c r="F86" s="3315"/>
      <c r="G86" s="3315"/>
      <c r="H86" s="3315"/>
      <c r="I86" s="3315"/>
      <c r="J86" s="3315"/>
      <c r="K86" s="3315"/>
    </row>
    <row r="87" spans="1:18" x14ac:dyDescent="0.2">
      <c r="A87" s="3315"/>
      <c r="B87" s="3315" t="s">
        <v>9116</v>
      </c>
      <c r="C87" s="3315"/>
      <c r="D87" s="3315"/>
      <c r="E87" s="3315"/>
      <c r="F87" s="3315"/>
      <c r="G87" s="3315"/>
      <c r="H87" s="3315"/>
      <c r="I87" s="3315"/>
      <c r="J87" s="3352"/>
      <c r="K87" s="3985" t="str">
        <f>IF(I82=0,"",IF(J87="",re,IF(AND(J87="no",I82&gt;0),"No benefit!","")))</f>
        <v/>
      </c>
      <c r="M87" s="3123">
        <f>IF(H87="",0,1)</f>
      </c>
      <c r="N87" s="3123">
        <f>IF(G87&lt;&gt;"",1,0)</f>
      </c>
    </row>
    <row r="88" spans="1:18" x14ac:dyDescent="0.2">
      <c r="A88" s="3315"/>
      <c r="B88" s="3315"/>
      <c r="C88" s="3315"/>
      <c r="D88" s="3315"/>
      <c r="E88" s="3315"/>
      <c r="F88" s="3315"/>
      <c r="G88" s="3315"/>
      <c r="H88" s="3315"/>
      <c r="I88" s="3315"/>
      <c r="J88" s="3315"/>
      <c r="K88" s="3315"/>
    </row>
    <row r="89" spans="1:18" x14ac:dyDescent="0.2">
      <c r="A89" s="3315"/>
      <c r="B89" s="3315"/>
      <c r="C89" s="3315"/>
      <c r="D89" s="3315"/>
      <c r="E89" s="3315"/>
      <c r="F89" s="3355"/>
      <c r="G89" s="3356" t="s">
        <v>4456</v>
      </c>
      <c r="H89" s="3356"/>
      <c r="I89" s="3352"/>
      <c r="J89" s="3351" t="str">
        <f>IF(N4=0,"",IF(I89="",re,""))</f>
        <v/>
      </c>
      <c r="K89" s="3315"/>
      <c r="M89" s="3809">
        <f>IF(N4=0,0,IF(M4&gt;0,100,IF(I89="no",100,1)))</f>
      </c>
    </row>
    <row r="90" spans="1:18" x14ac:dyDescent="0.2">
      <c r="A90" s="3315"/>
      <c r="B90" s="3315"/>
      <c r="C90" s="3315"/>
      <c r="D90" s="3315"/>
      <c r="E90" s="3315"/>
      <c r="F90" s="3315"/>
      <c r="G90" s="3315"/>
      <c r="H90" s="3315"/>
      <c r="I90" s="3315"/>
      <c r="J90" s="3315"/>
      <c r="K90" s="3315"/>
    </row>
    <row r="91" spans="1:18" x14ac:dyDescent="0.2">
      <c r="A91" s="1942"/>
      <c r="B91" s="1935" t="s">
        <v>10574</v>
      </c>
      <c r="C91" s="1942"/>
      <c r="D91" s="1938"/>
      <c r="E91" s="1938"/>
      <c r="F91" s="2592"/>
      <c r="G91" s="1943" t="str">
        <f>ver</f>
        <v>TA2_e-CO_2025_Ver 1.1</v>
      </c>
      <c r="H91" s="1942"/>
      <c r="I91" s="1942"/>
      <c r="J91" s="1938" t="s">
        <v>10522</v>
      </c>
      <c r="K91" s="2592"/>
    </row>
    <row r="92" spans="1:18" x14ac:dyDescent="0.2"/>
    <row r="93" spans="1:18" x14ac:dyDescent="0.2">
      <c r="B93" s="3922" t="s">
        <v>1700</v>
      </c>
    </row>
    <row r="94" spans="1:18" x14ac:dyDescent="0.2"/>
    <row r="97" s="1485" customFormat="1" hidden="1" x14ac:dyDescent="0.2"/>
    <row r="98" s="1485" customFormat="1" hidden="1" x14ac:dyDescent="0.2"/>
    <row r="99" s="1485" customFormat="1" hidden="1" x14ac:dyDescent="0.2"/>
    <row r="100" s="1485" customFormat="1" hidden="1" x14ac:dyDescent="0.2"/>
    <row r="101" s="1485" customFormat="1" hidden="1" x14ac:dyDescent="0.2"/>
    <row r="102" s="1485" customFormat="1" hidden="1" x14ac:dyDescent="0.2"/>
    <row r="103" s="1485" customFormat="1" hidden="1" x14ac:dyDescent="0.2"/>
    <row r="104" s="1485" customFormat="1" hidden="1" x14ac:dyDescent="0.2"/>
    <row r="105" s="1485" customFormat="1" hidden="1" x14ac:dyDescent="0.2"/>
    <row r="106" s="1485" customFormat="1" hidden="1" x14ac:dyDescent="0.2"/>
    <row r="107" s="1485" customFormat="1" hidden="1" x14ac:dyDescent="0.2"/>
    <row r="108" s="1485" customFormat="1" hidden="1" x14ac:dyDescent="0.2"/>
    <row r="109" s="1485" customFormat="1" hidden="1" x14ac:dyDescent="0.2"/>
  </sheetData>
  <sheetProtection algorithmName="SHA-512" hashValue="VX+47HSxIiUCFjH0lrHYOFyZLRa992+73GsfpcS63nfTdK14OeUkt/0vV0cv3kw0APq1I7rM8kC8PO+FvpbD9A==" saltValue="xrpcDVYBRpyUEWLEJlCeiA==" spinCount="100000" sheet="1" objects="1" scenarios="1"/>
  <mergeCells count="1">
    <mergeCell ref="O84:Q84"/>
  </mergeCells>
  <conditionalFormatting sqref="J85">
    <cfRule type="expression" dxfId="90" priority="1" stopIfTrue="1">
      <formula>#REF!=nob</formula>
    </cfRule>
  </conditionalFormatting>
  <dataValidations disablePrompts="1" count="10">
    <dataValidation operator="greaterThanOrEqual" allowBlank="1" showInputMessage="1" showErrorMessage="1" errorTitle="Tax credits utilised " error="Enter a whole figure greater than 0!" sqref="H9:H78" xr:uid="{9D8F916F-53C0-41A7-AFD5-4A073991A7B5}"/>
    <dataValidation type="whole" operator="greaterThanOrEqual" allowBlank="1" showInputMessage="1" showErrorMessage="1" errorTitle="Tax credits utilised " error="Enter a whole figure greater than 0!" sqref="G9:G78 I9:I78" xr:uid="{0BDAD9DD-738B-4D88-8EAC-4A55281EC312}">
      <formula1>0</formula1>
    </dataValidation>
    <dataValidation type="textLength" operator="greaterThanOrEqual" allowBlank="1" showInputMessage="1" showErrorMessage="1" errorTitle="Certificate No:" error="Please enter correct certificate number!" sqref="C9:C78" xr:uid="{2A7CD1B3-B457-4110-8421-0A1255B3FAB0}">
      <formula1>6</formula1>
    </dataValidation>
    <dataValidation type="list" showInputMessage="1" showErrorMessage="1" sqref="J87 I89" xr:uid="{299FB590-48FB-4F7B-BE2C-65015A02FE80}">
      <formula1>$T$1:$T$3</formula1>
    </dataValidation>
    <dataValidation type="whole" allowBlank="1" showInputMessage="1" showErrorMessage="1" errorTitle="Income relieved by tax credit" error="Are you sure the amount entered is correct?" sqref="J85" xr:uid="{131BEECA-D793-4105-9798-305066817D9A}">
      <formula1>S85-1</formula1>
      <formula2>R85+1</formula2>
    </dataValidation>
    <dataValidation type="list" allowBlank="1" showInputMessage="1" showErrorMessage="1" sqref="B9:B78" xr:uid="{317B8939-0F49-44FA-B3C6-2BCBA26F2CDD}">
      <formula1>FU</formula1>
    </dataValidation>
    <dataValidation type="whole" allowBlank="1" showInputMessage="1" showErrorMessage="1" errorTitle="Tax credit first utilised" error="Please enter correct year of assessment!" sqref="F9:F78" xr:uid="{A3DC7333-E4A4-422E-9DE3-387851A803D1}">
      <formula1>$R$4</formula1>
      <formula2>$R$5</formula2>
    </dataValidation>
    <dataValidation type="date" allowBlank="1" showInputMessage="1" showErrorMessage="1" errorTitle="Date" error="Enter correct date!" sqref="D9:D78" xr:uid="{DF453283-0F4F-402E-80F1-CDF1309107A5}">
      <formula1>$P$81</formula1>
      <formula2>$Q$80</formula2>
    </dataValidation>
    <dataValidation type="list" operator="greaterThanOrEqual" allowBlank="1" showInputMessage="1" showErrorMessage="1" errorTitle="Certificate number" error="Please enter the correct reference!" sqref="G6" xr:uid="{65ECEE25-664D-43DF-B38B-C6F1AD79B944}">
      <formula1>$A$8:$A$78</formula1>
    </dataValidation>
    <dataValidation type="whole" allowBlank="1" showInputMessage="1" showErrorMessage="1" errorTitle="Approved tax credit" error="Input a whole number greater than 0 but less than 100,000!_x000a_" sqref="E9:E78" xr:uid="{80D2F9B5-FA12-4858-968E-122FD96E2756}">
      <formula1>0</formula1>
      <formula2>100000</formula2>
    </dataValidation>
  </dataValidations>
  <hyperlinks>
    <hyperlink ref="H82" location="'TRA35'!A1" display="TRA 35" xr:uid="{127CA975-3F72-4626-A5FB-D691AF389331}"/>
    <hyperlink ref="I85" location="'TRA35'!A1" display="TRA 35" xr:uid="{FDDB1719-ADB9-4799-96D9-C2F1EEDB7343}"/>
    <hyperlink ref="B93" location="Index!A1" display="BACK TO INDEX" xr:uid="{44FE3827-72D9-4235-8E27-2A822B89F0D4}"/>
  </hyperlinks>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30D7-EBCB-490E-8758-5EBB86EE937F}">
  <dimension ref="A1:AD94"/>
  <sheetViews>
    <sheetView showGridLines="0" zoomScaleNormal="100" workbookViewId="0">
      <selection activeCell="G22" sqref="G22"/>
    </sheetView>
  </sheetViews>
  <sheetFormatPr defaultColWidth="0" defaultRowHeight="12.75" zeroHeight="1" x14ac:dyDescent="0.2"/>
  <cols>
    <col min="1" max="1" width="1.710937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10" width="13.28515625" style="1485" customWidth="1"/>
    <col min="11" max="11" width="32.5703125" style="1485" customWidth="1"/>
    <col min="12" max="15" width="9.28515625" style="1485" hidden="1" customWidth="1"/>
    <col min="16" max="16" width="10.28515625" style="1485" hidden="1" customWidth="1"/>
    <col min="17" max="17" width="12.42578125" style="1485" hidden="1" customWidth="1"/>
    <col min="18" max="19" width="10.28515625" style="1485" hidden="1" customWidth="1"/>
    <col min="20" max="20" width="15.42578125" style="1485" hidden="1" customWidth="1"/>
    <col min="21" max="23" width="9.28515625" style="1485" hidden="1" customWidth="1"/>
    <col min="24" max="24" width="14" style="1485" hidden="1" customWidth="1"/>
    <col min="25" max="25" width="12" style="1485" hidden="1" customWidth="1"/>
    <col min="26" max="27" width="9.28515625" style="1485" hidden="1" customWidth="1"/>
    <col min="28" max="30" width="10.7109375" style="1485" hidden="1" customWidth="1"/>
    <col min="31" max="16384" width="9.28515625" style="1485" hidden="1"/>
  </cols>
  <sheetData>
    <row r="1" spans="1:30" x14ac:dyDescent="0.2">
      <c r="A1" s="4086" t="str">
        <f>_ref1</f>
      </c>
      <c r="B1" s="3315"/>
      <c r="C1" s="3315"/>
      <c r="D1" s="3315"/>
      <c r="E1" s="3315"/>
      <c r="F1" s="3315"/>
      <c r="G1" s="3315"/>
      <c r="H1" s="3315"/>
      <c r="I1" s="3315"/>
      <c r="J1" s="3319" t="str">
        <f>_YA1</f>
      </c>
      <c r="K1" s="3315"/>
      <c r="N1" s="1871" t="s">
        <v>10463</v>
      </c>
      <c r="O1" s="1485" t="str">
        <f>'p2'!G36</f>
      </c>
      <c r="Q1" s="3123" t="s">
        <v>3994</v>
      </c>
      <c r="R1" s="3123">
        <f>ya</f>
      </c>
      <c r="V1" s="1485" t="str">
        <f>cur</f>
      </c>
      <c r="W1" s="1736" t="s">
        <v>4591</v>
      </c>
    </row>
    <row r="2" spans="1:30" x14ac:dyDescent="0.2">
      <c r="A2" s="3315"/>
      <c r="B2" s="3315"/>
      <c r="C2" s="3315"/>
      <c r="D2" s="3315"/>
      <c r="E2" s="3315"/>
      <c r="F2" s="3315"/>
      <c r="G2" s="3315"/>
      <c r="H2" s="3315"/>
      <c r="I2" s="3315"/>
      <c r="J2" s="3315"/>
      <c r="K2" s="3315"/>
      <c r="Q2" s="3123" t="s">
        <v>2705</v>
      </c>
      <c r="R2" s="3123">
        <f>R1-1</f>
      </c>
      <c r="T2" s="1485" t="s">
        <v>10464</v>
      </c>
    </row>
    <row r="3" spans="1:30" ht="14.25" x14ac:dyDescent="0.2">
      <c r="A3" s="3315"/>
      <c r="B3" s="4155" t="s">
        <v>7026</v>
      </c>
      <c r="C3" s="4156"/>
      <c r="D3" s="4156"/>
      <c r="E3" s="4156"/>
      <c r="F3" s="4156"/>
      <c r="G3" s="4156"/>
      <c r="H3" s="4156"/>
      <c r="I3" s="4156"/>
      <c r="J3" s="4157"/>
      <c r="K3" s="3315"/>
      <c r="T3" s="1485" t="s">
        <v>1736</v>
      </c>
    </row>
    <row r="4" spans="1:30" ht="14.25" x14ac:dyDescent="0.2">
      <c r="A4" s="3315"/>
      <c r="B4" s="4158" t="s">
        <v>10633</v>
      </c>
      <c r="C4" s="4159"/>
      <c r="D4" s="4159"/>
      <c r="E4" s="4159"/>
      <c r="F4" s="4159"/>
      <c r="G4" s="4159"/>
      <c r="H4" s="4159"/>
      <c r="I4" s="4159"/>
      <c r="J4" s="4160"/>
      <c r="K4" s="3315"/>
      <c r="M4" s="1873">
        <f>SUM(M6:M88)</f>
      </c>
      <c r="N4" s="1873">
        <f>SUM(N6:N88)</f>
      </c>
      <c r="Q4" s="1873" t="s">
        <v>6197</v>
      </c>
      <c r="R4" s="1873">
        <v>2025</v>
      </c>
      <c r="S4" s="5476" t="s">
        <v>10634</v>
      </c>
    </row>
    <row r="5" spans="1:30" x14ac:dyDescent="0.2">
      <c r="A5" s="3315"/>
      <c r="B5" s="3315"/>
      <c r="C5" s="3315"/>
      <c r="D5" s="3315"/>
      <c r="E5" s="3315"/>
      <c r="F5" s="3315"/>
      <c r="G5" s="3315"/>
      <c r="H5" s="3315"/>
      <c r="I5" s="3315"/>
      <c r="J5" s="3315"/>
      <c r="K5" s="3315"/>
      <c r="M5" s="1485" t="s">
        <v>7439</v>
      </c>
      <c r="N5" s="1485" t="s">
        <v>7161</v>
      </c>
      <c r="Q5" s="1873" t="s">
        <v>6729</v>
      </c>
      <c r="R5" s="1873">
        <f>MIN(R1,2031)</f>
      </c>
      <c r="S5" s="5476"/>
    </row>
    <row r="6" spans="1:30" x14ac:dyDescent="0.2">
      <c r="A6" s="3315"/>
      <c r="B6" s="3315"/>
      <c r="C6" s="1938"/>
      <c r="D6" s="1938"/>
      <c r="E6" s="2239" t="s">
        <v>10468</v>
      </c>
      <c r="F6" s="3315"/>
      <c r="G6" s="3352"/>
      <c r="H6" s="3985" t="str">
        <f>IF(N4=0,"",IF(AND(N4&gt;0,G6=""),re,""))</f>
        <v/>
      </c>
      <c r="I6" s="3315"/>
      <c r="J6" s="3315"/>
      <c r="K6" s="3315"/>
      <c r="M6" s="3123">
        <f>IF(H6="",0,1)</f>
      </c>
      <c r="N6" s="3123">
        <f>IF(G6&lt;&gt;"",1,0)</f>
      </c>
      <c r="U6" s="5352" t="s">
        <v>10641</v>
      </c>
      <c r="V6" s="5352"/>
      <c r="W6" s="5352"/>
      <c r="X6" s="5352"/>
      <c r="Y6" s="5352"/>
      <c r="AB6" s="5351" t="s">
        <v>10642</v>
      </c>
      <c r="AC6" s="5351"/>
      <c r="AD6" s="5351"/>
    </row>
    <row r="7" spans="1:30" x14ac:dyDescent="0.2">
      <c r="A7" s="3315"/>
      <c r="B7" s="3315"/>
      <c r="C7" s="3315"/>
      <c r="D7" s="3315"/>
      <c r="E7" s="3315"/>
      <c r="F7" s="3315"/>
      <c r="G7" s="3315"/>
      <c r="H7" s="3315"/>
      <c r="I7" s="3315"/>
      <c r="J7" s="3315"/>
      <c r="K7" s="3315"/>
      <c r="W7" s="1873">
        <f>SUM(W9:W88)</f>
      </c>
      <c r="Y7" s="1873">
        <f>SUM(Y9:Y88)</f>
      </c>
      <c r="AB7" s="5351"/>
      <c r="AC7" s="5351"/>
      <c r="AD7" s="5351"/>
    </row>
    <row r="8" spans="1:30" ht="77.25" customHeight="1" x14ac:dyDescent="0.2">
      <c r="A8" s="3315"/>
      <c r="B8" s="4161" t="s">
        <v>10083</v>
      </c>
      <c r="C8" s="4161" t="s">
        <v>7154</v>
      </c>
      <c r="D8" s="4162" t="s">
        <v>7155</v>
      </c>
      <c r="E8" s="4161" t="s">
        <v>7156</v>
      </c>
      <c r="F8" s="4161" t="s">
        <v>9114</v>
      </c>
      <c r="G8" s="4161" t="s">
        <v>7159</v>
      </c>
      <c r="H8" s="4161" t="s">
        <v>10469</v>
      </c>
      <c r="I8" s="4161" t="s">
        <v>7157</v>
      </c>
      <c r="J8" s="4161" t="s">
        <v>10470</v>
      </c>
      <c r="K8" s="3315"/>
      <c r="Q8" s="1485" t="s">
        <v>7021</v>
      </c>
      <c r="R8" s="4087" t="s">
        <v>7159</v>
      </c>
      <c r="S8" s="4087" t="s">
        <v>10635</v>
      </c>
      <c r="U8" s="4148" t="s">
        <v>10636</v>
      </c>
      <c r="V8" s="4148" t="s">
        <v>10637</v>
      </c>
      <c r="W8" s="4148" t="s">
        <v>10638</v>
      </c>
      <c r="X8" s="4148" t="s">
        <v>10469</v>
      </c>
      <c r="Y8" s="4148" t="s">
        <v>10470</v>
      </c>
      <c r="Z8" s="4095"/>
      <c r="AB8" s="4149" t="s">
        <v>10079</v>
      </c>
      <c r="AC8" s="4148" t="s">
        <v>10639</v>
      </c>
      <c r="AD8" s="4148" t="s">
        <v>10640</v>
      </c>
    </row>
    <row r="9" spans="1:30" x14ac:dyDescent="0.2">
      <c r="A9" s="3748">
        <v>1</v>
      </c>
      <c r="B9" s="3352"/>
      <c r="C9" s="363"/>
      <c r="D9" s="809"/>
      <c r="E9" s="3989"/>
      <c r="F9" s="3990"/>
      <c r="G9" s="3989"/>
      <c r="H9" s="4163">
        <f>IF(F9="",0,E9-G9)</f>
      </c>
      <c r="I9" s="3989"/>
      <c r="J9" s="4164">
        <f>IF(H9=0,0,H9-I9)</f>
      </c>
      <c r="K9" s="3985" t="str">
        <f t="shared" ref="K9:K40" si="0">IF(AND($G$6&gt;0,A9&lt;=$G$6,N9=0),re,IF(AND($O$1="n",B9&lt;&gt;""),"Not a fiscal Unit",IF(AND($G$6&gt;0,A9&lt;=$G$6,$O$1="y",N9&lt;7),"All data",IF(AND(A9&gt;$G$6,N9&gt;0),"No details required",IF(AND($G$6&gt;0,A9&lt;=$G$6,$O$1="n",N9&lt;6),"All data",IF(OR((G9&gt;MIN(E9,150000,Q9*50000)),AND(F9&gt;=$R$1,G9&gt;0)),"Check utilised credit in previous years",IF(OR(I9&gt;H9,AND($O$1="n",AND($V$1=$W$1,S9&gt;50000)),AND($O$1="y",AND($V$1=$W$1,AD9&gt;50000))),"Excessive utilised credit!",IF(AND(ya&gt;F9+4,I9&gt;0),"Credit cannot be utilised - 5 year limit",""))))))))</f>
        <v/>
      </c>
      <c r="M9" s="3123">
        <f>IF(K9="",0,1)</f>
      </c>
      <c r="N9" s="3123">
        <f t="shared" ref="N9:N72" si="1">IF($O$1="n",COUNTA(C9:G9,I9),IF($O$1="y",COUNTA(B9:G9,I9),0))</f>
      </c>
      <c r="Q9" s="4088">
        <f t="shared" ref="Q9:Q40" si="2">IF(N9=0,0,ya-F9)</f>
      </c>
      <c r="R9" s="1485" t="str">
        <f>IF(N9=0,"",MIN(E9,150000,Q9*50000))</f>
        <v/>
      </c>
      <c r="S9" s="2314">
        <f>I9</f>
      </c>
      <c r="U9" s="1485">
        <f>Consolidation!B1</f>
      </c>
      <c r="V9" s="2728">
        <f>SUMIF($B$9:$B$78,U9,$I$9:$I$78)</f>
      </c>
      <c r="W9" s="1485">
        <f>IF(AND($V$1=$W$1,V9&gt;50000),50000,V9)</f>
      </c>
      <c r="X9" s="1485">
        <f>SUMIF($B$9:$B$78,U9,$H$9:$H$78)</f>
      </c>
      <c r="Y9" s="1485">
        <f>X9-W9</f>
      </c>
      <c r="AB9" s="1485">
        <f>B9</f>
      </c>
      <c r="AC9" s="2314">
        <f t="shared" ref="AC9:AC15" si="3">I9</f>
      </c>
      <c r="AD9" s="2314">
        <f>AC9</f>
      </c>
    </row>
    <row r="10" spans="1:30" x14ac:dyDescent="0.2">
      <c r="A10" s="3748">
        <v>2</v>
      </c>
      <c r="B10" s="3352"/>
      <c r="C10" s="363"/>
      <c r="D10" s="809"/>
      <c r="E10" s="3989"/>
      <c r="F10" s="3990"/>
      <c r="G10" s="3989"/>
      <c r="H10" s="4163">
        <f t="shared" ref="H10:H78" si="4">IF(F10="",0,E10-G10)</f>
      </c>
      <c r="I10" s="3989"/>
      <c r="J10" s="4164">
        <f t="shared" ref="J10:J78" si="5">IF(H10=0,0,H10-I10)</f>
      </c>
      <c r="K10" s="3985" t="str">
        <f>IF(AND($G$6&gt;0,A10&lt;=$G$6,N10=0),re,IF(AND($O$1="n",B10&lt;&gt;""),"Not a fiscal Unit",IF(AND($G$6&gt;0,A10&lt;=$G$6,$O$1="y",N10&lt;7),"All data",IF(AND(A10&gt;$G$6,N10&gt;0),"No details required",IF(AND($G$6&gt;0,A10&lt;=$G$6,$O$1="n",N10&lt;6),"All data",IF(OR((G10&gt;MIN(E10,150000,Q10*50000)),AND(F10&gt;=$R$1,G10&gt;0)),"Check utilised credit in previous years",IF(OR(I10&gt;H10,AND($O$1="n",AND($V$1=$W$1,S10&gt;50000)),AND($O$1="y",AND($V$1=$W$1,AD10&gt;50000))),"Excessive utilised credit!",IF(AND(ya&gt;F10+4,I10&gt;0),"Credit cannot be utilised - 5 year limit",""))))))))</f>
        <v/>
      </c>
      <c r="M10" s="3123">
        <f t="shared" ref="M10:M78" si="6">IF(K10="",0,1)</f>
      </c>
      <c r="N10" s="3123">
        <f t="shared" si="1"/>
        <v>0</v>
      </c>
      <c r="Q10" s="4088">
        <f t="shared" si="2"/>
        <v>0</v>
      </c>
      <c r="R10" s="1485" t="str">
        <f t="shared" ref="R10:R73" si="7">IF(N10=0,"",MIN(E10,150000,Q10*50000))</f>
        <v/>
      </c>
      <c r="S10" s="2314">
        <f>IF(N10=0,0,SUM($I$9:I10))</f>
      </c>
      <c r="U10" s="1485">
        <f>Consolidation!B2</f>
      </c>
      <c r="V10" s="1485">
        <f t="shared" ref="V10:V13" si="8">SUMIF($B$9:$B$78,U10,$I$9:$I$78)</f>
      </c>
      <c r="W10" s="1485">
        <f t="shared" ref="W10:W13" si="9">IF(AND($V$1=$W$1,V10&gt;50000),50000,V10)</f>
      </c>
      <c r="X10" s="1485">
        <f t="shared" ref="X10:X13" si="10">SUMIF($B$9:$B$78,U10,$H$9:$H$78)</f>
      </c>
      <c r="Y10" s="1485">
        <f>X10-W10</f>
      </c>
      <c r="AB10" s="1485">
        <f t="shared" ref="AB10:AB15" si="11">B10</f>
      </c>
      <c r="AC10" s="2314">
        <f t="shared" si="3"/>
        <v>0</v>
      </c>
      <c r="AD10" s="2728">
        <f>IF(N10=0,0,SUMIF($AB$9:AB10,AB10,$AC$9:AC10))</f>
      </c>
    </row>
    <row r="11" spans="1:30" x14ac:dyDescent="0.2">
      <c r="A11" s="3748">
        <v>3</v>
      </c>
      <c r="B11" s="3352"/>
      <c r="C11" s="363"/>
      <c r="D11" s="809"/>
      <c r="E11" s="3989"/>
      <c r="F11" s="3990"/>
      <c r="G11" s="3989"/>
      <c r="H11" s="4163">
        <f t="shared" si="4"/>
        <v>0</v>
      </c>
      <c r="I11" s="3989"/>
      <c r="J11" s="4164">
        <f t="shared" si="5"/>
        <v>0</v>
      </c>
      <c r="K11" s="3985" t="str">
        <f>IF(AND($G$6&gt;0,A11&lt;=$G$6,N11=0),re,IF(AND($O$1="n",B11&lt;&gt;""),"Not a fiscal Unit",IF(AND($G$6&gt;0,A11&lt;=$G$6,$O$1="y",N11&lt;7),"All data",IF(AND(A11&gt;$G$6,N11&gt;0),"No details required",IF(AND($G$6&gt;0,A11&lt;=$G$6,$O$1="n",N11&lt;6),"All data",IF(OR((G11&gt;MIN(E11,150000,Q11*50000)),AND(F11&gt;=$R$1,G11&gt;0)),"Check utilised credit in previous years",IF(OR(I11&gt;H11,AND($O$1="n",AND($V$1=$W$1,S11&gt;50000)),AND($O$1="y",AND($V$1=$W$1,AD11&gt;50000))),"Excessive utilised credit!",IF(AND(ya&gt;F11+4,I11&gt;0),"Credit cannot be utilised - 5 year limit",""))))))))</f>
        <v/>
      </c>
      <c r="M11" s="3123">
        <f t="shared" si="6"/>
        <v>0</v>
      </c>
      <c r="N11" s="3123">
        <f t="shared" si="1"/>
        <v>0</v>
      </c>
      <c r="Q11" s="4088">
        <f t="shared" si="2"/>
        <v>0</v>
      </c>
      <c r="R11" s="1485" t="str">
        <f t="shared" si="7"/>
        <v/>
      </c>
      <c r="S11" s="2314">
        <f>IF(N11=0,0,SUM($I$9:I11))</f>
      </c>
      <c r="U11" s="1485">
        <f>Consolidation!B3</f>
      </c>
      <c r="V11" s="1485">
        <f t="shared" si="8"/>
        <v>0</v>
      </c>
      <c r="W11" s="1485">
        <f t="shared" si="9"/>
        <v>0</v>
      </c>
      <c r="X11" s="1485">
        <f t="shared" si="10"/>
        <v>0</v>
      </c>
      <c r="Y11" s="1485">
        <f>X11-W11</f>
      </c>
      <c r="AB11" s="1485">
        <f t="shared" si="11"/>
        <v>0</v>
      </c>
      <c r="AC11" s="2314">
        <f t="shared" si="3"/>
        <v>0</v>
      </c>
      <c r="AD11" s="2728">
        <f>IF(N11=0,0,SUMIF($AB$9:AB11,AB11,$AC$9:AC11))</f>
      </c>
    </row>
    <row r="12" spans="1:30" x14ac:dyDescent="0.2">
      <c r="A12" s="3748">
        <v>4</v>
      </c>
      <c r="B12" s="3352"/>
      <c r="C12" s="363"/>
      <c r="D12" s="809"/>
      <c r="E12" s="3989"/>
      <c r="F12" s="3990"/>
      <c r="G12" s="3989"/>
      <c r="H12" s="4163">
        <f t="shared" si="4"/>
        <v>0</v>
      </c>
      <c r="I12" s="3989"/>
      <c r="J12" s="4164">
        <f t="shared" si="5"/>
        <v>0</v>
      </c>
      <c r="K12" s="3985" t="str">
        <f t="shared" si="0"/>
        <v/>
      </c>
      <c r="M12" s="3123">
        <f t="shared" si="6"/>
        <v>0</v>
      </c>
      <c r="N12" s="3123">
        <f t="shared" si="1"/>
        <v>0</v>
      </c>
      <c r="Q12" s="4088">
        <f t="shared" si="2"/>
        <v>0</v>
      </c>
      <c r="R12" s="1485" t="str">
        <f t="shared" si="7"/>
        <v/>
      </c>
      <c r="S12" s="2314">
        <f>IF(N12=0,0,SUM($I$9:I12))</f>
      </c>
      <c r="U12" s="1485">
        <f>Consolidation!B4</f>
      </c>
      <c r="V12" s="1485">
        <f t="shared" si="8"/>
        <v>0</v>
      </c>
      <c r="W12" s="1485">
        <f t="shared" si="9"/>
        <v>0</v>
      </c>
      <c r="X12" s="1485">
        <f t="shared" si="10"/>
        <v>0</v>
      </c>
      <c r="Y12" s="1485">
        <f>X12-W12</f>
      </c>
      <c r="AB12" s="1485">
        <f t="shared" si="11"/>
        <v>0</v>
      </c>
      <c r="AC12" s="2314">
        <f t="shared" si="3"/>
        <v>0</v>
      </c>
      <c r="AD12" s="2728">
        <f>IF(N12=0,0,SUMIF($AB$9:AB12,AB12,$AC$9:AC12))</f>
      </c>
    </row>
    <row r="13" spans="1:30" x14ac:dyDescent="0.2">
      <c r="A13" s="3748">
        <v>5</v>
      </c>
      <c r="B13" s="3352"/>
      <c r="C13" s="363"/>
      <c r="D13" s="809"/>
      <c r="E13" s="3989"/>
      <c r="F13" s="3990"/>
      <c r="G13" s="3989"/>
      <c r="H13" s="4163">
        <f t="shared" si="4"/>
        <v>0</v>
      </c>
      <c r="I13" s="3989"/>
      <c r="J13" s="4164">
        <f t="shared" si="5"/>
        <v>0</v>
      </c>
      <c r="K13" s="3985" t="str">
        <f t="shared" si="0"/>
        <v/>
      </c>
      <c r="M13" s="3123">
        <f t="shared" si="6"/>
        <v>0</v>
      </c>
      <c r="N13" s="3123">
        <f t="shared" si="1"/>
        <v>0</v>
      </c>
      <c r="Q13" s="4088">
        <f t="shared" si="2"/>
        <v>0</v>
      </c>
      <c r="R13" s="1485" t="str">
        <f t="shared" si="7"/>
        <v/>
      </c>
      <c r="S13" s="2314">
        <f>IF(N13=0,0,SUM($I$9:I13))</f>
      </c>
      <c r="U13" s="1485">
        <f>Consolidation!B5</f>
      </c>
      <c r="V13" s="1485">
        <f t="shared" si="8"/>
        <v>0</v>
      </c>
      <c r="W13" s="1485">
        <f t="shared" si="9"/>
        <v>0</v>
      </c>
      <c r="X13" s="1485">
        <f t="shared" si="10"/>
        <v>0</v>
      </c>
      <c r="Y13" s="1485">
        <f>X13-W13</f>
      </c>
      <c r="AB13" s="1485">
        <f t="shared" si="11"/>
        <v>0</v>
      </c>
      <c r="AC13" s="1485">
        <f t="shared" si="3"/>
        <v>0</v>
      </c>
      <c r="AD13" s="2728">
        <f>IF(N13=0,0,SUMIF($AB$9:AB13,AB13,$AC$9:AC13))</f>
      </c>
    </row>
    <row r="14" spans="1:30" x14ac:dyDescent="0.2">
      <c r="A14" s="3748">
        <v>6</v>
      </c>
      <c r="B14" s="3352"/>
      <c r="C14" s="363"/>
      <c r="D14" s="809"/>
      <c r="E14" s="3989"/>
      <c r="F14" s="3990"/>
      <c r="G14" s="3989"/>
      <c r="H14" s="4163">
        <f t="shared" si="4"/>
        <v>0</v>
      </c>
      <c r="I14" s="3989"/>
      <c r="J14" s="4164">
        <f t="shared" si="5"/>
        <v>0</v>
      </c>
      <c r="K14" s="3985" t="str">
        <f t="shared" si="0"/>
        <v/>
      </c>
      <c r="M14" s="3123">
        <f t="shared" si="6"/>
        <v>0</v>
      </c>
      <c r="N14" s="3123">
        <f t="shared" si="1"/>
        <v>0</v>
      </c>
      <c r="Q14" s="4088">
        <f t="shared" si="2"/>
        <v>0</v>
      </c>
      <c r="R14" s="1485" t="str">
        <f t="shared" si="7"/>
        <v/>
      </c>
      <c r="S14" s="2314">
        <f>IF(N14=0,0,SUM($I$9:I14))</f>
      </c>
      <c r="U14" s="1485">
        <f>Consolidation!B6</f>
      </c>
      <c r="V14" s="1485">
        <f t="shared" ref="V14:V77" si="12">SUMIF($B$9:$B$78,U14,$I$9:$I$78)</f>
      </c>
      <c r="W14" s="1485">
        <f t="shared" ref="W14:W77" si="13">IF(AND($V$1=$W$1,V14&gt;50000),50000,V14)</f>
      </c>
      <c r="X14" s="1485">
        <f t="shared" ref="X14:X77" si="14">SUMIF($B$9:$B$78,U14,$H$9:$H$78)</f>
      </c>
      <c r="Y14" s="1485">
        <f t="shared" ref="Y14:Y77" si="15">X14-W14</f>
      </c>
      <c r="AB14" s="1485">
        <f t="shared" si="11"/>
        <v>0</v>
      </c>
      <c r="AC14" s="1485">
        <f t="shared" si="3"/>
        <v>0</v>
      </c>
      <c r="AD14" s="2728">
        <f>IF(N14=0,0,SUMIF($AB$9:AB14,AB14,$AC$9:AC14))</f>
      </c>
    </row>
    <row r="15" spans="1:30" x14ac:dyDescent="0.2">
      <c r="A15" s="3748">
        <v>7</v>
      </c>
      <c r="B15" s="3352"/>
      <c r="C15" s="363"/>
      <c r="D15" s="809"/>
      <c r="E15" s="3989"/>
      <c r="F15" s="3990"/>
      <c r="G15" s="3989"/>
      <c r="H15" s="4163">
        <f t="shared" si="4"/>
        <v>0</v>
      </c>
      <c r="I15" s="3989"/>
      <c r="J15" s="4164">
        <f t="shared" si="5"/>
        <v>0</v>
      </c>
      <c r="K15" s="3985" t="str">
        <f t="shared" si="0"/>
        <v/>
      </c>
      <c r="M15" s="3123">
        <f t="shared" si="6"/>
        <v>0</v>
      </c>
      <c r="N15" s="3123">
        <f t="shared" si="1"/>
        <v>0</v>
      </c>
      <c r="Q15" s="4088">
        <f t="shared" si="2"/>
        <v>0</v>
      </c>
      <c r="R15" s="1485" t="str">
        <f t="shared" si="7"/>
        <v/>
      </c>
      <c r="S15" s="2314">
        <f>IF(N15=0,0,SUM($I$9:I15))</f>
      </c>
      <c r="U15" s="1485">
        <f>Consolidation!B7</f>
      </c>
      <c r="V15" s="1485">
        <f t="shared" si="12"/>
        <v>0</v>
      </c>
      <c r="W15" s="1485">
        <f t="shared" si="13"/>
        <v>0</v>
      </c>
      <c r="X15" s="1485">
        <f t="shared" si="14"/>
        <v>0</v>
      </c>
      <c r="Y15" s="1485">
        <f t="shared" si="15"/>
        <v>0</v>
      </c>
      <c r="AB15" s="1485">
        <f t="shared" si="11"/>
        <v>0</v>
      </c>
      <c r="AC15" s="1485">
        <f t="shared" si="3"/>
        <v>0</v>
      </c>
      <c r="AD15" s="2728">
        <f>IF(N15=0,0,SUMIF($AB$9:AB15,AB15,$AC$9:AC15))</f>
      </c>
    </row>
    <row r="16" spans="1:30" x14ac:dyDescent="0.2">
      <c r="A16" s="3748">
        <v>8</v>
      </c>
      <c r="B16" s="3352"/>
      <c r="C16" s="363"/>
      <c r="D16" s="809"/>
      <c r="E16" s="3989"/>
      <c r="F16" s="3990"/>
      <c r="G16" s="3989"/>
      <c r="H16" s="4163">
        <f t="shared" si="4"/>
        <v>0</v>
      </c>
      <c r="I16" s="3989"/>
      <c r="J16" s="4164">
        <f t="shared" si="5"/>
        <v>0</v>
      </c>
      <c r="K16" s="3985" t="str">
        <f t="shared" si="0"/>
        <v/>
      </c>
      <c r="M16" s="3123">
        <f t="shared" si="6"/>
        <v>0</v>
      </c>
      <c r="N16" s="3123">
        <f t="shared" si="1"/>
        <v>0</v>
      </c>
      <c r="Q16" s="4088">
        <f t="shared" si="2"/>
        <v>0</v>
      </c>
      <c r="R16" s="1485" t="str">
        <f t="shared" si="7"/>
        <v/>
      </c>
      <c r="S16" s="2314">
        <f>IF(N16=0,0,SUM($I$9:I16))</f>
      </c>
      <c r="U16" s="1485">
        <f>Consolidation!B8</f>
      </c>
      <c r="V16" s="1485">
        <f t="shared" si="12"/>
        <v>0</v>
      </c>
      <c r="W16" s="1485">
        <f t="shared" si="13"/>
        <v>0</v>
      </c>
      <c r="X16" s="1485">
        <f t="shared" si="14"/>
        <v>0</v>
      </c>
      <c r="Y16" s="1485">
        <f t="shared" si="15"/>
        <v>0</v>
      </c>
      <c r="AB16" s="1485">
        <f t="shared" ref="AB16:AB78" si="16">B16</f>
      </c>
      <c r="AC16" s="1485">
        <f t="shared" ref="AC16:AC78" si="17">I16</f>
      </c>
      <c r="AD16" s="2728">
        <f>IF(N16=0,0,SUMIF($AB$9:AB16,AB16,$AC$9:AC16))</f>
      </c>
    </row>
    <row r="17" spans="1:30" x14ac:dyDescent="0.2">
      <c r="A17" s="3748">
        <v>9</v>
      </c>
      <c r="B17" s="3352"/>
      <c r="C17" s="363"/>
      <c r="D17" s="809"/>
      <c r="E17" s="3989"/>
      <c r="F17" s="3990"/>
      <c r="G17" s="3989"/>
      <c r="H17" s="4163">
        <f t="shared" si="4"/>
        <v>0</v>
      </c>
      <c r="I17" s="3989"/>
      <c r="J17" s="4164">
        <f t="shared" si="5"/>
        <v>0</v>
      </c>
      <c r="K17" s="3985" t="str">
        <f t="shared" si="0"/>
        <v/>
      </c>
      <c r="M17" s="3123">
        <f t="shared" si="6"/>
        <v>0</v>
      </c>
      <c r="N17" s="3123">
        <f t="shared" si="1"/>
        <v>0</v>
      </c>
      <c r="Q17" s="4088">
        <f t="shared" si="2"/>
        <v>0</v>
      </c>
      <c r="R17" s="1485" t="str">
        <f t="shared" si="7"/>
        <v/>
      </c>
      <c r="S17" s="2314">
        <f>IF(N17=0,0,SUM($I$9:I17))</f>
      </c>
      <c r="U17" s="1485">
        <f>Consolidation!B9</f>
      </c>
      <c r="V17" s="1485">
        <f t="shared" si="12"/>
        <v>0</v>
      </c>
      <c r="W17" s="1485">
        <f t="shared" si="13"/>
        <v>0</v>
      </c>
      <c r="X17" s="1485">
        <f t="shared" si="14"/>
        <v>0</v>
      </c>
      <c r="Y17" s="1485">
        <f t="shared" si="15"/>
        <v>0</v>
      </c>
      <c r="AB17" s="1485">
        <f t="shared" si="16"/>
        <v>0</v>
      </c>
      <c r="AC17" s="1485">
        <f t="shared" si="17"/>
        <v>0</v>
      </c>
      <c r="AD17" s="2728">
        <f>IF(N17=0,0,SUMIF($AB$9:AB17,AB17,$AC$9:AC17))</f>
      </c>
    </row>
    <row r="18" spans="1:30" x14ac:dyDescent="0.2">
      <c r="A18" s="3748">
        <v>10</v>
      </c>
      <c r="B18" s="3352"/>
      <c r="C18" s="363"/>
      <c r="D18" s="809"/>
      <c r="E18" s="3989"/>
      <c r="F18" s="3990"/>
      <c r="G18" s="3989"/>
      <c r="H18" s="4163">
        <f t="shared" si="4"/>
        <v>0</v>
      </c>
      <c r="I18" s="3989"/>
      <c r="J18" s="4164">
        <f t="shared" si="5"/>
        <v>0</v>
      </c>
      <c r="K18" s="3985" t="str">
        <f t="shared" si="0"/>
        <v/>
      </c>
      <c r="M18" s="3123">
        <f t="shared" si="6"/>
        <v>0</v>
      </c>
      <c r="N18" s="3123">
        <f t="shared" si="1"/>
        <v>0</v>
      </c>
      <c r="Q18" s="4088">
        <f t="shared" si="2"/>
        <v>0</v>
      </c>
      <c r="R18" s="1485" t="str">
        <f t="shared" si="7"/>
        <v/>
      </c>
      <c r="S18" s="2314">
        <f>IF(N18=0,0,SUM($I$9:I18))</f>
      </c>
      <c r="U18" s="1485">
        <f>Consolidation!B10</f>
      </c>
      <c r="V18" s="1485">
        <f t="shared" si="12"/>
        <v>0</v>
      </c>
      <c r="W18" s="1485">
        <f t="shared" si="13"/>
        <v>0</v>
      </c>
      <c r="X18" s="1485">
        <f t="shared" si="14"/>
        <v>0</v>
      </c>
      <c r="Y18" s="1485">
        <f t="shared" si="15"/>
        <v>0</v>
      </c>
      <c r="AB18" s="1485">
        <f t="shared" si="16"/>
        <v>0</v>
      </c>
      <c r="AC18" s="1485">
        <f t="shared" si="17"/>
        <v>0</v>
      </c>
      <c r="AD18" s="2728">
        <f>IF(N18=0,0,SUMIF($AB$9:AB18,AB18,$AC$9:AC18))</f>
      </c>
    </row>
    <row r="19" spans="1:30" x14ac:dyDescent="0.2">
      <c r="A19" s="3748">
        <v>11</v>
      </c>
      <c r="B19" s="3352"/>
      <c r="C19" s="363"/>
      <c r="D19" s="809"/>
      <c r="E19" s="3989"/>
      <c r="F19" s="3990"/>
      <c r="G19" s="3989"/>
      <c r="H19" s="4163">
        <f t="shared" si="4"/>
        <v>0</v>
      </c>
      <c r="I19" s="3989"/>
      <c r="J19" s="4164">
        <f t="shared" si="5"/>
        <v>0</v>
      </c>
      <c r="K19" s="3985" t="str">
        <f t="shared" si="0"/>
        <v/>
      </c>
      <c r="M19" s="3123">
        <f t="shared" si="6"/>
        <v>0</v>
      </c>
      <c r="N19" s="3123">
        <f t="shared" si="1"/>
        <v>0</v>
      </c>
      <c r="Q19" s="4088">
        <f t="shared" si="2"/>
        <v>0</v>
      </c>
      <c r="R19" s="1485" t="str">
        <f t="shared" si="7"/>
        <v/>
      </c>
      <c r="S19" s="2314">
        <f>IF(N19=0,0,SUM($I$9:I19))</f>
      </c>
      <c r="U19" s="1485">
        <f>Consolidation!B11</f>
      </c>
      <c r="V19" s="1485">
        <f t="shared" si="12"/>
        <v>0</v>
      </c>
      <c r="W19" s="1485">
        <f t="shared" si="13"/>
        <v>0</v>
      </c>
      <c r="X19" s="1485">
        <f t="shared" si="14"/>
        <v>0</v>
      </c>
      <c r="Y19" s="1485">
        <f t="shared" si="15"/>
        <v>0</v>
      </c>
      <c r="AB19" s="1485">
        <f t="shared" si="16"/>
        <v>0</v>
      </c>
      <c r="AC19" s="1485">
        <f t="shared" si="17"/>
        <v>0</v>
      </c>
      <c r="AD19" s="2728">
        <f>IF(N19=0,0,SUMIF($AB$9:AB19,AB19,$AC$9:AC19))</f>
      </c>
    </row>
    <row r="20" spans="1:30" x14ac:dyDescent="0.2">
      <c r="A20" s="3748">
        <v>12</v>
      </c>
      <c r="B20" s="3352"/>
      <c r="C20" s="363"/>
      <c r="D20" s="809"/>
      <c r="E20" s="3989"/>
      <c r="F20" s="3990"/>
      <c r="G20" s="3989"/>
      <c r="H20" s="4163">
        <f t="shared" si="4"/>
        <v>0</v>
      </c>
      <c r="I20" s="3989"/>
      <c r="J20" s="4164">
        <f t="shared" si="5"/>
        <v>0</v>
      </c>
      <c r="K20" s="3985" t="str">
        <f t="shared" si="0"/>
        <v/>
      </c>
      <c r="M20" s="3123">
        <f t="shared" si="6"/>
        <v>0</v>
      </c>
      <c r="N20" s="3123">
        <f t="shared" si="1"/>
        <v>0</v>
      </c>
      <c r="Q20" s="4088">
        <f t="shared" si="2"/>
        <v>0</v>
      </c>
      <c r="R20" s="1485" t="str">
        <f t="shared" si="7"/>
        <v/>
      </c>
      <c r="S20" s="2314">
        <f>IF(N20=0,0,SUM($I$9:I20))</f>
      </c>
      <c r="U20" s="1485">
        <f>Consolidation!B12</f>
      </c>
      <c r="V20" s="1485">
        <f t="shared" si="12"/>
        <v>0</v>
      </c>
      <c r="W20" s="1485">
        <f t="shared" si="13"/>
        <v>0</v>
      </c>
      <c r="X20" s="1485">
        <f t="shared" si="14"/>
        <v>0</v>
      </c>
      <c r="Y20" s="1485">
        <f t="shared" si="15"/>
        <v>0</v>
      </c>
      <c r="AB20" s="1485">
        <f t="shared" si="16"/>
        <v>0</v>
      </c>
      <c r="AC20" s="1485">
        <f t="shared" si="17"/>
        <v>0</v>
      </c>
      <c r="AD20" s="2728">
        <f>IF(N20=0,0,SUMIF($AB$9:AB20,AB20,$AC$9:AC20))</f>
      </c>
    </row>
    <row r="21" spans="1:30" x14ac:dyDescent="0.2">
      <c r="A21" s="3748">
        <v>13</v>
      </c>
      <c r="B21" s="3352"/>
      <c r="C21" s="363"/>
      <c r="D21" s="809"/>
      <c r="E21" s="3989"/>
      <c r="F21" s="3990"/>
      <c r="G21" s="3989"/>
      <c r="H21" s="4163">
        <f t="shared" si="4"/>
        <v>0</v>
      </c>
      <c r="I21" s="3989"/>
      <c r="J21" s="4164">
        <f t="shared" si="5"/>
        <v>0</v>
      </c>
      <c r="K21" s="3985" t="str">
        <f t="shared" si="0"/>
        <v/>
      </c>
      <c r="M21" s="3123">
        <f t="shared" si="6"/>
        <v>0</v>
      </c>
      <c r="N21" s="3123">
        <f t="shared" si="1"/>
        <v>0</v>
      </c>
      <c r="Q21" s="4088">
        <f t="shared" si="2"/>
        <v>0</v>
      </c>
      <c r="R21" s="1485" t="str">
        <f t="shared" si="7"/>
        <v/>
      </c>
      <c r="S21" s="2314">
        <f>IF(N21=0,0,SUM($I$9:I21))</f>
      </c>
      <c r="U21" s="1485">
        <f>Consolidation!B13</f>
      </c>
      <c r="V21" s="1485">
        <f t="shared" si="12"/>
        <v>0</v>
      </c>
      <c r="W21" s="1485">
        <f t="shared" si="13"/>
        <v>0</v>
      </c>
      <c r="X21" s="1485">
        <f t="shared" si="14"/>
        <v>0</v>
      </c>
      <c r="Y21" s="1485">
        <f t="shared" si="15"/>
        <v>0</v>
      </c>
      <c r="AB21" s="1485">
        <f t="shared" si="16"/>
        <v>0</v>
      </c>
      <c r="AC21" s="1485">
        <f t="shared" si="17"/>
        <v>0</v>
      </c>
      <c r="AD21" s="2728">
        <f>IF(N21=0,0,SUMIF($AB$9:AB21,AB21,$AC$9:AC21))</f>
      </c>
    </row>
    <row r="22" spans="1:30" x14ac:dyDescent="0.2">
      <c r="A22" s="3748">
        <v>14</v>
      </c>
      <c r="B22" s="3352"/>
      <c r="C22" s="363"/>
      <c r="D22" s="809"/>
      <c r="E22" s="3989"/>
      <c r="F22" s="3990"/>
      <c r="G22" s="3989"/>
      <c r="H22" s="4163">
        <f t="shared" si="4"/>
        <v>0</v>
      </c>
      <c r="I22" s="3989"/>
      <c r="J22" s="4164">
        <f t="shared" si="5"/>
        <v>0</v>
      </c>
      <c r="K22" s="3985" t="str">
        <f t="shared" si="0"/>
        <v/>
      </c>
      <c r="M22" s="3123">
        <f t="shared" si="6"/>
        <v>0</v>
      </c>
      <c r="N22" s="3123">
        <f t="shared" si="1"/>
        <v>0</v>
      </c>
      <c r="Q22" s="4088">
        <f t="shared" si="2"/>
        <v>0</v>
      </c>
      <c r="R22" s="1485" t="str">
        <f t="shared" si="7"/>
        <v/>
      </c>
      <c r="S22" s="2314">
        <f>IF(N22=0,0,SUM($I$9:I22))</f>
      </c>
      <c r="U22" s="1485">
        <f>Consolidation!B14</f>
      </c>
      <c r="V22" s="1485">
        <f t="shared" si="12"/>
        <v>0</v>
      </c>
      <c r="W22" s="1485">
        <f t="shared" si="13"/>
        <v>0</v>
      </c>
      <c r="X22" s="1485">
        <f t="shared" si="14"/>
        <v>0</v>
      </c>
      <c r="Y22" s="1485">
        <f t="shared" si="15"/>
        <v>0</v>
      </c>
      <c r="AB22" s="1485">
        <f t="shared" si="16"/>
        <v>0</v>
      </c>
      <c r="AC22" s="1485">
        <f t="shared" si="17"/>
        <v>0</v>
      </c>
      <c r="AD22" s="2728">
        <f>IF(N22=0,0,SUMIF($AB$9:AB22,AB22,$AC$9:AC22))</f>
      </c>
    </row>
    <row r="23" spans="1:30" x14ac:dyDescent="0.2">
      <c r="A23" s="3748">
        <v>15</v>
      </c>
      <c r="B23" s="3352"/>
      <c r="C23" s="363"/>
      <c r="D23" s="809"/>
      <c r="E23" s="3989"/>
      <c r="F23" s="3990"/>
      <c r="G23" s="3989"/>
      <c r="H23" s="4163">
        <f t="shared" si="4"/>
        <v>0</v>
      </c>
      <c r="I23" s="3989"/>
      <c r="J23" s="4164">
        <f t="shared" si="5"/>
        <v>0</v>
      </c>
      <c r="K23" s="3985" t="str">
        <f t="shared" si="0"/>
        <v/>
      </c>
      <c r="M23" s="3123">
        <f t="shared" si="6"/>
        <v>0</v>
      </c>
      <c r="N23" s="3123">
        <f t="shared" si="1"/>
        <v>0</v>
      </c>
      <c r="Q23" s="4088">
        <f t="shared" si="2"/>
        <v>0</v>
      </c>
      <c r="R23" s="1485" t="str">
        <f t="shared" si="7"/>
        <v/>
      </c>
      <c r="S23" s="2314">
        <f>IF(N23=0,0,SUM($I$9:I23))</f>
      </c>
      <c r="U23" s="1485">
        <f>Consolidation!B15</f>
      </c>
      <c r="V23" s="1485">
        <f t="shared" si="12"/>
        <v>0</v>
      </c>
      <c r="W23" s="1485">
        <f t="shared" si="13"/>
        <v>0</v>
      </c>
      <c r="X23" s="1485">
        <f t="shared" si="14"/>
        <v>0</v>
      </c>
      <c r="Y23" s="1485">
        <f t="shared" si="15"/>
        <v>0</v>
      </c>
      <c r="AB23" s="1485">
        <f t="shared" si="16"/>
        <v>0</v>
      </c>
      <c r="AC23" s="1485">
        <f t="shared" si="17"/>
        <v>0</v>
      </c>
      <c r="AD23" s="2728">
        <f>IF(N23=0,0,SUMIF($AB$9:AB23,AB23,$AC$9:AC23))</f>
      </c>
    </row>
    <row r="24" spans="1:30" x14ac:dyDescent="0.2">
      <c r="A24" s="3748">
        <v>16</v>
      </c>
      <c r="B24" s="3352"/>
      <c r="C24" s="363"/>
      <c r="D24" s="809"/>
      <c r="E24" s="3989"/>
      <c r="F24" s="3990"/>
      <c r="G24" s="3989"/>
      <c r="H24" s="4163">
        <f t="shared" si="4"/>
        <v>0</v>
      </c>
      <c r="I24" s="3989"/>
      <c r="J24" s="4164">
        <f t="shared" si="5"/>
        <v>0</v>
      </c>
      <c r="K24" s="3985" t="str">
        <f t="shared" si="0"/>
        <v/>
      </c>
      <c r="M24" s="3123">
        <f t="shared" si="6"/>
        <v>0</v>
      </c>
      <c r="N24" s="3123">
        <f t="shared" si="1"/>
        <v>0</v>
      </c>
      <c r="Q24" s="4088">
        <f t="shared" si="2"/>
        <v>0</v>
      </c>
      <c r="R24" s="1485" t="str">
        <f t="shared" si="7"/>
        <v/>
      </c>
      <c r="S24" s="2314">
        <f>IF(N24=0,0,SUM($I$9:I24))</f>
      </c>
      <c r="U24" s="1485">
        <f>Consolidation!B16</f>
      </c>
      <c r="V24" s="1485">
        <f t="shared" si="12"/>
        <v>0</v>
      </c>
      <c r="W24" s="1485">
        <f t="shared" si="13"/>
        <v>0</v>
      </c>
      <c r="X24" s="1485">
        <f t="shared" si="14"/>
        <v>0</v>
      </c>
      <c r="Y24" s="1485">
        <f t="shared" si="15"/>
        <v>0</v>
      </c>
      <c r="AB24" s="1485">
        <f t="shared" si="16"/>
        <v>0</v>
      </c>
      <c r="AC24" s="1485">
        <f t="shared" si="17"/>
        <v>0</v>
      </c>
      <c r="AD24" s="2728">
        <f>IF(N24=0,0,SUMIF($AB$9:AB24,AB24,$AC$9:AC24))</f>
      </c>
    </row>
    <row r="25" spans="1:30" x14ac:dyDescent="0.2">
      <c r="A25" s="3748">
        <v>17</v>
      </c>
      <c r="B25" s="3352"/>
      <c r="C25" s="363"/>
      <c r="D25" s="809"/>
      <c r="E25" s="3989"/>
      <c r="F25" s="3990"/>
      <c r="G25" s="3989"/>
      <c r="H25" s="4163">
        <f t="shared" si="4"/>
        <v>0</v>
      </c>
      <c r="I25" s="3989"/>
      <c r="J25" s="4164">
        <f t="shared" si="5"/>
        <v>0</v>
      </c>
      <c r="K25" s="3985" t="str">
        <f t="shared" si="0"/>
        <v/>
      </c>
      <c r="M25" s="3123">
        <f t="shared" si="6"/>
        <v>0</v>
      </c>
      <c r="N25" s="3123">
        <f t="shared" si="1"/>
        <v>0</v>
      </c>
      <c r="Q25" s="4088">
        <f t="shared" si="2"/>
        <v>0</v>
      </c>
      <c r="R25" s="1485" t="str">
        <f t="shared" si="7"/>
        <v/>
      </c>
      <c r="S25" s="2314">
        <f>IF(N25=0,0,SUM($I$9:I25))</f>
      </c>
      <c r="U25" s="1485">
        <f>Consolidation!B17</f>
      </c>
      <c r="V25" s="1485">
        <f t="shared" si="12"/>
        <v>0</v>
      </c>
      <c r="W25" s="1485">
        <f t="shared" si="13"/>
        <v>0</v>
      </c>
      <c r="X25" s="1485">
        <f t="shared" si="14"/>
        <v>0</v>
      </c>
      <c r="Y25" s="1485">
        <f t="shared" si="15"/>
        <v>0</v>
      </c>
      <c r="AB25" s="1485">
        <f t="shared" si="16"/>
        <v>0</v>
      </c>
      <c r="AC25" s="1485">
        <f t="shared" si="17"/>
        <v>0</v>
      </c>
      <c r="AD25" s="2728">
        <f>IF(N25=0,0,SUMIF($AB$9:AB25,AB25,$AC$9:AC25))</f>
      </c>
    </row>
    <row r="26" spans="1:30" x14ac:dyDescent="0.2">
      <c r="A26" s="3748">
        <v>18</v>
      </c>
      <c r="B26" s="3352"/>
      <c r="C26" s="363"/>
      <c r="D26" s="809"/>
      <c r="E26" s="3989"/>
      <c r="F26" s="3990"/>
      <c r="G26" s="3989"/>
      <c r="H26" s="4163">
        <f t="shared" si="4"/>
        <v>0</v>
      </c>
      <c r="I26" s="3989"/>
      <c r="J26" s="4164">
        <f t="shared" si="5"/>
        <v>0</v>
      </c>
      <c r="K26" s="3985" t="str">
        <f t="shared" si="0"/>
        <v/>
      </c>
      <c r="M26" s="3123">
        <f t="shared" si="6"/>
        <v>0</v>
      </c>
      <c r="N26" s="3123">
        <f t="shared" si="1"/>
        <v>0</v>
      </c>
      <c r="Q26" s="4088">
        <f t="shared" si="2"/>
        <v>0</v>
      </c>
      <c r="R26" s="1485" t="str">
        <f t="shared" si="7"/>
        <v/>
      </c>
      <c r="S26" s="2314">
        <f>IF(N26=0,0,SUM($I$9:I26))</f>
      </c>
      <c r="U26" s="1485">
        <f>Consolidation!B18</f>
      </c>
      <c r="V26" s="1485">
        <f t="shared" si="12"/>
        <v>0</v>
      </c>
      <c r="W26" s="1485">
        <f t="shared" si="13"/>
        <v>0</v>
      </c>
      <c r="X26" s="1485">
        <f t="shared" si="14"/>
        <v>0</v>
      </c>
      <c r="Y26" s="1485">
        <f t="shared" si="15"/>
        <v>0</v>
      </c>
      <c r="AB26" s="1485">
        <f t="shared" si="16"/>
        <v>0</v>
      </c>
      <c r="AC26" s="1485">
        <f t="shared" si="17"/>
        <v>0</v>
      </c>
      <c r="AD26" s="2728">
        <f>IF(N26=0,0,SUMIF($AB$9:AB26,AB26,$AC$9:AC26))</f>
      </c>
    </row>
    <row r="27" spans="1:30" x14ac:dyDescent="0.2">
      <c r="A27" s="3748">
        <v>19</v>
      </c>
      <c r="B27" s="3352"/>
      <c r="C27" s="363"/>
      <c r="D27" s="809"/>
      <c r="E27" s="3989"/>
      <c r="F27" s="3990"/>
      <c r="G27" s="3989"/>
      <c r="H27" s="4163">
        <f t="shared" si="4"/>
        <v>0</v>
      </c>
      <c r="I27" s="3989"/>
      <c r="J27" s="4164">
        <f t="shared" si="5"/>
        <v>0</v>
      </c>
      <c r="K27" s="3985" t="str">
        <f t="shared" si="0"/>
        <v/>
      </c>
      <c r="M27" s="3123">
        <f t="shared" si="6"/>
        <v>0</v>
      </c>
      <c r="N27" s="3123">
        <f t="shared" si="1"/>
        <v>0</v>
      </c>
      <c r="Q27" s="4088">
        <f t="shared" si="2"/>
        <v>0</v>
      </c>
      <c r="R27" s="1485" t="str">
        <f t="shared" si="7"/>
        <v/>
      </c>
      <c r="S27" s="2314">
        <f>IF(N27=0,0,SUM($I$9:I27))</f>
      </c>
      <c r="U27" s="1485">
        <f>Consolidation!B19</f>
      </c>
      <c r="V27" s="1485">
        <f t="shared" si="12"/>
        <v>0</v>
      </c>
      <c r="W27" s="1485">
        <f t="shared" si="13"/>
        <v>0</v>
      </c>
      <c r="X27" s="1485">
        <f t="shared" si="14"/>
        <v>0</v>
      </c>
      <c r="Y27" s="1485">
        <f t="shared" si="15"/>
        <v>0</v>
      </c>
      <c r="AB27" s="1485">
        <f t="shared" si="16"/>
        <v>0</v>
      </c>
      <c r="AC27" s="1485">
        <f t="shared" si="17"/>
        <v>0</v>
      </c>
      <c r="AD27" s="2728">
        <f>IF(N27=0,0,SUMIF($AB$9:AB27,AB27,$AC$9:AC27))</f>
      </c>
    </row>
    <row r="28" spans="1:30" x14ac:dyDescent="0.2">
      <c r="A28" s="3748">
        <v>20</v>
      </c>
      <c r="B28" s="3352"/>
      <c r="C28" s="363"/>
      <c r="D28" s="809"/>
      <c r="E28" s="3989"/>
      <c r="F28" s="3990"/>
      <c r="G28" s="3989"/>
      <c r="H28" s="4163">
        <f t="shared" si="4"/>
        <v>0</v>
      </c>
      <c r="I28" s="3989"/>
      <c r="J28" s="4164">
        <f t="shared" si="5"/>
        <v>0</v>
      </c>
      <c r="K28" s="3985" t="str">
        <f t="shared" si="0"/>
        <v/>
      </c>
      <c r="M28" s="3123">
        <f t="shared" si="6"/>
        <v>0</v>
      </c>
      <c r="N28" s="3123">
        <f t="shared" si="1"/>
        <v>0</v>
      </c>
      <c r="Q28" s="4088">
        <f t="shared" si="2"/>
        <v>0</v>
      </c>
      <c r="R28" s="1485" t="str">
        <f t="shared" si="7"/>
        <v/>
      </c>
      <c r="S28" s="2314">
        <f>IF(N28=0,0,SUM($I$9:I28))</f>
      </c>
      <c r="U28" s="1485">
        <f>Consolidation!B20</f>
      </c>
      <c r="V28" s="1485">
        <f t="shared" si="12"/>
        <v>0</v>
      </c>
      <c r="W28" s="1485">
        <f t="shared" si="13"/>
        <v>0</v>
      </c>
      <c r="X28" s="1485">
        <f t="shared" si="14"/>
        <v>0</v>
      </c>
      <c r="Y28" s="1485">
        <f t="shared" si="15"/>
        <v>0</v>
      </c>
      <c r="AB28" s="1485">
        <f t="shared" si="16"/>
        <v>0</v>
      </c>
      <c r="AC28" s="1485">
        <f t="shared" si="17"/>
        <v>0</v>
      </c>
      <c r="AD28" s="2728">
        <f>IF(N28=0,0,SUMIF($AB$9:AB28,AB28,$AC$9:AC28))</f>
      </c>
    </row>
    <row r="29" spans="1:30" x14ac:dyDescent="0.2">
      <c r="A29" s="3748">
        <v>21</v>
      </c>
      <c r="B29" s="3352"/>
      <c r="C29" s="363"/>
      <c r="D29" s="809"/>
      <c r="E29" s="3989"/>
      <c r="F29" s="3990"/>
      <c r="G29" s="3989"/>
      <c r="H29" s="4163">
        <f t="shared" si="4"/>
        <v>0</v>
      </c>
      <c r="I29" s="3989"/>
      <c r="J29" s="4164">
        <f t="shared" si="5"/>
        <v>0</v>
      </c>
      <c r="K29" s="3985" t="str">
        <f t="shared" si="0"/>
        <v/>
      </c>
      <c r="M29" s="3123">
        <f t="shared" si="6"/>
        <v>0</v>
      </c>
      <c r="N29" s="3123">
        <f t="shared" si="1"/>
        <v>0</v>
      </c>
      <c r="Q29" s="4088">
        <f t="shared" si="2"/>
        <v>0</v>
      </c>
      <c r="R29" s="1485" t="str">
        <f t="shared" si="7"/>
        <v/>
      </c>
      <c r="S29" s="2314">
        <f>IF(N29=0,0,SUM($I$9:I29))</f>
      </c>
      <c r="U29" s="1485">
        <f>Consolidation!B21</f>
      </c>
      <c r="V29" s="1485">
        <f t="shared" si="12"/>
        <v>0</v>
      </c>
      <c r="W29" s="1485">
        <f t="shared" si="13"/>
        <v>0</v>
      </c>
      <c r="X29" s="1485">
        <f t="shared" si="14"/>
        <v>0</v>
      </c>
      <c r="Y29" s="1485">
        <f t="shared" si="15"/>
        <v>0</v>
      </c>
      <c r="AB29" s="1485">
        <f t="shared" si="16"/>
        <v>0</v>
      </c>
      <c r="AC29" s="1485">
        <f t="shared" si="17"/>
        <v>0</v>
      </c>
      <c r="AD29" s="2728">
        <f>IF(N29=0,0,SUMIF($AB$9:AB29,AB29,$AC$9:AC29))</f>
      </c>
    </row>
    <row r="30" spans="1:30" x14ac:dyDescent="0.2">
      <c r="A30" s="3748">
        <v>22</v>
      </c>
      <c r="B30" s="3352"/>
      <c r="C30" s="363"/>
      <c r="D30" s="809"/>
      <c r="E30" s="3989"/>
      <c r="F30" s="3990"/>
      <c r="G30" s="3989"/>
      <c r="H30" s="4163">
        <f t="shared" si="4"/>
        <v>0</v>
      </c>
      <c r="I30" s="3989"/>
      <c r="J30" s="4164">
        <f t="shared" si="5"/>
        <v>0</v>
      </c>
      <c r="K30" s="3985" t="str">
        <f t="shared" si="0"/>
        <v/>
      </c>
      <c r="M30" s="3123">
        <f t="shared" si="6"/>
        <v>0</v>
      </c>
      <c r="N30" s="3123">
        <f t="shared" si="1"/>
        <v>0</v>
      </c>
      <c r="Q30" s="4088">
        <f t="shared" si="2"/>
        <v>0</v>
      </c>
      <c r="R30" s="1485" t="str">
        <f t="shared" si="7"/>
        <v/>
      </c>
      <c r="S30" s="2314">
        <f>IF(N30=0,0,SUM($I$9:I30))</f>
      </c>
      <c r="U30" s="1485">
        <f>Consolidation!B22</f>
      </c>
      <c r="V30" s="1485">
        <f t="shared" si="12"/>
        <v>0</v>
      </c>
      <c r="W30" s="1485">
        <f t="shared" si="13"/>
        <v>0</v>
      </c>
      <c r="X30" s="1485">
        <f t="shared" si="14"/>
        <v>0</v>
      </c>
      <c r="Y30" s="1485">
        <f t="shared" si="15"/>
        <v>0</v>
      </c>
      <c r="AB30" s="1485">
        <f t="shared" si="16"/>
        <v>0</v>
      </c>
      <c r="AC30" s="1485">
        <f t="shared" si="17"/>
        <v>0</v>
      </c>
      <c r="AD30" s="2728">
        <f>IF(N30=0,0,SUMIF($AB$9:AB30,AB30,$AC$9:AC30))</f>
      </c>
    </row>
    <row r="31" spans="1:30" x14ac:dyDescent="0.2">
      <c r="A31" s="3748">
        <v>23</v>
      </c>
      <c r="B31" s="3352"/>
      <c r="C31" s="363"/>
      <c r="D31" s="809"/>
      <c r="E31" s="3989"/>
      <c r="F31" s="3990"/>
      <c r="G31" s="3989"/>
      <c r="H31" s="4163">
        <f t="shared" si="4"/>
        <v>0</v>
      </c>
      <c r="I31" s="3989"/>
      <c r="J31" s="4164">
        <f t="shared" si="5"/>
        <v>0</v>
      </c>
      <c r="K31" s="3985" t="str">
        <f t="shared" si="0"/>
        <v/>
      </c>
      <c r="M31" s="3123">
        <f t="shared" si="6"/>
        <v>0</v>
      </c>
      <c r="N31" s="3123">
        <f t="shared" si="1"/>
        <v>0</v>
      </c>
      <c r="Q31" s="4088">
        <f t="shared" si="2"/>
        <v>0</v>
      </c>
      <c r="R31" s="1485" t="str">
        <f t="shared" si="7"/>
        <v/>
      </c>
      <c r="S31" s="2314">
        <f>IF(N31=0,0,SUM($I$9:I31))</f>
      </c>
      <c r="U31" s="1485">
        <f>Consolidation!B23</f>
      </c>
      <c r="V31" s="1485">
        <f t="shared" si="12"/>
        <v>0</v>
      </c>
      <c r="W31" s="1485">
        <f t="shared" si="13"/>
        <v>0</v>
      </c>
      <c r="X31" s="1485">
        <f t="shared" si="14"/>
        <v>0</v>
      </c>
      <c r="Y31" s="1485">
        <f t="shared" si="15"/>
        <v>0</v>
      </c>
      <c r="AB31" s="1485">
        <f t="shared" si="16"/>
        <v>0</v>
      </c>
      <c r="AC31" s="1485">
        <f t="shared" si="17"/>
        <v>0</v>
      </c>
      <c r="AD31" s="2728">
        <f>IF(N31=0,0,SUMIF($AB$9:AB31,AB31,$AC$9:AC31))</f>
      </c>
    </row>
    <row r="32" spans="1:30" x14ac:dyDescent="0.2">
      <c r="A32" s="3748">
        <v>24</v>
      </c>
      <c r="B32" s="3352"/>
      <c r="C32" s="363"/>
      <c r="D32" s="809"/>
      <c r="E32" s="3989"/>
      <c r="F32" s="3990"/>
      <c r="G32" s="3989"/>
      <c r="H32" s="4163">
        <f t="shared" si="4"/>
        <v>0</v>
      </c>
      <c r="I32" s="3989"/>
      <c r="J32" s="4164">
        <f t="shared" si="5"/>
        <v>0</v>
      </c>
      <c r="K32" s="3985" t="str">
        <f t="shared" si="0"/>
        <v/>
      </c>
      <c r="M32" s="3123">
        <f t="shared" si="6"/>
        <v>0</v>
      </c>
      <c r="N32" s="3123">
        <f t="shared" si="1"/>
        <v>0</v>
      </c>
      <c r="Q32" s="4088">
        <f t="shared" si="2"/>
        <v>0</v>
      </c>
      <c r="R32" s="1485" t="str">
        <f t="shared" si="7"/>
        <v/>
      </c>
      <c r="S32" s="2314">
        <f>IF(N32=0,0,SUM($I$9:I32))</f>
      </c>
      <c r="U32" s="1485">
        <f>Consolidation!B24</f>
      </c>
      <c r="V32" s="1485">
        <f t="shared" si="12"/>
        <v>0</v>
      </c>
      <c r="W32" s="1485">
        <f t="shared" si="13"/>
        <v>0</v>
      </c>
      <c r="X32" s="1485">
        <f t="shared" si="14"/>
        <v>0</v>
      </c>
      <c r="Y32" s="1485">
        <f t="shared" si="15"/>
        <v>0</v>
      </c>
      <c r="AB32" s="1485">
        <f t="shared" si="16"/>
        <v>0</v>
      </c>
      <c r="AC32" s="1485">
        <f t="shared" si="17"/>
        <v>0</v>
      </c>
      <c r="AD32" s="2728">
        <f>IF(N32=0,0,SUMIF($AB$9:AB32,AB32,$AC$9:AC32))</f>
      </c>
    </row>
    <row r="33" spans="1:30" x14ac:dyDescent="0.2">
      <c r="A33" s="3748">
        <v>25</v>
      </c>
      <c r="B33" s="3352"/>
      <c r="C33" s="363"/>
      <c r="D33" s="809"/>
      <c r="E33" s="3989"/>
      <c r="F33" s="3990"/>
      <c r="G33" s="3989"/>
      <c r="H33" s="4163">
        <f t="shared" si="4"/>
        <v>0</v>
      </c>
      <c r="I33" s="3989"/>
      <c r="J33" s="4164">
        <f t="shared" si="5"/>
        <v>0</v>
      </c>
      <c r="K33" s="3985" t="str">
        <f t="shared" si="0"/>
        <v/>
      </c>
      <c r="M33" s="3123">
        <f t="shared" si="6"/>
        <v>0</v>
      </c>
      <c r="N33" s="3123">
        <f t="shared" si="1"/>
        <v>0</v>
      </c>
      <c r="Q33" s="4088">
        <f t="shared" si="2"/>
        <v>0</v>
      </c>
      <c r="R33" s="1485" t="str">
        <f t="shared" si="7"/>
        <v/>
      </c>
      <c r="S33" s="2314">
        <f>IF(N33=0,0,SUM($I$9:I33))</f>
      </c>
      <c r="U33" s="1485">
        <f>Consolidation!B25</f>
      </c>
      <c r="V33" s="1485">
        <f t="shared" si="12"/>
        <v>0</v>
      </c>
      <c r="W33" s="1485">
        <f t="shared" si="13"/>
        <v>0</v>
      </c>
      <c r="X33" s="1485">
        <f t="shared" si="14"/>
        <v>0</v>
      </c>
      <c r="Y33" s="1485">
        <f t="shared" si="15"/>
        <v>0</v>
      </c>
      <c r="AB33" s="1485">
        <f t="shared" si="16"/>
        <v>0</v>
      </c>
      <c r="AC33" s="1485">
        <f t="shared" si="17"/>
        <v>0</v>
      </c>
      <c r="AD33" s="2728">
        <f>IF(N33=0,0,SUMIF($AB$9:AB33,AB33,$AC$9:AC33))</f>
      </c>
    </row>
    <row r="34" spans="1:30" x14ac:dyDescent="0.2">
      <c r="A34" s="3748">
        <v>26</v>
      </c>
      <c r="B34" s="3352"/>
      <c r="C34" s="363"/>
      <c r="D34" s="809"/>
      <c r="E34" s="3989"/>
      <c r="F34" s="3990"/>
      <c r="G34" s="3989"/>
      <c r="H34" s="4163">
        <f t="shared" si="4"/>
        <v>0</v>
      </c>
      <c r="I34" s="3989"/>
      <c r="J34" s="4164">
        <f t="shared" si="5"/>
        <v>0</v>
      </c>
      <c r="K34" s="3985" t="str">
        <f t="shared" si="0"/>
        <v/>
      </c>
      <c r="M34" s="3123">
        <f t="shared" si="6"/>
        <v>0</v>
      </c>
      <c r="N34" s="3123">
        <f t="shared" si="1"/>
        <v>0</v>
      </c>
      <c r="Q34" s="4088">
        <f t="shared" si="2"/>
        <v>0</v>
      </c>
      <c r="R34" s="1485" t="str">
        <f t="shared" si="7"/>
        <v/>
      </c>
      <c r="S34" s="2314">
        <f>IF(N34=0,0,SUM($I$9:I34))</f>
      </c>
      <c r="U34" s="1485">
        <f>Consolidation!B26</f>
      </c>
      <c r="V34" s="1485">
        <f t="shared" si="12"/>
        <v>0</v>
      </c>
      <c r="W34" s="1485">
        <f t="shared" si="13"/>
        <v>0</v>
      </c>
      <c r="X34" s="1485">
        <f t="shared" si="14"/>
        <v>0</v>
      </c>
      <c r="Y34" s="1485">
        <f t="shared" si="15"/>
        <v>0</v>
      </c>
      <c r="AB34" s="1485">
        <f t="shared" si="16"/>
        <v>0</v>
      </c>
      <c r="AC34" s="1485">
        <f t="shared" si="17"/>
        <v>0</v>
      </c>
      <c r="AD34" s="2728">
        <f>IF(N34=0,0,SUMIF($AB$9:AB34,AB34,$AC$9:AC34))</f>
      </c>
    </row>
    <row r="35" spans="1:30" x14ac:dyDescent="0.2">
      <c r="A35" s="3748">
        <v>27</v>
      </c>
      <c r="B35" s="3352"/>
      <c r="C35" s="363"/>
      <c r="D35" s="809"/>
      <c r="E35" s="3989"/>
      <c r="F35" s="3990"/>
      <c r="G35" s="3989"/>
      <c r="H35" s="4163">
        <f t="shared" si="4"/>
        <v>0</v>
      </c>
      <c r="I35" s="3989"/>
      <c r="J35" s="4164">
        <f t="shared" si="5"/>
        <v>0</v>
      </c>
      <c r="K35" s="3985" t="str">
        <f t="shared" si="0"/>
        <v/>
      </c>
      <c r="M35" s="3123">
        <f t="shared" si="6"/>
        <v>0</v>
      </c>
      <c r="N35" s="3123">
        <f t="shared" si="1"/>
        <v>0</v>
      </c>
      <c r="Q35" s="4088">
        <f t="shared" si="2"/>
        <v>0</v>
      </c>
      <c r="R35" s="1485" t="str">
        <f t="shared" si="7"/>
        <v/>
      </c>
      <c r="S35" s="2314">
        <f>IF(N35=0,0,SUM($I$9:I35))</f>
      </c>
      <c r="U35" s="1485">
        <f>Consolidation!B27</f>
      </c>
      <c r="V35" s="1485">
        <f t="shared" si="12"/>
        <v>0</v>
      </c>
      <c r="W35" s="1485">
        <f t="shared" si="13"/>
        <v>0</v>
      </c>
      <c r="X35" s="1485">
        <f t="shared" si="14"/>
        <v>0</v>
      </c>
      <c r="Y35" s="1485">
        <f t="shared" si="15"/>
        <v>0</v>
      </c>
      <c r="AB35" s="1485">
        <f t="shared" si="16"/>
        <v>0</v>
      </c>
      <c r="AC35" s="1485">
        <f t="shared" si="17"/>
        <v>0</v>
      </c>
      <c r="AD35" s="2728">
        <f>IF(N35=0,0,SUMIF($AB$9:AB35,AB35,$AC$9:AC35))</f>
      </c>
    </row>
    <row r="36" spans="1:30" x14ac:dyDescent="0.2">
      <c r="A36" s="3748">
        <v>28</v>
      </c>
      <c r="B36" s="3352"/>
      <c r="C36" s="363"/>
      <c r="D36" s="809"/>
      <c r="E36" s="3989"/>
      <c r="F36" s="3990"/>
      <c r="G36" s="3989"/>
      <c r="H36" s="4163">
        <f t="shared" si="4"/>
        <v>0</v>
      </c>
      <c r="I36" s="3989"/>
      <c r="J36" s="4164">
        <f t="shared" si="5"/>
        <v>0</v>
      </c>
      <c r="K36" s="3985" t="str">
        <f t="shared" si="0"/>
        <v/>
      </c>
      <c r="M36" s="3123">
        <f t="shared" si="6"/>
        <v>0</v>
      </c>
      <c r="N36" s="3123">
        <f t="shared" si="1"/>
        <v>0</v>
      </c>
      <c r="Q36" s="4088">
        <f t="shared" si="2"/>
        <v>0</v>
      </c>
      <c r="R36" s="1485" t="str">
        <f t="shared" si="7"/>
        <v/>
      </c>
      <c r="S36" s="2314">
        <f>IF(N36=0,0,SUM($I$9:I36))</f>
      </c>
      <c r="U36" s="1485">
        <f>Consolidation!B28</f>
      </c>
      <c r="V36" s="1485">
        <f t="shared" si="12"/>
        <v>0</v>
      </c>
      <c r="W36" s="1485">
        <f t="shared" si="13"/>
        <v>0</v>
      </c>
      <c r="X36" s="1485">
        <f t="shared" si="14"/>
        <v>0</v>
      </c>
      <c r="Y36" s="1485">
        <f t="shared" si="15"/>
        <v>0</v>
      </c>
      <c r="AB36" s="1485">
        <f t="shared" si="16"/>
        <v>0</v>
      </c>
      <c r="AC36" s="1485">
        <f t="shared" si="17"/>
        <v>0</v>
      </c>
      <c r="AD36" s="2728">
        <f>IF(N36=0,0,SUMIF($AB$9:AB36,AB36,$AC$9:AC36))</f>
      </c>
    </row>
    <row r="37" spans="1:30" x14ac:dyDescent="0.2">
      <c r="A37" s="3748">
        <v>29</v>
      </c>
      <c r="B37" s="3352"/>
      <c r="C37" s="363"/>
      <c r="D37" s="809"/>
      <c r="E37" s="3989"/>
      <c r="F37" s="3990"/>
      <c r="G37" s="3989"/>
      <c r="H37" s="4163">
        <f t="shared" si="4"/>
        <v>0</v>
      </c>
      <c r="I37" s="3989"/>
      <c r="J37" s="4164">
        <f t="shared" si="5"/>
        <v>0</v>
      </c>
      <c r="K37" s="3985" t="str">
        <f t="shared" si="0"/>
        <v/>
      </c>
      <c r="M37" s="3123">
        <f t="shared" si="6"/>
        <v>0</v>
      </c>
      <c r="N37" s="3123">
        <f t="shared" si="1"/>
        <v>0</v>
      </c>
      <c r="Q37" s="4088">
        <f t="shared" si="2"/>
        <v>0</v>
      </c>
      <c r="R37" s="1485" t="str">
        <f t="shared" si="7"/>
        <v/>
      </c>
      <c r="S37" s="2314">
        <f>IF(N37=0,0,SUM($I$9:I37))</f>
      </c>
      <c r="U37" s="1485">
        <f>Consolidation!B29</f>
      </c>
      <c r="V37" s="1485">
        <f t="shared" si="12"/>
        <v>0</v>
      </c>
      <c r="W37" s="1485">
        <f t="shared" si="13"/>
        <v>0</v>
      </c>
      <c r="X37" s="1485">
        <f t="shared" si="14"/>
        <v>0</v>
      </c>
      <c r="Y37" s="1485">
        <f t="shared" si="15"/>
        <v>0</v>
      </c>
      <c r="AB37" s="1485">
        <f t="shared" si="16"/>
        <v>0</v>
      </c>
      <c r="AC37" s="1485">
        <f t="shared" si="17"/>
        <v>0</v>
      </c>
      <c r="AD37" s="2728">
        <f>IF(N37=0,0,SUMIF($AB$9:AB37,AB37,$AC$9:AC37))</f>
      </c>
    </row>
    <row r="38" spans="1:30" x14ac:dyDescent="0.2">
      <c r="A38" s="3748">
        <v>30</v>
      </c>
      <c r="B38" s="3352"/>
      <c r="C38" s="363"/>
      <c r="D38" s="809"/>
      <c r="E38" s="3989"/>
      <c r="F38" s="3990"/>
      <c r="G38" s="3989"/>
      <c r="H38" s="4163">
        <f t="shared" si="4"/>
        <v>0</v>
      </c>
      <c r="I38" s="3989"/>
      <c r="J38" s="4164">
        <f t="shared" si="5"/>
        <v>0</v>
      </c>
      <c r="K38" s="3985" t="str">
        <f t="shared" si="0"/>
        <v/>
      </c>
      <c r="M38" s="3123">
        <f t="shared" si="6"/>
        <v>0</v>
      </c>
      <c r="N38" s="3123">
        <f t="shared" si="1"/>
        <v>0</v>
      </c>
      <c r="Q38" s="4088">
        <f t="shared" si="2"/>
        <v>0</v>
      </c>
      <c r="R38" s="1485" t="str">
        <f t="shared" si="7"/>
        <v/>
      </c>
      <c r="S38" s="2314">
        <f>IF(N38=0,0,SUM($I$9:I38))</f>
      </c>
      <c r="U38" s="1485">
        <f>Consolidation!B30</f>
      </c>
      <c r="V38" s="1485">
        <f t="shared" si="12"/>
        <v>0</v>
      </c>
      <c r="W38" s="1485">
        <f t="shared" si="13"/>
        <v>0</v>
      </c>
      <c r="X38" s="1485">
        <f t="shared" si="14"/>
        <v>0</v>
      </c>
      <c r="Y38" s="1485">
        <f t="shared" si="15"/>
        <v>0</v>
      </c>
      <c r="AB38" s="1485">
        <f t="shared" si="16"/>
        <v>0</v>
      </c>
      <c r="AC38" s="1485">
        <f t="shared" si="17"/>
        <v>0</v>
      </c>
      <c r="AD38" s="2728">
        <f>IF(N38=0,0,SUMIF($AB$9:AB38,AB38,$AC$9:AC38))</f>
      </c>
    </row>
    <row r="39" spans="1:30" x14ac:dyDescent="0.2">
      <c r="A39" s="3748">
        <v>31</v>
      </c>
      <c r="B39" s="3352"/>
      <c r="C39" s="363"/>
      <c r="D39" s="809"/>
      <c r="E39" s="3989"/>
      <c r="F39" s="3990"/>
      <c r="G39" s="3989"/>
      <c r="H39" s="4163">
        <f t="shared" si="4"/>
        <v>0</v>
      </c>
      <c r="I39" s="3989"/>
      <c r="J39" s="4164">
        <f t="shared" si="5"/>
        <v>0</v>
      </c>
      <c r="K39" s="3985" t="str">
        <f t="shared" si="0"/>
        <v/>
      </c>
      <c r="M39" s="3123">
        <f t="shared" si="6"/>
        <v>0</v>
      </c>
      <c r="N39" s="3123">
        <f t="shared" si="1"/>
        <v>0</v>
      </c>
      <c r="Q39" s="4088">
        <f t="shared" si="2"/>
        <v>0</v>
      </c>
      <c r="R39" s="1485" t="str">
        <f t="shared" si="7"/>
        <v/>
      </c>
      <c r="S39" s="2314">
        <f>IF(N39=0,0,SUM($I$9:I39))</f>
      </c>
      <c r="U39" s="1485">
        <f>Consolidation!B31</f>
      </c>
      <c r="V39" s="1485">
        <f t="shared" si="12"/>
        <v>0</v>
      </c>
      <c r="W39" s="1485">
        <f t="shared" si="13"/>
        <v>0</v>
      </c>
      <c r="X39" s="1485">
        <f t="shared" si="14"/>
        <v>0</v>
      </c>
      <c r="Y39" s="1485">
        <f t="shared" si="15"/>
        <v>0</v>
      </c>
      <c r="AB39" s="1485">
        <f t="shared" si="16"/>
        <v>0</v>
      </c>
      <c r="AC39" s="1485">
        <f t="shared" si="17"/>
        <v>0</v>
      </c>
      <c r="AD39" s="2728">
        <f>IF(N39=0,0,SUMIF($AB$9:AB39,AB39,$AC$9:AC39))</f>
      </c>
    </row>
    <row r="40" spans="1:30" x14ac:dyDescent="0.2">
      <c r="A40" s="3748">
        <v>32</v>
      </c>
      <c r="B40" s="3352"/>
      <c r="C40" s="363"/>
      <c r="D40" s="809"/>
      <c r="E40" s="3989"/>
      <c r="F40" s="3990"/>
      <c r="G40" s="3989"/>
      <c r="H40" s="4163">
        <f t="shared" si="4"/>
        <v>0</v>
      </c>
      <c r="I40" s="3989"/>
      <c r="J40" s="4164">
        <f t="shared" si="5"/>
        <v>0</v>
      </c>
      <c r="K40" s="3985" t="str">
        <f t="shared" si="0"/>
        <v/>
      </c>
      <c r="M40" s="3123">
        <f t="shared" si="6"/>
        <v>0</v>
      </c>
      <c r="N40" s="3123">
        <f t="shared" si="1"/>
        <v>0</v>
      </c>
      <c r="Q40" s="4088">
        <f t="shared" si="2"/>
        <v>0</v>
      </c>
      <c r="R40" s="1485" t="str">
        <f t="shared" si="7"/>
        <v/>
      </c>
      <c r="S40" s="2314">
        <f>IF(N40=0,0,SUM($I$9:I40))</f>
      </c>
      <c r="U40" s="1485">
        <f>Consolidation!B32</f>
      </c>
      <c r="V40" s="1485">
        <f t="shared" si="12"/>
        <v>0</v>
      </c>
      <c r="W40" s="1485">
        <f t="shared" si="13"/>
        <v>0</v>
      </c>
      <c r="X40" s="1485">
        <f t="shared" si="14"/>
        <v>0</v>
      </c>
      <c r="Y40" s="1485">
        <f t="shared" si="15"/>
        <v>0</v>
      </c>
      <c r="AB40" s="1485">
        <f t="shared" si="16"/>
        <v>0</v>
      </c>
      <c r="AC40" s="1485">
        <f t="shared" si="17"/>
        <v>0</v>
      </c>
      <c r="AD40" s="2728">
        <f>IF(N40=0,0,SUMIF($AB$9:AB40,AB40,$AC$9:AC40))</f>
      </c>
    </row>
    <row r="41" spans="1:30" x14ac:dyDescent="0.2">
      <c r="A41" s="3748">
        <v>33</v>
      </c>
      <c r="B41" s="3352"/>
      <c r="C41" s="363"/>
      <c r="D41" s="809"/>
      <c r="E41" s="3989"/>
      <c r="F41" s="3990"/>
      <c r="G41" s="3989"/>
      <c r="H41" s="4163">
        <f t="shared" si="4"/>
        <v>0</v>
      </c>
      <c r="I41" s="3989"/>
      <c r="J41" s="4164">
        <f t="shared" si="5"/>
        <v>0</v>
      </c>
      <c r="K41" s="3985" t="str">
        <f t="shared" ref="K41:K72" si="18">IF(AND($G$6&gt;0,A41&lt;=$G$6,N41=0),re,IF(AND($O$1="n",B41&lt;&gt;""),"Not a fiscal Unit",IF(AND($G$6&gt;0,A41&lt;=$G$6,$O$1="y",N41&lt;7),"All data",IF(AND(A41&gt;$G$6,N41&gt;0),"No details required",IF(AND($G$6&gt;0,A41&lt;=$G$6,$O$1="n",N41&lt;6),"All data",IF(OR((G41&gt;MIN(E41,150000,Q41*50000)),AND(F41&gt;=$R$1,G41&gt;0)),"Check utilised credit in previous years",IF(OR(I41&gt;H41,AND($O$1="n",AND($V$1=$W$1,S41&gt;50000)),AND($O$1="y",AND($V$1=$W$1,AD41&gt;50000))),"Excessive utilised credit!",IF(AND(ya&gt;F41+4,I41&gt;0),"Credit cannot be utilised - 5 year limit",""))))))))</f>
        <v/>
      </c>
      <c r="M41" s="3123">
        <f t="shared" si="6"/>
        <v>0</v>
      </c>
      <c r="N41" s="3123">
        <f t="shared" si="1"/>
        <v>0</v>
      </c>
      <c r="Q41" s="4088">
        <f t="shared" ref="Q41:Q72" si="19">IF(N41=0,0,ya-F41)</f>
      </c>
      <c r="R41" s="1485" t="str">
        <f t="shared" si="7"/>
        <v/>
      </c>
      <c r="S41" s="2314">
        <f>IF(N41=0,0,SUM($I$9:I41))</f>
      </c>
      <c r="U41" s="1485">
        <f>Consolidation!B33</f>
      </c>
      <c r="V41" s="1485">
        <f t="shared" si="12"/>
        <v>0</v>
      </c>
      <c r="W41" s="1485">
        <f t="shared" si="13"/>
        <v>0</v>
      </c>
      <c r="X41" s="1485">
        <f t="shared" si="14"/>
        <v>0</v>
      </c>
      <c r="Y41" s="1485">
        <f t="shared" si="15"/>
        <v>0</v>
      </c>
      <c r="AB41" s="1485">
        <f t="shared" si="16"/>
        <v>0</v>
      </c>
      <c r="AC41" s="1485">
        <f t="shared" si="17"/>
        <v>0</v>
      </c>
      <c r="AD41" s="2728">
        <f>IF(N41=0,0,SUMIF($AB$9:AB41,AB41,$AC$9:AC41))</f>
      </c>
    </row>
    <row r="42" spans="1:30" x14ac:dyDescent="0.2">
      <c r="A42" s="3748">
        <v>34</v>
      </c>
      <c r="B42" s="3352"/>
      <c r="C42" s="363"/>
      <c r="D42" s="809"/>
      <c r="E42" s="3989"/>
      <c r="F42" s="3990"/>
      <c r="G42" s="3989"/>
      <c r="H42" s="4163">
        <f t="shared" si="4"/>
        <v>0</v>
      </c>
      <c r="I42" s="3989"/>
      <c r="J42" s="4164">
        <f t="shared" si="5"/>
        <v>0</v>
      </c>
      <c r="K42" s="3985" t="str">
        <f t="shared" si="18"/>
        <v/>
      </c>
      <c r="M42" s="3123">
        <f t="shared" si="6"/>
        <v>0</v>
      </c>
      <c r="N42" s="3123">
        <f t="shared" si="1"/>
        <v>0</v>
      </c>
      <c r="Q42" s="4088">
        <f t="shared" si="19"/>
        <v>0</v>
      </c>
      <c r="R42" s="1485" t="str">
        <f t="shared" si="7"/>
        <v/>
      </c>
      <c r="S42" s="2314">
        <f>IF(N42=0,0,SUM($I$9:I42))</f>
      </c>
      <c r="U42" s="1485">
        <f>Consolidation!B34</f>
      </c>
      <c r="V42" s="1485">
        <f t="shared" si="12"/>
        <v>0</v>
      </c>
      <c r="W42" s="1485">
        <f t="shared" si="13"/>
        <v>0</v>
      </c>
      <c r="X42" s="1485">
        <f t="shared" si="14"/>
        <v>0</v>
      </c>
      <c r="Y42" s="1485">
        <f t="shared" si="15"/>
        <v>0</v>
      </c>
      <c r="AB42" s="1485">
        <f t="shared" si="16"/>
        <v>0</v>
      </c>
      <c r="AC42" s="1485">
        <f t="shared" si="17"/>
        <v>0</v>
      </c>
      <c r="AD42" s="2728">
        <f>IF(N42=0,0,SUMIF($AB$9:AB42,AB42,$AC$9:AC42))</f>
      </c>
    </row>
    <row r="43" spans="1:30" x14ac:dyDescent="0.2">
      <c r="A43" s="3748">
        <v>35</v>
      </c>
      <c r="B43" s="3352"/>
      <c r="C43" s="363"/>
      <c r="D43" s="809"/>
      <c r="E43" s="3989"/>
      <c r="F43" s="3990"/>
      <c r="G43" s="3989"/>
      <c r="H43" s="4163">
        <f t="shared" si="4"/>
        <v>0</v>
      </c>
      <c r="I43" s="3989"/>
      <c r="J43" s="4164">
        <f t="shared" si="5"/>
        <v>0</v>
      </c>
      <c r="K43" s="3985" t="str">
        <f t="shared" si="18"/>
        <v/>
      </c>
      <c r="M43" s="3123">
        <f t="shared" si="6"/>
        <v>0</v>
      </c>
      <c r="N43" s="3123">
        <f t="shared" si="1"/>
        <v>0</v>
      </c>
      <c r="Q43" s="4088">
        <f t="shared" si="19"/>
        <v>0</v>
      </c>
      <c r="R43" s="1485" t="str">
        <f t="shared" si="7"/>
        <v/>
      </c>
      <c r="S43" s="2314">
        <f>IF(N43=0,0,SUM($I$9:I43))</f>
      </c>
      <c r="U43" s="1485">
        <f>Consolidation!B35</f>
      </c>
      <c r="V43" s="1485">
        <f t="shared" si="12"/>
        <v>0</v>
      </c>
      <c r="W43" s="1485">
        <f t="shared" si="13"/>
        <v>0</v>
      </c>
      <c r="X43" s="1485">
        <f t="shared" si="14"/>
        <v>0</v>
      </c>
      <c r="Y43" s="1485">
        <f t="shared" si="15"/>
        <v>0</v>
      </c>
      <c r="AB43" s="1485">
        <f t="shared" si="16"/>
        <v>0</v>
      </c>
      <c r="AC43" s="1485">
        <f t="shared" si="17"/>
        <v>0</v>
      </c>
      <c r="AD43" s="2728">
        <f>IF(N43=0,0,SUMIF($AB$9:AB43,AB43,$AC$9:AC43))</f>
      </c>
    </row>
    <row r="44" spans="1:30" x14ac:dyDescent="0.2">
      <c r="A44" s="3748">
        <v>36</v>
      </c>
      <c r="B44" s="3352"/>
      <c r="C44" s="363"/>
      <c r="D44" s="809"/>
      <c r="E44" s="3989"/>
      <c r="F44" s="3990"/>
      <c r="G44" s="3989"/>
      <c r="H44" s="4163">
        <f t="shared" si="4"/>
        <v>0</v>
      </c>
      <c r="I44" s="3989"/>
      <c r="J44" s="4164">
        <f t="shared" si="5"/>
        <v>0</v>
      </c>
      <c r="K44" s="3985" t="str">
        <f t="shared" si="18"/>
        <v/>
      </c>
      <c r="M44" s="3123">
        <f t="shared" si="6"/>
        <v>0</v>
      </c>
      <c r="N44" s="3123">
        <f t="shared" si="1"/>
        <v>0</v>
      </c>
      <c r="Q44" s="4088">
        <f t="shared" si="19"/>
        <v>0</v>
      </c>
      <c r="R44" s="1485" t="str">
        <f t="shared" si="7"/>
        <v/>
      </c>
      <c r="S44" s="2314">
        <f>IF(N44=0,0,SUM($I$9:I44))</f>
      </c>
      <c r="U44" s="1485">
        <f>Consolidation!B36</f>
      </c>
      <c r="V44" s="1485">
        <f t="shared" si="12"/>
        <v>0</v>
      </c>
      <c r="W44" s="1485">
        <f t="shared" si="13"/>
        <v>0</v>
      </c>
      <c r="X44" s="1485">
        <f t="shared" si="14"/>
        <v>0</v>
      </c>
      <c r="Y44" s="1485">
        <f t="shared" si="15"/>
        <v>0</v>
      </c>
      <c r="AB44" s="1485">
        <f t="shared" si="16"/>
        <v>0</v>
      </c>
      <c r="AC44" s="1485">
        <f t="shared" si="17"/>
        <v>0</v>
      </c>
      <c r="AD44" s="2728">
        <f>IF(N44=0,0,SUMIF($AB$9:AB44,AB44,$AC$9:AC44))</f>
      </c>
    </row>
    <row r="45" spans="1:30" x14ac:dyDescent="0.2">
      <c r="A45" s="3748">
        <v>37</v>
      </c>
      <c r="B45" s="3352"/>
      <c r="C45" s="363"/>
      <c r="D45" s="809"/>
      <c r="E45" s="3989"/>
      <c r="F45" s="3990"/>
      <c r="G45" s="3989"/>
      <c r="H45" s="4163">
        <f t="shared" si="4"/>
        <v>0</v>
      </c>
      <c r="I45" s="3989"/>
      <c r="J45" s="4164">
        <f t="shared" si="5"/>
        <v>0</v>
      </c>
      <c r="K45" s="3985" t="str">
        <f t="shared" si="18"/>
        <v/>
      </c>
      <c r="M45" s="3123">
        <f t="shared" si="6"/>
        <v>0</v>
      </c>
      <c r="N45" s="3123">
        <f t="shared" si="1"/>
        <v>0</v>
      </c>
      <c r="Q45" s="4088">
        <f t="shared" si="19"/>
        <v>0</v>
      </c>
      <c r="R45" s="1485" t="str">
        <f t="shared" si="7"/>
        <v/>
      </c>
      <c r="S45" s="2314">
        <f>IF(N45=0,0,SUM($I$9:I45))</f>
      </c>
      <c r="U45" s="1485">
        <f>Consolidation!B37</f>
      </c>
      <c r="V45" s="1485">
        <f t="shared" si="12"/>
        <v>0</v>
      </c>
      <c r="W45" s="1485">
        <f t="shared" si="13"/>
        <v>0</v>
      </c>
      <c r="X45" s="1485">
        <f t="shared" si="14"/>
        <v>0</v>
      </c>
      <c r="Y45" s="1485">
        <f t="shared" si="15"/>
        <v>0</v>
      </c>
      <c r="AB45" s="1485">
        <f t="shared" si="16"/>
        <v>0</v>
      </c>
      <c r="AC45" s="1485">
        <f t="shared" si="17"/>
        <v>0</v>
      </c>
      <c r="AD45" s="2728">
        <f>IF(N45=0,0,SUMIF($AB$9:AB45,AB45,$AC$9:AC45))</f>
      </c>
    </row>
    <row r="46" spans="1:30" x14ac:dyDescent="0.2">
      <c r="A46" s="3748">
        <v>38</v>
      </c>
      <c r="B46" s="3352"/>
      <c r="C46" s="363"/>
      <c r="D46" s="809"/>
      <c r="E46" s="3989"/>
      <c r="F46" s="3990"/>
      <c r="G46" s="3989"/>
      <c r="H46" s="4163">
        <f t="shared" si="4"/>
        <v>0</v>
      </c>
      <c r="I46" s="3989"/>
      <c r="J46" s="4164">
        <f t="shared" si="5"/>
        <v>0</v>
      </c>
      <c r="K46" s="3985" t="str">
        <f t="shared" si="18"/>
        <v/>
      </c>
      <c r="M46" s="3123">
        <f t="shared" si="6"/>
        <v>0</v>
      </c>
      <c r="N46" s="3123">
        <f t="shared" si="1"/>
        <v>0</v>
      </c>
      <c r="Q46" s="4088">
        <f t="shared" si="19"/>
        <v>0</v>
      </c>
      <c r="R46" s="1485" t="str">
        <f t="shared" si="7"/>
        <v/>
      </c>
      <c r="S46" s="2314">
        <f>IF(N46=0,0,SUM($I$9:I46))</f>
      </c>
      <c r="U46" s="1485">
        <f>Consolidation!B38</f>
      </c>
      <c r="V46" s="1485">
        <f t="shared" si="12"/>
        <v>0</v>
      </c>
      <c r="W46" s="1485">
        <f t="shared" si="13"/>
        <v>0</v>
      </c>
      <c r="X46" s="1485">
        <f t="shared" si="14"/>
        <v>0</v>
      </c>
      <c r="Y46" s="1485">
        <f t="shared" si="15"/>
        <v>0</v>
      </c>
      <c r="AB46" s="1485">
        <f t="shared" si="16"/>
        <v>0</v>
      </c>
      <c r="AC46" s="1485">
        <f t="shared" si="17"/>
        <v>0</v>
      </c>
      <c r="AD46" s="2728">
        <f>IF(N46=0,0,SUMIF($AB$9:AB46,AB46,$AC$9:AC46))</f>
      </c>
    </row>
    <row r="47" spans="1:30" x14ac:dyDescent="0.2">
      <c r="A47" s="3748">
        <v>39</v>
      </c>
      <c r="B47" s="3352"/>
      <c r="C47" s="363"/>
      <c r="D47" s="809"/>
      <c r="E47" s="3989"/>
      <c r="F47" s="3990"/>
      <c r="G47" s="3989"/>
      <c r="H47" s="4163">
        <f t="shared" si="4"/>
        <v>0</v>
      </c>
      <c r="I47" s="3989"/>
      <c r="J47" s="4164">
        <f t="shared" si="5"/>
        <v>0</v>
      </c>
      <c r="K47" s="3985" t="str">
        <f t="shared" si="18"/>
        <v/>
      </c>
      <c r="M47" s="3123">
        <f t="shared" si="6"/>
        <v>0</v>
      </c>
      <c r="N47" s="3123">
        <f t="shared" si="1"/>
        <v>0</v>
      </c>
      <c r="Q47" s="4088">
        <f t="shared" si="19"/>
        <v>0</v>
      </c>
      <c r="R47" s="1485" t="str">
        <f t="shared" si="7"/>
        <v/>
      </c>
      <c r="S47" s="2314">
        <f>IF(N47=0,0,SUM($I$9:I47))</f>
      </c>
      <c r="U47" s="1485">
        <f>Consolidation!B39</f>
      </c>
      <c r="V47" s="1485">
        <f t="shared" si="12"/>
        <v>0</v>
      </c>
      <c r="W47" s="1485">
        <f t="shared" si="13"/>
        <v>0</v>
      </c>
      <c r="X47" s="1485">
        <f t="shared" si="14"/>
        <v>0</v>
      </c>
      <c r="Y47" s="1485">
        <f t="shared" si="15"/>
        <v>0</v>
      </c>
      <c r="AB47" s="1485">
        <f t="shared" si="16"/>
        <v>0</v>
      </c>
      <c r="AC47" s="1485">
        <f t="shared" si="17"/>
        <v>0</v>
      </c>
      <c r="AD47" s="2728">
        <f>IF(N47=0,0,SUMIF($AB$9:AB47,AB47,$AC$9:AC47))</f>
      </c>
    </row>
    <row r="48" spans="1:30" x14ac:dyDescent="0.2">
      <c r="A48" s="3748">
        <v>40</v>
      </c>
      <c r="B48" s="3352"/>
      <c r="C48" s="363"/>
      <c r="D48" s="809"/>
      <c r="E48" s="3989"/>
      <c r="F48" s="3990"/>
      <c r="G48" s="3989"/>
      <c r="H48" s="4163">
        <f t="shared" si="4"/>
        <v>0</v>
      </c>
      <c r="I48" s="3989"/>
      <c r="J48" s="4164">
        <f t="shared" si="5"/>
        <v>0</v>
      </c>
      <c r="K48" s="3985" t="str">
        <f t="shared" si="18"/>
        <v/>
      </c>
      <c r="M48" s="3123">
        <f t="shared" si="6"/>
        <v>0</v>
      </c>
      <c r="N48" s="3123">
        <f t="shared" si="1"/>
        <v>0</v>
      </c>
      <c r="Q48" s="4088">
        <f t="shared" si="19"/>
        <v>0</v>
      </c>
      <c r="R48" s="1485" t="str">
        <f t="shared" si="7"/>
        <v/>
      </c>
      <c r="S48" s="2314">
        <f>IF(N48=0,0,SUM($I$9:I48))</f>
      </c>
      <c r="U48" s="1485">
        <f>Consolidation!B40</f>
      </c>
      <c r="V48" s="1485">
        <f t="shared" si="12"/>
        <v>0</v>
      </c>
      <c r="W48" s="1485">
        <f t="shared" si="13"/>
        <v>0</v>
      </c>
      <c r="X48" s="1485">
        <f t="shared" si="14"/>
        <v>0</v>
      </c>
      <c r="Y48" s="1485">
        <f t="shared" si="15"/>
        <v>0</v>
      </c>
      <c r="AB48" s="1485">
        <f t="shared" si="16"/>
        <v>0</v>
      </c>
      <c r="AC48" s="1485">
        <f t="shared" si="17"/>
        <v>0</v>
      </c>
      <c r="AD48" s="2728">
        <f>IF(N48=0,0,SUMIF($AB$9:AB48,AB48,$AC$9:AC48))</f>
      </c>
    </row>
    <row r="49" spans="1:30" x14ac:dyDescent="0.2">
      <c r="A49" s="3748">
        <v>41</v>
      </c>
      <c r="B49" s="3352"/>
      <c r="C49" s="363"/>
      <c r="D49" s="809"/>
      <c r="E49" s="3989"/>
      <c r="F49" s="3990"/>
      <c r="G49" s="3989"/>
      <c r="H49" s="4163">
        <f t="shared" si="4"/>
        <v>0</v>
      </c>
      <c r="I49" s="3989"/>
      <c r="J49" s="4164">
        <f t="shared" si="5"/>
        <v>0</v>
      </c>
      <c r="K49" s="3985" t="str">
        <f t="shared" si="18"/>
        <v/>
      </c>
      <c r="M49" s="3123">
        <f t="shared" si="6"/>
        <v>0</v>
      </c>
      <c r="N49" s="3123">
        <f t="shared" si="1"/>
        <v>0</v>
      </c>
      <c r="Q49" s="4088">
        <f t="shared" si="19"/>
        <v>0</v>
      </c>
      <c r="R49" s="1485" t="str">
        <f t="shared" si="7"/>
        <v/>
      </c>
      <c r="S49" s="2314">
        <f>IF(N49=0,0,SUM($I$9:I49))</f>
      </c>
      <c r="U49" s="1485">
        <f>Consolidation!B41</f>
      </c>
      <c r="V49" s="1485">
        <f t="shared" si="12"/>
        <v>0</v>
      </c>
      <c r="W49" s="1485">
        <f t="shared" si="13"/>
        <v>0</v>
      </c>
      <c r="X49" s="1485">
        <f t="shared" si="14"/>
        <v>0</v>
      </c>
      <c r="Y49" s="1485">
        <f t="shared" si="15"/>
        <v>0</v>
      </c>
      <c r="AB49" s="1485">
        <f t="shared" si="16"/>
        <v>0</v>
      </c>
      <c r="AC49" s="1485">
        <f t="shared" si="17"/>
        <v>0</v>
      </c>
      <c r="AD49" s="2728">
        <f>IF(N49=0,0,SUMIF($AB$9:AB49,AB49,$AC$9:AC49))</f>
      </c>
    </row>
    <row r="50" spans="1:30" x14ac:dyDescent="0.2">
      <c r="A50" s="3748">
        <v>42</v>
      </c>
      <c r="B50" s="3352"/>
      <c r="C50" s="363"/>
      <c r="D50" s="809"/>
      <c r="E50" s="3989"/>
      <c r="F50" s="3990"/>
      <c r="G50" s="3989"/>
      <c r="H50" s="4163">
        <f t="shared" si="4"/>
        <v>0</v>
      </c>
      <c r="I50" s="3989"/>
      <c r="J50" s="4164">
        <f t="shared" si="5"/>
        <v>0</v>
      </c>
      <c r="K50" s="3985" t="str">
        <f t="shared" si="18"/>
        <v/>
      </c>
      <c r="M50" s="3123">
        <f t="shared" si="6"/>
        <v>0</v>
      </c>
      <c r="N50" s="3123">
        <f t="shared" si="1"/>
        <v>0</v>
      </c>
      <c r="Q50" s="4088">
        <f t="shared" si="19"/>
        <v>0</v>
      </c>
      <c r="R50" s="1485" t="str">
        <f t="shared" si="7"/>
        <v/>
      </c>
      <c r="S50" s="2314">
        <f>IF(N50=0,0,SUM($I$9:I50))</f>
      </c>
      <c r="U50" s="1485">
        <f>Consolidation!B42</f>
      </c>
      <c r="V50" s="1485">
        <f t="shared" si="12"/>
        <v>0</v>
      </c>
      <c r="W50" s="1485">
        <f t="shared" si="13"/>
        <v>0</v>
      </c>
      <c r="X50" s="1485">
        <f t="shared" si="14"/>
        <v>0</v>
      </c>
      <c r="Y50" s="1485">
        <f t="shared" si="15"/>
        <v>0</v>
      </c>
      <c r="AB50" s="1485">
        <f t="shared" si="16"/>
        <v>0</v>
      </c>
      <c r="AC50" s="1485">
        <f t="shared" si="17"/>
        <v>0</v>
      </c>
      <c r="AD50" s="2728">
        <f>IF(N50=0,0,SUMIF($AB$9:AB50,AB50,$AC$9:AC50))</f>
      </c>
    </row>
    <row r="51" spans="1:30" x14ac:dyDescent="0.2">
      <c r="A51" s="3748">
        <v>43</v>
      </c>
      <c r="B51" s="3352"/>
      <c r="C51" s="363"/>
      <c r="D51" s="809"/>
      <c r="E51" s="3989"/>
      <c r="F51" s="3990"/>
      <c r="G51" s="3989"/>
      <c r="H51" s="4163">
        <f t="shared" si="4"/>
        <v>0</v>
      </c>
      <c r="I51" s="3989"/>
      <c r="J51" s="4164">
        <f t="shared" si="5"/>
        <v>0</v>
      </c>
      <c r="K51" s="3985" t="str">
        <f t="shared" si="18"/>
        <v/>
      </c>
      <c r="M51" s="3123">
        <f t="shared" si="6"/>
        <v>0</v>
      </c>
      <c r="N51" s="3123">
        <f t="shared" si="1"/>
        <v>0</v>
      </c>
      <c r="Q51" s="4088">
        <f t="shared" si="19"/>
        <v>0</v>
      </c>
      <c r="R51" s="1485" t="str">
        <f t="shared" si="7"/>
        <v/>
      </c>
      <c r="S51" s="2314">
        <f>IF(N51=0,0,SUM($I$9:I51))</f>
      </c>
      <c r="U51" s="1485">
        <f>Consolidation!B43</f>
      </c>
      <c r="V51" s="1485">
        <f t="shared" si="12"/>
        <v>0</v>
      </c>
      <c r="W51" s="1485">
        <f t="shared" si="13"/>
        <v>0</v>
      </c>
      <c r="X51" s="1485">
        <f t="shared" si="14"/>
        <v>0</v>
      </c>
      <c r="Y51" s="1485">
        <f t="shared" si="15"/>
        <v>0</v>
      </c>
      <c r="AB51" s="1485">
        <f t="shared" si="16"/>
        <v>0</v>
      </c>
      <c r="AC51" s="1485">
        <f t="shared" si="17"/>
        <v>0</v>
      </c>
      <c r="AD51" s="2728">
        <f>IF(N51=0,0,SUMIF($AB$9:AB51,AB51,$AC$9:AC51))</f>
      </c>
    </row>
    <row r="52" spans="1:30" x14ac:dyDescent="0.2">
      <c r="A52" s="3748">
        <v>44</v>
      </c>
      <c r="B52" s="3352"/>
      <c r="C52" s="363"/>
      <c r="D52" s="809"/>
      <c r="E52" s="3989"/>
      <c r="F52" s="3990"/>
      <c r="G52" s="3989"/>
      <c r="H52" s="4163">
        <f t="shared" si="4"/>
        <v>0</v>
      </c>
      <c r="I52" s="3989"/>
      <c r="J52" s="4164">
        <f t="shared" si="5"/>
        <v>0</v>
      </c>
      <c r="K52" s="3985" t="str">
        <f t="shared" si="18"/>
        <v/>
      </c>
      <c r="M52" s="3123">
        <f t="shared" si="6"/>
        <v>0</v>
      </c>
      <c r="N52" s="3123">
        <f t="shared" si="1"/>
        <v>0</v>
      </c>
      <c r="Q52" s="4088">
        <f t="shared" si="19"/>
        <v>0</v>
      </c>
      <c r="R52" s="1485" t="str">
        <f t="shared" si="7"/>
        <v/>
      </c>
      <c r="S52" s="2314">
        <f>IF(N52=0,0,SUM($I$9:I52))</f>
      </c>
      <c r="U52" s="1485">
        <f>Consolidation!B44</f>
      </c>
      <c r="V52" s="1485">
        <f t="shared" si="12"/>
        <v>0</v>
      </c>
      <c r="W52" s="1485">
        <f t="shared" si="13"/>
        <v>0</v>
      </c>
      <c r="X52" s="1485">
        <f t="shared" si="14"/>
        <v>0</v>
      </c>
      <c r="Y52" s="1485">
        <f t="shared" si="15"/>
        <v>0</v>
      </c>
      <c r="AB52" s="1485">
        <f t="shared" si="16"/>
        <v>0</v>
      </c>
      <c r="AC52" s="1485">
        <f t="shared" si="17"/>
        <v>0</v>
      </c>
      <c r="AD52" s="2728">
        <f>IF(N52=0,0,SUMIF($AB$9:AB52,AB52,$AC$9:AC52))</f>
      </c>
    </row>
    <row r="53" spans="1:30" x14ac:dyDescent="0.2">
      <c r="A53" s="3748">
        <v>45</v>
      </c>
      <c r="B53" s="3352"/>
      <c r="C53" s="363"/>
      <c r="D53" s="809"/>
      <c r="E53" s="3989"/>
      <c r="F53" s="3990"/>
      <c r="G53" s="3989"/>
      <c r="H53" s="4163">
        <f t="shared" si="4"/>
        <v>0</v>
      </c>
      <c r="I53" s="3989"/>
      <c r="J53" s="4164">
        <f t="shared" si="5"/>
        <v>0</v>
      </c>
      <c r="K53" s="3985" t="str">
        <f t="shared" si="18"/>
        <v/>
      </c>
      <c r="M53" s="3123">
        <f t="shared" si="6"/>
        <v>0</v>
      </c>
      <c r="N53" s="3123">
        <f t="shared" si="1"/>
        <v>0</v>
      </c>
      <c r="Q53" s="4088">
        <f t="shared" si="19"/>
        <v>0</v>
      </c>
      <c r="R53" s="1485" t="str">
        <f t="shared" si="7"/>
        <v/>
      </c>
      <c r="S53" s="2314">
        <f>IF(N53=0,0,SUM($I$9:I53))</f>
      </c>
      <c r="U53" s="1485">
        <f>Consolidation!B45</f>
      </c>
      <c r="V53" s="1485">
        <f t="shared" si="12"/>
        <v>0</v>
      </c>
      <c r="W53" s="1485">
        <f t="shared" si="13"/>
        <v>0</v>
      </c>
      <c r="X53" s="1485">
        <f t="shared" si="14"/>
        <v>0</v>
      </c>
      <c r="Y53" s="1485">
        <f t="shared" si="15"/>
        <v>0</v>
      </c>
      <c r="AB53" s="1485">
        <f t="shared" si="16"/>
        <v>0</v>
      </c>
      <c r="AC53" s="1485">
        <f t="shared" si="17"/>
        <v>0</v>
      </c>
      <c r="AD53" s="2728">
        <f>IF(N53=0,0,SUMIF($AB$9:AB53,AB53,$AC$9:AC53))</f>
      </c>
    </row>
    <row r="54" spans="1:30" x14ac:dyDescent="0.2">
      <c r="A54" s="3748">
        <v>46</v>
      </c>
      <c r="B54" s="3352"/>
      <c r="C54" s="363"/>
      <c r="D54" s="809"/>
      <c r="E54" s="3989"/>
      <c r="F54" s="3990"/>
      <c r="G54" s="3989"/>
      <c r="H54" s="4163">
        <f t="shared" si="4"/>
        <v>0</v>
      </c>
      <c r="I54" s="3989"/>
      <c r="J54" s="4164">
        <f t="shared" si="5"/>
        <v>0</v>
      </c>
      <c r="K54" s="3985" t="str">
        <f t="shared" si="18"/>
        <v/>
      </c>
      <c r="M54" s="3123">
        <f t="shared" si="6"/>
        <v>0</v>
      </c>
      <c r="N54" s="3123">
        <f t="shared" si="1"/>
        <v>0</v>
      </c>
      <c r="Q54" s="4088">
        <f t="shared" si="19"/>
        <v>0</v>
      </c>
      <c r="R54" s="1485" t="str">
        <f t="shared" si="7"/>
        <v/>
      </c>
      <c r="S54" s="2314">
        <f>IF(N54=0,0,SUM($I$9:I54))</f>
      </c>
      <c r="U54" s="1485">
        <f>Consolidation!B46</f>
      </c>
      <c r="V54" s="1485">
        <f t="shared" si="12"/>
        <v>0</v>
      </c>
      <c r="W54" s="1485">
        <f t="shared" si="13"/>
        <v>0</v>
      </c>
      <c r="X54" s="1485">
        <f t="shared" si="14"/>
        <v>0</v>
      </c>
      <c r="Y54" s="1485">
        <f t="shared" si="15"/>
        <v>0</v>
      </c>
      <c r="AB54" s="1485">
        <f t="shared" si="16"/>
        <v>0</v>
      </c>
      <c r="AC54" s="1485">
        <f t="shared" si="17"/>
        <v>0</v>
      </c>
      <c r="AD54" s="2728">
        <f>IF(N54=0,0,SUMIF($AB$9:AB54,AB54,$AC$9:AC54))</f>
      </c>
    </row>
    <row r="55" spans="1:30" x14ac:dyDescent="0.2">
      <c r="A55" s="3748">
        <v>47</v>
      </c>
      <c r="B55" s="3352"/>
      <c r="C55" s="363"/>
      <c r="D55" s="809"/>
      <c r="E55" s="3989"/>
      <c r="F55" s="3990"/>
      <c r="G55" s="3989"/>
      <c r="H55" s="4163">
        <f t="shared" si="4"/>
        <v>0</v>
      </c>
      <c r="I55" s="3989"/>
      <c r="J55" s="4164">
        <f t="shared" si="5"/>
        <v>0</v>
      </c>
      <c r="K55" s="3985" t="str">
        <f t="shared" si="18"/>
        <v/>
      </c>
      <c r="M55" s="3123">
        <f t="shared" si="6"/>
        <v>0</v>
      </c>
      <c r="N55" s="3123">
        <f t="shared" si="1"/>
        <v>0</v>
      </c>
      <c r="Q55" s="4088">
        <f t="shared" si="19"/>
        <v>0</v>
      </c>
      <c r="R55" s="1485" t="str">
        <f t="shared" si="7"/>
        <v/>
      </c>
      <c r="S55" s="2314">
        <f>IF(N55=0,0,SUM($I$9:I55))</f>
      </c>
      <c r="U55" s="1485">
        <f>Consolidation!B47</f>
      </c>
      <c r="V55" s="1485">
        <f t="shared" si="12"/>
        <v>0</v>
      </c>
      <c r="W55" s="1485">
        <f t="shared" si="13"/>
        <v>0</v>
      </c>
      <c r="X55" s="1485">
        <f t="shared" si="14"/>
        <v>0</v>
      </c>
      <c r="Y55" s="1485">
        <f t="shared" si="15"/>
        <v>0</v>
      </c>
      <c r="AB55" s="1485">
        <f t="shared" si="16"/>
        <v>0</v>
      </c>
      <c r="AC55" s="1485">
        <f t="shared" si="17"/>
        <v>0</v>
      </c>
      <c r="AD55" s="2728">
        <f>IF(N55=0,0,SUMIF($AB$9:AB55,AB55,$AC$9:AC55))</f>
      </c>
    </row>
    <row r="56" spans="1:30" x14ac:dyDescent="0.2">
      <c r="A56" s="3748">
        <v>48</v>
      </c>
      <c r="B56" s="3352"/>
      <c r="C56" s="363"/>
      <c r="D56" s="809"/>
      <c r="E56" s="3989"/>
      <c r="F56" s="3990"/>
      <c r="G56" s="3989"/>
      <c r="H56" s="4163">
        <f t="shared" si="4"/>
        <v>0</v>
      </c>
      <c r="I56" s="3989"/>
      <c r="J56" s="4164">
        <f t="shared" si="5"/>
        <v>0</v>
      </c>
      <c r="K56" s="3985" t="str">
        <f t="shared" si="18"/>
        <v/>
      </c>
      <c r="M56" s="3123">
        <f t="shared" si="6"/>
        <v>0</v>
      </c>
      <c r="N56" s="3123">
        <f t="shared" si="1"/>
        <v>0</v>
      </c>
      <c r="Q56" s="4088">
        <f t="shared" si="19"/>
        <v>0</v>
      </c>
      <c r="R56" s="1485" t="str">
        <f t="shared" si="7"/>
        <v/>
      </c>
      <c r="S56" s="2314">
        <f>IF(N56=0,0,SUM($I$9:I56))</f>
      </c>
      <c r="U56" s="1485">
        <f>Consolidation!B48</f>
      </c>
      <c r="V56" s="1485">
        <f t="shared" si="12"/>
        <v>0</v>
      </c>
      <c r="W56" s="1485">
        <f t="shared" si="13"/>
        <v>0</v>
      </c>
      <c r="X56" s="1485">
        <f t="shared" si="14"/>
        <v>0</v>
      </c>
      <c r="Y56" s="1485">
        <f t="shared" si="15"/>
        <v>0</v>
      </c>
      <c r="AB56" s="1485">
        <f t="shared" si="16"/>
        <v>0</v>
      </c>
      <c r="AC56" s="1485">
        <f t="shared" si="17"/>
        <v>0</v>
      </c>
      <c r="AD56" s="2728">
        <f>IF(N56=0,0,SUMIF($AB$9:AB56,AB56,$AC$9:AC56))</f>
      </c>
    </row>
    <row r="57" spans="1:30" x14ac:dyDescent="0.2">
      <c r="A57" s="3748">
        <v>49</v>
      </c>
      <c r="B57" s="3352"/>
      <c r="C57" s="363"/>
      <c r="D57" s="809"/>
      <c r="E57" s="3989"/>
      <c r="F57" s="3990"/>
      <c r="G57" s="3989"/>
      <c r="H57" s="4163">
        <f t="shared" si="4"/>
        <v>0</v>
      </c>
      <c r="I57" s="3989"/>
      <c r="J57" s="4164">
        <f t="shared" si="5"/>
        <v>0</v>
      </c>
      <c r="K57" s="3985" t="str">
        <f t="shared" si="18"/>
        <v/>
      </c>
      <c r="M57" s="3123">
        <f t="shared" si="6"/>
        <v>0</v>
      </c>
      <c r="N57" s="3123">
        <f t="shared" si="1"/>
        <v>0</v>
      </c>
      <c r="Q57" s="4088">
        <f t="shared" si="19"/>
        <v>0</v>
      </c>
      <c r="R57" s="1485" t="str">
        <f t="shared" si="7"/>
        <v/>
      </c>
      <c r="S57" s="2314">
        <f>IF(N57=0,0,SUM($I$9:I57))</f>
      </c>
      <c r="U57" s="1485">
        <f>Consolidation!B49</f>
      </c>
      <c r="V57" s="1485">
        <f t="shared" si="12"/>
        <v>0</v>
      </c>
      <c r="W57" s="1485">
        <f t="shared" si="13"/>
        <v>0</v>
      </c>
      <c r="X57" s="1485">
        <f t="shared" si="14"/>
        <v>0</v>
      </c>
      <c r="Y57" s="1485">
        <f t="shared" si="15"/>
        <v>0</v>
      </c>
      <c r="AB57" s="1485">
        <f t="shared" si="16"/>
        <v>0</v>
      </c>
      <c r="AC57" s="1485">
        <f t="shared" si="17"/>
        <v>0</v>
      </c>
      <c r="AD57" s="2728">
        <f>IF(N57=0,0,SUMIF($AB$9:AB57,AB57,$AC$9:AC57))</f>
      </c>
    </row>
    <row r="58" spans="1:30" x14ac:dyDescent="0.2">
      <c r="A58" s="3748">
        <v>50</v>
      </c>
      <c r="B58" s="3352"/>
      <c r="C58" s="363"/>
      <c r="D58" s="809"/>
      <c r="E58" s="3989"/>
      <c r="F58" s="3990"/>
      <c r="G58" s="3989"/>
      <c r="H58" s="4163">
        <f t="shared" si="4"/>
        <v>0</v>
      </c>
      <c r="I58" s="3989"/>
      <c r="J58" s="4164">
        <f t="shared" si="5"/>
        <v>0</v>
      </c>
      <c r="K58" s="3985" t="str">
        <f t="shared" si="18"/>
        <v/>
      </c>
      <c r="M58" s="3123">
        <f t="shared" si="6"/>
        <v>0</v>
      </c>
      <c r="N58" s="3123">
        <f t="shared" si="1"/>
        <v>0</v>
      </c>
      <c r="Q58" s="4088">
        <f t="shared" si="19"/>
        <v>0</v>
      </c>
      <c r="R58" s="1485" t="str">
        <f t="shared" si="7"/>
        <v/>
      </c>
      <c r="S58" s="2314">
        <f>IF(N58=0,0,SUM($I$9:I58))</f>
      </c>
      <c r="U58" s="1485">
        <f>Consolidation!B50</f>
      </c>
      <c r="V58" s="1485">
        <f t="shared" si="12"/>
        <v>0</v>
      </c>
      <c r="W58" s="1485">
        <f t="shared" si="13"/>
        <v>0</v>
      </c>
      <c r="X58" s="1485">
        <f t="shared" si="14"/>
        <v>0</v>
      </c>
      <c r="Y58" s="1485">
        <f t="shared" si="15"/>
        <v>0</v>
      </c>
      <c r="AB58" s="1485">
        <f t="shared" si="16"/>
        <v>0</v>
      </c>
      <c r="AC58" s="1485">
        <f t="shared" si="17"/>
        <v>0</v>
      </c>
      <c r="AD58" s="2728">
        <f>IF(N58=0,0,SUMIF($AB$9:AB58,AB58,$AC$9:AC58))</f>
      </c>
    </row>
    <row r="59" spans="1:30" x14ac:dyDescent="0.2">
      <c r="A59" s="3748">
        <v>51</v>
      </c>
      <c r="B59" s="3352"/>
      <c r="C59" s="363"/>
      <c r="D59" s="809"/>
      <c r="E59" s="3989"/>
      <c r="F59" s="3990"/>
      <c r="G59" s="3989"/>
      <c r="H59" s="4163">
        <f t="shared" si="4"/>
        <v>0</v>
      </c>
      <c r="I59" s="3989"/>
      <c r="J59" s="4164">
        <f t="shared" si="5"/>
        <v>0</v>
      </c>
      <c r="K59" s="3985" t="str">
        <f t="shared" si="18"/>
        <v/>
      </c>
      <c r="M59" s="3123">
        <f t="shared" si="6"/>
        <v>0</v>
      </c>
      <c r="N59" s="3123">
        <f t="shared" si="1"/>
        <v>0</v>
      </c>
      <c r="Q59" s="4088">
        <f t="shared" si="19"/>
        <v>0</v>
      </c>
      <c r="R59" s="1485" t="str">
        <f t="shared" si="7"/>
        <v/>
      </c>
      <c r="S59" s="2314">
        <f>IF(N59=0,0,SUM($I$9:I59))</f>
      </c>
      <c r="U59" s="1485">
        <f>Consolidation!B51</f>
      </c>
      <c r="V59" s="1485">
        <f t="shared" si="12"/>
        <v>0</v>
      </c>
      <c r="W59" s="1485">
        <f t="shared" si="13"/>
        <v>0</v>
      </c>
      <c r="X59" s="1485">
        <f t="shared" si="14"/>
        <v>0</v>
      </c>
      <c r="Y59" s="1485">
        <f t="shared" si="15"/>
        <v>0</v>
      </c>
      <c r="AB59" s="1485">
        <f t="shared" si="16"/>
        <v>0</v>
      </c>
      <c r="AC59" s="1485">
        <f t="shared" si="17"/>
        <v>0</v>
      </c>
      <c r="AD59" s="2728">
        <f>IF(N59=0,0,SUMIF($AB$9:AB59,AB59,$AC$9:AC59))</f>
      </c>
    </row>
    <row r="60" spans="1:30" x14ac:dyDescent="0.2">
      <c r="A60" s="3748">
        <v>52</v>
      </c>
      <c r="B60" s="3352"/>
      <c r="C60" s="363"/>
      <c r="D60" s="809"/>
      <c r="E60" s="3989"/>
      <c r="F60" s="3990"/>
      <c r="G60" s="3989"/>
      <c r="H60" s="4163">
        <f t="shared" si="4"/>
        <v>0</v>
      </c>
      <c r="I60" s="3989"/>
      <c r="J60" s="4164">
        <f t="shared" si="5"/>
        <v>0</v>
      </c>
      <c r="K60" s="3985" t="str">
        <f t="shared" si="18"/>
        <v/>
      </c>
      <c r="M60" s="3123">
        <f t="shared" si="6"/>
        <v>0</v>
      </c>
      <c r="N60" s="3123">
        <f t="shared" si="1"/>
        <v>0</v>
      </c>
      <c r="Q60" s="4088">
        <f t="shared" si="19"/>
        <v>0</v>
      </c>
      <c r="R60" s="1485" t="str">
        <f t="shared" si="7"/>
        <v/>
      </c>
      <c r="S60" s="2314">
        <f>IF(N60=0,0,SUM($I$9:I60))</f>
      </c>
      <c r="U60" s="1485">
        <f>Consolidation!B52</f>
      </c>
      <c r="V60" s="1485">
        <f t="shared" si="12"/>
        <v>0</v>
      </c>
      <c r="W60" s="1485">
        <f t="shared" si="13"/>
        <v>0</v>
      </c>
      <c r="X60" s="1485">
        <f t="shared" si="14"/>
        <v>0</v>
      </c>
      <c r="Y60" s="1485">
        <f t="shared" si="15"/>
        <v>0</v>
      </c>
      <c r="AB60" s="1485">
        <f t="shared" si="16"/>
        <v>0</v>
      </c>
      <c r="AC60" s="1485">
        <f t="shared" si="17"/>
        <v>0</v>
      </c>
      <c r="AD60" s="2728">
        <f>IF(N60=0,0,SUMIF($AB$9:AB60,AB60,$AC$9:AC60))</f>
      </c>
    </row>
    <row r="61" spans="1:30" x14ac:dyDescent="0.2">
      <c r="A61" s="3748">
        <v>53</v>
      </c>
      <c r="B61" s="3352"/>
      <c r="C61" s="363"/>
      <c r="D61" s="809"/>
      <c r="E61" s="3989"/>
      <c r="F61" s="3990"/>
      <c r="G61" s="3989"/>
      <c r="H61" s="4163">
        <f t="shared" si="4"/>
        <v>0</v>
      </c>
      <c r="I61" s="3989"/>
      <c r="J61" s="4164">
        <f t="shared" si="5"/>
        <v>0</v>
      </c>
      <c r="K61" s="3985" t="str">
        <f t="shared" si="18"/>
        <v/>
      </c>
      <c r="M61" s="3123">
        <f t="shared" si="6"/>
        <v>0</v>
      </c>
      <c r="N61" s="3123">
        <f t="shared" si="1"/>
        <v>0</v>
      </c>
      <c r="Q61" s="4088">
        <f t="shared" si="19"/>
        <v>0</v>
      </c>
      <c r="R61" s="1485" t="str">
        <f t="shared" si="7"/>
        <v/>
      </c>
      <c r="S61" s="2314">
        <f>IF(N61=0,0,SUM($I$9:I61))</f>
      </c>
      <c r="U61" s="1485">
        <f>Consolidation!B53</f>
      </c>
      <c r="V61" s="1485">
        <f t="shared" si="12"/>
        <v>0</v>
      </c>
      <c r="W61" s="1485">
        <f t="shared" si="13"/>
        <v>0</v>
      </c>
      <c r="X61" s="1485">
        <f t="shared" si="14"/>
        <v>0</v>
      </c>
      <c r="Y61" s="1485">
        <f t="shared" si="15"/>
        <v>0</v>
      </c>
      <c r="AB61" s="1485">
        <f t="shared" si="16"/>
        <v>0</v>
      </c>
      <c r="AC61" s="1485">
        <f t="shared" si="17"/>
        <v>0</v>
      </c>
      <c r="AD61" s="2728">
        <f>IF(N61=0,0,SUMIF($AB$9:AB61,AB61,$AC$9:AC61))</f>
      </c>
    </row>
    <row r="62" spans="1:30" x14ac:dyDescent="0.2">
      <c r="A62" s="3748">
        <v>54</v>
      </c>
      <c r="B62" s="3352"/>
      <c r="C62" s="363"/>
      <c r="D62" s="809"/>
      <c r="E62" s="3989"/>
      <c r="F62" s="3990"/>
      <c r="G62" s="3989"/>
      <c r="H62" s="4163">
        <f t="shared" si="4"/>
        <v>0</v>
      </c>
      <c r="I62" s="3989"/>
      <c r="J62" s="4164">
        <f t="shared" si="5"/>
        <v>0</v>
      </c>
      <c r="K62" s="3985" t="str">
        <f t="shared" si="18"/>
        <v/>
      </c>
      <c r="M62" s="3123">
        <f t="shared" si="6"/>
        <v>0</v>
      </c>
      <c r="N62" s="3123">
        <f t="shared" si="1"/>
        <v>0</v>
      </c>
      <c r="Q62" s="4088">
        <f t="shared" si="19"/>
        <v>0</v>
      </c>
      <c r="R62" s="1485" t="str">
        <f t="shared" si="7"/>
        <v/>
      </c>
      <c r="S62" s="2314">
        <f>IF(N62=0,0,SUM($I$9:I62))</f>
      </c>
      <c r="U62" s="1485">
        <f>Consolidation!B54</f>
      </c>
      <c r="V62" s="1485">
        <f t="shared" si="12"/>
        <v>0</v>
      </c>
      <c r="W62" s="1485">
        <f t="shared" si="13"/>
        <v>0</v>
      </c>
      <c r="X62" s="1485">
        <f t="shared" si="14"/>
        <v>0</v>
      </c>
      <c r="Y62" s="1485">
        <f t="shared" si="15"/>
        <v>0</v>
      </c>
      <c r="AB62" s="1485">
        <f t="shared" si="16"/>
        <v>0</v>
      </c>
      <c r="AC62" s="1485">
        <f t="shared" si="17"/>
        <v>0</v>
      </c>
      <c r="AD62" s="2728">
        <f>IF(N62=0,0,SUMIF($AB$9:AB62,AB62,$AC$9:AC62))</f>
      </c>
    </row>
    <row r="63" spans="1:30" x14ac:dyDescent="0.2">
      <c r="A63" s="3748">
        <v>55</v>
      </c>
      <c r="B63" s="3352"/>
      <c r="C63" s="363"/>
      <c r="D63" s="809"/>
      <c r="E63" s="3989"/>
      <c r="F63" s="3990"/>
      <c r="G63" s="3989"/>
      <c r="H63" s="4163">
        <f t="shared" si="4"/>
        <v>0</v>
      </c>
      <c r="I63" s="3989"/>
      <c r="J63" s="4164">
        <f t="shared" si="5"/>
        <v>0</v>
      </c>
      <c r="K63" s="3985" t="str">
        <f t="shared" si="18"/>
        <v/>
      </c>
      <c r="M63" s="3123">
        <f t="shared" si="6"/>
        <v>0</v>
      </c>
      <c r="N63" s="3123">
        <f t="shared" si="1"/>
        <v>0</v>
      </c>
      <c r="Q63" s="4088">
        <f t="shared" si="19"/>
        <v>0</v>
      </c>
      <c r="R63" s="1485" t="str">
        <f t="shared" si="7"/>
        <v/>
      </c>
      <c r="S63" s="2314">
        <f>IF(N63=0,0,SUM($I$9:I63))</f>
      </c>
      <c r="U63" s="1485">
        <f>Consolidation!B55</f>
      </c>
      <c r="V63" s="1485">
        <f t="shared" si="12"/>
        <v>0</v>
      </c>
      <c r="W63" s="1485">
        <f t="shared" si="13"/>
        <v>0</v>
      </c>
      <c r="X63" s="1485">
        <f t="shared" si="14"/>
        <v>0</v>
      </c>
      <c r="Y63" s="1485">
        <f t="shared" si="15"/>
        <v>0</v>
      </c>
      <c r="AB63" s="1485">
        <f t="shared" si="16"/>
        <v>0</v>
      </c>
      <c r="AC63" s="1485">
        <f t="shared" si="17"/>
        <v>0</v>
      </c>
      <c r="AD63" s="2728">
        <f>IF(N63=0,0,SUMIF($AB$9:AB63,AB63,$AC$9:AC63))</f>
      </c>
    </row>
    <row r="64" spans="1:30" x14ac:dyDescent="0.2">
      <c r="A64" s="3748">
        <v>56</v>
      </c>
      <c r="B64" s="3352"/>
      <c r="C64" s="363"/>
      <c r="D64" s="809"/>
      <c r="E64" s="3989"/>
      <c r="F64" s="3990"/>
      <c r="G64" s="3989"/>
      <c r="H64" s="4163">
        <f t="shared" si="4"/>
        <v>0</v>
      </c>
      <c r="I64" s="3989"/>
      <c r="J64" s="4164">
        <f t="shared" si="5"/>
        <v>0</v>
      </c>
      <c r="K64" s="3985" t="str">
        <f t="shared" si="18"/>
        <v/>
      </c>
      <c r="M64" s="3123">
        <f t="shared" si="6"/>
        <v>0</v>
      </c>
      <c r="N64" s="3123">
        <f t="shared" si="1"/>
        <v>0</v>
      </c>
      <c r="Q64" s="4088">
        <f t="shared" si="19"/>
        <v>0</v>
      </c>
      <c r="R64" s="1485" t="str">
        <f t="shared" si="7"/>
        <v/>
      </c>
      <c r="S64" s="2314">
        <f>IF(N64=0,0,SUM($I$9:I64))</f>
      </c>
      <c r="U64" s="1485">
        <f>Consolidation!B56</f>
      </c>
      <c r="V64" s="1485">
        <f t="shared" si="12"/>
        <v>0</v>
      </c>
      <c r="W64" s="1485">
        <f t="shared" si="13"/>
        <v>0</v>
      </c>
      <c r="X64" s="1485">
        <f t="shared" si="14"/>
        <v>0</v>
      </c>
      <c r="Y64" s="1485">
        <f t="shared" si="15"/>
        <v>0</v>
      </c>
      <c r="AB64" s="1485">
        <f t="shared" si="16"/>
        <v>0</v>
      </c>
      <c r="AC64" s="1485">
        <f t="shared" si="17"/>
        <v>0</v>
      </c>
      <c r="AD64" s="2728">
        <f>IF(N64=0,0,SUMIF($AB$9:AB64,AB64,$AC$9:AC64))</f>
      </c>
    </row>
    <row r="65" spans="1:30" x14ac:dyDescent="0.2">
      <c r="A65" s="3748">
        <v>57</v>
      </c>
      <c r="B65" s="3352"/>
      <c r="C65" s="363"/>
      <c r="D65" s="809"/>
      <c r="E65" s="3989"/>
      <c r="F65" s="3990"/>
      <c r="G65" s="3989"/>
      <c r="H65" s="4163">
        <f t="shared" si="4"/>
        <v>0</v>
      </c>
      <c r="I65" s="3989"/>
      <c r="J65" s="4164">
        <f t="shared" si="5"/>
        <v>0</v>
      </c>
      <c r="K65" s="3985" t="str">
        <f t="shared" si="18"/>
        <v/>
      </c>
      <c r="M65" s="3123">
        <f t="shared" si="6"/>
        <v>0</v>
      </c>
      <c r="N65" s="3123">
        <f t="shared" si="1"/>
        <v>0</v>
      </c>
      <c r="Q65" s="4088">
        <f t="shared" si="19"/>
        <v>0</v>
      </c>
      <c r="R65" s="1485" t="str">
        <f t="shared" si="7"/>
        <v/>
      </c>
      <c r="S65" s="2314">
        <f>IF(N65=0,0,SUM($I$9:I65))</f>
      </c>
      <c r="U65" s="1485">
        <f>Consolidation!B57</f>
      </c>
      <c r="V65" s="1485">
        <f t="shared" si="12"/>
        <v>0</v>
      </c>
      <c r="W65" s="1485">
        <f t="shared" si="13"/>
        <v>0</v>
      </c>
      <c r="X65" s="1485">
        <f t="shared" si="14"/>
        <v>0</v>
      </c>
      <c r="Y65" s="1485">
        <f t="shared" si="15"/>
        <v>0</v>
      </c>
      <c r="AB65" s="1485">
        <f t="shared" si="16"/>
        <v>0</v>
      </c>
      <c r="AC65" s="1485">
        <f t="shared" si="17"/>
        <v>0</v>
      </c>
      <c r="AD65" s="2728">
        <f>IF(N65=0,0,SUMIF($AB$9:AB65,AB65,$AC$9:AC65))</f>
      </c>
    </row>
    <row r="66" spans="1:30" x14ac:dyDescent="0.2">
      <c r="A66" s="3748">
        <v>58</v>
      </c>
      <c r="B66" s="3352"/>
      <c r="C66" s="363"/>
      <c r="D66" s="809"/>
      <c r="E66" s="3989"/>
      <c r="F66" s="3990"/>
      <c r="G66" s="3989"/>
      <c r="H66" s="4163">
        <f t="shared" si="4"/>
        <v>0</v>
      </c>
      <c r="I66" s="3989"/>
      <c r="J66" s="4164">
        <f t="shared" si="5"/>
        <v>0</v>
      </c>
      <c r="K66" s="3985" t="str">
        <f t="shared" si="18"/>
        <v/>
      </c>
      <c r="M66" s="3123">
        <f t="shared" si="6"/>
        <v>0</v>
      </c>
      <c r="N66" s="3123">
        <f t="shared" si="1"/>
        <v>0</v>
      </c>
      <c r="Q66" s="4088">
        <f t="shared" si="19"/>
        <v>0</v>
      </c>
      <c r="R66" s="1485" t="str">
        <f t="shared" si="7"/>
        <v/>
      </c>
      <c r="S66" s="2314">
        <f>IF(N66=0,0,SUM($I$9:I66))</f>
      </c>
      <c r="U66" s="1485">
        <f>Consolidation!B58</f>
      </c>
      <c r="V66" s="1485">
        <f t="shared" si="12"/>
        <v>0</v>
      </c>
      <c r="W66" s="1485">
        <f t="shared" si="13"/>
        <v>0</v>
      </c>
      <c r="X66" s="1485">
        <f t="shared" si="14"/>
        <v>0</v>
      </c>
      <c r="Y66" s="1485">
        <f t="shared" si="15"/>
        <v>0</v>
      </c>
      <c r="AB66" s="1485">
        <f t="shared" si="16"/>
        <v>0</v>
      </c>
      <c r="AC66" s="1485">
        <f t="shared" si="17"/>
        <v>0</v>
      </c>
      <c r="AD66" s="2728">
        <f>IF(N66=0,0,SUMIF($AB$9:AB66,AB66,$AC$9:AC66))</f>
      </c>
    </row>
    <row r="67" spans="1:30" x14ac:dyDescent="0.2">
      <c r="A67" s="3748">
        <v>59</v>
      </c>
      <c r="B67" s="3352"/>
      <c r="C67" s="363"/>
      <c r="D67" s="809"/>
      <c r="E67" s="3989"/>
      <c r="F67" s="3990"/>
      <c r="G67" s="3989"/>
      <c r="H67" s="4163">
        <f t="shared" si="4"/>
        <v>0</v>
      </c>
      <c r="I67" s="3989"/>
      <c r="J67" s="4164">
        <f t="shared" si="5"/>
        <v>0</v>
      </c>
      <c r="K67" s="3985" t="str">
        <f t="shared" si="18"/>
        <v/>
      </c>
      <c r="M67" s="3123">
        <f t="shared" si="6"/>
        <v>0</v>
      </c>
      <c r="N67" s="3123">
        <f t="shared" si="1"/>
        <v>0</v>
      </c>
      <c r="Q67" s="4088">
        <f t="shared" si="19"/>
        <v>0</v>
      </c>
      <c r="R67" s="1485" t="str">
        <f t="shared" si="7"/>
        <v/>
      </c>
      <c r="S67" s="2314">
        <f>IF(N67=0,0,SUM($I$9:I67))</f>
      </c>
      <c r="U67" s="1485">
        <f>Consolidation!B59</f>
      </c>
      <c r="V67" s="1485">
        <f t="shared" si="12"/>
        <v>0</v>
      </c>
      <c r="W67" s="1485">
        <f t="shared" si="13"/>
        <v>0</v>
      </c>
      <c r="X67" s="1485">
        <f t="shared" si="14"/>
        <v>0</v>
      </c>
      <c r="Y67" s="1485">
        <f t="shared" si="15"/>
        <v>0</v>
      </c>
      <c r="AB67" s="1485">
        <f t="shared" si="16"/>
        <v>0</v>
      </c>
      <c r="AC67" s="1485">
        <f t="shared" si="17"/>
        <v>0</v>
      </c>
      <c r="AD67" s="2728">
        <f>IF(N67=0,0,SUMIF($AB$9:AB67,AB67,$AC$9:AC67))</f>
      </c>
    </row>
    <row r="68" spans="1:30" x14ac:dyDescent="0.2">
      <c r="A68" s="3748">
        <v>60</v>
      </c>
      <c r="B68" s="3352"/>
      <c r="C68" s="363"/>
      <c r="D68" s="809"/>
      <c r="E68" s="3989"/>
      <c r="F68" s="3990"/>
      <c r="G68" s="3989"/>
      <c r="H68" s="4163">
        <f t="shared" si="4"/>
        <v>0</v>
      </c>
      <c r="I68" s="3989"/>
      <c r="J68" s="4164">
        <f t="shared" si="5"/>
        <v>0</v>
      </c>
      <c r="K68" s="3985" t="str">
        <f t="shared" si="18"/>
        <v/>
      </c>
      <c r="M68" s="3123">
        <f t="shared" si="6"/>
        <v>0</v>
      </c>
      <c r="N68" s="3123">
        <f t="shared" si="1"/>
        <v>0</v>
      </c>
      <c r="Q68" s="4088">
        <f t="shared" si="19"/>
        <v>0</v>
      </c>
      <c r="R68" s="1485" t="str">
        <f t="shared" si="7"/>
        <v/>
      </c>
      <c r="S68" s="2314">
        <f>IF(N68=0,0,SUM($I$9:I68))</f>
      </c>
      <c r="U68" s="1485">
        <f>Consolidation!B60</f>
      </c>
      <c r="V68" s="1485">
        <f t="shared" si="12"/>
        <v>0</v>
      </c>
      <c r="W68" s="1485">
        <f t="shared" si="13"/>
        <v>0</v>
      </c>
      <c r="X68" s="1485">
        <f t="shared" si="14"/>
        <v>0</v>
      </c>
      <c r="Y68" s="1485">
        <f t="shared" si="15"/>
        <v>0</v>
      </c>
      <c r="AB68" s="1485">
        <f t="shared" si="16"/>
        <v>0</v>
      </c>
      <c r="AC68" s="1485">
        <f t="shared" si="17"/>
        <v>0</v>
      </c>
      <c r="AD68" s="2728">
        <f>IF(N68=0,0,SUMIF($AB$9:AB68,AB68,$AC$9:AC68))</f>
      </c>
    </row>
    <row r="69" spans="1:30" x14ac:dyDescent="0.2">
      <c r="A69" s="3748">
        <v>61</v>
      </c>
      <c r="B69" s="3352"/>
      <c r="C69" s="363"/>
      <c r="D69" s="809"/>
      <c r="E69" s="3989"/>
      <c r="F69" s="3990"/>
      <c r="G69" s="3989"/>
      <c r="H69" s="4163">
        <f t="shared" si="4"/>
        <v>0</v>
      </c>
      <c r="I69" s="3989"/>
      <c r="J69" s="4164">
        <f t="shared" si="5"/>
        <v>0</v>
      </c>
      <c r="K69" s="3985" t="str">
        <f t="shared" si="18"/>
        <v/>
      </c>
      <c r="M69" s="3123">
        <f t="shared" si="6"/>
        <v>0</v>
      </c>
      <c r="N69" s="3123">
        <f t="shared" si="1"/>
        <v>0</v>
      </c>
      <c r="Q69" s="4088">
        <f t="shared" si="19"/>
        <v>0</v>
      </c>
      <c r="R69" s="1485" t="str">
        <f t="shared" si="7"/>
        <v/>
      </c>
      <c r="S69" s="2314">
        <f>IF(N69=0,0,SUM($I$9:I69))</f>
      </c>
      <c r="U69" s="1485">
        <f>Consolidation!B61</f>
      </c>
      <c r="V69" s="1485">
        <f t="shared" si="12"/>
        <v>0</v>
      </c>
      <c r="W69" s="1485">
        <f t="shared" si="13"/>
        <v>0</v>
      </c>
      <c r="X69" s="1485">
        <f t="shared" si="14"/>
        <v>0</v>
      </c>
      <c r="Y69" s="1485">
        <f t="shared" si="15"/>
        <v>0</v>
      </c>
      <c r="AB69" s="1485">
        <f t="shared" si="16"/>
        <v>0</v>
      </c>
      <c r="AC69" s="1485">
        <f t="shared" si="17"/>
        <v>0</v>
      </c>
      <c r="AD69" s="2728">
        <f>IF(N69=0,0,SUMIF($AB$9:AB69,AB69,$AC$9:AC69))</f>
      </c>
    </row>
    <row r="70" spans="1:30" x14ac:dyDescent="0.2">
      <c r="A70" s="3748">
        <v>62</v>
      </c>
      <c r="B70" s="3352"/>
      <c r="C70" s="363"/>
      <c r="D70" s="809"/>
      <c r="E70" s="3989"/>
      <c r="F70" s="3990"/>
      <c r="G70" s="3989"/>
      <c r="H70" s="4163">
        <f t="shared" si="4"/>
        <v>0</v>
      </c>
      <c r="I70" s="3989"/>
      <c r="J70" s="4164">
        <f t="shared" si="5"/>
        <v>0</v>
      </c>
      <c r="K70" s="3985" t="str">
        <f t="shared" si="18"/>
        <v/>
      </c>
      <c r="M70" s="3123">
        <f t="shared" si="6"/>
        <v>0</v>
      </c>
      <c r="N70" s="3123">
        <f t="shared" si="1"/>
        <v>0</v>
      </c>
      <c r="Q70" s="4088">
        <f t="shared" si="19"/>
        <v>0</v>
      </c>
      <c r="R70" s="1485" t="str">
        <f t="shared" si="7"/>
        <v/>
      </c>
      <c r="S70" s="2314">
        <f>IF(N70=0,0,SUM($I$9:I70))</f>
      </c>
      <c r="U70" s="1485">
        <f>Consolidation!B62</f>
      </c>
      <c r="V70" s="1485">
        <f t="shared" si="12"/>
        <v>0</v>
      </c>
      <c r="W70" s="1485">
        <f t="shared" si="13"/>
        <v>0</v>
      </c>
      <c r="X70" s="1485">
        <f t="shared" si="14"/>
        <v>0</v>
      </c>
      <c r="Y70" s="1485">
        <f t="shared" si="15"/>
        <v>0</v>
      </c>
      <c r="AB70" s="1485">
        <f t="shared" si="16"/>
        <v>0</v>
      </c>
      <c r="AC70" s="1485">
        <f t="shared" si="17"/>
        <v>0</v>
      </c>
      <c r="AD70" s="2728">
        <f>IF(N70=0,0,SUMIF($AB$9:AB70,AB70,$AC$9:AC70))</f>
      </c>
    </row>
    <row r="71" spans="1:30" x14ac:dyDescent="0.2">
      <c r="A71" s="3748">
        <v>63</v>
      </c>
      <c r="B71" s="3352"/>
      <c r="C71" s="363"/>
      <c r="D71" s="809"/>
      <c r="E71" s="3989"/>
      <c r="F71" s="3990"/>
      <c r="G71" s="3989"/>
      <c r="H71" s="4163">
        <f t="shared" si="4"/>
        <v>0</v>
      </c>
      <c r="I71" s="3989"/>
      <c r="J71" s="4164">
        <f t="shared" si="5"/>
        <v>0</v>
      </c>
      <c r="K71" s="3985" t="str">
        <f t="shared" si="18"/>
        <v/>
      </c>
      <c r="M71" s="3123">
        <f t="shared" si="6"/>
        <v>0</v>
      </c>
      <c r="N71" s="3123">
        <f t="shared" si="1"/>
        <v>0</v>
      </c>
      <c r="Q71" s="4088">
        <f t="shared" si="19"/>
        <v>0</v>
      </c>
      <c r="R71" s="1485" t="str">
        <f t="shared" si="7"/>
        <v/>
      </c>
      <c r="S71" s="2314">
        <f>IF(N71=0,0,SUM($I$9:I71))</f>
      </c>
      <c r="U71" s="1485">
        <f>Consolidation!B63</f>
      </c>
      <c r="V71" s="1485">
        <f t="shared" si="12"/>
        <v>0</v>
      </c>
      <c r="W71" s="1485">
        <f t="shared" si="13"/>
        <v>0</v>
      </c>
      <c r="X71" s="1485">
        <f t="shared" si="14"/>
        <v>0</v>
      </c>
      <c r="Y71" s="1485">
        <f t="shared" si="15"/>
        <v>0</v>
      </c>
      <c r="AB71" s="1485">
        <f t="shared" si="16"/>
        <v>0</v>
      </c>
      <c r="AC71" s="1485">
        <f t="shared" si="17"/>
        <v>0</v>
      </c>
      <c r="AD71" s="2728">
        <f>IF(N71=0,0,SUMIF($AB$9:AB71,AB71,$AC$9:AC71))</f>
      </c>
    </row>
    <row r="72" spans="1:30" x14ac:dyDescent="0.2">
      <c r="A72" s="3748">
        <v>64</v>
      </c>
      <c r="B72" s="3352"/>
      <c r="C72" s="363"/>
      <c r="D72" s="809"/>
      <c r="E72" s="3989"/>
      <c r="F72" s="3990"/>
      <c r="G72" s="3989"/>
      <c r="H72" s="4163">
        <f t="shared" si="4"/>
        <v>0</v>
      </c>
      <c r="I72" s="3989"/>
      <c r="J72" s="4164">
        <f t="shared" si="5"/>
        <v>0</v>
      </c>
      <c r="K72" s="3985" t="str">
        <f t="shared" si="18"/>
        <v/>
      </c>
      <c r="M72" s="3123">
        <f t="shared" si="6"/>
        <v>0</v>
      </c>
      <c r="N72" s="3123">
        <f t="shared" si="1"/>
        <v>0</v>
      </c>
      <c r="Q72" s="4088">
        <f t="shared" si="19"/>
        <v>0</v>
      </c>
      <c r="R72" s="1485" t="str">
        <f t="shared" si="7"/>
        <v/>
      </c>
      <c r="S72" s="2314">
        <f>IF(N72=0,0,SUM($I$9:I72))</f>
      </c>
      <c r="U72" s="1485">
        <f>Consolidation!B64</f>
      </c>
      <c r="V72" s="1485">
        <f t="shared" si="12"/>
        <v>0</v>
      </c>
      <c r="W72" s="1485">
        <f t="shared" si="13"/>
        <v>0</v>
      </c>
      <c r="X72" s="1485">
        <f t="shared" si="14"/>
        <v>0</v>
      </c>
      <c r="Y72" s="1485">
        <f t="shared" si="15"/>
        <v>0</v>
      </c>
      <c r="AB72" s="1485">
        <f t="shared" si="16"/>
        <v>0</v>
      </c>
      <c r="AC72" s="1485">
        <f t="shared" si="17"/>
        <v>0</v>
      </c>
      <c r="AD72" s="2728">
        <f>IF(N72=0,0,SUMIF($AB$9:AB72,AB72,$AC$9:AC72))</f>
      </c>
    </row>
    <row r="73" spans="1:30" x14ac:dyDescent="0.2">
      <c r="A73" s="3748">
        <v>65</v>
      </c>
      <c r="B73" s="3352"/>
      <c r="C73" s="363"/>
      <c r="D73" s="809"/>
      <c r="E73" s="3989"/>
      <c r="F73" s="3990"/>
      <c r="G73" s="3989"/>
      <c r="H73" s="4163">
        <f t="shared" si="4"/>
        <v>0</v>
      </c>
      <c r="I73" s="3989"/>
      <c r="J73" s="4164">
        <f t="shared" si="5"/>
        <v>0</v>
      </c>
      <c r="K73" s="3985" t="str">
        <f t="shared" ref="K73:K78" si="20">IF(AND($G$6&gt;0,A73&lt;=$G$6,N73=0),re,IF(AND($O$1="n",B73&lt;&gt;""),"Not a fiscal Unit",IF(AND($G$6&gt;0,A73&lt;=$G$6,$O$1="y",N73&lt;7),"All data",IF(AND(A73&gt;$G$6,N73&gt;0),"No details required",IF(AND($G$6&gt;0,A73&lt;=$G$6,$O$1="n",N73&lt;6),"All data",IF(OR((G73&gt;MIN(E73,150000,Q73*50000)),AND(F73&gt;=$R$1,G73&gt;0)),"Check utilised credit in previous years",IF(OR(I73&gt;H73,AND($O$1="n",AND($V$1=$W$1,S73&gt;50000)),AND($O$1="y",AND($V$1=$W$1,AD73&gt;50000))),"Excessive utilised credit!",IF(AND(ya&gt;F73+4,I73&gt;0),"Credit cannot be utilised - 5 year limit",""))))))))</f>
        <v/>
      </c>
      <c r="M73" s="3123">
        <f t="shared" si="6"/>
        <v>0</v>
      </c>
      <c r="N73" s="3123">
        <f t="shared" ref="N73:N78" si="21">IF($O$1="n",COUNTA(C73:G73,I73),IF($O$1="y",COUNTA(B73:G73,I73),0))</f>
      </c>
      <c r="Q73" s="4088">
        <f t="shared" ref="Q73:Q78" si="22">IF(N73=0,0,ya-F73)</f>
      </c>
      <c r="R73" s="1485" t="str">
        <f t="shared" si="7"/>
        <v/>
      </c>
      <c r="S73" s="2314">
        <f>IF(N73=0,0,SUM($I$9:I73))</f>
      </c>
      <c r="U73" s="1485">
        <f>Consolidation!B65</f>
      </c>
      <c r="V73" s="1485">
        <f t="shared" si="12"/>
        <v>0</v>
      </c>
      <c r="W73" s="1485">
        <f t="shared" si="13"/>
        <v>0</v>
      </c>
      <c r="X73" s="1485">
        <f t="shared" si="14"/>
        <v>0</v>
      </c>
      <c r="Y73" s="1485">
        <f t="shared" si="15"/>
        <v>0</v>
      </c>
      <c r="AB73" s="1485">
        <f t="shared" si="16"/>
        <v>0</v>
      </c>
      <c r="AC73" s="1485">
        <f t="shared" si="17"/>
        <v>0</v>
      </c>
      <c r="AD73" s="2728">
        <f>IF(N73=0,0,SUMIF($AB$9:AB73,AB73,$AC$9:AC73))</f>
      </c>
    </row>
    <row r="74" spans="1:30" x14ac:dyDescent="0.2">
      <c r="A74" s="3748">
        <v>66</v>
      </c>
      <c r="B74" s="3352"/>
      <c r="C74" s="363"/>
      <c r="D74" s="809"/>
      <c r="E74" s="3989"/>
      <c r="F74" s="3990"/>
      <c r="G74" s="3989"/>
      <c r="H74" s="4163">
        <f t="shared" si="4"/>
        <v>0</v>
      </c>
      <c r="I74" s="3989"/>
      <c r="J74" s="4164">
        <f t="shared" si="5"/>
        <v>0</v>
      </c>
      <c r="K74" s="3985" t="str">
        <f t="shared" si="20"/>
        <v/>
      </c>
      <c r="M74" s="3123">
        <f t="shared" si="6"/>
        <v>0</v>
      </c>
      <c r="N74" s="3123">
        <f t="shared" si="21"/>
        <v>0</v>
      </c>
      <c r="Q74" s="4088">
        <f t="shared" si="22"/>
        <v>0</v>
      </c>
      <c r="R74" s="1485" t="str">
        <f t="shared" ref="R74:R78" si="23">IF(N74=0,"",MIN(E74,150000,Q74*50000))</f>
        <v/>
      </c>
      <c r="S74" s="2314">
        <f>IF(N74=0,0,SUM($I$9:I74))</f>
      </c>
      <c r="U74" s="1485">
        <f>Consolidation!B66</f>
      </c>
      <c r="V74" s="1485">
        <f t="shared" si="12"/>
        <v>0</v>
      </c>
      <c r="W74" s="1485">
        <f t="shared" si="13"/>
        <v>0</v>
      </c>
      <c r="X74" s="1485">
        <f t="shared" si="14"/>
        <v>0</v>
      </c>
      <c r="Y74" s="1485">
        <f t="shared" si="15"/>
        <v>0</v>
      </c>
      <c r="AB74" s="1485">
        <f t="shared" si="16"/>
        <v>0</v>
      </c>
      <c r="AC74" s="1485">
        <f t="shared" si="17"/>
        <v>0</v>
      </c>
      <c r="AD74" s="2728">
        <f>IF(N74=0,0,SUMIF($AB$9:AB74,AB74,$AC$9:AC74))</f>
      </c>
    </row>
    <row r="75" spans="1:30" x14ac:dyDescent="0.2">
      <c r="A75" s="3748">
        <v>67</v>
      </c>
      <c r="B75" s="3352"/>
      <c r="C75" s="363"/>
      <c r="D75" s="809"/>
      <c r="E75" s="3989"/>
      <c r="F75" s="3990"/>
      <c r="G75" s="3989"/>
      <c r="H75" s="4163">
        <f t="shared" si="4"/>
        <v>0</v>
      </c>
      <c r="I75" s="3989"/>
      <c r="J75" s="4164">
        <f t="shared" si="5"/>
        <v>0</v>
      </c>
      <c r="K75" s="3985" t="str">
        <f t="shared" si="20"/>
        <v/>
      </c>
      <c r="M75" s="3123">
        <f t="shared" si="6"/>
        <v>0</v>
      </c>
      <c r="N75" s="3123">
        <f t="shared" si="21"/>
        <v>0</v>
      </c>
      <c r="Q75" s="4088">
        <f t="shared" si="22"/>
        <v>0</v>
      </c>
      <c r="R75" s="1485" t="str">
        <f t="shared" si="23"/>
        <v/>
      </c>
      <c r="S75" s="2314">
        <f>IF(N75=0,0,SUM($I$9:I75))</f>
      </c>
      <c r="U75" s="1485">
        <f>Consolidation!B67</f>
      </c>
      <c r="V75" s="1485">
        <f t="shared" si="12"/>
        <v>0</v>
      </c>
      <c r="W75" s="1485">
        <f t="shared" si="13"/>
        <v>0</v>
      </c>
      <c r="X75" s="1485">
        <f t="shared" si="14"/>
        <v>0</v>
      </c>
      <c r="Y75" s="1485">
        <f t="shared" si="15"/>
        <v>0</v>
      </c>
      <c r="AB75" s="1485">
        <f t="shared" si="16"/>
        <v>0</v>
      </c>
      <c r="AC75" s="1485">
        <f t="shared" si="17"/>
        <v>0</v>
      </c>
      <c r="AD75" s="2728">
        <f>IF(N75=0,0,SUMIF($AB$9:AB75,AB75,$AC$9:AC75))</f>
      </c>
    </row>
    <row r="76" spans="1:30" x14ac:dyDescent="0.2">
      <c r="A76" s="3748">
        <v>68</v>
      </c>
      <c r="B76" s="3352"/>
      <c r="C76" s="363"/>
      <c r="D76" s="809"/>
      <c r="E76" s="3989"/>
      <c r="F76" s="3990"/>
      <c r="G76" s="3989"/>
      <c r="H76" s="4163">
        <f t="shared" si="4"/>
        <v>0</v>
      </c>
      <c r="I76" s="3989"/>
      <c r="J76" s="4164">
        <f t="shared" si="5"/>
        <v>0</v>
      </c>
      <c r="K76" s="3985" t="str">
        <f t="shared" si="20"/>
        <v/>
      </c>
      <c r="M76" s="3123">
        <f t="shared" si="6"/>
        <v>0</v>
      </c>
      <c r="N76" s="3123">
        <f t="shared" si="21"/>
        <v>0</v>
      </c>
      <c r="Q76" s="4088">
        <f t="shared" si="22"/>
        <v>0</v>
      </c>
      <c r="R76" s="1485" t="str">
        <f t="shared" si="23"/>
        <v/>
      </c>
      <c r="S76" s="2314">
        <f>IF(N76=0,0,SUM($I$9:I76))</f>
      </c>
      <c r="U76" s="1485">
        <f>Consolidation!B68</f>
      </c>
      <c r="V76" s="1485">
        <f t="shared" si="12"/>
        <v>0</v>
      </c>
      <c r="W76" s="1485">
        <f t="shared" si="13"/>
        <v>0</v>
      </c>
      <c r="X76" s="1485">
        <f t="shared" si="14"/>
        <v>0</v>
      </c>
      <c r="Y76" s="1485">
        <f t="shared" si="15"/>
        <v>0</v>
      </c>
      <c r="AB76" s="1485">
        <f t="shared" si="16"/>
        <v>0</v>
      </c>
      <c r="AC76" s="1485">
        <f t="shared" si="17"/>
        <v>0</v>
      </c>
      <c r="AD76" s="2728">
        <f>IF(N76=0,0,SUMIF($AB$9:AB76,AB76,$AC$9:AC76))</f>
      </c>
    </row>
    <row r="77" spans="1:30" x14ac:dyDescent="0.2">
      <c r="A77" s="3748">
        <v>69</v>
      </c>
      <c r="B77" s="3352"/>
      <c r="C77" s="363"/>
      <c r="D77" s="809"/>
      <c r="E77" s="3989"/>
      <c r="F77" s="3990"/>
      <c r="G77" s="3989"/>
      <c r="H77" s="4163">
        <f t="shared" si="4"/>
        <v>0</v>
      </c>
      <c r="I77" s="3989"/>
      <c r="J77" s="4164">
        <f t="shared" si="5"/>
        <v>0</v>
      </c>
      <c r="K77" s="3985" t="str">
        <f t="shared" si="20"/>
        <v/>
      </c>
      <c r="M77" s="3123">
        <f t="shared" si="6"/>
        <v>0</v>
      </c>
      <c r="N77" s="3123">
        <f t="shared" si="21"/>
        <v>0</v>
      </c>
      <c r="Q77" s="4088">
        <f t="shared" si="22"/>
        <v>0</v>
      </c>
      <c r="R77" s="1485" t="str">
        <f t="shared" si="23"/>
        <v/>
      </c>
      <c r="S77" s="2314">
        <f>IF(N77=0,0,SUM($I$9:I77))</f>
      </c>
      <c r="U77" s="1485">
        <f>Consolidation!B69</f>
      </c>
      <c r="V77" s="1485">
        <f t="shared" si="12"/>
        <v>0</v>
      </c>
      <c r="W77" s="1485">
        <f t="shared" si="13"/>
        <v>0</v>
      </c>
      <c r="X77" s="1485">
        <f t="shared" si="14"/>
        <v>0</v>
      </c>
      <c r="Y77" s="1485">
        <f t="shared" si="15"/>
        <v>0</v>
      </c>
      <c r="AB77" s="1485">
        <f t="shared" si="16"/>
        <v>0</v>
      </c>
      <c r="AC77" s="1485">
        <f t="shared" si="17"/>
        <v>0</v>
      </c>
      <c r="AD77" s="2728">
        <f>IF(N77=0,0,SUMIF($AB$9:AB77,AB77,$AC$9:AC77))</f>
      </c>
    </row>
    <row r="78" spans="1:30" x14ac:dyDescent="0.2">
      <c r="A78" s="3748">
        <v>70</v>
      </c>
      <c r="B78" s="3352"/>
      <c r="C78" s="363"/>
      <c r="D78" s="809"/>
      <c r="E78" s="3989"/>
      <c r="F78" s="3990"/>
      <c r="G78" s="3989"/>
      <c r="H78" s="4163">
        <f t="shared" si="4"/>
        <v>0</v>
      </c>
      <c r="I78" s="3989"/>
      <c r="J78" s="4164">
        <f t="shared" si="5"/>
        <v>0</v>
      </c>
      <c r="K78" s="3985" t="str">
        <f t="shared" si="20"/>
        <v/>
      </c>
      <c r="M78" s="3123">
        <f t="shared" si="6"/>
        <v>0</v>
      </c>
      <c r="N78" s="3123">
        <f t="shared" si="21"/>
        <v>0</v>
      </c>
      <c r="Q78" s="4088">
        <f t="shared" si="22"/>
        <v>0</v>
      </c>
      <c r="R78" s="1485" t="str">
        <f t="shared" si="23"/>
        <v/>
      </c>
      <c r="S78" s="2314">
        <f>IF(N78=0,0,SUM($I$9:I78))</f>
      </c>
      <c r="U78" s="1485">
        <f>Consolidation!B70</f>
      </c>
      <c r="V78" s="1485">
        <f t="shared" ref="V78:V88" si="24">SUMIF($B$9:$B$78,U78,$I$9:$I$78)</f>
      </c>
      <c r="W78" s="1485">
        <f t="shared" ref="W78:W88" si="25">IF(AND($V$1=$W$1,V78&gt;50000),50000,V78)</f>
      </c>
      <c r="X78" s="1485">
        <f t="shared" ref="X78:X88" si="26">SUMIF($B$9:$B$78,U78,$H$9:$H$78)</f>
      </c>
      <c r="Y78" s="1485">
        <f t="shared" ref="Y78:Y88" si="27">X78-W78</f>
      </c>
      <c r="AB78" s="1485">
        <f t="shared" si="16"/>
        <v>0</v>
      </c>
      <c r="AC78" s="1485">
        <f t="shared" si="17"/>
        <v>0</v>
      </c>
      <c r="AD78" s="2728">
        <f>IF(N78=0,0,SUMIF($AB$9:AB78,AB78,$AC$9:AC78))</f>
      </c>
    </row>
    <row r="79" spans="1:30" x14ac:dyDescent="0.2">
      <c r="A79" s="3315"/>
      <c r="B79" s="2239" t="s">
        <v>9115</v>
      </c>
      <c r="C79" s="2238"/>
      <c r="D79" s="2238"/>
      <c r="E79" s="4165">
        <f>SUM(E9:E78)</f>
      </c>
      <c r="F79" s="3315"/>
      <c r="G79" s="3315"/>
      <c r="H79" s="3315"/>
      <c r="I79" s="3315"/>
      <c r="J79" s="3315"/>
      <c r="K79" s="3315"/>
      <c r="U79" s="1485">
        <f>Consolidation!B71</f>
      </c>
      <c r="V79" s="1485">
        <f t="shared" si="24"/>
        <v>0</v>
      </c>
      <c r="W79" s="1485">
        <f t="shared" si="25"/>
        <v>0</v>
      </c>
      <c r="X79" s="1485">
        <f t="shared" si="26"/>
        <v>0</v>
      </c>
      <c r="Y79" s="1485">
        <f t="shared" si="27"/>
        <v>0</v>
      </c>
    </row>
    <row r="80" spans="1:30" x14ac:dyDescent="0.2">
      <c r="A80" s="3315"/>
      <c r="B80" s="1942" t="s">
        <v>7159</v>
      </c>
      <c r="C80" s="2238"/>
      <c r="D80" s="1942"/>
      <c r="E80" s="1942"/>
      <c r="F80" s="1942"/>
      <c r="G80" s="4165">
        <f>SUM(G9:G78)</f>
      </c>
      <c r="H80" s="3315"/>
      <c r="I80" s="3315"/>
      <c r="J80" s="3315"/>
      <c r="K80" s="3315"/>
      <c r="P80" s="3123"/>
      <c r="Q80" s="3338">
        <f>MIN(Q82,R81)</f>
      </c>
      <c r="R80" s="3123"/>
      <c r="U80" s="1485">
        <f>Consolidation!B72</f>
      </c>
      <c r="V80" s="1485">
        <f t="shared" si="24"/>
        <v>0</v>
      </c>
      <c r="W80" s="1485">
        <f t="shared" si="25"/>
        <v>0</v>
      </c>
      <c r="X80" s="1485">
        <f t="shared" si="26"/>
        <v>0</v>
      </c>
      <c r="Y80" s="1485">
        <f t="shared" si="27"/>
        <v>0</v>
      </c>
    </row>
    <row r="81" spans="1:25" x14ac:dyDescent="0.2">
      <c r="A81" s="3315"/>
      <c r="B81" s="2239" t="s">
        <v>7332</v>
      </c>
      <c r="C81" s="2238"/>
      <c r="D81" s="2238"/>
      <c r="E81" s="2238"/>
      <c r="F81" s="2238"/>
      <c r="G81" s="2238"/>
      <c r="H81" s="4165">
        <f>SUM(H9:H78)</f>
      </c>
      <c r="I81" s="3315"/>
      <c r="J81" s="3315"/>
      <c r="K81" s="3315"/>
      <c r="P81" s="3338">
        <v>45292</v>
      </c>
      <c r="Q81" s="3272"/>
      <c r="R81" s="3272">
        <f>DATE(ya,12,31)</f>
      </c>
      <c r="U81" s="1485">
        <f>Consolidation!B73</f>
      </c>
      <c r="V81" s="1485">
        <f t="shared" si="24"/>
        <v>0</v>
      </c>
      <c r="W81" s="1485">
        <f t="shared" si="25"/>
        <v>0</v>
      </c>
      <c r="X81" s="1485">
        <f t="shared" si="26"/>
        <v>0</v>
      </c>
      <c r="Y81" s="1485">
        <f t="shared" si="27"/>
        <v>0</v>
      </c>
    </row>
    <row r="82" spans="1:25" x14ac:dyDescent="0.2">
      <c r="A82" s="3315"/>
      <c r="B82" s="2239" t="s">
        <v>7157</v>
      </c>
      <c r="C82" s="2238"/>
      <c r="D82" s="2238"/>
      <c r="E82" s="2238"/>
      <c r="F82" s="2239"/>
      <c r="G82" s="2239"/>
      <c r="H82" s="3918" t="s">
        <v>951</v>
      </c>
      <c r="I82" s="4165">
        <f>IF(O1="y",W7,SUM(I9:I78))</f>
      </c>
      <c r="J82" s="4089"/>
      <c r="K82" s="3315"/>
      <c r="M82" s="3123">
        <f>IF(J82="",0,1)</f>
      </c>
      <c r="P82" s="1871"/>
      <c r="Q82" s="2774">
        <v>47848</v>
      </c>
      <c r="U82" s="1485">
        <f>Consolidation!B74</f>
      </c>
      <c r="V82" s="1485">
        <f t="shared" si="24"/>
        <v>0</v>
      </c>
      <c r="W82" s="1485">
        <f t="shared" si="25"/>
        <v>0</v>
      </c>
      <c r="X82" s="1485">
        <f t="shared" si="26"/>
        <v>0</v>
      </c>
      <c r="Y82" s="1485">
        <f t="shared" si="27"/>
        <v>0</v>
      </c>
    </row>
    <row r="83" spans="1:25" x14ac:dyDescent="0.2">
      <c r="A83" s="3315"/>
      <c r="B83" s="2237" t="s">
        <v>7074</v>
      </c>
      <c r="C83" s="2238"/>
      <c r="D83" s="2237"/>
      <c r="E83" s="2237"/>
      <c r="F83" s="2237"/>
      <c r="G83" s="2237"/>
      <c r="H83" s="2237"/>
      <c r="I83" s="3315"/>
      <c r="J83" s="4165">
        <f>IF(SUM(J9:J78)&lt;0,0,IF(O1="y",Y7,SUM(J9:J78)))</f>
      </c>
      <c r="K83" s="3315"/>
      <c r="U83" s="1485">
        <f>Consolidation!B75</f>
      </c>
      <c r="V83" s="1485">
        <f t="shared" si="24"/>
        <v>0</v>
      </c>
      <c r="W83" s="1485">
        <f t="shared" si="25"/>
        <v>0</v>
      </c>
      <c r="X83" s="1485">
        <f t="shared" si="26"/>
        <v>0</v>
      </c>
      <c r="Y83" s="1485">
        <f t="shared" si="27"/>
        <v>0</v>
      </c>
    </row>
    <row r="84" spans="1:25" x14ac:dyDescent="0.2">
      <c r="A84" s="3315"/>
      <c r="B84" s="3315"/>
      <c r="C84" s="3315"/>
      <c r="D84" s="3315"/>
      <c r="E84" s="3315"/>
      <c r="F84" s="3315"/>
      <c r="G84" s="3315"/>
      <c r="H84" s="3315"/>
      <c r="I84" s="3315"/>
      <c r="J84" s="3315"/>
      <c r="K84" s="3315"/>
      <c r="O84" s="5468" t="s">
        <v>7073</v>
      </c>
      <c r="P84" s="5468"/>
      <c r="Q84" s="5468"/>
      <c r="U84" s="1485">
        <f>Consolidation!B76</f>
      </c>
      <c r="V84" s="1485">
        <f t="shared" si="24"/>
        <v>0</v>
      </c>
      <c r="W84" s="1485">
        <f t="shared" si="25"/>
        <v>0</v>
      </c>
      <c r="X84" s="1485">
        <f t="shared" si="26"/>
        <v>0</v>
      </c>
      <c r="Y84" s="1485">
        <f t="shared" si="27"/>
        <v>0</v>
      </c>
    </row>
    <row r="85" spans="1:25" x14ac:dyDescent="0.2">
      <c r="A85" s="3315"/>
      <c r="B85" s="4166" t="s">
        <v>10476</v>
      </c>
      <c r="C85" s="4167"/>
      <c r="D85" s="4167"/>
      <c r="E85" s="4167"/>
      <c r="F85" s="4167"/>
      <c r="G85" s="4167"/>
      <c r="H85" s="4167"/>
      <c r="I85" s="4168" t="s">
        <v>951</v>
      </c>
      <c r="J85" s="737"/>
      <c r="K85" s="3985" t="str">
        <f>IF(N4=0,"",IF(AND(I82&gt;0,J85=""),re,IF(AND(I82=0,J85&gt;0),"No tax credit claimed for the year!",IF(AND(I82&gt;0,J85=0),"Amount relieved by tax credit required!",IF(J85&lt;0,"Cannot be negative!",IF(OR(J85&gt;O85+1,J85&lt;P85-1),Q85,""))))))</f>
        <v/>
      </c>
      <c r="M85" s="3123">
        <f>IF(K85="",0,1)</f>
      </c>
      <c r="N85" s="3123">
        <f>COUNT(J85)</f>
      </c>
      <c r="O85" s="3994">
        <f>ROUND(I82/5%,0)</f>
      </c>
      <c r="P85" s="3995">
        <f>ROUND(I82/0.35,0)</f>
      </c>
      <c r="Q85" s="3996" t="s">
        <v>4787</v>
      </c>
      <c r="U85" s="1485">
        <f>Consolidation!B77</f>
      </c>
      <c r="V85" s="1485">
        <f t="shared" si="24"/>
        <v>0</v>
      </c>
      <c r="W85" s="1485">
        <f t="shared" si="25"/>
        <v>0</v>
      </c>
      <c r="X85" s="1485">
        <f t="shared" si="26"/>
        <v>0</v>
      </c>
      <c r="Y85" s="1485">
        <f t="shared" si="27"/>
        <v>0</v>
      </c>
    </row>
    <row r="86" spans="1:25" x14ac:dyDescent="0.2">
      <c r="A86" s="3315"/>
      <c r="B86" s="3315"/>
      <c r="C86" s="3315"/>
      <c r="D86" s="3315"/>
      <c r="E86" s="3315"/>
      <c r="F86" s="3315"/>
      <c r="G86" s="3315"/>
      <c r="H86" s="3315"/>
      <c r="I86" s="3315"/>
      <c r="J86" s="3315"/>
      <c r="K86" s="3315"/>
      <c r="U86" s="1485">
        <f>Consolidation!B78</f>
      </c>
      <c r="V86" s="1485">
        <f t="shared" si="24"/>
        <v>0</v>
      </c>
      <c r="W86" s="1485">
        <f t="shared" si="25"/>
        <v>0</v>
      </c>
      <c r="X86" s="1485">
        <f t="shared" si="26"/>
        <v>0</v>
      </c>
      <c r="Y86" s="1485">
        <f t="shared" si="27"/>
        <v>0</v>
      </c>
    </row>
    <row r="87" spans="1:25" x14ac:dyDescent="0.2">
      <c r="A87" s="3315"/>
      <c r="B87" s="3315" t="s">
        <v>9116</v>
      </c>
      <c r="C87" s="3315"/>
      <c r="D87" s="3315"/>
      <c r="E87" s="3315"/>
      <c r="F87" s="3315"/>
      <c r="G87" s="3315"/>
      <c r="H87" s="3315"/>
      <c r="I87" s="3315"/>
      <c r="J87" s="3352"/>
      <c r="K87" s="3985" t="str">
        <f>IF(I82=0,"",IF(J87="",re,IF(AND(J87="no",I82&gt;0),"No benefit!","")))</f>
        <v/>
      </c>
      <c r="M87" s="3123">
        <f>IF(K87="",0,1)</f>
      </c>
      <c r="N87" s="3123">
        <f>IF(J87&lt;&gt;"",1,0)</f>
      </c>
      <c r="U87" s="1485">
        <f>Consolidation!B79</f>
      </c>
      <c r="V87" s="1485">
        <f t="shared" si="24"/>
        <v>0</v>
      </c>
      <c r="W87" s="1485">
        <f t="shared" si="25"/>
        <v>0</v>
      </c>
      <c r="X87" s="1485">
        <f t="shared" si="26"/>
        <v>0</v>
      </c>
      <c r="Y87" s="1485">
        <f t="shared" si="27"/>
        <v>0</v>
      </c>
    </row>
    <row r="88" spans="1:25" x14ac:dyDescent="0.2">
      <c r="A88" s="3315"/>
      <c r="B88" s="3315"/>
      <c r="C88" s="3315"/>
      <c r="D88" s="3315"/>
      <c r="E88" s="3315"/>
      <c r="F88" s="3315"/>
      <c r="G88" s="3315"/>
      <c r="H88" s="3315"/>
      <c r="I88" s="3315"/>
      <c r="J88" s="3315"/>
      <c r="K88" s="3315"/>
      <c r="U88" s="1485">
        <f>Consolidation!B80</f>
      </c>
      <c r="V88" s="1485">
        <f t="shared" si="24"/>
        <v>0</v>
      </c>
      <c r="W88" s="1485">
        <f t="shared" si="25"/>
        <v>0</v>
      </c>
      <c r="X88" s="1485">
        <f t="shared" si="26"/>
        <v>0</v>
      </c>
      <c r="Y88" s="1485">
        <f t="shared" si="27"/>
        <v>0</v>
      </c>
    </row>
    <row r="89" spans="1:25" x14ac:dyDescent="0.2">
      <c r="A89" s="3315"/>
      <c r="B89" s="3315"/>
      <c r="C89" s="3315"/>
      <c r="D89" s="3315"/>
      <c r="E89" s="3315"/>
      <c r="F89" s="3355"/>
      <c r="G89" s="3356" t="s">
        <v>4456</v>
      </c>
      <c r="H89" s="3356"/>
      <c r="I89" s="3352"/>
      <c r="J89" s="3351" t="str">
        <f>IF(N4=0,"",IF(I89="",re,""))</f>
        <v/>
      </c>
      <c r="K89" s="3315"/>
      <c r="M89" s="3809">
        <f>IF(N4=0,0,IF(M4&gt;0,100,IF(I89="no",100,1)))</f>
      </c>
      <c r="N89" s="1736" t="s">
        <v>10652</v>
      </c>
    </row>
    <row r="90" spans="1:25" x14ac:dyDescent="0.2">
      <c r="A90" s="3315"/>
      <c r="B90" s="3315"/>
      <c r="C90" s="3315"/>
      <c r="D90" s="3315"/>
      <c r="E90" s="3315"/>
      <c r="F90" s="3315"/>
      <c r="G90" s="3315"/>
      <c r="H90" s="3315"/>
      <c r="I90" s="3315"/>
      <c r="J90" s="3315"/>
      <c r="K90" s="3315"/>
    </row>
    <row r="91" spans="1:25" x14ac:dyDescent="0.2">
      <c r="A91" s="1942"/>
      <c r="B91" s="1935" t="s">
        <v>10574</v>
      </c>
      <c r="C91" s="1942"/>
      <c r="D91" s="1938"/>
      <c r="E91" s="1938"/>
      <c r="F91" s="2592"/>
      <c r="G91" s="1943" t="str">
        <f>ver</f>
        <v>TA2_e-CO_2025_Ver 1.1</v>
      </c>
      <c r="H91" s="1942"/>
      <c r="I91" s="1942"/>
      <c r="J91" s="1938" t="s">
        <v>10643</v>
      </c>
      <c r="K91" s="2592"/>
    </row>
    <row r="92" spans="1:25" x14ac:dyDescent="0.2"/>
    <row r="93" spans="1:25" x14ac:dyDescent="0.2">
      <c r="B93" s="3922" t="s">
        <v>1700</v>
      </c>
    </row>
    <row r="94" spans="1:25" x14ac:dyDescent="0.2"/>
  </sheetData>
  <sheetProtection algorithmName="SHA-512" hashValue="WZju0pbl0ng32sT16drdG3AMuco8NFIl4BdGBFJR+Pq/m8ffhY8mlhvdK6oF4kyGbUUN7OwKcnr/NEh6FhKKyQ==" saltValue="L/JEeNrkTnaSlO8e4kQJ2A==" spinCount="100000" sheet="1" objects="1" scenarios="1"/>
  <mergeCells count="4">
    <mergeCell ref="S4:S5"/>
    <mergeCell ref="AB6:AD7"/>
    <mergeCell ref="O84:Q84"/>
    <mergeCell ref="U6:Y6"/>
  </mergeCells>
  <conditionalFormatting sqref="J85">
    <cfRule type="expression" dxfId="89" priority="1" stopIfTrue="1">
      <formula>#REF!=nob</formula>
    </cfRule>
  </conditionalFormatting>
  <dataValidations count="12">
    <dataValidation type="whole" operator="greaterThanOrEqual" allowBlank="1" showInputMessage="1" showErrorMessage="1" sqref="G9:G78" xr:uid="{01A0CC74-3ABF-4E0E-9443-91E86F62016C}">
      <formula1>0</formula1>
    </dataValidation>
    <dataValidation type="whole" allowBlank="1" showInputMessage="1" showErrorMessage="1" errorTitle="Tax credit first utilised" error="Please enter correct year of assessment!" sqref="F9:F78" xr:uid="{2C6FCCB9-7727-4C74-ADAC-EA6F927B131D}">
      <formula1>$R$4</formula1>
      <formula2>$R$5</formula2>
    </dataValidation>
    <dataValidation type="whole" allowBlank="1" showInputMessage="1" showErrorMessage="1" errorTitle="Approved tax credit" error="Input a whole number greater than 0 but less than 150,000!_x000a_" sqref="E9:E78" xr:uid="{D76D6450-E1E0-4813-877D-A646B1670EF5}">
      <formula1>0</formula1>
      <formula2>150000</formula2>
    </dataValidation>
    <dataValidation type="list" operator="greaterThanOrEqual" allowBlank="1" showInputMessage="1" showErrorMessage="1" errorTitle="Certificate number" error="Please enter the correct reference!" sqref="G6" xr:uid="{7F9B0D92-27A0-44AB-8A67-681E3CB4CB42}">
      <formula1>$A$8:$A$78</formula1>
    </dataValidation>
    <dataValidation type="date" allowBlank="1" showInputMessage="1" showErrorMessage="1" errorTitle="Date" error="Enter correct date!" sqref="D9:D78" xr:uid="{83BED15B-3BFF-4C68-BA7A-18B57A8D6FEB}">
      <formula1>$P$81</formula1>
      <formula2>$Q$80</formula2>
    </dataValidation>
    <dataValidation type="list" showInputMessage="1" showErrorMessage="1" sqref="I89 J87" xr:uid="{1CB0B900-509C-4AC9-8094-AAD1777547D6}">
      <formula1>$T$2:$T$3</formula1>
    </dataValidation>
    <dataValidation type="list" allowBlank="1" showInputMessage="1" showErrorMessage="1" sqref="B10:B78" xr:uid="{C617DDD6-E03D-484A-971E-80A1068E6C98}">
      <formula1>FU</formula1>
    </dataValidation>
    <dataValidation type="whole" allowBlank="1" showInputMessage="1" showErrorMessage="1" errorTitle="Income relieved by tax credit" error="Are you sure the amount entered is correct?" sqref="J85" xr:uid="{4E206545-6A30-4C32-B757-95314D7BD513}">
      <formula1>S85-1</formula1>
      <formula2>R85+1</formula2>
    </dataValidation>
    <dataValidation type="textLength" operator="greaterThanOrEqual" allowBlank="1" showInputMessage="1" showErrorMessage="1" errorTitle="Certificate No:" error="Please enter correct certificate number!" sqref="C9:C78" xr:uid="{0312E7AD-AE6D-40AE-AFE5-275468CF3FC0}">
      <formula1>6</formula1>
    </dataValidation>
    <dataValidation type="whole" operator="greaterThanOrEqual" allowBlank="1" showInputMessage="1" showErrorMessage="1" errorTitle="Tax credits utilised " error="Enter a whole figure greater than 0!" sqref="I9:I78" xr:uid="{642300CD-7746-4DAC-9799-F7C58186029C}">
      <formula1>0</formula1>
    </dataValidation>
    <dataValidation operator="greaterThanOrEqual" allowBlank="1" showInputMessage="1" showErrorMessage="1" errorTitle="Tax credits utilised " error="Enter a whole figure greater than 0!" sqref="H9:H78" xr:uid="{17515627-9C81-4FC7-B8D8-40099FA369BB}"/>
    <dataValidation type="list" allowBlank="1" showInputMessage="1" showErrorMessage="1" errorTitle="IT Reference" error="Enter correct IT number of fiscal unit!" sqref="B9" xr:uid="{9737A3F4-1AAE-4783-BDD5-AC5060514270}">
      <formula1>FU</formula1>
    </dataValidation>
  </dataValidations>
  <hyperlinks>
    <hyperlink ref="H82" location="'TRA35'!A1" display="TRA 35" xr:uid="{57C72DCD-5FB9-4DEE-82B9-E112C0AF9CAB}"/>
    <hyperlink ref="I85" location="'TRA35'!A1" display="TRA 35" xr:uid="{93BAE9E2-2D49-4767-985D-5B77764FE246}"/>
    <hyperlink ref="B93" location="Index!A1" display="BACK TO INDEX" xr:uid="{FA2169B6-2FD3-4E0E-A49C-A5BF244B461E}"/>
  </hyperlinks>
  <pageMargins left="0.7" right="0.7" top="0.75" bottom="0.75" header="0.3" footer="0.3"/>
  <pageSetup paperSize="9"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0D6C-7FD4-4879-BFBE-30CB22A8B0C7}">
  <dimension ref="A1:X94"/>
  <sheetViews>
    <sheetView showGridLines="0" topLeftCell="A3" workbookViewId="0">
      <selection activeCell="C9" sqref="C9"/>
    </sheetView>
  </sheetViews>
  <sheetFormatPr defaultColWidth="0" defaultRowHeight="12.75" zeroHeight="1" x14ac:dyDescent="0.2"/>
  <cols>
    <col min="1" max="1" width="1.42578125" style="1485" customWidth="1"/>
    <col min="2" max="2" width="15" style="1485" customWidth="1"/>
    <col min="3" max="3" width="17.7109375" style="1485" customWidth="1"/>
    <col min="4" max="4" width="11.28515625" style="1485" customWidth="1"/>
    <col min="5" max="5" width="30.28515625" style="1485" customWidth="1"/>
    <col min="6" max="6" width="13.28515625" style="1485" customWidth="1"/>
    <col min="7" max="7" width="13" style="1485" customWidth="1"/>
    <col min="8" max="11" width="13.28515625" style="1485" customWidth="1"/>
    <col min="12" max="12" width="33.5703125" style="1485" customWidth="1"/>
    <col min="13" max="16" width="9.28515625" style="1485" hidden="1" customWidth="1"/>
    <col min="17" max="17" width="10.28515625" style="1485" hidden="1" customWidth="1"/>
    <col min="18" max="18" width="12.42578125" style="1485" hidden="1" customWidth="1"/>
    <col min="19" max="20" width="10.28515625" style="1485" hidden="1" customWidth="1"/>
    <col min="21" max="21" width="15.42578125" style="1485" hidden="1" customWidth="1"/>
    <col min="22" max="24" width="0" style="1485" hidden="1" customWidth="1"/>
    <col min="25" max="16384" width="9.28515625" style="1485" hidden="1"/>
  </cols>
  <sheetData>
    <row r="1" spans="1:24" x14ac:dyDescent="0.2">
      <c r="A1" s="3315" t="str">
        <f>_ref1</f>
      </c>
      <c r="B1" s="3315"/>
      <c r="C1" s="3315"/>
      <c r="D1" s="3315"/>
      <c r="E1" s="3315"/>
      <c r="F1" s="3315"/>
      <c r="G1" s="3315"/>
      <c r="H1" s="3315"/>
      <c r="I1" s="3315"/>
      <c r="J1" s="3315"/>
      <c r="K1" s="3319" t="str">
        <f>_YA1</f>
      </c>
      <c r="L1" s="3315"/>
      <c r="O1" s="1871" t="s">
        <v>10463</v>
      </c>
      <c r="P1" s="1485" t="str">
        <f>'p2'!G36</f>
      </c>
      <c r="R1" s="3123" t="s">
        <v>3994</v>
      </c>
      <c r="S1" s="3123">
        <f>ya</f>
      </c>
      <c r="V1" s="1485" t="s">
        <v>10644</v>
      </c>
    </row>
    <row r="2" spans="1:24" x14ac:dyDescent="0.2">
      <c r="A2" s="3315"/>
      <c r="B2" s="3315"/>
      <c r="C2" s="3315"/>
      <c r="D2" s="3315"/>
      <c r="E2" s="3315"/>
      <c r="F2" s="3315"/>
      <c r="G2" s="3315"/>
      <c r="H2" s="3315"/>
      <c r="I2" s="3315"/>
      <c r="J2" s="3315"/>
      <c r="K2" s="3315"/>
      <c r="L2" s="3315"/>
      <c r="R2" s="3123" t="s">
        <v>2705</v>
      </c>
      <c r="S2" s="3123">
        <f>S1-1</f>
      </c>
      <c r="U2" s="1485" t="s">
        <v>10464</v>
      </c>
      <c r="V2" s="1485" t="s">
        <v>10645</v>
      </c>
    </row>
    <row r="3" spans="1:24" ht="14.25" x14ac:dyDescent="0.2">
      <c r="A3" s="3315"/>
      <c r="B3" s="4155" t="s">
        <v>7026</v>
      </c>
      <c r="C3" s="4156"/>
      <c r="D3" s="4156"/>
      <c r="E3" s="4156"/>
      <c r="F3" s="4156"/>
      <c r="G3" s="4156"/>
      <c r="H3" s="4156"/>
      <c r="I3" s="4156"/>
      <c r="J3" s="4156"/>
      <c r="K3" s="4157"/>
      <c r="L3" s="3315"/>
      <c r="U3" s="1485" t="s">
        <v>1736</v>
      </c>
    </row>
    <row r="4" spans="1:24" ht="14.25" x14ac:dyDescent="0.2">
      <c r="A4" s="3315"/>
      <c r="B4" s="4158" t="s">
        <v>10646</v>
      </c>
      <c r="C4" s="4159"/>
      <c r="D4" s="4159"/>
      <c r="E4" s="4159"/>
      <c r="F4" s="4159"/>
      <c r="G4" s="4159"/>
      <c r="H4" s="4159"/>
      <c r="I4" s="4159"/>
      <c r="J4" s="4159"/>
      <c r="K4" s="4160"/>
      <c r="L4" s="3315"/>
      <c r="N4" s="1873">
        <f>SUM(N6:N88)</f>
      </c>
      <c r="O4" s="1873">
        <f>SUM(O6:O88)</f>
      </c>
      <c r="R4" s="1873" t="s">
        <v>6197</v>
      </c>
      <c r="S4" s="1873">
        <v>2025</v>
      </c>
      <c r="T4" s="5476" t="s">
        <v>10634</v>
      </c>
    </row>
    <row r="5" spans="1:24" x14ac:dyDescent="0.2">
      <c r="A5" s="3315"/>
      <c r="B5" s="3315"/>
      <c r="C5" s="3315"/>
      <c r="D5" s="3315"/>
      <c r="E5" s="3315"/>
      <c r="F5" s="3315"/>
      <c r="G5" s="3315"/>
      <c r="H5" s="3315"/>
      <c r="I5" s="3315"/>
      <c r="J5" s="3315"/>
      <c r="K5" s="3315"/>
      <c r="L5" s="3315"/>
      <c r="N5" s="1485" t="s">
        <v>7439</v>
      </c>
      <c r="O5" s="1485" t="s">
        <v>7161</v>
      </c>
      <c r="R5" s="1873" t="s">
        <v>6729</v>
      </c>
      <c r="S5" s="1873">
        <f>MIN(S1,2031)</f>
      </c>
      <c r="T5" s="5476"/>
    </row>
    <row r="6" spans="1:24" x14ac:dyDescent="0.2">
      <c r="A6" s="3315"/>
      <c r="B6" s="3315"/>
      <c r="C6" s="1938"/>
      <c r="D6" s="1938"/>
      <c r="E6" s="2238" t="s">
        <v>10468</v>
      </c>
      <c r="F6" s="3352"/>
      <c r="G6" s="3985" t="str">
        <f>IF(O4=0,"",IF(AND(O4&gt;0,F6=""),re,""))</f>
        <v/>
      </c>
      <c r="H6" s="3315"/>
      <c r="I6" s="3315"/>
      <c r="J6" s="3315"/>
      <c r="K6" s="3315"/>
      <c r="L6" s="3315"/>
      <c r="N6" s="3123">
        <f>IF(G6="",0,1)</f>
      </c>
      <c r="O6" s="3123">
        <f>IF(F6&lt;&gt;"",1,0)</f>
      </c>
    </row>
    <row r="7" spans="1:24" x14ac:dyDescent="0.2">
      <c r="A7" s="3315"/>
      <c r="B7" s="3315"/>
      <c r="C7" s="3315"/>
      <c r="D7" s="3315"/>
      <c r="E7" s="3315"/>
      <c r="F7" s="3315"/>
      <c r="G7" s="3315"/>
      <c r="H7" s="3315"/>
      <c r="I7" s="3315"/>
      <c r="J7" s="3315"/>
      <c r="K7" s="3315"/>
      <c r="L7" s="3315"/>
    </row>
    <row r="8" spans="1:24" ht="76.5" x14ac:dyDescent="0.2">
      <c r="A8" s="3315"/>
      <c r="B8" s="4161" t="s">
        <v>10083</v>
      </c>
      <c r="C8" s="4161" t="s">
        <v>7154</v>
      </c>
      <c r="D8" s="4162" t="s">
        <v>7155</v>
      </c>
      <c r="E8" s="4162" t="s">
        <v>10647</v>
      </c>
      <c r="F8" s="4161" t="s">
        <v>7156</v>
      </c>
      <c r="G8" s="4161" t="s">
        <v>9114</v>
      </c>
      <c r="H8" s="4161" t="s">
        <v>7159</v>
      </c>
      <c r="I8" s="4161" t="s">
        <v>10469</v>
      </c>
      <c r="J8" s="4161" t="s">
        <v>7157</v>
      </c>
      <c r="K8" s="4161" t="s">
        <v>10470</v>
      </c>
      <c r="L8" s="3315"/>
      <c r="R8" s="1485" t="s">
        <v>7021</v>
      </c>
      <c r="S8" s="4087" t="s">
        <v>7159</v>
      </c>
      <c r="V8" s="4095"/>
      <c r="W8" s="4095"/>
      <c r="X8" s="4095"/>
    </row>
    <row r="9" spans="1:24" x14ac:dyDescent="0.2">
      <c r="A9" s="3748">
        <v>1</v>
      </c>
      <c r="B9" s="3352"/>
      <c r="C9" s="363"/>
      <c r="D9" s="809"/>
      <c r="E9" s="4090"/>
      <c r="F9" s="3989"/>
      <c r="G9" s="3990"/>
      <c r="H9" s="3989"/>
      <c r="I9" s="4163">
        <f t="shared" ref="I9:I72" si="0">IF(G9="",0,F9-H9)</f>
      </c>
      <c r="J9" s="3989"/>
      <c r="K9" s="4164">
        <f>IF(I9=0,0,I9-J9)</f>
      </c>
      <c r="L9" s="4091" t="str">
        <f t="shared" ref="L9:L40" si="1">IF(AND($F$6&gt;0,A9&lt;=$F$6,O9=0),re,IF(AND($P$1="n",B9&lt;&gt;""),"Not a fiscal Unit",IF(AND($F$6&gt;0,A9&lt;=$F$6,$P$1="y",O9&lt;8),"All data",IF(AND(A9&gt;$F$6,O9&gt;0),"No details required",IF(AND($F$6&gt;0,A9&lt;=$F$6,$P$1="n",O9&lt;7),"All data",IF(OR(H9&gt;F9,AND(G9&gt;=$S$1,H9&gt;0)),"Check utilised credit in previous years",IF(J9&gt;I9,"Excessive utilised credit!","")))))))</f>
        <v/>
      </c>
      <c r="N9" s="3123">
        <f>IF(L9="",0,1)</f>
      </c>
      <c r="O9" s="3123">
        <f t="shared" ref="O9:O72" si="2">IF($P$1="n",COUNTA(C9:H9,J9),IF($P$1="y",COUNTA(B9:H9,J9),0))</f>
      </c>
      <c r="R9" s="4088">
        <f t="shared" ref="R9:R72" si="3">IF(O9=0,0,ya-G9)</f>
      </c>
      <c r="S9" s="1485" t="str">
        <f t="shared" ref="S9:S72" si="4">IF(O9=0,"",MIN(F9,150000,R9*50000))</f>
        <v/>
      </c>
    </row>
    <row r="10" spans="1:24" x14ac:dyDescent="0.2">
      <c r="A10" s="3748">
        <v>2</v>
      </c>
      <c r="B10" s="3352"/>
      <c r="C10" s="363"/>
      <c r="D10" s="809"/>
      <c r="E10" s="4090"/>
      <c r="F10" s="3989"/>
      <c r="G10" s="3990"/>
      <c r="H10" s="3989"/>
      <c r="I10" s="4163">
        <f t="shared" si="0"/>
        <v>0</v>
      </c>
      <c r="J10" s="3989"/>
      <c r="K10" s="4164">
        <f t="shared" ref="K10:K78" si="5">IF(I10=0,0,I10-J10)</f>
      </c>
      <c r="L10" s="4091" t="str">
        <f t="shared" si="1"/>
        <v/>
      </c>
      <c r="N10" s="3123">
        <f t="shared" ref="N10:N78" si="6">IF(L10="",0,1)</f>
      </c>
      <c r="O10" s="3123">
        <f t="shared" si="2"/>
        <v>0</v>
      </c>
      <c r="R10" s="4088">
        <f t="shared" si="3"/>
        <v>0</v>
      </c>
      <c r="S10" s="1485" t="str">
        <f t="shared" si="4"/>
        <v/>
      </c>
    </row>
    <row r="11" spans="1:24" x14ac:dyDescent="0.2">
      <c r="A11" s="3748">
        <v>3</v>
      </c>
      <c r="B11" s="3352"/>
      <c r="C11" s="363"/>
      <c r="D11" s="809"/>
      <c r="E11" s="4090"/>
      <c r="F11" s="3989"/>
      <c r="G11" s="3990"/>
      <c r="H11" s="3989"/>
      <c r="I11" s="4163">
        <f t="shared" si="0"/>
        <v>0</v>
      </c>
      <c r="J11" s="3989"/>
      <c r="K11" s="4164">
        <f t="shared" si="5"/>
        <v>0</v>
      </c>
      <c r="L11" s="4091" t="str">
        <f t="shared" si="1"/>
        <v/>
      </c>
      <c r="N11" s="3123">
        <f t="shared" si="6"/>
        <v>0</v>
      </c>
      <c r="O11" s="3123">
        <f t="shared" si="2"/>
        <v>0</v>
      </c>
      <c r="R11" s="4088">
        <f t="shared" si="3"/>
        <v>0</v>
      </c>
      <c r="S11" s="1485" t="str">
        <f t="shared" si="4"/>
        <v/>
      </c>
    </row>
    <row r="12" spans="1:24" x14ac:dyDescent="0.2">
      <c r="A12" s="3748">
        <v>4</v>
      </c>
      <c r="B12" s="3352"/>
      <c r="C12" s="363"/>
      <c r="D12" s="809"/>
      <c r="E12" s="4090"/>
      <c r="F12" s="3989"/>
      <c r="G12" s="3990"/>
      <c r="H12" s="3989"/>
      <c r="I12" s="4163">
        <f t="shared" si="0"/>
        <v>0</v>
      </c>
      <c r="J12" s="3989"/>
      <c r="K12" s="4164">
        <f t="shared" si="5"/>
        <v>0</v>
      </c>
      <c r="L12" s="4091" t="str">
        <f t="shared" si="1"/>
        <v/>
      </c>
      <c r="N12" s="3123">
        <f t="shared" si="6"/>
        <v>0</v>
      </c>
      <c r="O12" s="3123">
        <f t="shared" si="2"/>
        <v>0</v>
      </c>
      <c r="R12" s="4088">
        <f t="shared" si="3"/>
        <v>0</v>
      </c>
      <c r="S12" s="1485" t="str">
        <f t="shared" si="4"/>
        <v/>
      </c>
    </row>
    <row r="13" spans="1:24" x14ac:dyDescent="0.2">
      <c r="A13" s="3748">
        <v>5</v>
      </c>
      <c r="B13" s="3352"/>
      <c r="C13" s="363"/>
      <c r="D13" s="809"/>
      <c r="E13" s="4090"/>
      <c r="F13" s="3989"/>
      <c r="G13" s="3990"/>
      <c r="H13" s="3989"/>
      <c r="I13" s="4163">
        <f t="shared" si="0"/>
        <v>0</v>
      </c>
      <c r="J13" s="3989"/>
      <c r="K13" s="4164">
        <f t="shared" si="5"/>
        <v>0</v>
      </c>
      <c r="L13" s="4091" t="str">
        <f t="shared" si="1"/>
        <v/>
      </c>
      <c r="N13" s="3123">
        <f t="shared" si="6"/>
        <v>0</v>
      </c>
      <c r="O13" s="3123">
        <f t="shared" si="2"/>
        <v>0</v>
      </c>
      <c r="R13" s="4088">
        <f t="shared" si="3"/>
        <v>0</v>
      </c>
      <c r="S13" s="1485" t="str">
        <f t="shared" si="4"/>
        <v/>
      </c>
    </row>
    <row r="14" spans="1:24" x14ac:dyDescent="0.2">
      <c r="A14" s="3748">
        <v>6</v>
      </c>
      <c r="B14" s="3352"/>
      <c r="C14" s="363"/>
      <c r="D14" s="809"/>
      <c r="E14" s="4090"/>
      <c r="F14" s="3989"/>
      <c r="G14" s="3990"/>
      <c r="H14" s="3989"/>
      <c r="I14" s="4163">
        <f t="shared" si="0"/>
        <v>0</v>
      </c>
      <c r="J14" s="3989"/>
      <c r="K14" s="4164">
        <f t="shared" si="5"/>
        <v>0</v>
      </c>
      <c r="L14" s="4091" t="str">
        <f t="shared" si="1"/>
        <v/>
      </c>
      <c r="N14" s="3123">
        <f t="shared" si="6"/>
        <v>0</v>
      </c>
      <c r="O14" s="3123">
        <f t="shared" si="2"/>
        <v>0</v>
      </c>
      <c r="R14" s="4088">
        <f t="shared" si="3"/>
        <v>0</v>
      </c>
      <c r="S14" s="1485" t="str">
        <f t="shared" si="4"/>
        <v/>
      </c>
    </row>
    <row r="15" spans="1:24" x14ac:dyDescent="0.2">
      <c r="A15" s="3748">
        <v>7</v>
      </c>
      <c r="B15" s="3352"/>
      <c r="C15" s="363"/>
      <c r="D15" s="809"/>
      <c r="E15" s="4090"/>
      <c r="F15" s="3989"/>
      <c r="G15" s="3990"/>
      <c r="H15" s="3989"/>
      <c r="I15" s="4163">
        <f t="shared" si="0"/>
        <v>0</v>
      </c>
      <c r="J15" s="3989"/>
      <c r="K15" s="4164">
        <f t="shared" si="5"/>
        <v>0</v>
      </c>
      <c r="L15" s="4091" t="str">
        <f t="shared" si="1"/>
        <v/>
      </c>
      <c r="N15" s="3123">
        <f t="shared" si="6"/>
        <v>0</v>
      </c>
      <c r="O15" s="3123">
        <f t="shared" si="2"/>
        <v>0</v>
      </c>
      <c r="R15" s="4088">
        <f t="shared" si="3"/>
        <v>0</v>
      </c>
      <c r="S15" s="1485" t="str">
        <f t="shared" si="4"/>
        <v/>
      </c>
    </row>
    <row r="16" spans="1:24" x14ac:dyDescent="0.2">
      <c r="A16" s="3748">
        <v>8</v>
      </c>
      <c r="B16" s="3352"/>
      <c r="C16" s="363"/>
      <c r="D16" s="809"/>
      <c r="E16" s="4090"/>
      <c r="F16" s="3989"/>
      <c r="G16" s="3990"/>
      <c r="H16" s="3989"/>
      <c r="I16" s="4163">
        <f t="shared" si="0"/>
        <v>0</v>
      </c>
      <c r="J16" s="3989"/>
      <c r="K16" s="4164">
        <f t="shared" si="5"/>
        <v>0</v>
      </c>
      <c r="L16" s="4091" t="str">
        <f t="shared" si="1"/>
        <v/>
      </c>
      <c r="N16" s="3123">
        <f t="shared" si="6"/>
        <v>0</v>
      </c>
      <c r="O16" s="3123">
        <f t="shared" si="2"/>
        <v>0</v>
      </c>
      <c r="R16" s="4088">
        <f t="shared" si="3"/>
        <v>0</v>
      </c>
      <c r="S16" s="1485" t="str">
        <f t="shared" si="4"/>
        <v/>
      </c>
    </row>
    <row r="17" spans="1:19" x14ac:dyDescent="0.2">
      <c r="A17" s="3748">
        <v>9</v>
      </c>
      <c r="B17" s="3352"/>
      <c r="C17" s="363"/>
      <c r="D17" s="809"/>
      <c r="E17" s="4090"/>
      <c r="F17" s="3989"/>
      <c r="G17" s="3990"/>
      <c r="H17" s="3989"/>
      <c r="I17" s="4163">
        <f t="shared" si="0"/>
        <v>0</v>
      </c>
      <c r="J17" s="3989"/>
      <c r="K17" s="4164">
        <f t="shared" si="5"/>
        <v>0</v>
      </c>
      <c r="L17" s="4091" t="str">
        <f t="shared" si="1"/>
        <v/>
      </c>
      <c r="N17" s="3123">
        <f t="shared" si="6"/>
        <v>0</v>
      </c>
      <c r="O17" s="3123">
        <f t="shared" si="2"/>
        <v>0</v>
      </c>
      <c r="R17" s="4088">
        <f t="shared" si="3"/>
        <v>0</v>
      </c>
      <c r="S17" s="1485" t="str">
        <f t="shared" si="4"/>
        <v/>
      </c>
    </row>
    <row r="18" spans="1:19" x14ac:dyDescent="0.2">
      <c r="A18" s="3748">
        <v>10</v>
      </c>
      <c r="B18" s="3352"/>
      <c r="C18" s="363"/>
      <c r="D18" s="809"/>
      <c r="E18" s="4090"/>
      <c r="F18" s="3989"/>
      <c r="G18" s="3990"/>
      <c r="H18" s="3989"/>
      <c r="I18" s="4163">
        <f t="shared" si="0"/>
        <v>0</v>
      </c>
      <c r="J18" s="3989"/>
      <c r="K18" s="4164">
        <f t="shared" si="5"/>
        <v>0</v>
      </c>
      <c r="L18" s="4091" t="str">
        <f t="shared" si="1"/>
        <v/>
      </c>
      <c r="N18" s="3123">
        <f t="shared" si="6"/>
        <v>0</v>
      </c>
      <c r="O18" s="3123">
        <f t="shared" si="2"/>
        <v>0</v>
      </c>
      <c r="R18" s="4088">
        <f t="shared" si="3"/>
        <v>0</v>
      </c>
      <c r="S18" s="1485" t="str">
        <f t="shared" si="4"/>
        <v/>
      </c>
    </row>
    <row r="19" spans="1:19" x14ac:dyDescent="0.2">
      <c r="A19" s="3748">
        <v>11</v>
      </c>
      <c r="B19" s="3352"/>
      <c r="C19" s="363"/>
      <c r="D19" s="809"/>
      <c r="E19" s="4090"/>
      <c r="F19" s="3989"/>
      <c r="G19" s="3990"/>
      <c r="H19" s="3989"/>
      <c r="I19" s="4163">
        <f t="shared" si="0"/>
        <v>0</v>
      </c>
      <c r="J19" s="3989"/>
      <c r="K19" s="4164">
        <f t="shared" si="5"/>
        <v>0</v>
      </c>
      <c r="L19" s="4091" t="str">
        <f t="shared" si="1"/>
        <v/>
      </c>
      <c r="N19" s="3123">
        <f t="shared" si="6"/>
        <v>0</v>
      </c>
      <c r="O19" s="3123">
        <f t="shared" si="2"/>
        <v>0</v>
      </c>
      <c r="R19" s="4088">
        <f t="shared" si="3"/>
        <v>0</v>
      </c>
      <c r="S19" s="1485" t="str">
        <f t="shared" si="4"/>
        <v/>
      </c>
    </row>
    <row r="20" spans="1:19" x14ac:dyDescent="0.2">
      <c r="A20" s="3748">
        <v>12</v>
      </c>
      <c r="B20" s="3352"/>
      <c r="C20" s="363"/>
      <c r="D20" s="809"/>
      <c r="E20" s="4090"/>
      <c r="F20" s="3989"/>
      <c r="G20" s="3990"/>
      <c r="H20" s="3989"/>
      <c r="I20" s="4163">
        <f t="shared" si="0"/>
        <v>0</v>
      </c>
      <c r="J20" s="3989"/>
      <c r="K20" s="4164">
        <f t="shared" si="5"/>
        <v>0</v>
      </c>
      <c r="L20" s="4091" t="str">
        <f t="shared" si="1"/>
        <v/>
      </c>
      <c r="N20" s="3123">
        <f t="shared" si="6"/>
        <v>0</v>
      </c>
      <c r="O20" s="3123">
        <f t="shared" si="2"/>
        <v>0</v>
      </c>
      <c r="R20" s="4088">
        <f t="shared" si="3"/>
        <v>0</v>
      </c>
      <c r="S20" s="1485" t="str">
        <f t="shared" si="4"/>
        <v/>
      </c>
    </row>
    <row r="21" spans="1:19" x14ac:dyDescent="0.2">
      <c r="A21" s="3748">
        <v>13</v>
      </c>
      <c r="B21" s="3352"/>
      <c r="C21" s="363"/>
      <c r="D21" s="809"/>
      <c r="E21" s="4090"/>
      <c r="F21" s="3989"/>
      <c r="G21" s="3990"/>
      <c r="H21" s="3989"/>
      <c r="I21" s="4163">
        <f t="shared" si="0"/>
        <v>0</v>
      </c>
      <c r="J21" s="3989"/>
      <c r="K21" s="4164">
        <f t="shared" si="5"/>
        <v>0</v>
      </c>
      <c r="L21" s="4091" t="str">
        <f t="shared" si="1"/>
        <v/>
      </c>
      <c r="N21" s="3123">
        <f t="shared" si="6"/>
        <v>0</v>
      </c>
      <c r="O21" s="3123">
        <f t="shared" si="2"/>
        <v>0</v>
      </c>
      <c r="R21" s="4088">
        <f t="shared" si="3"/>
        <v>0</v>
      </c>
      <c r="S21" s="1485" t="str">
        <f t="shared" si="4"/>
        <v/>
      </c>
    </row>
    <row r="22" spans="1:19" x14ac:dyDescent="0.2">
      <c r="A22" s="3748">
        <v>14</v>
      </c>
      <c r="B22" s="3352"/>
      <c r="C22" s="363"/>
      <c r="D22" s="809"/>
      <c r="E22" s="4090"/>
      <c r="F22" s="3989"/>
      <c r="G22" s="3990"/>
      <c r="H22" s="3989"/>
      <c r="I22" s="4163">
        <f t="shared" si="0"/>
        <v>0</v>
      </c>
      <c r="J22" s="3989"/>
      <c r="K22" s="4164">
        <f t="shared" si="5"/>
        <v>0</v>
      </c>
      <c r="L22" s="4091" t="str">
        <f t="shared" si="1"/>
        <v/>
      </c>
      <c r="N22" s="3123">
        <f t="shared" si="6"/>
        <v>0</v>
      </c>
      <c r="O22" s="3123">
        <f t="shared" si="2"/>
        <v>0</v>
      </c>
      <c r="R22" s="4088">
        <f t="shared" si="3"/>
        <v>0</v>
      </c>
      <c r="S22" s="1485" t="str">
        <f t="shared" si="4"/>
        <v/>
      </c>
    </row>
    <row r="23" spans="1:19" x14ac:dyDescent="0.2">
      <c r="A23" s="3748">
        <v>15</v>
      </c>
      <c r="B23" s="3352"/>
      <c r="C23" s="363"/>
      <c r="D23" s="809"/>
      <c r="E23" s="4090"/>
      <c r="F23" s="3989"/>
      <c r="G23" s="3990"/>
      <c r="H23" s="3989"/>
      <c r="I23" s="4163">
        <f t="shared" si="0"/>
        <v>0</v>
      </c>
      <c r="J23" s="3989"/>
      <c r="K23" s="4164">
        <f t="shared" si="5"/>
        <v>0</v>
      </c>
      <c r="L23" s="4091" t="str">
        <f t="shared" si="1"/>
        <v/>
      </c>
      <c r="N23" s="3123">
        <f t="shared" si="6"/>
        <v>0</v>
      </c>
      <c r="O23" s="3123">
        <f t="shared" si="2"/>
        <v>0</v>
      </c>
      <c r="R23" s="4088">
        <f t="shared" si="3"/>
        <v>0</v>
      </c>
      <c r="S23" s="1485" t="str">
        <f t="shared" si="4"/>
        <v/>
      </c>
    </row>
    <row r="24" spans="1:19" x14ac:dyDescent="0.2">
      <c r="A24" s="3748">
        <v>16</v>
      </c>
      <c r="B24" s="3352"/>
      <c r="C24" s="363"/>
      <c r="D24" s="809"/>
      <c r="E24" s="4090"/>
      <c r="F24" s="3989"/>
      <c r="G24" s="3990"/>
      <c r="H24" s="3989"/>
      <c r="I24" s="4163">
        <f t="shared" si="0"/>
        <v>0</v>
      </c>
      <c r="J24" s="3989"/>
      <c r="K24" s="4164">
        <f t="shared" si="5"/>
        <v>0</v>
      </c>
      <c r="L24" s="4091" t="str">
        <f t="shared" si="1"/>
        <v/>
      </c>
      <c r="N24" s="3123">
        <f t="shared" si="6"/>
        <v>0</v>
      </c>
      <c r="O24" s="3123">
        <f t="shared" si="2"/>
        <v>0</v>
      </c>
      <c r="R24" s="4088">
        <f t="shared" si="3"/>
        <v>0</v>
      </c>
      <c r="S24" s="1485" t="str">
        <f t="shared" si="4"/>
        <v/>
      </c>
    </row>
    <row r="25" spans="1:19" x14ac:dyDescent="0.2">
      <c r="A25" s="3748">
        <v>17</v>
      </c>
      <c r="B25" s="3352"/>
      <c r="C25" s="363"/>
      <c r="D25" s="809"/>
      <c r="E25" s="4090"/>
      <c r="F25" s="3989"/>
      <c r="G25" s="3990"/>
      <c r="H25" s="3989"/>
      <c r="I25" s="4163">
        <f t="shared" si="0"/>
        <v>0</v>
      </c>
      <c r="J25" s="3989"/>
      <c r="K25" s="4164">
        <f t="shared" si="5"/>
        <v>0</v>
      </c>
      <c r="L25" s="4091" t="str">
        <f t="shared" si="1"/>
        <v/>
      </c>
      <c r="N25" s="3123">
        <f t="shared" si="6"/>
        <v>0</v>
      </c>
      <c r="O25" s="3123">
        <f t="shared" si="2"/>
        <v>0</v>
      </c>
      <c r="R25" s="4088">
        <f t="shared" si="3"/>
        <v>0</v>
      </c>
      <c r="S25" s="1485" t="str">
        <f t="shared" si="4"/>
        <v/>
      </c>
    </row>
    <row r="26" spans="1:19" x14ac:dyDescent="0.2">
      <c r="A26" s="3748">
        <v>18</v>
      </c>
      <c r="B26" s="3352"/>
      <c r="C26" s="363"/>
      <c r="D26" s="809"/>
      <c r="E26" s="4090"/>
      <c r="F26" s="3989"/>
      <c r="G26" s="3990"/>
      <c r="H26" s="3989"/>
      <c r="I26" s="4163">
        <f t="shared" si="0"/>
        <v>0</v>
      </c>
      <c r="J26" s="3989"/>
      <c r="K26" s="4164">
        <f t="shared" si="5"/>
        <v>0</v>
      </c>
      <c r="L26" s="4091" t="str">
        <f t="shared" si="1"/>
        <v/>
      </c>
      <c r="N26" s="3123">
        <f t="shared" si="6"/>
        <v>0</v>
      </c>
      <c r="O26" s="3123">
        <f t="shared" si="2"/>
        <v>0</v>
      </c>
      <c r="R26" s="4088">
        <f t="shared" si="3"/>
        <v>0</v>
      </c>
      <c r="S26" s="1485" t="str">
        <f t="shared" si="4"/>
        <v/>
      </c>
    </row>
    <row r="27" spans="1:19" x14ac:dyDescent="0.2">
      <c r="A27" s="3748">
        <v>19</v>
      </c>
      <c r="B27" s="3352"/>
      <c r="C27" s="363"/>
      <c r="D27" s="809"/>
      <c r="E27" s="4090"/>
      <c r="F27" s="3989"/>
      <c r="G27" s="3990"/>
      <c r="H27" s="3989"/>
      <c r="I27" s="4163">
        <f t="shared" si="0"/>
        <v>0</v>
      </c>
      <c r="J27" s="3989"/>
      <c r="K27" s="4164">
        <f t="shared" si="5"/>
        <v>0</v>
      </c>
      <c r="L27" s="4091" t="str">
        <f t="shared" si="1"/>
        <v/>
      </c>
      <c r="N27" s="3123">
        <f t="shared" si="6"/>
        <v>0</v>
      </c>
      <c r="O27" s="3123">
        <f t="shared" si="2"/>
        <v>0</v>
      </c>
      <c r="R27" s="4088">
        <f t="shared" si="3"/>
        <v>0</v>
      </c>
      <c r="S27" s="1485" t="str">
        <f t="shared" si="4"/>
        <v/>
      </c>
    </row>
    <row r="28" spans="1:19" x14ac:dyDescent="0.2">
      <c r="A28" s="3748">
        <v>20</v>
      </c>
      <c r="B28" s="3352"/>
      <c r="C28" s="363"/>
      <c r="D28" s="809"/>
      <c r="E28" s="4090"/>
      <c r="F28" s="3989"/>
      <c r="G28" s="3990"/>
      <c r="H28" s="3989"/>
      <c r="I28" s="4163">
        <f t="shared" si="0"/>
        <v>0</v>
      </c>
      <c r="J28" s="3989"/>
      <c r="K28" s="4164">
        <f t="shared" si="5"/>
        <v>0</v>
      </c>
      <c r="L28" s="4091" t="str">
        <f t="shared" si="1"/>
        <v/>
      </c>
      <c r="N28" s="3123">
        <f t="shared" si="6"/>
        <v>0</v>
      </c>
      <c r="O28" s="3123">
        <f t="shared" si="2"/>
        <v>0</v>
      </c>
      <c r="R28" s="4088">
        <f t="shared" si="3"/>
        <v>0</v>
      </c>
      <c r="S28" s="1485" t="str">
        <f t="shared" si="4"/>
        <v/>
      </c>
    </row>
    <row r="29" spans="1:19" x14ac:dyDescent="0.2">
      <c r="A29" s="3748">
        <v>21</v>
      </c>
      <c r="B29" s="3352"/>
      <c r="C29" s="363"/>
      <c r="D29" s="809"/>
      <c r="E29" s="4090"/>
      <c r="F29" s="3989"/>
      <c r="G29" s="3990"/>
      <c r="H29" s="3989"/>
      <c r="I29" s="4163">
        <f t="shared" si="0"/>
        <v>0</v>
      </c>
      <c r="J29" s="3989"/>
      <c r="K29" s="4164">
        <f t="shared" si="5"/>
        <v>0</v>
      </c>
      <c r="L29" s="4091" t="str">
        <f t="shared" si="1"/>
        <v/>
      </c>
      <c r="N29" s="3123">
        <f t="shared" si="6"/>
        <v>0</v>
      </c>
      <c r="O29" s="3123">
        <f t="shared" si="2"/>
        <v>0</v>
      </c>
      <c r="R29" s="4088">
        <f t="shared" si="3"/>
        <v>0</v>
      </c>
      <c r="S29" s="1485" t="str">
        <f t="shared" si="4"/>
        <v/>
      </c>
    </row>
    <row r="30" spans="1:19" x14ac:dyDescent="0.2">
      <c r="A30" s="3748">
        <v>22</v>
      </c>
      <c r="B30" s="3352"/>
      <c r="C30" s="363"/>
      <c r="D30" s="809"/>
      <c r="E30" s="4090"/>
      <c r="F30" s="3989"/>
      <c r="G30" s="3990"/>
      <c r="H30" s="3989"/>
      <c r="I30" s="4163">
        <f t="shared" si="0"/>
        <v>0</v>
      </c>
      <c r="J30" s="3989"/>
      <c r="K30" s="4164">
        <f t="shared" si="5"/>
        <v>0</v>
      </c>
      <c r="L30" s="4091" t="str">
        <f t="shared" si="1"/>
        <v/>
      </c>
      <c r="N30" s="3123">
        <f t="shared" si="6"/>
        <v>0</v>
      </c>
      <c r="O30" s="3123">
        <f t="shared" si="2"/>
        <v>0</v>
      </c>
      <c r="R30" s="4088">
        <f t="shared" si="3"/>
        <v>0</v>
      </c>
      <c r="S30" s="1485" t="str">
        <f t="shared" si="4"/>
        <v/>
      </c>
    </row>
    <row r="31" spans="1:19" x14ac:dyDescent="0.2">
      <c r="A31" s="3748">
        <v>23</v>
      </c>
      <c r="B31" s="3352"/>
      <c r="C31" s="363"/>
      <c r="D31" s="809"/>
      <c r="E31" s="4090"/>
      <c r="F31" s="3989"/>
      <c r="G31" s="3990"/>
      <c r="H31" s="3989"/>
      <c r="I31" s="4163">
        <f t="shared" si="0"/>
        <v>0</v>
      </c>
      <c r="J31" s="3989"/>
      <c r="K31" s="4164">
        <f t="shared" si="5"/>
        <v>0</v>
      </c>
      <c r="L31" s="4091" t="str">
        <f t="shared" si="1"/>
        <v/>
      </c>
      <c r="N31" s="3123">
        <f t="shared" si="6"/>
        <v>0</v>
      </c>
      <c r="O31" s="3123">
        <f t="shared" si="2"/>
        <v>0</v>
      </c>
      <c r="R31" s="4088">
        <f t="shared" si="3"/>
        <v>0</v>
      </c>
      <c r="S31" s="1485" t="str">
        <f t="shared" si="4"/>
        <v/>
      </c>
    </row>
    <row r="32" spans="1:19" x14ac:dyDescent="0.2">
      <c r="A32" s="3748">
        <v>24</v>
      </c>
      <c r="B32" s="3352"/>
      <c r="C32" s="363"/>
      <c r="D32" s="809"/>
      <c r="E32" s="4090"/>
      <c r="F32" s="3989"/>
      <c r="G32" s="3990"/>
      <c r="H32" s="3989"/>
      <c r="I32" s="4163">
        <f t="shared" si="0"/>
        <v>0</v>
      </c>
      <c r="J32" s="3989"/>
      <c r="K32" s="4164">
        <f t="shared" si="5"/>
        <v>0</v>
      </c>
      <c r="L32" s="4091" t="str">
        <f t="shared" si="1"/>
        <v/>
      </c>
      <c r="N32" s="3123">
        <f t="shared" si="6"/>
        <v>0</v>
      </c>
      <c r="O32" s="3123">
        <f t="shared" si="2"/>
        <v>0</v>
      </c>
      <c r="R32" s="4088">
        <f t="shared" si="3"/>
        <v>0</v>
      </c>
      <c r="S32" s="1485" t="str">
        <f t="shared" si="4"/>
        <v/>
      </c>
    </row>
    <row r="33" spans="1:19" x14ac:dyDescent="0.2">
      <c r="A33" s="3748">
        <v>25</v>
      </c>
      <c r="B33" s="3352"/>
      <c r="C33" s="363"/>
      <c r="D33" s="809"/>
      <c r="E33" s="4090"/>
      <c r="F33" s="3989"/>
      <c r="G33" s="3990"/>
      <c r="H33" s="3989"/>
      <c r="I33" s="4163">
        <f t="shared" si="0"/>
        <v>0</v>
      </c>
      <c r="J33" s="3989"/>
      <c r="K33" s="4164">
        <f t="shared" si="5"/>
        <v>0</v>
      </c>
      <c r="L33" s="4091" t="str">
        <f t="shared" si="1"/>
        <v/>
      </c>
      <c r="N33" s="3123">
        <f t="shared" si="6"/>
        <v>0</v>
      </c>
      <c r="O33" s="3123">
        <f t="shared" si="2"/>
        <v>0</v>
      </c>
      <c r="R33" s="4088">
        <f t="shared" si="3"/>
        <v>0</v>
      </c>
      <c r="S33" s="1485" t="str">
        <f t="shared" si="4"/>
        <v/>
      </c>
    </row>
    <row r="34" spans="1:19" x14ac:dyDescent="0.2">
      <c r="A34" s="3748">
        <v>26</v>
      </c>
      <c r="B34" s="3352"/>
      <c r="C34" s="363"/>
      <c r="D34" s="809"/>
      <c r="E34" s="4090"/>
      <c r="F34" s="3989"/>
      <c r="G34" s="3990"/>
      <c r="H34" s="3989"/>
      <c r="I34" s="4163">
        <f t="shared" si="0"/>
        <v>0</v>
      </c>
      <c r="J34" s="3989"/>
      <c r="K34" s="4164">
        <f t="shared" si="5"/>
        <v>0</v>
      </c>
      <c r="L34" s="4091" t="str">
        <f t="shared" si="1"/>
        <v/>
      </c>
      <c r="N34" s="3123">
        <f t="shared" si="6"/>
        <v>0</v>
      </c>
      <c r="O34" s="3123">
        <f t="shared" si="2"/>
        <v>0</v>
      </c>
      <c r="R34" s="4088">
        <f t="shared" si="3"/>
        <v>0</v>
      </c>
      <c r="S34" s="1485" t="str">
        <f t="shared" si="4"/>
        <v/>
      </c>
    </row>
    <row r="35" spans="1:19" x14ac:dyDescent="0.2">
      <c r="A35" s="3748">
        <v>27</v>
      </c>
      <c r="B35" s="3352"/>
      <c r="C35" s="363"/>
      <c r="D35" s="809"/>
      <c r="E35" s="4090"/>
      <c r="F35" s="3989"/>
      <c r="G35" s="3990"/>
      <c r="H35" s="3989"/>
      <c r="I35" s="4163">
        <f t="shared" si="0"/>
        <v>0</v>
      </c>
      <c r="J35" s="3989"/>
      <c r="K35" s="4164">
        <f t="shared" si="5"/>
        <v>0</v>
      </c>
      <c r="L35" s="4091" t="str">
        <f t="shared" si="1"/>
        <v/>
      </c>
      <c r="N35" s="3123">
        <f t="shared" si="6"/>
        <v>0</v>
      </c>
      <c r="O35" s="3123">
        <f t="shared" si="2"/>
        <v>0</v>
      </c>
      <c r="R35" s="4088">
        <f t="shared" si="3"/>
        <v>0</v>
      </c>
      <c r="S35" s="1485" t="str">
        <f t="shared" si="4"/>
        <v/>
      </c>
    </row>
    <row r="36" spans="1:19" x14ac:dyDescent="0.2">
      <c r="A36" s="3748">
        <v>28</v>
      </c>
      <c r="B36" s="3352"/>
      <c r="C36" s="363"/>
      <c r="D36" s="809"/>
      <c r="E36" s="4090"/>
      <c r="F36" s="3989"/>
      <c r="G36" s="3990"/>
      <c r="H36" s="3989"/>
      <c r="I36" s="4163">
        <f t="shared" si="0"/>
        <v>0</v>
      </c>
      <c r="J36" s="3989"/>
      <c r="K36" s="4164">
        <f t="shared" si="5"/>
        <v>0</v>
      </c>
      <c r="L36" s="4091" t="str">
        <f t="shared" si="1"/>
        <v/>
      </c>
      <c r="N36" s="3123">
        <f t="shared" si="6"/>
        <v>0</v>
      </c>
      <c r="O36" s="3123">
        <f t="shared" si="2"/>
        <v>0</v>
      </c>
      <c r="R36" s="4088">
        <f t="shared" si="3"/>
        <v>0</v>
      </c>
      <c r="S36" s="1485" t="str">
        <f t="shared" si="4"/>
        <v/>
      </c>
    </row>
    <row r="37" spans="1:19" x14ac:dyDescent="0.2">
      <c r="A37" s="3748">
        <v>29</v>
      </c>
      <c r="B37" s="3352"/>
      <c r="C37" s="363"/>
      <c r="D37" s="809"/>
      <c r="E37" s="4090"/>
      <c r="F37" s="3989"/>
      <c r="G37" s="3990"/>
      <c r="H37" s="3989"/>
      <c r="I37" s="4163">
        <f t="shared" si="0"/>
        <v>0</v>
      </c>
      <c r="J37" s="3989"/>
      <c r="K37" s="4164">
        <f t="shared" si="5"/>
        <v>0</v>
      </c>
      <c r="L37" s="4091" t="str">
        <f t="shared" si="1"/>
        <v/>
      </c>
      <c r="N37" s="3123">
        <f t="shared" si="6"/>
        <v>0</v>
      </c>
      <c r="O37" s="3123">
        <f t="shared" si="2"/>
        <v>0</v>
      </c>
      <c r="R37" s="4088">
        <f t="shared" si="3"/>
        <v>0</v>
      </c>
      <c r="S37" s="1485" t="str">
        <f t="shared" si="4"/>
        <v/>
      </c>
    </row>
    <row r="38" spans="1:19" x14ac:dyDescent="0.2">
      <c r="A38" s="3748">
        <v>30</v>
      </c>
      <c r="B38" s="3352"/>
      <c r="C38" s="363"/>
      <c r="D38" s="809"/>
      <c r="E38" s="4090"/>
      <c r="F38" s="3989"/>
      <c r="G38" s="3990"/>
      <c r="H38" s="3989"/>
      <c r="I38" s="4163">
        <f t="shared" si="0"/>
        <v>0</v>
      </c>
      <c r="J38" s="3989"/>
      <c r="K38" s="4164">
        <f t="shared" si="5"/>
        <v>0</v>
      </c>
      <c r="L38" s="4091" t="str">
        <f t="shared" si="1"/>
        <v/>
      </c>
      <c r="N38" s="3123">
        <f t="shared" si="6"/>
        <v>0</v>
      </c>
      <c r="O38" s="3123">
        <f t="shared" si="2"/>
        <v>0</v>
      </c>
      <c r="R38" s="4088">
        <f t="shared" si="3"/>
        <v>0</v>
      </c>
      <c r="S38" s="1485" t="str">
        <f t="shared" si="4"/>
        <v/>
      </c>
    </row>
    <row r="39" spans="1:19" x14ac:dyDescent="0.2">
      <c r="A39" s="3748">
        <v>31</v>
      </c>
      <c r="B39" s="3352"/>
      <c r="C39" s="363"/>
      <c r="D39" s="809"/>
      <c r="E39" s="4090"/>
      <c r="F39" s="3989"/>
      <c r="G39" s="3990"/>
      <c r="H39" s="3989"/>
      <c r="I39" s="4163">
        <f t="shared" si="0"/>
        <v>0</v>
      </c>
      <c r="J39" s="3989"/>
      <c r="K39" s="4164">
        <f t="shared" si="5"/>
        <v>0</v>
      </c>
      <c r="L39" s="4091" t="str">
        <f t="shared" si="1"/>
        <v/>
      </c>
      <c r="N39" s="3123">
        <f t="shared" si="6"/>
        <v>0</v>
      </c>
      <c r="O39" s="3123">
        <f t="shared" si="2"/>
        <v>0</v>
      </c>
      <c r="R39" s="4088">
        <f t="shared" si="3"/>
        <v>0</v>
      </c>
      <c r="S39" s="1485" t="str">
        <f t="shared" si="4"/>
        <v/>
      </c>
    </row>
    <row r="40" spans="1:19" x14ac:dyDescent="0.2">
      <c r="A40" s="3748">
        <v>32</v>
      </c>
      <c r="B40" s="3352"/>
      <c r="C40" s="363"/>
      <c r="D40" s="809"/>
      <c r="E40" s="4090"/>
      <c r="F40" s="3989"/>
      <c r="G40" s="3990"/>
      <c r="H40" s="3989"/>
      <c r="I40" s="4163">
        <f t="shared" si="0"/>
        <v>0</v>
      </c>
      <c r="J40" s="3989"/>
      <c r="K40" s="4164">
        <f t="shared" si="5"/>
        <v>0</v>
      </c>
      <c r="L40" s="4091" t="str">
        <f t="shared" si="1"/>
        <v/>
      </c>
      <c r="N40" s="3123">
        <f t="shared" si="6"/>
        <v>0</v>
      </c>
      <c r="O40" s="3123">
        <f t="shared" si="2"/>
        <v>0</v>
      </c>
      <c r="R40" s="4088">
        <f t="shared" si="3"/>
        <v>0</v>
      </c>
      <c r="S40" s="1485" t="str">
        <f t="shared" si="4"/>
        <v/>
      </c>
    </row>
    <row r="41" spans="1:19" x14ac:dyDescent="0.2">
      <c r="A41" s="3748">
        <v>33</v>
      </c>
      <c r="B41" s="3352"/>
      <c r="C41" s="363"/>
      <c r="D41" s="809"/>
      <c r="E41" s="4090"/>
      <c r="F41" s="3989"/>
      <c r="G41" s="3990"/>
      <c r="H41" s="3989"/>
      <c r="I41" s="4163">
        <f t="shared" si="0"/>
        <v>0</v>
      </c>
      <c r="J41" s="3989"/>
      <c r="K41" s="4164">
        <f t="shared" si="5"/>
        <v>0</v>
      </c>
      <c r="L41" s="4091" t="str">
        <f t="shared" ref="L41:L72" si="7">IF(AND($F$6&gt;0,A41&lt;=$F$6,O41=0),re,IF(AND($P$1="n",B41&lt;&gt;""),"Not a fiscal Unit",IF(AND($F$6&gt;0,A41&lt;=$F$6,$P$1="y",O41&lt;8),"All data",IF(AND(A41&gt;$F$6,O41&gt;0),"No details required",IF(AND($F$6&gt;0,A41&lt;=$F$6,$P$1="n",O41&lt;7),"All data",IF(OR(H41&gt;F41,AND(G41&gt;=$S$1,H41&gt;0)),"Check utilised credit in previous years",IF(J41&gt;I41,"Excessive utilised credit!","")))))))</f>
        <v/>
      </c>
      <c r="N41" s="3123">
        <f t="shared" si="6"/>
        <v>0</v>
      </c>
      <c r="O41" s="3123">
        <f t="shared" si="2"/>
        <v>0</v>
      </c>
      <c r="R41" s="4088">
        <f t="shared" si="3"/>
        <v>0</v>
      </c>
      <c r="S41" s="1485" t="str">
        <f t="shared" si="4"/>
        <v/>
      </c>
    </row>
    <row r="42" spans="1:19" x14ac:dyDescent="0.2">
      <c r="A42" s="3748">
        <v>34</v>
      </c>
      <c r="B42" s="3352"/>
      <c r="C42" s="363"/>
      <c r="D42" s="809"/>
      <c r="E42" s="4090"/>
      <c r="F42" s="3989"/>
      <c r="G42" s="3990"/>
      <c r="H42" s="3989"/>
      <c r="I42" s="4163">
        <f t="shared" si="0"/>
        <v>0</v>
      </c>
      <c r="J42" s="3989"/>
      <c r="K42" s="4164">
        <f t="shared" si="5"/>
        <v>0</v>
      </c>
      <c r="L42" s="4091" t="str">
        <f t="shared" si="7"/>
        <v/>
      </c>
      <c r="N42" s="3123">
        <f t="shared" si="6"/>
        <v>0</v>
      </c>
      <c r="O42" s="3123">
        <f t="shared" si="2"/>
        <v>0</v>
      </c>
      <c r="R42" s="4088">
        <f t="shared" si="3"/>
        <v>0</v>
      </c>
      <c r="S42" s="1485" t="str">
        <f t="shared" si="4"/>
        <v/>
      </c>
    </row>
    <row r="43" spans="1:19" x14ac:dyDescent="0.2">
      <c r="A43" s="3748">
        <v>35</v>
      </c>
      <c r="B43" s="3352"/>
      <c r="C43" s="363"/>
      <c r="D43" s="809"/>
      <c r="E43" s="4090"/>
      <c r="F43" s="3989"/>
      <c r="G43" s="3990"/>
      <c r="H43" s="3989"/>
      <c r="I43" s="4163">
        <f t="shared" si="0"/>
        <v>0</v>
      </c>
      <c r="J43" s="3989"/>
      <c r="K43" s="4164">
        <f t="shared" si="5"/>
        <v>0</v>
      </c>
      <c r="L43" s="4091" t="str">
        <f t="shared" si="7"/>
        <v/>
      </c>
      <c r="N43" s="3123">
        <f t="shared" si="6"/>
        <v>0</v>
      </c>
      <c r="O43" s="3123">
        <f t="shared" si="2"/>
        <v>0</v>
      </c>
      <c r="R43" s="4088">
        <f t="shared" si="3"/>
        <v>0</v>
      </c>
      <c r="S43" s="1485" t="str">
        <f t="shared" si="4"/>
        <v/>
      </c>
    </row>
    <row r="44" spans="1:19" x14ac:dyDescent="0.2">
      <c r="A44" s="3748">
        <v>36</v>
      </c>
      <c r="B44" s="3352"/>
      <c r="C44" s="363"/>
      <c r="D44" s="809"/>
      <c r="E44" s="4090"/>
      <c r="F44" s="3989"/>
      <c r="G44" s="3990"/>
      <c r="H44" s="3989"/>
      <c r="I44" s="4163">
        <f t="shared" si="0"/>
        <v>0</v>
      </c>
      <c r="J44" s="3989"/>
      <c r="K44" s="4164">
        <f t="shared" si="5"/>
        <v>0</v>
      </c>
      <c r="L44" s="4091" t="str">
        <f t="shared" si="7"/>
        <v/>
      </c>
      <c r="N44" s="3123">
        <f t="shared" si="6"/>
        <v>0</v>
      </c>
      <c r="O44" s="3123">
        <f t="shared" si="2"/>
        <v>0</v>
      </c>
      <c r="R44" s="4088">
        <f t="shared" si="3"/>
        <v>0</v>
      </c>
      <c r="S44" s="1485" t="str">
        <f t="shared" si="4"/>
        <v/>
      </c>
    </row>
    <row r="45" spans="1:19" x14ac:dyDescent="0.2">
      <c r="A45" s="3748">
        <v>37</v>
      </c>
      <c r="B45" s="3352"/>
      <c r="C45" s="363"/>
      <c r="D45" s="809"/>
      <c r="E45" s="4090"/>
      <c r="F45" s="3989"/>
      <c r="G45" s="3990"/>
      <c r="H45" s="3989"/>
      <c r="I45" s="4163">
        <f t="shared" si="0"/>
        <v>0</v>
      </c>
      <c r="J45" s="3989"/>
      <c r="K45" s="4164">
        <f t="shared" si="5"/>
        <v>0</v>
      </c>
      <c r="L45" s="4091" t="str">
        <f t="shared" si="7"/>
        <v/>
      </c>
      <c r="N45" s="3123">
        <f t="shared" si="6"/>
        <v>0</v>
      </c>
      <c r="O45" s="3123">
        <f t="shared" si="2"/>
        <v>0</v>
      </c>
      <c r="R45" s="4088">
        <f t="shared" si="3"/>
        <v>0</v>
      </c>
      <c r="S45" s="1485" t="str">
        <f t="shared" si="4"/>
        <v/>
      </c>
    </row>
    <row r="46" spans="1:19" x14ac:dyDescent="0.2">
      <c r="A46" s="3748">
        <v>38</v>
      </c>
      <c r="B46" s="3352"/>
      <c r="C46" s="363"/>
      <c r="D46" s="809"/>
      <c r="E46" s="4090"/>
      <c r="F46" s="3989"/>
      <c r="G46" s="3990"/>
      <c r="H46" s="3989"/>
      <c r="I46" s="4163">
        <f t="shared" si="0"/>
        <v>0</v>
      </c>
      <c r="J46" s="3989"/>
      <c r="K46" s="4164">
        <f t="shared" si="5"/>
        <v>0</v>
      </c>
      <c r="L46" s="4091" t="str">
        <f t="shared" si="7"/>
        <v/>
      </c>
      <c r="N46" s="3123">
        <f t="shared" si="6"/>
        <v>0</v>
      </c>
      <c r="O46" s="3123">
        <f t="shared" si="2"/>
        <v>0</v>
      </c>
      <c r="R46" s="4088">
        <f t="shared" si="3"/>
        <v>0</v>
      </c>
      <c r="S46" s="1485" t="str">
        <f t="shared" si="4"/>
        <v/>
      </c>
    </row>
    <row r="47" spans="1:19" x14ac:dyDescent="0.2">
      <c r="A47" s="3748">
        <v>39</v>
      </c>
      <c r="B47" s="3352"/>
      <c r="C47" s="363"/>
      <c r="D47" s="809"/>
      <c r="E47" s="4090"/>
      <c r="F47" s="3989"/>
      <c r="G47" s="3990"/>
      <c r="H47" s="3989"/>
      <c r="I47" s="4163">
        <f t="shared" si="0"/>
        <v>0</v>
      </c>
      <c r="J47" s="3989"/>
      <c r="K47" s="4164">
        <f t="shared" si="5"/>
        <v>0</v>
      </c>
      <c r="L47" s="4091" t="str">
        <f t="shared" si="7"/>
        <v/>
      </c>
      <c r="N47" s="3123">
        <f t="shared" si="6"/>
        <v>0</v>
      </c>
      <c r="O47" s="3123">
        <f t="shared" si="2"/>
        <v>0</v>
      </c>
      <c r="R47" s="4088">
        <f t="shared" si="3"/>
        <v>0</v>
      </c>
      <c r="S47" s="1485" t="str">
        <f t="shared" si="4"/>
        <v/>
      </c>
    </row>
    <row r="48" spans="1:19" x14ac:dyDescent="0.2">
      <c r="A48" s="3748">
        <v>40</v>
      </c>
      <c r="B48" s="3352"/>
      <c r="C48" s="363"/>
      <c r="D48" s="809"/>
      <c r="E48" s="4090"/>
      <c r="F48" s="3989"/>
      <c r="G48" s="3990"/>
      <c r="H48" s="3989"/>
      <c r="I48" s="4163">
        <f t="shared" si="0"/>
        <v>0</v>
      </c>
      <c r="J48" s="3989"/>
      <c r="K48" s="4164">
        <f t="shared" si="5"/>
        <v>0</v>
      </c>
      <c r="L48" s="4091" t="str">
        <f t="shared" si="7"/>
        <v/>
      </c>
      <c r="N48" s="3123">
        <f t="shared" si="6"/>
        <v>0</v>
      </c>
      <c r="O48" s="3123">
        <f t="shared" si="2"/>
        <v>0</v>
      </c>
      <c r="R48" s="4088">
        <f t="shared" si="3"/>
        <v>0</v>
      </c>
      <c r="S48" s="1485" t="str">
        <f t="shared" si="4"/>
        <v/>
      </c>
    </row>
    <row r="49" spans="1:19" x14ac:dyDescent="0.2">
      <c r="A49" s="3748">
        <v>41</v>
      </c>
      <c r="B49" s="3352"/>
      <c r="C49" s="363"/>
      <c r="D49" s="809"/>
      <c r="E49" s="4090"/>
      <c r="F49" s="3989"/>
      <c r="G49" s="3990"/>
      <c r="H49" s="3989"/>
      <c r="I49" s="4163">
        <f t="shared" si="0"/>
        <v>0</v>
      </c>
      <c r="J49" s="3989"/>
      <c r="K49" s="4164">
        <f t="shared" si="5"/>
        <v>0</v>
      </c>
      <c r="L49" s="4091" t="str">
        <f t="shared" si="7"/>
        <v/>
      </c>
      <c r="N49" s="3123">
        <f t="shared" si="6"/>
        <v>0</v>
      </c>
      <c r="O49" s="3123">
        <f t="shared" si="2"/>
        <v>0</v>
      </c>
      <c r="R49" s="4088">
        <f t="shared" si="3"/>
        <v>0</v>
      </c>
      <c r="S49" s="1485" t="str">
        <f t="shared" si="4"/>
        <v/>
      </c>
    </row>
    <row r="50" spans="1:19" x14ac:dyDescent="0.2">
      <c r="A50" s="3748">
        <v>42</v>
      </c>
      <c r="B50" s="3352"/>
      <c r="C50" s="363"/>
      <c r="D50" s="809"/>
      <c r="E50" s="4090"/>
      <c r="F50" s="3989"/>
      <c r="G50" s="3990"/>
      <c r="H50" s="3989"/>
      <c r="I50" s="4163">
        <f t="shared" si="0"/>
        <v>0</v>
      </c>
      <c r="J50" s="3989"/>
      <c r="K50" s="4164">
        <f t="shared" si="5"/>
        <v>0</v>
      </c>
      <c r="L50" s="4091" t="str">
        <f t="shared" si="7"/>
        <v/>
      </c>
      <c r="N50" s="3123">
        <f t="shared" si="6"/>
        <v>0</v>
      </c>
      <c r="O50" s="3123">
        <f t="shared" si="2"/>
        <v>0</v>
      </c>
      <c r="R50" s="4088">
        <f t="shared" si="3"/>
        <v>0</v>
      </c>
      <c r="S50" s="1485" t="str">
        <f t="shared" si="4"/>
        <v/>
      </c>
    </row>
    <row r="51" spans="1:19" x14ac:dyDescent="0.2">
      <c r="A51" s="3748">
        <v>43</v>
      </c>
      <c r="B51" s="3352"/>
      <c r="C51" s="363"/>
      <c r="D51" s="809"/>
      <c r="E51" s="4090"/>
      <c r="F51" s="3989"/>
      <c r="G51" s="3990"/>
      <c r="H51" s="3989"/>
      <c r="I51" s="4163">
        <f t="shared" si="0"/>
        <v>0</v>
      </c>
      <c r="J51" s="3989"/>
      <c r="K51" s="4164">
        <f t="shared" si="5"/>
        <v>0</v>
      </c>
      <c r="L51" s="4091" t="str">
        <f t="shared" si="7"/>
        <v/>
      </c>
      <c r="N51" s="3123">
        <f t="shared" si="6"/>
        <v>0</v>
      </c>
      <c r="O51" s="3123">
        <f t="shared" si="2"/>
        <v>0</v>
      </c>
      <c r="R51" s="4088">
        <f t="shared" si="3"/>
        <v>0</v>
      </c>
      <c r="S51" s="1485" t="str">
        <f t="shared" si="4"/>
        <v/>
      </c>
    </row>
    <row r="52" spans="1:19" x14ac:dyDescent="0.2">
      <c r="A52" s="3748">
        <v>44</v>
      </c>
      <c r="B52" s="3352"/>
      <c r="C52" s="363"/>
      <c r="D52" s="809"/>
      <c r="E52" s="4090"/>
      <c r="F52" s="3989"/>
      <c r="G52" s="3990"/>
      <c r="H52" s="3989"/>
      <c r="I52" s="4163">
        <f t="shared" si="0"/>
        <v>0</v>
      </c>
      <c r="J52" s="3989"/>
      <c r="K52" s="4164">
        <f t="shared" si="5"/>
        <v>0</v>
      </c>
      <c r="L52" s="4091" t="str">
        <f t="shared" si="7"/>
        <v/>
      </c>
      <c r="N52" s="3123">
        <f t="shared" si="6"/>
        <v>0</v>
      </c>
      <c r="O52" s="3123">
        <f t="shared" si="2"/>
        <v>0</v>
      </c>
      <c r="R52" s="4088">
        <f t="shared" si="3"/>
        <v>0</v>
      </c>
      <c r="S52" s="1485" t="str">
        <f t="shared" si="4"/>
        <v/>
      </c>
    </row>
    <row r="53" spans="1:19" x14ac:dyDescent="0.2">
      <c r="A53" s="3748">
        <v>45</v>
      </c>
      <c r="B53" s="3352"/>
      <c r="C53" s="363"/>
      <c r="D53" s="809"/>
      <c r="E53" s="4090"/>
      <c r="F53" s="3989"/>
      <c r="G53" s="3990"/>
      <c r="H53" s="3989"/>
      <c r="I53" s="4163">
        <f t="shared" si="0"/>
        <v>0</v>
      </c>
      <c r="J53" s="3989"/>
      <c r="K53" s="4164">
        <f t="shared" si="5"/>
        <v>0</v>
      </c>
      <c r="L53" s="4091" t="str">
        <f t="shared" si="7"/>
        <v/>
      </c>
      <c r="N53" s="3123">
        <f t="shared" si="6"/>
        <v>0</v>
      </c>
      <c r="O53" s="3123">
        <f t="shared" si="2"/>
        <v>0</v>
      </c>
      <c r="R53" s="4088">
        <f t="shared" si="3"/>
        <v>0</v>
      </c>
      <c r="S53" s="1485" t="str">
        <f t="shared" si="4"/>
        <v/>
      </c>
    </row>
    <row r="54" spans="1:19" x14ac:dyDescent="0.2">
      <c r="A54" s="3748">
        <v>46</v>
      </c>
      <c r="B54" s="3352"/>
      <c r="C54" s="363"/>
      <c r="D54" s="809"/>
      <c r="E54" s="4090"/>
      <c r="F54" s="3989"/>
      <c r="G54" s="3990"/>
      <c r="H54" s="3989"/>
      <c r="I54" s="4163">
        <f t="shared" si="0"/>
        <v>0</v>
      </c>
      <c r="J54" s="3989"/>
      <c r="K54" s="4164">
        <f t="shared" si="5"/>
        <v>0</v>
      </c>
      <c r="L54" s="4091" t="str">
        <f t="shared" si="7"/>
        <v/>
      </c>
      <c r="N54" s="3123">
        <f t="shared" si="6"/>
        <v>0</v>
      </c>
      <c r="O54" s="3123">
        <f t="shared" si="2"/>
        <v>0</v>
      </c>
      <c r="R54" s="4088">
        <f t="shared" si="3"/>
        <v>0</v>
      </c>
      <c r="S54" s="1485" t="str">
        <f t="shared" si="4"/>
        <v/>
      </c>
    </row>
    <row r="55" spans="1:19" x14ac:dyDescent="0.2">
      <c r="A55" s="3748">
        <v>47</v>
      </c>
      <c r="B55" s="3352"/>
      <c r="C55" s="363"/>
      <c r="D55" s="809"/>
      <c r="E55" s="4090"/>
      <c r="F55" s="3989"/>
      <c r="G55" s="3990"/>
      <c r="H55" s="3989"/>
      <c r="I55" s="4163">
        <f t="shared" si="0"/>
        <v>0</v>
      </c>
      <c r="J55" s="3989"/>
      <c r="K55" s="4164">
        <f t="shared" si="5"/>
        <v>0</v>
      </c>
      <c r="L55" s="4091" t="str">
        <f t="shared" si="7"/>
        <v/>
      </c>
      <c r="N55" s="3123">
        <f t="shared" si="6"/>
        <v>0</v>
      </c>
      <c r="O55" s="3123">
        <f t="shared" si="2"/>
        <v>0</v>
      </c>
      <c r="R55" s="4088">
        <f t="shared" si="3"/>
        <v>0</v>
      </c>
      <c r="S55" s="1485" t="str">
        <f t="shared" si="4"/>
        <v/>
      </c>
    </row>
    <row r="56" spans="1:19" x14ac:dyDescent="0.2">
      <c r="A56" s="3748">
        <v>48</v>
      </c>
      <c r="B56" s="3352"/>
      <c r="C56" s="363"/>
      <c r="D56" s="809"/>
      <c r="E56" s="4090"/>
      <c r="F56" s="3989"/>
      <c r="G56" s="3990"/>
      <c r="H56" s="3989"/>
      <c r="I56" s="4163">
        <f t="shared" si="0"/>
        <v>0</v>
      </c>
      <c r="J56" s="3989"/>
      <c r="K56" s="4164">
        <f t="shared" si="5"/>
        <v>0</v>
      </c>
      <c r="L56" s="4091" t="str">
        <f t="shared" si="7"/>
        <v/>
      </c>
      <c r="N56" s="3123">
        <f t="shared" si="6"/>
        <v>0</v>
      </c>
      <c r="O56" s="3123">
        <f t="shared" si="2"/>
        <v>0</v>
      </c>
      <c r="R56" s="4088">
        <f t="shared" si="3"/>
        <v>0</v>
      </c>
      <c r="S56" s="1485" t="str">
        <f t="shared" si="4"/>
        <v/>
      </c>
    </row>
    <row r="57" spans="1:19" x14ac:dyDescent="0.2">
      <c r="A57" s="3748">
        <v>49</v>
      </c>
      <c r="B57" s="3352"/>
      <c r="C57" s="363"/>
      <c r="D57" s="809"/>
      <c r="E57" s="4090"/>
      <c r="F57" s="3989"/>
      <c r="G57" s="3990"/>
      <c r="H57" s="3989"/>
      <c r="I57" s="4163">
        <f t="shared" si="0"/>
        <v>0</v>
      </c>
      <c r="J57" s="3989"/>
      <c r="K57" s="4164">
        <f t="shared" si="5"/>
        <v>0</v>
      </c>
      <c r="L57" s="4091" t="str">
        <f t="shared" si="7"/>
        <v/>
      </c>
      <c r="N57" s="3123">
        <f t="shared" si="6"/>
        <v>0</v>
      </c>
      <c r="O57" s="3123">
        <f t="shared" si="2"/>
        <v>0</v>
      </c>
      <c r="R57" s="4088">
        <f t="shared" si="3"/>
        <v>0</v>
      </c>
      <c r="S57" s="1485" t="str">
        <f t="shared" si="4"/>
        <v/>
      </c>
    </row>
    <row r="58" spans="1:19" x14ac:dyDescent="0.2">
      <c r="A58" s="3748">
        <v>50</v>
      </c>
      <c r="B58" s="3352"/>
      <c r="C58" s="363"/>
      <c r="D58" s="809"/>
      <c r="E58" s="4090"/>
      <c r="F58" s="3989"/>
      <c r="G58" s="3990"/>
      <c r="H58" s="3989"/>
      <c r="I58" s="4163">
        <f t="shared" si="0"/>
        <v>0</v>
      </c>
      <c r="J58" s="3989"/>
      <c r="K58" s="4164">
        <f t="shared" si="5"/>
        <v>0</v>
      </c>
      <c r="L58" s="4091" t="str">
        <f t="shared" si="7"/>
        <v/>
      </c>
      <c r="N58" s="3123">
        <f t="shared" si="6"/>
        <v>0</v>
      </c>
      <c r="O58" s="3123">
        <f t="shared" si="2"/>
        <v>0</v>
      </c>
      <c r="R58" s="4088">
        <f t="shared" si="3"/>
        <v>0</v>
      </c>
      <c r="S58" s="1485" t="str">
        <f t="shared" si="4"/>
        <v/>
      </c>
    </row>
    <row r="59" spans="1:19" x14ac:dyDescent="0.2">
      <c r="A59" s="3748">
        <v>51</v>
      </c>
      <c r="B59" s="3352"/>
      <c r="C59" s="363"/>
      <c r="D59" s="809"/>
      <c r="E59" s="4090"/>
      <c r="F59" s="3989"/>
      <c r="G59" s="3990"/>
      <c r="H59" s="3989"/>
      <c r="I59" s="4163">
        <f t="shared" si="0"/>
        <v>0</v>
      </c>
      <c r="J59" s="3989"/>
      <c r="K59" s="4164">
        <f t="shared" si="5"/>
        <v>0</v>
      </c>
      <c r="L59" s="4091" t="str">
        <f t="shared" si="7"/>
        <v/>
      </c>
      <c r="N59" s="3123">
        <f t="shared" si="6"/>
        <v>0</v>
      </c>
      <c r="O59" s="3123">
        <f t="shared" si="2"/>
        <v>0</v>
      </c>
      <c r="R59" s="4088">
        <f t="shared" si="3"/>
        <v>0</v>
      </c>
      <c r="S59" s="1485" t="str">
        <f t="shared" si="4"/>
        <v/>
      </c>
    </row>
    <row r="60" spans="1:19" x14ac:dyDescent="0.2">
      <c r="A60" s="3748">
        <v>52</v>
      </c>
      <c r="B60" s="3352"/>
      <c r="C60" s="363"/>
      <c r="D60" s="809"/>
      <c r="E60" s="4090"/>
      <c r="F60" s="3989"/>
      <c r="G60" s="3990"/>
      <c r="H60" s="3989"/>
      <c r="I60" s="4163">
        <f t="shared" si="0"/>
        <v>0</v>
      </c>
      <c r="J60" s="3989"/>
      <c r="K60" s="4164">
        <f t="shared" si="5"/>
        <v>0</v>
      </c>
      <c r="L60" s="4091" t="str">
        <f t="shared" si="7"/>
        <v/>
      </c>
      <c r="N60" s="3123">
        <f t="shared" si="6"/>
        <v>0</v>
      </c>
      <c r="O60" s="3123">
        <f t="shared" si="2"/>
        <v>0</v>
      </c>
      <c r="R60" s="4088">
        <f t="shared" si="3"/>
        <v>0</v>
      </c>
      <c r="S60" s="1485" t="str">
        <f t="shared" si="4"/>
        <v/>
      </c>
    </row>
    <row r="61" spans="1:19" x14ac:dyDescent="0.2">
      <c r="A61" s="3748">
        <v>53</v>
      </c>
      <c r="B61" s="3352"/>
      <c r="C61" s="363"/>
      <c r="D61" s="809"/>
      <c r="E61" s="4090"/>
      <c r="F61" s="3989"/>
      <c r="G61" s="3990"/>
      <c r="H61" s="3989"/>
      <c r="I61" s="4163">
        <f t="shared" si="0"/>
        <v>0</v>
      </c>
      <c r="J61" s="3989"/>
      <c r="K61" s="4164">
        <f t="shared" si="5"/>
        <v>0</v>
      </c>
      <c r="L61" s="4091" t="str">
        <f t="shared" si="7"/>
        <v/>
      </c>
      <c r="N61" s="3123">
        <f t="shared" si="6"/>
        <v>0</v>
      </c>
      <c r="O61" s="3123">
        <f t="shared" si="2"/>
        <v>0</v>
      </c>
      <c r="R61" s="4088">
        <f t="shared" si="3"/>
        <v>0</v>
      </c>
      <c r="S61" s="1485" t="str">
        <f t="shared" si="4"/>
        <v/>
      </c>
    </row>
    <row r="62" spans="1:19" x14ac:dyDescent="0.2">
      <c r="A62" s="3748">
        <v>54</v>
      </c>
      <c r="B62" s="3352"/>
      <c r="C62" s="363"/>
      <c r="D62" s="809"/>
      <c r="E62" s="4090"/>
      <c r="F62" s="3989"/>
      <c r="G62" s="3990"/>
      <c r="H62" s="3989"/>
      <c r="I62" s="4163">
        <f t="shared" si="0"/>
        <v>0</v>
      </c>
      <c r="J62" s="3989"/>
      <c r="K62" s="4164">
        <f t="shared" si="5"/>
        <v>0</v>
      </c>
      <c r="L62" s="4091" t="str">
        <f t="shared" si="7"/>
        <v/>
      </c>
      <c r="N62" s="3123">
        <f t="shared" si="6"/>
        <v>0</v>
      </c>
      <c r="O62" s="3123">
        <f t="shared" si="2"/>
        <v>0</v>
      </c>
      <c r="R62" s="4088">
        <f t="shared" si="3"/>
        <v>0</v>
      </c>
      <c r="S62" s="1485" t="str">
        <f t="shared" si="4"/>
        <v/>
      </c>
    </row>
    <row r="63" spans="1:19" x14ac:dyDescent="0.2">
      <c r="A63" s="3748">
        <v>55</v>
      </c>
      <c r="B63" s="3352"/>
      <c r="C63" s="363"/>
      <c r="D63" s="809"/>
      <c r="E63" s="4090"/>
      <c r="F63" s="3989"/>
      <c r="G63" s="3990"/>
      <c r="H63" s="3989"/>
      <c r="I63" s="4163">
        <f t="shared" si="0"/>
        <v>0</v>
      </c>
      <c r="J63" s="3989"/>
      <c r="K63" s="4164">
        <f t="shared" si="5"/>
        <v>0</v>
      </c>
      <c r="L63" s="4091" t="str">
        <f t="shared" si="7"/>
        <v/>
      </c>
      <c r="N63" s="3123">
        <f t="shared" si="6"/>
        <v>0</v>
      </c>
      <c r="O63" s="3123">
        <f t="shared" si="2"/>
        <v>0</v>
      </c>
      <c r="R63" s="4088">
        <f t="shared" si="3"/>
        <v>0</v>
      </c>
      <c r="S63" s="1485" t="str">
        <f t="shared" si="4"/>
        <v/>
      </c>
    </row>
    <row r="64" spans="1:19" x14ac:dyDescent="0.2">
      <c r="A64" s="3748">
        <v>56</v>
      </c>
      <c r="B64" s="3352"/>
      <c r="C64" s="363"/>
      <c r="D64" s="809"/>
      <c r="E64" s="4090"/>
      <c r="F64" s="3989"/>
      <c r="G64" s="3990"/>
      <c r="H64" s="3989"/>
      <c r="I64" s="4163">
        <f t="shared" si="0"/>
        <v>0</v>
      </c>
      <c r="J64" s="3989"/>
      <c r="K64" s="4164">
        <f t="shared" si="5"/>
        <v>0</v>
      </c>
      <c r="L64" s="4091" t="str">
        <f t="shared" si="7"/>
        <v/>
      </c>
      <c r="N64" s="3123">
        <f t="shared" si="6"/>
        <v>0</v>
      </c>
      <c r="O64" s="3123">
        <f t="shared" si="2"/>
        <v>0</v>
      </c>
      <c r="R64" s="4088">
        <f t="shared" si="3"/>
        <v>0</v>
      </c>
      <c r="S64" s="1485" t="str">
        <f t="shared" si="4"/>
        <v/>
      </c>
    </row>
    <row r="65" spans="1:19" x14ac:dyDescent="0.2">
      <c r="A65" s="3748">
        <v>57</v>
      </c>
      <c r="B65" s="3352"/>
      <c r="C65" s="363"/>
      <c r="D65" s="809"/>
      <c r="E65" s="4090"/>
      <c r="F65" s="3989"/>
      <c r="G65" s="3990"/>
      <c r="H65" s="3989"/>
      <c r="I65" s="4163">
        <f t="shared" si="0"/>
        <v>0</v>
      </c>
      <c r="J65" s="3989"/>
      <c r="K65" s="4164">
        <f t="shared" si="5"/>
        <v>0</v>
      </c>
      <c r="L65" s="4091" t="str">
        <f t="shared" si="7"/>
        <v/>
      </c>
      <c r="N65" s="3123">
        <f t="shared" si="6"/>
        <v>0</v>
      </c>
      <c r="O65" s="3123">
        <f t="shared" si="2"/>
        <v>0</v>
      </c>
      <c r="R65" s="4088">
        <f t="shared" si="3"/>
        <v>0</v>
      </c>
      <c r="S65" s="1485" t="str">
        <f t="shared" si="4"/>
        <v/>
      </c>
    </row>
    <row r="66" spans="1:19" x14ac:dyDescent="0.2">
      <c r="A66" s="3748">
        <v>58</v>
      </c>
      <c r="B66" s="3352"/>
      <c r="C66" s="363"/>
      <c r="D66" s="809"/>
      <c r="E66" s="4090"/>
      <c r="F66" s="3989"/>
      <c r="G66" s="3990"/>
      <c r="H66" s="3989"/>
      <c r="I66" s="4163">
        <f t="shared" si="0"/>
        <v>0</v>
      </c>
      <c r="J66" s="3989"/>
      <c r="K66" s="4164">
        <f t="shared" si="5"/>
        <v>0</v>
      </c>
      <c r="L66" s="4091" t="str">
        <f t="shared" si="7"/>
        <v/>
      </c>
      <c r="N66" s="3123">
        <f t="shared" si="6"/>
        <v>0</v>
      </c>
      <c r="O66" s="3123">
        <f t="shared" si="2"/>
        <v>0</v>
      </c>
      <c r="R66" s="4088">
        <f t="shared" si="3"/>
        <v>0</v>
      </c>
      <c r="S66" s="1485" t="str">
        <f t="shared" si="4"/>
        <v/>
      </c>
    </row>
    <row r="67" spans="1:19" x14ac:dyDescent="0.2">
      <c r="A67" s="3748">
        <v>59</v>
      </c>
      <c r="B67" s="3352"/>
      <c r="C67" s="363"/>
      <c r="D67" s="809"/>
      <c r="E67" s="4090"/>
      <c r="F67" s="3989"/>
      <c r="G67" s="3990"/>
      <c r="H67" s="3989"/>
      <c r="I67" s="4163">
        <f t="shared" si="0"/>
        <v>0</v>
      </c>
      <c r="J67" s="3989"/>
      <c r="K67" s="4164">
        <f t="shared" si="5"/>
        <v>0</v>
      </c>
      <c r="L67" s="4091" t="str">
        <f t="shared" si="7"/>
        <v/>
      </c>
      <c r="N67" s="3123">
        <f t="shared" si="6"/>
        <v>0</v>
      </c>
      <c r="O67" s="3123">
        <f t="shared" si="2"/>
        <v>0</v>
      </c>
      <c r="R67" s="4088">
        <f t="shared" si="3"/>
        <v>0</v>
      </c>
      <c r="S67" s="1485" t="str">
        <f t="shared" si="4"/>
        <v/>
      </c>
    </row>
    <row r="68" spans="1:19" x14ac:dyDescent="0.2">
      <c r="A68" s="3748">
        <v>60</v>
      </c>
      <c r="B68" s="3352"/>
      <c r="C68" s="363"/>
      <c r="D68" s="809"/>
      <c r="E68" s="4090"/>
      <c r="F68" s="3989"/>
      <c r="G68" s="3990"/>
      <c r="H68" s="3989"/>
      <c r="I68" s="4163">
        <f t="shared" si="0"/>
        <v>0</v>
      </c>
      <c r="J68" s="3989"/>
      <c r="K68" s="4164">
        <f t="shared" si="5"/>
        <v>0</v>
      </c>
      <c r="L68" s="4091" t="str">
        <f t="shared" si="7"/>
        <v/>
      </c>
      <c r="N68" s="3123">
        <f t="shared" si="6"/>
        <v>0</v>
      </c>
      <c r="O68" s="3123">
        <f t="shared" si="2"/>
        <v>0</v>
      </c>
      <c r="R68" s="4088">
        <f t="shared" si="3"/>
        <v>0</v>
      </c>
      <c r="S68" s="1485" t="str">
        <f t="shared" si="4"/>
        <v/>
      </c>
    </row>
    <row r="69" spans="1:19" x14ac:dyDescent="0.2">
      <c r="A69" s="3748">
        <v>61</v>
      </c>
      <c r="B69" s="3352"/>
      <c r="C69" s="363"/>
      <c r="D69" s="809"/>
      <c r="E69" s="4090"/>
      <c r="F69" s="3989"/>
      <c r="G69" s="3990"/>
      <c r="H69" s="3989"/>
      <c r="I69" s="4163">
        <f t="shared" si="0"/>
        <v>0</v>
      </c>
      <c r="J69" s="3989"/>
      <c r="K69" s="4164">
        <f t="shared" si="5"/>
        <v>0</v>
      </c>
      <c r="L69" s="4091" t="str">
        <f t="shared" si="7"/>
        <v/>
      </c>
      <c r="N69" s="3123">
        <f t="shared" si="6"/>
        <v>0</v>
      </c>
      <c r="O69" s="3123">
        <f t="shared" si="2"/>
        <v>0</v>
      </c>
      <c r="R69" s="4088">
        <f t="shared" si="3"/>
        <v>0</v>
      </c>
      <c r="S69" s="1485" t="str">
        <f t="shared" si="4"/>
        <v/>
      </c>
    </row>
    <row r="70" spans="1:19" x14ac:dyDescent="0.2">
      <c r="A70" s="3748">
        <v>62</v>
      </c>
      <c r="B70" s="3352"/>
      <c r="C70" s="363"/>
      <c r="D70" s="809"/>
      <c r="E70" s="4090"/>
      <c r="F70" s="3989"/>
      <c r="G70" s="3990"/>
      <c r="H70" s="3989"/>
      <c r="I70" s="4163">
        <f t="shared" si="0"/>
        <v>0</v>
      </c>
      <c r="J70" s="3989"/>
      <c r="K70" s="4164">
        <f t="shared" si="5"/>
        <v>0</v>
      </c>
      <c r="L70" s="4091" t="str">
        <f t="shared" si="7"/>
        <v/>
      </c>
      <c r="N70" s="3123">
        <f t="shared" si="6"/>
        <v>0</v>
      </c>
      <c r="O70" s="3123">
        <f t="shared" si="2"/>
        <v>0</v>
      </c>
      <c r="R70" s="4088">
        <f t="shared" si="3"/>
        <v>0</v>
      </c>
      <c r="S70" s="1485" t="str">
        <f t="shared" si="4"/>
        <v/>
      </c>
    </row>
    <row r="71" spans="1:19" x14ac:dyDescent="0.2">
      <c r="A71" s="3748">
        <v>63</v>
      </c>
      <c r="B71" s="3352"/>
      <c r="C71" s="363"/>
      <c r="D71" s="809"/>
      <c r="E71" s="4090"/>
      <c r="F71" s="3989"/>
      <c r="G71" s="3990"/>
      <c r="H71" s="3989"/>
      <c r="I71" s="4163">
        <f t="shared" si="0"/>
        <v>0</v>
      </c>
      <c r="J71" s="3989"/>
      <c r="K71" s="4164">
        <f t="shared" si="5"/>
        <v>0</v>
      </c>
      <c r="L71" s="4091" t="str">
        <f t="shared" si="7"/>
        <v/>
      </c>
      <c r="N71" s="3123">
        <f t="shared" si="6"/>
        <v>0</v>
      </c>
      <c r="O71" s="3123">
        <f t="shared" si="2"/>
        <v>0</v>
      </c>
      <c r="R71" s="4088">
        <f t="shared" si="3"/>
        <v>0</v>
      </c>
      <c r="S71" s="1485" t="str">
        <f t="shared" si="4"/>
        <v/>
      </c>
    </row>
    <row r="72" spans="1:19" x14ac:dyDescent="0.2">
      <c r="A72" s="3748">
        <v>64</v>
      </c>
      <c r="B72" s="3352"/>
      <c r="C72" s="363"/>
      <c r="D72" s="809"/>
      <c r="E72" s="4090"/>
      <c r="F72" s="3989"/>
      <c r="G72" s="3990"/>
      <c r="H72" s="3989"/>
      <c r="I72" s="4163">
        <f t="shared" si="0"/>
        <v>0</v>
      </c>
      <c r="J72" s="3989"/>
      <c r="K72" s="4164">
        <f t="shared" si="5"/>
        <v>0</v>
      </c>
      <c r="L72" s="4091" t="str">
        <f t="shared" si="7"/>
        <v/>
      </c>
      <c r="N72" s="3123">
        <f t="shared" si="6"/>
        <v>0</v>
      </c>
      <c r="O72" s="3123">
        <f t="shared" si="2"/>
        <v>0</v>
      </c>
      <c r="R72" s="4088">
        <f t="shared" si="3"/>
        <v>0</v>
      </c>
      <c r="S72" s="1485" t="str">
        <f t="shared" si="4"/>
        <v/>
      </c>
    </row>
    <row r="73" spans="1:19" x14ac:dyDescent="0.2">
      <c r="A73" s="3748">
        <v>65</v>
      </c>
      <c r="B73" s="3352"/>
      <c r="C73" s="363"/>
      <c r="D73" s="809"/>
      <c r="E73" s="4090"/>
      <c r="F73" s="3989"/>
      <c r="G73" s="3990"/>
      <c r="H73" s="3989"/>
      <c r="I73" s="4163">
        <f t="shared" ref="I73:I78" si="8">IF(G73="",0,F73-H73)</f>
      </c>
      <c r="J73" s="3989"/>
      <c r="K73" s="4164">
        <f t="shared" si="5"/>
        <v>0</v>
      </c>
      <c r="L73" s="4091" t="str">
        <f t="shared" ref="L73:L78" si="9">IF(AND($F$6&gt;0,A73&lt;=$F$6,O73=0),re,IF(AND($P$1="n",B73&lt;&gt;""),"Not a fiscal Unit",IF(AND($F$6&gt;0,A73&lt;=$F$6,$P$1="y",O73&lt;8),"All data",IF(AND(A73&gt;$F$6,O73&gt;0),"No details required",IF(AND($F$6&gt;0,A73&lt;=$F$6,$P$1="n",O73&lt;7),"All data",IF(OR(H73&gt;F73,AND(G73&gt;=$S$1,H73&gt;0)),"Check utilised credit in previous years",IF(J73&gt;I73,"Excessive utilised credit!","")))))))</f>
        <v/>
      </c>
      <c r="N73" s="3123">
        <f t="shared" si="6"/>
        <v>0</v>
      </c>
      <c r="O73" s="3123">
        <f t="shared" ref="O73:O78" si="10">IF($P$1="n",COUNTA(C73:H73,J73),IF($P$1="y",COUNTA(B73:H73,J73),0))</f>
      </c>
      <c r="R73" s="4088">
        <f t="shared" ref="R73:R78" si="11">IF(O73=0,0,ya-G73)</f>
      </c>
      <c r="S73" s="1485" t="str">
        <f t="shared" ref="S73:S78" si="12">IF(O73=0,"",MIN(F73,150000,R73*50000))</f>
        <v/>
      </c>
    </row>
    <row r="74" spans="1:19" x14ac:dyDescent="0.2">
      <c r="A74" s="3748">
        <v>66</v>
      </c>
      <c r="B74" s="3352"/>
      <c r="C74" s="363"/>
      <c r="D74" s="809"/>
      <c r="E74" s="4090"/>
      <c r="F74" s="3989"/>
      <c r="G74" s="3990"/>
      <c r="H74" s="3989"/>
      <c r="I74" s="4163">
        <f t="shared" si="8"/>
        <v>0</v>
      </c>
      <c r="J74" s="3989"/>
      <c r="K74" s="4164">
        <f t="shared" si="5"/>
        <v>0</v>
      </c>
      <c r="L74" s="4091" t="str">
        <f t="shared" si="9"/>
        <v/>
      </c>
      <c r="N74" s="3123">
        <f t="shared" si="6"/>
        <v>0</v>
      </c>
      <c r="O74" s="3123">
        <f t="shared" si="10"/>
        <v>0</v>
      </c>
      <c r="R74" s="4088">
        <f t="shared" si="11"/>
        <v>0</v>
      </c>
      <c r="S74" s="1485" t="str">
        <f t="shared" si="12"/>
        <v/>
      </c>
    </row>
    <row r="75" spans="1:19" x14ac:dyDescent="0.2">
      <c r="A75" s="3748">
        <v>67</v>
      </c>
      <c r="B75" s="3352"/>
      <c r="C75" s="363"/>
      <c r="D75" s="809"/>
      <c r="E75" s="4090"/>
      <c r="F75" s="3989"/>
      <c r="G75" s="3990"/>
      <c r="H75" s="3989"/>
      <c r="I75" s="4163">
        <f t="shared" si="8"/>
        <v>0</v>
      </c>
      <c r="J75" s="3989"/>
      <c r="K75" s="4164">
        <f t="shared" si="5"/>
        <v>0</v>
      </c>
      <c r="L75" s="4091" t="str">
        <f t="shared" si="9"/>
        <v/>
      </c>
      <c r="N75" s="3123">
        <f t="shared" si="6"/>
        <v>0</v>
      </c>
      <c r="O75" s="3123">
        <f t="shared" si="10"/>
        <v>0</v>
      </c>
      <c r="R75" s="4088">
        <f t="shared" si="11"/>
        <v>0</v>
      </c>
      <c r="S75" s="1485" t="str">
        <f t="shared" si="12"/>
        <v/>
      </c>
    </row>
    <row r="76" spans="1:19" x14ac:dyDescent="0.2">
      <c r="A76" s="3748">
        <v>68</v>
      </c>
      <c r="B76" s="3352"/>
      <c r="C76" s="363"/>
      <c r="D76" s="809"/>
      <c r="E76" s="4090"/>
      <c r="F76" s="3989"/>
      <c r="G76" s="3990"/>
      <c r="H76" s="3989"/>
      <c r="I76" s="4163">
        <f t="shared" si="8"/>
        <v>0</v>
      </c>
      <c r="J76" s="3989"/>
      <c r="K76" s="4164">
        <f t="shared" si="5"/>
        <v>0</v>
      </c>
      <c r="L76" s="4091" t="str">
        <f t="shared" si="9"/>
        <v/>
      </c>
      <c r="N76" s="3123">
        <f t="shared" si="6"/>
        <v>0</v>
      </c>
      <c r="O76" s="3123">
        <f t="shared" si="10"/>
        <v>0</v>
      </c>
      <c r="R76" s="4088">
        <f t="shared" si="11"/>
        <v>0</v>
      </c>
      <c r="S76" s="1485" t="str">
        <f t="shared" si="12"/>
        <v/>
      </c>
    </row>
    <row r="77" spans="1:19" x14ac:dyDescent="0.2">
      <c r="A77" s="3748">
        <v>69</v>
      </c>
      <c r="B77" s="3352"/>
      <c r="C77" s="363"/>
      <c r="D77" s="809"/>
      <c r="E77" s="4090"/>
      <c r="F77" s="3989"/>
      <c r="G77" s="3990"/>
      <c r="H77" s="3989"/>
      <c r="I77" s="4163">
        <f t="shared" si="8"/>
        <v>0</v>
      </c>
      <c r="J77" s="3989"/>
      <c r="K77" s="4164">
        <f t="shared" si="5"/>
        <v>0</v>
      </c>
      <c r="L77" s="4091" t="str">
        <f t="shared" si="9"/>
        <v/>
      </c>
      <c r="N77" s="3123">
        <f t="shared" si="6"/>
        <v>0</v>
      </c>
      <c r="O77" s="3123">
        <f t="shared" si="10"/>
        <v>0</v>
      </c>
      <c r="R77" s="4088">
        <f t="shared" si="11"/>
        <v>0</v>
      </c>
      <c r="S77" s="1485" t="str">
        <f t="shared" si="12"/>
        <v/>
      </c>
    </row>
    <row r="78" spans="1:19" x14ac:dyDescent="0.2">
      <c r="A78" s="3748">
        <v>70</v>
      </c>
      <c r="B78" s="3352"/>
      <c r="C78" s="363"/>
      <c r="D78" s="809"/>
      <c r="E78" s="4090"/>
      <c r="F78" s="3989"/>
      <c r="G78" s="3990"/>
      <c r="H78" s="3989"/>
      <c r="I78" s="4163">
        <f t="shared" si="8"/>
        <v>0</v>
      </c>
      <c r="J78" s="3989"/>
      <c r="K78" s="4164">
        <f t="shared" si="5"/>
        <v>0</v>
      </c>
      <c r="L78" s="4091" t="str">
        <f t="shared" si="9"/>
        <v/>
      </c>
      <c r="N78" s="3123">
        <f t="shared" si="6"/>
        <v>0</v>
      </c>
      <c r="O78" s="3123">
        <f t="shared" si="10"/>
        <v>0</v>
      </c>
      <c r="R78" s="4088">
        <f t="shared" si="11"/>
        <v>0</v>
      </c>
      <c r="S78" s="1485" t="str">
        <f t="shared" si="12"/>
        <v/>
      </c>
    </row>
    <row r="79" spans="1:19" x14ac:dyDescent="0.2">
      <c r="A79" s="3315"/>
      <c r="B79" s="2239" t="s">
        <v>9115</v>
      </c>
      <c r="C79" s="2238"/>
      <c r="D79" s="2238"/>
      <c r="E79" s="2238"/>
      <c r="F79" s="4165">
        <f>SUM(F9:F78)</f>
      </c>
      <c r="G79" s="3315"/>
      <c r="H79" s="3315"/>
      <c r="I79" s="3315"/>
      <c r="J79" s="3315"/>
      <c r="K79" s="3315"/>
      <c r="L79" s="3315"/>
    </row>
    <row r="80" spans="1:19" x14ac:dyDescent="0.2">
      <c r="A80" s="3315"/>
      <c r="B80" s="1942" t="s">
        <v>7159</v>
      </c>
      <c r="C80" s="2238"/>
      <c r="D80" s="1942"/>
      <c r="E80" s="1942"/>
      <c r="F80" s="1942"/>
      <c r="G80" s="1942"/>
      <c r="H80" s="4165">
        <f>SUM(H9:H78)</f>
      </c>
      <c r="I80" s="3315"/>
      <c r="J80" s="3315"/>
      <c r="K80" s="3315"/>
      <c r="L80" s="3315"/>
      <c r="Q80" s="3123"/>
      <c r="R80" s="3338">
        <f>MIN(R82,S81)</f>
      </c>
      <c r="S80" s="3123"/>
    </row>
    <row r="81" spans="1:19" x14ac:dyDescent="0.2">
      <c r="A81" s="3315"/>
      <c r="B81" s="2239" t="s">
        <v>7332</v>
      </c>
      <c r="C81" s="2238"/>
      <c r="D81" s="2238"/>
      <c r="E81" s="2238"/>
      <c r="F81" s="2238"/>
      <c r="G81" s="2238"/>
      <c r="H81" s="2238"/>
      <c r="I81" s="4165">
        <f>SUM(I9:I78)</f>
      </c>
      <c r="J81" s="3315"/>
      <c r="K81" s="3315"/>
      <c r="L81" s="3315"/>
      <c r="Q81" s="3338">
        <v>45292</v>
      </c>
      <c r="R81" s="3272"/>
      <c r="S81" s="3272">
        <f>DATE(ya,12,31)</f>
      </c>
    </row>
    <row r="82" spans="1:19" x14ac:dyDescent="0.2">
      <c r="A82" s="3315"/>
      <c r="B82" s="2239" t="s">
        <v>7157</v>
      </c>
      <c r="C82" s="2238"/>
      <c r="D82" s="2238"/>
      <c r="E82" s="2238"/>
      <c r="F82" s="2238"/>
      <c r="G82" s="2239"/>
      <c r="H82" s="2239"/>
      <c r="I82" s="3918" t="s">
        <v>951</v>
      </c>
      <c r="J82" s="4165">
        <f>SUM(J9:J78)</f>
      </c>
      <c r="K82" s="3315"/>
      <c r="L82" s="3315"/>
      <c r="Q82" s="1871"/>
      <c r="R82" s="2774">
        <v>46387</v>
      </c>
    </row>
    <row r="83" spans="1:19" x14ac:dyDescent="0.2">
      <c r="A83" s="3315"/>
      <c r="B83" s="2237" t="s">
        <v>7074</v>
      </c>
      <c r="C83" s="2238"/>
      <c r="D83" s="2237"/>
      <c r="E83" s="2237"/>
      <c r="F83" s="2237"/>
      <c r="G83" s="2237"/>
      <c r="H83" s="2237"/>
      <c r="I83" s="2237"/>
      <c r="J83" s="3315"/>
      <c r="K83" s="4165">
        <f>IF(SUM(K9:K78)&lt;0,0,SUM(K9:K78))</f>
      </c>
      <c r="L83" s="3315"/>
    </row>
    <row r="84" spans="1:19" x14ac:dyDescent="0.2">
      <c r="A84" s="3315"/>
      <c r="B84" s="3315"/>
      <c r="C84" s="3315"/>
      <c r="D84" s="3315"/>
      <c r="E84" s="3315"/>
      <c r="F84" s="3315"/>
      <c r="G84" s="3315"/>
      <c r="H84" s="3315"/>
      <c r="I84" s="3315"/>
      <c r="J84" s="3315"/>
      <c r="K84" s="3315"/>
      <c r="L84" s="3315"/>
      <c r="P84" s="5468" t="s">
        <v>7073</v>
      </c>
      <c r="Q84" s="5468"/>
      <c r="R84" s="5468"/>
    </row>
    <row r="85" spans="1:19" x14ac:dyDescent="0.2">
      <c r="A85" s="3315"/>
      <c r="B85" s="4166" t="s">
        <v>10476</v>
      </c>
      <c r="C85" s="4167"/>
      <c r="D85" s="4167"/>
      <c r="E85" s="4167"/>
      <c r="F85" s="4167"/>
      <c r="G85" s="4167"/>
      <c r="H85" s="4167"/>
      <c r="I85" s="4167"/>
      <c r="J85" s="4168" t="s">
        <v>951</v>
      </c>
      <c r="K85" s="737"/>
      <c r="L85" s="3985" t="str">
        <f>IF(O4=0,"",IF(AND(J82&gt;0,K85=""),re,IF(AND(J82=0,K85&gt;0),"No tax credit claimed for the year!",IF(AND(J82&gt;0,K85=0),"Amount relieved by tax credit required!",IF(K85&lt;0,"Cannot be negative!",IF(OR(K85&gt;P85+1,K85&lt;Q85-1),R85,""))))))</f>
        <v/>
      </c>
      <c r="N85" s="3123">
        <f>IF(L85="",0,1)</f>
      </c>
      <c r="O85" s="3123">
        <f>COUNT(K85)</f>
      </c>
      <c r="P85" s="3994">
        <f>ROUND(J82/5%,0)</f>
      </c>
      <c r="Q85" s="3995">
        <f>ROUND(J82/0.35,0)</f>
      </c>
      <c r="R85" s="3996" t="s">
        <v>4787</v>
      </c>
    </row>
    <row r="86" spans="1:19" x14ac:dyDescent="0.2">
      <c r="A86" s="3315"/>
      <c r="B86" s="3315"/>
      <c r="C86" s="3315"/>
      <c r="D86" s="3315"/>
      <c r="E86" s="3315"/>
      <c r="F86" s="3315"/>
      <c r="G86" s="3315"/>
      <c r="H86" s="3315"/>
      <c r="I86" s="3315"/>
      <c r="J86" s="3315"/>
      <c r="K86" s="3315"/>
      <c r="L86" s="3315"/>
    </row>
    <row r="87" spans="1:19" x14ac:dyDescent="0.2">
      <c r="A87" s="3315"/>
      <c r="B87" s="3315" t="s">
        <v>9116</v>
      </c>
      <c r="C87" s="3315"/>
      <c r="D87" s="3315"/>
      <c r="E87" s="3315"/>
      <c r="F87" s="3315"/>
      <c r="G87" s="3315"/>
      <c r="H87" s="3315"/>
      <c r="I87" s="3315"/>
      <c r="J87" s="3315"/>
      <c r="K87" s="3352"/>
      <c r="L87" s="3985" t="str">
        <f>IF(J82=0,"",IF(K87="",re,IF(AND(K87="no",J82&gt;0),"No benefit!","")))</f>
        <v/>
      </c>
      <c r="N87" s="3123">
        <f>IF(L87="",0,1)</f>
      </c>
      <c r="O87" s="3123">
        <f>IF(K87&lt;&gt;"",1,0)</f>
      </c>
    </row>
    <row r="88" spans="1:19" x14ac:dyDescent="0.2">
      <c r="A88" s="3315"/>
      <c r="B88" s="3315"/>
      <c r="C88" s="3315"/>
      <c r="D88" s="3315"/>
      <c r="E88" s="3315"/>
      <c r="F88" s="3315"/>
      <c r="G88" s="3315"/>
      <c r="H88" s="3315"/>
      <c r="I88" s="3315"/>
      <c r="J88" s="3315"/>
      <c r="K88" s="3315"/>
      <c r="L88" s="3315"/>
    </row>
    <row r="89" spans="1:19" x14ac:dyDescent="0.2">
      <c r="A89" s="3315"/>
      <c r="B89" s="3315"/>
      <c r="C89" s="3315"/>
      <c r="D89" s="3315"/>
      <c r="E89" s="3315"/>
      <c r="F89" s="3315"/>
      <c r="G89" s="3355"/>
      <c r="H89" s="3356" t="s">
        <v>4456</v>
      </c>
      <c r="I89" s="3356"/>
      <c r="J89" s="3352"/>
      <c r="K89" s="3351" t="str">
        <f>IF(O4=0,"",IF(J89="",re,""))</f>
        <v/>
      </c>
      <c r="L89" s="3315"/>
      <c r="N89" s="3809">
        <f>IF(O4=0,0,IF(N4&gt;0,100,IF(J89="no",100,1)))</f>
      </c>
    </row>
    <row r="90" spans="1:19" x14ac:dyDescent="0.2">
      <c r="A90" s="3315"/>
      <c r="B90" s="3315"/>
      <c r="C90" s="3315"/>
      <c r="D90" s="3315"/>
      <c r="E90" s="3315"/>
      <c r="F90" s="3315"/>
      <c r="G90" s="3315"/>
      <c r="H90" s="3315"/>
      <c r="I90" s="3315"/>
      <c r="J90" s="3315"/>
      <c r="K90" s="3315"/>
      <c r="L90" s="3315"/>
    </row>
    <row r="91" spans="1:19" x14ac:dyDescent="0.2">
      <c r="A91" s="1942"/>
      <c r="B91" s="1935" t="s">
        <v>10574</v>
      </c>
      <c r="C91" s="1942"/>
      <c r="D91" s="1938"/>
      <c r="E91" s="1938"/>
      <c r="F91" s="1938"/>
      <c r="G91" s="2592"/>
      <c r="H91" s="1943" t="str">
        <f>ver</f>
        <v>TA2_e-CO_2025_Ver 1.1</v>
      </c>
      <c r="I91" s="1942"/>
      <c r="J91" s="1942"/>
      <c r="K91" s="1938" t="s">
        <v>10648</v>
      </c>
      <c r="L91" s="2592"/>
    </row>
    <row r="92" spans="1:19" x14ac:dyDescent="0.2"/>
    <row r="93" spans="1:19" x14ac:dyDescent="0.2">
      <c r="B93" s="3922" t="s">
        <v>1700</v>
      </c>
    </row>
    <row r="94" spans="1:19" x14ac:dyDescent="0.2"/>
  </sheetData>
  <sheetProtection algorithmName="SHA-512" hashValue="YBU6MlycThMEe2Ki6z2wtOqABQWT0SULBDVopmik7dfLFmZXKV+Fmrk3TfxkALnvHR9Ih587aP6zmHvetwMO/w==" saltValue="hKDz4MVaPkzS2U1bxmsEdw==" spinCount="100000" sheet="1" objects="1" scenarios="1"/>
  <mergeCells count="2">
    <mergeCell ref="T4:T5"/>
    <mergeCell ref="P84:R84"/>
  </mergeCells>
  <conditionalFormatting sqref="K85">
    <cfRule type="expression" dxfId="88" priority="1" stopIfTrue="1">
      <formula>#REF!=nob</formula>
    </cfRule>
  </conditionalFormatting>
  <dataValidations count="13">
    <dataValidation type="whole" operator="greaterThan" allowBlank="1" showInputMessage="1" showErrorMessage="1" errorTitle="Approved tax credit" error="Positive amount!_x000a_" sqref="F9" xr:uid="{D31DF6C6-B999-4A51-AD05-02D5C6D9328A}">
      <formula1>0</formula1>
    </dataValidation>
    <dataValidation type="whole" operator="greaterThan" allowBlank="1" showInputMessage="1" showErrorMessage="1" errorTitle="Approved tax credit" error="Postiive amount!_x000a_" sqref="F10:F78" xr:uid="{B6BFAEFB-7CAD-4130-8D40-3137FCA27D86}">
      <formula1>0</formula1>
    </dataValidation>
    <dataValidation type="list" allowBlank="1" showInputMessage="1" showErrorMessage="1" errorTitle="Date" error="Enter correct date!" sqref="E9:E78" xr:uid="{40FF5695-1D8A-473F-A3BE-1A54488C9DAA}">
      <formula1>$V$1:$V$2</formula1>
    </dataValidation>
    <dataValidation operator="greaterThanOrEqual" allowBlank="1" showInputMessage="1" showErrorMessage="1" errorTitle="Tax credits utilised " error="Enter a whole figure greater than 0!" sqref="I9:I78" xr:uid="{021885A5-C508-41A2-A7B5-E086D773AB0B}"/>
    <dataValidation type="whole" operator="greaterThanOrEqual" allowBlank="1" showInputMessage="1" showErrorMessage="1" errorTitle="Tax credits utilised " error="Enter a whole figure greater than 0!" sqref="J9:J78" xr:uid="{D7529622-B3D0-4BDA-9048-CD7D57B096DA}">
      <formula1>0</formula1>
    </dataValidation>
    <dataValidation type="textLength" operator="greaterThanOrEqual" allowBlank="1" showInputMessage="1" showErrorMessage="1" errorTitle="Certificate No:" error="Please enter correct certificate number!" sqref="C9:C78" xr:uid="{84911EBD-48B3-4FE4-84FF-E5D7EFD8734C}">
      <formula1>6</formula1>
    </dataValidation>
    <dataValidation type="whole" allowBlank="1" showInputMessage="1" showErrorMessage="1" errorTitle="Income relieved by tax credit" error="Are you sure the amount entered is correct?" sqref="K85" xr:uid="{7F949462-7D64-4A3D-BB43-E1861A83D120}">
      <formula1>T85-1</formula1>
      <formula2>S85+1</formula2>
    </dataValidation>
    <dataValidation type="list" allowBlank="1" showInputMessage="1" showErrorMessage="1" sqref="B9:B78" xr:uid="{1E857541-7E16-46BB-ADDC-B88A1BB21B69}">
      <formula1>FU</formula1>
    </dataValidation>
    <dataValidation type="list" showInputMessage="1" showErrorMessage="1" sqref="K87 J89" xr:uid="{D0A4BFC2-67A0-4396-9CA8-E2DB4FF7973F}">
      <formula1>$U$1:$U$3</formula1>
    </dataValidation>
    <dataValidation type="date" allowBlank="1" showInputMessage="1" showErrorMessage="1" errorTitle="Date" error="Enter correct date!" sqref="D9:D78" xr:uid="{5FC15C80-112C-48FB-96AD-9B6D9C1DBD05}">
      <formula1>$Q$81</formula1>
      <formula2>$R$80</formula2>
    </dataValidation>
    <dataValidation type="list" operator="greaterThanOrEqual" allowBlank="1" showInputMessage="1" showErrorMessage="1" errorTitle="Certificate number" error="Please enter the correct reference!" sqref="F6" xr:uid="{5131227B-F64F-456E-BD18-8809A2E3790C}">
      <formula1>$A$8:$A$78</formula1>
    </dataValidation>
    <dataValidation type="whole" allowBlank="1" showInputMessage="1" showErrorMessage="1" errorTitle="Tax credit first utilised" error="Please enter correct year of assessment!" sqref="G9:G78" xr:uid="{CD937E9D-380E-4A41-A589-77BA0D8F1F66}">
      <formula1>$S$4</formula1>
      <formula2>$S$5</formula2>
    </dataValidation>
    <dataValidation type="whole" operator="greaterThanOrEqual" allowBlank="1" showInputMessage="1" showErrorMessage="1" sqref="H9:H78" xr:uid="{419017CC-F722-4786-B8F8-738D69AAF7FD}">
      <formula1>0</formula1>
    </dataValidation>
  </dataValidations>
  <hyperlinks>
    <hyperlink ref="I82" location="'TRA35'!A1" display="TRA 35" xr:uid="{5C83C359-7041-43AE-8BBE-6835EEA8D227}"/>
    <hyperlink ref="J85" location="'TRA35'!A1" display="TRA 35" xr:uid="{7B6F0BAA-6C16-4437-8E2C-DAFAD7C6B6AF}"/>
    <hyperlink ref="B93" location="Index!A1" display="BACK TO INDEX" xr:uid="{04B1B328-2555-4CA4-A2FC-8810CFA2E45D}"/>
  </hyperlinks>
  <pageMargins left="0.7" right="0.7" top="0.75" bottom="0.75" header="0.3" footer="0.3"/>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8E04-DA12-4570-B09F-C3B614423ADC}">
  <dimension ref="A1:Y94"/>
  <sheetViews>
    <sheetView showGridLines="0" topLeftCell="A6" workbookViewId="0">
      <selection activeCell="G6" sqref="G6"/>
    </sheetView>
  </sheetViews>
  <sheetFormatPr defaultColWidth="0" defaultRowHeight="12.75" zeroHeight="1" x14ac:dyDescent="0.2"/>
  <cols>
    <col min="1" max="1" width="1.28515625" style="1485" customWidth="1"/>
    <col min="2" max="2" width="15" style="1485" customWidth="1"/>
    <col min="3" max="3" width="17.7109375" style="1485" customWidth="1"/>
    <col min="4" max="4" width="11.28515625" style="1485" customWidth="1"/>
    <col min="5" max="5" width="13.28515625" style="1485" customWidth="1"/>
    <col min="6" max="6" width="13" style="1485" customWidth="1"/>
    <col min="7" max="10" width="13.28515625" style="1485" customWidth="1"/>
    <col min="11" max="11" width="33.5703125" style="1485" customWidth="1"/>
    <col min="12" max="15" width="9.28515625" style="1485" hidden="1" customWidth="1"/>
    <col min="16" max="16" width="10.28515625" style="1485" hidden="1" customWidth="1"/>
    <col min="17" max="17" width="12.42578125" style="1485" hidden="1" customWidth="1"/>
    <col min="18" max="19" width="10.28515625" style="1485" hidden="1" customWidth="1"/>
    <col min="20" max="20" width="15.42578125" style="1485" hidden="1" customWidth="1"/>
    <col min="21" max="24" width="9.28515625" style="1485" hidden="1" customWidth="1"/>
    <col min="25" max="25" width="10.28515625" style="1485" hidden="1" customWidth="1"/>
    <col min="26" max="16384" width="9.28515625" style="1485" hidden="1"/>
  </cols>
  <sheetData>
    <row r="1" spans="1:25" x14ac:dyDescent="0.2">
      <c r="A1" s="3315" t="str">
        <f>_ref1</f>
      </c>
      <c r="B1" s="3315"/>
      <c r="C1" s="3315"/>
      <c r="D1" s="3315"/>
      <c r="E1" s="3315"/>
      <c r="F1" s="3315"/>
      <c r="G1" s="3315"/>
      <c r="H1" s="3315"/>
      <c r="I1" s="3315"/>
      <c r="J1" s="3319" t="str">
        <f>_YA1</f>
      </c>
      <c r="K1" s="3315"/>
      <c r="N1" s="1871" t="s">
        <v>10463</v>
      </c>
      <c r="O1" s="1485" t="str">
        <f>'p2'!G36</f>
      </c>
      <c r="Q1" s="3123" t="s">
        <v>3994</v>
      </c>
      <c r="R1" s="3123">
        <f>ya</f>
      </c>
      <c r="V1" s="1485" t="str">
        <f>cur</f>
      </c>
      <c r="W1" s="1485" t="s">
        <v>4591</v>
      </c>
    </row>
    <row r="2" spans="1:25" x14ac:dyDescent="0.2">
      <c r="A2" s="3315"/>
      <c r="B2" s="3315"/>
      <c r="C2" s="3315"/>
      <c r="D2" s="3315"/>
      <c r="E2" s="3315"/>
      <c r="F2" s="3315"/>
      <c r="G2" s="3315"/>
      <c r="H2" s="3315"/>
      <c r="I2" s="3315"/>
      <c r="J2" s="3315"/>
      <c r="K2" s="3315"/>
      <c r="Q2" s="3123" t="s">
        <v>2705</v>
      </c>
      <c r="R2" s="3123">
        <f>R1-1</f>
      </c>
      <c r="T2" s="1485" t="s">
        <v>10464</v>
      </c>
    </row>
    <row r="3" spans="1:25" ht="14.25" x14ac:dyDescent="0.2">
      <c r="A3" s="3315"/>
      <c r="B3" s="4170" t="s">
        <v>7026</v>
      </c>
      <c r="C3" s="4156"/>
      <c r="D3" s="4156"/>
      <c r="E3" s="4156"/>
      <c r="F3" s="4156"/>
      <c r="G3" s="4156"/>
      <c r="H3" s="4156"/>
      <c r="I3" s="4156"/>
      <c r="J3" s="4157"/>
      <c r="K3" s="3315"/>
      <c r="T3" s="1485" t="s">
        <v>1736</v>
      </c>
    </row>
    <row r="4" spans="1:25" ht="14.25" x14ac:dyDescent="0.2">
      <c r="A4" s="3315"/>
      <c r="B4" s="4169" t="s">
        <v>10649</v>
      </c>
      <c r="C4" s="4159"/>
      <c r="D4" s="4159"/>
      <c r="E4" s="4159"/>
      <c r="F4" s="4159"/>
      <c r="G4" s="4159"/>
      <c r="H4" s="4159"/>
      <c r="I4" s="4159"/>
      <c r="J4" s="4160"/>
      <c r="K4" s="3315"/>
      <c r="M4" s="1873">
        <f>SUM(M6:M88)</f>
      </c>
      <c r="N4" s="1873">
        <f>SUM(N6:N88)</f>
      </c>
      <c r="Q4" s="1873" t="s">
        <v>6197</v>
      </c>
      <c r="R4" s="1873">
        <v>2025</v>
      </c>
      <c r="S4" s="5476" t="s">
        <v>10634</v>
      </c>
    </row>
    <row r="5" spans="1:25" x14ac:dyDescent="0.2">
      <c r="A5" s="3315"/>
      <c r="B5" s="3315"/>
      <c r="C5" s="3315"/>
      <c r="D5" s="3315"/>
      <c r="E5" s="3315"/>
      <c r="F5" s="3315"/>
      <c r="G5" s="3315"/>
      <c r="H5" s="3315"/>
      <c r="I5" s="3315"/>
      <c r="J5" s="3315"/>
      <c r="K5" s="3315"/>
      <c r="M5" s="1485" t="s">
        <v>7439</v>
      </c>
      <c r="N5" s="1485" t="s">
        <v>7161</v>
      </c>
      <c r="Q5" s="1873" t="s">
        <v>6729</v>
      </c>
      <c r="R5" s="1873">
        <f>MIN(R1,2031)</f>
      </c>
      <c r="S5" s="5476"/>
    </row>
    <row r="6" spans="1:25" x14ac:dyDescent="0.2">
      <c r="A6" s="3315"/>
      <c r="B6" s="3315"/>
      <c r="C6" s="1938"/>
      <c r="D6" s="1938"/>
      <c r="E6" s="2239" t="s">
        <v>10468</v>
      </c>
      <c r="F6" s="3315"/>
      <c r="G6" s="3352"/>
      <c r="H6" s="4091" t="str">
        <f>IF(N4=0,"",IF(AND(N4&gt;0,G6=""),re,""))</f>
        <v/>
      </c>
      <c r="I6" s="3315"/>
      <c r="J6" s="3315"/>
      <c r="K6" s="3315"/>
      <c r="M6" s="3123">
        <f>IF(H6="",0,1)</f>
      </c>
      <c r="N6" s="3123">
        <f>IF(G6&lt;&gt;"",1,0)</f>
      </c>
      <c r="W6" s="5351" t="s">
        <v>10642</v>
      </c>
      <c r="X6" s="5351"/>
      <c r="Y6" s="5351"/>
    </row>
    <row r="7" spans="1:25" x14ac:dyDescent="0.2">
      <c r="A7" s="3315"/>
      <c r="B7" s="3315"/>
      <c r="C7" s="3315"/>
      <c r="D7" s="3315"/>
      <c r="E7" s="3315"/>
      <c r="F7" s="3315"/>
      <c r="G7" s="3315"/>
      <c r="H7" s="3315"/>
      <c r="I7" s="3315"/>
      <c r="J7" s="3315"/>
      <c r="K7" s="3315"/>
      <c r="U7" s="1485">
        <f>SUM(U9:U88)</f>
      </c>
      <c r="W7" s="5351"/>
      <c r="X7" s="5351"/>
      <c r="Y7" s="5351"/>
    </row>
    <row r="8" spans="1:25" ht="72.75" customHeight="1" x14ac:dyDescent="0.2">
      <c r="A8" s="3315"/>
      <c r="B8" s="4161" t="s">
        <v>10083</v>
      </c>
      <c r="C8" s="4161" t="s">
        <v>7154</v>
      </c>
      <c r="D8" s="4162" t="s">
        <v>7155</v>
      </c>
      <c r="E8" s="4161" t="s">
        <v>7156</v>
      </c>
      <c r="F8" s="4161" t="s">
        <v>9114</v>
      </c>
      <c r="G8" s="4161" t="s">
        <v>7159</v>
      </c>
      <c r="H8" s="4161" t="s">
        <v>10469</v>
      </c>
      <c r="I8" s="4161" t="s">
        <v>7157</v>
      </c>
      <c r="J8" s="4161" t="s">
        <v>10470</v>
      </c>
      <c r="K8" s="3315"/>
      <c r="S8" s="4095" t="s">
        <v>10636</v>
      </c>
      <c r="T8" s="4095" t="s">
        <v>10637</v>
      </c>
      <c r="U8" s="4095" t="s">
        <v>10650</v>
      </c>
      <c r="W8" s="4149" t="s">
        <v>10079</v>
      </c>
      <c r="X8" s="4148" t="s">
        <v>10639</v>
      </c>
      <c r="Y8" s="4148" t="s">
        <v>10640</v>
      </c>
    </row>
    <row r="9" spans="1:25" x14ac:dyDescent="0.2">
      <c r="A9" s="3748">
        <v>1</v>
      </c>
      <c r="B9" s="3352"/>
      <c r="C9" s="363"/>
      <c r="D9" s="809"/>
      <c r="E9" s="3989"/>
      <c r="F9" s="3990"/>
      <c r="G9" s="3989"/>
      <c r="H9" s="4163">
        <f>IF(F9="",0,E9-G9)</f>
      </c>
      <c r="I9" s="3989"/>
      <c r="J9" s="4164">
        <f>IF(H9=0,0,H9-I9)</f>
      </c>
      <c r="K9" s="3985" t="str">
        <f t="shared" ref="K9" si="0">IF(AND($G$6&gt;0,A9&lt;=$G$6,N9=0),re,IF(AND($O$1="n",B9&lt;&gt;""),"Not a fiscal Unit",IF(AND($G$6&gt;0,A9&lt;=$G$6,$O$1="y",N9&lt;7),"All data",IF(AND(A9&gt;$G$6,N9&gt;0),"No details required",IF(AND($G$6&gt;0,A9&lt;=$G$6,$O$1="n",N9&lt;6),"All data",IF(AND(F9&gt;=$R$1,G9&gt;0),"Check utilised credit in previous years",IF(I9&gt;H9,"Excessive utilised credit!","")))))))</f>
        <v/>
      </c>
      <c r="M9" s="3123">
        <f>IF(K9="",0,1)</f>
      </c>
      <c r="N9" s="4092">
        <f>IF($O$1="n",COUNTA(C9:G9,I9),IF($O$1="y",COUNTA(B9:G9,I9),0))</f>
      </c>
      <c r="Q9" s="4088"/>
      <c r="S9" s="1485">
        <f>Consolidation!B1</f>
      </c>
      <c r="T9" s="1485">
        <f>SUMIF($B$9:$B$78,S9,$I$9:$I$78)</f>
      </c>
      <c r="U9" s="1485">
        <f>IF(AND($V$1=$W$1,T9&gt;300000),1,0)</f>
      </c>
      <c r="W9" s="1485">
        <f>B9</f>
      </c>
      <c r="X9" s="2314">
        <f>I9</f>
      </c>
      <c r="Y9" s="2314">
        <f>X9</f>
      </c>
    </row>
    <row r="10" spans="1:25" x14ac:dyDescent="0.2">
      <c r="A10" s="3748">
        <v>2</v>
      </c>
      <c r="B10" s="3352"/>
      <c r="C10" s="363"/>
      <c r="D10" s="809"/>
      <c r="E10" s="3989"/>
      <c r="F10" s="3990"/>
      <c r="G10" s="3989"/>
      <c r="H10" s="4163">
        <f t="shared" ref="H10:H78" si="1">IF(F10="",0,E10-G10)</f>
      </c>
      <c r="I10" s="3989"/>
      <c r="J10" s="4164">
        <f t="shared" ref="J10:J78" si="2">IF(H10=0,0,H10-I10)</f>
      </c>
      <c r="K10" s="3985" t="str">
        <f t="shared" ref="K10:K41" si="3">IF(AND($G$6&gt;0,A10&lt;=$G$6,N10=0),re,IF(AND($O$1="n",B10&lt;&gt;""),"Not a fiscal Unit",IF(AND($G$6&gt;0,A10&lt;=$G$6,$O$1="y",N10&lt;7),"All data",IF(AND(A10&gt;$G$6,N10&gt;0),"No details required",IF(AND($G$6&gt;0,A10&lt;=$G$6,$O$1="n",N10&lt;6),"All data",IF(AND(F10&gt;=$R$1,G10&gt;0),"Check utilised credit in previous years",IF(AND($O$1="n",$V$1=$W$1,I10&gt;H10),"Excessive utilised credit!",IF(AND($O$1="y",$V$1=$W$1,Y10&gt;300000),"Excessive utilised credit!",""))))))))</f>
        <v/>
      </c>
      <c r="M10" s="3123">
        <f t="shared" ref="M10:M78" si="4">IF(K10="",0,1)</f>
      </c>
      <c r="N10" s="3123">
        <f t="shared" ref="N10:N73" si="5">IF($O$1="n",COUNTA(C10:G10,I10),IF($O$1="y",COUNTA(B10:G10,I10),0))</f>
      </c>
      <c r="Q10" s="4088"/>
      <c r="S10" s="1485">
        <f>Consolidation!B2</f>
      </c>
      <c r="T10" s="1485">
        <f t="shared" ref="T10:T11" si="6">SUMIF($B$9:$B$78,S10,$I$9:$I$78)</f>
      </c>
      <c r="U10" s="1485">
        <f t="shared" ref="U10:U11" si="7">IF(AND($V$1=$W$1,T10&gt;300000),1,0)</f>
      </c>
      <c r="W10" s="1485">
        <f t="shared" ref="W10:W73" si="8">B10</f>
      </c>
      <c r="X10" s="2314">
        <f t="shared" ref="X10:X73" si="9">I10</f>
      </c>
      <c r="Y10" s="2314">
        <f>SUMIF($W$9:W10,W10,$X$9:X10)</f>
      </c>
    </row>
    <row r="11" spans="1:25" x14ac:dyDescent="0.2">
      <c r="A11" s="3748">
        <v>3</v>
      </c>
      <c r="B11" s="3352"/>
      <c r="C11" s="363"/>
      <c r="D11" s="809"/>
      <c r="E11" s="3989"/>
      <c r="F11" s="3990"/>
      <c r="G11" s="3989"/>
      <c r="H11" s="4163">
        <f t="shared" si="1"/>
        <v>0</v>
      </c>
      <c r="I11" s="3989"/>
      <c r="J11" s="4164">
        <f t="shared" si="2"/>
        <v>0</v>
      </c>
      <c r="K11" s="3985" t="str">
        <f t="shared" si="3"/>
        <v/>
      </c>
      <c r="M11" s="3123">
        <f t="shared" si="4"/>
        <v>0</v>
      </c>
      <c r="N11" s="3123">
        <f t="shared" si="5"/>
        <v>0</v>
      </c>
      <c r="Q11" s="4088"/>
      <c r="S11" s="1485">
        <f>Consolidation!B3</f>
      </c>
      <c r="T11" s="1485">
        <f t="shared" si="6"/>
        <v>0</v>
      </c>
      <c r="U11" s="1485">
        <f t="shared" si="7"/>
        <v>0</v>
      </c>
      <c r="W11" s="1485">
        <f t="shared" si="8"/>
        <v>0</v>
      </c>
      <c r="X11" s="2314">
        <f t="shared" si="9"/>
        <v>0</v>
      </c>
      <c r="Y11" s="2314">
        <f>SUMIF($W$9:W11,W11,$X$9:X11)</f>
      </c>
    </row>
    <row r="12" spans="1:25" x14ac:dyDescent="0.2">
      <c r="A12" s="3748">
        <v>4</v>
      </c>
      <c r="B12" s="3352"/>
      <c r="C12" s="363"/>
      <c r="D12" s="809"/>
      <c r="E12" s="3989"/>
      <c r="F12" s="3990"/>
      <c r="G12" s="3989"/>
      <c r="H12" s="4163">
        <f t="shared" si="1"/>
        <v>0</v>
      </c>
      <c r="I12" s="3989"/>
      <c r="J12" s="4164">
        <f t="shared" si="2"/>
        <v>0</v>
      </c>
      <c r="K12" s="3985" t="str">
        <f t="shared" si="3"/>
        <v/>
      </c>
      <c r="M12" s="3123">
        <f t="shared" si="4"/>
        <v>0</v>
      </c>
      <c r="N12" s="3123">
        <f t="shared" si="5"/>
        <v>0</v>
      </c>
      <c r="Q12" s="4088"/>
      <c r="S12" s="1485">
        <f>Consolidation!B4</f>
      </c>
      <c r="T12" s="1485">
        <f t="shared" ref="T12:T75" si="10">SUMIF($B$9:$B$78,S12,$I$9:$I$78)</f>
      </c>
      <c r="U12" s="1485">
        <f t="shared" ref="U12:U75" si="11">IF(AND($V$1=$W$1,T12&gt;300000),1,0)</f>
      </c>
      <c r="W12" s="1485">
        <f t="shared" si="8"/>
        <v>0</v>
      </c>
      <c r="X12" s="2314">
        <f t="shared" si="9"/>
        <v>0</v>
      </c>
      <c r="Y12" s="2314">
        <f>SUMIF($W$9:W12,W12,$X$9:X12)</f>
      </c>
    </row>
    <row r="13" spans="1:25" x14ac:dyDescent="0.2">
      <c r="A13" s="3748">
        <v>5</v>
      </c>
      <c r="B13" s="3352"/>
      <c r="C13" s="363"/>
      <c r="D13" s="809"/>
      <c r="E13" s="3989"/>
      <c r="F13" s="3990"/>
      <c r="G13" s="3989"/>
      <c r="H13" s="4163">
        <f t="shared" si="1"/>
        <v>0</v>
      </c>
      <c r="I13" s="3989"/>
      <c r="J13" s="4164">
        <f t="shared" si="2"/>
        <v>0</v>
      </c>
      <c r="K13" s="3985" t="str">
        <f t="shared" si="3"/>
        <v/>
      </c>
      <c r="M13" s="3123">
        <f t="shared" si="4"/>
        <v>0</v>
      </c>
      <c r="N13" s="3123">
        <f t="shared" si="5"/>
        <v>0</v>
      </c>
      <c r="Q13" s="4088"/>
      <c r="S13" s="1485">
        <f>Consolidation!B5</f>
      </c>
      <c r="T13" s="1485">
        <f t="shared" si="10"/>
        <v>0</v>
      </c>
      <c r="U13" s="1485">
        <f t="shared" si="11"/>
        <v>0</v>
      </c>
      <c r="W13" s="1485">
        <f t="shared" si="8"/>
        <v>0</v>
      </c>
      <c r="X13" s="2314">
        <f t="shared" si="9"/>
        <v>0</v>
      </c>
      <c r="Y13" s="2314">
        <f>SUMIF($W$9:W13,W13,$X$9:X13)</f>
      </c>
    </row>
    <row r="14" spans="1:25" x14ac:dyDescent="0.2">
      <c r="A14" s="3748">
        <v>6</v>
      </c>
      <c r="B14" s="3352"/>
      <c r="C14" s="363"/>
      <c r="D14" s="809"/>
      <c r="E14" s="3989"/>
      <c r="F14" s="3990"/>
      <c r="G14" s="3989"/>
      <c r="H14" s="4163">
        <f t="shared" si="1"/>
        <v>0</v>
      </c>
      <c r="I14" s="3989"/>
      <c r="J14" s="4164">
        <f t="shared" si="2"/>
        <v>0</v>
      </c>
      <c r="K14" s="3985" t="str">
        <f t="shared" si="3"/>
        <v/>
      </c>
      <c r="M14" s="3123">
        <f t="shared" si="4"/>
        <v>0</v>
      </c>
      <c r="N14" s="3123">
        <f t="shared" si="5"/>
        <v>0</v>
      </c>
      <c r="Q14" s="4088"/>
      <c r="S14" s="1485">
        <f>Consolidation!B6</f>
      </c>
      <c r="T14" s="1485">
        <f t="shared" si="10"/>
        <v>0</v>
      </c>
      <c r="U14" s="1485">
        <f t="shared" si="11"/>
        <v>0</v>
      </c>
      <c r="W14" s="1485">
        <f t="shared" si="8"/>
        <v>0</v>
      </c>
      <c r="X14" s="2314">
        <f t="shared" si="9"/>
        <v>0</v>
      </c>
      <c r="Y14" s="2314">
        <f>SUMIF($W$9:W14,W14,$X$9:X14)</f>
      </c>
    </row>
    <row r="15" spans="1:25" x14ac:dyDescent="0.2">
      <c r="A15" s="3748">
        <v>7</v>
      </c>
      <c r="B15" s="3352"/>
      <c r="C15" s="363"/>
      <c r="D15" s="809"/>
      <c r="E15" s="3989"/>
      <c r="F15" s="3990"/>
      <c r="G15" s="3989"/>
      <c r="H15" s="4163">
        <f t="shared" si="1"/>
        <v>0</v>
      </c>
      <c r="I15" s="3989"/>
      <c r="J15" s="4164">
        <f t="shared" si="2"/>
        <v>0</v>
      </c>
      <c r="K15" s="3985" t="str">
        <f t="shared" si="3"/>
        <v/>
      </c>
      <c r="M15" s="3123">
        <f t="shared" si="4"/>
        <v>0</v>
      </c>
      <c r="N15" s="3123">
        <f t="shared" si="5"/>
        <v>0</v>
      </c>
      <c r="Q15" s="4088"/>
      <c r="S15" s="1485">
        <f>Consolidation!B7</f>
      </c>
      <c r="T15" s="1485">
        <f t="shared" si="10"/>
        <v>0</v>
      </c>
      <c r="U15" s="1485">
        <f t="shared" si="11"/>
        <v>0</v>
      </c>
      <c r="W15" s="1485">
        <f t="shared" si="8"/>
        <v>0</v>
      </c>
      <c r="X15" s="2314">
        <f t="shared" si="9"/>
        <v>0</v>
      </c>
      <c r="Y15" s="2314">
        <f>SUMIF($W$9:W15,W15,$X$9:X15)</f>
      </c>
    </row>
    <row r="16" spans="1:25" x14ac:dyDescent="0.2">
      <c r="A16" s="3748">
        <v>8</v>
      </c>
      <c r="B16" s="3352"/>
      <c r="C16" s="363"/>
      <c r="D16" s="809"/>
      <c r="E16" s="3989"/>
      <c r="F16" s="3990"/>
      <c r="G16" s="3989"/>
      <c r="H16" s="4163">
        <f t="shared" si="1"/>
        <v>0</v>
      </c>
      <c r="I16" s="3989"/>
      <c r="J16" s="4164">
        <f t="shared" si="2"/>
        <v>0</v>
      </c>
      <c r="K16" s="3985" t="str">
        <f t="shared" si="3"/>
        <v/>
      </c>
      <c r="M16" s="3123">
        <f t="shared" si="4"/>
        <v>0</v>
      </c>
      <c r="N16" s="3123">
        <f t="shared" si="5"/>
        <v>0</v>
      </c>
      <c r="Q16" s="4088"/>
      <c r="S16" s="1485">
        <f>Consolidation!B8</f>
      </c>
      <c r="T16" s="1485">
        <f t="shared" si="10"/>
        <v>0</v>
      </c>
      <c r="U16" s="1485">
        <f t="shared" si="11"/>
        <v>0</v>
      </c>
      <c r="W16" s="1485">
        <f t="shared" si="8"/>
        <v>0</v>
      </c>
      <c r="X16" s="2314">
        <f t="shared" si="9"/>
        <v>0</v>
      </c>
      <c r="Y16" s="2314">
        <f>SUMIF($W$9:W16,W16,$X$9:X16)</f>
      </c>
    </row>
    <row r="17" spans="1:25" x14ac:dyDescent="0.2">
      <c r="A17" s="3748">
        <v>9</v>
      </c>
      <c r="B17" s="3352"/>
      <c r="C17" s="363"/>
      <c r="D17" s="809"/>
      <c r="E17" s="3989"/>
      <c r="F17" s="3990"/>
      <c r="G17" s="3989"/>
      <c r="H17" s="4163">
        <f t="shared" si="1"/>
        <v>0</v>
      </c>
      <c r="I17" s="3989"/>
      <c r="J17" s="4164">
        <f t="shared" si="2"/>
        <v>0</v>
      </c>
      <c r="K17" s="3985" t="str">
        <f t="shared" si="3"/>
        <v/>
      </c>
      <c r="M17" s="3123">
        <f t="shared" si="4"/>
        <v>0</v>
      </c>
      <c r="N17" s="3123">
        <f t="shared" si="5"/>
        <v>0</v>
      </c>
      <c r="Q17" s="4088"/>
      <c r="S17" s="1485">
        <f>Consolidation!B9</f>
      </c>
      <c r="T17" s="1485">
        <f t="shared" si="10"/>
        <v>0</v>
      </c>
      <c r="U17" s="1485">
        <f t="shared" si="11"/>
        <v>0</v>
      </c>
      <c r="W17" s="1485">
        <f t="shared" si="8"/>
        <v>0</v>
      </c>
      <c r="X17" s="2314">
        <f t="shared" si="9"/>
        <v>0</v>
      </c>
      <c r="Y17" s="2314">
        <f>SUMIF($W$9:W17,W17,$X$9:X17)</f>
      </c>
    </row>
    <row r="18" spans="1:25" x14ac:dyDescent="0.2">
      <c r="A18" s="3748">
        <v>10</v>
      </c>
      <c r="B18" s="3352"/>
      <c r="C18" s="363"/>
      <c r="D18" s="809"/>
      <c r="E18" s="3989"/>
      <c r="F18" s="3990"/>
      <c r="G18" s="3989"/>
      <c r="H18" s="4163">
        <f t="shared" si="1"/>
        <v>0</v>
      </c>
      <c r="I18" s="3989"/>
      <c r="J18" s="4164">
        <f t="shared" si="2"/>
        <v>0</v>
      </c>
      <c r="K18" s="3985" t="str">
        <f t="shared" si="3"/>
        <v/>
      </c>
      <c r="M18" s="3123">
        <f t="shared" si="4"/>
        <v>0</v>
      </c>
      <c r="N18" s="3123">
        <f t="shared" si="5"/>
        <v>0</v>
      </c>
      <c r="Q18" s="4088"/>
      <c r="S18" s="1485">
        <f>Consolidation!B10</f>
      </c>
      <c r="T18" s="1485">
        <f t="shared" si="10"/>
        <v>0</v>
      </c>
      <c r="U18" s="1485">
        <f t="shared" si="11"/>
        <v>0</v>
      </c>
      <c r="W18" s="1485">
        <f t="shared" si="8"/>
        <v>0</v>
      </c>
      <c r="X18" s="2314">
        <f t="shared" si="9"/>
        <v>0</v>
      </c>
      <c r="Y18" s="2314">
        <f>SUMIF($W$9:W18,W18,$X$9:X18)</f>
      </c>
    </row>
    <row r="19" spans="1:25" x14ac:dyDescent="0.2">
      <c r="A19" s="3748">
        <v>11</v>
      </c>
      <c r="B19" s="3352"/>
      <c r="C19" s="363"/>
      <c r="D19" s="809"/>
      <c r="E19" s="3989"/>
      <c r="F19" s="3990"/>
      <c r="G19" s="3989"/>
      <c r="H19" s="4163">
        <f t="shared" si="1"/>
        <v>0</v>
      </c>
      <c r="I19" s="3989"/>
      <c r="J19" s="4164">
        <f t="shared" si="2"/>
        <v>0</v>
      </c>
      <c r="K19" s="3985" t="str">
        <f t="shared" si="3"/>
        <v/>
      </c>
      <c r="M19" s="3123">
        <f t="shared" si="4"/>
        <v>0</v>
      </c>
      <c r="N19" s="3123">
        <f t="shared" si="5"/>
        <v>0</v>
      </c>
      <c r="Q19" s="4088"/>
      <c r="S19" s="1485">
        <f>Consolidation!B11</f>
      </c>
      <c r="T19" s="1485">
        <f t="shared" si="10"/>
        <v>0</v>
      </c>
      <c r="U19" s="1485">
        <f t="shared" si="11"/>
        <v>0</v>
      </c>
      <c r="W19" s="1485">
        <f t="shared" si="8"/>
        <v>0</v>
      </c>
      <c r="X19" s="2314">
        <f t="shared" si="9"/>
        <v>0</v>
      </c>
      <c r="Y19" s="2314">
        <f>SUMIF($W$9:W19,W19,$X$9:X19)</f>
      </c>
    </row>
    <row r="20" spans="1:25" x14ac:dyDescent="0.2">
      <c r="A20" s="3748">
        <v>12</v>
      </c>
      <c r="B20" s="3352"/>
      <c r="C20" s="363"/>
      <c r="D20" s="809"/>
      <c r="E20" s="3989"/>
      <c r="F20" s="3990"/>
      <c r="G20" s="3989"/>
      <c r="H20" s="4163">
        <f t="shared" si="1"/>
        <v>0</v>
      </c>
      <c r="I20" s="3989"/>
      <c r="J20" s="4164">
        <f t="shared" si="2"/>
        <v>0</v>
      </c>
      <c r="K20" s="3985" t="str">
        <f t="shared" si="3"/>
        <v/>
      </c>
      <c r="M20" s="3123">
        <f t="shared" si="4"/>
        <v>0</v>
      </c>
      <c r="N20" s="3123">
        <f t="shared" si="5"/>
        <v>0</v>
      </c>
      <c r="Q20" s="4088"/>
      <c r="S20" s="1485">
        <f>Consolidation!B12</f>
      </c>
      <c r="T20" s="1485">
        <f t="shared" si="10"/>
        <v>0</v>
      </c>
      <c r="U20" s="1485">
        <f t="shared" si="11"/>
        <v>0</v>
      </c>
      <c r="W20" s="1485">
        <f t="shared" si="8"/>
        <v>0</v>
      </c>
      <c r="X20" s="2314">
        <f t="shared" si="9"/>
        <v>0</v>
      </c>
      <c r="Y20" s="2314">
        <f>SUMIF($W$9:W20,W20,$X$9:X20)</f>
      </c>
    </row>
    <row r="21" spans="1:25" x14ac:dyDescent="0.2">
      <c r="A21" s="3748">
        <v>13</v>
      </c>
      <c r="B21" s="3352"/>
      <c r="C21" s="363"/>
      <c r="D21" s="809"/>
      <c r="E21" s="3989"/>
      <c r="F21" s="3990"/>
      <c r="G21" s="3989"/>
      <c r="H21" s="4163">
        <f t="shared" si="1"/>
        <v>0</v>
      </c>
      <c r="I21" s="3989"/>
      <c r="J21" s="4164">
        <f t="shared" si="2"/>
        <v>0</v>
      </c>
      <c r="K21" s="3985" t="str">
        <f t="shared" si="3"/>
        <v/>
      </c>
      <c r="M21" s="3123">
        <f t="shared" si="4"/>
        <v>0</v>
      </c>
      <c r="N21" s="3123">
        <f t="shared" si="5"/>
        <v>0</v>
      </c>
      <c r="Q21" s="4088"/>
      <c r="S21" s="1485">
        <f>Consolidation!B13</f>
      </c>
      <c r="T21" s="1485">
        <f t="shared" si="10"/>
        <v>0</v>
      </c>
      <c r="U21" s="1485">
        <f t="shared" si="11"/>
        <v>0</v>
      </c>
      <c r="W21" s="1485">
        <f t="shared" si="8"/>
        <v>0</v>
      </c>
      <c r="X21" s="2314">
        <f t="shared" si="9"/>
        <v>0</v>
      </c>
      <c r="Y21" s="2314">
        <f>SUMIF($W$9:W21,W21,$X$9:X21)</f>
      </c>
    </row>
    <row r="22" spans="1:25" x14ac:dyDescent="0.2">
      <c r="A22" s="3748">
        <v>14</v>
      </c>
      <c r="B22" s="3352"/>
      <c r="C22" s="363"/>
      <c r="D22" s="809"/>
      <c r="E22" s="3989"/>
      <c r="F22" s="3990"/>
      <c r="G22" s="3989"/>
      <c r="H22" s="4163">
        <f t="shared" si="1"/>
        <v>0</v>
      </c>
      <c r="I22" s="3989"/>
      <c r="J22" s="4164">
        <f t="shared" si="2"/>
        <v>0</v>
      </c>
      <c r="K22" s="3985" t="str">
        <f t="shared" si="3"/>
        <v/>
      </c>
      <c r="M22" s="3123">
        <f t="shared" si="4"/>
        <v>0</v>
      </c>
      <c r="N22" s="3123">
        <f t="shared" si="5"/>
        <v>0</v>
      </c>
      <c r="Q22" s="4088"/>
      <c r="S22" s="1485">
        <f>Consolidation!B14</f>
      </c>
      <c r="T22" s="1485">
        <f t="shared" si="10"/>
        <v>0</v>
      </c>
      <c r="U22" s="1485">
        <f t="shared" si="11"/>
        <v>0</v>
      </c>
      <c r="W22" s="1485">
        <f t="shared" si="8"/>
        <v>0</v>
      </c>
      <c r="X22" s="2314">
        <f t="shared" si="9"/>
        <v>0</v>
      </c>
      <c r="Y22" s="2314">
        <f>SUMIF($W$9:W22,W22,$X$9:X22)</f>
      </c>
    </row>
    <row r="23" spans="1:25" x14ac:dyDescent="0.2">
      <c r="A23" s="3748">
        <v>15</v>
      </c>
      <c r="B23" s="3352"/>
      <c r="C23" s="363"/>
      <c r="D23" s="809"/>
      <c r="E23" s="3989"/>
      <c r="F23" s="3990"/>
      <c r="G23" s="3989"/>
      <c r="H23" s="4163">
        <f t="shared" si="1"/>
        <v>0</v>
      </c>
      <c r="I23" s="3989"/>
      <c r="J23" s="4164">
        <f t="shared" si="2"/>
        <v>0</v>
      </c>
      <c r="K23" s="3985" t="str">
        <f t="shared" si="3"/>
        <v/>
      </c>
      <c r="M23" s="3123">
        <f t="shared" si="4"/>
        <v>0</v>
      </c>
      <c r="N23" s="3123">
        <f t="shared" si="5"/>
        <v>0</v>
      </c>
      <c r="Q23" s="4088"/>
      <c r="S23" s="1485">
        <f>Consolidation!B15</f>
      </c>
      <c r="T23" s="1485">
        <f t="shared" si="10"/>
        <v>0</v>
      </c>
      <c r="U23" s="1485">
        <f t="shared" si="11"/>
        <v>0</v>
      </c>
      <c r="W23" s="1485">
        <f t="shared" si="8"/>
        <v>0</v>
      </c>
      <c r="X23" s="2314">
        <f t="shared" si="9"/>
        <v>0</v>
      </c>
      <c r="Y23" s="2314">
        <f>SUMIF($W$9:W23,W23,$X$9:X23)</f>
      </c>
    </row>
    <row r="24" spans="1:25" x14ac:dyDescent="0.2">
      <c r="A24" s="3748">
        <v>16</v>
      </c>
      <c r="B24" s="3352"/>
      <c r="C24" s="363"/>
      <c r="D24" s="809"/>
      <c r="E24" s="3989"/>
      <c r="F24" s="3990"/>
      <c r="G24" s="3989"/>
      <c r="H24" s="4163">
        <f t="shared" si="1"/>
        <v>0</v>
      </c>
      <c r="I24" s="3989"/>
      <c r="J24" s="4164">
        <f t="shared" si="2"/>
        <v>0</v>
      </c>
      <c r="K24" s="3985" t="str">
        <f t="shared" si="3"/>
        <v/>
      </c>
      <c r="M24" s="3123">
        <f t="shared" si="4"/>
        <v>0</v>
      </c>
      <c r="N24" s="3123">
        <f t="shared" si="5"/>
        <v>0</v>
      </c>
      <c r="Q24" s="4088"/>
      <c r="S24" s="1485">
        <f>Consolidation!B16</f>
      </c>
      <c r="T24" s="1485">
        <f t="shared" si="10"/>
        <v>0</v>
      </c>
      <c r="U24" s="1485">
        <f t="shared" si="11"/>
        <v>0</v>
      </c>
      <c r="W24" s="1485">
        <f t="shared" si="8"/>
        <v>0</v>
      </c>
      <c r="X24" s="2314">
        <f t="shared" si="9"/>
        <v>0</v>
      </c>
      <c r="Y24" s="2314">
        <f>SUMIF($W$9:W24,W24,$X$9:X24)</f>
      </c>
    </row>
    <row r="25" spans="1:25" x14ac:dyDescent="0.2">
      <c r="A25" s="3748">
        <v>17</v>
      </c>
      <c r="B25" s="3352"/>
      <c r="C25" s="363"/>
      <c r="D25" s="809"/>
      <c r="E25" s="3989"/>
      <c r="F25" s="3990"/>
      <c r="G25" s="3989"/>
      <c r="H25" s="4163">
        <f t="shared" si="1"/>
        <v>0</v>
      </c>
      <c r="I25" s="3989"/>
      <c r="J25" s="4164">
        <f t="shared" si="2"/>
        <v>0</v>
      </c>
      <c r="K25" s="3985" t="str">
        <f t="shared" si="3"/>
        <v/>
      </c>
      <c r="M25" s="3123">
        <f t="shared" si="4"/>
        <v>0</v>
      </c>
      <c r="N25" s="3123">
        <f t="shared" si="5"/>
        <v>0</v>
      </c>
      <c r="Q25" s="4088"/>
      <c r="S25" s="1485">
        <f>Consolidation!B17</f>
      </c>
      <c r="T25" s="1485">
        <f t="shared" si="10"/>
        <v>0</v>
      </c>
      <c r="U25" s="1485">
        <f t="shared" si="11"/>
        <v>0</v>
      </c>
      <c r="W25" s="1485">
        <f t="shared" si="8"/>
        <v>0</v>
      </c>
      <c r="X25" s="2314">
        <f t="shared" si="9"/>
        <v>0</v>
      </c>
      <c r="Y25" s="2314">
        <f>SUMIF($W$9:W25,W25,$X$9:X25)</f>
      </c>
    </row>
    <row r="26" spans="1:25" x14ac:dyDescent="0.2">
      <c r="A26" s="3748">
        <v>18</v>
      </c>
      <c r="B26" s="3352"/>
      <c r="C26" s="363"/>
      <c r="D26" s="809"/>
      <c r="E26" s="3989"/>
      <c r="F26" s="3990"/>
      <c r="G26" s="3989"/>
      <c r="H26" s="4163">
        <f t="shared" si="1"/>
        <v>0</v>
      </c>
      <c r="I26" s="3989"/>
      <c r="J26" s="4164">
        <f t="shared" si="2"/>
        <v>0</v>
      </c>
      <c r="K26" s="3985" t="str">
        <f t="shared" si="3"/>
        <v/>
      </c>
      <c r="M26" s="3123">
        <f t="shared" si="4"/>
        <v>0</v>
      </c>
      <c r="N26" s="3123">
        <f t="shared" si="5"/>
        <v>0</v>
      </c>
      <c r="Q26" s="4088"/>
      <c r="S26" s="1485">
        <f>Consolidation!B18</f>
      </c>
      <c r="T26" s="1485">
        <f t="shared" si="10"/>
        <v>0</v>
      </c>
      <c r="U26" s="1485">
        <f t="shared" si="11"/>
        <v>0</v>
      </c>
      <c r="W26" s="1485">
        <f t="shared" si="8"/>
        <v>0</v>
      </c>
      <c r="X26" s="2314">
        <f t="shared" si="9"/>
        <v>0</v>
      </c>
      <c r="Y26" s="2314">
        <f>SUMIF($W$9:W26,W26,$X$9:X26)</f>
      </c>
    </row>
    <row r="27" spans="1:25" x14ac:dyDescent="0.2">
      <c r="A27" s="3748">
        <v>19</v>
      </c>
      <c r="B27" s="3352"/>
      <c r="C27" s="363"/>
      <c r="D27" s="809"/>
      <c r="E27" s="3989"/>
      <c r="F27" s="3990"/>
      <c r="G27" s="3989"/>
      <c r="H27" s="4163">
        <f t="shared" si="1"/>
        <v>0</v>
      </c>
      <c r="I27" s="3989"/>
      <c r="J27" s="4164">
        <f t="shared" si="2"/>
        <v>0</v>
      </c>
      <c r="K27" s="3985" t="str">
        <f t="shared" si="3"/>
        <v/>
      </c>
      <c r="M27" s="3123">
        <f t="shared" si="4"/>
        <v>0</v>
      </c>
      <c r="N27" s="3123">
        <f t="shared" si="5"/>
        <v>0</v>
      </c>
      <c r="Q27" s="4088"/>
      <c r="S27" s="1485">
        <f>Consolidation!B19</f>
      </c>
      <c r="T27" s="1485">
        <f t="shared" si="10"/>
        <v>0</v>
      </c>
      <c r="U27" s="1485">
        <f t="shared" si="11"/>
        <v>0</v>
      </c>
      <c r="W27" s="1485">
        <f t="shared" si="8"/>
        <v>0</v>
      </c>
      <c r="X27" s="2314">
        <f t="shared" si="9"/>
        <v>0</v>
      </c>
      <c r="Y27" s="2314">
        <f>SUMIF($W$9:W27,W27,$X$9:X27)</f>
      </c>
    </row>
    <row r="28" spans="1:25" x14ac:dyDescent="0.2">
      <c r="A28" s="3748">
        <v>20</v>
      </c>
      <c r="B28" s="3352"/>
      <c r="C28" s="363"/>
      <c r="D28" s="809"/>
      <c r="E28" s="3989"/>
      <c r="F28" s="3990"/>
      <c r="G28" s="3989"/>
      <c r="H28" s="4163">
        <f t="shared" si="1"/>
        <v>0</v>
      </c>
      <c r="I28" s="3989"/>
      <c r="J28" s="4164">
        <f t="shared" si="2"/>
        <v>0</v>
      </c>
      <c r="K28" s="3985" t="str">
        <f t="shared" si="3"/>
        <v/>
      </c>
      <c r="M28" s="3123">
        <f t="shared" si="4"/>
        <v>0</v>
      </c>
      <c r="N28" s="3123">
        <f t="shared" si="5"/>
        <v>0</v>
      </c>
      <c r="Q28" s="4088"/>
      <c r="S28" s="1485">
        <f>Consolidation!B20</f>
      </c>
      <c r="T28" s="1485">
        <f t="shared" si="10"/>
        <v>0</v>
      </c>
      <c r="U28" s="1485">
        <f t="shared" si="11"/>
        <v>0</v>
      </c>
      <c r="W28" s="1485">
        <f t="shared" si="8"/>
        <v>0</v>
      </c>
      <c r="X28" s="2314">
        <f t="shared" si="9"/>
        <v>0</v>
      </c>
      <c r="Y28" s="2314">
        <f>SUMIF($W$9:W28,W28,$X$9:X28)</f>
      </c>
    </row>
    <row r="29" spans="1:25" x14ac:dyDescent="0.2">
      <c r="A29" s="3748">
        <v>21</v>
      </c>
      <c r="B29" s="3352"/>
      <c r="C29" s="363"/>
      <c r="D29" s="809"/>
      <c r="E29" s="3989"/>
      <c r="F29" s="3990"/>
      <c r="G29" s="3989"/>
      <c r="H29" s="4163">
        <f t="shared" si="1"/>
        <v>0</v>
      </c>
      <c r="I29" s="3989"/>
      <c r="J29" s="4164">
        <f t="shared" si="2"/>
        <v>0</v>
      </c>
      <c r="K29" s="3985" t="str">
        <f t="shared" si="3"/>
        <v/>
      </c>
      <c r="M29" s="3123">
        <f t="shared" si="4"/>
        <v>0</v>
      </c>
      <c r="N29" s="3123">
        <f t="shared" si="5"/>
        <v>0</v>
      </c>
      <c r="Q29" s="4088"/>
      <c r="S29" s="1485">
        <f>Consolidation!B21</f>
      </c>
      <c r="T29" s="1485">
        <f t="shared" si="10"/>
        <v>0</v>
      </c>
      <c r="U29" s="1485">
        <f t="shared" si="11"/>
        <v>0</v>
      </c>
      <c r="W29" s="1485">
        <f t="shared" si="8"/>
        <v>0</v>
      </c>
      <c r="X29" s="2314">
        <f t="shared" si="9"/>
        <v>0</v>
      </c>
      <c r="Y29" s="2314">
        <f>SUMIF($W$9:W29,W29,$X$9:X29)</f>
      </c>
    </row>
    <row r="30" spans="1:25" x14ac:dyDescent="0.2">
      <c r="A30" s="3748">
        <v>22</v>
      </c>
      <c r="B30" s="3352"/>
      <c r="C30" s="363"/>
      <c r="D30" s="809"/>
      <c r="E30" s="3989"/>
      <c r="F30" s="3990"/>
      <c r="G30" s="3989"/>
      <c r="H30" s="4163">
        <f t="shared" si="1"/>
        <v>0</v>
      </c>
      <c r="I30" s="3989"/>
      <c r="J30" s="4164">
        <f t="shared" si="2"/>
        <v>0</v>
      </c>
      <c r="K30" s="3985" t="str">
        <f t="shared" si="3"/>
        <v/>
      </c>
      <c r="M30" s="3123">
        <f t="shared" si="4"/>
        <v>0</v>
      </c>
      <c r="N30" s="3123">
        <f t="shared" si="5"/>
        <v>0</v>
      </c>
      <c r="Q30" s="4088"/>
      <c r="S30" s="1485">
        <f>Consolidation!B22</f>
      </c>
      <c r="T30" s="1485">
        <f t="shared" si="10"/>
        <v>0</v>
      </c>
      <c r="U30" s="1485">
        <f t="shared" si="11"/>
        <v>0</v>
      </c>
      <c r="W30" s="1485">
        <f t="shared" si="8"/>
        <v>0</v>
      </c>
      <c r="X30" s="2314">
        <f t="shared" si="9"/>
        <v>0</v>
      </c>
      <c r="Y30" s="2314">
        <f>SUMIF($W$9:W30,W30,$X$9:X30)</f>
      </c>
    </row>
    <row r="31" spans="1:25" x14ac:dyDescent="0.2">
      <c r="A31" s="3748">
        <v>23</v>
      </c>
      <c r="B31" s="3352"/>
      <c r="C31" s="363"/>
      <c r="D31" s="809"/>
      <c r="E31" s="3989"/>
      <c r="F31" s="3990"/>
      <c r="G31" s="3989"/>
      <c r="H31" s="4163">
        <f t="shared" si="1"/>
        <v>0</v>
      </c>
      <c r="I31" s="3989"/>
      <c r="J31" s="4164">
        <f t="shared" si="2"/>
        <v>0</v>
      </c>
      <c r="K31" s="3985" t="str">
        <f t="shared" si="3"/>
        <v/>
      </c>
      <c r="M31" s="3123">
        <f t="shared" si="4"/>
        <v>0</v>
      </c>
      <c r="N31" s="3123">
        <f t="shared" si="5"/>
        <v>0</v>
      </c>
      <c r="Q31" s="4088"/>
      <c r="S31" s="1485">
        <f>Consolidation!B23</f>
      </c>
      <c r="T31" s="1485">
        <f t="shared" si="10"/>
        <v>0</v>
      </c>
      <c r="U31" s="1485">
        <f t="shared" si="11"/>
        <v>0</v>
      </c>
      <c r="W31" s="1485">
        <f t="shared" si="8"/>
        <v>0</v>
      </c>
      <c r="X31" s="2314">
        <f t="shared" si="9"/>
        <v>0</v>
      </c>
      <c r="Y31" s="2314">
        <f>SUMIF($W$9:W31,W31,$X$9:X31)</f>
      </c>
    </row>
    <row r="32" spans="1:25" x14ac:dyDescent="0.2">
      <c r="A32" s="3748">
        <v>24</v>
      </c>
      <c r="B32" s="3352"/>
      <c r="C32" s="363"/>
      <c r="D32" s="809"/>
      <c r="E32" s="3989"/>
      <c r="F32" s="3990"/>
      <c r="G32" s="3989"/>
      <c r="H32" s="4163">
        <f t="shared" si="1"/>
        <v>0</v>
      </c>
      <c r="I32" s="3989"/>
      <c r="J32" s="4164">
        <f t="shared" si="2"/>
        <v>0</v>
      </c>
      <c r="K32" s="3985" t="str">
        <f t="shared" si="3"/>
        <v/>
      </c>
      <c r="M32" s="3123">
        <f t="shared" si="4"/>
        <v>0</v>
      </c>
      <c r="N32" s="3123">
        <f t="shared" si="5"/>
        <v>0</v>
      </c>
      <c r="Q32" s="4088"/>
      <c r="S32" s="1485">
        <f>Consolidation!B24</f>
      </c>
      <c r="T32" s="1485">
        <f t="shared" si="10"/>
        <v>0</v>
      </c>
      <c r="U32" s="1485">
        <f t="shared" si="11"/>
        <v>0</v>
      </c>
      <c r="W32" s="1485">
        <f t="shared" si="8"/>
        <v>0</v>
      </c>
      <c r="X32" s="2314">
        <f t="shared" si="9"/>
        <v>0</v>
      </c>
      <c r="Y32" s="2314">
        <f>SUMIF($W$9:W32,W32,$X$9:X32)</f>
      </c>
    </row>
    <row r="33" spans="1:25" x14ac:dyDescent="0.2">
      <c r="A33" s="3748">
        <v>25</v>
      </c>
      <c r="B33" s="3352"/>
      <c r="C33" s="363"/>
      <c r="D33" s="809"/>
      <c r="E33" s="3989"/>
      <c r="F33" s="3990"/>
      <c r="G33" s="3989"/>
      <c r="H33" s="4163">
        <f t="shared" si="1"/>
        <v>0</v>
      </c>
      <c r="I33" s="3989"/>
      <c r="J33" s="4164">
        <f t="shared" si="2"/>
        <v>0</v>
      </c>
      <c r="K33" s="3985" t="str">
        <f t="shared" si="3"/>
        <v/>
      </c>
      <c r="M33" s="3123">
        <f t="shared" si="4"/>
        <v>0</v>
      </c>
      <c r="N33" s="3123">
        <f t="shared" si="5"/>
        <v>0</v>
      </c>
      <c r="Q33" s="4088"/>
      <c r="S33" s="1485">
        <f>Consolidation!B25</f>
      </c>
      <c r="T33" s="1485">
        <f t="shared" si="10"/>
        <v>0</v>
      </c>
      <c r="U33" s="1485">
        <f t="shared" si="11"/>
        <v>0</v>
      </c>
      <c r="W33" s="1485">
        <f t="shared" si="8"/>
        <v>0</v>
      </c>
      <c r="X33" s="2314">
        <f t="shared" si="9"/>
        <v>0</v>
      </c>
      <c r="Y33" s="2314">
        <f>SUMIF($W$9:W33,W33,$X$9:X33)</f>
      </c>
    </row>
    <row r="34" spans="1:25" x14ac:dyDescent="0.2">
      <c r="A34" s="3748">
        <v>26</v>
      </c>
      <c r="B34" s="3352"/>
      <c r="C34" s="363"/>
      <c r="D34" s="809"/>
      <c r="E34" s="3989"/>
      <c r="F34" s="3990"/>
      <c r="G34" s="3989"/>
      <c r="H34" s="4163">
        <f t="shared" si="1"/>
        <v>0</v>
      </c>
      <c r="I34" s="3989"/>
      <c r="J34" s="4164">
        <f t="shared" si="2"/>
        <v>0</v>
      </c>
      <c r="K34" s="3985" t="str">
        <f t="shared" si="3"/>
        <v/>
      </c>
      <c r="M34" s="3123">
        <f t="shared" si="4"/>
        <v>0</v>
      </c>
      <c r="N34" s="3123">
        <f t="shared" si="5"/>
        <v>0</v>
      </c>
      <c r="Q34" s="4088"/>
      <c r="S34" s="1485">
        <f>Consolidation!B26</f>
      </c>
      <c r="T34" s="1485">
        <f t="shared" si="10"/>
        <v>0</v>
      </c>
      <c r="U34" s="1485">
        <f t="shared" si="11"/>
        <v>0</v>
      </c>
      <c r="W34" s="1485">
        <f t="shared" si="8"/>
        <v>0</v>
      </c>
      <c r="X34" s="2314">
        <f t="shared" si="9"/>
        <v>0</v>
      </c>
      <c r="Y34" s="2314">
        <f>SUMIF($W$9:W34,W34,$X$9:X34)</f>
      </c>
    </row>
    <row r="35" spans="1:25" x14ac:dyDescent="0.2">
      <c r="A35" s="3748">
        <v>27</v>
      </c>
      <c r="B35" s="3352"/>
      <c r="C35" s="363"/>
      <c r="D35" s="809"/>
      <c r="E35" s="3989"/>
      <c r="F35" s="3990"/>
      <c r="G35" s="3989"/>
      <c r="H35" s="4163">
        <f t="shared" si="1"/>
        <v>0</v>
      </c>
      <c r="I35" s="3989"/>
      <c r="J35" s="4164">
        <f t="shared" si="2"/>
        <v>0</v>
      </c>
      <c r="K35" s="3985" t="str">
        <f t="shared" si="3"/>
        <v/>
      </c>
      <c r="M35" s="3123">
        <f t="shared" si="4"/>
        <v>0</v>
      </c>
      <c r="N35" s="3123">
        <f t="shared" si="5"/>
        <v>0</v>
      </c>
      <c r="Q35" s="4088"/>
      <c r="S35" s="1485">
        <f>Consolidation!B27</f>
      </c>
      <c r="T35" s="1485">
        <f t="shared" si="10"/>
        <v>0</v>
      </c>
      <c r="U35" s="1485">
        <f t="shared" si="11"/>
        <v>0</v>
      </c>
      <c r="W35" s="1485">
        <f t="shared" si="8"/>
        <v>0</v>
      </c>
      <c r="X35" s="2314">
        <f t="shared" si="9"/>
        <v>0</v>
      </c>
      <c r="Y35" s="2314">
        <f>SUMIF($W$9:W35,W35,$X$9:X35)</f>
      </c>
    </row>
    <row r="36" spans="1:25" x14ac:dyDescent="0.2">
      <c r="A36" s="3748">
        <v>28</v>
      </c>
      <c r="B36" s="3352"/>
      <c r="C36" s="363"/>
      <c r="D36" s="809"/>
      <c r="E36" s="3989"/>
      <c r="F36" s="3990"/>
      <c r="G36" s="3989"/>
      <c r="H36" s="4163">
        <f t="shared" si="1"/>
        <v>0</v>
      </c>
      <c r="I36" s="3989"/>
      <c r="J36" s="4164">
        <f t="shared" si="2"/>
        <v>0</v>
      </c>
      <c r="K36" s="3985" t="str">
        <f t="shared" si="3"/>
        <v/>
      </c>
      <c r="M36" s="3123">
        <f t="shared" si="4"/>
        <v>0</v>
      </c>
      <c r="N36" s="3123">
        <f t="shared" si="5"/>
        <v>0</v>
      </c>
      <c r="Q36" s="4088"/>
      <c r="S36" s="1485">
        <f>Consolidation!B28</f>
      </c>
      <c r="T36" s="1485">
        <f t="shared" si="10"/>
        <v>0</v>
      </c>
      <c r="U36" s="1485">
        <f t="shared" si="11"/>
        <v>0</v>
      </c>
      <c r="W36" s="1485">
        <f t="shared" si="8"/>
        <v>0</v>
      </c>
      <c r="X36" s="2314">
        <f t="shared" si="9"/>
        <v>0</v>
      </c>
      <c r="Y36" s="2314">
        <f>SUMIF($W$9:W36,W36,$X$9:X36)</f>
      </c>
    </row>
    <row r="37" spans="1:25" x14ac:dyDescent="0.2">
      <c r="A37" s="3748">
        <v>29</v>
      </c>
      <c r="B37" s="3352"/>
      <c r="C37" s="363"/>
      <c r="D37" s="809"/>
      <c r="E37" s="3989"/>
      <c r="F37" s="3990"/>
      <c r="G37" s="3989"/>
      <c r="H37" s="4163">
        <f t="shared" si="1"/>
        <v>0</v>
      </c>
      <c r="I37" s="3989"/>
      <c r="J37" s="4164">
        <f t="shared" si="2"/>
        <v>0</v>
      </c>
      <c r="K37" s="3985" t="str">
        <f t="shared" si="3"/>
        <v/>
      </c>
      <c r="M37" s="3123">
        <f t="shared" si="4"/>
        <v>0</v>
      </c>
      <c r="N37" s="3123">
        <f t="shared" si="5"/>
        <v>0</v>
      </c>
      <c r="Q37" s="4088"/>
      <c r="S37" s="1485">
        <f>Consolidation!B29</f>
      </c>
      <c r="T37" s="1485">
        <f t="shared" si="10"/>
        <v>0</v>
      </c>
      <c r="U37" s="1485">
        <f t="shared" si="11"/>
        <v>0</v>
      </c>
      <c r="W37" s="1485">
        <f t="shared" si="8"/>
        <v>0</v>
      </c>
      <c r="X37" s="2314">
        <f t="shared" si="9"/>
        <v>0</v>
      </c>
      <c r="Y37" s="2314">
        <f>SUMIF($W$9:W37,W37,$X$9:X37)</f>
      </c>
    </row>
    <row r="38" spans="1:25" x14ac:dyDescent="0.2">
      <c r="A38" s="3748">
        <v>30</v>
      </c>
      <c r="B38" s="3352"/>
      <c r="C38" s="363"/>
      <c r="D38" s="809"/>
      <c r="E38" s="3989"/>
      <c r="F38" s="3990"/>
      <c r="G38" s="3989"/>
      <c r="H38" s="4163">
        <f t="shared" si="1"/>
        <v>0</v>
      </c>
      <c r="I38" s="3989"/>
      <c r="J38" s="4164">
        <f t="shared" si="2"/>
        <v>0</v>
      </c>
      <c r="K38" s="3985" t="str">
        <f t="shared" si="3"/>
        <v/>
      </c>
      <c r="M38" s="3123">
        <f t="shared" si="4"/>
        <v>0</v>
      </c>
      <c r="N38" s="3123">
        <f t="shared" si="5"/>
        <v>0</v>
      </c>
      <c r="Q38" s="4088"/>
      <c r="S38" s="1485">
        <f>Consolidation!B30</f>
      </c>
      <c r="T38" s="1485">
        <f t="shared" si="10"/>
        <v>0</v>
      </c>
      <c r="U38" s="1485">
        <f t="shared" si="11"/>
        <v>0</v>
      </c>
      <c r="W38" s="1485">
        <f t="shared" si="8"/>
        <v>0</v>
      </c>
      <c r="X38" s="2314">
        <f t="shared" si="9"/>
        <v>0</v>
      </c>
      <c r="Y38" s="2314">
        <f>SUMIF($W$9:W38,W38,$X$9:X38)</f>
      </c>
    </row>
    <row r="39" spans="1:25" x14ac:dyDescent="0.2">
      <c r="A39" s="3748">
        <v>31</v>
      </c>
      <c r="B39" s="3352"/>
      <c r="C39" s="363"/>
      <c r="D39" s="809"/>
      <c r="E39" s="3989"/>
      <c r="F39" s="3990"/>
      <c r="G39" s="3989"/>
      <c r="H39" s="4163">
        <f t="shared" si="1"/>
        <v>0</v>
      </c>
      <c r="I39" s="3989"/>
      <c r="J39" s="4164">
        <f t="shared" si="2"/>
        <v>0</v>
      </c>
      <c r="K39" s="3985" t="str">
        <f t="shared" si="3"/>
        <v/>
      </c>
      <c r="M39" s="3123">
        <f t="shared" si="4"/>
        <v>0</v>
      </c>
      <c r="N39" s="3123">
        <f t="shared" si="5"/>
        <v>0</v>
      </c>
      <c r="Q39" s="4088"/>
      <c r="S39" s="1485">
        <f>Consolidation!B31</f>
      </c>
      <c r="T39" s="1485">
        <f t="shared" si="10"/>
        <v>0</v>
      </c>
      <c r="U39" s="1485">
        <f t="shared" si="11"/>
        <v>0</v>
      </c>
      <c r="W39" s="1485">
        <f t="shared" si="8"/>
        <v>0</v>
      </c>
      <c r="X39" s="2314">
        <f t="shared" si="9"/>
        <v>0</v>
      </c>
      <c r="Y39" s="2314">
        <f>SUMIF($W$9:W39,W39,$X$9:X39)</f>
      </c>
    </row>
    <row r="40" spans="1:25" x14ac:dyDescent="0.2">
      <c r="A40" s="3748">
        <v>32</v>
      </c>
      <c r="B40" s="3352"/>
      <c r="C40" s="363"/>
      <c r="D40" s="809"/>
      <c r="E40" s="3989"/>
      <c r="F40" s="3990"/>
      <c r="G40" s="3989"/>
      <c r="H40" s="4163">
        <f t="shared" si="1"/>
        <v>0</v>
      </c>
      <c r="I40" s="3989"/>
      <c r="J40" s="4164">
        <f t="shared" si="2"/>
        <v>0</v>
      </c>
      <c r="K40" s="3985" t="str">
        <f t="shared" si="3"/>
        <v/>
      </c>
      <c r="M40" s="3123">
        <f t="shared" si="4"/>
        <v>0</v>
      </c>
      <c r="N40" s="3123">
        <f t="shared" si="5"/>
        <v>0</v>
      </c>
      <c r="Q40" s="4088"/>
      <c r="S40" s="1485">
        <f>Consolidation!B32</f>
      </c>
      <c r="T40" s="1485">
        <f t="shared" si="10"/>
        <v>0</v>
      </c>
      <c r="U40" s="1485">
        <f t="shared" si="11"/>
        <v>0</v>
      </c>
      <c r="W40" s="1485">
        <f t="shared" si="8"/>
        <v>0</v>
      </c>
      <c r="X40" s="2314">
        <f t="shared" si="9"/>
        <v>0</v>
      </c>
      <c r="Y40" s="2314">
        <f>SUMIF($W$9:W40,W40,$X$9:X40)</f>
      </c>
    </row>
    <row r="41" spans="1:25" x14ac:dyDescent="0.2">
      <c r="A41" s="3748">
        <v>33</v>
      </c>
      <c r="B41" s="3352"/>
      <c r="C41" s="363"/>
      <c r="D41" s="809"/>
      <c r="E41" s="3989"/>
      <c r="F41" s="3990"/>
      <c r="G41" s="3989"/>
      <c r="H41" s="4163">
        <f t="shared" si="1"/>
        <v>0</v>
      </c>
      <c r="I41" s="3989"/>
      <c r="J41" s="4164">
        <f t="shared" si="2"/>
        <v>0</v>
      </c>
      <c r="K41" s="3985" t="str">
        <f t="shared" si="3"/>
        <v/>
      </c>
      <c r="M41" s="3123">
        <f t="shared" si="4"/>
        <v>0</v>
      </c>
      <c r="N41" s="3123">
        <f t="shared" si="5"/>
        <v>0</v>
      </c>
      <c r="Q41" s="4088"/>
      <c r="S41" s="1485">
        <f>Consolidation!B33</f>
      </c>
      <c r="T41" s="1485">
        <f t="shared" si="10"/>
        <v>0</v>
      </c>
      <c r="U41" s="1485">
        <f t="shared" si="11"/>
        <v>0</v>
      </c>
      <c r="W41" s="1485">
        <f t="shared" si="8"/>
        <v>0</v>
      </c>
      <c r="X41" s="2314">
        <f t="shared" si="9"/>
        <v>0</v>
      </c>
      <c r="Y41" s="2314">
        <f>SUMIF($W$9:W41,W41,$X$9:X41)</f>
      </c>
    </row>
    <row r="42" spans="1:25" x14ac:dyDescent="0.2">
      <c r="A42" s="3748">
        <v>34</v>
      </c>
      <c r="B42" s="3352"/>
      <c r="C42" s="363"/>
      <c r="D42" s="809"/>
      <c r="E42" s="3989"/>
      <c r="F42" s="3990"/>
      <c r="G42" s="3989"/>
      <c r="H42" s="4163">
        <f t="shared" si="1"/>
        <v>0</v>
      </c>
      <c r="I42" s="3989"/>
      <c r="J42" s="4164">
        <f t="shared" si="2"/>
        <v>0</v>
      </c>
      <c r="K42" s="3985" t="str">
        <f t="shared" ref="K42:K78" si="12">IF(AND($G$6&gt;0,A42&lt;=$G$6,N42=0),re,IF(AND($O$1="n",B42&lt;&gt;""),"Not a fiscal Unit",IF(AND($G$6&gt;0,A42&lt;=$G$6,$O$1="y",N42&lt;7),"All data",IF(AND(A42&gt;$G$6,N42&gt;0),"No details required",IF(AND($G$6&gt;0,A42&lt;=$G$6,$O$1="n",N42&lt;6),"All data",IF(AND(F42&gt;=$R$1,G42&gt;0),"Check utilised credit in previous years",IF(AND($O$1="n",$V$1=$W$1,I42&gt;H42),"Excessive utilised credit!",IF(AND($O$1="y",$V$1=$W$1,Y42&gt;300000),"Excessive utilised credit!",""))))))))</f>
        <v/>
      </c>
      <c r="M42" s="3123">
        <f t="shared" si="4"/>
        <v>0</v>
      </c>
      <c r="N42" s="3123">
        <f t="shared" si="5"/>
        <v>0</v>
      </c>
      <c r="Q42" s="4088"/>
      <c r="S42" s="1485">
        <f>Consolidation!B34</f>
      </c>
      <c r="T42" s="1485">
        <f t="shared" si="10"/>
        <v>0</v>
      </c>
      <c r="U42" s="1485">
        <f t="shared" si="11"/>
        <v>0</v>
      </c>
      <c r="W42" s="1485">
        <f t="shared" si="8"/>
        <v>0</v>
      </c>
      <c r="X42" s="2314">
        <f t="shared" si="9"/>
        <v>0</v>
      </c>
      <c r="Y42" s="2314">
        <f>SUMIF($W$9:W42,W42,$X$9:X42)</f>
      </c>
    </row>
    <row r="43" spans="1:25" x14ac:dyDescent="0.2">
      <c r="A43" s="3748">
        <v>35</v>
      </c>
      <c r="B43" s="3352"/>
      <c r="C43" s="363"/>
      <c r="D43" s="809"/>
      <c r="E43" s="3989"/>
      <c r="F43" s="3990"/>
      <c r="G43" s="3989"/>
      <c r="H43" s="4163">
        <f t="shared" si="1"/>
        <v>0</v>
      </c>
      <c r="I43" s="3989"/>
      <c r="J43" s="4164">
        <f t="shared" si="2"/>
        <v>0</v>
      </c>
      <c r="K43" s="3985" t="str">
        <f t="shared" si="12"/>
        <v/>
      </c>
      <c r="M43" s="3123">
        <f t="shared" si="4"/>
        <v>0</v>
      </c>
      <c r="N43" s="3123">
        <f t="shared" si="5"/>
        <v>0</v>
      </c>
      <c r="Q43" s="4088"/>
      <c r="S43" s="1485">
        <f>Consolidation!B35</f>
      </c>
      <c r="T43" s="1485">
        <f t="shared" si="10"/>
        <v>0</v>
      </c>
      <c r="U43" s="1485">
        <f t="shared" si="11"/>
        <v>0</v>
      </c>
      <c r="W43" s="1485">
        <f t="shared" si="8"/>
        <v>0</v>
      </c>
      <c r="X43" s="2314">
        <f t="shared" si="9"/>
        <v>0</v>
      </c>
      <c r="Y43" s="2314">
        <f>SUMIF($W$9:W43,W43,$X$9:X43)</f>
      </c>
    </row>
    <row r="44" spans="1:25" x14ac:dyDescent="0.2">
      <c r="A44" s="3748">
        <v>36</v>
      </c>
      <c r="B44" s="3352"/>
      <c r="C44" s="363"/>
      <c r="D44" s="809"/>
      <c r="E44" s="3989"/>
      <c r="F44" s="3990"/>
      <c r="G44" s="3989"/>
      <c r="H44" s="4163">
        <f t="shared" si="1"/>
        <v>0</v>
      </c>
      <c r="I44" s="3989"/>
      <c r="J44" s="4164">
        <f t="shared" si="2"/>
        <v>0</v>
      </c>
      <c r="K44" s="3985" t="str">
        <f t="shared" si="12"/>
        <v/>
      </c>
      <c r="M44" s="3123">
        <f t="shared" si="4"/>
        <v>0</v>
      </c>
      <c r="N44" s="3123">
        <f t="shared" si="5"/>
        <v>0</v>
      </c>
      <c r="Q44" s="4088"/>
      <c r="S44" s="1485">
        <f>Consolidation!B36</f>
      </c>
      <c r="T44" s="1485">
        <f t="shared" si="10"/>
        <v>0</v>
      </c>
      <c r="U44" s="1485">
        <f t="shared" si="11"/>
        <v>0</v>
      </c>
      <c r="W44" s="1485">
        <f t="shared" si="8"/>
        <v>0</v>
      </c>
      <c r="X44" s="2314">
        <f t="shared" si="9"/>
        <v>0</v>
      </c>
      <c r="Y44" s="2314">
        <f>SUMIF($W$9:W44,W44,$X$9:X44)</f>
      </c>
    </row>
    <row r="45" spans="1:25" x14ac:dyDescent="0.2">
      <c r="A45" s="3748">
        <v>37</v>
      </c>
      <c r="B45" s="3352"/>
      <c r="C45" s="363"/>
      <c r="D45" s="809"/>
      <c r="E45" s="3989"/>
      <c r="F45" s="3990"/>
      <c r="G45" s="3989"/>
      <c r="H45" s="4163">
        <f t="shared" si="1"/>
        <v>0</v>
      </c>
      <c r="I45" s="3989"/>
      <c r="J45" s="4164">
        <f t="shared" si="2"/>
        <v>0</v>
      </c>
      <c r="K45" s="3985" t="str">
        <f t="shared" si="12"/>
        <v/>
      </c>
      <c r="M45" s="3123">
        <f t="shared" si="4"/>
        <v>0</v>
      </c>
      <c r="N45" s="3123">
        <f t="shared" si="5"/>
        <v>0</v>
      </c>
      <c r="Q45" s="4088"/>
      <c r="S45" s="1485">
        <f>Consolidation!B37</f>
      </c>
      <c r="T45" s="1485">
        <f t="shared" si="10"/>
        <v>0</v>
      </c>
      <c r="U45" s="1485">
        <f t="shared" si="11"/>
        <v>0</v>
      </c>
      <c r="W45" s="1485">
        <f t="shared" si="8"/>
        <v>0</v>
      </c>
      <c r="X45" s="2314">
        <f t="shared" si="9"/>
        <v>0</v>
      </c>
      <c r="Y45" s="2314">
        <f>SUMIF($W$9:W45,W45,$X$9:X45)</f>
      </c>
    </row>
    <row r="46" spans="1:25" x14ac:dyDescent="0.2">
      <c r="A46" s="3748">
        <v>38</v>
      </c>
      <c r="B46" s="3352"/>
      <c r="C46" s="363"/>
      <c r="D46" s="809"/>
      <c r="E46" s="3989"/>
      <c r="F46" s="3990"/>
      <c r="G46" s="3989"/>
      <c r="H46" s="4163">
        <f t="shared" si="1"/>
        <v>0</v>
      </c>
      <c r="I46" s="3989"/>
      <c r="J46" s="4164">
        <f t="shared" si="2"/>
        <v>0</v>
      </c>
      <c r="K46" s="3985" t="str">
        <f t="shared" si="12"/>
        <v/>
      </c>
      <c r="M46" s="3123">
        <f t="shared" si="4"/>
        <v>0</v>
      </c>
      <c r="N46" s="3123">
        <f t="shared" si="5"/>
        <v>0</v>
      </c>
      <c r="Q46" s="4088"/>
      <c r="S46" s="1485">
        <f>Consolidation!B38</f>
      </c>
      <c r="T46" s="1485">
        <f t="shared" si="10"/>
        <v>0</v>
      </c>
      <c r="U46" s="1485">
        <f t="shared" si="11"/>
        <v>0</v>
      </c>
      <c r="W46" s="1485">
        <f t="shared" si="8"/>
        <v>0</v>
      </c>
      <c r="X46" s="2314">
        <f t="shared" si="9"/>
        <v>0</v>
      </c>
      <c r="Y46" s="2314">
        <f>SUMIF($W$9:W46,W46,$X$9:X46)</f>
      </c>
    </row>
    <row r="47" spans="1:25" x14ac:dyDescent="0.2">
      <c r="A47" s="3748">
        <v>39</v>
      </c>
      <c r="B47" s="3352"/>
      <c r="C47" s="363"/>
      <c r="D47" s="809"/>
      <c r="E47" s="3989"/>
      <c r="F47" s="3990"/>
      <c r="G47" s="3989"/>
      <c r="H47" s="4163">
        <f t="shared" si="1"/>
        <v>0</v>
      </c>
      <c r="I47" s="3989"/>
      <c r="J47" s="4164">
        <f t="shared" si="2"/>
        <v>0</v>
      </c>
      <c r="K47" s="3985" t="str">
        <f t="shared" si="12"/>
        <v/>
      </c>
      <c r="M47" s="3123">
        <f t="shared" si="4"/>
        <v>0</v>
      </c>
      <c r="N47" s="3123">
        <f t="shared" si="5"/>
        <v>0</v>
      </c>
      <c r="Q47" s="4088"/>
      <c r="S47" s="1485">
        <f>Consolidation!B39</f>
      </c>
      <c r="T47" s="1485">
        <f t="shared" si="10"/>
        <v>0</v>
      </c>
      <c r="U47" s="1485">
        <f t="shared" si="11"/>
        <v>0</v>
      </c>
      <c r="W47" s="1485">
        <f t="shared" si="8"/>
        <v>0</v>
      </c>
      <c r="X47" s="2314">
        <f t="shared" si="9"/>
        <v>0</v>
      </c>
      <c r="Y47" s="2314">
        <f>SUMIF($W$9:W47,W47,$X$9:X47)</f>
      </c>
    </row>
    <row r="48" spans="1:25" x14ac:dyDescent="0.2">
      <c r="A48" s="3748">
        <v>40</v>
      </c>
      <c r="B48" s="3352"/>
      <c r="C48" s="363"/>
      <c r="D48" s="809"/>
      <c r="E48" s="3989"/>
      <c r="F48" s="3990"/>
      <c r="G48" s="3989"/>
      <c r="H48" s="4163">
        <f t="shared" si="1"/>
        <v>0</v>
      </c>
      <c r="I48" s="3989"/>
      <c r="J48" s="4164">
        <f t="shared" si="2"/>
        <v>0</v>
      </c>
      <c r="K48" s="3985" t="str">
        <f t="shared" si="12"/>
        <v/>
      </c>
      <c r="M48" s="3123">
        <f t="shared" si="4"/>
        <v>0</v>
      </c>
      <c r="N48" s="3123">
        <f t="shared" si="5"/>
        <v>0</v>
      </c>
      <c r="Q48" s="4088"/>
      <c r="S48" s="1485">
        <f>Consolidation!B40</f>
      </c>
      <c r="T48" s="1485">
        <f t="shared" si="10"/>
        <v>0</v>
      </c>
      <c r="U48" s="1485">
        <f t="shared" si="11"/>
        <v>0</v>
      </c>
      <c r="W48" s="1485">
        <f t="shared" si="8"/>
        <v>0</v>
      </c>
      <c r="X48" s="2314">
        <f t="shared" si="9"/>
        <v>0</v>
      </c>
      <c r="Y48" s="2314">
        <f>SUMIF($W$9:W48,W48,$X$9:X48)</f>
      </c>
    </row>
    <row r="49" spans="1:25" x14ac:dyDescent="0.2">
      <c r="A49" s="3748">
        <v>41</v>
      </c>
      <c r="B49" s="3352"/>
      <c r="C49" s="363"/>
      <c r="D49" s="809"/>
      <c r="E49" s="3989"/>
      <c r="F49" s="3990"/>
      <c r="G49" s="3989"/>
      <c r="H49" s="4163">
        <f t="shared" si="1"/>
        <v>0</v>
      </c>
      <c r="I49" s="3989"/>
      <c r="J49" s="4164">
        <f t="shared" si="2"/>
        <v>0</v>
      </c>
      <c r="K49" s="3985" t="str">
        <f t="shared" si="12"/>
        <v/>
      </c>
      <c r="M49" s="3123">
        <f t="shared" si="4"/>
        <v>0</v>
      </c>
      <c r="N49" s="3123">
        <f t="shared" si="5"/>
        <v>0</v>
      </c>
      <c r="Q49" s="4088"/>
      <c r="S49" s="1485">
        <f>Consolidation!B41</f>
      </c>
      <c r="T49" s="1485">
        <f t="shared" si="10"/>
        <v>0</v>
      </c>
      <c r="U49" s="1485">
        <f t="shared" si="11"/>
        <v>0</v>
      </c>
      <c r="W49" s="1485">
        <f t="shared" si="8"/>
        <v>0</v>
      </c>
      <c r="X49" s="2314">
        <f t="shared" si="9"/>
        <v>0</v>
      </c>
      <c r="Y49" s="2314">
        <f>SUMIF($W$9:W49,W49,$X$9:X49)</f>
      </c>
    </row>
    <row r="50" spans="1:25" x14ac:dyDescent="0.2">
      <c r="A50" s="3748">
        <v>42</v>
      </c>
      <c r="B50" s="3352"/>
      <c r="C50" s="363"/>
      <c r="D50" s="809"/>
      <c r="E50" s="3989"/>
      <c r="F50" s="3990"/>
      <c r="G50" s="3989"/>
      <c r="H50" s="4163">
        <f t="shared" si="1"/>
        <v>0</v>
      </c>
      <c r="I50" s="3989"/>
      <c r="J50" s="4164">
        <f t="shared" si="2"/>
        <v>0</v>
      </c>
      <c r="K50" s="3985" t="str">
        <f t="shared" si="12"/>
        <v/>
      </c>
      <c r="M50" s="3123">
        <f t="shared" si="4"/>
        <v>0</v>
      </c>
      <c r="N50" s="3123">
        <f t="shared" si="5"/>
        <v>0</v>
      </c>
      <c r="Q50" s="4088"/>
      <c r="S50" s="1485">
        <f>Consolidation!B42</f>
      </c>
      <c r="T50" s="1485">
        <f t="shared" si="10"/>
        <v>0</v>
      </c>
      <c r="U50" s="1485">
        <f t="shared" si="11"/>
        <v>0</v>
      </c>
      <c r="W50" s="1485">
        <f t="shared" si="8"/>
        <v>0</v>
      </c>
      <c r="X50" s="2314">
        <f t="shared" si="9"/>
        <v>0</v>
      </c>
      <c r="Y50" s="2314">
        <f>SUMIF($W$9:W50,W50,$X$9:X50)</f>
      </c>
    </row>
    <row r="51" spans="1:25" x14ac:dyDescent="0.2">
      <c r="A51" s="3748">
        <v>43</v>
      </c>
      <c r="B51" s="3352"/>
      <c r="C51" s="363"/>
      <c r="D51" s="809"/>
      <c r="E51" s="3989"/>
      <c r="F51" s="3990"/>
      <c r="G51" s="3989"/>
      <c r="H51" s="4163">
        <f t="shared" si="1"/>
        <v>0</v>
      </c>
      <c r="I51" s="3989"/>
      <c r="J51" s="4164">
        <f t="shared" si="2"/>
        <v>0</v>
      </c>
      <c r="K51" s="3985" t="str">
        <f t="shared" si="12"/>
        <v/>
      </c>
      <c r="M51" s="3123">
        <f t="shared" si="4"/>
        <v>0</v>
      </c>
      <c r="N51" s="3123">
        <f t="shared" si="5"/>
        <v>0</v>
      </c>
      <c r="Q51" s="4088"/>
      <c r="S51" s="1485">
        <f>Consolidation!B43</f>
      </c>
      <c r="T51" s="1485">
        <f t="shared" si="10"/>
        <v>0</v>
      </c>
      <c r="U51" s="1485">
        <f t="shared" si="11"/>
        <v>0</v>
      </c>
      <c r="W51" s="1485">
        <f t="shared" si="8"/>
        <v>0</v>
      </c>
      <c r="X51" s="2314">
        <f t="shared" si="9"/>
        <v>0</v>
      </c>
      <c r="Y51" s="2314">
        <f>SUMIF($W$9:W51,W51,$X$9:X51)</f>
      </c>
    </row>
    <row r="52" spans="1:25" x14ac:dyDescent="0.2">
      <c r="A52" s="3748">
        <v>44</v>
      </c>
      <c r="B52" s="3352"/>
      <c r="C52" s="363"/>
      <c r="D52" s="809"/>
      <c r="E52" s="3989"/>
      <c r="F52" s="3990"/>
      <c r="G52" s="3989"/>
      <c r="H52" s="4163">
        <f t="shared" si="1"/>
        <v>0</v>
      </c>
      <c r="I52" s="3989"/>
      <c r="J52" s="4164">
        <f t="shared" si="2"/>
        <v>0</v>
      </c>
      <c r="K52" s="3985" t="str">
        <f t="shared" si="12"/>
        <v/>
      </c>
      <c r="M52" s="3123">
        <f t="shared" si="4"/>
        <v>0</v>
      </c>
      <c r="N52" s="3123">
        <f t="shared" si="5"/>
        <v>0</v>
      </c>
      <c r="Q52" s="4088"/>
      <c r="S52" s="1485">
        <f>Consolidation!B44</f>
      </c>
      <c r="T52" s="1485">
        <f t="shared" si="10"/>
        <v>0</v>
      </c>
      <c r="U52" s="1485">
        <f t="shared" si="11"/>
        <v>0</v>
      </c>
      <c r="W52" s="1485">
        <f t="shared" si="8"/>
        <v>0</v>
      </c>
      <c r="X52" s="2314">
        <f t="shared" si="9"/>
        <v>0</v>
      </c>
      <c r="Y52" s="2314">
        <f>SUMIF($W$9:W52,W52,$X$9:X52)</f>
      </c>
    </row>
    <row r="53" spans="1:25" x14ac:dyDescent="0.2">
      <c r="A53" s="3748">
        <v>45</v>
      </c>
      <c r="B53" s="3352"/>
      <c r="C53" s="363"/>
      <c r="D53" s="809"/>
      <c r="E53" s="3989"/>
      <c r="F53" s="3990"/>
      <c r="G53" s="3989"/>
      <c r="H53" s="4163">
        <f t="shared" si="1"/>
        <v>0</v>
      </c>
      <c r="I53" s="3989"/>
      <c r="J53" s="4164">
        <f t="shared" si="2"/>
        <v>0</v>
      </c>
      <c r="K53" s="3985" t="str">
        <f t="shared" si="12"/>
        <v/>
      </c>
      <c r="M53" s="3123">
        <f t="shared" si="4"/>
        <v>0</v>
      </c>
      <c r="N53" s="3123">
        <f t="shared" si="5"/>
        <v>0</v>
      </c>
      <c r="Q53" s="4088"/>
      <c r="S53" s="1485">
        <f>Consolidation!B45</f>
      </c>
      <c r="T53" s="1485">
        <f t="shared" si="10"/>
        <v>0</v>
      </c>
      <c r="U53" s="1485">
        <f t="shared" si="11"/>
        <v>0</v>
      </c>
      <c r="W53" s="1485">
        <f t="shared" si="8"/>
        <v>0</v>
      </c>
      <c r="X53" s="2314">
        <f t="shared" si="9"/>
        <v>0</v>
      </c>
      <c r="Y53" s="2314">
        <f>SUMIF($W$9:W53,W53,$X$9:X53)</f>
      </c>
    </row>
    <row r="54" spans="1:25" x14ac:dyDescent="0.2">
      <c r="A54" s="3748">
        <v>46</v>
      </c>
      <c r="B54" s="3352"/>
      <c r="C54" s="363"/>
      <c r="D54" s="809"/>
      <c r="E54" s="3989"/>
      <c r="F54" s="3990"/>
      <c r="G54" s="3989"/>
      <c r="H54" s="4163">
        <f t="shared" si="1"/>
        <v>0</v>
      </c>
      <c r="I54" s="3989"/>
      <c r="J54" s="4164">
        <f t="shared" si="2"/>
        <v>0</v>
      </c>
      <c r="K54" s="3985" t="str">
        <f t="shared" si="12"/>
        <v/>
      </c>
      <c r="M54" s="3123">
        <f t="shared" si="4"/>
        <v>0</v>
      </c>
      <c r="N54" s="3123">
        <f t="shared" si="5"/>
        <v>0</v>
      </c>
      <c r="Q54" s="4088"/>
      <c r="S54" s="1485">
        <f>Consolidation!B46</f>
      </c>
      <c r="T54" s="1485">
        <f t="shared" si="10"/>
        <v>0</v>
      </c>
      <c r="U54" s="1485">
        <f t="shared" si="11"/>
        <v>0</v>
      </c>
      <c r="W54" s="1485">
        <f t="shared" si="8"/>
        <v>0</v>
      </c>
      <c r="X54" s="2314">
        <f t="shared" si="9"/>
        <v>0</v>
      </c>
      <c r="Y54" s="2314">
        <f>SUMIF($W$9:W54,W54,$X$9:X54)</f>
      </c>
    </row>
    <row r="55" spans="1:25" x14ac:dyDescent="0.2">
      <c r="A55" s="3748">
        <v>47</v>
      </c>
      <c r="B55" s="3352"/>
      <c r="C55" s="363"/>
      <c r="D55" s="809"/>
      <c r="E55" s="3989"/>
      <c r="F55" s="3990"/>
      <c r="G55" s="3989"/>
      <c r="H55" s="4163">
        <f t="shared" si="1"/>
        <v>0</v>
      </c>
      <c r="I55" s="3989"/>
      <c r="J55" s="4164">
        <f t="shared" si="2"/>
        <v>0</v>
      </c>
      <c r="K55" s="3985" t="str">
        <f t="shared" si="12"/>
        <v/>
      </c>
      <c r="M55" s="3123">
        <f t="shared" si="4"/>
        <v>0</v>
      </c>
      <c r="N55" s="3123">
        <f t="shared" si="5"/>
        <v>0</v>
      </c>
      <c r="Q55" s="4088"/>
      <c r="S55" s="1485">
        <f>Consolidation!B47</f>
      </c>
      <c r="T55" s="1485">
        <f t="shared" si="10"/>
        <v>0</v>
      </c>
      <c r="U55" s="1485">
        <f t="shared" si="11"/>
        <v>0</v>
      </c>
      <c r="W55" s="1485">
        <f t="shared" si="8"/>
        <v>0</v>
      </c>
      <c r="X55" s="2314">
        <f t="shared" si="9"/>
        <v>0</v>
      </c>
      <c r="Y55" s="2314">
        <f>SUMIF($W$9:W55,W55,$X$9:X55)</f>
      </c>
    </row>
    <row r="56" spans="1:25" x14ac:dyDescent="0.2">
      <c r="A56" s="3748">
        <v>48</v>
      </c>
      <c r="B56" s="3352"/>
      <c r="C56" s="363"/>
      <c r="D56" s="809"/>
      <c r="E56" s="3989"/>
      <c r="F56" s="3990"/>
      <c r="G56" s="3989"/>
      <c r="H56" s="4163">
        <f t="shared" si="1"/>
        <v>0</v>
      </c>
      <c r="I56" s="3989"/>
      <c r="J56" s="4164">
        <f t="shared" si="2"/>
        <v>0</v>
      </c>
      <c r="K56" s="3985" t="str">
        <f t="shared" si="12"/>
        <v/>
      </c>
      <c r="M56" s="3123">
        <f t="shared" si="4"/>
        <v>0</v>
      </c>
      <c r="N56" s="3123">
        <f t="shared" si="5"/>
        <v>0</v>
      </c>
      <c r="Q56" s="4088"/>
      <c r="S56" s="1485">
        <f>Consolidation!B48</f>
      </c>
      <c r="T56" s="1485">
        <f t="shared" si="10"/>
        <v>0</v>
      </c>
      <c r="U56" s="1485">
        <f t="shared" si="11"/>
        <v>0</v>
      </c>
      <c r="W56" s="1485">
        <f t="shared" si="8"/>
        <v>0</v>
      </c>
      <c r="X56" s="2314">
        <f t="shared" si="9"/>
        <v>0</v>
      </c>
      <c r="Y56" s="2314">
        <f>SUMIF($W$9:W56,W56,$X$9:X56)</f>
      </c>
    </row>
    <row r="57" spans="1:25" x14ac:dyDescent="0.2">
      <c r="A57" s="3748">
        <v>49</v>
      </c>
      <c r="B57" s="3352"/>
      <c r="C57" s="363"/>
      <c r="D57" s="809"/>
      <c r="E57" s="3989"/>
      <c r="F57" s="3990"/>
      <c r="G57" s="3989"/>
      <c r="H57" s="4163">
        <f t="shared" si="1"/>
        <v>0</v>
      </c>
      <c r="I57" s="3989"/>
      <c r="J57" s="4164">
        <f t="shared" si="2"/>
        <v>0</v>
      </c>
      <c r="K57" s="3985" t="str">
        <f t="shared" si="12"/>
        <v/>
      </c>
      <c r="M57" s="3123">
        <f t="shared" si="4"/>
        <v>0</v>
      </c>
      <c r="N57" s="3123">
        <f t="shared" si="5"/>
        <v>0</v>
      </c>
      <c r="Q57" s="4088"/>
      <c r="S57" s="1485">
        <f>Consolidation!B49</f>
      </c>
      <c r="T57" s="1485">
        <f t="shared" si="10"/>
        <v>0</v>
      </c>
      <c r="U57" s="1485">
        <f t="shared" si="11"/>
        <v>0</v>
      </c>
      <c r="W57" s="1485">
        <f t="shared" si="8"/>
        <v>0</v>
      </c>
      <c r="X57" s="2314">
        <f t="shared" si="9"/>
        <v>0</v>
      </c>
      <c r="Y57" s="2314">
        <f>SUMIF($W$9:W57,W57,$X$9:X57)</f>
      </c>
    </row>
    <row r="58" spans="1:25" x14ac:dyDescent="0.2">
      <c r="A58" s="3748">
        <v>50</v>
      </c>
      <c r="B58" s="3352"/>
      <c r="C58" s="363"/>
      <c r="D58" s="809"/>
      <c r="E58" s="3989"/>
      <c r="F58" s="3990"/>
      <c r="G58" s="3989"/>
      <c r="H58" s="4163">
        <f t="shared" si="1"/>
        <v>0</v>
      </c>
      <c r="I58" s="3989"/>
      <c r="J58" s="4164">
        <f t="shared" si="2"/>
        <v>0</v>
      </c>
      <c r="K58" s="3985" t="str">
        <f t="shared" si="12"/>
        <v/>
      </c>
      <c r="M58" s="3123">
        <f t="shared" si="4"/>
        <v>0</v>
      </c>
      <c r="N58" s="3123">
        <f t="shared" si="5"/>
        <v>0</v>
      </c>
      <c r="Q58" s="4088"/>
      <c r="S58" s="1485">
        <f>Consolidation!B50</f>
      </c>
      <c r="T58" s="1485">
        <f t="shared" si="10"/>
        <v>0</v>
      </c>
      <c r="U58" s="1485">
        <f t="shared" si="11"/>
        <v>0</v>
      </c>
      <c r="W58" s="1485">
        <f t="shared" si="8"/>
        <v>0</v>
      </c>
      <c r="X58" s="2314">
        <f t="shared" si="9"/>
        <v>0</v>
      </c>
      <c r="Y58" s="2314">
        <f>SUMIF($W$9:W58,W58,$X$9:X58)</f>
      </c>
    </row>
    <row r="59" spans="1:25" x14ac:dyDescent="0.2">
      <c r="A59" s="3748">
        <v>51</v>
      </c>
      <c r="B59" s="3352"/>
      <c r="C59" s="363"/>
      <c r="D59" s="809"/>
      <c r="E59" s="3989"/>
      <c r="F59" s="3990"/>
      <c r="G59" s="3989"/>
      <c r="H59" s="4163">
        <f t="shared" si="1"/>
        <v>0</v>
      </c>
      <c r="I59" s="3989"/>
      <c r="J59" s="4164">
        <f t="shared" si="2"/>
        <v>0</v>
      </c>
      <c r="K59" s="3985" t="str">
        <f t="shared" si="12"/>
        <v/>
      </c>
      <c r="M59" s="3123">
        <f t="shared" si="4"/>
        <v>0</v>
      </c>
      <c r="N59" s="3123">
        <f t="shared" si="5"/>
        <v>0</v>
      </c>
      <c r="Q59" s="4088"/>
      <c r="S59" s="1485">
        <f>Consolidation!B51</f>
      </c>
      <c r="T59" s="1485">
        <f t="shared" si="10"/>
        <v>0</v>
      </c>
      <c r="U59" s="1485">
        <f t="shared" si="11"/>
        <v>0</v>
      </c>
      <c r="W59" s="1485">
        <f t="shared" si="8"/>
        <v>0</v>
      </c>
      <c r="X59" s="2314">
        <f t="shared" si="9"/>
        <v>0</v>
      </c>
      <c r="Y59" s="2314">
        <f>SUMIF($W$9:W59,W59,$X$9:X59)</f>
      </c>
    </row>
    <row r="60" spans="1:25" x14ac:dyDescent="0.2">
      <c r="A60" s="3748">
        <v>52</v>
      </c>
      <c r="B60" s="3352"/>
      <c r="C60" s="363"/>
      <c r="D60" s="809"/>
      <c r="E60" s="3989"/>
      <c r="F60" s="3990"/>
      <c r="G60" s="3989"/>
      <c r="H60" s="4163">
        <f t="shared" si="1"/>
        <v>0</v>
      </c>
      <c r="I60" s="3989"/>
      <c r="J60" s="4164">
        <f t="shared" si="2"/>
        <v>0</v>
      </c>
      <c r="K60" s="3985" t="str">
        <f t="shared" si="12"/>
        <v/>
      </c>
      <c r="M60" s="3123">
        <f t="shared" si="4"/>
        <v>0</v>
      </c>
      <c r="N60" s="3123">
        <f t="shared" si="5"/>
        <v>0</v>
      </c>
      <c r="Q60" s="4088"/>
      <c r="S60" s="1485">
        <f>Consolidation!B52</f>
      </c>
      <c r="T60" s="1485">
        <f t="shared" si="10"/>
        <v>0</v>
      </c>
      <c r="U60" s="1485">
        <f t="shared" si="11"/>
        <v>0</v>
      </c>
      <c r="W60" s="1485">
        <f t="shared" si="8"/>
        <v>0</v>
      </c>
      <c r="X60" s="2314">
        <f t="shared" si="9"/>
        <v>0</v>
      </c>
      <c r="Y60" s="2314">
        <f>SUMIF($W$9:W60,W60,$X$9:X60)</f>
      </c>
    </row>
    <row r="61" spans="1:25" x14ac:dyDescent="0.2">
      <c r="A61" s="3748">
        <v>53</v>
      </c>
      <c r="B61" s="3352"/>
      <c r="C61" s="363"/>
      <c r="D61" s="809"/>
      <c r="E61" s="3989"/>
      <c r="F61" s="3990"/>
      <c r="G61" s="3989"/>
      <c r="H61" s="4163">
        <f t="shared" si="1"/>
        <v>0</v>
      </c>
      <c r="I61" s="3989"/>
      <c r="J61" s="4164">
        <f t="shared" si="2"/>
        <v>0</v>
      </c>
      <c r="K61" s="3985" t="str">
        <f t="shared" si="12"/>
        <v/>
      </c>
      <c r="M61" s="3123">
        <f t="shared" si="4"/>
        <v>0</v>
      </c>
      <c r="N61" s="3123">
        <f t="shared" si="5"/>
        <v>0</v>
      </c>
      <c r="Q61" s="4088"/>
      <c r="S61" s="1485">
        <f>Consolidation!B53</f>
      </c>
      <c r="T61" s="1485">
        <f t="shared" si="10"/>
        <v>0</v>
      </c>
      <c r="U61" s="1485">
        <f t="shared" si="11"/>
        <v>0</v>
      </c>
      <c r="W61" s="1485">
        <f t="shared" si="8"/>
        <v>0</v>
      </c>
      <c r="X61" s="2314">
        <f t="shared" si="9"/>
        <v>0</v>
      </c>
      <c r="Y61" s="2314">
        <f>SUMIF($W$9:W61,W61,$X$9:X61)</f>
      </c>
    </row>
    <row r="62" spans="1:25" x14ac:dyDescent="0.2">
      <c r="A62" s="3748">
        <v>54</v>
      </c>
      <c r="B62" s="3352"/>
      <c r="C62" s="363"/>
      <c r="D62" s="809"/>
      <c r="E62" s="3989"/>
      <c r="F62" s="3990"/>
      <c r="G62" s="3989"/>
      <c r="H62" s="4163">
        <f t="shared" si="1"/>
        <v>0</v>
      </c>
      <c r="I62" s="3989"/>
      <c r="J62" s="4164">
        <f t="shared" si="2"/>
        <v>0</v>
      </c>
      <c r="K62" s="3985" t="str">
        <f t="shared" si="12"/>
        <v/>
      </c>
      <c r="M62" s="3123">
        <f t="shared" si="4"/>
        <v>0</v>
      </c>
      <c r="N62" s="3123">
        <f t="shared" si="5"/>
        <v>0</v>
      </c>
      <c r="Q62" s="4088"/>
      <c r="S62" s="1485">
        <f>Consolidation!B54</f>
      </c>
      <c r="T62" s="1485">
        <f t="shared" si="10"/>
        <v>0</v>
      </c>
      <c r="U62" s="1485">
        <f t="shared" si="11"/>
        <v>0</v>
      </c>
      <c r="W62" s="1485">
        <f t="shared" si="8"/>
        <v>0</v>
      </c>
      <c r="X62" s="2314">
        <f t="shared" si="9"/>
        <v>0</v>
      </c>
      <c r="Y62" s="2314">
        <f>SUMIF($W$9:W62,W62,$X$9:X62)</f>
      </c>
    </row>
    <row r="63" spans="1:25" x14ac:dyDescent="0.2">
      <c r="A63" s="3748">
        <v>55</v>
      </c>
      <c r="B63" s="3352"/>
      <c r="C63" s="363"/>
      <c r="D63" s="809"/>
      <c r="E63" s="3989"/>
      <c r="F63" s="3990"/>
      <c r="G63" s="3989"/>
      <c r="H63" s="4163">
        <f t="shared" si="1"/>
        <v>0</v>
      </c>
      <c r="I63" s="3989"/>
      <c r="J63" s="4164">
        <f t="shared" si="2"/>
        <v>0</v>
      </c>
      <c r="K63" s="3985" t="str">
        <f t="shared" si="12"/>
        <v/>
      </c>
      <c r="M63" s="3123">
        <f t="shared" si="4"/>
        <v>0</v>
      </c>
      <c r="N63" s="3123">
        <f t="shared" si="5"/>
        <v>0</v>
      </c>
      <c r="Q63" s="4088"/>
      <c r="S63" s="1485">
        <f>Consolidation!B55</f>
      </c>
      <c r="T63" s="1485">
        <f t="shared" si="10"/>
        <v>0</v>
      </c>
      <c r="U63" s="1485">
        <f t="shared" si="11"/>
        <v>0</v>
      </c>
      <c r="W63" s="1485">
        <f t="shared" si="8"/>
        <v>0</v>
      </c>
      <c r="X63" s="2314">
        <f t="shared" si="9"/>
        <v>0</v>
      </c>
      <c r="Y63" s="2314">
        <f>SUMIF($W$9:W63,W63,$X$9:X63)</f>
      </c>
    </row>
    <row r="64" spans="1:25" x14ac:dyDescent="0.2">
      <c r="A64" s="3748">
        <v>56</v>
      </c>
      <c r="B64" s="3352"/>
      <c r="C64" s="363"/>
      <c r="D64" s="809"/>
      <c r="E64" s="3989"/>
      <c r="F64" s="3990"/>
      <c r="G64" s="3989"/>
      <c r="H64" s="4163">
        <f t="shared" si="1"/>
        <v>0</v>
      </c>
      <c r="I64" s="3989"/>
      <c r="J64" s="4164">
        <f t="shared" si="2"/>
        <v>0</v>
      </c>
      <c r="K64" s="3985" t="str">
        <f t="shared" si="12"/>
        <v/>
      </c>
      <c r="M64" s="3123">
        <f t="shared" si="4"/>
        <v>0</v>
      </c>
      <c r="N64" s="3123">
        <f t="shared" si="5"/>
        <v>0</v>
      </c>
      <c r="Q64" s="4088"/>
      <c r="S64" s="1485">
        <f>Consolidation!B56</f>
      </c>
      <c r="T64" s="1485">
        <f t="shared" si="10"/>
        <v>0</v>
      </c>
      <c r="U64" s="1485">
        <f t="shared" si="11"/>
        <v>0</v>
      </c>
      <c r="W64" s="1485">
        <f t="shared" si="8"/>
        <v>0</v>
      </c>
      <c r="X64" s="2314">
        <f t="shared" si="9"/>
        <v>0</v>
      </c>
      <c r="Y64" s="2314">
        <f>SUMIF($W$9:W64,W64,$X$9:X64)</f>
      </c>
    </row>
    <row r="65" spans="1:25" x14ac:dyDescent="0.2">
      <c r="A65" s="3748">
        <v>57</v>
      </c>
      <c r="B65" s="3352"/>
      <c r="C65" s="363"/>
      <c r="D65" s="809"/>
      <c r="E65" s="3989"/>
      <c r="F65" s="3990"/>
      <c r="G65" s="3989"/>
      <c r="H65" s="4163">
        <f t="shared" si="1"/>
        <v>0</v>
      </c>
      <c r="I65" s="3989"/>
      <c r="J65" s="4164">
        <f t="shared" si="2"/>
        <v>0</v>
      </c>
      <c r="K65" s="3985" t="str">
        <f t="shared" si="12"/>
        <v/>
      </c>
      <c r="M65" s="3123">
        <f t="shared" si="4"/>
        <v>0</v>
      </c>
      <c r="N65" s="3123">
        <f t="shared" si="5"/>
        <v>0</v>
      </c>
      <c r="Q65" s="4088"/>
      <c r="S65" s="1485">
        <f>Consolidation!B57</f>
      </c>
      <c r="T65" s="1485">
        <f t="shared" si="10"/>
        <v>0</v>
      </c>
      <c r="U65" s="1485">
        <f t="shared" si="11"/>
        <v>0</v>
      </c>
      <c r="W65" s="1485">
        <f t="shared" si="8"/>
        <v>0</v>
      </c>
      <c r="X65" s="2314">
        <f t="shared" si="9"/>
        <v>0</v>
      </c>
      <c r="Y65" s="2314">
        <f>SUMIF($W$9:W65,W65,$X$9:X65)</f>
      </c>
    </row>
    <row r="66" spans="1:25" x14ac:dyDescent="0.2">
      <c r="A66" s="3748">
        <v>58</v>
      </c>
      <c r="B66" s="3352"/>
      <c r="C66" s="363"/>
      <c r="D66" s="809"/>
      <c r="E66" s="3989"/>
      <c r="F66" s="3990"/>
      <c r="G66" s="3989"/>
      <c r="H66" s="4163">
        <f t="shared" si="1"/>
        <v>0</v>
      </c>
      <c r="I66" s="3989"/>
      <c r="J66" s="4164">
        <f t="shared" si="2"/>
        <v>0</v>
      </c>
      <c r="K66" s="3985" t="str">
        <f t="shared" si="12"/>
        <v/>
      </c>
      <c r="M66" s="3123">
        <f t="shared" si="4"/>
        <v>0</v>
      </c>
      <c r="N66" s="3123">
        <f t="shared" si="5"/>
        <v>0</v>
      </c>
      <c r="Q66" s="4088"/>
      <c r="S66" s="1485">
        <f>Consolidation!B58</f>
      </c>
      <c r="T66" s="1485">
        <f t="shared" si="10"/>
        <v>0</v>
      </c>
      <c r="U66" s="1485">
        <f t="shared" si="11"/>
        <v>0</v>
      </c>
      <c r="W66" s="1485">
        <f t="shared" si="8"/>
        <v>0</v>
      </c>
      <c r="X66" s="2314">
        <f t="shared" si="9"/>
        <v>0</v>
      </c>
      <c r="Y66" s="2314">
        <f>SUMIF($W$9:W66,W66,$X$9:X66)</f>
      </c>
    </row>
    <row r="67" spans="1:25" x14ac:dyDescent="0.2">
      <c r="A67" s="3748">
        <v>59</v>
      </c>
      <c r="B67" s="3352"/>
      <c r="C67" s="363"/>
      <c r="D67" s="809"/>
      <c r="E67" s="3989"/>
      <c r="F67" s="3990"/>
      <c r="G67" s="3989"/>
      <c r="H67" s="4163">
        <f t="shared" si="1"/>
        <v>0</v>
      </c>
      <c r="I67" s="3989"/>
      <c r="J67" s="4164">
        <f t="shared" si="2"/>
        <v>0</v>
      </c>
      <c r="K67" s="3985" t="str">
        <f t="shared" si="12"/>
        <v/>
      </c>
      <c r="M67" s="3123">
        <f t="shared" si="4"/>
        <v>0</v>
      </c>
      <c r="N67" s="3123">
        <f t="shared" si="5"/>
        <v>0</v>
      </c>
      <c r="Q67" s="4088"/>
      <c r="S67" s="1485">
        <f>Consolidation!B59</f>
      </c>
      <c r="T67" s="1485">
        <f t="shared" si="10"/>
        <v>0</v>
      </c>
      <c r="U67" s="1485">
        <f t="shared" si="11"/>
        <v>0</v>
      </c>
      <c r="W67" s="1485">
        <f t="shared" si="8"/>
        <v>0</v>
      </c>
      <c r="X67" s="2314">
        <f t="shared" si="9"/>
        <v>0</v>
      </c>
      <c r="Y67" s="2314">
        <f>SUMIF($W$9:W67,W67,$X$9:X67)</f>
      </c>
    </row>
    <row r="68" spans="1:25" x14ac:dyDescent="0.2">
      <c r="A68" s="3748">
        <v>60</v>
      </c>
      <c r="B68" s="3352"/>
      <c r="C68" s="363"/>
      <c r="D68" s="809"/>
      <c r="E68" s="3989"/>
      <c r="F68" s="3990"/>
      <c r="G68" s="3989"/>
      <c r="H68" s="4163">
        <f t="shared" si="1"/>
        <v>0</v>
      </c>
      <c r="I68" s="3989"/>
      <c r="J68" s="4164">
        <f t="shared" si="2"/>
        <v>0</v>
      </c>
      <c r="K68" s="3985" t="str">
        <f t="shared" si="12"/>
        <v/>
      </c>
      <c r="M68" s="3123">
        <f t="shared" si="4"/>
        <v>0</v>
      </c>
      <c r="N68" s="3123">
        <f t="shared" si="5"/>
        <v>0</v>
      </c>
      <c r="Q68" s="4088"/>
      <c r="S68" s="1485">
        <f>Consolidation!B60</f>
      </c>
      <c r="T68" s="1485">
        <f t="shared" si="10"/>
        <v>0</v>
      </c>
      <c r="U68" s="1485">
        <f t="shared" si="11"/>
        <v>0</v>
      </c>
      <c r="W68" s="1485">
        <f t="shared" si="8"/>
        <v>0</v>
      </c>
      <c r="X68" s="2314">
        <f t="shared" si="9"/>
        <v>0</v>
      </c>
      <c r="Y68" s="2314">
        <f>SUMIF($W$9:W68,W68,$X$9:X68)</f>
      </c>
    </row>
    <row r="69" spans="1:25" x14ac:dyDescent="0.2">
      <c r="A69" s="3748">
        <v>61</v>
      </c>
      <c r="B69" s="3352"/>
      <c r="C69" s="363"/>
      <c r="D69" s="809"/>
      <c r="E69" s="3989"/>
      <c r="F69" s="3990"/>
      <c r="G69" s="3989"/>
      <c r="H69" s="4163">
        <f t="shared" si="1"/>
        <v>0</v>
      </c>
      <c r="I69" s="3989"/>
      <c r="J69" s="4164">
        <f t="shared" si="2"/>
        <v>0</v>
      </c>
      <c r="K69" s="3985" t="str">
        <f t="shared" si="12"/>
        <v/>
      </c>
      <c r="M69" s="3123">
        <f t="shared" si="4"/>
        <v>0</v>
      </c>
      <c r="N69" s="3123">
        <f t="shared" si="5"/>
        <v>0</v>
      </c>
      <c r="Q69" s="4088"/>
      <c r="S69" s="1485">
        <f>Consolidation!B61</f>
      </c>
      <c r="T69" s="1485">
        <f t="shared" si="10"/>
        <v>0</v>
      </c>
      <c r="U69" s="1485">
        <f t="shared" si="11"/>
        <v>0</v>
      </c>
      <c r="W69" s="1485">
        <f t="shared" si="8"/>
        <v>0</v>
      </c>
      <c r="X69" s="2314">
        <f t="shared" si="9"/>
        <v>0</v>
      </c>
      <c r="Y69" s="2314">
        <f>SUMIF($W$9:W69,W69,$X$9:X69)</f>
      </c>
    </row>
    <row r="70" spans="1:25" x14ac:dyDescent="0.2">
      <c r="A70" s="3748">
        <v>62</v>
      </c>
      <c r="B70" s="3352"/>
      <c r="C70" s="363"/>
      <c r="D70" s="809"/>
      <c r="E70" s="3989"/>
      <c r="F70" s="3990"/>
      <c r="G70" s="3989"/>
      <c r="H70" s="4163">
        <f t="shared" si="1"/>
        <v>0</v>
      </c>
      <c r="I70" s="3989"/>
      <c r="J70" s="4164">
        <f t="shared" si="2"/>
        <v>0</v>
      </c>
      <c r="K70" s="3985" t="str">
        <f t="shared" si="12"/>
        <v/>
      </c>
      <c r="M70" s="3123">
        <f t="shared" si="4"/>
        <v>0</v>
      </c>
      <c r="N70" s="3123">
        <f t="shared" si="5"/>
        <v>0</v>
      </c>
      <c r="Q70" s="4088"/>
      <c r="S70" s="1485">
        <f>Consolidation!B62</f>
      </c>
      <c r="T70" s="1485">
        <f t="shared" si="10"/>
        <v>0</v>
      </c>
      <c r="U70" s="1485">
        <f t="shared" si="11"/>
        <v>0</v>
      </c>
      <c r="W70" s="1485">
        <f t="shared" si="8"/>
        <v>0</v>
      </c>
      <c r="X70" s="2314">
        <f t="shared" si="9"/>
        <v>0</v>
      </c>
      <c r="Y70" s="2314">
        <f>SUMIF($W$9:W70,W70,$X$9:X70)</f>
      </c>
    </row>
    <row r="71" spans="1:25" x14ac:dyDescent="0.2">
      <c r="A71" s="3748">
        <v>63</v>
      </c>
      <c r="B71" s="3352"/>
      <c r="C71" s="363"/>
      <c r="D71" s="809"/>
      <c r="E71" s="3989"/>
      <c r="F71" s="3990"/>
      <c r="G71" s="3989"/>
      <c r="H71" s="4163">
        <f t="shared" si="1"/>
        <v>0</v>
      </c>
      <c r="I71" s="3989"/>
      <c r="J71" s="4164">
        <f t="shared" si="2"/>
        <v>0</v>
      </c>
      <c r="K71" s="3985" t="str">
        <f t="shared" si="12"/>
        <v/>
      </c>
      <c r="M71" s="3123">
        <f t="shared" si="4"/>
        <v>0</v>
      </c>
      <c r="N71" s="3123">
        <f t="shared" si="5"/>
        <v>0</v>
      </c>
      <c r="Q71" s="4088"/>
      <c r="S71" s="1485">
        <f>Consolidation!B63</f>
      </c>
      <c r="T71" s="1485">
        <f t="shared" si="10"/>
        <v>0</v>
      </c>
      <c r="U71" s="1485">
        <f t="shared" si="11"/>
        <v>0</v>
      </c>
      <c r="W71" s="1485">
        <f t="shared" si="8"/>
        <v>0</v>
      </c>
      <c r="X71" s="2314">
        <f t="shared" si="9"/>
        <v>0</v>
      </c>
      <c r="Y71" s="2314">
        <f>SUMIF($W$9:W71,W71,$X$9:X71)</f>
      </c>
    </row>
    <row r="72" spans="1:25" x14ac:dyDescent="0.2">
      <c r="A72" s="3748">
        <v>64</v>
      </c>
      <c r="B72" s="3352"/>
      <c r="C72" s="363"/>
      <c r="D72" s="809"/>
      <c r="E72" s="3989"/>
      <c r="F72" s="3990"/>
      <c r="G72" s="3989"/>
      <c r="H72" s="4163">
        <f t="shared" si="1"/>
        <v>0</v>
      </c>
      <c r="I72" s="3989"/>
      <c r="J72" s="4164">
        <f t="shared" si="2"/>
        <v>0</v>
      </c>
      <c r="K72" s="3985" t="str">
        <f t="shared" si="12"/>
        <v/>
      </c>
      <c r="M72" s="3123">
        <f t="shared" si="4"/>
        <v>0</v>
      </c>
      <c r="N72" s="3123">
        <f t="shared" si="5"/>
        <v>0</v>
      </c>
      <c r="Q72" s="4088"/>
      <c r="S72" s="1485">
        <f>Consolidation!B64</f>
      </c>
      <c r="T72" s="1485">
        <f t="shared" si="10"/>
        <v>0</v>
      </c>
      <c r="U72" s="1485">
        <f t="shared" si="11"/>
        <v>0</v>
      </c>
      <c r="W72" s="1485">
        <f t="shared" si="8"/>
        <v>0</v>
      </c>
      <c r="X72" s="2314">
        <f t="shared" si="9"/>
        <v>0</v>
      </c>
      <c r="Y72" s="2314">
        <f>SUMIF($W$9:W72,W72,$X$9:X72)</f>
      </c>
    </row>
    <row r="73" spans="1:25" x14ac:dyDescent="0.2">
      <c r="A73" s="3748">
        <v>65</v>
      </c>
      <c r="B73" s="3352"/>
      <c r="C73" s="363"/>
      <c r="D73" s="809"/>
      <c r="E73" s="3989"/>
      <c r="F73" s="3990"/>
      <c r="G73" s="3989"/>
      <c r="H73" s="4163">
        <f t="shared" si="1"/>
        <v>0</v>
      </c>
      <c r="I73" s="3989"/>
      <c r="J73" s="4164">
        <f t="shared" si="2"/>
        <v>0</v>
      </c>
      <c r="K73" s="3985" t="str">
        <f t="shared" si="12"/>
        <v/>
      </c>
      <c r="M73" s="3123">
        <f t="shared" si="4"/>
        <v>0</v>
      </c>
      <c r="N73" s="3123">
        <f t="shared" si="5"/>
        <v>0</v>
      </c>
      <c r="Q73" s="4088"/>
      <c r="S73" s="1485">
        <f>Consolidation!B65</f>
      </c>
      <c r="T73" s="1485">
        <f t="shared" si="10"/>
        <v>0</v>
      </c>
      <c r="U73" s="1485">
        <f t="shared" si="11"/>
        <v>0</v>
      </c>
      <c r="W73" s="1485">
        <f t="shared" si="8"/>
        <v>0</v>
      </c>
      <c r="X73" s="2314">
        <f t="shared" si="9"/>
        <v>0</v>
      </c>
      <c r="Y73" s="2314">
        <f>SUMIF($W$9:W73,W73,$X$9:X73)</f>
      </c>
    </row>
    <row r="74" spans="1:25" x14ac:dyDescent="0.2">
      <c r="A74" s="3748">
        <v>66</v>
      </c>
      <c r="B74" s="3352"/>
      <c r="C74" s="363"/>
      <c r="D74" s="809"/>
      <c r="E74" s="3989"/>
      <c r="F74" s="3990"/>
      <c r="G74" s="3989"/>
      <c r="H74" s="4163">
        <f t="shared" si="1"/>
        <v>0</v>
      </c>
      <c r="I74" s="3989"/>
      <c r="J74" s="4164">
        <f t="shared" si="2"/>
        <v>0</v>
      </c>
      <c r="K74" s="3985" t="str">
        <f t="shared" si="12"/>
        <v/>
      </c>
      <c r="M74" s="3123">
        <f t="shared" si="4"/>
        <v>0</v>
      </c>
      <c r="N74" s="3123">
        <f t="shared" ref="N74:N78" si="13">IF($O$1="n",COUNTA(C74:G74,I74),IF($O$1="y",COUNTA(B74:G74,I74),0))</f>
      </c>
      <c r="Q74" s="4088"/>
      <c r="S74" s="1485">
        <f>Consolidation!B66</f>
      </c>
      <c r="T74" s="1485">
        <f t="shared" si="10"/>
        <v>0</v>
      </c>
      <c r="U74" s="1485">
        <f t="shared" si="11"/>
        <v>0</v>
      </c>
      <c r="W74" s="1485">
        <f t="shared" ref="W74:W78" si="14">B74</f>
      </c>
      <c r="X74" s="2314">
        <f t="shared" ref="X74:X78" si="15">I74</f>
      </c>
      <c r="Y74" s="2314">
        <f>SUMIF($W$9:W74,W74,$X$9:X74)</f>
      </c>
    </row>
    <row r="75" spans="1:25" x14ac:dyDescent="0.2">
      <c r="A75" s="3748">
        <v>67</v>
      </c>
      <c r="B75" s="3352"/>
      <c r="C75" s="363"/>
      <c r="D75" s="809"/>
      <c r="E75" s="3989"/>
      <c r="F75" s="3990"/>
      <c r="G75" s="3989"/>
      <c r="H75" s="4163">
        <f t="shared" si="1"/>
        <v>0</v>
      </c>
      <c r="I75" s="3989"/>
      <c r="J75" s="4164">
        <f t="shared" si="2"/>
        <v>0</v>
      </c>
      <c r="K75" s="3985" t="str">
        <f t="shared" si="12"/>
        <v/>
      </c>
      <c r="M75" s="3123">
        <f t="shared" si="4"/>
        <v>0</v>
      </c>
      <c r="N75" s="3123">
        <f t="shared" si="13"/>
        <v>0</v>
      </c>
      <c r="Q75" s="4088"/>
      <c r="S75" s="1485">
        <f>Consolidation!B67</f>
      </c>
      <c r="T75" s="1485">
        <f t="shared" si="10"/>
        <v>0</v>
      </c>
      <c r="U75" s="1485">
        <f t="shared" si="11"/>
        <v>0</v>
      </c>
      <c r="W75" s="1485">
        <f t="shared" si="14"/>
        <v>0</v>
      </c>
      <c r="X75" s="2314">
        <f t="shared" si="15"/>
        <v>0</v>
      </c>
      <c r="Y75" s="2314">
        <f>SUMIF($W$9:W75,W75,$X$9:X75)</f>
      </c>
    </row>
    <row r="76" spans="1:25" x14ac:dyDescent="0.2">
      <c r="A76" s="3748">
        <v>68</v>
      </c>
      <c r="B76" s="3352"/>
      <c r="C76" s="363"/>
      <c r="D76" s="809"/>
      <c r="E76" s="3989"/>
      <c r="F76" s="3990"/>
      <c r="G76" s="3989"/>
      <c r="H76" s="4163">
        <f t="shared" si="1"/>
        <v>0</v>
      </c>
      <c r="I76" s="3989"/>
      <c r="J76" s="4164">
        <f t="shared" si="2"/>
        <v>0</v>
      </c>
      <c r="K76" s="3985" t="str">
        <f t="shared" si="12"/>
        <v/>
      </c>
      <c r="M76" s="3123">
        <f t="shared" si="4"/>
        <v>0</v>
      </c>
      <c r="N76" s="3123">
        <f t="shared" si="13"/>
        <v>0</v>
      </c>
      <c r="Q76" s="4088"/>
      <c r="S76" s="1485">
        <f>Consolidation!B68</f>
      </c>
      <c r="T76" s="1485">
        <f t="shared" ref="T76:T88" si="16">SUMIF($B$9:$B$78,S76,$I$9:$I$78)</f>
      </c>
      <c r="U76" s="1485">
        <f t="shared" ref="U76:U88" si="17">IF(AND($V$1=$W$1,T76&gt;300000),1,0)</f>
      </c>
      <c r="W76" s="1485">
        <f t="shared" si="14"/>
        <v>0</v>
      </c>
      <c r="X76" s="2314">
        <f t="shared" si="15"/>
        <v>0</v>
      </c>
      <c r="Y76" s="2314">
        <f>SUMIF($W$9:W76,W76,$X$9:X76)</f>
      </c>
    </row>
    <row r="77" spans="1:25" x14ac:dyDescent="0.2">
      <c r="A77" s="3748">
        <v>69</v>
      </c>
      <c r="B77" s="3352"/>
      <c r="C77" s="363"/>
      <c r="D77" s="809"/>
      <c r="E77" s="3989"/>
      <c r="F77" s="3990"/>
      <c r="G77" s="3989"/>
      <c r="H77" s="4163">
        <f t="shared" si="1"/>
        <v>0</v>
      </c>
      <c r="I77" s="3989"/>
      <c r="J77" s="4164">
        <f t="shared" si="2"/>
        <v>0</v>
      </c>
      <c r="K77" s="3985" t="str">
        <f t="shared" si="12"/>
        <v/>
      </c>
      <c r="M77" s="3123">
        <f t="shared" si="4"/>
        <v>0</v>
      </c>
      <c r="N77" s="3123">
        <f t="shared" si="13"/>
        <v>0</v>
      </c>
      <c r="Q77" s="4088"/>
      <c r="S77" s="1485">
        <f>Consolidation!B69</f>
      </c>
      <c r="T77" s="1485">
        <f t="shared" si="16"/>
        <v>0</v>
      </c>
      <c r="U77" s="1485">
        <f t="shared" si="17"/>
        <v>0</v>
      </c>
      <c r="W77" s="1485">
        <f t="shared" si="14"/>
        <v>0</v>
      </c>
      <c r="X77" s="2314">
        <f t="shared" si="15"/>
        <v>0</v>
      </c>
      <c r="Y77" s="2314">
        <f>SUMIF($W$9:W77,W77,$X$9:X77)</f>
      </c>
    </row>
    <row r="78" spans="1:25" x14ac:dyDescent="0.2">
      <c r="A78" s="3748">
        <v>70</v>
      </c>
      <c r="B78" s="3352"/>
      <c r="C78" s="363"/>
      <c r="D78" s="809"/>
      <c r="E78" s="3989"/>
      <c r="F78" s="3990"/>
      <c r="G78" s="3989"/>
      <c r="H78" s="4163">
        <f t="shared" si="1"/>
        <v>0</v>
      </c>
      <c r="I78" s="3989"/>
      <c r="J78" s="4164">
        <f t="shared" si="2"/>
        <v>0</v>
      </c>
      <c r="K78" s="3985" t="str">
        <f t="shared" si="12"/>
        <v/>
      </c>
      <c r="M78" s="3123">
        <f t="shared" si="4"/>
        <v>0</v>
      </c>
      <c r="N78" s="3123">
        <f t="shared" si="13"/>
        <v>0</v>
      </c>
      <c r="Q78" s="4088"/>
      <c r="S78" s="1485">
        <f>Consolidation!B70</f>
      </c>
      <c r="T78" s="1485">
        <f t="shared" si="16"/>
        <v>0</v>
      </c>
      <c r="U78" s="1485">
        <f t="shared" si="17"/>
        <v>0</v>
      </c>
      <c r="W78" s="1485">
        <f t="shared" si="14"/>
        <v>0</v>
      </c>
      <c r="X78" s="2314">
        <f t="shared" si="15"/>
        <v>0</v>
      </c>
      <c r="Y78" s="2314">
        <f>SUMIF($W$9:W78,W78,$X$9:X78)</f>
      </c>
    </row>
    <row r="79" spans="1:25" x14ac:dyDescent="0.2">
      <c r="A79" s="3315"/>
      <c r="B79" s="2239" t="s">
        <v>9115</v>
      </c>
      <c r="C79" s="2238"/>
      <c r="D79" s="2238"/>
      <c r="E79" s="4165">
        <f>SUM(E9:E78)</f>
      </c>
      <c r="F79" s="3315"/>
      <c r="G79" s="3315"/>
      <c r="H79" s="3315"/>
      <c r="I79" s="3315"/>
      <c r="J79" s="3315"/>
      <c r="K79" s="3315"/>
      <c r="S79" s="1485">
        <f>Consolidation!B71</f>
      </c>
      <c r="T79" s="1485">
        <f t="shared" si="16"/>
        <v>0</v>
      </c>
      <c r="U79" s="1485">
        <f t="shared" si="17"/>
        <v>0</v>
      </c>
    </row>
    <row r="80" spans="1:25" x14ac:dyDescent="0.2">
      <c r="A80" s="3315"/>
      <c r="B80" s="1942" t="s">
        <v>7159</v>
      </c>
      <c r="C80" s="2238"/>
      <c r="D80" s="1942"/>
      <c r="E80" s="1942"/>
      <c r="F80" s="1942"/>
      <c r="G80" s="4165">
        <f>SUM(G9:G78)</f>
      </c>
      <c r="H80" s="3315"/>
      <c r="I80" s="3315"/>
      <c r="J80" s="3315"/>
      <c r="K80" s="3315"/>
      <c r="P80" s="3123"/>
      <c r="Q80" s="3338">
        <f>MIN(Q82,R81)</f>
      </c>
      <c r="R80" s="3123"/>
      <c r="S80" s="1485">
        <f>Consolidation!B72</f>
      </c>
      <c r="T80" s="1485">
        <f t="shared" si="16"/>
        <v>0</v>
      </c>
      <c r="U80" s="1485">
        <f t="shared" si="17"/>
        <v>0</v>
      </c>
    </row>
    <row r="81" spans="1:21" x14ac:dyDescent="0.2">
      <c r="A81" s="3315"/>
      <c r="B81" s="2239" t="s">
        <v>7332</v>
      </c>
      <c r="C81" s="2238"/>
      <c r="D81" s="2238"/>
      <c r="E81" s="2238"/>
      <c r="F81" s="2238"/>
      <c r="G81" s="2238"/>
      <c r="H81" s="4165">
        <f>SUM(H9:H78)</f>
      </c>
      <c r="I81" s="3315"/>
      <c r="J81" s="3315"/>
      <c r="K81" s="3315"/>
      <c r="P81" s="3338">
        <v>45292</v>
      </c>
      <c r="Q81" s="3272"/>
      <c r="R81" s="3272">
        <f>DATE(ya,12,31)</f>
      </c>
      <c r="S81" s="1485">
        <f>Consolidation!B73</f>
      </c>
      <c r="T81" s="1485">
        <f t="shared" si="16"/>
        <v>0</v>
      </c>
      <c r="U81" s="1485">
        <f t="shared" si="17"/>
        <v>0</v>
      </c>
    </row>
    <row r="82" spans="1:21" x14ac:dyDescent="0.2">
      <c r="A82" s="3315"/>
      <c r="B82" s="2239" t="s">
        <v>7157</v>
      </c>
      <c r="C82" s="2238"/>
      <c r="D82" s="2238"/>
      <c r="E82" s="2238"/>
      <c r="F82" s="2239"/>
      <c r="G82" s="2239"/>
      <c r="H82" s="3918" t="s">
        <v>951</v>
      </c>
      <c r="I82" s="4165">
        <f>IF(AND(O1="n",SUM(I9:I78)&gt;300000),300000,SUM(I9:I78))</f>
      </c>
      <c r="J82" s="4093" t="str">
        <f>IF(AND(O1="y",U7&gt;0),"Credits utilised excessive!","")</f>
        <v/>
      </c>
      <c r="K82" s="3315"/>
      <c r="M82" s="3123">
        <f>IF(J82="",0,1)</f>
      </c>
      <c r="P82" s="1871"/>
      <c r="Q82" s="2774">
        <v>47848</v>
      </c>
      <c r="S82" s="1485">
        <f>Consolidation!B74</f>
      </c>
      <c r="T82" s="1485">
        <f t="shared" si="16"/>
        <v>0</v>
      </c>
      <c r="U82" s="1485">
        <f t="shared" si="17"/>
        <v>0</v>
      </c>
    </row>
    <row r="83" spans="1:21" x14ac:dyDescent="0.2">
      <c r="A83" s="3315"/>
      <c r="B83" s="2237" t="s">
        <v>7074</v>
      </c>
      <c r="C83" s="2238"/>
      <c r="D83" s="2237"/>
      <c r="E83" s="2237"/>
      <c r="F83" s="2237"/>
      <c r="G83" s="2237"/>
      <c r="H83" s="2237"/>
      <c r="I83" s="3315"/>
      <c r="J83" s="4165">
        <f>IF(SUM(J9:J78)&lt;0,0,SUM(J9:J78))</f>
      </c>
      <c r="K83" s="3315"/>
      <c r="S83" s="1485">
        <f>Consolidation!B75</f>
      </c>
      <c r="T83" s="1485">
        <f t="shared" si="16"/>
        <v>0</v>
      </c>
      <c r="U83" s="1485">
        <f t="shared" si="17"/>
        <v>0</v>
      </c>
    </row>
    <row r="84" spans="1:21" x14ac:dyDescent="0.2">
      <c r="A84" s="3315"/>
      <c r="B84" s="3315"/>
      <c r="C84" s="3315"/>
      <c r="D84" s="3315"/>
      <c r="E84" s="3315"/>
      <c r="F84" s="3315"/>
      <c r="G84" s="3315"/>
      <c r="H84" s="3315"/>
      <c r="I84" s="3315"/>
      <c r="J84" s="3315"/>
      <c r="K84" s="3315"/>
      <c r="O84" s="5468" t="s">
        <v>7073</v>
      </c>
      <c r="P84" s="5468"/>
      <c r="Q84" s="5468"/>
      <c r="S84" s="1485">
        <f>Consolidation!B76</f>
      </c>
      <c r="T84" s="1485">
        <f t="shared" si="16"/>
        <v>0</v>
      </c>
      <c r="U84" s="1485">
        <f t="shared" si="17"/>
        <v>0</v>
      </c>
    </row>
    <row r="85" spans="1:21" x14ac:dyDescent="0.2">
      <c r="A85" s="3315"/>
      <c r="B85" s="4166" t="s">
        <v>10476</v>
      </c>
      <c r="C85" s="4167"/>
      <c r="D85" s="4167"/>
      <c r="E85" s="4167"/>
      <c r="F85" s="4167"/>
      <c r="G85" s="4167"/>
      <c r="H85" s="4167"/>
      <c r="I85" s="4168" t="s">
        <v>951</v>
      </c>
      <c r="J85" s="737"/>
      <c r="K85" s="4091" t="str">
        <f>IF(N4=0,"",IF(AND(I82&gt;0,J85=""),re,IF(AND(I82=0,J85&gt;0),"No tax credit claimed for the year!",IF(AND(I82&gt;0,J85=0),"Amount relieved by tax credit required!",IF(J85&lt;0,"Cannot be negative!",IF(OR(J85&gt;O85+1,J85&lt;P85-1),Q85,""))))))</f>
        <v/>
      </c>
      <c r="M85" s="3123">
        <f>IF(K85="",0,1)</f>
      </c>
      <c r="N85" s="3123">
        <f>COUNT(J85)</f>
      </c>
      <c r="O85" s="3994">
        <f>ROUND(I82/5%,0)</f>
      </c>
      <c r="P85" s="3995">
        <f>ROUND(I82/0.35,0)</f>
      </c>
      <c r="Q85" s="3996" t="s">
        <v>4787</v>
      </c>
      <c r="S85" s="1485">
        <f>Consolidation!B77</f>
      </c>
      <c r="T85" s="1485">
        <f t="shared" si="16"/>
        <v>0</v>
      </c>
      <c r="U85" s="1485">
        <f t="shared" si="17"/>
        <v>0</v>
      </c>
    </row>
    <row r="86" spans="1:21" x14ac:dyDescent="0.2">
      <c r="A86" s="3315"/>
      <c r="B86" s="3315"/>
      <c r="C86" s="3315"/>
      <c r="D86" s="3315"/>
      <c r="E86" s="3315"/>
      <c r="F86" s="3315"/>
      <c r="G86" s="3315"/>
      <c r="H86" s="3315"/>
      <c r="I86" s="3315"/>
      <c r="J86" s="3315"/>
      <c r="K86" s="3315"/>
      <c r="S86" s="1485">
        <f>Consolidation!B78</f>
      </c>
      <c r="T86" s="1485">
        <f t="shared" si="16"/>
        <v>0</v>
      </c>
      <c r="U86" s="1485">
        <f t="shared" si="17"/>
        <v>0</v>
      </c>
    </row>
    <row r="87" spans="1:21" x14ac:dyDescent="0.2">
      <c r="A87" s="3315"/>
      <c r="B87" s="3315" t="s">
        <v>9116</v>
      </c>
      <c r="C87" s="3315"/>
      <c r="D87" s="3315"/>
      <c r="E87" s="3315"/>
      <c r="F87" s="3315"/>
      <c r="G87" s="3315"/>
      <c r="H87" s="3315"/>
      <c r="I87" s="3315"/>
      <c r="J87" s="3352"/>
      <c r="K87" s="3985" t="str">
        <f>IF(I82=0,"",IF(J87="",re,IF(AND(J87="no",I82&gt;0),"No benefit!","")))</f>
        <v/>
      </c>
      <c r="M87" s="3123">
        <f>IF(K87="",0,1)</f>
      </c>
      <c r="N87" s="3123">
        <f>IF(J87&lt;&gt;"",1,0)</f>
      </c>
      <c r="S87" s="1485">
        <f>Consolidation!B79</f>
      </c>
      <c r="T87" s="1485">
        <f t="shared" si="16"/>
        <v>0</v>
      </c>
      <c r="U87" s="1485">
        <f t="shared" si="17"/>
        <v>0</v>
      </c>
    </row>
    <row r="88" spans="1:21" x14ac:dyDescent="0.2">
      <c r="A88" s="3315"/>
      <c r="B88" s="3315"/>
      <c r="C88" s="3315"/>
      <c r="D88" s="3315"/>
      <c r="E88" s="3315"/>
      <c r="F88" s="3315"/>
      <c r="G88" s="3315"/>
      <c r="H88" s="3315"/>
      <c r="I88" s="3315"/>
      <c r="J88" s="3315"/>
      <c r="K88" s="3315"/>
      <c r="S88" s="1485">
        <f>Consolidation!B80</f>
      </c>
      <c r="T88" s="1485">
        <f t="shared" si="16"/>
        <v>0</v>
      </c>
      <c r="U88" s="1485">
        <f t="shared" si="17"/>
        <v>0</v>
      </c>
    </row>
    <row r="89" spans="1:21" x14ac:dyDescent="0.2">
      <c r="A89" s="3315"/>
      <c r="B89" s="3315"/>
      <c r="C89" s="3315"/>
      <c r="D89" s="3315"/>
      <c r="E89" s="3315"/>
      <c r="F89" s="3355"/>
      <c r="G89" s="3356" t="s">
        <v>4456</v>
      </c>
      <c r="H89" s="3356"/>
      <c r="I89" s="3352"/>
      <c r="J89" s="3351" t="str">
        <f>IF(N4=0,"",IF(I89="",re,""))</f>
        <v/>
      </c>
      <c r="K89" s="3315"/>
      <c r="M89" s="3809">
        <f>IF(N4=0,0,IF(M4&gt;0,100,IF(I89="no",100,1)))</f>
      </c>
    </row>
    <row r="90" spans="1:21" x14ac:dyDescent="0.2">
      <c r="A90" s="3315"/>
      <c r="B90" s="3315"/>
      <c r="C90" s="3315"/>
      <c r="D90" s="3315"/>
      <c r="E90" s="3315"/>
      <c r="F90" s="3315"/>
      <c r="G90" s="3315"/>
      <c r="H90" s="3315"/>
      <c r="I90" s="3315"/>
      <c r="J90" s="3315"/>
      <c r="K90" s="3315"/>
    </row>
    <row r="91" spans="1:21" x14ac:dyDescent="0.2">
      <c r="A91" s="1942"/>
      <c r="B91" s="1935" t="s">
        <v>10574</v>
      </c>
      <c r="C91" s="1942"/>
      <c r="D91" s="1938"/>
      <c r="E91" s="1938"/>
      <c r="F91" s="2592"/>
      <c r="G91" s="1943" t="str">
        <f>ver</f>
        <v>TA2_e-CO_2025_Ver 1.1</v>
      </c>
      <c r="H91" s="1942"/>
      <c r="I91" s="1942"/>
      <c r="J91" s="1938" t="s">
        <v>10651</v>
      </c>
      <c r="K91" s="2592"/>
    </row>
    <row r="92" spans="1:21" x14ac:dyDescent="0.2"/>
    <row r="93" spans="1:21" x14ac:dyDescent="0.2">
      <c r="B93" s="3922" t="s">
        <v>1700</v>
      </c>
    </row>
    <row r="94" spans="1:21" x14ac:dyDescent="0.2"/>
  </sheetData>
  <sheetProtection algorithmName="SHA-512" hashValue="A2WOPnaeih7QCyDZ7/pzSmvuMkEMuq5dupgM+c9NyZ2HCo0MWf1jA2firm7r0mdKicx1+q/TKryjEG3j1pej1w==" saltValue="UPsBWAX+IYY8GimYroX/Ww==" spinCount="100000" sheet="1" objects="1" scenarios="1"/>
  <mergeCells count="3">
    <mergeCell ref="S4:S5"/>
    <mergeCell ref="O84:Q84"/>
    <mergeCell ref="W6:Y7"/>
  </mergeCells>
  <conditionalFormatting sqref="J85">
    <cfRule type="expression" dxfId="87" priority="1" stopIfTrue="1">
      <formula>#REF!=nob</formula>
    </cfRule>
  </conditionalFormatting>
  <dataValidations count="11">
    <dataValidation type="whole" allowBlank="1" showInputMessage="1" showErrorMessage="1" errorTitle="Approved tax credit" error="Input a whole number greater than 0 but less than 300,000!_x000a_" sqref="E9:E78" xr:uid="{F497592F-0852-43D5-A707-CFE398BA6917}">
      <formula1>0</formula1>
      <formula2>300000</formula2>
    </dataValidation>
    <dataValidation type="whole" operator="greaterThanOrEqual" allowBlank="1" showInputMessage="1" showErrorMessage="1" sqref="G9:G78" xr:uid="{EA83440A-304E-4BAE-AD0B-A0C38673F4F9}">
      <formula1>0</formula1>
    </dataValidation>
    <dataValidation type="whole" allowBlank="1" showInputMessage="1" showErrorMessage="1" errorTitle="Tax credit first utilised" error="Please enter correct year of assessment!" sqref="F9:F78" xr:uid="{48344C98-1D00-475F-861F-DC0F8403F5CB}">
      <formula1>$R$4</formula1>
      <formula2>$R$5</formula2>
    </dataValidation>
    <dataValidation type="list" operator="greaterThanOrEqual" allowBlank="1" showInputMessage="1" showErrorMessage="1" errorTitle="Certificate number" error="Please enter the correct reference!" sqref="G6" xr:uid="{6241735C-E032-411A-826D-0817B2042B10}">
      <formula1>$A$8:$A$78</formula1>
    </dataValidation>
    <dataValidation type="date" allowBlank="1" showInputMessage="1" showErrorMessage="1" errorTitle="Date" error="Enter correct date!" sqref="D9:D78" xr:uid="{E8BFDFD4-F644-4A95-8F50-BA23A3E326FC}">
      <formula1>$P$81</formula1>
      <formula2>$Q$80</formula2>
    </dataValidation>
    <dataValidation type="list" showInputMessage="1" showErrorMessage="1" sqref="J87 I89" xr:uid="{CE44B9A1-B822-427A-95E0-952E0AF8A5E6}">
      <formula1>$T$1:$T$3</formula1>
    </dataValidation>
    <dataValidation type="list" allowBlank="1" showInputMessage="1" showErrorMessage="1" sqref="B9:B78" xr:uid="{A14833FB-7FB0-4C60-B298-72DAB12C97C0}">
      <formula1>FU</formula1>
    </dataValidation>
    <dataValidation type="whole" allowBlank="1" showInputMessage="1" showErrorMessage="1" errorTitle="Income relieved by tax credit" error="Are you sure the amount entered is correct?" sqref="J85" xr:uid="{52906518-9334-46CF-A7F0-74F2584AE6F7}">
      <formula1>S85-1</formula1>
      <formula2>R85+1</formula2>
    </dataValidation>
    <dataValidation type="textLength" operator="greaterThanOrEqual" allowBlank="1" showInputMessage="1" showErrorMessage="1" errorTitle="Certificate No:" error="Please enter correct certificate number!" sqref="C9:C78" xr:uid="{F63060BC-90FE-4E6E-BF9F-2EF0DFF276EB}">
      <formula1>6</formula1>
    </dataValidation>
    <dataValidation type="whole" operator="greaterThanOrEqual" allowBlank="1" showInputMessage="1" showErrorMessage="1" errorTitle="Tax credits utilised " error="Enter a whole figure greater than 0!" sqref="I9:I78" xr:uid="{F341DC29-88EE-42EC-A605-693A105905CD}">
      <formula1>0</formula1>
    </dataValidation>
    <dataValidation operator="greaterThanOrEqual" allowBlank="1" showInputMessage="1" showErrorMessage="1" errorTitle="Tax credits utilised " error="Enter a whole figure greater than 0!" sqref="H9:H78" xr:uid="{30ACAC84-8DAD-4902-9700-D69DDB0D91E3}"/>
  </dataValidations>
  <hyperlinks>
    <hyperlink ref="H82" location="'TRA35'!A1" display="TRA 35" xr:uid="{C7240B30-E9DB-4703-8EAE-BBF53E726336}"/>
    <hyperlink ref="I85" location="'TRA35'!A1" display="TRA 35" xr:uid="{1429E796-E792-4721-A569-FB5F2A57DCD4}"/>
    <hyperlink ref="B93" location="Index!A1" display="BACK TO INDEX" xr:uid="{00B2B91B-B84E-48EB-878E-88DD9345805A}"/>
  </hyperlinks>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0612-2ED5-405F-AC7C-85E2BE76A503}">
  <dimension ref="A1:U67"/>
  <sheetViews>
    <sheetView showGridLines="0" workbookViewId="0">
      <selection activeCell="E8" sqref="E8"/>
    </sheetView>
  </sheetViews>
  <sheetFormatPr defaultColWidth="0" defaultRowHeight="12.75" zeroHeight="1" x14ac:dyDescent="0.2"/>
  <cols>
    <col min="1" max="1" width="1.28515625" style="1485" customWidth="1"/>
    <col min="2" max="2" width="11.7109375" style="1485" customWidth="1"/>
    <col min="3" max="3" width="13.28515625" style="1485" customWidth="1"/>
    <col min="4" max="4" width="50.42578125" style="1485" customWidth="1"/>
    <col min="5" max="5" width="13.28515625" style="1485" customWidth="1"/>
    <col min="6" max="7" width="13.42578125" style="1485" customWidth="1"/>
    <col min="8" max="8" width="16.5703125" style="1485" customWidth="1"/>
    <col min="9" max="9" width="4" style="1485" customWidth="1"/>
    <col min="10" max="11" width="9.28515625" style="1485" hidden="1" customWidth="1"/>
    <col min="12" max="12" width="10.7109375" style="1485" hidden="1" customWidth="1"/>
    <col min="13" max="13" width="9.28515625" style="1485" hidden="1" customWidth="1"/>
    <col min="14" max="14" width="11.7109375" style="1485" hidden="1" customWidth="1"/>
    <col min="15" max="18" width="9.28515625" style="1485" hidden="1" customWidth="1"/>
    <col min="19" max="19" width="11.5703125" style="1485" hidden="1" customWidth="1"/>
    <col min="20" max="16384" width="9.28515625" style="1485" hidden="1"/>
  </cols>
  <sheetData>
    <row r="1" spans="1:21" x14ac:dyDescent="0.2">
      <c r="A1" s="5477" t="str">
        <f>_ref1</f>
      </c>
      <c r="B1" s="5477"/>
      <c r="C1" s="5477"/>
      <c r="D1" s="5477"/>
      <c r="E1" s="5477"/>
      <c r="F1" s="5477"/>
      <c r="G1" s="5477"/>
      <c r="H1" s="4096" t="str">
        <f>_YA1</f>
      </c>
      <c r="I1" s="4097"/>
      <c r="L1" s="1485" t="s">
        <v>6933</v>
      </c>
      <c r="N1" s="1485">
        <f>ya-1</f>
      </c>
    </row>
    <row r="2" spans="1:21" x14ac:dyDescent="0.2">
      <c r="A2" s="4098"/>
      <c r="B2" s="4098"/>
      <c r="C2" s="4098"/>
      <c r="D2" s="4098"/>
      <c r="E2" s="4098"/>
      <c r="F2" s="4098"/>
      <c r="G2" s="4098"/>
      <c r="H2" s="4098"/>
      <c r="I2" s="4097"/>
      <c r="L2" s="2774" t="s">
        <v>10653</v>
      </c>
      <c r="N2" s="2774">
        <f>IF(ISBLANK(date_from)=TRUE,N3-365,date_from)</f>
      </c>
      <c r="R2" s="1485" t="s">
        <v>4457</v>
      </c>
      <c r="T2" s="1485" t="str">
        <f>cur</f>
      </c>
      <c r="U2" s="1485" t="s">
        <v>4591</v>
      </c>
    </row>
    <row r="3" spans="1:21" ht="18" x14ac:dyDescent="0.25">
      <c r="A3" s="4098"/>
      <c r="B3" s="4099" t="s">
        <v>10654</v>
      </c>
      <c r="C3" s="4100"/>
      <c r="D3" s="4100"/>
      <c r="E3" s="4100"/>
      <c r="F3" s="4100"/>
      <c r="G3" s="4100"/>
      <c r="H3" s="4101"/>
      <c r="I3" s="4097"/>
      <c r="L3" s="2774" t="s">
        <v>10655</v>
      </c>
      <c r="N3" s="2774">
        <f>IF(ISBLANK(date_to)=TRUE,DATE(Q3,P3,O3),date_to)</f>
      </c>
      <c r="O3" s="1485">
        <f>bs_date_day</f>
      </c>
      <c r="P3" s="1485">
        <f>VLOOKUP(bs_date_month,date_month,2,FALSE)</f>
      </c>
      <c r="Q3" s="1485">
        <f>ya-1</f>
      </c>
      <c r="R3" s="1485" t="s">
        <v>1736</v>
      </c>
    </row>
    <row r="4" spans="1:21" ht="18" x14ac:dyDescent="0.25">
      <c r="A4" s="4098"/>
      <c r="B4" s="4102" t="s">
        <v>10656</v>
      </c>
      <c r="C4" s="4103"/>
      <c r="D4" s="4103"/>
      <c r="E4" s="4103"/>
      <c r="F4" s="4103"/>
      <c r="G4" s="4103"/>
      <c r="H4" s="4104"/>
      <c r="I4" s="4097"/>
      <c r="L4" s="1485" t="s">
        <v>10224</v>
      </c>
      <c r="N4" s="1485" t="str">
        <f>'p2'!G36</f>
      </c>
    </row>
    <row r="5" spans="1:21" ht="8.25" customHeight="1" x14ac:dyDescent="0.2">
      <c r="A5" s="4098"/>
      <c r="B5" s="4098"/>
      <c r="C5" s="4098"/>
      <c r="D5" s="4098"/>
      <c r="E5" s="4098"/>
      <c r="F5" s="4098"/>
      <c r="G5" s="4098"/>
      <c r="H5" s="4098"/>
      <c r="I5" s="4097"/>
    </row>
    <row r="6" spans="1:21" x14ac:dyDescent="0.2">
      <c r="A6" s="4098"/>
      <c r="B6" s="4105" t="s">
        <v>10657</v>
      </c>
      <c r="C6" s="4106"/>
      <c r="D6" s="4107"/>
      <c r="E6" s="4106"/>
      <c r="F6" s="4106"/>
      <c r="G6" s="4106"/>
      <c r="H6" s="4106"/>
      <c r="I6" s="4097"/>
      <c r="K6" s="1485" t="s">
        <v>7439</v>
      </c>
      <c r="L6" s="1485" t="s">
        <v>7161</v>
      </c>
    </row>
    <row r="7" spans="1:21" x14ac:dyDescent="0.2">
      <c r="A7" s="4098"/>
      <c r="B7" s="4098"/>
      <c r="C7" s="4098"/>
      <c r="D7" s="4098"/>
      <c r="E7" s="4098"/>
      <c r="F7" s="4098"/>
      <c r="G7" s="4098"/>
      <c r="H7" s="4098"/>
      <c r="I7" s="4098"/>
      <c r="K7" s="1873">
        <f>SUM(K8:K92)</f>
      </c>
      <c r="L7" s="1873">
        <f>SUM(L8:L92)</f>
      </c>
      <c r="N7" s="2774"/>
    </row>
    <row r="8" spans="1:21" x14ac:dyDescent="0.2">
      <c r="A8" s="4098"/>
      <c r="B8" s="4108" t="s">
        <v>10658</v>
      </c>
      <c r="C8" s="4098"/>
      <c r="D8" s="4109"/>
      <c r="E8" s="3352"/>
      <c r="F8" s="4110" t="str">
        <f>IF(L7=0,"",IF(AND(L7&gt;0,E8=""),re,""))</f>
        <v/>
      </c>
      <c r="G8" s="4097"/>
      <c r="H8" s="4097"/>
      <c r="I8" s="4097" t="s">
        <v>1020</v>
      </c>
      <c r="K8" s="3123">
        <f>IF(F8="",0,1)</f>
      </c>
      <c r="L8" s="4092">
        <f>COUNT(E8)</f>
      </c>
    </row>
    <row r="9" spans="1:21" x14ac:dyDescent="0.2">
      <c r="A9" s="4098"/>
      <c r="B9" s="4098"/>
      <c r="C9" s="4098"/>
      <c r="D9" s="4098"/>
      <c r="E9" s="4098"/>
      <c r="F9" s="4098"/>
      <c r="G9" s="4098"/>
      <c r="H9" s="4098"/>
      <c r="I9" s="4098"/>
      <c r="T9" s="1485">
        <f>SUM(T11:T13)</f>
      </c>
      <c r="U9" s="1485" t="s">
        <v>7166</v>
      </c>
    </row>
    <row r="10" spans="1:21" ht="62.25" customHeight="1" x14ac:dyDescent="0.2">
      <c r="A10" s="4098"/>
      <c r="B10" s="4111" t="s">
        <v>10083</v>
      </c>
      <c r="C10" s="4111" t="s">
        <v>10659</v>
      </c>
      <c r="D10" s="4112" t="s">
        <v>10660</v>
      </c>
      <c r="E10" s="4113" t="s">
        <v>10661</v>
      </c>
      <c r="F10" s="4113" t="s">
        <v>6933</v>
      </c>
      <c r="G10" s="4113" t="s">
        <v>4738</v>
      </c>
      <c r="H10" s="4098"/>
      <c r="I10" s="4098"/>
      <c r="R10" s="4095" t="s">
        <v>10636</v>
      </c>
      <c r="S10" s="4095" t="s">
        <v>10662</v>
      </c>
      <c r="T10" s="4095" t="s">
        <v>10663</v>
      </c>
    </row>
    <row r="11" spans="1:21" x14ac:dyDescent="0.2">
      <c r="A11" s="4114">
        <v>1</v>
      </c>
      <c r="B11" s="3352"/>
      <c r="C11" s="4127"/>
      <c r="D11" s="4127"/>
      <c r="E11" s="201"/>
      <c r="F11" s="4128"/>
      <c r="G11" s="3989"/>
      <c r="H11" s="4110" t="str">
        <f t="shared" ref="H11" si="0">IF(AND($E$8&gt;0,A11&lt;=$E$8,L11=0),re,IF(AND($N$4="n",B11&lt;&gt;""),"Not a fiscal Unit",IF(AND($E$8&gt;0,A11&lt;=$E$8,$N$4="y",L11&lt;6),"All data",IF(AND(A11&gt;$E$8,L11&gt;0),"No details required",IF(AND($E$8&gt;0,A11&lt;=$E$8,$N$4="n",L11&lt;5),"All data","")))))</f>
        <v/>
      </c>
      <c r="I11" s="4115" t="s">
        <v>1020</v>
      </c>
      <c r="K11" s="3123">
        <f>IF(H11="",0,1)</f>
      </c>
      <c r="L11" s="4092">
        <f>IF($N$4="n",COUNTA(C11:G11),IF($N$4="y",COUNTA(B11:G11),0))</f>
      </c>
      <c r="R11" s="1485" cm="1">
        <f t="array" ref="R11:R61">FU</f>
      </c>
      <c r="S11" s="1485">
        <f>SUMIF($B$11:$B$44,R11,$G$11:$G$44)</f>
      </c>
      <c r="T11" s="1485">
        <f>IF(S11&gt;500,500,S11)</f>
      </c>
    </row>
    <row r="12" spans="1:21" x14ac:dyDescent="0.2">
      <c r="A12" s="4114">
        <v>2</v>
      </c>
      <c r="B12" s="3352"/>
      <c r="C12" s="4127"/>
      <c r="D12" s="4127"/>
      <c r="E12" s="201"/>
      <c r="F12" s="4128"/>
      <c r="G12" s="3989"/>
      <c r="H12" s="4110" t="str">
        <f t="shared" ref="H12:H44" si="1">IF(AND($E$8&gt;0,A12&lt;=$E$8,L12=0),re,IF(AND($N$4="n",B12&lt;&gt;""),"Not a fiscal Unit",IF(AND($E$8&gt;0,A12&lt;=$E$8,$N$4="y",L12&lt;6),"All data",IF(AND(A12&gt;$E$8,L12&gt;0),"No details required",IF(AND($E$8&gt;0,A12&lt;=$E$8,$N$4="n",L12&lt;5),"All data","")))))</f>
        <v/>
      </c>
      <c r="I12" s="4115" t="s">
        <v>1020</v>
      </c>
      <c r="K12" s="3123">
        <f t="shared" ref="K12:K44" si="2">IF(H12="",0,1)</f>
      </c>
      <c r="L12" s="4092">
        <f t="shared" ref="L12:L44" si="3">IF($N$4="n",COUNTA(C12:G12),IF($N$4="y",COUNTA(B12:G12),0))</f>
      </c>
      <c r="R12" s="1485">
        <v>0</v>
      </c>
      <c r="S12" s="1485">
        <f t="shared" ref="S12:S13" si="4">SUMIF($B$11:$B$44,R12,$G$11:$G$44)</f>
      </c>
      <c r="T12" s="1485">
        <f>IF(S12&gt;500,500,S12)</f>
      </c>
    </row>
    <row r="13" spans="1:21" x14ac:dyDescent="0.2">
      <c r="A13" s="4114">
        <v>3</v>
      </c>
      <c r="B13" s="3352"/>
      <c r="C13" s="4127"/>
      <c r="D13" s="4127"/>
      <c r="E13" s="201"/>
      <c r="F13" s="4128"/>
      <c r="G13" s="3989"/>
      <c r="H13" s="4110" t="str">
        <f t="shared" si="1"/>
        <v/>
      </c>
      <c r="I13" s="4115" t="s">
        <v>1020</v>
      </c>
      <c r="K13" s="3123">
        <f t="shared" si="2"/>
        <v>0</v>
      </c>
      <c r="L13" s="4092">
        <f t="shared" si="3"/>
        <v>0</v>
      </c>
      <c r="R13" s="1485">
        <v>0</v>
      </c>
      <c r="S13" s="1485">
        <f t="shared" si="4"/>
        <v>0</v>
      </c>
      <c r="T13" s="1485">
        <f>IF(S13&gt;500,500,S13)</f>
      </c>
    </row>
    <row r="14" spans="1:21" x14ac:dyDescent="0.2">
      <c r="A14" s="4114">
        <v>4</v>
      </c>
      <c r="B14" s="3352"/>
      <c r="C14" s="4127"/>
      <c r="D14" s="4127"/>
      <c r="E14" s="201"/>
      <c r="F14" s="4128"/>
      <c r="G14" s="3989"/>
      <c r="H14" s="4110" t="str">
        <f t="shared" si="1"/>
        <v/>
      </c>
      <c r="I14" s="4115" t="s">
        <v>1020</v>
      </c>
      <c r="K14" s="3123">
        <f t="shared" si="2"/>
        <v>0</v>
      </c>
      <c r="L14" s="4092">
        <f t="shared" si="3"/>
        <v>0</v>
      </c>
      <c r="R14" s="1485">
        <v>0</v>
      </c>
    </row>
    <row r="15" spans="1:21" x14ac:dyDescent="0.2">
      <c r="A15" s="4114">
        <v>5</v>
      </c>
      <c r="B15" s="3352"/>
      <c r="C15" s="4127"/>
      <c r="D15" s="4127"/>
      <c r="E15" s="201"/>
      <c r="F15" s="4128"/>
      <c r="G15" s="3989"/>
      <c r="H15" s="4110" t="str">
        <f t="shared" si="1"/>
        <v/>
      </c>
      <c r="I15" s="4115" t="s">
        <v>1020</v>
      </c>
      <c r="K15" s="3123">
        <f t="shared" si="2"/>
        <v>0</v>
      </c>
      <c r="L15" s="4092">
        <f t="shared" si="3"/>
        <v>0</v>
      </c>
      <c r="R15" s="1485">
        <v>0</v>
      </c>
    </row>
    <row r="16" spans="1:21" x14ac:dyDescent="0.2">
      <c r="A16" s="4114">
        <v>6</v>
      </c>
      <c r="B16" s="3352"/>
      <c r="C16" s="4127"/>
      <c r="D16" s="4127"/>
      <c r="E16" s="201"/>
      <c r="F16" s="4128"/>
      <c r="G16" s="3989"/>
      <c r="H16" s="4110" t="str">
        <f t="shared" si="1"/>
        <v/>
      </c>
      <c r="I16" s="4115" t="s">
        <v>1020</v>
      </c>
      <c r="K16" s="3123">
        <f t="shared" si="2"/>
        <v>0</v>
      </c>
      <c r="L16" s="4092">
        <f t="shared" si="3"/>
        <v>0</v>
      </c>
      <c r="R16" s="1485">
        <v>0</v>
      </c>
    </row>
    <row r="17" spans="1:18" x14ac:dyDescent="0.2">
      <c r="A17" s="4114">
        <v>7</v>
      </c>
      <c r="B17" s="3352"/>
      <c r="C17" s="4127"/>
      <c r="D17" s="4127"/>
      <c r="E17" s="201"/>
      <c r="F17" s="4128"/>
      <c r="G17" s="3989"/>
      <c r="H17" s="4110" t="str">
        <f t="shared" si="1"/>
        <v/>
      </c>
      <c r="I17" s="4115" t="s">
        <v>1020</v>
      </c>
      <c r="K17" s="3123">
        <f t="shared" si="2"/>
        <v>0</v>
      </c>
      <c r="L17" s="4092">
        <f t="shared" si="3"/>
        <v>0</v>
      </c>
      <c r="R17" s="1485">
        <v>0</v>
      </c>
    </row>
    <row r="18" spans="1:18" x14ac:dyDescent="0.2">
      <c r="A18" s="4114">
        <v>8</v>
      </c>
      <c r="B18" s="3352"/>
      <c r="C18" s="4127"/>
      <c r="D18" s="4127"/>
      <c r="E18" s="201"/>
      <c r="F18" s="4128"/>
      <c r="G18" s="3989"/>
      <c r="H18" s="4110" t="str">
        <f t="shared" si="1"/>
        <v/>
      </c>
      <c r="I18" s="4115" t="s">
        <v>1020</v>
      </c>
      <c r="K18" s="3123">
        <f t="shared" si="2"/>
        <v>0</v>
      </c>
      <c r="L18" s="4092">
        <f t="shared" si="3"/>
        <v>0</v>
      </c>
      <c r="R18" s="1485">
        <v>0</v>
      </c>
    </row>
    <row r="19" spans="1:18" x14ac:dyDescent="0.2">
      <c r="A19" s="4114">
        <v>9</v>
      </c>
      <c r="B19" s="3352"/>
      <c r="C19" s="4127"/>
      <c r="D19" s="4127"/>
      <c r="E19" s="201"/>
      <c r="F19" s="4128"/>
      <c r="G19" s="3989"/>
      <c r="H19" s="4110" t="str">
        <f t="shared" si="1"/>
        <v/>
      </c>
      <c r="I19" s="4115"/>
      <c r="K19" s="3123">
        <f t="shared" si="2"/>
        <v>0</v>
      </c>
      <c r="L19" s="4092">
        <f t="shared" si="3"/>
        <v>0</v>
      </c>
      <c r="R19" s="1485">
        <v>0</v>
      </c>
    </row>
    <row r="20" spans="1:18" x14ac:dyDescent="0.2">
      <c r="A20" s="4114">
        <v>10</v>
      </c>
      <c r="B20" s="3352"/>
      <c r="C20" s="4127"/>
      <c r="D20" s="4127"/>
      <c r="E20" s="201"/>
      <c r="F20" s="4128"/>
      <c r="G20" s="3989"/>
      <c r="H20" s="4110" t="str">
        <f t="shared" si="1"/>
        <v/>
      </c>
      <c r="I20" s="4115"/>
      <c r="K20" s="3123">
        <f t="shared" si="2"/>
        <v>0</v>
      </c>
      <c r="L20" s="4092">
        <f t="shared" si="3"/>
        <v>0</v>
      </c>
      <c r="R20" s="1485">
        <v>0</v>
      </c>
    </row>
    <row r="21" spans="1:18" x14ac:dyDescent="0.2">
      <c r="A21" s="4114">
        <v>11</v>
      </c>
      <c r="B21" s="3352"/>
      <c r="C21" s="4127"/>
      <c r="D21" s="4127"/>
      <c r="E21" s="201"/>
      <c r="F21" s="4128"/>
      <c r="G21" s="3989"/>
      <c r="H21" s="4110" t="str">
        <f t="shared" si="1"/>
        <v/>
      </c>
      <c r="I21" s="4115"/>
      <c r="K21" s="3123">
        <f t="shared" si="2"/>
        <v>0</v>
      </c>
      <c r="L21" s="4092">
        <f t="shared" si="3"/>
        <v>0</v>
      </c>
      <c r="R21" s="1485">
        <v>0</v>
      </c>
    </row>
    <row r="22" spans="1:18" x14ac:dyDescent="0.2">
      <c r="A22" s="4114">
        <v>12</v>
      </c>
      <c r="B22" s="3352"/>
      <c r="C22" s="4127"/>
      <c r="D22" s="4127"/>
      <c r="E22" s="201"/>
      <c r="F22" s="4128"/>
      <c r="G22" s="3989"/>
      <c r="H22" s="4110" t="str">
        <f t="shared" si="1"/>
        <v/>
      </c>
      <c r="I22" s="4115"/>
      <c r="K22" s="3123">
        <f t="shared" si="2"/>
        <v>0</v>
      </c>
      <c r="L22" s="4092">
        <f t="shared" si="3"/>
        <v>0</v>
      </c>
      <c r="R22" s="1485">
        <v>0</v>
      </c>
    </row>
    <row r="23" spans="1:18" x14ac:dyDescent="0.2">
      <c r="A23" s="4114">
        <v>13</v>
      </c>
      <c r="B23" s="3352"/>
      <c r="C23" s="4127"/>
      <c r="D23" s="4127"/>
      <c r="E23" s="201"/>
      <c r="F23" s="4128"/>
      <c r="G23" s="3989"/>
      <c r="H23" s="4110" t="str">
        <f t="shared" si="1"/>
        <v/>
      </c>
      <c r="I23" s="4115"/>
      <c r="K23" s="3123">
        <f t="shared" si="2"/>
        <v>0</v>
      </c>
      <c r="L23" s="4092">
        <f t="shared" si="3"/>
        <v>0</v>
      </c>
      <c r="R23" s="1485">
        <v>0</v>
      </c>
    </row>
    <row r="24" spans="1:18" x14ac:dyDescent="0.2">
      <c r="A24" s="4114">
        <v>14</v>
      </c>
      <c r="B24" s="3352"/>
      <c r="C24" s="4127"/>
      <c r="D24" s="4127"/>
      <c r="E24" s="201"/>
      <c r="F24" s="4128"/>
      <c r="G24" s="3989"/>
      <c r="H24" s="4110" t="str">
        <f t="shared" si="1"/>
        <v/>
      </c>
      <c r="I24" s="4115"/>
      <c r="K24" s="3123">
        <f t="shared" si="2"/>
        <v>0</v>
      </c>
      <c r="L24" s="4092">
        <f t="shared" si="3"/>
        <v>0</v>
      </c>
      <c r="R24" s="1485">
        <v>0</v>
      </c>
    </row>
    <row r="25" spans="1:18" x14ac:dyDescent="0.2">
      <c r="A25" s="4114">
        <v>15</v>
      </c>
      <c r="B25" s="3352"/>
      <c r="C25" s="4127"/>
      <c r="D25" s="4127"/>
      <c r="E25" s="201"/>
      <c r="F25" s="4128"/>
      <c r="G25" s="3989"/>
      <c r="H25" s="4110" t="str">
        <f t="shared" si="1"/>
        <v/>
      </c>
      <c r="I25" s="4115"/>
      <c r="K25" s="3123">
        <f t="shared" si="2"/>
        <v>0</v>
      </c>
      <c r="L25" s="4092">
        <f t="shared" si="3"/>
        <v>0</v>
      </c>
      <c r="R25" s="1485">
        <v>0</v>
      </c>
    </row>
    <row r="26" spans="1:18" x14ac:dyDescent="0.2">
      <c r="A26" s="4114">
        <v>16</v>
      </c>
      <c r="B26" s="3352"/>
      <c r="C26" s="4127"/>
      <c r="D26" s="4127"/>
      <c r="E26" s="201"/>
      <c r="F26" s="4128"/>
      <c r="G26" s="3989"/>
      <c r="H26" s="4110" t="str">
        <f t="shared" si="1"/>
        <v/>
      </c>
      <c r="I26" s="4115"/>
      <c r="K26" s="3123">
        <f t="shared" si="2"/>
        <v>0</v>
      </c>
      <c r="L26" s="4092">
        <f t="shared" si="3"/>
        <v>0</v>
      </c>
      <c r="R26" s="1485">
        <v>0</v>
      </c>
    </row>
    <row r="27" spans="1:18" x14ac:dyDescent="0.2">
      <c r="A27" s="4114">
        <v>17</v>
      </c>
      <c r="B27" s="3352"/>
      <c r="C27" s="4127"/>
      <c r="D27" s="4127"/>
      <c r="E27" s="201"/>
      <c r="F27" s="4128"/>
      <c r="G27" s="3989"/>
      <c r="H27" s="4110" t="str">
        <f t="shared" si="1"/>
        <v/>
      </c>
      <c r="I27" s="4115"/>
      <c r="K27" s="3123">
        <f t="shared" si="2"/>
        <v>0</v>
      </c>
      <c r="L27" s="4092">
        <f t="shared" si="3"/>
        <v>0</v>
      </c>
      <c r="R27" s="1485">
        <v>0</v>
      </c>
    </row>
    <row r="28" spans="1:18" x14ac:dyDescent="0.2">
      <c r="A28" s="4114">
        <v>18</v>
      </c>
      <c r="B28" s="3352"/>
      <c r="C28" s="4127"/>
      <c r="D28" s="4127"/>
      <c r="E28" s="201"/>
      <c r="F28" s="4128"/>
      <c r="G28" s="3989"/>
      <c r="H28" s="4110" t="str">
        <f t="shared" si="1"/>
        <v/>
      </c>
      <c r="I28" s="4115"/>
      <c r="K28" s="3123">
        <f t="shared" si="2"/>
        <v>0</v>
      </c>
      <c r="L28" s="4092">
        <f t="shared" si="3"/>
        <v>0</v>
      </c>
      <c r="R28" s="1485">
        <v>0</v>
      </c>
    </row>
    <row r="29" spans="1:18" x14ac:dyDescent="0.2">
      <c r="A29" s="4114">
        <v>19</v>
      </c>
      <c r="B29" s="3352"/>
      <c r="C29" s="4127"/>
      <c r="D29" s="4127"/>
      <c r="E29" s="201"/>
      <c r="F29" s="4128"/>
      <c r="G29" s="3989"/>
      <c r="H29" s="4110" t="str">
        <f t="shared" si="1"/>
        <v/>
      </c>
      <c r="I29" s="4115"/>
      <c r="K29" s="3123">
        <f t="shared" si="2"/>
        <v>0</v>
      </c>
      <c r="L29" s="4092">
        <f t="shared" si="3"/>
        <v>0</v>
      </c>
      <c r="R29" s="1485">
        <v>0</v>
      </c>
    </row>
    <row r="30" spans="1:18" x14ac:dyDescent="0.2">
      <c r="A30" s="4114">
        <v>20</v>
      </c>
      <c r="B30" s="3352"/>
      <c r="C30" s="4127"/>
      <c r="D30" s="4127"/>
      <c r="E30" s="201"/>
      <c r="F30" s="4128"/>
      <c r="G30" s="3989"/>
      <c r="H30" s="4110" t="str">
        <f t="shared" si="1"/>
        <v/>
      </c>
      <c r="I30" s="4115"/>
      <c r="K30" s="3123">
        <f t="shared" si="2"/>
        <v>0</v>
      </c>
      <c r="L30" s="4092">
        <f t="shared" si="3"/>
        <v>0</v>
      </c>
      <c r="R30" s="1485">
        <v>0</v>
      </c>
    </row>
    <row r="31" spans="1:18" x14ac:dyDescent="0.2">
      <c r="A31" s="4114">
        <v>21</v>
      </c>
      <c r="B31" s="3352"/>
      <c r="C31" s="4127"/>
      <c r="D31" s="4127"/>
      <c r="E31" s="201"/>
      <c r="F31" s="4128"/>
      <c r="G31" s="3989"/>
      <c r="H31" s="4110" t="str">
        <f t="shared" si="1"/>
        <v/>
      </c>
      <c r="I31" s="4115"/>
      <c r="K31" s="3123">
        <f t="shared" si="2"/>
        <v>0</v>
      </c>
      <c r="L31" s="4092">
        <f t="shared" si="3"/>
        <v>0</v>
      </c>
      <c r="R31" s="1485">
        <v>0</v>
      </c>
    </row>
    <row r="32" spans="1:18" x14ac:dyDescent="0.2">
      <c r="A32" s="4114">
        <v>22</v>
      </c>
      <c r="B32" s="3352"/>
      <c r="C32" s="4127"/>
      <c r="D32" s="4127"/>
      <c r="E32" s="201"/>
      <c r="F32" s="4128"/>
      <c r="G32" s="3989"/>
      <c r="H32" s="4110" t="str">
        <f t="shared" si="1"/>
        <v/>
      </c>
      <c r="I32" s="4115"/>
      <c r="K32" s="3123">
        <f t="shared" si="2"/>
        <v>0</v>
      </c>
      <c r="L32" s="4092">
        <f t="shared" si="3"/>
        <v>0</v>
      </c>
      <c r="R32" s="1485">
        <v>0</v>
      </c>
    </row>
    <row r="33" spans="1:18" x14ac:dyDescent="0.2">
      <c r="A33" s="4114">
        <v>23</v>
      </c>
      <c r="B33" s="3352"/>
      <c r="C33" s="4127"/>
      <c r="D33" s="4127"/>
      <c r="E33" s="201"/>
      <c r="F33" s="4128"/>
      <c r="G33" s="3989"/>
      <c r="H33" s="4110" t="str">
        <f t="shared" si="1"/>
        <v/>
      </c>
      <c r="I33" s="4115"/>
      <c r="K33" s="3123">
        <f t="shared" si="2"/>
        <v>0</v>
      </c>
      <c r="L33" s="4092">
        <f t="shared" si="3"/>
        <v>0</v>
      </c>
      <c r="R33" s="1485">
        <v>0</v>
      </c>
    </row>
    <row r="34" spans="1:18" x14ac:dyDescent="0.2">
      <c r="A34" s="4114">
        <v>24</v>
      </c>
      <c r="B34" s="3352"/>
      <c r="C34" s="4127"/>
      <c r="D34" s="4127"/>
      <c r="E34" s="201"/>
      <c r="F34" s="4128"/>
      <c r="G34" s="3989"/>
      <c r="H34" s="4110" t="str">
        <f t="shared" si="1"/>
        <v/>
      </c>
      <c r="I34" s="4115"/>
      <c r="K34" s="3123">
        <f t="shared" si="2"/>
        <v>0</v>
      </c>
      <c r="L34" s="4092">
        <f t="shared" si="3"/>
        <v>0</v>
      </c>
      <c r="R34" s="1485">
        <v>0</v>
      </c>
    </row>
    <row r="35" spans="1:18" x14ac:dyDescent="0.2">
      <c r="A35" s="4114">
        <v>25</v>
      </c>
      <c r="B35" s="3352"/>
      <c r="C35" s="4127"/>
      <c r="D35" s="4127"/>
      <c r="E35" s="201"/>
      <c r="F35" s="4128"/>
      <c r="G35" s="3989"/>
      <c r="H35" s="4110" t="str">
        <f t="shared" si="1"/>
        <v/>
      </c>
      <c r="I35" s="4115"/>
      <c r="K35" s="3123">
        <f t="shared" si="2"/>
        <v>0</v>
      </c>
      <c r="L35" s="4092">
        <f t="shared" si="3"/>
        <v>0</v>
      </c>
      <c r="R35" s="1485">
        <v>0</v>
      </c>
    </row>
    <row r="36" spans="1:18" x14ac:dyDescent="0.2">
      <c r="A36" s="4114">
        <v>26</v>
      </c>
      <c r="B36" s="3352"/>
      <c r="C36" s="4127"/>
      <c r="D36" s="4127"/>
      <c r="E36" s="201"/>
      <c r="F36" s="4128"/>
      <c r="G36" s="3989"/>
      <c r="H36" s="4110" t="str">
        <f t="shared" si="1"/>
        <v/>
      </c>
      <c r="I36" s="4115"/>
      <c r="K36" s="3123">
        <f t="shared" si="2"/>
        <v>0</v>
      </c>
      <c r="L36" s="4092">
        <f t="shared" si="3"/>
        <v>0</v>
      </c>
      <c r="R36" s="1485">
        <v>0</v>
      </c>
    </row>
    <row r="37" spans="1:18" x14ac:dyDescent="0.2">
      <c r="A37" s="4114">
        <v>27</v>
      </c>
      <c r="B37" s="3352"/>
      <c r="C37" s="4127"/>
      <c r="D37" s="4127"/>
      <c r="E37" s="201"/>
      <c r="F37" s="4128"/>
      <c r="G37" s="3989"/>
      <c r="H37" s="4110" t="str">
        <f t="shared" si="1"/>
        <v/>
      </c>
      <c r="I37" s="4115"/>
      <c r="K37" s="3123">
        <f t="shared" si="2"/>
        <v>0</v>
      </c>
      <c r="L37" s="4092">
        <f t="shared" si="3"/>
        <v>0</v>
      </c>
      <c r="R37" s="1485">
        <v>0</v>
      </c>
    </row>
    <row r="38" spans="1:18" x14ac:dyDescent="0.2">
      <c r="A38" s="4114">
        <v>28</v>
      </c>
      <c r="B38" s="3352"/>
      <c r="C38" s="4127"/>
      <c r="D38" s="4127"/>
      <c r="E38" s="201"/>
      <c r="F38" s="4128"/>
      <c r="G38" s="3989"/>
      <c r="H38" s="4110" t="str">
        <f t="shared" si="1"/>
        <v/>
      </c>
      <c r="I38" s="4115"/>
      <c r="K38" s="3123">
        <f t="shared" si="2"/>
        <v>0</v>
      </c>
      <c r="L38" s="4092">
        <f t="shared" si="3"/>
        <v>0</v>
      </c>
      <c r="R38" s="1485">
        <v>0</v>
      </c>
    </row>
    <row r="39" spans="1:18" x14ac:dyDescent="0.2">
      <c r="A39" s="4114">
        <v>29</v>
      </c>
      <c r="B39" s="3352"/>
      <c r="C39" s="4127"/>
      <c r="D39" s="4127"/>
      <c r="E39" s="201"/>
      <c r="F39" s="4128"/>
      <c r="G39" s="3989"/>
      <c r="H39" s="4110" t="str">
        <f t="shared" si="1"/>
        <v/>
      </c>
      <c r="I39" s="4115" t="s">
        <v>1020</v>
      </c>
      <c r="K39" s="3123">
        <f t="shared" si="2"/>
        <v>0</v>
      </c>
      <c r="L39" s="4092">
        <f t="shared" si="3"/>
        <v>0</v>
      </c>
      <c r="R39" s="1485">
        <v>0</v>
      </c>
    </row>
    <row r="40" spans="1:18" x14ac:dyDescent="0.2">
      <c r="A40" s="4114">
        <v>30</v>
      </c>
      <c r="B40" s="3352"/>
      <c r="C40" s="4127"/>
      <c r="D40" s="4127"/>
      <c r="E40" s="201"/>
      <c r="F40" s="4128"/>
      <c r="G40" s="3989"/>
      <c r="H40" s="4110" t="str">
        <f t="shared" si="1"/>
        <v/>
      </c>
      <c r="I40" s="4115" t="s">
        <v>1020</v>
      </c>
      <c r="K40" s="3123">
        <f t="shared" si="2"/>
        <v>0</v>
      </c>
      <c r="L40" s="4092">
        <f t="shared" si="3"/>
        <v>0</v>
      </c>
      <c r="R40" s="1485">
        <v>0</v>
      </c>
    </row>
    <row r="41" spans="1:18" x14ac:dyDescent="0.2">
      <c r="A41" s="4114">
        <v>31</v>
      </c>
      <c r="B41" s="3352"/>
      <c r="C41" s="4127"/>
      <c r="D41" s="4127"/>
      <c r="E41" s="201"/>
      <c r="F41" s="4128"/>
      <c r="G41" s="3989"/>
      <c r="H41" s="4110" t="str">
        <f t="shared" si="1"/>
        <v/>
      </c>
      <c r="I41" s="4115" t="s">
        <v>1020</v>
      </c>
      <c r="K41" s="3123">
        <f t="shared" si="2"/>
        <v>0</v>
      </c>
      <c r="L41" s="4092">
        <f t="shared" si="3"/>
        <v>0</v>
      </c>
      <c r="R41" s="1485">
        <v>0</v>
      </c>
    </row>
    <row r="42" spans="1:18" x14ac:dyDescent="0.2">
      <c r="A42" s="4114">
        <v>32</v>
      </c>
      <c r="B42" s="3352"/>
      <c r="C42" s="4127"/>
      <c r="D42" s="4127"/>
      <c r="E42" s="201"/>
      <c r="F42" s="4128"/>
      <c r="G42" s="3989"/>
      <c r="H42" s="4110" t="str">
        <f t="shared" si="1"/>
        <v/>
      </c>
      <c r="I42" s="4115" t="s">
        <v>1020</v>
      </c>
      <c r="K42" s="3123">
        <f t="shared" si="2"/>
        <v>0</v>
      </c>
      <c r="L42" s="4092">
        <f t="shared" si="3"/>
        <v>0</v>
      </c>
      <c r="R42" s="1485">
        <v>0</v>
      </c>
    </row>
    <row r="43" spans="1:18" x14ac:dyDescent="0.2">
      <c r="A43" s="4114">
        <v>33</v>
      </c>
      <c r="B43" s="3352"/>
      <c r="C43" s="4127"/>
      <c r="D43" s="4127"/>
      <c r="E43" s="201"/>
      <c r="F43" s="4128"/>
      <c r="G43" s="3989"/>
      <c r="H43" s="4110" t="str">
        <f t="shared" si="1"/>
        <v/>
      </c>
      <c r="I43" s="4115" t="s">
        <v>1020</v>
      </c>
      <c r="K43" s="3123">
        <f t="shared" si="2"/>
        <v>0</v>
      </c>
      <c r="L43" s="4092">
        <f t="shared" si="3"/>
        <v>0</v>
      </c>
      <c r="R43" s="1485">
        <v>0</v>
      </c>
    </row>
    <row r="44" spans="1:18" x14ac:dyDescent="0.2">
      <c r="A44" s="4114">
        <v>34</v>
      </c>
      <c r="B44" s="3352"/>
      <c r="C44" s="4127"/>
      <c r="D44" s="4127"/>
      <c r="E44" s="201"/>
      <c r="F44" s="4128"/>
      <c r="G44" s="3989"/>
      <c r="H44" s="4110" t="str">
        <f t="shared" si="1"/>
        <v/>
      </c>
      <c r="I44" s="4115" t="s">
        <v>1020</v>
      </c>
      <c r="K44" s="3123">
        <f t="shared" si="2"/>
        <v>0</v>
      </c>
      <c r="L44" s="4092">
        <f t="shared" si="3"/>
        <v>0</v>
      </c>
      <c r="R44" s="1485">
        <v>0</v>
      </c>
    </row>
    <row r="45" spans="1:18" ht="14.25" x14ac:dyDescent="0.2">
      <c r="A45" s="4098"/>
      <c r="B45" s="4116" t="s">
        <v>7683</v>
      </c>
      <c r="C45" s="4117"/>
      <c r="D45" s="4117"/>
      <c r="E45" s="4107"/>
      <c r="F45" s="4153" t="s">
        <v>3130</v>
      </c>
      <c r="G45" s="4118">
        <f>SUM(G11:G44)</f>
      </c>
      <c r="H45" s="4110"/>
      <c r="I45" s="4115" t="s">
        <v>1020</v>
      </c>
      <c r="R45" s="1485">
        <v>0</v>
      </c>
    </row>
    <row r="46" spans="1:18" ht="8.25" customHeight="1" x14ac:dyDescent="0.2">
      <c r="A46" s="4098"/>
      <c r="B46" s="4098"/>
      <c r="C46" s="4119"/>
      <c r="D46" s="4098"/>
      <c r="E46" s="4098"/>
      <c r="F46" s="4098"/>
      <c r="G46" s="4098"/>
      <c r="H46" s="4120"/>
      <c r="I46" s="4098"/>
      <c r="R46" s="1485">
        <v>0</v>
      </c>
    </row>
    <row r="47" spans="1:18" x14ac:dyDescent="0.2">
      <c r="A47" s="4098" t="s">
        <v>10664</v>
      </c>
      <c r="B47" s="4098"/>
      <c r="C47" s="4119"/>
      <c r="D47" s="4098"/>
      <c r="E47" s="4098"/>
      <c r="F47" s="4125" t="s">
        <v>6821</v>
      </c>
      <c r="G47" s="339"/>
      <c r="H47" s="4110" t="str">
        <f>IF(L7=0,"",IF(AND(L7&gt;0,G47=""),re,IF(AND(L7&gt;0,G47&gt;G48),"Check!","")))</f>
        <v/>
      </c>
      <c r="I47" s="4098"/>
      <c r="K47" s="3123">
        <f>IF(H47="",0,1)</f>
      </c>
      <c r="L47" s="4092">
        <f>COUNTA(G47)</f>
      </c>
      <c r="N47" s="5468" t="s">
        <v>7073</v>
      </c>
      <c r="O47" s="5468"/>
      <c r="P47" s="5468"/>
      <c r="R47" s="1485">
        <v>0</v>
      </c>
    </row>
    <row r="48" spans="1:18" ht="13.5" customHeight="1" x14ac:dyDescent="0.2">
      <c r="A48" s="4098"/>
      <c r="B48" s="4098"/>
      <c r="C48" s="4119"/>
      <c r="D48" s="4098"/>
      <c r="E48" s="4098"/>
      <c r="F48" s="4125"/>
      <c r="G48" s="4126">
        <f>IF(T2&lt;&gt;U2,"",IF(N4="n",MIN(G45,500),T9))</f>
      </c>
      <c r="H48" s="4098"/>
      <c r="I48" s="4098"/>
      <c r="N48" s="3994">
        <f>ROUND(G47/5%,0)</f>
      </c>
      <c r="O48" s="3995">
        <f>ROUND(G47/0.35,0)</f>
      </c>
      <c r="P48" s="3996" t="s">
        <v>4787</v>
      </c>
      <c r="R48" s="1485">
        <v>0</v>
      </c>
    </row>
    <row r="49" spans="1:18" x14ac:dyDescent="0.2">
      <c r="A49" s="4098" t="s">
        <v>10476</v>
      </c>
      <c r="B49" s="4098"/>
      <c r="C49" s="4119"/>
      <c r="D49" s="4098"/>
      <c r="E49" s="4098"/>
      <c r="F49" s="4125" t="s">
        <v>6821</v>
      </c>
      <c r="G49" s="339"/>
      <c r="H49" s="4110" t="str">
        <f>IF(L7=0,"",IF(AND(G47&gt;0,G49=""),re,IF(AND(G47=0,G49&gt;0),"No tax credit claimed for the year!",IF(AND(G47&gt;0,G49=0),"Amount relieved by tax credit required!",IF(G49&lt;0,"Cannot be negative!",IF(OR(G49&gt;N48+1,G49&lt;O48-1),P48,""))))))</f>
        <v/>
      </c>
      <c r="I49" s="4098"/>
      <c r="K49" s="3123">
        <f>IF(H49="",0,1)</f>
      </c>
      <c r="L49" s="4092">
        <f>COUNTA(G49)</f>
      </c>
      <c r="R49" s="1485">
        <v>0</v>
      </c>
    </row>
    <row r="50" spans="1:18" x14ac:dyDescent="0.2">
      <c r="A50" s="4098"/>
      <c r="B50" s="4098"/>
      <c r="C50" s="4119"/>
      <c r="D50" s="4098"/>
      <c r="E50" s="4098"/>
      <c r="F50" s="4098"/>
      <c r="G50" s="4098"/>
      <c r="H50" s="4120"/>
      <c r="I50" s="4098"/>
      <c r="R50" s="1485">
        <v>0</v>
      </c>
    </row>
    <row r="51" spans="1:18" x14ac:dyDescent="0.2">
      <c r="A51" s="4108" t="s">
        <v>133</v>
      </c>
      <c r="B51" s="4108"/>
      <c r="C51" s="4119"/>
      <c r="D51" s="4121"/>
      <c r="E51" s="4098"/>
      <c r="F51" s="4098"/>
      <c r="G51" s="3352"/>
      <c r="H51" s="4110" t="str">
        <f>IF(L7=0,"",IF(AND(L7&gt;0,G51=0),re,IF(AND(L7&gt;0,G51="no"),"No benefit!","")))</f>
        <v/>
      </c>
      <c r="I51" s="4098"/>
      <c r="K51" s="3123">
        <f>IF(H51="",0,1)</f>
      </c>
      <c r="L51" s="4092">
        <f>COUNTA(G51)</f>
      </c>
      <c r="R51" s="1485">
        <v>0</v>
      </c>
    </row>
    <row r="52" spans="1:18" x14ac:dyDescent="0.2">
      <c r="A52" s="4119"/>
      <c r="B52" s="4119"/>
      <c r="C52" s="4119"/>
      <c r="D52" s="4098"/>
      <c r="E52" s="4098"/>
      <c r="F52" s="4098"/>
      <c r="G52" s="4098"/>
      <c r="H52" s="4120"/>
      <c r="I52" s="4098"/>
      <c r="R52" s="1485">
        <v>0</v>
      </c>
    </row>
    <row r="53" spans="1:18" x14ac:dyDescent="0.2">
      <c r="A53" s="4098"/>
      <c r="B53" s="4098"/>
      <c r="C53" s="4098"/>
      <c r="D53" s="4122" t="s">
        <v>4456</v>
      </c>
      <c r="E53" s="3352"/>
      <c r="F53" s="4123" t="str">
        <f>IF(L7=0,"",IF(E53="",re,""))</f>
        <v/>
      </c>
      <c r="G53" s="4098"/>
      <c r="H53" s="4098"/>
      <c r="I53" s="4098"/>
      <c r="K53" s="3123">
        <f>IF(F53="",0,1)</f>
      </c>
      <c r="L53" s="4092">
        <f>COUNTA(E53)</f>
      </c>
      <c r="R53" s="1485">
        <v>0</v>
      </c>
    </row>
    <row r="54" spans="1:18" x14ac:dyDescent="0.2">
      <c r="A54" s="4130" t="str">
        <f>_xlfn.SINGLE(MTCA)</f>
      </c>
      <c r="B54" s="4130"/>
      <c r="C54" s="4131"/>
      <c r="D54" s="4132" t="str">
        <f>ver</f>
        <v>TA2_e-CO_2025_Ver 1.1</v>
      </c>
      <c r="E54" s="4130"/>
      <c r="F54" s="4130"/>
      <c r="G54" s="4132" t="s">
        <v>10665</v>
      </c>
      <c r="H54" s="4131"/>
      <c r="I54" s="4130"/>
      <c r="N54" s="4124">
        <f>IF(L7=0,0,IF(K7&gt;0,100,IF(E53="no",100,1)))</f>
      </c>
      <c r="R54" s="1485">
        <v>0</v>
      </c>
    </row>
    <row r="55" spans="1:18" x14ac:dyDescent="0.2">
      <c r="B55" s="4129"/>
      <c r="C55" s="4129"/>
      <c r="D55" s="1736"/>
      <c r="E55" s="1736"/>
      <c r="F55" s="1736"/>
      <c r="G55" s="1736"/>
      <c r="H55" s="1736"/>
      <c r="I55" s="1736"/>
      <c r="R55" s="1485">
        <v>0</v>
      </c>
    </row>
    <row r="56" spans="1:18" x14ac:dyDescent="0.2">
      <c r="A56" s="4129" t="s">
        <v>1700</v>
      </c>
      <c r="B56" s="1736"/>
      <c r="C56" s="1736"/>
      <c r="D56" s="1736"/>
      <c r="E56" s="1736"/>
      <c r="F56" s="1736"/>
      <c r="G56" s="1736"/>
      <c r="H56" s="1736"/>
      <c r="I56" s="1736"/>
      <c r="R56" s="1485">
        <v>0</v>
      </c>
    </row>
    <row r="57" spans="1:18" hidden="1" x14ac:dyDescent="0.2">
      <c r="R57" s="1485">
        <v>0</v>
      </c>
    </row>
    <row r="58" spans="1:18" hidden="1" x14ac:dyDescent="0.2">
      <c r="R58" s="1485">
        <v>0</v>
      </c>
    </row>
    <row r="59" spans="1:18" hidden="1" x14ac:dyDescent="0.2">
      <c r="R59" s="1485">
        <v>0</v>
      </c>
    </row>
    <row r="60" spans="1:18" hidden="1" x14ac:dyDescent="0.2">
      <c r="R60" s="1485">
        <v>0</v>
      </c>
    </row>
    <row r="61" spans="1:18" hidden="1" x14ac:dyDescent="0.2">
      <c r="R61" s="1485">
        <v>0</v>
      </c>
    </row>
    <row r="65" s="1485" customFormat="1" hidden="1" x14ac:dyDescent="0.2"/>
    <row r="66" s="1485" customFormat="1" hidden="1" x14ac:dyDescent="0.2"/>
    <row r="67" s="1485" customFormat="1" hidden="1" x14ac:dyDescent="0.2"/>
  </sheetData>
  <sheetProtection algorithmName="SHA-512" hashValue="N3hzwETaflEvmL8i8VJ5Xj+VhUoZB5y7IPW+ftlgcKBM7adCC1WeqBCFFXfrEX51pMykC0af+y7e2sS681N1Cw==" saltValue="bPkfz9ViRAw1e7yhzNIb+Q==" spinCount="100000" sheet="1" objects="1" scenarios="1"/>
  <mergeCells count="2">
    <mergeCell ref="A1:G1"/>
    <mergeCell ref="N47:P47"/>
  </mergeCells>
  <conditionalFormatting sqref="I11">
    <cfRule type="expression" dxfId="86" priority="4" stopIfTrue="1">
      <formula>#REF!&lt;&gt;adet</formula>
    </cfRule>
  </conditionalFormatting>
  <conditionalFormatting sqref="I12">
    <cfRule type="expression" dxfId="85" priority="3" stopIfTrue="1">
      <formula>$K11&lt;&gt;adet</formula>
    </cfRule>
  </conditionalFormatting>
  <conditionalFormatting sqref="I13:I44">
    <cfRule type="expression" dxfId="84" priority="1" stopIfTrue="1">
      <formula>$K13&lt;&gt;adet</formula>
    </cfRule>
  </conditionalFormatting>
  <conditionalFormatting sqref="I44:I45">
    <cfRule type="expression" dxfId="83" priority="2" stopIfTrue="1">
      <formula>#REF!=ck</formula>
    </cfRule>
  </conditionalFormatting>
  <dataValidations count="12">
    <dataValidation type="list" allowBlank="1" showInputMessage="1" showErrorMessage="1" sqref="G51 E53" xr:uid="{CBE07EA8-E440-4341-8367-9A370AFE2325}">
      <formula1>$R$1:$R$3</formula1>
    </dataValidation>
    <dataValidation operator="greaterThanOrEqual" allowBlank="1" showInputMessage="1" showErrorMessage="1" errorTitle="Value of donation" error="Please enter a positive value!" sqref="H11:H45" xr:uid="{B74EDE58-E9DF-4CBB-8295-64586A95AAFE}"/>
    <dataValidation type="date" allowBlank="1" showInputMessage="1" showErrorMessage="1" errorTitle="Certificate number" error="Date within current year of assessment!_x000a_" sqref="F11:F44" xr:uid="{E999AAEE-5F7A-4464-9B4E-381B80E47FF4}">
      <formula1>$N$2</formula1>
      <formula2>$N$3</formula2>
    </dataValidation>
    <dataValidation type="textLength" operator="greaterThanOrEqual" allowBlank="1" showInputMessage="1" showErrorMessage="1" errorTitle="IT registration number" error="Please indicate the correct tax number!" sqref="E11:E44" xr:uid="{E8E925A4-F35D-4A96-9A0E-FB3F3E88345D}">
      <formula1>4</formula1>
    </dataValidation>
    <dataValidation type="textLength" operator="greaterThanOrEqual" allowBlank="1" showInputMessage="1" showErrorMessage="1" errorTitle="Purpose of donation" error="Please give a proper description!" sqref="D11:D44" xr:uid="{52522961-D9D2-4970-B600-61828A1304D3}">
      <formula1>6</formula1>
    </dataValidation>
    <dataValidation type="textLength" operator="greaterThanOrEqual" allowBlank="1" showInputMessage="1" showErrorMessage="1" errorTitle="Name of Recipient" error="Please enter the full name and surname of recipient!" sqref="C11:C44" xr:uid="{604438C6-E81C-4BEC-B335-DF7854B2339F}">
      <formula1>4</formula1>
    </dataValidation>
    <dataValidation type="list" operator="greaterThanOrEqual" allowBlank="1" showInputMessage="1" showErrorMessage="1" errorTitle="Name of Recipient" error="Please enter the full name and surname of recipient!" sqref="B11:B44" xr:uid="{EBD00777-3B8D-4E34-8711-57CD272C175A}">
      <formula1>FU</formula1>
    </dataValidation>
    <dataValidation type="list" operator="greaterThan" allowBlank="1" showInputMessage="1" showErrorMessage="1" errorTitle="Number of athletes" error="Please enter a numeric value!" sqref="E8" xr:uid="{689BFFD2-A830-4015-97D7-99C7DE26F90D}">
      <formula1>$A$11:$A$44</formula1>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G11:G45" xr:uid="{513F3BE4-C8C4-43AB-94EF-02CE72B7B155}">
      <formula1>$AD$12</formula1>
      <formula2>$AE$12</formula2>
    </dataValidation>
    <dataValidation type="textLength" operator="greaterThanOrEqual" allowBlank="1" showInputMessage="1" showErrorMessage="1" errorTitle="Name of Recipient" error="Please enter the full name and surname of recipient!" sqref="B45" xr:uid="{2F7EEE96-9065-4200-956A-D568C7DC4586}">
      <formula1>7</formula1>
    </dataValidation>
    <dataValidation type="textLength" operator="greaterThanOrEqual" allowBlank="1" showInputMessage="1" showErrorMessage="1" errorTitle="Purpose of donation" error="Please give a proper description!" sqref="D10" xr:uid="{D49F3E43-6800-4C8D-AD12-0311B4D4B5EB}">
      <formula1>10</formula1>
    </dataValidation>
    <dataValidation type="textLength" allowBlank="1" showInputMessage="1" showErrorMessage="1" errorTitle="IT registration number" error="Please indicate the correct tax number!" sqref="E10" xr:uid="{6E9E29F2-BCF6-403B-B503-6343C6159D2F}">
      <formula1>4</formula1>
      <formula2>9</formula2>
    </dataValidation>
  </dataValidations>
  <hyperlinks>
    <hyperlink ref="A56" location="Index!A1" display="BACK TO INDEX" xr:uid="{E715A060-900E-41B6-831D-D9EE67A240AF}"/>
    <hyperlink ref="A55:C55" location="Index!A1" display="B A C K   T O  I N D E X" xr:uid="{65BB4B41-811F-4B9E-8F1B-7F3194EA3F53}"/>
    <hyperlink ref="F47" location="'TRA35'!A46" display="TRA35" xr:uid="{D0D07A4C-C02C-4488-BB99-AED98872E9F9}"/>
    <hyperlink ref="F49" location="'TRA35'!A46" display="TRA35" xr:uid="{ABC66FF9-D2C8-418A-92E0-C0EB25A2EFCA}"/>
    <hyperlink ref="F45" location="'TRA60'!A1" display="TRA 60" xr:uid="{0A9B4AFC-8FE0-4F20-AFA7-07DAE249C7EE}"/>
  </hyperlinks>
  <pageMargins left="0.7" right="0.7" top="0.75" bottom="0.75" header="0.3" footer="0.3"/>
  <pageSetup paperSize="9" orientation="portrait"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6F0E-61C2-4AFE-A9DE-296062966750}">
  <dimension ref="A1:AG490"/>
  <sheetViews>
    <sheetView showGridLines="0" zoomScaleNormal="100" workbookViewId="0">
      <selection activeCell="C24" sqref="C24"/>
    </sheetView>
  </sheetViews>
  <sheetFormatPr defaultColWidth="0" defaultRowHeight="12.75" x14ac:dyDescent="0.2"/>
  <cols>
    <col min="1" max="1" width="1.5703125" style="1485" customWidth="1"/>
    <col min="2" max="2" width="17.42578125" style="1485" customWidth="1"/>
    <col min="3" max="3" width="51.28515625" style="1485" customWidth="1"/>
    <col min="4" max="4" width="20.28515625" style="1485" customWidth="1"/>
    <col min="5" max="5" width="22.28515625" style="1485" customWidth="1"/>
    <col min="6" max="6" width="12" style="1485" customWidth="1"/>
    <col min="7" max="7" width="12.7109375" style="1485" customWidth="1"/>
    <col min="8" max="8" width="13.28515625" style="1485" customWidth="1"/>
    <col min="9" max="9" width="37" style="1485" customWidth="1"/>
    <col min="10" max="10" width="9.28515625" style="1485" customWidth="1"/>
    <col min="11" max="11" width="21.7109375" style="1485" customWidth="1"/>
    <col min="12" max="12" width="26.7109375" style="1485" bestFit="1" customWidth="1"/>
    <col min="13" max="16" width="9.28515625" style="3123" hidden="1" customWidth="1"/>
    <col min="17" max="17" width="16.28515625" style="3123" hidden="1" customWidth="1"/>
    <col min="18" max="32" width="9.28515625" style="3123" hidden="1" customWidth="1"/>
    <col min="33" max="33" width="11.7109375" style="3123" hidden="1" customWidth="1"/>
    <col min="34" max="16384" width="9.28515625" style="3123" hidden="1"/>
  </cols>
  <sheetData>
    <row r="1" spans="1:25" ht="14.25" x14ac:dyDescent="0.2">
      <c r="A1" s="5371" t="str">
        <f>_ref1</f>
      </c>
      <c r="B1" s="5371"/>
      <c r="C1" s="5371"/>
      <c r="D1" s="5371"/>
      <c r="E1" s="5371"/>
      <c r="F1" s="5371"/>
      <c r="G1" s="5371"/>
      <c r="H1" s="5371"/>
      <c r="I1" s="3314"/>
      <c r="J1" s="3314"/>
      <c r="K1" s="3314" t="str">
        <f>_YA1</f>
      </c>
      <c r="L1" s="3686"/>
      <c r="O1" s="3123" t="s">
        <v>10670</v>
      </c>
    </row>
    <row r="2" spans="1:25" ht="14.25" x14ac:dyDescent="0.2">
      <c r="A2" s="3313"/>
      <c r="B2" s="3313"/>
      <c r="C2" s="3313"/>
      <c r="D2" s="3313"/>
      <c r="E2" s="3313"/>
      <c r="F2" s="3313"/>
      <c r="G2" s="3313"/>
      <c r="H2" s="3313"/>
      <c r="I2" s="3314"/>
      <c r="J2" s="3314"/>
      <c r="K2" s="3686"/>
      <c r="L2" s="3686"/>
      <c r="Q2" s="3123" t="s">
        <v>4457</v>
      </c>
      <c r="V2" s="3123" t="s">
        <v>10671</v>
      </c>
      <c r="W2" s="3123" t="s">
        <v>8857</v>
      </c>
      <c r="X2" s="3123" t="s">
        <v>10672</v>
      </c>
      <c r="Y2" s="3123" t="s">
        <v>10673</v>
      </c>
    </row>
    <row r="3" spans="1:25" ht="18" x14ac:dyDescent="0.25">
      <c r="A3" s="3686"/>
      <c r="B3" s="5480" t="s">
        <v>10674</v>
      </c>
      <c r="C3" s="5481"/>
      <c r="D3" s="5481"/>
      <c r="E3" s="5481"/>
      <c r="F3" s="5481"/>
      <c r="G3" s="5481"/>
      <c r="H3" s="5481"/>
      <c r="I3" s="5481"/>
      <c r="J3" s="5481"/>
      <c r="K3" s="5482"/>
      <c r="L3" s="3686"/>
      <c r="N3" s="3621" t="s">
        <v>7439</v>
      </c>
      <c r="O3" s="3621" t="s">
        <v>7161</v>
      </c>
      <c r="Q3" s="3123" t="s">
        <v>1736</v>
      </c>
      <c r="V3" s="3123" t="s">
        <v>6712</v>
      </c>
      <c r="W3" s="3123" t="s">
        <v>10372</v>
      </c>
      <c r="X3" s="1769">
        <v>1000</v>
      </c>
      <c r="Y3" s="4150" t="s">
        <v>10675</v>
      </c>
    </row>
    <row r="4" spans="1:25" ht="18" x14ac:dyDescent="0.25">
      <c r="A4" s="3686"/>
      <c r="B4" s="5483" t="s">
        <v>10676</v>
      </c>
      <c r="C4" s="5484"/>
      <c r="D4" s="5484"/>
      <c r="E4" s="5484"/>
      <c r="F4" s="5484"/>
      <c r="G4" s="5484"/>
      <c r="H4" s="5484"/>
      <c r="I4" s="5484"/>
      <c r="J4" s="5484"/>
      <c r="K4" s="5485"/>
      <c r="L4" s="3686"/>
      <c r="N4" s="3621">
        <f>SUM(N5:N92)</f>
      </c>
      <c r="O4" s="3621">
        <f>SUM(O5:O92)</f>
      </c>
      <c r="V4" s="3123" t="s">
        <v>10677</v>
      </c>
      <c r="W4" s="3123" t="s">
        <v>10373</v>
      </c>
      <c r="X4" s="1769">
        <v>1001</v>
      </c>
      <c r="Y4" s="4150" t="s">
        <v>10678</v>
      </c>
    </row>
    <row r="5" spans="1:25" ht="15.75" customHeight="1" x14ac:dyDescent="0.2">
      <c r="A5" s="3686"/>
      <c r="B5" s="5486" t="str">
        <f>IF(AND('p2'!G42="y",O4&gt;0),"Check Page 2 Question 36!","")</f>
        <v/>
      </c>
      <c r="C5" s="5486"/>
      <c r="D5" s="5486"/>
      <c r="E5" s="5486"/>
      <c r="F5" s="5486"/>
      <c r="G5" s="5486"/>
      <c r="H5" s="5486"/>
      <c r="I5" s="5486"/>
      <c r="J5" s="5486"/>
      <c r="K5" s="5486"/>
      <c r="L5" s="3686"/>
      <c r="N5" s="3123">
        <f>IF(B5="",0,1)</f>
      </c>
      <c r="V5" s="3123" t="s">
        <v>10679</v>
      </c>
      <c r="W5" s="3123" t="s">
        <v>10374</v>
      </c>
      <c r="X5" s="1769">
        <v>1002</v>
      </c>
      <c r="Y5" s="4150" t="s">
        <v>10680</v>
      </c>
    </row>
    <row r="6" spans="1:25" ht="3.75" customHeight="1" x14ac:dyDescent="0.2">
      <c r="A6" s="3686"/>
      <c r="B6" s="3686"/>
      <c r="C6" s="3686"/>
      <c r="D6" s="3686"/>
      <c r="E6" s="3686"/>
      <c r="F6" s="3686"/>
      <c r="G6" s="3686"/>
      <c r="H6" s="3686"/>
      <c r="I6" s="3686"/>
      <c r="J6" s="3686"/>
      <c r="K6" s="3686"/>
      <c r="L6" s="3686"/>
      <c r="V6" s="3123" t="s">
        <v>10681</v>
      </c>
      <c r="W6" s="3123" t="s">
        <v>10375</v>
      </c>
      <c r="X6" s="1769">
        <v>1003</v>
      </c>
      <c r="Y6" s="4150" t="s">
        <v>10682</v>
      </c>
    </row>
    <row r="7" spans="1:25" ht="15" customHeight="1" x14ac:dyDescent="0.2">
      <c r="A7" s="3686"/>
      <c r="B7" s="5487" t="s">
        <v>10683</v>
      </c>
      <c r="C7" s="5487"/>
      <c r="D7" s="5487"/>
      <c r="E7" s="5487"/>
      <c r="F7" s="5487"/>
      <c r="G7" s="5487"/>
      <c r="H7" s="5487"/>
      <c r="I7" s="5487"/>
      <c r="J7" s="3352"/>
      <c r="K7" s="4134" t="str">
        <f>IF(AND($P$1="n",ISBLANK(J7)=TRUE),re,"")</f>
        <v/>
      </c>
      <c r="L7" s="3686"/>
      <c r="N7" s="3123">
        <f>IF(K7="",0,1)</f>
      </c>
      <c r="O7" s="4092">
        <f>COUNTA(J7)</f>
      </c>
      <c r="V7" s="3123" t="s">
        <v>10684</v>
      </c>
      <c r="W7" s="3123" t="s">
        <v>479</v>
      </c>
      <c r="X7" s="1769">
        <v>1004</v>
      </c>
      <c r="Y7" s="4150" t="s">
        <v>10685</v>
      </c>
    </row>
    <row r="8" spans="1:25" ht="6.75" customHeight="1" x14ac:dyDescent="0.2">
      <c r="A8" s="3686"/>
      <c r="B8" s="4135"/>
      <c r="C8" s="4135"/>
      <c r="D8" s="4135"/>
      <c r="E8" s="4135"/>
      <c r="F8" s="4135"/>
      <c r="G8" s="4135"/>
      <c r="H8" s="4135"/>
      <c r="I8" s="4135"/>
      <c r="J8" s="4135"/>
      <c r="K8" s="4136"/>
      <c r="L8" s="3686"/>
      <c r="V8" s="3123" t="s">
        <v>10686</v>
      </c>
      <c r="W8" s="3123" t="s">
        <v>10376</v>
      </c>
      <c r="X8" s="1769">
        <v>1005</v>
      </c>
      <c r="Y8" s="4150" t="s">
        <v>3305</v>
      </c>
    </row>
    <row r="9" spans="1:25" ht="15" customHeight="1" x14ac:dyDescent="0.2">
      <c r="A9" s="3686"/>
      <c r="B9" s="5487" t="s">
        <v>10715</v>
      </c>
      <c r="C9" s="5487"/>
      <c r="D9" s="5487"/>
      <c r="E9" s="5487"/>
      <c r="F9" s="5487"/>
      <c r="G9" s="5487"/>
      <c r="H9" s="5487"/>
      <c r="I9" s="5487"/>
      <c r="J9" s="3352"/>
      <c r="K9" s="4137" t="str">
        <f>IF(AND($P$1="n",ISBLANK(J9)=TRUE),re,"")</f>
        <v/>
      </c>
      <c r="L9" s="3686"/>
      <c r="N9" s="3123">
        <f>IF(K9="",0,1)</f>
      </c>
      <c r="O9" s="4092">
        <f>COUNTA(J9)</f>
      </c>
      <c r="V9" s="3123" t="s">
        <v>10687</v>
      </c>
      <c r="W9" s="3123" t="s">
        <v>10377</v>
      </c>
      <c r="X9" s="1769">
        <v>1006</v>
      </c>
    </row>
    <row r="10" spans="1:25" ht="6.75" customHeight="1" x14ac:dyDescent="0.2">
      <c r="A10" s="3686"/>
      <c r="B10" s="4135"/>
      <c r="C10" s="4135"/>
      <c r="D10" s="4135"/>
      <c r="E10" s="4135"/>
      <c r="F10" s="4135"/>
      <c r="G10" s="4135"/>
      <c r="H10" s="4135"/>
      <c r="I10" s="4135"/>
      <c r="J10" s="4135"/>
      <c r="K10" s="4136"/>
      <c r="L10" s="3686"/>
      <c r="V10" s="3123" t="s">
        <v>10688</v>
      </c>
      <c r="W10" s="3123" t="s">
        <v>10378</v>
      </c>
      <c r="X10" s="1769">
        <v>1007</v>
      </c>
    </row>
    <row r="11" spans="1:25" ht="15" customHeight="1" x14ac:dyDescent="0.2">
      <c r="A11" s="3686"/>
      <c r="B11" s="5487" t="s">
        <v>10716</v>
      </c>
      <c r="C11" s="5487"/>
      <c r="D11" s="5487"/>
      <c r="E11" s="5487"/>
      <c r="F11" s="5487"/>
      <c r="G11" s="5487"/>
      <c r="H11" s="5487"/>
      <c r="I11" s="5487"/>
      <c r="J11" s="3352"/>
      <c r="K11" s="4137" t="str">
        <f>IF(AND(R11=1,ISBLANK(J11)=TRUE),re,IF(AND(R11=2,ISBLANK(J11)=FALSE),"Delete!",""))</f>
        <v/>
      </c>
      <c r="L11" s="3686"/>
      <c r="N11" s="3123">
        <f>IF(K11="",0,1)</f>
      </c>
      <c r="O11" s="4092">
        <f>COUNTA(J11)</f>
      </c>
      <c r="Q11" s="3621" t="s">
        <v>10689</v>
      </c>
      <c r="R11" s="3621">
        <f>IF(OR(J9="yes",J7="yes"),1,IF(AND(J7="no",J9="no"),2,0))</f>
      </c>
      <c r="V11" s="3123" t="s">
        <v>10690</v>
      </c>
      <c r="W11" s="3123" t="s">
        <v>10379</v>
      </c>
      <c r="X11" s="1769">
        <v>1008</v>
      </c>
    </row>
    <row r="12" spans="1:25" ht="6.75" customHeight="1" x14ac:dyDescent="0.2">
      <c r="A12" s="3686"/>
      <c r="B12" s="4138"/>
      <c r="C12" s="4139"/>
      <c r="D12" s="4139"/>
      <c r="E12" s="4139"/>
      <c r="F12" s="4139"/>
      <c r="G12" s="4139"/>
      <c r="H12" s="4139"/>
      <c r="I12" s="4139"/>
      <c r="J12" s="4139"/>
      <c r="K12" s="4136"/>
      <c r="L12" s="3686"/>
      <c r="V12" s="3123" t="s">
        <v>5091</v>
      </c>
      <c r="W12" s="3123" t="s">
        <v>480</v>
      </c>
      <c r="X12" s="1769">
        <v>1009</v>
      </c>
    </row>
    <row r="13" spans="1:25" ht="14.25" customHeight="1" x14ac:dyDescent="0.2">
      <c r="A13" s="3690"/>
      <c r="B13" s="5487" t="s">
        <v>10717</v>
      </c>
      <c r="C13" s="5487"/>
      <c r="D13" s="5487"/>
      <c r="E13" s="5487"/>
      <c r="F13" s="5487"/>
      <c r="G13" s="5487"/>
      <c r="H13" s="5487"/>
      <c r="I13" s="5487"/>
      <c r="J13" s="3352"/>
      <c r="K13" s="4134" t="str">
        <f>IF(AND($P$1="n",ISBLANK(J13)=TRUE),re,"")</f>
        <v/>
      </c>
      <c r="L13" s="3686"/>
      <c r="N13" s="3123">
        <f>IF(K13="",0,1)</f>
      </c>
      <c r="O13" s="4092">
        <f>COUNTA(J13)</f>
      </c>
      <c r="V13" s="3123" t="s">
        <v>10691</v>
      </c>
      <c r="W13" s="3123" t="s">
        <v>10380</v>
      </c>
      <c r="X13" s="1769">
        <v>1200</v>
      </c>
    </row>
    <row r="14" spans="1:25" ht="14.25" x14ac:dyDescent="0.2">
      <c r="A14" s="3690"/>
      <c r="B14" s="5487"/>
      <c r="C14" s="5487"/>
      <c r="D14" s="5487"/>
      <c r="E14" s="5487"/>
      <c r="F14" s="5487"/>
      <c r="G14" s="5487"/>
      <c r="H14" s="5487"/>
      <c r="I14" s="5487"/>
      <c r="J14" s="3690"/>
      <c r="K14" s="4140"/>
      <c r="L14" s="3686"/>
      <c r="V14" s="3123" t="s">
        <v>10692</v>
      </c>
      <c r="W14" s="3123" t="s">
        <v>10381</v>
      </c>
      <c r="X14" s="1769">
        <v>1201</v>
      </c>
    </row>
    <row r="15" spans="1:25" ht="6.75" customHeight="1" x14ac:dyDescent="0.2">
      <c r="A15" s="3686"/>
      <c r="B15" s="4138"/>
      <c r="C15" s="4139"/>
      <c r="D15" s="4139"/>
      <c r="E15" s="4139"/>
      <c r="F15" s="4139"/>
      <c r="G15" s="4139"/>
      <c r="H15" s="4139"/>
      <c r="I15" s="4139"/>
      <c r="J15" s="4139"/>
      <c r="K15" s="4136"/>
      <c r="L15" s="3686"/>
      <c r="V15" s="3123" t="s">
        <v>3305</v>
      </c>
      <c r="W15" s="3123" t="s">
        <v>10382</v>
      </c>
      <c r="X15" s="1769">
        <v>1202</v>
      </c>
    </row>
    <row r="16" spans="1:25" ht="14.25" customHeight="1" x14ac:dyDescent="0.2">
      <c r="A16" s="3690"/>
      <c r="B16" s="5487" t="s">
        <v>10718</v>
      </c>
      <c r="C16" s="5487"/>
      <c r="D16" s="5487"/>
      <c r="E16" s="5487"/>
      <c r="F16" s="5487"/>
      <c r="G16" s="5487"/>
      <c r="H16" s="5487"/>
      <c r="I16" s="5487"/>
      <c r="J16" s="3352"/>
      <c r="K16" s="4134" t="str">
        <f>IF(AND($P$1="n",ISBLANK(J16)=TRUE),re,"")</f>
        <v/>
      </c>
      <c r="L16" s="3686"/>
      <c r="N16" s="3123">
        <f>IF(K16="",0,1)</f>
      </c>
      <c r="O16" s="4092">
        <f>COUNTA(J16)</f>
      </c>
      <c r="W16" s="3123" t="s">
        <v>10383</v>
      </c>
      <c r="X16" s="1769">
        <v>1203</v>
      </c>
    </row>
    <row r="17" spans="1:33" ht="14.25" x14ac:dyDescent="0.2">
      <c r="A17" s="3690"/>
      <c r="B17" s="5487"/>
      <c r="C17" s="5487"/>
      <c r="D17" s="5487"/>
      <c r="E17" s="5487"/>
      <c r="F17" s="5487"/>
      <c r="G17" s="5487"/>
      <c r="H17" s="5487"/>
      <c r="I17" s="5487"/>
      <c r="J17" s="4136"/>
      <c r="K17" s="4136"/>
      <c r="L17" s="3686"/>
      <c r="W17" s="3123" t="s">
        <v>481</v>
      </c>
      <c r="X17" s="1769">
        <v>1204</v>
      </c>
    </row>
    <row r="18" spans="1:33" ht="6.75" customHeight="1" x14ac:dyDescent="0.2">
      <c r="A18" s="3686"/>
      <c r="B18" s="4138"/>
      <c r="C18" s="4139"/>
      <c r="D18" s="4139"/>
      <c r="E18" s="4139"/>
      <c r="F18" s="4139"/>
      <c r="G18" s="4139"/>
      <c r="H18" s="4139"/>
      <c r="I18" s="4139"/>
      <c r="J18" s="4139"/>
      <c r="K18" s="4136"/>
      <c r="L18" s="3686"/>
      <c r="W18" s="3123" t="s">
        <v>10384</v>
      </c>
      <c r="X18" s="1769">
        <v>1205</v>
      </c>
    </row>
    <row r="19" spans="1:33" ht="14.25" x14ac:dyDescent="0.2">
      <c r="A19" s="3690"/>
      <c r="B19" s="5487" t="s">
        <v>10693</v>
      </c>
      <c r="C19" s="5487"/>
      <c r="D19" s="5487"/>
      <c r="E19" s="5487"/>
      <c r="F19" s="5487"/>
      <c r="G19" s="5487"/>
      <c r="H19" s="5487"/>
      <c r="I19" s="5487"/>
      <c r="J19" s="3352"/>
      <c r="K19" s="4134" t="str">
        <f>IF(AND($P$1="n",ISBLANK(J19)=TRUE),re,"")</f>
        <v/>
      </c>
      <c r="L19" s="3686"/>
      <c r="N19" s="3123">
        <f>IF(K19="",0,1)</f>
      </c>
      <c r="O19" s="4092">
        <f>COUNTA(J19)</f>
      </c>
      <c r="W19" s="3123" t="s">
        <v>10385</v>
      </c>
      <c r="X19" s="1769">
        <v>1206</v>
      </c>
    </row>
    <row r="20" spans="1:33" s="1736" customFormat="1" x14ac:dyDescent="0.2">
      <c r="A20" s="3601"/>
      <c r="B20" s="5487"/>
      <c r="C20" s="5487"/>
      <c r="D20" s="5487"/>
      <c r="E20" s="5487"/>
      <c r="F20" s="5487"/>
      <c r="G20" s="5487"/>
      <c r="H20" s="5487"/>
      <c r="I20" s="5487"/>
      <c r="J20" s="3601"/>
      <c r="K20" s="3601"/>
      <c r="L20" s="3601"/>
      <c r="M20" s="3123"/>
      <c r="W20" s="3123" t="s">
        <v>10386</v>
      </c>
      <c r="X20" s="1769">
        <v>1207</v>
      </c>
    </row>
    <row r="21" spans="1:33" ht="8.25" customHeight="1" x14ac:dyDescent="0.2">
      <c r="A21" s="3686"/>
      <c r="B21" s="4138"/>
      <c r="C21" s="4139"/>
      <c r="D21" s="4139"/>
      <c r="E21" s="4139"/>
      <c r="F21" s="4139"/>
      <c r="G21" s="4139"/>
      <c r="H21" s="4139"/>
      <c r="I21" s="4139"/>
      <c r="J21" s="4139"/>
      <c r="K21" s="4136"/>
      <c r="L21" s="3686"/>
      <c r="W21" s="3123" t="s">
        <v>10387</v>
      </c>
      <c r="X21" s="1769">
        <v>1208</v>
      </c>
    </row>
    <row r="22" spans="1:33" ht="14.25" customHeight="1" x14ac:dyDescent="0.2">
      <c r="A22" s="3686"/>
      <c r="B22" s="4172" t="s">
        <v>10719</v>
      </c>
      <c r="C22" s="3686"/>
      <c r="D22" s="3686"/>
      <c r="E22" s="3686"/>
      <c r="F22" s="3686"/>
      <c r="G22" s="3686"/>
      <c r="H22" s="3686"/>
      <c r="I22" s="3686"/>
      <c r="J22" s="3686"/>
      <c r="K22" s="3686"/>
      <c r="L22" s="3686"/>
      <c r="W22" s="3123" t="s">
        <v>10388</v>
      </c>
      <c r="X22" s="1769">
        <v>1209</v>
      </c>
    </row>
    <row r="23" spans="1:33" ht="14.25" x14ac:dyDescent="0.2">
      <c r="A23" s="3686"/>
      <c r="B23" s="3686"/>
      <c r="C23" s="3686"/>
      <c r="D23" s="3686"/>
      <c r="E23" s="3686"/>
      <c r="F23" s="3686"/>
      <c r="G23" s="3686"/>
      <c r="H23" s="3686"/>
      <c r="I23" s="3686"/>
      <c r="J23" s="3686"/>
      <c r="K23" s="3686"/>
      <c r="L23" s="3686"/>
      <c r="W23" s="3123" t="s">
        <v>10389</v>
      </c>
      <c r="X23" s="1769">
        <v>1210</v>
      </c>
    </row>
    <row r="24" spans="1:33" ht="63.75" x14ac:dyDescent="0.2">
      <c r="A24" s="3690"/>
      <c r="B24" s="4141" t="s">
        <v>10694</v>
      </c>
      <c r="C24" s="4141" t="s">
        <v>10695</v>
      </c>
      <c r="D24" s="4141" t="s">
        <v>10696</v>
      </c>
      <c r="E24" s="4141" t="s">
        <v>10697</v>
      </c>
      <c r="F24" s="4141" t="s">
        <v>4450</v>
      </c>
      <c r="G24" s="4141" t="s">
        <v>10698</v>
      </c>
      <c r="H24" s="4141" t="s">
        <v>10699</v>
      </c>
      <c r="I24" s="4141" t="s">
        <v>10700</v>
      </c>
      <c r="J24" s="5441" t="s">
        <v>10701</v>
      </c>
      <c r="K24" s="5442"/>
      <c r="L24" s="3686"/>
      <c r="W24" s="3123" t="s">
        <v>10390</v>
      </c>
      <c r="X24" s="1769">
        <v>1300</v>
      </c>
      <c r="AC24" s="3280" t="s">
        <v>10702</v>
      </c>
      <c r="AD24" s="3280" t="s">
        <v>10703</v>
      </c>
      <c r="AE24" s="3699" t="s">
        <v>10704</v>
      </c>
      <c r="AF24" s="3699" t="s">
        <v>10699</v>
      </c>
      <c r="AG24" s="3280" t="s">
        <v>10705</v>
      </c>
    </row>
    <row r="25" spans="1:33" x14ac:dyDescent="0.2">
      <c r="A25" s="3693">
        <v>1</v>
      </c>
      <c r="B25" s="3703"/>
      <c r="C25" s="3703"/>
      <c r="D25" s="3703"/>
      <c r="E25" s="3703"/>
      <c r="F25" s="3703"/>
      <c r="G25" s="4142"/>
      <c r="H25" s="4142"/>
      <c r="I25" s="4133"/>
      <c r="J25" s="5478"/>
      <c r="K25" s="5479"/>
      <c r="L25" s="4134" t="str">
        <f>IF(AND(O25=0,$J$11="no"),re,IF(AND($J$11="yes",O25&gt;0),"No details required",IF(AND(O25&gt;0,O25&lt;8),"All data!",IF(AND(O25&gt;0,ISBLANK(F25)=FALSE,ISERROR(VLOOKUP(F25,tifd_codes,1,FALSE))=TRUE),"Check TIFD code!",IF(AND(ISBLANK(J25)=TRUE,OR(C25=$V$15,I25=$Y$8)),"Additional information required!","")))))</f>
        <v/>
      </c>
      <c r="N25" s="3123">
        <f>IF(L25="",0,1)</f>
      </c>
      <c r="O25" s="4092">
        <f>COUNTA(B25:I25)</f>
      </c>
      <c r="Q25" s="3123" t="s">
        <v>10671</v>
      </c>
      <c r="W25" s="3123" t="s">
        <v>3357</v>
      </c>
      <c r="X25" s="1769">
        <v>1301</v>
      </c>
      <c r="AC25" s="3123" t="str">
        <f t="shared" ref="AC25:AC56" si="0">IF(F25="","",IF(ISERROR(VLOOKUP(F25,BS,1,FALSE))=TRUE,"PL","BS"))</f>
        <v/>
      </c>
      <c r="AD25" s="3123" t="str">
        <f t="shared" ref="AD25:AD56" si="1">IF(OR(AC25="",AC25="BS"),"",IF(ISERROR(VLOOKUP(F25,PL_income,1,FALSE))=TRUE,"EXP","INC"))</f>
        <v/>
      </c>
      <c r="AE25" s="3123" t="str">
        <f>IF(AD25="","",G25)</f>
        <v/>
      </c>
      <c r="AF25" s="3123" t="str">
        <f>IF(AD25="","",H25)</f>
        <v/>
      </c>
      <c r="AG25" s="3123" t="str">
        <f>IF(AD25="","",IF(AD25="INC",-(AE25-AF25),AE25-AF25))</f>
        <v/>
      </c>
    </row>
    <row r="26" spans="1:33" x14ac:dyDescent="0.2">
      <c r="A26" s="3690">
        <v>2</v>
      </c>
      <c r="B26" s="3703"/>
      <c r="C26" s="3703"/>
      <c r="D26" s="3703"/>
      <c r="E26" s="3703"/>
      <c r="F26" s="3703"/>
      <c r="G26" s="4142"/>
      <c r="H26" s="4142"/>
      <c r="I26" s="4133"/>
      <c r="J26" s="5478"/>
      <c r="K26" s="5479"/>
      <c r="L26" s="4134" t="str">
        <f t="shared" ref="L26:L57" si="2">IF(AND($J$11="yes",O26&gt;0),"No details required",IF(AND(O26&gt;0,O26&lt;8),"All data!",IF(AND(O26&gt;0,ISBLANK(F26)=FALSE,ISERROR(VLOOKUP(F26,tifd_codes,1,FALSE))=TRUE),"Check TIFD code!",IF(AND(ISBLANK(J26)=TRUE,OR(C26=$V$15,I26=$Y$8)),"Additional information required!",""))))</f>
        <v/>
      </c>
      <c r="N26" s="3123">
        <f t="shared" ref="N26:N83" si="3">IF(L26="",0,1)</f>
      </c>
      <c r="O26" s="4092">
        <f t="shared" ref="O26:O83" si="4">COUNTA(B26:I26)</f>
      </c>
      <c r="Q26" s="3123" t="s">
        <v>6712</v>
      </c>
      <c r="W26" s="3123" t="s">
        <v>10391</v>
      </c>
      <c r="X26" s="1769">
        <v>1302</v>
      </c>
      <c r="AC26" s="3123" t="str">
        <f t="shared" si="0"/>
        <v/>
      </c>
      <c r="AD26" s="3123" t="str">
        <f t="shared" si="1"/>
        <v/>
      </c>
      <c r="AE26" s="3123" t="str">
        <f t="shared" ref="AE26:AE84" si="5">IF(AD26="","",G26)</f>
        <v/>
      </c>
      <c r="AF26" s="3123" t="str">
        <f t="shared" ref="AF26:AF84" si="6">IF(AD26="","",H26)</f>
        <v/>
      </c>
      <c r="AG26" s="3123" t="str">
        <f t="shared" ref="AG26:AG84" si="7">IF(AD26="","",IF(AD26="INC",-(AE26-AF26),AE26-AF26))</f>
        <v/>
      </c>
    </row>
    <row r="27" spans="1:33" x14ac:dyDescent="0.2">
      <c r="A27" s="3690">
        <v>3</v>
      </c>
      <c r="B27" s="3703"/>
      <c r="C27" s="3703"/>
      <c r="D27" s="3703"/>
      <c r="E27" s="3703"/>
      <c r="F27" s="3703"/>
      <c r="G27" s="4142"/>
      <c r="H27" s="4142"/>
      <c r="I27" s="4133"/>
      <c r="J27" s="5478"/>
      <c r="K27" s="5479"/>
      <c r="L27" s="4134" t="str">
        <f t="shared" si="2"/>
        <v/>
      </c>
      <c r="N27" s="3123">
        <f t="shared" si="3"/>
        <v>0</v>
      </c>
      <c r="O27" s="4092">
        <f t="shared" si="4"/>
        <v>0</v>
      </c>
      <c r="Q27" s="3123" t="s">
        <v>10677</v>
      </c>
      <c r="W27" s="3123" t="s">
        <v>482</v>
      </c>
      <c r="X27" s="1769">
        <v>1303</v>
      </c>
      <c r="AC27" s="3123" t="str">
        <f t="shared" si="0"/>
        <v/>
      </c>
      <c r="AD27" s="3123" t="str">
        <f t="shared" si="1"/>
        <v/>
      </c>
      <c r="AE27" s="3123" t="str">
        <f t="shared" si="5"/>
        <v/>
      </c>
      <c r="AF27" s="3123" t="str">
        <f t="shared" si="6"/>
        <v/>
      </c>
      <c r="AG27" s="3123" t="str">
        <f t="shared" si="7"/>
        <v/>
      </c>
    </row>
    <row r="28" spans="1:33" x14ac:dyDescent="0.2">
      <c r="A28" s="3690">
        <v>4</v>
      </c>
      <c r="B28" s="3703"/>
      <c r="C28" s="3703"/>
      <c r="D28" s="3703"/>
      <c r="E28" s="3703"/>
      <c r="F28" s="3703"/>
      <c r="G28" s="4142"/>
      <c r="H28" s="4142"/>
      <c r="I28" s="4133"/>
      <c r="J28" s="5478"/>
      <c r="K28" s="5479"/>
      <c r="L28" s="4134" t="str">
        <f t="shared" si="2"/>
        <v/>
      </c>
      <c r="N28" s="3123">
        <f t="shared" si="3"/>
        <v>0</v>
      </c>
      <c r="O28" s="4092">
        <f t="shared" si="4"/>
        <v>0</v>
      </c>
      <c r="Q28" s="3123" t="s">
        <v>10679</v>
      </c>
      <c r="W28" s="3123" t="s">
        <v>483</v>
      </c>
      <c r="X28" s="1769">
        <v>1304</v>
      </c>
      <c r="AC28" s="3123" t="str">
        <f t="shared" si="0"/>
        <v/>
      </c>
      <c r="AD28" s="3123" t="str">
        <f t="shared" si="1"/>
        <v/>
      </c>
      <c r="AE28" s="3123" t="str">
        <f t="shared" si="5"/>
        <v/>
      </c>
      <c r="AF28" s="3123" t="str">
        <f t="shared" si="6"/>
        <v/>
      </c>
      <c r="AG28" s="3123" t="str">
        <f t="shared" si="7"/>
        <v/>
      </c>
    </row>
    <row r="29" spans="1:33" x14ac:dyDescent="0.2">
      <c r="A29" s="3690">
        <v>5</v>
      </c>
      <c r="B29" s="3703"/>
      <c r="C29" s="3703"/>
      <c r="D29" s="3703"/>
      <c r="E29" s="3703"/>
      <c r="F29" s="3703"/>
      <c r="G29" s="4142"/>
      <c r="H29" s="4142"/>
      <c r="I29" s="4133"/>
      <c r="J29" s="5478"/>
      <c r="K29" s="5479"/>
      <c r="L29" s="4134" t="str">
        <f t="shared" si="2"/>
        <v/>
      </c>
      <c r="N29" s="3123">
        <f t="shared" si="3"/>
        <v>0</v>
      </c>
      <c r="O29" s="4092">
        <f t="shared" si="4"/>
        <v>0</v>
      </c>
      <c r="Q29" s="3123" t="s">
        <v>10681</v>
      </c>
      <c r="W29" s="3123" t="s">
        <v>484</v>
      </c>
      <c r="X29" s="1769">
        <v>1305</v>
      </c>
      <c r="AC29" s="3123" t="str">
        <f t="shared" si="0"/>
        <v/>
      </c>
      <c r="AD29" s="3123" t="str">
        <f t="shared" si="1"/>
        <v/>
      </c>
      <c r="AE29" s="3123" t="str">
        <f t="shared" si="5"/>
        <v/>
      </c>
      <c r="AF29" s="3123" t="str">
        <f t="shared" si="6"/>
        <v/>
      </c>
      <c r="AG29" s="3123" t="str">
        <f t="shared" si="7"/>
        <v/>
      </c>
    </row>
    <row r="30" spans="1:33" x14ac:dyDescent="0.2">
      <c r="A30" s="3690">
        <v>6</v>
      </c>
      <c r="B30" s="3703"/>
      <c r="C30" s="3703"/>
      <c r="D30" s="3703"/>
      <c r="E30" s="3703"/>
      <c r="F30" s="3703"/>
      <c r="G30" s="4142"/>
      <c r="H30" s="4142"/>
      <c r="I30" s="4133"/>
      <c r="J30" s="5478"/>
      <c r="K30" s="5479"/>
      <c r="L30" s="4134" t="str">
        <f t="shared" si="2"/>
        <v/>
      </c>
      <c r="N30" s="3123">
        <f t="shared" si="3"/>
        <v>0</v>
      </c>
      <c r="O30" s="4092">
        <f t="shared" si="4"/>
        <v>0</v>
      </c>
      <c r="Q30" s="3123" t="s">
        <v>10684</v>
      </c>
      <c r="W30" s="3123" t="s">
        <v>10392</v>
      </c>
      <c r="X30" s="1769">
        <v>1306</v>
      </c>
      <c r="AC30" s="3123" t="str">
        <f t="shared" si="0"/>
        <v/>
      </c>
      <c r="AD30" s="3123" t="str">
        <f t="shared" si="1"/>
        <v/>
      </c>
      <c r="AE30" s="3123" t="str">
        <f t="shared" si="5"/>
        <v/>
      </c>
      <c r="AF30" s="3123" t="str">
        <f t="shared" si="6"/>
        <v/>
      </c>
      <c r="AG30" s="3123" t="str">
        <f t="shared" si="7"/>
        <v/>
      </c>
    </row>
    <row r="31" spans="1:33" x14ac:dyDescent="0.2">
      <c r="A31" s="3690">
        <v>7</v>
      </c>
      <c r="B31" s="3703"/>
      <c r="C31" s="3703"/>
      <c r="D31" s="3703"/>
      <c r="E31" s="3703"/>
      <c r="F31" s="3703"/>
      <c r="G31" s="4142"/>
      <c r="H31" s="4142"/>
      <c r="I31" s="4133"/>
      <c r="J31" s="5478"/>
      <c r="K31" s="5479"/>
      <c r="L31" s="4134" t="str">
        <f t="shared" si="2"/>
        <v/>
      </c>
      <c r="N31" s="3123">
        <f t="shared" si="3"/>
        <v>0</v>
      </c>
      <c r="O31" s="4092">
        <f t="shared" si="4"/>
        <v>0</v>
      </c>
      <c r="Q31" s="3123" t="s">
        <v>10686</v>
      </c>
      <c r="W31" s="3123" t="s">
        <v>10393</v>
      </c>
      <c r="X31" s="1769">
        <v>1307</v>
      </c>
      <c r="AC31" s="3123" t="str">
        <f t="shared" si="0"/>
        <v/>
      </c>
      <c r="AD31" s="3123" t="str">
        <f t="shared" si="1"/>
        <v/>
      </c>
      <c r="AE31" s="3123" t="str">
        <f t="shared" si="5"/>
        <v/>
      </c>
      <c r="AF31" s="3123" t="str">
        <f t="shared" si="6"/>
        <v/>
      </c>
      <c r="AG31" s="3123" t="str">
        <f t="shared" si="7"/>
        <v/>
      </c>
    </row>
    <row r="32" spans="1:33" x14ac:dyDescent="0.2">
      <c r="A32" s="3690">
        <v>8</v>
      </c>
      <c r="B32" s="3703"/>
      <c r="C32" s="3703"/>
      <c r="D32" s="3703"/>
      <c r="E32" s="3703"/>
      <c r="F32" s="3703"/>
      <c r="G32" s="4142"/>
      <c r="H32" s="4142"/>
      <c r="I32" s="4133"/>
      <c r="J32" s="5478"/>
      <c r="K32" s="5479"/>
      <c r="L32" s="4134" t="str">
        <f t="shared" si="2"/>
        <v/>
      </c>
      <c r="N32" s="3123">
        <f t="shared" si="3"/>
        <v>0</v>
      </c>
      <c r="O32" s="4092">
        <f t="shared" si="4"/>
        <v>0</v>
      </c>
      <c r="Q32" s="3123" t="s">
        <v>10687</v>
      </c>
      <c r="W32" s="3123" t="s">
        <v>485</v>
      </c>
      <c r="X32" s="1769">
        <v>1350</v>
      </c>
      <c r="AC32" s="3123" t="str">
        <f t="shared" si="0"/>
        <v/>
      </c>
      <c r="AD32" s="3123" t="str">
        <f t="shared" si="1"/>
        <v/>
      </c>
      <c r="AE32" s="3123" t="str">
        <f t="shared" si="5"/>
        <v/>
      </c>
      <c r="AF32" s="3123" t="str">
        <f t="shared" si="6"/>
        <v/>
      </c>
      <c r="AG32" s="3123" t="str">
        <f t="shared" si="7"/>
        <v/>
      </c>
    </row>
    <row r="33" spans="1:33" x14ac:dyDescent="0.2">
      <c r="A33" s="3690">
        <v>9</v>
      </c>
      <c r="B33" s="3703"/>
      <c r="C33" s="3703"/>
      <c r="D33" s="3703"/>
      <c r="E33" s="3703"/>
      <c r="F33" s="3703"/>
      <c r="G33" s="4142"/>
      <c r="H33" s="4142"/>
      <c r="I33" s="4133"/>
      <c r="J33" s="5478"/>
      <c r="K33" s="5479"/>
      <c r="L33" s="4134" t="str">
        <f t="shared" si="2"/>
        <v/>
      </c>
      <c r="N33" s="3123">
        <f t="shared" si="3"/>
        <v>0</v>
      </c>
      <c r="O33" s="4092">
        <f t="shared" si="4"/>
        <v>0</v>
      </c>
      <c r="Q33" s="3123" t="s">
        <v>10688</v>
      </c>
      <c r="W33" s="3123" t="s">
        <v>486</v>
      </c>
      <c r="X33" s="1769">
        <v>1351</v>
      </c>
      <c r="AC33" s="3123" t="str">
        <f t="shared" si="0"/>
        <v/>
      </c>
      <c r="AD33" s="3123" t="str">
        <f t="shared" si="1"/>
        <v/>
      </c>
      <c r="AE33" s="3123" t="str">
        <f t="shared" si="5"/>
        <v/>
      </c>
      <c r="AF33" s="3123" t="str">
        <f t="shared" si="6"/>
        <v/>
      </c>
      <c r="AG33" s="3123" t="str">
        <f t="shared" si="7"/>
        <v/>
      </c>
    </row>
    <row r="34" spans="1:33" x14ac:dyDescent="0.2">
      <c r="A34" s="3690">
        <v>10</v>
      </c>
      <c r="B34" s="3703"/>
      <c r="C34" s="3703"/>
      <c r="D34" s="3703"/>
      <c r="E34" s="3703"/>
      <c r="F34" s="3703"/>
      <c r="G34" s="4142"/>
      <c r="H34" s="4142"/>
      <c r="I34" s="4133"/>
      <c r="J34" s="5478"/>
      <c r="K34" s="5479"/>
      <c r="L34" s="4134" t="str">
        <f t="shared" si="2"/>
        <v/>
      </c>
      <c r="N34" s="3123">
        <f t="shared" si="3"/>
        <v>0</v>
      </c>
      <c r="O34" s="4092">
        <f t="shared" si="4"/>
        <v>0</v>
      </c>
      <c r="Q34" s="3123" t="s">
        <v>10690</v>
      </c>
      <c r="W34" s="3123" t="s">
        <v>487</v>
      </c>
      <c r="X34" s="1769">
        <v>1352</v>
      </c>
      <c r="AC34" s="3123" t="str">
        <f t="shared" si="0"/>
        <v/>
      </c>
      <c r="AD34" s="3123" t="str">
        <f t="shared" si="1"/>
        <v/>
      </c>
      <c r="AE34" s="3123" t="str">
        <f t="shared" si="5"/>
        <v/>
      </c>
      <c r="AF34" s="3123" t="str">
        <f t="shared" si="6"/>
        <v/>
      </c>
      <c r="AG34" s="3123" t="str">
        <f t="shared" si="7"/>
        <v/>
      </c>
    </row>
    <row r="35" spans="1:33" x14ac:dyDescent="0.2">
      <c r="A35" s="3690">
        <v>11</v>
      </c>
      <c r="B35" s="3703"/>
      <c r="C35" s="3703"/>
      <c r="D35" s="3703"/>
      <c r="E35" s="3703"/>
      <c r="F35" s="3703"/>
      <c r="G35" s="4142"/>
      <c r="H35" s="4142"/>
      <c r="I35" s="4133"/>
      <c r="J35" s="5478"/>
      <c r="K35" s="5479"/>
      <c r="L35" s="4134" t="str">
        <f t="shared" si="2"/>
        <v/>
      </c>
      <c r="N35" s="3123">
        <f t="shared" si="3"/>
        <v>0</v>
      </c>
      <c r="O35" s="4092">
        <f t="shared" si="4"/>
        <v>0</v>
      </c>
      <c r="Q35" s="3123" t="s">
        <v>5091</v>
      </c>
      <c r="W35" s="3123" t="s">
        <v>10394</v>
      </c>
      <c r="X35" s="1769">
        <v>1353</v>
      </c>
      <c r="AC35" s="3123" t="str">
        <f t="shared" si="0"/>
        <v/>
      </c>
      <c r="AD35" s="3123" t="str">
        <f t="shared" si="1"/>
        <v/>
      </c>
      <c r="AE35" s="3123" t="str">
        <f t="shared" si="5"/>
        <v/>
      </c>
      <c r="AF35" s="3123" t="str">
        <f t="shared" si="6"/>
        <v/>
      </c>
      <c r="AG35" s="3123" t="str">
        <f t="shared" si="7"/>
        <v/>
      </c>
    </row>
    <row r="36" spans="1:33" x14ac:dyDescent="0.2">
      <c r="A36" s="3690">
        <v>12</v>
      </c>
      <c r="B36" s="3703"/>
      <c r="C36" s="3703"/>
      <c r="D36" s="3703"/>
      <c r="E36" s="3703"/>
      <c r="F36" s="4210"/>
      <c r="G36" s="4142"/>
      <c r="H36" s="4142"/>
      <c r="I36" s="4133"/>
      <c r="J36" s="5478"/>
      <c r="K36" s="5479"/>
      <c r="L36" s="4134" t="str">
        <f>IF(AND($J$11="yes",O36&gt;0),"No details required",IF(AND(O36&gt;0,O36&lt;8),"All data!",IF(AND(O36&gt;0,ISBLANK(F37)=FALSE,ISERROR(VLOOKUP(F37,tifd_codes,1,FALSE))=TRUE),"Check TIFD code!",IF(AND(ISBLANK(J36)=TRUE,OR(C36=$V$15,I36=$Y$8)),"Additional information required!",""))))</f>
        <v/>
      </c>
      <c r="N36" s="3123">
        <f t="shared" si="3"/>
        <v>0</v>
      </c>
      <c r="O36" s="4092">
        <f t="shared" si="4"/>
        <v>0</v>
      </c>
      <c r="Q36" s="3123" t="s">
        <v>10691</v>
      </c>
      <c r="W36" s="3123" t="s">
        <v>488</v>
      </c>
      <c r="X36" s="1769">
        <v>1354</v>
      </c>
      <c r="AC36" s="3123" t="str">
        <f>IF(F37="","",IF(ISERROR(VLOOKUP(F37,BS,1,FALSE))=TRUE,"PL","BS"))</f>
        <v/>
      </c>
      <c r="AD36" s="3123" t="str">
        <f>IF(OR(AC36="",AC36="BS"),"",IF(ISERROR(VLOOKUP(F37,PL_income,1,FALSE))=TRUE,"EXP","INC"))</f>
        <v/>
      </c>
      <c r="AE36" s="3123" t="str">
        <f t="shared" si="5"/>
        <v/>
      </c>
      <c r="AF36" s="3123" t="str">
        <f t="shared" si="6"/>
        <v/>
      </c>
      <c r="AG36" s="3123" t="str">
        <f t="shared" si="7"/>
        <v/>
      </c>
    </row>
    <row r="37" spans="1:33" x14ac:dyDescent="0.2">
      <c r="A37" s="3690">
        <v>13</v>
      </c>
      <c r="B37" s="3703"/>
      <c r="C37" s="3703"/>
      <c r="D37" s="3703"/>
      <c r="E37" s="3703"/>
      <c r="F37" s="3703"/>
      <c r="G37" s="4142"/>
      <c r="H37" s="4142"/>
      <c r="I37" s="4133"/>
      <c r="J37" s="5478"/>
      <c r="K37" s="5479"/>
      <c r="L37" s="4134" t="str">
        <f>IF(AND($J$11="yes",O37&gt;0),"No details required",IF(AND(O37&gt;0,O37&lt;8),"All data!",IF(AND(O37&gt;0,ISBLANK(#REF!)=FALSE,ISERROR(VLOOKUP(#REF!,tifd_codes,1,FALSE))=TRUE),"Check TIFD code!",IF(AND(ISBLANK(J37)=TRUE,OR(C37=$V$15,I37=$Y$8)),"Additional information required!",""))))</f>
        <v/>
      </c>
      <c r="N37" s="3123">
        <f t="shared" si="3"/>
        <v>0</v>
      </c>
      <c r="O37" s="4092">
        <f t="shared" si="4"/>
        <v>0</v>
      </c>
      <c r="Q37" s="3123" t="s">
        <v>10692</v>
      </c>
      <c r="W37" s="3123" t="s">
        <v>10395</v>
      </c>
      <c r="X37" s="1769">
        <v>1355</v>
      </c>
      <c r="AC37" s="3123" t="e">
        <f>IF(#REF!="","",IF(ISERROR(VLOOKUP(#REF!,BS,1,FALSE))=TRUE,"PL","BS"))</f>
      </c>
      <c r="AD37" s="3123" t="e">
        <f>IF(OR(AC37="",AC37="BS"),"",IF(ISERROR(VLOOKUP(#REF!,PL_income,1,FALSE))=TRUE,"EXP","INC"))</f>
      </c>
      <c r="AE37" s="3123" t="e">
        <f t="shared" si="5"/>
        <v>#REF!</v>
      </c>
      <c r="AF37" s="3123" t="e">
        <f t="shared" si="6"/>
        <v>#REF!</v>
      </c>
      <c r="AG37" s="3123" t="e">
        <f t="shared" si="7"/>
        <v>#REF!</v>
      </c>
    </row>
    <row r="38" spans="1:33" x14ac:dyDescent="0.2">
      <c r="A38" s="3690">
        <v>14</v>
      </c>
      <c r="B38" s="3703"/>
      <c r="C38" s="3703"/>
      <c r="D38" s="3703"/>
      <c r="E38" s="3703"/>
      <c r="F38" s="3703"/>
      <c r="G38" s="4142"/>
      <c r="H38" s="4142"/>
      <c r="I38" s="4133"/>
      <c r="J38" s="5478"/>
      <c r="K38" s="5479"/>
      <c r="L38" s="4134" t="str">
        <f t="shared" si="2"/>
        <v/>
      </c>
      <c r="N38" s="3123">
        <f t="shared" si="3"/>
        <v>0</v>
      </c>
      <c r="O38" s="4092">
        <f t="shared" si="4"/>
        <v>0</v>
      </c>
      <c r="Q38" s="3123" t="s">
        <v>3305</v>
      </c>
      <c r="W38" s="3123" t="s">
        <v>489</v>
      </c>
      <c r="X38" s="1769">
        <v>1356</v>
      </c>
      <c r="AC38" s="3123" t="str">
        <f t="shared" si="0"/>
        <v/>
      </c>
      <c r="AD38" s="3123" t="str">
        <f t="shared" si="1"/>
        <v/>
      </c>
      <c r="AE38" s="3123" t="str">
        <f t="shared" si="5"/>
        <v/>
      </c>
      <c r="AF38" s="3123" t="str">
        <f t="shared" si="6"/>
        <v/>
      </c>
      <c r="AG38" s="3123" t="str">
        <f t="shared" si="7"/>
        <v/>
      </c>
    </row>
    <row r="39" spans="1:33" x14ac:dyDescent="0.2">
      <c r="A39" s="3690">
        <v>15</v>
      </c>
      <c r="B39" s="3703"/>
      <c r="C39" s="3703"/>
      <c r="D39" s="3703"/>
      <c r="E39" s="3703"/>
      <c r="F39" s="3703"/>
      <c r="G39" s="4142"/>
      <c r="H39" s="4142"/>
      <c r="I39" s="4133"/>
      <c r="J39" s="5478"/>
      <c r="K39" s="5479"/>
      <c r="L39" s="4134" t="str">
        <f t="shared" si="2"/>
        <v/>
      </c>
      <c r="N39" s="3123">
        <f t="shared" si="3"/>
        <v>0</v>
      </c>
      <c r="O39" s="4092">
        <f t="shared" si="4"/>
        <v>0</v>
      </c>
      <c r="W39" s="3123" t="s">
        <v>10396</v>
      </c>
      <c r="X39" s="1769">
        <v>1357</v>
      </c>
      <c r="AC39" s="3123" t="str">
        <f t="shared" si="0"/>
        <v/>
      </c>
      <c r="AD39" s="3123" t="str">
        <f t="shared" si="1"/>
        <v/>
      </c>
      <c r="AE39" s="3123" t="str">
        <f t="shared" si="5"/>
        <v/>
      </c>
      <c r="AF39" s="3123" t="str">
        <f t="shared" si="6"/>
        <v/>
      </c>
      <c r="AG39" s="3123" t="str">
        <f t="shared" si="7"/>
        <v/>
      </c>
    </row>
    <row r="40" spans="1:33" x14ac:dyDescent="0.2">
      <c r="A40" s="3690">
        <v>16</v>
      </c>
      <c r="B40" s="3703"/>
      <c r="C40" s="3703"/>
      <c r="D40" s="3703"/>
      <c r="E40" s="3703"/>
      <c r="F40" s="3703"/>
      <c r="G40" s="4142"/>
      <c r="H40" s="4142"/>
      <c r="I40" s="4133"/>
      <c r="J40" s="5478"/>
      <c r="K40" s="5479"/>
      <c r="L40" s="4134" t="str">
        <f t="shared" si="2"/>
        <v/>
      </c>
      <c r="N40" s="3123">
        <f t="shared" si="3"/>
        <v>0</v>
      </c>
      <c r="O40" s="4092">
        <f t="shared" si="4"/>
        <v>0</v>
      </c>
      <c r="W40" s="3123" t="s">
        <v>10397</v>
      </c>
      <c r="X40" s="1769">
        <v>1358</v>
      </c>
      <c r="AC40" s="3123" t="str">
        <f t="shared" si="0"/>
        <v/>
      </c>
      <c r="AD40" s="3123" t="str">
        <f t="shared" si="1"/>
        <v/>
      </c>
      <c r="AE40" s="3123" t="str">
        <f t="shared" si="5"/>
        <v/>
      </c>
      <c r="AF40" s="3123" t="str">
        <f t="shared" si="6"/>
        <v/>
      </c>
      <c r="AG40" s="3123" t="str">
        <f t="shared" si="7"/>
        <v/>
      </c>
    </row>
    <row r="41" spans="1:33" x14ac:dyDescent="0.2">
      <c r="A41" s="3690">
        <v>17</v>
      </c>
      <c r="B41" s="3703"/>
      <c r="C41" s="3703"/>
      <c r="D41" s="3703"/>
      <c r="E41" s="3703"/>
      <c r="F41" s="3703"/>
      <c r="G41" s="4142"/>
      <c r="H41" s="4142"/>
      <c r="I41" s="4133"/>
      <c r="J41" s="5478"/>
      <c r="K41" s="5479"/>
      <c r="L41" s="4134" t="str">
        <f t="shared" si="2"/>
        <v/>
      </c>
      <c r="N41" s="3123">
        <f t="shared" si="3"/>
        <v>0</v>
      </c>
      <c r="O41" s="4092">
        <f t="shared" si="4"/>
        <v>0</v>
      </c>
      <c r="W41" s="3123" t="s">
        <v>490</v>
      </c>
      <c r="X41" s="1769">
        <v>1359</v>
      </c>
      <c r="AC41" s="3123" t="str">
        <f t="shared" si="0"/>
        <v/>
      </c>
      <c r="AD41" s="3123" t="str">
        <f t="shared" si="1"/>
        <v/>
      </c>
      <c r="AE41" s="3123" t="str">
        <f t="shared" si="5"/>
        <v/>
      </c>
      <c r="AF41" s="3123" t="str">
        <f t="shared" si="6"/>
        <v/>
      </c>
      <c r="AG41" s="3123" t="str">
        <f t="shared" si="7"/>
        <v/>
      </c>
    </row>
    <row r="42" spans="1:33" x14ac:dyDescent="0.2">
      <c r="A42" s="3690">
        <v>18</v>
      </c>
      <c r="B42" s="3703"/>
      <c r="C42" s="3703"/>
      <c r="D42" s="3703"/>
      <c r="E42" s="3703"/>
      <c r="F42" s="3703"/>
      <c r="G42" s="4142"/>
      <c r="H42" s="4142"/>
      <c r="I42" s="4133"/>
      <c r="J42" s="5478"/>
      <c r="K42" s="5479"/>
      <c r="L42" s="4134" t="str">
        <f t="shared" si="2"/>
        <v/>
      </c>
      <c r="N42" s="3123">
        <f t="shared" si="3"/>
        <v>0</v>
      </c>
      <c r="O42" s="4092">
        <f t="shared" si="4"/>
        <v>0</v>
      </c>
      <c r="W42" s="3123" t="s">
        <v>10398</v>
      </c>
      <c r="X42" s="1769">
        <v>1360</v>
      </c>
      <c r="AC42" s="3123" t="str">
        <f t="shared" si="0"/>
        <v/>
      </c>
      <c r="AD42" s="3123" t="str">
        <f t="shared" si="1"/>
        <v/>
      </c>
      <c r="AE42" s="3123" t="str">
        <f t="shared" si="5"/>
        <v/>
      </c>
      <c r="AF42" s="3123" t="str">
        <f t="shared" si="6"/>
        <v/>
      </c>
      <c r="AG42" s="3123" t="str">
        <f t="shared" si="7"/>
        <v/>
      </c>
    </row>
    <row r="43" spans="1:33" x14ac:dyDescent="0.2">
      <c r="A43" s="3690">
        <v>19</v>
      </c>
      <c r="B43" s="3703"/>
      <c r="C43" s="3703"/>
      <c r="D43" s="3703"/>
      <c r="E43" s="3703"/>
      <c r="F43" s="3703"/>
      <c r="G43" s="4142"/>
      <c r="H43" s="4142"/>
      <c r="I43" s="4133"/>
      <c r="J43" s="5478"/>
      <c r="K43" s="5479"/>
      <c r="L43" s="4134" t="str">
        <f t="shared" si="2"/>
        <v/>
      </c>
      <c r="N43" s="3123">
        <f t="shared" si="3"/>
        <v>0</v>
      </c>
      <c r="O43" s="4092">
        <f t="shared" si="4"/>
        <v>0</v>
      </c>
      <c r="W43" s="3123" t="s">
        <v>10399</v>
      </c>
      <c r="X43" s="1769">
        <v>1361</v>
      </c>
      <c r="AC43" s="3123" t="str">
        <f t="shared" si="0"/>
        <v/>
      </c>
      <c r="AD43" s="3123" t="str">
        <f t="shared" si="1"/>
        <v/>
      </c>
      <c r="AE43" s="3123" t="str">
        <f t="shared" si="5"/>
        <v/>
      </c>
      <c r="AF43" s="3123" t="str">
        <f t="shared" si="6"/>
        <v/>
      </c>
      <c r="AG43" s="3123" t="str">
        <f t="shared" si="7"/>
        <v/>
      </c>
    </row>
    <row r="44" spans="1:33" x14ac:dyDescent="0.2">
      <c r="A44" s="3690">
        <v>20</v>
      </c>
      <c r="B44" s="3703"/>
      <c r="C44" s="3703"/>
      <c r="D44" s="3703"/>
      <c r="E44" s="3703"/>
      <c r="F44" s="3703"/>
      <c r="G44" s="4142"/>
      <c r="H44" s="4142"/>
      <c r="I44" s="4133"/>
      <c r="J44" s="5478"/>
      <c r="K44" s="5479"/>
      <c r="L44" s="4134" t="str">
        <f t="shared" si="2"/>
        <v/>
      </c>
      <c r="N44" s="3123">
        <f t="shared" si="3"/>
        <v>0</v>
      </c>
      <c r="O44" s="4092">
        <f t="shared" si="4"/>
        <v>0</v>
      </c>
      <c r="W44" s="3123" t="s">
        <v>10400</v>
      </c>
      <c r="X44" s="1769">
        <v>1362</v>
      </c>
      <c r="AC44" s="3123" t="str">
        <f t="shared" si="0"/>
        <v/>
      </c>
      <c r="AD44" s="3123" t="str">
        <f t="shared" si="1"/>
        <v/>
      </c>
      <c r="AE44" s="3123" t="str">
        <f t="shared" si="5"/>
        <v/>
      </c>
      <c r="AF44" s="3123" t="str">
        <f t="shared" si="6"/>
        <v/>
      </c>
      <c r="AG44" s="3123" t="str">
        <f t="shared" si="7"/>
        <v/>
      </c>
    </row>
    <row r="45" spans="1:33" x14ac:dyDescent="0.2">
      <c r="A45" s="3690">
        <v>21</v>
      </c>
      <c r="B45" s="3703"/>
      <c r="C45" s="3703"/>
      <c r="D45" s="3703"/>
      <c r="E45" s="3703"/>
      <c r="F45" s="3703"/>
      <c r="G45" s="4142"/>
      <c r="H45" s="4142"/>
      <c r="I45" s="4133"/>
      <c r="J45" s="5478"/>
      <c r="K45" s="5479"/>
      <c r="L45" s="4134" t="str">
        <f t="shared" si="2"/>
        <v/>
      </c>
      <c r="N45" s="3123">
        <f t="shared" si="3"/>
        <v>0</v>
      </c>
      <c r="O45" s="4092">
        <f t="shared" si="4"/>
        <v>0</v>
      </c>
      <c r="W45" s="3123" t="s">
        <v>10401</v>
      </c>
      <c r="X45" s="1769">
        <v>1363</v>
      </c>
      <c r="AC45" s="3123" t="str">
        <f t="shared" si="0"/>
        <v/>
      </c>
      <c r="AD45" s="3123" t="str">
        <f t="shared" si="1"/>
        <v/>
      </c>
      <c r="AE45" s="3123" t="str">
        <f t="shared" si="5"/>
        <v/>
      </c>
      <c r="AF45" s="3123" t="str">
        <f t="shared" si="6"/>
        <v/>
      </c>
      <c r="AG45" s="3123" t="str">
        <f t="shared" si="7"/>
        <v/>
      </c>
    </row>
    <row r="46" spans="1:33" x14ac:dyDescent="0.2">
      <c r="A46" s="3690">
        <v>22</v>
      </c>
      <c r="B46" s="3703"/>
      <c r="C46" s="3703"/>
      <c r="D46" s="3703"/>
      <c r="E46" s="3703"/>
      <c r="F46" s="3703"/>
      <c r="G46" s="4142"/>
      <c r="H46" s="4142"/>
      <c r="I46" s="4133"/>
      <c r="J46" s="5478"/>
      <c r="K46" s="5479"/>
      <c r="L46" s="4134" t="str">
        <f t="shared" si="2"/>
        <v/>
      </c>
      <c r="N46" s="3123">
        <f t="shared" si="3"/>
        <v>0</v>
      </c>
      <c r="O46" s="4092">
        <f t="shared" si="4"/>
        <v>0</v>
      </c>
      <c r="W46" s="3123" t="s">
        <v>10402</v>
      </c>
      <c r="X46" s="1769">
        <v>1364</v>
      </c>
      <c r="AC46" s="3123" t="str">
        <f t="shared" si="0"/>
        <v/>
      </c>
      <c r="AD46" s="3123" t="str">
        <f t="shared" si="1"/>
        <v/>
      </c>
      <c r="AE46" s="3123" t="str">
        <f t="shared" si="5"/>
        <v/>
      </c>
      <c r="AF46" s="3123" t="str">
        <f t="shared" si="6"/>
        <v/>
      </c>
      <c r="AG46" s="3123" t="str">
        <f t="shared" si="7"/>
        <v/>
      </c>
    </row>
    <row r="47" spans="1:33" x14ac:dyDescent="0.2">
      <c r="A47" s="3690">
        <v>23</v>
      </c>
      <c r="B47" s="3703"/>
      <c r="C47" s="3703"/>
      <c r="D47" s="3703"/>
      <c r="E47" s="3703"/>
      <c r="F47" s="3703"/>
      <c r="G47" s="4142"/>
      <c r="H47" s="4142"/>
      <c r="I47" s="4133"/>
      <c r="J47" s="5478"/>
      <c r="K47" s="5479"/>
      <c r="L47" s="4134" t="str">
        <f t="shared" si="2"/>
        <v/>
      </c>
      <c r="N47" s="3123">
        <f t="shared" si="3"/>
        <v>0</v>
      </c>
      <c r="O47" s="4092">
        <f t="shared" si="4"/>
        <v>0</v>
      </c>
      <c r="W47" s="3123" t="s">
        <v>491</v>
      </c>
      <c r="X47" s="1769">
        <v>1365</v>
      </c>
      <c r="AC47" s="3123" t="str">
        <f t="shared" si="0"/>
        <v/>
      </c>
      <c r="AD47" s="3123" t="str">
        <f t="shared" si="1"/>
        <v/>
      </c>
      <c r="AE47" s="3123" t="str">
        <f t="shared" si="5"/>
        <v/>
      </c>
      <c r="AF47" s="3123" t="str">
        <f t="shared" si="6"/>
        <v/>
      </c>
      <c r="AG47" s="3123" t="str">
        <f t="shared" si="7"/>
        <v/>
      </c>
    </row>
    <row r="48" spans="1:33" x14ac:dyDescent="0.2">
      <c r="A48" s="3690">
        <v>24</v>
      </c>
      <c r="B48" s="3703"/>
      <c r="C48" s="3703"/>
      <c r="D48" s="3703"/>
      <c r="E48" s="3703"/>
      <c r="F48" s="3703"/>
      <c r="G48" s="4142"/>
      <c r="H48" s="4142"/>
      <c r="I48" s="4133"/>
      <c r="J48" s="5478"/>
      <c r="K48" s="5479"/>
      <c r="L48" s="4134" t="str">
        <f t="shared" si="2"/>
        <v/>
      </c>
      <c r="N48" s="3123">
        <f t="shared" si="3"/>
        <v>0</v>
      </c>
      <c r="O48" s="4092">
        <f t="shared" si="4"/>
        <v>0</v>
      </c>
      <c r="W48" s="3123" t="s">
        <v>10403</v>
      </c>
      <c r="X48" s="1769">
        <v>1366</v>
      </c>
      <c r="AC48" s="3123" t="str">
        <f t="shared" si="0"/>
        <v/>
      </c>
      <c r="AD48" s="3123" t="str">
        <f t="shared" si="1"/>
        <v/>
      </c>
      <c r="AE48" s="3123" t="str">
        <f t="shared" si="5"/>
        <v/>
      </c>
      <c r="AF48" s="3123" t="str">
        <f t="shared" si="6"/>
        <v/>
      </c>
      <c r="AG48" s="3123" t="str">
        <f t="shared" si="7"/>
        <v/>
      </c>
    </row>
    <row r="49" spans="1:33" x14ac:dyDescent="0.2">
      <c r="A49" s="3690">
        <v>25</v>
      </c>
      <c r="B49" s="3703"/>
      <c r="C49" s="3703"/>
      <c r="D49" s="3703"/>
      <c r="E49" s="3703"/>
      <c r="F49" s="3703"/>
      <c r="G49" s="4142"/>
      <c r="H49" s="4142"/>
      <c r="I49" s="4133"/>
      <c r="J49" s="5478"/>
      <c r="K49" s="5479"/>
      <c r="L49" s="4134" t="str">
        <f t="shared" si="2"/>
        <v/>
      </c>
      <c r="N49" s="3123">
        <f t="shared" si="3"/>
        <v>0</v>
      </c>
      <c r="O49" s="4092">
        <f t="shared" si="4"/>
        <v>0</v>
      </c>
      <c r="W49" s="3123" t="s">
        <v>10404</v>
      </c>
      <c r="X49" s="1769">
        <v>1367</v>
      </c>
      <c r="AC49" s="3123" t="str">
        <f t="shared" si="0"/>
        <v/>
      </c>
      <c r="AD49" s="3123" t="str">
        <f t="shared" si="1"/>
        <v/>
      </c>
      <c r="AE49" s="3123" t="str">
        <f t="shared" si="5"/>
        <v/>
      </c>
      <c r="AF49" s="3123" t="str">
        <f t="shared" si="6"/>
        <v/>
      </c>
      <c r="AG49" s="3123" t="str">
        <f t="shared" si="7"/>
        <v/>
      </c>
    </row>
    <row r="50" spans="1:33" x14ac:dyDescent="0.2">
      <c r="A50" s="3690">
        <v>26</v>
      </c>
      <c r="B50" s="3703"/>
      <c r="C50" s="3703"/>
      <c r="D50" s="3703"/>
      <c r="E50" s="3703"/>
      <c r="F50" s="3703"/>
      <c r="G50" s="4142"/>
      <c r="H50" s="4142"/>
      <c r="I50" s="4133"/>
      <c r="J50" s="5478"/>
      <c r="K50" s="5479"/>
      <c r="L50" s="4134" t="str">
        <f t="shared" si="2"/>
        <v/>
      </c>
      <c r="N50" s="3123">
        <f t="shared" si="3"/>
        <v>0</v>
      </c>
      <c r="O50" s="4092">
        <f t="shared" si="4"/>
        <v>0</v>
      </c>
      <c r="W50" s="3123" t="s">
        <v>492</v>
      </c>
      <c r="X50" s="1769">
        <v>1368</v>
      </c>
      <c r="AC50" s="3123" t="str">
        <f t="shared" si="0"/>
        <v/>
      </c>
      <c r="AD50" s="3123" t="str">
        <f t="shared" si="1"/>
        <v/>
      </c>
      <c r="AE50" s="3123" t="str">
        <f t="shared" si="5"/>
        <v/>
      </c>
      <c r="AF50" s="3123" t="str">
        <f t="shared" si="6"/>
        <v/>
      </c>
      <c r="AG50" s="3123" t="str">
        <f t="shared" si="7"/>
        <v/>
      </c>
    </row>
    <row r="51" spans="1:33" x14ac:dyDescent="0.2">
      <c r="A51" s="3690">
        <v>27</v>
      </c>
      <c r="B51" s="3703"/>
      <c r="C51" s="3703"/>
      <c r="D51" s="3703"/>
      <c r="E51" s="3703"/>
      <c r="F51" s="3703"/>
      <c r="G51" s="4142"/>
      <c r="H51" s="4142"/>
      <c r="I51" s="4133"/>
      <c r="J51" s="5478"/>
      <c r="K51" s="5479"/>
      <c r="L51" s="4134" t="str">
        <f t="shared" si="2"/>
        <v/>
      </c>
      <c r="N51" s="3123">
        <f t="shared" si="3"/>
        <v>0</v>
      </c>
      <c r="O51" s="4092">
        <f t="shared" si="4"/>
        <v>0</v>
      </c>
      <c r="W51" s="3123" t="s">
        <v>10405</v>
      </c>
      <c r="X51" s="1769">
        <v>1369</v>
      </c>
      <c r="AC51" s="3123" t="str">
        <f t="shared" si="0"/>
        <v/>
      </c>
      <c r="AD51" s="3123" t="str">
        <f t="shared" si="1"/>
        <v/>
      </c>
      <c r="AE51" s="3123" t="str">
        <f t="shared" si="5"/>
        <v/>
      </c>
      <c r="AF51" s="3123" t="str">
        <f t="shared" si="6"/>
        <v/>
      </c>
      <c r="AG51" s="3123" t="str">
        <f t="shared" si="7"/>
        <v/>
      </c>
    </row>
    <row r="52" spans="1:33" x14ac:dyDescent="0.2">
      <c r="A52" s="3690">
        <v>28</v>
      </c>
      <c r="B52" s="3703"/>
      <c r="C52" s="3703"/>
      <c r="D52" s="3703"/>
      <c r="E52" s="3703"/>
      <c r="F52" s="3703"/>
      <c r="G52" s="4142"/>
      <c r="H52" s="4142"/>
      <c r="I52" s="4133"/>
      <c r="J52" s="5478"/>
      <c r="K52" s="5479"/>
      <c r="L52" s="4134" t="str">
        <f t="shared" si="2"/>
        <v/>
      </c>
      <c r="N52" s="3123">
        <f t="shared" si="3"/>
        <v>0</v>
      </c>
      <c r="O52" s="4092">
        <f t="shared" si="4"/>
        <v>0</v>
      </c>
      <c r="W52" s="3123" t="s">
        <v>10406</v>
      </c>
      <c r="X52" s="1769">
        <v>1370</v>
      </c>
      <c r="AC52" s="3123" t="str">
        <f t="shared" si="0"/>
        <v/>
      </c>
      <c r="AD52" s="3123" t="str">
        <f t="shared" si="1"/>
        <v/>
      </c>
      <c r="AE52" s="3123" t="str">
        <f t="shared" si="5"/>
        <v/>
      </c>
      <c r="AF52" s="3123" t="str">
        <f t="shared" si="6"/>
        <v/>
      </c>
      <c r="AG52" s="3123" t="str">
        <f t="shared" si="7"/>
        <v/>
      </c>
    </row>
    <row r="53" spans="1:33" x14ac:dyDescent="0.2">
      <c r="A53" s="3690">
        <v>29</v>
      </c>
      <c r="B53" s="3703"/>
      <c r="C53" s="3703"/>
      <c r="D53" s="3703"/>
      <c r="E53" s="3703"/>
      <c r="F53" s="3703"/>
      <c r="G53" s="4142"/>
      <c r="H53" s="4142"/>
      <c r="I53" s="4133"/>
      <c r="J53" s="5478"/>
      <c r="K53" s="5479"/>
      <c r="L53" s="4134" t="str">
        <f t="shared" si="2"/>
        <v/>
      </c>
      <c r="N53" s="3123">
        <f t="shared" si="3"/>
        <v>0</v>
      </c>
      <c r="O53" s="4092">
        <f t="shared" si="4"/>
        <v>0</v>
      </c>
      <c r="W53" s="3123" t="s">
        <v>10407</v>
      </c>
      <c r="X53" s="1769">
        <v>1371</v>
      </c>
      <c r="AC53" s="3123" t="str">
        <f t="shared" si="0"/>
        <v/>
      </c>
      <c r="AD53" s="3123" t="str">
        <f t="shared" si="1"/>
        <v/>
      </c>
      <c r="AE53" s="3123" t="str">
        <f t="shared" si="5"/>
        <v/>
      </c>
      <c r="AF53" s="3123" t="str">
        <f t="shared" si="6"/>
        <v/>
      </c>
      <c r="AG53" s="3123" t="str">
        <f t="shared" si="7"/>
        <v/>
      </c>
    </row>
    <row r="54" spans="1:33" x14ac:dyDescent="0.2">
      <c r="A54" s="3690">
        <v>30</v>
      </c>
      <c r="B54" s="3703"/>
      <c r="C54" s="3703"/>
      <c r="D54" s="3703"/>
      <c r="E54" s="3703"/>
      <c r="F54" s="3703"/>
      <c r="G54" s="4142"/>
      <c r="H54" s="4142"/>
      <c r="I54" s="4133"/>
      <c r="J54" s="5478"/>
      <c r="K54" s="5479"/>
      <c r="L54" s="4134" t="str">
        <f t="shared" si="2"/>
        <v/>
      </c>
      <c r="N54" s="3123">
        <f t="shared" si="3"/>
        <v>0</v>
      </c>
      <c r="O54" s="4092">
        <f t="shared" si="4"/>
        <v>0</v>
      </c>
      <c r="W54" s="3123" t="s">
        <v>10408</v>
      </c>
      <c r="X54" s="1769">
        <v>1372</v>
      </c>
      <c r="AC54" s="3123" t="str">
        <f t="shared" si="0"/>
        <v/>
      </c>
      <c r="AD54" s="3123" t="str">
        <f t="shared" si="1"/>
        <v/>
      </c>
      <c r="AE54" s="3123" t="str">
        <f t="shared" si="5"/>
        <v/>
      </c>
      <c r="AF54" s="3123" t="str">
        <f t="shared" si="6"/>
        <v/>
      </c>
      <c r="AG54" s="3123" t="str">
        <f t="shared" si="7"/>
        <v/>
      </c>
    </row>
    <row r="55" spans="1:33" x14ac:dyDescent="0.2">
      <c r="A55" s="3690">
        <v>31</v>
      </c>
      <c r="B55" s="3703"/>
      <c r="C55" s="3703"/>
      <c r="D55" s="3703"/>
      <c r="E55" s="3703"/>
      <c r="F55" s="3703"/>
      <c r="G55" s="4142"/>
      <c r="H55" s="4142"/>
      <c r="I55" s="4133"/>
      <c r="J55" s="5478"/>
      <c r="K55" s="5479"/>
      <c r="L55" s="4134" t="str">
        <f t="shared" si="2"/>
        <v/>
      </c>
      <c r="N55" s="3123">
        <f t="shared" si="3"/>
        <v>0</v>
      </c>
      <c r="O55" s="4092">
        <f t="shared" si="4"/>
        <v>0</v>
      </c>
      <c r="W55" s="3123" t="s">
        <v>10409</v>
      </c>
      <c r="X55" s="1769">
        <v>1373</v>
      </c>
      <c r="AC55" s="3123" t="str">
        <f t="shared" si="0"/>
        <v/>
      </c>
      <c r="AD55" s="3123" t="str">
        <f t="shared" si="1"/>
        <v/>
      </c>
      <c r="AE55" s="3123" t="str">
        <f t="shared" si="5"/>
        <v/>
      </c>
      <c r="AF55" s="3123" t="str">
        <f t="shared" si="6"/>
        <v/>
      </c>
      <c r="AG55" s="3123" t="str">
        <f t="shared" si="7"/>
        <v/>
      </c>
    </row>
    <row r="56" spans="1:33" x14ac:dyDescent="0.2">
      <c r="A56" s="3690">
        <v>32</v>
      </c>
      <c r="B56" s="3703"/>
      <c r="C56" s="3703"/>
      <c r="D56" s="3703"/>
      <c r="E56" s="3703"/>
      <c r="F56" s="3703"/>
      <c r="G56" s="4142"/>
      <c r="H56" s="4142"/>
      <c r="I56" s="4133"/>
      <c r="J56" s="5478"/>
      <c r="K56" s="5479"/>
      <c r="L56" s="4134" t="str">
        <f t="shared" si="2"/>
        <v/>
      </c>
      <c r="N56" s="3123">
        <f t="shared" si="3"/>
        <v>0</v>
      </c>
      <c r="O56" s="4092">
        <f t="shared" si="4"/>
        <v>0</v>
      </c>
      <c r="W56" s="3123" t="s">
        <v>10410</v>
      </c>
      <c r="X56" s="1769">
        <v>1374</v>
      </c>
      <c r="AC56" s="3123" t="str">
        <f t="shared" si="0"/>
        <v/>
      </c>
      <c r="AD56" s="3123" t="str">
        <f t="shared" si="1"/>
        <v/>
      </c>
      <c r="AE56" s="3123" t="str">
        <f t="shared" si="5"/>
        <v/>
      </c>
      <c r="AF56" s="3123" t="str">
        <f t="shared" si="6"/>
        <v/>
      </c>
      <c r="AG56" s="3123" t="str">
        <f t="shared" si="7"/>
        <v/>
      </c>
    </row>
    <row r="57" spans="1:33" x14ac:dyDescent="0.2">
      <c r="A57" s="3690">
        <v>33</v>
      </c>
      <c r="B57" s="3703"/>
      <c r="C57" s="3703"/>
      <c r="D57" s="3703"/>
      <c r="E57" s="3703"/>
      <c r="F57" s="3703"/>
      <c r="G57" s="4142"/>
      <c r="H57" s="4142"/>
      <c r="I57" s="4133"/>
      <c r="J57" s="5478"/>
      <c r="K57" s="5479"/>
      <c r="L57" s="4134" t="str">
        <f t="shared" si="2"/>
        <v/>
      </c>
      <c r="N57" s="3123">
        <f t="shared" si="3"/>
        <v>0</v>
      </c>
      <c r="O57" s="4092">
        <f t="shared" si="4"/>
        <v>0</v>
      </c>
      <c r="W57" s="3123" t="s">
        <v>10411</v>
      </c>
      <c r="X57" s="1769">
        <v>1375</v>
      </c>
      <c r="AC57" s="3123" t="str">
        <f t="shared" ref="AC57:AC84" si="8">IF(F57="","",IF(ISERROR(VLOOKUP(F57,BS,1,FALSE))=TRUE,"PL","BS"))</f>
        <v/>
      </c>
      <c r="AD57" s="3123" t="str">
        <f t="shared" ref="AD57:AD84" si="9">IF(OR(AC57="",AC57="BS"),"",IF(ISERROR(VLOOKUP(F57,PL_income,1,FALSE))=TRUE,"EXP","INC"))</f>
        <v/>
      </c>
      <c r="AE57" s="3123" t="str">
        <f t="shared" si="5"/>
        <v/>
      </c>
      <c r="AF57" s="3123" t="str">
        <f t="shared" si="6"/>
        <v/>
      </c>
      <c r="AG57" s="3123" t="str">
        <f t="shared" si="7"/>
        <v/>
      </c>
    </row>
    <row r="58" spans="1:33" x14ac:dyDescent="0.2">
      <c r="A58" s="3690">
        <v>34</v>
      </c>
      <c r="B58" s="3703"/>
      <c r="C58" s="3703"/>
      <c r="D58" s="3703"/>
      <c r="E58" s="3703"/>
      <c r="F58" s="3703"/>
      <c r="G58" s="4142"/>
      <c r="H58" s="4142"/>
      <c r="I58" s="4133"/>
      <c r="J58" s="5478"/>
      <c r="K58" s="5479"/>
      <c r="L58" s="4134" t="str">
        <f t="shared" ref="L58:L83" si="10">IF(AND($J$11="yes",O58&gt;0),"No details required",IF(AND(O58&gt;0,O58&lt;8),"All data!",IF(AND(O58&gt;0,ISBLANK(F58)=FALSE,ISERROR(VLOOKUP(F58,tifd_codes,1,FALSE))=TRUE),"Check TIFD code!",IF(AND(ISBLANK(J58)=TRUE,OR(C58=$V$15,I58=$Y$8)),"Additional information required!",""))))</f>
        <v/>
      </c>
      <c r="N58" s="3123">
        <f t="shared" si="3"/>
        <v>0</v>
      </c>
      <c r="O58" s="4092">
        <f t="shared" si="4"/>
        <v>0</v>
      </c>
      <c r="W58" s="3123" t="s">
        <v>10412</v>
      </c>
      <c r="X58" s="1769">
        <v>1376</v>
      </c>
      <c r="AC58" s="3123" t="str">
        <f t="shared" si="8"/>
        <v/>
      </c>
      <c r="AD58" s="3123" t="str">
        <f t="shared" si="9"/>
        <v/>
      </c>
      <c r="AE58" s="3123" t="str">
        <f t="shared" si="5"/>
        <v/>
      </c>
      <c r="AF58" s="3123" t="str">
        <f t="shared" si="6"/>
        <v/>
      </c>
      <c r="AG58" s="3123" t="str">
        <f t="shared" si="7"/>
        <v/>
      </c>
    </row>
    <row r="59" spans="1:33" x14ac:dyDescent="0.2">
      <c r="A59" s="3690">
        <v>35</v>
      </c>
      <c r="B59" s="3703"/>
      <c r="C59" s="3703"/>
      <c r="D59" s="3703"/>
      <c r="E59" s="3703"/>
      <c r="F59" s="3703"/>
      <c r="G59" s="4142"/>
      <c r="H59" s="4142"/>
      <c r="I59" s="4133"/>
      <c r="J59" s="5478"/>
      <c r="K59" s="5479"/>
      <c r="L59" s="4134" t="str">
        <f t="shared" si="10"/>
        <v/>
      </c>
      <c r="N59" s="3123">
        <f t="shared" si="3"/>
        <v>0</v>
      </c>
      <c r="O59" s="4092">
        <f t="shared" si="4"/>
        <v>0</v>
      </c>
      <c r="W59" s="3123" t="s">
        <v>493</v>
      </c>
      <c r="X59" s="1769">
        <v>1377</v>
      </c>
      <c r="AC59" s="3123" t="str">
        <f t="shared" si="8"/>
        <v/>
      </c>
      <c r="AD59" s="3123" t="str">
        <f t="shared" si="9"/>
        <v/>
      </c>
      <c r="AE59" s="3123" t="str">
        <f t="shared" si="5"/>
        <v/>
      </c>
      <c r="AF59" s="3123" t="str">
        <f t="shared" si="6"/>
        <v/>
      </c>
      <c r="AG59" s="3123" t="str">
        <f t="shared" si="7"/>
        <v/>
      </c>
    </row>
    <row r="60" spans="1:33" x14ac:dyDescent="0.2">
      <c r="A60" s="3690">
        <v>36</v>
      </c>
      <c r="B60" s="3703"/>
      <c r="C60" s="3703"/>
      <c r="D60" s="3703"/>
      <c r="E60" s="3703"/>
      <c r="F60" s="3703"/>
      <c r="G60" s="4142"/>
      <c r="H60" s="4142"/>
      <c r="I60" s="4133"/>
      <c r="J60" s="5478"/>
      <c r="K60" s="5479"/>
      <c r="L60" s="4134" t="str">
        <f t="shared" si="10"/>
        <v/>
      </c>
      <c r="N60" s="3123">
        <f t="shared" si="3"/>
        <v>0</v>
      </c>
      <c r="O60" s="4092">
        <f t="shared" si="4"/>
        <v>0</v>
      </c>
      <c r="W60" s="3123" t="s">
        <v>10413</v>
      </c>
      <c r="X60" s="1769">
        <v>1378</v>
      </c>
      <c r="AC60" s="3123" t="str">
        <f t="shared" si="8"/>
        <v/>
      </c>
      <c r="AD60" s="3123" t="str">
        <f t="shared" si="9"/>
        <v/>
      </c>
      <c r="AE60" s="3123" t="str">
        <f t="shared" si="5"/>
        <v/>
      </c>
      <c r="AF60" s="3123" t="str">
        <f t="shared" si="6"/>
        <v/>
      </c>
      <c r="AG60" s="3123" t="str">
        <f t="shared" si="7"/>
        <v/>
      </c>
    </row>
    <row r="61" spans="1:33" x14ac:dyDescent="0.2">
      <c r="A61" s="3690">
        <v>37</v>
      </c>
      <c r="B61" s="3703"/>
      <c r="C61" s="3703"/>
      <c r="D61" s="3703"/>
      <c r="E61" s="3703"/>
      <c r="F61" s="3703"/>
      <c r="G61" s="4142"/>
      <c r="H61" s="4142"/>
      <c r="I61" s="4133"/>
      <c r="J61" s="5478"/>
      <c r="K61" s="5479"/>
      <c r="L61" s="4134" t="str">
        <f t="shared" si="10"/>
        <v/>
      </c>
      <c r="N61" s="3123">
        <f t="shared" si="3"/>
        <v>0</v>
      </c>
      <c r="O61" s="4092">
        <f t="shared" si="4"/>
        <v>0</v>
      </c>
      <c r="W61" s="3123" t="s">
        <v>10414</v>
      </c>
      <c r="X61" s="1769">
        <v>1379</v>
      </c>
      <c r="AC61" s="3123" t="str">
        <f t="shared" si="8"/>
        <v/>
      </c>
      <c r="AD61" s="3123" t="str">
        <f t="shared" si="9"/>
        <v/>
      </c>
      <c r="AE61" s="3123" t="str">
        <f t="shared" si="5"/>
        <v/>
      </c>
      <c r="AF61" s="3123" t="str">
        <f t="shared" si="6"/>
        <v/>
      </c>
      <c r="AG61" s="3123" t="str">
        <f t="shared" si="7"/>
        <v/>
      </c>
    </row>
    <row r="62" spans="1:33" x14ac:dyDescent="0.2">
      <c r="A62" s="3690">
        <v>38</v>
      </c>
      <c r="B62" s="3703"/>
      <c r="C62" s="3703"/>
      <c r="D62" s="3703"/>
      <c r="E62" s="3703"/>
      <c r="F62" s="3703"/>
      <c r="G62" s="4142"/>
      <c r="H62" s="4142"/>
      <c r="I62" s="4133"/>
      <c r="J62" s="5478"/>
      <c r="K62" s="5479"/>
      <c r="L62" s="4134" t="str">
        <f t="shared" si="10"/>
        <v/>
      </c>
      <c r="N62" s="3123">
        <f t="shared" si="3"/>
        <v>0</v>
      </c>
      <c r="O62" s="4092">
        <f t="shared" si="4"/>
        <v>0</v>
      </c>
      <c r="W62" s="3123" t="s">
        <v>10415</v>
      </c>
      <c r="X62" s="1769">
        <v>1380</v>
      </c>
      <c r="AC62" s="3123" t="str">
        <f t="shared" si="8"/>
        <v/>
      </c>
      <c r="AD62" s="3123" t="str">
        <f t="shared" si="9"/>
        <v/>
      </c>
      <c r="AE62" s="3123" t="str">
        <f t="shared" si="5"/>
        <v/>
      </c>
      <c r="AF62" s="3123" t="str">
        <f t="shared" si="6"/>
        <v/>
      </c>
      <c r="AG62" s="3123" t="str">
        <f t="shared" si="7"/>
        <v/>
      </c>
    </row>
    <row r="63" spans="1:33" x14ac:dyDescent="0.2">
      <c r="A63" s="3690">
        <v>39</v>
      </c>
      <c r="B63" s="3703"/>
      <c r="C63" s="3703"/>
      <c r="D63" s="3703"/>
      <c r="E63" s="3703"/>
      <c r="F63" s="3703"/>
      <c r="G63" s="4142"/>
      <c r="H63" s="4142"/>
      <c r="I63" s="4133"/>
      <c r="J63" s="5478"/>
      <c r="K63" s="5479"/>
      <c r="L63" s="4134" t="str">
        <f t="shared" si="10"/>
        <v/>
      </c>
      <c r="N63" s="3123">
        <f t="shared" si="3"/>
        <v>0</v>
      </c>
      <c r="O63" s="4092">
        <f t="shared" si="4"/>
        <v>0</v>
      </c>
      <c r="W63" s="3123" t="s">
        <v>494</v>
      </c>
      <c r="X63" s="1769">
        <v>1381</v>
      </c>
      <c r="AC63" s="3123" t="str">
        <f t="shared" si="8"/>
        <v/>
      </c>
      <c r="AD63" s="3123" t="str">
        <f t="shared" si="9"/>
        <v/>
      </c>
      <c r="AE63" s="3123" t="str">
        <f t="shared" si="5"/>
        <v/>
      </c>
      <c r="AF63" s="3123" t="str">
        <f t="shared" si="6"/>
        <v/>
      </c>
      <c r="AG63" s="3123" t="str">
        <f t="shared" si="7"/>
        <v/>
      </c>
    </row>
    <row r="64" spans="1:33" x14ac:dyDescent="0.2">
      <c r="A64" s="3690">
        <v>40</v>
      </c>
      <c r="B64" s="3703"/>
      <c r="C64" s="3703"/>
      <c r="D64" s="3703"/>
      <c r="E64" s="3703"/>
      <c r="F64" s="3703"/>
      <c r="G64" s="4142"/>
      <c r="H64" s="4142"/>
      <c r="I64" s="4133"/>
      <c r="J64" s="5478"/>
      <c r="K64" s="5479"/>
      <c r="L64" s="4134" t="str">
        <f t="shared" si="10"/>
        <v/>
      </c>
      <c r="N64" s="3123">
        <f t="shared" si="3"/>
        <v>0</v>
      </c>
      <c r="O64" s="4092">
        <f t="shared" si="4"/>
        <v>0</v>
      </c>
      <c r="W64" s="3123" t="s">
        <v>495</v>
      </c>
      <c r="X64" s="1769">
        <v>1382</v>
      </c>
      <c r="AC64" s="3123" t="str">
        <f t="shared" si="8"/>
        <v/>
      </c>
      <c r="AD64" s="3123" t="str">
        <f t="shared" si="9"/>
        <v/>
      </c>
      <c r="AE64" s="3123" t="str">
        <f t="shared" si="5"/>
        <v/>
      </c>
      <c r="AF64" s="3123" t="str">
        <f t="shared" si="6"/>
        <v/>
      </c>
      <c r="AG64" s="3123" t="str">
        <f t="shared" si="7"/>
        <v/>
      </c>
    </row>
    <row r="65" spans="1:33" x14ac:dyDescent="0.2">
      <c r="A65" s="3690">
        <v>41</v>
      </c>
      <c r="B65" s="3703"/>
      <c r="C65" s="3703"/>
      <c r="D65" s="3703"/>
      <c r="E65" s="3703"/>
      <c r="F65" s="3703"/>
      <c r="G65" s="4142"/>
      <c r="H65" s="4142"/>
      <c r="I65" s="4133"/>
      <c r="J65" s="5478"/>
      <c r="K65" s="5479"/>
      <c r="L65" s="4134" t="str">
        <f t="shared" si="10"/>
        <v/>
      </c>
      <c r="N65" s="3123">
        <f t="shared" si="3"/>
        <v>0</v>
      </c>
      <c r="O65" s="4092">
        <f t="shared" si="4"/>
        <v>0</v>
      </c>
      <c r="W65" s="3123" t="s">
        <v>10416</v>
      </c>
      <c r="X65" s="1769">
        <v>1383</v>
      </c>
      <c r="AC65" s="3123" t="str">
        <f t="shared" si="8"/>
        <v/>
      </c>
      <c r="AD65" s="3123" t="str">
        <f t="shared" si="9"/>
        <v/>
      </c>
      <c r="AE65" s="3123" t="str">
        <f t="shared" si="5"/>
        <v/>
      </c>
      <c r="AF65" s="3123" t="str">
        <f t="shared" si="6"/>
        <v/>
      </c>
      <c r="AG65" s="3123" t="str">
        <f t="shared" si="7"/>
        <v/>
      </c>
    </row>
    <row r="66" spans="1:33" x14ac:dyDescent="0.2">
      <c r="A66" s="3690">
        <v>42</v>
      </c>
      <c r="B66" s="3703"/>
      <c r="C66" s="3703"/>
      <c r="D66" s="3703"/>
      <c r="E66" s="3703"/>
      <c r="F66" s="3703"/>
      <c r="G66" s="4142"/>
      <c r="H66" s="4142"/>
      <c r="I66" s="4133"/>
      <c r="J66" s="5478"/>
      <c r="K66" s="5479"/>
      <c r="L66" s="4134" t="str">
        <f t="shared" si="10"/>
        <v/>
      </c>
      <c r="N66" s="3123">
        <f t="shared" si="3"/>
        <v>0</v>
      </c>
      <c r="O66" s="4092">
        <f t="shared" si="4"/>
        <v>0</v>
      </c>
      <c r="W66" s="3123" t="s">
        <v>10417</v>
      </c>
      <c r="X66" s="1769">
        <v>1384</v>
      </c>
      <c r="AC66" s="3123" t="str">
        <f t="shared" si="8"/>
        <v/>
      </c>
      <c r="AD66" s="3123" t="str">
        <f t="shared" si="9"/>
        <v/>
      </c>
      <c r="AE66" s="3123" t="str">
        <f t="shared" si="5"/>
        <v/>
      </c>
      <c r="AF66" s="3123" t="str">
        <f t="shared" si="6"/>
        <v/>
      </c>
      <c r="AG66" s="3123" t="str">
        <f t="shared" si="7"/>
        <v/>
      </c>
    </row>
    <row r="67" spans="1:33" x14ac:dyDescent="0.2">
      <c r="A67" s="3690">
        <v>43</v>
      </c>
      <c r="B67" s="3703"/>
      <c r="C67" s="3703"/>
      <c r="D67" s="3703"/>
      <c r="E67" s="3703"/>
      <c r="F67" s="3703"/>
      <c r="G67" s="4142"/>
      <c r="H67" s="4142"/>
      <c r="I67" s="4133"/>
      <c r="J67" s="5478"/>
      <c r="K67" s="5479"/>
      <c r="L67" s="4134" t="str">
        <f t="shared" si="10"/>
        <v/>
      </c>
      <c r="N67" s="3123">
        <f t="shared" si="3"/>
        <v>0</v>
      </c>
      <c r="O67" s="4092">
        <f t="shared" si="4"/>
        <v>0</v>
      </c>
      <c r="W67" s="3123" t="s">
        <v>10418</v>
      </c>
      <c r="X67" s="1769">
        <v>1385</v>
      </c>
      <c r="AC67" s="3123" t="str">
        <f t="shared" si="8"/>
        <v/>
      </c>
      <c r="AD67" s="3123" t="str">
        <f t="shared" si="9"/>
        <v/>
      </c>
      <c r="AE67" s="3123" t="str">
        <f t="shared" si="5"/>
        <v/>
      </c>
      <c r="AF67" s="3123" t="str">
        <f t="shared" si="6"/>
        <v/>
      </c>
      <c r="AG67" s="3123" t="str">
        <f t="shared" si="7"/>
        <v/>
      </c>
    </row>
    <row r="68" spans="1:33" x14ac:dyDescent="0.2">
      <c r="A68" s="3690">
        <v>44</v>
      </c>
      <c r="B68" s="3703"/>
      <c r="C68" s="3703"/>
      <c r="D68" s="3703"/>
      <c r="E68" s="3703"/>
      <c r="F68" s="3703"/>
      <c r="G68" s="4142"/>
      <c r="H68" s="4142"/>
      <c r="I68" s="4133"/>
      <c r="J68" s="5478"/>
      <c r="K68" s="5479"/>
      <c r="L68" s="4134" t="str">
        <f t="shared" si="10"/>
        <v/>
      </c>
      <c r="N68" s="3123">
        <f t="shared" si="3"/>
        <v>0</v>
      </c>
      <c r="O68" s="4092">
        <f t="shared" si="4"/>
        <v>0</v>
      </c>
      <c r="W68" s="3123" t="s">
        <v>10419</v>
      </c>
      <c r="X68" s="1769">
        <v>1386</v>
      </c>
      <c r="AC68" s="3123" t="str">
        <f t="shared" si="8"/>
        <v/>
      </c>
      <c r="AD68" s="3123" t="str">
        <f t="shared" si="9"/>
        <v/>
      </c>
      <c r="AE68" s="3123" t="str">
        <f t="shared" si="5"/>
        <v/>
      </c>
      <c r="AF68" s="3123" t="str">
        <f t="shared" si="6"/>
        <v/>
      </c>
      <c r="AG68" s="3123" t="str">
        <f t="shared" si="7"/>
        <v/>
      </c>
    </row>
    <row r="69" spans="1:33" x14ac:dyDescent="0.2">
      <c r="A69" s="3690">
        <v>45</v>
      </c>
      <c r="B69" s="3703"/>
      <c r="C69" s="3703"/>
      <c r="D69" s="3703"/>
      <c r="E69" s="3703"/>
      <c r="F69" s="3703"/>
      <c r="G69" s="4142"/>
      <c r="H69" s="4142"/>
      <c r="I69" s="4133"/>
      <c r="J69" s="5478"/>
      <c r="K69" s="5479"/>
      <c r="L69" s="4134" t="str">
        <f t="shared" si="10"/>
        <v/>
      </c>
      <c r="N69" s="3123">
        <f t="shared" si="3"/>
        <v>0</v>
      </c>
      <c r="O69" s="4092">
        <f t="shared" si="4"/>
        <v>0</v>
      </c>
      <c r="W69" s="3123" t="s">
        <v>10420</v>
      </c>
      <c r="X69" s="1769">
        <v>1387</v>
      </c>
      <c r="AC69" s="3123" t="str">
        <f t="shared" si="8"/>
        <v/>
      </c>
      <c r="AD69" s="3123" t="str">
        <f t="shared" si="9"/>
        <v/>
      </c>
      <c r="AE69" s="3123" t="str">
        <f t="shared" si="5"/>
        <v/>
      </c>
      <c r="AF69" s="3123" t="str">
        <f t="shared" si="6"/>
        <v/>
      </c>
      <c r="AG69" s="3123" t="str">
        <f t="shared" si="7"/>
        <v/>
      </c>
    </row>
    <row r="70" spans="1:33" x14ac:dyDescent="0.2">
      <c r="A70" s="3690">
        <v>46</v>
      </c>
      <c r="B70" s="3703"/>
      <c r="C70" s="3703"/>
      <c r="D70" s="3703"/>
      <c r="E70" s="3703"/>
      <c r="F70" s="3703"/>
      <c r="G70" s="4142"/>
      <c r="H70" s="4142"/>
      <c r="I70" s="4133"/>
      <c r="J70" s="5478"/>
      <c r="K70" s="5479"/>
      <c r="L70" s="4134" t="str">
        <f t="shared" si="10"/>
        <v/>
      </c>
      <c r="N70" s="3123">
        <f t="shared" si="3"/>
        <v>0</v>
      </c>
      <c r="O70" s="4092">
        <f t="shared" si="4"/>
        <v>0</v>
      </c>
      <c r="W70" s="3123" t="s">
        <v>10421</v>
      </c>
      <c r="X70" s="1769">
        <v>1388</v>
      </c>
      <c r="AC70" s="3123" t="str">
        <f t="shared" si="8"/>
        <v/>
      </c>
      <c r="AD70" s="3123" t="str">
        <f t="shared" si="9"/>
        <v/>
      </c>
      <c r="AE70" s="3123" t="str">
        <f t="shared" si="5"/>
        <v/>
      </c>
      <c r="AF70" s="3123" t="str">
        <f t="shared" si="6"/>
        <v/>
      </c>
      <c r="AG70" s="3123" t="str">
        <f t="shared" si="7"/>
        <v/>
      </c>
    </row>
    <row r="71" spans="1:33" x14ac:dyDescent="0.2">
      <c r="A71" s="3690">
        <v>47</v>
      </c>
      <c r="B71" s="3703"/>
      <c r="C71" s="3703"/>
      <c r="D71" s="3703"/>
      <c r="E71" s="3703"/>
      <c r="F71" s="3703"/>
      <c r="G71" s="4142"/>
      <c r="H71" s="4142"/>
      <c r="I71" s="4133"/>
      <c r="J71" s="5478"/>
      <c r="K71" s="5479"/>
      <c r="L71" s="4134" t="str">
        <f t="shared" si="10"/>
        <v/>
      </c>
      <c r="N71" s="3123">
        <f t="shared" si="3"/>
        <v>0</v>
      </c>
      <c r="O71" s="4092">
        <f t="shared" si="4"/>
        <v>0</v>
      </c>
      <c r="W71" s="3123" t="s">
        <v>3348</v>
      </c>
      <c r="X71" s="1769">
        <v>1389</v>
      </c>
      <c r="AC71" s="3123" t="str">
        <f t="shared" si="8"/>
        <v/>
      </c>
      <c r="AD71" s="3123" t="str">
        <f t="shared" si="9"/>
        <v/>
      </c>
      <c r="AE71" s="3123" t="str">
        <f t="shared" si="5"/>
        <v/>
      </c>
      <c r="AF71" s="3123" t="str">
        <f t="shared" si="6"/>
        <v/>
      </c>
      <c r="AG71" s="3123" t="str">
        <f t="shared" si="7"/>
        <v/>
      </c>
    </row>
    <row r="72" spans="1:33" x14ac:dyDescent="0.2">
      <c r="A72" s="3690">
        <v>48</v>
      </c>
      <c r="B72" s="3703"/>
      <c r="C72" s="3703"/>
      <c r="D72" s="3703"/>
      <c r="E72" s="3703"/>
      <c r="F72" s="3703"/>
      <c r="G72" s="4142"/>
      <c r="H72" s="4142"/>
      <c r="I72" s="4133"/>
      <c r="J72" s="5478"/>
      <c r="K72" s="5479"/>
      <c r="L72" s="4134" t="str">
        <f t="shared" si="10"/>
        <v/>
      </c>
      <c r="N72" s="3123">
        <f t="shared" si="3"/>
        <v>0</v>
      </c>
      <c r="O72" s="4092">
        <f t="shared" si="4"/>
        <v>0</v>
      </c>
      <c r="W72" s="3123" t="s">
        <v>10422</v>
      </c>
      <c r="X72" s="1769">
        <v>1390</v>
      </c>
      <c r="AC72" s="3123" t="str">
        <f t="shared" si="8"/>
        <v/>
      </c>
      <c r="AD72" s="3123" t="str">
        <f t="shared" si="9"/>
        <v/>
      </c>
      <c r="AE72" s="3123" t="str">
        <f t="shared" si="5"/>
        <v/>
      </c>
      <c r="AF72" s="3123" t="str">
        <f t="shared" si="6"/>
        <v/>
      </c>
      <c r="AG72" s="3123" t="str">
        <f t="shared" si="7"/>
        <v/>
      </c>
    </row>
    <row r="73" spans="1:33" x14ac:dyDescent="0.2">
      <c r="A73" s="3690">
        <v>49</v>
      </c>
      <c r="B73" s="3703"/>
      <c r="C73" s="3703"/>
      <c r="D73" s="3703"/>
      <c r="E73" s="3703"/>
      <c r="F73" s="3703"/>
      <c r="G73" s="4142"/>
      <c r="H73" s="4142"/>
      <c r="I73" s="4133"/>
      <c r="J73" s="5478"/>
      <c r="K73" s="5479"/>
      <c r="L73" s="4134" t="str">
        <f t="shared" si="10"/>
        <v/>
      </c>
      <c r="N73" s="3123">
        <f t="shared" si="3"/>
        <v>0</v>
      </c>
      <c r="O73" s="4092">
        <f t="shared" si="4"/>
        <v>0</v>
      </c>
      <c r="W73" s="3123" t="s">
        <v>10423</v>
      </c>
      <c r="X73" s="1769">
        <v>1391</v>
      </c>
      <c r="AC73" s="3123" t="str">
        <f t="shared" si="8"/>
        <v/>
      </c>
      <c r="AD73" s="3123" t="str">
        <f t="shared" si="9"/>
        <v/>
      </c>
      <c r="AE73" s="3123" t="str">
        <f t="shared" si="5"/>
        <v/>
      </c>
      <c r="AF73" s="3123" t="str">
        <f t="shared" si="6"/>
        <v/>
      </c>
      <c r="AG73" s="3123" t="str">
        <f t="shared" si="7"/>
        <v/>
      </c>
    </row>
    <row r="74" spans="1:33" x14ac:dyDescent="0.2">
      <c r="A74" s="3690">
        <v>50</v>
      </c>
      <c r="B74" s="3703"/>
      <c r="C74" s="3703"/>
      <c r="D74" s="3703"/>
      <c r="E74" s="3703"/>
      <c r="F74" s="3703"/>
      <c r="G74" s="4142"/>
      <c r="H74" s="4142"/>
      <c r="I74" s="4133"/>
      <c r="J74" s="5478"/>
      <c r="K74" s="5479"/>
      <c r="L74" s="4134" t="str">
        <f t="shared" si="10"/>
        <v/>
      </c>
      <c r="N74" s="3123">
        <f t="shared" si="3"/>
        <v>0</v>
      </c>
      <c r="O74" s="4092">
        <f t="shared" si="4"/>
        <v>0</v>
      </c>
      <c r="W74" s="3123" t="s">
        <v>10424</v>
      </c>
      <c r="X74" s="1769">
        <v>1392</v>
      </c>
      <c r="AC74" s="3123" t="str">
        <f t="shared" si="8"/>
        <v/>
      </c>
      <c r="AD74" s="3123" t="str">
        <f t="shared" si="9"/>
        <v/>
      </c>
      <c r="AE74" s="3123" t="str">
        <f t="shared" si="5"/>
        <v/>
      </c>
      <c r="AF74" s="3123" t="str">
        <f t="shared" si="6"/>
        <v/>
      </c>
      <c r="AG74" s="3123" t="str">
        <f t="shared" si="7"/>
        <v/>
      </c>
    </row>
    <row r="75" spans="1:33" x14ac:dyDescent="0.2">
      <c r="A75" s="3690">
        <v>51</v>
      </c>
      <c r="B75" s="3703"/>
      <c r="C75" s="3703"/>
      <c r="D75" s="3703"/>
      <c r="E75" s="3703"/>
      <c r="F75" s="3703"/>
      <c r="G75" s="4142"/>
      <c r="H75" s="4142"/>
      <c r="I75" s="4133"/>
      <c r="J75" s="5478"/>
      <c r="K75" s="5479"/>
      <c r="L75" s="4134" t="str">
        <f t="shared" si="10"/>
        <v/>
      </c>
      <c r="N75" s="3123">
        <f t="shared" si="3"/>
        <v>0</v>
      </c>
      <c r="O75" s="4092">
        <f t="shared" si="4"/>
        <v>0</v>
      </c>
      <c r="W75" s="3123" t="s">
        <v>10425</v>
      </c>
      <c r="X75" s="1769">
        <v>1393</v>
      </c>
      <c r="AC75" s="3123" t="str">
        <f t="shared" si="8"/>
        <v/>
      </c>
      <c r="AD75" s="3123" t="str">
        <f t="shared" si="9"/>
        <v/>
      </c>
      <c r="AE75" s="3123" t="str">
        <f t="shared" si="5"/>
        <v/>
      </c>
      <c r="AF75" s="3123" t="str">
        <f t="shared" si="6"/>
        <v/>
      </c>
      <c r="AG75" s="3123" t="str">
        <f t="shared" si="7"/>
        <v/>
      </c>
    </row>
    <row r="76" spans="1:33" x14ac:dyDescent="0.2">
      <c r="A76" s="3690">
        <v>52</v>
      </c>
      <c r="B76" s="3703"/>
      <c r="C76" s="3703"/>
      <c r="D76" s="3703"/>
      <c r="E76" s="3703"/>
      <c r="F76" s="3703"/>
      <c r="G76" s="4142"/>
      <c r="H76" s="4142"/>
      <c r="I76" s="4133"/>
      <c r="J76" s="5478"/>
      <c r="K76" s="5479"/>
      <c r="L76" s="4134" t="str">
        <f t="shared" si="10"/>
        <v/>
      </c>
      <c r="N76" s="3123">
        <f t="shared" si="3"/>
        <v>0</v>
      </c>
      <c r="O76" s="4092">
        <f t="shared" si="4"/>
        <v>0</v>
      </c>
      <c r="W76" s="3123" t="s">
        <v>10426</v>
      </c>
      <c r="X76" s="1769">
        <v>1394</v>
      </c>
      <c r="AC76" s="3123" t="str">
        <f t="shared" si="8"/>
        <v/>
      </c>
      <c r="AD76" s="3123" t="str">
        <f t="shared" si="9"/>
        <v/>
      </c>
      <c r="AE76" s="3123" t="str">
        <f t="shared" si="5"/>
        <v/>
      </c>
      <c r="AF76" s="3123" t="str">
        <f t="shared" si="6"/>
        <v/>
      </c>
      <c r="AG76" s="3123" t="str">
        <f t="shared" si="7"/>
        <v/>
      </c>
    </row>
    <row r="77" spans="1:33" x14ac:dyDescent="0.2">
      <c r="A77" s="3690">
        <v>53</v>
      </c>
      <c r="B77" s="3703"/>
      <c r="C77" s="3703"/>
      <c r="D77" s="3703"/>
      <c r="E77" s="3703"/>
      <c r="F77" s="3703"/>
      <c r="G77" s="4142"/>
      <c r="H77" s="4142"/>
      <c r="I77" s="4133"/>
      <c r="J77" s="5478"/>
      <c r="K77" s="5479"/>
      <c r="L77" s="4134" t="str">
        <f t="shared" si="10"/>
        <v/>
      </c>
      <c r="N77" s="3123">
        <f t="shared" si="3"/>
        <v>0</v>
      </c>
      <c r="O77" s="4092">
        <f t="shared" si="4"/>
        <v>0</v>
      </c>
      <c r="W77" s="3123" t="s">
        <v>496</v>
      </c>
      <c r="X77" s="1769">
        <v>1395</v>
      </c>
      <c r="AC77" s="3123" t="str">
        <f t="shared" si="8"/>
        <v/>
      </c>
      <c r="AD77" s="3123" t="str">
        <f t="shared" si="9"/>
        <v/>
      </c>
      <c r="AE77" s="3123" t="str">
        <f t="shared" si="5"/>
        <v/>
      </c>
      <c r="AF77" s="3123" t="str">
        <f t="shared" si="6"/>
        <v/>
      </c>
      <c r="AG77" s="3123" t="str">
        <f t="shared" si="7"/>
        <v/>
      </c>
    </row>
    <row r="78" spans="1:33" x14ac:dyDescent="0.2">
      <c r="A78" s="3690">
        <v>54</v>
      </c>
      <c r="B78" s="3703"/>
      <c r="C78" s="3703"/>
      <c r="D78" s="3703"/>
      <c r="E78" s="3703"/>
      <c r="F78" s="3703"/>
      <c r="G78" s="4142"/>
      <c r="H78" s="4142"/>
      <c r="I78" s="4133"/>
      <c r="J78" s="5478"/>
      <c r="K78" s="5479"/>
      <c r="L78" s="4134" t="str">
        <f t="shared" si="10"/>
        <v/>
      </c>
      <c r="N78" s="3123">
        <f t="shared" si="3"/>
        <v>0</v>
      </c>
      <c r="O78" s="4092">
        <f t="shared" si="4"/>
        <v>0</v>
      </c>
      <c r="W78" s="3123" t="s">
        <v>10427</v>
      </c>
      <c r="X78" s="1769">
        <v>1396</v>
      </c>
      <c r="AC78" s="3123" t="str">
        <f t="shared" si="8"/>
        <v/>
      </c>
      <c r="AD78" s="3123" t="str">
        <f t="shared" si="9"/>
        <v/>
      </c>
      <c r="AE78" s="3123" t="str">
        <f t="shared" si="5"/>
        <v/>
      </c>
      <c r="AF78" s="3123" t="str">
        <f t="shared" si="6"/>
        <v/>
      </c>
      <c r="AG78" s="3123" t="str">
        <f t="shared" si="7"/>
        <v/>
      </c>
    </row>
    <row r="79" spans="1:33" x14ac:dyDescent="0.2">
      <c r="A79" s="3690">
        <v>55</v>
      </c>
      <c r="B79" s="3703"/>
      <c r="C79" s="3703"/>
      <c r="D79" s="3703"/>
      <c r="E79" s="3703"/>
      <c r="F79" s="3703"/>
      <c r="G79" s="4142"/>
      <c r="H79" s="4142"/>
      <c r="I79" s="4133"/>
      <c r="J79" s="5478"/>
      <c r="K79" s="5479"/>
      <c r="L79" s="4134" t="str">
        <f t="shared" si="10"/>
        <v/>
      </c>
      <c r="N79" s="3123">
        <f t="shared" si="3"/>
        <v>0</v>
      </c>
      <c r="O79" s="4092">
        <f t="shared" si="4"/>
        <v>0</v>
      </c>
      <c r="W79" s="3123" t="s">
        <v>10428</v>
      </c>
      <c r="X79" s="1769">
        <v>1397</v>
      </c>
      <c r="AC79" s="3123" t="str">
        <f t="shared" si="8"/>
        <v/>
      </c>
      <c r="AD79" s="3123" t="str">
        <f t="shared" si="9"/>
        <v/>
      </c>
      <c r="AE79" s="3123" t="str">
        <f t="shared" si="5"/>
        <v/>
      </c>
      <c r="AF79" s="3123" t="str">
        <f t="shared" si="6"/>
        <v/>
      </c>
      <c r="AG79" s="3123" t="str">
        <f t="shared" si="7"/>
        <v/>
      </c>
    </row>
    <row r="80" spans="1:33" x14ac:dyDescent="0.2">
      <c r="A80" s="3690">
        <v>56</v>
      </c>
      <c r="B80" s="3703"/>
      <c r="C80" s="3703"/>
      <c r="D80" s="3703"/>
      <c r="E80" s="3703"/>
      <c r="F80" s="3703"/>
      <c r="G80" s="4142"/>
      <c r="H80" s="4142"/>
      <c r="I80" s="4133"/>
      <c r="J80" s="5478"/>
      <c r="K80" s="5479"/>
      <c r="L80" s="4134" t="str">
        <f t="shared" si="10"/>
        <v/>
      </c>
      <c r="N80" s="3123">
        <f t="shared" si="3"/>
        <v>0</v>
      </c>
      <c r="O80" s="4092">
        <f t="shared" si="4"/>
        <v>0</v>
      </c>
      <c r="W80" s="3123" t="s">
        <v>10429</v>
      </c>
      <c r="X80" s="1769">
        <v>1398</v>
      </c>
      <c r="AC80" s="3123" t="str">
        <f t="shared" si="8"/>
        <v/>
      </c>
      <c r="AD80" s="3123" t="str">
        <f t="shared" si="9"/>
        <v/>
      </c>
      <c r="AE80" s="3123" t="str">
        <f t="shared" si="5"/>
        <v/>
      </c>
      <c r="AF80" s="3123" t="str">
        <f t="shared" si="6"/>
        <v/>
      </c>
      <c r="AG80" s="3123" t="str">
        <f t="shared" si="7"/>
        <v/>
      </c>
    </row>
    <row r="81" spans="1:33" x14ac:dyDescent="0.2">
      <c r="A81" s="3690">
        <v>57</v>
      </c>
      <c r="B81" s="3703"/>
      <c r="C81" s="3703"/>
      <c r="D81" s="3703"/>
      <c r="E81" s="3703"/>
      <c r="F81" s="3703"/>
      <c r="G81" s="4142"/>
      <c r="H81" s="4142"/>
      <c r="I81" s="4133"/>
      <c r="J81" s="5478"/>
      <c r="K81" s="5479"/>
      <c r="L81" s="4134" t="str">
        <f t="shared" si="10"/>
        <v/>
      </c>
      <c r="N81" s="3123">
        <f t="shared" si="3"/>
        <v>0</v>
      </c>
      <c r="O81" s="4092">
        <f t="shared" si="4"/>
        <v>0</v>
      </c>
      <c r="W81" s="3123" t="s">
        <v>10430</v>
      </c>
      <c r="X81" s="1769">
        <v>1600</v>
      </c>
      <c r="AC81" s="3123" t="str">
        <f t="shared" si="8"/>
        <v/>
      </c>
      <c r="AD81" s="3123" t="str">
        <f t="shared" si="9"/>
        <v/>
      </c>
      <c r="AE81" s="3123" t="str">
        <f t="shared" si="5"/>
        <v/>
      </c>
      <c r="AF81" s="3123" t="str">
        <f t="shared" si="6"/>
        <v/>
      </c>
      <c r="AG81" s="3123" t="str">
        <f t="shared" si="7"/>
        <v/>
      </c>
    </row>
    <row r="82" spans="1:33" x14ac:dyDescent="0.2">
      <c r="A82" s="3690">
        <v>58</v>
      </c>
      <c r="B82" s="3703"/>
      <c r="C82" s="3703"/>
      <c r="D82" s="3703"/>
      <c r="E82" s="3703"/>
      <c r="F82" s="3703"/>
      <c r="G82" s="4142"/>
      <c r="H82" s="4142"/>
      <c r="I82" s="4133"/>
      <c r="J82" s="5478"/>
      <c r="K82" s="5479"/>
      <c r="L82" s="4134" t="str">
        <f t="shared" si="10"/>
        <v/>
      </c>
      <c r="N82" s="3123">
        <f t="shared" si="3"/>
        <v>0</v>
      </c>
      <c r="O82" s="4092">
        <f t="shared" si="4"/>
        <v>0</v>
      </c>
      <c r="W82" s="3123" t="s">
        <v>497</v>
      </c>
      <c r="X82" s="1769">
        <v>1601</v>
      </c>
      <c r="AC82" s="3123" t="str">
        <f t="shared" si="8"/>
        <v/>
      </c>
      <c r="AD82" s="3123" t="str">
        <f t="shared" si="9"/>
        <v/>
      </c>
      <c r="AE82" s="3123" t="str">
        <f t="shared" si="5"/>
        <v/>
      </c>
      <c r="AF82" s="3123" t="str">
        <f t="shared" si="6"/>
        <v/>
      </c>
      <c r="AG82" s="3123" t="str">
        <f t="shared" si="7"/>
        <v/>
      </c>
    </row>
    <row r="83" spans="1:33" x14ac:dyDescent="0.2">
      <c r="A83" s="3690">
        <v>59</v>
      </c>
      <c r="B83" s="3703"/>
      <c r="C83" s="3703"/>
      <c r="D83" s="3703"/>
      <c r="E83" s="3703"/>
      <c r="F83" s="3703"/>
      <c r="G83" s="4142"/>
      <c r="H83" s="4142"/>
      <c r="I83" s="4133"/>
      <c r="J83" s="5478"/>
      <c r="K83" s="5479"/>
      <c r="L83" s="4134" t="str">
        <f t="shared" si="10"/>
        <v/>
      </c>
      <c r="N83" s="3123">
        <f t="shared" si="3"/>
        <v>0</v>
      </c>
      <c r="O83" s="4092">
        <f t="shared" si="4"/>
        <v>0</v>
      </c>
      <c r="W83" s="3123" t="s">
        <v>498</v>
      </c>
      <c r="X83" s="1769">
        <v>1602</v>
      </c>
      <c r="AC83" s="3123" t="str">
        <f t="shared" si="8"/>
        <v/>
      </c>
      <c r="AD83" s="3123" t="str">
        <f t="shared" si="9"/>
        <v/>
      </c>
      <c r="AE83" s="3123" t="str">
        <f t="shared" si="5"/>
        <v/>
      </c>
      <c r="AF83" s="3123" t="str">
        <f t="shared" si="6"/>
        <v/>
      </c>
      <c r="AG83" s="3123" t="str">
        <f t="shared" si="7"/>
        <v/>
      </c>
    </row>
    <row r="84" spans="1:33" x14ac:dyDescent="0.2">
      <c r="A84" s="3690"/>
      <c r="B84" s="3690"/>
      <c r="C84" s="3690"/>
      <c r="D84" s="3690"/>
      <c r="E84" s="3690"/>
      <c r="F84" s="3690"/>
      <c r="G84" s="3690"/>
      <c r="H84" s="3690"/>
      <c r="I84" s="3690"/>
      <c r="J84" s="3690"/>
      <c r="K84" s="3690"/>
      <c r="L84" s="2748"/>
      <c r="W84" s="3123" t="s">
        <v>10431</v>
      </c>
      <c r="X84" s="1769">
        <v>1603</v>
      </c>
      <c r="AC84" s="3123" t="str">
        <f t="shared" si="8"/>
        <v/>
      </c>
      <c r="AD84" s="3123" t="str">
        <f t="shared" si="9"/>
        <v/>
      </c>
      <c r="AE84" s="3123" t="str">
        <f t="shared" si="5"/>
        <v/>
      </c>
      <c r="AF84" s="3123" t="str">
        <f t="shared" si="6"/>
        <v/>
      </c>
      <c r="AG84" s="3123" t="str">
        <f t="shared" si="7"/>
        <v/>
      </c>
    </row>
    <row r="85" spans="1:33" ht="14.25" customHeight="1" x14ac:dyDescent="0.2">
      <c r="A85" s="3690"/>
      <c r="B85" s="4143" t="s">
        <v>10706</v>
      </c>
      <c r="C85" s="3690"/>
      <c r="D85" s="3690"/>
      <c r="E85" s="3690"/>
      <c r="F85" s="3690"/>
      <c r="G85" s="3690"/>
      <c r="H85" s="4144">
        <f>AG87</f>
      </c>
      <c r="I85" s="3690"/>
      <c r="J85" s="3690"/>
      <c r="K85" s="3690"/>
      <c r="L85" s="2748"/>
      <c r="W85" s="3123" t="s">
        <v>499</v>
      </c>
      <c r="X85" s="1769">
        <v>1604</v>
      </c>
      <c r="AG85" s="3621" t="e">
        <f>SUM(AG25:AG84)</f>
      </c>
    </row>
    <row r="86" spans="1:33" ht="7.5" customHeight="1" x14ac:dyDescent="0.2">
      <c r="A86" s="3690"/>
      <c r="B86" s="4145"/>
      <c r="C86" s="3690"/>
      <c r="D86" s="3690"/>
      <c r="E86" s="3690"/>
      <c r="F86" s="3690"/>
      <c r="G86" s="3690"/>
      <c r="H86" s="3690"/>
      <c r="I86" s="3690"/>
      <c r="J86" s="3690"/>
      <c r="K86" s="3690"/>
      <c r="L86" s="2748"/>
      <c r="W86" s="3123" t="s">
        <v>10432</v>
      </c>
      <c r="X86" s="1769">
        <v>1605</v>
      </c>
    </row>
    <row r="87" spans="1:33" ht="14.25" x14ac:dyDescent="0.2">
      <c r="A87" s="3695"/>
      <c r="B87" s="4146" t="s">
        <v>10707</v>
      </c>
      <c r="C87" s="3690"/>
      <c r="D87" s="3690"/>
      <c r="E87" s="3690"/>
      <c r="F87" s="3690"/>
      <c r="G87" s="3690"/>
      <c r="H87" s="4144">
        <f>AG88</f>
      </c>
      <c r="I87" s="3690"/>
      <c r="J87" s="3690"/>
      <c r="K87" s="3690"/>
      <c r="L87" s="3601"/>
      <c r="W87" s="3123" t="s">
        <v>10433</v>
      </c>
      <c r="X87" s="1769">
        <v>1606</v>
      </c>
      <c r="AE87" s="3123" t="s">
        <v>10708</v>
      </c>
      <c r="AG87" s="3123">
        <f>SUMIF($AG$25:$AG$84,"&gt;0",$AG$25:$AG$84)</f>
      </c>
    </row>
    <row r="88" spans="1:33" ht="5.25" hidden="1" customHeight="1" x14ac:dyDescent="0.2">
      <c r="A88" s="3695"/>
      <c r="B88" s="4147"/>
      <c r="C88" s="3690"/>
      <c r="D88" s="3690"/>
      <c r="E88" s="3690"/>
      <c r="F88" s="3690"/>
      <c r="G88" s="3690"/>
      <c r="H88" s="3690"/>
      <c r="I88" s="3690"/>
      <c r="J88" s="3690"/>
      <c r="K88" s="3690"/>
      <c r="L88" s="3601"/>
      <c r="W88" s="3123" t="s">
        <v>10434</v>
      </c>
      <c r="X88" s="1769">
        <v>1607</v>
      </c>
      <c r="AE88" s="3123" t="s">
        <v>10709</v>
      </c>
      <c r="AG88" s="3123">
        <f>SUMIF($AG$25:$AG$84,"&lt;0",$AG$25:$AG$84)</f>
      </c>
    </row>
    <row r="89" spans="1:33" ht="5.25" customHeight="1" x14ac:dyDescent="0.2">
      <c r="A89" s="3695"/>
      <c r="B89" s="3686"/>
      <c r="C89" s="3690"/>
      <c r="D89" s="3690"/>
      <c r="E89" s="3690"/>
      <c r="F89" s="3351" t="s">
        <v>1020</v>
      </c>
      <c r="G89" s="3686"/>
      <c r="H89" s="3601"/>
      <c r="I89" s="3601"/>
      <c r="J89" s="3690"/>
      <c r="K89" s="3314"/>
      <c r="L89" s="3601"/>
      <c r="W89" s="3123" t="s">
        <v>10435</v>
      </c>
      <c r="X89" s="1769">
        <v>1608</v>
      </c>
      <c r="AG89" s="3621">
        <f>SUM(AG87:AG88)</f>
      </c>
    </row>
    <row r="90" spans="1:33" ht="14.25" x14ac:dyDescent="0.2">
      <c r="A90" s="3695"/>
      <c r="B90" s="3686"/>
      <c r="C90" s="3690"/>
      <c r="D90" s="3690"/>
      <c r="E90" s="3356" t="s">
        <v>4802</v>
      </c>
      <c r="F90" s="3352"/>
      <c r="G90" s="4134" t="str">
        <f>IF(AND(O4&gt;0,ISBLANK(F90)=TRUE),re,"")</f>
        <v/>
      </c>
      <c r="H90" s="3601"/>
      <c r="I90" s="3601"/>
      <c r="J90" s="3690"/>
      <c r="K90" s="3690"/>
      <c r="L90" s="3601"/>
      <c r="N90" s="3123">
        <f>IF(G90="",0,1)</f>
      </c>
      <c r="O90" s="4092">
        <f>COUNTA(F90)</f>
      </c>
      <c r="W90" s="1736" t="s">
        <v>10500</v>
      </c>
      <c r="X90" s="1769">
        <v>1609</v>
      </c>
    </row>
    <row r="91" spans="1:33" ht="14.25" x14ac:dyDescent="0.2">
      <c r="A91" s="3695"/>
      <c r="B91" s="3686"/>
      <c r="C91" s="3690"/>
      <c r="D91" s="3690"/>
      <c r="E91" s="3686"/>
      <c r="F91" s="3686"/>
      <c r="G91" s="3345"/>
      <c r="H91" s="3315"/>
      <c r="I91" s="3601"/>
      <c r="J91" s="3690"/>
      <c r="K91" s="3690"/>
      <c r="L91" s="3601"/>
      <c r="W91" s="3123" t="s">
        <v>10436</v>
      </c>
      <c r="X91" s="1769">
        <v>1610</v>
      </c>
    </row>
    <row r="92" spans="1:33" ht="14.25" x14ac:dyDescent="0.2">
      <c r="A92" s="3600" t="s">
        <v>10574</v>
      </c>
      <c r="B92" s="3600"/>
      <c r="C92" s="3686"/>
      <c r="D92" s="3686"/>
      <c r="E92" s="3357" t="str">
        <f>ver</f>
        <v>TA2_e-CO_2025_Ver 1.1</v>
      </c>
      <c r="F92" s="3686"/>
      <c r="G92" s="3686"/>
      <c r="H92" s="3601"/>
      <c r="I92" s="3601"/>
      <c r="J92" s="3601"/>
      <c r="K92" s="3314" t="s">
        <v>10710</v>
      </c>
      <c r="L92" s="3601"/>
      <c r="W92" s="3123" t="s">
        <v>500</v>
      </c>
      <c r="X92" s="1769">
        <v>1611</v>
      </c>
    </row>
    <row r="93" spans="1:33" ht="6" customHeight="1" x14ac:dyDescent="0.2">
      <c r="W93" s="3123" t="s">
        <v>10437</v>
      </c>
      <c r="X93" s="1769">
        <v>1612</v>
      </c>
    </row>
    <row r="94" spans="1:33" x14ac:dyDescent="0.2">
      <c r="B94" s="4129" t="s">
        <v>6290</v>
      </c>
      <c r="W94" s="3123" t="s">
        <v>10438</v>
      </c>
      <c r="X94" s="1769">
        <v>1700</v>
      </c>
    </row>
    <row r="95" spans="1:33" x14ac:dyDescent="0.2">
      <c r="W95" s="3123" t="s">
        <v>502</v>
      </c>
      <c r="X95" s="1769">
        <v>1701</v>
      </c>
    </row>
    <row r="96" spans="1:33" x14ac:dyDescent="0.2">
      <c r="W96" s="3123" t="s">
        <v>503</v>
      </c>
      <c r="X96" s="1769">
        <v>1702</v>
      </c>
    </row>
    <row r="97" spans="2:24" x14ac:dyDescent="0.2">
      <c r="P97" s="1742">
        <f>IF(O4=0,0,IF(N4&gt;0,100,IF(F90="no",100,1)))</f>
      </c>
      <c r="W97" s="3123" t="s">
        <v>10439</v>
      </c>
      <c r="X97" s="1769">
        <v>1703</v>
      </c>
    </row>
    <row r="98" spans="2:24" x14ac:dyDescent="0.2">
      <c r="W98" s="3123" t="s">
        <v>10439</v>
      </c>
      <c r="X98" s="1769">
        <v>1715</v>
      </c>
    </row>
    <row r="99" spans="2:24" x14ac:dyDescent="0.2">
      <c r="W99" s="3123" t="s">
        <v>10440</v>
      </c>
      <c r="X99" s="1769">
        <v>1720</v>
      </c>
    </row>
    <row r="100" spans="2:24" x14ac:dyDescent="0.2">
      <c r="W100" s="3123" t="s">
        <v>10441</v>
      </c>
      <c r="X100" s="1769">
        <v>1730</v>
      </c>
    </row>
    <row r="101" spans="2:24" x14ac:dyDescent="0.2">
      <c r="B101" s="1736"/>
      <c r="C101" s="1736"/>
      <c r="D101" s="1736"/>
      <c r="E101" s="1736"/>
      <c r="F101" s="1736"/>
      <c r="G101" s="1736"/>
      <c r="H101" s="1736"/>
      <c r="I101" s="1736"/>
      <c r="J101" s="1736"/>
      <c r="K101" s="1736"/>
      <c r="W101" s="3123" t="s">
        <v>10442</v>
      </c>
      <c r="X101" s="1769">
        <v>1731</v>
      </c>
    </row>
    <row r="102" spans="2:24" x14ac:dyDescent="0.2">
      <c r="B102" s="1736"/>
      <c r="C102" s="1736"/>
      <c r="D102" s="1736"/>
      <c r="E102" s="1736"/>
      <c r="F102" s="1736"/>
      <c r="G102" s="1736"/>
      <c r="H102" s="1736"/>
      <c r="I102" s="1736"/>
      <c r="J102" s="1736"/>
      <c r="K102" s="1736"/>
      <c r="W102" s="3123" t="s">
        <v>10443</v>
      </c>
      <c r="X102" s="1769">
        <v>1732</v>
      </c>
    </row>
    <row r="103" spans="2:24" x14ac:dyDescent="0.2">
      <c r="W103" s="3123" t="s">
        <v>10444</v>
      </c>
      <c r="X103" s="1769">
        <v>1733</v>
      </c>
    </row>
    <row r="104" spans="2:24" x14ac:dyDescent="0.2">
      <c r="W104" s="3123" t="s">
        <v>10445</v>
      </c>
      <c r="X104" s="1769">
        <v>1734</v>
      </c>
    </row>
    <row r="105" spans="2:24" x14ac:dyDescent="0.2">
      <c r="W105" s="3123" t="s">
        <v>10446</v>
      </c>
      <c r="X105" s="1769">
        <v>1735</v>
      </c>
    </row>
    <row r="106" spans="2:24" x14ac:dyDescent="0.2">
      <c r="W106" s="3123" t="s">
        <v>504</v>
      </c>
      <c r="X106" s="1769">
        <v>1736</v>
      </c>
    </row>
    <row r="107" spans="2:24" x14ac:dyDescent="0.2">
      <c r="W107" s="3123" t="s">
        <v>10447</v>
      </c>
      <c r="X107" s="1769">
        <v>1740</v>
      </c>
    </row>
    <row r="108" spans="2:24" x14ac:dyDescent="0.2">
      <c r="W108" s="3123" t="s">
        <v>10448</v>
      </c>
      <c r="X108" s="1769">
        <v>1750</v>
      </c>
    </row>
    <row r="109" spans="2:24" x14ac:dyDescent="0.2">
      <c r="W109" s="3123" t="s">
        <v>10449</v>
      </c>
      <c r="X109" s="1769">
        <v>1760</v>
      </c>
    </row>
    <row r="110" spans="2:24" x14ac:dyDescent="0.2">
      <c r="W110" s="3123" t="s">
        <v>10450</v>
      </c>
      <c r="X110" s="1769">
        <v>1761</v>
      </c>
    </row>
    <row r="111" spans="2:24" x14ac:dyDescent="0.2">
      <c r="X111" s="1769">
        <v>1762</v>
      </c>
    </row>
    <row r="112" spans="2:24" x14ac:dyDescent="0.2">
      <c r="X112" s="1769">
        <v>1763</v>
      </c>
    </row>
    <row r="113" spans="24:24" x14ac:dyDescent="0.2">
      <c r="X113" s="1769">
        <v>1764</v>
      </c>
    </row>
    <row r="114" spans="24:24" x14ac:dyDescent="0.2">
      <c r="X114" s="1769">
        <v>1765</v>
      </c>
    </row>
    <row r="115" spans="24:24" x14ac:dyDescent="0.2">
      <c r="X115" s="1769">
        <v>1766</v>
      </c>
    </row>
    <row r="116" spans="24:24" x14ac:dyDescent="0.2">
      <c r="X116" s="1769">
        <v>1767</v>
      </c>
    </row>
    <row r="117" spans="24:24" x14ac:dyDescent="0.2">
      <c r="X117" s="1769">
        <v>1768</v>
      </c>
    </row>
    <row r="118" spans="24:24" x14ac:dyDescent="0.2">
      <c r="X118" s="1769">
        <v>1769</v>
      </c>
    </row>
    <row r="119" spans="24:24" x14ac:dyDescent="0.2">
      <c r="X119" s="1769">
        <v>1770</v>
      </c>
    </row>
    <row r="120" spans="24:24" x14ac:dyDescent="0.2">
      <c r="X120" s="1769">
        <v>1800</v>
      </c>
    </row>
    <row r="121" spans="24:24" x14ac:dyDescent="0.2">
      <c r="X121" s="1769">
        <v>1801</v>
      </c>
    </row>
    <row r="122" spans="24:24" x14ac:dyDescent="0.2">
      <c r="X122" s="1769">
        <v>1802</v>
      </c>
    </row>
    <row r="123" spans="24:24" x14ac:dyDescent="0.2">
      <c r="X123" s="1769">
        <v>1803</v>
      </c>
    </row>
    <row r="124" spans="24:24" x14ac:dyDescent="0.2">
      <c r="X124" s="1769">
        <v>2000</v>
      </c>
    </row>
    <row r="125" spans="24:24" x14ac:dyDescent="0.2">
      <c r="X125" s="1769">
        <v>2001</v>
      </c>
    </row>
    <row r="126" spans="24:24" x14ac:dyDescent="0.2">
      <c r="X126" s="1769">
        <v>2002</v>
      </c>
    </row>
    <row r="127" spans="24:24" x14ac:dyDescent="0.2">
      <c r="X127" s="1769">
        <v>2003</v>
      </c>
    </row>
    <row r="128" spans="24:24" x14ac:dyDescent="0.2">
      <c r="X128" s="1769">
        <v>2004</v>
      </c>
    </row>
    <row r="129" spans="24:24" x14ac:dyDescent="0.2">
      <c r="X129" s="1769">
        <v>2005</v>
      </c>
    </row>
    <row r="130" spans="24:24" x14ac:dyDescent="0.2">
      <c r="X130" s="1769">
        <v>2006</v>
      </c>
    </row>
    <row r="131" spans="24:24" x14ac:dyDescent="0.2">
      <c r="X131" s="1769">
        <v>2007</v>
      </c>
    </row>
    <row r="132" spans="24:24" x14ac:dyDescent="0.2">
      <c r="X132" s="1769">
        <v>2050</v>
      </c>
    </row>
    <row r="133" spans="24:24" x14ac:dyDescent="0.2">
      <c r="X133" s="1769">
        <v>2051</v>
      </c>
    </row>
    <row r="134" spans="24:24" x14ac:dyDescent="0.2">
      <c r="X134" s="1769">
        <v>2052</v>
      </c>
    </row>
    <row r="135" spans="24:24" x14ac:dyDescent="0.2">
      <c r="X135" s="1769">
        <v>2053</v>
      </c>
    </row>
    <row r="136" spans="24:24" x14ac:dyDescent="0.2">
      <c r="X136" s="1769">
        <v>2054</v>
      </c>
    </row>
    <row r="137" spans="24:24" x14ac:dyDescent="0.2">
      <c r="X137" s="1769">
        <v>2055</v>
      </c>
    </row>
    <row r="138" spans="24:24" x14ac:dyDescent="0.2">
      <c r="X138" s="1769">
        <v>2056</v>
      </c>
    </row>
    <row r="139" spans="24:24" x14ac:dyDescent="0.2">
      <c r="X139" s="1769">
        <v>2057</v>
      </c>
    </row>
    <row r="140" spans="24:24" x14ac:dyDescent="0.2">
      <c r="X140" s="1769">
        <v>2058</v>
      </c>
    </row>
    <row r="141" spans="24:24" x14ac:dyDescent="0.2">
      <c r="X141" s="1769">
        <v>2059</v>
      </c>
    </row>
    <row r="142" spans="24:24" x14ac:dyDescent="0.2">
      <c r="X142" s="1769">
        <v>2060</v>
      </c>
    </row>
    <row r="143" spans="24:24" x14ac:dyDescent="0.2">
      <c r="X143" s="1769">
        <v>2100</v>
      </c>
    </row>
    <row r="144" spans="24:24" x14ac:dyDescent="0.2">
      <c r="X144" s="1769">
        <v>2101</v>
      </c>
    </row>
    <row r="145" spans="24:24" x14ac:dyDescent="0.2">
      <c r="X145" s="1769">
        <v>2102</v>
      </c>
    </row>
    <row r="146" spans="24:24" x14ac:dyDescent="0.2">
      <c r="X146" s="1769">
        <v>2103</v>
      </c>
    </row>
    <row r="147" spans="24:24" x14ac:dyDescent="0.2">
      <c r="X147" s="1769">
        <v>2104</v>
      </c>
    </row>
    <row r="148" spans="24:24" x14ac:dyDescent="0.2">
      <c r="X148" s="1769">
        <v>2105</v>
      </c>
    </row>
    <row r="149" spans="24:24" x14ac:dyDescent="0.2">
      <c r="X149" s="1769">
        <v>2106</v>
      </c>
    </row>
    <row r="150" spans="24:24" x14ac:dyDescent="0.2">
      <c r="X150" s="1769">
        <v>2130</v>
      </c>
    </row>
    <row r="151" spans="24:24" x14ac:dyDescent="0.2">
      <c r="X151" s="1769">
        <v>2140</v>
      </c>
    </row>
    <row r="152" spans="24:24" x14ac:dyDescent="0.2">
      <c r="X152" s="1769">
        <v>2150</v>
      </c>
    </row>
    <row r="153" spans="24:24" x14ac:dyDescent="0.2">
      <c r="X153" s="1769">
        <v>2151</v>
      </c>
    </row>
    <row r="154" spans="24:24" x14ac:dyDescent="0.2">
      <c r="X154" s="1769">
        <v>2152</v>
      </c>
    </row>
    <row r="155" spans="24:24" x14ac:dyDescent="0.2">
      <c r="X155" s="1769">
        <v>2153</v>
      </c>
    </row>
    <row r="156" spans="24:24" x14ac:dyDescent="0.2">
      <c r="X156" s="1769">
        <v>2154</v>
      </c>
    </row>
    <row r="157" spans="24:24" x14ac:dyDescent="0.2">
      <c r="X157" s="1769">
        <v>2155</v>
      </c>
    </row>
    <row r="158" spans="24:24" x14ac:dyDescent="0.2">
      <c r="X158" s="1769">
        <v>2200</v>
      </c>
    </row>
    <row r="159" spans="24:24" x14ac:dyDescent="0.2">
      <c r="X159" s="1769">
        <v>2201</v>
      </c>
    </row>
    <row r="160" spans="24:24" x14ac:dyDescent="0.2">
      <c r="X160" s="1769">
        <v>2202</v>
      </c>
    </row>
    <row r="161" spans="24:24" x14ac:dyDescent="0.2">
      <c r="X161" s="1769">
        <v>2203</v>
      </c>
    </row>
    <row r="162" spans="24:24" x14ac:dyDescent="0.2">
      <c r="X162" s="1769">
        <v>2204</v>
      </c>
    </row>
    <row r="163" spans="24:24" x14ac:dyDescent="0.2">
      <c r="X163" s="1769">
        <v>2205</v>
      </c>
    </row>
    <row r="164" spans="24:24" x14ac:dyDescent="0.2">
      <c r="X164" s="1769">
        <v>3000</v>
      </c>
    </row>
    <row r="165" spans="24:24" x14ac:dyDescent="0.2">
      <c r="X165" s="1769">
        <v>3020</v>
      </c>
    </row>
    <row r="166" spans="24:24" x14ac:dyDescent="0.2">
      <c r="X166" s="1769">
        <v>3021</v>
      </c>
    </row>
    <row r="167" spans="24:24" x14ac:dyDescent="0.2">
      <c r="X167" s="1769">
        <v>3022</v>
      </c>
    </row>
    <row r="168" spans="24:24" x14ac:dyDescent="0.2">
      <c r="X168" s="1769">
        <v>3023</v>
      </c>
    </row>
    <row r="169" spans="24:24" x14ac:dyDescent="0.2">
      <c r="X169" s="1769">
        <v>3024</v>
      </c>
    </row>
    <row r="170" spans="24:24" x14ac:dyDescent="0.2">
      <c r="X170" s="1769">
        <v>3040</v>
      </c>
    </row>
    <row r="171" spans="24:24" x14ac:dyDescent="0.2">
      <c r="X171" s="1769">
        <v>3050</v>
      </c>
    </row>
    <row r="172" spans="24:24" x14ac:dyDescent="0.2">
      <c r="X172" s="1769">
        <v>3080</v>
      </c>
    </row>
    <row r="173" spans="24:24" x14ac:dyDescent="0.2">
      <c r="X173" s="1769">
        <v>3100</v>
      </c>
    </row>
    <row r="174" spans="24:24" x14ac:dyDescent="0.2">
      <c r="X174" s="1769">
        <v>3101</v>
      </c>
    </row>
    <row r="175" spans="24:24" x14ac:dyDescent="0.2">
      <c r="X175" s="1769">
        <v>3102</v>
      </c>
    </row>
    <row r="176" spans="24:24" x14ac:dyDescent="0.2">
      <c r="X176" s="1769">
        <v>3103</v>
      </c>
    </row>
    <row r="177" spans="24:24" x14ac:dyDescent="0.2">
      <c r="X177" s="1769">
        <v>3104</v>
      </c>
    </row>
    <row r="178" spans="24:24" x14ac:dyDescent="0.2">
      <c r="X178" s="1769">
        <v>3105</v>
      </c>
    </row>
    <row r="179" spans="24:24" x14ac:dyDescent="0.2">
      <c r="X179" s="1769">
        <v>3106</v>
      </c>
    </row>
    <row r="180" spans="24:24" x14ac:dyDescent="0.2">
      <c r="X180" s="1769">
        <v>3107</v>
      </c>
    </row>
    <row r="181" spans="24:24" x14ac:dyDescent="0.2">
      <c r="X181" s="1769">
        <v>3108</v>
      </c>
    </row>
    <row r="182" spans="24:24" x14ac:dyDescent="0.2">
      <c r="X182" s="1769">
        <v>3200</v>
      </c>
    </row>
    <row r="183" spans="24:24" x14ac:dyDescent="0.2">
      <c r="X183" s="1769">
        <v>3201</v>
      </c>
    </row>
    <row r="184" spans="24:24" x14ac:dyDescent="0.2">
      <c r="X184" s="1769">
        <v>3202</v>
      </c>
    </row>
    <row r="185" spans="24:24" x14ac:dyDescent="0.2">
      <c r="X185" s="1769">
        <v>3203</v>
      </c>
    </row>
    <row r="186" spans="24:24" x14ac:dyDescent="0.2">
      <c r="X186" s="1769">
        <v>3204</v>
      </c>
    </row>
    <row r="187" spans="24:24" x14ac:dyDescent="0.2">
      <c r="X187" s="1769">
        <v>3205</v>
      </c>
    </row>
    <row r="188" spans="24:24" x14ac:dyDescent="0.2">
      <c r="X188" s="1769">
        <v>3206</v>
      </c>
    </row>
    <row r="189" spans="24:24" x14ac:dyDescent="0.2">
      <c r="X189" s="1769">
        <v>3300</v>
      </c>
    </row>
    <row r="190" spans="24:24" x14ac:dyDescent="0.2">
      <c r="X190" s="1769">
        <v>3301</v>
      </c>
    </row>
    <row r="191" spans="24:24" x14ac:dyDescent="0.2">
      <c r="X191" s="1769">
        <v>3302</v>
      </c>
    </row>
    <row r="192" spans="24:24" x14ac:dyDescent="0.2">
      <c r="X192" s="1769">
        <v>3303</v>
      </c>
    </row>
    <row r="193" spans="24:24" x14ac:dyDescent="0.2">
      <c r="X193" s="1769">
        <v>3304</v>
      </c>
    </row>
    <row r="194" spans="24:24" x14ac:dyDescent="0.2">
      <c r="X194" s="1769">
        <v>3305</v>
      </c>
    </row>
    <row r="195" spans="24:24" x14ac:dyDescent="0.2">
      <c r="X195" s="1769">
        <v>3306</v>
      </c>
    </row>
    <row r="196" spans="24:24" x14ac:dyDescent="0.2">
      <c r="X196" s="1769">
        <v>3370</v>
      </c>
    </row>
    <row r="197" spans="24:24" x14ac:dyDescent="0.2">
      <c r="X197" s="1769">
        <v>3380</v>
      </c>
    </row>
    <row r="198" spans="24:24" x14ac:dyDescent="0.2">
      <c r="X198" s="1769">
        <v>3390</v>
      </c>
    </row>
    <row r="199" spans="24:24" x14ac:dyDescent="0.2">
      <c r="X199" s="1769">
        <v>3400</v>
      </c>
    </row>
    <row r="200" spans="24:24" x14ac:dyDescent="0.2">
      <c r="X200" s="1769">
        <v>3401</v>
      </c>
    </row>
    <row r="201" spans="24:24" x14ac:dyDescent="0.2">
      <c r="X201" s="1769">
        <v>3402</v>
      </c>
    </row>
    <row r="202" spans="24:24" x14ac:dyDescent="0.2">
      <c r="X202" s="1769">
        <v>3403</v>
      </c>
    </row>
    <row r="203" spans="24:24" x14ac:dyDescent="0.2">
      <c r="X203" s="1769">
        <v>3404</v>
      </c>
    </row>
    <row r="204" spans="24:24" x14ac:dyDescent="0.2">
      <c r="X204" s="1769">
        <v>3405</v>
      </c>
    </row>
    <row r="205" spans="24:24" x14ac:dyDescent="0.2">
      <c r="X205" s="1769">
        <v>3500</v>
      </c>
    </row>
    <row r="206" spans="24:24" x14ac:dyDescent="0.2">
      <c r="X206" s="1769">
        <v>3501</v>
      </c>
    </row>
    <row r="207" spans="24:24" x14ac:dyDescent="0.2">
      <c r="X207" s="1769">
        <v>3502</v>
      </c>
    </row>
    <row r="208" spans="24:24" x14ac:dyDescent="0.2">
      <c r="X208" s="1769">
        <v>3503</v>
      </c>
    </row>
    <row r="209" spans="24:24" x14ac:dyDescent="0.2">
      <c r="X209" s="1769">
        <v>3504</v>
      </c>
    </row>
    <row r="210" spans="24:24" x14ac:dyDescent="0.2">
      <c r="X210" s="1769">
        <v>3520</v>
      </c>
    </row>
    <row r="211" spans="24:24" x14ac:dyDescent="0.2">
      <c r="X211" s="1769">
        <v>3530</v>
      </c>
    </row>
    <row r="212" spans="24:24" x14ac:dyDescent="0.2">
      <c r="X212" s="1769">
        <v>3540</v>
      </c>
    </row>
    <row r="213" spans="24:24" x14ac:dyDescent="0.2">
      <c r="X213" s="1769">
        <v>3550</v>
      </c>
    </row>
    <row r="214" spans="24:24" x14ac:dyDescent="0.2">
      <c r="X214" s="1769">
        <v>3551</v>
      </c>
    </row>
    <row r="215" spans="24:24" x14ac:dyDescent="0.2">
      <c r="X215" s="1769">
        <v>3552</v>
      </c>
    </row>
    <row r="216" spans="24:24" x14ac:dyDescent="0.2">
      <c r="X216" s="1769">
        <v>3553</v>
      </c>
    </row>
    <row r="217" spans="24:24" x14ac:dyDescent="0.2">
      <c r="X217" s="1769">
        <v>3554</v>
      </c>
    </row>
    <row r="218" spans="24:24" x14ac:dyDescent="0.2">
      <c r="X218" s="1769">
        <v>3555</v>
      </c>
    </row>
    <row r="219" spans="24:24" x14ac:dyDescent="0.2">
      <c r="X219" s="1769">
        <v>3570</v>
      </c>
    </row>
    <row r="220" spans="24:24" x14ac:dyDescent="0.2">
      <c r="X220" s="1769">
        <v>3580</v>
      </c>
    </row>
    <row r="221" spans="24:24" x14ac:dyDescent="0.2">
      <c r="X221" s="1769">
        <v>3600</v>
      </c>
    </row>
    <row r="222" spans="24:24" x14ac:dyDescent="0.2">
      <c r="X222" s="1769">
        <v>3601</v>
      </c>
    </row>
    <row r="223" spans="24:24" x14ac:dyDescent="0.2">
      <c r="X223" s="1769">
        <v>3602</v>
      </c>
    </row>
    <row r="224" spans="24:24" x14ac:dyDescent="0.2">
      <c r="X224" s="1769">
        <v>3603</v>
      </c>
    </row>
    <row r="225" spans="24:24" x14ac:dyDescent="0.2">
      <c r="X225" s="1769">
        <v>3604</v>
      </c>
    </row>
    <row r="226" spans="24:24" x14ac:dyDescent="0.2">
      <c r="X226" s="1769">
        <v>3800</v>
      </c>
    </row>
    <row r="227" spans="24:24" x14ac:dyDescent="0.2">
      <c r="X227" s="1769">
        <v>3801</v>
      </c>
    </row>
    <row r="228" spans="24:24" x14ac:dyDescent="0.2">
      <c r="X228" s="1769">
        <v>3802</v>
      </c>
    </row>
    <row r="229" spans="24:24" x14ac:dyDescent="0.2">
      <c r="X229" s="1769">
        <v>3803</v>
      </c>
    </row>
    <row r="230" spans="24:24" x14ac:dyDescent="0.2">
      <c r="X230" s="1769">
        <v>3804</v>
      </c>
    </row>
    <row r="231" spans="24:24" x14ac:dyDescent="0.2">
      <c r="X231" s="1769">
        <v>3805</v>
      </c>
    </row>
    <row r="232" spans="24:24" x14ac:dyDescent="0.2">
      <c r="X232" s="1769">
        <v>3806</v>
      </c>
    </row>
    <row r="233" spans="24:24" x14ac:dyDescent="0.2">
      <c r="X233" s="1769">
        <v>3807</v>
      </c>
    </row>
    <row r="234" spans="24:24" x14ac:dyDescent="0.2">
      <c r="X234" s="1769">
        <v>3808</v>
      </c>
    </row>
    <row r="235" spans="24:24" x14ac:dyDescent="0.2">
      <c r="X235" s="1769">
        <v>3900</v>
      </c>
    </row>
    <row r="236" spans="24:24" x14ac:dyDescent="0.2">
      <c r="X236" s="1769">
        <v>3901</v>
      </c>
    </row>
    <row r="237" spans="24:24" x14ac:dyDescent="0.2">
      <c r="X237" s="1769">
        <v>3902</v>
      </c>
    </row>
    <row r="238" spans="24:24" x14ac:dyDescent="0.2">
      <c r="X238" s="1769">
        <v>3903</v>
      </c>
    </row>
    <row r="239" spans="24:24" x14ac:dyDescent="0.2">
      <c r="X239" s="1769">
        <v>3904</v>
      </c>
    </row>
    <row r="240" spans="24:24" x14ac:dyDescent="0.2">
      <c r="X240" s="1769">
        <v>3905</v>
      </c>
    </row>
    <row r="241" spans="24:24" x14ac:dyDescent="0.2">
      <c r="X241" s="1769">
        <v>3906</v>
      </c>
    </row>
    <row r="242" spans="24:24" x14ac:dyDescent="0.2">
      <c r="X242" s="1769">
        <v>3907</v>
      </c>
    </row>
    <row r="243" spans="24:24" x14ac:dyDescent="0.2">
      <c r="X243" s="1769">
        <v>5000</v>
      </c>
    </row>
    <row r="244" spans="24:24" x14ac:dyDescent="0.2">
      <c r="X244" s="1769">
        <v>5001</v>
      </c>
    </row>
    <row r="245" spans="24:24" x14ac:dyDescent="0.2">
      <c r="X245" s="1769">
        <v>5002</v>
      </c>
    </row>
    <row r="246" spans="24:24" x14ac:dyDescent="0.2">
      <c r="X246" s="1769">
        <v>5003</v>
      </c>
    </row>
    <row r="247" spans="24:24" x14ac:dyDescent="0.2">
      <c r="X247" s="1769">
        <v>5004</v>
      </c>
    </row>
    <row r="248" spans="24:24" x14ac:dyDescent="0.2">
      <c r="X248" s="1769">
        <v>5005</v>
      </c>
    </row>
    <row r="249" spans="24:24" x14ac:dyDescent="0.2">
      <c r="X249" s="1769">
        <v>5006</v>
      </c>
    </row>
    <row r="250" spans="24:24" x14ac:dyDescent="0.2">
      <c r="X250" s="1769">
        <v>5007</v>
      </c>
    </row>
    <row r="251" spans="24:24" x14ac:dyDescent="0.2">
      <c r="X251" s="1769">
        <v>5008</v>
      </c>
    </row>
    <row r="252" spans="24:24" x14ac:dyDescent="0.2">
      <c r="X252" s="1769">
        <v>5009</v>
      </c>
    </row>
    <row r="253" spans="24:24" x14ac:dyDescent="0.2">
      <c r="X253" s="1769">
        <v>5010</v>
      </c>
    </row>
    <row r="254" spans="24:24" x14ac:dyDescent="0.2">
      <c r="X254" s="1769">
        <v>5011</v>
      </c>
    </row>
    <row r="255" spans="24:24" x14ac:dyDescent="0.2">
      <c r="X255" s="1769">
        <v>5100</v>
      </c>
    </row>
    <row r="256" spans="24:24" x14ac:dyDescent="0.2">
      <c r="X256" s="1769">
        <v>5101</v>
      </c>
    </row>
    <row r="257" spans="24:24" x14ac:dyDescent="0.2">
      <c r="X257" s="1769">
        <v>5102</v>
      </c>
    </row>
    <row r="258" spans="24:24" x14ac:dyDescent="0.2">
      <c r="X258" s="1769">
        <v>5103</v>
      </c>
    </row>
    <row r="259" spans="24:24" x14ac:dyDescent="0.2">
      <c r="X259" s="1769">
        <v>5104</v>
      </c>
    </row>
    <row r="260" spans="24:24" x14ac:dyDescent="0.2">
      <c r="X260" s="1769">
        <v>5105</v>
      </c>
    </row>
    <row r="261" spans="24:24" x14ac:dyDescent="0.2">
      <c r="X261" s="1769">
        <v>5106</v>
      </c>
    </row>
    <row r="262" spans="24:24" x14ac:dyDescent="0.2">
      <c r="X262" s="1769">
        <v>5107</v>
      </c>
    </row>
    <row r="263" spans="24:24" x14ac:dyDescent="0.2">
      <c r="X263" s="1769">
        <v>5108</v>
      </c>
    </row>
    <row r="264" spans="24:24" x14ac:dyDescent="0.2">
      <c r="X264" s="1769">
        <v>5109</v>
      </c>
    </row>
    <row r="265" spans="24:24" x14ac:dyDescent="0.2">
      <c r="X265" s="1769">
        <v>5110</v>
      </c>
    </row>
    <row r="266" spans="24:24" x14ac:dyDescent="0.2">
      <c r="X266" s="1769">
        <v>5111</v>
      </c>
    </row>
    <row r="267" spans="24:24" x14ac:dyDescent="0.2">
      <c r="X267" s="1769">
        <v>5112</v>
      </c>
    </row>
    <row r="268" spans="24:24" x14ac:dyDescent="0.2">
      <c r="X268" s="1769">
        <v>5190</v>
      </c>
    </row>
    <row r="269" spans="24:24" x14ac:dyDescent="0.2">
      <c r="X269" s="1769">
        <v>5191</v>
      </c>
    </row>
    <row r="270" spans="24:24" x14ac:dyDescent="0.2">
      <c r="X270" s="1769">
        <v>5200</v>
      </c>
    </row>
    <row r="271" spans="24:24" x14ac:dyDescent="0.2">
      <c r="X271" s="1769">
        <v>5201</v>
      </c>
    </row>
    <row r="272" spans="24:24" x14ac:dyDescent="0.2">
      <c r="X272" s="1769">
        <v>5202</v>
      </c>
    </row>
    <row r="273" spans="24:24" x14ac:dyDescent="0.2">
      <c r="X273" s="1769">
        <v>5203</v>
      </c>
    </row>
    <row r="274" spans="24:24" x14ac:dyDescent="0.2">
      <c r="X274" s="1769">
        <v>5204</v>
      </c>
    </row>
    <row r="275" spans="24:24" x14ac:dyDescent="0.2">
      <c r="X275" s="1769">
        <v>5250</v>
      </c>
    </row>
    <row r="276" spans="24:24" x14ac:dyDescent="0.2">
      <c r="X276" s="1769">
        <v>5251</v>
      </c>
    </row>
    <row r="277" spans="24:24" x14ac:dyDescent="0.2">
      <c r="X277" s="1769">
        <v>5252</v>
      </c>
    </row>
    <row r="278" spans="24:24" x14ac:dyDescent="0.2">
      <c r="X278" s="1769">
        <v>5253</v>
      </c>
    </row>
    <row r="279" spans="24:24" x14ac:dyDescent="0.2">
      <c r="X279" s="1769">
        <v>5280</v>
      </c>
    </row>
    <row r="280" spans="24:24" x14ac:dyDescent="0.2">
      <c r="X280" s="1769">
        <v>5281</v>
      </c>
    </row>
    <row r="281" spans="24:24" x14ac:dyDescent="0.2">
      <c r="X281" s="1769">
        <v>5282</v>
      </c>
    </row>
    <row r="282" spans="24:24" x14ac:dyDescent="0.2">
      <c r="X282" s="1769">
        <v>5283</v>
      </c>
    </row>
    <row r="283" spans="24:24" x14ac:dyDescent="0.2">
      <c r="X283" s="1769">
        <v>5284</v>
      </c>
    </row>
    <row r="284" spans="24:24" x14ac:dyDescent="0.2">
      <c r="X284" s="1769">
        <v>5300</v>
      </c>
    </row>
    <row r="285" spans="24:24" x14ac:dyDescent="0.2">
      <c r="X285" s="1769">
        <v>5301</v>
      </c>
    </row>
    <row r="286" spans="24:24" x14ac:dyDescent="0.2">
      <c r="X286" s="1769">
        <v>5302</v>
      </c>
    </row>
    <row r="287" spans="24:24" x14ac:dyDescent="0.2">
      <c r="X287" s="1769">
        <v>5303</v>
      </c>
    </row>
    <row r="288" spans="24:24" x14ac:dyDescent="0.2">
      <c r="X288" s="1769">
        <v>5304</v>
      </c>
    </row>
    <row r="289" spans="24:24" x14ac:dyDescent="0.2">
      <c r="X289" s="1769">
        <v>5305</v>
      </c>
    </row>
    <row r="290" spans="24:24" x14ac:dyDescent="0.2">
      <c r="X290" s="1769">
        <v>5306</v>
      </c>
    </row>
    <row r="291" spans="24:24" x14ac:dyDescent="0.2">
      <c r="X291" s="1769">
        <v>5307</v>
      </c>
    </row>
    <row r="292" spans="24:24" x14ac:dyDescent="0.2">
      <c r="X292" s="1769">
        <v>5308</v>
      </c>
    </row>
    <row r="293" spans="24:24" x14ac:dyDescent="0.2">
      <c r="X293" s="1769">
        <v>5309</v>
      </c>
    </row>
    <row r="294" spans="24:24" x14ac:dyDescent="0.2">
      <c r="X294" s="1769">
        <v>5310</v>
      </c>
    </row>
    <row r="295" spans="24:24" x14ac:dyDescent="0.2">
      <c r="X295" s="1769">
        <v>5311</v>
      </c>
    </row>
    <row r="296" spans="24:24" x14ac:dyDescent="0.2">
      <c r="X296" s="1769">
        <v>5500</v>
      </c>
    </row>
    <row r="297" spans="24:24" x14ac:dyDescent="0.2">
      <c r="X297" s="1769">
        <v>5501</v>
      </c>
    </row>
    <row r="298" spans="24:24" x14ac:dyDescent="0.2">
      <c r="X298" s="1769">
        <v>5502</v>
      </c>
    </row>
    <row r="299" spans="24:24" x14ac:dyDescent="0.2">
      <c r="X299" s="1769">
        <v>5503</v>
      </c>
    </row>
    <row r="300" spans="24:24" x14ac:dyDescent="0.2">
      <c r="X300" s="1769">
        <v>5504</v>
      </c>
    </row>
    <row r="301" spans="24:24" x14ac:dyDescent="0.2">
      <c r="X301" s="1769">
        <v>5550</v>
      </c>
    </row>
    <row r="302" spans="24:24" x14ac:dyDescent="0.2">
      <c r="X302" s="1769">
        <v>5551</v>
      </c>
    </row>
    <row r="303" spans="24:24" x14ac:dyDescent="0.2">
      <c r="X303" s="1769">
        <v>5552</v>
      </c>
    </row>
    <row r="304" spans="24:24" x14ac:dyDescent="0.2">
      <c r="X304" s="1769">
        <v>5553</v>
      </c>
    </row>
    <row r="305" spans="24:24" x14ac:dyDescent="0.2">
      <c r="X305" s="1769">
        <v>5554</v>
      </c>
    </row>
    <row r="306" spans="24:24" x14ac:dyDescent="0.2">
      <c r="X306" s="1769">
        <v>5555</v>
      </c>
    </row>
    <row r="307" spans="24:24" x14ac:dyDescent="0.2">
      <c r="X307" s="1769">
        <v>5556</v>
      </c>
    </row>
    <row r="308" spans="24:24" x14ac:dyDescent="0.2">
      <c r="X308" s="1769">
        <v>5557</v>
      </c>
    </row>
    <row r="309" spans="24:24" x14ac:dyDescent="0.2">
      <c r="X309" s="1769">
        <v>5600</v>
      </c>
    </row>
    <row r="310" spans="24:24" x14ac:dyDescent="0.2">
      <c r="X310" s="1769">
        <v>5601</v>
      </c>
    </row>
    <row r="311" spans="24:24" x14ac:dyDescent="0.2">
      <c r="X311" s="1769">
        <v>5602</v>
      </c>
    </row>
    <row r="312" spans="24:24" x14ac:dyDescent="0.2">
      <c r="X312" s="1769">
        <v>5603</v>
      </c>
    </row>
    <row r="313" spans="24:24" x14ac:dyDescent="0.2">
      <c r="X313" s="1769">
        <v>5604</v>
      </c>
    </row>
    <row r="314" spans="24:24" x14ac:dyDescent="0.2">
      <c r="X314" s="1769">
        <v>5605</v>
      </c>
    </row>
    <row r="315" spans="24:24" x14ac:dyDescent="0.2">
      <c r="X315" s="1769">
        <v>5606</v>
      </c>
    </row>
    <row r="316" spans="24:24" x14ac:dyDescent="0.2">
      <c r="X316" s="1769">
        <v>5607</v>
      </c>
    </row>
    <row r="317" spans="24:24" x14ac:dyDescent="0.2">
      <c r="X317" s="1769">
        <v>5608</v>
      </c>
    </row>
    <row r="318" spans="24:24" x14ac:dyDescent="0.2">
      <c r="X318" s="1769">
        <v>5609</v>
      </c>
    </row>
    <row r="319" spans="24:24" x14ac:dyDescent="0.2">
      <c r="X319" s="1769">
        <v>5610</v>
      </c>
    </row>
    <row r="320" spans="24:24" x14ac:dyDescent="0.2">
      <c r="X320" s="1769">
        <v>5611</v>
      </c>
    </row>
    <row r="321" spans="5:24" x14ac:dyDescent="0.2">
      <c r="X321" s="1769">
        <v>5700</v>
      </c>
    </row>
    <row r="322" spans="5:24" x14ac:dyDescent="0.2">
      <c r="E322"/>
      <c r="X322" s="1769">
        <v>5701</v>
      </c>
    </row>
    <row r="323" spans="5:24" x14ac:dyDescent="0.2">
      <c r="X323" s="1769">
        <v>5702</v>
      </c>
    </row>
    <row r="324" spans="5:24" x14ac:dyDescent="0.2">
      <c r="X324" s="1769">
        <v>5703</v>
      </c>
    </row>
    <row r="325" spans="5:24" x14ac:dyDescent="0.2">
      <c r="X325" s="1769">
        <v>5704</v>
      </c>
    </row>
    <row r="326" spans="5:24" x14ac:dyDescent="0.2">
      <c r="X326" s="1769">
        <v>6000</v>
      </c>
    </row>
    <row r="327" spans="5:24" x14ac:dyDescent="0.2">
      <c r="X327" s="1769">
        <v>6001</v>
      </c>
    </row>
    <row r="328" spans="5:24" x14ac:dyDescent="0.2">
      <c r="X328" s="1769">
        <v>6002</v>
      </c>
    </row>
    <row r="329" spans="5:24" x14ac:dyDescent="0.2">
      <c r="X329" s="1769">
        <v>6003</v>
      </c>
    </row>
    <row r="330" spans="5:24" x14ac:dyDescent="0.2">
      <c r="X330" s="1769">
        <v>6004</v>
      </c>
    </row>
    <row r="331" spans="5:24" x14ac:dyDescent="0.2">
      <c r="X331" s="1769">
        <v>6020</v>
      </c>
    </row>
    <row r="332" spans="5:24" x14ac:dyDescent="0.2">
      <c r="X332" s="1769">
        <v>6021</v>
      </c>
    </row>
    <row r="333" spans="5:24" x14ac:dyDescent="0.2">
      <c r="X333" s="1769">
        <v>6022</v>
      </c>
    </row>
    <row r="334" spans="5:24" x14ac:dyDescent="0.2">
      <c r="X334" s="1769">
        <v>6023</v>
      </c>
    </row>
    <row r="335" spans="5:24" x14ac:dyDescent="0.2">
      <c r="X335" s="1769">
        <v>6024</v>
      </c>
    </row>
    <row r="336" spans="5:24" x14ac:dyDescent="0.2">
      <c r="X336" s="1769">
        <v>6025</v>
      </c>
    </row>
    <row r="337" spans="24:24" x14ac:dyDescent="0.2">
      <c r="X337" s="1769">
        <v>6026</v>
      </c>
    </row>
    <row r="338" spans="24:24" x14ac:dyDescent="0.2">
      <c r="X338" s="1769">
        <v>6027</v>
      </c>
    </row>
    <row r="339" spans="24:24" x14ac:dyDescent="0.2">
      <c r="X339" s="1769">
        <v>6028</v>
      </c>
    </row>
    <row r="340" spans="24:24" x14ac:dyDescent="0.2">
      <c r="X340" s="1769">
        <v>6029</v>
      </c>
    </row>
    <row r="341" spans="24:24" x14ac:dyDescent="0.2">
      <c r="X341" s="1769">
        <v>6030</v>
      </c>
    </row>
    <row r="342" spans="24:24" x14ac:dyDescent="0.2">
      <c r="X342" s="1769">
        <v>6031</v>
      </c>
    </row>
    <row r="343" spans="24:24" x14ac:dyDescent="0.2">
      <c r="X343" s="1769">
        <v>6032</v>
      </c>
    </row>
    <row r="344" spans="24:24" x14ac:dyDescent="0.2">
      <c r="X344" s="1769">
        <v>6033</v>
      </c>
    </row>
    <row r="345" spans="24:24" x14ac:dyDescent="0.2">
      <c r="X345" s="1769">
        <v>6034</v>
      </c>
    </row>
    <row r="346" spans="24:24" x14ac:dyDescent="0.2">
      <c r="X346" s="1769">
        <v>6035</v>
      </c>
    </row>
    <row r="347" spans="24:24" x14ac:dyDescent="0.2">
      <c r="X347" s="1769">
        <v>6036</v>
      </c>
    </row>
    <row r="348" spans="24:24" x14ac:dyDescent="0.2">
      <c r="X348" s="1769">
        <v>6037</v>
      </c>
    </row>
    <row r="349" spans="24:24" x14ac:dyDescent="0.2">
      <c r="X349" s="1769">
        <v>6099</v>
      </c>
    </row>
    <row r="350" spans="24:24" x14ac:dyDescent="0.2">
      <c r="X350" s="1769">
        <v>6100</v>
      </c>
    </row>
    <row r="351" spans="24:24" x14ac:dyDescent="0.2">
      <c r="X351" s="1769">
        <v>6101</v>
      </c>
    </row>
    <row r="352" spans="24:24" x14ac:dyDescent="0.2">
      <c r="X352" s="1769">
        <v>6120</v>
      </c>
    </row>
    <row r="353" spans="24:24" x14ac:dyDescent="0.2">
      <c r="X353" s="1769">
        <v>6121</v>
      </c>
    </row>
    <row r="354" spans="24:24" x14ac:dyDescent="0.2">
      <c r="X354" s="1769">
        <v>6122</v>
      </c>
    </row>
    <row r="355" spans="24:24" x14ac:dyDescent="0.2">
      <c r="X355" s="1769">
        <v>6140</v>
      </c>
    </row>
    <row r="356" spans="24:24" x14ac:dyDescent="0.2">
      <c r="X356" s="1769">
        <v>6141</v>
      </c>
    </row>
    <row r="357" spans="24:24" x14ac:dyDescent="0.2">
      <c r="X357" s="1769">
        <v>6142</v>
      </c>
    </row>
    <row r="358" spans="24:24" x14ac:dyDescent="0.2">
      <c r="X358" s="1769">
        <v>6143</v>
      </c>
    </row>
    <row r="359" spans="24:24" x14ac:dyDescent="0.2">
      <c r="X359" s="1769">
        <v>6170</v>
      </c>
    </row>
    <row r="360" spans="24:24" x14ac:dyDescent="0.2">
      <c r="X360" s="1769">
        <v>6171</v>
      </c>
    </row>
    <row r="361" spans="24:24" x14ac:dyDescent="0.2">
      <c r="X361" s="1769">
        <v>6172</v>
      </c>
    </row>
    <row r="362" spans="24:24" x14ac:dyDescent="0.2">
      <c r="X362" s="1769">
        <v>6173</v>
      </c>
    </row>
    <row r="363" spans="24:24" x14ac:dyDescent="0.2">
      <c r="X363" s="1769">
        <v>6174</v>
      </c>
    </row>
    <row r="364" spans="24:24" x14ac:dyDescent="0.2">
      <c r="X364" s="1769">
        <v>6175</v>
      </c>
    </row>
    <row r="365" spans="24:24" x14ac:dyDescent="0.2">
      <c r="X365" s="1769">
        <v>6176</v>
      </c>
    </row>
    <row r="366" spans="24:24" x14ac:dyDescent="0.2">
      <c r="X366" s="1769">
        <v>6177</v>
      </c>
    </row>
    <row r="367" spans="24:24" x14ac:dyDescent="0.2">
      <c r="X367" s="1769">
        <v>6178</v>
      </c>
    </row>
    <row r="368" spans="24:24" x14ac:dyDescent="0.2">
      <c r="X368" s="1769">
        <v>6179</v>
      </c>
    </row>
    <row r="369" spans="24:24" x14ac:dyDescent="0.2">
      <c r="X369" s="1769">
        <v>6180</v>
      </c>
    </row>
    <row r="370" spans="24:24" x14ac:dyDescent="0.2">
      <c r="X370" s="1769">
        <v>6200</v>
      </c>
    </row>
    <row r="371" spans="24:24" x14ac:dyDescent="0.2">
      <c r="X371" s="1769">
        <v>6201</v>
      </c>
    </row>
    <row r="372" spans="24:24" x14ac:dyDescent="0.2">
      <c r="X372" s="1769">
        <v>6202</v>
      </c>
    </row>
    <row r="373" spans="24:24" x14ac:dyDescent="0.2">
      <c r="X373" s="1769">
        <v>6203</v>
      </c>
    </row>
    <row r="374" spans="24:24" x14ac:dyDescent="0.2">
      <c r="X374" s="1769">
        <v>6204</v>
      </c>
    </row>
    <row r="375" spans="24:24" x14ac:dyDescent="0.2">
      <c r="X375" s="1769">
        <v>6220</v>
      </c>
    </row>
    <row r="376" spans="24:24" x14ac:dyDescent="0.2">
      <c r="X376" s="1769">
        <v>6221</v>
      </c>
    </row>
    <row r="377" spans="24:24" x14ac:dyDescent="0.2">
      <c r="X377" s="1769">
        <v>6222</v>
      </c>
    </row>
    <row r="378" spans="24:24" x14ac:dyDescent="0.2">
      <c r="X378" s="1769">
        <v>6223</v>
      </c>
    </row>
    <row r="379" spans="24:24" x14ac:dyDescent="0.2">
      <c r="X379" s="1769">
        <v>6224</v>
      </c>
    </row>
    <row r="380" spans="24:24" x14ac:dyDescent="0.2">
      <c r="X380" s="1769">
        <v>6225</v>
      </c>
    </row>
    <row r="381" spans="24:24" x14ac:dyDescent="0.2">
      <c r="X381" s="1769">
        <v>6226</v>
      </c>
    </row>
    <row r="382" spans="24:24" x14ac:dyDescent="0.2">
      <c r="X382" s="1769">
        <v>6227</v>
      </c>
    </row>
    <row r="383" spans="24:24" x14ac:dyDescent="0.2">
      <c r="X383" s="1769">
        <v>6228</v>
      </c>
    </row>
    <row r="384" spans="24:24" x14ac:dyDescent="0.2">
      <c r="X384" s="1769">
        <v>6250</v>
      </c>
    </row>
    <row r="385" spans="24:24" x14ac:dyDescent="0.2">
      <c r="X385" s="1769">
        <v>6251</v>
      </c>
    </row>
    <row r="386" spans="24:24" x14ac:dyDescent="0.2">
      <c r="X386" s="1769">
        <v>6252</v>
      </c>
    </row>
    <row r="387" spans="24:24" x14ac:dyDescent="0.2">
      <c r="X387" s="1769">
        <v>6253</v>
      </c>
    </row>
    <row r="388" spans="24:24" x14ac:dyDescent="0.2">
      <c r="X388" s="1769">
        <v>6254</v>
      </c>
    </row>
    <row r="389" spans="24:24" x14ac:dyDescent="0.2">
      <c r="X389" s="1769">
        <v>6255</v>
      </c>
    </row>
    <row r="390" spans="24:24" x14ac:dyDescent="0.2">
      <c r="X390" s="1769">
        <v>6290</v>
      </c>
    </row>
    <row r="391" spans="24:24" x14ac:dyDescent="0.2">
      <c r="X391" s="1769">
        <v>6291</v>
      </c>
    </row>
    <row r="392" spans="24:24" x14ac:dyDescent="0.2">
      <c r="X392" s="1769">
        <v>6292</v>
      </c>
    </row>
    <row r="393" spans="24:24" x14ac:dyDescent="0.2">
      <c r="X393" s="1769">
        <v>6293</v>
      </c>
    </row>
    <row r="394" spans="24:24" x14ac:dyDescent="0.2">
      <c r="X394" s="1769">
        <v>6294</v>
      </c>
    </row>
    <row r="395" spans="24:24" x14ac:dyDescent="0.2">
      <c r="X395" s="1769">
        <v>6295</v>
      </c>
    </row>
    <row r="396" spans="24:24" x14ac:dyDescent="0.2">
      <c r="X396" s="1769">
        <v>6310</v>
      </c>
    </row>
    <row r="397" spans="24:24" x14ac:dyDescent="0.2">
      <c r="X397" s="1769">
        <v>6311</v>
      </c>
    </row>
    <row r="398" spans="24:24" x14ac:dyDescent="0.2">
      <c r="X398" s="1769">
        <v>6312</v>
      </c>
    </row>
    <row r="399" spans="24:24" x14ac:dyDescent="0.2">
      <c r="X399" s="1769">
        <v>6313</v>
      </c>
    </row>
    <row r="400" spans="24:24" x14ac:dyDescent="0.2">
      <c r="X400" s="1769">
        <v>6314</v>
      </c>
    </row>
    <row r="401" spans="24:24" x14ac:dyDescent="0.2">
      <c r="X401" s="1769">
        <v>6340</v>
      </c>
    </row>
    <row r="402" spans="24:24" x14ac:dyDescent="0.2">
      <c r="X402" s="1769">
        <v>6341</v>
      </c>
    </row>
    <row r="403" spans="24:24" x14ac:dyDescent="0.2">
      <c r="X403" s="1769">
        <v>6342</v>
      </c>
    </row>
    <row r="404" spans="24:24" x14ac:dyDescent="0.2">
      <c r="X404" s="1769">
        <v>6343</v>
      </c>
    </row>
    <row r="405" spans="24:24" x14ac:dyDescent="0.2">
      <c r="X405" s="1769">
        <v>6344</v>
      </c>
    </row>
    <row r="406" spans="24:24" x14ac:dyDescent="0.2">
      <c r="X406" s="1769">
        <v>6345</v>
      </c>
    </row>
    <row r="407" spans="24:24" x14ac:dyDescent="0.2">
      <c r="X407" s="1769">
        <v>6346</v>
      </c>
    </row>
    <row r="408" spans="24:24" x14ac:dyDescent="0.2">
      <c r="X408" s="1769">
        <v>6347</v>
      </c>
    </row>
    <row r="409" spans="24:24" x14ac:dyDescent="0.2">
      <c r="X409" s="1769">
        <v>6348</v>
      </c>
    </row>
    <row r="410" spans="24:24" x14ac:dyDescent="0.2">
      <c r="X410" s="1769">
        <v>6380</v>
      </c>
    </row>
    <row r="411" spans="24:24" x14ac:dyDescent="0.2">
      <c r="X411" s="1769">
        <v>6381</v>
      </c>
    </row>
    <row r="412" spans="24:24" x14ac:dyDescent="0.2">
      <c r="X412" s="1769">
        <v>6382</v>
      </c>
    </row>
    <row r="413" spans="24:24" x14ac:dyDescent="0.2">
      <c r="X413" s="1769">
        <v>6383</v>
      </c>
    </row>
    <row r="414" spans="24:24" x14ac:dyDescent="0.2">
      <c r="X414" s="1769">
        <v>6384</v>
      </c>
    </row>
    <row r="415" spans="24:24" x14ac:dyDescent="0.2">
      <c r="X415" s="1769">
        <v>6385</v>
      </c>
    </row>
    <row r="416" spans="24:24" x14ac:dyDescent="0.2">
      <c r="X416" s="1769">
        <v>6400</v>
      </c>
    </row>
    <row r="417" spans="24:24" x14ac:dyDescent="0.2">
      <c r="X417" s="1769">
        <v>6401</v>
      </c>
    </row>
    <row r="418" spans="24:24" x14ac:dyDescent="0.2">
      <c r="X418" s="1769">
        <v>6402</v>
      </c>
    </row>
    <row r="419" spans="24:24" x14ac:dyDescent="0.2">
      <c r="X419" s="1769">
        <v>6403</v>
      </c>
    </row>
    <row r="420" spans="24:24" x14ac:dyDescent="0.2">
      <c r="X420" s="1769">
        <v>6404</v>
      </c>
    </row>
    <row r="421" spans="24:24" x14ac:dyDescent="0.2">
      <c r="X421" s="1769">
        <v>6410</v>
      </c>
    </row>
    <row r="422" spans="24:24" x14ac:dyDescent="0.2">
      <c r="X422" s="1769">
        <v>6411</v>
      </c>
    </row>
    <row r="423" spans="24:24" x14ac:dyDescent="0.2">
      <c r="X423" s="1769">
        <v>6412</v>
      </c>
    </row>
    <row r="424" spans="24:24" x14ac:dyDescent="0.2">
      <c r="X424" s="1769">
        <v>6413</v>
      </c>
    </row>
    <row r="425" spans="24:24" x14ac:dyDescent="0.2">
      <c r="X425" s="1769">
        <v>6420</v>
      </c>
    </row>
    <row r="426" spans="24:24" x14ac:dyDescent="0.2">
      <c r="X426" s="1769">
        <v>6421</v>
      </c>
    </row>
    <row r="427" spans="24:24" x14ac:dyDescent="0.2">
      <c r="X427" s="1769">
        <v>6422</v>
      </c>
    </row>
    <row r="428" spans="24:24" x14ac:dyDescent="0.2">
      <c r="X428" s="1769">
        <v>6423</v>
      </c>
    </row>
    <row r="429" spans="24:24" x14ac:dyDescent="0.2">
      <c r="X429" s="1769">
        <v>6430</v>
      </c>
    </row>
    <row r="430" spans="24:24" x14ac:dyDescent="0.2">
      <c r="X430" s="1769">
        <v>6431</v>
      </c>
    </row>
    <row r="431" spans="24:24" x14ac:dyDescent="0.2">
      <c r="X431" s="1769">
        <v>6432</v>
      </c>
    </row>
    <row r="432" spans="24:24" x14ac:dyDescent="0.2">
      <c r="X432" s="1769">
        <v>6433</v>
      </c>
    </row>
    <row r="433" spans="24:24" x14ac:dyDescent="0.2">
      <c r="X433" s="1769">
        <v>6434</v>
      </c>
    </row>
    <row r="434" spans="24:24" x14ac:dyDescent="0.2">
      <c r="X434" s="1769">
        <v>6435</v>
      </c>
    </row>
    <row r="435" spans="24:24" x14ac:dyDescent="0.2">
      <c r="X435" s="1769">
        <v>6436</v>
      </c>
    </row>
    <row r="436" spans="24:24" x14ac:dyDescent="0.2">
      <c r="X436" s="1769">
        <v>6437</v>
      </c>
    </row>
    <row r="437" spans="24:24" x14ac:dyDescent="0.2">
      <c r="X437" s="1769">
        <v>6438</v>
      </c>
    </row>
    <row r="438" spans="24:24" x14ac:dyDescent="0.2">
      <c r="X438" s="1769">
        <v>6439</v>
      </c>
    </row>
    <row r="439" spans="24:24" x14ac:dyDescent="0.2">
      <c r="X439" s="1769">
        <v>6440</v>
      </c>
    </row>
    <row r="440" spans="24:24" x14ac:dyDescent="0.2">
      <c r="X440" s="1769">
        <v>6441</v>
      </c>
    </row>
    <row r="441" spans="24:24" x14ac:dyDescent="0.2">
      <c r="X441" s="1769">
        <v>6442</v>
      </c>
    </row>
    <row r="442" spans="24:24" x14ac:dyDescent="0.2">
      <c r="X442" s="1769">
        <v>6443</v>
      </c>
    </row>
    <row r="443" spans="24:24" x14ac:dyDescent="0.2">
      <c r="X443" s="1769">
        <v>6444</v>
      </c>
    </row>
    <row r="444" spans="24:24" x14ac:dyDescent="0.2">
      <c r="X444" s="1769">
        <v>6445</v>
      </c>
    </row>
    <row r="445" spans="24:24" x14ac:dyDescent="0.2">
      <c r="X445" s="1769">
        <v>6446</v>
      </c>
    </row>
    <row r="446" spans="24:24" x14ac:dyDescent="0.2">
      <c r="X446" s="1769">
        <v>6447</v>
      </c>
    </row>
    <row r="447" spans="24:24" x14ac:dyDescent="0.2">
      <c r="X447" s="1769">
        <v>6448</v>
      </c>
    </row>
    <row r="448" spans="24:24" x14ac:dyDescent="0.2">
      <c r="X448" s="1769">
        <v>6449</v>
      </c>
    </row>
    <row r="449" spans="24:24" x14ac:dyDescent="0.2">
      <c r="X449" s="1769">
        <v>6450</v>
      </c>
    </row>
    <row r="450" spans="24:24" x14ac:dyDescent="0.2">
      <c r="X450" s="1769">
        <v>6451</v>
      </c>
    </row>
    <row r="451" spans="24:24" x14ac:dyDescent="0.2">
      <c r="X451" s="1769">
        <v>6452</v>
      </c>
    </row>
    <row r="452" spans="24:24" x14ac:dyDescent="0.2">
      <c r="X452" s="1769">
        <v>6453</v>
      </c>
    </row>
    <row r="453" spans="24:24" x14ac:dyDescent="0.2">
      <c r="X453" s="1769">
        <v>6454</v>
      </c>
    </row>
    <row r="454" spans="24:24" x14ac:dyDescent="0.2">
      <c r="X454" s="1769">
        <v>6455</v>
      </c>
    </row>
    <row r="455" spans="24:24" x14ac:dyDescent="0.2">
      <c r="X455" s="1769">
        <v>6456</v>
      </c>
    </row>
    <row r="456" spans="24:24" x14ac:dyDescent="0.2">
      <c r="X456" s="1769">
        <v>6457</v>
      </c>
    </row>
    <row r="457" spans="24:24" x14ac:dyDescent="0.2">
      <c r="X457" s="1769">
        <v>6600</v>
      </c>
    </row>
    <row r="458" spans="24:24" x14ac:dyDescent="0.2">
      <c r="X458" s="1769">
        <v>6601</v>
      </c>
    </row>
    <row r="459" spans="24:24" x14ac:dyDescent="0.2">
      <c r="X459" s="1769">
        <v>6602</v>
      </c>
    </row>
    <row r="460" spans="24:24" x14ac:dyDescent="0.2">
      <c r="X460" s="1769">
        <v>6603</v>
      </c>
    </row>
    <row r="461" spans="24:24" x14ac:dyDescent="0.2">
      <c r="X461" s="1769">
        <v>6604</v>
      </c>
    </row>
    <row r="462" spans="24:24" x14ac:dyDescent="0.2">
      <c r="X462" s="1769">
        <v>6605</v>
      </c>
    </row>
    <row r="463" spans="24:24" x14ac:dyDescent="0.2">
      <c r="X463" s="1769">
        <v>6606</v>
      </c>
    </row>
    <row r="464" spans="24:24" x14ac:dyDescent="0.2">
      <c r="X464" s="1769">
        <v>6607</v>
      </c>
    </row>
    <row r="465" spans="24:24" x14ac:dyDescent="0.2">
      <c r="X465" s="1769">
        <v>6608</v>
      </c>
    </row>
    <row r="466" spans="24:24" x14ac:dyDescent="0.2">
      <c r="X466" s="1769">
        <v>6609</v>
      </c>
    </row>
    <row r="467" spans="24:24" x14ac:dyDescent="0.2">
      <c r="X467" s="1769">
        <v>6610</v>
      </c>
    </row>
    <row r="468" spans="24:24" x14ac:dyDescent="0.2">
      <c r="X468" s="1769">
        <v>6611</v>
      </c>
    </row>
    <row r="469" spans="24:24" x14ac:dyDescent="0.2">
      <c r="X469" s="1769">
        <v>6612</v>
      </c>
    </row>
    <row r="470" spans="24:24" x14ac:dyDescent="0.2">
      <c r="X470" s="1769">
        <v>6613</v>
      </c>
    </row>
    <row r="471" spans="24:24" x14ac:dyDescent="0.2">
      <c r="X471" s="1769">
        <v>7060</v>
      </c>
    </row>
    <row r="472" spans="24:24" x14ac:dyDescent="0.2">
      <c r="X472" s="1769">
        <v>7080</v>
      </c>
    </row>
    <row r="473" spans="24:24" x14ac:dyDescent="0.2">
      <c r="X473" s="1769">
        <v>7100</v>
      </c>
    </row>
    <row r="474" spans="24:24" x14ac:dyDescent="0.2">
      <c r="X474" s="1769">
        <v>7200</v>
      </c>
    </row>
    <row r="475" spans="24:24" x14ac:dyDescent="0.2">
      <c r="X475" s="1769">
        <v>7201</v>
      </c>
    </row>
    <row r="476" spans="24:24" x14ac:dyDescent="0.2">
      <c r="X476" s="1769">
        <v>7202</v>
      </c>
    </row>
    <row r="477" spans="24:24" x14ac:dyDescent="0.2">
      <c r="X477" s="1769">
        <v>7203</v>
      </c>
    </row>
    <row r="478" spans="24:24" x14ac:dyDescent="0.2">
      <c r="X478" s="1769">
        <v>7204</v>
      </c>
    </row>
    <row r="479" spans="24:24" x14ac:dyDescent="0.2">
      <c r="X479" s="1769">
        <v>7205</v>
      </c>
    </row>
    <row r="480" spans="24:24" x14ac:dyDescent="0.2">
      <c r="X480" s="1769">
        <v>7206</v>
      </c>
    </row>
    <row r="481" spans="24:24" x14ac:dyDescent="0.2">
      <c r="X481" s="1769">
        <v>7207</v>
      </c>
    </row>
    <row r="482" spans="24:24" x14ac:dyDescent="0.2">
      <c r="X482" s="1769">
        <v>7509</v>
      </c>
    </row>
    <row r="483" spans="24:24" x14ac:dyDescent="0.2">
      <c r="X483" s="1769">
        <v>7501</v>
      </c>
    </row>
    <row r="484" spans="24:24" x14ac:dyDescent="0.2">
      <c r="X484" s="1769">
        <v>7502</v>
      </c>
    </row>
    <row r="485" spans="24:24" x14ac:dyDescent="0.2">
      <c r="X485" s="1769">
        <v>7503</v>
      </c>
    </row>
    <row r="486" spans="24:24" x14ac:dyDescent="0.2">
      <c r="X486" s="1769">
        <v>7504</v>
      </c>
    </row>
    <row r="487" spans="24:24" x14ac:dyDescent="0.2">
      <c r="X487" s="1769">
        <v>7505</v>
      </c>
    </row>
    <row r="488" spans="24:24" x14ac:dyDescent="0.2">
      <c r="X488" s="1769">
        <v>7506</v>
      </c>
    </row>
    <row r="489" spans="24:24" x14ac:dyDescent="0.2">
      <c r="X489" s="1769">
        <v>7507</v>
      </c>
    </row>
    <row r="490" spans="24:24" x14ac:dyDescent="0.2">
      <c r="X490" s="1769">
        <v>7508</v>
      </c>
    </row>
  </sheetData>
  <sheetProtection algorithmName="SHA-512" hashValue="8qzf2OUYhqFxjlQtthHe78NVxA3IpRAJSCsqfocDFyJGkptDrH5Zddpobivoxf9YBhsRylDtY73tZv8CwUvQeQ==" saltValue="IQVRYKT7ZWL7zoDGezA4cw==" spinCount="100000" sheet="1" objects="1" scenarios="1"/>
  <mergeCells count="70">
    <mergeCell ref="J25:K25"/>
    <mergeCell ref="A1:H1"/>
    <mergeCell ref="B3:K3"/>
    <mergeCell ref="B4:K4"/>
    <mergeCell ref="B5:K5"/>
    <mergeCell ref="B7:I7"/>
    <mergeCell ref="B9:I9"/>
    <mergeCell ref="B11:I11"/>
    <mergeCell ref="B13:I14"/>
    <mergeCell ref="B16:I17"/>
    <mergeCell ref="B19:I20"/>
    <mergeCell ref="J24:K24"/>
    <mergeCell ref="J37:K37"/>
    <mergeCell ref="J26:K26"/>
    <mergeCell ref="J27:K27"/>
    <mergeCell ref="J28:K28"/>
    <mergeCell ref="J29:K29"/>
    <mergeCell ref="J30:K30"/>
    <mergeCell ref="J31:K31"/>
    <mergeCell ref="J32:K32"/>
    <mergeCell ref="J33:K33"/>
    <mergeCell ref="J34:K34"/>
    <mergeCell ref="J35:K35"/>
    <mergeCell ref="J36:K36"/>
    <mergeCell ref="J49:K49"/>
    <mergeCell ref="J38:K38"/>
    <mergeCell ref="J39:K39"/>
    <mergeCell ref="J40:K40"/>
    <mergeCell ref="J41:K41"/>
    <mergeCell ref="J42:K42"/>
    <mergeCell ref="J43:K43"/>
    <mergeCell ref="J44:K44"/>
    <mergeCell ref="J45:K45"/>
    <mergeCell ref="J46:K46"/>
    <mergeCell ref="J47:K47"/>
    <mergeCell ref="J48:K48"/>
    <mergeCell ref="J61:K61"/>
    <mergeCell ref="J50:K50"/>
    <mergeCell ref="J51:K51"/>
    <mergeCell ref="J52:K52"/>
    <mergeCell ref="J53:K53"/>
    <mergeCell ref="J54:K54"/>
    <mergeCell ref="J55:K55"/>
    <mergeCell ref="J56:K56"/>
    <mergeCell ref="J57:K57"/>
    <mergeCell ref="J58:K58"/>
    <mergeCell ref="J59:K59"/>
    <mergeCell ref="J60:K60"/>
    <mergeCell ref="J73:K73"/>
    <mergeCell ref="J62:K62"/>
    <mergeCell ref="J63:K63"/>
    <mergeCell ref="J64:K64"/>
    <mergeCell ref="J65:K65"/>
    <mergeCell ref="J66:K66"/>
    <mergeCell ref="J67:K67"/>
    <mergeCell ref="J68:K68"/>
    <mergeCell ref="J69:K69"/>
    <mergeCell ref="J70:K70"/>
    <mergeCell ref="J71:K71"/>
    <mergeCell ref="J72:K72"/>
    <mergeCell ref="J80:K80"/>
    <mergeCell ref="J81:K81"/>
    <mergeCell ref="J82:K82"/>
    <mergeCell ref="J83:K83"/>
    <mergeCell ref="J74:K74"/>
    <mergeCell ref="J75:K75"/>
    <mergeCell ref="J76:K76"/>
    <mergeCell ref="J77:K77"/>
    <mergeCell ref="J78:K78"/>
    <mergeCell ref="J79:K79"/>
  </mergeCells>
  <conditionalFormatting sqref="J11">
    <cfRule type="expression" dxfId="82" priority="1">
      <formula>$R$11=2</formula>
    </cfRule>
  </conditionalFormatting>
  <dataValidations count="14">
    <dataValidation operator="greaterThan" allowBlank="1" showInputMessage="1" showErrorMessage="1" errorTitle="Mismatch Amount" error="Amount should be greater than 0!" sqref="H87 H85" xr:uid="{00C57321-C702-48C8-91BA-6C8F1EF144BF}"/>
    <dataValidation type="list" allowBlank="1" showInputMessage="1" showErrorMessage="1" errorTitle="Method used!" sqref="I25:I83" xr:uid="{CAC8F49F-2091-49BC-92F8-96AE8F3F57B4}">
      <formula1>$Y$3:$Y$8</formula1>
    </dataValidation>
    <dataValidation type="whole" operator="greaterThan" allowBlank="1" showInputMessage="1" showErrorMessage="1" errorTitle="Arrangement amount" error="Insert whole number greater than 0!" sqref="G25:H83" xr:uid="{F7CFDD1D-D3F5-41D8-A0F0-CEA5B2B8A1BF}">
      <formula1>0</formula1>
    </dataValidation>
    <dataValidation errorStyle="warning" allowBlank="1" showInputMessage="1" showErrorMessage="1" sqref="X243:X490" xr:uid="{2A4AEE56-B57F-4C04-A988-131273156AFF}"/>
    <dataValidation type="textLength" operator="greaterThan" allowBlank="1" showInputMessage="1" showErrorMessage="1" errorTitle="Name of Associated Enterprise" sqref="B25" xr:uid="{EBDEEE6B-4118-4335-B16B-6B9413EB36B5}">
      <formula1>4</formula1>
    </dataValidation>
    <dataValidation type="textLength" operator="greaterThan" allowBlank="1" showInputMessage="1" showErrorMessage="1" errorTitle="Description of arrangement" error="Enter proper description_x000a_" sqref="E25:E83" xr:uid="{B6395586-7573-49FC-A7ED-964779F131B4}">
      <formula1>4</formula1>
    </dataValidation>
    <dataValidation type="list" allowBlank="1" showInputMessage="1" showErrorMessage="1" sqref="J7 J9 J13 J16 J19 J11 F90" xr:uid="{2A3F60F3-49E1-4C9B-AC87-A832EF2F3FD2}">
      <formula1>$Q$2:$Q$3</formula1>
    </dataValidation>
    <dataValidation type="list" operator="greaterThanOrEqual" allowBlank="1" showInputMessage="1" showErrorMessage="1" errorTitle="TIN" error="Insert correct TIN number" sqref="D26:D83" xr:uid="{8786E6AB-6A93-422B-B223-7A1C4A9F2FDE}">
      <formula1>$W$3:$W$110</formula1>
    </dataValidation>
    <dataValidation type="list" allowBlank="1" showInputMessage="1" showErrorMessage="1" sqref="C25:C83" xr:uid="{02DB7D9C-10A4-4782-8999-98D63B95B765}">
      <formula1>$V$3:$V$15</formula1>
    </dataValidation>
    <dataValidation type="textLength" operator="greaterThan" allowBlank="1" showInputMessage="1" showErrorMessage="1" sqref="B26:B83" xr:uid="{EBDEFAD9-3666-4035-A4CD-FCBA904A5DF8}">
      <formula1>4</formula1>
    </dataValidation>
    <dataValidation type="list" allowBlank="1" showInputMessage="1" showErrorMessage="1" sqref="G25:H83" xr:uid="{A6F6E719-4C63-46A8-999A-1E08BDE17BB7}">
      <formula1>$AA$1:$AA$3</formula1>
    </dataValidation>
    <dataValidation type="whole" operator="greaterThan" allowBlank="1" showInputMessage="1" showErrorMessage="1" errorTitle="Mismatch Amount" error="Amount should be greater than 0!" sqref="G25:H83 F84:G88 H88 H84 H86" xr:uid="{ED5C1BC6-1FD9-465F-8D23-2FD17D7D1CED}">
      <formula1>0</formula1>
    </dataValidation>
    <dataValidation type="list" operator="greaterThanOrEqual" allowBlank="1" showInputMessage="1" showErrorMessage="1" errorTitle="Jurisdiction" error="Select jurisdiction" sqref="D25" xr:uid="{DF71602C-03E2-41EA-ACA6-A5FE7EB87770}">
      <formula1>$W$3:$W$110</formula1>
    </dataValidation>
    <dataValidation type="textLength" operator="equal" allowBlank="1" showInputMessage="1" showErrorMessage="1" sqref="F25:F35 F37:F83" xr:uid="{46FDE57A-37FA-4A99-B407-2BC3E8519203}">
      <formula1>4</formula1>
    </dataValidation>
  </dataValidations>
  <hyperlinks>
    <hyperlink ref="B94" location="Index!B126" display="B A C K   T O   I N D E X" xr:uid="{207B5DEE-4832-466A-8F2E-DC59E18805E4}"/>
  </hyperlinks>
  <pageMargins left="0.7" right="0.7" top="0.75" bottom="0.75" header="0.3" footer="0.3"/>
  <legacy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804D-74C1-4395-8C16-8EC7F8ADC274}">
  <dimension ref="A1:U327"/>
  <sheetViews>
    <sheetView zoomScale="112" zoomScaleNormal="112" workbookViewId="0">
      <selection activeCell="I34" sqref="I34"/>
    </sheetView>
  </sheetViews>
  <sheetFormatPr defaultColWidth="0" defaultRowHeight="12.75" zeroHeight="1" x14ac:dyDescent="0.2"/>
  <cols>
    <col min="1" max="1" width="1.7109375" style="1485" customWidth="1"/>
    <col min="2" max="2" width="24" style="1485" customWidth="1"/>
    <col min="3" max="3" width="24.28515625" style="1485" customWidth="1"/>
    <col min="4" max="4" width="33.7109375" style="1485" customWidth="1"/>
    <col min="5" max="5" width="12.5703125" style="1485" customWidth="1"/>
    <col min="6" max="6" width="12.42578125" style="1485" customWidth="1"/>
    <col min="7" max="7" width="12.7109375" style="1485" customWidth="1"/>
    <col min="8" max="8" width="12.28515625" style="1485" customWidth="1"/>
    <col min="9" max="9" width="18" style="1485" customWidth="1"/>
    <col min="10" max="10" width="1.7109375" style="1485" hidden="1" customWidth="1"/>
    <col min="11" max="11" width="8.7109375" style="1485" hidden="1" customWidth="1"/>
    <col min="12" max="16384" width="9.28515625" style="1485" hidden="1"/>
  </cols>
  <sheetData>
    <row r="1" spans="1:21" ht="14.25" x14ac:dyDescent="0.2">
      <c r="A1" s="5371" t="str">
        <f>_ref1</f>
      </c>
      <c r="B1" s="5371"/>
      <c r="C1" s="5371"/>
      <c r="D1" s="5371"/>
      <c r="E1" s="5371"/>
      <c r="F1" s="5371"/>
      <c r="G1" s="3314"/>
      <c r="H1" s="4173" t="str">
        <f>_YA1</f>
      </c>
      <c r="I1" s="3686"/>
      <c r="L1" s="1736" t="s">
        <v>10746</v>
      </c>
      <c r="M1" s="1485">
        <f>'p2'!G43</f>
      </c>
    </row>
    <row r="2" spans="1:21" ht="14.25" x14ac:dyDescent="0.2">
      <c r="A2" s="3313"/>
      <c r="B2" s="3313"/>
      <c r="C2" s="3313"/>
      <c r="D2" s="3313"/>
      <c r="E2" s="3313"/>
      <c r="F2" s="3313"/>
      <c r="G2" s="3314"/>
      <c r="H2" s="3686"/>
      <c r="I2" s="3686"/>
      <c r="L2" s="1485" t="s">
        <v>10720</v>
      </c>
      <c r="M2" s="1485" t="str">
        <f>'p2'!G36</f>
      </c>
      <c r="Q2" s="1485" t="s">
        <v>4457</v>
      </c>
      <c r="R2" s="1485" t="s">
        <v>10721</v>
      </c>
      <c r="U2" s="1485" t="s">
        <v>10756</v>
      </c>
    </row>
    <row r="3" spans="1:21" ht="15" x14ac:dyDescent="0.25">
      <c r="A3" s="3686"/>
      <c r="B3" s="4174" t="s">
        <v>10722</v>
      </c>
      <c r="C3" s="3669"/>
      <c r="D3" s="3669"/>
      <c r="E3" s="3669"/>
      <c r="F3" s="3669"/>
      <c r="G3" s="3669"/>
      <c r="H3" s="4175"/>
      <c r="I3" s="3686"/>
      <c r="K3" s="3571"/>
      <c r="L3" s="3621" t="s">
        <v>7439</v>
      </c>
      <c r="M3" s="3621" t="s">
        <v>7161</v>
      </c>
      <c r="N3" s="3571"/>
      <c r="O3" s="3571"/>
      <c r="P3" s="3571"/>
      <c r="Q3" s="2845" t="s">
        <v>1736</v>
      </c>
      <c r="R3" s="2845"/>
      <c r="U3" s="1485" t="s">
        <v>10757</v>
      </c>
    </row>
    <row r="4" spans="1:21" ht="15" x14ac:dyDescent="0.25">
      <c r="A4" s="3686"/>
      <c r="B4" s="3663" t="s">
        <v>10749</v>
      </c>
      <c r="C4" s="3664"/>
      <c r="D4" s="3665"/>
      <c r="E4" s="3665"/>
      <c r="F4" s="3665"/>
      <c r="G4" s="3665"/>
      <c r="H4" s="3666"/>
      <c r="I4" s="3686"/>
      <c r="K4" s="3571"/>
      <c r="L4" s="3621">
        <f>SUM(L5:L322)</f>
      </c>
      <c r="M4" s="3621">
        <f>SUM(M6:M121)</f>
      </c>
      <c r="N4" s="3571"/>
      <c r="O4" s="3571"/>
      <c r="P4" s="3571"/>
      <c r="Q4" s="2845"/>
      <c r="R4" s="2845"/>
      <c r="U4" s="1485" t="s">
        <v>10758</v>
      </c>
    </row>
    <row r="5" spans="1:21" ht="14.25" x14ac:dyDescent="0.2">
      <c r="A5" s="3686"/>
      <c r="B5" s="5494" t="str">
        <f>IF(AND(M1="n",M4&gt;0),"Check page 2, Question 37","")</f>
        <v/>
      </c>
      <c r="C5" s="5494"/>
      <c r="D5" s="5494"/>
      <c r="E5" s="5494"/>
      <c r="F5" s="5494"/>
      <c r="G5" s="5494"/>
      <c r="H5" s="5494"/>
      <c r="I5" s="3686"/>
      <c r="K5" s="3571"/>
      <c r="L5" s="1485">
        <f>IF(B5&lt;&gt;"",1,0)</f>
      </c>
      <c r="N5" s="3571"/>
      <c r="O5" s="3571"/>
      <c r="P5" s="3571"/>
      <c r="Q5" s="2845"/>
      <c r="R5" s="2845"/>
      <c r="U5" s="1485" t="s">
        <v>10759</v>
      </c>
    </row>
    <row r="6" spans="1:21" ht="15" customHeight="1" x14ac:dyDescent="0.2">
      <c r="A6" s="3686"/>
      <c r="B6" s="3603" t="s">
        <v>10723</v>
      </c>
      <c r="C6" s="3603"/>
      <c r="D6" s="4176"/>
      <c r="E6" s="4176"/>
      <c r="F6" s="4176"/>
      <c r="G6" s="4195"/>
      <c r="H6" s="4134" t="str">
        <f>IF(AND($M$1="y",G6=""),re,IF(AND(OR($M$1="",$M$1="n"),G6&lt;&gt;""),"Delete!",""))</f>
        <v/>
      </c>
      <c r="I6" s="3686"/>
      <c r="K6" s="3571"/>
      <c r="L6" s="1485">
        <f>IF(H6&lt;&gt;"",1,0)</f>
      </c>
      <c r="M6" s="1485">
        <f>COUNTA(G6)</f>
      </c>
      <c r="N6" s="3571"/>
      <c r="O6" s="3571"/>
      <c r="P6" s="3571"/>
      <c r="Q6" s="2845"/>
      <c r="R6" s="2845"/>
    </row>
    <row r="7" spans="1:21" ht="15" customHeight="1" x14ac:dyDescent="0.2">
      <c r="A7" s="3686"/>
      <c r="B7" s="3603"/>
      <c r="C7" s="3603"/>
      <c r="D7" s="4176"/>
      <c r="E7" s="4176"/>
      <c r="F7" s="4176"/>
      <c r="G7" s="4176"/>
      <c r="H7" s="4176"/>
      <c r="I7" s="3686"/>
      <c r="K7" s="3571"/>
      <c r="N7" s="3571"/>
      <c r="O7" s="3571"/>
      <c r="P7" s="3571"/>
      <c r="Q7" s="2845"/>
      <c r="R7" s="2845"/>
    </row>
    <row r="8" spans="1:21" ht="15" hidden="1" customHeight="1" x14ac:dyDescent="0.2">
      <c r="A8" s="3686"/>
      <c r="B8" s="3603"/>
      <c r="C8" s="3603"/>
      <c r="D8" s="4176"/>
      <c r="E8" s="4176"/>
      <c r="F8" s="4176"/>
      <c r="G8" s="4176"/>
      <c r="H8" s="4134"/>
      <c r="I8" s="3686"/>
      <c r="K8" s="3571"/>
      <c r="N8" s="3571"/>
      <c r="O8" s="3571"/>
      <c r="P8" s="3571"/>
      <c r="Q8" s="2845"/>
      <c r="R8" s="2845"/>
    </row>
    <row r="9" spans="1:21" ht="15" hidden="1" customHeight="1" x14ac:dyDescent="0.2">
      <c r="A9" s="3686"/>
      <c r="B9" s="3603"/>
      <c r="C9" s="3603"/>
      <c r="D9" s="4176"/>
      <c r="E9" s="4176"/>
      <c r="F9" s="4176"/>
      <c r="G9" s="4176"/>
      <c r="H9" s="4134"/>
      <c r="I9" s="3686"/>
      <c r="K9" s="3571"/>
      <c r="N9" s="3571"/>
      <c r="O9" s="3571"/>
      <c r="P9" s="3571"/>
      <c r="Q9" s="2845"/>
      <c r="R9" s="2845"/>
    </row>
    <row r="10" spans="1:21" ht="15" hidden="1" customHeight="1" x14ac:dyDescent="0.2">
      <c r="A10" s="3686"/>
      <c r="B10" s="3603"/>
      <c r="C10" s="3603"/>
      <c r="D10" s="4176"/>
      <c r="E10" s="4176"/>
      <c r="F10" s="4176"/>
      <c r="G10" s="4176"/>
      <c r="H10" s="4134"/>
      <c r="I10" s="3686"/>
      <c r="K10" s="3571"/>
      <c r="N10" s="3571"/>
      <c r="O10" s="3571"/>
      <c r="P10" s="3571"/>
      <c r="Q10" s="2845"/>
      <c r="R10" s="2845"/>
    </row>
    <row r="11" spans="1:21" ht="15" hidden="1" customHeight="1" x14ac:dyDescent="0.2">
      <c r="A11" s="3686"/>
      <c r="B11" s="3603"/>
      <c r="C11" s="3603"/>
      <c r="D11" s="4176"/>
      <c r="E11" s="4176"/>
      <c r="F11" s="4176"/>
      <c r="G11" s="4176"/>
      <c r="H11" s="4134"/>
      <c r="I11" s="3686"/>
      <c r="K11" s="3571"/>
      <c r="N11" s="3571"/>
      <c r="O11" s="3571"/>
      <c r="P11" s="3571"/>
      <c r="Q11" s="2845"/>
      <c r="R11" s="2845"/>
    </row>
    <row r="12" spans="1:21" ht="15" customHeight="1" x14ac:dyDescent="0.2">
      <c r="A12" s="3686"/>
      <c r="B12" s="5487" t="s">
        <v>10754</v>
      </c>
      <c r="C12" s="5487"/>
      <c r="D12" s="5487"/>
      <c r="E12" s="5487"/>
      <c r="F12" s="4199"/>
      <c r="G12" s="4195"/>
      <c r="H12" s="4134" t="str">
        <f>IF(AND($M$1="y",G6="Yes",G12=""),re,IF(OR(AND(OR(M1="",M1="n"),G12&lt;&gt;""),OR(AND(M1="y",G6="yes",G12="no"))),"Check pg 2 Q37!",IF(AND(G6="no",G12&lt;&gt;""),"Delete!","")))</f>
        <v/>
      </c>
      <c r="I12" s="3686"/>
      <c r="K12" s="3571"/>
      <c r="L12" s="1485">
        <f>IF(H12&lt;&gt;"",1,0)</f>
      </c>
      <c r="M12" s="1485">
        <f>COUNTA(G12)</f>
      </c>
      <c r="N12" s="3571"/>
      <c r="O12" s="3571"/>
      <c r="P12" s="3571"/>
      <c r="Q12" s="2845"/>
      <c r="R12" s="2845"/>
    </row>
    <row r="13" spans="1:21" ht="15" customHeight="1" x14ac:dyDescent="0.2">
      <c r="A13" s="3686"/>
      <c r="B13" s="5487"/>
      <c r="C13" s="5487"/>
      <c r="D13" s="5487"/>
      <c r="E13" s="5487"/>
      <c r="F13" s="4199"/>
      <c r="G13" s="4176"/>
      <c r="H13" s="4134"/>
      <c r="I13" s="3686"/>
      <c r="K13" s="3571"/>
      <c r="N13" s="3571"/>
      <c r="O13" s="3571"/>
      <c r="P13" s="3571"/>
      <c r="Q13" s="2845"/>
      <c r="R13" s="2845"/>
    </row>
    <row r="14" spans="1:21" ht="15" customHeight="1" x14ac:dyDescent="0.2">
      <c r="A14" s="3686"/>
      <c r="B14" s="5487"/>
      <c r="C14" s="5487"/>
      <c r="D14" s="5487"/>
      <c r="E14" s="5487"/>
      <c r="F14" s="4199"/>
      <c r="G14" s="4176"/>
      <c r="H14" s="3686"/>
      <c r="I14" s="4136"/>
      <c r="K14" s="3571"/>
      <c r="L14" s="3571"/>
      <c r="M14" s="3571"/>
      <c r="N14" s="3571"/>
      <c r="O14" s="3571"/>
      <c r="P14" s="3571"/>
      <c r="Q14" s="2845"/>
      <c r="R14" s="2845"/>
    </row>
    <row r="15" spans="1:21" ht="15" hidden="1" customHeight="1" x14ac:dyDescent="0.2">
      <c r="A15" s="3686"/>
      <c r="B15" s="4135"/>
      <c r="C15" s="4135"/>
      <c r="D15" s="4135"/>
      <c r="E15" s="4135"/>
      <c r="F15" s="4199"/>
      <c r="G15" s="4176"/>
      <c r="H15" s="3686"/>
      <c r="I15" s="4136"/>
      <c r="K15" s="3571"/>
      <c r="L15" s="3571"/>
      <c r="M15" s="3571"/>
      <c r="N15" s="3571"/>
      <c r="O15" s="3571"/>
      <c r="P15" s="3571"/>
      <c r="Q15" s="2845"/>
      <c r="R15" s="2845"/>
    </row>
    <row r="16" spans="1:21" ht="15" hidden="1" customHeight="1" x14ac:dyDescent="0.2">
      <c r="A16" s="3686"/>
      <c r="B16" s="4135"/>
      <c r="C16" s="4135"/>
      <c r="D16" s="4135"/>
      <c r="E16" s="4135"/>
      <c r="F16" s="4199"/>
      <c r="G16" s="4176"/>
      <c r="H16" s="3686"/>
      <c r="I16" s="4136"/>
      <c r="K16" s="3571"/>
      <c r="L16" s="3571"/>
      <c r="M16" s="3571"/>
      <c r="N16" s="3571"/>
      <c r="O16" s="3571"/>
      <c r="P16" s="3571"/>
      <c r="Q16" s="2845"/>
      <c r="R16" s="2845"/>
    </row>
    <row r="17" spans="1:18" ht="15" hidden="1" customHeight="1" x14ac:dyDescent="0.2">
      <c r="A17" s="3686"/>
      <c r="B17" s="4135"/>
      <c r="C17" s="4135"/>
      <c r="D17" s="4135"/>
      <c r="E17" s="4135"/>
      <c r="F17" s="4199"/>
      <c r="G17" s="4176"/>
      <c r="H17" s="3686"/>
      <c r="I17" s="4136"/>
      <c r="K17" s="3571"/>
      <c r="L17" s="3571"/>
      <c r="M17" s="3571"/>
      <c r="N17" s="3571"/>
      <c r="O17" s="3571"/>
      <c r="P17" s="3571"/>
      <c r="Q17" s="2845"/>
      <c r="R17" s="2845"/>
    </row>
    <row r="18" spans="1:18" ht="15" hidden="1" customHeight="1" x14ac:dyDescent="0.2">
      <c r="A18" s="3686"/>
      <c r="B18" s="4135"/>
      <c r="C18" s="4135"/>
      <c r="D18" s="4135"/>
      <c r="E18" s="4135"/>
      <c r="F18" s="4199"/>
      <c r="G18" s="4176"/>
      <c r="H18" s="3686"/>
      <c r="I18" s="4136"/>
      <c r="K18" s="3571"/>
      <c r="L18" s="3571"/>
      <c r="M18" s="3571"/>
      <c r="N18" s="3571"/>
      <c r="O18" s="3571"/>
      <c r="P18" s="3571"/>
      <c r="Q18" s="2845"/>
      <c r="R18" s="2845"/>
    </row>
    <row r="19" spans="1:18" ht="15" hidden="1" customHeight="1" x14ac:dyDescent="0.2">
      <c r="A19" s="3686"/>
      <c r="B19" s="4135"/>
      <c r="C19" s="4135"/>
      <c r="D19" s="4135"/>
      <c r="E19" s="4135"/>
      <c r="F19" s="4199"/>
      <c r="G19" s="4176"/>
      <c r="H19" s="3686"/>
      <c r="I19" s="4136"/>
      <c r="K19" s="3571"/>
      <c r="L19" s="3571"/>
      <c r="M19" s="3571"/>
      <c r="N19" s="3571"/>
      <c r="O19" s="3571"/>
      <c r="P19" s="3571"/>
      <c r="Q19" s="2845"/>
      <c r="R19" s="2845"/>
    </row>
    <row r="20" spans="1:18" ht="15" hidden="1" customHeight="1" x14ac:dyDescent="0.2">
      <c r="A20" s="3686"/>
      <c r="B20" s="4135"/>
      <c r="C20" s="4135"/>
      <c r="D20" s="4135"/>
      <c r="E20" s="4135"/>
      <c r="F20" s="4199"/>
      <c r="G20" s="4176"/>
      <c r="H20" s="3686"/>
      <c r="I20" s="4136"/>
      <c r="K20" s="3571"/>
      <c r="L20" s="3571"/>
      <c r="M20" s="3571"/>
      <c r="N20" s="3571"/>
      <c r="O20" s="3571"/>
      <c r="P20" s="3571"/>
      <c r="Q20" s="2845"/>
      <c r="R20" s="2845"/>
    </row>
    <row r="21" spans="1:18" ht="15" customHeight="1" x14ac:dyDescent="0.2">
      <c r="A21" s="3686"/>
      <c r="B21" s="3603" t="s">
        <v>10750</v>
      </c>
      <c r="C21" s="4176"/>
      <c r="D21" s="4176"/>
      <c r="E21" s="4176"/>
      <c r="F21" s="4176"/>
      <c r="G21" s="4195"/>
      <c r="H21" s="4134" t="str">
        <f>IF(M1="n","",IF(AND(G6="no",G21&lt;&gt;""),"Delete!",IF(AND(G6="yes",G21=""),re,"")))</f>
        <v/>
      </c>
      <c r="I21" s="4136"/>
      <c r="K21" s="3571"/>
      <c r="L21" s="1485">
        <f>IF(H21&lt;&gt;"",1,0)</f>
      </c>
      <c r="M21" s="1485">
        <f>COUNTA(G21)</f>
      </c>
      <c r="N21" s="3571"/>
      <c r="O21" s="3571"/>
      <c r="P21" s="3571"/>
      <c r="Q21" s="2845"/>
      <c r="R21" s="2845"/>
    </row>
    <row r="22" spans="1:18" ht="15" hidden="1" customHeight="1" x14ac:dyDescent="0.2">
      <c r="A22" s="3686"/>
      <c r="B22" s="3603"/>
      <c r="C22" s="4176"/>
      <c r="D22" s="4176"/>
      <c r="E22" s="4176"/>
      <c r="F22" s="4176"/>
      <c r="G22" s="4176"/>
      <c r="H22" s="4134"/>
      <c r="I22" s="4136"/>
      <c r="K22" s="3571"/>
      <c r="N22" s="3571"/>
      <c r="O22" s="3571"/>
      <c r="P22" s="3571"/>
      <c r="Q22" s="2845"/>
      <c r="R22" s="2845"/>
    </row>
    <row r="23" spans="1:18" ht="15" hidden="1" customHeight="1" x14ac:dyDescent="0.2">
      <c r="A23" s="3686"/>
      <c r="B23" s="3603"/>
      <c r="C23" s="4176"/>
      <c r="D23" s="4176"/>
      <c r="E23" s="4176"/>
      <c r="F23" s="4176"/>
      <c r="G23" s="4176"/>
      <c r="H23" s="4134"/>
      <c r="I23" s="4136"/>
      <c r="K23" s="3571"/>
      <c r="N23" s="3571"/>
      <c r="O23" s="3571"/>
      <c r="P23" s="3571"/>
      <c r="Q23" s="2845"/>
      <c r="R23" s="2845"/>
    </row>
    <row r="24" spans="1:18" ht="15" hidden="1" customHeight="1" x14ac:dyDescent="0.2">
      <c r="A24" s="3686"/>
      <c r="B24" s="3603"/>
      <c r="C24" s="4176"/>
      <c r="D24" s="4176"/>
      <c r="E24" s="4176"/>
      <c r="F24" s="4176"/>
      <c r="G24" s="4176"/>
      <c r="H24" s="4134"/>
      <c r="I24" s="4136"/>
      <c r="K24" s="3571"/>
      <c r="N24" s="3571"/>
      <c r="O24" s="3571"/>
      <c r="P24" s="3571"/>
      <c r="Q24" s="2845"/>
      <c r="R24" s="2845"/>
    </row>
    <row r="25" spans="1:18" ht="15" hidden="1" customHeight="1" x14ac:dyDescent="0.2">
      <c r="A25" s="3686"/>
      <c r="B25" s="3603"/>
      <c r="C25" s="4176"/>
      <c r="D25" s="4176"/>
      <c r="E25" s="4176"/>
      <c r="F25" s="4176"/>
      <c r="G25" s="4176"/>
      <c r="H25" s="4134"/>
      <c r="I25" s="4136"/>
      <c r="K25" s="3571"/>
      <c r="N25" s="3571"/>
      <c r="O25" s="3571"/>
      <c r="P25" s="3571"/>
      <c r="Q25" s="2845"/>
      <c r="R25" s="2845"/>
    </row>
    <row r="26" spans="1:18" ht="15" customHeight="1" x14ac:dyDescent="0.2">
      <c r="A26" s="3686"/>
      <c r="B26" s="3603"/>
      <c r="C26" s="4176"/>
      <c r="D26" s="4176"/>
      <c r="E26" s="4176"/>
      <c r="F26" s="4176"/>
      <c r="G26" s="4176"/>
      <c r="H26" s="4134"/>
      <c r="I26" s="4136"/>
      <c r="K26" s="3571"/>
      <c r="N26" s="3571"/>
      <c r="O26" s="3571"/>
      <c r="P26" s="3571"/>
      <c r="Q26" s="2845"/>
      <c r="R26" s="2845"/>
    </row>
    <row r="27" spans="1:18" ht="15" customHeight="1" x14ac:dyDescent="0.2">
      <c r="A27" s="3686"/>
      <c r="B27" s="5487" t="s">
        <v>10755</v>
      </c>
      <c r="C27" s="5487"/>
      <c r="D27" s="5487"/>
      <c r="E27" s="5487"/>
      <c r="F27" s="5495"/>
      <c r="G27" s="5496"/>
      <c r="H27" s="4134" t="str">
        <f>IF(M1="n","",IF(AND(G6="no",F27&lt;&gt;""),"Delete!",IF(AND(G6="yes",F27=""),re,"")))</f>
        <v/>
      </c>
      <c r="I27" s="4136"/>
      <c r="K27" s="3571"/>
      <c r="L27" s="1485">
        <f>IF(H27&lt;&gt;"",1,0)</f>
      </c>
      <c r="M27" s="1485">
        <f>COUNTA(F27)</f>
      </c>
      <c r="N27" s="3571"/>
      <c r="O27" s="3571"/>
      <c r="P27" s="3571"/>
      <c r="Q27" s="2845"/>
      <c r="R27" s="2845"/>
    </row>
    <row r="28" spans="1:18" ht="15" customHeight="1" x14ac:dyDescent="0.2">
      <c r="A28" s="3686"/>
      <c r="B28" s="5487"/>
      <c r="C28" s="5487"/>
      <c r="D28" s="5487"/>
      <c r="E28" s="5487"/>
      <c r="F28" s="4176"/>
      <c r="G28" s="4176"/>
      <c r="H28" s="4134"/>
      <c r="I28" s="4136"/>
      <c r="K28" s="3571"/>
      <c r="N28" s="3571"/>
      <c r="O28" s="3571"/>
      <c r="P28" s="3571"/>
      <c r="Q28" s="2845"/>
      <c r="R28" s="2845"/>
    </row>
    <row r="29" spans="1:18" ht="15" customHeight="1" x14ac:dyDescent="0.2">
      <c r="A29" s="3686"/>
      <c r="B29" s="4135"/>
      <c r="C29" s="4135"/>
      <c r="D29" s="4135"/>
      <c r="E29" s="4135"/>
      <c r="F29" s="4176"/>
      <c r="G29" s="4176"/>
      <c r="H29" s="4134"/>
      <c r="I29" s="4136"/>
      <c r="K29" s="3571"/>
      <c r="N29" s="3571"/>
      <c r="O29" s="3571"/>
      <c r="P29" s="3571"/>
      <c r="Q29" s="2845"/>
      <c r="R29" s="2845"/>
    </row>
    <row r="30" spans="1:18" ht="15" hidden="1" customHeight="1" x14ac:dyDescent="0.2">
      <c r="A30" s="3686"/>
      <c r="B30" s="4135"/>
      <c r="C30" s="4135"/>
      <c r="D30" s="4135"/>
      <c r="E30" s="4135"/>
      <c r="F30" s="4176"/>
      <c r="G30" s="4176"/>
      <c r="H30" s="4134"/>
      <c r="I30" s="4136"/>
      <c r="K30" s="3571"/>
      <c r="N30" s="3571"/>
      <c r="O30" s="3571"/>
      <c r="P30" s="3571"/>
      <c r="Q30" s="2845"/>
      <c r="R30" s="2845"/>
    </row>
    <row r="31" spans="1:18" ht="15" hidden="1" customHeight="1" x14ac:dyDescent="0.2">
      <c r="A31" s="3686"/>
      <c r="B31" s="4135"/>
      <c r="C31" s="4135"/>
      <c r="D31" s="4135"/>
      <c r="E31" s="4135"/>
      <c r="F31" s="4176"/>
      <c r="G31" s="4176"/>
      <c r="H31" s="4134"/>
      <c r="I31" s="4136"/>
      <c r="K31" s="3571"/>
      <c r="N31" s="3571"/>
      <c r="O31" s="3571"/>
      <c r="P31" s="3571"/>
      <c r="Q31" s="2845"/>
      <c r="R31" s="2845"/>
    </row>
    <row r="32" spans="1:18" ht="15" hidden="1" customHeight="1" x14ac:dyDescent="0.2">
      <c r="A32" s="3686"/>
      <c r="B32" s="4135"/>
      <c r="C32" s="4135"/>
      <c r="D32" s="4135"/>
      <c r="E32" s="4135"/>
      <c r="F32" s="4176"/>
      <c r="G32" s="4176"/>
      <c r="H32" s="4134"/>
      <c r="I32" s="4136"/>
      <c r="K32" s="3571"/>
      <c r="N32" s="3571"/>
      <c r="O32" s="3571"/>
      <c r="P32" s="3571"/>
      <c r="Q32" s="2845"/>
      <c r="R32" s="2845"/>
    </row>
    <row r="33" spans="1:19" ht="15" hidden="1" customHeight="1" x14ac:dyDescent="0.2">
      <c r="A33" s="3686"/>
      <c r="B33" s="4135"/>
      <c r="C33" s="4135"/>
      <c r="D33" s="4135"/>
      <c r="E33" s="4135"/>
      <c r="F33" s="4176"/>
      <c r="G33" s="4176"/>
      <c r="H33" s="4134"/>
      <c r="I33" s="4136"/>
      <c r="K33" s="3571"/>
      <c r="N33" s="3571"/>
      <c r="O33" s="3571"/>
      <c r="P33" s="3571"/>
      <c r="Q33" s="2845"/>
      <c r="R33" s="2845"/>
    </row>
    <row r="34" spans="1:19" ht="15" customHeight="1" x14ac:dyDescent="0.2">
      <c r="A34" s="3686"/>
      <c r="B34" s="4177" t="s">
        <v>10724</v>
      </c>
      <c r="C34" s="4177"/>
      <c r="D34" s="3139"/>
      <c r="E34" s="3153"/>
      <c r="F34" s="3139"/>
      <c r="G34" s="3139"/>
      <c r="H34" s="3686"/>
      <c r="I34" s="3139"/>
      <c r="K34" s="3571"/>
      <c r="L34" s="3571"/>
      <c r="M34" s="3571"/>
      <c r="N34" s="3571"/>
      <c r="O34" s="3571"/>
      <c r="P34" s="3571"/>
      <c r="Q34" s="2845"/>
      <c r="R34" s="2845"/>
    </row>
    <row r="35" spans="1:19" ht="15" customHeight="1" x14ac:dyDescent="0.2">
      <c r="A35" s="3686"/>
      <c r="B35" s="5491" t="s">
        <v>10725</v>
      </c>
      <c r="C35" s="5491"/>
      <c r="D35" s="5491"/>
      <c r="E35" s="3601"/>
      <c r="F35" s="3601"/>
      <c r="G35" s="4207"/>
      <c r="H35" s="4134" t="str">
        <f>IF(M1="n","",IF(AND($G$6="yes",G35=""),reo,IF(AND($G$6="no",G35&lt;&gt;""),"Delete!","")))</f>
        <v/>
      </c>
      <c r="I35" s="3139"/>
      <c r="K35" s="3571"/>
      <c r="L35" s="1485">
        <f>IF(H35&lt;&gt;"",1,0)</f>
      </c>
      <c r="M35" s="1485">
        <f>COUNTA(G35)</f>
      </c>
      <c r="N35" s="3571"/>
      <c r="O35" s="3571"/>
      <c r="P35" s="3571"/>
      <c r="Q35" s="2845"/>
      <c r="R35" s="2845"/>
      <c r="S35" s="1485">
        <f>IF(AND($F$27&lt;&gt;$U$2,G35&lt;&gt;""),0,G35)</f>
      </c>
    </row>
    <row r="36" spans="1:19" ht="14.25" x14ac:dyDescent="0.2">
      <c r="A36" s="3686"/>
      <c r="B36" s="3601"/>
      <c r="C36" s="3601"/>
      <c r="D36" s="3601"/>
      <c r="E36" s="3601"/>
      <c r="F36" s="3601"/>
      <c r="G36" s="3600"/>
      <c r="H36" s="3686"/>
      <c r="I36" s="3139"/>
      <c r="K36" s="3571"/>
      <c r="L36" s="3571"/>
      <c r="M36" s="3571"/>
      <c r="N36" s="3571"/>
      <c r="O36" s="3571"/>
      <c r="P36" s="3571"/>
      <c r="Q36" s="2845"/>
      <c r="R36" s="2845"/>
    </row>
    <row r="37" spans="1:19" ht="15" customHeight="1" x14ac:dyDescent="0.2">
      <c r="A37" s="3690"/>
      <c r="B37" s="5491" t="s">
        <v>10726</v>
      </c>
      <c r="C37" s="5491"/>
      <c r="D37" s="5491"/>
      <c r="E37" s="3601"/>
      <c r="F37" s="3601"/>
      <c r="G37" s="4207"/>
      <c r="H37" s="4134" t="str">
        <f>IF(M1="n","",IF(AND($G$6="yes",G37=""),reo,IF(AND($G$6="no",G37&lt;&gt;""),"Delete!","")))</f>
        <v/>
      </c>
      <c r="I37" s="3139"/>
      <c r="K37" s="3571"/>
      <c r="L37" s="1485">
        <f>IF(H37&lt;&gt;"",1,0)</f>
      </c>
      <c r="M37" s="1485">
        <f>COUNTA(G37)</f>
      </c>
      <c r="N37" s="3571"/>
      <c r="O37" s="3571"/>
      <c r="P37" s="3571"/>
      <c r="Q37" s="2845"/>
      <c r="R37" s="2845"/>
      <c r="S37" s="1485">
        <f>IF(AND($F$27&lt;&gt;$U$2,G37&lt;&gt;""),0,G37)</f>
      </c>
    </row>
    <row r="38" spans="1:19" ht="14.25" x14ac:dyDescent="0.2">
      <c r="A38" s="3690"/>
      <c r="B38" s="4178"/>
      <c r="C38" s="4178"/>
      <c r="D38" s="3601"/>
      <c r="E38" s="3601"/>
      <c r="F38" s="3601"/>
      <c r="G38" s="3600"/>
      <c r="H38" s="3686"/>
      <c r="I38" s="3139"/>
      <c r="K38" s="4192"/>
      <c r="L38" s="3571"/>
      <c r="M38" s="3571"/>
      <c r="N38" s="3571"/>
      <c r="O38" s="3571" t="s">
        <v>6976</v>
      </c>
      <c r="P38" s="3571"/>
      <c r="Q38" s="2845"/>
      <c r="R38" s="2845"/>
    </row>
    <row r="39" spans="1:19" ht="15" customHeight="1" x14ac:dyDescent="0.2">
      <c r="A39" s="3690"/>
      <c r="B39" s="3601" t="s">
        <v>10727</v>
      </c>
      <c r="C39" s="4179" t="s">
        <v>10728</v>
      </c>
      <c r="D39" s="3601"/>
      <c r="E39" s="3601"/>
      <c r="F39" s="3601"/>
      <c r="G39" s="4208"/>
      <c r="H39" s="4180" t="str">
        <f>IF(M1="n","",IF(AND($G$6="yes",G39=""),re,IF(AND($G$6="no",G39&lt;&gt;""),"Delete!",IF(OR(Q39&lt;&gt;G39),"Check calculation!",""))))</f>
        <v/>
      </c>
      <c r="I39" s="3139"/>
      <c r="K39" s="3571"/>
      <c r="L39" s="1485">
        <f>IF(H39=$R$2,0,IF(AND(H39&lt;&gt;"",H39&lt;&gt;$R$2),1,0))</f>
      </c>
      <c r="M39" s="1485">
        <f>COUNTA(G39)</f>
      </c>
      <c r="O39" s="3571">
        <f>IF(H39="Check calculation!",1,0)</f>
      </c>
      <c r="P39" s="3571"/>
      <c r="Q39" s="4193">
        <f>IF(OR(G35="",G37=""),0%,IF(ISERROR(ROUND(G35/G37,4))=TRUE,0%,ROUND(G35/G37,4)))</f>
      </c>
      <c r="R39" s="2845"/>
    </row>
    <row r="40" spans="1:19" ht="14.25" x14ac:dyDescent="0.2">
      <c r="A40" s="3690"/>
      <c r="B40" s="3601"/>
      <c r="C40" s="3601"/>
      <c r="D40" s="3601"/>
      <c r="E40" s="3601"/>
      <c r="F40" s="3601"/>
      <c r="G40" s="4209"/>
      <c r="H40" s="3686"/>
      <c r="I40" s="4136"/>
      <c r="K40" s="3571"/>
      <c r="L40" s="3571"/>
      <c r="M40" s="3571"/>
      <c r="O40" s="3571"/>
      <c r="P40" s="3571"/>
      <c r="Q40" s="3571"/>
      <c r="R40" s="2845"/>
    </row>
    <row r="41" spans="1:19" s="1736" customFormat="1" ht="15" customHeight="1" x14ac:dyDescent="0.2">
      <c r="A41" s="3601"/>
      <c r="B41" s="3601" t="s">
        <v>10729</v>
      </c>
      <c r="C41" s="4179" t="s">
        <v>10730</v>
      </c>
      <c r="D41" s="3601"/>
      <c r="E41" s="3601"/>
      <c r="F41" s="3601"/>
      <c r="G41" s="4208"/>
      <c r="H41" s="4181" t="str">
        <f>IF(M1="n","",IF(AND($G$6="yes",G41=""),re,IF(AND($G$6="no",G41&lt;&gt;""),"Delete!",IF(OR(Q41&lt;&gt;G41),"Check calculation!",""))))</f>
        <v/>
      </c>
      <c r="I41" s="3601"/>
      <c r="J41" s="1485"/>
      <c r="K41" s="3571"/>
      <c r="L41" s="1485">
        <f>IF(H41=$R$2,0,IF(AND(H41&lt;&gt;"",H41&lt;&gt;$R$2),1,0))</f>
      </c>
      <c r="M41" s="1485">
        <f>COUNTA(G41)</f>
      </c>
      <c r="O41" s="3571">
        <f>IF(H41="Check calculation!",1,0)</f>
      </c>
      <c r="Q41" s="4182" t="str">
        <f>IF(G39="","",IF(OR(F27&lt;&gt;U2,G39&gt;=15%),0%,ROUND(15%-G39,4)))</f>
        <v/>
      </c>
      <c r="S41" s="1485"/>
    </row>
    <row r="42" spans="1:19" s="1736" customFormat="1" ht="14.25" x14ac:dyDescent="0.2">
      <c r="A42" s="3601"/>
      <c r="B42" s="3601"/>
      <c r="C42" s="3601"/>
      <c r="D42" s="3601"/>
      <c r="E42" s="3601"/>
      <c r="F42" s="3601"/>
      <c r="G42" s="3600"/>
      <c r="H42" s="3686"/>
      <c r="I42" s="3601"/>
      <c r="J42" s="1485"/>
      <c r="L42" s="3571"/>
      <c r="M42" s="3571"/>
    </row>
    <row r="43" spans="1:19" s="1736" customFormat="1" ht="15" customHeight="1" x14ac:dyDescent="0.2">
      <c r="A43" s="3601"/>
      <c r="B43" s="5491" t="s">
        <v>10751</v>
      </c>
      <c r="C43" s="5491"/>
      <c r="D43" s="5491"/>
      <c r="E43" s="3601"/>
      <c r="F43" s="3601"/>
      <c r="G43" s="4207"/>
      <c r="H43" s="4134" t="str">
        <f>IF(AND($G$21="yes",G43=""),reo,IF(AND(OR(G21="",$G$21="no"),G43&lt;&gt;0),"Delete!",""))</f>
        <v/>
      </c>
      <c r="I43" s="3601"/>
      <c r="J43" s="1485"/>
      <c r="L43" s="1485">
        <f>IF(H43&lt;&gt;"",1,0)</f>
      </c>
      <c r="M43" s="1485">
        <f>COUNTA(G43)</f>
      </c>
      <c r="S43" s="1485">
        <f>IF(AND($F$27&lt;&gt;$U$2,G43&lt;&gt;""),0,G43)</f>
      </c>
    </row>
    <row r="44" spans="1:19" s="1736" customFormat="1" x14ac:dyDescent="0.2">
      <c r="A44" s="3601"/>
      <c r="B44" s="3601"/>
      <c r="C44" s="3601"/>
      <c r="D44" s="3601"/>
      <c r="E44" s="3601"/>
      <c r="F44" s="3601"/>
      <c r="G44" s="3600"/>
      <c r="H44" s="3601"/>
      <c r="I44" s="3601"/>
      <c r="J44" s="1485"/>
    </row>
    <row r="45" spans="1:19" s="1736" customFormat="1" ht="15" customHeight="1" x14ac:dyDescent="0.2">
      <c r="A45" s="3601"/>
      <c r="B45" s="3601" t="s">
        <v>10731</v>
      </c>
      <c r="C45" s="4179" t="s">
        <v>10732</v>
      </c>
      <c r="D45" s="3601"/>
      <c r="E45" s="3601"/>
      <c r="F45" s="3601"/>
      <c r="G45" s="4207"/>
      <c r="H45" s="4180" t="str">
        <f>IF(M1="n","",IF(AND($G$6="yes",G45=""),reo,IF(AND($G$6="no",G45&lt;&gt;""),"Delete!",IF(G45&gt;G37,"Excessive!",IF(Q45&lt;&gt;G45,"Check calculation!","")))))</f>
        <v/>
      </c>
      <c r="I45" s="3601"/>
      <c r="J45" s="1485"/>
      <c r="K45" s="3571"/>
      <c r="L45" s="1485">
        <f>IF(H45=$R$2,0,IF(AND(H45&lt;&gt;"",H45&lt;&gt;$R$2),1,0))</f>
      </c>
      <c r="M45" s="1485">
        <f>COUNTA(G45)</f>
      </c>
      <c r="O45" s="3571">
        <f>IF(H45="Check calculation!",1,0)</f>
      </c>
      <c r="Q45" s="4183">
        <f>IF(G21="no",G37,G37-G43)</f>
      </c>
      <c r="S45" s="1485">
        <f>IF(AND($F$27&lt;&gt;$U$2,G45&lt;&gt;""),0,G45)</f>
      </c>
    </row>
    <row r="46" spans="1:19" s="1736" customFormat="1" x14ac:dyDescent="0.2">
      <c r="A46" s="3601"/>
      <c r="B46" s="3601"/>
      <c r="C46" s="3601"/>
      <c r="D46" s="3601"/>
      <c r="E46" s="3601"/>
      <c r="F46" s="3601"/>
      <c r="G46" s="3600"/>
      <c r="H46" s="3601"/>
      <c r="I46" s="3601"/>
      <c r="J46" s="1485"/>
    </row>
    <row r="47" spans="1:19" s="1736" customFormat="1" ht="15" customHeight="1" x14ac:dyDescent="0.2">
      <c r="A47" s="3601"/>
      <c r="B47" s="5491" t="s">
        <v>10733</v>
      </c>
      <c r="C47" s="5491"/>
      <c r="D47" s="5491"/>
      <c r="E47" s="3601"/>
      <c r="F47" s="3601"/>
      <c r="G47" s="4207"/>
      <c r="H47" s="4134" t="str">
        <f>IF(M1="n","",IF(AND($G$6="yes",G47=""),reo,IF(AND($G$6="no",G47&lt;&gt;""),"Delete!","")))</f>
        <v/>
      </c>
      <c r="I47" s="3601"/>
      <c r="J47" s="1485"/>
      <c r="K47" s="3571"/>
      <c r="L47" s="1485">
        <f>IF(H47&lt;&gt;"",1,0)</f>
      </c>
      <c r="M47" s="1485">
        <f>COUNTA(G47)</f>
      </c>
    </row>
    <row r="48" spans="1:19" s="1736" customFormat="1" x14ac:dyDescent="0.2">
      <c r="A48" s="3601"/>
      <c r="B48" s="3601"/>
      <c r="C48" s="3601"/>
      <c r="D48" s="3601"/>
      <c r="E48" s="3601"/>
      <c r="F48" s="3601"/>
      <c r="G48" s="3601"/>
      <c r="H48" s="3601"/>
      <c r="I48" s="3601"/>
      <c r="J48" s="1485"/>
      <c r="K48" s="3571"/>
    </row>
    <row r="49" spans="1:18" s="1736" customFormat="1" ht="15" customHeight="1" x14ac:dyDescent="0.2">
      <c r="A49" s="3601"/>
      <c r="B49" s="3601" t="s">
        <v>10734</v>
      </c>
      <c r="C49" s="4179" t="s">
        <v>10735</v>
      </c>
      <c r="D49" s="3601"/>
      <c r="E49" s="3601"/>
      <c r="F49" s="3601"/>
      <c r="G49" s="4184">
        <f>IF(OR(M41=0,M45=0,M47=0),0,ROUND((G41*G45)+G47,0))</f>
      </c>
      <c r="H49" s="4180" t="str">
        <f>IF(G49&lt;0,"Figure must be greater than 0!","")</f>
        <v/>
      </c>
      <c r="I49" s="3601"/>
      <c r="J49" s="1485"/>
      <c r="K49" s="3571"/>
      <c r="L49" s="1485">
        <f>IF(H49&lt;&gt;"",1,0)</f>
      </c>
      <c r="M49" s="1485"/>
    </row>
    <row r="50" spans="1:18" s="1736" customFormat="1" ht="15" customHeight="1" x14ac:dyDescent="0.2">
      <c r="A50" s="3601"/>
      <c r="B50" s="3601"/>
      <c r="C50" s="3601"/>
      <c r="D50" s="3601"/>
      <c r="E50" s="3601"/>
      <c r="F50" s="3601"/>
      <c r="G50" s="3601"/>
      <c r="H50" s="3601"/>
      <c r="I50" s="3601"/>
      <c r="J50" s="1485"/>
      <c r="K50" s="3571"/>
    </row>
    <row r="51" spans="1:18" s="1736" customFormat="1" ht="15" hidden="1" customHeight="1" x14ac:dyDescent="0.2">
      <c r="A51" s="3601"/>
      <c r="B51" s="3601"/>
      <c r="C51" s="3601"/>
      <c r="D51" s="3601"/>
      <c r="E51" s="3601"/>
      <c r="F51" s="3601"/>
      <c r="G51" s="3601"/>
      <c r="H51" s="3601"/>
      <c r="I51" s="3601"/>
      <c r="J51" s="1485"/>
      <c r="K51" s="3571"/>
    </row>
    <row r="52" spans="1:18" s="1736" customFormat="1" ht="15" hidden="1" customHeight="1" x14ac:dyDescent="0.2">
      <c r="A52" s="3601"/>
      <c r="B52" s="3601"/>
      <c r="C52" s="3601"/>
      <c r="D52" s="3601"/>
      <c r="E52" s="3601"/>
      <c r="F52" s="3601"/>
      <c r="G52" s="3601"/>
      <c r="H52" s="3601"/>
      <c r="I52" s="3601"/>
      <c r="J52" s="1485"/>
      <c r="K52" s="3571"/>
    </row>
    <row r="53" spans="1:18" s="1736" customFormat="1" ht="15" hidden="1" customHeight="1" x14ac:dyDescent="0.2">
      <c r="A53" s="3601"/>
      <c r="B53" s="3601"/>
      <c r="C53" s="3601"/>
      <c r="D53" s="3601"/>
      <c r="E53" s="3601"/>
      <c r="F53" s="3601"/>
      <c r="G53" s="3601"/>
      <c r="H53" s="3601"/>
      <c r="I53" s="3601"/>
      <c r="J53" s="1485"/>
      <c r="K53" s="3571"/>
    </row>
    <row r="54" spans="1:18" s="1736" customFormat="1" ht="15" hidden="1" customHeight="1" x14ac:dyDescent="0.2">
      <c r="A54" s="3601"/>
      <c r="B54" s="3601"/>
      <c r="C54" s="3601"/>
      <c r="D54" s="3601"/>
      <c r="E54" s="3601"/>
      <c r="F54" s="3601"/>
      <c r="G54" s="3601"/>
      <c r="H54" s="3601"/>
      <c r="I54" s="3601"/>
      <c r="J54" s="1485"/>
      <c r="K54" s="3571"/>
    </row>
    <row r="55" spans="1:18" s="1736" customFormat="1" ht="15" customHeight="1" x14ac:dyDescent="0.2">
      <c r="A55" s="3601"/>
      <c r="B55" s="4177" t="s">
        <v>10736</v>
      </c>
      <c r="C55" s="4177"/>
      <c r="D55" s="3601"/>
      <c r="E55" s="3601"/>
      <c r="F55" s="3601"/>
      <c r="G55" s="3601"/>
      <c r="H55" s="3601"/>
      <c r="I55" s="3601"/>
      <c r="J55" s="1485"/>
      <c r="K55" s="3571"/>
    </row>
    <row r="56" spans="1:18" ht="14.25" x14ac:dyDescent="0.2">
      <c r="A56" s="3686"/>
      <c r="B56" s="4185" t="s">
        <v>10737</v>
      </c>
      <c r="C56" s="3686"/>
      <c r="D56" s="3686"/>
      <c r="E56" s="3686"/>
      <c r="F56" s="3686"/>
      <c r="G56" s="3686"/>
      <c r="H56" s="3686"/>
      <c r="I56" s="3686"/>
      <c r="K56" s="3571"/>
      <c r="L56" s="3571"/>
      <c r="M56" s="3571"/>
      <c r="N56" s="3571"/>
      <c r="O56" s="3571"/>
      <c r="P56" s="3571"/>
      <c r="Q56" s="2845"/>
      <c r="R56" s="2845"/>
    </row>
    <row r="57" spans="1:18" ht="4.5" customHeight="1" x14ac:dyDescent="0.2">
      <c r="A57" s="3686"/>
      <c r="B57" s="3686"/>
      <c r="C57" s="3686"/>
      <c r="D57" s="3686"/>
      <c r="E57" s="3686"/>
      <c r="F57" s="3686"/>
      <c r="G57" s="3686"/>
      <c r="H57" s="3686"/>
      <c r="I57" s="3686"/>
      <c r="K57" s="3571"/>
      <c r="L57" s="3571"/>
      <c r="M57" s="3571"/>
      <c r="N57" s="3571"/>
      <c r="O57" s="3571"/>
      <c r="P57" s="3571"/>
      <c r="Q57" s="2845"/>
      <c r="R57" s="2845"/>
    </row>
    <row r="58" spans="1:18" ht="14.25" x14ac:dyDescent="0.2">
      <c r="A58" s="3690"/>
      <c r="B58" s="4186" t="s">
        <v>10738</v>
      </c>
      <c r="C58" s="5492" t="s">
        <v>10739</v>
      </c>
      <c r="D58" s="5493"/>
      <c r="E58" s="5493"/>
      <c r="F58" s="4187"/>
      <c r="G58" s="4188"/>
      <c r="H58" s="3686"/>
      <c r="I58" s="3686"/>
      <c r="K58" s="3571"/>
      <c r="L58" s="3571"/>
      <c r="M58" s="3571"/>
      <c r="N58" s="3571"/>
      <c r="O58" s="3571"/>
      <c r="P58" s="3571"/>
      <c r="Q58" s="2845"/>
      <c r="R58" s="2845"/>
    </row>
    <row r="59" spans="1:18" ht="14.25" x14ac:dyDescent="0.2">
      <c r="A59" s="3693">
        <v>1</v>
      </c>
      <c r="B59" s="3703"/>
      <c r="C59" s="5488"/>
      <c r="D59" s="5489"/>
      <c r="E59" s="5489"/>
      <c r="F59" s="5489"/>
      <c r="G59" s="5490"/>
      <c r="H59" s="4134" t="str">
        <f>IF(AND($G$6="yes",M59=""),re,IF(OR(AND(M1="n",M59&gt;0),AND($G$6="no",M59&lt;&gt;0)),"Delete!",IF(AND($G$6="yes",M59&lt;&gt;2),"All data!","")))</f>
        <v/>
      </c>
      <c r="I59" s="3686"/>
      <c r="K59" s="3571"/>
      <c r="L59" s="1485">
        <f>IF(H59&lt;&gt;"",1,0)</f>
      </c>
      <c r="M59" s="1485">
        <f>COUNTA(B59:C59)</f>
      </c>
      <c r="N59" s="2845"/>
      <c r="O59" s="2845"/>
      <c r="P59" s="2845"/>
      <c r="Q59" s="2845"/>
      <c r="R59" s="2845"/>
    </row>
    <row r="60" spans="1:18" ht="14.25" x14ac:dyDescent="0.2">
      <c r="A60" s="3690">
        <v>2</v>
      </c>
      <c r="B60" s="3703"/>
      <c r="C60" s="5488"/>
      <c r="D60" s="5489"/>
      <c r="E60" s="5489"/>
      <c r="F60" s="5489"/>
      <c r="G60" s="5490"/>
      <c r="H60" s="4134" t="str">
        <f>IF(M60=0,"",IF(OR($M$1="n",AND($G$6="no",M60&lt;&gt;0)),"Delete!",IF(M60=1,"All data!","")))</f>
        <v/>
      </c>
      <c r="I60" s="3686"/>
      <c r="K60" s="3571"/>
      <c r="L60" s="1485">
        <f t="shared" ref="L60:L123" si="0">IF(H60&lt;&gt;"",1,0)</f>
      </c>
      <c r="M60" s="1485">
        <f>COUNTA(B60:C60)</f>
      </c>
      <c r="N60" s="2845"/>
      <c r="O60" s="2845"/>
      <c r="P60" s="2845"/>
      <c r="Q60" s="2845"/>
      <c r="R60" s="2845"/>
    </row>
    <row r="61" spans="1:18" ht="14.25" x14ac:dyDescent="0.2">
      <c r="A61" s="3690">
        <v>3</v>
      </c>
      <c r="B61" s="3703"/>
      <c r="C61" s="5488"/>
      <c r="D61" s="5489"/>
      <c r="E61" s="5489"/>
      <c r="F61" s="5489"/>
      <c r="G61" s="5490"/>
      <c r="H61" s="4134" t="str">
        <f t="shared" ref="H61:H124" si="1">IF(M61=0,"",IF(OR($M$1="n",AND($G$6="no",M61&lt;&gt;0)),"Delete!",IF(M61=1,"All data!","")))</f>
        <v/>
      </c>
      <c r="I61" s="3686"/>
      <c r="K61" s="3571"/>
      <c r="L61" s="1485">
        <f t="shared" si="0"/>
        <v>0</v>
      </c>
      <c r="M61" s="1485">
        <f t="shared" ref="M61:M124" si="2">COUNTA(B61:C61)</f>
      </c>
      <c r="N61" s="2845"/>
      <c r="O61" s="2845"/>
      <c r="P61" s="2845"/>
      <c r="Q61" s="2845"/>
      <c r="R61" s="2845"/>
    </row>
    <row r="62" spans="1:18" ht="14.25" x14ac:dyDescent="0.2">
      <c r="A62" s="3690">
        <v>4</v>
      </c>
      <c r="B62" s="3703"/>
      <c r="C62" s="5488"/>
      <c r="D62" s="5489"/>
      <c r="E62" s="5489"/>
      <c r="F62" s="5489"/>
      <c r="G62" s="5490"/>
      <c r="H62" s="4134" t="str">
        <f t="shared" si="1"/>
        <v/>
      </c>
      <c r="I62" s="3686"/>
      <c r="K62" s="3571"/>
      <c r="L62" s="1485">
        <f t="shared" si="0"/>
        <v>0</v>
      </c>
      <c r="M62" s="1485">
        <f t="shared" si="2"/>
        <v>0</v>
      </c>
      <c r="N62" s="2845"/>
      <c r="O62" s="2845"/>
      <c r="P62" s="2845"/>
      <c r="Q62" s="2845"/>
      <c r="R62" s="2845"/>
    </row>
    <row r="63" spans="1:18" ht="14.25" x14ac:dyDescent="0.2">
      <c r="A63" s="3690">
        <v>5</v>
      </c>
      <c r="B63" s="3703"/>
      <c r="C63" s="5488"/>
      <c r="D63" s="5489"/>
      <c r="E63" s="5489"/>
      <c r="F63" s="5489"/>
      <c r="G63" s="5490"/>
      <c r="H63" s="4134" t="str">
        <f t="shared" si="1"/>
        <v/>
      </c>
      <c r="I63" s="3686"/>
      <c r="K63" s="3571"/>
      <c r="L63" s="1485">
        <f t="shared" si="0"/>
        <v>0</v>
      </c>
      <c r="M63" s="1485">
        <f t="shared" si="2"/>
        <v>0</v>
      </c>
      <c r="N63" s="2845"/>
      <c r="O63" s="2845"/>
      <c r="P63" s="2845"/>
      <c r="Q63" s="2845"/>
      <c r="R63" s="2845"/>
    </row>
    <row r="64" spans="1:18" ht="14.25" x14ac:dyDescent="0.2">
      <c r="A64" s="3690">
        <v>6</v>
      </c>
      <c r="B64" s="3703"/>
      <c r="C64" s="5488"/>
      <c r="D64" s="5489"/>
      <c r="E64" s="5489"/>
      <c r="F64" s="5489"/>
      <c r="G64" s="5490"/>
      <c r="H64" s="4134" t="str">
        <f t="shared" si="1"/>
        <v/>
      </c>
      <c r="I64" s="3686"/>
      <c r="K64" s="3571"/>
      <c r="L64" s="1485">
        <f t="shared" si="0"/>
        <v>0</v>
      </c>
      <c r="M64" s="1485">
        <f t="shared" si="2"/>
        <v>0</v>
      </c>
      <c r="N64" s="2845"/>
      <c r="O64" s="2845"/>
      <c r="P64" s="2845"/>
      <c r="Q64" s="2845"/>
      <c r="R64" s="2845"/>
    </row>
    <row r="65" spans="1:18" ht="14.25" x14ac:dyDescent="0.2">
      <c r="A65" s="3690">
        <v>7</v>
      </c>
      <c r="B65" s="3703"/>
      <c r="C65" s="5488"/>
      <c r="D65" s="5489"/>
      <c r="E65" s="5489"/>
      <c r="F65" s="5489"/>
      <c r="G65" s="5490"/>
      <c r="H65" s="4134" t="str">
        <f t="shared" si="1"/>
        <v/>
      </c>
      <c r="I65" s="3686"/>
      <c r="K65" s="3571"/>
      <c r="L65" s="1485">
        <f t="shared" si="0"/>
        <v>0</v>
      </c>
      <c r="M65" s="1485">
        <f t="shared" si="2"/>
        <v>0</v>
      </c>
      <c r="N65" s="2845"/>
      <c r="O65" s="2845"/>
      <c r="P65" s="2845"/>
      <c r="Q65" s="2845"/>
      <c r="R65" s="2845"/>
    </row>
    <row r="66" spans="1:18" ht="14.25" x14ac:dyDescent="0.2">
      <c r="A66" s="3690">
        <v>8</v>
      </c>
      <c r="B66" s="3703"/>
      <c r="C66" s="5488"/>
      <c r="D66" s="5489"/>
      <c r="E66" s="5489"/>
      <c r="F66" s="5489"/>
      <c r="G66" s="5490"/>
      <c r="H66" s="4134" t="str">
        <f t="shared" si="1"/>
        <v/>
      </c>
      <c r="I66" s="3686"/>
      <c r="K66" s="3571"/>
      <c r="L66" s="1485">
        <f t="shared" si="0"/>
        <v>0</v>
      </c>
      <c r="M66" s="1485">
        <f t="shared" si="2"/>
        <v>0</v>
      </c>
      <c r="N66" s="2845"/>
      <c r="O66" s="2845"/>
      <c r="P66" s="2845"/>
      <c r="Q66" s="2845"/>
      <c r="R66" s="2845"/>
    </row>
    <row r="67" spans="1:18" ht="14.25" x14ac:dyDescent="0.2">
      <c r="A67" s="3690">
        <v>9</v>
      </c>
      <c r="B67" s="3703"/>
      <c r="C67" s="5488"/>
      <c r="D67" s="5489"/>
      <c r="E67" s="5489"/>
      <c r="F67" s="5489"/>
      <c r="G67" s="5490"/>
      <c r="H67" s="4134" t="str">
        <f t="shared" si="1"/>
        <v/>
      </c>
      <c r="I67" s="3686"/>
      <c r="K67" s="3571"/>
      <c r="L67" s="1485">
        <f t="shared" si="0"/>
        <v>0</v>
      </c>
      <c r="M67" s="1485">
        <f t="shared" si="2"/>
        <v>0</v>
      </c>
      <c r="N67" s="2845"/>
      <c r="O67" s="2845"/>
      <c r="P67" s="2845"/>
      <c r="Q67" s="2845"/>
      <c r="R67" s="2845"/>
    </row>
    <row r="68" spans="1:18" ht="14.25" x14ac:dyDescent="0.2">
      <c r="A68" s="3690">
        <v>10</v>
      </c>
      <c r="B68" s="3703"/>
      <c r="C68" s="5488"/>
      <c r="D68" s="5489"/>
      <c r="E68" s="5489"/>
      <c r="F68" s="5489"/>
      <c r="G68" s="5490"/>
      <c r="H68" s="4134" t="str">
        <f t="shared" si="1"/>
        <v/>
      </c>
      <c r="I68" s="3686"/>
      <c r="K68" s="3571"/>
      <c r="L68" s="1485">
        <f t="shared" si="0"/>
        <v>0</v>
      </c>
      <c r="M68" s="1485">
        <f t="shared" si="2"/>
        <v>0</v>
      </c>
      <c r="N68" s="2845"/>
      <c r="O68" s="2845"/>
      <c r="P68" s="2845"/>
      <c r="Q68" s="2845"/>
      <c r="R68" s="2845"/>
    </row>
    <row r="69" spans="1:18" ht="14.25" x14ac:dyDescent="0.2">
      <c r="A69" s="3690">
        <v>11</v>
      </c>
      <c r="B69" s="3703"/>
      <c r="C69" s="5488"/>
      <c r="D69" s="5489"/>
      <c r="E69" s="5489"/>
      <c r="F69" s="5489"/>
      <c r="G69" s="5490"/>
      <c r="H69" s="4134" t="str">
        <f t="shared" si="1"/>
        <v/>
      </c>
      <c r="I69" s="3686"/>
      <c r="K69" s="3571" t="s">
        <v>9282</v>
      </c>
      <c r="L69" s="1485">
        <f t="shared" si="0"/>
        <v>0</v>
      </c>
      <c r="M69" s="1485">
        <f t="shared" si="2"/>
        <v>0</v>
      </c>
      <c r="N69" s="2845"/>
      <c r="O69" s="2845"/>
      <c r="P69" s="2845"/>
      <c r="Q69" s="2845"/>
      <c r="R69" s="2845"/>
    </row>
    <row r="70" spans="1:18" ht="14.25" x14ac:dyDescent="0.2">
      <c r="A70" s="3690">
        <v>12</v>
      </c>
      <c r="B70" s="3703"/>
      <c r="C70" s="5488"/>
      <c r="D70" s="5489"/>
      <c r="E70" s="5489"/>
      <c r="F70" s="5489"/>
      <c r="G70" s="5490"/>
      <c r="H70" s="4134" t="str">
        <f t="shared" si="1"/>
        <v/>
      </c>
      <c r="I70" s="3686"/>
      <c r="K70" s="3571"/>
      <c r="L70" s="1485">
        <f t="shared" si="0"/>
        <v>0</v>
      </c>
      <c r="M70" s="1485">
        <f t="shared" si="2"/>
        <v>0</v>
      </c>
      <c r="N70" s="2845"/>
      <c r="O70" s="2845"/>
      <c r="P70" s="2845"/>
      <c r="Q70" s="2845"/>
      <c r="R70" s="2845"/>
    </row>
    <row r="71" spans="1:18" ht="14.25" x14ac:dyDescent="0.2">
      <c r="A71" s="3690">
        <v>13</v>
      </c>
      <c r="B71" s="3703"/>
      <c r="C71" s="5488"/>
      <c r="D71" s="5489"/>
      <c r="E71" s="5489"/>
      <c r="F71" s="5489"/>
      <c r="G71" s="5490"/>
      <c r="H71" s="4134" t="str">
        <f t="shared" si="1"/>
        <v/>
      </c>
      <c r="I71" s="3686"/>
      <c r="K71" s="3571"/>
      <c r="L71" s="1485">
        <f t="shared" si="0"/>
        <v>0</v>
      </c>
      <c r="M71" s="1485">
        <f t="shared" si="2"/>
        <v>0</v>
      </c>
      <c r="N71" s="2845"/>
      <c r="O71" s="2845"/>
      <c r="P71" s="2845"/>
      <c r="Q71" s="2845"/>
      <c r="R71" s="2845"/>
    </row>
    <row r="72" spans="1:18" ht="14.25" x14ac:dyDescent="0.2">
      <c r="A72" s="3690">
        <v>14</v>
      </c>
      <c r="B72" s="3703"/>
      <c r="C72" s="5488"/>
      <c r="D72" s="5489"/>
      <c r="E72" s="5489"/>
      <c r="F72" s="5489"/>
      <c r="G72" s="5490"/>
      <c r="H72" s="4134" t="str">
        <f t="shared" si="1"/>
        <v/>
      </c>
      <c r="I72" s="3686"/>
      <c r="K72" s="3571"/>
      <c r="L72" s="1485">
        <f t="shared" si="0"/>
        <v>0</v>
      </c>
      <c r="M72" s="1485">
        <f t="shared" si="2"/>
        <v>0</v>
      </c>
      <c r="N72" s="2845"/>
      <c r="O72" s="2845"/>
      <c r="P72" s="2845"/>
      <c r="Q72" s="2845"/>
      <c r="R72" s="2845"/>
    </row>
    <row r="73" spans="1:18" ht="14.25" x14ac:dyDescent="0.2">
      <c r="A73" s="3690">
        <v>15</v>
      </c>
      <c r="B73" s="3703"/>
      <c r="C73" s="5488"/>
      <c r="D73" s="5489"/>
      <c r="E73" s="5489"/>
      <c r="F73" s="5489"/>
      <c r="G73" s="5490"/>
      <c r="H73" s="4134" t="str">
        <f t="shared" si="1"/>
        <v/>
      </c>
      <c r="I73" s="3686"/>
      <c r="K73" s="3571"/>
      <c r="L73" s="1485">
        <f t="shared" si="0"/>
        <v>0</v>
      </c>
      <c r="M73" s="1485">
        <f t="shared" si="2"/>
        <v>0</v>
      </c>
      <c r="N73" s="2845"/>
      <c r="O73" s="2845"/>
      <c r="P73" s="2845"/>
      <c r="Q73" s="2845"/>
      <c r="R73" s="2845"/>
    </row>
    <row r="74" spans="1:18" ht="14.25" x14ac:dyDescent="0.2">
      <c r="A74" s="3690">
        <v>16</v>
      </c>
      <c r="B74" s="3703"/>
      <c r="C74" s="5488"/>
      <c r="D74" s="5489"/>
      <c r="E74" s="5489"/>
      <c r="F74" s="5489"/>
      <c r="G74" s="5490"/>
      <c r="H74" s="4134" t="str">
        <f t="shared" si="1"/>
        <v/>
      </c>
      <c r="I74" s="3686"/>
      <c r="K74" s="3571"/>
      <c r="L74" s="1485">
        <f t="shared" si="0"/>
        <v>0</v>
      </c>
      <c r="M74" s="1485">
        <f t="shared" si="2"/>
        <v>0</v>
      </c>
      <c r="N74" s="2845"/>
      <c r="O74" s="2845"/>
      <c r="P74" s="2845"/>
      <c r="Q74" s="2845"/>
      <c r="R74" s="2845"/>
    </row>
    <row r="75" spans="1:18" ht="14.25" x14ac:dyDescent="0.2">
      <c r="A75" s="3690">
        <v>17</v>
      </c>
      <c r="B75" s="3703"/>
      <c r="C75" s="5488"/>
      <c r="D75" s="5489"/>
      <c r="E75" s="5489"/>
      <c r="F75" s="5489"/>
      <c r="G75" s="5490"/>
      <c r="H75" s="4134" t="str">
        <f t="shared" si="1"/>
        <v/>
      </c>
      <c r="I75" s="3686"/>
      <c r="K75" s="3571"/>
      <c r="L75" s="1485">
        <f t="shared" si="0"/>
        <v>0</v>
      </c>
      <c r="M75" s="1485">
        <f t="shared" si="2"/>
        <v>0</v>
      </c>
      <c r="N75" s="2845"/>
      <c r="O75" s="2845"/>
      <c r="P75" s="2845"/>
      <c r="Q75" s="2845"/>
      <c r="R75" s="2845"/>
    </row>
    <row r="76" spans="1:18" ht="14.25" x14ac:dyDescent="0.2">
      <c r="A76" s="3690">
        <v>18</v>
      </c>
      <c r="B76" s="3703"/>
      <c r="C76" s="5488"/>
      <c r="D76" s="5489"/>
      <c r="E76" s="5489"/>
      <c r="F76" s="5489"/>
      <c r="G76" s="5490"/>
      <c r="H76" s="4134" t="str">
        <f t="shared" si="1"/>
        <v/>
      </c>
      <c r="I76" s="3686"/>
      <c r="K76" s="3571"/>
      <c r="L76" s="1485">
        <f t="shared" si="0"/>
        <v>0</v>
      </c>
      <c r="M76" s="1485">
        <f t="shared" si="2"/>
        <v>0</v>
      </c>
      <c r="N76" s="2845"/>
      <c r="O76" s="2845"/>
      <c r="P76" s="2845"/>
      <c r="Q76" s="2845"/>
      <c r="R76" s="2845"/>
    </row>
    <row r="77" spans="1:18" ht="14.25" x14ac:dyDescent="0.2">
      <c r="A77" s="3690">
        <v>19</v>
      </c>
      <c r="B77" s="3703"/>
      <c r="C77" s="5488"/>
      <c r="D77" s="5489"/>
      <c r="E77" s="5489"/>
      <c r="F77" s="5489"/>
      <c r="G77" s="5490"/>
      <c r="H77" s="4134" t="str">
        <f t="shared" si="1"/>
        <v/>
      </c>
      <c r="I77" s="3686"/>
      <c r="K77" s="3571"/>
      <c r="L77" s="1485">
        <f t="shared" si="0"/>
        <v>0</v>
      </c>
      <c r="M77" s="1485">
        <f t="shared" si="2"/>
        <v>0</v>
      </c>
      <c r="N77" s="2845"/>
      <c r="O77" s="2845"/>
      <c r="P77" s="2845"/>
      <c r="Q77" s="2845"/>
      <c r="R77" s="2845"/>
    </row>
    <row r="78" spans="1:18" ht="14.25" x14ac:dyDescent="0.2">
      <c r="A78" s="3690">
        <v>20</v>
      </c>
      <c r="B78" s="3703"/>
      <c r="C78" s="5488"/>
      <c r="D78" s="5489"/>
      <c r="E78" s="5489"/>
      <c r="F78" s="5489"/>
      <c r="G78" s="5490"/>
      <c r="H78" s="4134" t="str">
        <f t="shared" si="1"/>
        <v/>
      </c>
      <c r="I78" s="3686"/>
      <c r="K78" s="3571"/>
      <c r="L78" s="1485">
        <f t="shared" si="0"/>
        <v>0</v>
      </c>
      <c r="M78" s="1485">
        <f t="shared" si="2"/>
        <v>0</v>
      </c>
      <c r="N78" s="2845"/>
      <c r="O78" s="2845"/>
      <c r="P78" s="2845"/>
      <c r="Q78" s="2845"/>
      <c r="R78" s="2845"/>
    </row>
    <row r="79" spans="1:18" ht="14.25" x14ac:dyDescent="0.2">
      <c r="A79" s="3690">
        <v>21</v>
      </c>
      <c r="B79" s="3703"/>
      <c r="C79" s="5488"/>
      <c r="D79" s="5489"/>
      <c r="E79" s="5489"/>
      <c r="F79" s="5489"/>
      <c r="G79" s="5490"/>
      <c r="H79" s="4134" t="str">
        <f t="shared" si="1"/>
        <v/>
      </c>
      <c r="I79" s="3686"/>
      <c r="K79" s="3571"/>
      <c r="L79" s="1485">
        <f t="shared" si="0"/>
        <v>0</v>
      </c>
      <c r="M79" s="1485">
        <f t="shared" si="2"/>
        <v>0</v>
      </c>
      <c r="N79" s="2845"/>
      <c r="O79" s="2845"/>
      <c r="P79" s="2845"/>
      <c r="Q79" s="2845"/>
      <c r="R79" s="2845"/>
    </row>
    <row r="80" spans="1:18" ht="14.25" x14ac:dyDescent="0.2">
      <c r="A80" s="3690">
        <v>22</v>
      </c>
      <c r="B80" s="3703"/>
      <c r="C80" s="5488"/>
      <c r="D80" s="5489"/>
      <c r="E80" s="5489"/>
      <c r="F80" s="5489"/>
      <c r="G80" s="5490"/>
      <c r="H80" s="4134" t="str">
        <f t="shared" si="1"/>
        <v/>
      </c>
      <c r="I80" s="3686"/>
      <c r="K80" s="3571"/>
      <c r="L80" s="1485">
        <f t="shared" si="0"/>
        <v>0</v>
      </c>
      <c r="M80" s="1485">
        <f t="shared" si="2"/>
        <v>0</v>
      </c>
      <c r="N80" s="2845"/>
      <c r="O80" s="2845"/>
      <c r="P80" s="2845"/>
      <c r="Q80" s="2845"/>
      <c r="R80" s="2845"/>
    </row>
    <row r="81" spans="1:18" ht="14.25" x14ac:dyDescent="0.2">
      <c r="A81" s="3690">
        <v>23</v>
      </c>
      <c r="B81" s="3703"/>
      <c r="C81" s="5488"/>
      <c r="D81" s="5489"/>
      <c r="E81" s="5489"/>
      <c r="F81" s="5489"/>
      <c r="G81" s="5490"/>
      <c r="H81" s="4134" t="str">
        <f t="shared" si="1"/>
        <v/>
      </c>
      <c r="I81" s="3686"/>
      <c r="K81" s="3571"/>
      <c r="L81" s="1485">
        <f t="shared" si="0"/>
        <v>0</v>
      </c>
      <c r="M81" s="1485">
        <f t="shared" si="2"/>
        <v>0</v>
      </c>
      <c r="N81" s="2845"/>
      <c r="O81" s="2845"/>
      <c r="P81" s="2845"/>
      <c r="Q81" s="2845"/>
      <c r="R81" s="2845"/>
    </row>
    <row r="82" spans="1:18" ht="14.25" x14ac:dyDescent="0.2">
      <c r="A82" s="3690">
        <v>24</v>
      </c>
      <c r="B82" s="3703"/>
      <c r="C82" s="5488"/>
      <c r="D82" s="5489"/>
      <c r="E82" s="5489"/>
      <c r="F82" s="5489"/>
      <c r="G82" s="5490"/>
      <c r="H82" s="4134" t="str">
        <f t="shared" si="1"/>
        <v/>
      </c>
      <c r="I82" s="3686"/>
      <c r="K82" s="3571"/>
      <c r="L82" s="1485">
        <f t="shared" si="0"/>
        <v>0</v>
      </c>
      <c r="M82" s="1485">
        <f t="shared" si="2"/>
        <v>0</v>
      </c>
      <c r="N82" s="2845"/>
      <c r="O82" s="2845"/>
      <c r="P82" s="2845"/>
      <c r="Q82" s="2845"/>
      <c r="R82" s="2845"/>
    </row>
    <row r="83" spans="1:18" ht="14.25" x14ac:dyDescent="0.2">
      <c r="A83" s="3690">
        <v>25</v>
      </c>
      <c r="B83" s="3703"/>
      <c r="C83" s="5488"/>
      <c r="D83" s="5489"/>
      <c r="E83" s="5489"/>
      <c r="F83" s="5489"/>
      <c r="G83" s="5490"/>
      <c r="H83" s="4134" t="str">
        <f t="shared" si="1"/>
        <v/>
      </c>
      <c r="I83" s="3686"/>
      <c r="K83" s="3571"/>
      <c r="L83" s="1485">
        <f t="shared" si="0"/>
        <v>0</v>
      </c>
      <c r="M83" s="1485">
        <f t="shared" si="2"/>
        <v>0</v>
      </c>
      <c r="N83" s="2845"/>
      <c r="O83" s="2845"/>
      <c r="P83" s="2845"/>
      <c r="Q83" s="2845"/>
      <c r="R83" s="2845"/>
    </row>
    <row r="84" spans="1:18" ht="14.25" x14ac:dyDescent="0.2">
      <c r="A84" s="3690">
        <v>26</v>
      </c>
      <c r="B84" s="3703"/>
      <c r="C84" s="5488"/>
      <c r="D84" s="5489"/>
      <c r="E84" s="5489"/>
      <c r="F84" s="5489"/>
      <c r="G84" s="5490"/>
      <c r="H84" s="4134" t="str">
        <f t="shared" si="1"/>
        <v/>
      </c>
      <c r="I84" s="3686"/>
      <c r="K84" s="3571"/>
      <c r="L84" s="1485">
        <f t="shared" si="0"/>
        <v>0</v>
      </c>
      <c r="M84" s="1485">
        <f t="shared" si="2"/>
        <v>0</v>
      </c>
      <c r="N84" s="2845"/>
      <c r="O84" s="2845"/>
      <c r="P84" s="2845"/>
      <c r="Q84" s="2845"/>
      <c r="R84" s="2845"/>
    </row>
    <row r="85" spans="1:18" ht="14.25" x14ac:dyDescent="0.2">
      <c r="A85" s="3690">
        <v>27</v>
      </c>
      <c r="B85" s="3703"/>
      <c r="C85" s="5488"/>
      <c r="D85" s="5489"/>
      <c r="E85" s="5489"/>
      <c r="F85" s="5489"/>
      <c r="G85" s="5490"/>
      <c r="H85" s="4134" t="str">
        <f t="shared" si="1"/>
        <v/>
      </c>
      <c r="I85" s="3686"/>
      <c r="K85" s="3571"/>
      <c r="L85" s="1485">
        <f t="shared" si="0"/>
        <v>0</v>
      </c>
      <c r="M85" s="1485">
        <f t="shared" si="2"/>
        <v>0</v>
      </c>
      <c r="N85" s="2845"/>
      <c r="O85" s="2845"/>
      <c r="P85" s="2845"/>
      <c r="Q85" s="2845"/>
      <c r="R85" s="2845"/>
    </row>
    <row r="86" spans="1:18" ht="14.25" x14ac:dyDescent="0.2">
      <c r="A86" s="3690">
        <v>28</v>
      </c>
      <c r="B86" s="3703"/>
      <c r="C86" s="5488"/>
      <c r="D86" s="5489"/>
      <c r="E86" s="5489"/>
      <c r="F86" s="5489"/>
      <c r="G86" s="5490"/>
      <c r="H86" s="4134" t="str">
        <f t="shared" si="1"/>
        <v/>
      </c>
      <c r="I86" s="3686"/>
      <c r="K86" s="3571"/>
      <c r="L86" s="1485">
        <f t="shared" si="0"/>
        <v>0</v>
      </c>
      <c r="M86" s="1485">
        <f t="shared" si="2"/>
        <v>0</v>
      </c>
      <c r="N86" s="2845"/>
      <c r="O86" s="2845"/>
      <c r="P86" s="2845"/>
      <c r="Q86" s="2845"/>
      <c r="R86" s="2845"/>
    </row>
    <row r="87" spans="1:18" ht="14.25" x14ac:dyDescent="0.2">
      <c r="A87" s="3690">
        <v>29</v>
      </c>
      <c r="B87" s="3703"/>
      <c r="C87" s="5488"/>
      <c r="D87" s="5489"/>
      <c r="E87" s="5489"/>
      <c r="F87" s="5489"/>
      <c r="G87" s="5490"/>
      <c r="H87" s="4134" t="str">
        <f t="shared" si="1"/>
        <v/>
      </c>
      <c r="I87" s="3686"/>
      <c r="K87" s="3571"/>
      <c r="L87" s="1485">
        <f t="shared" si="0"/>
        <v>0</v>
      </c>
      <c r="M87" s="1485">
        <f t="shared" si="2"/>
        <v>0</v>
      </c>
      <c r="N87" s="2845"/>
      <c r="O87" s="2845"/>
      <c r="P87" s="2845"/>
      <c r="Q87" s="2845"/>
      <c r="R87" s="2845"/>
    </row>
    <row r="88" spans="1:18" ht="14.25" x14ac:dyDescent="0.2">
      <c r="A88" s="3690">
        <v>30</v>
      </c>
      <c r="B88" s="3703"/>
      <c r="C88" s="5488"/>
      <c r="D88" s="5489"/>
      <c r="E88" s="5489"/>
      <c r="F88" s="5489"/>
      <c r="G88" s="5490"/>
      <c r="H88" s="4134" t="str">
        <f t="shared" si="1"/>
        <v/>
      </c>
      <c r="I88" s="3686"/>
      <c r="K88" s="3571"/>
      <c r="L88" s="1485">
        <f t="shared" si="0"/>
        <v>0</v>
      </c>
      <c r="M88" s="1485">
        <f t="shared" si="2"/>
        <v>0</v>
      </c>
      <c r="N88" s="2845"/>
      <c r="O88" s="2845"/>
      <c r="P88" s="2845"/>
      <c r="Q88" s="2845"/>
      <c r="R88" s="2845"/>
    </row>
    <row r="89" spans="1:18" ht="14.25" x14ac:dyDescent="0.2">
      <c r="A89" s="3690">
        <v>31</v>
      </c>
      <c r="B89" s="3703"/>
      <c r="C89" s="5488"/>
      <c r="D89" s="5489"/>
      <c r="E89" s="5489"/>
      <c r="F89" s="5489"/>
      <c r="G89" s="5490"/>
      <c r="H89" s="4134" t="str">
        <f t="shared" si="1"/>
        <v/>
      </c>
      <c r="I89" s="3686"/>
      <c r="K89" s="3571"/>
      <c r="L89" s="1485">
        <f t="shared" si="0"/>
        <v>0</v>
      </c>
      <c r="M89" s="1485">
        <f t="shared" si="2"/>
        <v>0</v>
      </c>
      <c r="N89" s="2845"/>
      <c r="O89" s="2845"/>
      <c r="P89" s="2845"/>
      <c r="Q89" s="2845"/>
      <c r="R89" s="2845"/>
    </row>
    <row r="90" spans="1:18" ht="14.25" x14ac:dyDescent="0.2">
      <c r="A90" s="3690">
        <v>32</v>
      </c>
      <c r="B90" s="3703"/>
      <c r="C90" s="5488"/>
      <c r="D90" s="5489"/>
      <c r="E90" s="5489"/>
      <c r="F90" s="5489"/>
      <c r="G90" s="5490"/>
      <c r="H90" s="4134" t="str">
        <f t="shared" si="1"/>
        <v/>
      </c>
      <c r="I90" s="3686"/>
      <c r="K90" s="3571"/>
      <c r="L90" s="1485">
        <f t="shared" si="0"/>
        <v>0</v>
      </c>
      <c r="M90" s="1485">
        <f t="shared" si="2"/>
        <v>0</v>
      </c>
      <c r="N90" s="2845"/>
      <c r="O90" s="2845"/>
      <c r="P90" s="2845"/>
      <c r="Q90" s="2845"/>
      <c r="R90" s="2845"/>
    </row>
    <row r="91" spans="1:18" ht="14.25" x14ac:dyDescent="0.2">
      <c r="A91" s="3690">
        <v>33</v>
      </c>
      <c r="B91" s="3703"/>
      <c r="C91" s="5488"/>
      <c r="D91" s="5489"/>
      <c r="E91" s="5489"/>
      <c r="F91" s="5489"/>
      <c r="G91" s="5490"/>
      <c r="H91" s="4134" t="str">
        <f t="shared" si="1"/>
        <v/>
      </c>
      <c r="I91" s="3686"/>
      <c r="K91" s="3571"/>
      <c r="L91" s="1485">
        <f t="shared" si="0"/>
        <v>0</v>
      </c>
      <c r="M91" s="1485">
        <f t="shared" si="2"/>
        <v>0</v>
      </c>
      <c r="N91" s="2845"/>
      <c r="O91" s="2845"/>
      <c r="P91" s="2845"/>
      <c r="Q91" s="2845"/>
      <c r="R91" s="2845"/>
    </row>
    <row r="92" spans="1:18" ht="14.25" x14ac:dyDescent="0.2">
      <c r="A92" s="3690">
        <v>34</v>
      </c>
      <c r="B92" s="3703"/>
      <c r="C92" s="5488"/>
      <c r="D92" s="5489"/>
      <c r="E92" s="5489"/>
      <c r="F92" s="5489"/>
      <c r="G92" s="5490"/>
      <c r="H92" s="4134" t="str">
        <f t="shared" si="1"/>
        <v/>
      </c>
      <c r="I92" s="3686"/>
      <c r="K92" s="3571"/>
      <c r="L92" s="1485">
        <f t="shared" si="0"/>
        <v>0</v>
      </c>
      <c r="M92" s="1485">
        <f t="shared" si="2"/>
        <v>0</v>
      </c>
      <c r="N92" s="2845"/>
      <c r="O92" s="2845"/>
      <c r="P92" s="2845"/>
      <c r="Q92" s="2845"/>
      <c r="R92" s="2845"/>
    </row>
    <row r="93" spans="1:18" ht="14.25" x14ac:dyDescent="0.2">
      <c r="A93" s="3690">
        <v>35</v>
      </c>
      <c r="B93" s="3703"/>
      <c r="C93" s="5488"/>
      <c r="D93" s="5489"/>
      <c r="E93" s="5489"/>
      <c r="F93" s="5489"/>
      <c r="G93" s="5490"/>
      <c r="H93" s="4134" t="str">
        <f t="shared" si="1"/>
        <v/>
      </c>
      <c r="I93" s="3686"/>
      <c r="K93" s="3571"/>
      <c r="L93" s="1485">
        <f t="shared" si="0"/>
        <v>0</v>
      </c>
      <c r="M93" s="1485">
        <f t="shared" si="2"/>
        <v>0</v>
      </c>
      <c r="N93" s="2845"/>
      <c r="O93" s="2845"/>
      <c r="P93" s="2845"/>
      <c r="Q93" s="2845"/>
      <c r="R93" s="2845"/>
    </row>
    <row r="94" spans="1:18" ht="14.25" x14ac:dyDescent="0.2">
      <c r="A94" s="3690">
        <v>36</v>
      </c>
      <c r="B94" s="3703"/>
      <c r="C94" s="5488"/>
      <c r="D94" s="5489"/>
      <c r="E94" s="5489"/>
      <c r="F94" s="5489"/>
      <c r="G94" s="5490"/>
      <c r="H94" s="4134" t="str">
        <f t="shared" si="1"/>
        <v/>
      </c>
      <c r="I94" s="3686"/>
      <c r="K94" s="3571"/>
      <c r="L94" s="1485">
        <f t="shared" si="0"/>
        <v>0</v>
      </c>
      <c r="M94" s="1485">
        <f t="shared" si="2"/>
        <v>0</v>
      </c>
      <c r="N94" s="2845"/>
      <c r="O94" s="2845"/>
      <c r="P94" s="2845"/>
      <c r="Q94" s="2845"/>
      <c r="R94" s="2845"/>
    </row>
    <row r="95" spans="1:18" ht="14.25" x14ac:dyDescent="0.2">
      <c r="A95" s="3690">
        <v>37</v>
      </c>
      <c r="B95" s="3703"/>
      <c r="C95" s="5488"/>
      <c r="D95" s="5489"/>
      <c r="E95" s="5489"/>
      <c r="F95" s="5489"/>
      <c r="G95" s="5490"/>
      <c r="H95" s="4134" t="str">
        <f t="shared" si="1"/>
        <v/>
      </c>
      <c r="I95" s="3686"/>
      <c r="K95" s="3571"/>
      <c r="L95" s="1485">
        <f t="shared" si="0"/>
        <v>0</v>
      </c>
      <c r="M95" s="1485">
        <f t="shared" si="2"/>
        <v>0</v>
      </c>
      <c r="N95" s="2845"/>
      <c r="O95" s="2845"/>
      <c r="P95" s="2845"/>
      <c r="Q95" s="2845"/>
      <c r="R95" s="2845"/>
    </row>
    <row r="96" spans="1:18" ht="14.25" x14ac:dyDescent="0.2">
      <c r="A96" s="3690">
        <v>38</v>
      </c>
      <c r="B96" s="3703"/>
      <c r="C96" s="5488"/>
      <c r="D96" s="5489"/>
      <c r="E96" s="5489"/>
      <c r="F96" s="5489"/>
      <c r="G96" s="5490"/>
      <c r="H96" s="4134" t="str">
        <f t="shared" si="1"/>
        <v/>
      </c>
      <c r="I96" s="3686"/>
      <c r="K96" s="3571"/>
      <c r="L96" s="1485">
        <f t="shared" si="0"/>
        <v>0</v>
      </c>
      <c r="M96" s="1485">
        <f t="shared" si="2"/>
        <v>0</v>
      </c>
    </row>
    <row r="97" spans="1:13" ht="14.25" x14ac:dyDescent="0.2">
      <c r="A97" s="3690">
        <v>39</v>
      </c>
      <c r="B97" s="3703"/>
      <c r="C97" s="5488"/>
      <c r="D97" s="5489"/>
      <c r="E97" s="5489"/>
      <c r="F97" s="5489"/>
      <c r="G97" s="5490"/>
      <c r="H97" s="4134" t="str">
        <f t="shared" si="1"/>
        <v/>
      </c>
      <c r="I97" s="3686"/>
      <c r="K97" s="3571"/>
      <c r="L97" s="1485">
        <f t="shared" si="0"/>
        <v>0</v>
      </c>
      <c r="M97" s="1485">
        <f t="shared" si="2"/>
        <v>0</v>
      </c>
    </row>
    <row r="98" spans="1:13" ht="14.25" x14ac:dyDescent="0.2">
      <c r="A98" s="3690">
        <v>40</v>
      </c>
      <c r="B98" s="3703"/>
      <c r="C98" s="5488"/>
      <c r="D98" s="5489"/>
      <c r="E98" s="5489"/>
      <c r="F98" s="5489"/>
      <c r="G98" s="5490"/>
      <c r="H98" s="4134" t="str">
        <f t="shared" si="1"/>
        <v/>
      </c>
      <c r="I98" s="3686"/>
      <c r="K98" s="3571"/>
      <c r="L98" s="1485">
        <f t="shared" si="0"/>
        <v>0</v>
      </c>
      <c r="M98" s="1485">
        <f t="shared" si="2"/>
        <v>0</v>
      </c>
    </row>
    <row r="99" spans="1:13" ht="14.25" x14ac:dyDescent="0.2">
      <c r="A99" s="3690">
        <v>41</v>
      </c>
      <c r="B99" s="3703"/>
      <c r="C99" s="5488"/>
      <c r="D99" s="5489"/>
      <c r="E99" s="5489"/>
      <c r="F99" s="5489"/>
      <c r="G99" s="5490"/>
      <c r="H99" s="4134" t="str">
        <f t="shared" si="1"/>
        <v/>
      </c>
      <c r="I99" s="3686"/>
      <c r="K99" s="3571"/>
      <c r="L99" s="1485">
        <f t="shared" si="0"/>
        <v>0</v>
      </c>
      <c r="M99" s="1485">
        <f t="shared" si="2"/>
        <v>0</v>
      </c>
    </row>
    <row r="100" spans="1:13" ht="14.25" x14ac:dyDescent="0.2">
      <c r="A100" s="3690">
        <v>42</v>
      </c>
      <c r="B100" s="3703"/>
      <c r="C100" s="5488"/>
      <c r="D100" s="5489"/>
      <c r="E100" s="5489"/>
      <c r="F100" s="5489"/>
      <c r="G100" s="5490"/>
      <c r="H100" s="4134" t="str">
        <f t="shared" si="1"/>
        <v/>
      </c>
      <c r="I100" s="3686"/>
      <c r="K100" s="3571"/>
      <c r="L100" s="1485">
        <f t="shared" si="0"/>
        <v>0</v>
      </c>
      <c r="M100" s="1485">
        <f t="shared" si="2"/>
        <v>0</v>
      </c>
    </row>
    <row r="101" spans="1:13" ht="14.25" x14ac:dyDescent="0.2">
      <c r="A101" s="3690">
        <v>43</v>
      </c>
      <c r="B101" s="3703"/>
      <c r="C101" s="5488"/>
      <c r="D101" s="5489"/>
      <c r="E101" s="5489"/>
      <c r="F101" s="5489"/>
      <c r="G101" s="5490"/>
      <c r="H101" s="4134" t="str">
        <f t="shared" si="1"/>
        <v/>
      </c>
      <c r="I101" s="3686"/>
      <c r="K101" s="3571"/>
      <c r="L101" s="1485">
        <f t="shared" si="0"/>
        <v>0</v>
      </c>
      <c r="M101" s="1485">
        <f t="shared" si="2"/>
        <v>0</v>
      </c>
    </row>
    <row r="102" spans="1:13" ht="14.25" x14ac:dyDescent="0.2">
      <c r="A102" s="3690">
        <v>44</v>
      </c>
      <c r="B102" s="3703"/>
      <c r="C102" s="5488"/>
      <c r="D102" s="5489"/>
      <c r="E102" s="5489"/>
      <c r="F102" s="5489"/>
      <c r="G102" s="5490"/>
      <c r="H102" s="4134" t="str">
        <f t="shared" si="1"/>
        <v/>
      </c>
      <c r="I102" s="3686"/>
      <c r="K102" s="3571"/>
      <c r="L102" s="1485">
        <f t="shared" si="0"/>
        <v>0</v>
      </c>
      <c r="M102" s="1485">
        <f t="shared" si="2"/>
        <v>0</v>
      </c>
    </row>
    <row r="103" spans="1:13" ht="14.25" x14ac:dyDescent="0.2">
      <c r="A103" s="3690">
        <v>45</v>
      </c>
      <c r="B103" s="3703"/>
      <c r="C103" s="5488"/>
      <c r="D103" s="5489"/>
      <c r="E103" s="5489"/>
      <c r="F103" s="5489"/>
      <c r="G103" s="5490"/>
      <c r="H103" s="4134" t="str">
        <f t="shared" si="1"/>
        <v/>
      </c>
      <c r="I103" s="3686"/>
      <c r="K103" s="3571"/>
      <c r="L103" s="1485">
        <f t="shared" si="0"/>
        <v>0</v>
      </c>
      <c r="M103" s="1485">
        <f t="shared" si="2"/>
        <v>0</v>
      </c>
    </row>
    <row r="104" spans="1:13" ht="14.25" x14ac:dyDescent="0.2">
      <c r="A104" s="3690">
        <v>46</v>
      </c>
      <c r="B104" s="3703"/>
      <c r="C104" s="5488"/>
      <c r="D104" s="5489"/>
      <c r="E104" s="5489"/>
      <c r="F104" s="5489"/>
      <c r="G104" s="5490"/>
      <c r="H104" s="4134" t="str">
        <f t="shared" si="1"/>
        <v/>
      </c>
      <c r="I104" s="3686"/>
      <c r="K104" s="3571"/>
      <c r="L104" s="1485">
        <f t="shared" si="0"/>
        <v>0</v>
      </c>
      <c r="M104" s="1485">
        <f t="shared" si="2"/>
        <v>0</v>
      </c>
    </row>
    <row r="105" spans="1:13" ht="14.25" x14ac:dyDescent="0.2">
      <c r="A105" s="3690">
        <v>47</v>
      </c>
      <c r="B105" s="3703"/>
      <c r="C105" s="5488"/>
      <c r="D105" s="5489"/>
      <c r="E105" s="5489"/>
      <c r="F105" s="5489"/>
      <c r="G105" s="5490"/>
      <c r="H105" s="4134" t="str">
        <f t="shared" si="1"/>
        <v/>
      </c>
      <c r="I105" s="3686"/>
      <c r="K105" s="3571"/>
      <c r="L105" s="1485">
        <f t="shared" si="0"/>
        <v>0</v>
      </c>
      <c r="M105" s="1485">
        <f t="shared" si="2"/>
        <v>0</v>
      </c>
    </row>
    <row r="106" spans="1:13" ht="14.25" x14ac:dyDescent="0.2">
      <c r="A106" s="3690">
        <v>48</v>
      </c>
      <c r="B106" s="3703"/>
      <c r="C106" s="5488"/>
      <c r="D106" s="5489"/>
      <c r="E106" s="5489"/>
      <c r="F106" s="5489"/>
      <c r="G106" s="5490"/>
      <c r="H106" s="4134" t="str">
        <f t="shared" si="1"/>
        <v/>
      </c>
      <c r="I106" s="3686"/>
      <c r="K106" s="3571"/>
      <c r="L106" s="1485">
        <f t="shared" si="0"/>
        <v>0</v>
      </c>
      <c r="M106" s="1485">
        <f t="shared" si="2"/>
        <v>0</v>
      </c>
    </row>
    <row r="107" spans="1:13" ht="14.25" x14ac:dyDescent="0.2">
      <c r="A107" s="3690">
        <v>49</v>
      </c>
      <c r="B107" s="3703"/>
      <c r="C107" s="5488"/>
      <c r="D107" s="5489"/>
      <c r="E107" s="5489"/>
      <c r="F107" s="5489"/>
      <c r="G107" s="5490"/>
      <c r="H107" s="4134" t="str">
        <f t="shared" si="1"/>
        <v/>
      </c>
      <c r="I107" s="3686"/>
      <c r="K107" s="3571"/>
      <c r="L107" s="1485">
        <f t="shared" si="0"/>
        <v>0</v>
      </c>
      <c r="M107" s="1485">
        <f t="shared" si="2"/>
        <v>0</v>
      </c>
    </row>
    <row r="108" spans="1:13" ht="14.25" x14ac:dyDescent="0.2">
      <c r="A108" s="3690"/>
      <c r="B108" s="3703"/>
      <c r="C108" s="5488"/>
      <c r="D108" s="5489"/>
      <c r="E108" s="5489"/>
      <c r="F108" s="5489"/>
      <c r="G108" s="5490"/>
      <c r="H108" s="4134" t="str">
        <f t="shared" si="1"/>
        <v/>
      </c>
      <c r="I108" s="3686"/>
      <c r="K108" s="3571"/>
      <c r="L108" s="1485">
        <f t="shared" si="0"/>
        <v>0</v>
      </c>
      <c r="M108" s="1485">
        <f t="shared" si="2"/>
        <v>0</v>
      </c>
    </row>
    <row r="109" spans="1:13" ht="14.25" x14ac:dyDescent="0.2">
      <c r="A109" s="3690">
        <v>50</v>
      </c>
      <c r="B109" s="3703"/>
      <c r="C109" s="5488"/>
      <c r="D109" s="5489"/>
      <c r="E109" s="5489"/>
      <c r="F109" s="5489"/>
      <c r="G109" s="5490"/>
      <c r="H109" s="4134" t="str">
        <f t="shared" si="1"/>
        <v/>
      </c>
      <c r="I109" s="3686"/>
      <c r="K109" s="3571"/>
      <c r="L109" s="1485">
        <f t="shared" si="0"/>
        <v>0</v>
      </c>
      <c r="M109" s="1485">
        <f t="shared" si="2"/>
        <v>0</v>
      </c>
    </row>
    <row r="110" spans="1:13" ht="14.25" x14ac:dyDescent="0.2">
      <c r="A110" s="3690"/>
      <c r="B110" s="3703"/>
      <c r="C110" s="5488"/>
      <c r="D110" s="5489"/>
      <c r="E110" s="5489"/>
      <c r="F110" s="5489"/>
      <c r="G110" s="5490"/>
      <c r="H110" s="4134" t="str">
        <f t="shared" si="1"/>
        <v/>
      </c>
      <c r="I110" s="3686"/>
      <c r="K110" s="3571"/>
      <c r="L110" s="1485">
        <f t="shared" si="0"/>
        <v>0</v>
      </c>
      <c r="M110" s="1485">
        <f t="shared" si="2"/>
        <v>0</v>
      </c>
    </row>
    <row r="111" spans="1:13" ht="14.25" x14ac:dyDescent="0.2">
      <c r="A111" s="3690"/>
      <c r="B111" s="3703"/>
      <c r="C111" s="5488"/>
      <c r="D111" s="5489"/>
      <c r="E111" s="5489"/>
      <c r="F111" s="5489"/>
      <c r="G111" s="5490"/>
      <c r="H111" s="4134" t="str">
        <f t="shared" si="1"/>
        <v/>
      </c>
      <c r="I111" s="3686"/>
      <c r="K111" s="3571"/>
      <c r="L111" s="1485">
        <f t="shared" si="0"/>
        <v>0</v>
      </c>
      <c r="M111" s="1485">
        <f t="shared" si="2"/>
        <v>0</v>
      </c>
    </row>
    <row r="112" spans="1:13" ht="14.25" x14ac:dyDescent="0.2">
      <c r="A112" s="3690"/>
      <c r="B112" s="3703"/>
      <c r="C112" s="5488"/>
      <c r="D112" s="5489"/>
      <c r="E112" s="5489"/>
      <c r="F112" s="5489"/>
      <c r="G112" s="5490"/>
      <c r="H112" s="4134" t="str">
        <f t="shared" si="1"/>
        <v/>
      </c>
      <c r="I112" s="3686"/>
      <c r="K112" s="3571"/>
      <c r="L112" s="1485">
        <f t="shared" si="0"/>
        <v>0</v>
      </c>
      <c r="M112" s="1485">
        <f t="shared" si="2"/>
        <v>0</v>
      </c>
    </row>
    <row r="113" spans="1:13" ht="14.25" x14ac:dyDescent="0.2">
      <c r="A113" s="3690"/>
      <c r="B113" s="3703"/>
      <c r="C113" s="5488"/>
      <c r="D113" s="5489"/>
      <c r="E113" s="5489"/>
      <c r="F113" s="5489"/>
      <c r="G113" s="5490"/>
      <c r="H113" s="4134" t="str">
        <f t="shared" si="1"/>
        <v/>
      </c>
      <c r="I113" s="3686"/>
      <c r="K113" s="3571"/>
      <c r="L113" s="1485">
        <f t="shared" si="0"/>
        <v>0</v>
      </c>
      <c r="M113" s="1485">
        <f t="shared" si="2"/>
        <v>0</v>
      </c>
    </row>
    <row r="114" spans="1:13" ht="14.25" x14ac:dyDescent="0.2">
      <c r="A114" s="3690"/>
      <c r="B114" s="3703"/>
      <c r="C114" s="5488"/>
      <c r="D114" s="5489"/>
      <c r="E114" s="5489"/>
      <c r="F114" s="5489"/>
      <c r="G114" s="5490"/>
      <c r="H114" s="4134" t="str">
        <f t="shared" si="1"/>
        <v/>
      </c>
      <c r="I114" s="3686"/>
      <c r="K114" s="3571"/>
      <c r="L114" s="1485">
        <f t="shared" si="0"/>
        <v>0</v>
      </c>
      <c r="M114" s="1485">
        <f t="shared" si="2"/>
        <v>0</v>
      </c>
    </row>
    <row r="115" spans="1:13" ht="14.25" x14ac:dyDescent="0.2">
      <c r="A115" s="3690"/>
      <c r="B115" s="3703"/>
      <c r="C115" s="5488"/>
      <c r="D115" s="5489"/>
      <c r="E115" s="5489"/>
      <c r="F115" s="5489"/>
      <c r="G115" s="5490"/>
      <c r="H115" s="4134" t="str">
        <f t="shared" si="1"/>
        <v/>
      </c>
      <c r="I115" s="3686"/>
      <c r="K115" s="3571"/>
      <c r="L115" s="1485">
        <f t="shared" si="0"/>
        <v>0</v>
      </c>
      <c r="M115" s="1485">
        <f t="shared" si="2"/>
        <v>0</v>
      </c>
    </row>
    <row r="116" spans="1:13" ht="14.25" x14ac:dyDescent="0.2">
      <c r="A116" s="3690"/>
      <c r="B116" s="3703"/>
      <c r="C116" s="5488"/>
      <c r="D116" s="5489"/>
      <c r="E116" s="5489"/>
      <c r="F116" s="5489"/>
      <c r="G116" s="5490"/>
      <c r="H116" s="4134" t="str">
        <f t="shared" si="1"/>
        <v/>
      </c>
      <c r="I116" s="3686"/>
      <c r="K116" s="3571"/>
      <c r="L116" s="1485">
        <f t="shared" si="0"/>
        <v>0</v>
      </c>
      <c r="M116" s="1485">
        <f t="shared" si="2"/>
        <v>0</v>
      </c>
    </row>
    <row r="117" spans="1:13" ht="14.25" x14ac:dyDescent="0.2">
      <c r="A117" s="3690"/>
      <c r="B117" s="3703"/>
      <c r="C117" s="5488"/>
      <c r="D117" s="5489"/>
      <c r="E117" s="5489"/>
      <c r="F117" s="5489"/>
      <c r="G117" s="5490"/>
      <c r="H117" s="4134" t="str">
        <f t="shared" si="1"/>
        <v/>
      </c>
      <c r="I117" s="3686"/>
      <c r="K117" s="3571"/>
      <c r="L117" s="1485">
        <f t="shared" si="0"/>
        <v>0</v>
      </c>
      <c r="M117" s="1485">
        <f t="shared" si="2"/>
        <v>0</v>
      </c>
    </row>
    <row r="118" spans="1:13" ht="14.25" x14ac:dyDescent="0.2">
      <c r="A118" s="3690"/>
      <c r="B118" s="3703"/>
      <c r="C118" s="5488"/>
      <c r="D118" s="5489"/>
      <c r="E118" s="5489"/>
      <c r="F118" s="5489"/>
      <c r="G118" s="5490"/>
      <c r="H118" s="4134" t="str">
        <f t="shared" si="1"/>
        <v/>
      </c>
      <c r="I118" s="3686"/>
      <c r="K118" s="3571"/>
      <c r="L118" s="1485">
        <f t="shared" si="0"/>
        <v>0</v>
      </c>
      <c r="M118" s="1485">
        <f t="shared" si="2"/>
        <v>0</v>
      </c>
    </row>
    <row r="119" spans="1:13" ht="14.25" x14ac:dyDescent="0.2">
      <c r="A119" s="3690"/>
      <c r="B119" s="3703"/>
      <c r="C119" s="5488"/>
      <c r="D119" s="5489"/>
      <c r="E119" s="5489"/>
      <c r="F119" s="5489"/>
      <c r="G119" s="5490"/>
      <c r="H119" s="4134" t="str">
        <f t="shared" si="1"/>
        <v/>
      </c>
      <c r="I119" s="3686"/>
      <c r="K119" s="3571"/>
      <c r="L119" s="1485">
        <f t="shared" si="0"/>
        <v>0</v>
      </c>
      <c r="M119" s="1485">
        <f t="shared" si="2"/>
        <v>0</v>
      </c>
    </row>
    <row r="120" spans="1:13" ht="14.25" x14ac:dyDescent="0.2">
      <c r="A120" s="3690"/>
      <c r="B120" s="3703"/>
      <c r="C120" s="5488"/>
      <c r="D120" s="5489"/>
      <c r="E120" s="5489"/>
      <c r="F120" s="5489"/>
      <c r="G120" s="5490"/>
      <c r="H120" s="4134" t="str">
        <f t="shared" si="1"/>
        <v/>
      </c>
      <c r="I120" s="3686"/>
      <c r="K120" s="3571"/>
      <c r="L120" s="1485">
        <f t="shared" si="0"/>
        <v>0</v>
      </c>
      <c r="M120" s="1485">
        <f t="shared" si="2"/>
        <v>0</v>
      </c>
    </row>
    <row r="121" spans="1:13" ht="14.25" x14ac:dyDescent="0.2">
      <c r="A121" s="3690"/>
      <c r="B121" s="3703"/>
      <c r="C121" s="5488"/>
      <c r="D121" s="5489"/>
      <c r="E121" s="5489"/>
      <c r="F121" s="5489"/>
      <c r="G121" s="5490"/>
      <c r="H121" s="4134" t="str">
        <f t="shared" si="1"/>
        <v/>
      </c>
      <c r="I121" s="3686"/>
      <c r="K121" s="3571"/>
      <c r="L121" s="1485">
        <f t="shared" si="0"/>
        <v>0</v>
      </c>
      <c r="M121" s="1485">
        <f t="shared" si="2"/>
        <v>0</v>
      </c>
    </row>
    <row r="122" spans="1:13" ht="14.25" x14ac:dyDescent="0.2">
      <c r="A122" s="3690"/>
      <c r="B122" s="3703"/>
      <c r="C122" s="5488"/>
      <c r="D122" s="5489"/>
      <c r="E122" s="5489"/>
      <c r="F122" s="5489"/>
      <c r="G122" s="5490"/>
      <c r="H122" s="4134" t="str">
        <f t="shared" si="1"/>
        <v/>
      </c>
      <c r="I122" s="3686"/>
      <c r="K122" s="3571"/>
      <c r="L122" s="1485">
        <f t="shared" si="0"/>
        <v>0</v>
      </c>
      <c r="M122" s="1485">
        <f t="shared" si="2"/>
        <v>0</v>
      </c>
    </row>
    <row r="123" spans="1:13" ht="14.25" x14ac:dyDescent="0.2">
      <c r="A123" s="3690"/>
      <c r="B123" s="3703"/>
      <c r="C123" s="5488"/>
      <c r="D123" s="5489"/>
      <c r="E123" s="5489"/>
      <c r="F123" s="5489"/>
      <c r="G123" s="5490"/>
      <c r="H123" s="4134" t="str">
        <f t="shared" si="1"/>
        <v/>
      </c>
      <c r="I123" s="3686"/>
      <c r="K123" s="3571"/>
      <c r="L123" s="1485">
        <f t="shared" si="0"/>
        <v>0</v>
      </c>
      <c r="M123" s="1485">
        <f t="shared" si="2"/>
        <v>0</v>
      </c>
    </row>
    <row r="124" spans="1:13" ht="14.25" x14ac:dyDescent="0.2">
      <c r="A124" s="3690"/>
      <c r="B124" s="3703"/>
      <c r="C124" s="5488"/>
      <c r="D124" s="5489"/>
      <c r="E124" s="5489"/>
      <c r="F124" s="5489"/>
      <c r="G124" s="5490"/>
      <c r="H124" s="4134" t="str">
        <f t="shared" si="1"/>
        <v/>
      </c>
      <c r="I124" s="3686"/>
      <c r="K124" s="3571"/>
      <c r="L124" s="1485">
        <f t="shared" ref="L124:L158" si="3">IF(H124&lt;&gt;"",1,0)</f>
      </c>
      <c r="M124" s="1485">
        <f t="shared" si="2"/>
        <v>0</v>
      </c>
    </row>
    <row r="125" spans="1:13" ht="14.25" x14ac:dyDescent="0.2">
      <c r="A125" s="3690"/>
      <c r="B125" s="3703"/>
      <c r="C125" s="5488"/>
      <c r="D125" s="5489"/>
      <c r="E125" s="5489"/>
      <c r="F125" s="5489"/>
      <c r="G125" s="5490"/>
      <c r="H125" s="4134" t="str">
        <f t="shared" ref="H125:H158" si="4">IF(M125=0,"",IF(OR($M$1="n",AND($G$6="no",M125&lt;&gt;0)),"Delete!",IF(M125=1,"All data!","")))</f>
        <v/>
      </c>
      <c r="I125" s="3686"/>
      <c r="K125" s="3571"/>
      <c r="L125" s="1485">
        <f t="shared" si="3"/>
        <v>0</v>
      </c>
      <c r="M125" s="1485">
        <f t="shared" ref="M125:M158" si="5">COUNTA(B125:C125)</f>
      </c>
    </row>
    <row r="126" spans="1:13" ht="14.25" x14ac:dyDescent="0.2">
      <c r="A126" s="3690"/>
      <c r="B126" s="3703"/>
      <c r="C126" s="5488"/>
      <c r="D126" s="5489"/>
      <c r="E126" s="5489"/>
      <c r="F126" s="5489"/>
      <c r="G126" s="5490"/>
      <c r="H126" s="4134" t="str">
        <f t="shared" si="4"/>
        <v/>
      </c>
      <c r="I126" s="3686"/>
      <c r="K126" s="3571"/>
      <c r="L126" s="1485">
        <f t="shared" si="3"/>
        <v>0</v>
      </c>
      <c r="M126" s="1485">
        <f t="shared" si="5"/>
        <v>0</v>
      </c>
    </row>
    <row r="127" spans="1:13" ht="14.25" x14ac:dyDescent="0.2">
      <c r="A127" s="3690"/>
      <c r="B127" s="3703"/>
      <c r="C127" s="5488"/>
      <c r="D127" s="5489"/>
      <c r="E127" s="5489"/>
      <c r="F127" s="5489"/>
      <c r="G127" s="5490"/>
      <c r="H127" s="4134" t="str">
        <f t="shared" si="4"/>
        <v/>
      </c>
      <c r="I127" s="3686"/>
      <c r="K127" s="3571"/>
      <c r="L127" s="1485">
        <f t="shared" si="3"/>
        <v>0</v>
      </c>
      <c r="M127" s="1485">
        <f t="shared" si="5"/>
        <v>0</v>
      </c>
    </row>
    <row r="128" spans="1:13" ht="14.25" x14ac:dyDescent="0.2">
      <c r="A128" s="3690"/>
      <c r="B128" s="3703"/>
      <c r="C128" s="5488"/>
      <c r="D128" s="5489"/>
      <c r="E128" s="5489"/>
      <c r="F128" s="5489"/>
      <c r="G128" s="5490"/>
      <c r="H128" s="4134" t="str">
        <f t="shared" si="4"/>
        <v/>
      </c>
      <c r="I128" s="3686"/>
      <c r="K128" s="3571"/>
      <c r="L128" s="1485">
        <f t="shared" si="3"/>
        <v>0</v>
      </c>
      <c r="M128" s="1485">
        <f t="shared" si="5"/>
        <v>0</v>
      </c>
    </row>
    <row r="129" spans="1:13" ht="14.25" x14ac:dyDescent="0.2">
      <c r="A129" s="3690"/>
      <c r="B129" s="3703"/>
      <c r="C129" s="5488"/>
      <c r="D129" s="5489"/>
      <c r="E129" s="5489"/>
      <c r="F129" s="5489"/>
      <c r="G129" s="5490"/>
      <c r="H129" s="4134" t="str">
        <f t="shared" si="4"/>
        <v/>
      </c>
      <c r="I129" s="3686"/>
      <c r="K129" s="3571"/>
      <c r="L129" s="1485">
        <f t="shared" si="3"/>
        <v>0</v>
      </c>
      <c r="M129" s="1485">
        <f t="shared" si="5"/>
        <v>0</v>
      </c>
    </row>
    <row r="130" spans="1:13" ht="14.25" x14ac:dyDescent="0.2">
      <c r="A130" s="3690"/>
      <c r="B130" s="3703"/>
      <c r="C130" s="5488"/>
      <c r="D130" s="5489"/>
      <c r="E130" s="5489"/>
      <c r="F130" s="5489"/>
      <c r="G130" s="5490"/>
      <c r="H130" s="4134" t="str">
        <f t="shared" si="4"/>
        <v/>
      </c>
      <c r="I130" s="3686"/>
      <c r="K130" s="3571"/>
      <c r="L130" s="1485">
        <f t="shared" si="3"/>
        <v>0</v>
      </c>
      <c r="M130" s="1485">
        <f t="shared" si="5"/>
        <v>0</v>
      </c>
    </row>
    <row r="131" spans="1:13" ht="14.25" x14ac:dyDescent="0.2">
      <c r="A131" s="3690"/>
      <c r="B131" s="3703"/>
      <c r="C131" s="5488"/>
      <c r="D131" s="5489"/>
      <c r="E131" s="5489"/>
      <c r="F131" s="5489"/>
      <c r="G131" s="5490"/>
      <c r="H131" s="4134" t="str">
        <f t="shared" si="4"/>
        <v/>
      </c>
      <c r="I131" s="3686"/>
      <c r="K131" s="3571"/>
      <c r="L131" s="1485">
        <f t="shared" si="3"/>
        <v>0</v>
      </c>
      <c r="M131" s="1485">
        <f t="shared" si="5"/>
        <v>0</v>
      </c>
    </row>
    <row r="132" spans="1:13" ht="14.25" x14ac:dyDescent="0.2">
      <c r="A132" s="3690"/>
      <c r="B132" s="3703"/>
      <c r="C132" s="5488"/>
      <c r="D132" s="5489"/>
      <c r="E132" s="5489"/>
      <c r="F132" s="5489"/>
      <c r="G132" s="5490"/>
      <c r="H132" s="4134" t="str">
        <f t="shared" si="4"/>
        <v/>
      </c>
      <c r="I132" s="3686"/>
      <c r="K132" s="3571"/>
      <c r="L132" s="1485">
        <f t="shared" si="3"/>
        <v>0</v>
      </c>
      <c r="M132" s="1485">
        <f t="shared" si="5"/>
        <v>0</v>
      </c>
    </row>
    <row r="133" spans="1:13" ht="14.25" x14ac:dyDescent="0.2">
      <c r="A133" s="3690"/>
      <c r="B133" s="3703"/>
      <c r="C133" s="5488"/>
      <c r="D133" s="5489"/>
      <c r="E133" s="5489"/>
      <c r="F133" s="5489"/>
      <c r="G133" s="5490"/>
      <c r="H133" s="4134" t="str">
        <f t="shared" si="4"/>
        <v/>
      </c>
      <c r="I133" s="3686"/>
      <c r="K133" s="3571"/>
      <c r="L133" s="1485">
        <f t="shared" si="3"/>
        <v>0</v>
      </c>
      <c r="M133" s="1485">
        <f t="shared" si="5"/>
        <v>0</v>
      </c>
    </row>
    <row r="134" spans="1:13" ht="14.25" x14ac:dyDescent="0.2">
      <c r="A134" s="3690"/>
      <c r="B134" s="3703"/>
      <c r="C134" s="5488"/>
      <c r="D134" s="5489"/>
      <c r="E134" s="5489"/>
      <c r="F134" s="5489"/>
      <c r="G134" s="5490"/>
      <c r="H134" s="4134" t="str">
        <f t="shared" si="4"/>
        <v/>
      </c>
      <c r="I134" s="3686"/>
      <c r="K134" s="3571"/>
      <c r="L134" s="1485">
        <f t="shared" si="3"/>
        <v>0</v>
      </c>
      <c r="M134" s="1485">
        <f t="shared" si="5"/>
        <v>0</v>
      </c>
    </row>
    <row r="135" spans="1:13" ht="14.25" x14ac:dyDescent="0.2">
      <c r="A135" s="3690"/>
      <c r="B135" s="3703"/>
      <c r="C135" s="5488"/>
      <c r="D135" s="5489"/>
      <c r="E135" s="5489"/>
      <c r="F135" s="5489"/>
      <c r="G135" s="5490"/>
      <c r="H135" s="4134" t="str">
        <f t="shared" si="4"/>
        <v/>
      </c>
      <c r="I135" s="3686"/>
      <c r="K135" s="3571"/>
      <c r="L135" s="1485">
        <f t="shared" si="3"/>
        <v>0</v>
      </c>
      <c r="M135" s="1485">
        <f t="shared" si="5"/>
        <v>0</v>
      </c>
    </row>
    <row r="136" spans="1:13" ht="14.25" x14ac:dyDescent="0.2">
      <c r="A136" s="3690"/>
      <c r="B136" s="3703"/>
      <c r="C136" s="5488"/>
      <c r="D136" s="5489"/>
      <c r="E136" s="5489"/>
      <c r="F136" s="5489"/>
      <c r="G136" s="5490"/>
      <c r="H136" s="4134" t="str">
        <f t="shared" si="4"/>
        <v/>
      </c>
      <c r="I136" s="3686"/>
      <c r="K136" s="3571"/>
      <c r="L136" s="1485">
        <f t="shared" si="3"/>
        <v>0</v>
      </c>
      <c r="M136" s="1485">
        <f t="shared" si="5"/>
        <v>0</v>
      </c>
    </row>
    <row r="137" spans="1:13" ht="14.25" x14ac:dyDescent="0.2">
      <c r="A137" s="3690"/>
      <c r="B137" s="3703"/>
      <c r="C137" s="5488"/>
      <c r="D137" s="5489"/>
      <c r="E137" s="5489"/>
      <c r="F137" s="5489"/>
      <c r="G137" s="5490"/>
      <c r="H137" s="4134" t="str">
        <f t="shared" si="4"/>
        <v/>
      </c>
      <c r="I137" s="3686"/>
      <c r="K137" s="3571"/>
      <c r="L137" s="1485">
        <f t="shared" si="3"/>
        <v>0</v>
      </c>
      <c r="M137" s="1485">
        <f t="shared" si="5"/>
        <v>0</v>
      </c>
    </row>
    <row r="138" spans="1:13" ht="14.25" x14ac:dyDescent="0.2">
      <c r="A138" s="3690"/>
      <c r="B138" s="3703"/>
      <c r="C138" s="5488"/>
      <c r="D138" s="5489"/>
      <c r="E138" s="5489"/>
      <c r="F138" s="5489"/>
      <c r="G138" s="5490"/>
      <c r="H138" s="4134" t="str">
        <f t="shared" si="4"/>
        <v/>
      </c>
      <c r="I138" s="3686"/>
      <c r="K138" s="3571"/>
      <c r="L138" s="1485">
        <f t="shared" si="3"/>
        <v>0</v>
      </c>
      <c r="M138" s="1485">
        <f t="shared" si="5"/>
        <v>0</v>
      </c>
    </row>
    <row r="139" spans="1:13" ht="14.25" x14ac:dyDescent="0.2">
      <c r="A139" s="3690"/>
      <c r="B139" s="3703"/>
      <c r="C139" s="5488"/>
      <c r="D139" s="5489"/>
      <c r="E139" s="5489"/>
      <c r="F139" s="5489"/>
      <c r="G139" s="5490"/>
      <c r="H139" s="4134" t="str">
        <f t="shared" si="4"/>
        <v/>
      </c>
      <c r="I139" s="3686"/>
      <c r="K139" s="3571"/>
      <c r="L139" s="1485">
        <f t="shared" si="3"/>
        <v>0</v>
      </c>
      <c r="M139" s="1485">
        <f t="shared" si="5"/>
        <v>0</v>
      </c>
    </row>
    <row r="140" spans="1:13" ht="14.25" x14ac:dyDescent="0.2">
      <c r="A140" s="3690"/>
      <c r="B140" s="3703"/>
      <c r="C140" s="5488"/>
      <c r="D140" s="5489"/>
      <c r="E140" s="5489"/>
      <c r="F140" s="5489"/>
      <c r="G140" s="5490"/>
      <c r="H140" s="4134" t="str">
        <f t="shared" si="4"/>
        <v/>
      </c>
      <c r="I140" s="3686"/>
      <c r="K140" s="3571"/>
      <c r="L140" s="1485">
        <f t="shared" si="3"/>
        <v>0</v>
      </c>
      <c r="M140" s="1485">
        <f t="shared" si="5"/>
        <v>0</v>
      </c>
    </row>
    <row r="141" spans="1:13" ht="14.25" x14ac:dyDescent="0.2">
      <c r="A141" s="3690"/>
      <c r="B141" s="3703"/>
      <c r="C141" s="5488"/>
      <c r="D141" s="5489"/>
      <c r="E141" s="5489"/>
      <c r="F141" s="5489"/>
      <c r="G141" s="5490"/>
      <c r="H141" s="4134" t="str">
        <f t="shared" si="4"/>
        <v/>
      </c>
      <c r="I141" s="3686"/>
      <c r="K141" s="3571"/>
      <c r="L141" s="1485">
        <f t="shared" si="3"/>
        <v>0</v>
      </c>
      <c r="M141" s="1485">
        <f t="shared" si="5"/>
        <v>0</v>
      </c>
    </row>
    <row r="142" spans="1:13" ht="14.25" x14ac:dyDescent="0.2">
      <c r="A142" s="3690"/>
      <c r="B142" s="3703"/>
      <c r="C142" s="5488"/>
      <c r="D142" s="5489"/>
      <c r="E142" s="5489"/>
      <c r="F142" s="5489"/>
      <c r="G142" s="5490"/>
      <c r="H142" s="4134" t="str">
        <f t="shared" si="4"/>
        <v/>
      </c>
      <c r="I142" s="3686"/>
      <c r="K142" s="3571"/>
      <c r="L142" s="1485">
        <f t="shared" si="3"/>
        <v>0</v>
      </c>
      <c r="M142" s="1485">
        <f t="shared" si="5"/>
        <v>0</v>
      </c>
    </row>
    <row r="143" spans="1:13" ht="14.25" x14ac:dyDescent="0.2">
      <c r="A143" s="3690"/>
      <c r="B143" s="3703"/>
      <c r="C143" s="5488"/>
      <c r="D143" s="5489"/>
      <c r="E143" s="5489"/>
      <c r="F143" s="5489"/>
      <c r="G143" s="5490"/>
      <c r="H143" s="4134" t="str">
        <f t="shared" si="4"/>
        <v/>
      </c>
      <c r="I143" s="3686"/>
      <c r="K143" s="3571"/>
      <c r="L143" s="1485">
        <f t="shared" si="3"/>
        <v>0</v>
      </c>
      <c r="M143" s="1485">
        <f t="shared" si="5"/>
        <v>0</v>
      </c>
    </row>
    <row r="144" spans="1:13" ht="14.25" x14ac:dyDescent="0.2">
      <c r="A144" s="3690"/>
      <c r="B144" s="3703"/>
      <c r="C144" s="5488"/>
      <c r="D144" s="5489"/>
      <c r="E144" s="5489"/>
      <c r="F144" s="5489"/>
      <c r="G144" s="5490"/>
      <c r="H144" s="4134" t="str">
        <f t="shared" si="4"/>
        <v/>
      </c>
      <c r="I144" s="3686"/>
      <c r="K144" s="3571"/>
      <c r="L144" s="1485">
        <f t="shared" si="3"/>
        <v>0</v>
      </c>
      <c r="M144" s="1485">
        <f t="shared" si="5"/>
        <v>0</v>
      </c>
    </row>
    <row r="145" spans="1:13" ht="14.25" x14ac:dyDescent="0.2">
      <c r="A145" s="3690"/>
      <c r="B145" s="3703"/>
      <c r="C145" s="5488"/>
      <c r="D145" s="5489"/>
      <c r="E145" s="5489"/>
      <c r="F145" s="5489"/>
      <c r="G145" s="5490"/>
      <c r="H145" s="4134" t="str">
        <f t="shared" si="4"/>
        <v/>
      </c>
      <c r="I145" s="3686"/>
      <c r="K145" s="3571"/>
      <c r="L145" s="1485">
        <f t="shared" si="3"/>
        <v>0</v>
      </c>
      <c r="M145" s="1485">
        <f t="shared" si="5"/>
        <v>0</v>
      </c>
    </row>
    <row r="146" spans="1:13" ht="14.25" x14ac:dyDescent="0.2">
      <c r="A146" s="3690"/>
      <c r="B146" s="3703"/>
      <c r="C146" s="5488"/>
      <c r="D146" s="5489"/>
      <c r="E146" s="5489"/>
      <c r="F146" s="5489"/>
      <c r="G146" s="5490"/>
      <c r="H146" s="4134" t="str">
        <f t="shared" si="4"/>
        <v/>
      </c>
      <c r="I146" s="3686"/>
      <c r="K146" s="3571"/>
      <c r="L146" s="1485">
        <f t="shared" si="3"/>
        <v>0</v>
      </c>
      <c r="M146" s="1485">
        <f t="shared" si="5"/>
        <v>0</v>
      </c>
    </row>
    <row r="147" spans="1:13" ht="14.25" x14ac:dyDescent="0.2">
      <c r="A147" s="3690"/>
      <c r="B147" s="3703"/>
      <c r="C147" s="5488"/>
      <c r="D147" s="5489"/>
      <c r="E147" s="5489"/>
      <c r="F147" s="5489"/>
      <c r="G147" s="5490"/>
      <c r="H147" s="4134" t="str">
        <f t="shared" si="4"/>
        <v/>
      </c>
      <c r="I147" s="3686"/>
      <c r="K147" s="3571"/>
      <c r="L147" s="1485">
        <f t="shared" si="3"/>
        <v>0</v>
      </c>
      <c r="M147" s="1485">
        <f t="shared" si="5"/>
        <v>0</v>
      </c>
    </row>
    <row r="148" spans="1:13" ht="14.25" x14ac:dyDescent="0.2">
      <c r="A148" s="3690"/>
      <c r="B148" s="3703"/>
      <c r="C148" s="5488"/>
      <c r="D148" s="5489"/>
      <c r="E148" s="5489"/>
      <c r="F148" s="5489"/>
      <c r="G148" s="5490"/>
      <c r="H148" s="4134" t="str">
        <f t="shared" si="4"/>
        <v/>
      </c>
      <c r="I148" s="3686"/>
      <c r="K148" s="3571"/>
      <c r="L148" s="1485">
        <f t="shared" si="3"/>
        <v>0</v>
      </c>
      <c r="M148" s="1485">
        <f t="shared" si="5"/>
        <v>0</v>
      </c>
    </row>
    <row r="149" spans="1:13" ht="14.25" x14ac:dyDescent="0.2">
      <c r="A149" s="3690"/>
      <c r="B149" s="3703"/>
      <c r="C149" s="5488"/>
      <c r="D149" s="5489"/>
      <c r="E149" s="5489"/>
      <c r="F149" s="5489"/>
      <c r="G149" s="5490"/>
      <c r="H149" s="4134" t="str">
        <f t="shared" si="4"/>
        <v/>
      </c>
      <c r="I149" s="3686"/>
      <c r="K149" s="3571"/>
      <c r="L149" s="1485">
        <f t="shared" si="3"/>
        <v>0</v>
      </c>
      <c r="M149" s="1485">
        <f t="shared" si="5"/>
        <v>0</v>
      </c>
    </row>
    <row r="150" spans="1:13" ht="14.25" x14ac:dyDescent="0.2">
      <c r="A150" s="3690"/>
      <c r="B150" s="3703"/>
      <c r="C150" s="5488"/>
      <c r="D150" s="5489"/>
      <c r="E150" s="5489"/>
      <c r="F150" s="5489"/>
      <c r="G150" s="5490"/>
      <c r="H150" s="4134" t="str">
        <f t="shared" si="4"/>
        <v/>
      </c>
      <c r="I150" s="3686"/>
      <c r="K150" s="3571"/>
      <c r="L150" s="1485">
        <f t="shared" si="3"/>
        <v>0</v>
      </c>
      <c r="M150" s="1485">
        <f t="shared" si="5"/>
        <v>0</v>
      </c>
    </row>
    <row r="151" spans="1:13" ht="14.25" x14ac:dyDescent="0.2">
      <c r="A151" s="3690"/>
      <c r="B151" s="3703"/>
      <c r="C151" s="5488"/>
      <c r="D151" s="5489"/>
      <c r="E151" s="5489"/>
      <c r="F151" s="5489"/>
      <c r="G151" s="5490"/>
      <c r="H151" s="4134" t="str">
        <f t="shared" si="4"/>
        <v/>
      </c>
      <c r="I151" s="3686"/>
      <c r="K151" s="3571"/>
      <c r="L151" s="1485">
        <f t="shared" si="3"/>
        <v>0</v>
      </c>
      <c r="M151" s="1485">
        <f t="shared" si="5"/>
        <v>0</v>
      </c>
    </row>
    <row r="152" spans="1:13" ht="14.25" x14ac:dyDescent="0.2">
      <c r="A152" s="3690"/>
      <c r="B152" s="3703"/>
      <c r="C152" s="5488"/>
      <c r="D152" s="5489"/>
      <c r="E152" s="5489"/>
      <c r="F152" s="5489"/>
      <c r="G152" s="5490"/>
      <c r="H152" s="4134" t="str">
        <f t="shared" si="4"/>
        <v/>
      </c>
      <c r="I152" s="3686"/>
      <c r="K152" s="3571"/>
      <c r="L152" s="1485">
        <f t="shared" si="3"/>
        <v>0</v>
      </c>
      <c r="M152" s="1485">
        <f t="shared" si="5"/>
        <v>0</v>
      </c>
    </row>
    <row r="153" spans="1:13" ht="14.25" x14ac:dyDescent="0.2">
      <c r="A153" s="3690"/>
      <c r="B153" s="3703"/>
      <c r="C153" s="5488"/>
      <c r="D153" s="5489"/>
      <c r="E153" s="5489"/>
      <c r="F153" s="5489"/>
      <c r="G153" s="5490"/>
      <c r="H153" s="4134" t="str">
        <f t="shared" si="4"/>
        <v/>
      </c>
      <c r="I153" s="3686"/>
      <c r="K153" s="3571"/>
      <c r="L153" s="1485">
        <f t="shared" si="3"/>
        <v>0</v>
      </c>
      <c r="M153" s="1485">
        <f t="shared" si="5"/>
        <v>0</v>
      </c>
    </row>
    <row r="154" spans="1:13" ht="14.25" x14ac:dyDescent="0.2">
      <c r="A154" s="3690"/>
      <c r="B154" s="3703"/>
      <c r="C154" s="5488"/>
      <c r="D154" s="5489"/>
      <c r="E154" s="5489"/>
      <c r="F154" s="5489"/>
      <c r="G154" s="5490"/>
      <c r="H154" s="4134" t="str">
        <f t="shared" si="4"/>
        <v/>
      </c>
      <c r="I154" s="3686"/>
      <c r="K154" s="3571"/>
      <c r="L154" s="1485">
        <f t="shared" si="3"/>
        <v>0</v>
      </c>
      <c r="M154" s="1485">
        <f t="shared" si="5"/>
        <v>0</v>
      </c>
    </row>
    <row r="155" spans="1:13" ht="14.25" x14ac:dyDescent="0.2">
      <c r="A155" s="3690"/>
      <c r="B155" s="3703"/>
      <c r="C155" s="5488"/>
      <c r="D155" s="5489"/>
      <c r="E155" s="5489"/>
      <c r="F155" s="5489"/>
      <c r="G155" s="5490"/>
      <c r="H155" s="4134" t="str">
        <f t="shared" si="4"/>
        <v/>
      </c>
      <c r="I155" s="3686"/>
      <c r="K155" s="3571"/>
      <c r="L155" s="1485">
        <f t="shared" si="3"/>
        <v>0</v>
      </c>
      <c r="M155" s="1485">
        <f t="shared" si="5"/>
        <v>0</v>
      </c>
    </row>
    <row r="156" spans="1:13" ht="14.25" x14ac:dyDescent="0.2">
      <c r="A156" s="3690"/>
      <c r="B156" s="3703"/>
      <c r="C156" s="5488"/>
      <c r="D156" s="5489"/>
      <c r="E156" s="5489"/>
      <c r="F156" s="5489"/>
      <c r="G156" s="5490"/>
      <c r="H156" s="4134" t="str">
        <f t="shared" si="4"/>
        <v/>
      </c>
      <c r="I156" s="3686"/>
      <c r="K156" s="3571"/>
      <c r="L156" s="1485">
        <f t="shared" si="3"/>
        <v>0</v>
      </c>
      <c r="M156" s="1485">
        <f t="shared" si="5"/>
        <v>0</v>
      </c>
    </row>
    <row r="157" spans="1:13" ht="14.25" x14ac:dyDescent="0.2">
      <c r="A157" s="3690"/>
      <c r="B157" s="3703"/>
      <c r="C157" s="5488"/>
      <c r="D157" s="5489"/>
      <c r="E157" s="5489"/>
      <c r="F157" s="5489"/>
      <c r="G157" s="5490"/>
      <c r="H157" s="4134" t="str">
        <f t="shared" si="4"/>
        <v/>
      </c>
      <c r="I157" s="3686"/>
      <c r="K157" s="3571"/>
      <c r="L157" s="1485">
        <f t="shared" si="3"/>
        <v>0</v>
      </c>
      <c r="M157" s="1485">
        <f t="shared" si="5"/>
        <v>0</v>
      </c>
    </row>
    <row r="158" spans="1:13" ht="14.25" x14ac:dyDescent="0.2">
      <c r="A158" s="3690"/>
      <c r="B158" s="3703"/>
      <c r="C158" s="5488"/>
      <c r="D158" s="5489"/>
      <c r="E158" s="5489"/>
      <c r="F158" s="5489"/>
      <c r="G158" s="5490"/>
      <c r="H158" s="4134" t="str">
        <f t="shared" si="4"/>
        <v/>
      </c>
      <c r="I158" s="3686"/>
      <c r="K158" s="3571"/>
      <c r="L158" s="1485">
        <f t="shared" si="3"/>
        <v>0</v>
      </c>
      <c r="M158" s="1485">
        <f t="shared" si="5"/>
        <v>0</v>
      </c>
    </row>
    <row r="159" spans="1:13" ht="14.25" hidden="1" x14ac:dyDescent="0.2">
      <c r="A159" s="3690"/>
      <c r="B159" s="4206"/>
      <c r="C159" s="4201"/>
      <c r="D159" s="4201"/>
      <c r="E159" s="4201"/>
      <c r="F159" s="4201"/>
      <c r="G159" s="4201"/>
      <c r="H159" s="4134"/>
      <c r="I159" s="3686"/>
      <c r="K159" s="3571"/>
    </row>
    <row r="160" spans="1:13" ht="14.25" hidden="1" x14ac:dyDescent="0.2">
      <c r="A160" s="3690"/>
      <c r="B160" s="4206"/>
      <c r="C160" s="4201"/>
      <c r="D160" s="4201"/>
      <c r="E160" s="4201"/>
      <c r="F160" s="4201"/>
      <c r="G160" s="4201"/>
      <c r="H160" s="4134"/>
      <c r="I160" s="3686"/>
      <c r="K160" s="3571"/>
    </row>
    <row r="161" spans="1:11" ht="14.25" hidden="1" x14ac:dyDescent="0.2">
      <c r="A161" s="3690"/>
      <c r="B161" s="4206"/>
      <c r="C161" s="4201"/>
      <c r="D161" s="4201"/>
      <c r="E161" s="4201"/>
      <c r="F161" s="4201"/>
      <c r="G161" s="4201"/>
      <c r="H161" s="4134"/>
      <c r="I161" s="3686"/>
      <c r="K161" s="3571"/>
    </row>
    <row r="162" spans="1:11" ht="14.25" hidden="1" x14ac:dyDescent="0.2">
      <c r="A162" s="3690"/>
      <c r="B162" s="4206"/>
      <c r="C162" s="4201"/>
      <c r="D162" s="4201"/>
      <c r="E162" s="4201"/>
      <c r="F162" s="4201"/>
      <c r="G162" s="4201"/>
      <c r="H162" s="4134"/>
      <c r="I162" s="3686"/>
      <c r="K162" s="3571"/>
    </row>
    <row r="163" spans="1:11" ht="14.25" hidden="1" x14ac:dyDescent="0.2">
      <c r="A163" s="3690"/>
      <c r="B163" s="4206"/>
      <c r="C163" s="4201"/>
      <c r="D163" s="4201"/>
      <c r="E163" s="4201"/>
      <c r="F163" s="4201"/>
      <c r="G163" s="4201"/>
      <c r="H163" s="4134"/>
      <c r="I163" s="3686"/>
      <c r="K163" s="3571"/>
    </row>
    <row r="164" spans="1:11" ht="14.25" hidden="1" x14ac:dyDescent="0.2">
      <c r="A164" s="3690"/>
      <c r="B164" s="4206"/>
      <c r="C164" s="4201"/>
      <c r="D164" s="4201"/>
      <c r="E164" s="4201"/>
      <c r="F164" s="4201"/>
      <c r="G164" s="4201"/>
      <c r="H164" s="4134"/>
      <c r="I164" s="3686"/>
      <c r="K164" s="3571"/>
    </row>
    <row r="165" spans="1:11" ht="14.25" hidden="1" x14ac:dyDescent="0.2">
      <c r="A165" s="3690"/>
      <c r="B165" s="4206"/>
      <c r="C165" s="4201"/>
      <c r="D165" s="4201"/>
      <c r="E165" s="4201"/>
      <c r="F165" s="4201"/>
      <c r="G165" s="4201"/>
      <c r="H165" s="4134"/>
      <c r="I165" s="3686"/>
      <c r="K165" s="3571"/>
    </row>
    <row r="166" spans="1:11" ht="14.25" hidden="1" x14ac:dyDescent="0.2">
      <c r="A166" s="3690"/>
      <c r="B166" s="4206"/>
      <c r="C166" s="4201"/>
      <c r="D166" s="4201"/>
      <c r="E166" s="4201"/>
      <c r="F166" s="4201"/>
      <c r="G166" s="4201"/>
      <c r="H166" s="4134"/>
      <c r="I166" s="3686"/>
      <c r="K166" s="3571"/>
    </row>
    <row r="167" spans="1:11" ht="14.25" hidden="1" x14ac:dyDescent="0.2">
      <c r="A167" s="3690"/>
      <c r="B167" s="4206"/>
      <c r="C167" s="4201"/>
      <c r="D167" s="4201"/>
      <c r="E167" s="4201"/>
      <c r="F167" s="4201"/>
      <c r="G167" s="4201"/>
      <c r="H167" s="4134"/>
      <c r="I167" s="3686"/>
      <c r="K167" s="3571"/>
    </row>
    <row r="168" spans="1:11" ht="14.25" hidden="1" x14ac:dyDescent="0.2">
      <c r="A168" s="3690"/>
      <c r="B168" s="4206"/>
      <c r="C168" s="4201"/>
      <c r="D168" s="4201"/>
      <c r="E168" s="4201"/>
      <c r="F168" s="4201"/>
      <c r="G168" s="4201"/>
      <c r="H168" s="4134"/>
      <c r="I168" s="3686"/>
      <c r="K168" s="3571"/>
    </row>
    <row r="169" spans="1:11" ht="14.25" hidden="1" x14ac:dyDescent="0.2">
      <c r="A169" s="3690"/>
      <c r="B169" s="4206"/>
      <c r="C169" s="4201"/>
      <c r="D169" s="4201"/>
      <c r="E169" s="4201"/>
      <c r="F169" s="4201"/>
      <c r="G169" s="4201"/>
      <c r="H169" s="4134"/>
      <c r="I169" s="3686"/>
      <c r="K169" s="3571"/>
    </row>
    <row r="170" spans="1:11" ht="14.25" hidden="1" x14ac:dyDescent="0.2">
      <c r="A170" s="3690"/>
      <c r="B170" s="4206"/>
      <c r="C170" s="4201"/>
      <c r="D170" s="4201"/>
      <c r="E170" s="4201"/>
      <c r="F170" s="4201"/>
      <c r="G170" s="4201"/>
      <c r="H170" s="4134"/>
      <c r="I170" s="3686"/>
      <c r="K170" s="3571"/>
    </row>
    <row r="171" spans="1:11" ht="14.25" hidden="1" x14ac:dyDescent="0.2">
      <c r="A171" s="3690"/>
      <c r="B171" s="4206"/>
      <c r="C171" s="4201"/>
      <c r="D171" s="4201"/>
      <c r="E171" s="4201"/>
      <c r="F171" s="4201"/>
      <c r="G171" s="4201"/>
      <c r="H171" s="4134"/>
      <c r="I171" s="3686"/>
      <c r="K171" s="3571"/>
    </row>
    <row r="172" spans="1:11" ht="14.25" hidden="1" x14ac:dyDescent="0.2">
      <c r="A172" s="3690"/>
      <c r="B172" s="4206"/>
      <c r="C172" s="4201"/>
      <c r="D172" s="4201"/>
      <c r="E172" s="4201"/>
      <c r="F172" s="4201"/>
      <c r="G172" s="4201"/>
      <c r="H172" s="4134"/>
      <c r="I172" s="3686"/>
      <c r="K172" s="3571"/>
    </row>
    <row r="173" spans="1:11" ht="14.25" hidden="1" x14ac:dyDescent="0.2">
      <c r="A173" s="3690"/>
      <c r="B173" s="4206"/>
      <c r="C173" s="4201"/>
      <c r="D173" s="4201"/>
      <c r="E173" s="4201"/>
      <c r="F173" s="4201"/>
      <c r="G173" s="4201"/>
      <c r="H173" s="4134"/>
      <c r="I173" s="3686"/>
      <c r="K173" s="3571"/>
    </row>
    <row r="174" spans="1:11" ht="14.25" hidden="1" x14ac:dyDescent="0.2">
      <c r="A174" s="3690"/>
      <c r="B174" s="4206"/>
      <c r="C174" s="4201"/>
      <c r="D174" s="4201"/>
      <c r="E174" s="4201"/>
      <c r="F174" s="4201"/>
      <c r="G174" s="4201"/>
      <c r="H174" s="4134"/>
      <c r="I174" s="3686"/>
      <c r="K174" s="3571"/>
    </row>
    <row r="175" spans="1:11" ht="14.25" hidden="1" x14ac:dyDescent="0.2">
      <c r="A175" s="3690"/>
      <c r="B175" s="4206"/>
      <c r="C175" s="4201"/>
      <c r="D175" s="4201"/>
      <c r="E175" s="4201"/>
      <c r="F175" s="4201"/>
      <c r="G175" s="4201"/>
      <c r="H175" s="4134"/>
      <c r="I175" s="3686"/>
      <c r="K175" s="3571"/>
    </row>
    <row r="176" spans="1:11" ht="14.25" hidden="1" x14ac:dyDescent="0.2">
      <c r="A176" s="3690"/>
      <c r="B176" s="4206"/>
      <c r="C176" s="4201"/>
      <c r="D176" s="4201"/>
      <c r="E176" s="4201"/>
      <c r="F176" s="4201"/>
      <c r="G176" s="4201"/>
      <c r="H176" s="4134"/>
      <c r="I176" s="3686"/>
      <c r="K176" s="3571"/>
    </row>
    <row r="177" spans="1:11" ht="14.25" hidden="1" x14ac:dyDescent="0.2">
      <c r="A177" s="3690"/>
      <c r="B177" s="4206"/>
      <c r="C177" s="4201"/>
      <c r="D177" s="4201"/>
      <c r="E177" s="4201"/>
      <c r="F177" s="4201"/>
      <c r="G177" s="4201"/>
      <c r="H177" s="4134"/>
      <c r="I177" s="3686"/>
      <c r="K177" s="3571"/>
    </row>
    <row r="178" spans="1:11" ht="14.25" hidden="1" x14ac:dyDescent="0.2">
      <c r="A178" s="3690"/>
      <c r="B178" s="4206"/>
      <c r="C178" s="4201"/>
      <c r="D178" s="4201"/>
      <c r="E178" s="4201"/>
      <c r="F178" s="4201"/>
      <c r="G178" s="4201"/>
      <c r="H178" s="4134"/>
      <c r="I178" s="3686"/>
      <c r="K178" s="3571"/>
    </row>
    <row r="179" spans="1:11" ht="14.25" hidden="1" x14ac:dyDescent="0.2">
      <c r="A179" s="3690"/>
      <c r="B179" s="4206"/>
      <c r="C179" s="4201"/>
      <c r="D179" s="4201"/>
      <c r="E179" s="4201"/>
      <c r="F179" s="4201"/>
      <c r="G179" s="4201"/>
      <c r="H179" s="4134"/>
      <c r="I179" s="3686"/>
      <c r="K179" s="3571"/>
    </row>
    <row r="180" spans="1:11" ht="14.25" hidden="1" x14ac:dyDescent="0.2">
      <c r="A180" s="3690"/>
      <c r="B180" s="4206"/>
      <c r="C180" s="4201"/>
      <c r="D180" s="4201"/>
      <c r="E180" s="4201"/>
      <c r="F180" s="4201"/>
      <c r="G180" s="4201"/>
      <c r="H180" s="4134"/>
      <c r="I180" s="3686"/>
      <c r="K180" s="3571"/>
    </row>
    <row r="181" spans="1:11" ht="14.25" hidden="1" x14ac:dyDescent="0.2">
      <c r="A181" s="3690"/>
      <c r="B181" s="4206"/>
      <c r="C181" s="4201"/>
      <c r="D181" s="4201"/>
      <c r="E181" s="4201"/>
      <c r="F181" s="4201"/>
      <c r="G181" s="4201"/>
      <c r="H181" s="4134"/>
      <c r="I181" s="3686"/>
      <c r="K181" s="3571"/>
    </row>
    <row r="182" spans="1:11" ht="14.25" hidden="1" x14ac:dyDescent="0.2">
      <c r="A182" s="3690"/>
      <c r="B182" s="4206"/>
      <c r="C182" s="4201"/>
      <c r="D182" s="4201"/>
      <c r="E182" s="4201"/>
      <c r="F182" s="4201"/>
      <c r="G182" s="4201"/>
      <c r="H182" s="4134"/>
      <c r="I182" s="3686"/>
      <c r="K182" s="3571"/>
    </row>
    <row r="183" spans="1:11" ht="14.25" hidden="1" x14ac:dyDescent="0.2">
      <c r="A183" s="3690"/>
      <c r="B183" s="4206"/>
      <c r="C183" s="4201"/>
      <c r="D183" s="4201"/>
      <c r="E183" s="4201"/>
      <c r="F183" s="4201"/>
      <c r="G183" s="4201"/>
      <c r="H183" s="4134"/>
      <c r="I183" s="3686"/>
      <c r="K183" s="3571"/>
    </row>
    <row r="184" spans="1:11" ht="14.25" hidden="1" x14ac:dyDescent="0.2">
      <c r="A184" s="3690"/>
      <c r="B184" s="4206"/>
      <c r="C184" s="4201"/>
      <c r="D184" s="4201"/>
      <c r="E184" s="4201"/>
      <c r="F184" s="4201"/>
      <c r="G184" s="4201"/>
      <c r="H184" s="4134"/>
      <c r="I184" s="3686"/>
      <c r="K184" s="3571"/>
    </row>
    <row r="185" spans="1:11" ht="14.25" hidden="1" x14ac:dyDescent="0.2">
      <c r="A185" s="3690"/>
      <c r="B185" s="4206"/>
      <c r="C185" s="4201"/>
      <c r="D185" s="4201"/>
      <c r="E185" s="4201"/>
      <c r="F185" s="4201"/>
      <c r="G185" s="4201"/>
      <c r="H185" s="4134"/>
      <c r="I185" s="3686"/>
      <c r="K185" s="3571"/>
    </row>
    <row r="186" spans="1:11" ht="14.25" hidden="1" x14ac:dyDescent="0.2">
      <c r="A186" s="3690"/>
      <c r="B186" s="4206"/>
      <c r="C186" s="4201"/>
      <c r="D186" s="4201"/>
      <c r="E186" s="4201"/>
      <c r="F186" s="4201"/>
      <c r="G186" s="4201"/>
      <c r="H186" s="4134"/>
      <c r="I186" s="3686"/>
      <c r="K186" s="3571"/>
    </row>
    <row r="187" spans="1:11" ht="14.25" hidden="1" x14ac:dyDescent="0.2">
      <c r="A187" s="3690"/>
      <c r="B187" s="4206"/>
      <c r="C187" s="4201"/>
      <c r="D187" s="4201"/>
      <c r="E187" s="4201"/>
      <c r="F187" s="4201"/>
      <c r="G187" s="4201"/>
      <c r="H187" s="4134"/>
      <c r="I187" s="3686"/>
      <c r="K187" s="3571"/>
    </row>
    <row r="188" spans="1:11" ht="14.25" hidden="1" x14ac:dyDescent="0.2">
      <c r="A188" s="3690"/>
      <c r="B188" s="4206"/>
      <c r="C188" s="4201"/>
      <c r="D188" s="4201"/>
      <c r="E188" s="4201"/>
      <c r="F188" s="4201"/>
      <c r="G188" s="4201"/>
      <c r="H188" s="4134"/>
      <c r="I188" s="3686"/>
      <c r="K188" s="3571"/>
    </row>
    <row r="189" spans="1:11" ht="14.25" hidden="1" x14ac:dyDescent="0.2">
      <c r="A189" s="3690"/>
      <c r="B189" s="4206"/>
      <c r="C189" s="4201"/>
      <c r="D189" s="4201"/>
      <c r="E189" s="4201"/>
      <c r="F189" s="4201"/>
      <c r="G189" s="4201"/>
      <c r="H189" s="4134"/>
      <c r="I189" s="3686"/>
      <c r="K189" s="3571"/>
    </row>
    <row r="190" spans="1:11" ht="14.25" hidden="1" x14ac:dyDescent="0.2">
      <c r="A190" s="3690"/>
      <c r="B190" s="4206"/>
      <c r="C190" s="4201"/>
      <c r="D190" s="4201"/>
      <c r="E190" s="4201"/>
      <c r="F190" s="4201"/>
      <c r="G190" s="4201"/>
      <c r="H190" s="4134"/>
      <c r="I190" s="3686"/>
      <c r="K190" s="3571"/>
    </row>
    <row r="191" spans="1:11" ht="14.25" hidden="1" x14ac:dyDescent="0.2">
      <c r="A191" s="3690"/>
      <c r="B191" s="4206"/>
      <c r="C191" s="4201"/>
      <c r="D191" s="4201"/>
      <c r="E191" s="4201"/>
      <c r="F191" s="4201"/>
      <c r="G191" s="4201"/>
      <c r="H191" s="4134"/>
      <c r="I191" s="3686"/>
      <c r="K191" s="3571"/>
    </row>
    <row r="192" spans="1:11" ht="14.25" hidden="1" x14ac:dyDescent="0.2">
      <c r="A192" s="3690"/>
      <c r="B192" s="4206"/>
      <c r="C192" s="4201"/>
      <c r="D192" s="4201"/>
      <c r="E192" s="4201"/>
      <c r="F192" s="4201"/>
      <c r="G192" s="4201"/>
      <c r="H192" s="4134"/>
      <c r="I192" s="3686"/>
      <c r="K192" s="3571"/>
    </row>
    <row r="193" spans="1:11" ht="14.25" hidden="1" x14ac:dyDescent="0.2">
      <c r="A193" s="3690"/>
      <c r="B193" s="4206"/>
      <c r="C193" s="4201"/>
      <c r="D193" s="4201"/>
      <c r="E193" s="4201"/>
      <c r="F193" s="4201"/>
      <c r="G193" s="4201"/>
      <c r="H193" s="4134"/>
      <c r="I193" s="3686"/>
      <c r="K193" s="3571"/>
    </row>
    <row r="194" spans="1:11" ht="14.25" hidden="1" x14ac:dyDescent="0.2">
      <c r="A194" s="3690"/>
      <c r="B194" s="4206"/>
      <c r="C194" s="4201"/>
      <c r="D194" s="4201"/>
      <c r="E194" s="4201"/>
      <c r="F194" s="4201"/>
      <c r="G194" s="4201"/>
      <c r="H194" s="4134"/>
      <c r="I194" s="3686"/>
      <c r="K194" s="3571"/>
    </row>
    <row r="195" spans="1:11" ht="14.25" hidden="1" x14ac:dyDescent="0.2">
      <c r="A195" s="3690"/>
      <c r="B195" s="4206"/>
      <c r="C195" s="4201"/>
      <c r="D195" s="4201"/>
      <c r="E195" s="4201"/>
      <c r="F195" s="4201"/>
      <c r="G195" s="4201"/>
      <c r="H195" s="4134"/>
      <c r="I195" s="3686"/>
      <c r="K195" s="3571"/>
    </row>
    <row r="196" spans="1:11" ht="14.25" hidden="1" x14ac:dyDescent="0.2">
      <c r="A196" s="3690"/>
      <c r="B196" s="4206"/>
      <c r="C196" s="4201"/>
      <c r="D196" s="4201"/>
      <c r="E196" s="4201"/>
      <c r="F196" s="4201"/>
      <c r="G196" s="4201"/>
      <c r="H196" s="4134"/>
      <c r="I196" s="3686"/>
      <c r="K196" s="3571"/>
    </row>
    <row r="197" spans="1:11" ht="14.25" hidden="1" x14ac:dyDescent="0.2">
      <c r="A197" s="3690"/>
      <c r="B197" s="4206"/>
      <c r="C197" s="4201"/>
      <c r="D197" s="4201"/>
      <c r="E197" s="4201"/>
      <c r="F197" s="4201"/>
      <c r="G197" s="4201"/>
      <c r="H197" s="4134"/>
      <c r="I197" s="3686"/>
      <c r="K197" s="3571"/>
    </row>
    <row r="198" spans="1:11" ht="14.25" hidden="1" x14ac:dyDescent="0.2">
      <c r="A198" s="3690"/>
      <c r="B198" s="4206"/>
      <c r="C198" s="4201"/>
      <c r="D198" s="4201"/>
      <c r="E198" s="4201"/>
      <c r="F198" s="4201"/>
      <c r="G198" s="4201"/>
      <c r="H198" s="4134"/>
      <c r="I198" s="3686"/>
      <c r="K198" s="3571"/>
    </row>
    <row r="199" spans="1:11" ht="14.25" hidden="1" x14ac:dyDescent="0.2">
      <c r="A199" s="3690"/>
      <c r="B199" s="4206"/>
      <c r="C199" s="4201"/>
      <c r="D199" s="4201"/>
      <c r="E199" s="4201"/>
      <c r="F199" s="4201"/>
      <c r="G199" s="4201"/>
      <c r="H199" s="4134"/>
      <c r="I199" s="3686"/>
      <c r="K199" s="3571"/>
    </row>
    <row r="200" spans="1:11" ht="14.25" hidden="1" x14ac:dyDescent="0.2">
      <c r="A200" s="3690"/>
      <c r="B200" s="4206"/>
      <c r="C200" s="4201"/>
      <c r="D200" s="4201"/>
      <c r="E200" s="4201"/>
      <c r="F200" s="4201"/>
      <c r="G200" s="4201"/>
      <c r="H200" s="4134"/>
      <c r="I200" s="3686"/>
      <c r="K200" s="3571"/>
    </row>
    <row r="201" spans="1:11" ht="14.25" hidden="1" x14ac:dyDescent="0.2">
      <c r="A201" s="3690"/>
      <c r="B201" s="4206"/>
      <c r="C201" s="4201"/>
      <c r="D201" s="4201"/>
      <c r="E201" s="4201"/>
      <c r="F201" s="4201"/>
      <c r="G201" s="4201"/>
      <c r="H201" s="4134"/>
      <c r="I201" s="3686"/>
      <c r="K201" s="3571"/>
    </row>
    <row r="202" spans="1:11" ht="14.25" hidden="1" x14ac:dyDescent="0.2">
      <c r="A202" s="3690"/>
      <c r="B202" s="4206"/>
      <c r="C202" s="4201"/>
      <c r="D202" s="4201"/>
      <c r="E202" s="4201"/>
      <c r="F202" s="4201"/>
      <c r="G202" s="4201"/>
      <c r="H202" s="4134"/>
      <c r="I202" s="3686"/>
      <c r="K202" s="3571"/>
    </row>
    <row r="203" spans="1:11" ht="14.25" hidden="1" x14ac:dyDescent="0.2">
      <c r="A203" s="3690"/>
      <c r="B203" s="4206"/>
      <c r="C203" s="4201"/>
      <c r="D203" s="4201"/>
      <c r="E203" s="4201"/>
      <c r="F203" s="4201"/>
      <c r="G203" s="4201"/>
      <c r="H203" s="4134"/>
      <c r="I203" s="3686"/>
      <c r="K203" s="3571"/>
    </row>
    <row r="204" spans="1:11" ht="14.25" hidden="1" x14ac:dyDescent="0.2">
      <c r="A204" s="3690"/>
      <c r="B204" s="4206"/>
      <c r="C204" s="4201"/>
      <c r="D204" s="4201"/>
      <c r="E204" s="4201"/>
      <c r="F204" s="4201"/>
      <c r="G204" s="4201"/>
      <c r="H204" s="4134"/>
      <c r="I204" s="3686"/>
      <c r="K204" s="3571"/>
    </row>
    <row r="205" spans="1:11" ht="14.25" hidden="1" x14ac:dyDescent="0.2">
      <c r="A205" s="3690"/>
      <c r="B205" s="4206"/>
      <c r="C205" s="4201"/>
      <c r="D205" s="4201"/>
      <c r="E205" s="4201"/>
      <c r="F205" s="4201"/>
      <c r="G205" s="4201"/>
      <c r="H205" s="4134"/>
      <c r="I205" s="3686"/>
      <c r="K205" s="3571"/>
    </row>
    <row r="206" spans="1:11" ht="14.25" hidden="1" x14ac:dyDescent="0.2">
      <c r="A206" s="3690"/>
      <c r="B206" s="4206"/>
      <c r="C206" s="4201"/>
      <c r="D206" s="4201"/>
      <c r="E206" s="4201"/>
      <c r="F206" s="4201"/>
      <c r="G206" s="4201"/>
      <c r="H206" s="4134"/>
      <c r="I206" s="3686"/>
      <c r="K206" s="3571"/>
    </row>
    <row r="207" spans="1:11" ht="14.25" hidden="1" x14ac:dyDescent="0.2">
      <c r="A207" s="3690"/>
      <c r="B207" s="4206"/>
      <c r="C207" s="4201"/>
      <c r="D207" s="4201"/>
      <c r="E207" s="4201"/>
      <c r="F207" s="4201"/>
      <c r="G207" s="4201"/>
      <c r="H207" s="4134"/>
      <c r="I207" s="3686"/>
      <c r="K207" s="3571"/>
    </row>
    <row r="208" spans="1:11" ht="14.25" hidden="1" x14ac:dyDescent="0.2">
      <c r="A208" s="3690"/>
      <c r="B208" s="4206"/>
      <c r="C208" s="4201"/>
      <c r="D208" s="4201"/>
      <c r="E208" s="4201"/>
      <c r="F208" s="4201"/>
      <c r="G208" s="4201"/>
      <c r="H208" s="4134"/>
      <c r="I208" s="3686"/>
      <c r="K208" s="3571"/>
    </row>
    <row r="209" spans="1:11" ht="14.25" hidden="1" x14ac:dyDescent="0.2">
      <c r="A209" s="3690"/>
      <c r="B209" s="4206"/>
      <c r="C209" s="4201"/>
      <c r="D209" s="4201"/>
      <c r="E209" s="4201"/>
      <c r="F209" s="4201"/>
      <c r="G209" s="4201"/>
      <c r="H209" s="4134"/>
      <c r="I209" s="3686"/>
      <c r="K209" s="3571"/>
    </row>
    <row r="210" spans="1:11" ht="14.25" hidden="1" x14ac:dyDescent="0.2">
      <c r="A210" s="3690"/>
      <c r="B210" s="4206"/>
      <c r="C210" s="4201"/>
      <c r="D210" s="4201"/>
      <c r="E210" s="4201"/>
      <c r="F210" s="4201"/>
      <c r="G210" s="4201"/>
      <c r="H210" s="4134"/>
      <c r="I210" s="3686"/>
      <c r="K210" s="3571"/>
    </row>
    <row r="211" spans="1:11" ht="14.25" hidden="1" x14ac:dyDescent="0.2">
      <c r="A211" s="3690"/>
      <c r="B211" s="4206"/>
      <c r="C211" s="4201"/>
      <c r="D211" s="4201"/>
      <c r="E211" s="4201"/>
      <c r="F211" s="4201"/>
      <c r="G211" s="4201"/>
      <c r="H211" s="4134"/>
      <c r="I211" s="3686"/>
      <c r="K211" s="3571"/>
    </row>
    <row r="212" spans="1:11" ht="14.25" hidden="1" x14ac:dyDescent="0.2">
      <c r="A212" s="3690"/>
      <c r="B212" s="4206"/>
      <c r="C212" s="4201"/>
      <c r="D212" s="4201"/>
      <c r="E212" s="4201"/>
      <c r="F212" s="4201"/>
      <c r="G212" s="4201"/>
      <c r="H212" s="4134"/>
      <c r="I212" s="3686"/>
      <c r="K212" s="3571"/>
    </row>
    <row r="213" spans="1:11" ht="14.25" hidden="1" x14ac:dyDescent="0.2">
      <c r="A213" s="3690"/>
      <c r="B213" s="4206"/>
      <c r="C213" s="4201"/>
      <c r="D213" s="4201"/>
      <c r="E213" s="4201"/>
      <c r="F213" s="4201"/>
      <c r="G213" s="4201"/>
      <c r="H213" s="4134"/>
      <c r="I213" s="3686"/>
      <c r="K213" s="3571"/>
    </row>
    <row r="214" spans="1:11" ht="14.25" hidden="1" x14ac:dyDescent="0.2">
      <c r="A214" s="3690"/>
      <c r="B214" s="4206"/>
      <c r="C214" s="4201"/>
      <c r="D214" s="4201"/>
      <c r="E214" s="4201"/>
      <c r="F214" s="4201"/>
      <c r="G214" s="4201"/>
      <c r="H214" s="4134"/>
      <c r="I214" s="3686"/>
      <c r="K214" s="3571"/>
    </row>
    <row r="215" spans="1:11" ht="14.25" hidden="1" x14ac:dyDescent="0.2">
      <c r="A215" s="3690"/>
      <c r="B215" s="4206"/>
      <c r="C215" s="4201"/>
      <c r="D215" s="4201"/>
      <c r="E215" s="4201"/>
      <c r="F215" s="4201"/>
      <c r="G215" s="4201"/>
      <c r="H215" s="4134"/>
      <c r="I215" s="3686"/>
      <c r="K215" s="3571"/>
    </row>
    <row r="216" spans="1:11" ht="14.25" hidden="1" x14ac:dyDescent="0.2">
      <c r="A216" s="3690"/>
      <c r="B216" s="4206"/>
      <c r="C216" s="4201"/>
      <c r="D216" s="4201"/>
      <c r="E216" s="4201"/>
      <c r="F216" s="4201"/>
      <c r="G216" s="4201"/>
      <c r="H216" s="4134"/>
      <c r="I216" s="3686"/>
      <c r="K216" s="3571"/>
    </row>
    <row r="217" spans="1:11" ht="14.25" hidden="1" x14ac:dyDescent="0.2">
      <c r="A217" s="3690"/>
      <c r="B217" s="4206"/>
      <c r="C217" s="4201"/>
      <c r="D217" s="4201"/>
      <c r="E217" s="4201"/>
      <c r="F217" s="4201"/>
      <c r="G217" s="4201"/>
      <c r="H217" s="4134"/>
      <c r="I217" s="3686"/>
      <c r="K217" s="3571"/>
    </row>
    <row r="218" spans="1:11" ht="14.25" hidden="1" x14ac:dyDescent="0.2">
      <c r="A218" s="3690"/>
      <c r="B218" s="4206"/>
      <c r="C218" s="4201"/>
      <c r="D218" s="4201"/>
      <c r="E218" s="4201"/>
      <c r="F218" s="4201"/>
      <c r="G218" s="4201"/>
      <c r="H218" s="4134"/>
      <c r="I218" s="3686"/>
      <c r="K218" s="3571"/>
    </row>
    <row r="219" spans="1:11" ht="14.25" hidden="1" x14ac:dyDescent="0.2">
      <c r="A219" s="3690"/>
      <c r="B219" s="4206"/>
      <c r="C219" s="4201"/>
      <c r="D219" s="4201"/>
      <c r="E219" s="4201"/>
      <c r="F219" s="4201"/>
      <c r="G219" s="4201"/>
      <c r="H219" s="4134"/>
      <c r="I219" s="3686"/>
      <c r="K219" s="3571"/>
    </row>
    <row r="220" spans="1:11" ht="14.25" hidden="1" x14ac:dyDescent="0.2">
      <c r="A220" s="3690"/>
      <c r="B220" s="4206"/>
      <c r="C220" s="4201"/>
      <c r="D220" s="4201"/>
      <c r="E220" s="4201"/>
      <c r="F220" s="4201"/>
      <c r="G220" s="4201"/>
      <c r="H220" s="4134"/>
      <c r="I220" s="3686"/>
      <c r="K220" s="3571"/>
    </row>
    <row r="221" spans="1:11" ht="14.25" hidden="1" x14ac:dyDescent="0.2">
      <c r="A221" s="3690"/>
      <c r="B221" s="4206"/>
      <c r="C221" s="4201"/>
      <c r="D221" s="4201"/>
      <c r="E221" s="4201"/>
      <c r="F221" s="4201"/>
      <c r="G221" s="4201"/>
      <c r="H221" s="4134"/>
      <c r="I221" s="3686"/>
      <c r="K221" s="3571"/>
    </row>
    <row r="222" spans="1:11" ht="14.25" hidden="1" x14ac:dyDescent="0.2">
      <c r="A222" s="3690"/>
      <c r="B222" s="4206"/>
      <c r="C222" s="4201"/>
      <c r="D222" s="4201"/>
      <c r="E222" s="4201"/>
      <c r="F222" s="4201"/>
      <c r="G222" s="4201"/>
      <c r="H222" s="4134"/>
      <c r="I222" s="3686"/>
      <c r="K222" s="3571"/>
    </row>
    <row r="223" spans="1:11" ht="14.25" hidden="1" x14ac:dyDescent="0.2">
      <c r="A223" s="3690"/>
      <c r="B223" s="4206"/>
      <c r="C223" s="4201"/>
      <c r="D223" s="4201"/>
      <c r="E223" s="4201"/>
      <c r="F223" s="4201"/>
      <c r="G223" s="4201"/>
      <c r="H223" s="4134"/>
      <c r="I223" s="3686"/>
      <c r="K223" s="3571"/>
    </row>
    <row r="224" spans="1:11" ht="14.25" hidden="1" x14ac:dyDescent="0.2">
      <c r="A224" s="3690"/>
      <c r="B224" s="4206"/>
      <c r="C224" s="4201"/>
      <c r="D224" s="4201"/>
      <c r="E224" s="4201"/>
      <c r="F224" s="4201"/>
      <c r="G224" s="4201"/>
      <c r="H224" s="4134"/>
      <c r="I224" s="3686"/>
      <c r="K224" s="3571"/>
    </row>
    <row r="225" spans="1:11" ht="14.25" hidden="1" x14ac:dyDescent="0.2">
      <c r="A225" s="3690"/>
      <c r="B225" s="4206"/>
      <c r="C225" s="4201"/>
      <c r="D225" s="4201"/>
      <c r="E225" s="4201"/>
      <c r="F225" s="4201"/>
      <c r="G225" s="4201"/>
      <c r="H225" s="4134"/>
      <c r="I225" s="3686"/>
      <c r="K225" s="3571"/>
    </row>
    <row r="226" spans="1:11" ht="14.25" hidden="1" x14ac:dyDescent="0.2">
      <c r="A226" s="3690"/>
      <c r="B226" s="4206"/>
      <c r="C226" s="4201"/>
      <c r="D226" s="4201"/>
      <c r="E226" s="4201"/>
      <c r="F226" s="4201"/>
      <c r="G226" s="4201"/>
      <c r="H226" s="4134"/>
      <c r="I226" s="3686"/>
      <c r="K226" s="3571"/>
    </row>
    <row r="227" spans="1:11" ht="14.25" hidden="1" x14ac:dyDescent="0.2">
      <c r="A227" s="3690"/>
      <c r="B227" s="4206"/>
      <c r="C227" s="4201"/>
      <c r="D227" s="4201"/>
      <c r="E227" s="4201"/>
      <c r="F227" s="4201"/>
      <c r="G227" s="4201"/>
      <c r="H227" s="4134"/>
      <c r="I227" s="3686"/>
      <c r="K227" s="3571"/>
    </row>
    <row r="228" spans="1:11" ht="14.25" hidden="1" x14ac:dyDescent="0.2">
      <c r="A228" s="3690"/>
      <c r="B228" s="4206"/>
      <c r="C228" s="4201"/>
      <c r="D228" s="4201"/>
      <c r="E228" s="4201"/>
      <c r="F228" s="4201"/>
      <c r="G228" s="4201"/>
      <c r="H228" s="4134"/>
      <c r="I228" s="3686"/>
      <c r="K228" s="3571"/>
    </row>
    <row r="229" spans="1:11" ht="14.25" hidden="1" x14ac:dyDescent="0.2">
      <c r="A229" s="3690"/>
      <c r="B229" s="4206"/>
      <c r="C229" s="4201"/>
      <c r="D229" s="4201"/>
      <c r="E229" s="4201"/>
      <c r="F229" s="4201"/>
      <c r="G229" s="4201"/>
      <c r="H229" s="4134"/>
      <c r="I229" s="3686"/>
      <c r="K229" s="3571"/>
    </row>
    <row r="230" spans="1:11" ht="14.25" hidden="1" x14ac:dyDescent="0.2">
      <c r="A230" s="3690"/>
      <c r="B230" s="4206"/>
      <c r="C230" s="4201"/>
      <c r="D230" s="4201"/>
      <c r="E230" s="4201"/>
      <c r="F230" s="4201"/>
      <c r="G230" s="4201"/>
      <c r="H230" s="4134"/>
      <c r="I230" s="3686"/>
      <c r="K230" s="3571"/>
    </row>
    <row r="231" spans="1:11" ht="14.25" hidden="1" x14ac:dyDescent="0.2">
      <c r="A231" s="3690"/>
      <c r="B231" s="4206"/>
      <c r="C231" s="4201"/>
      <c r="D231" s="4201"/>
      <c r="E231" s="4201"/>
      <c r="F231" s="4201"/>
      <c r="G231" s="4201"/>
      <c r="H231" s="4134"/>
      <c r="I231" s="3686"/>
      <c r="K231" s="3571"/>
    </row>
    <row r="232" spans="1:11" ht="14.25" hidden="1" x14ac:dyDescent="0.2">
      <c r="A232" s="3690"/>
      <c r="B232" s="4206"/>
      <c r="C232" s="4201"/>
      <c r="D232" s="4201"/>
      <c r="E232" s="4201"/>
      <c r="F232" s="4201"/>
      <c r="G232" s="4201"/>
      <c r="H232" s="4134"/>
      <c r="I232" s="3686"/>
      <c r="K232" s="3571"/>
    </row>
    <row r="233" spans="1:11" ht="14.25" hidden="1" x14ac:dyDescent="0.2">
      <c r="A233" s="3690"/>
      <c r="B233" s="4206"/>
      <c r="C233" s="4201"/>
      <c r="D233" s="4201"/>
      <c r="E233" s="4201"/>
      <c r="F233" s="4201"/>
      <c r="G233" s="4201"/>
      <c r="H233" s="4134"/>
      <c r="I233" s="3686"/>
      <c r="K233" s="3571"/>
    </row>
    <row r="234" spans="1:11" ht="14.25" hidden="1" x14ac:dyDescent="0.2">
      <c r="A234" s="3690"/>
      <c r="B234" s="4206"/>
      <c r="C234" s="4201"/>
      <c r="D234" s="4201"/>
      <c r="E234" s="4201"/>
      <c r="F234" s="4201"/>
      <c r="G234" s="4201"/>
      <c r="H234" s="4134"/>
      <c r="I234" s="3686"/>
      <c r="K234" s="3571"/>
    </row>
    <row r="235" spans="1:11" ht="14.25" hidden="1" x14ac:dyDescent="0.2">
      <c r="A235" s="3690"/>
      <c r="B235" s="4206"/>
      <c r="C235" s="4201"/>
      <c r="D235" s="4201"/>
      <c r="E235" s="4201"/>
      <c r="F235" s="4201"/>
      <c r="G235" s="4201"/>
      <c r="H235" s="4134"/>
      <c r="I235" s="3686"/>
      <c r="K235" s="3571"/>
    </row>
    <row r="236" spans="1:11" ht="14.25" hidden="1" x14ac:dyDescent="0.2">
      <c r="A236" s="3690"/>
      <c r="B236" s="4206"/>
      <c r="C236" s="4201"/>
      <c r="D236" s="4201"/>
      <c r="E236" s="4201"/>
      <c r="F236" s="4201"/>
      <c r="G236" s="4201"/>
      <c r="H236" s="4134"/>
      <c r="I236" s="3686"/>
      <c r="K236" s="3571"/>
    </row>
    <row r="237" spans="1:11" ht="14.25" hidden="1" x14ac:dyDescent="0.2">
      <c r="A237" s="3690"/>
      <c r="B237" s="4206"/>
      <c r="C237" s="4201"/>
      <c r="D237" s="4201"/>
      <c r="E237" s="4201"/>
      <c r="F237" s="4201"/>
      <c r="G237" s="4201"/>
      <c r="H237" s="4134"/>
      <c r="I237" s="3686"/>
      <c r="K237" s="3571"/>
    </row>
    <row r="238" spans="1:11" ht="14.25" hidden="1" x14ac:dyDescent="0.2">
      <c r="A238" s="3690"/>
      <c r="B238" s="4206"/>
      <c r="C238" s="4201"/>
      <c r="D238" s="4201"/>
      <c r="E238" s="4201"/>
      <c r="F238" s="4201"/>
      <c r="G238" s="4201"/>
      <c r="H238" s="4134"/>
      <c r="I238" s="3686"/>
      <c r="K238" s="3571"/>
    </row>
    <row r="239" spans="1:11" ht="14.25" hidden="1" x14ac:dyDescent="0.2">
      <c r="A239" s="3690"/>
      <c r="B239" s="4206"/>
      <c r="C239" s="4201"/>
      <c r="D239" s="4201"/>
      <c r="E239" s="4201"/>
      <c r="F239" s="4201"/>
      <c r="G239" s="4201"/>
      <c r="H239" s="4134"/>
      <c r="I239" s="3686"/>
      <c r="K239" s="3571"/>
    </row>
    <row r="240" spans="1:11" ht="14.25" hidden="1" x14ac:dyDescent="0.2">
      <c r="A240" s="3690"/>
      <c r="B240" s="4206"/>
      <c r="C240" s="4201"/>
      <c r="D240" s="4201"/>
      <c r="E240" s="4201"/>
      <c r="F240" s="4201"/>
      <c r="G240" s="4201"/>
      <c r="H240" s="4134"/>
      <c r="I240" s="3686"/>
      <c r="K240" s="3571"/>
    </row>
    <row r="241" spans="1:11" ht="14.25" hidden="1" x14ac:dyDescent="0.2">
      <c r="A241" s="3690"/>
      <c r="B241" s="4206"/>
      <c r="C241" s="4201"/>
      <c r="D241" s="4201"/>
      <c r="E241" s="4201"/>
      <c r="F241" s="4201"/>
      <c r="G241" s="4201"/>
      <c r="H241" s="4134"/>
      <c r="I241" s="3686"/>
      <c r="K241" s="3571"/>
    </row>
    <row r="242" spans="1:11" ht="14.25" hidden="1" x14ac:dyDescent="0.2">
      <c r="A242" s="3690"/>
      <c r="B242" s="4206"/>
      <c r="C242" s="4201"/>
      <c r="D242" s="4201"/>
      <c r="E242" s="4201"/>
      <c r="F242" s="4201"/>
      <c r="G242" s="4201"/>
      <c r="H242" s="4134"/>
      <c r="I242" s="3686"/>
      <c r="K242" s="3571"/>
    </row>
    <row r="243" spans="1:11" ht="14.25" hidden="1" x14ac:dyDescent="0.2">
      <c r="A243" s="3690"/>
      <c r="B243" s="4206"/>
      <c r="C243" s="4201"/>
      <c r="D243" s="4201"/>
      <c r="E243" s="4201"/>
      <c r="F243" s="4201"/>
      <c r="G243" s="4201"/>
      <c r="H243" s="4134"/>
      <c r="I243" s="3686"/>
      <c r="K243" s="3571"/>
    </row>
    <row r="244" spans="1:11" ht="14.25" hidden="1" x14ac:dyDescent="0.2">
      <c r="A244" s="3690"/>
      <c r="B244" s="4206"/>
      <c r="C244" s="4201"/>
      <c r="D244" s="4201"/>
      <c r="E244" s="4201"/>
      <c r="F244" s="4201"/>
      <c r="G244" s="4201"/>
      <c r="H244" s="4134"/>
      <c r="I244" s="3686"/>
      <c r="K244" s="3571"/>
    </row>
    <row r="245" spans="1:11" ht="14.25" hidden="1" x14ac:dyDescent="0.2">
      <c r="A245" s="3690"/>
      <c r="B245" s="4206"/>
      <c r="C245" s="4201"/>
      <c r="D245" s="4201"/>
      <c r="E245" s="4201"/>
      <c r="F245" s="4201"/>
      <c r="G245" s="4201"/>
      <c r="H245" s="4134"/>
      <c r="I245" s="3686"/>
      <c r="K245" s="3571"/>
    </row>
    <row r="246" spans="1:11" ht="14.25" hidden="1" x14ac:dyDescent="0.2">
      <c r="A246" s="3690"/>
      <c r="B246" s="4206"/>
      <c r="C246" s="4201"/>
      <c r="D246" s="4201"/>
      <c r="E246" s="4201"/>
      <c r="F246" s="4201"/>
      <c r="G246" s="4201"/>
      <c r="H246" s="4134"/>
      <c r="I246" s="3686"/>
      <c r="K246" s="3571"/>
    </row>
    <row r="247" spans="1:11" ht="14.25" hidden="1" x14ac:dyDescent="0.2">
      <c r="A247" s="3690"/>
      <c r="B247" s="4206"/>
      <c r="C247" s="4201"/>
      <c r="D247" s="4201"/>
      <c r="E247" s="4201"/>
      <c r="F247" s="4201"/>
      <c r="G247" s="4201"/>
      <c r="H247" s="4134"/>
      <c r="I247" s="3686"/>
      <c r="K247" s="3571"/>
    </row>
    <row r="248" spans="1:11" ht="14.25" hidden="1" x14ac:dyDescent="0.2">
      <c r="A248" s="3690"/>
      <c r="B248" s="4206"/>
      <c r="C248" s="4201"/>
      <c r="D248" s="4201"/>
      <c r="E248" s="4201"/>
      <c r="F248" s="4201"/>
      <c r="G248" s="4201"/>
      <c r="H248" s="4134"/>
      <c r="I248" s="3686"/>
      <c r="K248" s="3571"/>
    </row>
    <row r="249" spans="1:11" ht="14.25" hidden="1" x14ac:dyDescent="0.2">
      <c r="A249" s="3690"/>
      <c r="B249" s="4206"/>
      <c r="C249" s="4201"/>
      <c r="D249" s="4201"/>
      <c r="E249" s="4201"/>
      <c r="F249" s="4201"/>
      <c r="G249" s="4201"/>
      <c r="H249" s="4134"/>
      <c r="I249" s="3686"/>
      <c r="K249" s="3571"/>
    </row>
    <row r="250" spans="1:11" ht="14.25" hidden="1" x14ac:dyDescent="0.2">
      <c r="A250" s="3690"/>
      <c r="B250" s="4206"/>
      <c r="C250" s="4201"/>
      <c r="D250" s="4201"/>
      <c r="E250" s="4201"/>
      <c r="F250" s="4201"/>
      <c r="G250" s="4201"/>
      <c r="H250" s="4134"/>
      <c r="I250" s="3686"/>
      <c r="K250" s="3571"/>
    </row>
    <row r="251" spans="1:11" ht="14.25" hidden="1" x14ac:dyDescent="0.2">
      <c r="A251" s="3690"/>
      <c r="B251" s="4206"/>
      <c r="C251" s="4201"/>
      <c r="D251" s="4201"/>
      <c r="E251" s="4201"/>
      <c r="F251" s="4201"/>
      <c r="G251" s="4201"/>
      <c r="H251" s="4134"/>
      <c r="I251" s="3686"/>
      <c r="K251" s="3571"/>
    </row>
    <row r="252" spans="1:11" ht="14.25" hidden="1" x14ac:dyDescent="0.2">
      <c r="A252" s="3690"/>
      <c r="B252" s="4206"/>
      <c r="C252" s="4201"/>
      <c r="D252" s="4201"/>
      <c r="E252" s="4201"/>
      <c r="F252" s="4201"/>
      <c r="G252" s="4201"/>
      <c r="H252" s="4134"/>
      <c r="I252" s="3686"/>
      <c r="K252" s="3571"/>
    </row>
    <row r="253" spans="1:11" ht="14.25" hidden="1" x14ac:dyDescent="0.2">
      <c r="A253" s="3690"/>
      <c r="B253" s="4206"/>
      <c r="C253" s="4201"/>
      <c r="D253" s="4201"/>
      <c r="E253" s="4201"/>
      <c r="F253" s="4201"/>
      <c r="G253" s="4201"/>
      <c r="H253" s="4134"/>
      <c r="I253" s="3686"/>
      <c r="K253" s="3571"/>
    </row>
    <row r="254" spans="1:11" ht="14.25" hidden="1" x14ac:dyDescent="0.2">
      <c r="A254" s="3690"/>
      <c r="B254" s="4206"/>
      <c r="C254" s="4201"/>
      <c r="D254" s="4201"/>
      <c r="E254" s="4201"/>
      <c r="F254" s="4201"/>
      <c r="G254" s="4201"/>
      <c r="H254" s="4134"/>
      <c r="I254" s="3686"/>
      <c r="K254" s="3571"/>
    </row>
    <row r="255" spans="1:11" ht="14.25" hidden="1" x14ac:dyDescent="0.2">
      <c r="A255" s="3690"/>
      <c r="B255" s="4206"/>
      <c r="C255" s="4201"/>
      <c r="D255" s="4201"/>
      <c r="E255" s="4201"/>
      <c r="F255" s="4201"/>
      <c r="G255" s="4201"/>
      <c r="H255" s="4134"/>
      <c r="I255" s="3686"/>
      <c r="K255" s="3571"/>
    </row>
    <row r="256" spans="1:11" ht="14.25" hidden="1" x14ac:dyDescent="0.2">
      <c r="A256" s="3690"/>
      <c r="B256" s="4206"/>
      <c r="C256" s="4201"/>
      <c r="D256" s="4201"/>
      <c r="E256" s="4201"/>
      <c r="F256" s="4201"/>
      <c r="G256" s="4201"/>
      <c r="H256" s="4134"/>
      <c r="I256" s="3686"/>
      <c r="K256" s="3571"/>
    </row>
    <row r="257" spans="1:11" ht="14.25" hidden="1" x14ac:dyDescent="0.2">
      <c r="A257" s="3690"/>
      <c r="B257" s="4206"/>
      <c r="C257" s="4201"/>
      <c r="D257" s="4201"/>
      <c r="E257" s="4201"/>
      <c r="F257" s="4201"/>
      <c r="G257" s="4201"/>
      <c r="H257" s="4134"/>
      <c r="I257" s="3686"/>
      <c r="K257" s="3571"/>
    </row>
    <row r="258" spans="1:11" ht="14.25" hidden="1" x14ac:dyDescent="0.2">
      <c r="A258" s="3690"/>
      <c r="B258" s="4206"/>
      <c r="C258" s="4201"/>
      <c r="D258" s="4201"/>
      <c r="E258" s="4201"/>
      <c r="F258" s="4201"/>
      <c r="G258" s="4201"/>
      <c r="H258" s="4134"/>
      <c r="I258" s="3686"/>
      <c r="K258" s="3571"/>
    </row>
    <row r="259" spans="1:11" ht="14.25" hidden="1" x14ac:dyDescent="0.2">
      <c r="A259" s="3690"/>
      <c r="B259" s="4206"/>
      <c r="C259" s="4201"/>
      <c r="D259" s="4201"/>
      <c r="E259" s="4201"/>
      <c r="F259" s="4201"/>
      <c r="G259" s="4201"/>
      <c r="H259" s="4134"/>
      <c r="I259" s="3686"/>
      <c r="K259" s="3571"/>
    </row>
    <row r="260" spans="1:11" ht="14.25" hidden="1" x14ac:dyDescent="0.2">
      <c r="A260" s="3690"/>
      <c r="B260" s="4206"/>
      <c r="C260" s="4201"/>
      <c r="D260" s="4201"/>
      <c r="E260" s="4201"/>
      <c r="F260" s="4201"/>
      <c r="G260" s="4201"/>
      <c r="H260" s="4134"/>
      <c r="I260" s="3686"/>
      <c r="K260" s="3571"/>
    </row>
    <row r="261" spans="1:11" ht="14.25" hidden="1" x14ac:dyDescent="0.2">
      <c r="A261" s="3690"/>
      <c r="B261" s="4206"/>
      <c r="C261" s="4201"/>
      <c r="D261" s="4201"/>
      <c r="E261" s="4201"/>
      <c r="F261" s="4201"/>
      <c r="G261" s="4201"/>
      <c r="H261" s="4134"/>
      <c r="I261" s="3686"/>
      <c r="K261" s="3571"/>
    </row>
    <row r="262" spans="1:11" ht="14.25" hidden="1" x14ac:dyDescent="0.2">
      <c r="A262" s="3690"/>
      <c r="B262" s="4206"/>
      <c r="C262" s="4201"/>
      <c r="D262" s="4201"/>
      <c r="E262" s="4201"/>
      <c r="F262" s="4201"/>
      <c r="G262" s="4201"/>
      <c r="H262" s="4134"/>
      <c r="I262" s="3686"/>
      <c r="K262" s="3571"/>
    </row>
    <row r="263" spans="1:11" ht="14.25" hidden="1" x14ac:dyDescent="0.2">
      <c r="A263" s="3690"/>
      <c r="B263" s="4206"/>
      <c r="C263" s="4201"/>
      <c r="D263" s="4201"/>
      <c r="E263" s="4201"/>
      <c r="F263" s="4201"/>
      <c r="G263" s="4201"/>
      <c r="H263" s="4134"/>
      <c r="I263" s="3686"/>
      <c r="K263" s="3571"/>
    </row>
    <row r="264" spans="1:11" ht="14.25" hidden="1" x14ac:dyDescent="0.2">
      <c r="A264" s="3690"/>
      <c r="B264" s="4206"/>
      <c r="C264" s="4201"/>
      <c r="D264" s="4201"/>
      <c r="E264" s="4201"/>
      <c r="F264" s="4201"/>
      <c r="G264" s="4201"/>
      <c r="H264" s="4134"/>
      <c r="I264" s="3686"/>
      <c r="K264" s="3571"/>
    </row>
    <row r="265" spans="1:11" ht="14.25" hidden="1" x14ac:dyDescent="0.2">
      <c r="A265" s="3690"/>
      <c r="B265" s="4206"/>
      <c r="C265" s="4201"/>
      <c r="D265" s="4201"/>
      <c r="E265" s="4201"/>
      <c r="F265" s="4201"/>
      <c r="G265" s="4201"/>
      <c r="H265" s="4134"/>
      <c r="I265" s="3686"/>
      <c r="K265" s="3571"/>
    </row>
    <row r="266" spans="1:11" ht="14.25" hidden="1" x14ac:dyDescent="0.2">
      <c r="A266" s="3690"/>
      <c r="B266" s="4206"/>
      <c r="C266" s="4201"/>
      <c r="D266" s="4201"/>
      <c r="E266" s="4201"/>
      <c r="F266" s="4201"/>
      <c r="G266" s="4201"/>
      <c r="H266" s="4134"/>
      <c r="I266" s="3686"/>
      <c r="K266" s="3571"/>
    </row>
    <row r="267" spans="1:11" ht="14.25" hidden="1" x14ac:dyDescent="0.2">
      <c r="A267" s="3690"/>
      <c r="B267" s="4206"/>
      <c r="C267" s="4201"/>
      <c r="D267" s="4201"/>
      <c r="E267" s="4201"/>
      <c r="F267" s="4201"/>
      <c r="G267" s="4201"/>
      <c r="H267" s="4134"/>
      <c r="I267" s="3686"/>
      <c r="K267" s="3571"/>
    </row>
    <row r="268" spans="1:11" ht="14.25" hidden="1" x14ac:dyDescent="0.2">
      <c r="A268" s="3690"/>
      <c r="B268" s="4206"/>
      <c r="C268" s="4201"/>
      <c r="D268" s="4201"/>
      <c r="E268" s="4201"/>
      <c r="F268" s="4201"/>
      <c r="G268" s="4201"/>
      <c r="H268" s="4134"/>
      <c r="I268" s="3686"/>
      <c r="K268" s="3571"/>
    </row>
    <row r="269" spans="1:11" ht="14.25" hidden="1" x14ac:dyDescent="0.2">
      <c r="A269" s="3690"/>
      <c r="B269" s="4206"/>
      <c r="C269" s="4201"/>
      <c r="D269" s="4201"/>
      <c r="E269" s="4201"/>
      <c r="F269" s="4201"/>
      <c r="G269" s="4201"/>
      <c r="H269" s="4134"/>
      <c r="I269" s="3686"/>
      <c r="K269" s="3571"/>
    </row>
    <row r="270" spans="1:11" ht="14.25" hidden="1" x14ac:dyDescent="0.2">
      <c r="A270" s="3690"/>
      <c r="B270" s="4206"/>
      <c r="C270" s="4201"/>
      <c r="D270" s="4201"/>
      <c r="E270" s="4201"/>
      <c r="F270" s="4201"/>
      <c r="G270" s="4201"/>
      <c r="H270" s="4134"/>
      <c r="I270" s="3686"/>
      <c r="K270" s="3571"/>
    </row>
    <row r="271" spans="1:11" ht="14.25" hidden="1" x14ac:dyDescent="0.2">
      <c r="A271" s="3690"/>
      <c r="B271" s="4206"/>
      <c r="C271" s="4201"/>
      <c r="D271" s="4201"/>
      <c r="E271" s="4201"/>
      <c r="F271" s="4201"/>
      <c r="G271" s="4201"/>
      <c r="H271" s="4134"/>
      <c r="I271" s="3686"/>
      <c r="K271" s="3571"/>
    </row>
    <row r="272" spans="1:11" ht="14.25" hidden="1" x14ac:dyDescent="0.2">
      <c r="A272" s="3690"/>
      <c r="B272" s="4206"/>
      <c r="C272" s="4201"/>
      <c r="D272" s="4201"/>
      <c r="E272" s="4201"/>
      <c r="F272" s="4201"/>
      <c r="G272" s="4201"/>
      <c r="H272" s="4134"/>
      <c r="I272" s="3686"/>
      <c r="K272" s="3571"/>
    </row>
    <row r="273" spans="1:11" ht="14.25" hidden="1" x14ac:dyDescent="0.2">
      <c r="A273" s="3690"/>
      <c r="B273" s="4206"/>
      <c r="C273" s="4201"/>
      <c r="D273" s="4201"/>
      <c r="E273" s="4201"/>
      <c r="F273" s="4201"/>
      <c r="G273" s="4201"/>
      <c r="H273" s="4134"/>
      <c r="I273" s="3686"/>
      <c r="K273" s="3571"/>
    </row>
    <row r="274" spans="1:11" ht="14.25" hidden="1" x14ac:dyDescent="0.2">
      <c r="A274" s="3690"/>
      <c r="B274" s="4206"/>
      <c r="C274" s="4201"/>
      <c r="D274" s="4201"/>
      <c r="E274" s="4201"/>
      <c r="F274" s="4201"/>
      <c r="G274" s="4201"/>
      <c r="H274" s="4134"/>
      <c r="I274" s="3686"/>
      <c r="K274" s="3571"/>
    </row>
    <row r="275" spans="1:11" ht="14.25" hidden="1" x14ac:dyDescent="0.2">
      <c r="A275" s="3690"/>
      <c r="B275" s="4206"/>
      <c r="C275" s="4201"/>
      <c r="D275" s="4201"/>
      <c r="E275" s="4201"/>
      <c r="F275" s="4201"/>
      <c r="G275" s="4201"/>
      <c r="H275" s="4134"/>
      <c r="I275" s="3686"/>
      <c r="K275" s="3571"/>
    </row>
    <row r="276" spans="1:11" ht="14.25" hidden="1" x14ac:dyDescent="0.2">
      <c r="A276" s="3690"/>
      <c r="B276" s="4206"/>
      <c r="C276" s="4201"/>
      <c r="D276" s="4201"/>
      <c r="E276" s="4201"/>
      <c r="F276" s="4201"/>
      <c r="G276" s="4201"/>
      <c r="H276" s="4134"/>
      <c r="I276" s="3686"/>
      <c r="K276" s="3571"/>
    </row>
    <row r="277" spans="1:11" ht="14.25" hidden="1" x14ac:dyDescent="0.2">
      <c r="A277" s="3690"/>
      <c r="B277" s="4206"/>
      <c r="C277" s="4201"/>
      <c r="D277" s="4201"/>
      <c r="E277" s="4201"/>
      <c r="F277" s="4201"/>
      <c r="G277" s="4201"/>
      <c r="H277" s="4134"/>
      <c r="I277" s="3686"/>
      <c r="K277" s="3571"/>
    </row>
    <row r="278" spans="1:11" ht="14.25" hidden="1" x14ac:dyDescent="0.2">
      <c r="A278" s="3690"/>
      <c r="B278" s="4206"/>
      <c r="C278" s="4201"/>
      <c r="D278" s="4201"/>
      <c r="E278" s="4201"/>
      <c r="F278" s="4201"/>
      <c r="G278" s="4201"/>
      <c r="H278" s="4134"/>
      <c r="I278" s="3686"/>
      <c r="K278" s="3571"/>
    </row>
    <row r="279" spans="1:11" ht="14.25" hidden="1" x14ac:dyDescent="0.2">
      <c r="A279" s="3690"/>
      <c r="B279" s="4206"/>
      <c r="C279" s="4201"/>
      <c r="D279" s="4201"/>
      <c r="E279" s="4201"/>
      <c r="F279" s="4201"/>
      <c r="G279" s="4201"/>
      <c r="H279" s="4134"/>
      <c r="I279" s="3686"/>
      <c r="K279" s="3571"/>
    </row>
    <row r="280" spans="1:11" ht="14.25" hidden="1" x14ac:dyDescent="0.2">
      <c r="A280" s="3690"/>
      <c r="B280" s="4206"/>
      <c r="C280" s="4201"/>
      <c r="D280" s="4201"/>
      <c r="E280" s="4201"/>
      <c r="F280" s="4201"/>
      <c r="G280" s="4201"/>
      <c r="H280" s="4134"/>
      <c r="I280" s="3686"/>
      <c r="K280" s="3571"/>
    </row>
    <row r="281" spans="1:11" ht="14.25" hidden="1" x14ac:dyDescent="0.2">
      <c r="A281" s="3690"/>
      <c r="B281" s="4206"/>
      <c r="C281" s="4201"/>
      <c r="D281" s="4201"/>
      <c r="E281" s="4201"/>
      <c r="F281" s="4201"/>
      <c r="G281" s="4201"/>
      <c r="H281" s="4134"/>
      <c r="I281" s="3686"/>
      <c r="K281" s="3571"/>
    </row>
    <row r="282" spans="1:11" ht="14.25" hidden="1" x14ac:dyDescent="0.2">
      <c r="A282" s="3690"/>
      <c r="B282" s="4206"/>
      <c r="C282" s="4201"/>
      <c r="D282" s="4201"/>
      <c r="E282" s="4201"/>
      <c r="F282" s="4201"/>
      <c r="G282" s="4201"/>
      <c r="H282" s="4134"/>
      <c r="I282" s="3686"/>
      <c r="K282" s="3571"/>
    </row>
    <row r="283" spans="1:11" ht="14.25" hidden="1" x14ac:dyDescent="0.2">
      <c r="A283" s="3690"/>
      <c r="B283" s="4206"/>
      <c r="C283" s="4201"/>
      <c r="D283" s="4201"/>
      <c r="E283" s="4201"/>
      <c r="F283" s="4201"/>
      <c r="G283" s="4201"/>
      <c r="H283" s="4134"/>
      <c r="I283" s="3686"/>
      <c r="K283" s="3571"/>
    </row>
    <row r="284" spans="1:11" ht="14.25" hidden="1" x14ac:dyDescent="0.2">
      <c r="A284" s="3690"/>
      <c r="B284" s="4206"/>
      <c r="C284" s="4201"/>
      <c r="D284" s="4201"/>
      <c r="E284" s="4201"/>
      <c r="F284" s="4201"/>
      <c r="G284" s="4201"/>
      <c r="H284" s="4134"/>
      <c r="I284" s="3686"/>
      <c r="K284" s="3571"/>
    </row>
    <row r="285" spans="1:11" ht="14.25" hidden="1" x14ac:dyDescent="0.2">
      <c r="A285" s="3690"/>
      <c r="B285" s="4206"/>
      <c r="C285" s="4201"/>
      <c r="D285" s="4201"/>
      <c r="E285" s="4201"/>
      <c r="F285" s="4201"/>
      <c r="G285" s="4201"/>
      <c r="H285" s="4134"/>
      <c r="I285" s="3686"/>
      <c r="K285" s="3571"/>
    </row>
    <row r="286" spans="1:11" ht="14.25" hidden="1" x14ac:dyDescent="0.2">
      <c r="A286" s="3690"/>
      <c r="B286" s="4206"/>
      <c r="C286" s="4201"/>
      <c r="D286" s="4201"/>
      <c r="E286" s="4201"/>
      <c r="F286" s="4201"/>
      <c r="G286" s="4201"/>
      <c r="H286" s="4134"/>
      <c r="I286" s="3686"/>
      <c r="K286" s="3571"/>
    </row>
    <row r="287" spans="1:11" ht="14.25" hidden="1" x14ac:dyDescent="0.2">
      <c r="A287" s="3690"/>
      <c r="B287" s="4206"/>
      <c r="C287" s="4201"/>
      <c r="D287" s="4201"/>
      <c r="E287" s="4201"/>
      <c r="F287" s="4201"/>
      <c r="G287" s="4201"/>
      <c r="H287" s="4134"/>
      <c r="I287" s="3686"/>
      <c r="K287" s="3571"/>
    </row>
    <row r="288" spans="1:11" ht="14.25" hidden="1" x14ac:dyDescent="0.2">
      <c r="A288" s="3690"/>
      <c r="B288" s="4206"/>
      <c r="C288" s="4201"/>
      <c r="D288" s="4201"/>
      <c r="E288" s="4201"/>
      <c r="F288" s="4201"/>
      <c r="G288" s="4201"/>
      <c r="H288" s="4134"/>
      <c r="I288" s="3686"/>
      <c r="K288" s="3571"/>
    </row>
    <row r="289" spans="1:13" ht="14.25" hidden="1" x14ac:dyDescent="0.2">
      <c r="A289" s="3690"/>
      <c r="B289" s="4206"/>
      <c r="C289" s="4201"/>
      <c r="D289" s="4201"/>
      <c r="E289" s="4201"/>
      <c r="F289" s="4201"/>
      <c r="G289" s="4201"/>
      <c r="H289" s="4134"/>
      <c r="I289" s="3686"/>
      <c r="K289" s="3571"/>
    </row>
    <row r="290" spans="1:13" ht="14.25" hidden="1" x14ac:dyDescent="0.2">
      <c r="A290" s="3690"/>
      <c r="B290" s="4206"/>
      <c r="C290" s="4201"/>
      <c r="D290" s="4201"/>
      <c r="E290" s="4201"/>
      <c r="F290" s="4201"/>
      <c r="G290" s="4201"/>
      <c r="H290" s="4134"/>
      <c r="I290" s="3686"/>
      <c r="K290" s="3571"/>
    </row>
    <row r="291" spans="1:13" ht="14.25" hidden="1" x14ac:dyDescent="0.2">
      <c r="A291" s="3690"/>
      <c r="B291" s="4206"/>
      <c r="C291" s="4201"/>
      <c r="D291" s="4201"/>
      <c r="E291" s="4201"/>
      <c r="F291" s="4201"/>
      <c r="G291" s="4201"/>
      <c r="H291" s="4134"/>
      <c r="I291" s="3686"/>
      <c r="K291" s="3571"/>
    </row>
    <row r="292" spans="1:13" ht="14.25" hidden="1" x14ac:dyDescent="0.2">
      <c r="A292" s="3690"/>
      <c r="B292" s="4206"/>
      <c r="C292" s="4201"/>
      <c r="D292" s="4201"/>
      <c r="E292" s="4201"/>
      <c r="F292" s="4201"/>
      <c r="G292" s="4201"/>
      <c r="H292" s="4134"/>
      <c r="I292" s="3686"/>
      <c r="K292" s="3571"/>
    </row>
    <row r="293" spans="1:13" ht="14.25" hidden="1" x14ac:dyDescent="0.2">
      <c r="A293" s="3690"/>
      <c r="B293" s="4206"/>
      <c r="C293" s="4201"/>
      <c r="D293" s="4201"/>
      <c r="E293" s="4201"/>
      <c r="F293" s="4201"/>
      <c r="G293" s="4201"/>
      <c r="H293" s="4134"/>
      <c r="I293" s="3686"/>
      <c r="K293" s="3571"/>
    </row>
    <row r="294" spans="1:13" ht="14.25" hidden="1" x14ac:dyDescent="0.2">
      <c r="A294" s="3690"/>
      <c r="B294" s="4206"/>
      <c r="C294" s="4201"/>
      <c r="D294" s="4201"/>
      <c r="E294" s="4201"/>
      <c r="F294" s="4201"/>
      <c r="G294" s="4201"/>
      <c r="H294" s="4134"/>
      <c r="I294" s="3686"/>
      <c r="K294" s="3571"/>
    </row>
    <row r="295" spans="1:13" ht="14.25" hidden="1" x14ac:dyDescent="0.2">
      <c r="A295" s="3690"/>
      <c r="B295" s="4206"/>
      <c r="C295" s="4201"/>
      <c r="D295" s="4201"/>
      <c r="E295" s="4201"/>
      <c r="F295" s="4201"/>
      <c r="G295" s="4201"/>
      <c r="H295" s="4134"/>
      <c r="I295" s="3686"/>
      <c r="K295" s="3571"/>
    </row>
    <row r="296" spans="1:13" ht="14.25" hidden="1" x14ac:dyDescent="0.2">
      <c r="A296" s="3690"/>
      <c r="B296" s="4206"/>
      <c r="C296" s="4201"/>
      <c r="D296" s="4201"/>
      <c r="E296" s="4201"/>
      <c r="F296" s="4201"/>
      <c r="G296" s="4201"/>
      <c r="H296" s="4134"/>
      <c r="I296" s="3686"/>
      <c r="K296" s="3571"/>
    </row>
    <row r="297" spans="1:13" x14ac:dyDescent="0.2">
      <c r="A297" s="3690"/>
      <c r="B297" s="4145"/>
      <c r="C297" s="4145"/>
      <c r="D297" s="4145"/>
      <c r="E297" s="4145"/>
      <c r="F297" s="4145"/>
      <c r="G297" s="4145"/>
      <c r="H297" s="3690"/>
      <c r="I297" s="2748"/>
    </row>
    <row r="298" spans="1:13" x14ac:dyDescent="0.2">
      <c r="A298" s="3690"/>
      <c r="B298" s="4177" t="s">
        <v>10740</v>
      </c>
      <c r="C298" s="3690"/>
      <c r="D298" s="3690"/>
      <c r="E298" s="3690"/>
      <c r="F298" s="3690"/>
      <c r="G298" s="3690"/>
      <c r="H298" s="3690"/>
      <c r="I298" s="2748"/>
    </row>
    <row r="299" spans="1:13" x14ac:dyDescent="0.2">
      <c r="A299" s="3690"/>
      <c r="B299" s="4185" t="s">
        <v>10741</v>
      </c>
      <c r="C299" s="3690"/>
      <c r="D299" s="3690"/>
      <c r="E299" s="3690"/>
      <c r="F299" s="3690"/>
      <c r="G299" s="3690"/>
      <c r="H299" s="3690"/>
      <c r="I299" s="2748"/>
    </row>
    <row r="300" spans="1:13" ht="5.25" customHeight="1" x14ac:dyDescent="0.2">
      <c r="A300" s="3690"/>
      <c r="B300" s="1942"/>
      <c r="C300" s="3690"/>
      <c r="D300" s="3690"/>
      <c r="E300" s="3690"/>
      <c r="F300" s="3690"/>
      <c r="G300" s="3690"/>
      <c r="H300" s="3690"/>
      <c r="I300" s="2748"/>
    </row>
    <row r="301" spans="1:13" x14ac:dyDescent="0.2">
      <c r="A301" s="3690"/>
      <c r="B301" s="4186" t="s">
        <v>10738</v>
      </c>
      <c r="C301" s="5492" t="s">
        <v>10742</v>
      </c>
      <c r="D301" s="5493"/>
      <c r="E301" s="5493"/>
      <c r="F301" s="4187"/>
      <c r="G301" s="4188"/>
      <c r="H301" s="3690"/>
      <c r="I301" s="2748"/>
      <c r="K301" s="3571"/>
    </row>
    <row r="302" spans="1:13" ht="14.25" x14ac:dyDescent="0.2">
      <c r="A302" s="3695"/>
      <c r="B302" s="3703"/>
      <c r="C302" s="5488"/>
      <c r="D302" s="5489"/>
      <c r="E302" s="5489"/>
      <c r="F302" s="5489"/>
      <c r="G302" s="5490"/>
      <c r="H302" s="4134" t="str">
        <f>IF(AND($G$6="no",M302=0),re,IF(AND($G$6="no",M302=1),"All data!",IF(OR(AND(M302&gt;0,M1="n"),AND(G6="yes",M302&gt;0)),"Delete!","")))</f>
        <v/>
      </c>
      <c r="I302" s="3601"/>
      <c r="K302" s="4194"/>
      <c r="L302" s="1485">
        <f>IF(H302&lt;&gt;"",1,0)</f>
      </c>
      <c r="M302" s="1485">
        <f t="shared" ref="M302" si="6">COUNTA(B302:C302)</f>
      </c>
    </row>
    <row r="303" spans="1:13" ht="14.25" hidden="1" x14ac:dyDescent="0.2">
      <c r="A303" s="3695"/>
      <c r="B303" s="4200"/>
      <c r="C303" s="4201"/>
      <c r="D303" s="4201"/>
      <c r="E303" s="4201"/>
      <c r="F303" s="4201"/>
      <c r="G303" s="4201"/>
      <c r="H303" s="4134"/>
      <c r="I303" s="3601"/>
      <c r="K303" s="4194"/>
    </row>
    <row r="304" spans="1:13" ht="14.25" hidden="1" x14ac:dyDescent="0.2">
      <c r="A304" s="3695"/>
      <c r="B304" s="4200"/>
      <c r="C304" s="4201"/>
      <c r="D304" s="4201"/>
      <c r="E304" s="4201"/>
      <c r="F304" s="4201"/>
      <c r="G304" s="4201"/>
      <c r="H304" s="4134"/>
      <c r="I304" s="3601"/>
      <c r="K304" s="4194"/>
    </row>
    <row r="305" spans="1:17" ht="14.25" hidden="1" x14ac:dyDescent="0.2">
      <c r="A305" s="3695"/>
      <c r="B305" s="4200"/>
      <c r="C305" s="4201"/>
      <c r="D305" s="4201"/>
      <c r="E305" s="4201"/>
      <c r="F305" s="4201"/>
      <c r="G305" s="4201"/>
      <c r="H305" s="4134"/>
      <c r="I305" s="3601"/>
      <c r="K305" s="4194"/>
    </row>
    <row r="306" spans="1:17" ht="14.25" hidden="1" x14ac:dyDescent="0.2">
      <c r="A306" s="3695"/>
      <c r="B306" s="4200"/>
      <c r="C306" s="4201"/>
      <c r="D306" s="4201"/>
      <c r="E306" s="4201"/>
      <c r="F306" s="4201"/>
      <c r="G306" s="4201"/>
      <c r="H306" s="4134"/>
      <c r="I306" s="3601"/>
      <c r="K306" s="4194"/>
    </row>
    <row r="307" spans="1:17" ht="14.25" hidden="1" x14ac:dyDescent="0.2">
      <c r="A307" s="3695"/>
      <c r="B307" s="4200"/>
      <c r="C307" s="4201"/>
      <c r="D307" s="4201"/>
      <c r="E307" s="4201"/>
      <c r="F307" s="4201"/>
      <c r="G307" s="4201"/>
      <c r="H307" s="4134"/>
      <c r="I307" s="3601"/>
      <c r="K307" s="4194"/>
    </row>
    <row r="308" spans="1:17" ht="14.25" hidden="1" x14ac:dyDescent="0.2">
      <c r="A308" s="3695"/>
      <c r="B308" s="4200"/>
      <c r="C308" s="4201"/>
      <c r="D308" s="4201"/>
      <c r="E308" s="4201"/>
      <c r="F308" s="4201"/>
      <c r="G308" s="4201"/>
      <c r="H308" s="4134"/>
      <c r="I308" s="3601"/>
      <c r="K308" s="4194"/>
    </row>
    <row r="309" spans="1:17" ht="14.25" hidden="1" x14ac:dyDescent="0.2">
      <c r="A309" s="3695"/>
      <c r="B309" s="4200"/>
      <c r="C309" s="4201"/>
      <c r="D309" s="4201"/>
      <c r="E309" s="4201"/>
      <c r="F309" s="4201"/>
      <c r="G309" s="4201"/>
      <c r="H309" s="4134"/>
      <c r="I309" s="3601"/>
      <c r="K309" s="4194"/>
    </row>
    <row r="310" spans="1:17" ht="14.25" x14ac:dyDescent="0.2">
      <c r="A310" s="3695"/>
      <c r="B310" s="1942"/>
      <c r="C310" s="1942"/>
      <c r="D310" s="1942"/>
      <c r="E310" s="1942"/>
      <c r="F310" s="1942"/>
      <c r="G310" s="1942"/>
      <c r="H310" s="1942"/>
      <c r="I310" s="3601"/>
      <c r="K310" s="3571"/>
    </row>
    <row r="311" spans="1:17" ht="14.25" x14ac:dyDescent="0.2">
      <c r="A311" s="3695"/>
      <c r="B311" s="4177" t="s">
        <v>10743</v>
      </c>
      <c r="C311" s="3690"/>
      <c r="D311" s="3690"/>
      <c r="E311" s="1942"/>
      <c r="F311" s="1942"/>
      <c r="G311" s="1942"/>
      <c r="H311" s="1942"/>
      <c r="I311" s="3601"/>
    </row>
    <row r="312" spans="1:17" ht="14.25" x14ac:dyDescent="0.2">
      <c r="A312" s="3695"/>
      <c r="B312" s="4177"/>
      <c r="C312" s="3690"/>
      <c r="D312" s="3690"/>
      <c r="E312" s="1942"/>
      <c r="F312" s="4189" t="s">
        <v>363</v>
      </c>
      <c r="G312" s="4190" t="s">
        <v>2372</v>
      </c>
      <c r="H312" s="1942"/>
      <c r="I312" s="3601"/>
      <c r="P312" s="1736" t="s">
        <v>10752</v>
      </c>
      <c r="Q312" s="1736" t="s">
        <v>10753</v>
      </c>
    </row>
    <row r="313" spans="1:17" ht="14.25" x14ac:dyDescent="0.2">
      <c r="A313" s="3695"/>
      <c r="B313" s="1942" t="s">
        <v>10760</v>
      </c>
      <c r="C313" s="1942"/>
      <c r="D313" s="1942"/>
      <c r="E313" s="4205" t="s">
        <v>970</v>
      </c>
      <c r="F313" s="339"/>
      <c r="G313" s="339"/>
      <c r="H313" s="4134" t="str">
        <f>IF(OR(AND(M1="n",M313&gt;0),AND(M2="y",OR(F313&lt;&gt;"",G313&lt;&gt;""))),"Delete!",IF(AND(OR(F313="",G313=""),M1="y",M2="n"),reo,IF(F313&gt;P313,"Cannot exceed box 84b in Page 5!",IF(G313&gt;Q313,"Cannot exceed box 84c in Page 5!",""))))</f>
        <v/>
      </c>
      <c r="I313" s="3601"/>
      <c r="L313" s="1485">
        <f>IF(H313&lt;&gt;"",1,0)</f>
      </c>
      <c r="M313" s="1485">
        <f>COUNTA(F313:G313)</f>
      </c>
      <c r="P313" s="1485">
        <f>'p5'!F28</f>
      </c>
      <c r="Q313" s="1485">
        <f>'p5'!H28</f>
      </c>
    </row>
    <row r="314" spans="1:17" ht="14.25" hidden="1" x14ac:dyDescent="0.2">
      <c r="A314" s="3695"/>
      <c r="B314" s="1942"/>
      <c r="C314" s="1942"/>
      <c r="D314" s="1942"/>
      <c r="E314" s="1942"/>
      <c r="F314" s="4191"/>
      <c r="G314" s="4191"/>
      <c r="H314" s="1942"/>
      <c r="I314" s="3601"/>
    </row>
    <row r="315" spans="1:17" ht="14.25" hidden="1" x14ac:dyDescent="0.2">
      <c r="A315" s="3695"/>
      <c r="B315" s="1942"/>
      <c r="C315" s="1942"/>
      <c r="D315" s="1942"/>
      <c r="E315" s="1942"/>
      <c r="F315" s="1942"/>
      <c r="G315" s="2189"/>
      <c r="H315" s="1942"/>
      <c r="I315" s="3601"/>
    </row>
    <row r="316" spans="1:17" ht="14.25" hidden="1" x14ac:dyDescent="0.2">
      <c r="A316" s="3695"/>
      <c r="B316" s="1942"/>
      <c r="C316" s="1942"/>
      <c r="D316" s="1942"/>
      <c r="E316" s="1942"/>
      <c r="F316" s="1942"/>
      <c r="G316" s="2189"/>
      <c r="H316" s="1942"/>
      <c r="I316" s="3601"/>
    </row>
    <row r="317" spans="1:17" ht="14.25" hidden="1" x14ac:dyDescent="0.2">
      <c r="A317" s="3695"/>
      <c r="B317" s="1942"/>
      <c r="C317" s="1942"/>
      <c r="D317" s="1942"/>
      <c r="E317" s="1942"/>
      <c r="F317" s="1942"/>
      <c r="G317" s="2189"/>
      <c r="H317" s="1942"/>
      <c r="I317" s="3601"/>
    </row>
    <row r="318" spans="1:17" ht="14.25" hidden="1" x14ac:dyDescent="0.2">
      <c r="A318" s="3695"/>
      <c r="B318" s="1942"/>
      <c r="C318" s="1942"/>
      <c r="D318" s="1942"/>
      <c r="E318" s="1942"/>
      <c r="F318" s="1942"/>
      <c r="G318" s="2189"/>
      <c r="H318" s="1942"/>
      <c r="I318" s="3601"/>
    </row>
    <row r="319" spans="1:17" ht="14.25" hidden="1" x14ac:dyDescent="0.2">
      <c r="A319" s="3695"/>
      <c r="B319" s="1942"/>
      <c r="C319" s="1942"/>
      <c r="D319" s="1942"/>
      <c r="E319" s="1942"/>
      <c r="F319" s="1942"/>
      <c r="G319" s="2189"/>
      <c r="H319" s="1942"/>
      <c r="I319" s="3601"/>
    </row>
    <row r="320" spans="1:17" ht="14.25" hidden="1" x14ac:dyDescent="0.2">
      <c r="A320" s="3695"/>
      <c r="B320" s="1942"/>
      <c r="C320" s="1942"/>
      <c r="D320" s="1942"/>
      <c r="E320" s="1942"/>
      <c r="F320" s="1942"/>
      <c r="G320" s="2189"/>
      <c r="H320" s="1942"/>
      <c r="I320" s="3601"/>
    </row>
    <row r="321" spans="1:15" ht="14.25" x14ac:dyDescent="0.2">
      <c r="A321" s="3695"/>
      <c r="B321" s="2856"/>
      <c r="C321" s="2856"/>
      <c r="D321" s="2856"/>
      <c r="E321" s="2856"/>
      <c r="F321" s="1942"/>
      <c r="G321" s="1942"/>
      <c r="H321" s="1942"/>
      <c r="I321" s="3601"/>
      <c r="L321" s="3571"/>
    </row>
    <row r="322" spans="1:15" ht="14.25" x14ac:dyDescent="0.2">
      <c r="A322" s="3695"/>
      <c r="B322" s="3686"/>
      <c r="C322" s="3315"/>
      <c r="D322" s="3356" t="s">
        <v>4802</v>
      </c>
      <c r="E322" s="3352"/>
      <c r="F322" s="4134" t="str">
        <f>IF(M1="n","",IF(AND(M4&gt;0,ISBLANK(E322)=TRUE),re,""))</f>
        <v/>
      </c>
      <c r="G322" s="3601"/>
      <c r="H322" s="3601"/>
      <c r="I322" s="3601"/>
      <c r="L322" s="1485">
        <f>IF(F322&lt;&gt;"",1,0)</f>
      </c>
      <c r="M322" s="1485">
        <f>COUNTA(E322)</f>
      </c>
    </row>
    <row r="323" spans="1:15" ht="14.25" x14ac:dyDescent="0.2">
      <c r="A323" s="3695"/>
      <c r="B323" s="3686"/>
      <c r="C323" s="3686"/>
      <c r="D323" s="3686"/>
      <c r="E323" s="3686"/>
      <c r="F323" s="3601"/>
      <c r="G323" s="3601"/>
      <c r="H323" s="3601"/>
      <c r="I323" s="3601"/>
    </row>
    <row r="324" spans="1:15" ht="14.25" x14ac:dyDescent="0.2">
      <c r="A324" s="3357" t="s">
        <v>10574</v>
      </c>
      <c r="B324" s="3315"/>
      <c r="C324" s="3315"/>
      <c r="D324" s="3357" t="s">
        <v>10744</v>
      </c>
      <c r="E324" s="3686"/>
      <c r="F324" s="3315"/>
      <c r="G324" s="3357" t="s">
        <v>10745</v>
      </c>
      <c r="H324" s="3601"/>
      <c r="I324" s="3601"/>
    </row>
    <row r="325" spans="1:15" ht="14.25" x14ac:dyDescent="0.2">
      <c r="A325" s="3315"/>
      <c r="B325" s="3315"/>
      <c r="C325" s="3315"/>
      <c r="D325" s="3315"/>
      <c r="E325" s="3686"/>
      <c r="F325" s="3315"/>
      <c r="G325" s="3315"/>
      <c r="H325" s="3601"/>
      <c r="I325" s="3601"/>
      <c r="L325" s="3756">
        <f>IF(M4=0,0,IF(L4&gt;0,100,IF(E322="no",100,1)))</f>
      </c>
      <c r="O325" s="4196">
        <f>IF(SUM(O39:O324)&gt;0,1,0)</f>
      </c>
    </row>
    <row r="326" spans="1:15" ht="14.25" x14ac:dyDescent="0.2">
      <c r="A326" s="3315"/>
      <c r="B326" s="3233" t="s">
        <v>6290</v>
      </c>
      <c r="C326" s="3358"/>
      <c r="D326" s="3358"/>
      <c r="E326" s="3686"/>
      <c r="F326" s="3315"/>
      <c r="G326" s="3315"/>
      <c r="H326" s="3601"/>
      <c r="I326" s="3601"/>
    </row>
    <row r="327" spans="1:15" ht="14.25" x14ac:dyDescent="0.2">
      <c r="A327" s="3686"/>
      <c r="B327" s="3686"/>
      <c r="C327" s="3686"/>
      <c r="D327" s="3686"/>
      <c r="E327" s="3686"/>
      <c r="F327" s="3601"/>
      <c r="G327" s="3601"/>
      <c r="H327" s="3601"/>
      <c r="I327" s="3601"/>
    </row>
  </sheetData>
  <sheetProtection algorithmName="SHA-512" hashValue="eqdhdnI0z0i+PqQzSaVtc8svKiwviBMU2QjESGO0mh/Job2w+nnHUcadf1f3pSkdb5K15hvCNnYwRYj//PUBfQ==" saltValue="k/ERt6Bm+PyCKbyGlA+RUw==" spinCount="100000" sheet="1" objects="1" scenarios="1"/>
  <mergeCells count="112">
    <mergeCell ref="C155:G155"/>
    <mergeCell ref="C156:G156"/>
    <mergeCell ref="C157:G157"/>
    <mergeCell ref="C158:G158"/>
    <mergeCell ref="C301:E301"/>
    <mergeCell ref="C302:G302"/>
    <mergeCell ref="C149:G149"/>
    <mergeCell ref="C150:G150"/>
    <mergeCell ref="C151:G151"/>
    <mergeCell ref="C152:G152"/>
    <mergeCell ref="C153:G153"/>
    <mergeCell ref="C154:G154"/>
    <mergeCell ref="C143:G143"/>
    <mergeCell ref="C144:G144"/>
    <mergeCell ref="C145:G145"/>
    <mergeCell ref="C146:G146"/>
    <mergeCell ref="C147:G147"/>
    <mergeCell ref="C148:G148"/>
    <mergeCell ref="C137:G137"/>
    <mergeCell ref="C138:G138"/>
    <mergeCell ref="C139:G139"/>
    <mergeCell ref="C140:G140"/>
    <mergeCell ref="C141:G141"/>
    <mergeCell ref="C142:G142"/>
    <mergeCell ref="C131:G131"/>
    <mergeCell ref="C132:G132"/>
    <mergeCell ref="C133:G133"/>
    <mergeCell ref="C134:G134"/>
    <mergeCell ref="C135:G135"/>
    <mergeCell ref="C136:G136"/>
    <mergeCell ref="C125:G125"/>
    <mergeCell ref="C126:G126"/>
    <mergeCell ref="C127:G127"/>
    <mergeCell ref="C128:G128"/>
    <mergeCell ref="C129:G129"/>
    <mergeCell ref="C130:G130"/>
    <mergeCell ref="C119:G119"/>
    <mergeCell ref="C120:G120"/>
    <mergeCell ref="C121:G121"/>
    <mergeCell ref="C122:G122"/>
    <mergeCell ref="C123:G123"/>
    <mergeCell ref="C124:G124"/>
    <mergeCell ref="C113:G113"/>
    <mergeCell ref="C114:G114"/>
    <mergeCell ref="C115:G115"/>
    <mergeCell ref="C116:G116"/>
    <mergeCell ref="C117:G117"/>
    <mergeCell ref="C118:G118"/>
    <mergeCell ref="C107:G107"/>
    <mergeCell ref="C108:G108"/>
    <mergeCell ref="C109:G109"/>
    <mergeCell ref="C110:G110"/>
    <mergeCell ref="C111:G111"/>
    <mergeCell ref="C112:G112"/>
    <mergeCell ref="C101:G101"/>
    <mergeCell ref="C102:G102"/>
    <mergeCell ref="C103:G103"/>
    <mergeCell ref="C104:G104"/>
    <mergeCell ref="C105:G105"/>
    <mergeCell ref="C106:G106"/>
    <mergeCell ref="C95:G95"/>
    <mergeCell ref="C96:G96"/>
    <mergeCell ref="C97:G97"/>
    <mergeCell ref="C98:G98"/>
    <mergeCell ref="C99:G99"/>
    <mergeCell ref="C100:G100"/>
    <mergeCell ref="C89:G89"/>
    <mergeCell ref="C90:G90"/>
    <mergeCell ref="C91:G91"/>
    <mergeCell ref="C92:G92"/>
    <mergeCell ref="C93:G93"/>
    <mergeCell ref="C94:G94"/>
    <mergeCell ref="C83:G83"/>
    <mergeCell ref="C84:G84"/>
    <mergeCell ref="C85:G85"/>
    <mergeCell ref="C86:G86"/>
    <mergeCell ref="C87:G87"/>
    <mergeCell ref="C88:G88"/>
    <mergeCell ref="C77:G77"/>
    <mergeCell ref="C78:G78"/>
    <mergeCell ref="C79:G79"/>
    <mergeCell ref="C80:G80"/>
    <mergeCell ref="C81:G81"/>
    <mergeCell ref="C82:G82"/>
    <mergeCell ref="C71:G71"/>
    <mergeCell ref="C72:G72"/>
    <mergeCell ref="C73:G73"/>
    <mergeCell ref="C74:G74"/>
    <mergeCell ref="C75:G75"/>
    <mergeCell ref="C76:G76"/>
    <mergeCell ref="C65:G65"/>
    <mergeCell ref="C66:G66"/>
    <mergeCell ref="C67:G67"/>
    <mergeCell ref="C68:G68"/>
    <mergeCell ref="C69:G69"/>
    <mergeCell ref="C70:G70"/>
    <mergeCell ref="C59:G59"/>
    <mergeCell ref="C60:G60"/>
    <mergeCell ref="C61:G61"/>
    <mergeCell ref="C62:G62"/>
    <mergeCell ref="C63:G63"/>
    <mergeCell ref="C64:G64"/>
    <mergeCell ref="A1:F1"/>
    <mergeCell ref="B35:D35"/>
    <mergeCell ref="B37:D37"/>
    <mergeCell ref="B43:D43"/>
    <mergeCell ref="B47:D47"/>
    <mergeCell ref="C58:E58"/>
    <mergeCell ref="B12:E14"/>
    <mergeCell ref="B5:H5"/>
    <mergeCell ref="B27:E28"/>
    <mergeCell ref="F27:G27"/>
  </mergeCells>
  <conditionalFormatting sqref="G49">
    <cfRule type="expression" dxfId="81" priority="1">
      <formula>$G$49&lt;0</formula>
    </cfRule>
  </conditionalFormatting>
  <conditionalFormatting sqref="H39 H49">
    <cfRule type="expression" dxfId="80" priority="8">
      <formula>$H$39&lt;&gt;$R$2</formula>
    </cfRule>
    <cfRule type="expression" dxfId="79" priority="9">
      <formula>$H$39=$R$2</formula>
    </cfRule>
  </conditionalFormatting>
  <conditionalFormatting sqref="H41">
    <cfRule type="expression" dxfId="78" priority="6">
      <formula>$H$41&lt;&gt;$R$2</formula>
    </cfRule>
    <cfRule type="expression" dxfId="77" priority="7">
      <formula>$H$41=$R$2</formula>
    </cfRule>
  </conditionalFormatting>
  <conditionalFormatting sqref="H45">
    <cfRule type="expression" dxfId="76" priority="4">
      <formula>$H$45&lt;&gt;$R$2</formula>
    </cfRule>
    <cfRule type="expression" dxfId="75" priority="5">
      <formula>$H$45=$R$2</formula>
    </cfRule>
  </conditionalFormatting>
  <dataValidations count="22">
    <dataValidation type="textLength" operator="greaterThanOrEqual" allowBlank="1" showInputMessage="1" showErrorMessage="1" sqref="C59:G296 C302:G309" xr:uid="{CCFD55B1-B541-4AC9-98E5-30222F637B26}">
      <formula1>4</formula1>
    </dataValidation>
    <dataValidation type="textLength" operator="equal" allowBlank="1" showInputMessage="1" showErrorMessage="1" errorTitle="IT number" error="Enter correct number!" sqref="B59:B296 B302:B309" xr:uid="{9E74F883-8EA4-4C73-9BA6-FC4A6BE2B4CA}">
      <formula1>9</formula1>
    </dataValidation>
    <dataValidation type="whole" errorStyle="warning" operator="equal" allowBlank="1" showInputMessage="1" showErrorMessage="1" errorTitle="Excess profit" error="Amount should be 0!" sqref="G45" xr:uid="{33117F14-CA79-4057-8DFB-D54074EC2F30}">
      <formula1>S45</formula1>
    </dataValidation>
    <dataValidation type="decimal" errorStyle="warning" operator="equal" allowBlank="1" showInputMessage="1" showErrorMessage="1" errorTitle="Top-up tax percentage" error="Check top-up tax percentage! " sqref="G41" xr:uid="{4DBDDF51-44D4-451C-8B5E-495E733343A0}">
      <formula1>Q41</formula1>
    </dataValidation>
    <dataValidation type="decimal" errorStyle="warning" operator="equal" allowBlank="1" showInputMessage="1" showErrorMessage="1" errorTitle="Effective tax rate" error="Check effective tax rate!_x000a_" sqref="G39" xr:uid="{8AD6B121-9C30-4F2C-A7D0-28B0E01FCE82}">
      <formula1>Q39</formula1>
    </dataValidation>
    <dataValidation operator="greaterThan" allowBlank="1" showInputMessage="1" showErrorMessage="1" sqref="G47" xr:uid="{0BA8A47D-F8F9-461F-A61B-CFE5E6ED970B}"/>
    <dataValidation type="list" allowBlank="1" showInputMessage="1" showErrorMessage="1" sqref="G12 G6 G21" xr:uid="{5C7FCD3B-E82A-4E8C-A2CE-20BB97618586}">
      <formula1>$Q$1:$Q$3</formula1>
    </dataValidation>
    <dataValidation type="whole" operator="greaterThan" allowBlank="1" showInputMessage="1" showErrorMessage="1" errorTitle="Mismatch Amount" error="Amount should be greater than 0!" sqref="F297:F300" xr:uid="{37265E0E-DF09-4E11-9A73-A883124F840D}">
      <formula1>0</formula1>
    </dataValidation>
    <dataValidation type="textLength" operator="greaterThanOrEqual" allowBlank="1" showInputMessage="1" showErrorMessage="1" errorTitle="Jurisdiction" error="Insert proper jurisdiction!" sqref="F297:F300" xr:uid="{F6BAB458-8A82-4010-9BE8-8120F03FA2E4}">
      <formula1>3</formula1>
    </dataValidation>
    <dataValidation type="textLength" operator="greaterThanOrEqual" allowBlank="1" showInputMessage="1" showErrorMessage="1" errorTitle="TIN" error="Insert correct TIN number" sqref="E297:E300" xr:uid="{BF7F9319-08DE-4970-AC5E-B47829434B5F}">
      <formula1>4</formula1>
    </dataValidation>
    <dataValidation type="textLength" operator="greaterThanOrEqual" allowBlank="1" showInputMessage="1" showErrorMessage="1" errorTitle="Name of payer" error="Insert proper details!" sqref="D297:D300 D311:D312" xr:uid="{1A78ABE7-FCDB-4037-B241-50A8AE506B9E}">
      <formula1>4</formula1>
    </dataValidation>
    <dataValidation type="list" showInputMessage="1" showErrorMessage="1" sqref="E322" xr:uid="{5DFFCBA2-F4B7-4A09-BDC8-B436D58EEFCC}">
      <formula1>yn</formula1>
    </dataValidation>
    <dataValidation type="whole" errorStyle="warning" operator="equal" allowBlank="1" showInputMessage="1" showErrorMessage="1" errorTitle="Net qualifying income" error="Amount should be 0!" sqref="G37" xr:uid="{F094678B-9AC0-4378-9F9A-1B237A86E7F6}">
      <formula1>S37</formula1>
    </dataValidation>
    <dataValidation operator="lessThanOrEqual" allowBlank="1" showInputMessage="1" showErrorMessage="1" errorTitle="Approved assistance" error="Figure must be negative!" sqref="G49" xr:uid="{FB9A7AEE-B11D-4A19-8AAB-701A1348CCF0}"/>
    <dataValidation type="list" allowBlank="1" showInputMessage="1" showErrorMessage="1" sqref="F297:F300" xr:uid="{761A5EEF-166D-4CDB-9E87-5BF842461419}">
      <formula1>$X$1:$X$3</formula1>
    </dataValidation>
    <dataValidation type="list" allowBlank="1" showInputMessage="1" showErrorMessage="1" sqref="B300" xr:uid="{461D9433-22FF-4498-9FE4-7D7C6B5AA2AB}">
      <formula1>$T$1:$T$3</formula1>
    </dataValidation>
    <dataValidation type="whole" operator="greaterThanOrEqual" allowBlank="1" showInputMessage="1" showErrorMessage="1" errorTitle="Disqualfied imputation tax" error="Please enter a positive amount that does not exceed box 84c in page5!" sqref="G313" xr:uid="{CD3B90CA-596B-40D1-B3FD-F37DC421E852}">
      <formula1>0</formula1>
    </dataValidation>
    <dataValidation type="list" allowBlank="1" showInputMessage="1" showErrorMessage="1" sqref="F27:G27" xr:uid="{0027FD63-78FE-40D9-8D54-8AEFF8FE8187}">
      <formula1>$U$2:$U$5</formula1>
    </dataValidation>
    <dataValidation type="whole" errorStyle="warning" operator="equal" allowBlank="1" showInputMessage="1" showErrorMessage="1" errorTitle="Adjusted covered taxes" error="Amount should be 0!" sqref="G35" xr:uid="{04453B91-7425-46EC-ABA1-FEA106AC9632}">
      <formula1>S35</formula1>
    </dataValidation>
    <dataValidation allowBlank="1" showInputMessage="1" showErrorMessage="1" errorTitle="Adjusted covered taxes" error="Check amount or insert 0!" sqref="B35:D35" xr:uid="{BCFB3E09-F944-4206-8312-EA01F43E78FB}"/>
    <dataValidation type="whole" errorStyle="warning" operator="equal" allowBlank="1" showInputMessage="1" showErrorMessage="1" errorTitle="Substance-based income exclusion" error="Amount should be 0!" sqref="G43" xr:uid="{075EF334-E9EF-4682-A349-32F9C7124636}">
      <formula1>S43</formula1>
    </dataValidation>
    <dataValidation type="whole" operator="greaterThanOrEqual" allowBlank="1" showInputMessage="1" showErrorMessage="1" errorTitle="Disqualfied imputation tax" error="Please enter a positive amount that does not exceed box 84b in page 5!" sqref="F313" xr:uid="{E3B88C01-CCDD-48AC-BDCA-7BB73F3E6657}">
      <formula1>0</formula1>
    </dataValidation>
  </dataValidations>
  <hyperlinks>
    <hyperlink ref="B326" location="Index!B126" display="B A C K   T O   I N D E X" xr:uid="{73876261-B3E5-4239-815B-DEEDD1154757}"/>
    <hyperlink ref="E313" location="'p5'!B31" display="Page 5" xr:uid="{E577ED4C-E457-497E-AF49-0A83D203028E}"/>
  </hyperlinks>
  <pageMargins left="0.7" right="0.7" top="0.75" bottom="0.75" header="0.3" footer="0.3"/>
  <legacy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27">
    <pageSetUpPr fitToPage="1"/>
  </sheetPr>
  <dimension ref="A1:EB115"/>
  <sheetViews>
    <sheetView showGridLines="0" topLeftCell="B1" zoomScale="85" zoomScaleNormal="85" workbookViewId="0">
      <pane ySplit="3" topLeftCell="A37" activePane="bottomLeft" state="frozen"/>
      <selection activeCell="C120" sqref="C120"/>
      <selection pane="bottomLeft" activeCell="H83" sqref="H83"/>
    </sheetView>
  </sheetViews>
  <sheetFormatPr defaultColWidth="0" defaultRowHeight="12.75" customHeight="1" zeroHeight="1" x14ac:dyDescent="0.2"/>
  <cols>
    <col min="1" max="2" width="4.28515625" style="28" customWidth="1"/>
    <col min="3" max="3" width="3.42578125" style="28" customWidth="1"/>
    <col min="4" max="4" width="11.7109375" style="28" customWidth="1"/>
    <col min="5" max="5" width="67.7109375" style="28" customWidth="1"/>
    <col min="6" max="6" width="10.28515625" style="28" customWidth="1"/>
    <col min="7" max="7" width="3.28515625" style="28" customWidth="1"/>
    <col min="8" max="8" width="4.7109375" style="28" customWidth="1"/>
    <col min="9" max="9" width="3.28515625" style="28" customWidth="1"/>
    <col min="10" max="10" width="7.7109375" style="28" bestFit="1" customWidth="1"/>
    <col min="11" max="11" width="3.28515625" style="28" customWidth="1"/>
    <col min="12" max="12" width="8" style="28" customWidth="1"/>
    <col min="13" max="13" width="0.28515625" style="1532" customWidth="1"/>
    <col min="14" max="16" width="2" style="28" hidden="1" customWidth="1"/>
    <col min="17" max="78" width="0.7109375" style="28" hidden="1" customWidth="1"/>
    <col min="79" max="130" width="0.7109375" style="142" hidden="1" customWidth="1"/>
    <col min="131" max="131" width="14.5703125" style="142" hidden="1" customWidth="1"/>
    <col min="132" max="16384" width="0.7109375" style="142" hidden="1"/>
  </cols>
  <sheetData>
    <row r="1" spans="1:132" x14ac:dyDescent="0.2">
      <c r="A1" s="4667" t="str">
        <f>_ref1</f>
      </c>
      <c r="B1" s="4667"/>
      <c r="C1" s="4667"/>
      <c r="D1" s="4667"/>
      <c r="E1" s="4667"/>
      <c r="F1" s="4667"/>
      <c r="G1" s="4667"/>
      <c r="H1" s="4667"/>
      <c r="I1" s="4667"/>
      <c r="J1" s="4667"/>
      <c r="K1" s="631"/>
      <c r="L1" s="120" t="str">
        <f>_YA1</f>
      </c>
      <c r="M1" s="28"/>
    </row>
    <row r="2" spans="1:132" ht="15" x14ac:dyDescent="0.2">
      <c r="A2" s="4636" t="s">
        <v>6290</v>
      </c>
      <c r="B2" s="4636"/>
      <c r="C2" s="4636"/>
      <c r="D2" s="4636"/>
      <c r="E2" s="4636"/>
      <c r="F2" s="899" t="str">
        <f>efile</f>
      </c>
      <c r="G2" s="899"/>
      <c r="H2" s="899"/>
      <c r="I2" s="899"/>
      <c r="J2" s="899"/>
      <c r="K2" s="899"/>
      <c r="L2" s="899"/>
      <c r="M2" s="28"/>
      <c r="AF2" s="28" t="s">
        <v>952</v>
      </c>
      <c r="AL2" s="28" t="s">
        <v>3148</v>
      </c>
    </row>
    <row r="3" spans="1:132" ht="15.75" customHeight="1" thickBot="1" x14ac:dyDescent="0.25">
      <c r="A3" s="252" t="str">
        <f>AL2</f>
        <v xml:space="preserve">   Part 1 - Company Details</v>
      </c>
      <c r="B3" s="253"/>
      <c r="C3" s="253"/>
      <c r="D3" s="253"/>
      <c r="E3" s="254"/>
      <c r="F3" s="5513" t="str">
        <f>ver</f>
        <v>TA2_e-CO_2025_Ver 1.1</v>
      </c>
      <c r="G3" s="5513"/>
      <c r="H3" s="5513"/>
      <c r="I3" s="5513"/>
      <c r="J3" s="5513"/>
      <c r="K3" s="5513"/>
      <c r="L3" s="5514"/>
      <c r="M3" s="1725"/>
    </row>
    <row r="4" spans="1:132" ht="16.5" customHeight="1" thickBot="1" x14ac:dyDescent="0.25">
      <c r="A4" s="900">
        <v>8</v>
      </c>
      <c r="B4" s="5509" t="s">
        <v>2502</v>
      </c>
      <c r="C4" s="5510"/>
      <c r="D4" s="5510"/>
      <c r="E4" s="5510"/>
      <c r="F4" s="5511"/>
      <c r="G4" s="5511"/>
      <c r="H4" s="5511"/>
      <c r="I4" s="5511"/>
      <c r="J4" s="5511"/>
      <c r="K4" s="5511"/>
      <c r="L4" s="5512"/>
    </row>
    <row r="5" spans="1:132" ht="18" customHeight="1" x14ac:dyDescent="0.2">
      <c r="A5" s="901"/>
      <c r="B5" s="8"/>
      <c r="C5" s="8"/>
      <c r="D5" s="8"/>
      <c r="E5" s="4694" t="s">
        <v>5156</v>
      </c>
      <c r="F5" s="4694"/>
      <c r="G5" s="4694"/>
      <c r="H5" s="4694"/>
      <c r="I5" s="4694"/>
      <c r="J5" s="4694"/>
      <c r="K5" s="4694"/>
      <c r="L5" s="5507"/>
      <c r="EA5" s="142" t="s">
        <v>479</v>
      </c>
      <c r="EB5" s="142" t="s">
        <v>2702</v>
      </c>
    </row>
    <row r="6" spans="1:132" x14ac:dyDescent="0.2">
      <c r="A6" s="902"/>
      <c r="B6" s="229"/>
      <c r="C6" s="229" t="s">
        <v>1183</v>
      </c>
      <c r="D6" s="229"/>
      <c r="E6" s="229"/>
      <c r="F6" s="20"/>
      <c r="G6" s="20"/>
      <c r="H6" s="175"/>
      <c r="I6" s="175"/>
      <c r="J6" s="81"/>
      <c r="K6" s="175"/>
      <c r="L6" s="908"/>
      <c r="EA6" s="142" t="s">
        <v>480</v>
      </c>
      <c r="EB6" s="142" t="s">
        <v>2703</v>
      </c>
    </row>
    <row r="7" spans="1:132" x14ac:dyDescent="0.2">
      <c r="A7" s="95"/>
      <c r="B7" s="175">
        <v>1</v>
      </c>
      <c r="C7" s="20" t="s">
        <v>5634</v>
      </c>
      <c r="D7" s="20"/>
      <c r="E7" s="20"/>
      <c r="F7" s="20"/>
      <c r="G7" s="742"/>
      <c r="H7" s="5504" t="str">
        <f t="shared" ref="H7:H18" si="0">IF(G7="",re,"")</f>
        <v/>
      </c>
      <c r="I7" s="5505"/>
      <c r="J7" s="5505"/>
      <c r="K7" s="5505"/>
      <c r="L7" s="5506"/>
      <c r="M7" s="1532">
        <f>IF(H7="",0,1)</f>
      </c>
      <c r="O7" s="28">
        <f>IF(G7="n",0,1)</f>
      </c>
      <c r="S7" s="28" t="s">
        <v>1184</v>
      </c>
      <c r="T7" s="28">
        <f>IF(ISBLANK(G7),0,1)</f>
      </c>
      <c r="U7" s="28">
        <f>T7</f>
      </c>
      <c r="V7" s="28" t="s">
        <v>1185</v>
      </c>
      <c r="EA7" s="142" t="s">
        <v>481</v>
      </c>
      <c r="EB7" s="142" t="s">
        <v>2704</v>
      </c>
    </row>
    <row r="8" spans="1:132" x14ac:dyDescent="0.2">
      <c r="A8" s="95"/>
      <c r="B8" s="175">
        <v>2</v>
      </c>
      <c r="C8" s="20" t="s">
        <v>1951</v>
      </c>
      <c r="D8" s="3"/>
      <c r="E8" s="20"/>
      <c r="F8" s="20"/>
      <c r="G8" s="742" t="s">
        <v>6830</v>
      </c>
      <c r="H8" s="5504" t="str">
        <f t="shared" si="0"/>
        <v/>
      </c>
      <c r="I8" s="5505"/>
      <c r="J8" s="5505"/>
      <c r="K8" s="5505"/>
      <c r="L8" s="5506"/>
      <c r="M8" s="1532">
        <f t="shared" ref="M8:M55" si="1">IF(H8="",0,1)</f>
      </c>
      <c r="O8" s="28">
        <f>IF(G8="n",0,1)</f>
      </c>
      <c r="P8" s="28">
        <f>SUM(O7:O8)</f>
      </c>
      <c r="S8" s="28" t="s">
        <v>6941</v>
      </c>
      <c r="T8" s="28">
        <f>IF(ISBLANK(G8),0,1)</f>
      </c>
      <c r="U8" s="28">
        <f t="shared" ref="U8:U20" si="2">U7+T8</f>
      </c>
      <c r="EA8" s="142" t="s">
        <v>3357</v>
      </c>
      <c r="EB8" s="142" t="s">
        <v>3358</v>
      </c>
    </row>
    <row r="9" spans="1:132" x14ac:dyDescent="0.2">
      <c r="A9" s="95"/>
      <c r="B9" s="175">
        <v>3</v>
      </c>
      <c r="C9" s="20" t="s">
        <v>6962</v>
      </c>
      <c r="D9" s="20"/>
      <c r="E9" s="20"/>
      <c r="F9" s="20"/>
      <c r="G9" s="742" t="s">
        <v>6830</v>
      </c>
      <c r="H9" s="5504" t="str">
        <f t="shared" si="0"/>
        <v/>
      </c>
      <c r="I9" s="5505"/>
      <c r="J9" s="5505"/>
      <c r="K9" s="5505"/>
      <c r="L9" s="5506"/>
      <c r="M9" s="1532">
        <f t="shared" si="1"/>
        <v>0</v>
      </c>
      <c r="O9" s="28">
        <f>IF(G9="n",0,1)</f>
      </c>
      <c r="S9" s="28" t="s">
        <v>6830</v>
      </c>
      <c r="T9" s="28">
        <f>IF(ISBLANK(G9),0,1)</f>
      </c>
      <c r="U9" s="28">
        <f t="shared" si="2"/>
        <v>3</v>
      </c>
      <c r="EA9" s="142" t="s">
        <v>482</v>
      </c>
      <c r="EB9" s="142" t="s">
        <v>2705</v>
      </c>
    </row>
    <row r="10" spans="1:132" x14ac:dyDescent="0.2">
      <c r="A10" s="95"/>
      <c r="B10" s="175">
        <v>4</v>
      </c>
      <c r="C10" s="20" t="s">
        <v>7635</v>
      </c>
      <c r="D10" s="3"/>
      <c r="E10" s="20"/>
      <c r="F10" s="20"/>
      <c r="G10" s="742" t="s">
        <v>6830</v>
      </c>
      <c r="H10" s="5504" t="str">
        <f t="shared" si="0"/>
        <v/>
      </c>
      <c r="I10" s="5505"/>
      <c r="J10" s="5505"/>
      <c r="K10" s="5505"/>
      <c r="L10" s="5506"/>
      <c r="M10" s="1532">
        <f t="shared" si="1"/>
        <v>0</v>
      </c>
      <c r="O10" s="28">
        <f>IF(G10="n",0,1)</f>
      </c>
      <c r="S10" s="28" t="s">
        <v>3097</v>
      </c>
      <c r="T10" s="28">
        <f>IF(ISBLANK(G10),0,IF(W10=3,0,1))</f>
      </c>
      <c r="U10" s="28">
        <f t="shared" si="2"/>
        <v>4</v>
      </c>
      <c r="V10" s="28">
        <f>IF(W10=3,W10,IF($T$96=0,0,W10))</f>
      </c>
      <c r="W10" s="28">
        <f>IF(ISBLANK(G10),2,IF(G10="n",IF(X10&lt;&gt;0,3,0),0))</f>
      </c>
      <c r="X10" s="28">
        <f>IF('p5'!F56=0,IF('p5'!F75=0,0,1),1)</f>
      </c>
      <c r="EA10" s="142" t="s">
        <v>483</v>
      </c>
      <c r="EB10" s="142" t="s">
        <v>5783</v>
      </c>
    </row>
    <row r="11" spans="1:132" x14ac:dyDescent="0.2">
      <c r="A11" s="95"/>
      <c r="B11" s="175">
        <v>5</v>
      </c>
      <c r="C11" s="20" t="s">
        <v>5148</v>
      </c>
      <c r="D11" s="3"/>
      <c r="E11" s="20"/>
      <c r="F11" s="20"/>
      <c r="G11" s="742" t="s">
        <v>6830</v>
      </c>
      <c r="H11" s="5504" t="str">
        <f t="shared" si="0"/>
        <v/>
      </c>
      <c r="I11" s="5505"/>
      <c r="J11" s="5505"/>
      <c r="K11" s="5505"/>
      <c r="L11" s="5506"/>
      <c r="M11" s="1532">
        <f t="shared" si="1"/>
        <v>0</v>
      </c>
      <c r="O11" s="28">
        <f>IF(G11="n",0,IF(G10="y",1,0))</f>
      </c>
      <c r="T11" s="28">
        <f>IF(ISBLANK(G11),0,IF(O11&lt;&gt;0,0,1))</f>
      </c>
      <c r="U11" s="28">
        <f t="shared" si="2"/>
        <v>5</v>
      </c>
      <c r="EA11" s="142" t="s">
        <v>484</v>
      </c>
      <c r="EB11" s="142" t="s">
        <v>5784</v>
      </c>
    </row>
    <row r="12" spans="1:132" x14ac:dyDescent="0.2">
      <c r="A12" s="95"/>
      <c r="B12" s="175">
        <v>6</v>
      </c>
      <c r="C12" s="20" t="s">
        <v>4362</v>
      </c>
      <c r="D12" s="20"/>
      <c r="E12" s="20"/>
      <c r="F12" s="20"/>
      <c r="G12" s="742" t="s">
        <v>6830</v>
      </c>
      <c r="H12" s="5504" t="str">
        <f t="shared" si="0"/>
        <v/>
      </c>
      <c r="I12" s="5505"/>
      <c r="J12" s="5505"/>
      <c r="K12" s="5505"/>
      <c r="L12" s="5506"/>
      <c r="M12" s="1532">
        <f t="shared" si="1"/>
        <v>0</v>
      </c>
      <c r="O12" s="28">
        <f t="shared" ref="O12:O54" si="3">IF(G12="n",0,1)</f>
      </c>
      <c r="T12" s="28">
        <f t="shared" ref="T12:T18" si="4">IF(ISBLANK(G12),0,1)</f>
      </c>
      <c r="U12" s="28">
        <f t="shared" si="2"/>
        <v>6</v>
      </c>
      <c r="EA12" s="142" t="s">
        <v>485</v>
      </c>
      <c r="EB12" s="142" t="s">
        <v>2254</v>
      </c>
    </row>
    <row r="13" spans="1:132" x14ac:dyDescent="0.2">
      <c r="A13" s="96"/>
      <c r="B13" s="175">
        <v>7</v>
      </c>
      <c r="C13" s="20" t="s">
        <v>5549</v>
      </c>
      <c r="D13" s="20"/>
      <c r="E13" s="20"/>
      <c r="F13" s="20"/>
      <c r="G13" s="742" t="s">
        <v>6830</v>
      </c>
      <c r="H13" s="5504" t="str">
        <f t="shared" si="0"/>
        <v/>
      </c>
      <c r="I13" s="5505"/>
      <c r="J13" s="5505"/>
      <c r="K13" s="5505"/>
      <c r="L13" s="5506"/>
      <c r="M13" s="1532">
        <f t="shared" si="1"/>
        <v>0</v>
      </c>
      <c r="O13" s="28">
        <f t="shared" si="3"/>
        <v>0</v>
      </c>
      <c r="T13" s="28">
        <f t="shared" si="4"/>
        <v>1</v>
      </c>
      <c r="U13" s="28">
        <f t="shared" si="2"/>
        <v>7</v>
      </c>
      <c r="EA13" s="142" t="s">
        <v>486</v>
      </c>
      <c r="EB13" s="142" t="s">
        <v>5786</v>
      </c>
    </row>
    <row r="14" spans="1:132" x14ac:dyDescent="0.2">
      <c r="A14" s="96"/>
      <c r="B14" s="175">
        <v>8</v>
      </c>
      <c r="C14" s="20" t="s">
        <v>9882</v>
      </c>
      <c r="D14" s="20"/>
      <c r="E14" s="20"/>
      <c r="F14" s="20"/>
      <c r="G14" s="742" t="s">
        <v>6830</v>
      </c>
      <c r="H14" s="5504" t="str">
        <f t="shared" si="0"/>
        <v/>
      </c>
      <c r="I14" s="5505"/>
      <c r="J14" s="5505"/>
      <c r="K14" s="5505"/>
      <c r="L14" s="5506"/>
      <c r="M14" s="1532">
        <f t="shared" si="1"/>
        <v>0</v>
      </c>
      <c r="O14" s="28">
        <f t="shared" si="3"/>
        <v>0</v>
      </c>
      <c r="P14" s="28">
        <f>IF(G14="n",0,1)</f>
      </c>
      <c r="T14" s="28">
        <f t="shared" si="4"/>
        <v>1</v>
      </c>
      <c r="U14" s="28">
        <f t="shared" si="2"/>
        <v>8</v>
      </c>
      <c r="EA14" s="142" t="s">
        <v>487</v>
      </c>
      <c r="EB14" s="142" t="s">
        <v>6218</v>
      </c>
    </row>
    <row r="15" spans="1:132" x14ac:dyDescent="0.2">
      <c r="A15" s="96"/>
      <c r="B15" s="175">
        <v>9</v>
      </c>
      <c r="C15" s="20" t="s">
        <v>1753</v>
      </c>
      <c r="D15" s="20"/>
      <c r="E15" s="572"/>
      <c r="F15" s="20"/>
      <c r="G15" s="742" t="s">
        <v>6830</v>
      </c>
      <c r="H15" s="5504" t="str">
        <f t="shared" si="0"/>
        <v/>
      </c>
      <c r="I15" s="5505"/>
      <c r="J15" s="5505"/>
      <c r="K15" s="5505"/>
      <c r="L15" s="5506"/>
      <c r="M15" s="1532">
        <f t="shared" si="1"/>
        <v>0</v>
      </c>
      <c r="O15" s="28">
        <f t="shared" si="3"/>
        <v>0</v>
      </c>
      <c r="T15" s="28">
        <f t="shared" si="4"/>
        <v>1</v>
      </c>
      <c r="U15" s="28">
        <f t="shared" si="2"/>
        <v>9</v>
      </c>
      <c r="EA15" s="142" t="s">
        <v>488</v>
      </c>
      <c r="EB15" s="142" t="s">
        <v>5787</v>
      </c>
    </row>
    <row r="16" spans="1:132" x14ac:dyDescent="0.2">
      <c r="A16" s="96"/>
      <c r="B16" s="175">
        <v>10</v>
      </c>
      <c r="C16" s="20" t="s">
        <v>6225</v>
      </c>
      <c r="D16" s="20"/>
      <c r="E16" s="572"/>
      <c r="F16" s="20"/>
      <c r="G16" s="742" t="s">
        <v>1184</v>
      </c>
      <c r="H16" s="5504" t="str">
        <f t="shared" si="0"/>
        <v/>
      </c>
      <c r="I16" s="5505"/>
      <c r="J16" s="5505"/>
      <c r="K16" s="5505"/>
      <c r="L16" s="5506"/>
      <c r="M16" s="1532">
        <f t="shared" si="1"/>
        <v>0</v>
      </c>
      <c r="O16" s="28">
        <f t="shared" si="3"/>
        <v>1</v>
      </c>
      <c r="T16" s="28">
        <f t="shared" si="4"/>
        <v>1</v>
      </c>
      <c r="U16" s="28">
        <f t="shared" si="2"/>
        <v>10</v>
      </c>
      <c r="EA16" s="142" t="s">
        <v>489</v>
      </c>
      <c r="EB16" s="142" t="s">
        <v>5788</v>
      </c>
    </row>
    <row r="17" spans="1:132" x14ac:dyDescent="0.2">
      <c r="A17" s="96"/>
      <c r="B17" s="175">
        <v>11</v>
      </c>
      <c r="C17" s="20" t="s">
        <v>410</v>
      </c>
      <c r="D17" s="20"/>
      <c r="E17" s="572"/>
      <c r="F17" s="20"/>
      <c r="G17" s="742" t="s">
        <v>6830</v>
      </c>
      <c r="H17" s="5504" t="str">
        <f t="shared" si="0"/>
        <v/>
      </c>
      <c r="I17" s="5505"/>
      <c r="J17" s="5505"/>
      <c r="K17" s="5505"/>
      <c r="L17" s="5506"/>
      <c r="M17" s="1532">
        <f t="shared" si="1"/>
        <v>0</v>
      </c>
      <c r="O17" s="28">
        <f t="shared" si="3"/>
        <v>0</v>
      </c>
      <c r="T17" s="28">
        <f t="shared" si="4"/>
        <v>1</v>
      </c>
      <c r="U17" s="28">
        <f t="shared" si="2"/>
        <v>11</v>
      </c>
      <c r="EA17" s="142" t="s">
        <v>490</v>
      </c>
      <c r="EB17" s="142" t="s">
        <v>5789</v>
      </c>
    </row>
    <row r="18" spans="1:132" x14ac:dyDescent="0.2">
      <c r="A18" s="96"/>
      <c r="B18" s="175">
        <v>12</v>
      </c>
      <c r="C18" s="20" t="s">
        <v>411</v>
      </c>
      <c r="D18" s="20"/>
      <c r="E18" s="572"/>
      <c r="F18" s="20"/>
      <c r="G18" s="742" t="s">
        <v>6830</v>
      </c>
      <c r="H18" s="5504" t="str">
        <f t="shared" si="0"/>
        <v/>
      </c>
      <c r="I18" s="5505"/>
      <c r="J18" s="5505"/>
      <c r="K18" s="5505"/>
      <c r="L18" s="5506"/>
      <c r="M18" s="1532">
        <f t="shared" si="1"/>
        <v>0</v>
      </c>
      <c r="O18" s="28">
        <f t="shared" si="3"/>
        <v>0</v>
      </c>
      <c r="T18" s="28">
        <f t="shared" si="4"/>
        <v>1</v>
      </c>
      <c r="U18" s="28">
        <f t="shared" si="2"/>
        <v>12</v>
      </c>
      <c r="EA18" s="142" t="s">
        <v>491</v>
      </c>
      <c r="EB18" s="142" t="s">
        <v>5790</v>
      </c>
    </row>
    <row r="19" spans="1:132" x14ac:dyDescent="0.2">
      <c r="A19" s="96"/>
      <c r="B19" s="175">
        <v>13</v>
      </c>
      <c r="C19" s="4483" t="s">
        <v>5209</v>
      </c>
      <c r="D19" s="4483"/>
      <c r="E19" s="4483"/>
      <c r="F19" s="5515"/>
      <c r="G19" s="742"/>
      <c r="H19" s="5504" t="str">
        <f>IF(AND(G18="n",G18="N"),"",IF(G19="",re,""))</f>
        <v/>
      </c>
      <c r="I19" s="5505"/>
      <c r="J19" s="5505"/>
      <c r="K19" s="5505"/>
      <c r="L19" s="5506"/>
      <c r="M19" s="1532">
        <f t="shared" si="1"/>
        <v>0</v>
      </c>
      <c r="O19" s="28">
        <f t="shared" si="3"/>
        <v>1</v>
      </c>
      <c r="T19" s="28">
        <f>IF(G18="n",1,IF(ISBLANK(G19),0,1))</f>
      </c>
      <c r="U19" s="28">
        <f t="shared" si="2"/>
        <v>13</v>
      </c>
      <c r="EA19" s="142" t="s">
        <v>492</v>
      </c>
      <c r="EB19" s="142" t="s">
        <v>5791</v>
      </c>
    </row>
    <row r="20" spans="1:132" x14ac:dyDescent="0.2">
      <c r="A20" s="96"/>
      <c r="B20" s="175">
        <v>14</v>
      </c>
      <c r="C20" s="20" t="s">
        <v>2119</v>
      </c>
      <c r="D20" s="20"/>
      <c r="E20" s="20"/>
      <c r="F20" s="20"/>
      <c r="G20" s="742"/>
      <c r="H20" s="5504" t="str">
        <f t="shared" ref="H20:H28" si="5">IF(G20="",re,"")</f>
        <v/>
      </c>
      <c r="I20" s="5505"/>
      <c r="J20" s="5505"/>
      <c r="K20" s="5505"/>
      <c r="L20" s="5506"/>
      <c r="M20" s="1532">
        <f t="shared" si="1"/>
        <v>0</v>
      </c>
      <c r="O20" s="28">
        <f t="shared" si="3"/>
        <v>0</v>
      </c>
      <c r="T20" s="28">
        <f t="shared" ref="T20:T28" si="6">IF(ISBLANK(G20),0,1)</f>
      </c>
      <c r="U20" s="28">
        <f t="shared" si="2"/>
        <v>14</v>
      </c>
      <c r="EA20" s="142" t="s">
        <v>493</v>
      </c>
      <c r="EB20" s="142" t="s">
        <v>5792</v>
      </c>
    </row>
    <row r="21" spans="1:132" x14ac:dyDescent="0.2">
      <c r="A21" s="96"/>
      <c r="B21" s="175">
        <v>15</v>
      </c>
      <c r="C21" s="4483" t="s">
        <v>9883</v>
      </c>
      <c r="D21" s="4483"/>
      <c r="E21" s="4483"/>
      <c r="F21" s="4483"/>
      <c r="G21" s="742" t="s">
        <v>6830</v>
      </c>
      <c r="H21" s="5504" t="str">
        <f t="shared" si="5"/>
        <v/>
      </c>
      <c r="I21" s="5505"/>
      <c r="J21" s="5505"/>
      <c r="K21" s="5505"/>
      <c r="L21" s="5506"/>
      <c r="M21" s="1532">
        <f t="shared" si="1"/>
        <v>0</v>
      </c>
      <c r="O21" s="28">
        <f t="shared" si="3"/>
        <v>0</v>
      </c>
      <c r="T21" s="28">
        <f t="shared" si="6"/>
        <v>1</v>
      </c>
      <c r="U21" s="28">
        <f>U20+T21</f>
      </c>
      <c r="EA21" s="142" t="s">
        <v>494</v>
      </c>
      <c r="EB21" s="142" t="s">
        <v>5793</v>
      </c>
    </row>
    <row r="22" spans="1:132" ht="23.25" customHeight="1" x14ac:dyDescent="0.2">
      <c r="A22" s="97"/>
      <c r="B22" s="175">
        <v>16</v>
      </c>
      <c r="C22" s="4361" t="s">
        <v>9884</v>
      </c>
      <c r="D22" s="4361"/>
      <c r="E22" s="4361"/>
      <c r="F22" s="5516"/>
      <c r="G22" s="742" t="s">
        <v>6830</v>
      </c>
      <c r="H22" s="5504" t="str">
        <f t="shared" si="5"/>
        <v/>
      </c>
      <c r="I22" s="5505"/>
      <c r="J22" s="5505"/>
      <c r="K22" s="5505"/>
      <c r="L22" s="5506"/>
      <c r="M22" s="1532">
        <f t="shared" si="1"/>
        <v>0</v>
      </c>
      <c r="O22" s="28">
        <f t="shared" si="3"/>
        <v>0</v>
      </c>
      <c r="Q22" s="28">
        <f>IF(E59&lt;&gt;"",1,0)</f>
      </c>
      <c r="S22" s="145">
        <f>SUM(T7:T59,Q60)</f>
      </c>
      <c r="T22" s="28">
        <f t="shared" si="6"/>
        <v>1</v>
      </c>
      <c r="U22" s="28">
        <f>U21+T22</f>
      </c>
      <c r="EA22" s="142" t="s">
        <v>495</v>
      </c>
      <c r="EB22" s="142" t="s">
        <v>5801</v>
      </c>
    </row>
    <row r="23" spans="1:132" x14ac:dyDescent="0.2">
      <c r="A23" s="97"/>
      <c r="B23" s="175">
        <v>17</v>
      </c>
      <c r="C23" s="185" t="s">
        <v>6167</v>
      </c>
      <c r="D23" s="185"/>
      <c r="E23" s="185"/>
      <c r="F23" s="185"/>
      <c r="G23" s="742" t="s">
        <v>6830</v>
      </c>
      <c r="H23" s="5504" t="str">
        <f t="shared" si="5"/>
        <v/>
      </c>
      <c r="I23" s="5505"/>
      <c r="J23" s="5505"/>
      <c r="K23" s="5505"/>
      <c r="L23" s="5506"/>
      <c r="M23" s="1532">
        <f t="shared" si="1"/>
        <v>0</v>
      </c>
      <c r="O23" s="28">
        <f t="shared" si="3"/>
        <v>0</v>
      </c>
      <c r="T23" s="28">
        <f t="shared" si="6"/>
        <v>1</v>
      </c>
      <c r="U23" s="28">
        <f>U22+T23</f>
      </c>
      <c r="EA23" s="142" t="s">
        <v>3348</v>
      </c>
      <c r="EB23" s="142" t="s">
        <v>3349</v>
      </c>
    </row>
    <row r="24" spans="1:132" x14ac:dyDescent="0.2">
      <c r="A24" s="97"/>
      <c r="B24" s="175">
        <v>18</v>
      </c>
      <c r="C24" s="185" t="s">
        <v>4764</v>
      </c>
      <c r="D24" s="185"/>
      <c r="E24" s="185"/>
      <c r="F24" s="185"/>
      <c r="G24" s="742" t="s">
        <v>6830</v>
      </c>
      <c r="H24" s="5504" t="str">
        <f t="shared" si="5"/>
        <v/>
      </c>
      <c r="I24" s="5505"/>
      <c r="J24" s="5505"/>
      <c r="K24" s="5505"/>
      <c r="L24" s="5506"/>
      <c r="M24" s="1532">
        <f t="shared" si="1"/>
        <v>0</v>
      </c>
      <c r="O24" s="28">
        <f t="shared" si="3"/>
        <v>0</v>
      </c>
      <c r="T24" s="145">
        <f t="shared" si="6"/>
        <v>1</v>
      </c>
      <c r="U24" s="145">
        <f>U23+T24</f>
      </c>
      <c r="Z24" s="28" t="s">
        <v>6730</v>
      </c>
      <c r="AZ24" s="28">
        <f>'TRA40'!H36</f>
      </c>
      <c r="BA24" s="28" t="s">
        <v>6374</v>
      </c>
      <c r="EA24" s="142" t="s">
        <v>496</v>
      </c>
      <c r="EB24" s="142" t="s">
        <v>5794</v>
      </c>
    </row>
    <row r="25" spans="1:132" x14ac:dyDescent="0.2">
      <c r="A25" s="97"/>
      <c r="B25" s="175">
        <v>19</v>
      </c>
      <c r="C25" s="185" t="s">
        <v>4531</v>
      </c>
      <c r="D25" s="185"/>
      <c r="E25" s="185"/>
      <c r="F25" s="185"/>
      <c r="G25" s="742" t="s">
        <v>6830</v>
      </c>
      <c r="H25" s="5504" t="str">
        <f t="shared" si="5"/>
        <v/>
      </c>
      <c r="I25" s="5505"/>
      <c r="J25" s="5505"/>
      <c r="K25" s="5505"/>
      <c r="L25" s="5506"/>
      <c r="M25" s="1532">
        <f t="shared" si="1"/>
        <v>0</v>
      </c>
      <c r="O25" s="28">
        <f t="shared" si="3"/>
        <v>0</v>
      </c>
      <c r="T25" s="145">
        <f>IF(ISBLANK(G25),0,1)</f>
      </c>
      <c r="U25" s="145"/>
      <c r="EA25" s="142" t="s">
        <v>497</v>
      </c>
      <c r="EB25" s="142" t="s">
        <v>5795</v>
      </c>
    </row>
    <row r="26" spans="1:132" x14ac:dyDescent="0.2">
      <c r="A26" s="97"/>
      <c r="B26" s="175">
        <v>20</v>
      </c>
      <c r="C26" s="185" t="s">
        <v>477</v>
      </c>
      <c r="D26" s="185"/>
      <c r="E26" s="185"/>
      <c r="F26" s="185"/>
      <c r="G26" s="742" t="s">
        <v>6830</v>
      </c>
      <c r="H26" s="5504" t="str">
        <f t="shared" si="5"/>
        <v/>
      </c>
      <c r="I26" s="5505"/>
      <c r="J26" s="5505"/>
      <c r="K26" s="5505"/>
      <c r="L26" s="5506"/>
      <c r="M26" s="1532">
        <f t="shared" si="1"/>
        <v>0</v>
      </c>
      <c r="O26" s="28">
        <f t="shared" si="3"/>
        <v>0</v>
      </c>
      <c r="T26" s="145">
        <f t="shared" si="6"/>
        <v>1</v>
      </c>
      <c r="U26" s="145"/>
      <c r="EA26" s="142" t="s">
        <v>498</v>
      </c>
      <c r="EB26" s="142" t="s">
        <v>5796</v>
      </c>
    </row>
    <row r="27" spans="1:132" x14ac:dyDescent="0.2">
      <c r="A27" s="97"/>
      <c r="B27" s="175">
        <v>21</v>
      </c>
      <c r="C27" s="185" t="s">
        <v>478</v>
      </c>
      <c r="D27" s="185"/>
      <c r="E27" s="185"/>
      <c r="F27" s="185"/>
      <c r="G27" s="742" t="s">
        <v>6830</v>
      </c>
      <c r="H27" s="5504" t="str">
        <f t="shared" si="5"/>
        <v/>
      </c>
      <c r="I27" s="5505"/>
      <c r="J27" s="5505"/>
      <c r="K27" s="5505"/>
      <c r="L27" s="5506"/>
      <c r="M27" s="1532">
        <f t="shared" si="1"/>
        <v>0</v>
      </c>
      <c r="O27" s="28">
        <f t="shared" si="3"/>
        <v>0</v>
      </c>
      <c r="T27" s="145">
        <f t="shared" si="6"/>
        <v>1</v>
      </c>
      <c r="U27" s="145"/>
      <c r="EA27" s="142" t="s">
        <v>499</v>
      </c>
      <c r="EB27" s="142" t="s">
        <v>5797</v>
      </c>
    </row>
    <row r="28" spans="1:132" x14ac:dyDescent="0.2">
      <c r="A28" s="97"/>
      <c r="B28" s="175">
        <v>22</v>
      </c>
      <c r="C28" s="185" t="s">
        <v>3347</v>
      </c>
      <c r="D28" s="185"/>
      <c r="E28" s="185"/>
      <c r="F28" s="185"/>
      <c r="G28" s="742" t="s">
        <v>6830</v>
      </c>
      <c r="H28" s="5504" t="str">
        <f t="shared" si="5"/>
        <v/>
      </c>
      <c r="I28" s="5505"/>
      <c r="J28" s="5505"/>
      <c r="K28" s="5505"/>
      <c r="L28" s="5506"/>
      <c r="M28" s="1532">
        <f t="shared" si="1"/>
        <v>0</v>
      </c>
      <c r="O28" s="28">
        <f t="shared" si="3"/>
        <v>0</v>
      </c>
      <c r="T28" s="145">
        <f t="shared" si="6"/>
        <v>1</v>
      </c>
      <c r="U28" s="145"/>
      <c r="EA28" s="142" t="s">
        <v>500</v>
      </c>
      <c r="EB28" s="142" t="s">
        <v>5798</v>
      </c>
    </row>
    <row r="29" spans="1:132" x14ac:dyDescent="0.2">
      <c r="A29" s="97"/>
      <c r="B29" s="175">
        <v>23</v>
      </c>
      <c r="C29" s="185" t="s">
        <v>6305</v>
      </c>
      <c r="D29" s="185"/>
      <c r="E29" s="185"/>
      <c r="F29" s="185"/>
      <c r="G29" s="742"/>
      <c r="H29" s="5504" t="str">
        <f>IF(G29="",re,"")</f>
        <v/>
      </c>
      <c r="I29" s="5505"/>
      <c r="J29" s="5505"/>
      <c r="K29" s="5505"/>
      <c r="L29" s="5506"/>
      <c r="M29" s="1532">
        <f t="shared" si="1"/>
        <v>0</v>
      </c>
      <c r="O29" s="28">
        <f t="shared" si="3"/>
        <v>0</v>
      </c>
      <c r="T29" s="28">
        <f>IF(G28="y",1,IF(ISBLANK(G29),0,1))</f>
      </c>
      <c r="U29" s="145"/>
      <c r="EA29" s="142" t="s">
        <v>501</v>
      </c>
      <c r="EB29" s="142" t="s">
        <v>5799</v>
      </c>
    </row>
    <row r="30" spans="1:132" x14ac:dyDescent="0.2">
      <c r="A30" s="185"/>
      <c r="B30" s="175">
        <v>24</v>
      </c>
      <c r="C30" s="185" t="s">
        <v>7982</v>
      </c>
      <c r="D30" s="185"/>
      <c r="E30" s="185"/>
      <c r="F30" s="185"/>
      <c r="G30" s="742"/>
      <c r="H30" s="5504" t="str">
        <f>IF(G30="",re,IF(AND(OR(G30="n",G30="N"),N30&gt;0),"Passive income in TIFD!",""))</f>
        <v/>
      </c>
      <c r="I30" s="5505"/>
      <c r="J30" s="5505"/>
      <c r="K30" s="5505"/>
      <c r="L30" s="5506"/>
      <c r="M30" s="1532">
        <f t="shared" ref="M30:M40" si="7">IF(H30=re,1,0)</f>
      </c>
      <c r="N30" s="28">
        <f>Income!BE36</f>
      </c>
      <c r="O30" s="28">
        <f t="shared" si="3"/>
        <v>0</v>
      </c>
      <c r="P30" s="28">
        <f>IF(G30="",0,IF(OR(G30="n",G30="N"),0,1))</f>
      </c>
      <c r="T30" s="145">
        <f>IF(OR(G28="y",G29="n"),1,IF(ISBLANK(G58),0,1))</f>
      </c>
      <c r="U30" s="145"/>
      <c r="EA30" s="142" t="s">
        <v>502</v>
      </c>
      <c r="EB30" s="142" t="s">
        <v>5785</v>
      </c>
    </row>
    <row r="31" spans="1:132" x14ac:dyDescent="0.2">
      <c r="A31" s="185"/>
      <c r="B31" s="175">
        <v>25</v>
      </c>
      <c r="C31" s="185" t="s">
        <v>8212</v>
      </c>
      <c r="D31" s="185"/>
      <c r="E31" s="185"/>
      <c r="F31" s="185"/>
      <c r="G31" s="742"/>
      <c r="H31" s="5504" t="str">
        <f>IF(G31="",re,"")</f>
        <v/>
      </c>
      <c r="I31" s="5505"/>
      <c r="J31" s="5505"/>
      <c r="K31" s="5505"/>
      <c r="L31" s="5506"/>
      <c r="M31" s="1532">
        <f t="shared" si="7"/>
        <v>0</v>
      </c>
      <c r="O31" s="28">
        <f t="shared" si="3"/>
        <v>0</v>
      </c>
      <c r="T31" s="145">
        <f t="shared" ref="T31:T40" si="8">IF(ISBLANK(G31),0,1)</f>
      </c>
      <c r="U31" s="145"/>
      <c r="EA31" s="142" t="s">
        <v>503</v>
      </c>
      <c r="EB31" s="142" t="s">
        <v>5800</v>
      </c>
    </row>
    <row r="32" spans="1:132" x14ac:dyDescent="0.2">
      <c r="A32" s="185"/>
      <c r="B32" s="175">
        <v>26</v>
      </c>
      <c r="C32" s="185" t="s">
        <v>10530</v>
      </c>
      <c r="D32" s="185"/>
      <c r="E32" s="185"/>
      <c r="F32" s="185"/>
      <c r="G32" s="742"/>
      <c r="H32" s="5504" t="str">
        <f>IF(G32="",re,"")</f>
        <v/>
      </c>
      <c r="I32" s="5505"/>
      <c r="J32" s="5505"/>
      <c r="K32" s="5505"/>
      <c r="L32" s="5506"/>
      <c r="M32" s="1532">
        <f t="shared" si="7"/>
        <v>0</v>
      </c>
      <c r="O32" s="28">
        <f t="shared" si="3"/>
        <v>0</v>
      </c>
      <c r="T32" s="145">
        <f t="shared" si="8"/>
        <v>1</v>
      </c>
      <c r="U32" s="145"/>
      <c r="EA32" s="142" t="s">
        <v>3356</v>
      </c>
      <c r="EB32" s="142" t="s">
        <v>3356</v>
      </c>
    </row>
    <row r="33" spans="1:132" x14ac:dyDescent="0.2">
      <c r="A33" s="185"/>
      <c r="B33" s="175">
        <v>27</v>
      </c>
      <c r="C33" s="20" t="s">
        <v>8866</v>
      </c>
      <c r="D33" s="20"/>
      <c r="E33" s="20"/>
      <c r="F33" s="3091" t="s">
        <v>9106</v>
      </c>
      <c r="G33" s="742"/>
      <c r="H33" s="5504" t="str">
        <f>IF(G33="",re,"")</f>
        <v/>
      </c>
      <c r="I33" s="5505"/>
      <c r="J33" s="5505"/>
      <c r="K33" s="5505"/>
      <c r="L33" s="5506"/>
      <c r="M33" s="1532">
        <f t="shared" si="7"/>
        <v>0</v>
      </c>
      <c r="O33" s="28">
        <f t="shared" si="3"/>
        <v>0</v>
      </c>
      <c r="T33" s="145">
        <f t="shared" si="8"/>
        <v>1</v>
      </c>
      <c r="U33" s="145"/>
      <c r="EA33" s="142" t="s">
        <v>3355</v>
      </c>
      <c r="EB33" s="1634" t="s">
        <v>1314</v>
      </c>
    </row>
    <row r="34" spans="1:132" x14ac:dyDescent="0.2">
      <c r="A34" s="185"/>
      <c r="B34" s="175">
        <v>28</v>
      </c>
      <c r="C34" s="185" t="s">
        <v>10156</v>
      </c>
      <c r="D34" s="185"/>
      <c r="E34" s="185"/>
      <c r="F34" s="185"/>
      <c r="G34" s="742"/>
      <c r="H34" s="5504" t="str">
        <f>IF(G34="",re,"")</f>
        <v/>
      </c>
      <c r="I34" s="5505"/>
      <c r="J34" s="5505"/>
      <c r="K34" s="5505"/>
      <c r="L34" s="5506"/>
      <c r="M34" s="1532">
        <f t="shared" si="7"/>
        <v>0</v>
      </c>
      <c r="O34" s="28">
        <f t="shared" ref="O34:O40" si="9">IF(G34="n",0,1)</f>
      </c>
      <c r="T34" s="145">
        <f t="shared" si="8"/>
        <v>1</v>
      </c>
      <c r="U34" s="145"/>
      <c r="EB34" s="1634"/>
    </row>
    <row r="35" spans="1:132" x14ac:dyDescent="0.2">
      <c r="A35" s="185"/>
      <c r="B35" s="175">
        <v>29</v>
      </c>
      <c r="C35" s="185" t="s">
        <v>9205</v>
      </c>
      <c r="D35" s="185"/>
      <c r="E35" s="185"/>
      <c r="F35" s="185"/>
      <c r="G35" s="742"/>
      <c r="H35" s="5504" t="str">
        <f>IF(G35="",re,"")</f>
        <v/>
      </c>
      <c r="I35" s="5505"/>
      <c r="J35" s="5505"/>
      <c r="K35" s="5505"/>
      <c r="L35" s="5506"/>
      <c r="M35" s="1532">
        <f t="shared" si="7"/>
        <v>0</v>
      </c>
      <c r="N35" s="1736"/>
      <c r="O35" s="28">
        <f t="shared" si="9"/>
        <v>0</v>
      </c>
      <c r="T35" s="145">
        <f t="shared" si="8"/>
        <v>1</v>
      </c>
      <c r="U35" s="145"/>
    </row>
    <row r="36" spans="1:132" x14ac:dyDescent="0.2">
      <c r="A36" s="185"/>
      <c r="B36" s="175">
        <v>30</v>
      </c>
      <c r="C36" s="185" t="s">
        <v>10153</v>
      </c>
      <c r="D36" s="185"/>
      <c r="E36" s="185"/>
      <c r="F36" s="185"/>
      <c r="G36" s="742"/>
      <c r="H36" s="5504" t="str">
        <f>IF(G36="",re,IF(AND(Consolidation!D1&gt;1,'p2'!G36="n"),"Fiscal unit!",""))</f>
        <v/>
      </c>
      <c r="I36" s="5505"/>
      <c r="J36" s="5505"/>
      <c r="K36" s="5505"/>
      <c r="L36" s="5506"/>
      <c r="M36" s="1532">
        <f t="shared" si="7"/>
        <v>0</v>
      </c>
      <c r="O36" s="28">
        <f t="shared" si="9"/>
        <v>0</v>
      </c>
      <c r="T36" s="145">
        <f t="shared" si="8"/>
        <v>1</v>
      </c>
      <c r="U36" s="145"/>
    </row>
    <row r="37" spans="1:132" x14ac:dyDescent="0.2">
      <c r="A37" s="185"/>
      <c r="B37" s="175">
        <v>31</v>
      </c>
      <c r="C37" s="185" t="s">
        <v>10154</v>
      </c>
      <c r="D37" s="185"/>
      <c r="E37" s="185"/>
      <c r="F37" s="185"/>
      <c r="G37" s="742"/>
      <c r="H37" s="5504" t="str">
        <f>IF(AND(G36="y",G37=""),re,IF(AND(G36="n",G37&lt;&gt;""),"Delete!",""))</f>
        <v/>
      </c>
      <c r="I37" s="5505"/>
      <c r="J37" s="5505"/>
      <c r="K37" s="5505"/>
      <c r="L37" s="5506"/>
      <c r="M37" s="1532">
        <f t="shared" si="7"/>
        <v>0</v>
      </c>
      <c r="O37" s="28">
        <f t="shared" si="9"/>
        <v>1</v>
      </c>
      <c r="T37" s="145">
        <f t="shared" si="8"/>
        <v>0</v>
      </c>
      <c r="U37" s="145"/>
    </row>
    <row r="38" spans="1:132" x14ac:dyDescent="0.2">
      <c r="A38" s="185"/>
      <c r="B38" s="175">
        <v>32</v>
      </c>
      <c r="C38" s="185" t="s">
        <v>10155</v>
      </c>
      <c r="D38" s="185"/>
      <c r="E38" s="185"/>
      <c r="F38" s="185"/>
      <c r="G38" s="742"/>
      <c r="H38" s="5504" t="str">
        <f t="shared" ref="H38:H43" si="10">IF(G38="",re,"")</f>
        <v/>
      </c>
      <c r="I38" s="5505"/>
      <c r="J38" s="5505"/>
      <c r="K38" s="5505"/>
      <c r="L38" s="5506"/>
      <c r="M38" s="1532">
        <f t="shared" si="7"/>
        <v>0</v>
      </c>
      <c r="N38" s="1736"/>
      <c r="O38" s="28">
        <f t="shared" si="9"/>
        <v>0</v>
      </c>
      <c r="T38" s="145">
        <f t="shared" si="8"/>
        <v>1</v>
      </c>
      <c r="U38" s="145"/>
    </row>
    <row r="39" spans="1:132" x14ac:dyDescent="0.2">
      <c r="A39" s="185"/>
      <c r="B39" s="175">
        <v>33</v>
      </c>
      <c r="C39" s="185" t="s">
        <v>10189</v>
      </c>
      <c r="D39" s="185"/>
      <c r="E39" s="185"/>
      <c r="F39" s="185"/>
      <c r="G39" s="742" t="s">
        <v>6830</v>
      </c>
      <c r="H39" s="5504" t="str">
        <f t="shared" si="10"/>
        <v/>
      </c>
      <c r="I39" s="5505"/>
      <c r="J39" s="5505"/>
      <c r="K39" s="5505"/>
      <c r="L39" s="5506"/>
      <c r="M39" s="1532">
        <f t="shared" si="7"/>
        <v>0</v>
      </c>
      <c r="O39" s="28">
        <f t="shared" si="9"/>
        <v>0</v>
      </c>
      <c r="T39" s="145">
        <f t="shared" si="8"/>
        <v>1</v>
      </c>
      <c r="U39" s="145"/>
    </row>
    <row r="40" spans="1:132" x14ac:dyDescent="0.2">
      <c r="A40" s="185"/>
      <c r="B40" s="175">
        <v>34</v>
      </c>
      <c r="C40" s="185" t="s">
        <v>10103</v>
      </c>
      <c r="D40" s="185"/>
      <c r="E40" s="185"/>
      <c r="F40" s="185"/>
      <c r="G40" s="742" t="s">
        <v>6830</v>
      </c>
      <c r="H40" s="5504" t="str">
        <f t="shared" si="10"/>
        <v/>
      </c>
      <c r="I40" s="5505"/>
      <c r="J40" s="5505"/>
      <c r="K40" s="5505"/>
      <c r="L40" s="5506"/>
      <c r="M40" s="1532">
        <f t="shared" si="7"/>
        <v>0</v>
      </c>
      <c r="O40" s="28">
        <f t="shared" si="9"/>
        <v>0</v>
      </c>
      <c r="T40" s="145">
        <f t="shared" si="8"/>
        <v>1</v>
      </c>
      <c r="U40" s="145"/>
    </row>
    <row r="41" spans="1:132" x14ac:dyDescent="0.2">
      <c r="A41" s="185"/>
      <c r="B41" s="175">
        <v>35</v>
      </c>
      <c r="C41" s="185" t="s">
        <v>10369</v>
      </c>
      <c r="D41" s="185"/>
      <c r="E41" s="185"/>
      <c r="F41" s="185"/>
      <c r="G41" s="742" t="s">
        <v>6830</v>
      </c>
      <c r="H41" s="5504" t="str">
        <f t="shared" si="10"/>
        <v/>
      </c>
      <c r="I41" s="5505"/>
      <c r="J41" s="5505"/>
      <c r="K41" s="5505"/>
      <c r="L41" s="5506"/>
      <c r="O41" s="28">
        <f>IF(G41="n",0,1)</f>
      </c>
      <c r="T41" s="145"/>
      <c r="U41" s="145"/>
    </row>
    <row r="42" spans="1:132" x14ac:dyDescent="0.2">
      <c r="A42" s="185"/>
      <c r="B42" s="175">
        <v>36</v>
      </c>
      <c r="C42" s="4361" t="s">
        <v>10773</v>
      </c>
      <c r="D42" s="4361"/>
      <c r="E42" s="4361"/>
      <c r="F42" s="5516"/>
      <c r="G42" s="742" t="s">
        <v>6830</v>
      </c>
      <c r="H42" s="5504" t="str">
        <f t="shared" si="10"/>
        <v/>
      </c>
      <c r="I42" s="5505"/>
      <c r="J42" s="5505"/>
      <c r="K42" s="5505"/>
      <c r="L42" s="5506"/>
      <c r="O42" s="28">
        <f>IF(G42="n",0,1)</f>
      </c>
      <c r="T42" s="145"/>
      <c r="U42" s="145"/>
    </row>
    <row r="43" spans="1:132" hidden="1" x14ac:dyDescent="0.2">
      <c r="A43" s="185"/>
      <c r="B43" s="175">
        <v>37</v>
      </c>
      <c r="C43" s="185" t="s">
        <v>10747</v>
      </c>
      <c r="D43" s="185"/>
      <c r="E43" s="185"/>
      <c r="F43" s="185"/>
      <c r="G43" s="742"/>
      <c r="H43" s="5504" t="str">
        <f t="shared" si="10"/>
        <v>Required!</v>
      </c>
      <c r="I43" s="5505"/>
      <c r="J43" s="5505"/>
      <c r="K43" s="5505"/>
      <c r="L43" s="5506"/>
      <c r="O43" s="28">
        <f>IF(G43="n",0,1)</f>
      </c>
      <c r="T43" s="145"/>
      <c r="U43" s="145"/>
    </row>
    <row r="44" spans="1:132" hidden="1" x14ac:dyDescent="0.2">
      <c r="A44" s="185"/>
      <c r="B44" s="175"/>
      <c r="C44" s="185"/>
      <c r="D44" s="185"/>
      <c r="E44" s="185"/>
      <c r="F44" s="185"/>
      <c r="G44" s="742"/>
      <c r="H44" s="2542"/>
      <c r="I44" s="570"/>
      <c r="J44" s="570"/>
      <c r="K44" s="570"/>
      <c r="L44" s="1166"/>
      <c r="T44" s="145"/>
      <c r="U44" s="145"/>
    </row>
    <row r="45" spans="1:132" hidden="1" x14ac:dyDescent="0.2">
      <c r="A45" s="185"/>
      <c r="B45" s="175"/>
      <c r="C45" s="185"/>
      <c r="D45" s="185"/>
      <c r="E45" s="185"/>
      <c r="F45" s="185"/>
      <c r="G45" s="742"/>
      <c r="H45" s="2542"/>
      <c r="I45" s="570"/>
      <c r="J45" s="570"/>
      <c r="K45" s="570"/>
      <c r="L45" s="1166"/>
      <c r="T45" s="145"/>
      <c r="U45" s="145"/>
    </row>
    <row r="46" spans="1:132" hidden="1" x14ac:dyDescent="0.2">
      <c r="A46" s="185"/>
      <c r="B46" s="175"/>
      <c r="C46" s="185"/>
      <c r="D46" s="185"/>
      <c r="E46" s="185"/>
      <c r="F46" s="185"/>
      <c r="G46" s="742"/>
      <c r="H46" s="2542"/>
      <c r="I46" s="570"/>
      <c r="J46" s="570"/>
      <c r="K46" s="570"/>
      <c r="L46" s="1166"/>
      <c r="T46" s="145"/>
      <c r="U46" s="145"/>
    </row>
    <row r="47" spans="1:132" hidden="1" x14ac:dyDescent="0.2">
      <c r="A47" s="185"/>
      <c r="B47" s="175"/>
      <c r="C47" s="185"/>
      <c r="D47" s="185"/>
      <c r="E47" s="185"/>
      <c r="F47" s="185"/>
      <c r="G47" s="742"/>
      <c r="H47" s="2542"/>
      <c r="I47" s="570"/>
      <c r="J47" s="570"/>
      <c r="K47" s="570"/>
      <c r="L47" s="1166"/>
      <c r="T47" s="145"/>
      <c r="U47" s="145"/>
    </row>
    <row r="48" spans="1:132" hidden="1" x14ac:dyDescent="0.2">
      <c r="A48" s="185"/>
      <c r="B48" s="175"/>
      <c r="C48" s="185"/>
      <c r="D48" s="185"/>
      <c r="E48" s="185"/>
      <c r="F48" s="185"/>
      <c r="G48" s="742"/>
      <c r="H48" s="2542"/>
      <c r="I48" s="570"/>
      <c r="J48" s="570"/>
      <c r="K48" s="570"/>
      <c r="L48" s="1166"/>
      <c r="T48" s="145"/>
      <c r="U48" s="145"/>
    </row>
    <row r="49" spans="1:39" hidden="1" x14ac:dyDescent="0.2">
      <c r="A49" s="185"/>
      <c r="B49" s="175"/>
      <c r="C49" s="185"/>
      <c r="D49" s="185"/>
      <c r="E49" s="185"/>
      <c r="F49" s="185"/>
      <c r="G49" s="742"/>
      <c r="H49" s="2542"/>
      <c r="I49" s="570"/>
      <c r="J49" s="570"/>
      <c r="K49" s="570"/>
      <c r="L49" s="1166"/>
      <c r="T49" s="145"/>
      <c r="U49" s="145"/>
    </row>
    <row r="50" spans="1:39" hidden="1" x14ac:dyDescent="0.2">
      <c r="A50" s="185"/>
      <c r="B50" s="175"/>
      <c r="C50" s="185"/>
      <c r="D50" s="185"/>
      <c r="E50" s="185"/>
      <c r="F50" s="185"/>
      <c r="G50" s="742"/>
      <c r="H50" s="2542"/>
      <c r="I50" s="570"/>
      <c r="J50" s="570"/>
      <c r="K50" s="570"/>
      <c r="L50" s="1166"/>
      <c r="T50" s="145"/>
      <c r="U50" s="145"/>
    </row>
    <row r="51" spans="1:39" hidden="1" x14ac:dyDescent="0.2">
      <c r="A51" s="185"/>
      <c r="B51" s="175"/>
      <c r="C51" s="185"/>
      <c r="D51" s="185"/>
      <c r="E51" s="185"/>
      <c r="F51" s="185"/>
      <c r="G51" s="742"/>
      <c r="H51" s="2542"/>
      <c r="I51" s="570"/>
      <c r="J51" s="570"/>
      <c r="K51" s="570"/>
      <c r="L51" s="1166"/>
      <c r="T51" s="145"/>
      <c r="U51" s="145"/>
    </row>
    <row r="52" spans="1:39" hidden="1" x14ac:dyDescent="0.2">
      <c r="A52" s="185"/>
      <c r="B52" s="175"/>
      <c r="C52" s="185"/>
      <c r="D52" s="185"/>
      <c r="E52" s="185"/>
      <c r="F52" s="185"/>
      <c r="G52" s="742"/>
      <c r="H52" s="2542"/>
      <c r="I52" s="570"/>
      <c r="J52" s="570"/>
      <c r="K52" s="570"/>
      <c r="L52" s="1166"/>
      <c r="T52" s="145"/>
      <c r="U52" s="145"/>
    </row>
    <row r="53" spans="1:39" hidden="1" x14ac:dyDescent="0.2">
      <c r="A53" s="185"/>
      <c r="B53" s="175"/>
      <c r="C53" s="185"/>
      <c r="D53" s="185"/>
      <c r="E53" s="185"/>
      <c r="F53" s="185"/>
      <c r="G53" s="742"/>
      <c r="H53" s="2542"/>
      <c r="I53" s="570"/>
      <c r="J53" s="570"/>
      <c r="K53" s="570"/>
      <c r="L53" s="1166"/>
      <c r="T53" s="145"/>
      <c r="U53" s="145"/>
    </row>
    <row r="54" spans="1:39" x14ac:dyDescent="0.2">
      <c r="A54" s="97"/>
      <c r="B54" s="175">
        <v>37</v>
      </c>
      <c r="C54" s="185" t="s">
        <v>5465</v>
      </c>
      <c r="D54" s="185"/>
      <c r="E54" s="185"/>
      <c r="F54" s="185"/>
      <c r="G54" s="742"/>
      <c r="H54" s="5504" t="str">
        <f>IF(G54="",re,"")</f>
        <v/>
      </c>
      <c r="I54" s="5505"/>
      <c r="J54" s="5505"/>
      <c r="K54" s="5505"/>
      <c r="L54" s="5506"/>
      <c r="M54" s="1532">
        <f t="shared" si="1"/>
        <v>0</v>
      </c>
      <c r="O54" s="28">
        <f t="shared" si="3"/>
        <v>0</v>
      </c>
      <c r="T54" s="145">
        <f>IF(ISBLANK(G55),0,1)</f>
      </c>
      <c r="U54" s="145"/>
    </row>
    <row r="55" spans="1:39" x14ac:dyDescent="0.2">
      <c r="A55" s="97"/>
      <c r="B55" s="175">
        <v>38</v>
      </c>
      <c r="C55" s="185" t="s">
        <v>10774</v>
      </c>
      <c r="D55" s="185"/>
      <c r="E55" s="185"/>
      <c r="F55" s="152"/>
      <c r="G55" s="3768"/>
      <c r="H55" s="5505" t="str">
        <f>IF(G54="n","",IF(F55="",re,""))</f>
        <v/>
      </c>
      <c r="I55" s="5505"/>
      <c r="J55" s="5505"/>
      <c r="K55" s="5505"/>
      <c r="L55" s="5506"/>
      <c r="M55" s="1532">
        <f t="shared" si="1"/>
        <v>0</v>
      </c>
      <c r="O55" s="28">
        <f>IF(F55="",0,1)</f>
      </c>
      <c r="P55" s="1514">
        <f>SUM(O54:O55)</f>
      </c>
      <c r="Q55" s="28">
        <f>F55</f>
      </c>
      <c r="R55" s="28">
        <f>IF(LEFT(Q55,1)=" ",1,IF(RIGHT(Q55,1)=" ",1,0))</f>
      </c>
      <c r="S55" s="28">
        <f>LEN(F55)</f>
      </c>
      <c r="T55" s="145">
        <f>IF(ISBLANK(G56),0,1)</f>
      </c>
      <c r="U55" s="145"/>
    </row>
    <row r="56" spans="1:39" x14ac:dyDescent="0.2">
      <c r="A56" s="97"/>
      <c r="B56" s="570"/>
      <c r="C56" s="570"/>
      <c r="D56" s="570"/>
      <c r="E56" s="570"/>
      <c r="F56" s="570"/>
      <c r="G56" s="570"/>
      <c r="H56" s="570"/>
      <c r="I56" s="570"/>
      <c r="J56" s="570"/>
      <c r="K56" s="570"/>
      <c r="L56" s="1166"/>
      <c r="R56" s="28">
        <f>IF(AND(R55=0,S55&gt;4),1,0)</f>
      </c>
      <c r="T56" s="145">
        <f>IF(ISBLANK(G57),0,1)</f>
      </c>
      <c r="U56" s="145"/>
    </row>
    <row r="57" spans="1:39" x14ac:dyDescent="0.2">
      <c r="A57" s="97"/>
      <c r="B57" s="1508" t="s">
        <v>2120</v>
      </c>
      <c r="C57" s="570"/>
      <c r="D57" s="570"/>
      <c r="E57" s="570"/>
      <c r="F57" s="570"/>
      <c r="G57" s="570"/>
      <c r="H57" s="570"/>
      <c r="I57" s="570"/>
      <c r="J57" s="570"/>
      <c r="K57" s="570"/>
      <c r="L57" s="1166"/>
      <c r="T57" s="145">
        <f>IF(ISBLANK(G57),0,1)</f>
      </c>
      <c r="U57" s="145"/>
    </row>
    <row r="58" spans="1:39" x14ac:dyDescent="0.2">
      <c r="A58" s="97"/>
      <c r="B58" s="618" t="str">
        <f>"Please indicate the country of residence for tax purposes (of the principal taxpayer in the case of fiscal unit)"</f>
      </c>
      <c r="C58" s="185"/>
      <c r="D58" s="185"/>
      <c r="E58" s="185"/>
      <c r="F58" s="1425" t="str">
        <f>IF(G58="","",VLOOKUP(G58,ms_1,2,FALSE)&amp;"  ")</f>
        <v xml:space="preserve">MT  </v>
      </c>
      <c r="G58" s="5503"/>
      <c r="H58" s="5503"/>
      <c r="I58" s="5503"/>
      <c r="J58" s="570" t="str">
        <f>IF(G58="",re,IF(ISERROR(F58),"Check!",""))</f>
        <v/>
      </c>
      <c r="K58" s="570"/>
      <c r="L58" s="1166"/>
      <c r="M58" s="1532">
        <f>IF(J58="",0,1)</f>
      </c>
      <c r="T58" s="145"/>
      <c r="U58" s="145"/>
    </row>
    <row r="59" spans="1:39" ht="5.25" customHeight="1" x14ac:dyDescent="0.2">
      <c r="A59" s="97"/>
      <c r="B59" s="20"/>
      <c r="C59" s="20"/>
      <c r="D59" s="20"/>
      <c r="E59" s="4858"/>
      <c r="F59" s="4858"/>
      <c r="G59" s="4858"/>
      <c r="H59" s="4858"/>
      <c r="I59" s="4858"/>
      <c r="J59" s="4858"/>
      <c r="K59" s="4858"/>
      <c r="L59" s="5500"/>
      <c r="T59" s="145">
        <f>IF(ISBLANK(F60),0,1)</f>
      </c>
      <c r="U59" s="145">
        <f>U24+T59</f>
      </c>
      <c r="Z59" s="28" t="s">
        <v>6197</v>
      </c>
    </row>
    <row r="60" spans="1:39" x14ac:dyDescent="0.2">
      <c r="A60" s="97"/>
      <c r="B60" s="185" t="s">
        <v>1327</v>
      </c>
      <c r="C60" s="903"/>
      <c r="D60" s="903"/>
      <c r="E60" s="903"/>
      <c r="F60" s="570"/>
      <c r="G60" s="5508"/>
      <c r="H60" s="5508"/>
      <c r="I60" s="5508"/>
      <c r="J60" s="1158" t="str">
        <f>IF(AND($P$91=1,ISBLANK(G60)=FALSE),"Delete!",IF($P$91=1,"",IF(T96=0,"",IF(G60="",re,IF(AND(G60=0,Z60&gt;0),"Wages, etc in TIFD!",IF(AND(G60=0,G62="Yes"),"Average number!",""))))))</f>
        <v/>
      </c>
      <c r="K60" s="175"/>
      <c r="L60" s="98"/>
      <c r="M60" s="1532">
        <f>IF(J60=re,1,0)</f>
      </c>
      <c r="N60" s="28">
        <f>IF(J60="",0,1)</f>
      </c>
      <c r="Q60" s="28">
        <f>IF(H24=BA24,1,0)</f>
      </c>
      <c r="T60" s="142"/>
      <c r="Z60" s="28">
        <f>IF(AA60=0,0,1)</f>
      </c>
      <c r="AA60" s="30">
        <f>Income!BA125</f>
      </c>
      <c r="AB60" s="28" t="s">
        <v>6728</v>
      </c>
    </row>
    <row r="61" spans="1:39" ht="5.25" customHeight="1" x14ac:dyDescent="0.2">
      <c r="A61" s="97"/>
      <c r="B61" s="185"/>
      <c r="C61" s="903"/>
      <c r="D61" s="903"/>
      <c r="E61" s="903"/>
      <c r="F61" s="570"/>
      <c r="G61" s="570"/>
      <c r="H61" s="570"/>
      <c r="I61" s="570"/>
      <c r="J61" s="1084"/>
      <c r="K61" s="175"/>
      <c r="L61" s="98"/>
      <c r="N61" s="28">
        <f>IF(J61="",0,1)</f>
      </c>
      <c r="S61" s="142"/>
      <c r="T61" s="142"/>
      <c r="U61" s="142"/>
      <c r="V61" s="142"/>
      <c r="W61" s="142"/>
      <c r="X61" s="142"/>
      <c r="Y61" s="142"/>
      <c r="Z61" s="28" t="s">
        <v>6729</v>
      </c>
      <c r="AG61" s="28">
        <f>SUM(AH61:AI61)</f>
      </c>
      <c r="AH61" s="28">
        <f>IF($F$60=0,0,IF(LEN(F61)&lt;&gt;6,1,0))</f>
      </c>
      <c r="AI61" s="28">
        <f>IF($F$60=0,0,IF(F61=AM61,0,1))</f>
      </c>
      <c r="AK61" s="28" t="str">
        <f>LEFT(F61,5)</f>
        <v/>
      </c>
      <c r="AL61" s="904" t="e">
        <f>CONCATENATE(AK61,9-MOD((SUM((MID(AK61,1,1)*1),(MID(AK61,2,1)*3),(MID(AK61,3,1)*7),(MID(AK61,4,1)*1),(MID(AK61,5,1)*3))),9))</f>
      </c>
      <c r="AM61" s="28" t="e">
        <f>ROUND(AL61,0)</f>
      </c>
    </row>
    <row r="62" spans="1:39" x14ac:dyDescent="0.2">
      <c r="A62" s="97"/>
      <c r="B62" s="185" t="s">
        <v>6660</v>
      </c>
      <c r="C62" s="903"/>
      <c r="D62" s="903"/>
      <c r="E62" s="903"/>
      <c r="F62" s="570"/>
      <c r="G62" s="5503"/>
      <c r="H62" s="5503"/>
      <c r="I62" s="5503"/>
      <c r="J62" s="570" t="str">
        <f>IF(AND($P$91=1,ISBLANK(G62)=FALSE),"Delete!",IF($P$91=1,"",IF(AND(G60=0,AA60=0),"",IF(G62="",re,""))))</f>
        <v/>
      </c>
      <c r="K62" s="175"/>
      <c r="L62" s="98"/>
      <c r="M62" s="1532">
        <f>IF(J62=re,1,0)</f>
      </c>
      <c r="N62" s="28">
        <f>IF(J62="",0,1)</f>
      </c>
      <c r="P62" s="28">
        <f>IF(AND(G60=0,OR(G62="",G62="No")),0,IF(AND(G60&gt;=0,G62="Yes"),0,1))</f>
      </c>
      <c r="S62" s="142"/>
      <c r="T62" s="142"/>
      <c r="U62" s="142"/>
      <c r="V62" s="142"/>
      <c r="W62" s="142"/>
      <c r="X62" s="142"/>
      <c r="Y62" s="142"/>
      <c r="Z62" s="28">
        <f>IF(AA60=0,0,7000)</f>
      </c>
      <c r="AG62" s="28">
        <f>SUM(AH62:AI62)</f>
      </c>
      <c r="AH62" s="28">
        <f>IF($F$60=0,0,IF(LEN(F62)&lt;&gt;6,1,0))</f>
      </c>
      <c r="AI62" s="28">
        <f>IF($F$60=0,0,IF(F62=AM62,0,1))</f>
      </c>
      <c r="AK62" s="28" t="str">
        <f>LEFT(F62,5)</f>
        <v/>
      </c>
      <c r="AL62" s="904" t="e">
        <f>CONCATENATE(AK62,9-MOD((SUM((MID(AK62,1,1)*1),(MID(AK62,2,1)*3),(MID(AK62,3,1)*7),(MID(AK62,4,1)*1),(MID(AK62,5,1)*3))),9))</f>
      </c>
      <c r="AM62" s="28" t="e">
        <f>ROUND(AL62,0)</f>
      </c>
    </row>
    <row r="63" spans="1:39" ht="6" customHeight="1" x14ac:dyDescent="0.2">
      <c r="A63" s="97"/>
      <c r="B63" s="903"/>
      <c r="C63" s="903"/>
      <c r="D63" s="903"/>
      <c r="E63" s="903"/>
      <c r="F63" s="570"/>
      <c r="G63" s="570"/>
      <c r="H63" s="570"/>
      <c r="I63" s="570"/>
      <c r="J63" s="1084"/>
      <c r="K63" s="175"/>
      <c r="L63" s="98"/>
      <c r="N63" s="28">
        <f>IF(J63="",0,1)</f>
      </c>
      <c r="S63" s="142"/>
      <c r="T63" s="142"/>
      <c r="U63" s="142"/>
      <c r="V63" s="142"/>
      <c r="W63" s="142"/>
      <c r="X63" s="142"/>
      <c r="Y63" s="142"/>
      <c r="AG63" s="28">
        <f>SUM(AH63:AI63)</f>
      </c>
      <c r="AH63" s="28">
        <f>IF($F$60=0,0,IF(LEN(F63)&lt;&gt;6,1,0))</f>
      </c>
      <c r="AI63" s="28">
        <f>IF($F$60=0,0,IF(F63=AM63,0,1))</f>
      </c>
      <c r="AK63" s="28" t="str">
        <f>LEFT(F63,5)</f>
        <v/>
      </c>
      <c r="AL63" s="904" t="e">
        <f>CONCATENATE(AK63,9-MOD((SUM((MID(AK63,1,1)*1),(MID(AK63,2,1)*3),(MID(AK63,3,1)*7),(MID(AK63,4,1)*1),(MID(AK63,5,1)*3))),9))</f>
      </c>
      <c r="AM63" s="28" t="e">
        <f>ROUND(AL63,0)</f>
      </c>
    </row>
    <row r="64" spans="1:39" ht="6" customHeight="1" x14ac:dyDescent="0.2">
      <c r="A64" s="97"/>
      <c r="B64" s="3"/>
      <c r="C64" s="3"/>
      <c r="D64" s="3"/>
      <c r="E64" s="3"/>
      <c r="F64" s="3"/>
      <c r="G64" s="3"/>
      <c r="H64" s="3"/>
      <c r="I64" s="3"/>
      <c r="J64" s="3"/>
      <c r="K64" s="3"/>
      <c r="L64" s="98"/>
    </row>
    <row r="65" spans="1:21" x14ac:dyDescent="0.2">
      <c r="A65" s="446">
        <v>9</v>
      </c>
      <c r="B65" s="4452" t="s">
        <v>2294</v>
      </c>
      <c r="C65" s="4452"/>
      <c r="D65" s="4452"/>
      <c r="E65" s="4452"/>
      <c r="F65" s="4452"/>
      <c r="G65" s="4452"/>
      <c r="H65" s="4452"/>
      <c r="I65" s="4452"/>
      <c r="J65" s="4452"/>
      <c r="K65" s="4452"/>
      <c r="L65" s="4452"/>
      <c r="N65" s="28">
        <f>SUM(N60:N64)+N54</f>
      </c>
    </row>
    <row r="66" spans="1:21" x14ac:dyDescent="0.2">
      <c r="A66" s="905"/>
      <c r="B66" s="242" t="s">
        <v>6302</v>
      </c>
      <c r="C66" s="17" t="s">
        <v>1032</v>
      </c>
      <c r="D66" s="3"/>
      <c r="E66" s="3"/>
      <c r="F66" s="3"/>
      <c r="G66" s="3"/>
      <c r="H66" s="3"/>
      <c r="I66" s="3"/>
      <c r="J66" s="3"/>
      <c r="K66" s="3"/>
      <c r="L66" s="98"/>
    </row>
    <row r="67" spans="1:21" x14ac:dyDescent="0.2">
      <c r="A67" s="905"/>
      <c r="B67" s="63"/>
      <c r="C67" s="99"/>
      <c r="D67" s="99"/>
      <c r="E67" s="4694" t="s">
        <v>5157</v>
      </c>
      <c r="F67" s="4694"/>
      <c r="G67" s="4694"/>
      <c r="H67" s="4694"/>
      <c r="I67" s="4694"/>
      <c r="J67" s="4694"/>
      <c r="K67" s="4694"/>
      <c r="L67" s="5507"/>
    </row>
    <row r="68" spans="1:21" x14ac:dyDescent="0.2">
      <c r="A68" s="905"/>
      <c r="B68" s="63"/>
      <c r="C68" s="99"/>
      <c r="D68" s="99"/>
      <c r="E68" s="99"/>
      <c r="F68" s="3"/>
      <c r="G68" s="3"/>
      <c r="H68" s="3"/>
      <c r="I68" s="3"/>
      <c r="J68" s="3"/>
      <c r="K68" s="3"/>
      <c r="L68" s="98"/>
    </row>
    <row r="69" spans="1:21" x14ac:dyDescent="0.2">
      <c r="A69" s="905"/>
      <c r="B69" s="906"/>
      <c r="C69" s="185"/>
      <c r="D69" s="17"/>
      <c r="E69" s="17"/>
      <c r="F69" s="3"/>
      <c r="G69" s="3"/>
      <c r="H69" s="175"/>
      <c r="I69" s="175"/>
      <c r="J69" s="81"/>
      <c r="K69" s="175"/>
      <c r="L69" s="98"/>
    </row>
    <row r="70" spans="1:21" x14ac:dyDescent="0.2">
      <c r="A70" s="97"/>
      <c r="B70" s="63">
        <v>1</v>
      </c>
      <c r="C70" s="4361" t="s">
        <v>469</v>
      </c>
      <c r="D70" s="4361"/>
      <c r="E70" s="4361"/>
      <c r="F70" s="903"/>
      <c r="G70" s="903"/>
      <c r="H70" s="175"/>
      <c r="I70" s="3"/>
      <c r="J70" s="3"/>
      <c r="K70" s="175"/>
      <c r="L70" s="98"/>
    </row>
    <row r="71" spans="1:21" x14ac:dyDescent="0.2">
      <c r="A71" s="97"/>
      <c r="B71" s="63"/>
      <c r="C71" s="4361" t="s">
        <v>470</v>
      </c>
      <c r="D71" s="4361"/>
      <c r="E71" s="4361"/>
      <c r="F71" s="903"/>
      <c r="G71" s="742"/>
      <c r="H71" s="5497" t="str">
        <f>IF(G71="",re,"")</f>
        <v/>
      </c>
      <c r="I71" s="5498"/>
      <c r="J71" s="5498"/>
      <c r="K71" s="5498"/>
      <c r="L71" s="5499"/>
      <c r="M71" s="1532">
        <f>IF(H71="",0,1)</f>
      </c>
      <c r="T71" s="28">
        <f>IF(ISBLANK(G71),0,1)</f>
      </c>
    </row>
    <row r="72" spans="1:21" x14ac:dyDescent="0.2">
      <c r="A72" s="97"/>
      <c r="B72" s="175">
        <v>2</v>
      </c>
      <c r="C72" s="185" t="s">
        <v>3968</v>
      </c>
      <c r="D72" s="185"/>
      <c r="E72" s="185"/>
      <c r="F72" s="185"/>
      <c r="G72" s="742"/>
      <c r="H72" s="5497" t="str">
        <f>IF(G72="",re,"")</f>
        <v/>
      </c>
      <c r="I72" s="5498"/>
      <c r="J72" s="5498"/>
      <c r="K72" s="5498"/>
      <c r="L72" s="5499"/>
      <c r="M72" s="1532">
        <f>IF(H72="",0,1)</f>
      </c>
      <c r="T72" s="28">
        <f>IF(ISBLANK(G72),0,1)</f>
      </c>
    </row>
    <row r="73" spans="1:21" x14ac:dyDescent="0.2">
      <c r="A73" s="97"/>
      <c r="B73" s="175">
        <v>3</v>
      </c>
      <c r="C73" s="185" t="s">
        <v>4534</v>
      </c>
      <c r="D73" s="185"/>
      <c r="E73" s="185"/>
      <c r="F73" s="185"/>
      <c r="G73" s="742"/>
      <c r="H73" s="5497" t="str">
        <f>IF(G73="",re,"")</f>
        <v/>
      </c>
      <c r="I73" s="5498"/>
      <c r="J73" s="5498"/>
      <c r="K73" s="5498"/>
      <c r="L73" s="5499"/>
      <c r="M73" s="1532">
        <f>IF(H73="",0,1)</f>
      </c>
      <c r="T73" s="28">
        <f>IF(ISBLANK(G73),0,1)</f>
      </c>
    </row>
    <row r="74" spans="1:21" x14ac:dyDescent="0.2">
      <c r="A74" s="97"/>
      <c r="B74" s="175">
        <v>4</v>
      </c>
      <c r="C74" s="185" t="s">
        <v>4979</v>
      </c>
      <c r="D74" s="185"/>
      <c r="E74" s="185"/>
      <c r="F74" s="185"/>
      <c r="G74" s="185"/>
      <c r="H74" s="175"/>
      <c r="I74" s="3"/>
      <c r="J74" s="3"/>
      <c r="K74" s="3"/>
      <c r="L74" s="98"/>
    </row>
    <row r="75" spans="1:21" x14ac:dyDescent="0.2">
      <c r="A75" s="97"/>
      <c r="B75" s="175"/>
      <c r="C75" s="4346"/>
      <c r="D75" s="4347"/>
      <c r="E75" s="4348"/>
      <c r="F75" s="185"/>
      <c r="G75" s="185"/>
      <c r="H75" s="5498" t="str">
        <f>IF(P75=1,"",IF(C75="",re,""))</f>
        <v/>
      </c>
      <c r="I75" s="5498"/>
      <c r="J75" s="5498"/>
      <c r="K75" s="5498"/>
      <c r="L75" s="5499"/>
      <c r="M75" s="1532">
        <f>IF(H75="",0,1)</f>
      </c>
      <c r="P75" s="2583">
        <f>'TRA99'!L37</f>
      </c>
      <c r="T75" s="28">
        <f>IF(ISBLANK(C75),0,1)</f>
      </c>
    </row>
    <row r="76" spans="1:21" x14ac:dyDescent="0.2">
      <c r="A76" s="907"/>
      <c r="B76" s="175">
        <v>5</v>
      </c>
      <c r="C76" s="20" t="s">
        <v>4535</v>
      </c>
      <c r="D76" s="3"/>
      <c r="E76" s="17"/>
      <c r="F76" s="5503"/>
      <c r="G76" s="5503"/>
      <c r="H76" s="5497" t="str">
        <f>IF(P75=1,"",IF(F76="",re,""))</f>
        <v/>
      </c>
      <c r="I76" s="5498"/>
      <c r="J76" s="5498"/>
      <c r="K76" s="5498"/>
      <c r="L76" s="5499"/>
      <c r="M76" s="1532">
        <f>IF(H76="",0,1)</f>
      </c>
      <c r="T76" s="28">
        <f>IF(ISBLANK(F76),0,1)</f>
      </c>
    </row>
    <row r="77" spans="1:21" x14ac:dyDescent="0.2">
      <c r="A77" s="905"/>
      <c r="B77" s="63">
        <v>6</v>
      </c>
      <c r="C77" s="4483" t="s">
        <v>3389</v>
      </c>
      <c r="D77" s="4483"/>
      <c r="E77" s="4483"/>
      <c r="F77" s="4483"/>
      <c r="G77" s="4483"/>
      <c r="H77" s="175"/>
      <c r="I77" s="3"/>
      <c r="J77" s="3"/>
      <c r="K77" s="3"/>
      <c r="L77" s="98"/>
      <c r="S77" s="28">
        <f>SUM(T71:T78)</f>
      </c>
      <c r="T77" s="28">
        <f>IF(ISBLANK(F76),0,IF(F76=n,1,0))</f>
      </c>
    </row>
    <row r="78" spans="1:21" x14ac:dyDescent="0.2">
      <c r="A78" s="905"/>
      <c r="B78" s="3"/>
      <c r="C78" s="4646"/>
      <c r="D78" s="4646"/>
      <c r="E78" s="4646"/>
      <c r="F78" s="185"/>
      <c r="G78" s="185"/>
      <c r="H78" s="5498" t="str">
        <f>IF(P75=1,"",IF(F76=n,"",IF(C78="",re,"")))</f>
        <v/>
      </c>
      <c r="I78" s="5498"/>
      <c r="J78" s="5498"/>
      <c r="K78" s="5498"/>
      <c r="L78" s="5499"/>
      <c r="M78" s="1532">
        <f>IF(H78="",0,1)</f>
      </c>
      <c r="T78" s="28">
        <f>IF(ISBLANK(C78),0,1)</f>
      </c>
      <c r="U78" s="28" t="s">
        <v>3242</v>
      </c>
    </row>
    <row r="79" spans="1:21" x14ac:dyDescent="0.2">
      <c r="A79" s="905"/>
      <c r="B79" s="3"/>
      <c r="C79" s="4646"/>
      <c r="D79" s="4646"/>
      <c r="E79" s="4646"/>
      <c r="F79" s="185"/>
      <c r="G79" s="185"/>
      <c r="H79" s="175"/>
      <c r="I79" s="3"/>
      <c r="J79" s="3"/>
      <c r="K79" s="3"/>
      <c r="L79" s="98"/>
    </row>
    <row r="80" spans="1:21" x14ac:dyDescent="0.2">
      <c r="A80" s="97"/>
      <c r="B80" s="3"/>
      <c r="C80" s="4646"/>
      <c r="D80" s="4646"/>
      <c r="E80" s="4646"/>
      <c r="F80" s="185"/>
      <c r="G80" s="185"/>
      <c r="H80" s="17"/>
      <c r="I80" s="17"/>
      <c r="J80" s="17"/>
      <c r="K80" s="17"/>
      <c r="L80" s="100"/>
    </row>
    <row r="81" spans="1:21" x14ac:dyDescent="0.2">
      <c r="A81" s="97"/>
      <c r="B81" s="185"/>
      <c r="C81" s="5502" t="str">
        <f>IF(AND(P75=1,S77=3),"",IF(S77=0,"",IF(S77=6,"",U78)))</f>
        <v/>
      </c>
      <c r="D81" s="5502"/>
      <c r="E81" s="5502"/>
      <c r="F81" s="185"/>
      <c r="G81" s="185"/>
      <c r="H81" s="17"/>
      <c r="I81" s="17"/>
      <c r="J81" s="17"/>
      <c r="K81" s="17"/>
      <c r="L81" s="100"/>
      <c r="Q81" s="28">
        <f>IF(C81&lt;&gt;"",1,0)</f>
      </c>
    </row>
    <row r="82" spans="1:21" x14ac:dyDescent="0.2">
      <c r="A82" s="97"/>
      <c r="B82" s="64" t="s">
        <v>4694</v>
      </c>
      <c r="C82" s="17" t="s">
        <v>791</v>
      </c>
      <c r="D82" s="17"/>
      <c r="E82" s="185"/>
      <c r="F82" s="185"/>
      <c r="G82" s="185"/>
      <c r="H82" s="17"/>
      <c r="I82" s="17"/>
      <c r="J82" s="17"/>
      <c r="K82" s="17"/>
      <c r="L82" s="100"/>
    </row>
    <row r="83" spans="1:21" x14ac:dyDescent="0.2">
      <c r="A83" s="97"/>
      <c r="B83" s="3"/>
      <c r="C83" s="3"/>
      <c r="D83" s="3"/>
      <c r="E83" s="536"/>
      <c r="F83" s="3"/>
      <c r="G83" s="3"/>
      <c r="H83" s="3"/>
      <c r="I83" s="3"/>
      <c r="J83" s="3"/>
      <c r="K83" s="3"/>
      <c r="L83" s="98"/>
    </row>
    <row r="84" spans="1:21" x14ac:dyDescent="0.2">
      <c r="A84" s="97"/>
      <c r="B84" s="63">
        <v>1</v>
      </c>
      <c r="C84" s="4361" t="s">
        <v>3955</v>
      </c>
      <c r="D84" s="4361"/>
      <c r="E84" s="4361"/>
      <c r="F84" s="903"/>
      <c r="G84" s="3"/>
      <c r="H84" s="175"/>
      <c r="I84" s="20"/>
      <c r="J84" s="20"/>
      <c r="K84" s="175"/>
      <c r="L84" s="98"/>
    </row>
    <row r="85" spans="1:21" x14ac:dyDescent="0.2">
      <c r="A85" s="97"/>
      <c r="B85" s="63"/>
      <c r="C85" s="4361" t="s">
        <v>5082</v>
      </c>
      <c r="D85" s="4361"/>
      <c r="E85" s="4361"/>
      <c r="F85" s="903"/>
      <c r="G85" s="742"/>
      <c r="H85" s="5497" t="str">
        <f t="shared" ref="H85:H90" si="11">IF(G85="",re,"")</f>
        <v/>
      </c>
      <c r="I85" s="5498"/>
      <c r="J85" s="5498"/>
      <c r="K85" s="5498"/>
      <c r="L85" s="5499"/>
      <c r="M85" s="1532">
        <f>IF(H85="",0,1)</f>
      </c>
      <c r="T85" s="28">
        <f t="shared" ref="T85:T94" si="12">IF(ISBLANK(G85),0,1)</f>
      </c>
    </row>
    <row r="86" spans="1:21" x14ac:dyDescent="0.2">
      <c r="A86" s="97"/>
      <c r="B86" s="175">
        <v>2</v>
      </c>
      <c r="C86" s="20" t="s">
        <v>3336</v>
      </c>
      <c r="D86" s="17"/>
      <c r="E86" s="17"/>
      <c r="F86" s="3"/>
      <c r="G86" s="742" t="s">
        <v>3097</v>
      </c>
      <c r="H86" s="5497" t="str">
        <f t="shared" si="11"/>
        <v/>
      </c>
      <c r="I86" s="5498"/>
      <c r="J86" s="5498"/>
      <c r="K86" s="5498"/>
      <c r="L86" s="5499"/>
      <c r="M86" s="1532">
        <f t="shared" ref="M86:M94" si="13">IF(H86="",0,1)</f>
      </c>
      <c r="T86" s="28">
        <f t="shared" si="12"/>
        <v>1</v>
      </c>
    </row>
    <row r="87" spans="1:21" x14ac:dyDescent="0.2">
      <c r="A87" s="97"/>
      <c r="B87" s="175">
        <v>3</v>
      </c>
      <c r="C87" s="20" t="s">
        <v>3337</v>
      </c>
      <c r="D87" s="17"/>
      <c r="E87" s="17"/>
      <c r="F87" s="3"/>
      <c r="G87" s="742" t="s">
        <v>3097</v>
      </c>
      <c r="H87" s="5497" t="str">
        <f t="shared" si="11"/>
        <v/>
      </c>
      <c r="I87" s="5498"/>
      <c r="J87" s="5498"/>
      <c r="K87" s="5498"/>
      <c r="L87" s="5499"/>
      <c r="M87" s="1532">
        <f t="shared" si="13"/>
        <v>0</v>
      </c>
      <c r="T87" s="28">
        <f t="shared" si="12"/>
        <v>1</v>
      </c>
    </row>
    <row r="88" spans="1:21" x14ac:dyDescent="0.2">
      <c r="A88" s="97"/>
      <c r="B88" s="175">
        <v>4</v>
      </c>
      <c r="C88" s="20" t="s">
        <v>4951</v>
      </c>
      <c r="D88" s="17"/>
      <c r="E88" s="17"/>
      <c r="F88" s="3"/>
      <c r="G88" s="742" t="s">
        <v>3097</v>
      </c>
      <c r="H88" s="5497" t="str">
        <f t="shared" si="11"/>
        <v/>
      </c>
      <c r="I88" s="5498"/>
      <c r="J88" s="5498"/>
      <c r="K88" s="5498"/>
      <c r="L88" s="5499"/>
      <c r="M88" s="1532">
        <f t="shared" si="13"/>
        <v>0</v>
      </c>
      <c r="T88" s="28">
        <f t="shared" si="12"/>
        <v>1</v>
      </c>
    </row>
    <row r="89" spans="1:21" x14ac:dyDescent="0.2">
      <c r="A89" s="97"/>
      <c r="B89" s="175">
        <v>5</v>
      </c>
      <c r="C89" s="20" t="s">
        <v>2815</v>
      </c>
      <c r="D89" s="17"/>
      <c r="E89" s="17"/>
      <c r="F89" s="3"/>
      <c r="G89" s="742" t="s">
        <v>3097</v>
      </c>
      <c r="H89" s="5497" t="str">
        <f t="shared" si="11"/>
        <v/>
      </c>
      <c r="I89" s="5498"/>
      <c r="J89" s="5498"/>
      <c r="K89" s="5498"/>
      <c r="L89" s="5499"/>
      <c r="M89" s="1532">
        <f t="shared" si="13"/>
        <v>0</v>
      </c>
      <c r="T89" s="28">
        <f t="shared" si="12"/>
        <v>1</v>
      </c>
    </row>
    <row r="90" spans="1:21" x14ac:dyDescent="0.2">
      <c r="A90" s="97"/>
      <c r="B90" s="175">
        <v>6</v>
      </c>
      <c r="C90" s="20" t="s">
        <v>2816</v>
      </c>
      <c r="D90" s="17"/>
      <c r="E90" s="17"/>
      <c r="F90" s="3"/>
      <c r="G90" s="742" t="s">
        <v>3097</v>
      </c>
      <c r="H90" s="5497" t="str">
        <f t="shared" si="11"/>
        <v/>
      </c>
      <c r="I90" s="5498"/>
      <c r="J90" s="5498"/>
      <c r="K90" s="5498"/>
      <c r="L90" s="5499"/>
      <c r="M90" s="1532">
        <f t="shared" si="13"/>
        <v>0</v>
      </c>
      <c r="T90" s="28">
        <f t="shared" si="12"/>
        <v>1</v>
      </c>
    </row>
    <row r="91" spans="1:21" x14ac:dyDescent="0.2">
      <c r="A91" s="97"/>
      <c r="B91" s="175">
        <v>7</v>
      </c>
      <c r="C91" s="20" t="s">
        <v>2817</v>
      </c>
      <c r="D91" s="17"/>
      <c r="E91" s="17"/>
      <c r="F91" s="3"/>
      <c r="G91" s="742"/>
      <c r="H91" s="5497" t="str">
        <f>IF(AND($P$91=1,ISBLANK(G60)=FALSE),"Delete!",IF($P$91=1,"",IF(G91="",re,"")))</f>
        <v/>
      </c>
      <c r="I91" s="5498"/>
      <c r="J91" s="5498"/>
      <c r="K91" s="5498"/>
      <c r="L91" s="5499"/>
      <c r="M91" s="1532">
        <f t="shared" si="13"/>
        <v>0</v>
      </c>
      <c r="P91" s="28">
        <f>IF(G36="y",1,0)</f>
      </c>
      <c r="T91" s="28">
        <f t="shared" si="12"/>
        <v>1</v>
      </c>
    </row>
    <row r="92" spans="1:21" x14ac:dyDescent="0.2">
      <c r="A92" s="97"/>
      <c r="B92" s="175">
        <v>8</v>
      </c>
      <c r="C92" s="20" t="s">
        <v>6657</v>
      </c>
      <c r="D92" s="17"/>
      <c r="E92" s="17"/>
      <c r="F92" s="3"/>
      <c r="G92" s="742"/>
      <c r="H92" s="5497" t="str">
        <f>IF(AND($P$91=1,ISBLANK(G92)=FALSE),"Delete!",IF($P$91=1,"",IF(G92="",re,"")))</f>
        <v/>
      </c>
      <c r="I92" s="5498"/>
      <c r="J92" s="5498"/>
      <c r="K92" s="5498"/>
      <c r="L92" s="5499"/>
      <c r="M92" s="1532">
        <f t="shared" si="13"/>
        <v>0</v>
      </c>
      <c r="T92" s="28">
        <f t="shared" si="12"/>
        <v>1</v>
      </c>
    </row>
    <row r="93" spans="1:21" x14ac:dyDescent="0.2">
      <c r="A93" s="97"/>
      <c r="B93" s="175">
        <v>9</v>
      </c>
      <c r="C93" s="20" t="s">
        <v>6658</v>
      </c>
      <c r="D93" s="17"/>
      <c r="E93" s="17"/>
      <c r="F93" s="3"/>
      <c r="G93" s="742"/>
      <c r="H93" s="5497" t="str">
        <f>IF(AND($P$91=1,ISBLANK(G93)=FALSE),"Delete!",IF($P$91=1,"",IF(G93="",re,"")))</f>
        <v/>
      </c>
      <c r="I93" s="5498"/>
      <c r="J93" s="5498"/>
      <c r="K93" s="5498"/>
      <c r="L93" s="5499"/>
      <c r="M93" s="1532">
        <f t="shared" si="13"/>
        <v>0</v>
      </c>
      <c r="T93" s="28">
        <f t="shared" si="12"/>
        <v>1</v>
      </c>
    </row>
    <row r="94" spans="1:21" x14ac:dyDescent="0.2">
      <c r="A94" s="97"/>
      <c r="B94" s="175">
        <v>10</v>
      </c>
      <c r="C94" s="20" t="s">
        <v>6659</v>
      </c>
      <c r="D94" s="17"/>
      <c r="E94" s="17"/>
      <c r="F94" s="3"/>
      <c r="G94" s="742"/>
      <c r="H94" s="5497" t="str">
        <f>IF(AND($P$91=1,ISBLANK(G94)=FALSE),"Delete!",IF($P$91=1,"",IF(G94="",re,"")))</f>
        <v/>
      </c>
      <c r="I94" s="5498"/>
      <c r="J94" s="5498"/>
      <c r="K94" s="5498"/>
      <c r="L94" s="5499"/>
      <c r="M94" s="1532">
        <f t="shared" si="13"/>
        <v>0</v>
      </c>
      <c r="T94" s="28">
        <f t="shared" si="12"/>
        <v>1</v>
      </c>
    </row>
    <row r="95" spans="1:21" ht="3" customHeight="1" thickBot="1" x14ac:dyDescent="0.25">
      <c r="A95" s="101"/>
      <c r="B95" s="102"/>
      <c r="C95" s="103"/>
      <c r="D95" s="103"/>
      <c r="E95" s="103"/>
      <c r="F95" s="102"/>
      <c r="G95" s="102"/>
      <c r="H95" s="102"/>
      <c r="I95" s="102"/>
      <c r="J95" s="102"/>
      <c r="K95" s="102"/>
      <c r="L95" s="104"/>
    </row>
    <row r="96" spans="1:21" ht="15" customHeight="1" x14ac:dyDescent="0.2">
      <c r="A96" s="5501" t="str">
        <f>IF(M97&lt;&gt;0,U78,"")</f>
        <v/>
      </c>
      <c r="B96" s="5501"/>
      <c r="C96" s="5501"/>
      <c r="D96" s="5501"/>
      <c r="E96" s="5501"/>
      <c r="F96" s="5501"/>
      <c r="G96" s="5501"/>
      <c r="H96" s="5501"/>
      <c r="I96" s="5501"/>
      <c r="J96" s="5501"/>
      <c r="K96" s="5501"/>
      <c r="L96" s="5501"/>
      <c r="Q96" s="28">
        <f>IF(A96&lt;&gt;"",1,0)</f>
      </c>
      <c r="S96" s="28">
        <f>SUM(T85:T95)</f>
      </c>
      <c r="T96" s="28">
        <f>SUM(T7:T94,)</f>
      </c>
      <c r="U96" s="28" t="s">
        <v>3789</v>
      </c>
    </row>
    <row r="97" spans="13:21" ht="17.100000000000001" customHeight="1" x14ac:dyDescent="0.2">
      <c r="M97" s="1532">
        <f>SUM(M5:M96)</f>
      </c>
      <c r="T97" s="28">
        <f>IF(M97=0,1,100)</f>
      </c>
    </row>
    <row r="98" spans="13:21" ht="17.100000000000001" hidden="1" customHeight="1" x14ac:dyDescent="0.2"/>
    <row r="99" spans="13:21" ht="17.100000000000001" hidden="1" customHeight="1" x14ac:dyDescent="0.2"/>
    <row r="100" spans="13:21" ht="17.100000000000001" hidden="1" customHeight="1" x14ac:dyDescent="0.2"/>
    <row r="101" spans="13:21" ht="17.100000000000001" hidden="1" customHeight="1" x14ac:dyDescent="0.2"/>
    <row r="102" spans="13:21" ht="17.100000000000001" hidden="1" customHeight="1" x14ac:dyDescent="0.2"/>
    <row r="103" spans="13:21" ht="17.100000000000001" hidden="1" customHeight="1" x14ac:dyDescent="0.2"/>
    <row r="104" spans="13:21" ht="17.100000000000001" hidden="1" customHeight="1" x14ac:dyDescent="0.2"/>
    <row r="105" spans="13:21" ht="17.100000000000001" hidden="1" customHeight="1" x14ac:dyDescent="0.2"/>
    <row r="106" spans="13:21" ht="17.100000000000001" hidden="1" customHeight="1" x14ac:dyDescent="0.2"/>
    <row r="107" spans="13:21" ht="17.100000000000001" hidden="1" customHeight="1" x14ac:dyDescent="0.2">
      <c r="U107" s="28" t="b">
        <v>1</v>
      </c>
    </row>
    <row r="108" spans="13:21" ht="0.75" hidden="1" customHeight="1" x14ac:dyDescent="0.2"/>
    <row r="109" spans="13:21" hidden="1" x14ac:dyDescent="0.2">
      <c r="Q109" s="28">
        <f>SUM(Q96:Q108,Q81,Q22)</f>
      </c>
      <c r="U109" s="28" t="s">
        <v>3790</v>
      </c>
    </row>
    <row r="115" ht="12.75" customHeight="1" x14ac:dyDescent="0.2"/>
  </sheetData>
  <sheetProtection algorithmName="SHA-512" hashValue="xktvlbY7/ZwtTURyTS3m/hzE4rjlNQ0ja0WQPR0dxgbHp20z+RhgnvcHv3n9p/VRKPc2tEHUC2bNZ9pIXkMSvw==" saltValue="2P3BBKyr7nSHh/tRSxzm1Q==" spinCount="100000" sheet="1" objects="1" scenarios="1"/>
  <customSheetViews>
    <customSheetView guid="{99B5278F-6EA9-4B1A-8623-27A4DF4AD5E4}" showGridLines="0" fitToPage="1" hiddenRows="1" hiddenColumns="1">
      <pane ySplit="3" topLeftCell="A4" activePane="bottomLeft" state="frozen"/>
      <selection pane="bottomLeft" activeCell="G16" sqref="G16"/>
      <pageMargins left="0.31496062992125984" right="0.15748031496062992" top="0.15748031496062992" bottom="0.15748031496062992" header="0.15748031496062992" footer="3.937007874015748E-2"/>
      <printOptions horizontalCentered="1"/>
      <pageSetup paperSize="9" scale="80" orientation="portrait" horizontalDpi="300" verticalDpi="300" r:id="rId1"/>
      <headerFooter alignWithMargins="0">
        <oddFooter>&amp;LIRD - Malta&amp;Rpage 2</oddFooter>
      </headerFooter>
    </customSheetView>
  </customSheetViews>
  <mergeCells count="82">
    <mergeCell ref="C42:F42"/>
    <mergeCell ref="H42:L42"/>
    <mergeCell ref="H26:L26"/>
    <mergeCell ref="H24:L24"/>
    <mergeCell ref="H27:L27"/>
    <mergeCell ref="H25:L25"/>
    <mergeCell ref="H28:L28"/>
    <mergeCell ref="H30:L30"/>
    <mergeCell ref="H29:L29"/>
    <mergeCell ref="H31:L31"/>
    <mergeCell ref="H32:L32"/>
    <mergeCell ref="C19:F19"/>
    <mergeCell ref="H19:L19"/>
    <mergeCell ref="H23:L23"/>
    <mergeCell ref="H22:L22"/>
    <mergeCell ref="H20:L20"/>
    <mergeCell ref="H21:L21"/>
    <mergeCell ref="C22:F22"/>
    <mergeCell ref="C21:F21"/>
    <mergeCell ref="A1:J1"/>
    <mergeCell ref="B4:L4"/>
    <mergeCell ref="F3:L3"/>
    <mergeCell ref="A2:E2"/>
    <mergeCell ref="H17:L17"/>
    <mergeCell ref="H18:L18"/>
    <mergeCell ref="E5:L5"/>
    <mergeCell ref="H7:L7"/>
    <mergeCell ref="H8:L8"/>
    <mergeCell ref="H11:L11"/>
    <mergeCell ref="H16:L16"/>
    <mergeCell ref="H12:L12"/>
    <mergeCell ref="H13:L13"/>
    <mergeCell ref="H14:L14"/>
    <mergeCell ref="H15:L15"/>
    <mergeCell ref="H10:L10"/>
    <mergeCell ref="H9:L9"/>
    <mergeCell ref="H55:L55"/>
    <mergeCell ref="G58:I58"/>
    <mergeCell ref="G62:I62"/>
    <mergeCell ref="H71:L71"/>
    <mergeCell ref="E67:L67"/>
    <mergeCell ref="C70:E70"/>
    <mergeCell ref="G60:I60"/>
    <mergeCell ref="H54:L54"/>
    <mergeCell ref="H34:L34"/>
    <mergeCell ref="H35:L35"/>
    <mergeCell ref="H36:L36"/>
    <mergeCell ref="H33:L33"/>
    <mergeCell ref="H37:L37"/>
    <mergeCell ref="H38:L38"/>
    <mergeCell ref="H39:L39"/>
    <mergeCell ref="H40:L40"/>
    <mergeCell ref="H41:L41"/>
    <mergeCell ref="H43:L43"/>
    <mergeCell ref="H88:L88"/>
    <mergeCell ref="H75:L75"/>
    <mergeCell ref="H73:L73"/>
    <mergeCell ref="C78:E78"/>
    <mergeCell ref="C81:E81"/>
    <mergeCell ref="C84:E84"/>
    <mergeCell ref="C75:E75"/>
    <mergeCell ref="C79:E79"/>
    <mergeCell ref="H76:L76"/>
    <mergeCell ref="H78:L78"/>
    <mergeCell ref="H87:L87"/>
    <mergeCell ref="C85:E85"/>
    <mergeCell ref="H86:L86"/>
    <mergeCell ref="H85:L85"/>
    <mergeCell ref="C77:G77"/>
    <mergeCell ref="F76:G76"/>
    <mergeCell ref="A96:L96"/>
    <mergeCell ref="H89:L89"/>
    <mergeCell ref="H90:L90"/>
    <mergeCell ref="H91:L91"/>
    <mergeCell ref="H92:L92"/>
    <mergeCell ref="H94:L94"/>
    <mergeCell ref="H93:L93"/>
    <mergeCell ref="H72:L72"/>
    <mergeCell ref="C80:E80"/>
    <mergeCell ref="B65:L65"/>
    <mergeCell ref="E59:L59"/>
    <mergeCell ref="C71:E71"/>
  </mergeCells>
  <phoneticPr fontId="0" type="noConversion"/>
  <conditionalFormatting sqref="A30:A53">
    <cfRule type="expression" dxfId="74" priority="31" stopIfTrue="1">
      <formula>$G$28="y"</formula>
    </cfRule>
    <cfRule type="expression" dxfId="73" priority="32" stopIfTrue="1">
      <formula>$G$29="n"</formula>
    </cfRule>
  </conditionalFormatting>
  <conditionalFormatting sqref="B55">
    <cfRule type="expression" dxfId="72" priority="3">
      <formula>$G$54="n"</formula>
    </cfRule>
  </conditionalFormatting>
  <conditionalFormatting sqref="B19:F19">
    <cfRule type="expression" dxfId="71" priority="17" stopIfTrue="1">
      <formula>$G$18="n"</formula>
    </cfRule>
  </conditionalFormatting>
  <conditionalFormatting sqref="B77:G77">
    <cfRule type="expression" dxfId="70" priority="16" stopIfTrue="1">
      <formula>$F$76=n</formula>
    </cfRule>
  </conditionalFormatting>
  <conditionalFormatting sqref="C55">
    <cfRule type="expression" dxfId="69" priority="43" stopIfTrue="1">
      <formula>$G$54="n"</formula>
    </cfRule>
  </conditionalFormatting>
  <conditionalFormatting sqref="C78:C80">
    <cfRule type="expression" dxfId="68" priority="19" stopIfTrue="1">
      <formula>$F$76=n</formula>
    </cfRule>
  </conditionalFormatting>
  <conditionalFormatting sqref="D29:E32 D34:E41">
    <cfRule type="expression" dxfId="67" priority="29" stopIfTrue="1">
      <formula>$G$28="y"</formula>
    </cfRule>
  </conditionalFormatting>
  <conditionalFormatting sqref="D43:E55">
    <cfRule type="expression" dxfId="66" priority="9" stopIfTrue="1">
      <formula>$G$28="y"</formula>
    </cfRule>
  </conditionalFormatting>
  <conditionalFormatting sqref="D54:E55">
    <cfRule type="expression" dxfId="65" priority="10" stopIfTrue="1">
      <formula>$G$29="n"</formula>
    </cfRule>
  </conditionalFormatting>
  <conditionalFormatting sqref="F55">
    <cfRule type="expression" dxfId="64" priority="44" stopIfTrue="1">
      <formula>$G$54="N"</formula>
    </cfRule>
  </conditionalFormatting>
  <conditionalFormatting sqref="F2:L2">
    <cfRule type="expression" dxfId="63" priority="20" stopIfTrue="1">
      <formula>fisc&gt;0</formula>
    </cfRule>
  </conditionalFormatting>
  <conditionalFormatting sqref="G19">
    <cfRule type="expression" dxfId="62" priority="18" stopIfTrue="1">
      <formula>$G$18="n"</formula>
    </cfRule>
  </conditionalFormatting>
  <conditionalFormatting sqref="G37">
    <cfRule type="expression" dxfId="61" priority="4">
      <formula>$O$36=0</formula>
    </cfRule>
  </conditionalFormatting>
  <conditionalFormatting sqref="G91:G94">
    <cfRule type="expression" dxfId="60" priority="5">
      <formula>$P$91=1</formula>
    </cfRule>
  </conditionalFormatting>
  <conditionalFormatting sqref="G60:I60">
    <cfRule type="expression" dxfId="59" priority="2">
      <formula>$P$91=1</formula>
    </cfRule>
  </conditionalFormatting>
  <conditionalFormatting sqref="G62:I62">
    <cfRule type="expression" dxfId="58" priority="1">
      <formula>$P$91=1</formula>
    </cfRule>
  </conditionalFormatting>
  <conditionalFormatting sqref="H30:L30 H48:L53">
    <cfRule type="expression" dxfId="57" priority="59" stopIfTrue="1">
      <formula>$H$30&lt;&gt;re</formula>
    </cfRule>
  </conditionalFormatting>
  <conditionalFormatting sqref="J60">
    <cfRule type="expression" dxfId="56" priority="12" stopIfTrue="1">
      <formula>$J$60=re</formula>
    </cfRule>
  </conditionalFormatting>
  <dataValidations xWindow="808" yWindow="698" count="13">
    <dataValidation type="whole" errorStyle="warning" allowBlank="1" showInputMessage="1" showErrorMessage="1" errorTitle="AVERAGE NUMBER OF EMPLOYEES" error="PLEASE ENTER A NUMERIC VALUE!_x000a_OR_x000a_CANNOT BE '0' IF EMOLUMENT PAYMENTS REPORTED IN INCOME STATEMENT!_x000a_OR_x000a_CANNOT BE MORE THAN '0' IF NO EMOLUMENT PAYMENTS REPORTED IN INCOME STATEMENT!_x000a_" promptTitle="Average Number of employees" prompt="Please enter the average number of employees engaged by the company during the financial period." sqref="G60:I60" xr:uid="{00000000-0002-0000-7200-000000000000}">
      <formula1>Z60</formula1>
      <formula2>Z62</formula2>
    </dataValidation>
    <dataValidation type="custom" operator="equal" allowBlank="1" showInputMessage="1" showErrorMessage="1" errorTitle="PE NUMBER" error="PLEASE ENTER THE CORRECT 6 DIGIT PE NUMBER!" sqref="F62:F63 G63:I63" xr:uid="{00000000-0002-0000-7200-000001000000}">
      <formula1>AG62=0</formula1>
    </dataValidation>
    <dataValidation type="custom" errorStyle="warning" operator="equal" allowBlank="1" showInputMessage="1" showErrorMessage="1" errorTitle="PE NUMBER" error="PLEASE ENTER THE CORRECT 6 DIGIT PE NUMBER!" sqref="F61:I61 F60" xr:uid="{00000000-0002-0000-7200-000002000000}">
      <formula1>AG60=0</formula1>
    </dataValidation>
    <dataValidation type="list" allowBlank="1" showDropDown="1" showInputMessage="1" showErrorMessage="1" errorTitle="TAXATION DATA" error="PLEASE ENTER Y   OR  N !" sqref="G7:G32 G34:G54" xr:uid="{00000000-0002-0000-7200-000003000000}">
      <formula1>$S$7:$S$10</formula1>
    </dataValidation>
    <dataValidation type="custom" operator="greaterThanOrEqual" allowBlank="1" showDropDown="1" showInputMessage="1" showErrorMessage="1" errorTitle="Reference number" error="Please insert the correct reference number issued by Transport Malta." sqref="F55" xr:uid="{00000000-0002-0000-7200-000004000000}">
      <formula1>R56=1</formula1>
    </dataValidation>
    <dataValidation type="list" allowBlank="1" showInputMessage="1" showErrorMessage="1" sqref="G58" xr:uid="{00000000-0002-0000-7200-000005000000}">
      <formula1>ms</formula1>
    </dataValidation>
    <dataValidation type="list" allowBlank="1" showDropDown="1" showInputMessage="1" showErrorMessage="1" errorTitle="FINANCIAL STATEMENTS" error="PLEASE ENTER Y   OR  N !" sqref="G71:G73 G85:G94" xr:uid="{00000000-0002-0000-7200-000006000000}">
      <formula1>$S$7:$S$10</formula1>
    </dataValidation>
    <dataValidation type="textLength" operator="lessThanOrEqual" allowBlank="1" showInputMessage="1" showErrorMessage="1" errorTitle="Audit qualification" error="Please be brief using up to 60 characters per line !" sqref="C78:E80" xr:uid="{00000000-0002-0000-7200-000007000000}">
      <formula1>60</formula1>
    </dataValidation>
    <dataValidation type="list" allowBlank="1" showInputMessage="1" showErrorMessage="1" sqref="F76:G76" xr:uid="{00000000-0002-0000-7200-000008000000}">
      <formula1>yn</formula1>
    </dataValidation>
    <dataValidation type="list" operator="equal" allowBlank="1" showInputMessage="1" showErrorMessage="1" sqref="G62:I62" xr:uid="{00000000-0002-0000-7200-000009000000}">
      <formula1>yn</formula1>
    </dataValidation>
    <dataValidation errorStyle="information" allowBlank="1" showInputMessage="1" showErrorMessage="1" promptTitle="Non-Cooperative Tax Jurisdiction" prompt="Nexus includes presence, registration, transactions, ownership or governance, including through a transparent entity or arrangement.(Refer to CfR website www.cfr.gov.mt to view the EU List)" sqref="C33:E33" xr:uid="{00000000-0002-0000-7200-00000A000000}"/>
    <dataValidation type="list" allowBlank="1" showDropDown="1" showInputMessage="1" showErrorMessage="1" errorTitle="TAXATION DATA" error="PLEASE ENTER Y   OR  N !" promptTitle="Non-Cooperative Tax Jurisdiction" prompt="Nexus includes presence, registration, transactions, ownership or governance, including through a transparent entity or arrangement.(Refer to CfR website www.cfr.gov.mt to view the EU List)" sqref="G33" xr:uid="{00000000-0002-0000-7200-00000B000000}">
      <formula1>$S$7:$S$10</formula1>
    </dataValidation>
    <dataValidation errorStyle="information" allowBlank="1" showInputMessage="1" showErrorMessage="1" promptTitle="Non-Cooperative Tax Jurisdiction" prompt="_x000a_" sqref="F33" xr:uid="{00000000-0002-0000-7200-00000C000000}"/>
  </dataValidations>
  <hyperlinks>
    <hyperlink ref="A2" location="Index!A1" display="Index!A1" xr:uid="{00000000-0004-0000-7200-000000000000}"/>
    <hyperlink ref="F33" r:id="rId2" xr:uid="{00000000-0004-0000-7200-000001000000}"/>
  </hyperlinks>
  <printOptions horizontalCentered="1"/>
  <pageMargins left="0.31496062992125984" right="0.15748031496062992" top="0.15748031496062992" bottom="0.15748031496062992" header="0.15748031496062992" footer="3.937007874015748E-2"/>
  <pageSetup paperSize="9" scale="76" orientation="portrait" r:id="rId3"/>
  <headerFooter alignWithMargins="0">
    <oddFooter>&amp;LCfR - Malta&amp;Rpage 2</oddFooter>
  </headerFooter>
  <legacyDrawing r:id="rId4"/>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28">
    <pageSetUpPr autoPageBreaks="0" fitToPage="1"/>
  </sheetPr>
  <dimension ref="A1:XFC104"/>
  <sheetViews>
    <sheetView showGridLines="0" topLeftCell="B40" zoomScale="85" zoomScaleNormal="85" workbookViewId="0">
      <selection activeCell="G84" sqref="G84"/>
    </sheetView>
  </sheetViews>
  <sheetFormatPr defaultColWidth="0" defaultRowHeight="12.75" customHeight="1" zeroHeight="1" x14ac:dyDescent="0.2"/>
  <cols>
    <col min="1" max="1" width="0.7109375" style="32" hidden="1" customWidth="1"/>
    <col min="2" max="2" width="61.28515625" style="32" customWidth="1"/>
    <col min="3" max="3" width="7.28515625" style="32" bestFit="1" customWidth="1"/>
    <col min="4" max="4" width="3.5703125" style="32" bestFit="1" customWidth="1"/>
    <col min="5" max="5" width="12.7109375" style="32" customWidth="1"/>
    <col min="6" max="6" width="3.28515625" style="60" customWidth="1"/>
    <col min="7" max="7" width="12.7109375" style="32" customWidth="1"/>
    <col min="8" max="8" width="3.7109375" style="32" bestFit="1" customWidth="1"/>
    <col min="9" max="9" width="12.7109375" style="112" customWidth="1"/>
    <col min="10" max="10" width="15.7109375" style="32" customWidth="1"/>
    <col min="11" max="16383" width="4.28515625" style="32" hidden="1"/>
    <col min="16384" max="16384" width="0.42578125" style="32" hidden="1"/>
  </cols>
  <sheetData>
    <row r="1" spans="1:54" ht="15" customHeight="1" x14ac:dyDescent="0.2">
      <c r="B1" s="5518" t="str">
        <f>_ref1</f>
      </c>
      <c r="C1" s="5518"/>
      <c r="D1" s="5518"/>
      <c r="E1" s="5518"/>
      <c r="F1" s="5518"/>
      <c r="G1" s="5518"/>
      <c r="H1" s="5518"/>
      <c r="I1" s="1641" t="str">
        <f>_YA1</f>
      </c>
      <c r="O1" s="32" t="str">
        <f>ck</f>
      </c>
    </row>
    <row r="2" spans="1:54" ht="13.5" customHeight="1" x14ac:dyDescent="0.2">
      <c r="B2" s="5517" t="s">
        <v>6290</v>
      </c>
      <c r="C2" s="5517"/>
      <c r="D2" s="5517"/>
      <c r="E2" s="5517"/>
      <c r="F2" s="5517"/>
      <c r="G2" s="5517"/>
      <c r="H2" s="5517"/>
      <c r="I2" s="5517"/>
    </row>
    <row r="3" spans="1:54" ht="15" x14ac:dyDescent="0.2">
      <c r="A3" s="909"/>
      <c r="B3" s="5528" t="s">
        <v>2306</v>
      </c>
      <c r="C3" s="5020"/>
      <c r="D3" s="5020"/>
      <c r="E3" s="5020"/>
      <c r="F3" s="5021"/>
      <c r="G3" s="5529" t="str">
        <f>ver</f>
        <v>TA2_e-CO_2025_Ver 1.1</v>
      </c>
      <c r="H3" s="5530"/>
      <c r="I3" s="5531"/>
      <c r="AA3" s="28"/>
      <c r="AB3" s="28"/>
      <c r="AC3" s="28"/>
      <c r="AD3" s="28"/>
      <c r="AE3" s="28"/>
      <c r="AF3" s="28"/>
      <c r="AG3" s="28"/>
      <c r="AH3" s="28"/>
    </row>
    <row r="4" spans="1:54" ht="16.5" customHeight="1" thickBot="1" x14ac:dyDescent="0.25">
      <c r="A4" s="910"/>
      <c r="B4" s="911" t="s">
        <v>2307</v>
      </c>
      <c r="C4" s="912" t="s">
        <v>5412</v>
      </c>
      <c r="D4" s="5525" t="str">
        <f>efile</f>
      </c>
      <c r="E4" s="5526"/>
      <c r="F4" s="5526"/>
      <c r="G4" s="5526"/>
      <c r="H4" s="5526"/>
      <c r="I4" s="5527"/>
    </row>
    <row r="5" spans="1:54" ht="4.5" customHeight="1" x14ac:dyDescent="0.2">
      <c r="A5" s="910"/>
      <c r="B5" s="913"/>
      <c r="C5" s="241"/>
      <c r="D5" s="241"/>
      <c r="E5" s="105"/>
      <c r="F5" s="56"/>
      <c r="G5" s="105"/>
      <c r="I5" s="1642"/>
    </row>
    <row r="6" spans="1:54" ht="14.1" customHeight="1" x14ac:dyDescent="0.2">
      <c r="B6" s="914" t="s">
        <v>6529</v>
      </c>
      <c r="C6" s="915" t="s">
        <v>2754</v>
      </c>
      <c r="D6" s="505" t="s">
        <v>6530</v>
      </c>
      <c r="E6" s="561">
        <f>E7</f>
      </c>
      <c r="F6" s="916" t="str">
        <f>IF(ISBLANK(E6),reo,IF(AZ6&gt;0,"",IF(E6&lt;&gt;E7,"Check with TIFD!","")))</f>
        <v/>
      </c>
      <c r="G6" s="406"/>
      <c r="H6" s="434"/>
      <c r="I6" s="1642"/>
      <c r="K6" s="32">
        <f>IF(F6="",0,1)</f>
      </c>
      <c r="P6" s="32">
        <f>IF(ISBLANK(E6),0,1)</f>
      </c>
      <c r="AZ6" s="32">
        <f>BA6+BB6</f>
      </c>
      <c r="BA6" s="32">
        <f>IF('p2'!G23="y",1,0)</f>
      </c>
      <c r="BB6" s="32">
        <f>IF('p2'!G22="Y",1,0)</f>
      </c>
    </row>
    <row r="7" spans="1:54" ht="15.75" customHeight="1" x14ac:dyDescent="0.2">
      <c r="A7" s="910"/>
      <c r="B7" s="1426" t="s">
        <v>6531</v>
      </c>
      <c r="C7" s="195"/>
      <c r="D7" s="917"/>
      <c r="E7" s="917">
        <f>Income!Q262*-1</f>
      </c>
      <c r="F7" s="105"/>
      <c r="G7" s="50"/>
      <c r="H7" s="112"/>
      <c r="I7" s="1642"/>
    </row>
    <row r="8" spans="1:54" ht="14.1" customHeight="1" x14ac:dyDescent="0.2">
      <c r="B8" s="918" t="s">
        <v>5529</v>
      </c>
      <c r="C8" s="195"/>
      <c r="D8" s="505" t="s">
        <v>5530</v>
      </c>
      <c r="E8" s="847"/>
      <c r="F8" s="406" t="str">
        <f>IF(AND(V8=0,E8=""),"",IF(ISBLANK(E8),re,IF(E8&lt;&gt;V8,ck,"")))</f>
        <v/>
      </c>
      <c r="G8" s="50"/>
      <c r="H8" s="434"/>
      <c r="I8" s="1642"/>
      <c r="K8" s="32">
        <f>IF(F8=re,1,0)</f>
      </c>
      <c r="L8" s="32">
        <f>IF(ISBLANK(E8),0,1)</f>
      </c>
      <c r="P8" s="32">
        <f t="shared" ref="P8:P33" si="0">IF(ISBLANK(E8),0,1)</f>
      </c>
      <c r="V8" s="919">
        <f>Income!BC232</f>
      </c>
    </row>
    <row r="9" spans="1:54" ht="14.1" customHeight="1" x14ac:dyDescent="0.2">
      <c r="B9" s="918" t="s">
        <v>5487</v>
      </c>
      <c r="C9" s="195"/>
      <c r="D9" s="505" t="s">
        <v>5524</v>
      </c>
      <c r="E9" s="847"/>
      <c r="F9" s="406" t="str">
        <f>IF(AND(V9=0,E9=""),"",IF(ISBLANK(E9),re,IF(E9&lt;&gt;V9,ck,"")))</f>
        <v/>
      </c>
      <c r="G9" s="50"/>
      <c r="H9" s="434"/>
      <c r="I9" s="1642"/>
      <c r="K9" s="32">
        <f>IF(F9=re,1,0)</f>
      </c>
      <c r="P9" s="32">
        <f t="shared" si="0"/>
        <v>1</v>
      </c>
      <c r="V9" s="919">
        <f>Income!BD196</f>
      </c>
    </row>
    <row r="10" spans="1:54" x14ac:dyDescent="0.2">
      <c r="B10" s="920" t="s">
        <v>5158</v>
      </c>
      <c r="C10" s="195"/>
      <c r="D10" s="34"/>
      <c r="E10" s="921"/>
      <c r="F10" s="50"/>
      <c r="G10" s="50"/>
      <c r="I10" s="1642"/>
      <c r="P10" s="32">
        <f t="shared" si="0"/>
        <v>0</v>
      </c>
    </row>
    <row r="11" spans="1:54" ht="14.1" customHeight="1" x14ac:dyDescent="0.2">
      <c r="A11" s="107"/>
      <c r="B11" s="212"/>
      <c r="C11" s="195"/>
      <c r="D11" s="505" t="s">
        <v>530</v>
      </c>
      <c r="E11" s="847"/>
      <c r="F11" s="406" t="str">
        <f>IF(ISBLANK(E11),"",IF(ISBLANK(B11),"Description ?",""))</f>
        <v/>
      </c>
      <c r="G11" s="50"/>
      <c r="I11" s="1643"/>
      <c r="K11" s="32">
        <f>IF(F11="",0,1)</f>
      </c>
      <c r="L11" s="32">
        <f>IF(ISBLANK(E11),0,1)</f>
      </c>
      <c r="P11" s="32">
        <f t="shared" si="0"/>
        <v>0</v>
      </c>
      <c r="X11" s="28"/>
      <c r="Y11" s="28"/>
      <c r="Z11" s="28"/>
    </row>
    <row r="12" spans="1:54" ht="14.1" customHeight="1" x14ac:dyDescent="0.2">
      <c r="A12" s="107"/>
      <c r="B12" s="212"/>
      <c r="C12" s="195"/>
      <c r="D12" s="505" t="s">
        <v>531</v>
      </c>
      <c r="E12" s="847"/>
      <c r="F12" s="406" t="str">
        <f>IF(ISBLANK(E12),"",IF(ISBLANK(B12),"Description ?",""))</f>
        <v/>
      </c>
      <c r="G12" s="50"/>
      <c r="I12" s="1643"/>
      <c r="K12" s="32">
        <f>IF(F12="",0,1)</f>
      </c>
      <c r="L12" s="32">
        <f>IF(ISBLANK(E12),0,1)</f>
      </c>
      <c r="P12" s="32">
        <f t="shared" si="0"/>
        <v>0</v>
      </c>
      <c r="X12" s="28"/>
      <c r="Y12" s="28"/>
      <c r="Z12" s="28"/>
    </row>
    <row r="13" spans="1:54" ht="14.1" customHeight="1" x14ac:dyDescent="0.2">
      <c r="A13" s="107"/>
      <c r="B13" s="212"/>
      <c r="C13" s="195"/>
      <c r="D13" s="505" t="s">
        <v>532</v>
      </c>
      <c r="E13" s="847"/>
      <c r="F13" s="406" t="str">
        <f>IF(ISBLANK(E13),"",IF(ISBLANK(B13),"Description ?",""))</f>
        <v/>
      </c>
      <c r="G13" s="50"/>
      <c r="I13" s="1643"/>
      <c r="K13" s="32">
        <f>IF(F13="",0,1)</f>
      </c>
      <c r="L13" s="32">
        <f>IF(ISBLANK(E13),0,1)</f>
      </c>
      <c r="M13" s="32">
        <f>SUM(L11:L13)</f>
      </c>
      <c r="P13" s="32">
        <f t="shared" si="0"/>
        <v>0</v>
      </c>
      <c r="X13" s="28"/>
      <c r="Y13" s="28"/>
      <c r="Z13" s="28"/>
    </row>
    <row r="14" spans="1:54" ht="14.1" hidden="1" customHeight="1" x14ac:dyDescent="0.2">
      <c r="A14" s="107"/>
      <c r="B14" s="212"/>
      <c r="C14" s="195"/>
      <c r="D14" s="241"/>
      <c r="E14" s="3671"/>
      <c r="F14" s="406"/>
      <c r="G14" s="50"/>
      <c r="I14" s="1643"/>
      <c r="X14" s="28"/>
      <c r="Y14" s="28"/>
      <c r="Z14" s="28"/>
    </row>
    <row r="15" spans="1:54" ht="14.1" hidden="1" customHeight="1" x14ac:dyDescent="0.2">
      <c r="A15" s="107"/>
      <c r="B15" s="212"/>
      <c r="C15" s="195"/>
      <c r="D15" s="241"/>
      <c r="E15" s="3671"/>
      <c r="F15" s="406"/>
      <c r="G15" s="50"/>
      <c r="I15" s="1643"/>
      <c r="X15" s="28"/>
      <c r="Y15" s="28"/>
      <c r="Z15" s="28"/>
    </row>
    <row r="16" spans="1:54" ht="14.1" hidden="1" customHeight="1" x14ac:dyDescent="0.2">
      <c r="A16" s="107"/>
      <c r="B16" s="212"/>
      <c r="C16" s="195"/>
      <c r="D16" s="241"/>
      <c r="E16" s="3671"/>
      <c r="F16" s="406"/>
      <c r="G16" s="50"/>
      <c r="I16" s="1643"/>
      <c r="X16" s="28"/>
      <c r="Y16" s="28"/>
      <c r="Z16" s="28"/>
    </row>
    <row r="17" spans="1:26" ht="14.1" hidden="1" customHeight="1" x14ac:dyDescent="0.2">
      <c r="A17" s="107"/>
      <c r="B17" s="212"/>
      <c r="C17" s="195"/>
      <c r="D17" s="241"/>
      <c r="E17" s="3671"/>
      <c r="F17" s="406"/>
      <c r="G17" s="50"/>
      <c r="I17" s="1643"/>
      <c r="X17" s="28"/>
      <c r="Y17" s="28"/>
      <c r="Z17" s="28"/>
    </row>
    <row r="18" spans="1:26" ht="14.1" hidden="1" customHeight="1" x14ac:dyDescent="0.2">
      <c r="A18" s="107"/>
      <c r="B18" s="212"/>
      <c r="C18" s="195"/>
      <c r="D18" s="241"/>
      <c r="E18" s="3671"/>
      <c r="F18" s="406"/>
      <c r="G18" s="50"/>
      <c r="I18" s="1643"/>
      <c r="X18" s="28"/>
      <c r="Y18" s="28"/>
      <c r="Z18" s="28"/>
    </row>
    <row r="19" spans="1:26" x14ac:dyDescent="0.2">
      <c r="B19" s="920" t="s">
        <v>5159</v>
      </c>
      <c r="C19" s="196"/>
      <c r="D19" s="34"/>
      <c r="E19" s="921"/>
      <c r="F19" s="241"/>
      <c r="G19" s="50"/>
      <c r="I19" s="1642"/>
      <c r="P19" s="32">
        <f t="shared" si="0"/>
        <v>0</v>
      </c>
    </row>
    <row r="20" spans="1:26" ht="14.1" customHeight="1" x14ac:dyDescent="0.2">
      <c r="A20" s="107"/>
      <c r="B20" s="212"/>
      <c r="C20" s="195"/>
      <c r="D20" s="505" t="s">
        <v>3625</v>
      </c>
      <c r="E20" s="847"/>
      <c r="F20" s="406" t="str">
        <f>IF(ISBLANK(E20),"",IF(ISBLANK(B20),"Description ?",""))</f>
        <v/>
      </c>
      <c r="G20" s="50"/>
      <c r="I20" s="1643"/>
      <c r="K20" s="32">
        <f>IF(F20="",0,1)</f>
      </c>
      <c r="P20" s="32">
        <f t="shared" si="0"/>
        <v>0</v>
      </c>
      <c r="X20" s="28"/>
      <c r="Y20" s="28"/>
      <c r="Z20" s="28"/>
    </row>
    <row r="21" spans="1:26" ht="14.1" customHeight="1" x14ac:dyDescent="0.2">
      <c r="A21" s="107"/>
      <c r="B21" s="212"/>
      <c r="C21" s="195"/>
      <c r="D21" s="505" t="s">
        <v>3626</v>
      </c>
      <c r="E21" s="847"/>
      <c r="F21" s="406" t="str">
        <f>IF(ISBLANK(E21),"",IF(ISBLANK(B21),"Description ?",""))</f>
        <v/>
      </c>
      <c r="G21" s="50"/>
      <c r="I21" s="1643"/>
      <c r="K21" s="32">
        <f>IF(F21="",0,1)</f>
      </c>
      <c r="P21" s="32">
        <f t="shared" si="0"/>
        <v>0</v>
      </c>
      <c r="X21" s="28"/>
      <c r="Y21" s="28"/>
      <c r="Z21" s="28"/>
    </row>
    <row r="22" spans="1:26" ht="14.1" customHeight="1" x14ac:dyDescent="0.2">
      <c r="A22" s="107"/>
      <c r="B22" s="212"/>
      <c r="C22" s="195"/>
      <c r="D22" s="505" t="s">
        <v>2742</v>
      </c>
      <c r="E22" s="847"/>
      <c r="F22" s="406" t="str">
        <f>IF(ISBLANK(E22),"",IF(ISBLANK(B22),"Description ?",""))</f>
        <v/>
      </c>
      <c r="G22" s="50"/>
      <c r="I22" s="1643"/>
      <c r="K22" s="32">
        <f>IF(F22="",0,1)</f>
      </c>
      <c r="P22" s="32">
        <f t="shared" si="0"/>
        <v>0</v>
      </c>
      <c r="X22" s="28"/>
      <c r="Y22" s="28"/>
      <c r="Z22" s="28"/>
    </row>
    <row r="23" spans="1:26" ht="14.1" customHeight="1" x14ac:dyDescent="0.2">
      <c r="A23" s="107"/>
      <c r="B23" s="212"/>
      <c r="C23" s="195"/>
      <c r="D23" s="505" t="s">
        <v>2743</v>
      </c>
      <c r="E23" s="847"/>
      <c r="F23" s="406" t="str">
        <f>IF(ISBLANK(E23),"",IF(ISBLANK(B23),"Description ?",""))</f>
        <v/>
      </c>
      <c r="G23" s="50"/>
      <c r="I23" s="1643"/>
      <c r="K23" s="32">
        <f>IF(F23="",0,1)</f>
      </c>
      <c r="P23" s="32">
        <f t="shared" si="0"/>
        <v>0</v>
      </c>
      <c r="X23" s="28"/>
      <c r="Y23" s="28"/>
      <c r="Z23" s="28"/>
    </row>
    <row r="24" spans="1:26" ht="14.1" hidden="1" customHeight="1" x14ac:dyDescent="0.2">
      <c r="A24" s="107"/>
      <c r="B24" s="212"/>
      <c r="C24" s="195"/>
      <c r="D24" s="241"/>
      <c r="E24" s="3671"/>
      <c r="F24" s="406"/>
      <c r="G24" s="50"/>
      <c r="I24" s="1643"/>
      <c r="X24" s="28"/>
      <c r="Y24" s="28"/>
      <c r="Z24" s="28"/>
    </row>
    <row r="25" spans="1:26" ht="14.1" hidden="1" customHeight="1" x14ac:dyDescent="0.2">
      <c r="A25" s="107"/>
      <c r="B25" s="212"/>
      <c r="C25" s="195"/>
      <c r="D25" s="241"/>
      <c r="E25" s="3671"/>
      <c r="F25" s="406"/>
      <c r="G25" s="50"/>
      <c r="I25" s="1643"/>
      <c r="X25" s="28"/>
      <c r="Y25" s="28"/>
      <c r="Z25" s="28"/>
    </row>
    <row r="26" spans="1:26" ht="14.1" hidden="1" customHeight="1" x14ac:dyDescent="0.2">
      <c r="A26" s="107"/>
      <c r="B26" s="212"/>
      <c r="C26" s="195"/>
      <c r="D26" s="241"/>
      <c r="E26" s="3671"/>
      <c r="F26" s="406"/>
      <c r="G26" s="50"/>
      <c r="I26" s="1643"/>
      <c r="X26" s="28"/>
      <c r="Y26" s="28"/>
      <c r="Z26" s="28"/>
    </row>
    <row r="27" spans="1:26" ht="14.1" hidden="1" customHeight="1" x14ac:dyDescent="0.2">
      <c r="A27" s="107"/>
      <c r="B27" s="212"/>
      <c r="C27" s="195"/>
      <c r="D27" s="241"/>
      <c r="E27" s="3671"/>
      <c r="F27" s="406"/>
      <c r="G27" s="50"/>
      <c r="I27" s="1643"/>
      <c r="X27" s="28"/>
      <c r="Y27" s="28"/>
      <c r="Z27" s="28"/>
    </row>
    <row r="28" spans="1:26" ht="14.1" hidden="1" customHeight="1" x14ac:dyDescent="0.2">
      <c r="A28" s="107"/>
      <c r="B28" s="212"/>
      <c r="C28" s="195"/>
      <c r="D28" s="241"/>
      <c r="E28" s="3671"/>
      <c r="F28" s="406"/>
      <c r="G28" s="50"/>
      <c r="I28" s="1643"/>
      <c r="X28" s="28"/>
      <c r="Y28" s="28"/>
      <c r="Z28" s="28"/>
    </row>
    <row r="29" spans="1:26" x14ac:dyDescent="0.2">
      <c r="B29" s="920" t="s">
        <v>5160</v>
      </c>
      <c r="C29" s="195"/>
      <c r="D29" s="922"/>
      <c r="E29" s="923"/>
      <c r="F29" s="241"/>
      <c r="G29" s="50"/>
      <c r="I29" s="1642"/>
      <c r="P29" s="32">
        <f t="shared" si="0"/>
        <v>0</v>
      </c>
    </row>
    <row r="30" spans="1:26" ht="14.1" customHeight="1" x14ac:dyDescent="0.2">
      <c r="A30" s="107"/>
      <c r="B30" s="924" t="s">
        <v>9262</v>
      </c>
      <c r="C30" s="3458" t="s">
        <v>9234</v>
      </c>
      <c r="D30" s="505" t="s">
        <v>2744</v>
      </c>
      <c r="E30" s="845">
        <f>'TRA113'!N102</f>
      </c>
      <c r="F30" s="406" t="str">
        <f>IF(ISBLANK(E30),"",IF(ISBLANK(B30),"Description ?",""))</f>
        <v/>
      </c>
      <c r="G30" s="50"/>
      <c r="I30" s="1643"/>
      <c r="P30" s="32">
        <f t="shared" si="0"/>
        <v>1</v>
      </c>
      <c r="X30" s="28"/>
      <c r="Y30" s="28"/>
      <c r="Z30" s="28"/>
    </row>
    <row r="31" spans="1:26" ht="14.1" customHeight="1" x14ac:dyDescent="0.2">
      <c r="A31" s="107"/>
      <c r="B31" s="924" t="s">
        <v>10712</v>
      </c>
      <c r="C31" s="3458"/>
      <c r="D31" s="505" t="s">
        <v>2745</v>
      </c>
      <c r="E31" s="847"/>
      <c r="F31" s="406" t="str">
        <f>IF(AND('p2'!$G$42="y",E31=""),reo,IF(AND('p2'!$G$42="n",E31&gt;0),"Delete!",""))</f>
        <v/>
      </c>
      <c r="G31" s="50"/>
      <c r="I31" s="1643"/>
      <c r="K31" s="32">
        <f>IF(F31="",0,1)</f>
      </c>
      <c r="P31" s="32">
        <f t="shared" si="0"/>
        <v>0</v>
      </c>
      <c r="X31" s="28"/>
      <c r="Y31" s="28"/>
      <c r="Z31" s="28"/>
    </row>
    <row r="32" spans="1:26" ht="14.1" customHeight="1" x14ac:dyDescent="0.2">
      <c r="A32" s="107"/>
      <c r="B32" s="212"/>
      <c r="C32" s="195"/>
      <c r="D32" s="505" t="s">
        <v>2746</v>
      </c>
      <c r="E32" s="847">
        <f>4640+1353</f>
      </c>
      <c r="F32" s="406" t="str">
        <f>IF(ISBLANK(E32),"",IF(ISBLANK(B32),"Description ?",""))</f>
        <v/>
      </c>
      <c r="G32" s="50"/>
      <c r="I32" s="1643"/>
      <c r="K32" s="32">
        <f>IF(F32="",0,1)</f>
      </c>
      <c r="P32" s="32">
        <f t="shared" si="0"/>
        <v>1</v>
      </c>
      <c r="X32" s="28"/>
      <c r="Y32" s="28"/>
      <c r="Z32" s="28"/>
    </row>
    <row r="33" spans="1:26" ht="14.1" customHeight="1" x14ac:dyDescent="0.2">
      <c r="A33" s="107"/>
      <c r="B33" s="212"/>
      <c r="C33" s="195"/>
      <c r="D33" s="505" t="s">
        <v>2747</v>
      </c>
      <c r="E33" s="847"/>
      <c r="F33" s="406" t="str">
        <f>IF(ISBLANK(E33),"",IF(ISBLANK(B33),"Description ?",""))</f>
        <v/>
      </c>
      <c r="G33" s="50"/>
      <c r="I33" s="1643"/>
      <c r="K33" s="32">
        <f>IF(F33="",0,1)</f>
      </c>
      <c r="P33" s="32">
        <f t="shared" si="0"/>
        <v>0</v>
      </c>
      <c r="X33" s="28"/>
      <c r="Y33" s="28"/>
      <c r="Z33" s="28"/>
    </row>
    <row r="34" spans="1:26" ht="14.1" hidden="1" customHeight="1" x14ac:dyDescent="0.2">
      <c r="A34" s="107"/>
      <c r="B34" s="212"/>
      <c r="C34" s="195"/>
      <c r="D34" s="241"/>
      <c r="E34" s="3671"/>
      <c r="F34" s="406"/>
      <c r="G34" s="50"/>
      <c r="I34" s="1643"/>
      <c r="X34" s="28"/>
      <c r="Y34" s="28"/>
      <c r="Z34" s="28"/>
    </row>
    <row r="35" spans="1:26" ht="14.1" hidden="1" customHeight="1" x14ac:dyDescent="0.2">
      <c r="A35" s="107"/>
      <c r="B35" s="212"/>
      <c r="C35" s="195"/>
      <c r="D35" s="241"/>
      <c r="E35" s="3671"/>
      <c r="F35" s="406"/>
      <c r="G35" s="50"/>
      <c r="I35" s="1643"/>
      <c r="X35" s="28"/>
      <c r="Y35" s="28"/>
      <c r="Z35" s="28"/>
    </row>
    <row r="36" spans="1:26" ht="14.1" hidden="1" customHeight="1" x14ac:dyDescent="0.2">
      <c r="A36" s="107"/>
      <c r="B36" s="212"/>
      <c r="C36" s="195"/>
      <c r="D36" s="241"/>
      <c r="E36" s="3671"/>
      <c r="F36" s="406"/>
      <c r="G36" s="50"/>
      <c r="I36" s="1643"/>
      <c r="X36" s="28"/>
      <c r="Y36" s="28"/>
      <c r="Z36" s="28"/>
    </row>
    <row r="37" spans="1:26" ht="14.1" hidden="1" customHeight="1" x14ac:dyDescent="0.2">
      <c r="A37" s="107"/>
      <c r="B37" s="212"/>
      <c r="C37" s="195"/>
      <c r="D37" s="241"/>
      <c r="E37" s="3671"/>
      <c r="F37" s="406"/>
      <c r="G37" s="50"/>
      <c r="I37" s="1643"/>
      <c r="X37" s="28"/>
      <c r="Y37" s="28"/>
      <c r="Z37" s="28"/>
    </row>
    <row r="38" spans="1:26" ht="14.1" hidden="1" customHeight="1" x14ac:dyDescent="0.2">
      <c r="A38" s="107"/>
      <c r="B38" s="212"/>
      <c r="C38" s="195"/>
      <c r="D38" s="241"/>
      <c r="E38" s="3671"/>
      <c r="F38" s="406"/>
      <c r="G38" s="50"/>
      <c r="I38" s="1643"/>
      <c r="X38" s="28"/>
      <c r="Y38" s="28"/>
      <c r="Z38" s="28"/>
    </row>
    <row r="39" spans="1:26" x14ac:dyDescent="0.2">
      <c r="B39" s="920" t="s">
        <v>9118</v>
      </c>
      <c r="C39" s="195"/>
      <c r="D39" s="34"/>
      <c r="E39" s="921"/>
      <c r="F39" s="50"/>
      <c r="G39" s="50"/>
      <c r="I39" s="1642"/>
    </row>
    <row r="40" spans="1:26" ht="14.1" customHeight="1" x14ac:dyDescent="0.2">
      <c r="A40" s="107"/>
      <c r="B40" s="924" t="s">
        <v>9250</v>
      </c>
      <c r="C40" s="3458" t="s">
        <v>9206</v>
      </c>
      <c r="D40" s="505" t="s">
        <v>324</v>
      </c>
      <c r="E40" s="845">
        <f>'TRA112'!Q467</f>
      </c>
      <c r="F40" s="406" t="str">
        <f>IF(ISBLANK(E40),"",IF(ISBLANK(B40),"Description ?",""))</f>
        <v/>
      </c>
      <c r="G40" s="50"/>
      <c r="I40" s="1643"/>
      <c r="P40" s="32">
        <f>IF(ISBLANK(E40),0,1)</f>
      </c>
      <c r="X40" s="28"/>
      <c r="Y40" s="28"/>
      <c r="Z40" s="28"/>
    </row>
    <row r="41" spans="1:26" ht="14.1" customHeight="1" x14ac:dyDescent="0.2">
      <c r="A41" s="107"/>
      <c r="B41" s="212"/>
      <c r="C41" s="195"/>
      <c r="D41" s="505" t="s">
        <v>325</v>
      </c>
      <c r="E41" s="847"/>
      <c r="F41" s="406" t="str">
        <f>IF(ISBLANK(E41),"",IF(ISBLANK(B41),"Description ?",""))</f>
        <v/>
      </c>
      <c r="G41" s="50"/>
      <c r="I41" s="1643"/>
      <c r="K41" s="32">
        <f>IF(F41="",0,1)</f>
      </c>
      <c r="P41" s="32">
        <f>IF(ISBLANK(E41),0,1)</f>
      </c>
      <c r="X41" s="28"/>
      <c r="Y41" s="28"/>
      <c r="Z41" s="28"/>
    </row>
    <row r="42" spans="1:26" ht="14.1" customHeight="1" x14ac:dyDescent="0.2">
      <c r="A42" s="107"/>
      <c r="B42" s="212"/>
      <c r="C42" s="195"/>
      <c r="D42" s="505" t="s">
        <v>326</v>
      </c>
      <c r="E42" s="847"/>
      <c r="F42" s="406" t="str">
        <f>IF(ISBLANK(E42),"",IF(ISBLANK(B42),"Description ?",""))</f>
        <v/>
      </c>
      <c r="G42" s="50"/>
      <c r="I42" s="1643"/>
      <c r="K42" s="32">
        <f>IF(F42="",0,1)</f>
      </c>
      <c r="P42" s="32">
        <f>IF(ISBLANK(E42),0,1)</f>
      </c>
      <c r="X42" s="28"/>
      <c r="Y42" s="28"/>
      <c r="Z42" s="28"/>
    </row>
    <row r="43" spans="1:26" ht="14.1" hidden="1" customHeight="1" x14ac:dyDescent="0.2">
      <c r="A43" s="107"/>
      <c r="B43" s="212"/>
      <c r="C43" s="195"/>
      <c r="D43" s="241"/>
      <c r="E43" s="3671"/>
      <c r="F43" s="406"/>
      <c r="G43" s="50"/>
      <c r="I43" s="1643"/>
      <c r="X43" s="28"/>
      <c r="Y43" s="28"/>
      <c r="Z43" s="28"/>
    </row>
    <row r="44" spans="1:26" ht="14.1" hidden="1" customHeight="1" x14ac:dyDescent="0.2">
      <c r="A44" s="107"/>
      <c r="B44" s="212"/>
      <c r="C44" s="195"/>
      <c r="D44" s="241"/>
      <c r="E44" s="3671"/>
      <c r="F44" s="406"/>
      <c r="G44" s="50"/>
      <c r="I44" s="1643"/>
      <c r="X44" s="28"/>
      <c r="Y44" s="28"/>
      <c r="Z44" s="28"/>
    </row>
    <row r="45" spans="1:26" ht="14.1" hidden="1" customHeight="1" x14ac:dyDescent="0.2">
      <c r="A45" s="107"/>
      <c r="B45" s="212"/>
      <c r="C45" s="195"/>
      <c r="D45" s="241"/>
      <c r="E45" s="3671"/>
      <c r="F45" s="406"/>
      <c r="G45" s="50"/>
      <c r="I45" s="1643"/>
      <c r="X45" s="28"/>
      <c r="Y45" s="28"/>
      <c r="Z45" s="28"/>
    </row>
    <row r="46" spans="1:26" ht="14.1" hidden="1" customHeight="1" x14ac:dyDescent="0.2">
      <c r="A46" s="107"/>
      <c r="B46" s="212"/>
      <c r="C46" s="195"/>
      <c r="D46" s="241"/>
      <c r="E46" s="3671"/>
      <c r="F46" s="406"/>
      <c r="G46" s="50"/>
      <c r="I46" s="1643"/>
      <c r="X46" s="28"/>
      <c r="Y46" s="28"/>
      <c r="Z46" s="28"/>
    </row>
    <row r="47" spans="1:26" ht="14.1" hidden="1" customHeight="1" x14ac:dyDescent="0.2">
      <c r="A47" s="107"/>
      <c r="B47" s="212"/>
      <c r="C47" s="195"/>
      <c r="D47" s="241"/>
      <c r="E47" s="3671"/>
      <c r="F47" s="406"/>
      <c r="G47" s="50"/>
      <c r="I47" s="1643"/>
      <c r="X47" s="28"/>
      <c r="Y47" s="28"/>
      <c r="Z47" s="28"/>
    </row>
    <row r="48" spans="1:26" x14ac:dyDescent="0.2">
      <c r="B48" s="920" t="s">
        <v>9119</v>
      </c>
      <c r="C48" s="195"/>
      <c r="D48" s="34"/>
      <c r="E48" s="921"/>
      <c r="F48" s="50"/>
      <c r="G48" s="50"/>
      <c r="I48" s="1642"/>
    </row>
    <row r="49" spans="1:26" ht="14.1" customHeight="1" x14ac:dyDescent="0.2">
      <c r="A49" s="107"/>
      <c r="B49" s="924" t="s">
        <v>3511</v>
      </c>
      <c r="C49" s="3458" t="s">
        <v>3130</v>
      </c>
      <c r="D49" s="505" t="s">
        <v>327</v>
      </c>
      <c r="E49" s="845">
        <f>'TRA60'!I61</f>
      </c>
      <c r="F49" s="406"/>
      <c r="G49" s="50"/>
      <c r="I49" s="1643"/>
      <c r="P49" s="32">
        <f>IF(ISBLANK(E49),0,1)</f>
      </c>
      <c r="X49" s="28"/>
      <c r="Y49" s="28"/>
      <c r="Z49" s="28"/>
    </row>
    <row r="50" spans="1:26" ht="14.1" customHeight="1" x14ac:dyDescent="0.2">
      <c r="A50" s="107"/>
      <c r="B50" s="924" t="s">
        <v>6312</v>
      </c>
      <c r="C50" s="195"/>
      <c r="D50" s="505" t="s">
        <v>328</v>
      </c>
      <c r="E50" s="847"/>
      <c r="F50" s="406" t="str">
        <f>IF(ISBLANK(E50),"",IF(ISBLANK(B50),"Description ?",""))</f>
        <v/>
      </c>
      <c r="G50" s="50"/>
      <c r="I50" s="1643"/>
      <c r="K50" s="32">
        <f>IF(F50="",0,1)</f>
      </c>
      <c r="P50" s="32">
        <f>IF(ISBLANK(E50),0,1)</f>
      </c>
      <c r="X50" s="28"/>
      <c r="Y50" s="28"/>
      <c r="Z50" s="28"/>
    </row>
    <row r="51" spans="1:26" ht="14.1" customHeight="1" x14ac:dyDescent="0.2">
      <c r="A51" s="107"/>
      <c r="B51" s="924" t="s">
        <v>9117</v>
      </c>
      <c r="C51" s="195"/>
      <c r="D51" s="505" t="s">
        <v>329</v>
      </c>
      <c r="E51" s="847"/>
      <c r="F51" s="406" t="str">
        <f>IF(ISBLANK(E51),"",IF(ISBLANK(B51),"Description ?",""))</f>
        <v/>
      </c>
      <c r="G51" s="50"/>
      <c r="I51" s="1643"/>
      <c r="K51" s="32">
        <f>IF(F51="",0,1)</f>
      </c>
      <c r="P51" s="32">
        <f>IF(ISBLANK(E51),0,1)</f>
      </c>
      <c r="X51" s="28"/>
      <c r="Y51" s="28"/>
      <c r="Z51" s="28"/>
    </row>
    <row r="52" spans="1:26" ht="14.1" customHeight="1" x14ac:dyDescent="0.2">
      <c r="A52" s="107"/>
      <c r="B52" s="924" t="s">
        <v>10095</v>
      </c>
      <c r="C52" s="3458" t="s">
        <v>10092</v>
      </c>
      <c r="D52" s="505" t="s">
        <v>10094</v>
      </c>
      <c r="E52" s="845">
        <f>'TRA117'!U397</f>
      </c>
      <c r="F52" s="406"/>
      <c r="G52" s="50"/>
      <c r="I52" s="1643"/>
      <c r="P52" s="32">
        <f>IF(ISBLANK(E52),0,1)</f>
      </c>
      <c r="X52" s="28"/>
      <c r="Y52" s="28"/>
      <c r="Z52" s="28"/>
    </row>
    <row r="53" spans="1:26" ht="14.1" hidden="1" customHeight="1" x14ac:dyDescent="0.2">
      <c r="A53" s="107"/>
      <c r="B53" s="924"/>
      <c r="C53" s="195"/>
      <c r="D53" s="505"/>
      <c r="E53" s="847"/>
      <c r="F53" s="406"/>
      <c r="G53" s="50"/>
      <c r="I53" s="1643"/>
      <c r="X53" s="28"/>
      <c r="Y53" s="28"/>
      <c r="Z53" s="28"/>
    </row>
    <row r="54" spans="1:26" ht="14.1" hidden="1" customHeight="1" x14ac:dyDescent="0.2">
      <c r="A54" s="107"/>
      <c r="B54" s="924"/>
      <c r="C54" s="195"/>
      <c r="D54" s="505"/>
      <c r="E54" s="847"/>
      <c r="F54" s="406"/>
      <c r="G54" s="50"/>
      <c r="I54" s="1643"/>
      <c r="X54" s="28"/>
      <c r="Y54" s="28"/>
      <c r="Z54" s="28"/>
    </row>
    <row r="55" spans="1:26" ht="14.1" hidden="1" customHeight="1" x14ac:dyDescent="0.2">
      <c r="A55" s="107"/>
      <c r="B55" s="924"/>
      <c r="C55" s="195"/>
      <c r="D55" s="505"/>
      <c r="E55" s="847"/>
      <c r="F55" s="406"/>
      <c r="G55" s="50"/>
      <c r="I55" s="1643"/>
      <c r="X55" s="28"/>
      <c r="Y55" s="28"/>
      <c r="Z55" s="28"/>
    </row>
    <row r="56" spans="1:26" ht="14.1" hidden="1" customHeight="1" x14ac:dyDescent="0.2">
      <c r="A56" s="107"/>
      <c r="B56" s="924"/>
      <c r="C56" s="195"/>
      <c r="D56" s="505"/>
      <c r="E56" s="847"/>
      <c r="F56" s="406"/>
      <c r="G56" s="50"/>
      <c r="I56" s="1643"/>
      <c r="X56" s="28"/>
      <c r="Y56" s="28"/>
      <c r="Z56" s="28"/>
    </row>
    <row r="57" spans="1:26" ht="14.1" customHeight="1" x14ac:dyDescent="0.2">
      <c r="B57" s="938" t="s">
        <v>10096</v>
      </c>
      <c r="C57" s="195"/>
      <c r="D57" s="505" t="s">
        <v>5769</v>
      </c>
      <c r="E57" s="845">
        <f>SUM(E51,E50,E52,E49,E40:E42,E30:E33,E20:E23,E11:E13,E8:E9)</f>
      </c>
      <c r="F57" s="50"/>
      <c r="G57" s="50"/>
      <c r="I57" s="1642"/>
    </row>
    <row r="58" spans="1:26" ht="14.1" customHeight="1" x14ac:dyDescent="0.2">
      <c r="A58" s="107"/>
      <c r="B58" s="938" t="s">
        <v>5235</v>
      </c>
      <c r="C58" s="195"/>
      <c r="D58" s="505" t="s">
        <v>5236</v>
      </c>
      <c r="E58" s="925">
        <f>E6+E57</f>
      </c>
      <c r="F58" s="50"/>
      <c r="G58" s="50"/>
      <c r="I58" s="1642"/>
    </row>
    <row r="59" spans="1:26" ht="14.25" customHeight="1" x14ac:dyDescent="0.2">
      <c r="B59" s="1426" t="s">
        <v>3136</v>
      </c>
      <c r="C59" s="195"/>
      <c r="D59" s="922"/>
      <c r="E59" s="923"/>
      <c r="F59" s="50"/>
      <c r="G59" s="50"/>
      <c r="I59" s="1642"/>
      <c r="P59" s="32">
        <f>IF(ISBLANK(E59),0,1)</f>
      </c>
    </row>
    <row r="60" spans="1:26" ht="12.75" customHeight="1" x14ac:dyDescent="0.2">
      <c r="B60" s="920" t="s">
        <v>611</v>
      </c>
      <c r="C60" s="195"/>
      <c r="D60" s="922"/>
      <c r="E60" s="923"/>
      <c r="F60" s="50"/>
      <c r="G60" s="50"/>
      <c r="I60" s="1642"/>
      <c r="P60" s="32">
        <f>IF(ISBLANK(E60),0,1)</f>
      </c>
    </row>
    <row r="61" spans="1:26" ht="14.1" customHeight="1" x14ac:dyDescent="0.2">
      <c r="B61" s="212"/>
      <c r="C61" s="195"/>
      <c r="D61" s="505" t="s">
        <v>6598</v>
      </c>
      <c r="E61" s="847"/>
      <c r="F61" s="406" t="str">
        <f>IF(ISBLANK(E61),"",IF(ISBLANK(B61),"Description ?",""))</f>
        <v/>
      </c>
      <c r="G61" s="50"/>
      <c r="I61" s="1643"/>
      <c r="K61" s="32">
        <f>IF(F61="",0,1)</f>
      </c>
      <c r="L61" s="32">
        <f>IF(ISBLANK(E61),0,1)</f>
      </c>
      <c r="P61" s="32">
        <f>IF(ISBLANK(E61),0,1)</f>
      </c>
      <c r="X61" s="28"/>
      <c r="Y61" s="28"/>
      <c r="Z61" s="28"/>
    </row>
    <row r="62" spans="1:26" ht="14.1" customHeight="1" x14ac:dyDescent="0.2">
      <c r="B62" s="212"/>
      <c r="C62" s="195"/>
      <c r="D62" s="505" t="s">
        <v>6599</v>
      </c>
      <c r="E62" s="847"/>
      <c r="F62" s="406" t="str">
        <f>IF(ISBLANK(E62),"",IF(ISBLANK(B62),"Description ?",""))</f>
        <v/>
      </c>
      <c r="G62" s="50"/>
      <c r="I62" s="1643"/>
      <c r="K62" s="32">
        <f>IF(F62="",0,1)</f>
      </c>
      <c r="L62" s="32">
        <f>IF(ISBLANK(E62),0,1)</f>
      </c>
      <c r="P62" s="32">
        <f>IF(ISBLANK(E62),0,1)</f>
      </c>
      <c r="X62" s="28"/>
      <c r="Y62" s="28"/>
      <c r="Z62" s="28"/>
    </row>
    <row r="63" spans="1:26" ht="14.1" customHeight="1" x14ac:dyDescent="0.2">
      <c r="B63" s="212"/>
      <c r="C63" s="195"/>
      <c r="D63" s="505" t="s">
        <v>6600</v>
      </c>
      <c r="E63" s="847"/>
      <c r="F63" s="406" t="str">
        <f>IF(ISBLANK(E63),"",IF(ISBLANK(B63),"Description ?",""))</f>
        <v/>
      </c>
      <c r="G63" s="50"/>
      <c r="I63" s="1643"/>
      <c r="K63" s="32">
        <f>IF(F63="",0,1)</f>
      </c>
      <c r="L63" s="32">
        <f>IF(ISBLANK(E63),0,1)</f>
      </c>
      <c r="M63" s="32">
        <f>SUM(L61:L63)</f>
      </c>
      <c r="P63" s="32">
        <f>IF(ISBLANK(E63),0,1)</f>
      </c>
      <c r="X63" s="28"/>
      <c r="Y63" s="28"/>
      <c r="Z63" s="28"/>
    </row>
    <row r="64" spans="1:26" ht="14.1" hidden="1" customHeight="1" x14ac:dyDescent="0.2">
      <c r="B64" s="212"/>
      <c r="C64" s="195"/>
      <c r="D64" s="241"/>
      <c r="E64" s="3671"/>
      <c r="F64" s="406"/>
      <c r="G64" s="50"/>
      <c r="I64" s="1643"/>
      <c r="X64" s="28"/>
      <c r="Y64" s="28"/>
      <c r="Z64" s="28"/>
    </row>
    <row r="65" spans="1:26" ht="14.1" hidden="1" customHeight="1" x14ac:dyDescent="0.2">
      <c r="B65" s="212"/>
      <c r="C65" s="195"/>
      <c r="D65" s="241"/>
      <c r="E65" s="3671"/>
      <c r="F65" s="406"/>
      <c r="G65" s="50"/>
      <c r="I65" s="1643"/>
      <c r="X65" s="28"/>
      <c r="Y65" s="28"/>
      <c r="Z65" s="28"/>
    </row>
    <row r="66" spans="1:26" ht="14.1" hidden="1" customHeight="1" x14ac:dyDescent="0.2">
      <c r="B66" s="212"/>
      <c r="C66" s="195"/>
      <c r="D66" s="241"/>
      <c r="E66" s="3671"/>
      <c r="F66" s="406"/>
      <c r="G66" s="50"/>
      <c r="I66" s="1643"/>
      <c r="X66" s="28"/>
      <c r="Y66" s="28"/>
      <c r="Z66" s="28"/>
    </row>
    <row r="67" spans="1:26" ht="14.1" hidden="1" customHeight="1" x14ac:dyDescent="0.2">
      <c r="B67" s="212"/>
      <c r="C67" s="195"/>
      <c r="D67" s="241"/>
      <c r="E67" s="3671"/>
      <c r="F67" s="406"/>
      <c r="G67" s="50"/>
      <c r="I67" s="1643"/>
      <c r="X67" s="28"/>
      <c r="Y67" s="28"/>
      <c r="Z67" s="28"/>
    </row>
    <row r="68" spans="1:26" ht="14.1" hidden="1" customHeight="1" x14ac:dyDescent="0.2">
      <c r="B68" s="212"/>
      <c r="C68" s="195"/>
      <c r="D68" s="241"/>
      <c r="E68" s="3671"/>
      <c r="F68" s="406"/>
      <c r="G68" s="50"/>
      <c r="I68" s="1643"/>
      <c r="X68" s="28"/>
      <c r="Y68" s="28"/>
      <c r="Z68" s="28"/>
    </row>
    <row r="69" spans="1:26" x14ac:dyDescent="0.2">
      <c r="B69" s="920" t="s">
        <v>588</v>
      </c>
      <c r="C69" s="195"/>
      <c r="D69" s="922"/>
      <c r="E69" s="923"/>
      <c r="F69" s="241"/>
      <c r="G69" s="50"/>
      <c r="I69" s="1642"/>
      <c r="P69" s="32">
        <f>IF(ISBLANK(E69),0,1)</f>
      </c>
    </row>
    <row r="70" spans="1:26" ht="14.1" customHeight="1" x14ac:dyDescent="0.2">
      <c r="B70" s="926" t="s">
        <v>4180</v>
      </c>
      <c r="C70" s="195"/>
      <c r="D70" s="505" t="s">
        <v>4181</v>
      </c>
      <c r="E70" s="847"/>
      <c r="F70" s="241"/>
      <c r="G70" s="406" t="str">
        <f>IF(AND(SUM('p4'!K25:K27,'p4'!O25:O27,'p4'!R25:R27)&gt;0,E70=""),re,"")</f>
        <v/>
      </c>
      <c r="I70" s="1642"/>
      <c r="K70" s="32">
        <f>IF(G70="",0,1)</f>
      </c>
      <c r="L70" s="32">
        <f>IF(ISBLANK(G70),0,1)</f>
      </c>
      <c r="P70" s="32">
        <f>IF(ISBLANK(G70),0,1)</f>
      </c>
      <c r="Q70" s="44"/>
      <c r="X70" s="28"/>
      <c r="Y70" s="28"/>
    </row>
    <row r="71" spans="1:26" ht="14.1" customHeight="1" x14ac:dyDescent="0.2">
      <c r="B71" s="926" t="s">
        <v>4182</v>
      </c>
      <c r="C71" s="195"/>
      <c r="D71" s="505" t="s">
        <v>4183</v>
      </c>
      <c r="E71" s="847"/>
      <c r="F71" s="50"/>
      <c r="G71" s="406" t="str">
        <f>IF(AND(SUM('p4'!K28:K30,'p4'!O30,'p4'!R28:R30)&gt;0,E71=""),re,"")</f>
        <v/>
      </c>
      <c r="I71" s="1642"/>
      <c r="K71" s="32">
        <f>IF(G71="",0,1)</f>
      </c>
      <c r="L71" s="32">
        <f>IF(ISBLANK(G71),0,1)</f>
      </c>
      <c r="P71" s="32">
        <f>IF(ISBLANK(G71),0,1)</f>
      </c>
      <c r="X71" s="28"/>
      <c r="Y71" s="28"/>
    </row>
    <row r="72" spans="1:26" ht="14.1" customHeight="1" x14ac:dyDescent="0.2">
      <c r="B72" s="926" t="s">
        <v>4184</v>
      </c>
      <c r="C72" s="195"/>
      <c r="D72" s="505" t="s">
        <v>4185</v>
      </c>
      <c r="E72" s="847"/>
      <c r="F72" s="50"/>
      <c r="G72" s="406" t="str">
        <f>IF(AND(SUM('p4'!K31,'p4'!O31,'p4'!R31)&gt;0,E72=""),re,"")</f>
        <v/>
      </c>
      <c r="I72" s="1642"/>
      <c r="K72" s="32">
        <f>IF(G72="",0,1)</f>
      </c>
      <c r="L72" s="32">
        <f>IF(ISBLANK(G72),0,1)</f>
      </c>
      <c r="M72" s="32">
        <f>SUM(L70:L72)</f>
      </c>
      <c r="P72" s="32">
        <f>IF(ISBLANK(G72),0,1)</f>
      </c>
      <c r="X72" s="28"/>
      <c r="Y72" s="28"/>
    </row>
    <row r="73" spans="1:26" ht="14.1" hidden="1" customHeight="1" x14ac:dyDescent="0.2">
      <c r="B73" s="926"/>
      <c r="C73" s="195"/>
      <c r="D73" s="241"/>
      <c r="E73" s="3671"/>
      <c r="F73" s="50"/>
      <c r="G73" s="406"/>
      <c r="I73" s="1642"/>
      <c r="X73" s="28"/>
      <c r="Y73" s="28"/>
    </row>
    <row r="74" spans="1:26" ht="14.1" hidden="1" customHeight="1" x14ac:dyDescent="0.2">
      <c r="B74" s="926"/>
      <c r="C74" s="195"/>
      <c r="D74" s="241"/>
      <c r="E74" s="3671"/>
      <c r="F74" s="50"/>
      <c r="G74" s="406"/>
      <c r="I74" s="1642"/>
      <c r="X74" s="28"/>
      <c r="Y74" s="28"/>
    </row>
    <row r="75" spans="1:26" ht="14.1" hidden="1" customHeight="1" x14ac:dyDescent="0.2">
      <c r="B75" s="926"/>
      <c r="C75" s="195"/>
      <c r="D75" s="241"/>
      <c r="E75" s="3671"/>
      <c r="F75" s="50"/>
      <c r="G75" s="406"/>
      <c r="I75" s="1642"/>
      <c r="X75" s="28"/>
      <c r="Y75" s="28"/>
    </row>
    <row r="76" spans="1:26" ht="14.1" hidden="1" customHeight="1" x14ac:dyDescent="0.2">
      <c r="B76" s="926"/>
      <c r="C76" s="195"/>
      <c r="D76" s="241"/>
      <c r="E76" s="3671"/>
      <c r="F76" s="50"/>
      <c r="G76" s="406"/>
      <c r="I76" s="1642"/>
      <c r="X76" s="28"/>
      <c r="Y76" s="28"/>
    </row>
    <row r="77" spans="1:26" ht="14.1" hidden="1" customHeight="1" x14ac:dyDescent="0.2">
      <c r="B77" s="926"/>
      <c r="C77" s="195"/>
      <c r="D77" s="241"/>
      <c r="E77" s="3671"/>
      <c r="F77" s="50"/>
      <c r="G77" s="406"/>
      <c r="I77" s="1642"/>
      <c r="X77" s="28"/>
      <c r="Y77" s="28"/>
    </row>
    <row r="78" spans="1:26" ht="14.1" hidden="1" customHeight="1" x14ac:dyDescent="0.2">
      <c r="B78" s="926"/>
      <c r="C78" s="195"/>
      <c r="D78" s="241"/>
      <c r="E78" s="3671"/>
      <c r="F78" s="50"/>
      <c r="G78" s="406"/>
      <c r="I78" s="1642"/>
      <c r="X78" s="28"/>
      <c r="Y78" s="28"/>
    </row>
    <row r="79" spans="1:26" x14ac:dyDescent="0.2">
      <c r="A79" s="107"/>
      <c r="B79" s="920" t="s">
        <v>612</v>
      </c>
      <c r="C79" s="195"/>
      <c r="D79" s="108"/>
      <c r="E79" s="921"/>
      <c r="F79" s="50"/>
      <c r="G79" s="50"/>
      <c r="I79" s="1642"/>
      <c r="P79" s="32">
        <f>IF(ISBLANK(E79),0,1)</f>
      </c>
    </row>
    <row r="80" spans="1:26" ht="14.1" customHeight="1" x14ac:dyDescent="0.2">
      <c r="A80" s="107"/>
      <c r="B80" s="918" t="s">
        <v>6000</v>
      </c>
      <c r="C80" s="3458" t="s">
        <v>3130</v>
      </c>
      <c r="D80" s="505" t="s">
        <v>4186</v>
      </c>
      <c r="E80" s="845">
        <f>'TRA60'!F61</f>
      </c>
      <c r="F80" s="406"/>
      <c r="G80" s="50"/>
      <c r="I80" s="1643"/>
      <c r="P80" s="32">
        <f>IF(ISBLANK(E80),0,1)</f>
      </c>
      <c r="X80" s="28"/>
      <c r="Y80" s="28"/>
      <c r="Z80" s="32">
        <f>'TRA18'!E64</f>
      </c>
    </row>
    <row r="81" spans="1:28" ht="14.1" customHeight="1" x14ac:dyDescent="0.2">
      <c r="A81" s="107"/>
      <c r="B81" s="918" t="s">
        <v>3189</v>
      </c>
      <c r="C81" s="3458" t="s">
        <v>1026</v>
      </c>
      <c r="D81" s="505" t="s">
        <v>4187</v>
      </c>
      <c r="E81" s="845">
        <f>Y81</f>
      </c>
      <c r="F81" s="406"/>
      <c r="G81" s="50"/>
      <c r="I81" s="1643"/>
      <c r="P81" s="32">
        <f>IF(ISBLANK(E81),0,1)</f>
      </c>
      <c r="X81" s="28"/>
      <c r="Y81" s="44">
        <f>Z81+AA81+AB81</f>
      </c>
      <c r="Z81" s="32">
        <f>'TRA18'!E64-('TRA18'!E26+'TRA18'!E27+'TRA18'!E61)</f>
      </c>
      <c r="AA81" s="32">
        <f>'TRA8'!C90</f>
      </c>
      <c r="AB81" s="32">
        <f>'TRA15'!F70</f>
      </c>
    </row>
    <row r="82" spans="1:28" ht="14.1" customHeight="1" x14ac:dyDescent="0.2">
      <c r="A82" s="107"/>
      <c r="B82" s="918" t="s">
        <v>9124</v>
      </c>
      <c r="C82" s="3458" t="s">
        <v>1501</v>
      </c>
      <c r="D82" s="505" t="s">
        <v>4188</v>
      </c>
      <c r="E82" s="4171">
        <f>'TRA8'!G111</f>
      </c>
      <c r="F82" s="406"/>
      <c r="G82" s="50"/>
      <c r="I82" s="1643"/>
      <c r="P82" s="32">
        <f>IF(ISBLANK(E82),0,1)</f>
      </c>
      <c r="X82" s="28"/>
      <c r="Y82" s="28"/>
      <c r="Z82" s="28"/>
    </row>
    <row r="83" spans="1:28" ht="12.75" hidden="1" customHeight="1" x14ac:dyDescent="0.2">
      <c r="A83" s="109"/>
      <c r="B83" s="212"/>
      <c r="C83" s="4151"/>
      <c r="D83" s="108"/>
      <c r="E83" s="921"/>
      <c r="F83" s="50"/>
      <c r="G83" s="50"/>
      <c r="I83" s="1642"/>
      <c r="N83" s="32">
        <f>SUM(N84:N86)</f>
      </c>
      <c r="P83" s="32">
        <f>IF(ISBLANK(E83),0,1)</f>
      </c>
    </row>
    <row r="84" spans="1:28" ht="14.1" customHeight="1" x14ac:dyDescent="0.2">
      <c r="A84" s="110"/>
      <c r="B84" s="918" t="s">
        <v>8248</v>
      </c>
      <c r="C84" s="3458" t="s">
        <v>8732</v>
      </c>
      <c r="D84" s="505" t="s">
        <v>4189</v>
      </c>
      <c r="E84" s="4171">
        <f>'TRA107'!N29</f>
      </c>
      <c r="F84" s="406"/>
      <c r="G84" s="50"/>
      <c r="I84" s="1643"/>
      <c r="K84" s="32">
        <f>IF(F84="",0,1)</f>
      </c>
      <c r="M84" s="32" t="str">
        <f>'p2'!G9</f>
      </c>
      <c r="N84" s="32">
        <f>IF(M84="n",1,0)</f>
      </c>
      <c r="P84" s="32">
        <f>IF(ISBLANK('TRA60'!F22),0,1)</f>
      </c>
      <c r="X84" s="28"/>
      <c r="Y84" s="28"/>
    </row>
    <row r="85" spans="1:28" ht="14.1" customHeight="1" x14ac:dyDescent="0.2">
      <c r="A85" s="110"/>
      <c r="B85" s="918" t="s">
        <v>10712</v>
      </c>
      <c r="C85" s="3458"/>
      <c r="D85" s="505" t="s">
        <v>4190</v>
      </c>
      <c r="E85" s="847"/>
      <c r="F85" s="406" t="str">
        <f>IF(AND('p2'!$G$42="y",E85=""),reo,IF(AND('p2'!$G$42="n",E85&gt;0),"Delete!",""))</f>
        <v/>
      </c>
      <c r="G85" s="2484"/>
      <c r="I85" s="1643"/>
      <c r="K85" s="32">
        <f>IF(F85="",0,1)</f>
      </c>
      <c r="M85" s="4152" t="str">
        <f>'p2'!G42</f>
      </c>
      <c r="N85" s="32">
        <f>IF(M85="n",1,0)</f>
      </c>
      <c r="P85" s="4152">
        <f>IF(ISBLANK(E85),0,1)</f>
      </c>
      <c r="X85" s="28"/>
      <c r="Y85" s="28"/>
    </row>
    <row r="86" spans="1:28" hidden="1" x14ac:dyDescent="0.2">
      <c r="A86" s="110"/>
      <c r="B86" s="212"/>
      <c r="C86" s="213"/>
      <c r="D86" s="34"/>
      <c r="E86" s="927"/>
      <c r="F86" s="50"/>
      <c r="G86" s="50"/>
      <c r="I86" s="1642"/>
      <c r="M86" s="32" t="str">
        <f>'p2'!G8</f>
      </c>
      <c r="N86" s="32">
        <f>IF(M86="n",1,0)</f>
      </c>
      <c r="P86" s="4152">
        <f>IF(ISBLANK(E86),0,1)</f>
      </c>
    </row>
    <row r="87" spans="1:28" hidden="1" x14ac:dyDescent="0.2">
      <c r="A87" s="110"/>
      <c r="B87" s="212"/>
      <c r="C87" s="213"/>
      <c r="D87" s="34"/>
      <c r="E87" s="927"/>
      <c r="F87" s="50"/>
      <c r="G87" s="50"/>
      <c r="I87" s="1642"/>
    </row>
    <row r="88" spans="1:28" hidden="1" x14ac:dyDescent="0.2">
      <c r="A88" s="110"/>
      <c r="B88" s="212"/>
      <c r="C88" s="213"/>
      <c r="D88" s="34"/>
      <c r="E88" s="927"/>
      <c r="F88" s="50"/>
      <c r="G88" s="50"/>
      <c r="I88" s="1642"/>
    </row>
    <row r="89" spans="1:28" hidden="1" x14ac:dyDescent="0.2">
      <c r="A89" s="110"/>
      <c r="B89" s="212"/>
      <c r="C89" s="213"/>
      <c r="D89" s="34"/>
      <c r="E89" s="927"/>
      <c r="F89" s="50"/>
      <c r="G89" s="50"/>
      <c r="I89" s="1642"/>
    </row>
    <row r="90" spans="1:28" hidden="1" x14ac:dyDescent="0.2">
      <c r="A90" s="110"/>
      <c r="B90" s="212"/>
      <c r="C90" s="213"/>
      <c r="D90" s="34"/>
      <c r="E90" s="927"/>
      <c r="F90" s="50"/>
      <c r="G90" s="50"/>
      <c r="I90" s="1642"/>
    </row>
    <row r="91" spans="1:28" hidden="1" x14ac:dyDescent="0.2">
      <c r="A91" s="110"/>
      <c r="B91" s="212"/>
      <c r="C91" s="213"/>
      <c r="D91" s="34"/>
      <c r="E91" s="927"/>
      <c r="F91" s="50"/>
      <c r="G91" s="50"/>
      <c r="I91" s="1642"/>
    </row>
    <row r="92" spans="1:28" x14ac:dyDescent="0.2">
      <c r="A92" s="110"/>
      <c r="B92" s="212"/>
      <c r="C92" s="195"/>
      <c r="D92" s="505" t="s">
        <v>4192</v>
      </c>
      <c r="E92" s="847"/>
      <c r="F92" s="406" t="str">
        <f>IF(ISBLANK(E92),"",IF(ISBLANK(B92),"Description ?",""))</f>
        <v/>
      </c>
      <c r="G92" s="50"/>
      <c r="I92" s="1642"/>
      <c r="K92" s="32">
        <f>IF(F92="",0,1)</f>
      </c>
      <c r="P92" s="4152">
        <f>IF(ISBLANK(E92),0,1)</f>
      </c>
    </row>
    <row r="93" spans="1:28" x14ac:dyDescent="0.2">
      <c r="A93" s="110"/>
      <c r="B93" s="212"/>
      <c r="C93" s="195"/>
      <c r="D93" s="505" t="s">
        <v>10713</v>
      </c>
      <c r="E93" s="847"/>
      <c r="F93" s="406" t="str">
        <f>IF(ISBLANK(E93),"",IF(ISBLANK(B93),"Description ?",""))</f>
        <v/>
      </c>
      <c r="G93" s="50"/>
      <c r="I93" s="1643"/>
      <c r="K93" s="32">
        <f>IF(F93="",0,1)</f>
      </c>
      <c r="P93" s="32">
        <f>IF(ISBLANK('TRA60'!F26),0,1)</f>
      </c>
    </row>
    <row r="94" spans="1:28" ht="14.1" customHeight="1" x14ac:dyDescent="0.2">
      <c r="A94" s="107"/>
      <c r="B94" s="938" t="s">
        <v>5273</v>
      </c>
      <c r="C94" s="195"/>
      <c r="D94" s="505" t="s">
        <v>5274</v>
      </c>
      <c r="E94" s="845">
        <f>SUM(E80:E82,E70:E72,E61:E63,E84:E85,E92,E93)</f>
      </c>
      <c r="F94" s="50"/>
      <c r="G94" s="50"/>
      <c r="I94" s="1642"/>
      <c r="K94" s="928"/>
    </row>
    <row r="95" spans="1:28" ht="14.1" customHeight="1" x14ac:dyDescent="0.2">
      <c r="B95" s="938" t="s">
        <v>2533</v>
      </c>
      <c r="C95" s="197"/>
      <c r="D95" s="505" t="s">
        <v>2534</v>
      </c>
      <c r="E95" s="845">
        <f>ROUND(E58-E94,0)</f>
      </c>
      <c r="F95" s="50"/>
      <c r="G95" s="50"/>
      <c r="I95" s="1642"/>
      <c r="K95" s="928"/>
      <c r="L95" s="929"/>
      <c r="M95" s="929"/>
      <c r="P95" s="44">
        <f>SUM(P6:P94)</f>
      </c>
    </row>
    <row r="96" spans="1:28" ht="13.5" hidden="1" thickBot="1" x14ac:dyDescent="0.25">
      <c r="B96" s="111"/>
      <c r="C96" s="111"/>
      <c r="D96" s="111"/>
      <c r="E96" s="111"/>
      <c r="F96" s="111"/>
      <c r="G96" s="111"/>
      <c r="H96" s="1644"/>
      <c r="I96" s="1645"/>
      <c r="J96" s="1638"/>
    </row>
    <row r="97" spans="1:79" ht="5.25" customHeight="1" x14ac:dyDescent="0.2">
      <c r="B97" s="1646"/>
      <c r="C97" s="107"/>
      <c r="D97" s="107"/>
      <c r="E97" s="738"/>
      <c r="G97" s="107"/>
      <c r="I97" s="1642"/>
      <c r="J97" s="1638"/>
    </row>
    <row r="98" spans="1:79" x14ac:dyDescent="0.2">
      <c r="B98" s="941" t="s">
        <v>379</v>
      </c>
      <c r="C98" s="942"/>
      <c r="D98" s="930" t="s">
        <v>8101</v>
      </c>
      <c r="E98" s="931"/>
      <c r="F98" s="930" t="s">
        <v>8100</v>
      </c>
      <c r="G98" s="931"/>
      <c r="H98" s="5520" t="s">
        <v>1495</v>
      </c>
      <c r="I98" s="5521"/>
      <c r="J98" s="1638"/>
      <c r="K98" s="32">
        <f>IF(J100="",0,1)</f>
      </c>
      <c r="M98" s="32">
        <f>IF('p2'!G10="n",1,0)</f>
      </c>
    </row>
    <row r="99" spans="1:79" x14ac:dyDescent="0.2">
      <c r="B99" s="932" t="str">
        <f>IF(mult&lt;2,U100,X100)</f>
      </c>
      <c r="C99" s="933"/>
      <c r="D99" s="934" t="s">
        <v>380</v>
      </c>
      <c r="E99" s="561">
        <v>0</v>
      </c>
      <c r="F99" s="934" t="s">
        <v>381</v>
      </c>
      <c r="G99" s="561"/>
      <c r="H99" s="934" t="s">
        <v>2755</v>
      </c>
      <c r="I99" s="561">
        <v>0</v>
      </c>
      <c r="J99" s="1639" t="str">
        <f>IF(N99&lt;&gt;3,reo,IF(E95&lt;&gt;S100," Check values!",""))</f>
        <v/>
      </c>
      <c r="K99" s="32">
        <f>IF(J99="",0,1)</f>
      </c>
      <c r="N99" s="413">
        <f>IF(O99=1,COUNT(E99),COUNT(E99,G99,I99))</f>
      </c>
      <c r="O99" s="32">
        <f>IF(BZ99=1,1,P99)</f>
      </c>
      <c r="P99" s="44">
        <v>3</v>
      </c>
      <c r="AC99" s="32">
        <f>IF(mult&gt;1,0,-999999999999)</f>
      </c>
      <c r="AD99" s="32">
        <v>999999999999</v>
      </c>
      <c r="BZ99" s="32">
        <v>0</v>
      </c>
      <c r="CA99" s="32" t="str">
        <f>'p2'!G11</f>
      </c>
    </row>
    <row r="100" spans="1:79" x14ac:dyDescent="0.2">
      <c r="A100" s="107"/>
      <c r="B100" s="935" t="str">
        <f>IF(mult&lt;2,"",X101)</f>
        <v/>
      </c>
      <c r="C100" s="108"/>
      <c r="D100" s="934" t="str">
        <f>IF(mult&gt;1,"37d", "")</f>
        <v/>
      </c>
      <c r="E100" s="561"/>
      <c r="F100" s="934" t="str">
        <f>IF(mult&gt;1,"37e", "")</f>
        <v/>
      </c>
      <c r="G100" s="561"/>
      <c r="H100" s="934" t="str">
        <f>IF(mult&gt;1,"37f","")</f>
        <v/>
      </c>
      <c r="I100" s="365"/>
      <c r="J100" s="1639" t="str">
        <f>IF(AND(mult&lt;2,N100&lt;&gt;0),"Delete values entered!",IF(mult&lt;2,"",IF(N100&lt;3,reo,"")))</f>
        <v/>
      </c>
      <c r="K100" s="32">
        <f>IF(B103&lt;&gt;"",1,0)</f>
      </c>
      <c r="L100" s="32">
        <f>IF(K102&lt;&gt;0,100,IF(S100&lt;&gt;E95,100,1))</f>
      </c>
      <c r="M100" s="32">
        <v>0</v>
      </c>
      <c r="N100" s="413">
        <f>COUNT(E100,G100,I100)</f>
      </c>
      <c r="O100" s="32">
        <f>IF(mult&lt;2,0,3)</f>
      </c>
      <c r="S100" s="32">
        <f>IF(mult&gt;1,E99+G99+I99+E100+G100+I100,E99+I99+G99)</f>
      </c>
      <c r="T100" s="32" t="s">
        <v>5758</v>
      </c>
      <c r="U100" s="5519" t="s">
        <v>4133</v>
      </c>
      <c r="V100" s="5519"/>
      <c r="W100" s="5519"/>
      <c r="X100" s="107" t="s">
        <v>3173</v>
      </c>
      <c r="AC100" s="32">
        <f>IF(mult&lt;2,0,-999999999999)</f>
      </c>
    </row>
    <row r="101" spans="1:79" x14ac:dyDescent="0.2">
      <c r="B101" s="936" t="s">
        <v>4134</v>
      </c>
      <c r="C101" s="214"/>
      <c r="D101" s="34"/>
      <c r="E101" s="56"/>
      <c r="F101" s="34"/>
      <c r="G101" s="56"/>
      <c r="H101" s="934" t="s">
        <v>4135</v>
      </c>
      <c r="I101" s="847"/>
      <c r="J101" s="1640" t="str">
        <f>IF(I101&gt;O101," Check!","")</f>
        <v/>
      </c>
      <c r="M101" s="32">
        <f>SUM(M98:M100)</f>
      </c>
      <c r="O101" s="32">
        <f>IF(I99&lt;0,0,I99*0.25)</f>
      </c>
      <c r="T101" s="32" t="s">
        <v>4020</v>
      </c>
      <c r="X101" s="107" t="s">
        <v>3174</v>
      </c>
    </row>
    <row r="102" spans="1:79" x14ac:dyDescent="0.2">
      <c r="B102" s="938" t="s">
        <v>3547</v>
      </c>
      <c r="C102" s="810"/>
      <c r="D102" s="937" t="s">
        <v>3508</v>
      </c>
      <c r="E102" s="939">
        <f>IF(mult&lt;2,E99,E99+E100)</f>
      </c>
      <c r="F102" s="937" t="s">
        <v>3509</v>
      </c>
      <c r="G102" s="939">
        <f>IF(mult&lt;2,G99,G99+G100)</f>
      </c>
      <c r="H102" s="937" t="s">
        <v>2756</v>
      </c>
      <c r="I102" s="939">
        <f>IF(mult&lt;2,I99+I101,I99+I101+I100)</f>
      </c>
      <c r="J102" s="1638"/>
      <c r="K102" s="32">
        <f>SUM(K5:K101)</f>
      </c>
      <c r="P102" s="28"/>
      <c r="Q102" s="28"/>
      <c r="T102" s="32" t="str">
        <f>IF(mult=1,T100,T101)</f>
      </c>
    </row>
    <row r="103" spans="1:79" x14ac:dyDescent="0.2">
      <c r="B103" s="5522" t="str">
        <f>IF(S100&lt;&gt;E95,T102,"")</f>
        <v/>
      </c>
      <c r="C103" s="5523"/>
      <c r="D103" s="5523"/>
      <c r="E103" s="5523"/>
      <c r="F103" s="5523"/>
      <c r="G103" s="5523"/>
      <c r="H103" s="5523"/>
      <c r="I103" s="5524"/>
      <c r="J103" s="1638"/>
      <c r="L103" s="940"/>
    </row>
    <row r="104" spans="1:79" ht="6" customHeight="1" x14ac:dyDescent="0.2"/>
  </sheetData>
  <sheetProtection algorithmName="SHA-512" hashValue="NasNl8xgAGqpjoMKnErgmEDtecnjo29nqUZQmsSY6F49NqaRUYyrvxXIt3g7JuRXzGxF+2YhcR9mbMiGyX+1hA==" saltValue="sKUlcOYV+BZvYEs7KKKxhA==" spinCount="100000" sheet="1" objects="1" scenarios="1"/>
  <customSheetViews>
    <customSheetView guid="{99B5278F-6EA9-4B1A-8623-27A4DF4AD5E4}" showGridLines="0" fitToPage="1" hiddenRows="1" hiddenColumns="1" topLeftCell="B29">
      <selection activeCell="D36" sqref="D36"/>
      <pageMargins left="0.1" right="0.15" top="0.37" bottom="0.64" header="0.23" footer="0.31496062992125984"/>
      <printOptions horizontalCentered="1"/>
      <pageSetup paperSize="9" scale="89" orientation="portrait" horizontalDpi="300" verticalDpi="300" r:id="rId1"/>
      <headerFooter alignWithMargins="0">
        <oddFooter>&amp;LIRD - Malta&amp;Rpage 3</oddFooter>
      </headerFooter>
    </customSheetView>
  </customSheetViews>
  <mergeCells count="8">
    <mergeCell ref="B2:I2"/>
    <mergeCell ref="B1:H1"/>
    <mergeCell ref="U100:W100"/>
    <mergeCell ref="H98:I98"/>
    <mergeCell ref="B103:I103"/>
    <mergeCell ref="D4:I4"/>
    <mergeCell ref="B3:F3"/>
    <mergeCell ref="G3:I3"/>
  </mergeCells>
  <phoneticPr fontId="0" type="noConversion"/>
  <conditionalFormatting sqref="B100:C100">
    <cfRule type="expression" dxfId="55" priority="14" stopIfTrue="1">
      <formula>"mult&lt;2"</formula>
    </cfRule>
  </conditionalFormatting>
  <conditionalFormatting sqref="B103:I103">
    <cfRule type="expression" dxfId="54" priority="13" stopIfTrue="1">
      <formula>$S$100&lt;&gt;$E$95</formula>
    </cfRule>
  </conditionalFormatting>
  <conditionalFormatting sqref="D4">
    <cfRule type="expression" dxfId="53" priority="12" stopIfTrue="1">
      <formula>fisc&gt;0</formula>
    </cfRule>
  </conditionalFormatting>
  <conditionalFormatting sqref="D100 F100">
    <cfRule type="expression" dxfId="52" priority="10" stopIfTrue="1">
      <formula>mult&lt;2</formula>
    </cfRule>
  </conditionalFormatting>
  <conditionalFormatting sqref="D7:E7">
    <cfRule type="expression" dxfId="51" priority="11" stopIfTrue="1">
      <formula>$AZ$6&gt;0</formula>
    </cfRule>
  </conditionalFormatting>
  <conditionalFormatting sqref="E100 G100">
    <cfRule type="expression" dxfId="50" priority="9" stopIfTrue="1">
      <formula>mult&lt;2</formula>
    </cfRule>
  </conditionalFormatting>
  <conditionalFormatting sqref="F8:F9">
    <cfRule type="expression" dxfId="49" priority="7" stopIfTrue="1">
      <formula>$F8=ck</formula>
    </cfRule>
  </conditionalFormatting>
  <conditionalFormatting sqref="H100">
    <cfRule type="expression" dxfId="48" priority="2" stopIfTrue="1">
      <formula>mult&lt;2</formula>
    </cfRule>
  </conditionalFormatting>
  <conditionalFormatting sqref="H101">
    <cfRule type="expression" dxfId="47" priority="4">
      <formula>"mult&lt;2"</formula>
    </cfRule>
  </conditionalFormatting>
  <conditionalFormatting sqref="I100">
    <cfRule type="expression" dxfId="46" priority="1" stopIfTrue="1">
      <formula>mult&lt;2</formula>
    </cfRule>
  </conditionalFormatting>
  <conditionalFormatting sqref="L103">
    <cfRule type="expression" dxfId="45" priority="8" stopIfTrue="1">
      <formula>mult&lt;2</formula>
    </cfRule>
  </conditionalFormatting>
  <dataValidations count="9">
    <dataValidation type="whole" allowBlank="1" showInputMessage="1" showErrorMessage="1" errorTitle="Loss before capital allowances" error="Do not use when the number of activities in the Income Statement [TIFD] is less than 2 or blank!_x000a_OR_x000a_Please enter a negative value or 0!" sqref="I100" xr:uid="{00000000-0002-0000-7300-000000000000}">
      <formula1>AC100</formula1>
      <formula2>0</formula2>
    </dataValidation>
    <dataValidation type="whole" allowBlank="1" showInputMessage="1" showErrorMessage="1" errorTitle="Income before capital allowances" error="Please enter a whole numeric value!_x000a_OR_x000a_Please enter a positive value or 0 where there are multiple lines of business!" sqref="G99" xr:uid="{00000000-0002-0000-7300-000001000000}">
      <formula1>AC99</formula1>
      <formula2>AD99</formula2>
    </dataValidation>
    <dataValidation type="whole" allowBlank="1" showInputMessage="1" showErrorMessage="1" errorTitle="Income before capital allowances" error="Please enter a whole numeric value!_x000a_OR_x000a_Please enter a positive value or 0 where there are multiple lines of business!" sqref="I99" xr:uid="{00000000-0002-0000-7300-000002000000}">
      <formula1>AC99</formula1>
      <formula2>AD99</formula2>
    </dataValidation>
    <dataValidation type="whole" allowBlank="1" showInputMessage="1" showErrorMessage="1" errorTitle="Loss before capital allowances" error="Do not use when the number of activities in the Income Statement [TIFD] is less than 2 or blank!_x000a_OR_x000a_Please enter a negative value or 0!" sqref="G100 E100" xr:uid="{00000000-0002-0000-7300-000003000000}">
      <formula1>AA100</formula1>
      <formula2>0</formula2>
    </dataValidation>
    <dataValidation type="whole" allowBlank="1" showInputMessage="1" showErrorMessage="1" errorTitle="Income before capital allowances" error="Please enter a whole numeric value!_x000a_OR_x000a_Please enter a positive value or 0 where there are multiple lines of business!" sqref="E99" xr:uid="{00000000-0002-0000-7300-000004000000}">
      <formula1>AC99</formula1>
      <formula2>AD99</formula2>
    </dataValidation>
    <dataValidation type="whole" errorStyle="warning" allowBlank="1" showInputMessage="1" showErrorMessage="1" errorTitle="Flat Rate Foreign Tax Credit" error="PLEASE ENTER A POSITIVE VALUE!_x000a_OR_x000a_EXCESSIVE AMOUNT ENTERED!" sqref="I101" xr:uid="{00000000-0002-0000-7300-000005000000}">
      <formula1>0</formula1>
      <formula2>O101</formula2>
    </dataValidation>
    <dataValidation type="whole" operator="greaterThanOrEqual" allowBlank="1" showInputMessage="1" showErrorMessage="1" errorTitle="ADJUSTMENTS" error="PLEASE ENTER A POSITIVE VALUE!" sqref="E92:E93 E8:E9 E40:E47 E49:E56 E61:E68 E11:E18 E80:E82 E70:E78 E20:E28 E30:E38 E84:E85" xr:uid="{00000000-0002-0000-7300-000006000000}">
      <formula1>0</formula1>
    </dataValidation>
    <dataValidation operator="greaterThanOrEqual" allowBlank="1" showInputMessage="1" showErrorMessage="1" errorTitle="ADJUSTMENTS" error="PLEASE ENTER A POSITIVE VALUE!" sqref="V8:V9" xr:uid="{00000000-0002-0000-7300-000007000000}"/>
    <dataValidation type="whole" allowBlank="1" showInputMessage="1" showErrorMessage="1" errorTitle="Net Profit/(loss)" error="PLEASE ENTER A NUMERIC VALUE!" sqref="E6" xr:uid="{00000000-0002-0000-7300-000008000000}">
      <formula1>-9999999999999</formula1>
      <formula2>99999999999999</formula2>
    </dataValidation>
  </dataValidations>
  <hyperlinks>
    <hyperlink ref="B2:I2" location="Index!A1" display="Index!A1" xr:uid="{00000000-0004-0000-7300-000000000000}"/>
    <hyperlink ref="C6" location="Income!E265" display="Income!E265" xr:uid="{00000000-0004-0000-7300-000001000000}"/>
    <hyperlink ref="C80" location="TRA60!B2" display="TRA 60" xr:uid="{00000000-0004-0000-7300-000002000000}"/>
    <hyperlink ref="C49" location="TRA60!B2" display="TRA 60" xr:uid="{00000000-0004-0000-7300-000003000000}"/>
    <hyperlink ref="C81" location="TRA18!A1" display="TRA 18" xr:uid="{00000000-0004-0000-7300-000004000000}"/>
    <hyperlink ref="C82" location="TRA8!A1" display="TRA 08" xr:uid="{00000000-0004-0000-7300-000005000000}"/>
    <hyperlink ref="C84" location="'TRA107'!A1" display="TRA 107" xr:uid="{00000000-0004-0000-7300-000006000000}"/>
    <hyperlink ref="C30" location="'TRA 113'!A1" display="TRA 113" xr:uid="{00000000-0004-0000-7300-000007000000}"/>
    <hyperlink ref="C40" location="'TRA112'!A1" display="TRA 112" xr:uid="{00000000-0004-0000-7300-000008000000}"/>
    <hyperlink ref="C52" location="'TRA117'!A1" display="TRA 117" xr:uid="{00000000-0004-0000-7300-000009000000}"/>
  </hyperlinks>
  <printOptions horizontalCentered="1"/>
  <pageMargins left="0.11811023622047245" right="0.15748031496062992" top="0.35433070866141736" bottom="0.62992125984251968" header="0.23622047244094491" footer="0.31496062992125984"/>
  <pageSetup paperSize="9" scale="88" orientation="portrait" r:id="rId2"/>
  <headerFooter alignWithMargins="0">
    <oddFooter>&amp;LCfR - Malta&amp;Rpage 3</oddFooter>
  </headerFooter>
  <legacyDrawing r:id="rId3"/>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29">
    <pageSetUpPr autoPageBreaks="0"/>
  </sheetPr>
  <dimension ref="A1:CB65"/>
  <sheetViews>
    <sheetView showGridLines="0" zoomScaleNormal="100" workbookViewId="0">
      <pane ySplit="6" topLeftCell="A28" activePane="bottomLeft" state="frozen"/>
      <selection activeCell="E153" sqref="E153"/>
      <selection pane="bottomLeft" activeCell="O63" sqref="O63"/>
    </sheetView>
  </sheetViews>
  <sheetFormatPr defaultColWidth="0" defaultRowHeight="12" customHeight="1" zeroHeight="1" x14ac:dyDescent="0.2"/>
  <cols>
    <col min="1" max="1" width="0.42578125" style="142" customWidth="1"/>
    <col min="2" max="2" width="6.7109375" style="142" customWidth="1"/>
    <col min="3" max="3" width="9.28515625" style="142" customWidth="1"/>
    <col min="4" max="4" width="26.42578125" style="142" customWidth="1"/>
    <col min="5" max="5" width="2.7109375" style="142" customWidth="1"/>
    <col min="6" max="6" width="3.28515625" style="142" customWidth="1"/>
    <col min="7" max="7" width="10.5703125" style="142" customWidth="1"/>
    <col min="8" max="8" width="6.42578125" style="142" customWidth="1"/>
    <col min="9" max="9" width="1.28515625" style="142" customWidth="1"/>
    <col min="10" max="10" width="3.7109375" style="142" customWidth="1"/>
    <col min="11" max="11" width="9.7109375" style="142" customWidth="1"/>
    <col min="12" max="12" width="0.42578125" style="142" customWidth="1"/>
    <col min="13" max="13" width="0.5703125" style="142" customWidth="1"/>
    <col min="14" max="14" width="3.7109375" style="142" customWidth="1"/>
    <col min="15" max="15" width="9.7109375" style="142" customWidth="1"/>
    <col min="16" max="16" width="0.7109375" style="142" customWidth="1"/>
    <col min="17" max="17" width="3.7109375" style="142" customWidth="1"/>
    <col min="18" max="18" width="9.7109375" style="142" customWidth="1"/>
    <col min="19" max="19" width="13.28515625" style="142" customWidth="1"/>
    <col min="20" max="23" width="10.28515625" style="28" hidden="1" customWidth="1"/>
    <col min="24" max="25" width="9.7109375" style="28" hidden="1" customWidth="1"/>
    <col min="26" max="26" width="10.28515625" style="28" hidden="1" customWidth="1"/>
    <col min="27" max="28" width="9.28515625" style="28" hidden="1" customWidth="1"/>
    <col min="29" max="29" width="11.28515625" style="28" hidden="1" customWidth="1"/>
    <col min="30" max="16384" width="9.28515625" style="28" hidden="1"/>
  </cols>
  <sheetData>
    <row r="1" spans="1:56" ht="12.75" x14ac:dyDescent="0.2">
      <c r="A1" s="3"/>
      <c r="B1" s="4275" t="str">
        <f>_ref1</f>
      </c>
      <c r="C1" s="4275"/>
      <c r="D1" s="4275"/>
      <c r="E1" s="4275"/>
      <c r="F1" s="4275"/>
      <c r="G1" s="4275"/>
      <c r="H1" s="4275"/>
      <c r="I1" s="4275"/>
      <c r="J1" s="4275"/>
      <c r="K1" s="4275"/>
      <c r="L1" s="4275"/>
      <c r="M1" s="4275"/>
      <c r="N1" s="4275"/>
      <c r="O1" s="4275"/>
      <c r="P1" s="4275"/>
      <c r="Q1" s="4275"/>
      <c r="R1" s="2" t="str">
        <f>_YA1</f>
      </c>
      <c r="S1" s="3"/>
      <c r="Z1" s="28">
        <f>IF(AA1="Y",1,0)</f>
      </c>
      <c r="AA1" s="1736" t="str">
        <f>'p2'!G32</f>
      </c>
    </row>
    <row r="2" spans="1:56" ht="15.75" hidden="1" customHeight="1" x14ac:dyDescent="0.2">
      <c r="A2" s="3"/>
      <c r="C2" s="49"/>
      <c r="D2" s="49"/>
      <c r="E2" s="49"/>
      <c r="F2" s="49"/>
      <c r="G2" s="943"/>
      <c r="H2" s="943"/>
      <c r="I2" s="943"/>
      <c r="J2" s="943"/>
      <c r="K2" s="943"/>
      <c r="L2" s="943"/>
      <c r="M2" s="943"/>
      <c r="N2" s="943"/>
      <c r="O2" s="943"/>
      <c r="P2" s="943"/>
      <c r="Q2" s="943"/>
      <c r="R2" s="943"/>
      <c r="S2" s="3"/>
    </row>
    <row r="3" spans="1:56" ht="18" x14ac:dyDescent="0.25">
      <c r="A3" s="3"/>
      <c r="B3" s="611" t="s">
        <v>354</v>
      </c>
      <c r="C3" s="186"/>
      <c r="D3" s="186"/>
      <c r="E3" s="5549" t="str">
        <f>IF('p3'!B103&lt;&gt;"","Page 3 incorrect or incomplete!","")</f>
        <v/>
      </c>
      <c r="F3" s="5549"/>
      <c r="G3" s="5549"/>
      <c r="H3" s="5549"/>
      <c r="I3" s="5549"/>
      <c r="J3" s="5549"/>
      <c r="K3" s="5549"/>
      <c r="L3" s="5549"/>
      <c r="M3" s="5549"/>
      <c r="N3" s="5550"/>
      <c r="O3" s="5562" t="str">
        <f>ver</f>
        <v>TA2_e-CO_2025_Ver 1.1</v>
      </c>
      <c r="P3" s="5563"/>
      <c r="Q3" s="5563"/>
      <c r="R3" s="5564"/>
      <c r="S3" s="3"/>
      <c r="AA3" s="5559"/>
      <c r="AB3" s="5559"/>
      <c r="AC3" s="5559"/>
      <c r="AD3" s="5559"/>
      <c r="AE3" s="5559"/>
      <c r="AF3" s="5559"/>
      <c r="AG3" s="5559"/>
      <c r="AH3" s="5559"/>
      <c r="AI3" s="5559"/>
      <c r="AJ3" s="5559"/>
      <c r="AK3" s="5559"/>
      <c r="AL3" s="5559"/>
      <c r="AM3" s="5559"/>
      <c r="AN3" s="5559"/>
      <c r="AO3" s="5559"/>
      <c r="AP3" s="5559"/>
      <c r="AQ3" s="5559"/>
    </row>
    <row r="4" spans="1:56" ht="3" hidden="1" customHeight="1" x14ac:dyDescent="0.2">
      <c r="A4" s="3"/>
      <c r="B4" s="113"/>
      <c r="C4" s="8"/>
      <c r="D4" s="8"/>
      <c r="E4" s="8"/>
      <c r="F4" s="8"/>
      <c r="G4" s="8"/>
      <c r="H4" s="8"/>
      <c r="I4" s="8"/>
      <c r="J4" s="8"/>
      <c r="K4" s="114"/>
      <c r="L4" s="8"/>
      <c r="M4" s="8"/>
      <c r="N4" s="2"/>
      <c r="O4" s="8"/>
      <c r="P4" s="3"/>
      <c r="Q4" s="242"/>
      <c r="R4" s="9"/>
      <c r="S4" s="3"/>
    </row>
    <row r="5" spans="1:56" ht="15" x14ac:dyDescent="0.2">
      <c r="A5" s="3"/>
      <c r="B5" s="981" t="s">
        <v>355</v>
      </c>
      <c r="C5" s="982"/>
      <c r="D5" s="982"/>
      <c r="E5" s="982"/>
      <c r="F5" s="982"/>
      <c r="G5" s="982"/>
      <c r="H5" s="982"/>
      <c r="I5" s="982"/>
      <c r="J5" s="982"/>
      <c r="K5" s="982" t="str">
        <f>efile</f>
      </c>
      <c r="L5" s="982"/>
      <c r="M5" s="982"/>
      <c r="N5" s="983"/>
      <c r="O5" s="982"/>
      <c r="P5" s="558"/>
      <c r="Q5" s="271"/>
      <c r="R5" s="705"/>
      <c r="S5" s="3"/>
      <c r="U5" s="28" t="s">
        <v>3665</v>
      </c>
    </row>
    <row r="6" spans="1:56" ht="12.75" hidden="1" x14ac:dyDescent="0.2">
      <c r="A6" s="3"/>
      <c r="B6" s="1427" t="str">
        <f>EUR</f>
        <v/>
      </c>
      <c r="C6" s="3"/>
      <c r="D6" s="3"/>
      <c r="E6" s="3"/>
      <c r="F6" s="3"/>
      <c r="G6" s="3"/>
      <c r="H6" s="3"/>
      <c r="I6" s="3"/>
      <c r="J6" s="3"/>
      <c r="K6" s="17"/>
      <c r="L6" s="3"/>
      <c r="M6" s="3"/>
      <c r="N6" s="2"/>
      <c r="O6" s="3"/>
      <c r="P6" s="3"/>
      <c r="Q6" s="242"/>
      <c r="R6" s="6"/>
      <c r="S6" s="3"/>
    </row>
    <row r="7" spans="1:56" ht="33.75" customHeight="1" x14ac:dyDescent="0.2">
      <c r="A7" s="3"/>
      <c r="B7" s="4443" t="s">
        <v>3666</v>
      </c>
      <c r="C7" s="4308" t="s">
        <v>613</v>
      </c>
      <c r="D7" s="4309"/>
      <c r="E7" s="4309"/>
      <c r="F7" s="4309"/>
      <c r="G7" s="4310"/>
      <c r="H7" s="944" t="s">
        <v>5412</v>
      </c>
      <c r="I7" s="3"/>
      <c r="J7" s="5551" t="s">
        <v>4021</v>
      </c>
      <c r="K7" s="4709"/>
      <c r="L7" s="3"/>
      <c r="M7" s="6"/>
      <c r="N7" s="5551" t="s">
        <v>3668</v>
      </c>
      <c r="O7" s="4709"/>
      <c r="P7" s="945"/>
      <c r="Q7" s="4384" t="s">
        <v>3178</v>
      </c>
      <c r="R7" s="4384"/>
      <c r="S7" s="11"/>
      <c r="Y7" s="28" t="str">
        <f>IF('p3'!M101&gt;0,"n","y")</f>
      </c>
      <c r="Z7" s="28">
        <f>IF(Y7="y",1,0)</f>
      </c>
    </row>
    <row r="8" spans="1:56" ht="8.25" customHeight="1" x14ac:dyDescent="0.2">
      <c r="A8" s="3"/>
      <c r="B8" s="4444"/>
      <c r="C8" s="4314"/>
      <c r="D8" s="4315"/>
      <c r="E8" s="4315"/>
      <c r="F8" s="4315"/>
      <c r="G8" s="4316"/>
      <c r="H8" s="946"/>
      <c r="I8" s="3"/>
      <c r="J8" s="5552"/>
      <c r="K8" s="5553"/>
      <c r="L8" s="3"/>
      <c r="M8" s="6"/>
      <c r="N8" s="5552"/>
      <c r="O8" s="5553"/>
      <c r="P8" s="945"/>
      <c r="Q8" s="4384"/>
      <c r="R8" s="4384"/>
      <c r="S8" s="11"/>
    </row>
    <row r="9" spans="1:56" ht="12.75" x14ac:dyDescent="0.2">
      <c r="A9" s="3"/>
      <c r="B9" s="5556" t="s">
        <v>3179</v>
      </c>
      <c r="C9" s="5554" t="s">
        <v>2821</v>
      </c>
      <c r="D9" s="5554"/>
      <c r="E9" s="5554"/>
      <c r="F9" s="5554"/>
      <c r="G9" s="5554"/>
      <c r="H9" s="948" t="s">
        <v>444</v>
      </c>
      <c r="I9" s="211"/>
      <c r="J9" s="616" t="str">
        <f>$BA9&amp;BB$9</f>
      </c>
      <c r="K9" s="544">
        <f>'p3'!E99</f>
      </c>
      <c r="L9" s="3"/>
      <c r="M9" s="6"/>
      <c r="N9" s="616" t="str">
        <f>$BA9&amp;BC$9</f>
      </c>
      <c r="O9" s="544">
        <f>'p3'!G99</f>
      </c>
      <c r="P9" s="949"/>
      <c r="Q9" s="616" t="str">
        <f>$BA9&amp;BD$9</f>
      </c>
      <c r="R9" s="544">
        <f>'p3'!I99+'p3'!I101</f>
      </c>
      <c r="S9" s="11"/>
      <c r="V9" s="28" t="s">
        <v>3180</v>
      </c>
      <c r="AD9" s="30">
        <f>IF(K9&lt;0,0,K9)</f>
      </c>
      <c r="AE9" s="30">
        <f>IF(O9&lt;0,0,O9)</f>
      </c>
      <c r="AF9" s="30">
        <f>IF(R9&lt;0,0,R9)</f>
      </c>
      <c r="BA9" s="28">
        <v>40</v>
      </c>
      <c r="BB9" s="28" t="s">
        <v>3694</v>
      </c>
      <c r="BC9" s="28" t="s">
        <v>1081</v>
      </c>
      <c r="BD9" s="28" t="s">
        <v>5589</v>
      </c>
    </row>
    <row r="10" spans="1:56" ht="12.75" customHeight="1" x14ac:dyDescent="0.2">
      <c r="A10" s="3"/>
      <c r="B10" s="5558"/>
      <c r="C10" s="5555" t="s">
        <v>2515</v>
      </c>
      <c r="D10" s="5555"/>
      <c r="E10" s="5555"/>
      <c r="F10" s="5555"/>
      <c r="G10" s="5555"/>
      <c r="H10" s="951"/>
      <c r="I10" s="211"/>
      <c r="J10" s="616" t="str">
        <f>BA10&amp;BB10</f>
      </c>
      <c r="K10" s="544">
        <f>IF(mult&lt;2,0,'p3'!E100)</f>
      </c>
      <c r="L10" s="3"/>
      <c r="M10" s="6"/>
      <c r="N10" s="616" t="str">
        <f>$BA10&amp;BC$10</f>
      </c>
      <c r="O10" s="544">
        <f>IF(mult&lt;2,0,'p3'!G100)</f>
      </c>
      <c r="P10" s="949"/>
      <c r="Q10" s="616" t="str">
        <f>$BA10&amp;BD$10</f>
      </c>
      <c r="R10" s="544">
        <f>IF(mult&lt;2,0,'p3'!I100)</f>
      </c>
      <c r="S10" s="11"/>
      <c r="U10" s="28">
        <f>IF(E10="",0,1)</f>
      </c>
      <c r="AD10" s="30">
        <f>IF(K10&lt;0,0,K10)</f>
      </c>
      <c r="AE10" s="30">
        <f>IF(O10&lt;0,0,O10)</f>
      </c>
      <c r="AF10" s="30">
        <f>IF(R10&lt;0,0,R10)</f>
      </c>
      <c r="BA10" s="28">
        <f>BA9</f>
      </c>
      <c r="BB10" s="28" t="s">
        <v>4022</v>
      </c>
      <c r="BC10" s="28" t="s">
        <v>4023</v>
      </c>
      <c r="BD10" s="28" t="s">
        <v>4024</v>
      </c>
    </row>
    <row r="11" spans="1:56" ht="12.75" customHeight="1" x14ac:dyDescent="0.2">
      <c r="A11" s="3"/>
      <c r="B11" s="952"/>
      <c r="C11" s="865" t="s">
        <v>1017</v>
      </c>
      <c r="D11" s="953"/>
      <c r="E11" s="954" t="str">
        <f>IF($W$11&gt;0,"",IF(V11=0,"",$V$9))</f>
        <v/>
      </c>
      <c r="F11" s="953"/>
      <c r="G11" s="955"/>
      <c r="H11" s="958" t="s">
        <v>1018</v>
      </c>
      <c r="I11" s="956"/>
      <c r="J11" s="616" t="str">
        <f>BA11&amp;BB$9</f>
      </c>
      <c r="K11" s="646">
        <f>'TRA4'!H102</f>
      </c>
      <c r="L11" s="3"/>
      <c r="M11" s="6"/>
      <c r="N11" s="616" t="str">
        <f>$BA11&amp;BC$9</f>
      </c>
      <c r="O11" s="646">
        <f>'TRA4'!I102</f>
      </c>
      <c r="P11" s="949"/>
      <c r="Q11" s="616" t="str">
        <f>$BA11&amp;BD$9</f>
      </c>
      <c r="R11" s="646">
        <f>'TRA4'!J102</f>
      </c>
      <c r="S11" s="11"/>
      <c r="U11" s="28">
        <f>IF(E11="",0,1)</f>
      </c>
      <c r="V11" s="84">
        <f>O11+R11+K11</f>
      </c>
      <c r="W11" s="32">
        <f>IF('p3'!P95=0,1,'p3'!M13+'p3'!M63)</f>
      </c>
      <c r="X11" s="28">
        <f t="shared" ref="X11:X17" si="0">IF(ISBLANK(O11),0,1)</f>
      </c>
      <c r="Z11" s="84">
        <f>ROUND(K9+K11,0)</f>
      </c>
      <c r="AA11" s="84">
        <f>ROUND(O9+O11,0)</f>
      </c>
      <c r="AB11" s="84">
        <f>ROUND(R9+R11,0)</f>
      </c>
      <c r="AD11" s="30">
        <f>IF(K11&lt;0,0,K11)</f>
      </c>
      <c r="AE11" s="30">
        <f>IF(O11&lt;0,0,O11)</f>
      </c>
      <c r="AF11" s="30">
        <f>IF(R11&lt;0,0,R11)</f>
      </c>
      <c r="BA11" s="28">
        <f>BA10+1</f>
      </c>
    </row>
    <row r="12" spans="1:56" ht="11.25" customHeight="1" x14ac:dyDescent="0.2">
      <c r="A12" s="3"/>
      <c r="B12" s="952"/>
      <c r="C12" s="265" t="s">
        <v>1019</v>
      </c>
      <c r="D12" s="629"/>
      <c r="E12" s="629"/>
      <c r="F12" s="629"/>
      <c r="G12" s="957"/>
      <c r="H12" s="958"/>
      <c r="I12" s="211"/>
      <c r="J12" s="650"/>
      <c r="K12" s="228"/>
      <c r="L12" s="3"/>
      <c r="M12" s="6"/>
      <c r="N12" s="650"/>
      <c r="O12" s="228"/>
      <c r="P12" s="949"/>
      <c r="Q12" s="650"/>
      <c r="R12" s="228"/>
      <c r="S12" s="11"/>
      <c r="X12" s="28">
        <f t="shared" si="0"/>
        <v>0</v>
      </c>
      <c r="AD12" s="30">
        <f>SUM(AD9:AD11)</f>
      </c>
      <c r="AE12" s="30">
        <f>SUM(AE9:AE11)</f>
      </c>
      <c r="AF12" s="30">
        <f>SUM(AF9:AF11)</f>
      </c>
      <c r="AH12" s="28" t="s">
        <v>1020</v>
      </c>
      <c r="BA12" s="28">
        <v>41</v>
      </c>
    </row>
    <row r="13" spans="1:56" ht="12.75" customHeight="1" x14ac:dyDescent="0.2">
      <c r="A13" s="3"/>
      <c r="B13" s="952"/>
      <c r="C13" s="265" t="s">
        <v>1021</v>
      </c>
      <c r="D13" s="265"/>
      <c r="E13" s="229"/>
      <c r="F13" s="229"/>
      <c r="G13" s="229"/>
      <c r="H13" s="958"/>
      <c r="I13" s="211"/>
      <c r="J13" s="616" t="str">
        <f t="shared" ref="J13:J47" si="1">BA13&amp;BB$9</f>
      </c>
      <c r="K13" s="510"/>
      <c r="L13" s="3"/>
      <c r="M13" s="6"/>
      <c r="N13" s="616" t="str">
        <f t="shared" ref="N13:N27" si="2">$BA13&amp;BC$9</f>
      </c>
      <c r="O13" s="510"/>
      <c r="P13" s="949"/>
      <c r="Q13" s="616" t="str">
        <f t="shared" ref="Q13:Q27" si="3">$BA13&amp;BD$9</f>
      </c>
      <c r="R13" s="510"/>
      <c r="S13" s="11"/>
      <c r="X13" s="28">
        <f t="shared" si="0"/>
        <v>1</v>
      </c>
      <c r="BA13" s="28">
        <f t="shared" ref="BA13:BA62" si="4">BA12+1</f>
      </c>
    </row>
    <row r="14" spans="1:56" ht="12.75" customHeight="1" x14ac:dyDescent="0.2">
      <c r="A14" s="3"/>
      <c r="B14" s="952"/>
      <c r="C14" s="265" t="s">
        <v>162</v>
      </c>
      <c r="D14" s="265"/>
      <c r="E14" s="572" t="str">
        <f>IF($W$14=1,"",IF(V14=0,"","Check field 2a!"))</f>
        <v/>
      </c>
      <c r="F14" s="229"/>
      <c r="G14" s="229"/>
      <c r="H14" s="958" t="s">
        <v>5622</v>
      </c>
      <c r="I14" s="956"/>
      <c r="J14" s="616" t="str">
        <f t="shared" si="1"/>
        <v>43a</v>
      </c>
      <c r="K14" s="544">
        <f>'TRA5'!K304*-1</f>
      </c>
      <c r="L14" s="3"/>
      <c r="M14" s="6"/>
      <c r="N14" s="616" t="str">
        <f t="shared" si="2"/>
        <v>43b</v>
      </c>
      <c r="O14" s="544">
        <f>'TRA5'!L304*-1</f>
      </c>
      <c r="P14" s="949"/>
      <c r="Q14" s="616" t="str">
        <f t="shared" si="3"/>
        <v>43c</v>
      </c>
      <c r="R14" s="544">
        <f>'TRA5'!M304*-1</f>
      </c>
      <c r="S14" s="11"/>
      <c r="V14" s="84">
        <f>O14+R14+K14</f>
      </c>
      <c r="W14" s="32">
        <f>'p3'!L8</f>
      </c>
      <c r="X14" s="28">
        <f t="shared" si="0"/>
        <v>1</v>
      </c>
      <c r="BA14" s="28">
        <f t="shared" si="4"/>
        <v>43</v>
      </c>
    </row>
    <row r="15" spans="1:56" ht="12.75" customHeight="1" x14ac:dyDescent="0.2">
      <c r="A15" s="3"/>
      <c r="B15" s="952"/>
      <c r="C15" s="265" t="s">
        <v>5625</v>
      </c>
      <c r="D15" s="265"/>
      <c r="E15" s="572" t="str">
        <f>IF($W$15=1,"",IF(O15+R15+K15&lt;0,"No BPA - P2!",""))</f>
        <v/>
      </c>
      <c r="F15" s="211"/>
      <c r="G15" s="229"/>
      <c r="H15" s="958" t="s">
        <v>5624</v>
      </c>
      <c r="I15" s="956"/>
      <c r="J15" s="616" t="str">
        <f t="shared" si="1"/>
        <v>44a</v>
      </c>
      <c r="K15" s="544">
        <f>'TRA6'!F43*-1</f>
      </c>
      <c r="L15" s="3"/>
      <c r="M15" s="6"/>
      <c r="N15" s="616" t="str">
        <f t="shared" si="2"/>
        <v>44b</v>
      </c>
      <c r="O15" s="544">
        <f>'TRA6'!H43*-1</f>
      </c>
      <c r="P15" s="949"/>
      <c r="Q15" s="616" t="str">
        <f t="shared" si="3"/>
        <v>44c</v>
      </c>
      <c r="R15" s="544">
        <f>'TRA6'!J43*-1</f>
      </c>
      <c r="S15" s="11"/>
      <c r="U15" s="28">
        <f>IF(E15="",0,1)</f>
      </c>
      <c r="W15" s="28">
        <f>IF('p2'!G7="n",0,1)</f>
      </c>
      <c r="X15" s="28">
        <f t="shared" si="0"/>
        <v>1</v>
      </c>
      <c r="AN15" s="2941">
        <f>IF(K23&lt;0,1,0)</f>
      </c>
      <c r="AO15" s="2941">
        <f>IF(O23&lt;0,1,0)</f>
      </c>
      <c r="AP15" s="2941">
        <f>IF(R23&lt;0,1,0)</f>
      </c>
      <c r="AQ15" s="2941"/>
      <c r="AR15" s="2941"/>
      <c r="AS15" s="2941"/>
      <c r="AT15" s="2941"/>
      <c r="AU15" s="2941"/>
      <c r="AV15" s="2941"/>
      <c r="BA15" s="28">
        <f t="shared" si="4"/>
        <v>44</v>
      </c>
    </row>
    <row r="16" spans="1:56" ht="12.75" customHeight="1" x14ac:dyDescent="0.2">
      <c r="A16" s="3"/>
      <c r="B16" s="952"/>
      <c r="C16" s="265" t="s">
        <v>4637</v>
      </c>
      <c r="D16" s="265"/>
      <c r="E16" s="572" t="str">
        <f>IF($W$15=1,"",IF(O16+R16+K16&lt;0,"No BPA - P2!",""))</f>
        <v/>
      </c>
      <c r="F16" s="211"/>
      <c r="G16" s="229"/>
      <c r="H16" s="958" t="s">
        <v>5626</v>
      </c>
      <c r="I16" s="956"/>
      <c r="J16" s="616" t="str">
        <f t="shared" si="1"/>
        <v>45a</v>
      </c>
      <c r="K16" s="544">
        <f>'TRA7'!H21*-1</f>
      </c>
      <c r="L16" s="3"/>
      <c r="M16" s="6"/>
      <c r="N16" s="616" t="str">
        <f t="shared" si="2"/>
        <v>45b</v>
      </c>
      <c r="O16" s="544">
        <f>'TRA7'!J21*-1</f>
      </c>
      <c r="P16" s="949"/>
      <c r="Q16" s="616" t="str">
        <f t="shared" si="3"/>
        <v>45c</v>
      </c>
      <c r="R16" s="544">
        <f>'TRA7'!K21*-1</f>
      </c>
      <c r="S16" s="11"/>
      <c r="U16" s="28">
        <f>IF(E16="",0,1)</f>
      </c>
      <c r="X16" s="28">
        <f t="shared" si="0"/>
        <v>1</v>
      </c>
      <c r="AN16" s="2941">
        <f>IF(AN15=1,K23,0)</f>
      </c>
      <c r="AO16" s="2941">
        <f>IF(AO15=1,O23,0)</f>
      </c>
      <c r="AP16" s="2941">
        <f>IF(AP15=1,R23,0)</f>
      </c>
      <c r="AQ16" s="2941"/>
      <c r="AR16" s="2941">
        <f>SUM(AN16:AQ16)</f>
      </c>
      <c r="AS16" s="2941"/>
      <c r="AT16" s="2941"/>
      <c r="AU16" s="2941"/>
      <c r="AV16" s="2941"/>
      <c r="BA16" s="28">
        <f t="shared" si="4"/>
        <v>45</v>
      </c>
    </row>
    <row r="17" spans="1:53" ht="12.75" customHeight="1" x14ac:dyDescent="0.2">
      <c r="A17" s="3"/>
      <c r="B17" s="952"/>
      <c r="C17" s="265" t="s">
        <v>163</v>
      </c>
      <c r="D17" s="265"/>
      <c r="E17" s="572" t="str">
        <f>IF($W$11&gt;0,"",IF(V17=0,"",$V$9))</f>
        <v/>
      </c>
      <c r="F17" s="229"/>
      <c r="G17" s="229"/>
      <c r="H17" s="958" t="s">
        <v>1018</v>
      </c>
      <c r="I17" s="956"/>
      <c r="J17" s="616" t="str">
        <f t="shared" si="1"/>
        <v>46a</v>
      </c>
      <c r="K17" s="544">
        <f>'TRA4'!H100*-1</f>
      </c>
      <c r="L17" s="3"/>
      <c r="M17" s="6"/>
      <c r="N17" s="616" t="str">
        <f t="shared" si="2"/>
        <v>46b</v>
      </c>
      <c r="O17" s="544">
        <f>'TRA4'!I100*-1</f>
      </c>
      <c r="P17" s="949"/>
      <c r="Q17" s="616" t="str">
        <f t="shared" si="3"/>
        <v>46c</v>
      </c>
      <c r="R17" s="544">
        <f>'TRA4'!J100*-1</f>
      </c>
      <c r="S17" s="11"/>
      <c r="U17" s="28">
        <f>IF(E17="",0,1)</f>
      </c>
      <c r="V17" s="84">
        <f>O17+R17+K17</f>
      </c>
      <c r="X17" s="28">
        <f t="shared" si="0"/>
        <v>1</v>
      </c>
      <c r="Z17" s="84">
        <f>ROUND(SUM(K13:K17)*-1,0)</f>
      </c>
      <c r="AA17" s="84">
        <f>ROUND(SUM(O13:O17)*-1,0)</f>
      </c>
      <c r="AB17" s="84">
        <f>SUM(R13:R17)*-1</f>
      </c>
      <c r="AC17" s="84">
        <f>SUM(Z17:AB17)</f>
      </c>
      <c r="AN17" s="2941">
        <f>IF(AN15=0,K23,0)</f>
      </c>
      <c r="AO17" s="2941">
        <f>IF(AO15=0,O23,0)</f>
      </c>
      <c r="AP17" s="2941">
        <f>IF(AP15=0,R23,0)</f>
      </c>
      <c r="AQ17" s="2941"/>
      <c r="AR17" s="2941">
        <f>SUM(AN17:AQ17)</f>
      </c>
      <c r="AS17" s="2941">
        <f>AR16+AR17</f>
      </c>
      <c r="AT17" s="2941"/>
      <c r="AU17" s="2941"/>
      <c r="AV17" s="2941"/>
      <c r="BA17" s="28">
        <f t="shared" si="4"/>
        <v>46</v>
      </c>
    </row>
    <row r="18" spans="1:53" ht="12.75" x14ac:dyDescent="0.2">
      <c r="A18" s="3"/>
      <c r="B18" s="952"/>
      <c r="C18" s="265" t="s">
        <v>164</v>
      </c>
      <c r="D18" s="265"/>
      <c r="E18" s="229"/>
      <c r="F18" s="229"/>
      <c r="G18" s="229"/>
      <c r="H18" s="1121" t="str">
        <f>IF(AC17=0,"",IF(V22&lt;&gt;3,reo,IF(AA22+AB22+Z22&lt;O18+R18+K18,"Value !","")))</f>
        <v/>
      </c>
      <c r="I18" s="211"/>
      <c r="J18" s="616" t="str">
        <f>BA22&amp;BB$9</f>
      </c>
      <c r="K18" s="510">
        <v>0</v>
      </c>
      <c r="L18" s="3"/>
      <c r="M18" s="6"/>
      <c r="N18" s="616" t="str">
        <f>$BA22&amp;BC$9</f>
      </c>
      <c r="O18" s="510">
        <v>0</v>
      </c>
      <c r="P18" s="949"/>
      <c r="Q18" s="616" t="str">
        <f>$BA22&amp;BD$9</f>
      </c>
      <c r="R18" s="510">
        <v>0</v>
      </c>
      <c r="S18" s="3"/>
      <c r="V18" s="84"/>
      <c r="X18" s="28">
        <f>IF(ISBLANK(#REF!),0,1)</f>
      </c>
      <c r="AN18" s="2941">
        <f>IF(AN15=1,K23,0)</f>
      </c>
      <c r="AO18" s="2941">
        <f>IF(AO15=1,O23,0)</f>
      </c>
      <c r="AP18" s="2941">
        <f>IF(AP15=1,R23,0)</f>
      </c>
      <c r="AQ18" s="2941"/>
      <c r="AR18" s="2941"/>
      <c r="AS18" s="2941"/>
      <c r="AT18" s="2941"/>
      <c r="AU18" s="2941"/>
      <c r="AV18" s="2941"/>
      <c r="BA18" s="28">
        <v>46</v>
      </c>
    </row>
    <row r="19" spans="1:53" ht="12.75" hidden="1" x14ac:dyDescent="0.2">
      <c r="A19" s="3"/>
      <c r="B19" s="952"/>
      <c r="C19" s="265" t="s">
        <v>10342</v>
      </c>
      <c r="D19" s="265"/>
      <c r="E19" s="229"/>
      <c r="F19" s="229"/>
      <c r="G19" s="229"/>
      <c r="H19" s="958" t="s">
        <v>10351</v>
      </c>
      <c r="I19" s="211"/>
      <c r="J19" s="616" t="str">
        <f>BA22&amp;BB$10</f>
      </c>
      <c r="K19" s="544">
        <f>'TRA125'!H90</f>
      </c>
      <c r="L19" s="3"/>
      <c r="M19" s="6"/>
      <c r="N19" s="616" t="str">
        <f>$BA$22&amp;BC$10</f>
      </c>
      <c r="O19" s="544">
        <f>'TRA125'!J90</f>
      </c>
      <c r="P19" s="949"/>
      <c r="Q19" s="616" t="str">
        <f>$BA$22&amp;BD$10</f>
      </c>
      <c r="R19" s="544">
        <f>'TRA125'!L90</f>
      </c>
      <c r="S19" s="3"/>
      <c r="V19" s="84"/>
      <c r="AN19" s="2941"/>
      <c r="AO19" s="2941"/>
      <c r="AP19" s="2941"/>
      <c r="AQ19" s="2941"/>
      <c r="AR19" s="2941"/>
      <c r="AS19" s="2941"/>
      <c r="AT19" s="2941"/>
      <c r="AU19" s="2941"/>
      <c r="AV19" s="2941"/>
    </row>
    <row r="20" spans="1:53" ht="12.75" hidden="1" x14ac:dyDescent="0.2">
      <c r="A20" s="3"/>
      <c r="B20" s="952"/>
      <c r="C20" s="265"/>
      <c r="D20" s="265"/>
      <c r="E20" s="229"/>
      <c r="F20" s="229"/>
      <c r="G20" s="229"/>
      <c r="H20" s="1121"/>
      <c r="I20" s="211"/>
      <c r="J20" s="616"/>
      <c r="K20" s="3964"/>
      <c r="L20" s="3"/>
      <c r="M20" s="6"/>
      <c r="N20" s="616"/>
      <c r="O20" s="3964"/>
      <c r="P20" s="949"/>
      <c r="Q20" s="616"/>
      <c r="R20" s="510"/>
      <c r="S20" s="3"/>
      <c r="V20" s="84"/>
      <c r="AN20" s="2941"/>
      <c r="AO20" s="2941"/>
      <c r="AP20" s="2941"/>
      <c r="AQ20" s="2941"/>
      <c r="AR20" s="2941"/>
      <c r="AS20" s="2941"/>
      <c r="AT20" s="2941"/>
      <c r="AU20" s="2941"/>
      <c r="AV20" s="2941"/>
    </row>
    <row r="21" spans="1:53" ht="12.75" hidden="1" x14ac:dyDescent="0.2">
      <c r="A21" s="3"/>
      <c r="B21" s="952"/>
      <c r="C21" s="265"/>
      <c r="D21" s="265"/>
      <c r="E21" s="229"/>
      <c r="F21" s="229"/>
      <c r="G21" s="229"/>
      <c r="H21" s="1121"/>
      <c r="I21" s="211"/>
      <c r="J21" s="616"/>
      <c r="K21" s="3964"/>
      <c r="L21" s="3"/>
      <c r="M21" s="6"/>
      <c r="N21" s="616"/>
      <c r="O21" s="3964"/>
      <c r="P21" s="949"/>
      <c r="Q21" s="616"/>
      <c r="R21" s="510"/>
      <c r="S21" s="3"/>
      <c r="V21" s="84"/>
      <c r="AN21" s="2941"/>
      <c r="AO21" s="2941"/>
      <c r="AP21" s="2941"/>
      <c r="AQ21" s="2941"/>
      <c r="AR21" s="2941"/>
      <c r="AS21" s="2941"/>
      <c r="AT21" s="2941"/>
      <c r="AU21" s="2941"/>
      <c r="AV21" s="2941"/>
    </row>
    <row r="22" spans="1:53" ht="12.75" customHeight="1" x14ac:dyDescent="0.2">
      <c r="A22" s="3"/>
      <c r="B22" s="952"/>
      <c r="C22" s="265" t="s">
        <v>165</v>
      </c>
      <c r="D22" s="265"/>
      <c r="E22" s="229"/>
      <c r="F22" s="229"/>
      <c r="G22" s="229"/>
      <c r="H22" s="958"/>
      <c r="I22" s="211"/>
      <c r="J22" s="616" t="str">
        <f>BA23&amp;BB$9</f>
      </c>
      <c r="K22" s="960">
        <f>Z23*-1</f>
      </c>
      <c r="L22" s="3"/>
      <c r="M22" s="6"/>
      <c r="N22" s="616" t="str">
        <f>$BA23&amp;BC$9</f>
      </c>
      <c r="O22" s="960">
        <f>AA23*-1</f>
      </c>
      <c r="P22" s="949"/>
      <c r="Q22" s="616" t="str">
        <f>$BA23&amp;BD$9</f>
      </c>
      <c r="R22" s="544">
        <f>AB23*-1</f>
      </c>
      <c r="S22" s="11"/>
      <c r="U22" s="28">
        <f>IF(H18&lt;&gt;"",1,0)</f>
      </c>
      <c r="V22" s="84">
        <f>COUNT(K18,O18,R18)</f>
      </c>
      <c r="W22" s="28">
        <f>IF(ISBLANK(O18),0,1)</f>
      </c>
      <c r="X22" s="28">
        <f>IF(Y7="n",1,IF(ISBLANK(R18),0,1))</f>
      </c>
      <c r="Z22" s="30">
        <f>IF(AD12&gt;Z17,Z17,AD12)</f>
      </c>
      <c r="AA22" s="30">
        <f>IF(AE12&gt;AA17,AA17,AE12)</f>
      </c>
      <c r="AB22" s="30">
        <f>IF(AF12&gt;AB17,AB17,AF12)</f>
      </c>
      <c r="AC22" s="959">
        <f>SUM(Z22:AB22)</f>
      </c>
      <c r="AN22" s="2941">
        <f>IF(AN15=1,0,IF(AN17&gt;AS22*-1,AS22,AN17*-1))</f>
      </c>
      <c r="AO22" s="2941">
        <f>IF(AO15=1,0,IF(AO17&gt;AT22*-1,AT22,AO17*-1))</f>
      </c>
      <c r="AP22" s="2941">
        <f>IF(AP15=1,0,IF(AP17&gt;AU22*-1,AU22,AP17*-1))</f>
      </c>
      <c r="AQ22" s="2941"/>
      <c r="AR22" s="2941"/>
      <c r="AS22" s="2941">
        <f>AR16</f>
      </c>
      <c r="AT22" s="2941">
        <f t="shared" ref="AT22:AV23" si="5">AS22-AN22</f>
      </c>
      <c r="AU22" s="2941">
        <f t="shared" si="5"/>
        <v>-4298</v>
      </c>
      <c r="AV22" s="2941">
        <f t="shared" si="5"/>
        <v>-4298</v>
      </c>
      <c r="BA22" s="28">
        <f>BA18+1</f>
      </c>
    </row>
    <row r="23" spans="1:53" ht="12.75" customHeight="1" x14ac:dyDescent="0.2">
      <c r="A23" s="3"/>
      <c r="B23" s="1075" t="s">
        <v>166</v>
      </c>
      <c r="C23" s="1074"/>
      <c r="D23" s="1074"/>
      <c r="E23" s="1074"/>
      <c r="F23" s="1074"/>
      <c r="G23" s="1074"/>
      <c r="H23" s="1076"/>
      <c r="I23" s="211"/>
      <c r="J23" s="616" t="str">
        <f>BA24&amp;BB$9</f>
      </c>
      <c r="K23" s="544">
        <f>Z24</f>
      </c>
      <c r="L23" s="3"/>
      <c r="M23" s="6"/>
      <c r="N23" s="616" t="str">
        <f>$BA24&amp;BC$9</f>
      </c>
      <c r="O23" s="544">
        <f>AA24</f>
      </c>
      <c r="P23" s="961"/>
      <c r="Q23" s="616" t="str">
        <f>$BA24&amp;BD$9</f>
      </c>
      <c r="R23" s="646">
        <f>AB24</f>
      </c>
      <c r="S23" s="11"/>
      <c r="Z23" s="84">
        <f>Z17-K18-K19</f>
      </c>
      <c r="AA23" s="84">
        <f>AA17-O18-O19</f>
      </c>
      <c r="AB23" s="84">
        <f>AB17-R18-R19</f>
      </c>
      <c r="AC23" s="959">
        <f>K18+O18+R18</f>
      </c>
      <c r="AN23" s="2941">
        <f>IF(AN15=0,0,IF(AN18&gt;AS23*-1,AN18*-1,AS23))</f>
      </c>
      <c r="AO23" s="2941">
        <f>IF(AO15=0,0,IF(AO18&gt;AT23*-1,AO18*-1,AT23))</f>
      </c>
      <c r="AP23" s="2941">
        <f>IF(AP15=0,0,IF(AP18&gt;AU23*-1,AP18*-1,AU23))</f>
      </c>
      <c r="AQ23" s="2941"/>
      <c r="AR23" s="2941"/>
      <c r="AS23" s="2941">
        <f>AR17</f>
      </c>
      <c r="AT23" s="2941">
        <f t="shared" si="5"/>
        <v>0</v>
      </c>
      <c r="AU23" s="2941">
        <f t="shared" si="5"/>
        <v>0</v>
      </c>
      <c r="AV23" s="2941">
        <f t="shared" si="5"/>
        <v>0</v>
      </c>
      <c r="BA23" s="28">
        <f t="shared" si="4"/>
        <v>48</v>
      </c>
    </row>
    <row r="24" spans="1:53" ht="12.75" x14ac:dyDescent="0.2">
      <c r="A24" s="3"/>
      <c r="B24" s="973"/>
      <c r="C24" s="2948" t="s">
        <v>963</v>
      </c>
      <c r="D24" s="964"/>
      <c r="E24" s="964"/>
      <c r="F24" s="964"/>
      <c r="G24" s="964"/>
      <c r="H24" s="2954" t="str">
        <f>IF(AND(K23&gt;=0,O23&gt;=0,R23&gt;=0),"",IF(Z1=0,"",IF(K23=0,"",IF(COUNT(K24,O24,R24)&lt;&gt;3,"(May be used if NID is being claimed OR leave blank)",""))))</f>
        <v/>
      </c>
      <c r="I24" s="211"/>
      <c r="J24" s="616" t="s">
        <v>8825</v>
      </c>
      <c r="K24" s="510"/>
      <c r="L24" s="28"/>
      <c r="M24" s="6"/>
      <c r="N24" s="616" t="s">
        <v>8826</v>
      </c>
      <c r="O24" s="510"/>
      <c r="P24" s="961"/>
      <c r="Q24" s="616" t="s">
        <v>8827</v>
      </c>
      <c r="R24" s="510"/>
      <c r="S24" s="2980" t="str">
        <f>IF(AND(K23&gt;=0,O23&gt;=0,R23&gt;=0,COUNT(K24,O24,R24)&gt;0),"Delete!",IF(AND(Z1=0,COUNT(K24,O24,R24)&gt;0),"Delete!",IF(COUNT(K24,O24,R24)=0,"",IF(COUNT(K24,O24,R24)&lt;&gt;3,reo,IF(SUM(K24,O24,R24)&lt;&gt;0," Check!",IF(OR(K24&lt;&gt;AN27,O24&lt;&gt;AO27,AP27&lt;&gt;R24)," Check!",""))))))</f>
        <v/>
      </c>
      <c r="U24" s="28">
        <f>IF(S24="",0,1)</f>
      </c>
      <c r="Z24" s="962">
        <f>(Z11-K18+K10)</f>
      </c>
      <c r="AA24" s="84">
        <f>(AA11-O18+O10)</f>
      </c>
      <c r="AB24" s="962">
        <f>(AB11-R18+R10)</f>
      </c>
      <c r="AC24" s="959">
        <f>AC22-AC23</f>
      </c>
      <c r="AN24" s="2941"/>
      <c r="AO24" s="2941"/>
      <c r="AP24" s="2941"/>
      <c r="AQ24" s="2941"/>
      <c r="AR24" s="2941"/>
      <c r="AS24" s="2941"/>
      <c r="AT24" s="2941"/>
      <c r="AU24" s="2941"/>
      <c r="AV24" s="2941"/>
      <c r="BA24" s="28">
        <f t="shared" si="4"/>
        <v>49</v>
      </c>
    </row>
    <row r="25" spans="1:53" ht="12.75" customHeight="1" x14ac:dyDescent="0.2">
      <c r="A25" s="3"/>
      <c r="B25" s="5546" t="s">
        <v>167</v>
      </c>
      <c r="C25" s="865" t="s">
        <v>168</v>
      </c>
      <c r="D25" s="963"/>
      <c r="E25" s="963"/>
      <c r="F25" s="963"/>
      <c r="G25" s="866"/>
      <c r="H25" s="948" t="s">
        <v>1501</v>
      </c>
      <c r="I25" s="211"/>
      <c r="J25" s="616" t="str">
        <f t="shared" si="1"/>
        <v>50a</v>
      </c>
      <c r="K25" s="544">
        <f>'TRA8'!D111</f>
      </c>
      <c r="L25" s="3"/>
      <c r="M25" s="6"/>
      <c r="N25" s="616" t="str">
        <f t="shared" si="2"/>
        <v>50b</v>
      </c>
      <c r="O25" s="544">
        <f>'TRA8'!E111</f>
      </c>
      <c r="P25" s="949"/>
      <c r="Q25" s="616" t="str">
        <f t="shared" si="3"/>
        <v>50c</v>
      </c>
      <c r="R25" s="544">
        <f>'TRA8'!F111</f>
      </c>
      <c r="S25" s="11"/>
      <c r="V25" s="84"/>
      <c r="X25" s="28">
        <f t="shared" ref="X25:X31" si="6">IF(ISBLANK(O25),0,1)</f>
      </c>
      <c r="AC25" s="959"/>
      <c r="AN25" s="2941"/>
      <c r="AO25" s="2941"/>
      <c r="AP25" s="2941"/>
      <c r="AQ25" s="2941"/>
      <c r="AR25" s="2941"/>
      <c r="AS25" s="2941"/>
      <c r="AT25" s="2941"/>
      <c r="AU25" s="2941"/>
      <c r="AV25" s="2941"/>
      <c r="BA25" s="28">
        <f t="shared" si="4"/>
        <v>50</v>
      </c>
    </row>
    <row r="26" spans="1:53" ht="12.75" customHeight="1" x14ac:dyDescent="0.2">
      <c r="A26" s="3"/>
      <c r="B26" s="5547"/>
      <c r="C26" s="265" t="s">
        <v>8824</v>
      </c>
      <c r="D26" s="629"/>
      <c r="E26" s="629"/>
      <c r="F26" s="629"/>
      <c r="G26" s="957"/>
      <c r="H26" s="2735" t="s">
        <v>1503</v>
      </c>
      <c r="I26" s="956"/>
      <c r="J26" s="616" t="str">
        <f t="shared" si="1"/>
        <v>51a</v>
      </c>
      <c r="K26" s="544">
        <f>TRA9_14!C23</f>
      </c>
      <c r="L26" s="1780"/>
      <c r="M26" s="2736"/>
      <c r="N26" s="616" t="str">
        <f t="shared" si="2"/>
        <v>51b</v>
      </c>
      <c r="O26" s="544">
        <f>TRA9_14!D23</f>
      </c>
      <c r="P26" s="949"/>
      <c r="Q26" s="616" t="str">
        <f t="shared" si="3"/>
        <v>51c</v>
      </c>
      <c r="R26" s="544">
        <f>TRA9_14!E23</f>
      </c>
      <c r="S26" s="11"/>
      <c r="T26" s="84"/>
      <c r="V26" s="84"/>
      <c r="X26" s="28">
        <f t="shared" si="6"/>
        <v>1</v>
      </c>
      <c r="AN26" s="2941"/>
      <c r="AO26" s="2941"/>
      <c r="AP26" s="2941"/>
      <c r="AQ26" s="2941"/>
      <c r="AR26" s="2941"/>
      <c r="AS26" s="2941"/>
      <c r="AT26" s="2941"/>
      <c r="AU26" s="2941"/>
      <c r="AV26" s="2941"/>
      <c r="BA26" s="28">
        <f t="shared" si="4"/>
        <v>51</v>
      </c>
    </row>
    <row r="27" spans="1:53" ht="12.75" customHeight="1" x14ac:dyDescent="0.2">
      <c r="A27" s="3"/>
      <c r="B27" s="5548"/>
      <c r="C27" s="867" t="s">
        <v>4835</v>
      </c>
      <c r="D27" s="964"/>
      <c r="E27" s="964"/>
      <c r="F27" s="964"/>
      <c r="G27" s="965"/>
      <c r="H27" s="2735" t="s">
        <v>1505</v>
      </c>
      <c r="I27" s="956"/>
      <c r="J27" s="616" t="str">
        <f t="shared" si="1"/>
        <v>52a</v>
      </c>
      <c r="K27" s="544">
        <f>TRA9_14!C54</f>
      </c>
      <c r="L27" s="3"/>
      <c r="M27" s="6"/>
      <c r="N27" s="616" t="str">
        <f t="shared" si="2"/>
        <v>52b</v>
      </c>
      <c r="O27" s="544">
        <f>TRA9_14!D54</f>
      </c>
      <c r="P27" s="949"/>
      <c r="Q27" s="616" t="str">
        <f t="shared" si="3"/>
        <v>52c</v>
      </c>
      <c r="R27" s="544">
        <f>TRA9_14!E54</f>
      </c>
      <c r="S27" s="11"/>
      <c r="V27" s="84"/>
      <c r="W27" s="32"/>
      <c r="X27" s="28">
        <f t="shared" si="6"/>
        <v>1</v>
      </c>
      <c r="AN27" s="2941">
        <f>SUM(AN22:AN23)</f>
      </c>
      <c r="AO27" s="2941">
        <f>SUM(AO22:AO23)</f>
      </c>
      <c r="AP27" s="2941">
        <f>SUM(AP22:AP23)</f>
      </c>
      <c r="AQ27" s="2941"/>
      <c r="AR27" s="2941"/>
      <c r="AS27" s="2941"/>
      <c r="AT27" s="2941"/>
      <c r="AU27" s="2941"/>
      <c r="AV27" s="2941"/>
      <c r="BA27" s="28">
        <f t="shared" si="4"/>
        <v>52</v>
      </c>
    </row>
    <row r="28" spans="1:53" ht="12.75" customHeight="1" x14ac:dyDescent="0.2">
      <c r="A28" s="3"/>
      <c r="B28" s="5556" t="s">
        <v>6140</v>
      </c>
      <c r="C28" s="265" t="s">
        <v>6141</v>
      </c>
      <c r="D28" s="629"/>
      <c r="E28" s="629"/>
      <c r="F28" s="629"/>
      <c r="G28" s="957"/>
      <c r="H28" s="958" t="s">
        <v>1507</v>
      </c>
      <c r="I28" s="956"/>
      <c r="J28" s="616" t="str">
        <f t="shared" si="1"/>
        <v>53a</v>
      </c>
      <c r="K28" s="646">
        <f>TRA9_14!C78</f>
      </c>
      <c r="L28" s="3"/>
      <c r="M28" s="6"/>
      <c r="N28" s="218"/>
      <c r="O28" s="966"/>
      <c r="P28" s="949"/>
      <c r="Q28" s="616" t="str">
        <f>$BA28&amp;BC$9</f>
      </c>
      <c r="R28" s="646">
        <f>TRA9_14!E78</f>
      </c>
      <c r="S28" s="11"/>
      <c r="V28" s="84"/>
      <c r="X28" s="28">
        <f t="shared" si="6"/>
        <v>0</v>
      </c>
      <c r="BA28" s="28">
        <f t="shared" si="4"/>
        <v>53</v>
      </c>
    </row>
    <row r="29" spans="1:53" ht="12.75" customHeight="1" x14ac:dyDescent="0.2">
      <c r="A29" s="3"/>
      <c r="B29" s="5557"/>
      <c r="C29" s="265" t="s">
        <v>6142</v>
      </c>
      <c r="D29" s="629"/>
      <c r="E29" s="629"/>
      <c r="F29" s="629"/>
      <c r="G29" s="957"/>
      <c r="H29" s="958" t="s">
        <v>1509</v>
      </c>
      <c r="I29" s="956"/>
      <c r="J29" s="616" t="str">
        <f t="shared" si="1"/>
        <v>54a</v>
      </c>
      <c r="K29" s="544">
        <f>TRA9_14!C100</f>
      </c>
      <c r="L29" s="3"/>
      <c r="M29" s="6"/>
      <c r="N29" s="650"/>
      <c r="O29" s="228"/>
      <c r="P29" s="949"/>
      <c r="Q29" s="616" t="str">
        <f>$BA29&amp;BC$9</f>
      </c>
      <c r="R29" s="544">
        <f>TRA9_14!E100</f>
      </c>
      <c r="S29" s="11"/>
      <c r="V29" s="84"/>
      <c r="X29" s="28">
        <f t="shared" si="6"/>
        <v>0</v>
      </c>
      <c r="BA29" s="28">
        <f t="shared" si="4"/>
        <v>54</v>
      </c>
    </row>
    <row r="30" spans="1:53" ht="12.75" customHeight="1" x14ac:dyDescent="0.2">
      <c r="A30" s="3"/>
      <c r="B30" s="5558"/>
      <c r="C30" s="867" t="s">
        <v>6198</v>
      </c>
      <c r="D30" s="964"/>
      <c r="E30" s="964"/>
      <c r="F30" s="964"/>
      <c r="G30" s="965"/>
      <c r="H30" s="958" t="s">
        <v>3091</v>
      </c>
      <c r="I30" s="956"/>
      <c r="J30" s="616" t="str">
        <f t="shared" si="1"/>
        <v>55a</v>
      </c>
      <c r="K30" s="544">
        <f>TRA9_14!C124</f>
      </c>
      <c r="L30" s="3"/>
      <c r="M30" s="6"/>
      <c r="N30" s="616" t="str">
        <f t="shared" ref="N30:N47" si="7">$BA30&amp;BC$9</f>
      </c>
      <c r="O30" s="544">
        <f>TRA9_14!D124</f>
      </c>
      <c r="P30" s="949"/>
      <c r="Q30" s="616" t="str">
        <f t="shared" ref="Q30:Q47" si="8">$BA30&amp;BD$9</f>
      </c>
      <c r="R30" s="544">
        <f>TRA9_14!E124</f>
      </c>
      <c r="S30" s="11"/>
      <c r="V30" s="84"/>
      <c r="W30" s="32"/>
      <c r="X30" s="28">
        <f t="shared" si="6"/>
        <v>1</v>
      </c>
      <c r="BA30" s="28">
        <f t="shared" si="4"/>
        <v>55</v>
      </c>
    </row>
    <row r="31" spans="1:53" ht="12.75" customHeight="1" x14ac:dyDescent="0.2">
      <c r="A31" s="3"/>
      <c r="B31" s="950" t="s">
        <v>6199</v>
      </c>
      <c r="C31" s="867" t="s">
        <v>6200</v>
      </c>
      <c r="D31" s="967"/>
      <c r="E31" s="967"/>
      <c r="F31" s="967"/>
      <c r="G31" s="968"/>
      <c r="H31" s="958" t="s">
        <v>3286</v>
      </c>
      <c r="I31" s="956"/>
      <c r="J31" s="616" t="str">
        <f t="shared" si="1"/>
        <v>56a</v>
      </c>
      <c r="K31" s="646">
        <f>TRA9_14!C150</f>
      </c>
      <c r="L31" s="3"/>
      <c r="M31" s="6"/>
      <c r="N31" s="616" t="str">
        <f t="shared" si="7"/>
        <v>56b</v>
      </c>
      <c r="O31" s="646">
        <f>TRA9_14!D150</f>
      </c>
      <c r="P31" s="949"/>
      <c r="Q31" s="616" t="str">
        <f t="shared" si="8"/>
        <v>56c</v>
      </c>
      <c r="R31" s="969">
        <f>TRA9_14!E150</f>
      </c>
      <c r="S31" s="11"/>
      <c r="V31" s="84"/>
      <c r="W31" s="32"/>
      <c r="X31" s="28">
        <f t="shared" si="6"/>
        <v>1</v>
      </c>
      <c r="Z31" s="970">
        <f>SUM(K25:K31)</f>
      </c>
      <c r="AA31" s="84">
        <f>SUM(O25:O31)</f>
      </c>
      <c r="AB31" s="84">
        <f>SUM(R25:R31)</f>
      </c>
      <c r="BA31" s="28">
        <f t="shared" si="4"/>
        <v>56</v>
      </c>
    </row>
    <row r="32" spans="1:53" ht="12.75" x14ac:dyDescent="0.2">
      <c r="A32" s="3"/>
      <c r="B32" s="704" t="s">
        <v>146</v>
      </c>
      <c r="C32" s="271"/>
      <c r="D32" s="271"/>
      <c r="E32" s="271"/>
      <c r="F32" s="271"/>
      <c r="G32" s="271"/>
      <c r="H32" s="971"/>
      <c r="I32" s="211"/>
      <c r="J32" s="616" t="str">
        <f t="shared" si="1"/>
        <v>57a</v>
      </c>
      <c r="K32" s="544">
        <f>Z32</f>
      </c>
      <c r="L32" s="3"/>
      <c r="M32" s="6"/>
      <c r="N32" s="616" t="str">
        <f t="shared" si="7"/>
        <v>57b</v>
      </c>
      <c r="O32" s="544">
        <f>AA32</f>
      </c>
      <c r="P32" s="949"/>
      <c r="Q32" s="616" t="str">
        <f t="shared" si="8"/>
        <v>57c</v>
      </c>
      <c r="R32" s="544">
        <f>AB32</f>
      </c>
      <c r="S32" s="11"/>
      <c r="Z32" s="84">
        <f>Z24+Z31+K24</f>
      </c>
      <c r="AA32" s="84">
        <f>AA24+AA31+O24</f>
      </c>
      <c r="AB32" s="84">
        <f>AB24+AB31+R24</f>
      </c>
      <c r="AN32" s="28">
        <f>IF(K37&lt;0,1,0)</f>
      </c>
      <c r="AO32" s="28">
        <f>IF(O37&lt;0,1,0)</f>
      </c>
      <c r="AP32" s="28">
        <f>IF(R37&lt;0,1,0)</f>
      </c>
      <c r="BA32" s="28">
        <f t="shared" si="4"/>
        <v>57</v>
      </c>
    </row>
    <row r="33" spans="1:53" ht="12.75" hidden="1" x14ac:dyDescent="0.2">
      <c r="A33" s="3"/>
      <c r="J33" s="616" t="str">
        <f t="shared" si="1"/>
        <v>58a</v>
      </c>
      <c r="N33" s="616" t="str">
        <f t="shared" si="7"/>
        <v>58b</v>
      </c>
      <c r="Q33" s="616" t="str">
        <f t="shared" si="8"/>
        <v>58c</v>
      </c>
      <c r="S33" s="11"/>
      <c r="X33" s="28">
        <f>IF(ISBLANK(O33),0,1)</f>
      </c>
      <c r="Y33" s="28">
        <f>IF(ISBLANK(R33),0,1)</f>
      </c>
      <c r="AN33" s="28">
        <f>IF(AN32=1,K37,0)</f>
      </c>
      <c r="AO33" s="28">
        <f>IF(AO32=1,O37,0)</f>
      </c>
      <c r="AP33" s="28">
        <f>IF(AP32=1,R37,0)</f>
      </c>
      <c r="AR33" s="28">
        <f>SUM(AN33:AQ33)</f>
      </c>
      <c r="BA33" s="28">
        <f t="shared" si="4"/>
        <v>58</v>
      </c>
    </row>
    <row r="34" spans="1:53" ht="12.75" hidden="1" x14ac:dyDescent="0.2">
      <c r="A34" s="3"/>
      <c r="J34" s="616" t="str">
        <f t="shared" si="1"/>
        <v>59a</v>
      </c>
      <c r="N34" s="616" t="str">
        <f t="shared" si="7"/>
        <v>59b</v>
      </c>
      <c r="Q34" s="616" t="str">
        <f t="shared" si="8"/>
        <v>59c</v>
      </c>
      <c r="S34" s="11"/>
      <c r="U34" s="28">
        <f>IF(E34="",0,1)</f>
      </c>
      <c r="V34" s="84">
        <f>O34+R34</f>
      </c>
      <c r="X34" s="28">
        <f>IF(ISBLANK(O34),0,1)</f>
      </c>
      <c r="Y34" s="28">
        <f>IF(ISBLANK(R34),0,1)</f>
      </c>
      <c r="Z34" s="84">
        <f>SUM(K33:K34)</f>
      </c>
      <c r="AA34" s="84">
        <f>SUM(O33:O34)</f>
      </c>
      <c r="AB34" s="84">
        <f>SUM(R33:R34)</f>
      </c>
      <c r="AC34" s="84">
        <f>SUM(AA34:AB34)</f>
      </c>
      <c r="AN34" s="28">
        <f>IF(AN32=0,K37,0)</f>
      </c>
      <c r="AO34" s="28">
        <f>IF(AO32=0,O37,0)</f>
      </c>
      <c r="AP34" s="28">
        <f>IF(AP32=0,R37,0)</f>
      </c>
      <c r="AR34" s="28">
        <f>SUM(AN34:AQ34)</f>
      </c>
      <c r="AS34" s="28">
        <f>AR33+AR34</f>
      </c>
      <c r="BA34" s="28">
        <f t="shared" si="4"/>
        <v>59</v>
      </c>
    </row>
    <row r="35" spans="1:53" ht="12.75" customHeight="1" x14ac:dyDescent="0.2">
      <c r="A35" s="3"/>
      <c r="B35" s="947">
        <v>5</v>
      </c>
      <c r="C35" s="5534" t="s">
        <v>4817</v>
      </c>
      <c r="D35" s="4870"/>
      <c r="E35" s="4870" t="str">
        <f>IF(AE35=3,"Set-off effected","")</f>
        <v/>
      </c>
      <c r="F35" s="4870"/>
      <c r="G35" s="5535"/>
      <c r="H35" s="958" t="s">
        <v>3288</v>
      </c>
      <c r="I35" s="211"/>
      <c r="J35" s="616" t="str">
        <f t="shared" si="1"/>
        <v>58a</v>
      </c>
      <c r="K35" s="544">
        <f>'TRA15'!G89</f>
      </c>
      <c r="L35" s="3"/>
      <c r="M35" s="6"/>
      <c r="N35" s="616" t="str">
        <f t="shared" si="7"/>
        <v>58b</v>
      </c>
      <c r="O35" s="544">
        <f>'TRA15'!H89</f>
      </c>
      <c r="P35" s="949"/>
      <c r="Q35" s="616" t="str">
        <f t="shared" si="8"/>
        <v>58c</v>
      </c>
      <c r="R35" s="544">
        <f>'TRA15'!I89</f>
      </c>
      <c r="S35" s="11"/>
      <c r="Z35" s="28">
        <f>IF(Z34&gt;0,Z34,0)</f>
      </c>
      <c r="AA35" s="28">
        <f>IF(AA34&gt;0,AA34,0)</f>
      </c>
      <c r="AB35" s="28">
        <f>IF(AB34&gt;0,AB34,0)</f>
      </c>
      <c r="AC35" s="28">
        <f>IF(AA34&lt;0,1,IF(AA34&gt;0,2,0))</f>
      </c>
      <c r="AD35" s="28">
        <f>IF(AB34&lt;0,1,IF(AB34&gt;0,2,0))</f>
      </c>
      <c r="AE35" s="28">
        <f>SUM(AC35:AD35)</f>
      </c>
      <c r="AN35" s="28">
        <f>IF(AN32=1,K37,0)</f>
      </c>
      <c r="AO35" s="28">
        <f>IF(AO32=1,O37,0)</f>
      </c>
      <c r="AP35" s="28">
        <f>IF(AP32=1,R37,0)</f>
      </c>
      <c r="BA35" s="28">
        <v>58</v>
      </c>
    </row>
    <row r="36" spans="1:53" ht="12.75" customHeight="1" x14ac:dyDescent="0.2">
      <c r="A36" s="3"/>
      <c r="B36" s="11"/>
      <c r="C36" s="11"/>
      <c r="D36" s="3"/>
      <c r="E36" s="3"/>
      <c r="F36" s="3"/>
      <c r="G36" s="3"/>
      <c r="H36" s="245"/>
      <c r="I36" s="3"/>
      <c r="J36" s="972" t="str">
        <f>IF('TRA15'!J87='TRA15'!N87,"    "&amp;'TRA15'!N87&amp;"  See TRA 15!","")</f>
        <v/>
      </c>
      <c r="K36" s="211"/>
      <c r="L36" s="211"/>
      <c r="M36" s="211"/>
      <c r="N36" s="211"/>
      <c r="O36" s="211"/>
      <c r="P36" s="211"/>
      <c r="Q36" s="211"/>
      <c r="R36" s="211"/>
      <c r="S36" s="11"/>
      <c r="U36" s="28">
        <f>IF(J36="",0,1)</f>
      </c>
      <c r="AA36" s="28">
        <f>IF(AA35=0,AA34,0)</f>
      </c>
      <c r="AB36" s="28">
        <f>IF(AB35=0,AB34,0)</f>
      </c>
      <c r="AN36" s="28">
        <f>IF(AN32=1,0,IF(AN34&gt;AS36*-1,AS36,AN34*-1))</f>
      </c>
      <c r="AO36" s="28">
        <f>IF(AO32=1,0,IF(AO34&gt;AT36*-1,AT36,AO34*-1))</f>
      </c>
      <c r="AP36" s="28">
        <f>IF(AP32=1,0,IF(AP34&gt;AU36*-1,AU36,AP34*-1))</f>
      </c>
      <c r="AS36" s="28">
        <f>AR33</f>
      </c>
      <c r="AT36" s="28">
        <f t="shared" ref="AT36:AV37" si="9">AS36-AN36</f>
      </c>
      <c r="AU36" s="28">
        <f t="shared" si="9"/>
        <v>-4298</v>
      </c>
      <c r="AV36" s="28">
        <f t="shared" si="9"/>
        <v>-4298</v>
      </c>
      <c r="BA36" s="28">
        <f t="shared" si="4"/>
        <v>59</v>
      </c>
    </row>
    <row r="37" spans="1:53" ht="12.75" x14ac:dyDescent="0.2">
      <c r="A37" s="3"/>
      <c r="B37" s="704" t="s">
        <v>2753</v>
      </c>
      <c r="C37" s="271"/>
      <c r="D37" s="271"/>
      <c r="E37" s="271"/>
      <c r="F37" s="271"/>
      <c r="G37" s="271"/>
      <c r="H37" s="971"/>
      <c r="I37" s="211"/>
      <c r="J37" s="616" t="str">
        <f t="shared" si="1"/>
        <v>59a</v>
      </c>
      <c r="K37" s="544">
        <f>K32+K35</f>
      </c>
      <c r="L37" s="3"/>
      <c r="M37" s="6"/>
      <c r="N37" s="616" t="str">
        <f t="shared" si="7"/>
        <v>59b</v>
      </c>
      <c r="O37" s="544">
        <f>O32+O35</f>
      </c>
      <c r="P37" s="949"/>
      <c r="Q37" s="616" t="str">
        <f t="shared" si="8"/>
        <v>59c</v>
      </c>
      <c r="R37" s="544">
        <f>R32+R35</f>
      </c>
      <c r="S37" s="11"/>
      <c r="AI37" s="84">
        <f>K32+K35</f>
      </c>
      <c r="AJ37" s="28">
        <f>O32+O35</f>
      </c>
      <c r="AK37" s="28">
        <f>R32+R35</f>
      </c>
      <c r="AN37" s="28">
        <f>IF(AN32=0,0,IF(AN35&gt;AS37*-1,AN35*-1,AS37))</f>
      </c>
      <c r="AO37" s="28">
        <f>IF(AO32=0,0,IF(AO35&gt;AT37*-1,AO35*-1,AT37))</f>
      </c>
      <c r="AP37" s="28">
        <f>IF(AP32=0,0,IF(AP35&gt;AU37*-1,AP35*-1,AU37))</f>
      </c>
      <c r="AS37" s="28">
        <f>AR34</f>
      </c>
      <c r="AT37" s="28">
        <f t="shared" si="9"/>
        <v>0</v>
      </c>
      <c r="AU37" s="28">
        <f t="shared" si="9"/>
        <v>0</v>
      </c>
      <c r="AV37" s="28">
        <f t="shared" si="9"/>
        <v>0</v>
      </c>
      <c r="BA37" s="28">
        <v>59</v>
      </c>
    </row>
    <row r="38" spans="1:53" ht="12.75" hidden="1" customHeight="1" x14ac:dyDescent="0.2">
      <c r="A38" s="3"/>
      <c r="J38" s="616" t="str">
        <f t="shared" si="1"/>
        <v>60a</v>
      </c>
      <c r="N38" s="616" t="str">
        <f t="shared" si="7"/>
        <v>60b</v>
      </c>
      <c r="Q38" s="616" t="str">
        <f t="shared" si="8"/>
        <v>60c</v>
      </c>
      <c r="S38" s="11"/>
      <c r="U38" s="28">
        <f t="shared" ref="U38:U43" si="10">IF(E38="",0,1)</f>
      </c>
      <c r="X38" s="28">
        <f>IF(ISBLANK(O38),0,1)</f>
      </c>
      <c r="Y38" s="28">
        <f>IF(ISBLANK(R38),0,1)</f>
      </c>
      <c r="AI38" s="28">
        <f>IF(AI37&lt;0,1,0)</f>
      </c>
      <c r="AJ38" s="28">
        <f>IF(AJ37&lt;0,1,0)</f>
      </c>
      <c r="AK38" s="28">
        <f>IF(AK37&lt;0,1,0)</f>
      </c>
      <c r="AL38" s="28">
        <f>SUM(AI38:AK38)</f>
      </c>
      <c r="BA38" s="28">
        <f t="shared" si="4"/>
        <v>60</v>
      </c>
    </row>
    <row r="39" spans="1:53" ht="12.75" hidden="1" x14ac:dyDescent="0.2">
      <c r="A39" s="3"/>
      <c r="J39" s="616" t="str">
        <f t="shared" si="1"/>
        <v>61a</v>
      </c>
      <c r="N39" s="616" t="str">
        <f t="shared" si="7"/>
        <v>61b</v>
      </c>
      <c r="Q39" s="616" t="str">
        <f t="shared" si="8"/>
        <v>61c</v>
      </c>
      <c r="S39" s="11"/>
      <c r="U39" s="28">
        <f t="shared" si="10"/>
        <v>0</v>
      </c>
      <c r="V39" s="84">
        <f>O39+R39</f>
      </c>
      <c r="W39" s="28">
        <f>'p2'!P8</f>
      </c>
      <c r="X39" s="28">
        <f>IF(ISBLANK(O39),0,1)</f>
      </c>
      <c r="Y39" s="28">
        <f>IF(ISBLANK(R39),0,1)</f>
      </c>
      <c r="BA39" s="28">
        <f t="shared" si="4"/>
        <v>61</v>
      </c>
    </row>
    <row r="40" spans="1:53" ht="12.75" hidden="1" x14ac:dyDescent="0.2">
      <c r="A40" s="3"/>
      <c r="J40" s="616" t="str">
        <f t="shared" si="1"/>
        <v>62a</v>
      </c>
      <c r="N40" s="616" t="str">
        <f t="shared" si="7"/>
        <v>62b</v>
      </c>
      <c r="Q40" s="616" t="str">
        <f t="shared" si="8"/>
        <v>62c</v>
      </c>
      <c r="S40" s="11"/>
      <c r="U40" s="28">
        <f t="shared" si="10"/>
        <v>0</v>
      </c>
      <c r="Z40" s="84">
        <f>IF(AI37&lt;=0,AI37,AI37-K39)</f>
      </c>
      <c r="AA40" s="84">
        <f>IF(AJ37&lt;=0,AJ37,AJ37-O39)</f>
      </c>
      <c r="AB40" s="84">
        <f>IF(AK37&lt;=0,AK37,AK37-R39)</f>
      </c>
      <c r="BA40" s="28">
        <f t="shared" si="4"/>
        <v>62</v>
      </c>
    </row>
    <row r="41" spans="1:53" ht="12.75" customHeight="1" x14ac:dyDescent="0.2">
      <c r="A41" s="3"/>
      <c r="B41" s="973"/>
      <c r="C41" s="867" t="s">
        <v>963</v>
      </c>
      <c r="D41" s="964"/>
      <c r="E41" s="964"/>
      <c r="F41" s="964"/>
      <c r="G41" s="964"/>
      <c r="H41" s="974"/>
      <c r="I41" s="211"/>
      <c r="J41" s="616" t="str">
        <f t="shared" si="1"/>
        <v>60a</v>
      </c>
      <c r="K41" s="975">
        <f>AN41</f>
      </c>
      <c r="L41" s="3"/>
      <c r="M41" s="6"/>
      <c r="N41" s="616" t="str">
        <f t="shared" si="7"/>
        <v>60b</v>
      </c>
      <c r="O41" s="975">
        <f>AO41</f>
      </c>
      <c r="P41" s="949"/>
      <c r="Q41" s="616" t="str">
        <f t="shared" si="8"/>
        <v>60c</v>
      </c>
      <c r="R41" s="975">
        <f>AP41</f>
      </c>
      <c r="S41" s="11"/>
      <c r="Z41" s="28">
        <f>IF(Z40&lt;=0,1,2)</f>
      </c>
      <c r="AA41" s="28">
        <f>IF(AA40&lt;=0,1,2)</f>
      </c>
      <c r="AB41" s="28">
        <f>IF(AB40&lt;=0,1,2)</f>
      </c>
      <c r="AD41" s="28">
        <f>SUM(Z41:AB41)</f>
      </c>
      <c r="AE41" s="28">
        <f>IF(AD41&lt;&gt;3,0,IF(AA41=1,0,IF(AB40*-1&gt;AA40,AA40*-1,AB40)))</f>
      </c>
      <c r="AF41" s="28">
        <f>IF(AD41&lt;&gt;3,0,IF(AA41=2,0,IF(AB40&gt;AA40*-1,AA40*-1,AB40)))</f>
      </c>
      <c r="AG41" s="28">
        <f>AF41+AE41</f>
      </c>
      <c r="AN41" s="28">
        <f>SUM(AN36:AN37)</f>
      </c>
      <c r="AO41" s="28">
        <f>SUM(AO36:AO37)</f>
      </c>
      <c r="AP41" s="28">
        <f>SUM(AP36:AP37)</f>
      </c>
      <c r="BA41" s="28">
        <v>60</v>
      </c>
    </row>
    <row r="42" spans="1:53" ht="12.75" x14ac:dyDescent="0.2">
      <c r="A42" s="3"/>
      <c r="B42" s="704" t="s">
        <v>3786</v>
      </c>
      <c r="C42" s="271"/>
      <c r="D42" s="271"/>
      <c r="E42" s="271"/>
      <c r="F42" s="271"/>
      <c r="G42" s="976"/>
      <c r="H42" s="971"/>
      <c r="I42" s="211"/>
      <c r="J42" s="616" t="str">
        <f t="shared" si="1"/>
        <v>61a</v>
      </c>
      <c r="K42" s="544">
        <f>K37+K41</f>
      </c>
      <c r="L42" s="3"/>
      <c r="M42" s="6"/>
      <c r="N42" s="616" t="str">
        <f t="shared" si="7"/>
        <v>61b</v>
      </c>
      <c r="O42" s="544">
        <f>O37+O41</f>
      </c>
      <c r="P42" s="949"/>
      <c r="Q42" s="616" t="str">
        <f t="shared" si="8"/>
        <v>61c</v>
      </c>
      <c r="R42" s="544">
        <f>R37+R41</f>
      </c>
      <c r="S42" s="11"/>
      <c r="Z42" s="84"/>
      <c r="AA42" s="84"/>
      <c r="BA42" s="28">
        <f t="shared" si="4"/>
        <v>61</v>
      </c>
    </row>
    <row r="43" spans="1:53" ht="12.75" customHeight="1" x14ac:dyDescent="0.2">
      <c r="A43" s="3"/>
      <c r="B43" s="973" t="s">
        <v>967</v>
      </c>
      <c r="C43" s="865" t="s">
        <v>968</v>
      </c>
      <c r="D43" s="963"/>
      <c r="E43" s="954" t="str">
        <f>IF(AND((N43)="",(Q43)="",J43=""),"","CHECK TRA 19!!!")</f>
        <v/>
      </c>
      <c r="F43" s="963"/>
      <c r="G43" s="866"/>
      <c r="H43" s="974"/>
      <c r="I43" s="211"/>
      <c r="J43" s="5532" t="str">
        <f>IF(K44=0,"",IF(W46=0,"No Group (P2)!",IF(K42&gt;=0,"No Loss to surrender!",IF(K44&gt;K42*-1,"Check!",""))))</f>
        <v/>
      </c>
      <c r="K43" s="5533"/>
      <c r="L43" s="3"/>
      <c r="M43" s="6"/>
      <c r="N43" s="5532" t="str">
        <f>IF(O44=0,"",IF(W46=0,"No Group (P2)!",IF(O42&gt;=0,"No Loss to surrender!",IF(O44&gt;O42*-1,"Check!",""))))</f>
        <v/>
      </c>
      <c r="O43" s="5533"/>
      <c r="P43" s="949"/>
      <c r="Q43" s="5532" t="str">
        <f>IF(R44=0,"",IF(W46=0,"No Group (P2)!",IF(R42&gt;=0,"No Loss to surrender!",IF(R44&gt;R42*-1,"Check!",""))))</f>
        <v/>
      </c>
      <c r="R43" s="5533"/>
      <c r="S43" s="11"/>
      <c r="U43" s="28">
        <f t="shared" si="10"/>
        <v>0</v>
      </c>
      <c r="W43" s="28">
        <f>'p2'!P14</f>
      </c>
      <c r="X43" s="28">
        <f>IF(O42&lt;0,1,0)</f>
      </c>
      <c r="BA43" s="28">
        <v>61</v>
      </c>
    </row>
    <row r="44" spans="1:53" ht="12.75" customHeight="1" x14ac:dyDescent="0.2">
      <c r="A44" s="3"/>
      <c r="B44" s="973"/>
      <c r="C44" s="867" t="s">
        <v>969</v>
      </c>
      <c r="D44" s="964"/>
      <c r="E44" s="964"/>
      <c r="F44" s="964"/>
      <c r="G44" s="965"/>
      <c r="H44" s="958" t="s">
        <v>3190</v>
      </c>
      <c r="I44" s="956"/>
      <c r="J44" s="616" t="str">
        <f t="shared" si="1"/>
        <v>62a</v>
      </c>
      <c r="K44" s="544">
        <f>'TRA19'!G36</f>
      </c>
      <c r="L44" s="3"/>
      <c r="M44" s="6"/>
      <c r="N44" s="616" t="str">
        <f t="shared" si="7"/>
        <v>62b</v>
      </c>
      <c r="O44" s="544">
        <f>'TRA19'!I36</f>
      </c>
      <c r="P44" s="949"/>
      <c r="Q44" s="616" t="str">
        <f t="shared" si="8"/>
        <v>62c</v>
      </c>
      <c r="R44" s="544">
        <f>'TRA19'!K36</f>
      </c>
      <c r="S44" s="11"/>
      <c r="W44" s="28">
        <f>IF(dts&lt;&gt;3,2,'p2'!P14+X43)</f>
      </c>
      <c r="X44" s="28">
        <f>IF(ISBLANK(O44),0,1)</f>
      </c>
      <c r="Z44" s="28">
        <f>IF(O42&lt;0,O42*-1,0)</f>
      </c>
      <c r="AA44" s="28">
        <f>IF(R42&lt;0,R42*-1,0)</f>
      </c>
      <c r="BA44" s="28">
        <f t="shared" si="4"/>
        <v>62</v>
      </c>
    </row>
    <row r="45" spans="1:53" ht="14.25" customHeight="1" x14ac:dyDescent="0.2">
      <c r="A45" s="3"/>
      <c r="B45" s="704" t="s">
        <v>6139</v>
      </c>
      <c r="C45" s="271"/>
      <c r="D45" s="271"/>
      <c r="E45" s="271"/>
      <c r="F45" s="271"/>
      <c r="G45" s="271"/>
      <c r="H45" s="971"/>
      <c r="I45" s="211"/>
      <c r="J45" s="616" t="str">
        <f t="shared" si="1"/>
        <v>63a</v>
      </c>
      <c r="K45" s="544">
        <f>IF(K42&gt;=0,K42,IF(K42*-1&lt;K44,0,K42+K44))</f>
      </c>
      <c r="L45" s="3"/>
      <c r="M45" s="6"/>
      <c r="N45" s="616" t="str">
        <f t="shared" si="7"/>
        <v>63b</v>
      </c>
      <c r="O45" s="544">
        <f>IF(O42&gt;=0,O42,IF(O42*-1&lt;O44,0,O42+O44))</f>
      </c>
      <c r="P45" s="949"/>
      <c r="Q45" s="616" t="str">
        <f t="shared" si="8"/>
        <v>63c</v>
      </c>
      <c r="R45" s="544">
        <f>IF(R42&gt;=0,R42,IF(R42*-1&lt;R44,0,R42+R44))</f>
      </c>
      <c r="S45" s="11"/>
      <c r="W45" s="28">
        <f>IF(dts&lt;&gt;3,2,'p2'!P14+X45)</f>
      </c>
      <c r="X45" s="28">
        <f>IF(R42&lt;0,1,0)</f>
      </c>
      <c r="AA45" s="84">
        <f>K45</f>
      </c>
      <c r="AB45" s="84">
        <f>O45</f>
      </c>
      <c r="AC45" s="84">
        <f>R45</f>
      </c>
      <c r="AN45" s="28">
        <f>IF(K53&lt;0,1,0)</f>
      </c>
      <c r="AO45" s="28">
        <f>IF(O53&lt;0,1,0)</f>
      </c>
      <c r="AP45" s="28">
        <f>IF(R53&lt;0,1,0)</f>
      </c>
      <c r="BA45" s="28">
        <f t="shared" si="4"/>
        <v>63</v>
      </c>
    </row>
    <row r="46" spans="1:53" ht="12.75" customHeight="1" x14ac:dyDescent="0.2">
      <c r="A46" s="3"/>
      <c r="B46" s="973" t="s">
        <v>967</v>
      </c>
      <c r="C46" s="265" t="s">
        <v>5149</v>
      </c>
      <c r="D46" s="963"/>
      <c r="E46" s="1428"/>
      <c r="F46" s="963"/>
      <c r="G46" s="866"/>
      <c r="H46" s="974"/>
      <c r="I46" s="211"/>
      <c r="J46" s="5560" t="str">
        <f>IF(K47=0,"",IF($W$46=0,"No Group (P2)!",IF(K45&lt;=0,"No Income!",IF(K47*-1&gt;K45,"Check TRA20!",""))))</f>
        <v/>
      </c>
      <c r="K46" s="5561"/>
      <c r="L46" s="3"/>
      <c r="M46" s="6"/>
      <c r="N46" s="5560" t="str">
        <f>IF(O47=0,"",IF($W$46=0,"No Group (P2)!",IF(O45&lt;=0,"No Income!",IF(O47*-1&gt;O45,"CheckTRA 20!",""))))</f>
        <v/>
      </c>
      <c r="O46" s="5561"/>
      <c r="P46" s="949"/>
      <c r="Q46" s="5560" t="str">
        <f>IF(R47=0,"",IF($W$46=0,"No Group (P2)!",IF(R45&lt;=0,"No Income!",IF(R47*-1&gt;R45,"Check TRA20!",""))))</f>
        <v/>
      </c>
      <c r="R46" s="5561"/>
      <c r="S46" s="11"/>
      <c r="U46" s="28">
        <f>IF(OR(J46&lt;&gt;"",N46&lt;&gt;"",Q46&lt;&gt;""),1,0)</f>
      </c>
      <c r="W46" s="192">
        <f>'p2'!P14</f>
      </c>
      <c r="X46" s="28">
        <f>IF(ISBLANK(O46),0,1)</f>
      </c>
      <c r="AN46" s="28">
        <f>IF(AN45=1,K53,0)</f>
      </c>
      <c r="AO46" s="28">
        <f>IF(AO45=1,O53,0)</f>
      </c>
      <c r="AP46" s="28">
        <f>IF(AP45=1,R53,0)</f>
      </c>
      <c r="AR46" s="28">
        <f>SUM(AN46:AQ46)</f>
      </c>
      <c r="BA46" s="28">
        <v>63</v>
      </c>
    </row>
    <row r="47" spans="1:53" ht="12.75" customHeight="1" x14ac:dyDescent="0.2">
      <c r="A47" s="3"/>
      <c r="B47" s="973"/>
      <c r="C47" s="265" t="s">
        <v>4493</v>
      </c>
      <c r="D47" s="229"/>
      <c r="E47" s="572" t="str">
        <f>IF(W46=1,"",IF(V47=0,"","No Group (P2)!"))</f>
        <v/>
      </c>
      <c r="F47" s="229"/>
      <c r="G47" s="977"/>
      <c r="H47" s="958" t="s">
        <v>1689</v>
      </c>
      <c r="I47" s="211"/>
      <c r="J47" s="616" t="str">
        <f t="shared" si="1"/>
        <v>64a</v>
      </c>
      <c r="K47" s="544">
        <f>'TRA20'!G46</f>
      </c>
      <c r="L47" s="3"/>
      <c r="M47" s="6"/>
      <c r="N47" s="616" t="str">
        <f t="shared" si="7"/>
        <v>64b</v>
      </c>
      <c r="O47" s="544">
        <f>'TRA20'!I46</f>
      </c>
      <c r="P47" s="949"/>
      <c r="Q47" s="616" t="str">
        <f t="shared" si="8"/>
        <v>64c</v>
      </c>
      <c r="R47" s="544">
        <f>'TRA20'!K46</f>
      </c>
      <c r="S47" s="11"/>
      <c r="V47" s="84">
        <f>K47+O47+R47</f>
      </c>
      <c r="X47" s="28">
        <f>IF(ISBLANK(#REF!),0,1)</f>
      </c>
      <c r="AA47" s="84">
        <f>K45</f>
      </c>
      <c r="AB47" s="28">
        <f>O45</f>
      </c>
      <c r="AC47" s="28">
        <f>R45</f>
      </c>
      <c r="AN47" s="28">
        <f>IF(AN45=0,K53,0)</f>
      </c>
      <c r="AO47" s="28">
        <f>IF(AO45=0,O53,0)</f>
      </c>
      <c r="AP47" s="28">
        <f>IF(AP45=0,R53,0)</f>
      </c>
      <c r="AR47" s="28">
        <f>SUM(AN47:AQ47)</f>
      </c>
      <c r="AS47" s="28">
        <f>AR46+AR47</f>
      </c>
      <c r="BA47" s="28">
        <f t="shared" si="4"/>
        <v>64</v>
      </c>
    </row>
    <row r="48" spans="1:53" ht="12.75" customHeight="1" x14ac:dyDescent="0.2">
      <c r="A48" s="211"/>
      <c r="B48" s="882"/>
      <c r="C48" s="1429" t="str">
        <f>IF(C50=0,""," Excessive group loss claimed in taxed account(s)!")</f>
        <v/>
      </c>
      <c r="D48" s="211"/>
      <c r="E48" s="211"/>
      <c r="F48" s="211"/>
      <c r="G48" s="211"/>
      <c r="H48" s="978"/>
      <c r="I48" s="211"/>
      <c r="J48" s="1430" t="str">
        <f>IF(E50&lt;&gt;0,"   More group loss can be claimed and absorbed!","" )</f>
        <v/>
      </c>
      <c r="K48" s="211"/>
      <c r="L48" s="211"/>
      <c r="M48" s="211"/>
      <c r="N48" s="211"/>
      <c r="O48" s="211"/>
      <c r="P48" s="211"/>
      <c r="Q48" s="211"/>
      <c r="R48" s="979"/>
      <c r="S48" s="211"/>
      <c r="U48" s="28">
        <f>IF(E47="",0,1)</f>
      </c>
      <c r="X48" s="28">
        <f>IF(ISBLANK(O48),0,1)</f>
      </c>
      <c r="AN48" s="28">
        <f>IF(AN45=1,K53,0)</f>
      </c>
      <c r="AO48" s="28">
        <f>IF(AO45=1,O53,0)</f>
      </c>
      <c r="AP48" s="28">
        <f>IF(AP45=1,R53,0)</f>
      </c>
    </row>
    <row r="49" spans="1:80" ht="12.75" hidden="1" x14ac:dyDescent="0.2">
      <c r="AN49" s="28">
        <f>IF(AN45=1,0,IF(AN47&gt;AS49*-1,AS49,AN47*-1))</f>
      </c>
      <c r="AO49" s="28">
        <f>IF(AO45=1,0,IF(AO47&gt;AT49*-1,AT49,AO47*-1))</f>
      </c>
      <c r="AP49" s="28">
        <f>IF(AP45=1,0,IF(AP47&gt;AU49*-1,AU49,AP47*-1))</f>
      </c>
      <c r="AS49" s="28">
        <f>AR46</f>
      </c>
      <c r="AT49" s="28">
        <f t="shared" ref="AT49:AV50" si="11">AS49-AN49</f>
      </c>
      <c r="AU49" s="28">
        <f t="shared" si="11"/>
        <v>-194551</v>
      </c>
      <c r="AV49" s="28">
        <f t="shared" si="11"/>
        <v>-194551</v>
      </c>
    </row>
    <row r="50" spans="1:80" ht="12.75" hidden="1" x14ac:dyDescent="0.2">
      <c r="C50" s="142">
        <f>K50+O50+R50</f>
      </c>
      <c r="E50" s="142">
        <f>F50</f>
      </c>
      <c r="F50" s="142">
        <f>IF(AND(J50&gt;0,K51+O51+R51&gt;0),1,0)</f>
      </c>
      <c r="J50" s="142">
        <f>'TRA20'!E44</f>
      </c>
      <c r="K50" s="142">
        <f>IF(K45=K51,0,IF(K51&lt;0,1,0))</f>
      </c>
      <c r="O50" s="142">
        <f>IF(O45=O51,0,IF(O51&lt;0,1,0))</f>
      </c>
      <c r="R50" s="142">
        <f>IF(R45=R51,0,IF(R51&lt;0,1,0))</f>
      </c>
      <c r="AE50" s="28">
        <f>IF(R45&lt;=0,0,IF(AE47&gt;AE48,0,AE48-AE47))</f>
      </c>
      <c r="AN50" s="28">
        <f>IF(AN45=0,0,IF(AN48&gt;AS50*-1,AN48*-1,AS50))</f>
      </c>
      <c r="AO50" s="28">
        <f>IF(AO45=0,0,IF(AO48&gt;AT50*-1,AO48*-1,AT50))</f>
      </c>
      <c r="AP50" s="28">
        <f>IF(AP45=0,0,IF(AP48&gt;AU50*-1,AP48*-1,AU50))</f>
      </c>
      <c r="AS50" s="28">
        <f>AR47</f>
      </c>
      <c r="AT50" s="28">
        <f t="shared" si="11"/>
        <v>0</v>
      </c>
      <c r="AU50" s="28">
        <f t="shared" si="11"/>
        <v>0</v>
      </c>
      <c r="AV50" s="28">
        <f t="shared" si="11"/>
        <v>0</v>
      </c>
    </row>
    <row r="51" spans="1:80" ht="12.75" x14ac:dyDescent="0.2">
      <c r="A51" s="3"/>
      <c r="B51" s="3963" t="s">
        <v>10357</v>
      </c>
      <c r="C51" s="271"/>
      <c r="D51" s="271"/>
      <c r="E51" s="271"/>
      <c r="F51" s="271"/>
      <c r="G51" s="271"/>
      <c r="H51" s="971"/>
      <c r="I51" s="211"/>
      <c r="J51" s="616" t="str">
        <f t="shared" ref="J51:J62" si="12">BA51&amp;BB$9</f>
      </c>
      <c r="K51" s="544">
        <f>IF(K45&lt;=0,K45,K45+K47)</f>
      </c>
      <c r="L51" s="3"/>
      <c r="M51" s="6"/>
      <c r="N51" s="616" t="str">
        <f t="shared" ref="N51:N62" si="13">$BA51&amp;BC$9</f>
      </c>
      <c r="O51" s="544">
        <f>IF(O45&lt;=0,O45,O45+O47)</f>
      </c>
      <c r="P51" s="949"/>
      <c r="Q51" s="616" t="str">
        <f t="shared" ref="Q51:Q62" si="14">$BA51&amp;BD$9</f>
      </c>
      <c r="R51" s="544">
        <f>IF(R45&lt;=0,R45,R45+R47)</f>
      </c>
      <c r="S51" s="11"/>
      <c r="AA51" s="84"/>
      <c r="AB51" s="84"/>
      <c r="AC51" s="84"/>
      <c r="BA51" s="28">
        <f>BA47+1</f>
      </c>
    </row>
    <row r="52" spans="1:80" ht="12.75" x14ac:dyDescent="0.2">
      <c r="A52" s="3"/>
      <c r="B52" s="973"/>
      <c r="C52" s="5534" t="s">
        <v>4950</v>
      </c>
      <c r="D52" s="4870"/>
      <c r="E52" s="4870"/>
      <c r="F52" s="4870"/>
      <c r="G52" s="5535"/>
      <c r="H52" s="974"/>
      <c r="I52" s="211"/>
      <c r="J52" s="616" t="str">
        <f t="shared" si="12"/>
        <v>66a</v>
      </c>
      <c r="K52" s="645"/>
      <c r="L52" s="3"/>
      <c r="M52" s="6"/>
      <c r="N52" s="616" t="str">
        <f t="shared" si="13"/>
        <v>66b</v>
      </c>
      <c r="O52" s="645"/>
      <c r="P52" s="949"/>
      <c r="Q52" s="616" t="str">
        <f t="shared" si="14"/>
        <v>66c</v>
      </c>
      <c r="R52" s="645"/>
      <c r="S52" s="11"/>
      <c r="X52" s="28">
        <f>IF(ISBLANK(O52),0,1)</f>
      </c>
      <c r="BA52" s="28">
        <f>BA51+1</f>
      </c>
    </row>
    <row r="53" spans="1:80" ht="12.75" x14ac:dyDescent="0.2">
      <c r="A53" s="3"/>
      <c r="B53" s="704" t="s">
        <v>6629</v>
      </c>
      <c r="C53" s="271"/>
      <c r="D53" s="271"/>
      <c r="E53" s="271"/>
      <c r="F53" s="271"/>
      <c r="G53" s="271"/>
      <c r="H53" s="971"/>
      <c r="I53" s="211"/>
      <c r="J53" s="616" t="str">
        <f t="shared" si="12"/>
        <v>67a</v>
      </c>
      <c r="K53" s="544">
        <f>K51+K52</f>
      </c>
      <c r="L53" s="3"/>
      <c r="M53" s="6"/>
      <c r="N53" s="616" t="str">
        <f t="shared" si="13"/>
        <v>67b</v>
      </c>
      <c r="O53" s="544">
        <f>O51+O52</f>
      </c>
      <c r="P53" s="949"/>
      <c r="Q53" s="616" t="str">
        <f t="shared" si="14"/>
        <v>67c</v>
      </c>
      <c r="R53" s="544">
        <f>R51+R52</f>
      </c>
      <c r="S53" s="11"/>
      <c r="Z53" s="84"/>
      <c r="AA53" s="84"/>
      <c r="AB53" s="28">
        <f>O53</f>
      </c>
      <c r="AC53" s="28">
        <f>R53</f>
      </c>
      <c r="BA53" s="28">
        <f>BA52+1</f>
      </c>
    </row>
    <row r="54" spans="1:80" ht="12.75" x14ac:dyDescent="0.2">
      <c r="A54" s="3"/>
      <c r="B54" s="980"/>
      <c r="C54" s="5536" t="s">
        <v>963</v>
      </c>
      <c r="D54" s="5537"/>
      <c r="E54" s="5537"/>
      <c r="F54" s="5537"/>
      <c r="G54" s="5538"/>
      <c r="H54" s="2086"/>
      <c r="I54" s="211"/>
      <c r="J54" s="616" t="str">
        <f t="shared" si="12"/>
        <v>68a</v>
      </c>
      <c r="K54" s="960">
        <f>AN54</f>
      </c>
      <c r="L54" s="3"/>
      <c r="M54" s="6"/>
      <c r="N54" s="616" t="str">
        <f t="shared" si="13"/>
        <v>68b</v>
      </c>
      <c r="O54" s="960">
        <f>AO54</f>
      </c>
      <c r="P54" s="949"/>
      <c r="Q54" s="616" t="str">
        <f t="shared" si="14"/>
        <v>68c</v>
      </c>
      <c r="R54" s="960">
        <f>AP54</f>
      </c>
      <c r="S54" s="11"/>
      <c r="X54" s="28">
        <f>SUM(X11:X52)</f>
      </c>
      <c r="Y54" s="30"/>
      <c r="AB54" s="28">
        <f>IF(AB53&lt;=0,1,2)</f>
      </c>
      <c r="AC54" s="28">
        <f>IF(AC53&lt;=0,1,2)</f>
      </c>
      <c r="AD54" s="28">
        <f>SUM(AB54:AC54)</f>
      </c>
      <c r="AE54" s="28">
        <f>IF(AD54&lt;&gt;3,0,IF(AB54=1,0,IF(AC53*-1&gt;AB53,AB53*-1,AC53)))</f>
      </c>
      <c r="AF54" s="28">
        <f>IF(AD54&lt;&gt;3,0,IF(AB54=2,0,IF(AC53&gt;AB53*-1,AB53*-1,AC53)))</f>
      </c>
      <c r="AG54" s="28">
        <f>AE54+AF54</f>
      </c>
      <c r="AN54" s="28">
        <f>SUM(AN49:AN50)</f>
      </c>
      <c r="AO54" s="28">
        <f>SUM(AO49:AO50)</f>
      </c>
      <c r="AP54" s="28">
        <f>SUM(AP49:AP50)</f>
      </c>
      <c r="BA54" s="28">
        <v>68</v>
      </c>
    </row>
    <row r="55" spans="1:80" ht="12.75" x14ac:dyDescent="0.2">
      <c r="A55" s="3"/>
      <c r="B55" s="2085" t="s">
        <v>7479</v>
      </c>
      <c r="C55" s="5539" t="s">
        <v>7480</v>
      </c>
      <c r="D55" s="5540"/>
      <c r="E55" s="5540"/>
      <c r="F55" s="5540"/>
      <c r="G55" s="5541"/>
      <c r="H55" s="958" t="s">
        <v>7386</v>
      </c>
      <c r="I55" s="211"/>
      <c r="J55" s="616" t="s">
        <v>7481</v>
      </c>
      <c r="K55" s="960">
        <f>'TRA89'!O68</f>
      </c>
      <c r="L55" s="3"/>
      <c r="M55" s="6"/>
      <c r="N55" s="5532"/>
      <c r="O55" s="5533"/>
      <c r="P55" s="949"/>
      <c r="Q55" s="5532"/>
      <c r="R55" s="5533"/>
      <c r="S55" s="11"/>
      <c r="Y55" s="30"/>
    </row>
    <row r="56" spans="1:80" ht="12.75" x14ac:dyDescent="0.2">
      <c r="A56" s="3"/>
      <c r="B56" s="2737" t="s">
        <v>8332</v>
      </c>
      <c r="C56" s="2738" t="s">
        <v>8333</v>
      </c>
      <c r="D56" s="2739"/>
      <c r="E56" s="2739"/>
      <c r="F56" s="2739"/>
      <c r="G56" s="2740"/>
      <c r="H56" s="951" t="s">
        <v>7996</v>
      </c>
      <c r="I56" s="211"/>
      <c r="J56" s="5543"/>
      <c r="K56" s="5544"/>
      <c r="L56" s="1780"/>
      <c r="M56" s="2736"/>
      <c r="N56" s="616" t="s">
        <v>8334</v>
      </c>
      <c r="O56" s="960">
        <f>IF(CA56&gt;O53+O54,0,CA56*-1)</f>
      </c>
      <c r="P56" s="949"/>
      <c r="Q56" s="616" t="s">
        <v>8335</v>
      </c>
      <c r="R56" s="960">
        <f>IF(CB56&gt;R53+R54,0,CB56*-1)</f>
      </c>
      <c r="S56" s="2741" t="str">
        <f>IF(O56+R56&lt;&gt;(CA56+CB56)*-1,"Check TRA100!","")</f>
        <v/>
      </c>
      <c r="U56" s="1736">
        <f>IF(S56="",0,1)</f>
      </c>
      <c r="Y56" s="30"/>
      <c r="CA56" s="2742">
        <f>'TRA100'!J66</f>
      </c>
      <c r="CB56" s="2742">
        <f>'TRA100'!K66</f>
      </c>
    </row>
    <row r="57" spans="1:80" ht="12.75" x14ac:dyDescent="0.2">
      <c r="A57" s="3"/>
      <c r="B57" s="4270" t="s">
        <v>10358</v>
      </c>
      <c r="C57" s="4271"/>
      <c r="D57" s="4271"/>
      <c r="E57" s="4271"/>
      <c r="F57" s="4271"/>
      <c r="G57" s="4271"/>
      <c r="H57" s="4272"/>
      <c r="I57" s="211"/>
      <c r="J57" s="4459"/>
      <c r="K57" s="5545"/>
      <c r="L57" s="1780"/>
      <c r="M57" s="2736"/>
      <c r="N57" s="616" t="s">
        <v>10352</v>
      </c>
      <c r="O57" s="960">
        <f>AB58</f>
      </c>
      <c r="P57" s="949"/>
      <c r="Q57" s="616" t="s">
        <v>10353</v>
      </c>
      <c r="R57" s="960">
        <f>AC58</f>
      </c>
      <c r="S57" s="2741"/>
      <c r="U57" s="1736"/>
      <c r="Y57" s="30"/>
      <c r="CA57" s="2742"/>
      <c r="CB57" s="2742"/>
    </row>
    <row r="58" spans="1:80" ht="12.75" hidden="1" customHeight="1" x14ac:dyDescent="0.2">
      <c r="A58" s="3"/>
      <c r="B58" s="3968"/>
      <c r="C58" s="5536" t="s">
        <v>10346</v>
      </c>
      <c r="D58" s="5537"/>
      <c r="E58" s="5537"/>
      <c r="F58" s="5537"/>
      <c r="G58" s="5538"/>
      <c r="H58" s="951" t="s">
        <v>10351</v>
      </c>
      <c r="I58" s="211"/>
      <c r="J58" s="218" t="s">
        <v>10354</v>
      </c>
      <c r="K58" s="960">
        <f>'TRA125'!H168</f>
      </c>
      <c r="L58" s="1780"/>
      <c r="M58" s="2736"/>
      <c r="N58" s="616" t="s">
        <v>10355</v>
      </c>
      <c r="O58" s="960">
        <f>'TRA125'!J168</f>
      </c>
      <c r="P58" s="949"/>
      <c r="Q58" s="616" t="s">
        <v>10356</v>
      </c>
      <c r="R58" s="960">
        <f>'TRA125'!L168</f>
      </c>
      <c r="S58" s="2741"/>
      <c r="U58" s="1736"/>
      <c r="Y58" s="30"/>
      <c r="AA58" s="84"/>
      <c r="AB58" s="84">
        <f>+O53+O54+O56</f>
      </c>
      <c r="AC58" s="84">
        <f>+R53+R54+R56</f>
      </c>
      <c r="CA58" s="2742"/>
      <c r="CB58" s="2742"/>
    </row>
    <row r="59" spans="1:80" ht="12.75" hidden="1" x14ac:dyDescent="0.2">
      <c r="A59" s="3"/>
      <c r="B59" s="2737"/>
      <c r="C59" s="3967"/>
      <c r="D59" s="2739"/>
      <c r="E59" s="2739"/>
      <c r="F59" s="2739"/>
      <c r="G59" s="2739"/>
      <c r="H59" s="2735"/>
      <c r="I59" s="211"/>
      <c r="J59" s="218"/>
      <c r="K59" s="3962"/>
      <c r="L59" s="1780"/>
      <c r="M59" s="2736"/>
      <c r="N59" s="616"/>
      <c r="O59" s="960"/>
      <c r="P59" s="949"/>
      <c r="Q59" s="616"/>
      <c r="R59" s="960"/>
      <c r="S59" s="2741"/>
      <c r="U59" s="1736"/>
      <c r="Y59" s="30"/>
      <c r="CA59" s="2742"/>
      <c r="CB59" s="2742"/>
    </row>
    <row r="60" spans="1:80" ht="12.75" hidden="1" x14ac:dyDescent="0.2">
      <c r="A60" s="3"/>
      <c r="B60" s="2737"/>
      <c r="C60" s="3967"/>
      <c r="D60" s="2739"/>
      <c r="E60" s="2739"/>
      <c r="F60" s="2739"/>
      <c r="G60" s="2739"/>
      <c r="H60" s="2735"/>
      <c r="I60" s="211"/>
      <c r="J60" s="218"/>
      <c r="K60" s="3962"/>
      <c r="L60" s="1780"/>
      <c r="M60" s="2736"/>
      <c r="N60" s="616"/>
      <c r="O60" s="960"/>
      <c r="P60" s="949"/>
      <c r="Q60" s="616"/>
      <c r="R60" s="960"/>
      <c r="S60" s="2741"/>
      <c r="U60" s="1736"/>
      <c r="Y60" s="30"/>
      <c r="CA60" s="2742"/>
      <c r="CB60" s="2742"/>
    </row>
    <row r="61" spans="1:80" ht="12.75" x14ac:dyDescent="0.2">
      <c r="A61" s="3"/>
      <c r="B61" s="704" t="s">
        <v>6630</v>
      </c>
      <c r="C61" s="271"/>
      <c r="D61" s="271"/>
      <c r="E61" s="271"/>
      <c r="F61" s="271"/>
      <c r="G61" s="271"/>
      <c r="H61" s="971"/>
      <c r="I61" s="211"/>
      <c r="J61" s="616" t="str">
        <f t="shared" si="12"/>
        <v>69a</v>
      </c>
      <c r="K61" s="510">
        <v>0</v>
      </c>
      <c r="L61" s="3"/>
      <c r="M61" s="6"/>
      <c r="N61" s="616" t="str">
        <f t="shared" si="13"/>
        <v>69b</v>
      </c>
      <c r="O61" s="510">
        <v>0</v>
      </c>
      <c r="P61" s="949"/>
      <c r="Q61" s="616" t="str">
        <f t="shared" si="14"/>
        <v>69c</v>
      </c>
      <c r="R61" s="510">
        <v>0</v>
      </c>
      <c r="S61" s="11"/>
      <c r="T61" s="84"/>
      <c r="Z61" s="84">
        <f>SUM(AA61:AC61)</f>
      </c>
      <c r="AA61" s="2087">
        <f>SUM(K53+K54+K55-K58)</f>
      </c>
      <c r="AB61" s="1983">
        <f>O53+O54+O56-O58</f>
      </c>
      <c r="AC61" s="1983">
        <f>R53+R54+R56-R58</f>
      </c>
      <c r="BA61" s="28">
        <f>BA54+1</f>
      </c>
    </row>
    <row r="62" spans="1:80" ht="14.25" customHeight="1" x14ac:dyDescent="0.2">
      <c r="A62" s="3"/>
      <c r="B62" s="704" t="s">
        <v>2308</v>
      </c>
      <c r="C62" s="1086" t="s">
        <v>6201</v>
      </c>
      <c r="D62" s="271"/>
      <c r="E62" s="271"/>
      <c r="F62" s="271"/>
      <c r="G62" s="271"/>
      <c r="H62" s="971"/>
      <c r="I62" s="211"/>
      <c r="J62" s="616" t="str">
        <f t="shared" si="12"/>
        <v>70a</v>
      </c>
      <c r="K62" s="645">
        <v>0</v>
      </c>
      <c r="L62" s="3"/>
      <c r="M62" s="6"/>
      <c r="N62" s="616" t="str">
        <f t="shared" si="13"/>
        <v>70b</v>
      </c>
      <c r="O62" s="645"/>
      <c r="P62" s="115"/>
      <c r="Q62" s="616" t="str">
        <f t="shared" si="14"/>
        <v>70c</v>
      </c>
      <c r="R62" s="510">
        <v>0</v>
      </c>
      <c r="S62" s="11"/>
      <c r="T62" s="84"/>
      <c r="U62" s="28">
        <f>IF(B63="",0,1)</f>
      </c>
      <c r="Z62" s="84">
        <f>SUM(K61:K62,O61:O62,R61:R62)</f>
      </c>
      <c r="AB62" s="3982">
        <f>O53+O54</f>
      </c>
      <c r="AC62" s="3982">
        <f>R53+R54</f>
      </c>
      <c r="BA62" s="28">
        <f t="shared" si="4"/>
        <v>70</v>
      </c>
    </row>
    <row r="63" spans="1:80" ht="13.15" customHeight="1" x14ac:dyDescent="0.25">
      <c r="A63" s="3"/>
      <c r="B63" s="5542" t="str">
        <f>IF(A64=1,"None of the Fields 69 and  70 can be left blank or insert 0! ",IF(OR(K61+K62&lt;&gt;K63,O61+O62&lt;&gt;O63,R61+R62&lt;&gt;R63),"Check Values!",""))</f>
        <v/>
      </c>
      <c r="C63" s="5542"/>
      <c r="D63" s="5542"/>
      <c r="E63" s="5542"/>
      <c r="F63" s="5542"/>
      <c r="G63" s="5542"/>
      <c r="H63" s="5542"/>
      <c r="I63" s="3"/>
      <c r="J63" s="549"/>
      <c r="K63" s="831">
        <f>AA61</f>
      </c>
      <c r="L63" s="549"/>
      <c r="M63" s="549"/>
      <c r="N63" s="549"/>
      <c r="O63" s="831">
        <f>AB61</f>
      </c>
      <c r="P63" s="831"/>
      <c r="Q63" s="831"/>
      <c r="R63" s="831">
        <f>AC61</f>
      </c>
      <c r="S63" s="3"/>
      <c r="U63" s="28">
        <f>SUM(U7:U62)</f>
      </c>
      <c r="BA63" s="28">
        <f>BA62+1</f>
      </c>
    </row>
    <row r="64" spans="1:80" s="2927" customFormat="1" ht="11.1" customHeight="1" x14ac:dyDescent="0.2">
      <c r="A64" s="3048">
        <f>IF(COUNT(K61,K62,O61,O62,R61,R62)&lt;&gt;6,1,0)</f>
      </c>
      <c r="B64" s="2952" t="str">
        <f>_xlfn.SINGLE(MTCA)</f>
      </c>
      <c r="C64" s="2952"/>
      <c r="D64" s="2952"/>
      <c r="E64" s="2952"/>
      <c r="F64" s="2952"/>
      <c r="G64" s="2952"/>
      <c r="H64" s="2952"/>
      <c r="I64" s="2952"/>
      <c r="J64" s="2952"/>
      <c r="K64" s="2952"/>
      <c r="L64" s="2952"/>
      <c r="M64" s="2952"/>
      <c r="N64" s="2952"/>
      <c r="O64" s="2952"/>
      <c r="P64" s="2952"/>
      <c r="Q64" s="2952"/>
      <c r="R64" s="2952"/>
      <c r="S64" s="2952" t="s">
        <v>446</v>
      </c>
    </row>
    <row r="65" spans="1:19" ht="12" customHeight="1" x14ac:dyDescent="0.2">
      <c r="A65" s="2952"/>
      <c r="B65" s="4273" t="s">
        <v>6290</v>
      </c>
      <c r="C65" s="4273"/>
      <c r="D65" s="4273"/>
      <c r="E65" s="2952"/>
      <c r="F65" s="2952"/>
      <c r="G65" s="2952"/>
      <c r="H65" s="2952"/>
      <c r="I65" s="2952"/>
      <c r="J65" s="2952"/>
      <c r="K65" s="2952"/>
      <c r="L65" s="2952"/>
      <c r="M65" s="2952"/>
      <c r="N65" s="2952"/>
      <c r="O65" s="2952"/>
      <c r="P65" s="2952"/>
      <c r="Q65" s="2952"/>
      <c r="R65" s="2952"/>
      <c r="S65" s="2952"/>
    </row>
  </sheetData>
  <sheetProtection algorithmName="SHA-512" hashValue="lQBY9K0WZFwqMR78odpj5diEAl2KhGfvBYrrxZ+yW93F+v41LYAgTe3ESZB20H82iNUC5qQ3p2EyvBkjJmUEvQ==" saltValue="NH6nLeWOFO9uPCDNjEH9tg==" spinCount="100000" sheet="1" objects="1" scenarios="1"/>
  <customSheetViews>
    <customSheetView guid="{99B5278F-6EA9-4B1A-8623-27A4DF4AD5E4}" showGridLines="0" fitToPage="1" hiddenRows="1" hiddenColumns="1">
      <pane ySplit="6" topLeftCell="A23" activePane="bottomLeft" state="frozen"/>
      <selection pane="bottomLeft" activeCell="O55" sqref="O55"/>
      <pageMargins left="0.35433070866141736" right="0.35433070866141736" top="0.71" bottom="0.78740157480314965" header="0.39" footer="0.31496062992125984"/>
      <printOptions horizontalCentered="1"/>
      <pageSetup paperSize="9" scale="80" orientation="portrait" horizontalDpi="300" verticalDpi="300" r:id="rId1"/>
      <headerFooter alignWithMargins="0">
        <oddHeader>&amp;LPRN Reference _____________</oddHeader>
        <oddFooter>&amp;LIRD - Malta&amp;Rpage 4</oddFooter>
      </headerFooter>
    </customSheetView>
  </customSheetViews>
  <mergeCells count="32">
    <mergeCell ref="AA3:AQ3"/>
    <mergeCell ref="J43:K43"/>
    <mergeCell ref="Q46:R46"/>
    <mergeCell ref="N43:O43"/>
    <mergeCell ref="O3:R3"/>
    <mergeCell ref="Q7:R8"/>
    <mergeCell ref="J7:K8"/>
    <mergeCell ref="J46:K46"/>
    <mergeCell ref="N46:O46"/>
    <mergeCell ref="B1:Q1"/>
    <mergeCell ref="Q43:R43"/>
    <mergeCell ref="B25:B27"/>
    <mergeCell ref="E3:N3"/>
    <mergeCell ref="B7:B8"/>
    <mergeCell ref="C7:G8"/>
    <mergeCell ref="N7:O8"/>
    <mergeCell ref="C9:G9"/>
    <mergeCell ref="C10:G10"/>
    <mergeCell ref="B28:B30"/>
    <mergeCell ref="C35:G35"/>
    <mergeCell ref="B9:B10"/>
    <mergeCell ref="Q55:R55"/>
    <mergeCell ref="C52:G52"/>
    <mergeCell ref="C54:G54"/>
    <mergeCell ref="C55:G55"/>
    <mergeCell ref="B65:D65"/>
    <mergeCell ref="B63:H63"/>
    <mergeCell ref="J56:K56"/>
    <mergeCell ref="N55:O55"/>
    <mergeCell ref="B57:H57"/>
    <mergeCell ref="J57:K57"/>
    <mergeCell ref="C58:G58"/>
  </mergeCells>
  <phoneticPr fontId="0" type="noConversion"/>
  <conditionalFormatting sqref="B63">
    <cfRule type="expression" dxfId="44" priority="1">
      <formula>$B$63&lt;&gt;""</formula>
    </cfRule>
  </conditionalFormatting>
  <conditionalFormatting sqref="E3:N3">
    <cfRule type="expression" dxfId="43" priority="7" stopIfTrue="1">
      <formula>$E$3&lt;&gt;""</formula>
    </cfRule>
  </conditionalFormatting>
  <conditionalFormatting sqref="J63 L63:N63">
    <cfRule type="cellIs" dxfId="42" priority="4" stopIfTrue="1" operator="notEqual">
      <formula>$T$1</formula>
    </cfRule>
  </conditionalFormatting>
  <conditionalFormatting sqref="K10 O10 R10">
    <cfRule type="expression" dxfId="41" priority="6" stopIfTrue="1">
      <formula>mult=1</formula>
    </cfRule>
  </conditionalFormatting>
  <conditionalFormatting sqref="K44">
    <cfRule type="expression" dxfId="40" priority="12" stopIfTrue="1">
      <formula>$J$43&lt;&gt;""</formula>
    </cfRule>
  </conditionalFormatting>
  <conditionalFormatting sqref="K5:R5">
    <cfRule type="expression" dxfId="39" priority="5" stopIfTrue="1">
      <formula>fisc&gt;0</formula>
    </cfRule>
  </conditionalFormatting>
  <conditionalFormatting sqref="O44">
    <cfRule type="expression" dxfId="38" priority="13" stopIfTrue="1">
      <formula>$N43&lt;&gt;""</formula>
    </cfRule>
  </conditionalFormatting>
  <conditionalFormatting sqref="R44">
    <cfRule type="expression" dxfId="37" priority="14" stopIfTrue="1">
      <formula>$Q43&lt;&gt;""</formula>
    </cfRule>
  </conditionalFormatting>
  <dataValidations count="23">
    <dataValidation allowBlank="1" showInputMessage="1" showErrorMessage="1" errorTitle="LOSS TRANSFER BETWEEN ACCOUNTS!" error="THERE ARE EITHER _x000a_     NO LOSSES TO TRANSFER_x000a_or AMOUNT TRANSFERRED EXCEEDS LIMIT_x000a_or THE WRONG SIGN HAS BEEN ENTERED" sqref="O41" xr:uid="{00000000-0002-0000-7400-000000000000}"/>
    <dataValidation allowBlank="1" showInputMessage="1" showErrorMessage="1" errorTitle="LOSS SURRENDER" error="THERE ARE _x000a_either NO LOSSES TO SURRENDER_x000a_or       AMOUNT ENTERED EXCEEDS LOSS_x000a_or       A NEGATIVE AMOUNT HAS BEEN ENTERED" sqref="O44 R44" xr:uid="{00000000-0002-0000-7400-000001000000}"/>
    <dataValidation operator="greaterThanOrEqual" allowBlank="1" showInputMessage="1" showErrorMessage="1" errorTitle="BALANCING CHARGE" error="PLEASE ENTER A POSITIVE FIGURE!" sqref="R11 O11" xr:uid="{00000000-0002-0000-7400-000002000000}"/>
    <dataValidation type="whole" operator="lessThanOrEqual" allowBlank="1" showInputMessage="1" showErrorMessage="1" errorTitle="CAPITAL ALLOWANCES" error="PLEASE ENTER A NEGATIVE AMOUNT!" sqref="R13 K13 O13" xr:uid="{00000000-0002-0000-7400-000003000000}">
      <formula1>0</formula1>
    </dataValidation>
    <dataValidation errorStyle="warning" operator="greaterThanOrEqual" allowBlank="1" showInputMessage="1" showErrorMessage="1" errorTitle="INTEREST" error="YOU ARE INDICATING A LOSS FROM THIS SOURCE OF INCOME!" sqref="R26 O26" xr:uid="{00000000-0002-0000-7400-000004000000}"/>
    <dataValidation errorStyle="warning" operator="greaterThanOrEqual" allowBlank="1" showInputMessage="1" showErrorMessage="1" errorTitle="DISCOUNTS OR PREMIUMS" error="YOU ARE INDICATING A LOSS FROM THIS SOURCE OF INCOME!" sqref="R27 O27" xr:uid="{00000000-0002-0000-7400-000005000000}"/>
    <dataValidation errorStyle="warning" operator="greaterThanOrEqual" allowBlank="1" showInputMessage="1" showErrorMessage="1" errorTitle="DIVIDENDS" error="YOU ARE INDICATING A LOSS FROM THIS SOURCE OF INCOME!" sqref="R25 O25" xr:uid="{00000000-0002-0000-7400-000006000000}"/>
    <dataValidation errorStyle="warning" operator="greaterThanOrEqual" allowBlank="1" showInputMessage="1" showErrorMessage="1" errorTitle="RENTS" error="YOU ARE INDICATING A LOSS FROM THIS SOURCE OF INCOME!" sqref="R28 O28" xr:uid="{00000000-0002-0000-7400-000007000000}"/>
    <dataValidation errorStyle="warning" operator="greaterThanOrEqual" allowBlank="1" showInputMessage="1" showErrorMessage="1" errorTitle="GROUND RENTS" error="YOU ARE INDICATING A LOSS FROM THIS SOURCE OF INCOME!" sqref="R29 O29" xr:uid="{00000000-0002-0000-7400-000008000000}"/>
    <dataValidation errorStyle="warning" operator="greaterThanOrEqual" allowBlank="1" showInputMessage="1" showErrorMessage="1" errorTitle="ROYALTIES, ETC" error="YOU ARE INDICATING A LOSS FROM THIS SOURCE OF INCOME!" sqref="R30 O30" xr:uid="{00000000-0002-0000-7400-000009000000}"/>
    <dataValidation errorStyle="warning" operator="greaterThanOrEqual" allowBlank="1" showInputMessage="1" showErrorMessage="1" errorTitle="OTHER INCOME" error="YOU ARE INDICATING A LOSS FROM THIS SOURCE OF INCOME!" sqref="R31 O31" xr:uid="{00000000-0002-0000-7400-00000A000000}"/>
    <dataValidation type="whole" operator="lessThanOrEqual" allowBlank="1" showInputMessage="1" showErrorMessage="1" errorTitle="LOSS B/FWD" error="PLEASE ENTER A NEGATIVE AMOUNT!" sqref="O52 K52 R52" xr:uid="{00000000-0002-0000-7400-00000B000000}">
      <formula1>0</formula1>
    </dataValidation>
    <dataValidation type="whole" operator="lessThanOrEqual" allowBlank="1" showInputMessage="1" showErrorMessage="1" errorTitle="Losses c/f" error="Please enter a negative value!" sqref="O62 K62 R62" xr:uid="{00000000-0002-0000-7400-00000C000000}">
      <formula1>0</formula1>
    </dataValidation>
    <dataValidation type="whole" operator="greaterThanOrEqual" allowBlank="1" showInputMessage="1" showErrorMessage="1" errorTitle="Chargeable income" error="Please enter a positive value!" sqref="R61 K61 O61" xr:uid="{00000000-0002-0000-7400-00000D000000}">
      <formula1>0</formula1>
    </dataValidation>
    <dataValidation type="whole" operator="equal" allowBlank="1" showInputMessage="1" showErrorMessage="1" errorTitle="Loss Transfer" error="Please check amount entered!" sqref="K24" xr:uid="{00000000-0002-0000-7400-00000E000000}">
      <formula1>AN27</formula1>
    </dataValidation>
    <dataValidation type="whole" operator="equal" allowBlank="1" showInputMessage="1" showErrorMessage="1" errorTitle="Loss Transfer" error="Please check amount entered!" sqref="O24" xr:uid="{00000000-0002-0000-7400-00000F000000}">
      <formula1>AO27</formula1>
    </dataValidation>
    <dataValidation type="whole" operator="equal" allowBlank="1" showInputMessage="1" showErrorMessage="1" errorTitle="Loss Transfer" error="Please check amount entered!" sqref="R24" xr:uid="{00000000-0002-0000-7400-000010000000}">
      <formula1>AP27</formula1>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b TO 46b!" sqref="R18:R20" xr:uid="{00000000-0002-0000-7400-000011000000}">
      <formula1>0</formula1>
      <formula2>AB22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b TO 46b!" sqref="R21" xr:uid="{00000000-0002-0000-7400-000012000000}">
      <formula1>0</formula1>
      <formula2>AB23</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O18:O20" xr:uid="{00000000-0002-0000-7400-000013000000}">
      <formula1>0</formula1>
      <formula2>AA22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O21" xr:uid="{00000000-0002-0000-7400-000014000000}">
      <formula1>0</formula1>
      <formula2>AA23</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K18:K20" xr:uid="{00000000-0002-0000-7400-000015000000}">
      <formula1>0</formula1>
      <formula2>Z22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K21" xr:uid="{00000000-0002-0000-7400-000016000000}">
      <formula1>0</formula1>
      <formula2>Z23</formula2>
    </dataValidation>
  </dataValidations>
  <hyperlinks>
    <hyperlink ref="B65" location="Index!A1" display="Index!A1" xr:uid="{00000000-0004-0000-7400-000000000000}"/>
    <hyperlink ref="H11" location="TRA4!A1" display="TRA04" xr:uid="{00000000-0004-0000-7400-000001000000}"/>
    <hyperlink ref="H17" location="TRA4!A1" display="TRA04" xr:uid="{00000000-0004-0000-7400-000002000000}"/>
    <hyperlink ref="H14" location="TRA5!A1" display="TRA 05" xr:uid="{00000000-0004-0000-7400-000003000000}"/>
    <hyperlink ref="H15" location="TRA6!A1" display="TRA 06" xr:uid="{00000000-0004-0000-7400-000004000000}"/>
    <hyperlink ref="H16" location="TRA7!A1" display="TRA 07" xr:uid="{00000000-0004-0000-7400-000005000000}"/>
    <hyperlink ref="H25" location="TRA8!A1" display="TRA 08" xr:uid="{00000000-0004-0000-7400-000006000000}"/>
    <hyperlink ref="H26" location="TRA9_14!A1" display="TRA 09" xr:uid="{00000000-0004-0000-7400-000007000000}"/>
    <hyperlink ref="H27" location="TRA9_14!A36" display="TRA 10" xr:uid="{00000000-0004-0000-7400-000008000000}"/>
    <hyperlink ref="H28" location="TRA9_14!A60" display="TRA 11" xr:uid="{00000000-0004-0000-7400-000009000000}"/>
    <hyperlink ref="H29" location="TRA9_14!A84" display="TRA 12" xr:uid="{00000000-0004-0000-7400-00000A000000}"/>
    <hyperlink ref="H30" location="TRA9_14!A107" display="TRA 13" xr:uid="{00000000-0004-0000-7400-00000B000000}"/>
    <hyperlink ref="H44" location="TRA19!A1" display="TRA 19" xr:uid="{00000000-0004-0000-7400-00000C000000}"/>
    <hyperlink ref="H47" location="TRA20!A1" display="TRA 20" xr:uid="{00000000-0004-0000-7400-00000D000000}"/>
    <hyperlink ref="H31" location="TRA9_14!A129" display="TRA 14" xr:uid="{00000000-0004-0000-7400-00000E000000}"/>
    <hyperlink ref="H35" location="TRA15!A1" display="TRA 15" xr:uid="{00000000-0004-0000-7400-00000F000000}"/>
    <hyperlink ref="H55" location="'TRA89'!O68" display="TRA 89" xr:uid="{00000000-0004-0000-7400-000010000000}"/>
    <hyperlink ref="H56" location="'TRA100'!A1" display="TRA 100" xr:uid="{00000000-0004-0000-7400-000011000000}"/>
    <hyperlink ref="H19" location="'TRA125'!A1" display="TRA 125" xr:uid="{00000000-0004-0000-7400-000012000000}"/>
    <hyperlink ref="H58" location="'TRA125'!A1" display="TRA 125" xr:uid="{00000000-0004-0000-7400-000013000000}"/>
  </hyperlinks>
  <printOptions horizontalCentered="1"/>
  <pageMargins left="0.35433070866141736" right="0.35433070866141736" top="0.15748031496062992" bottom="0.15748031496062992" header="0.15748031496062992" footer="0.15748031496062992"/>
  <pageSetup paperSize="9" scale="90" orientation="landscape" r:id="rId2"/>
  <headerFooter alignWithMargins="0">
    <oddFooter xml:space="preserve">&amp;R
</oddFooter>
  </headerFooter>
  <legacyDrawing r:id="rId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39"/>
  <dimension ref="A1:Y90"/>
  <sheetViews>
    <sheetView showGridLines="0" topLeftCell="A23" zoomScaleNormal="100" workbookViewId="0">
      <selection activeCell="H52" sqref="H52"/>
    </sheetView>
  </sheetViews>
  <sheetFormatPr defaultColWidth="0" defaultRowHeight="15" customHeight="1" zeroHeight="1" x14ac:dyDescent="0.2"/>
  <cols>
    <col min="1" max="1" width="53.7109375" style="142" customWidth="1"/>
    <col min="2" max="2" width="9.42578125" style="1012" customWidth="1"/>
    <col min="3" max="3" width="4.28515625" style="142" customWidth="1"/>
    <col min="4" max="4" width="12.7109375" style="142" customWidth="1"/>
    <col min="5" max="5" width="4.28515625" style="142" customWidth="1"/>
    <col min="6" max="6" width="12.7109375" style="142" customWidth="1"/>
    <col min="7" max="7" width="4.28515625" style="142" customWidth="1"/>
    <col min="8" max="8" width="12.7109375" style="142" customWidth="1"/>
    <col min="9" max="9" width="24.7109375" style="142" customWidth="1"/>
    <col min="10" max="16384" width="9.28515625" style="142" hidden="1"/>
  </cols>
  <sheetData>
    <row r="1" spans="1:17" ht="15" customHeight="1" x14ac:dyDescent="0.2">
      <c r="A1" s="4275" t="str">
        <f>_ref1</f>
      </c>
      <c r="B1" s="4275"/>
      <c r="C1" s="4275"/>
      <c r="D1" s="4275"/>
      <c r="E1" s="4275"/>
      <c r="F1" s="4275"/>
      <c r="G1" s="4275"/>
      <c r="H1" s="72" t="str">
        <f>_YA1</f>
      </c>
      <c r="I1" s="531"/>
      <c r="L1" s="142" t="s">
        <v>5590</v>
      </c>
    </row>
    <row r="2" spans="1:17" ht="15" customHeight="1" x14ac:dyDescent="0.2">
      <c r="A2" s="1432" t="s">
        <v>6290</v>
      </c>
      <c r="B2" s="1010"/>
      <c r="C2" s="1175"/>
      <c r="D2" s="1175"/>
      <c r="E2" s="1175"/>
      <c r="F2" s="1175"/>
      <c r="G2" s="1175"/>
      <c r="H2" s="1175"/>
      <c r="I2" s="531"/>
      <c r="L2" s="142" t="s">
        <v>3177</v>
      </c>
    </row>
    <row r="3" spans="1:17" ht="15" customHeight="1" x14ac:dyDescent="0.2">
      <c r="A3" s="672" t="s">
        <v>392</v>
      </c>
      <c r="B3" s="984"/>
      <c r="C3" s="985"/>
      <c r="D3" s="199"/>
      <c r="E3" s="986"/>
      <c r="F3" s="5591" t="str">
        <f>ver</f>
        <v>TA2_e-CO_2025_Ver 1.1</v>
      </c>
      <c r="G3" s="5592"/>
      <c r="H3" s="5593"/>
      <c r="I3" s="531"/>
      <c r="L3" s="142" t="s">
        <v>3177</v>
      </c>
    </row>
    <row r="4" spans="1:17" ht="4.5" customHeight="1" x14ac:dyDescent="0.2">
      <c r="A4" s="11"/>
      <c r="B4" s="987"/>
      <c r="C4" s="3"/>
      <c r="D4" s="2"/>
      <c r="E4" s="2"/>
      <c r="F4" s="2"/>
      <c r="G4" s="2"/>
      <c r="H4" s="2"/>
      <c r="I4" s="531"/>
    </row>
    <row r="5" spans="1:17" ht="29.25" customHeight="1" x14ac:dyDescent="0.2">
      <c r="A5" s="5594" t="s">
        <v>599</v>
      </c>
      <c r="B5" s="5595"/>
      <c r="C5" s="5589" t="s">
        <v>88</v>
      </c>
      <c r="D5" s="5590"/>
      <c r="E5" s="5589" t="s">
        <v>1949</v>
      </c>
      <c r="F5" s="5590"/>
      <c r="G5" s="5589" t="s">
        <v>1495</v>
      </c>
      <c r="H5" s="5590"/>
      <c r="I5" s="531"/>
    </row>
    <row r="6" spans="1:17" ht="3.75" customHeight="1" x14ac:dyDescent="0.2">
      <c r="A6" s="988"/>
      <c r="B6" s="989"/>
      <c r="C6" s="78"/>
      <c r="D6" s="78"/>
      <c r="E6" s="78"/>
      <c r="F6" s="78"/>
      <c r="G6" s="78"/>
      <c r="H6" s="78"/>
      <c r="I6" s="531"/>
    </row>
    <row r="7" spans="1:17" ht="15" customHeight="1" x14ac:dyDescent="0.2">
      <c r="A7" s="5596" t="s">
        <v>6478</v>
      </c>
      <c r="B7" s="5597"/>
      <c r="C7" s="990" t="s">
        <v>5071</v>
      </c>
      <c r="D7" s="689">
        <f>'p4'!K61</f>
      </c>
      <c r="E7" s="990" t="s">
        <v>6724</v>
      </c>
      <c r="F7" s="689">
        <f>'p4'!O61</f>
      </c>
      <c r="G7" s="990" t="s">
        <v>4564</v>
      </c>
      <c r="H7" s="689">
        <f>'p4'!R61</f>
      </c>
      <c r="I7" s="531"/>
    </row>
    <row r="8" spans="1:17" ht="6" customHeight="1" x14ac:dyDescent="0.2">
      <c r="A8" s="991"/>
      <c r="B8" s="992"/>
      <c r="C8" s="993"/>
      <c r="D8" s="993"/>
      <c r="E8" s="993"/>
      <c r="F8" s="993"/>
      <c r="G8" s="993"/>
      <c r="H8" s="993"/>
      <c r="I8" s="531"/>
    </row>
    <row r="9" spans="1:17" ht="15" customHeight="1" x14ac:dyDescent="0.2">
      <c r="A9" s="3547" t="s">
        <v>9890</v>
      </c>
      <c r="B9" s="1433" t="s">
        <v>6951</v>
      </c>
      <c r="C9" s="990" t="s">
        <v>5072</v>
      </c>
      <c r="D9" s="433">
        <f>'TRA33'!U27</f>
      </c>
      <c r="E9" s="994" t="s">
        <v>6725</v>
      </c>
      <c r="F9" s="405">
        <f>'TRA33'!V27</f>
      </c>
      <c r="G9" s="990" t="s">
        <v>4565</v>
      </c>
      <c r="H9" s="405">
        <f>'TRA33'!W27</f>
      </c>
      <c r="I9" s="222"/>
    </row>
    <row r="10" spans="1:17" ht="15" customHeight="1" x14ac:dyDescent="0.2">
      <c r="A10" s="670" t="s">
        <v>87</v>
      </c>
      <c r="B10" s="995"/>
      <c r="C10" s="990" t="s">
        <v>5073</v>
      </c>
      <c r="D10" s="404">
        <v>0</v>
      </c>
      <c r="E10" s="994" t="s">
        <v>6726</v>
      </c>
      <c r="F10" s="404">
        <v>0</v>
      </c>
      <c r="G10" s="994" t="s">
        <v>4566</v>
      </c>
      <c r="H10" s="223">
        <v>0</v>
      </c>
      <c r="I10" s="531" t="str">
        <f>IF(K10&lt;&gt;3,reo,"")</f>
        <v/>
      </c>
      <c r="J10" s="142">
        <f>IF(I10="",0,1)</f>
      </c>
      <c r="K10" s="142">
        <f>COUNT(D10,F10,H10)</f>
      </c>
      <c r="M10" s="142">
        <f>SUM(D7,F7,H7)</f>
      </c>
    </row>
    <row r="11" spans="1:17" ht="15" customHeight="1" x14ac:dyDescent="0.2">
      <c r="A11" s="559" t="str">
        <f>IF(M11=M10,L1,L2)</f>
      </c>
      <c r="B11" s="995"/>
      <c r="C11" s="990" t="s">
        <v>5074</v>
      </c>
      <c r="D11" s="433">
        <f>SUM(D9,D10)</f>
      </c>
      <c r="E11" s="994" t="s">
        <v>4550</v>
      </c>
      <c r="F11" s="405">
        <f>SUM(F9,F10)</f>
      </c>
      <c r="G11" s="990" t="s">
        <v>4567</v>
      </c>
      <c r="H11" s="405">
        <f>SUM(H9,H10)</f>
      </c>
      <c r="I11" s="531" t="str">
        <f>IF(N11&lt;&gt;0," Check values!","")</f>
        <v/>
      </c>
      <c r="J11" s="142">
        <f>IF(A11=$L$1,0,1)</f>
      </c>
      <c r="M11" s="142">
        <f>SUM(D11,F11,H11)</f>
      </c>
      <c r="N11" s="142">
        <f>SUM(O11:Q11)</f>
      </c>
      <c r="O11" s="142">
        <f>IF(D11&lt;&gt;D7,1,0)</f>
      </c>
      <c r="P11" s="142">
        <f>IF(F11&lt;&gt;F7,1,0)</f>
      </c>
      <c r="Q11" s="142">
        <f>IF(H11&lt;&gt;H7,1,0)</f>
      </c>
    </row>
    <row r="12" spans="1:17" ht="9" customHeight="1" x14ac:dyDescent="0.2">
      <c r="A12" s="3"/>
      <c r="B12" s="995"/>
      <c r="C12" s="3"/>
      <c r="D12" s="996">
        <f>D7</f>
      </c>
      <c r="E12" s="238"/>
      <c r="F12" s="996">
        <f>F7</f>
      </c>
      <c r="G12" s="997"/>
      <c r="H12" s="996">
        <f>H7</f>
      </c>
      <c r="I12" s="531"/>
      <c r="J12" s="142">
        <f>IF(I11="",0,1)</f>
      </c>
    </row>
    <row r="13" spans="1:17" ht="15" customHeight="1" x14ac:dyDescent="0.2">
      <c r="A13" s="5596" t="s">
        <v>2220</v>
      </c>
      <c r="B13" s="5597"/>
      <c r="C13" s="3"/>
      <c r="D13" s="17"/>
      <c r="E13" s="3"/>
      <c r="F13" s="3"/>
      <c r="G13" s="3"/>
      <c r="H13" s="3"/>
      <c r="I13" s="531"/>
    </row>
    <row r="14" spans="1:17" ht="15" customHeight="1" x14ac:dyDescent="0.2">
      <c r="A14" s="3547" t="s">
        <v>9891</v>
      </c>
      <c r="B14" s="1433" t="s">
        <v>6951</v>
      </c>
      <c r="C14" s="990" t="s">
        <v>5075</v>
      </c>
      <c r="D14" s="433">
        <f>'TRA33'!Z27</f>
      </c>
      <c r="E14" s="994" t="s">
        <v>4551</v>
      </c>
      <c r="F14" s="433">
        <f>'TRA33'!AA27</f>
      </c>
      <c r="G14" s="994" t="s">
        <v>4568</v>
      </c>
      <c r="H14" s="405">
        <f>'TRA33'!AB27</f>
      </c>
      <c r="I14" s="531"/>
    </row>
    <row r="15" spans="1:17" ht="15" customHeight="1" x14ac:dyDescent="0.2">
      <c r="A15" s="670" t="s">
        <v>2221</v>
      </c>
      <c r="B15" s="995"/>
      <c r="C15" s="990" t="s">
        <v>5076</v>
      </c>
      <c r="D15" s="433">
        <f>ROUND(D10*0.35,0)</f>
      </c>
      <c r="E15" s="994" t="s">
        <v>4552</v>
      </c>
      <c r="F15" s="433">
        <f>ROUND(F10*0.35,0)</f>
      </c>
      <c r="G15" s="994" t="s">
        <v>4569</v>
      </c>
      <c r="H15" s="405">
        <f>ROUND(H10*0.35,0)</f>
      </c>
      <c r="I15" s="222"/>
    </row>
    <row r="16" spans="1:17" ht="15" customHeight="1" x14ac:dyDescent="0.2">
      <c r="A16" s="5596" t="s">
        <v>2222</v>
      </c>
      <c r="B16" s="5597"/>
      <c r="C16" s="990" t="s">
        <v>5077</v>
      </c>
      <c r="D16" s="433">
        <f>D14+D15</f>
      </c>
      <c r="E16" s="994" t="s">
        <v>4553</v>
      </c>
      <c r="F16" s="433">
        <f>F14+F15</f>
      </c>
      <c r="G16" s="994" t="s">
        <v>4570</v>
      </c>
      <c r="H16" s="405">
        <f>H14+H15</f>
      </c>
      <c r="I16" s="531"/>
    </row>
    <row r="17" spans="1:22" ht="3.75" customHeight="1" x14ac:dyDescent="0.2">
      <c r="A17" s="11"/>
      <c r="B17" s="995"/>
      <c r="C17" s="3"/>
      <c r="D17" s="3"/>
      <c r="E17" s="3"/>
      <c r="F17" s="3"/>
      <c r="G17" s="3"/>
      <c r="H17" s="3"/>
      <c r="I17" s="222"/>
    </row>
    <row r="18" spans="1:22" ht="10.5" customHeight="1" x14ac:dyDescent="0.2">
      <c r="A18" s="11" t="s">
        <v>3136</v>
      </c>
      <c r="B18" s="995"/>
      <c r="C18" s="3"/>
      <c r="D18" s="3"/>
      <c r="E18" s="3"/>
      <c r="F18" s="3"/>
      <c r="G18" s="3"/>
      <c r="H18" s="3"/>
      <c r="I18" s="531"/>
    </row>
    <row r="19" spans="1:22" ht="15" customHeight="1" x14ac:dyDescent="0.2">
      <c r="A19" s="11" t="s">
        <v>5889</v>
      </c>
      <c r="B19" s="1433" t="s">
        <v>951</v>
      </c>
      <c r="C19" s="994" t="s">
        <v>4554</v>
      </c>
      <c r="D19" s="405">
        <f>'TRA35'!K50</f>
      </c>
      <c r="E19" s="994" t="s">
        <v>3562</v>
      </c>
      <c r="F19" s="405">
        <f>'TRA35'!K51</f>
      </c>
      <c r="G19" s="1431" t="str">
        <f>IF(OR(F19&gt;F16,D19&gt;D16),"Tax credits exceed tax liability!","")</f>
        <v/>
      </c>
      <c r="H19" s="998"/>
      <c r="I19" s="531"/>
      <c r="K19" s="142">
        <f>IF(G19="",0,1)</f>
      </c>
    </row>
    <row r="20" spans="1:22" ht="3" customHeight="1" x14ac:dyDescent="0.2">
      <c r="A20" s="11"/>
      <c r="B20" s="995"/>
      <c r="C20" s="3"/>
      <c r="D20" s="3"/>
      <c r="E20" s="531"/>
      <c r="F20" s="531"/>
      <c r="G20" s="531"/>
      <c r="H20" s="531"/>
      <c r="I20" s="531"/>
      <c r="J20" s="142">
        <f>IF(G20="",0,1)</f>
      </c>
    </row>
    <row r="21" spans="1:22" ht="15" customHeight="1" x14ac:dyDescent="0.2">
      <c r="A21" s="329" t="s">
        <v>6952</v>
      </c>
      <c r="B21" s="999"/>
      <c r="C21" s="990" t="s">
        <v>34</v>
      </c>
      <c r="D21" s="510">
        <v>0</v>
      </c>
      <c r="E21" s="990" t="s">
        <v>4555</v>
      </c>
      <c r="F21" s="510">
        <v>0</v>
      </c>
      <c r="G21" s="990" t="s">
        <v>4571</v>
      </c>
      <c r="H21" s="510">
        <v>0</v>
      </c>
      <c r="I21" s="531" t="str">
        <f>IF(O21&lt;&gt;3,reo,IF(P21&lt;&gt;0," Check values!",""))</f>
        <v/>
      </c>
      <c r="J21" s="142">
        <f>IF(I21="",0,1)</f>
      </c>
      <c r="K21" s="553">
        <f>D16-D19</f>
      </c>
      <c r="L21" s="142">
        <f>F16-F19</f>
      </c>
      <c r="N21" s="1192">
        <f>IF(AND(D21="",F21="",H21=""),0,1)</f>
      </c>
      <c r="O21" s="142">
        <f>COUNT(D21,F21,H21)</f>
      </c>
      <c r="P21" s="142">
        <f>SUM(Q21:S21)</f>
      </c>
      <c r="Q21" s="142">
        <f>IF(D21&lt;&gt;D22,1,0)</f>
      </c>
      <c r="R21" s="142">
        <f>IF(F21&lt;&gt;F22,1,0)</f>
      </c>
      <c r="S21" s="142">
        <f>IF(H21&lt;&gt;H22,1,0)</f>
      </c>
    </row>
    <row r="22" spans="1:22" ht="12.75" x14ac:dyDescent="0.2">
      <c r="A22" s="11"/>
      <c r="B22" s="995"/>
      <c r="C22" s="3"/>
      <c r="D22" s="996">
        <f>IF(K21&lt;0,0,K21)</f>
      </c>
      <c r="E22" s="238"/>
      <c r="F22" s="996">
        <f>IF(L21&lt;0,0,L21)</f>
      </c>
      <c r="G22" s="997"/>
      <c r="H22" s="996">
        <f>H16</f>
      </c>
      <c r="I22" s="531"/>
    </row>
    <row r="23" spans="1:22" ht="10.5" customHeight="1" x14ac:dyDescent="0.2">
      <c r="A23" s="670" t="s">
        <v>2311</v>
      </c>
      <c r="B23" s="1433" t="s">
        <v>2310</v>
      </c>
      <c r="C23" s="3"/>
      <c r="D23" s="3"/>
      <c r="E23" s="3"/>
      <c r="F23" s="3"/>
      <c r="G23" s="3"/>
      <c r="H23" s="3"/>
      <c r="I23" s="222"/>
    </row>
    <row r="24" spans="1:22" ht="15" customHeight="1" x14ac:dyDescent="0.2">
      <c r="A24" s="1000" t="s">
        <v>2437</v>
      </c>
      <c r="B24" s="1001"/>
      <c r="C24" s="990" t="s">
        <v>6716</v>
      </c>
      <c r="D24" s="405">
        <f>'TRA30'!C21</f>
      </c>
      <c r="E24" s="990" t="s">
        <v>4556</v>
      </c>
      <c r="F24" s="405">
        <f>'TRA30'!D21</f>
      </c>
      <c r="G24" s="990" t="s">
        <v>4572</v>
      </c>
      <c r="H24" s="405">
        <f>'TRA30'!E21</f>
      </c>
      <c r="I24" s="531"/>
    </row>
    <row r="25" spans="1:22" ht="15" customHeight="1" x14ac:dyDescent="0.2">
      <c r="A25" s="1000" t="s">
        <v>5005</v>
      </c>
      <c r="B25" s="1001"/>
      <c r="C25" s="990" t="s">
        <v>6717</v>
      </c>
      <c r="D25" s="405">
        <f>'TRA30'!C22</f>
      </c>
      <c r="E25" s="990" t="s">
        <v>4557</v>
      </c>
      <c r="F25" s="405">
        <f>'TRA30'!D22</f>
      </c>
      <c r="G25" s="990" t="s">
        <v>4573</v>
      </c>
      <c r="H25" s="405">
        <f>'TRA30'!E22</f>
      </c>
      <c r="I25" s="531"/>
    </row>
    <row r="26" spans="1:22" ht="15" customHeight="1" x14ac:dyDescent="0.2">
      <c r="A26" s="1000" t="s">
        <v>2439</v>
      </c>
      <c r="B26" s="1001"/>
      <c r="C26" s="990" t="s">
        <v>6718</v>
      </c>
      <c r="D26" s="405">
        <f>'TRA30'!C23</f>
      </c>
      <c r="E26" s="990" t="s">
        <v>4558</v>
      </c>
      <c r="F26" s="405">
        <f>'TRA30'!D23</f>
      </c>
      <c r="G26" s="990" t="s">
        <v>4574</v>
      </c>
      <c r="H26" s="405">
        <f>'TRA30'!E23</f>
      </c>
      <c r="I26" s="531"/>
      <c r="O26" s="142">
        <f>D22</f>
      </c>
      <c r="P26" s="142">
        <f>F22</f>
      </c>
      <c r="Q26" s="142">
        <f>H22</f>
      </c>
    </row>
    <row r="27" spans="1:22" ht="15" customHeight="1" x14ac:dyDescent="0.2">
      <c r="A27" s="1000" t="s">
        <v>2440</v>
      </c>
      <c r="B27" s="1001"/>
      <c r="C27" s="3"/>
      <c r="D27" s="3"/>
      <c r="E27" s="3"/>
      <c r="F27" s="3"/>
      <c r="G27" s="994" t="s">
        <v>4575</v>
      </c>
      <c r="H27" s="405">
        <f>'TRA30'!E24</f>
      </c>
      <c r="I27" s="222" t="str">
        <f>IF(OR(H21="",H21=0),"",IF(AND(H21=0,H27&gt;0),"Check FRFTC!",IF(H27/H21&gt;0.85,"Cannot be more than 85% of 79c!","")))</f>
        <v/>
      </c>
      <c r="O27" s="142">
        <f>SUM(D24:D26)</f>
      </c>
      <c r="P27" s="142">
        <f>SUM(F24:F26)</f>
      </c>
      <c r="Q27" s="142">
        <f>SUM(H24:H27)</f>
      </c>
    </row>
    <row r="28" spans="1:22" ht="15" customHeight="1" x14ac:dyDescent="0.2">
      <c r="A28" s="329" t="s">
        <v>4785</v>
      </c>
      <c r="B28" s="999"/>
      <c r="C28" s="990" t="s">
        <v>6719</v>
      </c>
      <c r="D28" s="878">
        <v>0</v>
      </c>
      <c r="E28" s="990" t="s">
        <v>4559</v>
      </c>
      <c r="F28" s="878">
        <v>0</v>
      </c>
      <c r="G28" s="990" t="s">
        <v>4576</v>
      </c>
      <c r="H28" s="878">
        <v>0</v>
      </c>
      <c r="I28" s="531" t="str">
        <f>IF(M28&lt;&gt;3,reo,IF(S28&lt;&gt;0," Check values!",""))</f>
        <v/>
      </c>
      <c r="J28" s="142">
        <f>IF(I28="",0,1)</f>
      </c>
      <c r="M28" s="142">
        <f>COUNT(D28,F28,H28)</f>
      </c>
      <c r="O28" s="142">
        <f>IF(O27&gt;O26,0,O26-O27)</f>
      </c>
      <c r="P28" s="142">
        <f>IF(P27&gt;P26,0,P26-P27)</f>
      </c>
      <c r="Q28" s="142">
        <f>IF(Q27&gt;Q26,0,Q26-Q27)</f>
      </c>
      <c r="S28" s="142">
        <f>SUM(T28:V28)</f>
      </c>
      <c r="T28" s="142">
        <f>IF(D28&lt;&gt;D29,1,0)</f>
      </c>
      <c r="U28" s="142">
        <f>IF(F28&lt;&gt;F29,1,0)</f>
      </c>
      <c r="V28" s="142">
        <f>IF(H28&lt;&gt;H29,1,0)</f>
      </c>
    </row>
    <row r="29" spans="1:22" ht="9.75" customHeight="1" x14ac:dyDescent="0.2">
      <c r="A29" s="11"/>
      <c r="B29" s="995"/>
      <c r="C29" s="3"/>
      <c r="D29" s="996">
        <f>O28</f>
      </c>
      <c r="E29" s="238"/>
      <c r="F29" s="996">
        <f>P28</f>
      </c>
      <c r="G29" s="997"/>
      <c r="H29" s="996">
        <f>Q28</f>
      </c>
      <c r="I29" s="531"/>
      <c r="N29" s="1192">
        <f>SUM(O29:Q29)</f>
      </c>
      <c r="O29" s="164">
        <f>IF(O27&gt;O26,1,0)</f>
      </c>
      <c r="P29" s="164">
        <f>IF(P27&gt;P26,1,0)</f>
      </c>
      <c r="Q29" s="164">
        <f>IF(Q27&gt;Q26,1,0)</f>
      </c>
    </row>
    <row r="30" spans="1:22" ht="12.75" x14ac:dyDescent="0.2">
      <c r="A30" s="670" t="s">
        <v>440</v>
      </c>
      <c r="B30" s="1434"/>
      <c r="C30" s="17"/>
      <c r="D30" s="3"/>
      <c r="E30" s="241"/>
      <c r="F30" s="241"/>
      <c r="G30" s="1002"/>
      <c r="H30" s="3"/>
      <c r="I30" s="531"/>
      <c r="N30" s="1192">
        <f>IF(N21=0,0,IF(N29&lt;&gt;0,1,0))</f>
      </c>
    </row>
    <row r="31" spans="1:22" ht="15" hidden="1" customHeight="1" x14ac:dyDescent="0.2">
      <c r="A31" s="4202" t="s">
        <v>10761</v>
      </c>
      <c r="B31" s="1433" t="s">
        <v>10745</v>
      </c>
      <c r="C31" s="17"/>
      <c r="D31" s="3"/>
      <c r="E31" s="994" t="s">
        <v>10762</v>
      </c>
      <c r="F31" s="405">
        <f>'TRA136'!F313</f>
      </c>
      <c r="G31" s="990" t="s">
        <v>10763</v>
      </c>
      <c r="H31" s="405">
        <f>'TRA136'!G313</f>
      </c>
      <c r="I31" s="531"/>
      <c r="N31" s="1192"/>
    </row>
    <row r="32" spans="1:22" ht="15" hidden="1" customHeight="1" x14ac:dyDescent="0.2">
      <c r="A32" s="4202"/>
      <c r="B32" s="1433"/>
      <c r="C32" s="17"/>
      <c r="D32" s="3"/>
      <c r="E32" s="990"/>
      <c r="F32" s="405"/>
      <c r="G32" s="990"/>
      <c r="H32" s="405"/>
      <c r="I32" s="531"/>
      <c r="N32" s="1192"/>
    </row>
    <row r="33" spans="1:25" ht="15" hidden="1" customHeight="1" x14ac:dyDescent="0.2">
      <c r="A33" s="4202"/>
      <c r="B33" s="1433"/>
      <c r="C33" s="17"/>
      <c r="D33" s="3"/>
      <c r="E33" s="990"/>
      <c r="F33" s="405"/>
      <c r="G33" s="990"/>
      <c r="H33" s="405"/>
      <c r="I33" s="531"/>
      <c r="N33" s="1192"/>
    </row>
    <row r="34" spans="1:25" ht="15" hidden="1" customHeight="1" x14ac:dyDescent="0.2">
      <c r="A34" s="4202"/>
      <c r="B34" s="1433"/>
      <c r="C34" s="17"/>
      <c r="D34" s="3"/>
      <c r="E34" s="990"/>
      <c r="F34" s="405"/>
      <c r="G34" s="990"/>
      <c r="H34" s="405"/>
      <c r="I34" s="531"/>
      <c r="N34" s="1192"/>
    </row>
    <row r="35" spans="1:25" ht="15" customHeight="1" x14ac:dyDescent="0.2">
      <c r="A35" s="4202" t="s">
        <v>357</v>
      </c>
      <c r="B35" s="1433" t="s">
        <v>1501</v>
      </c>
      <c r="C35" s="990" t="s">
        <v>6720</v>
      </c>
      <c r="D35" s="223"/>
      <c r="E35" s="990" t="s">
        <v>4560</v>
      </c>
      <c r="F35" s="223"/>
      <c r="G35" s="990" t="s">
        <v>4577</v>
      </c>
      <c r="H35" s="223"/>
      <c r="I35" s="1003" t="str">
        <f>IF(Y35=0,"",IF(O35&lt;&gt;3,reo,IF(Q39&gt;Q37," Excessive?","")))</f>
        <v/>
      </c>
      <c r="J35" s="142">
        <f>IF(I35=reo,1,0)</f>
      </c>
      <c r="O35" s="142">
        <f>COUNT(D35,F35,H35)</f>
      </c>
      <c r="Q35" s="142">
        <f>SUM(R35:T35)</f>
      </c>
      <c r="R35" s="142">
        <f>'TRA8'!D82</f>
      </c>
      <c r="S35" s="142">
        <f>'TRA8'!E82</f>
      </c>
      <c r="T35" s="142">
        <f>'TRA8'!F82</f>
      </c>
      <c r="V35" s="142">
        <f>IF(R35=0,0,1)</f>
      </c>
      <c r="W35" s="142">
        <f>IF(S35=0,0,1)</f>
      </c>
      <c r="X35" s="142">
        <f>IF(T35=0,0,1)</f>
      </c>
      <c r="Y35" s="142">
        <f>SUM(V35:X35)</f>
      </c>
    </row>
    <row r="36" spans="1:25" ht="4.5" customHeight="1" x14ac:dyDescent="0.2">
      <c r="A36" s="670"/>
      <c r="B36" s="995"/>
      <c r="C36" s="3"/>
      <c r="D36" s="3"/>
      <c r="E36" s="3"/>
      <c r="F36" s="3"/>
      <c r="G36" s="3"/>
      <c r="H36" s="3"/>
      <c r="I36" s="531"/>
    </row>
    <row r="37" spans="1:25" ht="15" customHeight="1" x14ac:dyDescent="0.2">
      <c r="A37" s="4203" t="s">
        <v>10764</v>
      </c>
      <c r="B37" s="1435"/>
      <c r="C37" s="990" t="s">
        <v>6721</v>
      </c>
      <c r="D37" s="535">
        <f>D29-D35</f>
      </c>
      <c r="E37" s="990" t="s">
        <v>4561</v>
      </c>
      <c r="F37" s="535">
        <f>F29-F31-F35</f>
      </c>
      <c r="G37" s="990" t="s">
        <v>4578</v>
      </c>
      <c r="H37" s="535">
        <f>H29-H31-H35</f>
      </c>
      <c r="I37" s="531"/>
      <c r="Q37" s="142">
        <f>SUM(R37:T37)</f>
      </c>
      <c r="R37" s="142">
        <f>ROUND(R35*0.35,0)</f>
      </c>
      <c r="S37" s="142">
        <f>ROUND(S35*0.375,0)</f>
      </c>
      <c r="T37" s="142">
        <f>ROUND(T35*0.35,0)</f>
      </c>
    </row>
    <row r="38" spans="1:25" ht="3.75" customHeight="1" x14ac:dyDescent="0.2">
      <c r="A38" s="11"/>
      <c r="B38" s="995"/>
      <c r="C38" s="3"/>
      <c r="D38" s="3"/>
      <c r="E38" s="3"/>
      <c r="F38" s="144"/>
      <c r="G38" s="1002"/>
      <c r="H38" s="3"/>
      <c r="I38" s="531"/>
    </row>
    <row r="39" spans="1:25" ht="15" customHeight="1" x14ac:dyDescent="0.2">
      <c r="A39" s="11" t="s">
        <v>6477</v>
      </c>
      <c r="B39" s="1433" t="s">
        <v>2312</v>
      </c>
      <c r="C39" s="990" t="s">
        <v>6722</v>
      </c>
      <c r="D39" s="405">
        <f>'TRA31'!H162</f>
      </c>
      <c r="E39" s="990" t="s">
        <v>4562</v>
      </c>
      <c r="F39" s="405">
        <f>'TRA31'!I162</f>
      </c>
      <c r="G39" s="990" t="s">
        <v>4579</v>
      </c>
      <c r="H39" s="405">
        <f>'TRA31'!J162</f>
      </c>
      <c r="I39" s="531"/>
      <c r="Q39" s="142">
        <f>SUM(D35,F35,H35)</f>
      </c>
    </row>
    <row r="40" spans="1:25" ht="4.5" customHeight="1" x14ac:dyDescent="0.2">
      <c r="A40" s="11"/>
      <c r="B40" s="995"/>
      <c r="C40" s="3"/>
      <c r="D40" s="3"/>
      <c r="E40" s="3"/>
      <c r="F40" s="3"/>
      <c r="G40" s="3"/>
      <c r="H40" s="3"/>
      <c r="I40" s="531"/>
    </row>
    <row r="41" spans="1:25" ht="15" hidden="1" customHeight="1" x14ac:dyDescent="0.2">
      <c r="A41" s="11"/>
      <c r="B41" s="1005"/>
      <c r="C41" s="3"/>
      <c r="D41" s="3"/>
      <c r="E41" s="3"/>
      <c r="F41" s="3"/>
      <c r="G41" s="3"/>
      <c r="H41" s="3"/>
      <c r="I41" s="531"/>
    </row>
    <row r="42" spans="1:25" ht="15" customHeight="1" x14ac:dyDescent="0.2">
      <c r="A42" s="651" t="s">
        <v>4952</v>
      </c>
      <c r="B42" s="1006"/>
      <c r="C42" s="990" t="s">
        <v>6723</v>
      </c>
      <c r="D42" s="544">
        <f>D37-D39</f>
      </c>
      <c r="E42" s="990" t="s">
        <v>4563</v>
      </c>
      <c r="F42" s="544">
        <f>F37-F39</f>
      </c>
      <c r="G42" s="990" t="s">
        <v>4580</v>
      </c>
      <c r="H42" s="544">
        <f>H37-H39</f>
      </c>
      <c r="I42" s="531"/>
    </row>
    <row r="43" spans="1:25" ht="6.75" customHeight="1" thickBot="1" x14ac:dyDescent="0.25">
      <c r="A43" s="1007"/>
      <c r="B43" s="1008"/>
      <c r="C43" s="1009"/>
      <c r="D43" s="1009"/>
      <c r="E43" s="1009"/>
      <c r="F43" s="1009"/>
      <c r="G43" s="1009"/>
      <c r="H43" s="1009"/>
      <c r="I43" s="531"/>
    </row>
    <row r="44" spans="1:25" ht="4.5" customHeight="1" x14ac:dyDescent="0.2">
      <c r="A44" s="8"/>
      <c r="B44" s="1010"/>
      <c r="C44" s="8"/>
      <c r="D44" s="8"/>
      <c r="E44" s="8"/>
      <c r="F44" s="8"/>
      <c r="G44" s="8"/>
      <c r="H44" s="8"/>
      <c r="I44" s="531"/>
    </row>
    <row r="45" spans="1:25" ht="15" customHeight="1" x14ac:dyDescent="0.2">
      <c r="A45" s="1004" t="s">
        <v>358</v>
      </c>
      <c r="B45" s="1011"/>
      <c r="C45" s="531"/>
      <c r="D45" s="531"/>
      <c r="E45" s="531"/>
      <c r="F45" s="5598">
        <f>ROUND(SUM(D42,F42,H42),0)</f>
      </c>
      <c r="G45" s="994" t="s">
        <v>5069</v>
      </c>
      <c r="H45" s="223">
        <v>0</v>
      </c>
      <c r="I45" s="531" t="str">
        <f>IF(ISBLANK(H45),reo,"")</f>
        <v/>
      </c>
      <c r="J45" s="142">
        <f>IF(I45="",0,1)</f>
      </c>
    </row>
    <row r="46" spans="1:25" ht="5.25" customHeight="1" x14ac:dyDescent="0.2">
      <c r="A46" s="8"/>
      <c r="B46" s="1010"/>
      <c r="C46" s="531"/>
      <c r="D46" s="531"/>
      <c r="E46" s="531"/>
      <c r="F46" s="5598"/>
      <c r="G46" s="531"/>
      <c r="H46" s="531"/>
      <c r="I46" s="531"/>
    </row>
    <row r="47" spans="1:25" ht="15" customHeight="1" x14ac:dyDescent="0.2">
      <c r="A47" s="1004" t="s">
        <v>359</v>
      </c>
      <c r="B47" s="1011"/>
      <c r="C47" s="531"/>
      <c r="D47" s="531"/>
      <c r="E47" s="531"/>
      <c r="F47" s="5598"/>
      <c r="G47" s="994" t="s">
        <v>5070</v>
      </c>
      <c r="H47" s="510">
        <v>0</v>
      </c>
      <c r="I47" s="531" t="str">
        <f>IF(ISBLANK(H47),reo,"")</f>
        <v/>
      </c>
      <c r="J47" s="142">
        <f>IF(I47="",0,1)</f>
      </c>
      <c r="L47" s="142">
        <f>COUNT(H45,H47)</f>
      </c>
      <c r="M47" s="142" t="s">
        <v>6239</v>
      </c>
    </row>
    <row r="48" spans="1:25" ht="15" hidden="1" customHeight="1" x14ac:dyDescent="0.2">
      <c r="A48" s="531"/>
      <c r="B48" s="849"/>
      <c r="C48" s="531"/>
      <c r="D48" s="531"/>
      <c r="E48" s="531"/>
      <c r="F48" s="531"/>
      <c r="G48" s="531"/>
      <c r="H48" s="531"/>
      <c r="I48" s="531"/>
      <c r="L48" s="142">
        <f>H45+H47</f>
      </c>
    </row>
    <row r="49" spans="1:13" ht="2.65" customHeight="1" x14ac:dyDescent="0.2">
      <c r="A49" s="531"/>
      <c r="B49" s="849"/>
      <c r="C49" s="531"/>
      <c r="D49" s="531"/>
      <c r="E49" s="531"/>
      <c r="F49" s="531"/>
      <c r="G49" s="531"/>
      <c r="H49" s="531"/>
      <c r="I49" s="531"/>
    </row>
    <row r="50" spans="1:13" ht="15" customHeight="1" x14ac:dyDescent="0.2">
      <c r="A50" s="5600" t="str">
        <f>IF(L47&lt;&gt;2,M47,IF(L48&lt;&gt;F45,"Check values entered in fields 89a and 90a",""))</f>
        <v/>
      </c>
      <c r="B50" s="5601"/>
      <c r="C50" s="5601"/>
      <c r="D50" s="5601"/>
      <c r="E50" s="5601"/>
      <c r="F50" s="5601"/>
      <c r="G50" s="5601"/>
      <c r="H50" s="5601"/>
      <c r="I50" s="531"/>
      <c r="J50" s="142">
        <f>IF(A50="",0,1)</f>
      </c>
      <c r="K50" s="142">
        <f>SUM(J3:J50)+J63+SUM(J57:J61)+J66+J52</f>
      </c>
    </row>
    <row r="51" spans="1:13" ht="23.25" customHeight="1" x14ac:dyDescent="0.2">
      <c r="A51" s="5001" t="str">
        <f>A1</f>
      </c>
      <c r="B51" s="5001"/>
      <c r="C51" s="5001"/>
      <c r="D51" s="5001"/>
      <c r="E51" s="5001"/>
      <c r="F51" s="5001"/>
      <c r="G51" s="5001"/>
      <c r="H51" s="531"/>
      <c r="I51" s="531"/>
    </row>
    <row r="52" spans="1:13" ht="15" customHeight="1" x14ac:dyDescent="0.2">
      <c r="A52" s="5599" t="s">
        <v>7822</v>
      </c>
      <c r="B52" s="5599"/>
      <c r="C52" s="5599"/>
      <c r="D52" s="5599"/>
      <c r="E52" s="5599"/>
      <c r="F52" s="5599"/>
      <c r="G52" s="5599"/>
      <c r="H52" s="742"/>
      <c r="I52" s="1130" t="str">
        <f>IF(cur&lt;&gt;"Euro Currency","",IF(H52="",re,""))</f>
        <v/>
      </c>
      <c r="J52" s="142">
        <f>IF(I52="",0,1)</f>
      </c>
      <c r="L52" s="142" t="str">
        <f>cur</f>
      </c>
      <c r="M52" s="142" t="s">
        <v>4591</v>
      </c>
    </row>
    <row r="53" spans="1:13" ht="15" customHeight="1" x14ac:dyDescent="0.2">
      <c r="A53" s="2222"/>
      <c r="B53" s="2223"/>
      <c r="C53" s="2222"/>
      <c r="D53" s="2222"/>
      <c r="E53" s="2222"/>
      <c r="F53" s="2222"/>
      <c r="G53" s="2222"/>
      <c r="H53" s="2222"/>
      <c r="I53" s="2222"/>
      <c r="L53" s="142">
        <f>IF(L52&lt;&gt;M52,1,0)</f>
      </c>
    </row>
    <row r="54" spans="1:13" ht="15" customHeight="1" x14ac:dyDescent="0.2">
      <c r="A54" s="2224" t="s">
        <v>10565</v>
      </c>
      <c r="B54" s="2225"/>
      <c r="C54" s="2226"/>
      <c r="D54" s="2226"/>
      <c r="E54" s="2226"/>
      <c r="F54" s="2226"/>
      <c r="G54" s="2226"/>
      <c r="H54" s="2226"/>
      <c r="I54" s="2226"/>
      <c r="L54" s="142">
        <f>COUNTA(H52,B57,B58,B59,B60,B61,A66,B66,D66,G66)</f>
      </c>
    </row>
    <row r="55" spans="1:13" ht="15" customHeight="1" x14ac:dyDescent="0.2">
      <c r="A55" s="2227" t="s">
        <v>7821</v>
      </c>
      <c r="B55" s="2225"/>
      <c r="C55" s="2226"/>
      <c r="D55" s="2226"/>
      <c r="E55" s="2226"/>
      <c r="F55" s="2226"/>
      <c r="G55" s="2226"/>
      <c r="H55" s="2226"/>
      <c r="I55" s="2226"/>
    </row>
    <row r="56" spans="1:13" ht="15" customHeight="1" x14ac:dyDescent="0.2">
      <c r="A56" s="2224"/>
      <c r="B56" s="2225"/>
      <c r="C56" s="2226"/>
      <c r="D56" s="2226"/>
      <c r="E56" s="2226"/>
      <c r="F56" s="2226"/>
      <c r="G56" s="2226"/>
      <c r="H56" s="2226"/>
      <c r="I56" s="2226"/>
    </row>
    <row r="57" spans="1:13" ht="15" customHeight="1" x14ac:dyDescent="0.2">
      <c r="A57" s="2228" t="s">
        <v>7823</v>
      </c>
      <c r="B57" s="5565"/>
      <c r="C57" s="5566"/>
      <c r="D57" s="5566"/>
      <c r="E57" s="5566"/>
      <c r="F57" s="5567"/>
      <c r="G57" s="2309" t="str">
        <f>IF(ISBLANK(B57),re,"")</f>
      </c>
      <c r="H57" s="2226"/>
      <c r="I57" s="2226"/>
      <c r="J57" s="142">
        <f>IF($H$52="Yes",IF(B57="",1,0),0)</f>
      </c>
      <c r="L57" s="142">
        <f>L53+L54+L55+L56</f>
      </c>
    </row>
    <row r="58" spans="1:13" ht="15" customHeight="1" x14ac:dyDescent="0.2">
      <c r="A58" s="2228" t="s">
        <v>7824</v>
      </c>
      <c r="B58" s="5565"/>
      <c r="C58" s="5566"/>
      <c r="D58" s="5566"/>
      <c r="E58" s="5566"/>
      <c r="F58" s="5567"/>
      <c r="G58" s="2309" t="str">
        <f>IF(ISBLANK(B58),re,"")</f>
      </c>
      <c r="H58" s="2226"/>
      <c r="I58" s="2226"/>
      <c r="J58" s="142">
        <f>IF($H$52="Yes",IF(B58="",1,0),0)</f>
      </c>
    </row>
    <row r="59" spans="1:13" ht="15" customHeight="1" x14ac:dyDescent="0.2">
      <c r="A59" s="2228" t="s">
        <v>7825</v>
      </c>
      <c r="B59" s="5565"/>
      <c r="C59" s="5566"/>
      <c r="D59" s="5566"/>
      <c r="E59" s="5566"/>
      <c r="F59" s="5567"/>
      <c r="G59" s="2309" t="str">
        <f>IF(ISBLANK(B59),re,"")</f>
      </c>
      <c r="H59" s="2226"/>
      <c r="I59" s="2226"/>
      <c r="J59" s="142">
        <f>IF($H$52="Yes",IF(B59="",1,0),0)</f>
      </c>
    </row>
    <row r="60" spans="1:13" ht="15" customHeight="1" x14ac:dyDescent="0.2">
      <c r="A60" s="2228" t="s">
        <v>7840</v>
      </c>
      <c r="B60" s="5565"/>
      <c r="C60" s="5566"/>
      <c r="D60" s="5566"/>
      <c r="E60" s="5566"/>
      <c r="F60" s="5567"/>
      <c r="G60" s="2309" t="str">
        <f>IF(ISBLANK(B60),re,"")</f>
      </c>
      <c r="H60" s="2226"/>
      <c r="I60" s="2226"/>
      <c r="J60" s="142">
        <f>IF($H$52="Yes",IF(B60="",1,0),0)</f>
      </c>
    </row>
    <row r="61" spans="1:13" ht="15" customHeight="1" x14ac:dyDescent="0.2">
      <c r="A61" s="2228" t="s">
        <v>7841</v>
      </c>
      <c r="B61" s="5565"/>
      <c r="C61" s="5566"/>
      <c r="D61" s="5566"/>
      <c r="E61" s="5566"/>
      <c r="F61" s="5567"/>
      <c r="G61" s="2309" t="str">
        <f>IF(ISBLANK(B61),re,"")</f>
      </c>
      <c r="H61" s="2226"/>
      <c r="I61" s="2226"/>
      <c r="J61" s="142">
        <f>IF($H$52="Yes",IF(B61="",1,0),0)</f>
      </c>
    </row>
    <row r="62" spans="1:13" ht="15" customHeight="1" x14ac:dyDescent="0.2">
      <c r="A62" s="2226"/>
      <c r="B62" s="2225"/>
      <c r="C62" s="2226"/>
      <c r="D62" s="2226"/>
      <c r="E62" s="2226"/>
      <c r="F62" s="2226"/>
      <c r="G62" s="2226"/>
      <c r="H62" s="2226"/>
      <c r="I62" s="2226"/>
    </row>
    <row r="63" spans="1:13" ht="24.75" customHeight="1" x14ac:dyDescent="0.2">
      <c r="A63" s="5569"/>
      <c r="B63" s="5569"/>
      <c r="C63" s="5569"/>
      <c r="D63" s="5569"/>
      <c r="E63" s="5569"/>
      <c r="F63" s="5569"/>
      <c r="G63" s="5569"/>
      <c r="H63" s="5569"/>
      <c r="I63" s="2226"/>
      <c r="J63" s="142">
        <f>IF(A63="",0,1)</f>
      </c>
    </row>
    <row r="64" spans="1:13" ht="125.25" customHeight="1" x14ac:dyDescent="0.2">
      <c r="A64" s="5568" t="s">
        <v>10567</v>
      </c>
      <c r="B64" s="5568"/>
      <c r="C64" s="5568"/>
      <c r="D64" s="5568"/>
      <c r="E64" s="5568"/>
      <c r="F64" s="5568"/>
      <c r="G64" s="5568"/>
      <c r="H64" s="5568"/>
      <c r="I64" s="2229"/>
    </row>
    <row r="65" spans="1:10" ht="15" customHeight="1" x14ac:dyDescent="0.2">
      <c r="A65" s="2232" t="s">
        <v>6376</v>
      </c>
      <c r="B65" s="5570" t="s">
        <v>6377</v>
      </c>
      <c r="C65" s="5571"/>
      <c r="D65" s="5572" t="s">
        <v>6522</v>
      </c>
      <c r="E65" s="5573"/>
      <c r="F65" s="5574"/>
      <c r="G65" s="5570" t="s">
        <v>6523</v>
      </c>
      <c r="H65" s="5571"/>
      <c r="I65" s="2230"/>
    </row>
    <row r="66" spans="1:10" ht="15" customHeight="1" x14ac:dyDescent="0.2">
      <c r="A66" s="5575"/>
      <c r="B66" s="5578"/>
      <c r="C66" s="5579"/>
      <c r="D66" s="5578"/>
      <c r="E66" s="5584"/>
      <c r="F66" s="5579"/>
      <c r="G66" s="5578"/>
      <c r="H66" s="5579"/>
      <c r="I66" s="2310" t="str">
        <f>IF((OR(ISBLANK(A66),ISBLANK(B66),ISBLANK(G66))),re,"")</f>
      </c>
      <c r="J66" s="142">
        <f>IF($H$52="Yes",IF(OR(A66="",B66="",G66=""),1,0),0)</f>
      </c>
    </row>
    <row r="67" spans="1:10" ht="15" customHeight="1" x14ac:dyDescent="0.2">
      <c r="A67" s="5576"/>
      <c r="B67" s="5580"/>
      <c r="C67" s="5581"/>
      <c r="D67" s="5580"/>
      <c r="E67" s="5585"/>
      <c r="F67" s="5581"/>
      <c r="G67" s="5582"/>
      <c r="H67" s="5583"/>
      <c r="I67" s="2231"/>
    </row>
    <row r="68" spans="1:10" ht="15" customHeight="1" x14ac:dyDescent="0.2">
      <c r="A68" s="5577"/>
      <c r="B68" s="5582"/>
      <c r="C68" s="5583"/>
      <c r="D68" s="5582"/>
      <c r="E68" s="5586"/>
      <c r="F68" s="5583"/>
      <c r="G68" s="5587" t="s">
        <v>2818</v>
      </c>
      <c r="H68" s="5588"/>
      <c r="I68" s="2231"/>
    </row>
    <row r="69" spans="1:10" ht="15" customHeight="1" x14ac:dyDescent="0.2">
      <c r="A69" s="2226"/>
      <c r="B69" s="2225"/>
      <c r="C69" s="2226"/>
      <c r="D69" s="2226"/>
      <c r="E69" s="2226"/>
      <c r="F69" s="2226"/>
      <c r="G69" s="2226"/>
      <c r="H69" s="2226"/>
      <c r="I69" s="2226"/>
    </row>
    <row r="90" spans="2:2" ht="12.75" x14ac:dyDescent="0.2">
      <c r="B90"/>
    </row>
  </sheetData>
  <sheetProtection algorithmName="SHA-512" hashValue="bSKq2EfvfIk3xNRtiFAoLZqBvI/RpvUbGwJx3mV6faZ0D+7Jlcu4VRgU+thOL3ASgGP3hfXCDYXwm/kE1jzAww==" saltValue="MTEitEvyLuHtXaA39fi9sw==" spinCount="100000" sheet="1" objects="1" scenarios="1"/>
  <customSheetViews>
    <customSheetView guid="{99B5278F-6EA9-4B1A-8623-27A4DF4AD5E4}" scale="125" showGridLines="0" hiddenRows="1" hiddenColumns="1" topLeftCell="A19">
      <selection activeCell="H42" sqref="H42"/>
      <pageMargins left="0.23" right="0.2" top="0.31" bottom="0.6692913385826772" header="0.19685039370078741" footer="0.39"/>
      <printOptions horizontalCentered="1"/>
      <pageSetup paperSize="9" orientation="landscape" horizontalDpi="300" verticalDpi="300" r:id="rId1"/>
      <headerFooter alignWithMargins="0">
        <oddFooter>&amp;LIRD - Malta&amp;RPage 5</oddFooter>
      </headerFooter>
    </customSheetView>
  </customSheetViews>
  <mergeCells count="28">
    <mergeCell ref="A51:G51"/>
    <mergeCell ref="A52:G52"/>
    <mergeCell ref="B57:F57"/>
    <mergeCell ref="B58:F58"/>
    <mergeCell ref="A50:H50"/>
    <mergeCell ref="A7:B7"/>
    <mergeCell ref="C5:D5"/>
    <mergeCell ref="A13:B13"/>
    <mergeCell ref="A16:B16"/>
    <mergeCell ref="F45:F47"/>
    <mergeCell ref="A1:G1"/>
    <mergeCell ref="E5:F5"/>
    <mergeCell ref="G5:H5"/>
    <mergeCell ref="F3:H3"/>
    <mergeCell ref="A5:B5"/>
    <mergeCell ref="A66:A68"/>
    <mergeCell ref="B66:C68"/>
    <mergeCell ref="D66:F68"/>
    <mergeCell ref="G66:H67"/>
    <mergeCell ref="G68:H68"/>
    <mergeCell ref="B59:F59"/>
    <mergeCell ref="A64:H64"/>
    <mergeCell ref="A63:H63"/>
    <mergeCell ref="B60:F60"/>
    <mergeCell ref="B65:C65"/>
    <mergeCell ref="D65:F65"/>
    <mergeCell ref="G65:H65"/>
    <mergeCell ref="B61:F61"/>
  </mergeCells>
  <phoneticPr fontId="0" type="noConversion"/>
  <conditionalFormatting sqref="A11">
    <cfRule type="expression" dxfId="36" priority="11" stopIfTrue="1">
      <formula>$A$11=$L$2</formula>
    </cfRule>
  </conditionalFormatting>
  <conditionalFormatting sqref="A50:H50">
    <cfRule type="cellIs" dxfId="35" priority="14" stopIfTrue="1" operator="notEqual">
      <formula>""</formula>
    </cfRule>
  </conditionalFormatting>
  <conditionalFormatting sqref="A51:I69">
    <cfRule type="expression" dxfId="34" priority="1">
      <formula>$L$53 &lt;&gt; 0</formula>
    </cfRule>
  </conditionalFormatting>
  <conditionalFormatting sqref="B57:F61 G66:H67 A66:F68 H52">
    <cfRule type="expression" dxfId="33" priority="29">
      <formula>$L$53=1</formula>
    </cfRule>
  </conditionalFormatting>
  <conditionalFormatting sqref="B57:F61 G66:H67 A66:F68">
    <cfRule type="expression" dxfId="32" priority="4">
      <formula>$H$52&lt;&gt;"Yes"</formula>
    </cfRule>
  </conditionalFormatting>
  <conditionalFormatting sqref="D28 F28 H28">
    <cfRule type="expression" dxfId="31" priority="12" stopIfTrue="1">
      <formula>$K$56&lt;&gt;$H$56</formula>
    </cfRule>
  </conditionalFormatting>
  <conditionalFormatting sqref="G57:G61">
    <cfRule type="expression" dxfId="30" priority="3">
      <formula>$H$52&lt;&gt;"Yes"</formula>
    </cfRule>
  </conditionalFormatting>
  <conditionalFormatting sqref="I35">
    <cfRule type="expression" dxfId="29" priority="18" stopIfTrue="1">
      <formula>$I$35=reo</formula>
    </cfRule>
  </conditionalFormatting>
  <conditionalFormatting sqref="I66">
    <cfRule type="expression" dxfId="28" priority="2">
      <formula>$H$52&lt;&gt;"Yes"</formula>
    </cfRule>
  </conditionalFormatting>
  <dataValidations count="14">
    <dataValidation type="whole" allowBlank="1" showInputMessage="1" showErrorMessage="1" errorTitle="Tax Due after Tax Credits" error="Check value entered!" sqref="H21 D21" xr:uid="{01D38135-C877-46B3-85AD-16CA155B0F93}">
      <formula1>0</formula1>
      <formula2>D22</formula2>
    </dataValidation>
    <dataValidation type="whole" errorStyle="warning" operator="equal" allowBlank="1" showInputMessage="1" showErrorMessage="1" errorTitle="Tax Due on MTA" error="Check value entered!" sqref="F42 D42 H42" xr:uid="{053E9740-7AEB-4138-88DC-D560095DF445}">
      <formula1>D43</formula1>
    </dataValidation>
    <dataValidation type="whole" allowBlank="1" showInputMessage="1" showErrorMessage="1" errorTitle="Tax Due after Tax Credits" error="Check value entered!_x000a_OR_x000a_Tax credits cannot exceed tax due!" sqref="F21" xr:uid="{BFB2E12F-3ECC-4E31-A5C7-E7BF26FF7367}">
      <formula1>0</formula1>
      <formula2>F22</formula2>
    </dataValidation>
    <dataValidation type="whole" allowBlank="1" showInputMessage="1" showErrorMessage="1" errorTitle="TAX DUE AFTER RELIEF OF DT" error="Check value entered!_x000a_Cannot exceed tax liability!" sqref="D28 F28 H28" xr:uid="{A3252670-A50F-4EEA-A328-DF1A6E78AA27}">
      <formula1>0</formula1>
      <formula2>D29</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D35" xr:uid="{332A329A-46A8-4C9D-9DB6-3B5923FA7A4A}">
      <formula1>0</formula1>
      <formula2>R37</formula2>
    </dataValidation>
    <dataValidation type="whole" operator="greaterThanOrEqual" allowBlank="1" showInputMessage="1" showErrorMessage="1" errorTitle="Tax Balance Due" error="Please enter a positive value!" sqref="H45" xr:uid="{9BC911B2-5F47-44B4-B7C2-7B1ADAC1AEE1}">
      <formula1>0</formula1>
    </dataValidation>
    <dataValidation type="whole" operator="lessThanOrEqual" allowBlank="1" showInputMessage="1" showErrorMessage="1" errorTitle="Tax Balance Due" error="Please enter a negative value!" sqref="H47" xr:uid="{3889DEEB-8FD3-4753-9C9E-185BD5192B71}">
      <formula1>0</formula1>
    </dataValidation>
    <dataValidation type="whole" operator="greaterThanOrEqual" allowBlank="1" showInputMessage="1" showErrorMessage="1" errorTitle="Income" error="Please enter a positive value!" sqref="D10 F10 H10" xr:uid="{E60BDF67-2716-4766-9D2D-8D1C9DCDF6A1}">
      <formula1>0</formula1>
    </dataValidation>
    <dataValidation type="list" allowBlank="1" showInputMessage="1" showErrorMessage="1" errorTitle="TAXATION DATA" error="PLEASE ENTER Yes   OR  No !" sqref="H52" xr:uid="{D01BD6A5-1CA2-41A8-B6EE-9CFB4359EFBE}">
      <formula1>yn</formula1>
    </dataValidation>
    <dataValidation type="textLength" operator="equal" allowBlank="1" showInputMessage="1" showErrorMessage="1" sqref="G68" xr:uid="{F24B9DA1-DF2E-4773-A11A-CD0F2127E6BE}">
      <formula1>10</formula1>
    </dataValidation>
    <dataValidation type="whole" errorStyle="warning" allowBlank="1" showInputMessage="1" showErrorMessage="1" errorTitle="TAX AT SOURCE - DIVIDENDS" error="POSITIVE VALUE REQUIRED!_x000a_OR_x000a_TAS CLAIMED IS EXCESSIVE RELATIVE TO GROSS DIVIDENDS!_x000a_OR_x000a_TRA 08 IS BLANK!" sqref="F31:F34" xr:uid="{F2504852-47B2-4C79-9483-F982EE8724C7}">
      <formula1>0</formula1>
      <formula2>S36</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F35" xr:uid="{9A512949-BFD6-421E-B8FF-8F2A085F1982}">
      <formula1>0</formula1>
      <formula2>S37</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H31:H34" xr:uid="{EFF82D76-42DE-4A37-A8CC-9BF7D3D3BC97}">
      <formula1>0</formula1>
      <formula2>T36</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H35" xr:uid="{A2A93A1A-F4FE-4091-AEB3-48A198C7A382}">
      <formula1>0</formula1>
      <formula2>T37</formula2>
    </dataValidation>
  </dataValidations>
  <hyperlinks>
    <hyperlink ref="B23" location="TRA30!D5" display="TRA30!D5" xr:uid="{00000000-0004-0000-7500-000000000000}"/>
    <hyperlink ref="A2" location="Index!A1" display="Index!A1" xr:uid="{00000000-0004-0000-7500-000001000000}"/>
    <hyperlink ref="B9" location="TRA33!A1" display="TRA33!A1" xr:uid="{00000000-0004-0000-7500-000002000000}"/>
    <hyperlink ref="B19" location="TRA35!A1" display="TRA35!A1" xr:uid="{00000000-0004-0000-7500-000003000000}"/>
    <hyperlink ref="B35" location="TRA8!A1" display="TRA8!A1" xr:uid="{00000000-0004-0000-7500-000004000000}"/>
    <hyperlink ref="B39" location="TRA31!A1" display="TRA31!A1" xr:uid="{00000000-0004-0000-7500-000005000000}"/>
    <hyperlink ref="B14" location="TRA33!A1" display="TRA33!A1" xr:uid="{00000000-0004-0000-7500-000006000000}"/>
    <hyperlink ref="B31" location="'TRA136'!A1" display="TRA 136" xr:uid="{21FAEAF1-286F-4E1F-896D-29CAB0EAC20C}"/>
  </hyperlinks>
  <printOptions horizontalCentered="1"/>
  <pageMargins left="0.23622047244094491" right="0.19685039370078741" top="0.31496062992125984" bottom="0.6692913385826772" header="0.19685039370078741" footer="0.39370078740157483"/>
  <pageSetup paperSize="9" orientation="landscape" r:id="rId2"/>
  <headerFooter alignWithMargins="0">
    <oddFooter>&amp;LCfR - Malta&amp;RPage 5</oddFooter>
  </headerFooter>
  <rowBreaks count="1" manualBreakCount="1">
    <brk id="50" max="16383" man="1"/>
  </rowBreaks>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60">
    <pageSetUpPr fitToPage="1"/>
  </sheetPr>
  <dimension ref="A1:GL110"/>
  <sheetViews>
    <sheetView showGridLines="0" topLeftCell="A17" zoomScale="70" zoomScaleNormal="70" workbookViewId="0">
      <selection activeCell="Q39" sqref="Q39"/>
    </sheetView>
  </sheetViews>
  <sheetFormatPr defaultColWidth="0" defaultRowHeight="12.75" customHeight="1" zeroHeight="1" x14ac:dyDescent="0.2"/>
  <cols>
    <col min="1" max="1" width="0.5703125" style="28" customWidth="1"/>
    <col min="2" max="2" width="3.5703125" style="28" customWidth="1"/>
    <col min="3" max="3" width="1.42578125" style="28" customWidth="1"/>
    <col min="4" max="4" width="4.28515625" style="28" customWidth="1"/>
    <col min="5" max="5" width="3" style="28" customWidth="1"/>
    <col min="6" max="6" width="2" style="28" customWidth="1"/>
    <col min="7" max="7" width="3.28515625" style="28" customWidth="1"/>
    <col min="8" max="8" width="5.5703125" style="28" customWidth="1"/>
    <col min="9" max="9" width="3.7109375" style="28" hidden="1" customWidth="1"/>
    <col min="10" max="10" width="4.28515625" style="28" customWidth="1"/>
    <col min="11" max="11" width="10.7109375" style="28" customWidth="1"/>
    <col min="12" max="12" width="4.5703125" style="28" customWidth="1"/>
    <col min="13" max="13" width="10.7109375" style="28" customWidth="1"/>
    <col min="14" max="14" width="4.5703125" style="28" customWidth="1"/>
    <col min="15" max="15" width="10.7109375" style="28" customWidth="1"/>
    <col min="16" max="16" width="4.5703125" style="28" customWidth="1"/>
    <col min="17" max="17" width="10.7109375" style="28" customWidth="1"/>
    <col min="18" max="18" width="4.5703125" style="28" customWidth="1"/>
    <col min="19" max="19" width="10.7109375" style="28" customWidth="1"/>
    <col min="20" max="20" width="4.5703125" style="28" customWidth="1"/>
    <col min="21" max="21" width="10.7109375" style="28" customWidth="1"/>
    <col min="22" max="22" width="4.5703125" style="28" customWidth="1"/>
    <col min="23" max="23" width="10.7109375" style="28" customWidth="1"/>
    <col min="24" max="24" width="2.28515625" style="28" customWidth="1"/>
    <col min="25" max="25" width="29.7109375" style="28" customWidth="1"/>
    <col min="26" max="26" width="4.42578125" style="28" hidden="1" customWidth="1"/>
    <col min="27" max="27" width="9.28515625" style="28" hidden="1" customWidth="1"/>
    <col min="28" max="28" width="2" style="28" hidden="1" customWidth="1"/>
    <col min="29" max="78" width="8.7109375" style="28" hidden="1" customWidth="1"/>
    <col min="79" max="16384" width="9.28515625" style="28" hidden="1"/>
  </cols>
  <sheetData>
    <row r="1" spans="1:87" ht="15" customHeight="1" x14ac:dyDescent="0.2">
      <c r="A1" s="2"/>
      <c r="B1" s="4275" t="str">
        <f>_ref1</f>
      </c>
      <c r="C1" s="4275"/>
      <c r="D1" s="4275"/>
      <c r="E1" s="4275"/>
      <c r="F1" s="4275"/>
      <c r="G1" s="4275"/>
      <c r="H1" s="4275"/>
      <c r="I1" s="4275"/>
      <c r="J1" s="4275"/>
      <c r="K1" s="4275"/>
      <c r="L1" s="4275"/>
      <c r="M1" s="4275"/>
      <c r="N1" s="4275"/>
      <c r="O1" s="4275"/>
      <c r="P1" s="4275"/>
      <c r="Q1" s="4275"/>
      <c r="R1" s="4275"/>
      <c r="S1" s="4275"/>
      <c r="T1" s="4275"/>
      <c r="U1" s="4275"/>
      <c r="V1" s="4275"/>
      <c r="W1" s="72" t="str">
        <f>_YA1</f>
      </c>
      <c r="X1" s="3"/>
      <c r="Y1" s="3"/>
      <c r="AE1" s="1736" t="s">
        <v>9974</v>
      </c>
      <c r="AF1" s="28" t="str">
        <f>'p2'!G36</f>
      </c>
    </row>
    <row r="2" spans="1:87" ht="18" x14ac:dyDescent="0.25">
      <c r="A2" s="3"/>
      <c r="B2" s="1445" t="s">
        <v>6290</v>
      </c>
      <c r="C2" s="1445"/>
      <c r="D2" s="1445"/>
      <c r="E2" s="1445"/>
      <c r="F2" s="1445"/>
      <c r="G2" s="1445"/>
      <c r="H2" s="1175"/>
      <c r="I2" s="1175"/>
      <c r="J2" s="1175"/>
      <c r="K2" s="1175"/>
      <c r="L2" s="4636"/>
      <c r="M2" s="4636"/>
      <c r="N2" s="4636"/>
      <c r="O2" s="4636"/>
      <c r="P2" s="4636"/>
      <c r="Q2" s="171" t="str">
        <f>efile</f>
      </c>
      <c r="R2" s="1175"/>
      <c r="S2" s="1175"/>
      <c r="T2" s="1175"/>
      <c r="U2" s="1175"/>
      <c r="V2" s="1175"/>
      <c r="W2" s="1175"/>
      <c r="X2" s="17"/>
      <c r="Y2" s="17"/>
      <c r="AZ2" s="870"/>
      <c r="BA2" s="870"/>
      <c r="BB2" s="870"/>
      <c r="BC2" s="870"/>
      <c r="BD2" s="870"/>
      <c r="BE2" s="870"/>
      <c r="BF2" s="870"/>
      <c r="BG2" s="870"/>
      <c r="BH2" s="870"/>
      <c r="BI2" s="870"/>
      <c r="BJ2" s="870"/>
      <c r="BK2" s="870"/>
    </row>
    <row r="3" spans="1:87" ht="18" x14ac:dyDescent="0.25">
      <c r="A3" s="3"/>
      <c r="B3" s="1013" t="s">
        <v>6068</v>
      </c>
      <c r="C3" s="872"/>
      <c r="D3" s="872"/>
      <c r="E3" s="872"/>
      <c r="F3" s="872"/>
      <c r="G3" s="872"/>
      <c r="H3" s="872"/>
      <c r="I3" s="872"/>
      <c r="J3" s="872"/>
      <c r="K3" s="872"/>
      <c r="L3" s="872"/>
      <c r="M3" s="872"/>
      <c r="N3" s="872"/>
      <c r="O3" s="872"/>
      <c r="P3" s="872"/>
      <c r="Q3" s="872"/>
      <c r="R3" s="872"/>
      <c r="S3" s="872"/>
      <c r="T3" s="872"/>
      <c r="U3" s="5562" t="str">
        <f>ver</f>
        <v>TA2_e-CO_2025_Ver 1.1</v>
      </c>
      <c r="V3" s="5563"/>
      <c r="W3" s="5564"/>
      <c r="X3" s="3"/>
      <c r="Y3" s="3"/>
      <c r="AM3" s="28">
        <f>IF(AN3="Y",1,0)</f>
      </c>
      <c r="AN3" s="28" t="str">
        <f>'p2'!G22</f>
      </c>
      <c r="AZ3" s="870"/>
      <c r="BA3" s="870"/>
      <c r="BB3" s="870"/>
      <c r="BC3" s="870"/>
      <c r="BD3" s="870"/>
      <c r="BE3" s="870"/>
      <c r="BF3" s="870"/>
      <c r="BG3" s="870"/>
      <c r="BH3" s="870"/>
      <c r="BI3" s="870"/>
      <c r="BJ3" s="870"/>
      <c r="BK3" s="870"/>
    </row>
    <row r="4" spans="1:87" ht="5.25" customHeight="1" x14ac:dyDescent="0.2">
      <c r="A4" s="17"/>
      <c r="B4" s="17"/>
      <c r="C4" s="17"/>
      <c r="D4" s="17"/>
      <c r="E4" s="17"/>
      <c r="F4" s="17"/>
      <c r="G4" s="17"/>
      <c r="H4" s="17"/>
      <c r="I4" s="17"/>
      <c r="J4" s="17"/>
      <c r="K4" s="17"/>
      <c r="L4" s="17"/>
      <c r="M4" s="17"/>
      <c r="N4" s="17"/>
      <c r="O4" s="17"/>
      <c r="P4" s="17"/>
      <c r="Q4" s="17"/>
      <c r="R4" s="17"/>
      <c r="S4" s="17"/>
      <c r="T4" s="17"/>
      <c r="U4" s="17"/>
      <c r="V4" s="17"/>
      <c r="W4" s="17"/>
      <c r="X4" s="17"/>
      <c r="Y4" s="17"/>
    </row>
    <row r="5" spans="1:87" ht="17.25" customHeight="1" x14ac:dyDescent="0.2">
      <c r="A5" s="17"/>
      <c r="B5" s="884" t="s">
        <v>526</v>
      </c>
      <c r="C5" s="128"/>
      <c r="D5" s="128"/>
      <c r="E5" s="128"/>
      <c r="F5" s="128"/>
      <c r="G5" s="128"/>
      <c r="H5" s="128"/>
      <c r="I5" s="128"/>
      <c r="J5" s="128"/>
      <c r="K5" s="128"/>
      <c r="L5" s="128"/>
      <c r="M5" s="128"/>
      <c r="N5" s="128"/>
      <c r="O5" s="128"/>
      <c r="P5" s="128"/>
      <c r="Q5" s="128"/>
      <c r="R5" s="128"/>
      <c r="S5" s="128"/>
      <c r="T5" s="128"/>
      <c r="U5" s="174"/>
      <c r="V5" s="885" t="str">
        <f>IF(AA5=1,BB5,"")</f>
        <v/>
      </c>
      <c r="W5" s="885"/>
      <c r="X5" s="885"/>
      <c r="Y5" s="885"/>
      <c r="Z5" s="28">
        <f>IF(V5="",0,1)</f>
      </c>
      <c r="AA5" s="28">
        <f>IF(Index!E150&lt;&gt;1,1,0)</f>
      </c>
      <c r="BB5" s="28" t="s">
        <v>3949</v>
      </c>
    </row>
    <row r="6" spans="1:87" ht="5.25" customHeight="1" x14ac:dyDescent="0.2">
      <c r="A6" s="17"/>
      <c r="B6" s="3"/>
      <c r="C6" s="3"/>
      <c r="D6" s="3"/>
      <c r="E6" s="3"/>
      <c r="F6" s="3"/>
      <c r="G6" s="3"/>
      <c r="H6" s="3"/>
      <c r="I6" s="3"/>
      <c r="J6" s="3"/>
      <c r="K6" s="3"/>
      <c r="L6" s="3"/>
      <c r="M6" s="3"/>
      <c r="N6" s="3"/>
      <c r="O6" s="3"/>
      <c r="P6" s="3"/>
      <c r="Q6" s="3"/>
      <c r="R6" s="3"/>
      <c r="S6" s="3"/>
      <c r="T6" s="3"/>
      <c r="U6" s="3"/>
      <c r="V6" s="3"/>
      <c r="W6" s="3"/>
      <c r="X6" s="3"/>
      <c r="Y6" s="3"/>
    </row>
    <row r="7" spans="1:87" ht="33.75" customHeight="1" x14ac:dyDescent="0.2">
      <c r="A7" s="17"/>
      <c r="B7" s="1016" t="s">
        <v>5086</v>
      </c>
      <c r="C7" s="128"/>
      <c r="D7" s="128"/>
      <c r="E7" s="128"/>
      <c r="F7" s="128"/>
      <c r="G7" s="128"/>
      <c r="H7" s="128"/>
      <c r="I7" s="128"/>
      <c r="J7" s="128"/>
      <c r="K7" s="128"/>
      <c r="L7" s="128"/>
      <c r="M7" s="174"/>
      <c r="N7" s="5624" t="s">
        <v>6069</v>
      </c>
      <c r="O7" s="5624"/>
      <c r="P7" s="5624" t="s">
        <v>6070</v>
      </c>
      <c r="Q7" s="5624"/>
      <c r="R7" s="5624" t="s">
        <v>6071</v>
      </c>
      <c r="S7" s="5624"/>
      <c r="T7" s="5624" t="s">
        <v>2106</v>
      </c>
      <c r="U7" s="5624"/>
      <c r="V7" s="3"/>
      <c r="W7" s="3"/>
      <c r="X7" s="3"/>
      <c r="Y7" s="3"/>
    </row>
    <row r="8" spans="1:87" ht="3" customHeight="1" x14ac:dyDescent="0.2">
      <c r="A8" s="17"/>
      <c r="B8" s="3"/>
      <c r="C8" s="3"/>
      <c r="D8" s="3"/>
      <c r="E8" s="3"/>
      <c r="F8" s="3"/>
      <c r="G8" s="3"/>
      <c r="H8" s="3"/>
      <c r="I8" s="3"/>
      <c r="J8" s="3"/>
      <c r="K8" s="3"/>
      <c r="L8" s="3"/>
      <c r="M8" s="3"/>
      <c r="N8" s="3"/>
      <c r="O8" s="3"/>
      <c r="P8" s="3"/>
      <c r="Q8" s="3"/>
      <c r="R8" s="3"/>
      <c r="S8" s="3"/>
      <c r="T8" s="3"/>
      <c r="U8" s="3"/>
      <c r="V8" s="3"/>
      <c r="W8" s="3"/>
      <c r="X8" s="3"/>
      <c r="Y8" s="3"/>
    </row>
    <row r="9" spans="1:87" ht="15" customHeight="1" x14ac:dyDescent="0.2">
      <c r="A9" s="17"/>
      <c r="B9" s="1290" t="s">
        <v>6870</v>
      </c>
      <c r="C9" s="1017"/>
      <c r="D9" s="1017"/>
      <c r="E9" s="1017"/>
      <c r="F9" s="1017"/>
      <c r="G9" s="1017"/>
      <c r="H9" s="1017"/>
      <c r="I9" s="1017"/>
      <c r="J9" s="1017"/>
      <c r="K9" s="1017"/>
      <c r="L9" s="1017"/>
      <c r="M9" s="1446" t="s">
        <v>6131</v>
      </c>
      <c r="N9" s="1018" t="str">
        <f>$CA9&amp;$CB$9</f>
      </c>
      <c r="O9" s="1019">
        <f>TRA61_FTA!AC51-O26-O27</f>
      </c>
      <c r="P9" s="20"/>
      <c r="Q9" s="20"/>
      <c r="R9" s="20"/>
      <c r="S9" s="631"/>
      <c r="T9" s="20"/>
      <c r="U9" s="631"/>
      <c r="V9" s="3"/>
      <c r="W9" s="3"/>
      <c r="X9" s="3"/>
      <c r="Y9" s="3"/>
      <c r="CA9" s="28">
        <v>91</v>
      </c>
      <c r="CB9" s="28" t="s">
        <v>3694</v>
      </c>
      <c r="CC9" s="28" t="s">
        <v>1081</v>
      </c>
      <c r="CD9" s="28" t="s">
        <v>5589</v>
      </c>
      <c r="CE9" s="28" t="s">
        <v>4022</v>
      </c>
      <c r="CF9" s="28" t="s">
        <v>4023</v>
      </c>
      <c r="CG9" s="28" t="s">
        <v>4024</v>
      </c>
      <c r="CH9" s="28" t="s">
        <v>3950</v>
      </c>
      <c r="CI9" s="28" t="s">
        <v>3951</v>
      </c>
    </row>
    <row r="10" spans="1:87" ht="15" customHeight="1" x14ac:dyDescent="0.2">
      <c r="A10" s="17"/>
      <c r="B10" s="1290" t="s">
        <v>4603</v>
      </c>
      <c r="C10" s="1017"/>
      <c r="D10" s="1017"/>
      <c r="E10" s="1017"/>
      <c r="F10" s="1017"/>
      <c r="G10" s="1017"/>
      <c r="H10" s="1017"/>
      <c r="I10" s="1017"/>
      <c r="J10" s="1017"/>
      <c r="K10" s="1017"/>
      <c r="L10" s="1017"/>
      <c r="M10" s="1446" t="s">
        <v>970</v>
      </c>
      <c r="N10" s="631"/>
      <c r="O10" s="20"/>
      <c r="P10" s="1018" t="str">
        <f>$CA10&amp;$CB$9</f>
      </c>
      <c r="Q10" s="630">
        <f>'p5'!$D$11</f>
      </c>
      <c r="R10" s="1018" t="str">
        <f>$CA10&amp;$CC$9</f>
      </c>
      <c r="S10" s="630">
        <f>'p5'!F11</f>
      </c>
      <c r="T10" s="1018" t="str">
        <f>$CA10&amp;$CD$9</f>
      </c>
      <c r="U10" s="630">
        <f>'p5'!H11</f>
      </c>
      <c r="V10" s="3"/>
      <c r="W10" s="3"/>
      <c r="X10" s="3"/>
      <c r="Y10" s="3"/>
      <c r="CA10" s="28">
        <v>92</v>
      </c>
    </row>
    <row r="11" spans="1:87" ht="12.75" customHeight="1" x14ac:dyDescent="0.2">
      <c r="A11" s="17"/>
      <c r="B11" s="2285" t="s">
        <v>6871</v>
      </c>
      <c r="C11" s="631"/>
      <c r="D11" s="631"/>
      <c r="E11" s="631"/>
      <c r="F11" s="631"/>
      <c r="G11" s="631"/>
      <c r="H11" s="631"/>
      <c r="I11" s="631"/>
      <c r="J11" s="631"/>
      <c r="K11" s="631"/>
      <c r="L11" s="631"/>
      <c r="M11" s="1022"/>
      <c r="N11" s="631"/>
      <c r="O11" s="631"/>
      <c r="P11" s="631"/>
      <c r="Q11" s="631"/>
      <c r="R11" s="631"/>
      <c r="S11" s="631"/>
      <c r="T11" s="631"/>
      <c r="U11" s="631"/>
      <c r="V11" s="3"/>
      <c r="W11" s="3"/>
      <c r="X11" s="3"/>
      <c r="Y11" s="3"/>
    </row>
    <row r="12" spans="1:87" ht="12.75" customHeight="1" x14ac:dyDescent="0.2">
      <c r="A12" s="17"/>
      <c r="B12" s="1290" t="s">
        <v>7338</v>
      </c>
      <c r="C12" s="1017"/>
      <c r="D12" s="1017"/>
      <c r="E12" s="1017"/>
      <c r="F12" s="1017"/>
      <c r="G12" s="1017"/>
      <c r="H12" s="1017"/>
      <c r="I12" s="1017"/>
      <c r="J12" s="1017"/>
      <c r="K12" s="1017"/>
      <c r="L12" s="1017"/>
      <c r="M12" s="1291"/>
      <c r="N12" s="631"/>
      <c r="O12" s="631"/>
      <c r="P12" s="1018" t="s">
        <v>7392</v>
      </c>
      <c r="Q12" s="630">
        <f>'p5'!$D$16-'p5'!D19</f>
      </c>
      <c r="R12" s="1018" t="s">
        <v>7393</v>
      </c>
      <c r="S12" s="630">
        <f>'p5'!F16-'p5'!F19</f>
      </c>
      <c r="T12" s="1018" t="s">
        <v>7394</v>
      </c>
      <c r="U12" s="630">
        <f>'p5'!H16</f>
      </c>
      <c r="V12" s="3"/>
      <c r="W12" s="2483" t="str">
        <f>IF(Q12&lt;0,"Cannot be negative! Check Page5!",IF(S12&lt;0,"Cannot be negative! Check Page5!",""))</f>
        <v/>
      </c>
      <c r="X12" s="3"/>
      <c r="Y12" s="3"/>
      <c r="AA12" s="28">
        <f>IF(W12="",0,1)</f>
      </c>
      <c r="AY12" s="28" t="s">
        <v>5806</v>
      </c>
      <c r="BB12" s="28" t="s">
        <v>363</v>
      </c>
      <c r="CA12" s="28">
        <v>93</v>
      </c>
    </row>
    <row r="13" spans="1:87" ht="15" customHeight="1" x14ac:dyDescent="0.2">
      <c r="A13" s="20"/>
      <c r="B13" s="1290" t="s">
        <v>6872</v>
      </c>
      <c r="C13" s="1017"/>
      <c r="D13" s="1017"/>
      <c r="E13" s="1017"/>
      <c r="F13" s="1017"/>
      <c r="G13" s="1017"/>
      <c r="H13" s="1017"/>
      <c r="I13" s="1017"/>
      <c r="J13" s="1017"/>
      <c r="K13" s="1017"/>
      <c r="L13" s="1017"/>
      <c r="M13" s="1291"/>
      <c r="N13" s="631"/>
      <c r="O13" s="20"/>
      <c r="P13" s="1018" t="s">
        <v>7395</v>
      </c>
      <c r="Q13" s="630">
        <f>Q10-Q12</f>
      </c>
      <c r="R13" s="1018" t="s">
        <v>7396</v>
      </c>
      <c r="S13" s="630">
        <f>S10-S12</f>
      </c>
      <c r="T13" s="1018" t="s">
        <v>7397</v>
      </c>
      <c r="U13" s="630">
        <f>U10-U12</f>
      </c>
      <c r="V13" s="3"/>
      <c r="W13" s="3"/>
      <c r="X13" s="3"/>
      <c r="Y13" s="3"/>
      <c r="AY13" s="32">
        <f>AZ13+BA13</f>
      </c>
      <c r="AZ13" s="32">
        <f>IF(TRA23_24!F39=AY12,TRA23_24!F38,0)</f>
      </c>
      <c r="BA13" s="32">
        <f>IF(TRA23_24!E24=AY12,TRA23_24!E23,0)</f>
      </c>
      <c r="BB13" s="32">
        <f>BC13+BD13</f>
      </c>
      <c r="BC13" s="32">
        <f>IF(TRA23_24!F39='p6'!BB12,TRA23_24!F38,0)</f>
      </c>
      <c r="BD13" s="32">
        <f>IF(TRA23_24!E24='p6'!BB12,TRA23_24!E23,0)</f>
      </c>
      <c r="BF13" s="28" t="str">
        <f>TRA23_24!H40</f>
      </c>
      <c r="CA13" s="28">
        <f>CA12+1</f>
      </c>
    </row>
    <row r="14" spans="1:87" ht="12.75" customHeight="1" x14ac:dyDescent="0.2">
      <c r="A14" s="17"/>
      <c r="B14" s="2285" t="s">
        <v>6871</v>
      </c>
      <c r="C14" s="631"/>
      <c r="D14" s="631"/>
      <c r="E14" s="631"/>
      <c r="F14" s="631"/>
      <c r="G14" s="631"/>
      <c r="H14" s="631"/>
      <c r="I14" s="631"/>
      <c r="J14" s="631"/>
      <c r="K14" s="631"/>
      <c r="L14" s="631"/>
      <c r="M14" s="631"/>
      <c r="N14" s="631"/>
      <c r="O14" s="20"/>
      <c r="P14" s="631"/>
      <c r="Q14" s="631"/>
      <c r="R14" s="631"/>
      <c r="S14" s="631"/>
      <c r="T14" s="233"/>
      <c r="U14" s="631"/>
      <c r="V14" s="3"/>
      <c r="W14" s="3"/>
      <c r="X14" s="3"/>
      <c r="Y14" s="3"/>
      <c r="CA14" s="28">
        <f>CA13+1</f>
      </c>
    </row>
    <row r="15" spans="1:87" x14ac:dyDescent="0.2">
      <c r="A15" s="17"/>
      <c r="B15" s="2034" t="s">
        <v>7399</v>
      </c>
      <c r="C15" s="1017"/>
      <c r="D15" s="1017"/>
      <c r="E15" s="1017"/>
      <c r="F15" s="1017"/>
      <c r="G15" s="1017"/>
      <c r="H15" s="1017"/>
      <c r="I15" s="1017"/>
      <c r="J15" s="1017"/>
      <c r="K15" s="1017"/>
      <c r="L15" s="2035"/>
      <c r="M15" s="1446" t="s">
        <v>7386</v>
      </c>
      <c r="N15" s="631"/>
      <c r="O15" s="631"/>
      <c r="P15" s="1018" t="s">
        <v>7398</v>
      </c>
      <c r="Q15" s="630">
        <f>'TRA89'!BA68</f>
      </c>
      <c r="R15" s="20"/>
      <c r="S15" s="20"/>
      <c r="T15" s="20"/>
      <c r="U15" s="20"/>
      <c r="V15" s="3"/>
      <c r="W15" s="3"/>
      <c r="X15" s="3"/>
      <c r="Y15" s="3"/>
      <c r="AD15" s="32">
        <f>AD16-Q17</f>
      </c>
    </row>
    <row r="16" spans="1:87" x14ac:dyDescent="0.2">
      <c r="A16" s="17"/>
      <c r="B16" s="2034" t="s">
        <v>8099</v>
      </c>
      <c r="C16" s="2477"/>
      <c r="D16" s="2477"/>
      <c r="E16" s="2477"/>
      <c r="F16" s="2477"/>
      <c r="G16" s="2477"/>
      <c r="H16" s="2477"/>
      <c r="I16" s="2477"/>
      <c r="J16" s="2477"/>
      <c r="K16" s="2477"/>
      <c r="L16" s="2478"/>
      <c r="M16" s="1446" t="s">
        <v>951</v>
      </c>
      <c r="N16" s="20"/>
      <c r="O16" s="20"/>
      <c r="P16" s="1018" t="s">
        <v>8097</v>
      </c>
      <c r="Q16" s="630">
        <f>'TRA35'!AA23+'TRA35'!AA41</f>
      </c>
      <c r="R16" s="1018" t="s">
        <v>8098</v>
      </c>
      <c r="S16" s="630">
        <f>'TRA35'!AB23+'TRA35'!AB41</f>
      </c>
      <c r="T16" s="2997" t="str">
        <f>IF(S16&gt;S13," Cannot exceed value in field 94b (above)!","")</f>
        <v/>
      </c>
      <c r="U16" s="20"/>
      <c r="V16" s="3"/>
      <c r="W16" s="3"/>
      <c r="X16" s="3"/>
      <c r="Y16" s="3"/>
      <c r="Z16" s="28">
        <f>IF(T16="",0,1)</f>
      </c>
      <c r="AD16" s="32">
        <f>Q17+S17+U17</f>
      </c>
      <c r="CA16" s="28">
        <v>96</v>
      </c>
    </row>
    <row r="17" spans="1:158" x14ac:dyDescent="0.2">
      <c r="A17" s="17"/>
      <c r="B17" s="133" t="s">
        <v>2266</v>
      </c>
      <c r="C17" s="1062"/>
      <c r="D17" s="1062"/>
      <c r="E17" s="1062"/>
      <c r="F17" s="1062"/>
      <c r="G17" s="1062"/>
      <c r="H17" s="1062"/>
      <c r="I17" s="1062"/>
      <c r="J17" s="1062"/>
      <c r="K17" s="1062"/>
      <c r="L17" s="1062"/>
      <c r="M17" s="1292"/>
      <c r="N17" s="631"/>
      <c r="O17" s="20"/>
      <c r="P17" s="1018" t="str">
        <f>$CA17&amp;$CB$9</f>
      </c>
      <c r="Q17" s="1019">
        <f>Q13-(Q15+Q16)</f>
      </c>
      <c r="R17" s="1018" t="str">
        <f>$CA17&amp;$CC$9</f>
      </c>
      <c r="S17" s="1019">
        <f>IF(S16&gt;S13,0,S13-S16)</f>
      </c>
      <c r="T17" s="1018" t="str">
        <f>$CA17&amp;$CD$9</f>
      </c>
      <c r="U17" s="1019">
        <f>U13</f>
      </c>
      <c r="V17" s="3"/>
      <c r="W17" s="3"/>
      <c r="X17" s="3"/>
      <c r="Y17" s="3"/>
      <c r="AC17" s="32">
        <f>SUM(U17,S17,Q17,Q18)</f>
      </c>
      <c r="AD17" s="32">
        <f>Q19-Q17</f>
      </c>
      <c r="AE17" s="32">
        <f>S17</f>
      </c>
      <c r="AF17" s="32">
        <f>U17</f>
      </c>
      <c r="AG17" s="32">
        <f>AD17-AE17</f>
      </c>
      <c r="CA17" s="28">
        <f>CA16+1</f>
      </c>
    </row>
    <row r="18" spans="1:158" x14ac:dyDescent="0.2">
      <c r="A18" s="3"/>
      <c r="B18" s="1290" t="s">
        <v>5979</v>
      </c>
      <c r="C18" s="1450"/>
      <c r="D18" s="1450"/>
      <c r="E18" s="1450"/>
      <c r="F18" s="1450"/>
      <c r="G18" s="1450"/>
      <c r="H18" s="1450"/>
      <c r="I18" s="1450"/>
      <c r="J18" s="1450"/>
      <c r="K18" s="1450"/>
      <c r="L18" s="1450"/>
      <c r="M18" s="1446" t="s">
        <v>6131</v>
      </c>
      <c r="N18" s="1018" t="s">
        <v>1707</v>
      </c>
      <c r="O18" s="1101">
        <f>TRA61_FTA!G35+TRA61_FTA!G36</f>
      </c>
      <c r="P18" s="1018" t="s">
        <v>1708</v>
      </c>
      <c r="Q18" s="280"/>
      <c r="R18" s="1018" t="s">
        <v>1709</v>
      </c>
      <c r="S18" s="280"/>
      <c r="T18" s="3"/>
      <c r="U18" s="3"/>
      <c r="V18" s="222" t="str">
        <f>IF(O18+Q18+S18=0,"",IF(AND(O18&lt;0,COUNT(Q18,S18)&lt;&gt;2),reo,IF(O18+Q18+S18&lt;&gt;0,"Check values!","")))</f>
        <v/>
      </c>
      <c r="W18" s="3"/>
      <c r="X18" s="3"/>
      <c r="Y18" s="3"/>
      <c r="Z18" s="1023">
        <f>IF(V18="",0,1)</f>
      </c>
      <c r="CA18" s="28">
        <v>98</v>
      </c>
      <c r="FA18" s="28">
        <f>O9*-1</f>
      </c>
      <c r="FB18" s="28">
        <f>'p2'!O25</f>
      </c>
    </row>
    <row r="19" spans="1:158" x14ac:dyDescent="0.2">
      <c r="A19" s="3"/>
      <c r="B19" s="1290" t="s">
        <v>1485</v>
      </c>
      <c r="C19" s="523"/>
      <c r="D19" s="523"/>
      <c r="E19" s="523"/>
      <c r="F19" s="523"/>
      <c r="G19" s="523"/>
      <c r="H19" s="523"/>
      <c r="I19" s="523"/>
      <c r="J19" s="523"/>
      <c r="K19" s="523"/>
      <c r="L19" s="523"/>
      <c r="M19" s="1174"/>
      <c r="N19" s="3"/>
      <c r="O19" s="3"/>
      <c r="P19" s="1018" t="str">
        <f>$CA19&amp;$CB$9</f>
      </c>
      <c r="Q19" s="497"/>
      <c r="R19" s="1018" t="str">
        <f>$CA19&amp;$CC$9</f>
      </c>
      <c r="S19" s="878"/>
      <c r="T19" s="1018" t="str">
        <f>$CA19&amp;$CD$9</f>
      </c>
      <c r="U19" s="878"/>
      <c r="V19" s="222" t="str">
        <f>IF(AC19=0,"",IF(AND(AC19&gt;0,AC19&lt;2),"At least two accounts must be indicated!",IF(AC17&lt;&gt;AC20,"Check values!","")))</f>
        <v/>
      </c>
      <c r="W19" s="3"/>
      <c r="X19" s="3"/>
      <c r="Y19" s="3"/>
      <c r="Z19" s="1023">
        <f>IF(V19="",0,1)</f>
      </c>
      <c r="AC19" s="28">
        <f>COUNT(Q19,S19,U19)</f>
      </c>
      <c r="AD19" s="30">
        <f>IF(Q19=0,0,IF(Q19=Q17,0,IF(Q19-Q17&gt;S17,S17*-1,IF(Q19-Q17&lt;S17,(Q19-Q17)*-1))))</f>
      </c>
      <c r="AE19" s="30">
        <f>IF(Q19=0,0,IF(Q19=Q17,0,IF(AG17&gt;AF17,AF17*-1,IF(AG17&lt;AF17,AG17*-1))))</f>
      </c>
      <c r="CA19" s="28">
        <v>98</v>
      </c>
    </row>
    <row r="20" spans="1:158" x14ac:dyDescent="0.2">
      <c r="A20" s="3"/>
      <c r="B20" s="1290" t="s">
        <v>1486</v>
      </c>
      <c r="C20" s="523"/>
      <c r="D20" s="523"/>
      <c r="E20" s="523"/>
      <c r="F20" s="523"/>
      <c r="G20" s="523"/>
      <c r="H20" s="523"/>
      <c r="I20" s="523"/>
      <c r="J20" s="523"/>
      <c r="K20" s="523"/>
      <c r="L20" s="523"/>
      <c r="M20" s="1174"/>
      <c r="N20" s="3"/>
      <c r="O20" s="3"/>
      <c r="P20" s="1018" t="str">
        <f>$CA20&amp;$CB$9</f>
      </c>
      <c r="Q20" s="1019">
        <f>Q17+Q18+Q19</f>
      </c>
      <c r="R20" s="1018" t="str">
        <f>$CA20&amp;$CC$9</f>
      </c>
      <c r="S20" s="1019">
        <f>S17+S18+S19</f>
      </c>
      <c r="T20" s="1018" t="str">
        <f>$CA20&amp;$CD$9</f>
      </c>
      <c r="U20" s="1019">
        <f>U17+U19</f>
      </c>
      <c r="V20" s="3"/>
      <c r="W20" s="3"/>
      <c r="X20" s="3"/>
      <c r="Y20" s="3"/>
      <c r="Z20" s="1023"/>
      <c r="AC20" s="32">
        <f>SUM(Q20,S20,U20)</f>
      </c>
      <c r="BA20" s="32">
        <f>Q22</f>
      </c>
      <c r="CA20" s="28">
        <v>99</v>
      </c>
      <c r="DA20" s="28" t="e">
        <f>#REF!</f>
      </c>
      <c r="DB20" s="28" t="e">
        <f>#REF!</f>
      </c>
      <c r="DC20" s="28" t="s">
        <v>4113</v>
      </c>
    </row>
    <row r="21" spans="1:158" ht="3.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BA21" s="32">
        <f>Q23</f>
      </c>
      <c r="BB21" s="32">
        <f>DU21</f>
      </c>
      <c r="BC21" s="32">
        <f>DW21</f>
      </c>
      <c r="CA21" s="28">
        <v>100</v>
      </c>
      <c r="DU21" s="32">
        <f>S20</f>
      </c>
      <c r="DW21" s="32">
        <f>U20</f>
      </c>
    </row>
    <row r="22" spans="1:158" x14ac:dyDescent="0.2">
      <c r="A22" s="65"/>
      <c r="B22" s="1290" t="s">
        <v>6327</v>
      </c>
      <c r="C22" s="1017"/>
      <c r="D22" s="1017"/>
      <c r="E22" s="1017"/>
      <c r="F22" s="1017"/>
      <c r="G22" s="1017"/>
      <c r="H22" s="1017"/>
      <c r="I22" s="1017"/>
      <c r="J22" s="1017"/>
      <c r="K22" s="1017"/>
      <c r="L22" s="1017"/>
      <c r="M22" s="1291"/>
      <c r="N22" s="1020"/>
      <c r="O22" s="1436"/>
      <c r="P22" s="1018" t="str">
        <f>$CA21&amp;$CB$9</f>
      </c>
      <c r="Q22" s="630">
        <f>TRA62A_IPA!D72</f>
      </c>
      <c r="R22" s="1437" t="str">
        <f>IF(Q22&gt;Q24," Check TRA 62A!","")</f>
        <v/>
      </c>
      <c r="S22" s="631"/>
      <c r="T22" s="233"/>
      <c r="U22" s="631"/>
      <c r="V22" s="3"/>
      <c r="W22" s="3"/>
      <c r="X22" s="3"/>
      <c r="Y22" s="3"/>
      <c r="BA22" s="32">
        <f>BA20-BA21</f>
      </c>
      <c r="BB22" s="28">
        <f>IF(BB21&lt;BA22,BB21*-1,BA22*-1)</f>
      </c>
      <c r="BC22" s="28">
        <f>IF(BC21&lt;BA22+BB22,BC21*-1,(BA22+BB22)*-1)</f>
      </c>
      <c r="CA22" s="28">
        <v>101</v>
      </c>
      <c r="DC22" s="28" t="s">
        <v>4114</v>
      </c>
    </row>
    <row r="23" spans="1:158" ht="3.75" customHeight="1" x14ac:dyDescent="0.2">
      <c r="A23" s="17"/>
      <c r="B23" s="631"/>
      <c r="C23" s="631"/>
      <c r="D23" s="631"/>
      <c r="E23" s="631"/>
      <c r="F23" s="631"/>
      <c r="G23" s="631"/>
      <c r="H23" s="631"/>
      <c r="I23" s="631"/>
      <c r="J23" s="631"/>
      <c r="K23" s="631"/>
      <c r="L23" s="631"/>
      <c r="M23" s="631"/>
      <c r="N23" s="631"/>
      <c r="O23" s="631"/>
      <c r="P23" s="233"/>
      <c r="Q23" s="233"/>
      <c r="R23" s="233"/>
      <c r="S23" s="631"/>
      <c r="T23" s="233"/>
      <c r="U23" s="631"/>
      <c r="V23" s="3"/>
      <c r="W23" s="3"/>
      <c r="X23" s="3"/>
      <c r="Y23" s="3"/>
      <c r="CA23" s="28">
        <v>101</v>
      </c>
    </row>
    <row r="24" spans="1:158" x14ac:dyDescent="0.2">
      <c r="A24" s="17"/>
      <c r="B24" s="1290" t="s">
        <v>120</v>
      </c>
      <c r="C24" s="1017"/>
      <c r="D24" s="1017"/>
      <c r="E24" s="1017"/>
      <c r="F24" s="1017"/>
      <c r="G24" s="1017"/>
      <c r="H24" s="1017"/>
      <c r="I24" s="1017"/>
      <c r="J24" s="1017"/>
      <c r="K24" s="1017"/>
      <c r="L24" s="1017"/>
      <c r="M24" s="1291"/>
      <c r="N24" s="1020"/>
      <c r="O24" s="117"/>
      <c r="P24" s="1018" t="str">
        <f>$CA23&amp;$CB$9</f>
      </c>
      <c r="Q24" s="630">
        <f>(S24+U24)*-1</f>
      </c>
      <c r="R24" s="1018" t="str">
        <f>$CA23&amp;$CC$9</f>
      </c>
      <c r="S24" s="285">
        <f>BB22</f>
      </c>
      <c r="T24" s="1018" t="str">
        <f>$CA23&amp;$CD$9</f>
      </c>
      <c r="U24" s="285">
        <f>BC22</f>
      </c>
      <c r="V24" s="3"/>
      <c r="W24" s="3"/>
      <c r="X24" s="3"/>
      <c r="Y24" s="3"/>
      <c r="CA24" s="28">
        <v>102</v>
      </c>
    </row>
    <row r="25" spans="1:158" x14ac:dyDescent="0.2">
      <c r="A25" s="17"/>
      <c r="B25" s="1290" t="s">
        <v>3308</v>
      </c>
      <c r="C25" s="1017"/>
      <c r="D25" s="1017"/>
      <c r="E25" s="1017"/>
      <c r="F25" s="1017"/>
      <c r="G25" s="1017"/>
      <c r="H25" s="1017"/>
      <c r="I25" s="1017"/>
      <c r="J25" s="1017"/>
      <c r="K25" s="1017"/>
      <c r="L25" s="1017"/>
      <c r="M25" s="1446" t="str">
        <f>BF13</f>
      </c>
      <c r="N25" s="1020"/>
      <c r="O25" s="117"/>
      <c r="P25" s="1018" t="s">
        <v>4156</v>
      </c>
      <c r="Q25" s="285">
        <f>AY13*-1</f>
      </c>
      <c r="R25" s="1018" t="s">
        <v>4157</v>
      </c>
      <c r="S25" s="285">
        <f>BB13*-1</f>
      </c>
      <c r="T25" s="3"/>
      <c r="U25" s="3"/>
      <c r="V25" s="3"/>
      <c r="W25" s="3"/>
      <c r="X25" s="3"/>
      <c r="Y25" s="3"/>
    </row>
    <row r="26" spans="1:158" x14ac:dyDescent="0.2">
      <c r="A26" s="17"/>
      <c r="B26" s="1290" t="s">
        <v>8336</v>
      </c>
      <c r="C26" s="2743"/>
      <c r="D26" s="2743"/>
      <c r="E26" s="2743"/>
      <c r="F26" s="2743"/>
      <c r="G26" s="2743"/>
      <c r="H26" s="2743"/>
      <c r="I26" s="2743"/>
      <c r="J26" s="2743"/>
      <c r="K26" s="2743"/>
      <c r="L26" s="2743"/>
      <c r="M26" s="1446" t="s">
        <v>7996</v>
      </c>
      <c r="N26" s="1018" t="s">
        <v>8337</v>
      </c>
      <c r="O26" s="1441">
        <f>(S26+U26)*-1</f>
      </c>
      <c r="P26" s="1437"/>
      <c r="Q26" s="2221"/>
      <c r="R26" s="1018" t="s">
        <v>8338</v>
      </c>
      <c r="S26" s="285">
        <f>IF(AJ26*-1&gt;S24+S20+S25,(S24+S20+S25)*-1,AJ26)</f>
      </c>
      <c r="T26" s="1018" t="s">
        <v>8339</v>
      </c>
      <c r="U26" s="285">
        <f>IF(AK26*-1&gt;U24+U20,(U24+U20)*-1,AK26)</f>
      </c>
      <c r="V26" s="1780"/>
      <c r="W26" s="2483" t="str">
        <f>IF(S26&lt;&gt;AJ26,AL26,IF(U26&lt;&gt;AK26,AL26,""))</f>
        <v/>
      </c>
      <c r="X26" s="1780"/>
      <c r="Y26" s="1780"/>
      <c r="Z26" s="1736"/>
      <c r="AA26" s="28">
        <f>IF(W26="",0,1)</f>
      </c>
      <c r="AJ26" s="2744">
        <f>'TRA100'!J70</f>
      </c>
      <c r="AK26" s="2744">
        <f>'TRA100'!K70</f>
      </c>
      <c r="AL26" s="1736" t="s">
        <v>8340</v>
      </c>
    </row>
    <row r="27" spans="1:158" hidden="1" x14ac:dyDescent="0.2">
      <c r="A27" s="17"/>
      <c r="B27" s="1290" t="s">
        <v>10765</v>
      </c>
      <c r="C27" s="2743"/>
      <c r="D27" s="2743"/>
      <c r="E27" s="2743"/>
      <c r="F27" s="2743"/>
      <c r="G27" s="2743"/>
      <c r="H27" s="2743"/>
      <c r="I27" s="2743"/>
      <c r="J27" s="2743"/>
      <c r="K27" s="2743"/>
      <c r="L27" s="2743"/>
      <c r="M27" s="1291"/>
      <c r="N27" s="1018" t="s">
        <v>10766</v>
      </c>
      <c r="O27" s="1440">
        <f>AC27</f>
      </c>
      <c r="P27" s="1018" t="s">
        <v>10767</v>
      </c>
      <c r="Q27" s="4204">
        <f>AD27</f>
      </c>
      <c r="R27" s="1018" t="s">
        <v>10768</v>
      </c>
      <c r="S27" s="4204">
        <f>AE27</f>
      </c>
      <c r="T27" s="1018" t="s">
        <v>10769</v>
      </c>
      <c r="U27" s="4204">
        <f>AF27</f>
      </c>
      <c r="V27" s="1780"/>
      <c r="W27" s="2483"/>
      <c r="X27" s="1780"/>
      <c r="Y27" s="1780"/>
      <c r="Z27" s="1736"/>
      <c r="AC27" s="84">
        <f>-SUM(AD27:AF27)</f>
      </c>
      <c r="AD27" s="32">
        <f>IF(AND('TRA136'!L4=0,'p2'!G43="y"),-(Q20+Q24+Q25),0)</f>
      </c>
      <c r="AE27" s="32">
        <f>IF(AND('p2'!G43="y",'TRA136'!L4=0),-(S20+S24+S25+S26),0)</f>
      </c>
      <c r="AF27" s="32">
        <f>IF(AND('p2'!G43="y",'TRA136'!L4=0),-(U20+U24+U26),0)</f>
      </c>
      <c r="AJ27" s="2744"/>
      <c r="AK27" s="2744"/>
      <c r="AL27" s="1736"/>
    </row>
    <row r="28" spans="1:158" hidden="1" x14ac:dyDescent="0.2">
      <c r="A28" s="17"/>
      <c r="B28" s="1290"/>
      <c r="C28" s="2743"/>
      <c r="D28" s="2743"/>
      <c r="E28" s="2743"/>
      <c r="F28" s="2743"/>
      <c r="G28" s="2743"/>
      <c r="H28" s="2743"/>
      <c r="I28" s="2743"/>
      <c r="J28" s="2743"/>
      <c r="K28" s="2743"/>
      <c r="L28" s="2743"/>
      <c r="M28" s="1291"/>
      <c r="N28" s="1018"/>
      <c r="O28" s="1440"/>
      <c r="P28" s="1437"/>
      <c r="Q28" s="2221"/>
      <c r="R28" s="1018"/>
      <c r="S28" s="285"/>
      <c r="T28" s="1018"/>
      <c r="U28" s="285"/>
      <c r="V28" s="1780"/>
      <c r="W28" s="2483"/>
      <c r="X28" s="1780"/>
      <c r="Y28" s="1780"/>
      <c r="Z28" s="1736"/>
      <c r="AJ28" s="2744"/>
      <c r="AK28" s="2744"/>
      <c r="AL28" s="1736"/>
    </row>
    <row r="29" spans="1:158" hidden="1" x14ac:dyDescent="0.2">
      <c r="A29" s="17"/>
      <c r="B29" s="1290"/>
      <c r="C29" s="2743"/>
      <c r="D29" s="2743"/>
      <c r="E29" s="2743"/>
      <c r="F29" s="2743"/>
      <c r="G29" s="2743"/>
      <c r="H29" s="2743"/>
      <c r="I29" s="2743"/>
      <c r="J29" s="2743"/>
      <c r="K29" s="2743"/>
      <c r="L29" s="2743"/>
      <c r="M29" s="1291"/>
      <c r="N29" s="1018"/>
      <c r="O29" s="1440"/>
      <c r="P29" s="1437"/>
      <c r="Q29" s="2221"/>
      <c r="R29" s="1018"/>
      <c r="S29" s="285"/>
      <c r="T29" s="1018"/>
      <c r="U29" s="285"/>
      <c r="V29" s="1780"/>
      <c r="W29" s="2483"/>
      <c r="X29" s="1780"/>
      <c r="Y29" s="1780"/>
      <c r="Z29" s="1736"/>
      <c r="AJ29" s="2744"/>
      <c r="AK29" s="2744"/>
      <c r="AL29" s="1736"/>
    </row>
    <row r="30" spans="1:158" hidden="1" x14ac:dyDescent="0.2">
      <c r="A30" s="17"/>
      <c r="B30" s="1290"/>
      <c r="C30" s="2743"/>
      <c r="D30" s="2743"/>
      <c r="E30" s="2743"/>
      <c r="F30" s="2743"/>
      <c r="G30" s="2743"/>
      <c r="H30" s="2743"/>
      <c r="I30" s="2743"/>
      <c r="J30" s="2743"/>
      <c r="K30" s="2743"/>
      <c r="L30" s="2743"/>
      <c r="M30" s="1291"/>
      <c r="N30" s="1018"/>
      <c r="O30" s="1440"/>
      <c r="P30" s="1437"/>
      <c r="Q30" s="2221"/>
      <c r="R30" s="1018"/>
      <c r="S30" s="285"/>
      <c r="T30" s="1018"/>
      <c r="U30" s="285"/>
      <c r="V30" s="1780"/>
      <c r="W30" s="2483"/>
      <c r="X30" s="1780"/>
      <c r="Y30" s="1780"/>
      <c r="Z30" s="1736"/>
      <c r="AJ30" s="2744"/>
      <c r="AK30" s="2744"/>
      <c r="AL30" s="1736"/>
    </row>
    <row r="31" spans="1:158" hidden="1" x14ac:dyDescent="0.2">
      <c r="A31" s="17"/>
      <c r="B31" s="1290"/>
      <c r="C31" s="2743"/>
      <c r="D31" s="2743"/>
      <c r="E31" s="2743"/>
      <c r="F31" s="2743"/>
      <c r="G31" s="2743"/>
      <c r="H31" s="2743"/>
      <c r="I31" s="2743"/>
      <c r="J31" s="2743"/>
      <c r="K31" s="2743"/>
      <c r="L31" s="2743"/>
      <c r="M31" s="1291"/>
      <c r="N31" s="1018"/>
      <c r="O31" s="1440"/>
      <c r="P31" s="1437"/>
      <c r="Q31" s="2221"/>
      <c r="R31" s="1018"/>
      <c r="S31" s="285"/>
      <c r="T31" s="1018"/>
      <c r="U31" s="285"/>
      <c r="V31" s="1780"/>
      <c r="W31" s="2483"/>
      <c r="X31" s="1780"/>
      <c r="Y31" s="1780"/>
      <c r="Z31" s="1736"/>
      <c r="AJ31" s="2744"/>
      <c r="AK31" s="2744"/>
      <c r="AL31" s="1736"/>
    </row>
    <row r="32" spans="1:158" hidden="1" x14ac:dyDescent="0.2">
      <c r="A32" s="17"/>
      <c r="B32" s="1290"/>
      <c r="C32" s="2743"/>
      <c r="D32" s="2743"/>
      <c r="E32" s="2743"/>
      <c r="F32" s="2743"/>
      <c r="G32" s="2743"/>
      <c r="H32" s="2743"/>
      <c r="I32" s="2743"/>
      <c r="J32" s="2743"/>
      <c r="K32" s="2743"/>
      <c r="L32" s="2743"/>
      <c r="M32" s="1291"/>
      <c r="N32" s="1018"/>
      <c r="O32" s="1440"/>
      <c r="P32" s="1437"/>
      <c r="Q32" s="2221"/>
      <c r="R32" s="1018"/>
      <c r="S32" s="285"/>
      <c r="T32" s="1018"/>
      <c r="U32" s="285"/>
      <c r="V32" s="1780"/>
      <c r="W32" s="2483"/>
      <c r="X32" s="1780"/>
      <c r="Y32" s="1780"/>
      <c r="Z32" s="1736"/>
      <c r="AJ32" s="2744"/>
      <c r="AK32" s="2744"/>
      <c r="AL32" s="1736"/>
    </row>
    <row r="33" spans="1:79" x14ac:dyDescent="0.2">
      <c r="A33" s="17"/>
      <c r="B33" s="1353" t="s">
        <v>3307</v>
      </c>
      <c r="C33" s="1438"/>
      <c r="D33" s="1438"/>
      <c r="E33" s="1438"/>
      <c r="F33" s="1438"/>
      <c r="G33" s="1438"/>
      <c r="H33" s="1438"/>
      <c r="I33" s="1438"/>
      <c r="J33" s="1438"/>
      <c r="K33" s="1438"/>
      <c r="L33" s="1438"/>
      <c r="M33" s="1439"/>
      <c r="N33" s="1018" t="str">
        <f>$CA33&amp;$CB$9</f>
      </c>
      <c r="O33" s="1440">
        <f>O9+O18+O26+O27</f>
      </c>
      <c r="P33" s="1018" t="str">
        <f>$CA33&amp;$CC$9</f>
      </c>
      <c r="Q33" s="1441">
        <f>Q24+Q20+Q25+Q27</f>
      </c>
      <c r="R33" s="1018" t="str">
        <f>$CA33&amp;$CD$9</f>
      </c>
      <c r="S33" s="1441">
        <f>S24+S20+S25+S26+S27</f>
      </c>
      <c r="T33" s="1018" t="str">
        <f>$CA33&amp;$CE$9</f>
      </c>
      <c r="U33" s="1441">
        <f>U24+U20+U26+U27</f>
      </c>
      <c r="V33" s="3"/>
      <c r="W33" s="3"/>
      <c r="X33" s="3"/>
      <c r="Y33" s="3"/>
      <c r="AD33" s="32"/>
      <c r="AE33" s="32"/>
      <c r="CA33" s="28">
        <v>102</v>
      </c>
    </row>
    <row r="34" spans="1:79" x14ac:dyDescent="0.2">
      <c r="A34" s="17"/>
      <c r="B34" s="3"/>
      <c r="C34" s="3"/>
      <c r="D34" s="3"/>
      <c r="E34" s="3"/>
      <c r="F34" s="3"/>
      <c r="G34" s="3"/>
      <c r="H34" s="3"/>
      <c r="I34" s="3"/>
      <c r="J34" s="3"/>
      <c r="K34" s="3"/>
      <c r="L34" s="3"/>
      <c r="M34" s="3"/>
      <c r="N34" s="3"/>
      <c r="O34" s="3"/>
      <c r="P34" s="3"/>
      <c r="Q34" s="3"/>
      <c r="R34" s="3"/>
      <c r="S34" s="3"/>
      <c r="T34" s="3"/>
      <c r="U34" s="3"/>
      <c r="V34" s="3"/>
      <c r="W34" s="3"/>
      <c r="X34" s="3"/>
      <c r="Y34" s="3"/>
    </row>
    <row r="35" spans="1:79" ht="12.75" customHeight="1" x14ac:dyDescent="0.2">
      <c r="A35" s="17"/>
      <c r="B35" s="4300" t="s">
        <v>10225</v>
      </c>
      <c r="C35" s="5619"/>
      <c r="D35" s="5619"/>
      <c r="E35" s="5619"/>
      <c r="F35" s="5619"/>
      <c r="G35" s="5619"/>
      <c r="H35" s="5619"/>
      <c r="I35" s="5619"/>
      <c r="J35" s="5619"/>
      <c r="K35" s="5619"/>
      <c r="L35" s="5619"/>
      <c r="M35" s="5620"/>
      <c r="N35" s="5604" t="s">
        <v>6500</v>
      </c>
      <c r="O35" s="5605"/>
      <c r="P35" s="4727" t="s">
        <v>4813</v>
      </c>
      <c r="Q35" s="4728"/>
      <c r="R35" s="4728"/>
      <c r="S35" s="4729"/>
      <c r="T35" s="5604" t="s">
        <v>6501</v>
      </c>
      <c r="U35" s="5605"/>
      <c r="V35" s="3"/>
      <c r="W35" s="3"/>
      <c r="X35" s="3"/>
      <c r="Y35" s="3"/>
    </row>
    <row r="36" spans="1:79" ht="28.5" customHeight="1" x14ac:dyDescent="0.2">
      <c r="A36" s="17"/>
      <c r="B36" s="5621"/>
      <c r="C36" s="5622"/>
      <c r="D36" s="5622"/>
      <c r="E36" s="5622"/>
      <c r="F36" s="5622"/>
      <c r="G36" s="5622"/>
      <c r="H36" s="5622"/>
      <c r="I36" s="5622"/>
      <c r="J36" s="5622"/>
      <c r="K36" s="5622"/>
      <c r="L36" s="5622"/>
      <c r="M36" s="5623"/>
      <c r="N36" s="5606"/>
      <c r="O36" s="5607"/>
      <c r="P36" s="4385" t="s">
        <v>4243</v>
      </c>
      <c r="Q36" s="4385"/>
      <c r="R36" s="4385" t="s">
        <v>226</v>
      </c>
      <c r="S36" s="4385"/>
      <c r="T36" s="5606"/>
      <c r="U36" s="5607"/>
      <c r="V36" s="3"/>
      <c r="W36" s="3"/>
      <c r="X36" s="3"/>
      <c r="Y36" s="3"/>
    </row>
    <row r="37" spans="1:79" x14ac:dyDescent="0.2">
      <c r="A37" s="17"/>
      <c r="B37" s="1442" t="str">
        <f>EUR</f>
        <v/>
      </c>
      <c r="C37" s="814"/>
      <c r="D37" s="814"/>
      <c r="E37" s="814"/>
      <c r="F37" s="814"/>
      <c r="G37" s="814"/>
      <c r="H37" s="814"/>
      <c r="I37" s="814"/>
      <c r="J37" s="814"/>
      <c r="K37" s="814"/>
      <c r="L37" s="814"/>
      <c r="M37" s="814"/>
      <c r="N37" s="1021"/>
      <c r="O37" s="1021"/>
      <c r="P37" s="175"/>
      <c r="Q37" s="175"/>
      <c r="R37" s="175"/>
      <c r="S37" s="175"/>
      <c r="T37" s="1021"/>
      <c r="U37" s="1021"/>
      <c r="V37" s="3"/>
      <c r="W37" s="3"/>
      <c r="X37" s="3"/>
      <c r="Y37" s="3"/>
    </row>
    <row r="38" spans="1:79" ht="15" customHeight="1" x14ac:dyDescent="0.2">
      <c r="A38" s="20"/>
      <c r="B38" s="268" t="s">
        <v>614</v>
      </c>
      <c r="C38" s="264"/>
      <c r="D38" s="264"/>
      <c r="E38" s="264"/>
      <c r="F38" s="264"/>
      <c r="G38" s="264"/>
      <c r="H38" s="264"/>
      <c r="I38" s="264"/>
      <c r="J38" s="264"/>
      <c r="K38" s="264"/>
      <c r="L38" s="230"/>
      <c r="M38" s="1022" t="s">
        <v>1735</v>
      </c>
      <c r="N38" s="1018" t="str">
        <f>$CA38&amp;$CB$9</f>
      </c>
      <c r="O38" s="878"/>
      <c r="P38" s="1018" t="str">
        <f>$CA38&amp;$CC$9</f>
      </c>
      <c r="Q38" s="878"/>
      <c r="R38" s="1018" t="str">
        <f>$CA38&amp;$CD$9</f>
      </c>
      <c r="S38" s="879">
        <v>0</v>
      </c>
      <c r="T38" s="1018" t="str">
        <f>$CA38&amp;$CE$9</f>
      </c>
      <c r="U38" s="880">
        <f>(O38+Q38)+S38</f>
      </c>
      <c r="V38" s="881" t="str">
        <f>IF(BA38&lt;&gt;3,re,IF(AND(S38=0,S48&lt;0),"  Dividends reported in Taxed Accounts!",IF(AND(U38&lt;0,S38&lt;0),AD38,"")))</f>
        <v/>
      </c>
      <c r="W38" s="631"/>
      <c r="X38" s="631"/>
      <c r="Y38" s="631"/>
      <c r="Z38" s="1023">
        <f>IF(V38=re,1,0)</f>
      </c>
      <c r="AA38" s="1023"/>
      <c r="AB38" s="1023"/>
      <c r="AD38" s="28" t="s">
        <v>1710</v>
      </c>
      <c r="AZ38" s="1023"/>
      <c r="BA38" s="1023">
        <f>COUNT(O38,Q38,S38)</f>
      </c>
      <c r="BB38" s="1023">
        <f>IF(O38+Q38&lt;0,0,(O38+Q38)*-1)</f>
      </c>
      <c r="BC38" s="1023"/>
      <c r="BD38" s="1023">
        <f>B_Sheet!E252*-1</f>
      </c>
      <c r="BE38" s="1024">
        <f>(B_Sheet!E255+B_Sheet!E257)*-1</f>
      </c>
      <c r="BF38" s="30">
        <f>BE38+BD38</f>
      </c>
      <c r="BG38" s="1023" t="s">
        <v>4642</v>
      </c>
      <c r="BH38" s="1023" t="s">
        <v>1089</v>
      </c>
      <c r="CA38" s="28">
        <v>103</v>
      </c>
    </row>
    <row r="39" spans="1:79" ht="3" customHeight="1" x14ac:dyDescent="0.2">
      <c r="A39" s="17"/>
      <c r="B39" s="17"/>
      <c r="C39" s="17"/>
      <c r="D39" s="17"/>
      <c r="E39" s="17"/>
      <c r="F39" s="17"/>
      <c r="G39" s="17"/>
      <c r="H39" s="17"/>
      <c r="I39" s="17"/>
      <c r="J39" s="1025"/>
      <c r="K39" s="17"/>
      <c r="L39" s="65"/>
      <c r="M39" s="1026"/>
      <c r="N39" s="12"/>
      <c r="O39" s="65"/>
      <c r="P39" s="12"/>
      <c r="Q39" s="3"/>
      <c r="R39" s="12"/>
      <c r="S39" s="3"/>
      <c r="T39" s="117"/>
      <c r="U39" s="56"/>
      <c r="V39" s="3"/>
      <c r="W39" s="3"/>
      <c r="X39" s="3"/>
      <c r="Y39" s="3"/>
      <c r="CA39" s="28">
        <f>CA38+1</f>
      </c>
    </row>
    <row r="40" spans="1:79" s="1023" customFormat="1" ht="15" customHeight="1" x14ac:dyDescent="0.2">
      <c r="A40" s="20"/>
      <c r="B40" s="268" t="s">
        <v>1767</v>
      </c>
      <c r="C40" s="264"/>
      <c r="D40" s="264"/>
      <c r="E40" s="264"/>
      <c r="F40" s="264"/>
      <c r="G40" s="264"/>
      <c r="H40" s="264"/>
      <c r="I40" s="264"/>
      <c r="J40" s="264"/>
      <c r="K40" s="264"/>
      <c r="L40" s="230"/>
      <c r="M40" s="1022" t="s">
        <v>6131</v>
      </c>
      <c r="N40" s="1018" t="str">
        <f>$CA40&amp;$CB$9</f>
      </c>
      <c r="O40" s="689">
        <f>TRA61_FTA!F51</f>
      </c>
      <c r="P40" s="1018" t="str">
        <f>$CA40&amp;$CC$9</f>
      </c>
      <c r="Q40" s="689">
        <f>TRA61_FTA!G51</f>
      </c>
      <c r="R40" s="1018" t="str">
        <f>$CA40&amp;$CD$9</f>
      </c>
      <c r="S40" s="880">
        <f>TRA61_FTA!H51</f>
      </c>
      <c r="T40" s="1018" t="str">
        <f>$CA40&amp;$CE$9</f>
      </c>
      <c r="U40" s="689">
        <f>(O40+Q40)+S40</f>
      </c>
      <c r="V40" s="1350" t="str">
        <f>IF(OR(_cis1=1,'p2'!G22="Y"),"",IF(Q40&lt;&gt;O33,$BE$40&amp;BF40,IF(U40&lt;0,"Negative c/fwd!","")))</f>
        <v/>
      </c>
      <c r="W40" s="631"/>
      <c r="X40" s="631"/>
      <c r="Y40" s="631"/>
      <c r="AA40" s="1023">
        <f>IF(V40="",0,1)</f>
      </c>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BE40" s="1023" t="s">
        <v>1083</v>
      </c>
      <c r="BF40" s="1023" t="s">
        <v>1084</v>
      </c>
      <c r="CA40" s="28">
        <f>CA38+1</f>
      </c>
    </row>
    <row r="41" spans="1:79" s="1023" customFormat="1" ht="3" customHeight="1" x14ac:dyDescent="0.2">
      <c r="A41" s="1022"/>
      <c r="B41" s="1022"/>
      <c r="C41" s="1022"/>
      <c r="D41" s="1022"/>
      <c r="E41" s="1022"/>
      <c r="F41" s="1022"/>
      <c r="G41" s="1022"/>
      <c r="H41" s="1022"/>
      <c r="I41" s="1022"/>
      <c r="J41" s="1022"/>
      <c r="K41" s="1022"/>
      <c r="L41" s="1022"/>
      <c r="M41" s="1022"/>
      <c r="N41" s="233"/>
      <c r="O41" s="229"/>
      <c r="P41" s="233"/>
      <c r="Q41" s="229"/>
      <c r="R41" s="233"/>
      <c r="S41" s="229"/>
      <c r="T41" s="229"/>
      <c r="U41" s="229"/>
      <c r="V41" s="572"/>
      <c r="W41" s="631"/>
      <c r="X41" s="631"/>
      <c r="Y41" s="631"/>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CA41" s="28">
        <f t="shared" ref="CA41:CA46" si="0">CA39+1</f>
      </c>
    </row>
    <row r="42" spans="1:79" s="1023" customFormat="1" ht="15" customHeight="1" x14ac:dyDescent="0.2">
      <c r="A42" s="20"/>
      <c r="B42" s="268" t="s">
        <v>3712</v>
      </c>
      <c r="C42" s="264"/>
      <c r="D42" s="264"/>
      <c r="E42" s="264"/>
      <c r="F42" s="264"/>
      <c r="G42" s="264"/>
      <c r="H42" s="264"/>
      <c r="I42" s="264"/>
      <c r="J42" s="264"/>
      <c r="K42" s="264"/>
      <c r="L42" s="230"/>
      <c r="M42" s="1022" t="s">
        <v>2665</v>
      </c>
      <c r="N42" s="1018" t="str">
        <f>$CA42&amp;$CB$9</f>
      </c>
      <c r="O42" s="689">
        <f>TRA62_IPA!D84</f>
      </c>
      <c r="P42" s="1018" t="str">
        <f>$CA42&amp;$CC$9</f>
      </c>
      <c r="Q42" s="689">
        <f>TRA62_IPA!E84</f>
      </c>
      <c r="R42" s="1018" t="str">
        <f>$CA42&amp;$CD$9</f>
      </c>
      <c r="S42" s="880">
        <f>TRA62_IPA!F84</f>
      </c>
      <c r="T42" s="1018" t="str">
        <f>$CA42&amp;$CE$9</f>
      </c>
      <c r="U42" s="689">
        <f>(O42+Q42)+S42</f>
      </c>
      <c r="V42" s="1350" t="str">
        <f>IF(OR(_cis1=1,'p2'!G22="Y"),"",IF(Q42&lt;&gt;Q33,$BE$40&amp;BF42,IF(U42&lt;0,"Negative c/fwd!","")))</f>
        <v/>
      </c>
      <c r="W42" s="631"/>
      <c r="X42" s="631"/>
      <c r="Y42" s="631"/>
      <c r="AA42" s="1023">
        <f>IF(V42="",0,1)</f>
      </c>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BF42" s="1023" t="s">
        <v>1085</v>
      </c>
      <c r="CA42" s="28">
        <f t="shared" si="0"/>
        <v>105</v>
      </c>
    </row>
    <row r="43" spans="1:79" s="1023" customFormat="1" ht="3" customHeight="1" x14ac:dyDescent="0.2">
      <c r="A43" s="20"/>
      <c r="B43" s="229"/>
      <c r="C43" s="229"/>
      <c r="D43" s="229"/>
      <c r="E43" s="229"/>
      <c r="F43" s="229"/>
      <c r="G43" s="229"/>
      <c r="H43" s="229"/>
      <c r="I43" s="229"/>
      <c r="J43" s="229"/>
      <c r="K43" s="229"/>
      <c r="L43" s="229"/>
      <c r="M43" s="1022"/>
      <c r="N43" s="233"/>
      <c r="O43" s="229"/>
      <c r="P43" s="233"/>
      <c r="Q43" s="229"/>
      <c r="R43" s="233"/>
      <c r="S43" s="229"/>
      <c r="T43" s="229"/>
      <c r="U43" s="229"/>
      <c r="V43" s="572"/>
      <c r="W43" s="631"/>
      <c r="X43" s="631"/>
      <c r="Y43" s="631"/>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CA43" s="28">
        <f t="shared" si="0"/>
        <v>106</v>
      </c>
    </row>
    <row r="44" spans="1:79" s="1023" customFormat="1" ht="15" customHeight="1" x14ac:dyDescent="0.2">
      <c r="A44" s="20"/>
      <c r="B44" s="268" t="s">
        <v>2105</v>
      </c>
      <c r="C44" s="264"/>
      <c r="D44" s="264"/>
      <c r="E44" s="264"/>
      <c r="F44" s="264"/>
      <c r="G44" s="264"/>
      <c r="H44" s="264"/>
      <c r="I44" s="264"/>
      <c r="J44" s="264"/>
      <c r="K44" s="264"/>
      <c r="L44" s="230"/>
      <c r="M44" s="1022" t="s">
        <v>1037</v>
      </c>
      <c r="N44" s="1018" t="str">
        <f>$CA44&amp;$CB$9</f>
      </c>
      <c r="O44" s="689">
        <f>TRA63_MTA_FIA!M54</f>
      </c>
      <c r="P44" s="1018" t="str">
        <f>$CA44&amp;$CC$9</f>
      </c>
      <c r="Q44" s="689">
        <f>TRA63_MTA_FIA!N54</f>
      </c>
      <c r="R44" s="1018" t="str">
        <f>$CA44&amp;$CD$9</f>
      </c>
      <c r="S44" s="880">
        <f>TRA63_MTA_FIA!O54</f>
      </c>
      <c r="T44" s="1018" t="str">
        <f>$CA44&amp;$CE$9</f>
      </c>
      <c r="U44" s="689">
        <f>(O44+Q44)+S44</f>
      </c>
      <c r="V44" s="1350" t="str">
        <f>IF(OR(_cis1=1,'p2'!G22="Y"),"",IF(Q44&lt;&gt;S33,$BE$40&amp;BF44,IF(U44&lt;0,"Negative c/fwd!","")))</f>
        <v/>
      </c>
      <c r="W44" s="631"/>
      <c r="X44" s="631"/>
      <c r="Y44" s="631"/>
      <c r="AA44" s="1023">
        <f>IF(V44="",0,1)</f>
      </c>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BF44" s="1023" t="s">
        <v>1086</v>
      </c>
      <c r="CA44" s="28">
        <f t="shared" si="0"/>
        <v>106</v>
      </c>
    </row>
    <row r="45" spans="1:79" s="1023" customFormat="1" ht="3" customHeight="1" x14ac:dyDescent="0.2">
      <c r="A45" s="20"/>
      <c r="B45" s="229"/>
      <c r="C45" s="229"/>
      <c r="D45" s="229"/>
      <c r="E45" s="229"/>
      <c r="F45" s="229"/>
      <c r="G45" s="229"/>
      <c r="H45" s="229"/>
      <c r="I45" s="229"/>
      <c r="J45" s="229"/>
      <c r="K45" s="229"/>
      <c r="L45" s="229"/>
      <c r="M45" s="1022"/>
      <c r="N45" s="233"/>
      <c r="O45" s="229"/>
      <c r="P45" s="233"/>
      <c r="Q45" s="229"/>
      <c r="R45" s="233"/>
      <c r="S45" s="229"/>
      <c r="T45" s="229"/>
      <c r="U45" s="229"/>
      <c r="V45" s="572"/>
      <c r="W45" s="631"/>
      <c r="X45" s="631"/>
      <c r="Y45" s="631"/>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CA45" s="28">
        <f t="shared" si="0"/>
        <v>107</v>
      </c>
    </row>
    <row r="46" spans="1:79" s="1023" customFormat="1" x14ac:dyDescent="0.2">
      <c r="A46" s="20"/>
      <c r="B46" s="268" t="s">
        <v>2106</v>
      </c>
      <c r="C46" s="264"/>
      <c r="D46" s="264"/>
      <c r="E46" s="264"/>
      <c r="F46" s="264"/>
      <c r="G46" s="264"/>
      <c r="H46" s="264"/>
      <c r="I46" s="264"/>
      <c r="J46" s="264"/>
      <c r="K46" s="264"/>
      <c r="L46" s="230"/>
      <c r="M46" s="1022" t="s">
        <v>1037</v>
      </c>
      <c r="N46" s="1018" t="str">
        <f>$CA46&amp;$CB$9</f>
      </c>
      <c r="O46" s="689">
        <f>TRA63_MTA_FIA!M23</f>
      </c>
      <c r="P46" s="1018" t="str">
        <f>$CA46&amp;$CC$9</f>
      </c>
      <c r="Q46" s="689">
        <f>TRA63_MTA_FIA!N23</f>
      </c>
      <c r="R46" s="1018" t="str">
        <f>$CA46&amp;$CD$9</f>
      </c>
      <c r="S46" s="880">
        <f>TRA63_MTA_FIA!O23</f>
      </c>
      <c r="T46" s="1018" t="str">
        <f>$CA46&amp;$CE$9</f>
      </c>
      <c r="U46" s="689">
        <f>(O46+Q46)+S46</f>
      </c>
      <c r="V46" s="1350" t="str">
        <f>IF(OR(_cis1=1,'p2'!G22="Y"),"",IF(Q46&lt;&gt;U33,$BE$40&amp;BF46,IF(U46&lt;0,"Negative c/fwd!","")))</f>
        <v/>
      </c>
      <c r="W46" s="631"/>
      <c r="X46" s="631"/>
      <c r="Y46" s="631"/>
      <c r="AA46" s="1023">
        <f>IF(V46="",0,1)</f>
      </c>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BF46" s="1023" t="s">
        <v>1086</v>
      </c>
      <c r="CA46" s="28">
        <f t="shared" si="0"/>
        <v>107</v>
      </c>
    </row>
    <row r="47" spans="1:79" s="1023" customFormat="1" ht="3" hidden="1" customHeight="1" x14ac:dyDescent="0.2">
      <c r="A47" s="20"/>
      <c r="B47" s="229"/>
      <c r="C47" s="229"/>
      <c r="D47" s="229"/>
      <c r="E47" s="229"/>
      <c r="F47" s="229"/>
      <c r="G47" s="229"/>
      <c r="H47" s="229"/>
      <c r="I47" s="229"/>
      <c r="J47" s="229"/>
      <c r="K47" s="229"/>
      <c r="L47" s="229"/>
      <c r="M47" s="231"/>
      <c r="N47" s="233"/>
      <c r="O47" s="229"/>
      <c r="P47" s="233"/>
      <c r="Q47" s="229"/>
      <c r="R47" s="233"/>
      <c r="S47" s="229"/>
      <c r="T47" s="229"/>
      <c r="U47" s="229"/>
      <c r="V47" s="631"/>
      <c r="W47" s="631"/>
      <c r="X47" s="631"/>
      <c r="Y47" s="631"/>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CA47" s="28">
        <f>CA46+1</f>
      </c>
    </row>
    <row r="48" spans="1:79" s="1023" customFormat="1" hidden="1" x14ac:dyDescent="0.2">
      <c r="A48" s="20"/>
      <c r="B48" s="28" t="s">
        <v>5590</v>
      </c>
      <c r="C48" s="28"/>
      <c r="D48" s="28"/>
      <c r="E48" s="28"/>
      <c r="F48" s="28"/>
      <c r="G48" s="28"/>
      <c r="H48" s="28"/>
      <c r="I48" s="28"/>
      <c r="J48" s="28"/>
      <c r="K48" s="28"/>
      <c r="L48" s="28"/>
      <c r="M48" s="28"/>
      <c r="N48" s="28" t="str">
        <f>LEFT(N46,3)+1&amp;"a"</f>
      </c>
      <c r="O48" s="28">
        <f>SUM(O40,O42,O44,O46)</f>
      </c>
      <c r="P48" s="28" t="s">
        <v>5111</v>
      </c>
      <c r="Q48" s="28">
        <f>SUM(Q40,Q42,Q44,Q46)</f>
      </c>
      <c r="R48" s="28" t="s">
        <v>5112</v>
      </c>
      <c r="S48" s="28">
        <f>SUM(S40,S42,S44,S46)</f>
      </c>
      <c r="T48" s="28" t="s">
        <v>5113</v>
      </c>
      <c r="U48" s="28">
        <f>(O48+Q48)+S48</f>
      </c>
      <c r="V48" s="28"/>
      <c r="W48" s="28"/>
      <c r="X48" s="28"/>
      <c r="Y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CA48" s="28">
        <f>CA47+1</f>
      </c>
    </row>
    <row r="49" spans="1:79" s="1023" customFormat="1" ht="3" customHeight="1" x14ac:dyDescent="0.2">
      <c r="A49" s="20"/>
      <c r="B49" s="232"/>
      <c r="C49" s="232"/>
      <c r="D49" s="232"/>
      <c r="E49" s="232"/>
      <c r="F49" s="232"/>
      <c r="G49" s="232"/>
      <c r="H49" s="232"/>
      <c r="I49" s="232"/>
      <c r="J49" s="232"/>
      <c r="K49" s="232"/>
      <c r="L49" s="229"/>
      <c r="M49" s="231"/>
      <c r="N49" s="234"/>
      <c r="O49" s="1027"/>
      <c r="P49" s="234"/>
      <c r="Q49" s="1027"/>
      <c r="R49" s="1027"/>
      <c r="S49" s="1027"/>
      <c r="T49" s="1027"/>
      <c r="U49" s="1027"/>
      <c r="V49" s="631"/>
      <c r="W49" s="631"/>
      <c r="X49" s="631"/>
      <c r="Y49" s="631"/>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1027"/>
      <c r="CA49" s="28">
        <f>CA48+1</f>
      </c>
    </row>
    <row r="50" spans="1:79" s="1023" customFormat="1" ht="15" customHeight="1" x14ac:dyDescent="0.2">
      <c r="A50" s="20"/>
      <c r="B50" s="268" t="s">
        <v>591</v>
      </c>
      <c r="C50" s="264"/>
      <c r="D50" s="264"/>
      <c r="E50" s="264"/>
      <c r="F50" s="264"/>
      <c r="G50" s="264"/>
      <c r="H50" s="264"/>
      <c r="I50" s="264"/>
      <c r="J50" s="264"/>
      <c r="K50" s="264"/>
      <c r="L50" s="230"/>
      <c r="M50" s="231"/>
      <c r="N50" s="1018" t="str">
        <f>$CA50&amp;$CB$9</f>
      </c>
      <c r="O50" s="880">
        <f>IF(O38="",0,O38-O48)</f>
      </c>
      <c r="P50" s="1018" t="str">
        <f>$CA50&amp;$CC$9</f>
      </c>
      <c r="Q50" s="880">
        <f>IF(Q38="",0,Q38-Q48)</f>
      </c>
      <c r="R50" s="1018" t="str">
        <f>$CA50&amp;$CD$9</f>
      </c>
      <c r="S50" s="880">
        <f>IF(AND(S38=0,S48&lt;0),0,IF(S38="",0,IF(S38&gt;S48,0,S38-S48)))</f>
      </c>
      <c r="T50" s="1018" t="str">
        <f>$CA50&amp;$CE$9</f>
      </c>
      <c r="U50" s="880">
        <f>(O50+Q50)+S50</f>
      </c>
      <c r="V50" s="1350" t="str">
        <f>IF(S38&gt;S48," Dividends in field 103c exceeded in tax accounts!","")</f>
        <v/>
      </c>
      <c r="W50" s="631"/>
      <c r="X50" s="631"/>
      <c r="Y50" s="631"/>
      <c r="AA50" s="1023">
        <f>SUM(AA40:AA46)</f>
      </c>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CA50" s="28">
        <f>CA46+1</f>
      </c>
    </row>
    <row r="51" spans="1:79" s="1023" customFormat="1" ht="6" customHeight="1" x14ac:dyDescent="0.2">
      <c r="A51" s="20"/>
      <c r="B51" s="618"/>
      <c r="C51" s="618"/>
      <c r="D51" s="618"/>
      <c r="E51" s="618"/>
      <c r="F51" s="618"/>
      <c r="G51" s="618"/>
      <c r="H51" s="618"/>
      <c r="I51" s="618"/>
      <c r="J51" s="618"/>
      <c r="K51" s="618"/>
      <c r="L51" s="631"/>
      <c r="M51" s="631"/>
      <c r="N51" s="233"/>
      <c r="O51" s="631"/>
      <c r="P51" s="233"/>
      <c r="Q51" s="631"/>
      <c r="R51" s="631"/>
      <c r="S51" s="631"/>
      <c r="T51" s="631"/>
      <c r="U51" s="631"/>
      <c r="V51" s="631"/>
      <c r="W51" s="631"/>
      <c r="X51" s="631"/>
      <c r="Y51" s="631"/>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CA51" s="28"/>
    </row>
    <row r="52" spans="1:79" s="1023" customFormat="1" ht="15" customHeight="1" x14ac:dyDescent="0.2">
      <c r="A52" s="20"/>
      <c r="B52" s="268" t="s">
        <v>6654</v>
      </c>
      <c r="C52" s="264"/>
      <c r="D52" s="264"/>
      <c r="E52" s="264"/>
      <c r="F52" s="264"/>
      <c r="G52" s="264"/>
      <c r="H52" s="264"/>
      <c r="I52" s="264"/>
      <c r="J52" s="264"/>
      <c r="K52" s="264"/>
      <c r="L52" s="230"/>
      <c r="M52" s="631"/>
      <c r="N52" s="233"/>
      <c r="O52" s="631"/>
      <c r="P52" s="233"/>
      <c r="Q52" s="631"/>
      <c r="R52" s="631"/>
      <c r="S52" s="631"/>
      <c r="T52" s="631"/>
      <c r="U52" s="631"/>
      <c r="V52" s="631"/>
      <c r="W52" s="631"/>
      <c r="X52" s="631"/>
      <c r="Y52" s="631"/>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CA52" s="28"/>
    </row>
    <row r="53" spans="1:79" s="1023" customFormat="1" ht="3" customHeight="1" x14ac:dyDescent="0.2">
      <c r="A53" s="229"/>
      <c r="B53" s="229"/>
      <c r="C53" s="229"/>
      <c r="D53" s="229"/>
      <c r="E53" s="229"/>
      <c r="F53" s="229"/>
      <c r="G53" s="229"/>
      <c r="H53" s="229"/>
      <c r="I53" s="229"/>
      <c r="J53" s="229"/>
      <c r="K53" s="229"/>
      <c r="L53" s="229"/>
      <c r="M53" s="229"/>
      <c r="N53" s="233"/>
      <c r="O53" s="117"/>
      <c r="P53" s="869"/>
      <c r="Q53" s="117"/>
      <c r="R53" s="117"/>
      <c r="S53" s="117"/>
      <c r="T53" s="117"/>
      <c r="U53" s="117"/>
      <c r="V53" s="631"/>
      <c r="W53" s="631"/>
      <c r="X53" s="631"/>
      <c r="Y53" s="631"/>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CA53" s="28"/>
    </row>
    <row r="54" spans="1:79" s="1023" customFormat="1" ht="15" customHeight="1" x14ac:dyDescent="0.2">
      <c r="A54" s="20"/>
      <c r="B54" s="229" t="s">
        <v>4211</v>
      </c>
      <c r="C54" s="229"/>
      <c r="D54" s="229"/>
      <c r="E54" s="229"/>
      <c r="F54" s="229"/>
      <c r="G54" s="229"/>
      <c r="H54" s="229"/>
      <c r="I54" s="229"/>
      <c r="J54" s="229"/>
      <c r="K54" s="229"/>
      <c r="L54" s="229"/>
      <c r="M54" s="229"/>
      <c r="N54" s="1018" t="str">
        <f>$CA54&amp;$CB$9</f>
      </c>
      <c r="O54" s="497"/>
      <c r="P54" s="1018" t="str">
        <f>$CA54&amp;$CC$9</f>
      </c>
      <c r="Q54" s="497"/>
      <c r="R54" s="1018" t="str">
        <f>$CA54&amp;$CD$9</f>
      </c>
      <c r="S54" s="879"/>
      <c r="T54" s="1018" t="str">
        <f>$CA54&amp;$CE$9</f>
      </c>
      <c r="U54" s="689">
        <f>(O54+Q54)+S54</f>
      </c>
      <c r="V54" s="881" t="str">
        <f>IF(AND(BD54=0,BB13=0,BF54=0),"",IF(BA54&lt;&gt;3,re,IF(U54&lt;&gt;BD54," c/fwd not equal to Inc &amp; Ben Reserve in Balance Sheet!","")))</f>
        <v/>
      </c>
      <c r="W54" s="631"/>
      <c r="X54" s="631"/>
      <c r="Y54" s="631"/>
      <c r="Z54" s="1023">
        <f>IF(V54=re,1,0)</f>
      </c>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BA54" s="1023">
        <f>COUNT(O54,Q54,S54)</f>
      </c>
      <c r="BB54" s="1023">
        <f>(O54+Q54)*-1</f>
      </c>
      <c r="BD54" s="1023">
        <f>B_Sheet!E256*-1</f>
      </c>
      <c r="BE54" s="1023" t="s">
        <v>6163</v>
      </c>
      <c r="BF54" s="1028">
        <f>'TRA18'!E71</f>
      </c>
      <c r="CA54" s="28">
        <v>109</v>
      </c>
    </row>
    <row r="55" spans="1:79" s="1023" customFormat="1" x14ac:dyDescent="0.2">
      <c r="A55" s="229"/>
      <c r="B55" s="229"/>
      <c r="C55" s="229"/>
      <c r="D55" s="229"/>
      <c r="E55" s="229"/>
      <c r="F55" s="229"/>
      <c r="G55" s="229"/>
      <c r="H55" s="229"/>
      <c r="I55" s="229"/>
      <c r="J55" s="229"/>
      <c r="K55" s="229"/>
      <c r="L55" s="229"/>
      <c r="M55" s="229"/>
      <c r="N55" s="1029"/>
      <c r="O55" s="117"/>
      <c r="P55" s="869"/>
      <c r="Q55" s="1443">
        <f>AY13+BB13+BF54</f>
      </c>
      <c r="R55" s="117"/>
      <c r="S55" s="1027"/>
      <c r="T55" s="117"/>
      <c r="U55" s="117"/>
      <c r="V55" s="631"/>
      <c r="W55" s="631"/>
      <c r="X55" s="631"/>
      <c r="Y55" s="631"/>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CA55" s="28">
        <f>CA54+1</f>
      </c>
    </row>
    <row r="56" spans="1:79" s="1023" customFormat="1" ht="15" customHeight="1" x14ac:dyDescent="0.2">
      <c r="A56" s="20"/>
      <c r="B56" s="229" t="s">
        <v>1977</v>
      </c>
      <c r="C56" s="229"/>
      <c r="D56" s="229"/>
      <c r="E56" s="229"/>
      <c r="F56" s="229"/>
      <c r="G56" s="229"/>
      <c r="H56" s="229"/>
      <c r="I56" s="229"/>
      <c r="J56" s="229"/>
      <c r="K56" s="229"/>
      <c r="L56" s="229"/>
      <c r="M56" s="229"/>
      <c r="N56" s="1018" t="str">
        <f>$CA56&amp;$CB$9</f>
      </c>
      <c r="O56" s="878"/>
      <c r="P56" s="1018" t="str">
        <f>$CA56&amp;$CC$9</f>
      </c>
      <c r="Q56" s="878"/>
      <c r="R56" s="1018" t="str">
        <f>$CA56&amp;$CD$9</f>
      </c>
      <c r="S56" s="879"/>
      <c r="T56" s="1018" t="str">
        <f>$CA56&amp;$CE$9</f>
      </c>
      <c r="U56" s="880">
        <f>(O56+Q56)+S56</f>
      </c>
      <c r="V56" s="881" t="str">
        <f>IF(BE56=0,"",IF(BA56&lt;&gt;3," "&amp;re,""))</f>
        <v/>
      </c>
      <c r="W56" s="631"/>
      <c r="X56" s="631"/>
      <c r="Y56" s="631"/>
      <c r="Z56" s="1023">
        <f>IF(V56="",0,1)</f>
      </c>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BA56" s="1023">
        <f>COUNT(S56,Q56,O56)</f>
      </c>
      <c r="BB56" s="1023">
        <f>IF(O56+Q56&lt;0,0,(O56+Q56)*-1)</f>
      </c>
      <c r="BD56" s="1023">
        <f>IF(V38&lt;&gt;"",0,IF(U38=BE38,BD38,BF38-U38))</f>
      </c>
      <c r="BE56" s="30">
        <f>(B_Sheet!E259+B_Sheet!E254+B_Sheet!E253)*-1</f>
      </c>
      <c r="BF56" s="30">
        <f>BE56+BD56</f>
      </c>
      <c r="BH56" s="1023" t="s">
        <v>1088</v>
      </c>
      <c r="CA56" s="28">
        <f>CA54+1</f>
      </c>
    </row>
    <row r="57" spans="1:79" s="1023" customFormat="1" ht="3" customHeight="1" x14ac:dyDescent="0.2">
      <c r="A57" s="229"/>
      <c r="B57" s="229"/>
      <c r="C57" s="229"/>
      <c r="D57" s="229"/>
      <c r="E57" s="229"/>
      <c r="F57" s="229"/>
      <c r="G57" s="229"/>
      <c r="H57" s="229"/>
      <c r="I57" s="229"/>
      <c r="J57" s="229"/>
      <c r="K57" s="229"/>
      <c r="L57" s="229"/>
      <c r="M57" s="229"/>
      <c r="N57" s="117"/>
      <c r="O57" s="117"/>
      <c r="P57" s="117"/>
      <c r="Q57" s="117"/>
      <c r="R57" s="117"/>
      <c r="S57" s="631"/>
      <c r="T57" s="1027"/>
      <c r="U57" s="1027"/>
      <c r="V57" s="1027"/>
      <c r="W57" s="631"/>
      <c r="X57" s="631"/>
      <c r="Y57" s="631"/>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CA57" s="28">
        <f>CA55+1</f>
      </c>
    </row>
    <row r="58" spans="1:79" s="1023" customFormat="1" ht="15" customHeight="1" x14ac:dyDescent="0.2">
      <c r="A58" s="20"/>
      <c r="B58" s="229" t="s">
        <v>5581</v>
      </c>
      <c r="C58" s="229"/>
      <c r="D58" s="229"/>
      <c r="E58" s="229"/>
      <c r="F58" s="229"/>
      <c r="G58" s="229"/>
      <c r="H58" s="229"/>
      <c r="I58" s="229"/>
      <c r="J58" s="229"/>
      <c r="K58" s="229"/>
      <c r="L58" s="229"/>
      <c r="M58" s="1030" t="str">
        <f>IF(S58="","","[TIFD code 3402]")</f>
        <v/>
      </c>
      <c r="N58" s="117"/>
      <c r="O58" s="117"/>
      <c r="P58" s="117"/>
      <c r="Q58" s="117"/>
      <c r="R58" s="117"/>
      <c r="S58" s="1031" t="str">
        <f>IF(BD58=0,"",BD58)</f>
        <v/>
      </c>
      <c r="T58" s="1018" t="str">
        <f>$CA58&amp;$CB$9</f>
      </c>
      <c r="U58" s="879"/>
      <c r="V58" s="881" t="str">
        <f>IF(AND(BD58=0,U58=""),"",IF(AND(BD58&lt;0,U58="")," "&amp;re,""))</f>
        <v/>
      </c>
      <c r="W58" s="631"/>
      <c r="X58" s="631"/>
      <c r="Y58" s="631"/>
      <c r="Z58" s="1023">
        <f>IF(V58="",0,1)</f>
      </c>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BD58" s="1023">
        <f>B_Sheet!E213</f>
      </c>
      <c r="BE58" s="1023" t="s">
        <v>1087</v>
      </c>
      <c r="CA58" s="28">
        <f>CA56+1</f>
      </c>
    </row>
    <row r="59" spans="1:79" ht="3" customHeight="1" x14ac:dyDescent="0.2">
      <c r="A59" s="17"/>
      <c r="B59" s="17"/>
      <c r="C59" s="17"/>
      <c r="D59" s="17"/>
      <c r="E59" s="17"/>
      <c r="F59" s="17"/>
      <c r="G59" s="17"/>
      <c r="H59" s="17"/>
      <c r="I59" s="17"/>
      <c r="J59" s="17"/>
      <c r="K59" s="17"/>
      <c r="L59" s="65"/>
      <c r="M59" s="65"/>
      <c r="N59" s="117"/>
      <c r="O59" s="117"/>
      <c r="P59" s="117"/>
      <c r="Q59" s="117"/>
      <c r="R59" s="117"/>
      <c r="S59" s="3"/>
      <c r="T59" s="117"/>
      <c r="U59" s="117"/>
      <c r="V59" s="3"/>
      <c r="W59" s="3"/>
      <c r="X59" s="3"/>
      <c r="Y59" s="3"/>
      <c r="CA59" s="28">
        <f>CA57+1</f>
      </c>
    </row>
    <row r="60" spans="1:79" ht="15" customHeight="1" x14ac:dyDescent="0.2">
      <c r="A60" s="17"/>
      <c r="B60" s="268" t="s">
        <v>5582</v>
      </c>
      <c r="C60" s="264"/>
      <c r="D60" s="264"/>
      <c r="E60" s="264"/>
      <c r="F60" s="264"/>
      <c r="G60" s="264"/>
      <c r="H60" s="264"/>
      <c r="I60" s="264"/>
      <c r="J60" s="264"/>
      <c r="K60" s="264"/>
      <c r="L60" s="230"/>
      <c r="M60" s="65"/>
      <c r="N60" s="117"/>
      <c r="O60" s="117"/>
      <c r="P60" s="117"/>
      <c r="Q60" s="117"/>
      <c r="R60" s="117"/>
      <c r="S60" s="1122" t="str">
        <f>IF(V60="","","This total must reconcile with TIFD code 3950 in Balance Sheet &gt; ")</f>
        <v/>
      </c>
      <c r="T60" s="1018" t="str">
        <f>$CA60&amp;$CB$9</f>
      </c>
      <c r="U60" s="880">
        <f>U38+U54+U56+U58</f>
      </c>
      <c r="V60" s="830" t="str">
        <f>IF('p2'!G22="y","",IF(tr=1,"",IF(BD60&lt;&gt;U60," Not equal to Total Reserves in Balance Sheet!","")))</f>
        <v/>
      </c>
      <c r="W60" s="3"/>
      <c r="X60" s="3"/>
      <c r="Y60" s="3"/>
      <c r="Z60" s="1023"/>
      <c r="AA60" s="177">
        <f>IF(AND(V38&lt;&gt;"",V38&lt;&gt;re),1,IF(V60&lt;&gt;"",1,IF(AND(V54&lt;&gt;"",V54&lt;&gt;re),1,IF(R22&lt;&gt;"",1,IF(AA50&lt;&gt;0,1,IF(V50&lt;&gt;"",1,IF(AA12&lt;&gt;0,1,IF(AA26&lt;&gt;0,1,0))))))))</f>
      </c>
      <c r="BD60" s="28">
        <f>B_Sheet!H260</f>
      </c>
      <c r="BE60" s="28" t="s">
        <v>5606</v>
      </c>
      <c r="CA60" s="28">
        <f>CA58+1</f>
      </c>
    </row>
    <row r="61" spans="1:79" hidden="1" x14ac:dyDescent="0.2">
      <c r="A61" s="65"/>
      <c r="B61" s="65"/>
      <c r="C61" s="65"/>
      <c r="D61" s="65"/>
      <c r="E61" s="65"/>
      <c r="F61" s="65"/>
      <c r="G61" s="65"/>
      <c r="H61" s="65"/>
      <c r="I61" s="65"/>
      <c r="J61" s="65"/>
      <c r="K61" s="65"/>
      <c r="L61" s="65"/>
      <c r="M61" s="65"/>
      <c r="N61" s="65"/>
      <c r="O61" s="65"/>
      <c r="P61" s="117"/>
      <c r="Q61" s="3"/>
      <c r="R61" s="3"/>
      <c r="S61" s="117"/>
      <c r="T61" s="117"/>
      <c r="U61" s="117"/>
      <c r="V61" s="3"/>
      <c r="W61" s="3"/>
      <c r="X61" s="3"/>
      <c r="Y61" s="3"/>
      <c r="CA61" s="28">
        <f t="shared" ref="CA61:CA66" si="1">CA60+1</f>
      </c>
    </row>
    <row r="62" spans="1:79" ht="15" hidden="1" customHeight="1" x14ac:dyDescent="0.2">
      <c r="A62" s="17"/>
      <c r="B62" s="3"/>
      <c r="C62" s="3"/>
      <c r="D62" s="3"/>
      <c r="E62" s="3"/>
      <c r="F62" s="3"/>
      <c r="G62" s="3"/>
      <c r="H62" s="3"/>
      <c r="I62" s="3"/>
      <c r="J62" s="3"/>
      <c r="K62" s="3"/>
      <c r="L62" s="3"/>
      <c r="M62" s="3"/>
      <c r="N62" s="3"/>
      <c r="O62" s="3"/>
      <c r="P62" s="3"/>
      <c r="Q62" s="3"/>
      <c r="R62" s="3"/>
      <c r="S62" s="3"/>
      <c r="T62" s="3"/>
      <c r="U62" s="3"/>
      <c r="V62" s="3"/>
      <c r="W62" s="3"/>
      <c r="X62" s="3"/>
      <c r="Y62" s="3"/>
      <c r="CA62" s="28">
        <f t="shared" si="1"/>
        <v>114</v>
      </c>
    </row>
    <row r="63" spans="1:79" ht="4.1500000000000004" hidden="1" customHeight="1" x14ac:dyDescent="0.2">
      <c r="A63" s="17"/>
      <c r="B63" s="3"/>
      <c r="C63" s="3"/>
      <c r="D63" s="3"/>
      <c r="E63" s="3"/>
      <c r="F63" s="3"/>
      <c r="G63" s="3"/>
      <c r="H63" s="3"/>
      <c r="I63" s="3"/>
      <c r="J63" s="3"/>
      <c r="K63" s="3"/>
      <c r="L63" s="3"/>
      <c r="M63" s="3"/>
      <c r="N63" s="3"/>
      <c r="O63" s="3"/>
      <c r="P63" s="3"/>
      <c r="Q63" s="3"/>
      <c r="R63" s="3"/>
      <c r="S63" s="3"/>
      <c r="T63" s="3"/>
      <c r="U63" s="3"/>
      <c r="V63" s="3"/>
      <c r="W63" s="3"/>
      <c r="X63" s="3"/>
      <c r="Y63" s="3"/>
      <c r="CA63" s="28">
        <f t="shared" si="1"/>
        <v>115</v>
      </c>
    </row>
    <row r="64" spans="1:79" ht="15" hidden="1" customHeight="1" x14ac:dyDescent="0.2">
      <c r="A64" s="17"/>
      <c r="B64" s="3"/>
      <c r="C64" s="3"/>
      <c r="D64" s="3"/>
      <c r="E64" s="3"/>
      <c r="F64" s="3"/>
      <c r="G64" s="3"/>
      <c r="H64" s="3"/>
      <c r="I64" s="3"/>
      <c r="J64" s="3"/>
      <c r="K64" s="3"/>
      <c r="L64" s="3"/>
      <c r="M64" s="3"/>
      <c r="N64" s="3"/>
      <c r="O64" s="3"/>
      <c r="P64" s="3"/>
      <c r="Q64" s="3"/>
      <c r="R64" s="3"/>
      <c r="S64" s="3"/>
      <c r="T64" s="3"/>
      <c r="U64" s="3"/>
      <c r="V64" s="3"/>
      <c r="W64" s="3"/>
      <c r="X64" s="3"/>
      <c r="Y64" s="3"/>
      <c r="CA64" s="28">
        <f t="shared" si="1"/>
        <v>116</v>
      </c>
    </row>
    <row r="65" spans="1:194" ht="4.1500000000000004" hidden="1" customHeight="1" x14ac:dyDescent="0.2">
      <c r="A65" s="17"/>
      <c r="B65" s="3"/>
      <c r="C65" s="3"/>
      <c r="D65" s="3"/>
      <c r="E65" s="3"/>
      <c r="F65" s="3"/>
      <c r="G65" s="3"/>
      <c r="H65" s="3"/>
      <c r="I65" s="3"/>
      <c r="J65" s="3"/>
      <c r="K65" s="3"/>
      <c r="L65" s="3"/>
      <c r="M65" s="3"/>
      <c r="N65" s="3"/>
      <c r="O65" s="3"/>
      <c r="P65" s="3"/>
      <c r="Q65" s="3"/>
      <c r="R65" s="3"/>
      <c r="S65" s="3"/>
      <c r="T65" s="3"/>
      <c r="U65" s="3"/>
      <c r="V65" s="3"/>
      <c r="W65" s="3"/>
      <c r="X65" s="3"/>
      <c r="Y65" s="3"/>
      <c r="CA65" s="28">
        <f t="shared" si="1"/>
        <v>117</v>
      </c>
    </row>
    <row r="66" spans="1:194" ht="15" hidden="1" customHeight="1" x14ac:dyDescent="0.2">
      <c r="A66" s="17"/>
      <c r="B66" s="3"/>
      <c r="C66" s="3"/>
      <c r="D66" s="3"/>
      <c r="E66" s="3"/>
      <c r="F66" s="3"/>
      <c r="G66" s="3"/>
      <c r="H66" s="3"/>
      <c r="I66" s="3"/>
      <c r="J66" s="3"/>
      <c r="K66" s="3"/>
      <c r="L66" s="3"/>
      <c r="M66" s="3"/>
      <c r="N66" s="3"/>
      <c r="O66" s="3"/>
      <c r="P66" s="3"/>
      <c r="Q66" s="3"/>
      <c r="R66" s="3"/>
      <c r="S66" s="3"/>
      <c r="T66" s="3"/>
      <c r="U66" s="3"/>
      <c r="V66" s="3"/>
      <c r="W66" s="3"/>
      <c r="X66" s="3"/>
      <c r="Y66" s="3"/>
      <c r="CA66" s="28">
        <f t="shared" si="1"/>
        <v>118</v>
      </c>
    </row>
    <row r="67" spans="1:194" ht="6.75" customHeight="1" x14ac:dyDescent="0.2">
      <c r="A67" s="118"/>
      <c r="B67" s="118"/>
      <c r="C67" s="118"/>
      <c r="D67" s="118"/>
      <c r="E67" s="118"/>
      <c r="F67" s="118"/>
      <c r="G67" s="118"/>
      <c r="H67" s="118"/>
      <c r="I67" s="118"/>
      <c r="J67" s="118"/>
      <c r="K67" s="118"/>
      <c r="L67" s="118"/>
      <c r="M67" s="118"/>
      <c r="N67" s="118"/>
      <c r="O67" s="118"/>
      <c r="P67" s="118"/>
      <c r="Q67" s="118"/>
      <c r="R67" s="118"/>
      <c r="S67" s="14"/>
      <c r="T67" s="118"/>
      <c r="U67" s="118"/>
      <c r="V67" s="118"/>
      <c r="W67" s="118"/>
      <c r="X67" s="3"/>
      <c r="Y67" s="3"/>
    </row>
    <row r="68" spans="1:194" ht="5.25"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3"/>
      <c r="Y68" s="3"/>
    </row>
    <row r="69" spans="1:194" ht="21.75" customHeight="1" x14ac:dyDescent="0.2">
      <c r="A69" s="17"/>
      <c r="B69" s="5608" t="s">
        <v>590</v>
      </c>
      <c r="C69" s="5609"/>
      <c r="D69" s="5609"/>
      <c r="E69" s="5609"/>
      <c r="F69" s="5609"/>
      <c r="G69" s="5609"/>
      <c r="H69" s="5610"/>
      <c r="I69" s="17"/>
      <c r="J69" s="5604" t="s">
        <v>1767</v>
      </c>
      <c r="K69" s="5605"/>
      <c r="L69" s="5604" t="s">
        <v>3712</v>
      </c>
      <c r="M69" s="5605"/>
      <c r="N69" s="4727" t="s">
        <v>2106</v>
      </c>
      <c r="O69" s="4728"/>
      <c r="P69" s="4728"/>
      <c r="Q69" s="4729"/>
      <c r="R69" s="4727" t="s">
        <v>2105</v>
      </c>
      <c r="S69" s="4728"/>
      <c r="T69" s="4728"/>
      <c r="U69" s="4729"/>
      <c r="V69" s="5604" t="s">
        <v>591</v>
      </c>
      <c r="W69" s="5605"/>
      <c r="X69" s="3"/>
      <c r="Y69" s="3"/>
    </row>
    <row r="70" spans="1:194" ht="12.75" customHeight="1" x14ac:dyDescent="0.2">
      <c r="A70" s="17"/>
      <c r="B70" s="5611"/>
      <c r="C70" s="5612"/>
      <c r="D70" s="5612"/>
      <c r="E70" s="5612"/>
      <c r="F70" s="5612"/>
      <c r="G70" s="5612"/>
      <c r="H70" s="5613"/>
      <c r="I70" s="17"/>
      <c r="J70" s="5617"/>
      <c r="K70" s="5618"/>
      <c r="L70" s="5617"/>
      <c r="M70" s="5618"/>
      <c r="N70" s="5551" t="s">
        <v>592</v>
      </c>
      <c r="O70" s="4709"/>
      <c r="P70" s="5551" t="s">
        <v>3305</v>
      </c>
      <c r="Q70" s="4709"/>
      <c r="R70" s="5551" t="s">
        <v>592</v>
      </c>
      <c r="S70" s="4709"/>
      <c r="T70" s="5551" t="s">
        <v>3305</v>
      </c>
      <c r="U70" s="4709"/>
      <c r="V70" s="5617"/>
      <c r="W70" s="5618"/>
      <c r="X70" s="3"/>
      <c r="Y70" s="3"/>
    </row>
    <row r="71" spans="1:194" x14ac:dyDescent="0.2">
      <c r="A71" s="17"/>
      <c r="B71" s="5614"/>
      <c r="C71" s="5615"/>
      <c r="D71" s="5615"/>
      <c r="E71" s="5615"/>
      <c r="F71" s="5615"/>
      <c r="G71" s="5615"/>
      <c r="H71" s="5616"/>
      <c r="I71" s="17"/>
      <c r="J71" s="5606"/>
      <c r="K71" s="5607"/>
      <c r="L71" s="5606"/>
      <c r="M71" s="5607"/>
      <c r="N71" s="5552"/>
      <c r="O71" s="5553"/>
      <c r="P71" s="5552"/>
      <c r="Q71" s="5553"/>
      <c r="R71" s="5552"/>
      <c r="S71" s="5553"/>
      <c r="T71" s="5552"/>
      <c r="U71" s="5553"/>
      <c r="V71" s="5606"/>
      <c r="W71" s="5607"/>
      <c r="X71" s="3"/>
      <c r="Y71" s="3"/>
    </row>
    <row r="72" spans="1:194" ht="3.75" customHeight="1" x14ac:dyDescent="0.2">
      <c r="A72" s="17"/>
      <c r="B72" s="17"/>
      <c r="C72" s="17"/>
      <c r="D72" s="17"/>
      <c r="E72" s="17"/>
      <c r="F72" s="17"/>
      <c r="G72" s="17"/>
      <c r="H72" s="17"/>
      <c r="I72" s="64"/>
      <c r="J72" s="17"/>
      <c r="K72" s="17"/>
      <c r="L72" s="17"/>
      <c r="M72" s="121"/>
      <c r="N72" s="639"/>
      <c r="O72" s="639"/>
      <c r="P72" s="639"/>
      <c r="Q72" s="639"/>
      <c r="R72" s="639"/>
      <c r="S72" s="639"/>
      <c r="T72" s="639"/>
      <c r="U72" s="639"/>
      <c r="V72" s="639"/>
      <c r="W72" s="639"/>
      <c r="X72" s="3"/>
      <c r="Y72" s="3"/>
      <c r="CA72" s="28">
        <f>CA71+1</f>
      </c>
    </row>
    <row r="73" spans="1:194" ht="15" customHeight="1" x14ac:dyDescent="0.2">
      <c r="A73" s="17"/>
      <c r="B73" s="4366" t="s">
        <v>4671</v>
      </c>
      <c r="C73" s="4367"/>
      <c r="D73" s="4367"/>
      <c r="E73" s="4367"/>
      <c r="F73" s="4367"/>
      <c r="G73" s="4367"/>
      <c r="H73" s="4368"/>
      <c r="I73" s="64"/>
      <c r="J73" s="17"/>
      <c r="K73" s="17"/>
      <c r="L73" s="1018" t="str">
        <f>$CA73&amp;$CB$9</f>
      </c>
      <c r="M73" s="497"/>
      <c r="N73" s="1018" t="str">
        <f>$CA73&amp;$CC$9</f>
      </c>
      <c r="O73" s="497"/>
      <c r="P73" s="1018" t="str">
        <f>$CA73&amp;$CD$9</f>
      </c>
      <c r="Q73" s="497"/>
      <c r="R73" s="1018" t="str">
        <f>$CA73&amp;$CE$9</f>
      </c>
      <c r="S73" s="497"/>
      <c r="T73" s="1018" t="str">
        <f>$CA73&amp;$CF$9</f>
      </c>
      <c r="U73" s="497"/>
      <c r="V73" s="1018" t="str">
        <f>$CA73&amp;$CG$9</f>
      </c>
      <c r="W73" s="497"/>
      <c r="X73" s="222" t="str">
        <f>IF($BC$79=0,"",IF(AD73=0," Details "&amp;re,IF(AD73&lt;&gt;6,reo,"")))</f>
        <v/>
      </c>
      <c r="Y73" s="3"/>
      <c r="Z73" s="28">
        <f>IF(X73="",0,1)</f>
      </c>
      <c r="AD73" s="28">
        <f>COUNT(W73,U73,S73,Q73,O73,M73)</f>
      </c>
      <c r="CA73" s="28">
        <f>CA60+1</f>
      </c>
      <c r="GL73" s="32">
        <f>SUM(M73,O73,Q73,S73,U73,W73)</f>
      </c>
    </row>
    <row r="74" spans="1:194" ht="3" customHeight="1" x14ac:dyDescent="0.2">
      <c r="A74" s="17"/>
      <c r="B74" s="17"/>
      <c r="C74" s="17"/>
      <c r="D74" s="17"/>
      <c r="E74" s="17"/>
      <c r="F74" s="17"/>
      <c r="G74" s="17"/>
      <c r="H74" s="17"/>
      <c r="I74" s="17"/>
      <c r="J74" s="3"/>
      <c r="K74" s="3"/>
      <c r="L74" s="121"/>
      <c r="M74" s="117"/>
      <c r="N74" s="121"/>
      <c r="O74" s="117"/>
      <c r="P74" s="121"/>
      <c r="Q74" s="117"/>
      <c r="R74" s="121"/>
      <c r="S74" s="117"/>
      <c r="T74" s="121"/>
      <c r="U74" s="117"/>
      <c r="V74" s="17"/>
      <c r="W74" s="17"/>
      <c r="X74" s="3"/>
      <c r="Y74" s="3"/>
      <c r="CA74" s="28">
        <f>CA72+1</f>
      </c>
    </row>
    <row r="75" spans="1:194" ht="15" customHeight="1" x14ac:dyDescent="0.2">
      <c r="A75" s="17"/>
      <c r="B75" s="4366" t="s">
        <v>9972</v>
      </c>
      <c r="C75" s="4367"/>
      <c r="D75" s="4367"/>
      <c r="E75" s="4367"/>
      <c r="F75" s="4367"/>
      <c r="G75" s="4367"/>
      <c r="H75" s="4368"/>
      <c r="I75" s="64"/>
      <c r="J75" s="17"/>
      <c r="K75" s="17"/>
      <c r="L75" s="1018" t="str">
        <f>$CA75&amp;$CB$9</f>
      </c>
      <c r="M75" s="497"/>
      <c r="N75" s="1018" t="str">
        <f>$CA75&amp;$CC$9</f>
      </c>
      <c r="O75" s="497"/>
      <c r="P75" s="1018" t="str">
        <f>$CA75&amp;$CD$9</f>
      </c>
      <c r="Q75" s="497"/>
      <c r="R75" s="1018" t="str">
        <f>$CA75&amp;$CE$9</f>
      </c>
      <c r="S75" s="497"/>
      <c r="T75" s="1018" t="str">
        <f>$CA75&amp;$CF$9</f>
      </c>
      <c r="U75" s="497"/>
      <c r="V75" s="1018" t="str">
        <f>$CA75&amp;$CG$9</f>
      </c>
      <c r="W75" s="497"/>
      <c r="X75" s="222" t="str">
        <f>IF(AND(AF1="n",AD75&lt;&gt;0),"Delete!",IF(AND(AF1="y",$BC$79&lt;&gt;0,AD75&lt;&gt;6),reo,""))</f>
        <v/>
      </c>
      <c r="Y75" s="3"/>
      <c r="Z75" s="28">
        <f>IF(X75="",0,1)</f>
      </c>
      <c r="AD75" s="28">
        <f>COUNT(W75,U75,S75,Q75,O75,M75)</f>
      </c>
      <c r="CA75" s="28">
        <f>CA73+1</f>
      </c>
    </row>
    <row r="76" spans="1:194" ht="3" customHeight="1" x14ac:dyDescent="0.2">
      <c r="A76" s="17"/>
      <c r="B76" s="17"/>
      <c r="C76" s="17"/>
      <c r="D76" s="17"/>
      <c r="E76" s="17"/>
      <c r="F76" s="17"/>
      <c r="G76" s="17"/>
      <c r="H76" s="17"/>
      <c r="I76" s="17"/>
      <c r="J76" s="3"/>
      <c r="K76" s="3"/>
      <c r="L76" s="121"/>
      <c r="M76" s="117"/>
      <c r="N76" s="121"/>
      <c r="O76" s="117"/>
      <c r="P76" s="121"/>
      <c r="Q76" s="117"/>
      <c r="R76" s="121"/>
      <c r="S76" s="117"/>
      <c r="T76" s="121"/>
      <c r="U76" s="117"/>
      <c r="V76" s="17"/>
      <c r="W76" s="17"/>
      <c r="X76" s="3"/>
      <c r="Y76" s="3"/>
      <c r="CA76" s="28">
        <f>CA74+1</f>
      </c>
    </row>
    <row r="77" spans="1:194" ht="15" customHeight="1" x14ac:dyDescent="0.2">
      <c r="A77" s="17"/>
      <c r="B77" s="5036" t="s">
        <v>9973</v>
      </c>
      <c r="C77" s="4271"/>
      <c r="D77" s="4271"/>
      <c r="E77" s="4271"/>
      <c r="F77" s="4271"/>
      <c r="G77" s="4271"/>
      <c r="H77" s="4272"/>
      <c r="I77" s="17"/>
      <c r="J77" s="3"/>
      <c r="K77" s="3"/>
      <c r="L77" s="1018" t="str">
        <f>$CA77&amp;$CB$9</f>
      </c>
      <c r="M77" s="880">
        <f>IF($AF$1="Y",M73+M75,M73)</f>
      </c>
      <c r="N77" s="1018" t="str">
        <f>$CA77&amp;$CC$9</f>
      </c>
      <c r="O77" s="880">
        <f>IF($AF$1="Y",O73+O75,O73)</f>
      </c>
      <c r="P77" s="1018" t="str">
        <f>$CA77&amp;$CD$9</f>
      </c>
      <c r="Q77" s="880">
        <f>IF($AF$1="Y",Q73+Q75,Q73)</f>
      </c>
      <c r="R77" s="1018" t="str">
        <f>$CA77&amp;$CE$9</f>
      </c>
      <c r="S77" s="880">
        <f>IF($AF$1="Y",S73+S75,S73)</f>
      </c>
      <c r="T77" s="1018" t="str">
        <f>$CA77&amp;$CF$9</f>
      </c>
      <c r="U77" s="880">
        <f>IF($AF$1="Y",U73+U75,U73)</f>
      </c>
      <c r="V77" s="1018" t="str">
        <f>$CA77&amp;$CG$9</f>
      </c>
      <c r="W77" s="880">
        <f>IF($AF$1="Y",W73+W75,W73)</f>
      </c>
      <c r="X77" s="222"/>
      <c r="Y77" s="3"/>
      <c r="CA77" s="28">
        <f>CA75+1</f>
      </c>
      <c r="GL77" s="32">
        <f>SUM(M77,O77,Q77,S77,U77,W77)</f>
      </c>
    </row>
    <row r="78" spans="1:194" ht="7.5" customHeight="1" x14ac:dyDescent="0.2">
      <c r="A78" s="17"/>
      <c r="B78" s="17"/>
      <c r="C78" s="17"/>
      <c r="D78" s="17"/>
      <c r="E78" s="17"/>
      <c r="F78" s="17"/>
      <c r="G78" s="17"/>
      <c r="H78" s="17"/>
      <c r="I78" s="17"/>
      <c r="J78" s="3"/>
      <c r="K78" s="3"/>
      <c r="L78" s="17"/>
      <c r="M78" s="121"/>
      <c r="N78" s="117"/>
      <c r="O78" s="119"/>
      <c r="P78" s="121"/>
      <c r="Q78" s="117"/>
      <c r="R78" s="119"/>
      <c r="S78" s="119"/>
      <c r="T78" s="869"/>
      <c r="U78" s="119"/>
      <c r="V78" s="121"/>
      <c r="W78" s="117"/>
      <c r="X78" s="3"/>
      <c r="Y78" s="3"/>
    </row>
    <row r="79" spans="1:194" ht="15" x14ac:dyDescent="0.2">
      <c r="A79" s="17"/>
      <c r="B79" s="557" t="s">
        <v>3136</v>
      </c>
      <c r="C79" s="1036"/>
      <c r="D79" s="18"/>
      <c r="E79" s="18"/>
      <c r="F79" s="18"/>
      <c r="G79" s="18"/>
      <c r="H79" s="19"/>
      <c r="I79" s="17"/>
      <c r="J79" s="3"/>
      <c r="K79" s="3"/>
      <c r="L79" s="17"/>
      <c r="M79" s="801" t="str">
        <f>IF(BC79=0,"",IF(GL77=0,"Gross dividends have to be indicated !",""))</f>
        <v/>
      </c>
      <c r="N79" s="61"/>
      <c r="O79" s="61"/>
      <c r="P79" s="61"/>
      <c r="Q79" s="61"/>
      <c r="R79" s="61"/>
      <c r="S79" s="61"/>
      <c r="T79" s="1032"/>
      <c r="U79" s="61"/>
      <c r="V79" s="61"/>
      <c r="W79" s="61"/>
      <c r="X79" s="3"/>
      <c r="Y79" s="3"/>
      <c r="BC79" s="84">
        <f>SUM(S42,S44,S46,S50)</f>
      </c>
    </row>
    <row r="80" spans="1:194" ht="2.25" customHeight="1" x14ac:dyDescent="0.2">
      <c r="A80" s="17"/>
      <c r="B80" s="17"/>
      <c r="C80" s="17"/>
      <c r="D80" s="17"/>
      <c r="E80" s="17"/>
      <c r="F80" s="17"/>
      <c r="G80" s="17"/>
      <c r="H80" s="17"/>
      <c r="I80" s="17"/>
      <c r="J80" s="3"/>
      <c r="K80" s="3"/>
      <c r="L80" s="17"/>
      <c r="M80" s="121"/>
      <c r="N80" s="117"/>
      <c r="O80" s="119"/>
      <c r="P80" s="121"/>
      <c r="Q80" s="117"/>
      <c r="R80" s="119"/>
      <c r="S80" s="119"/>
      <c r="T80" s="869"/>
      <c r="U80" s="119"/>
      <c r="V80" s="121"/>
      <c r="W80" s="117"/>
      <c r="X80" s="3"/>
      <c r="Y80" s="3"/>
      <c r="CA80" s="28">
        <f>CA78+1</f>
      </c>
    </row>
    <row r="81" spans="1:194" ht="20.25" customHeight="1" x14ac:dyDescent="0.2">
      <c r="A81" s="17"/>
      <c r="B81" s="631" t="s">
        <v>3007</v>
      </c>
      <c r="C81" s="860"/>
      <c r="D81" s="3"/>
      <c r="E81" s="3"/>
      <c r="F81" s="3"/>
      <c r="G81" s="3"/>
      <c r="H81" s="3"/>
      <c r="I81" s="3"/>
      <c r="J81" s="3"/>
      <c r="K81" s="3"/>
      <c r="L81" s="17"/>
      <c r="M81" s="17"/>
      <c r="N81" s="17"/>
      <c r="O81" s="17"/>
      <c r="P81" s="17"/>
      <c r="Q81" s="17"/>
      <c r="R81" s="17"/>
      <c r="S81" s="17"/>
      <c r="T81" s="12"/>
      <c r="U81" s="17"/>
      <c r="V81" s="17"/>
      <c r="W81" s="17"/>
      <c r="X81" s="3"/>
      <c r="Y81" s="3"/>
      <c r="BC81" s="84">
        <f>BC79+S40</f>
      </c>
    </row>
    <row r="82" spans="1:194" ht="4.1500000000000004" customHeight="1" x14ac:dyDescent="0.2">
      <c r="A82" s="17"/>
      <c r="B82" s="17"/>
      <c r="C82" s="17"/>
      <c r="D82" s="17"/>
      <c r="E82" s="17"/>
      <c r="F82" s="17"/>
      <c r="G82" s="17"/>
      <c r="H82" s="17"/>
      <c r="I82" s="17"/>
      <c r="J82" s="3"/>
      <c r="K82" s="3"/>
      <c r="L82" s="17"/>
      <c r="M82" s="17"/>
      <c r="N82" s="17"/>
      <c r="O82" s="17"/>
      <c r="P82" s="17"/>
      <c r="Q82" s="17"/>
      <c r="R82" s="17"/>
      <c r="S82" s="17"/>
      <c r="T82" s="12"/>
      <c r="U82" s="17"/>
      <c r="V82" s="17"/>
      <c r="W82" s="17"/>
      <c r="X82" s="3"/>
      <c r="Y82" s="3"/>
    </row>
    <row r="83" spans="1:194" x14ac:dyDescent="0.2">
      <c r="A83" s="17"/>
      <c r="B83" s="17" t="s">
        <v>7473</v>
      </c>
      <c r="C83" s="860"/>
      <c r="D83" s="3"/>
      <c r="E83" s="3"/>
      <c r="F83" s="3"/>
      <c r="G83" s="3"/>
      <c r="H83" s="3"/>
      <c r="I83" s="3"/>
      <c r="J83" s="3"/>
      <c r="K83" s="3"/>
      <c r="L83" s="1018" t="str">
        <f>$CA83&amp;$CB$9</f>
      </c>
      <c r="M83" s="878"/>
      <c r="N83" s="1018" t="str">
        <f>$CA83&amp;$CC$9</f>
      </c>
      <c r="O83" s="878"/>
      <c r="P83" s="1018" t="str">
        <f>$CA83&amp;$CD$9</f>
      </c>
      <c r="Q83" s="878"/>
      <c r="R83" s="1018" t="str">
        <f>$CA83&amp;$CE$9</f>
      </c>
      <c r="S83" s="878"/>
      <c r="T83" s="1018" t="str">
        <f>$CA83&amp;$CF$9</f>
      </c>
      <c r="U83" s="878"/>
      <c r="V83" s="17"/>
      <c r="W83" s="17"/>
      <c r="X83" s="3"/>
      <c r="Y83" s="3"/>
      <c r="CA83" s="28">
        <f>CA77+1</f>
      </c>
      <c r="GL83" s="84">
        <f>SUM(K83,M83,O83,Q83,S83,U83)</f>
      </c>
    </row>
    <row r="84" spans="1:194" ht="3" customHeight="1" x14ac:dyDescent="0.2">
      <c r="A84" s="17"/>
      <c r="B84" s="17"/>
      <c r="C84" s="17"/>
      <c r="D84" s="17"/>
      <c r="E84" s="17"/>
      <c r="F84" s="17"/>
      <c r="G84" s="17"/>
      <c r="H84" s="17"/>
      <c r="I84" s="17"/>
      <c r="J84" s="3"/>
      <c r="K84" s="3"/>
      <c r="L84" s="121"/>
      <c r="M84" s="117"/>
      <c r="N84" s="121"/>
      <c r="O84" s="117"/>
      <c r="P84" s="121"/>
      <c r="Q84" s="117"/>
      <c r="R84" s="121"/>
      <c r="S84" s="117"/>
      <c r="T84" s="121"/>
      <c r="U84" s="117"/>
      <c r="V84" s="17"/>
      <c r="W84" s="17"/>
      <c r="X84" s="3"/>
      <c r="Y84" s="3"/>
      <c r="CA84" s="28">
        <f>CA82+1</f>
      </c>
    </row>
    <row r="85" spans="1:194" ht="15" customHeight="1" x14ac:dyDescent="0.2">
      <c r="A85" s="17"/>
      <c r="B85" s="17" t="s">
        <v>7468</v>
      </c>
      <c r="C85" s="860"/>
      <c r="D85" s="3"/>
      <c r="E85" s="3"/>
      <c r="F85" s="3"/>
      <c r="G85" s="3"/>
      <c r="H85" s="3"/>
      <c r="I85" s="3"/>
      <c r="J85" s="3"/>
      <c r="K85" s="3"/>
      <c r="L85" s="1018" t="str">
        <f>$CA85&amp;$CB$9</f>
      </c>
      <c r="M85" s="878"/>
      <c r="N85" s="1018" t="str">
        <f>$CA85&amp;$CC$9</f>
      </c>
      <c r="O85" s="878"/>
      <c r="P85" s="1018" t="str">
        <f>$CA85&amp;$CD$9</f>
      </c>
      <c r="Q85" s="878"/>
      <c r="R85" s="1018" t="str">
        <f>$CA85&amp;$CE$9</f>
      </c>
      <c r="S85" s="878"/>
      <c r="T85" s="1018" t="str">
        <f>$CA85&amp;$CF$9</f>
      </c>
      <c r="U85" s="878"/>
      <c r="V85" s="17"/>
      <c r="W85" s="17"/>
      <c r="X85" s="3"/>
      <c r="Y85" s="3"/>
      <c r="CA85" s="28">
        <f>CA83+1</f>
      </c>
      <c r="GL85" s="84">
        <f>SUM(K85,M85,O85,Q85,S85,U85)</f>
      </c>
    </row>
    <row r="86" spans="1:194" ht="4.1500000000000004" customHeight="1" x14ac:dyDescent="0.2">
      <c r="A86" s="17"/>
      <c r="B86" s="17"/>
      <c r="C86" s="860"/>
      <c r="D86" s="17"/>
      <c r="E86" s="17"/>
      <c r="F86" s="17"/>
      <c r="G86" s="17"/>
      <c r="H86" s="17"/>
      <c r="I86" s="17"/>
      <c r="J86" s="3"/>
      <c r="K86" s="3"/>
      <c r="L86" s="121"/>
      <c r="M86" s="117"/>
      <c r="N86" s="12"/>
      <c r="O86" s="17"/>
      <c r="P86" s="121"/>
      <c r="Q86" s="117"/>
      <c r="R86" s="121"/>
      <c r="S86" s="117"/>
      <c r="T86" s="121"/>
      <c r="U86" s="117"/>
      <c r="V86" s="17"/>
      <c r="W86" s="17"/>
      <c r="X86" s="3"/>
      <c r="Y86" s="3"/>
    </row>
    <row r="87" spans="1:194" ht="15" customHeight="1" x14ac:dyDescent="0.2">
      <c r="A87" s="17"/>
      <c r="B87" s="17" t="s">
        <v>7469</v>
      </c>
      <c r="C87" s="860"/>
      <c r="D87" s="3"/>
      <c r="E87" s="3"/>
      <c r="F87" s="3"/>
      <c r="G87" s="3"/>
      <c r="H87" s="3"/>
      <c r="I87" s="3"/>
      <c r="J87" s="3"/>
      <c r="K87" s="3"/>
      <c r="L87" s="1018" t="str">
        <f>$CA87&amp;$CB$9</f>
      </c>
      <c r="M87" s="878"/>
      <c r="N87" s="1018" t="str">
        <f>$CA87&amp;$CC$9</f>
      </c>
      <c r="O87" s="878"/>
      <c r="P87" s="1018" t="str">
        <f>$CA87&amp;$CD$9</f>
      </c>
      <c r="Q87" s="878"/>
      <c r="R87" s="1018" t="str">
        <f>$CA87&amp;$CE$9</f>
      </c>
      <c r="S87" s="878"/>
      <c r="T87" s="1018" t="str">
        <f>$CA87&amp;$CF$9</f>
      </c>
      <c r="U87" s="878"/>
      <c r="V87" s="17"/>
      <c r="W87" s="17"/>
      <c r="X87" s="3"/>
      <c r="Y87" s="3"/>
      <c r="CA87" s="28">
        <f>CA85+1</f>
      </c>
      <c r="GL87" s="84">
        <f>SUM(K87,M87,O87,Q87,S87,U87)</f>
      </c>
    </row>
    <row r="88" spans="1:194" ht="4.1500000000000004" customHeight="1" x14ac:dyDescent="0.2">
      <c r="A88" s="17"/>
      <c r="B88" s="17"/>
      <c r="C88" s="860"/>
      <c r="D88" s="17"/>
      <c r="E88" s="17"/>
      <c r="F88" s="17"/>
      <c r="G88" s="17"/>
      <c r="H88" s="17"/>
      <c r="I88" s="17"/>
      <c r="J88" s="3"/>
      <c r="K88" s="3"/>
      <c r="L88" s="121"/>
      <c r="M88" s="117"/>
      <c r="N88" s="121"/>
      <c r="O88" s="117"/>
      <c r="P88" s="121"/>
      <c r="Q88" s="117"/>
      <c r="R88" s="121"/>
      <c r="S88" s="117"/>
      <c r="T88" s="121"/>
      <c r="U88" s="117"/>
      <c r="V88" s="17"/>
      <c r="W88" s="17"/>
      <c r="X88" s="3"/>
      <c r="Y88" s="3"/>
    </row>
    <row r="89" spans="1:194" ht="15" customHeight="1" x14ac:dyDescent="0.2">
      <c r="A89" s="17"/>
      <c r="B89" s="17" t="s">
        <v>7470</v>
      </c>
      <c r="C89" s="860"/>
      <c r="D89" s="3"/>
      <c r="E89" s="3"/>
      <c r="F89" s="3"/>
      <c r="G89" s="3"/>
      <c r="H89" s="3"/>
      <c r="I89" s="3"/>
      <c r="J89" s="3"/>
      <c r="K89" s="3"/>
      <c r="L89" s="1018" t="str">
        <f>$CA89&amp;$CB$9</f>
      </c>
      <c r="M89" s="878"/>
      <c r="N89" s="1018" t="str">
        <f>$CA89&amp;$CC$9</f>
      </c>
      <c r="O89" s="878"/>
      <c r="P89" s="1018" t="str">
        <f>$CA89&amp;$CD$9</f>
      </c>
      <c r="Q89" s="878"/>
      <c r="R89" s="1018" t="str">
        <f>$CA89&amp;$CE$9</f>
      </c>
      <c r="S89" s="878"/>
      <c r="T89" s="1018" t="str">
        <f>$CA89&amp;$CF$9</f>
      </c>
      <c r="U89" s="878"/>
      <c r="V89" s="17"/>
      <c r="W89" s="17"/>
      <c r="X89" s="3"/>
      <c r="Y89" s="3"/>
      <c r="CA89" s="28">
        <f>CA87+1</f>
      </c>
      <c r="GL89" s="84">
        <f>SUM(K89,M89,O89,Q89,S89,U89)</f>
      </c>
    </row>
    <row r="90" spans="1:194" ht="4.1500000000000004" customHeight="1" x14ac:dyDescent="0.2">
      <c r="A90" s="17"/>
      <c r="B90" s="17"/>
      <c r="C90" s="860"/>
      <c r="D90" s="17"/>
      <c r="E90" s="17"/>
      <c r="F90" s="17"/>
      <c r="G90" s="17"/>
      <c r="H90" s="17"/>
      <c r="I90" s="17"/>
      <c r="J90" s="3"/>
      <c r="K90" s="3"/>
      <c r="L90" s="17"/>
      <c r="M90" s="17"/>
      <c r="N90" s="121"/>
      <c r="O90" s="117"/>
      <c r="P90" s="121"/>
      <c r="Q90" s="117"/>
      <c r="R90" s="121"/>
      <c r="S90" s="117"/>
      <c r="T90" s="121"/>
      <c r="U90" s="121"/>
      <c r="V90" s="17"/>
      <c r="W90" s="17"/>
      <c r="X90" s="3"/>
      <c r="Y90" s="3"/>
    </row>
    <row r="91" spans="1:194" ht="15" customHeight="1" x14ac:dyDescent="0.2">
      <c r="A91" s="17"/>
      <c r="B91" s="17" t="s">
        <v>7471</v>
      </c>
      <c r="C91" s="860"/>
      <c r="D91" s="3"/>
      <c r="E91" s="3"/>
      <c r="F91" s="3"/>
      <c r="G91" s="3"/>
      <c r="H91" s="3"/>
      <c r="I91" s="3"/>
      <c r="J91" s="3"/>
      <c r="K91" s="3"/>
      <c r="L91" s="1018" t="str">
        <f>$CA91&amp;$CB$9</f>
      </c>
      <c r="M91" s="1840"/>
      <c r="N91" s="1018" t="str">
        <f>$CA91&amp;"b"</f>
      </c>
      <c r="O91" s="878"/>
      <c r="P91" s="1018" t="str">
        <f>$CA91&amp;"c"</f>
      </c>
      <c r="Q91" s="878"/>
      <c r="R91" s="121"/>
      <c r="S91" s="117"/>
      <c r="T91" s="121"/>
      <c r="U91" s="121"/>
      <c r="V91" s="17"/>
      <c r="W91" s="17"/>
      <c r="X91" s="3"/>
      <c r="Y91" s="3"/>
      <c r="CA91" s="28">
        <f>CA89+1</f>
      </c>
      <c r="GL91" s="84">
        <f>SUM(O91,Q91)</f>
      </c>
    </row>
    <row r="92" spans="1:194" ht="17.25" customHeight="1" x14ac:dyDescent="0.2">
      <c r="A92" s="17"/>
      <c r="B92" s="5603" t="s">
        <v>7472</v>
      </c>
      <c r="C92" s="5603"/>
      <c r="D92" s="5603"/>
      <c r="E92" s="5603"/>
      <c r="F92" s="5603"/>
      <c r="G92" s="5603"/>
      <c r="H92" s="5603"/>
      <c r="I92" s="17"/>
      <c r="J92" s="3"/>
      <c r="K92" s="3"/>
      <c r="L92" s="1018" t="s">
        <v>9975</v>
      </c>
      <c r="M92" s="878"/>
      <c r="N92" s="572"/>
      <c r="O92" s="572"/>
      <c r="P92" s="572"/>
      <c r="Q92" s="572"/>
      <c r="R92" s="1018" t="s">
        <v>9976</v>
      </c>
      <c r="S92" s="878"/>
      <c r="T92" s="1018" t="s">
        <v>9977</v>
      </c>
      <c r="U92" s="878"/>
      <c r="V92" s="121"/>
      <c r="W92" s="121"/>
      <c r="X92" s="3"/>
      <c r="Y92" s="3"/>
    </row>
    <row r="93" spans="1:194" ht="15" customHeight="1" x14ac:dyDescent="0.2">
      <c r="A93" s="17"/>
      <c r="B93" s="4452" t="s">
        <v>1701</v>
      </c>
      <c r="C93" s="4452"/>
      <c r="D93" s="4452"/>
      <c r="E93" s="4452"/>
      <c r="F93" s="4452"/>
      <c r="G93" s="4452"/>
      <c r="H93" s="4452"/>
      <c r="I93" s="3"/>
      <c r="J93" s="1018" t="str">
        <f>$CA93&amp;$CB$9</f>
      </c>
      <c r="K93" s="880">
        <f>S40*-1</f>
      </c>
      <c r="L93" s="1018" t="str">
        <f>$CA93&amp;$CC$9</f>
      </c>
      <c r="M93" s="880">
        <f>M77+(M83+M85+M87+M89+M91)+M92</f>
      </c>
      <c r="N93" s="1018" t="str">
        <f>$CA93&amp;$CD$9</f>
      </c>
      <c r="O93" s="880">
        <f>O77+(O83+O85+O87+O89+O91)</f>
      </c>
      <c r="P93" s="1018" t="str">
        <f>$CA93&amp;$CE$9</f>
      </c>
      <c r="Q93" s="880">
        <f>Q77+(Q83+Q85+Q87+Q89+Q91)</f>
      </c>
      <c r="R93" s="1018" t="str">
        <f>$CA93&amp;$CF$9</f>
      </c>
      <c r="S93" s="880">
        <f>S77+(S83+S85+S87+S89+S91)+S92</f>
      </c>
      <c r="T93" s="1018" t="str">
        <f>$CA93&amp;$CG$9</f>
      </c>
      <c r="U93" s="880">
        <f>U77+(U83+U85+U87+U89+U91)+U92</f>
      </c>
      <c r="V93" s="1018" t="str">
        <f>$CA93&amp;$CH$9</f>
      </c>
      <c r="W93" s="880">
        <f>W77</f>
      </c>
      <c r="X93" s="3"/>
      <c r="Y93" s="3"/>
      <c r="CA93" s="28">
        <f>CA91+1</f>
      </c>
      <c r="GL93" s="84">
        <f>SUM(K93,M93,O93,Q93,S93,U93,W93)</f>
      </c>
    </row>
    <row r="94" spans="1:194" ht="4.5" customHeight="1" x14ac:dyDescent="0.2">
      <c r="A94" s="17"/>
      <c r="B94" s="17"/>
      <c r="C94" s="17"/>
      <c r="D94" s="17"/>
      <c r="E94" s="17"/>
      <c r="F94" s="17"/>
      <c r="G94" s="17"/>
      <c r="H94" s="17"/>
      <c r="I94" s="17"/>
      <c r="J94" s="17"/>
      <c r="K94" s="17"/>
      <c r="L94" s="17"/>
      <c r="M94" s="17"/>
      <c r="N94" s="17"/>
      <c r="O94" s="17"/>
      <c r="P94" s="17"/>
      <c r="Q94" s="17"/>
      <c r="R94" s="17"/>
      <c r="S94" s="17"/>
      <c r="T94" s="17"/>
      <c r="U94" s="17"/>
      <c r="V94" s="12"/>
      <c r="W94" s="17"/>
      <c r="X94" s="3"/>
      <c r="Y94" s="3"/>
    </row>
    <row r="95" spans="1:194" ht="15" customHeight="1" x14ac:dyDescent="0.2">
      <c r="A95" s="17"/>
      <c r="B95" s="4452" t="s">
        <v>6819</v>
      </c>
      <c r="C95" s="4452"/>
      <c r="D95" s="4452"/>
      <c r="E95" s="4452"/>
      <c r="F95" s="4452"/>
      <c r="G95" s="4452"/>
      <c r="H95" s="4452"/>
      <c r="I95" s="17"/>
      <c r="J95" s="17"/>
      <c r="K95" s="3"/>
      <c r="L95" s="17"/>
      <c r="M95" s="17"/>
      <c r="N95" s="17"/>
      <c r="O95" s="17"/>
      <c r="P95" s="17"/>
      <c r="Q95" s="17"/>
      <c r="R95" s="17"/>
      <c r="S95" s="17"/>
      <c r="T95" s="17"/>
      <c r="U95" s="1078" t="str">
        <f>IF(GL93&lt;&gt;BC81*-1,"Total net distribution in field 122a does not agree with sum of fields 104c, 105c, 106c, 107c and 108c !  ","")</f>
        <v/>
      </c>
      <c r="V95" s="1018" t="str">
        <f>$CA95&amp;$CB$9</f>
      </c>
      <c r="W95" s="880">
        <f>GL93</f>
      </c>
      <c r="X95" s="3"/>
      <c r="Y95" s="3"/>
      <c r="CA95" s="28">
        <f>CA93+1</f>
      </c>
    </row>
    <row r="96" spans="1:194" ht="6" customHeight="1" x14ac:dyDescent="0.2">
      <c r="A96" s="17"/>
      <c r="B96" s="116"/>
      <c r="C96" s="17"/>
      <c r="D96" s="17"/>
      <c r="E96" s="17"/>
      <c r="F96" s="17"/>
      <c r="G96" s="17"/>
      <c r="H96" s="17"/>
      <c r="I96" s="3"/>
      <c r="J96" s="17"/>
      <c r="K96" s="119"/>
      <c r="L96" s="119"/>
      <c r="M96" s="119"/>
      <c r="N96" s="119"/>
      <c r="O96" s="119"/>
      <c r="P96" s="119"/>
      <c r="Q96" s="119"/>
      <c r="R96" s="119"/>
      <c r="S96" s="119"/>
      <c r="T96" s="119"/>
      <c r="U96" s="119"/>
      <c r="V96" s="121"/>
      <c r="W96" s="121"/>
      <c r="X96" s="3"/>
      <c r="Y96" s="3"/>
      <c r="CA96" s="28">
        <f>CA94+1</f>
      </c>
    </row>
    <row r="97" spans="1:79" ht="14.25" customHeight="1" x14ac:dyDescent="0.2">
      <c r="A97" s="17"/>
      <c r="B97" s="4288" t="s">
        <v>4460</v>
      </c>
      <c r="C97" s="4288"/>
      <c r="D97" s="4288"/>
      <c r="E97" s="4288"/>
      <c r="F97" s="4288"/>
      <c r="G97" s="4288"/>
      <c r="H97" s="4288"/>
      <c r="I97" s="3"/>
      <c r="J97" s="17"/>
      <c r="K97" s="119"/>
      <c r="L97" s="572"/>
      <c r="M97" s="572"/>
      <c r="N97" s="572"/>
      <c r="O97" s="572"/>
      <c r="P97" s="572"/>
      <c r="Q97" s="572"/>
      <c r="R97" s="572"/>
      <c r="S97" s="572"/>
      <c r="T97" s="572"/>
      <c r="U97" s="572"/>
      <c r="V97" s="1033"/>
      <c r="W97" s="572"/>
      <c r="X97" s="3"/>
      <c r="Y97" s="3"/>
      <c r="Z97" s="28">
        <f>IF(U95="",0,1)</f>
      </c>
    </row>
    <row r="98" spans="1:79" ht="4.1500000000000004" customHeight="1" x14ac:dyDescent="0.2">
      <c r="A98" s="3"/>
      <c r="B98" s="3"/>
      <c r="C98" s="3"/>
      <c r="D98" s="3"/>
      <c r="E98" s="3"/>
      <c r="F98" s="3"/>
      <c r="G98" s="3"/>
      <c r="H98" s="3"/>
      <c r="I98" s="3"/>
      <c r="J98" s="17"/>
      <c r="K98" s="119"/>
      <c r="L98" s="119"/>
      <c r="M98" s="119"/>
      <c r="N98" s="119"/>
      <c r="O98" s="119"/>
      <c r="P98" s="119"/>
      <c r="Q98" s="119"/>
      <c r="R98" s="119"/>
      <c r="S98" s="119"/>
      <c r="T98" s="119"/>
      <c r="U98" s="119"/>
      <c r="V98" s="121"/>
      <c r="W98" s="119"/>
      <c r="X98" s="3"/>
      <c r="Y98" s="3"/>
    </row>
    <row r="99" spans="1:79" ht="15" customHeight="1" x14ac:dyDescent="0.2">
      <c r="A99" s="17"/>
      <c r="B99" s="1034" t="s">
        <v>5444</v>
      </c>
      <c r="C99" s="3" t="s">
        <v>3442</v>
      </c>
      <c r="D99" s="3"/>
      <c r="E99" s="3"/>
      <c r="F99" s="3"/>
      <c r="G99" s="3"/>
      <c r="H99" s="3"/>
      <c r="I99" s="3"/>
      <c r="J99" s="17"/>
      <c r="K99" s="119"/>
      <c r="L99" s="119"/>
      <c r="M99" s="119"/>
      <c r="N99" s="119"/>
      <c r="O99" s="119"/>
      <c r="P99" s="119"/>
      <c r="Q99" s="119"/>
      <c r="R99" s="119"/>
      <c r="S99" s="119"/>
      <c r="T99" s="119"/>
      <c r="U99" s="119"/>
      <c r="V99" s="1018" t="str">
        <f>$CA99&amp;$CB$9</f>
      </c>
      <c r="W99" s="878"/>
      <c r="X99" s="222" t="str">
        <f>IF(GL$93=0,"",IF(W95-K93=0,"",IF(W99=""," "&amp;reo,"")))</f>
        <v/>
      </c>
      <c r="Y99" s="3"/>
      <c r="Z99" s="28">
        <f>IF(X99="",0,1)</f>
      </c>
      <c r="CA99" s="28">
        <f>CA95+1</f>
      </c>
    </row>
    <row r="100" spans="1:79" ht="4.1500000000000004" customHeight="1" x14ac:dyDescent="0.2">
      <c r="A100" s="17"/>
      <c r="B100" s="1035"/>
      <c r="C100" s="17"/>
      <c r="D100" s="3"/>
      <c r="E100" s="3"/>
      <c r="F100" s="3"/>
      <c r="G100" s="3"/>
      <c r="H100" s="3"/>
      <c r="I100" s="3"/>
      <c r="J100" s="17"/>
      <c r="K100" s="119"/>
      <c r="L100" s="119"/>
      <c r="M100" s="119"/>
      <c r="N100" s="119"/>
      <c r="O100" s="119"/>
      <c r="P100" s="119"/>
      <c r="Q100" s="119"/>
      <c r="R100" s="119"/>
      <c r="S100" s="119"/>
      <c r="T100" s="119"/>
      <c r="U100" s="119"/>
      <c r="V100" s="121"/>
      <c r="W100" s="117"/>
      <c r="X100" s="3"/>
      <c r="Y100" s="3"/>
    </row>
    <row r="101" spans="1:79" ht="15" customHeight="1" x14ac:dyDescent="0.2">
      <c r="A101" s="17"/>
      <c r="B101" s="3" t="s">
        <v>5446</v>
      </c>
      <c r="C101" s="3" t="s">
        <v>3443</v>
      </c>
      <c r="D101" s="3"/>
      <c r="E101" s="3"/>
      <c r="F101" s="3"/>
      <c r="G101" s="3"/>
      <c r="H101" s="3"/>
      <c r="I101" s="3"/>
      <c r="J101" s="17"/>
      <c r="K101" s="119"/>
      <c r="L101" s="119"/>
      <c r="M101" s="119"/>
      <c r="N101" s="119"/>
      <c r="O101" s="119"/>
      <c r="P101" s="119"/>
      <c r="Q101" s="119"/>
      <c r="R101" s="119"/>
      <c r="S101" s="119"/>
      <c r="T101" s="119"/>
      <c r="U101" s="119"/>
      <c r="V101" s="1018" t="str">
        <f>$CA101&amp;$CB$9</f>
      </c>
      <c r="W101" s="878"/>
      <c r="X101" s="222" t="str">
        <f>IF(GL$93=0,"",IF(W95-K93=0,"",IF(W101=""," "&amp;reo,"")))</f>
        <v/>
      </c>
      <c r="Y101" s="3"/>
      <c r="Z101" s="28">
        <f>IF(X101="",0,1)</f>
      </c>
      <c r="CA101" s="28">
        <f>CA99+1</f>
      </c>
    </row>
    <row r="102" spans="1:79" ht="4.1500000000000004" customHeight="1" x14ac:dyDescent="0.2">
      <c r="A102" s="17"/>
      <c r="B102" s="3"/>
      <c r="C102" s="3"/>
      <c r="D102" s="3"/>
      <c r="E102" s="3"/>
      <c r="F102" s="3"/>
      <c r="G102" s="3"/>
      <c r="H102" s="3"/>
      <c r="I102" s="3"/>
      <c r="J102" s="17"/>
      <c r="K102" s="119"/>
      <c r="L102" s="119"/>
      <c r="M102" s="119"/>
      <c r="N102" s="119"/>
      <c r="O102" s="119"/>
      <c r="P102" s="119"/>
      <c r="Q102" s="119"/>
      <c r="R102" s="119"/>
      <c r="S102" s="119"/>
      <c r="T102" s="119"/>
      <c r="U102" s="119"/>
      <c r="V102" s="121"/>
      <c r="W102" s="117"/>
      <c r="X102" s="3"/>
      <c r="Y102" s="3"/>
    </row>
    <row r="103" spans="1:79" ht="15" customHeight="1" x14ac:dyDescent="0.2">
      <c r="A103" s="17"/>
      <c r="B103" s="3" t="s">
        <v>4461</v>
      </c>
      <c r="C103" s="3" t="s">
        <v>3444</v>
      </c>
      <c r="D103" s="3"/>
      <c r="E103" s="3"/>
      <c r="F103" s="3"/>
      <c r="G103" s="3"/>
      <c r="H103" s="3"/>
      <c r="I103" s="3"/>
      <c r="J103" s="17"/>
      <c r="K103" s="185"/>
      <c r="L103" s="185"/>
      <c r="M103" s="185"/>
      <c r="N103" s="185"/>
      <c r="O103" s="185"/>
      <c r="P103" s="185"/>
      <c r="Q103" s="185"/>
      <c r="R103" s="185"/>
      <c r="S103" s="185"/>
      <c r="T103" s="185"/>
      <c r="U103" s="119"/>
      <c r="V103" s="1018" t="str">
        <f>$CA103&amp;$CB$9</f>
      </c>
      <c r="W103" s="878"/>
      <c r="X103" s="222" t="str">
        <f>IF(GL$93=0,"",IF(W95-K93=0,"",IF(W103=""," "&amp;reo,"")))</f>
        <v/>
      </c>
      <c r="Y103" s="3"/>
      <c r="Z103" s="28">
        <f>IF(X103="",0,1)</f>
      </c>
      <c r="CA103" s="28">
        <f>CA101+1</f>
      </c>
    </row>
    <row r="104" spans="1:79" ht="4.1500000000000004" customHeight="1" x14ac:dyDescent="0.2">
      <c r="A104" s="17"/>
      <c r="B104" s="3"/>
      <c r="C104" s="3"/>
      <c r="D104" s="3"/>
      <c r="E104" s="3"/>
      <c r="F104" s="3"/>
      <c r="G104" s="3"/>
      <c r="H104" s="3"/>
      <c r="I104" s="3"/>
      <c r="J104" s="17"/>
      <c r="K104" s="119"/>
      <c r="L104" s="119"/>
      <c r="M104" s="119"/>
      <c r="N104" s="119"/>
      <c r="O104" s="119"/>
      <c r="P104" s="119"/>
      <c r="Q104" s="119"/>
      <c r="R104" s="119"/>
      <c r="S104" s="119"/>
      <c r="T104" s="119"/>
      <c r="U104" s="119"/>
      <c r="V104" s="121"/>
      <c r="W104" s="117"/>
      <c r="X104" s="3"/>
      <c r="Y104" s="3"/>
    </row>
    <row r="105" spans="1:79" ht="15" customHeight="1" x14ac:dyDescent="0.2">
      <c r="A105" s="17"/>
      <c r="B105" s="4288" t="s">
        <v>5268</v>
      </c>
      <c r="C105" s="4288"/>
      <c r="D105" s="4288"/>
      <c r="E105" s="4288"/>
      <c r="F105" s="4288"/>
      <c r="G105" s="4288"/>
      <c r="H105" s="4288"/>
      <c r="I105" s="3"/>
      <c r="J105" s="17"/>
      <c r="K105" s="5602" t="str">
        <f>IF(AND(BD105=100,W105=0),"",IF(AND(BD105=0,W105&lt;&gt;0),BE105,IF(AND(BD105=1,W105=0),BE106,"")))</f>
        <v/>
      </c>
      <c r="L105" s="5602"/>
      <c r="M105" s="5602"/>
      <c r="N105" s="5602"/>
      <c r="O105" s="5602"/>
      <c r="P105" s="5602"/>
      <c r="Q105" s="5602"/>
      <c r="R105" s="5602"/>
      <c r="S105" s="5602"/>
      <c r="T105" s="5602"/>
      <c r="U105" s="120"/>
      <c r="V105" s="1018" t="str">
        <f>$CA105&amp;$CB$9</f>
      </c>
      <c r="W105" s="1444">
        <f>GL93+(W99+W101+W103)</f>
      </c>
      <c r="X105" s="3"/>
      <c r="Y105" s="3"/>
      <c r="Z105" s="28">
        <f>IF(K105="",0,1)</f>
      </c>
      <c r="BC105" s="28" t="str">
        <f>'p2'!G15</f>
      </c>
      <c r="BD105" s="28">
        <f>IF(BC105=y,1,IF(BC105=n,0,100))</f>
      </c>
      <c r="BE105" s="28" t="s">
        <v>6164</v>
      </c>
      <c r="CA105" s="28">
        <f>CA103+1</f>
      </c>
    </row>
    <row r="106" spans="1:79" x14ac:dyDescent="0.2">
      <c r="A106" s="17"/>
      <c r="B106" s="17"/>
      <c r="C106" s="3"/>
      <c r="D106" s="17"/>
      <c r="E106" s="17"/>
      <c r="F106" s="17"/>
      <c r="G106" s="17"/>
      <c r="H106" s="17"/>
      <c r="I106" s="3"/>
      <c r="J106" s="3"/>
      <c r="K106" s="3"/>
      <c r="L106" s="3"/>
      <c r="M106" s="3"/>
      <c r="N106" s="3"/>
      <c r="O106" s="3"/>
      <c r="P106" s="3"/>
      <c r="Q106" s="3"/>
      <c r="R106" s="3"/>
      <c r="S106" s="3"/>
      <c r="T106" s="3"/>
      <c r="U106" s="3"/>
      <c r="V106" s="12"/>
      <c r="W106" s="3"/>
      <c r="X106" s="119"/>
      <c r="Y106" s="119"/>
      <c r="BE106" s="28" t="s">
        <v>6165</v>
      </c>
    </row>
    <row r="107" spans="1:79" x14ac:dyDescent="0.2">
      <c r="A107" s="17"/>
      <c r="B107" s="65" t="s">
        <v>3006</v>
      </c>
      <c r="C107" s="17"/>
      <c r="D107" s="17"/>
      <c r="E107" s="17"/>
      <c r="F107" s="17"/>
      <c r="G107" s="17"/>
      <c r="H107" s="17"/>
      <c r="I107" s="17"/>
      <c r="J107" s="1018" t="str">
        <f>$CA107&amp;$CB$9</f>
      </c>
      <c r="K107" s="878"/>
      <c r="L107" s="1018" t="str">
        <f>$CA107&amp;$CC$9</f>
      </c>
      <c r="M107" s="878"/>
      <c r="N107" s="1018" t="str">
        <f>$CA107&amp;$CD$9</f>
      </c>
      <c r="O107" s="878"/>
      <c r="P107" s="1018" t="str">
        <f>$CA107&amp;$CE$9</f>
      </c>
      <c r="Q107" s="878"/>
      <c r="R107" s="1018" t="str">
        <f>$CA107&amp;$CF$9</f>
      </c>
      <c r="S107" s="878"/>
      <c r="T107" s="1018" t="str">
        <f>$CA107&amp;$CG$9</f>
      </c>
      <c r="U107" s="878"/>
      <c r="V107" s="1018" t="str">
        <f>$CA107&amp;$CH$9</f>
      </c>
      <c r="W107" s="689">
        <f>SUM(M107,O107,Q107,S107,U107)</f>
      </c>
      <c r="X107" s="17"/>
      <c r="Y107" s="17"/>
      <c r="Z107" s="898">
        <f>SUM(Z2:Z105)</f>
      </c>
      <c r="AA107" s="898"/>
      <c r="AB107" s="898"/>
      <c r="CA107" s="28">
        <f>CA105+1</f>
      </c>
    </row>
    <row r="108" spans="1:79" ht="12.75" hidden="1" customHeight="1" x14ac:dyDescent="0.2">
      <c r="A108" s="17"/>
      <c r="B108" s="17"/>
      <c r="C108" s="17"/>
      <c r="D108" s="17"/>
      <c r="E108" s="17"/>
      <c r="F108" s="17"/>
      <c r="G108" s="17"/>
      <c r="H108" s="17"/>
      <c r="I108" s="17"/>
      <c r="J108" s="17"/>
      <c r="K108" s="17"/>
      <c r="L108" s="17"/>
      <c r="M108" s="17"/>
      <c r="N108" s="17"/>
      <c r="O108" s="17"/>
      <c r="P108" s="17"/>
      <c r="Q108" s="17"/>
      <c r="R108" s="17"/>
      <c r="S108" s="17"/>
      <c r="T108" s="3"/>
      <c r="U108" s="3"/>
      <c r="V108" s="17"/>
      <c r="W108" s="17"/>
      <c r="X108" s="17"/>
      <c r="Y108" s="17"/>
      <c r="Z108" s="898"/>
      <c r="AA108" s="898"/>
      <c r="AB108" s="898"/>
    </row>
    <row r="109" spans="1:79" ht="12.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79" ht="12.75" hidden="1" customHeight="1" x14ac:dyDescent="0.2">
      <c r="AA110" s="28">
        <f>IF(Z107&lt;&gt;0,100,1)</f>
      </c>
    </row>
  </sheetData>
  <sheetProtection algorithmName="SHA-512" hashValue="Y+HLfIV0jk5HdcmdDS4/IO7PiGVb1X0Url9kG9L44SNP/y7joMMdksKmeSa/hBuXzeLzWmfkwSpFr56UuO8MyA==" saltValue="qjWug3ufbBO4gWYvsVBldg==" spinCount="100000" sheet="1" objects="1" scenarios="1"/>
  <customSheetViews>
    <customSheetView guid="{99B5278F-6EA9-4B1A-8623-27A4DF4AD5E4}" showGridLines="0" fitToPage="1" hiddenRows="1" hiddenColumns="1">
      <selection activeCell="M36" sqref="M36"/>
      <rowBreaks count="1" manualBreakCount="1">
        <brk id="58" min="1" max="22" man="1"/>
      </rowBreaks>
      <pageMargins left="0.47244094488188981" right="0.19685039370078741" top="0.11811023622047245" bottom="0.27559055118110237" header="7.874015748031496E-2" footer="0.11811023622047245"/>
      <pageSetup paperSize="9" scale="76" orientation="portrait" horizontalDpi="300" verticalDpi="300" r:id="rId1"/>
      <headerFooter alignWithMargins="0">
        <oddFooter>&amp;LIRD - Malta&amp;RPage 6</oddFooter>
      </headerFooter>
    </customSheetView>
  </customSheetViews>
  <mergeCells count="32">
    <mergeCell ref="V69:W71"/>
    <mergeCell ref="T70:U71"/>
    <mergeCell ref="R70:S71"/>
    <mergeCell ref="P70:Q71"/>
    <mergeCell ref="N69:Q69"/>
    <mergeCell ref="R69:U69"/>
    <mergeCell ref="B1:V1"/>
    <mergeCell ref="L2:P2"/>
    <mergeCell ref="U3:W3"/>
    <mergeCell ref="N7:O7"/>
    <mergeCell ref="P7:Q7"/>
    <mergeCell ref="R7:S7"/>
    <mergeCell ref="T7:U7"/>
    <mergeCell ref="T35:U36"/>
    <mergeCell ref="B69:H71"/>
    <mergeCell ref="L69:M71"/>
    <mergeCell ref="B73:H73"/>
    <mergeCell ref="B75:H75"/>
    <mergeCell ref="B35:M36"/>
    <mergeCell ref="J69:K71"/>
    <mergeCell ref="N35:O36"/>
    <mergeCell ref="P35:S35"/>
    <mergeCell ref="P36:Q36"/>
    <mergeCell ref="R36:S36"/>
    <mergeCell ref="N70:O71"/>
    <mergeCell ref="B105:H105"/>
    <mergeCell ref="K105:T105"/>
    <mergeCell ref="B77:H77"/>
    <mergeCell ref="B93:H93"/>
    <mergeCell ref="B97:H97"/>
    <mergeCell ref="B95:H95"/>
    <mergeCell ref="B92:H92"/>
  </mergeCells>
  <phoneticPr fontId="0" type="noConversion"/>
  <conditionalFormatting sqref="M75 O75 Q75 S75 U75 W75">
    <cfRule type="expression" dxfId="27" priority="2">
      <formula>$AF$1="n"</formula>
    </cfRule>
  </conditionalFormatting>
  <conditionalFormatting sqref="O42">
    <cfRule type="expression" dxfId="26" priority="9" stopIfTrue="1">
      <formula>ya=2008</formula>
    </cfRule>
  </conditionalFormatting>
  <conditionalFormatting sqref="Q10 S10 U10 Q12:Q13 S12:S13 U12:U13 U17 Q20 S20 U20 Q24 S24 U24 Q33 S33">
    <cfRule type="expression" dxfId="25" priority="21" stopIfTrue="1">
      <formula>$AM$3=1</formula>
    </cfRule>
  </conditionalFormatting>
  <conditionalFormatting sqref="Q15:Q17">
    <cfRule type="expression" dxfId="24" priority="7" stopIfTrue="1">
      <formula>$AM$3=1</formula>
    </cfRule>
  </conditionalFormatting>
  <conditionalFormatting sqref="Q22">
    <cfRule type="expression" dxfId="23" priority="38" stopIfTrue="1">
      <formula>$AM$3=1</formula>
    </cfRule>
    <cfRule type="expression" dxfId="22" priority="39" stopIfTrue="1">
      <formula>$Q$22&gt;$Q$24</formula>
    </cfRule>
  </conditionalFormatting>
  <conditionalFormatting sqref="Q26 Q28:Q32">
    <cfRule type="expression" dxfId="21" priority="5" stopIfTrue="1">
      <formula>$R$22&lt;&gt;""</formula>
    </cfRule>
  </conditionalFormatting>
  <conditionalFormatting sqref="Q2:W2">
    <cfRule type="expression" dxfId="20" priority="8" stopIfTrue="1">
      <formula>fisc&gt;0</formula>
    </cfRule>
  </conditionalFormatting>
  <conditionalFormatting sqref="S16">
    <cfRule type="expression" dxfId="19" priority="3">
      <formula>$S$16&gt;$S$13</formula>
    </cfRule>
  </conditionalFormatting>
  <conditionalFormatting sqref="S16:S17">
    <cfRule type="expression" dxfId="18" priority="6" stopIfTrue="1">
      <formula>$AM$3=1</formula>
    </cfRule>
  </conditionalFormatting>
  <conditionalFormatting sqref="U26:U33">
    <cfRule type="expression" dxfId="17" priority="4" stopIfTrue="1">
      <formula>$AM$3=1</formula>
    </cfRule>
  </conditionalFormatting>
  <conditionalFormatting sqref="V38">
    <cfRule type="expression" dxfId="16" priority="29" stopIfTrue="1">
      <formula>$V$38&lt;&gt;re</formula>
    </cfRule>
  </conditionalFormatting>
  <conditionalFormatting sqref="V5:Y5">
    <cfRule type="expression" dxfId="15" priority="10" stopIfTrue="1">
      <formula>$AA$5=1</formula>
    </cfRule>
  </conditionalFormatting>
  <conditionalFormatting sqref="V22:Y22 S22:U23 P23:R23">
    <cfRule type="expression" dxfId="14" priority="11" stopIfTrue="1">
      <formula>$R$22&lt;&gt;""</formula>
    </cfRule>
  </conditionalFormatting>
  <conditionalFormatting sqref="V54:Y54">
    <cfRule type="expression" dxfId="13" priority="14" stopIfTrue="1">
      <formula>$V$54&lt;&gt;re</formula>
    </cfRule>
  </conditionalFormatting>
  <conditionalFormatting sqref="W38:Y38">
    <cfRule type="expression" dxfId="12" priority="13" stopIfTrue="1">
      <formula>$V$38&lt;&gt;re</formula>
    </cfRule>
  </conditionalFormatting>
  <dataValidations count="21">
    <dataValidation type="whole" errorStyle="warning" allowBlank="1" showInputMessage="1" showErrorMessage="1" errorTitle="DIVIDENDS PAID" error="PLEASE ENTER A NEGATIVE VALUE!_x000a_OR_x000a_VALUE CANNOT EXCEED DISTRIBUTABLE RESERVES!" sqref="S38" xr:uid="{00000000-0002-0000-7600-000000000000}">
      <formula1>BB38</formula1>
      <formula2>0</formula2>
    </dataValidation>
    <dataValidation type="whole" allowBlank="1" showInputMessage="1" showErrorMessage="1" errorTitle="DIVIDENDS PAID" error="PLEASE ENTER A NEGATIVE VALUE!_x000a_OR_x000a_VALUE CANNOT EXCEED DISTRIBUTABLE RESERVES!" sqref="S40 S42 S44 S46" xr:uid="{00000000-0002-0000-7600-000001000000}">
      <formula1>AC40</formula1>
      <formula2>0</formula2>
    </dataValidation>
    <dataValidation type="whole" allowBlank="1" showInputMessage="1" showErrorMessage="1" errorTitle="DIVIDENDS PAID" error="PLEASE ENTER A NEGATIVE VALUE!_x000a_OR_x000a_VALUE CANNOT EXCEED DISTRIBUTABLE RESERVES!" promptTitle="Dividends Paid" prompt="Bonus issues ONLY!" sqref="S54 S56" xr:uid="{00000000-0002-0000-7600-000002000000}">
      <formula1>BB54</formula1>
      <formula2>0</formula2>
    </dataValidation>
    <dataValidation type="whole" operator="equal" allowBlank="1" showInputMessage="1" showErrorMessage="1" errorTitle="PROPOSED DIVIDENDS" error="PLEASE ENTER A NEGATIVE AMOUNT EQUAL TO PROPOSED DIVIDENDS REPORTED IN THE BALANCE SHEET!" sqref="U58" xr:uid="{00000000-0002-0000-7600-000003000000}">
      <formula1>BD58</formula1>
    </dataValidation>
    <dataValidation type="whole" allowBlank="1" showInputMessage="1" showErrorMessage="1" errorTitle="Relocation to the IPA" error="PLEASE ENTER A POSITIVE VALUE!" sqref="Q19" xr:uid="{00000000-0002-0000-7600-000004000000}">
      <formula1>0</formula1>
      <formula2>S17+U17</formula2>
    </dataValidation>
    <dataValidation type="whole" allowBlank="1" showInputMessage="1" showErrorMessage="1" errorTitle="Relocation to the IPA" error="PLEASE ENTER A NEGATIVE VALUE THAT DOES NOT EXCEED THE CHARGEABLE INCOME AFTER TAX FROM THIS TAXED ACCOUNT!" sqref="S19 U19" xr:uid="{00000000-0002-0000-7600-000005000000}">
      <formula1>S17*-1</formula1>
      <formula2>0</formula2>
    </dataValidation>
    <dataValidation type="whole" operator="equal" allowBlank="1" showInputMessage="1" showErrorMessage="1" errorTitle="Incentives and Benefits Reserve" error="PLEASE ENTER A POSITIVE VALUE!" sqref="Q54" xr:uid="{00000000-0002-0000-7600-000006000000}">
      <formula1>Q55</formula1>
    </dataValidation>
    <dataValidation type="whole" allowBlank="1" showInputMessage="1" showErrorMessage="1" errorTitle="CIS - Relocation from the FTA" error="Please enter a positive value that does not exceed the amount in field 97d! " sqref="Q18" xr:uid="{00000000-0002-0000-7600-000007000000}">
      <formula1>0</formula1>
      <formula2>O18*-1</formula2>
    </dataValidation>
    <dataValidation type="whole" allowBlank="1" showInputMessage="1" showErrorMessage="1" errorTitle="CIS - Relocation from the FTA" error="Please enter a positive value and ensure that the amounts entered in fields 97e and 97f do not exceed the amount in field 97d! " sqref="S18" xr:uid="{00000000-0002-0000-7600-000008000000}">
      <formula1>0</formula1>
      <formula2>(O18+Q18)*-1</formula2>
    </dataValidation>
    <dataValidation type="whole" allowBlank="1" showInputMessage="1" showErrorMessage="1" errorTitle="CIS - Relocation from the FTA" error="Please enter a negative value that does not exceed the amount in field 91a! " sqref="O18" xr:uid="{00000000-0002-0000-7600-000009000000}">
      <formula1>#REF!</formula1>
      <formula2>0</formula2>
    </dataValidation>
    <dataValidation type="whole" operator="lessThanOrEqual" allowBlank="1" showInputMessage="1" showErrorMessage="1" errorTitle="Unrelieved foreign Tax" error="Please enter a negative amount" sqref="M107 O107 Q107 S107 U107 K107" xr:uid="{00000000-0002-0000-7600-00000A000000}">
      <formula1>0</formula1>
    </dataValidation>
    <dataValidation type="whole" operator="lessThanOrEqual" allowBlank="1" showInputMessage="1" showErrorMessage="1" errorTitle="DEDUCTION" error="Please enter a negative amount" sqref="M83 M85 O89 O91:O92 O87 O85 O83 Q83 Q85 Q87 Q89 Q91:Q92 U87 U85 U83 S89 S87 S85 S83 U89 M89 M87 M91" xr:uid="{00000000-0002-0000-7600-00000B000000}">
      <formula1>0</formula1>
    </dataValidation>
    <dataValidation type="whole" operator="greaterThanOrEqual" allowBlank="1" showInputMessage="1" showErrorMessage="1" errorTitle="GROSS DISTRIBUTION" error="PLEASE ENTER A POSITIVE AMOUNT!" sqref="S77 M77 Q77 W77 O77 U77 Q73 M73 W73 O73 U73 S73" xr:uid="{00000000-0002-0000-7600-00000C000000}">
      <formula1>0</formula1>
    </dataValidation>
    <dataValidation type="whole" operator="greaterThanOrEqual" allowBlank="1" showInputMessage="1" showErrorMessage="1" errorTitle="TAX ACCOUNTING" error="PLEASE ENTER A POSITIVE VALUE!" sqref="O44 Q44 Q46 O46 O42 O40 Q40 Q42" xr:uid="{00000000-0002-0000-7600-00000D000000}">
      <formula1>0</formula1>
    </dataValidation>
    <dataValidation operator="greaterThanOrEqual" allowBlank="1" showInputMessage="1" showErrorMessage="1" errorTitle="TAX ACCOUNTING" error="PLEASE ENTER A POSITIVE VALUE!" sqref="O50 Q38 O38 S50 Q50 Q55" xr:uid="{00000000-0002-0000-7600-00000E000000}"/>
    <dataValidation type="whole" operator="lessThanOrEqual" allowBlank="1" showInputMessage="1" showErrorMessage="1" errorTitle="WITHHOLDING TAX" error="PLEASE ENTER A NEGATIVE VALUE!" sqref="W99 W103 W101" xr:uid="{00000000-0002-0000-7600-00000F000000}">
      <formula1>0</formula1>
    </dataValidation>
    <dataValidation type="whole" allowBlank="1" showInputMessage="1" showErrorMessage="1" errorTitle="Non Distributable Reserves" error="PLEASE ENTER A POSITIVE VALUE!" sqref="O56 Q56" xr:uid="{00000000-0002-0000-7600-000010000000}">
      <formula1>-999999999999999</formula1>
      <formula2>999999999999999</formula2>
    </dataValidation>
    <dataValidation type="whole" operator="greaterThanOrEqual" allowBlank="1" showInputMessage="1" showErrorMessage="1" errorTitle="Incentives and Benefits Reserve" error="PLEASE ENTER A POSITIVE VALUE!" sqref="O54" xr:uid="{00000000-0002-0000-7600-000011000000}">
      <formula1>0</formula1>
    </dataValidation>
    <dataValidation errorStyle="warning" operator="greaterThanOrEqual" showInputMessage="1" showErrorMessage="1" errorTitle="Legislation" error="Please enter proper legislation reference!" promptTitle="RELOCATION FROM THE FTA" prompt="To be used only where an adjustment is required  to relocate profits from the FTA to OTHER TAXED ACCOUNTS (e.g. Collective Investment Scheme that is reporting taxed income like dividends received that carry tax at source)." sqref="B18:M18" xr:uid="{00000000-0002-0000-7600-000012000000}"/>
    <dataValidation type="whole" operator="greaterThanOrEqual" allowBlank="1" showInputMessage="1" showErrorMessage="1" errorTitle="Tax Credit" error="Please enter a positive amount!_x000a_" sqref="M92 S92 U92" xr:uid="{00000000-0002-0000-7600-000013000000}">
      <formula1>0</formula1>
    </dataValidation>
    <dataValidation type="whole" operator="greaterThanOrEqual" allowBlank="1" showInputMessage="1" showErrorMessage="1" errorTitle="GROSS DISTRIBUTION - NCI" error="PLEASE ENTER A POSITIVE AMOUNT!" sqref="O75 Q75 S75 U75 W75 M75" xr:uid="{00000000-0002-0000-7600-000014000000}">
      <formula1>0</formula1>
    </dataValidation>
  </dataValidations>
  <hyperlinks>
    <hyperlink ref="B2" location="Index!A1" display="Index!A1" xr:uid="{00000000-0004-0000-7600-000000000000}"/>
    <hyperlink ref="B2:H2" location="Index!A30" display="B A C K   T O   I N D E X" xr:uid="{00000000-0004-0000-7600-000001000000}"/>
    <hyperlink ref="M40" location="TRA61_FTA!A1" display="TRA 61" xr:uid="{00000000-0004-0000-7600-000002000000}"/>
    <hyperlink ref="M42" location="TRA62_IPA!A1" display="TRA 62" xr:uid="{00000000-0004-0000-7600-000003000000}"/>
    <hyperlink ref="M44" location="TRA63_MTA_FIA!A1" display="TRA 63" xr:uid="{00000000-0004-0000-7600-000004000000}"/>
    <hyperlink ref="M46" location="TRA63_MTA_FIA!A1" display="TRA 63" xr:uid="{00000000-0004-0000-7600-000005000000}"/>
    <hyperlink ref="M9" location="TRA61_FTA!A1" display="TRA 61" xr:uid="{00000000-0004-0000-7600-000006000000}"/>
    <hyperlink ref="M10" location="'p5'!A1" display="Page 5" xr:uid="{00000000-0004-0000-7600-000007000000}"/>
    <hyperlink ref="M15" location="'TRA89'!A1" display="TRA 89" xr:uid="{00000000-0004-0000-7600-000008000000}"/>
    <hyperlink ref="M25" location="TRA23_24!A1" display="TRA23_24!A1" xr:uid="{00000000-0004-0000-7600-000009000000}"/>
    <hyperlink ref="M18" location="TRA61_FTA!A1" display="TRA 61" xr:uid="{00000000-0004-0000-7600-00000A000000}"/>
    <hyperlink ref="M16" location="'TRA35'!A1" display="TRA 35" xr:uid="{00000000-0004-0000-7600-00000B000000}"/>
    <hyperlink ref="M26" location="'TRA100'!C70" display="TRA 100" xr:uid="{00000000-0004-0000-7600-00000C000000}"/>
  </hyperlinks>
  <pageMargins left="0.47244094488188981" right="0.19685039370078741" top="0.11811023622047245" bottom="0.86614173228346458" header="7.874015748031496E-2" footer="0.27559055118110237"/>
  <pageSetup paperSize="9" scale="76" orientation="portrait" r:id="rId2"/>
  <headerFooter alignWithMargins="0">
    <oddFooter>&amp;LCfR - Malta&amp;RPage 6</oddFooter>
  </headerFooter>
  <rowBreaks count="1" manualBreakCount="1">
    <brk id="66" min="1" max="22" man="1"/>
  </rowBreaks>
  <drawing r:id="rId3"/>
  <legacyDrawing r:id="rId4"/>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44"/>
  <dimension ref="A1:U3555"/>
  <sheetViews>
    <sheetView zoomScaleNormal="100" workbookViewId="0">
      <pane xSplit="1" ySplit="1" topLeftCell="B2" activePane="bottomRight" state="frozen"/>
      <selection pane="topRight" activeCell="B1" sqref="B1"/>
      <selection pane="bottomLeft" activeCell="A2" sqref="A2"/>
      <selection pane="bottomRight" sqref="A1:XFD1048576"/>
    </sheetView>
  </sheetViews>
  <sheetFormatPr defaultColWidth="0" defaultRowHeight="12.75" zeroHeight="1" x14ac:dyDescent="0.2"/>
  <cols>
    <col min="1" max="1" width="7.28515625" style="2291" hidden="1" customWidth="1"/>
    <col min="2" max="5" width="5.5703125" style="1634" hidden="1" customWidth="1"/>
    <col min="6" max="6" width="13.42578125" style="1634" hidden="1" customWidth="1"/>
    <col min="7" max="7" width="5.5703125" style="1634" hidden="1" customWidth="1"/>
    <col min="8" max="9" width="4.5703125" style="1634" hidden="1" customWidth="1"/>
    <col min="10" max="10" width="5.42578125" style="1634" hidden="1" customWidth="1"/>
    <col min="11" max="11" width="4.5703125" style="1634" hidden="1" customWidth="1"/>
    <col min="12" max="12" width="5.42578125" style="1634" hidden="1" customWidth="1"/>
    <col min="13" max="13" width="4" style="1634" hidden="1" customWidth="1"/>
    <col min="14" max="14" width="2.5703125" style="1634" hidden="1" customWidth="1"/>
    <col min="15" max="15" width="2.28515625" style="1634" hidden="1" customWidth="1"/>
    <col min="16" max="16" width="2.42578125" style="1634" hidden="1" customWidth="1"/>
    <col min="17" max="17" width="2.28515625" style="1634" hidden="1" customWidth="1"/>
    <col min="18" max="18" width="2.42578125" style="1634" hidden="1" customWidth="1"/>
    <col min="19" max="21" width="2.28515625" style="1634" hidden="1" customWidth="1"/>
    <col min="22" max="16384" width="9.28515625" style="1634" hidden="1"/>
  </cols>
  <sheetData>
    <row r="1" spans="1:21" hidden="1" x14ac:dyDescent="0.2">
      <c r="A1" s="2297" t="s">
        <v>1207</v>
      </c>
      <c r="B1" s="2298" t="s">
        <v>6302</v>
      </c>
      <c r="C1" s="2298" t="s">
        <v>4694</v>
      </c>
      <c r="D1" s="2298" t="s">
        <v>412</v>
      </c>
      <c r="E1" s="2298" t="s">
        <v>6303</v>
      </c>
      <c r="F1" s="2298" t="s">
        <v>413</v>
      </c>
      <c r="G1" s="2298" t="s">
        <v>414</v>
      </c>
      <c r="H1" s="2298" t="s">
        <v>415</v>
      </c>
      <c r="I1" s="2298" t="s">
        <v>4608</v>
      </c>
      <c r="J1" s="2298" t="s">
        <v>4609</v>
      </c>
      <c r="K1" s="2298" t="s">
        <v>4610</v>
      </c>
      <c r="L1" s="2298" t="s">
        <v>4611</v>
      </c>
      <c r="M1" s="2298" t="s">
        <v>4612</v>
      </c>
      <c r="N1" s="2298" t="s">
        <v>4613</v>
      </c>
      <c r="O1" s="2298" t="s">
        <v>3097</v>
      </c>
      <c r="P1" s="2298" t="s">
        <v>4614</v>
      </c>
      <c r="Q1" s="2298" t="s">
        <v>4615</v>
      </c>
      <c r="R1" s="2298" t="s">
        <v>4616</v>
      </c>
      <c r="S1" s="2298" t="s">
        <v>4617</v>
      </c>
      <c r="T1" s="2298" t="s">
        <v>4618</v>
      </c>
      <c r="U1" s="2298" t="s">
        <v>4619</v>
      </c>
    </row>
    <row r="2" spans="1:21" hidden="1" x14ac:dyDescent="0.2">
      <c r="A2" s="2291" t="s">
        <v>4620</v>
      </c>
      <c r="B2" s="1634" t="s">
        <v>4621</v>
      </c>
      <c r="C2"/>
      <c r="D2"/>
      <c r="E2"/>
      <c r="F2"/>
      <c r="G2"/>
      <c r="H2"/>
      <c r="I2"/>
      <c r="J2"/>
      <c r="K2"/>
      <c r="L2"/>
      <c r="M2"/>
      <c r="N2"/>
      <c r="O2"/>
      <c r="P2"/>
      <c r="Q2"/>
      <c r="R2"/>
      <c r="S2"/>
      <c r="T2"/>
      <c r="U2"/>
    </row>
    <row r="3" spans="1:21" hidden="1" x14ac:dyDescent="0.2">
      <c r="A3" s="2291" t="s">
        <v>4622</v>
      </c>
      <c r="B3" s="1634" t="s">
        <v>4623</v>
      </c>
      <c r="C3"/>
      <c r="D3"/>
      <c r="E3"/>
      <c r="F3"/>
      <c r="G3"/>
      <c r="H3"/>
      <c r="I3"/>
      <c r="J3"/>
      <c r="K3"/>
      <c r="L3"/>
      <c r="M3"/>
      <c r="N3"/>
      <c r="O3"/>
      <c r="P3"/>
      <c r="Q3"/>
      <c r="R3"/>
      <c r="S3"/>
      <c r="T3"/>
      <c r="U3"/>
    </row>
    <row r="4" spans="1:21" hidden="1" x14ac:dyDescent="0.2">
      <c r="A4" s="2291" t="s">
        <v>4624</v>
      </c>
      <c r="B4" s="1634" t="s">
        <v>4625</v>
      </c>
      <c r="C4"/>
      <c r="D4"/>
      <c r="E4"/>
      <c r="F4"/>
      <c r="G4"/>
      <c r="H4"/>
      <c r="I4"/>
      <c r="J4"/>
      <c r="K4"/>
      <c r="L4"/>
      <c r="M4"/>
      <c r="N4"/>
      <c r="O4"/>
      <c r="P4"/>
      <c r="Q4"/>
      <c r="R4"/>
      <c r="S4"/>
      <c r="T4"/>
      <c r="U4"/>
    </row>
    <row r="5" spans="1:21" hidden="1" x14ac:dyDescent="0.2">
      <c r="A5" s="2291" t="s">
        <v>4626</v>
      </c>
      <c r="B5" s="1634" t="s">
        <v>4627</v>
      </c>
      <c r="C5"/>
      <c r="D5"/>
      <c r="E5"/>
      <c r="F5"/>
      <c r="G5"/>
      <c r="H5"/>
      <c r="I5"/>
      <c r="J5"/>
      <c r="K5"/>
      <c r="L5"/>
      <c r="M5"/>
      <c r="N5"/>
      <c r="O5"/>
      <c r="P5"/>
      <c r="Q5"/>
      <c r="R5"/>
      <c r="S5"/>
      <c r="T5"/>
      <c r="U5"/>
    </row>
    <row r="6" spans="1:21" hidden="1" x14ac:dyDescent="0.2">
      <c r="A6" s="2291" t="s">
        <v>4628</v>
      </c>
      <c r="B6" s="1634" t="s">
        <v>4629</v>
      </c>
      <c r="C6" s="1634" t="s">
        <v>4630</v>
      </c>
      <c r="D6"/>
      <c r="E6"/>
      <c r="F6"/>
      <c r="G6"/>
      <c r="H6"/>
      <c r="I6"/>
      <c r="J6"/>
      <c r="K6"/>
      <c r="L6"/>
      <c r="M6"/>
      <c r="N6"/>
      <c r="O6"/>
      <c r="P6"/>
      <c r="Q6"/>
      <c r="R6"/>
      <c r="S6"/>
      <c r="T6"/>
      <c r="U6"/>
    </row>
    <row r="7" spans="1:21" hidden="1" x14ac:dyDescent="0.2">
      <c r="A7" s="2291" t="s">
        <v>4631</v>
      </c>
      <c r="B7" s="1634" t="s">
        <v>4632</v>
      </c>
      <c r="C7" s="1634" t="s">
        <v>4633</v>
      </c>
      <c r="D7"/>
      <c r="E7"/>
      <c r="F7"/>
      <c r="G7"/>
      <c r="H7"/>
      <c r="I7"/>
      <c r="J7"/>
      <c r="K7"/>
      <c r="L7"/>
      <c r="M7"/>
      <c r="N7"/>
      <c r="O7"/>
      <c r="P7"/>
      <c r="Q7"/>
      <c r="R7"/>
      <c r="S7"/>
      <c r="T7"/>
      <c r="U7"/>
    </row>
    <row r="8" spans="1:21" hidden="1" x14ac:dyDescent="0.2">
      <c r="A8" s="2291" t="s">
        <v>4634</v>
      </c>
      <c r="B8" s="1634" t="s">
        <v>4635</v>
      </c>
      <c r="C8" s="1634" t="s">
        <v>4636</v>
      </c>
      <c r="D8"/>
      <c r="E8"/>
      <c r="F8"/>
      <c r="G8"/>
      <c r="H8"/>
      <c r="I8"/>
      <c r="J8"/>
      <c r="K8"/>
      <c r="L8"/>
      <c r="M8"/>
      <c r="N8"/>
      <c r="O8"/>
      <c r="P8"/>
      <c r="Q8"/>
      <c r="R8"/>
      <c r="S8"/>
      <c r="T8"/>
      <c r="U8"/>
    </row>
    <row r="9" spans="1:21" hidden="1" x14ac:dyDescent="0.2">
      <c r="A9" s="2291" t="s">
        <v>2543</v>
      </c>
      <c r="B9" s="1634" t="s">
        <v>2544</v>
      </c>
      <c r="C9" s="1634" t="s">
        <v>4831</v>
      </c>
      <c r="D9"/>
      <c r="E9"/>
      <c r="F9"/>
      <c r="G9"/>
      <c r="H9"/>
      <c r="I9"/>
      <c r="J9"/>
      <c r="K9"/>
      <c r="L9"/>
      <c r="M9"/>
      <c r="N9"/>
      <c r="O9"/>
      <c r="P9"/>
      <c r="Q9"/>
      <c r="R9"/>
      <c r="S9"/>
      <c r="T9"/>
      <c r="U9"/>
    </row>
    <row r="10" spans="1:21" hidden="1" x14ac:dyDescent="0.2">
      <c r="A10" s="2291" t="s">
        <v>4106</v>
      </c>
      <c r="B10" s="1634" t="s">
        <v>4107</v>
      </c>
      <c r="C10" s="1634" t="s">
        <v>4108</v>
      </c>
      <c r="D10"/>
      <c r="E10"/>
      <c r="F10"/>
      <c r="G10"/>
      <c r="H10"/>
      <c r="I10"/>
      <c r="J10"/>
      <c r="K10"/>
      <c r="L10"/>
      <c r="M10"/>
      <c r="N10"/>
      <c r="O10"/>
      <c r="P10"/>
      <c r="Q10"/>
      <c r="R10"/>
      <c r="S10"/>
      <c r="T10"/>
      <c r="U10"/>
    </row>
    <row r="11" spans="1:21" hidden="1" x14ac:dyDescent="0.2">
      <c r="A11" s="2291" t="s">
        <v>851</v>
      </c>
      <c r="B11" s="1634" t="s">
        <v>852</v>
      </c>
      <c r="C11" s="1634" t="s">
        <v>853</v>
      </c>
      <c r="D11" s="1634" t="s">
        <v>854</v>
      </c>
      <c r="E11" s="1634" t="s">
        <v>855</v>
      </c>
      <c r="F11"/>
      <c r="G11"/>
      <c r="H11"/>
      <c r="I11"/>
      <c r="J11"/>
      <c r="K11"/>
      <c r="L11"/>
      <c r="M11"/>
      <c r="N11"/>
      <c r="O11"/>
      <c r="P11"/>
      <c r="Q11"/>
      <c r="R11"/>
      <c r="S11"/>
      <c r="T11"/>
      <c r="U11"/>
    </row>
    <row r="12" spans="1:21" hidden="1" x14ac:dyDescent="0.2">
      <c r="A12" s="2291" t="s">
        <v>856</v>
      </c>
      <c r="B12" s="1634" t="s">
        <v>857</v>
      </c>
      <c r="C12"/>
      <c r="D12"/>
      <c r="E12"/>
      <c r="F12"/>
      <c r="G12"/>
      <c r="H12"/>
      <c r="I12"/>
      <c r="J12"/>
      <c r="K12"/>
      <c r="L12"/>
      <c r="M12"/>
      <c r="N12"/>
      <c r="O12"/>
      <c r="P12"/>
      <c r="Q12"/>
      <c r="R12"/>
      <c r="S12"/>
      <c r="T12"/>
      <c r="U12"/>
    </row>
    <row r="13" spans="1:21" hidden="1" x14ac:dyDescent="0.2">
      <c r="A13" s="2291" t="s">
        <v>858</v>
      </c>
      <c r="B13" s="1634" t="s">
        <v>859</v>
      </c>
      <c r="C13"/>
      <c r="D13"/>
      <c r="E13"/>
      <c r="F13"/>
      <c r="G13"/>
      <c r="H13"/>
      <c r="I13"/>
      <c r="J13"/>
      <c r="K13"/>
      <c r="L13"/>
      <c r="M13"/>
      <c r="N13"/>
      <c r="O13"/>
      <c r="P13"/>
      <c r="Q13"/>
      <c r="R13"/>
      <c r="S13"/>
      <c r="T13"/>
      <c r="U13"/>
    </row>
    <row r="17" spans="1:3" hidden="1" x14ac:dyDescent="0.2">
      <c r="A17" s="2291" t="s">
        <v>860</v>
      </c>
      <c r="B17" s="1634" t="s">
        <v>861</v>
      </c>
      <c r="C17"/>
    </row>
    <row r="18" spans="1:3" hidden="1" x14ac:dyDescent="0.2">
      <c r="A18" s="2291" t="s">
        <v>862</v>
      </c>
      <c r="B18" s="1634" t="s">
        <v>863</v>
      </c>
      <c r="C18"/>
    </row>
    <row r="19" spans="1:3" hidden="1" x14ac:dyDescent="0.2">
      <c r="A19" s="2291" t="s">
        <v>864</v>
      </c>
      <c r="B19" s="1634" t="s">
        <v>865</v>
      </c>
      <c r="C19"/>
    </row>
    <row r="20" spans="1:3" hidden="1" x14ac:dyDescent="0.2">
      <c r="A20" s="2291" t="s">
        <v>866</v>
      </c>
      <c r="B20" s="1634" t="s">
        <v>867</v>
      </c>
      <c r="C20"/>
    </row>
    <row r="21" spans="1:3" hidden="1" x14ac:dyDescent="0.2">
      <c r="A21" s="2291" t="s">
        <v>868</v>
      </c>
      <c r="B21" s="1634" t="s">
        <v>869</v>
      </c>
      <c r="C21"/>
    </row>
    <row r="22" spans="1:3" hidden="1" x14ac:dyDescent="0.2">
      <c r="A22" s="2291" t="s">
        <v>870</v>
      </c>
      <c r="B22" s="1634" t="s">
        <v>871</v>
      </c>
      <c r="C22"/>
    </row>
    <row r="23" spans="1:3" hidden="1" x14ac:dyDescent="0.2">
      <c r="A23" s="2291" t="s">
        <v>872</v>
      </c>
      <c r="B23" s="1634" t="s">
        <v>3008</v>
      </c>
      <c r="C23"/>
    </row>
    <row r="24" spans="1:3" hidden="1" x14ac:dyDescent="0.2">
      <c r="A24" s="2291" t="s">
        <v>3009</v>
      </c>
      <c r="B24" s="1634" t="s">
        <v>3010</v>
      </c>
      <c r="C24"/>
    </row>
    <row r="25" spans="1:3" hidden="1" x14ac:dyDescent="0.2">
      <c r="A25" s="2291" t="s">
        <v>6459</v>
      </c>
      <c r="B25" s="1634" t="s">
        <v>6460</v>
      </c>
      <c r="C25"/>
    </row>
    <row r="26" spans="1:3" hidden="1" x14ac:dyDescent="0.2">
      <c r="A26" s="2291" t="s">
        <v>6461</v>
      </c>
      <c r="B26" s="1634" t="s">
        <v>6462</v>
      </c>
      <c r="C26"/>
    </row>
    <row r="27" spans="1:3" hidden="1" x14ac:dyDescent="0.2">
      <c r="A27" s="2291" t="s">
        <v>6463</v>
      </c>
      <c r="B27" s="1634" t="s">
        <v>6464</v>
      </c>
      <c r="C27"/>
    </row>
    <row r="28" spans="1:3" hidden="1" x14ac:dyDescent="0.2">
      <c r="A28" s="2291" t="s">
        <v>6465</v>
      </c>
      <c r="B28" s="1634" t="s">
        <v>2911</v>
      </c>
      <c r="C28"/>
    </row>
    <row r="29" spans="1:3" hidden="1" x14ac:dyDescent="0.2">
      <c r="A29" s="2291" t="s">
        <v>2912</v>
      </c>
      <c r="B29" s="1634" t="s">
        <v>2913</v>
      </c>
      <c r="C29"/>
    </row>
    <row r="30" spans="1:3" hidden="1" x14ac:dyDescent="0.2">
      <c r="A30" s="2291" t="s">
        <v>2914</v>
      </c>
      <c r="B30" s="1634" t="s">
        <v>2915</v>
      </c>
      <c r="C30"/>
    </row>
    <row r="31" spans="1:3" hidden="1" x14ac:dyDescent="0.2">
      <c r="A31" s="2291" t="s">
        <v>2916</v>
      </c>
      <c r="B31" s="1634" t="s">
        <v>2917</v>
      </c>
      <c r="C31" s="164"/>
    </row>
    <row r="32" spans="1:3" hidden="1" x14ac:dyDescent="0.2">
      <c r="A32" s="2291" t="s">
        <v>2918</v>
      </c>
      <c r="B32" s="1634" t="s">
        <v>2919</v>
      </c>
      <c r="C32" s="164"/>
    </row>
    <row r="33" spans="1:3" hidden="1" x14ac:dyDescent="0.2">
      <c r="A33" s="2291" t="s">
        <v>2920</v>
      </c>
      <c r="B33" s="1634" t="s">
        <v>1575</v>
      </c>
      <c r="C33" s="164"/>
    </row>
    <row r="34" spans="1:3" hidden="1" x14ac:dyDescent="0.2">
      <c r="A34" s="2291" t="s">
        <v>2922</v>
      </c>
      <c r="B34" s="1634" t="s">
        <v>4078</v>
      </c>
      <c r="C34" s="164"/>
    </row>
    <row r="35" spans="1:3" hidden="1" x14ac:dyDescent="0.2">
      <c r="A35" s="2291" t="s">
        <v>2924</v>
      </c>
      <c r="B35" s="1634" t="s">
        <v>4080</v>
      </c>
      <c r="C35" s="164"/>
    </row>
    <row r="36" spans="1:3" hidden="1" x14ac:dyDescent="0.2">
      <c r="A36" s="2291" t="s">
        <v>3302</v>
      </c>
      <c r="B36" s="1634" t="s">
        <v>4082</v>
      </c>
      <c r="C36" s="164"/>
    </row>
    <row r="37" spans="1:3" hidden="1" x14ac:dyDescent="0.2">
      <c r="A37" s="2291" t="s">
        <v>3492</v>
      </c>
      <c r="B37" s="1634" t="s">
        <v>4084</v>
      </c>
      <c r="C37" s="164"/>
    </row>
    <row r="38" spans="1:3" hidden="1" x14ac:dyDescent="0.2">
      <c r="A38" s="2291" t="s">
        <v>3494</v>
      </c>
      <c r="B38" s="1634" t="s">
        <v>4086</v>
      </c>
      <c r="C38" s="164"/>
    </row>
    <row r="39" spans="1:3" hidden="1" x14ac:dyDescent="0.2">
      <c r="A39" s="2291" t="s">
        <v>3496</v>
      </c>
      <c r="B39" s="1634" t="s">
        <v>2431</v>
      </c>
      <c r="C39" s="164"/>
    </row>
    <row r="40" spans="1:3" hidden="1" x14ac:dyDescent="0.2">
      <c r="A40" s="2291" t="s">
        <v>3498</v>
      </c>
      <c r="B40" s="1634" t="s">
        <v>4088</v>
      </c>
    </row>
    <row r="41" spans="1:3" hidden="1" x14ac:dyDescent="0.2">
      <c r="A41" s="2307" t="s">
        <v>3500</v>
      </c>
      <c r="B41" s="2302" t="s">
        <v>1076</v>
      </c>
    </row>
    <row r="42" spans="1:3" hidden="1" x14ac:dyDescent="0.2">
      <c r="A42" s="2291" t="s">
        <v>3502</v>
      </c>
      <c r="B42" s="1634" t="s">
        <v>1783</v>
      </c>
    </row>
    <row r="43" spans="1:3" hidden="1" x14ac:dyDescent="0.2">
      <c r="A43" s="2291" t="s">
        <v>3504</v>
      </c>
      <c r="B43" s="1634" t="s">
        <v>2670</v>
      </c>
    </row>
    <row r="44" spans="1:3" hidden="1" x14ac:dyDescent="0.2">
      <c r="A44" s="2291" t="s">
        <v>6949</v>
      </c>
      <c r="B44" s="1634" t="s">
        <v>824</v>
      </c>
    </row>
    <row r="45" spans="1:3" hidden="1" x14ac:dyDescent="0.2">
      <c r="A45" s="2291" t="s">
        <v>1806</v>
      </c>
      <c r="B45" s="1634" t="s">
        <v>1807</v>
      </c>
    </row>
    <row r="46" spans="1:3" hidden="1" x14ac:dyDescent="0.2">
      <c r="A46" s="2291" t="s">
        <v>1808</v>
      </c>
      <c r="B46" s="1634" t="s">
        <v>1811</v>
      </c>
    </row>
    <row r="47" spans="1:3" hidden="1" x14ac:dyDescent="0.2">
      <c r="A47" s="2291" t="s">
        <v>1810</v>
      </c>
      <c r="B47" s="1634" t="s">
        <v>1795</v>
      </c>
    </row>
    <row r="48" spans="1:3" hidden="1" x14ac:dyDescent="0.2">
      <c r="A48" s="2291" t="s">
        <v>1812</v>
      </c>
      <c r="B48" s="1634" t="s">
        <v>1799</v>
      </c>
    </row>
    <row r="49" spans="1:2" hidden="1" x14ac:dyDescent="0.2">
      <c r="A49" s="2291" t="s">
        <v>1814</v>
      </c>
      <c r="B49" s="1634" t="s">
        <v>3403</v>
      </c>
    </row>
    <row r="50" spans="1:2" hidden="1" x14ac:dyDescent="0.2">
      <c r="A50" s="2291" t="s">
        <v>230</v>
      </c>
      <c r="B50" s="1634" t="s">
        <v>5101</v>
      </c>
    </row>
    <row r="51" spans="1:2" hidden="1" x14ac:dyDescent="0.2">
      <c r="A51" s="2291" t="s">
        <v>6152</v>
      </c>
      <c r="B51" s="1634" t="s">
        <v>4823</v>
      </c>
    </row>
    <row r="52" spans="1:2" hidden="1" x14ac:dyDescent="0.2">
      <c r="A52" s="2291" t="s">
        <v>2625</v>
      </c>
      <c r="B52" s="1634" t="s">
        <v>2408</v>
      </c>
    </row>
    <row r="53" spans="1:2" hidden="1" x14ac:dyDescent="0.2">
      <c r="A53" s="2291" t="s">
        <v>5688</v>
      </c>
      <c r="B53" s="1634" t="s">
        <v>2628</v>
      </c>
    </row>
    <row r="54" spans="1:2" hidden="1" x14ac:dyDescent="0.2">
      <c r="A54" s="2291" t="s">
        <v>5690</v>
      </c>
      <c r="B54" s="1634" t="s">
        <v>2639</v>
      </c>
    </row>
    <row r="55" spans="1:2" hidden="1" x14ac:dyDescent="0.2">
      <c r="A55" s="2291" t="s">
        <v>382</v>
      </c>
      <c r="B55" s="1634" t="s">
        <v>2452</v>
      </c>
    </row>
    <row r="56" spans="1:2" hidden="1" x14ac:dyDescent="0.2">
      <c r="A56" s="2291" t="s">
        <v>383</v>
      </c>
      <c r="B56" s="1634" t="s">
        <v>1456</v>
      </c>
    </row>
    <row r="57" spans="1:2" hidden="1" x14ac:dyDescent="0.2">
      <c r="A57" s="2291" t="s">
        <v>6089</v>
      </c>
      <c r="B57" s="1634" t="s">
        <v>1462</v>
      </c>
    </row>
    <row r="58" spans="1:2" hidden="1" x14ac:dyDescent="0.2">
      <c r="A58" s="2291" t="s">
        <v>6090</v>
      </c>
      <c r="B58" s="1634" t="s">
        <v>1468</v>
      </c>
    </row>
    <row r="59" spans="1:2" hidden="1" x14ac:dyDescent="0.2">
      <c r="A59" s="2291" t="s">
        <v>6091</v>
      </c>
      <c r="B59" s="1634" t="s">
        <v>1474</v>
      </c>
    </row>
    <row r="60" spans="1:2" hidden="1" x14ac:dyDescent="0.2">
      <c r="A60" s="2291" t="s">
        <v>6092</v>
      </c>
      <c r="B60" s="1634" t="s">
        <v>1871</v>
      </c>
    </row>
    <row r="61" spans="1:2" hidden="1" x14ac:dyDescent="0.2">
      <c r="A61" s="2291" t="s">
        <v>6093</v>
      </c>
      <c r="B61" s="1634" t="s">
        <v>1876</v>
      </c>
    </row>
    <row r="62" spans="1:2" hidden="1" x14ac:dyDescent="0.2">
      <c r="A62" s="2291" t="s">
        <v>6094</v>
      </c>
      <c r="B62" s="1634" t="s">
        <v>6665</v>
      </c>
    </row>
    <row r="63" spans="1:2" hidden="1" x14ac:dyDescent="0.2">
      <c r="A63" s="2291" t="s">
        <v>1307</v>
      </c>
      <c r="B63" s="1634" t="s">
        <v>2126</v>
      </c>
    </row>
    <row r="64" spans="1:2" hidden="1" x14ac:dyDescent="0.2">
      <c r="A64" s="2291" t="s">
        <v>8883</v>
      </c>
      <c r="B64" s="1634" t="s">
        <v>2132</v>
      </c>
    </row>
    <row r="67" spans="1:3" hidden="1" x14ac:dyDescent="0.2">
      <c r="A67" s="2291">
        <v>1</v>
      </c>
      <c r="B67" s="2294" t="s">
        <v>2612</v>
      </c>
      <c r="C67"/>
    </row>
    <row r="68" spans="1:3" hidden="1" x14ac:dyDescent="0.2">
      <c r="A68" s="2291">
        <v>2</v>
      </c>
      <c r="B68" s="2294" t="s">
        <v>2723</v>
      </c>
      <c r="C68"/>
    </row>
    <row r="69" spans="1:3" hidden="1" x14ac:dyDescent="0.2">
      <c r="A69" s="2291">
        <v>3</v>
      </c>
      <c r="B69" s="2294" t="s">
        <v>1061</v>
      </c>
      <c r="C69"/>
    </row>
    <row r="70" spans="1:3" hidden="1" x14ac:dyDescent="0.2">
      <c r="A70" s="2291">
        <v>4</v>
      </c>
      <c r="B70" s="1634" t="s">
        <v>5695</v>
      </c>
      <c r="C70" s="2294" t="s">
        <v>3106</v>
      </c>
    </row>
    <row r="71" spans="1:3" hidden="1" x14ac:dyDescent="0.2">
      <c r="A71" s="2291">
        <v>5</v>
      </c>
      <c r="B71" s="1634" t="s">
        <v>5697</v>
      </c>
      <c r="C71" s="2294" t="s">
        <v>553</v>
      </c>
    </row>
    <row r="72" spans="1:3" hidden="1" x14ac:dyDescent="0.2">
      <c r="A72" s="2291">
        <v>6</v>
      </c>
      <c r="B72" s="1634" t="s">
        <v>4705</v>
      </c>
      <c r="C72" s="2294" t="s">
        <v>561</v>
      </c>
    </row>
    <row r="73" spans="1:3" hidden="1" x14ac:dyDescent="0.2">
      <c r="A73" s="2291">
        <v>7</v>
      </c>
      <c r="B73" s="1634" t="s">
        <v>4707</v>
      </c>
      <c r="C73" s="2294" t="s">
        <v>2029</v>
      </c>
    </row>
    <row r="74" spans="1:3" hidden="1" x14ac:dyDescent="0.2">
      <c r="A74" s="2291">
        <v>8</v>
      </c>
      <c r="B74" s="1634" t="s">
        <v>4709</v>
      </c>
      <c r="C74" s="2294" t="s">
        <v>3423</v>
      </c>
    </row>
    <row r="75" spans="1:3" hidden="1" x14ac:dyDescent="0.2">
      <c r="A75" s="2291">
        <v>9</v>
      </c>
      <c r="B75" s="1634" t="s">
        <v>4711</v>
      </c>
      <c r="C75" s="2294" t="s">
        <v>5424</v>
      </c>
    </row>
    <row r="76" spans="1:3" hidden="1" x14ac:dyDescent="0.2">
      <c r="A76" s="2291">
        <v>10</v>
      </c>
      <c r="B76" s="1634" t="s">
        <v>4713</v>
      </c>
      <c r="C76" s="2294" t="s">
        <v>5430</v>
      </c>
    </row>
    <row r="77" spans="1:3" hidden="1" x14ac:dyDescent="0.2">
      <c r="A77" s="2291">
        <v>11</v>
      </c>
      <c r="B77" s="1634" t="s">
        <v>4715</v>
      </c>
      <c r="C77" s="2294" t="s">
        <v>2161</v>
      </c>
    </row>
    <row r="78" spans="1:3" hidden="1" x14ac:dyDescent="0.2">
      <c r="A78" s="2291">
        <v>12</v>
      </c>
      <c r="B78" s="1634" t="s">
        <v>4717</v>
      </c>
      <c r="C78" s="2294" t="s">
        <v>2168</v>
      </c>
    </row>
    <row r="79" spans="1:3" hidden="1" x14ac:dyDescent="0.2">
      <c r="A79" s="2291">
        <v>13</v>
      </c>
      <c r="B79" s="1634" t="s">
        <v>6427</v>
      </c>
      <c r="C79" s="2294" t="s">
        <v>2174</v>
      </c>
    </row>
    <row r="80" spans="1:3" hidden="1" x14ac:dyDescent="0.2">
      <c r="A80" s="2291">
        <v>14</v>
      </c>
      <c r="B80" s="1634" t="s">
        <v>6429</v>
      </c>
      <c r="C80" s="2294" t="s">
        <v>2181</v>
      </c>
    </row>
    <row r="81" spans="1:7" hidden="1" x14ac:dyDescent="0.2">
      <c r="A81" s="2291">
        <v>15</v>
      </c>
      <c r="B81" s="1634" t="s">
        <v>6431</v>
      </c>
      <c r="C81" s="2294" t="s">
        <v>3092</v>
      </c>
    </row>
    <row r="82" spans="1:7" hidden="1" x14ac:dyDescent="0.2">
      <c r="A82" s="2291">
        <v>16</v>
      </c>
      <c r="B82" s="1634" t="s">
        <v>6432</v>
      </c>
      <c r="C82" s="2294" t="s">
        <v>3535</v>
      </c>
    </row>
    <row r="83" spans="1:7" hidden="1" x14ac:dyDescent="0.2">
      <c r="A83" s="2291">
        <v>17</v>
      </c>
      <c r="B83" s="1634" t="s">
        <v>6433</v>
      </c>
      <c r="C83" s="2294" t="s">
        <v>6189</v>
      </c>
    </row>
    <row r="84" spans="1:7" hidden="1" x14ac:dyDescent="0.2">
      <c r="A84" s="2291">
        <v>18</v>
      </c>
      <c r="B84" s="2294" t="s">
        <v>2284</v>
      </c>
      <c r="C84"/>
    </row>
    <row r="85" spans="1:7" hidden="1" x14ac:dyDescent="0.2">
      <c r="A85" s="2291">
        <v>19</v>
      </c>
      <c r="B85" s="2294" t="s">
        <v>270</v>
      </c>
      <c r="C85"/>
    </row>
    <row r="86" spans="1:7" hidden="1" x14ac:dyDescent="0.2">
      <c r="A86" s="2291">
        <v>20</v>
      </c>
      <c r="B86" s="1634" t="s">
        <v>6438</v>
      </c>
      <c r="C86" s="2294" t="s">
        <v>277</v>
      </c>
    </row>
    <row r="87" spans="1:7" hidden="1" x14ac:dyDescent="0.2">
      <c r="A87" s="2291">
        <v>21</v>
      </c>
      <c r="B87" s="2294" t="s">
        <v>2946</v>
      </c>
      <c r="C87"/>
    </row>
    <row r="88" spans="1:7" hidden="1" x14ac:dyDescent="0.2">
      <c r="A88" s="2291">
        <v>22</v>
      </c>
      <c r="B88" s="2294" t="s">
        <v>2669</v>
      </c>
      <c r="C88"/>
    </row>
    <row r="89" spans="1:7" hidden="1" x14ac:dyDescent="0.2">
      <c r="A89" s="2291" t="s">
        <v>6440</v>
      </c>
      <c r="B89" s="1634" t="s">
        <v>6441</v>
      </c>
      <c r="C89" s="2294" t="s">
        <v>680</v>
      </c>
    </row>
    <row r="90" spans="1:7" hidden="1" x14ac:dyDescent="0.2">
      <c r="A90" s="2291" t="s">
        <v>6443</v>
      </c>
      <c r="B90" s="1634" t="s">
        <v>6444</v>
      </c>
      <c r="C90" s="2294" t="s">
        <v>688</v>
      </c>
    </row>
    <row r="91" spans="1:7" hidden="1" x14ac:dyDescent="0.2">
      <c r="A91" s="2291" t="s">
        <v>6446</v>
      </c>
      <c r="B91" s="1634" t="s">
        <v>6447</v>
      </c>
      <c r="C91" s="2294" t="s">
        <v>2193</v>
      </c>
    </row>
    <row r="92" spans="1:7" hidden="1" x14ac:dyDescent="0.2">
      <c r="A92" s="2291" t="s">
        <v>6449</v>
      </c>
      <c r="B92" s="2294" t="s">
        <v>509</v>
      </c>
      <c r="C92"/>
    </row>
    <row r="93" spans="1:7" hidden="1" x14ac:dyDescent="0.2">
      <c r="A93" s="2291" t="s">
        <v>6451</v>
      </c>
      <c r="B93" s="2294" t="s">
        <v>1972</v>
      </c>
      <c r="C93"/>
    </row>
    <row r="94" spans="1:7" hidden="1" x14ac:dyDescent="0.2">
      <c r="A94" s="2291" t="s">
        <v>4522</v>
      </c>
      <c r="B94" s="2294" t="s">
        <v>3247</v>
      </c>
      <c r="C94"/>
    </row>
    <row r="95" spans="1:7" hidden="1" x14ac:dyDescent="0.2">
      <c r="A95" s="2291" t="s">
        <v>4524</v>
      </c>
      <c r="B95" s="2294" t="s">
        <v>473</v>
      </c>
      <c r="C95"/>
    </row>
    <row r="96" spans="1:7" hidden="1" x14ac:dyDescent="0.2">
      <c r="A96" s="2291" t="s">
        <v>4526</v>
      </c>
      <c r="B96" s="1634" t="s">
        <v>4527</v>
      </c>
      <c r="C96" s="2294" t="s">
        <v>6470</v>
      </c>
      <c r="D96"/>
      <c r="E96"/>
      <c r="F96"/>
      <c r="G96"/>
    </row>
    <row r="97" spans="1:21" hidden="1" x14ac:dyDescent="0.2">
      <c r="A97" s="2291" t="s">
        <v>466</v>
      </c>
      <c r="B97" s="1634" t="s">
        <v>5727</v>
      </c>
      <c r="C97" s="2294" t="s">
        <v>6474</v>
      </c>
      <c r="D97"/>
      <c r="E97"/>
      <c r="F97"/>
      <c r="G97"/>
    </row>
    <row r="98" spans="1:21" hidden="1" x14ac:dyDescent="0.2">
      <c r="A98" s="2291" t="s">
        <v>5729</v>
      </c>
      <c r="B98" s="2302" t="s">
        <v>4972</v>
      </c>
      <c r="D98"/>
      <c r="E98"/>
      <c r="F98"/>
      <c r="G98"/>
    </row>
    <row r="99" spans="1:21" hidden="1" x14ac:dyDescent="0.2">
      <c r="A99" s="2291" t="s">
        <v>4788</v>
      </c>
      <c r="B99" s="1634" t="s">
        <v>2824</v>
      </c>
      <c r="C99" s="2294" t="s">
        <v>2825</v>
      </c>
      <c r="D99"/>
      <c r="E99"/>
      <c r="F99"/>
      <c r="G99"/>
    </row>
    <row r="100" spans="1:21" hidden="1" x14ac:dyDescent="0.2">
      <c r="A100" s="2291" t="s">
        <v>4790</v>
      </c>
      <c r="B100" s="1634" t="s">
        <v>3359</v>
      </c>
      <c r="C100" s="2294" t="s">
        <v>3360</v>
      </c>
      <c r="D100"/>
      <c r="E100"/>
      <c r="F100"/>
      <c r="G100"/>
    </row>
    <row r="101" spans="1:21" hidden="1" x14ac:dyDescent="0.2">
      <c r="A101" s="2291" t="s">
        <v>6502</v>
      </c>
      <c r="B101" s="2294" t="s">
        <v>2376</v>
      </c>
      <c r="C101"/>
      <c r="D101"/>
      <c r="E101"/>
      <c r="F101"/>
      <c r="G101"/>
    </row>
    <row r="102" spans="1:21" hidden="1" x14ac:dyDescent="0.2">
      <c r="A102" s="2291" t="s">
        <v>5217</v>
      </c>
      <c r="B102" s="2294" t="s">
        <v>216</v>
      </c>
      <c r="C102"/>
      <c r="D102"/>
      <c r="E102"/>
      <c r="F102"/>
      <c r="G102"/>
    </row>
    <row r="103" spans="1:21" hidden="1" x14ac:dyDescent="0.2">
      <c r="A103" s="2291" t="s">
        <v>2229</v>
      </c>
      <c r="B103" s="2294" t="s">
        <v>6399</v>
      </c>
      <c r="C103" s="2294" t="s">
        <v>5689</v>
      </c>
      <c r="D103" s="2294" t="s">
        <v>5780</v>
      </c>
      <c r="E103" s="2294" t="s">
        <v>6404</v>
      </c>
      <c r="F103" s="2294" t="s">
        <v>5691</v>
      </c>
      <c r="G103" s="2294" t="s">
        <v>2231</v>
      </c>
    </row>
    <row r="104" spans="1:21" hidden="1" x14ac:dyDescent="0.2">
      <c r="A104" s="2291" t="s">
        <v>2232</v>
      </c>
      <c r="B104" s="1634" t="s">
        <v>2233</v>
      </c>
      <c r="C104"/>
      <c r="D104"/>
      <c r="E104"/>
      <c r="F104"/>
      <c r="G104"/>
    </row>
    <row r="105" spans="1:21" hidden="1" x14ac:dyDescent="0.2">
      <c r="A105" s="2291" t="s">
        <v>2234</v>
      </c>
      <c r="B105" s="2294" t="s">
        <v>5239</v>
      </c>
      <c r="C105" s="2294" t="s">
        <v>1795</v>
      </c>
      <c r="D105" s="2294" t="s">
        <v>2236</v>
      </c>
      <c r="E105"/>
      <c r="F105"/>
      <c r="G105"/>
    </row>
    <row r="108" spans="1:21" hidden="1" x14ac:dyDescent="0.2">
      <c r="A108" s="3042" t="s">
        <v>8884</v>
      </c>
      <c r="B108" s="3043"/>
      <c r="C108" s="3043"/>
      <c r="D108" s="3043"/>
      <c r="E108" s="3043"/>
      <c r="F108" s="3043"/>
      <c r="G108" s="3043"/>
      <c r="H108" s="3043"/>
      <c r="I108" s="3043"/>
      <c r="J108" s="3043"/>
      <c r="K108" s="3043"/>
      <c r="L108" s="3043"/>
      <c r="M108" s="3043"/>
      <c r="N108" s="3043"/>
      <c r="O108" s="3043"/>
      <c r="P108" s="3043"/>
      <c r="Q108" s="3043"/>
      <c r="R108" s="3043"/>
      <c r="S108" s="3043"/>
      <c r="T108" s="3043"/>
      <c r="U108" s="3043"/>
    </row>
    <row r="109" spans="1:21" hidden="1" x14ac:dyDescent="0.2">
      <c r="A109" s="2291" t="s">
        <v>8885</v>
      </c>
      <c r="B109" s="2294" t="s">
        <v>4031</v>
      </c>
      <c r="C109" s="2294" t="s">
        <v>4828</v>
      </c>
      <c r="D109" s="2294" t="s">
        <v>4829</v>
      </c>
      <c r="E109" s="2294" t="s">
        <v>4038</v>
      </c>
      <c r="F109" s="2294" t="s">
        <v>2237</v>
      </c>
      <c r="G109" s="2294" t="s">
        <v>2238</v>
      </c>
    </row>
    <row r="110" spans="1:21" hidden="1" x14ac:dyDescent="0.2">
      <c r="A110" s="2291" t="s">
        <v>8886</v>
      </c>
      <c r="B110" s="2294" t="s">
        <v>4044</v>
      </c>
      <c r="C110" s="2294" t="s">
        <v>2239</v>
      </c>
      <c r="D110" s="2294" t="s">
        <v>6879</v>
      </c>
      <c r="E110"/>
      <c r="F110"/>
      <c r="G110"/>
    </row>
    <row r="111" spans="1:21" hidden="1" x14ac:dyDescent="0.2">
      <c r="A111" s="2291" t="s">
        <v>8887</v>
      </c>
      <c r="B111" s="2294" t="s">
        <v>6670</v>
      </c>
      <c r="C111" s="2294" t="s">
        <v>6880</v>
      </c>
      <c r="D111" s="2294" t="s">
        <v>6881</v>
      </c>
      <c r="E111"/>
      <c r="F111"/>
      <c r="G111"/>
    </row>
    <row r="112" spans="1:21" hidden="1" x14ac:dyDescent="0.2">
      <c r="A112" s="2291" t="s">
        <v>8888</v>
      </c>
      <c r="B112" s="2294" t="s">
        <v>6675</v>
      </c>
      <c r="C112" s="2294" t="s">
        <v>6882</v>
      </c>
      <c r="D112" s="2294" t="s">
        <v>6883</v>
      </c>
    </row>
    <row r="113" spans="1:4" hidden="1" x14ac:dyDescent="0.2">
      <c r="A113" s="2291" t="s">
        <v>8889</v>
      </c>
      <c r="B113" s="2294" t="s">
        <v>6681</v>
      </c>
      <c r="C113" s="2294" t="s">
        <v>6884</v>
      </c>
      <c r="D113" s="2294" t="s">
        <v>6885</v>
      </c>
    </row>
    <row r="114" spans="1:4" hidden="1" x14ac:dyDescent="0.2">
      <c r="A114" s="2291" t="s">
        <v>8890</v>
      </c>
      <c r="B114" s="2294" t="s">
        <v>6686</v>
      </c>
      <c r="C114" s="2294" t="s">
        <v>6886</v>
      </c>
      <c r="D114" s="2294" t="s">
        <v>6887</v>
      </c>
    </row>
    <row r="115" spans="1:4" hidden="1" x14ac:dyDescent="0.2">
      <c r="A115" s="2291" t="s">
        <v>8891</v>
      </c>
      <c r="B115" s="2294" t="s">
        <v>6692</v>
      </c>
      <c r="C115" s="2294" t="s">
        <v>6888</v>
      </c>
      <c r="D115" s="2294" t="s">
        <v>6889</v>
      </c>
    </row>
    <row r="116" spans="1:4" hidden="1" x14ac:dyDescent="0.2">
      <c r="A116" s="2291" t="s">
        <v>8892</v>
      </c>
      <c r="B116" s="2295" t="s">
        <v>6695</v>
      </c>
      <c r="C116" s="2295" t="s">
        <v>5433</v>
      </c>
      <c r="D116" s="2295" t="s">
        <v>3772</v>
      </c>
    </row>
    <row r="117" spans="1:4" hidden="1" x14ac:dyDescent="0.2">
      <c r="A117" s="2291" t="s">
        <v>8893</v>
      </c>
      <c r="B117" s="2295" t="s">
        <v>6698</v>
      </c>
      <c r="C117" s="2295" t="s">
        <v>6890</v>
      </c>
      <c r="D117" s="2295" t="s">
        <v>6891</v>
      </c>
    </row>
    <row r="118" spans="1:4" hidden="1" x14ac:dyDescent="0.2">
      <c r="A118" s="2291" t="s">
        <v>8894</v>
      </c>
      <c r="B118" s="2295" t="s">
        <v>2661</v>
      </c>
      <c r="C118" s="2295" t="s">
        <v>6892</v>
      </c>
      <c r="D118" s="2295" t="s">
        <v>6893</v>
      </c>
    </row>
    <row r="119" spans="1:4" hidden="1" x14ac:dyDescent="0.2">
      <c r="A119" s="2291" t="s">
        <v>8895</v>
      </c>
      <c r="B119" s="1634" t="s">
        <v>2664</v>
      </c>
      <c r="C119" s="1634" t="s">
        <v>6894</v>
      </c>
      <c r="D119" s="1634" t="s">
        <v>8896</v>
      </c>
    </row>
    <row r="120" spans="1:4" hidden="1" x14ac:dyDescent="0.2">
      <c r="A120" s="2291" t="s">
        <v>8897</v>
      </c>
      <c r="B120" s="2294" t="s">
        <v>3860</v>
      </c>
      <c r="C120" s="2294" t="s">
        <v>6895</v>
      </c>
      <c r="D120" s="2294" t="s">
        <v>6896</v>
      </c>
    </row>
    <row r="121" spans="1:4" hidden="1" x14ac:dyDescent="0.2">
      <c r="A121" s="2291" t="s">
        <v>8898</v>
      </c>
      <c r="B121" s="2294" t="s">
        <v>3863</v>
      </c>
      <c r="C121" s="2294" t="s">
        <v>6897</v>
      </c>
      <c r="D121" s="2294" t="s">
        <v>6898</v>
      </c>
    </row>
    <row r="122" spans="1:4" hidden="1" x14ac:dyDescent="0.2">
      <c r="A122" s="2291" t="s">
        <v>8899</v>
      </c>
      <c r="B122" s="2294" t="s">
        <v>5010</v>
      </c>
      <c r="C122" s="2294" t="s">
        <v>6899</v>
      </c>
      <c r="D122" s="2294" t="s">
        <v>6900</v>
      </c>
    </row>
    <row r="123" spans="1:4" hidden="1" x14ac:dyDescent="0.2">
      <c r="A123" s="2291" t="s">
        <v>8900</v>
      </c>
      <c r="B123" s="2294" t="s">
        <v>5011</v>
      </c>
      <c r="C123" s="1634" t="s">
        <v>6902</v>
      </c>
      <c r="D123"/>
    </row>
    <row r="124" spans="1:4" hidden="1" x14ac:dyDescent="0.2">
      <c r="A124" s="2291" t="s">
        <v>8901</v>
      </c>
      <c r="B124" s="2294" t="s">
        <v>5012</v>
      </c>
      <c r="C124" s="1634" t="s">
        <v>6904</v>
      </c>
      <c r="D124"/>
    </row>
    <row r="125" spans="1:4" hidden="1" x14ac:dyDescent="0.2">
      <c r="A125" s="2291" t="s">
        <v>8902</v>
      </c>
      <c r="B125" s="2294" t="s">
        <v>5013</v>
      </c>
      <c r="C125" s="2294" t="s">
        <v>6905</v>
      </c>
      <c r="D125" s="2294" t="s">
        <v>6906</v>
      </c>
    </row>
    <row r="126" spans="1:4" hidden="1" x14ac:dyDescent="0.2">
      <c r="A126" s="2291" t="s">
        <v>8903</v>
      </c>
      <c r="B126" s="2294" t="s">
        <v>3866</v>
      </c>
      <c r="C126" s="2294" t="s">
        <v>6907</v>
      </c>
      <c r="D126" s="2294" t="s">
        <v>6908</v>
      </c>
    </row>
    <row r="127" spans="1:4" hidden="1" x14ac:dyDescent="0.2">
      <c r="A127" s="2291" t="s">
        <v>8904</v>
      </c>
      <c r="B127" s="2294" t="s">
        <v>3869</v>
      </c>
      <c r="C127" s="2294" t="s">
        <v>6909</v>
      </c>
      <c r="D127" s="2294" t="s">
        <v>2216</v>
      </c>
    </row>
    <row r="128" spans="1:4" hidden="1" x14ac:dyDescent="0.2">
      <c r="A128" s="2291" t="s">
        <v>8905</v>
      </c>
      <c r="B128" s="2294" t="s">
        <v>3878</v>
      </c>
      <c r="C128" s="2294" t="s">
        <v>650</v>
      </c>
      <c r="D128" s="2294" t="s">
        <v>651</v>
      </c>
    </row>
    <row r="129" spans="1:21" hidden="1" x14ac:dyDescent="0.2">
      <c r="A129" s="2291" t="s">
        <v>8906</v>
      </c>
      <c r="B129" s="2294" t="s">
        <v>669</v>
      </c>
      <c r="C129" s="2294" t="s">
        <v>653</v>
      </c>
      <c r="D129" s="2294" t="s">
        <v>654</v>
      </c>
      <c r="E129"/>
    </row>
    <row r="130" spans="1:21" hidden="1" x14ac:dyDescent="0.2">
      <c r="A130" s="2291" t="s">
        <v>8907</v>
      </c>
      <c r="B130" s="2294" t="s">
        <v>2194</v>
      </c>
      <c r="C130" s="2294" t="s">
        <v>3489</v>
      </c>
      <c r="D130" s="2294" t="s">
        <v>3490</v>
      </c>
      <c r="E130"/>
    </row>
    <row r="131" spans="1:21" hidden="1" x14ac:dyDescent="0.2">
      <c r="A131" s="2291" t="s">
        <v>8908</v>
      </c>
      <c r="B131" s="2294" t="s">
        <v>2385</v>
      </c>
      <c r="C131" s="2294" t="s">
        <v>1702</v>
      </c>
      <c r="D131" s="2294" t="s">
        <v>1703</v>
      </c>
      <c r="E131"/>
    </row>
    <row r="132" spans="1:21" hidden="1" x14ac:dyDescent="0.2">
      <c r="A132" s="2291" t="s">
        <v>8909</v>
      </c>
      <c r="B132" s="2294" t="s">
        <v>1974</v>
      </c>
      <c r="C132" s="2294" t="s">
        <v>1704</v>
      </c>
      <c r="D132" s="2294" t="s">
        <v>1705</v>
      </c>
      <c r="E132"/>
    </row>
    <row r="133" spans="1:21" hidden="1" x14ac:dyDescent="0.2">
      <c r="A133" s="2291" t="s">
        <v>8910</v>
      </c>
      <c r="B133" s="2294" t="s">
        <v>3252</v>
      </c>
      <c r="C133" s="2294" t="s">
        <v>1706</v>
      </c>
      <c r="D133" s="2294" t="s">
        <v>194</v>
      </c>
      <c r="E133"/>
    </row>
    <row r="134" spans="1:21" hidden="1" x14ac:dyDescent="0.2">
      <c r="A134" s="2291" t="s">
        <v>8911</v>
      </c>
      <c r="B134" s="2294" t="s">
        <v>804</v>
      </c>
      <c r="C134" s="2294" t="s">
        <v>195</v>
      </c>
      <c r="D134" s="2294" t="s">
        <v>196</v>
      </c>
      <c r="E134"/>
    </row>
    <row r="135" spans="1:21" hidden="1" x14ac:dyDescent="0.2">
      <c r="A135" s="2291" t="s">
        <v>8912</v>
      </c>
      <c r="B135" s="2294" t="s">
        <v>546</v>
      </c>
      <c r="C135" s="2294" t="s">
        <v>5636</v>
      </c>
      <c r="D135" s="2294" t="s">
        <v>5637</v>
      </c>
      <c r="E135"/>
    </row>
    <row r="136" spans="1:21" hidden="1" x14ac:dyDescent="0.2">
      <c r="A136" s="2291" t="s">
        <v>8913</v>
      </c>
      <c r="B136" s="2294" t="s">
        <v>719</v>
      </c>
      <c r="C136" s="2294" t="s">
        <v>5638</v>
      </c>
      <c r="D136" s="2294" t="s">
        <v>5639</v>
      </c>
      <c r="E136"/>
    </row>
    <row r="137" spans="1:21" hidden="1" x14ac:dyDescent="0.2">
      <c r="A137" s="2291" t="s">
        <v>8914</v>
      </c>
      <c r="B137" s="2294" t="s">
        <v>3470</v>
      </c>
      <c r="C137" s="2294" t="s">
        <v>5640</v>
      </c>
      <c r="D137" s="2294" t="s">
        <v>6592</v>
      </c>
      <c r="E137"/>
    </row>
    <row r="138" spans="1:21" hidden="1" x14ac:dyDescent="0.2">
      <c r="A138" s="2291" t="s">
        <v>8915</v>
      </c>
      <c r="B138" s="2294" t="s">
        <v>6051</v>
      </c>
      <c r="C138" s="2294" t="s">
        <v>6593</v>
      </c>
      <c r="D138" s="2294" t="s">
        <v>6594</v>
      </c>
      <c r="E138" s="2294" t="s">
        <v>4799</v>
      </c>
      <c r="F138" s="2302" t="s">
        <v>5469</v>
      </c>
      <c r="G138" s="2302" t="s">
        <v>5470</v>
      </c>
    </row>
    <row r="139" spans="1:21" hidden="1" x14ac:dyDescent="0.2">
      <c r="A139" s="2291" t="s">
        <v>8916</v>
      </c>
      <c r="B139" s="2302" t="s">
        <v>521</v>
      </c>
      <c r="C139" s="2302" t="s">
        <v>3154</v>
      </c>
      <c r="D139" s="2302" t="s">
        <v>7492</v>
      </c>
      <c r="E139"/>
    </row>
    <row r="140" spans="1:21" hidden="1" x14ac:dyDescent="0.2">
      <c r="A140" s="2291" t="s">
        <v>8917</v>
      </c>
      <c r="B140" s="2302" t="s">
        <v>2089</v>
      </c>
      <c r="C140" s="2302" t="s">
        <v>4927</v>
      </c>
      <c r="D140" s="2302" t="s">
        <v>4629</v>
      </c>
      <c r="E140"/>
    </row>
    <row r="142" spans="1:21" hidden="1" x14ac:dyDescent="0.2">
      <c r="A142" s="3042" t="s">
        <v>8918</v>
      </c>
      <c r="B142" s="3043"/>
      <c r="C142" s="3043"/>
      <c r="D142" s="3043"/>
      <c r="E142" s="3043"/>
      <c r="F142" s="3043"/>
      <c r="G142" s="3043"/>
      <c r="H142" s="3043"/>
      <c r="I142" s="3043"/>
      <c r="J142" s="3043"/>
      <c r="K142" s="3043"/>
      <c r="L142" s="3043"/>
      <c r="M142" s="3043"/>
      <c r="N142" s="3043"/>
      <c r="O142" s="3043"/>
      <c r="P142" s="3043"/>
      <c r="Q142" s="3043"/>
      <c r="R142" s="3043"/>
      <c r="S142" s="3043"/>
      <c r="T142" s="3043"/>
      <c r="U142" s="3043"/>
    </row>
    <row r="143" spans="1:21" hidden="1" x14ac:dyDescent="0.2">
      <c r="A143" s="2291" t="s">
        <v>5257</v>
      </c>
      <c r="B143" s="2294" t="s">
        <v>5471</v>
      </c>
      <c r="C143" s="2294" t="s">
        <v>2716</v>
      </c>
      <c r="D143" s="2294" t="s">
        <v>6609</v>
      </c>
      <c r="E143"/>
    </row>
    <row r="144" spans="1:21" hidden="1" x14ac:dyDescent="0.2">
      <c r="A144" s="2291" t="s">
        <v>5258</v>
      </c>
      <c r="B144" s="2294" t="s">
        <v>4028</v>
      </c>
      <c r="C144" s="2294" t="s">
        <v>5694</v>
      </c>
      <c r="D144" s="2294" t="s">
        <v>6613</v>
      </c>
    </row>
    <row r="145" spans="1:7" hidden="1" x14ac:dyDescent="0.2">
      <c r="A145" s="2291" t="s">
        <v>5259</v>
      </c>
      <c r="B145" s="2294" t="s">
        <v>4034</v>
      </c>
      <c r="C145" s="2294" t="s">
        <v>4035</v>
      </c>
      <c r="D145" s="2294" t="s">
        <v>6615</v>
      </c>
    </row>
    <row r="146" spans="1:7" hidden="1" x14ac:dyDescent="0.2">
      <c r="A146" s="2291" t="s">
        <v>5260</v>
      </c>
      <c r="B146" s="2294" t="s">
        <v>4041</v>
      </c>
      <c r="C146" s="2294" t="s">
        <v>5696</v>
      </c>
      <c r="D146" s="2294" t="s">
        <v>6617</v>
      </c>
    </row>
    <row r="147" spans="1:7" hidden="1" x14ac:dyDescent="0.2">
      <c r="A147" s="2291" t="s">
        <v>5918</v>
      </c>
      <c r="B147" s="2294" t="s">
        <v>5473</v>
      </c>
      <c r="C147" s="2294" t="s">
        <v>5474</v>
      </c>
      <c r="D147" s="2294" t="s">
        <v>6623</v>
      </c>
    </row>
    <row r="148" spans="1:7" hidden="1" x14ac:dyDescent="0.2">
      <c r="A148" s="2291" t="s">
        <v>5919</v>
      </c>
      <c r="B148" s="2294" t="s">
        <v>6678</v>
      </c>
      <c r="C148" s="2294" t="s">
        <v>4708</v>
      </c>
      <c r="D148" s="2294" t="s">
        <v>3132</v>
      </c>
    </row>
    <row r="149" spans="1:7" hidden="1" x14ac:dyDescent="0.2">
      <c r="A149" s="2291" t="s">
        <v>5920</v>
      </c>
      <c r="B149" s="2294" t="s">
        <v>5475</v>
      </c>
      <c r="C149" s="2294" t="s">
        <v>4710</v>
      </c>
      <c r="D149" s="2294" t="s">
        <v>4045</v>
      </c>
    </row>
    <row r="150" spans="1:7" hidden="1" x14ac:dyDescent="0.2">
      <c r="A150" s="2291" t="s">
        <v>5921</v>
      </c>
      <c r="B150" s="2294" t="s">
        <v>4099</v>
      </c>
      <c r="C150" s="2294" t="s">
        <v>5476</v>
      </c>
      <c r="D150"/>
    </row>
    <row r="151" spans="1:7" hidden="1" x14ac:dyDescent="0.2">
      <c r="A151" s="2291" t="s">
        <v>5922</v>
      </c>
      <c r="B151" s="2294" t="s">
        <v>2321</v>
      </c>
      <c r="C151" s="2294" t="s">
        <v>6426</v>
      </c>
      <c r="D151" s="2294" t="s">
        <v>2322</v>
      </c>
    </row>
    <row r="152" spans="1:7" hidden="1" x14ac:dyDescent="0.2">
      <c r="A152" s="2291" t="s">
        <v>5923</v>
      </c>
      <c r="B152" s="2294" t="s">
        <v>2</v>
      </c>
      <c r="C152" s="2294" t="s">
        <v>2921</v>
      </c>
      <c r="D152" s="2294" t="s">
        <v>3</v>
      </c>
    </row>
    <row r="153" spans="1:7" hidden="1" x14ac:dyDescent="0.2">
      <c r="A153" s="2291" t="s">
        <v>5924</v>
      </c>
      <c r="B153" s="2294" t="s">
        <v>1744</v>
      </c>
      <c r="C153" s="2294" t="s">
        <v>2923</v>
      </c>
      <c r="D153" s="2294" t="s">
        <v>1745</v>
      </c>
    </row>
    <row r="154" spans="1:7" hidden="1" x14ac:dyDescent="0.2">
      <c r="A154" s="2291" t="s">
        <v>5925</v>
      </c>
      <c r="B154" s="2294" t="s">
        <v>1749</v>
      </c>
      <c r="C154" s="2294" t="s">
        <v>3301</v>
      </c>
      <c r="D154" s="2294" t="s">
        <v>1750</v>
      </c>
    </row>
    <row r="155" spans="1:7" hidden="1" x14ac:dyDescent="0.2">
      <c r="A155" s="2291" t="s">
        <v>5926</v>
      </c>
      <c r="B155" s="2294" t="s">
        <v>1728</v>
      </c>
      <c r="C155"/>
      <c r="D155"/>
    </row>
    <row r="156" spans="1:7" hidden="1" x14ac:dyDescent="0.2">
      <c r="A156" s="2291" t="s">
        <v>5927</v>
      </c>
      <c r="B156" s="2294" t="s">
        <v>2493</v>
      </c>
      <c r="C156" s="2294" t="s">
        <v>5477</v>
      </c>
      <c r="D156" s="2294" t="s">
        <v>2494</v>
      </c>
    </row>
    <row r="157" spans="1:7" hidden="1" x14ac:dyDescent="0.2">
      <c r="A157" s="2291" t="s">
        <v>5928</v>
      </c>
      <c r="B157" s="2294" t="s">
        <v>1075</v>
      </c>
      <c r="C157" s="2294" t="s">
        <v>6439</v>
      </c>
      <c r="D157" s="2294" t="s">
        <v>4204</v>
      </c>
    </row>
    <row r="158" spans="1:7" hidden="1" x14ac:dyDescent="0.2">
      <c r="A158" s="2291" t="s">
        <v>5929</v>
      </c>
      <c r="B158" s="2294" t="s">
        <v>2668</v>
      </c>
      <c r="C158" s="2294" t="s">
        <v>5478</v>
      </c>
      <c r="D158" s="2294" t="s">
        <v>2671</v>
      </c>
    </row>
    <row r="159" spans="1:7" hidden="1" x14ac:dyDescent="0.2">
      <c r="A159" s="2291" t="s">
        <v>5930</v>
      </c>
      <c r="B159" s="2294" t="s">
        <v>673</v>
      </c>
      <c r="C159" s="2294" t="s">
        <v>5479</v>
      </c>
      <c r="D159" s="2294" t="s">
        <v>353</v>
      </c>
    </row>
    <row r="160" spans="1:7" hidden="1" x14ac:dyDescent="0.2">
      <c r="A160" s="2291" t="s">
        <v>5931</v>
      </c>
      <c r="B160" s="2294" t="s">
        <v>2562</v>
      </c>
      <c r="C160" s="2294" t="s">
        <v>6448</v>
      </c>
      <c r="D160" s="2294" t="s">
        <v>140</v>
      </c>
      <c r="E160"/>
      <c r="F160"/>
      <c r="G160"/>
    </row>
    <row r="161" spans="1:21" hidden="1" x14ac:dyDescent="0.2">
      <c r="A161" s="2291" t="s">
        <v>5932</v>
      </c>
      <c r="B161" s="2294" t="s">
        <v>2929</v>
      </c>
      <c r="C161"/>
      <c r="D161"/>
      <c r="E161"/>
      <c r="F161"/>
      <c r="G161"/>
    </row>
    <row r="162" spans="1:21" hidden="1" x14ac:dyDescent="0.2">
      <c r="A162" s="2291" t="s">
        <v>5933</v>
      </c>
      <c r="B162" s="2294" t="s">
        <v>3256</v>
      </c>
      <c r="C162"/>
      <c r="D162"/>
      <c r="E162"/>
      <c r="F162"/>
      <c r="G162"/>
    </row>
    <row r="164" spans="1:21" hidden="1" x14ac:dyDescent="0.2">
      <c r="A164" s="3042" t="s">
        <v>9358</v>
      </c>
      <c r="B164" s="3043"/>
      <c r="C164" s="3043"/>
      <c r="D164" s="3043"/>
      <c r="E164" s="3043"/>
      <c r="F164" s="3043"/>
      <c r="G164" s="3043"/>
      <c r="H164" s="3043"/>
      <c r="I164" s="3043"/>
      <c r="J164" s="3043"/>
      <c r="K164" s="3043"/>
      <c r="L164" s="3043"/>
      <c r="M164" s="3043"/>
      <c r="N164" s="3043"/>
      <c r="O164" s="3043"/>
      <c r="P164" s="3043"/>
      <c r="Q164" s="3043"/>
      <c r="R164" s="3043"/>
      <c r="S164" s="3043"/>
      <c r="T164" s="3043"/>
      <c r="U164" s="3043"/>
    </row>
    <row r="165" spans="1:21" hidden="1" x14ac:dyDescent="0.2">
      <c r="A165" s="2291" t="s">
        <v>5934</v>
      </c>
      <c r="B165" s="1634" t="s">
        <v>4828</v>
      </c>
    </row>
    <row r="166" spans="1:21" hidden="1" x14ac:dyDescent="0.2">
      <c r="A166" s="2291" t="s">
        <v>5935</v>
      </c>
      <c r="B166" s="1634" t="s">
        <v>3102</v>
      </c>
      <c r="C166" s="1634" t="s">
        <v>3103</v>
      </c>
      <c r="D166" s="1634" t="s">
        <v>3104</v>
      </c>
    </row>
    <row r="167" spans="1:21" hidden="1" x14ac:dyDescent="0.2">
      <c r="A167" s="2291" t="s">
        <v>5936</v>
      </c>
      <c r="B167" s="1634" t="s">
        <v>557</v>
      </c>
      <c r="C167" s="1634" t="s">
        <v>558</v>
      </c>
      <c r="D167" s="1634" t="s">
        <v>559</v>
      </c>
    </row>
    <row r="168" spans="1:21" hidden="1" x14ac:dyDescent="0.2">
      <c r="A168" s="2291" t="s">
        <v>7633</v>
      </c>
      <c r="B168" s="1634" t="s">
        <v>2018</v>
      </c>
      <c r="C168" s="1634" t="s">
        <v>2019</v>
      </c>
      <c r="D168" s="1634" t="s">
        <v>2564</v>
      </c>
      <c r="F168" s="1634" t="s">
        <v>7634</v>
      </c>
    </row>
    <row r="169" spans="1:21" hidden="1" x14ac:dyDescent="0.2">
      <c r="A169" s="2291" t="s">
        <v>5937</v>
      </c>
      <c r="B169" s="1634" t="s">
        <v>2941</v>
      </c>
    </row>
    <row r="170" spans="1:21" hidden="1" x14ac:dyDescent="0.2">
      <c r="A170" s="2291" t="s">
        <v>5938</v>
      </c>
      <c r="B170" s="1634" t="s">
        <v>5420</v>
      </c>
      <c r="C170" s="1634" t="s">
        <v>5421</v>
      </c>
      <c r="D170" s="1634" t="s">
        <v>5422</v>
      </c>
    </row>
    <row r="171" spans="1:21" hidden="1" x14ac:dyDescent="0.2">
      <c r="A171" s="2291" t="s">
        <v>5939</v>
      </c>
      <c r="B171" s="1634" t="s">
        <v>5427</v>
      </c>
      <c r="C171" s="1634" t="s">
        <v>5428</v>
      </c>
      <c r="D171" s="1634" t="s">
        <v>2566</v>
      </c>
      <c r="E171" s="1634" t="s">
        <v>5433</v>
      </c>
      <c r="F171" s="1634" t="s">
        <v>5434</v>
      </c>
      <c r="G171" s="1634" t="s">
        <v>2150</v>
      </c>
    </row>
    <row r="172" spans="1:21" hidden="1" x14ac:dyDescent="0.2">
      <c r="A172" s="2291" t="s">
        <v>5940</v>
      </c>
      <c r="B172" s="1634" t="s">
        <v>2157</v>
      </c>
      <c r="C172" s="1634" t="s">
        <v>2158</v>
      </c>
      <c r="D172" s="1634" t="s">
        <v>2159</v>
      </c>
    </row>
    <row r="173" spans="1:21" hidden="1" x14ac:dyDescent="0.2">
      <c r="A173" s="2291" t="s">
        <v>5941</v>
      </c>
      <c r="B173" s="1634" t="s">
        <v>2164</v>
      </c>
      <c r="C173" s="1634" t="s">
        <v>2165</v>
      </c>
      <c r="D173" s="1634" t="s">
        <v>2166</v>
      </c>
    </row>
    <row r="174" spans="1:21" hidden="1" x14ac:dyDescent="0.2">
      <c r="A174" s="2291" t="s">
        <v>5942</v>
      </c>
      <c r="B174" s="1634" t="s">
        <v>2177</v>
      </c>
    </row>
    <row r="175" spans="1:21" hidden="1" x14ac:dyDescent="0.2">
      <c r="A175" s="2291" t="s">
        <v>5943</v>
      </c>
      <c r="B175" s="2302" t="s">
        <v>2191</v>
      </c>
      <c r="C175" s="2302" t="s">
        <v>608</v>
      </c>
      <c r="D175" s="2302" t="s">
        <v>609</v>
      </c>
      <c r="E175" s="2302" t="s">
        <v>3532</v>
      </c>
      <c r="F175" s="2302" t="s">
        <v>3533</v>
      </c>
      <c r="G175" s="2773" t="s">
        <v>6903</v>
      </c>
      <c r="H175" s="2773" t="s">
        <v>3695</v>
      </c>
      <c r="I175" s="2773" t="s">
        <v>6187</v>
      </c>
      <c r="J175" s="2302"/>
    </row>
    <row r="176" spans="1:21" hidden="1" x14ac:dyDescent="0.2">
      <c r="A176" s="2291" t="s">
        <v>5944</v>
      </c>
      <c r="B176" s="2302" t="s">
        <v>6905</v>
      </c>
      <c r="C176" s="2302" t="s">
        <v>6192</v>
      </c>
      <c r="D176" s="2302" t="s">
        <v>6193</v>
      </c>
      <c r="E176" s="2302" t="s">
        <v>2570</v>
      </c>
      <c r="F176" s="2302"/>
      <c r="G176" s="2302"/>
      <c r="H176" s="2302"/>
      <c r="I176" s="2302"/>
      <c r="J176" s="2302"/>
    </row>
    <row r="177" spans="1:10" hidden="1" x14ac:dyDescent="0.2">
      <c r="A177" s="2291" t="s">
        <v>5945</v>
      </c>
      <c r="B177" s="2302" t="s">
        <v>650</v>
      </c>
      <c r="C177" s="2302" t="s">
        <v>2949</v>
      </c>
      <c r="D177" s="2302" t="s">
        <v>2950</v>
      </c>
      <c r="E177" s="2302" t="s">
        <v>2951</v>
      </c>
      <c r="F177" s="2302"/>
      <c r="G177" s="2302"/>
      <c r="H177" s="2302"/>
      <c r="I177" s="2302"/>
      <c r="J177" s="2302"/>
    </row>
    <row r="178" spans="1:10" hidden="1" x14ac:dyDescent="0.2">
      <c r="A178" s="2291" t="s">
        <v>5946</v>
      </c>
      <c r="B178" s="2302" t="s">
        <v>653</v>
      </c>
      <c r="C178" s="2302" t="s">
        <v>2781</v>
      </c>
      <c r="D178" s="2302" t="s">
        <v>2782</v>
      </c>
      <c r="E178" s="2302" t="s">
        <v>2783</v>
      </c>
      <c r="F178" s="2302"/>
      <c r="G178" s="2302"/>
      <c r="H178" s="2302"/>
      <c r="I178" s="2302"/>
      <c r="J178" s="2302"/>
    </row>
    <row r="179" spans="1:10" hidden="1" x14ac:dyDescent="0.2">
      <c r="A179" s="2291" t="s">
        <v>5947</v>
      </c>
      <c r="B179" s="2302" t="s">
        <v>655</v>
      </c>
      <c r="C179" s="2302" t="s">
        <v>2784</v>
      </c>
      <c r="D179" s="2302" t="s">
        <v>2785</v>
      </c>
      <c r="E179" s="2302" t="s">
        <v>2786</v>
      </c>
      <c r="F179" s="2302"/>
      <c r="G179" s="2302"/>
      <c r="H179" s="2302"/>
      <c r="I179" s="2302"/>
      <c r="J179" s="2302"/>
    </row>
    <row r="180" spans="1:10" hidden="1" x14ac:dyDescent="0.2">
      <c r="A180" s="2291" t="s">
        <v>5948</v>
      </c>
      <c r="B180" s="2302" t="s">
        <v>3489</v>
      </c>
      <c r="C180" s="2302" t="s">
        <v>2787</v>
      </c>
      <c r="D180" s="2302" t="s">
        <v>2788</v>
      </c>
      <c r="E180" s="2302" t="s">
        <v>2789</v>
      </c>
      <c r="F180" s="2302"/>
      <c r="G180" s="2302"/>
      <c r="H180" s="2302"/>
      <c r="I180" s="2302"/>
      <c r="J180" s="2302"/>
    </row>
    <row r="181" spans="1:10" hidden="1" x14ac:dyDescent="0.2">
      <c r="A181" s="2291" t="s">
        <v>5949</v>
      </c>
      <c r="B181" s="2302" t="s">
        <v>2692</v>
      </c>
      <c r="C181" s="2302" t="s">
        <v>4944</v>
      </c>
      <c r="D181" s="2302" t="s">
        <v>4945</v>
      </c>
      <c r="E181" s="2302" t="s">
        <v>4946</v>
      </c>
      <c r="F181" s="2302"/>
      <c r="G181" s="2302"/>
      <c r="H181" s="2302"/>
      <c r="I181" s="2302"/>
      <c r="J181" s="2302"/>
    </row>
    <row r="182" spans="1:10" hidden="1" x14ac:dyDescent="0.2">
      <c r="A182" s="2291" t="s">
        <v>5950</v>
      </c>
      <c r="B182" s="2302" t="s">
        <v>195</v>
      </c>
      <c r="C182" s="2302" t="s">
        <v>5810</v>
      </c>
      <c r="D182" s="2302" t="s">
        <v>4335</v>
      </c>
      <c r="E182" s="2302" t="s">
        <v>4336</v>
      </c>
      <c r="F182" s="2302"/>
      <c r="G182" s="2302"/>
      <c r="H182" s="2302"/>
      <c r="I182" s="2302"/>
      <c r="J182" s="2302"/>
    </row>
    <row r="183" spans="1:10" hidden="1" x14ac:dyDescent="0.2">
      <c r="A183" s="2291" t="s">
        <v>5951</v>
      </c>
      <c r="B183" s="2302" t="s">
        <v>5636</v>
      </c>
      <c r="C183" s="2302" t="s">
        <v>2822</v>
      </c>
      <c r="D183" s="2302" t="s">
        <v>2795</v>
      </c>
      <c r="E183" s="2302" t="s">
        <v>2796</v>
      </c>
      <c r="F183" s="2302"/>
      <c r="G183" s="2302"/>
      <c r="H183" s="2302"/>
      <c r="I183" s="2302"/>
      <c r="J183" s="2302"/>
    </row>
    <row r="184" spans="1:10" hidden="1" x14ac:dyDescent="0.2">
      <c r="A184" s="2291" t="s">
        <v>5952</v>
      </c>
      <c r="B184" s="2302" t="s">
        <v>5640</v>
      </c>
      <c r="C184" s="2302" t="s">
        <v>5612</v>
      </c>
      <c r="D184" s="2302" t="s">
        <v>68</v>
      </c>
      <c r="E184" s="2302" t="s">
        <v>2797</v>
      </c>
      <c r="F184" s="2302"/>
      <c r="G184" s="2302"/>
      <c r="H184" s="2302"/>
      <c r="I184" s="2302"/>
      <c r="J184" s="2302"/>
    </row>
    <row r="185" spans="1:10" hidden="1" x14ac:dyDescent="0.2">
      <c r="A185" s="2291" t="s">
        <v>5953</v>
      </c>
      <c r="B185" s="2302" t="s">
        <v>2798</v>
      </c>
      <c r="C185" s="2302"/>
      <c r="D185" s="2302"/>
      <c r="E185" s="2302"/>
      <c r="F185" s="2302"/>
      <c r="G185" s="2302"/>
      <c r="H185" s="2302"/>
      <c r="I185" s="2302"/>
      <c r="J185" s="2302"/>
    </row>
    <row r="186" spans="1:10" hidden="1" x14ac:dyDescent="0.2">
      <c r="A186" s="2291" t="s">
        <v>5954</v>
      </c>
      <c r="B186" s="2302" t="s">
        <v>4922</v>
      </c>
      <c r="C186" s="2302"/>
      <c r="D186" s="2302"/>
      <c r="E186" s="2302"/>
      <c r="F186" s="2302"/>
      <c r="G186" s="2302"/>
      <c r="H186" s="2302"/>
      <c r="I186" s="2302"/>
      <c r="J186" s="2302"/>
    </row>
    <row r="187" spans="1:10" hidden="1" x14ac:dyDescent="0.2">
      <c r="A187" s="2291" t="s">
        <v>5955</v>
      </c>
      <c r="B187" s="2302" t="s">
        <v>8378</v>
      </c>
      <c r="C187" s="2302" t="s">
        <v>8379</v>
      </c>
      <c r="D187" s="2302" t="s">
        <v>8380</v>
      </c>
      <c r="E187" s="2302" t="s">
        <v>8381</v>
      </c>
      <c r="F187" s="2302" t="s">
        <v>8382</v>
      </c>
      <c r="G187" s="2302" t="s">
        <v>8383</v>
      </c>
      <c r="H187" s="2302"/>
      <c r="I187" s="2302"/>
      <c r="J187" s="2302"/>
    </row>
    <row r="188" spans="1:10" hidden="1" x14ac:dyDescent="0.2">
      <c r="A188" s="2291" t="s">
        <v>5956</v>
      </c>
      <c r="B188" s="2302" t="s">
        <v>7532</v>
      </c>
      <c r="C188" s="2302" t="s">
        <v>7533</v>
      </c>
      <c r="D188" s="2302" t="s">
        <v>2801</v>
      </c>
      <c r="E188" s="2302" t="s">
        <v>8384</v>
      </c>
      <c r="F188" s="2302" t="s">
        <v>2802</v>
      </c>
      <c r="G188" s="2302"/>
      <c r="H188" s="2302"/>
      <c r="I188" s="2302"/>
      <c r="J188" s="2302"/>
    </row>
    <row r="189" spans="1:10" hidden="1" x14ac:dyDescent="0.2">
      <c r="A189" s="2291" t="s">
        <v>5957</v>
      </c>
      <c r="B189" s="2302" t="s">
        <v>2803</v>
      </c>
      <c r="C189" s="2302" t="s">
        <v>5059</v>
      </c>
      <c r="D189" s="2302" t="s">
        <v>2804</v>
      </c>
      <c r="E189" s="2302" t="s">
        <v>2805</v>
      </c>
      <c r="F189" s="2302" t="s">
        <v>2806</v>
      </c>
      <c r="G189" s="2302"/>
      <c r="H189" s="2302"/>
      <c r="I189" s="2302"/>
      <c r="J189" s="2302"/>
    </row>
    <row r="190" spans="1:10" hidden="1" x14ac:dyDescent="0.2">
      <c r="A190" s="2291" t="s">
        <v>5958</v>
      </c>
      <c r="B190" s="2302" t="s">
        <v>7539</v>
      </c>
      <c r="C190" s="2302" t="s">
        <v>2807</v>
      </c>
      <c r="D190" s="2302" t="s">
        <v>2808</v>
      </c>
      <c r="E190" s="2302" t="s">
        <v>8385</v>
      </c>
      <c r="F190" s="2302" t="s">
        <v>2809</v>
      </c>
      <c r="G190" s="2302"/>
      <c r="H190" s="2302"/>
      <c r="I190" s="2302"/>
      <c r="J190" s="2302"/>
    </row>
    <row r="191" spans="1:10" hidden="1" x14ac:dyDescent="0.2">
      <c r="A191" s="2291" t="s">
        <v>5959</v>
      </c>
      <c r="B191" s="2302" t="s">
        <v>8386</v>
      </c>
      <c r="C191" s="2302" t="s">
        <v>8387</v>
      </c>
      <c r="D191" s="2302" t="s">
        <v>2810</v>
      </c>
      <c r="E191" s="2302" t="s">
        <v>8388</v>
      </c>
      <c r="F191" s="2302" t="s">
        <v>876</v>
      </c>
      <c r="G191" s="2302"/>
      <c r="H191" s="2302"/>
      <c r="I191" s="2302"/>
      <c r="J191" s="2302"/>
    </row>
    <row r="192" spans="1:10" hidden="1" x14ac:dyDescent="0.2">
      <c r="A192" s="2291" t="s">
        <v>5960</v>
      </c>
      <c r="B192" s="2302" t="s">
        <v>8389</v>
      </c>
      <c r="C192" s="2302" t="s">
        <v>8390</v>
      </c>
      <c r="D192" s="2302" t="s">
        <v>2811</v>
      </c>
      <c r="E192" s="2773" t="s">
        <v>2038</v>
      </c>
      <c r="F192" s="2773" t="s">
        <v>2039</v>
      </c>
      <c r="G192" s="2773" t="s">
        <v>878</v>
      </c>
      <c r="H192" s="2302"/>
      <c r="I192" s="2302"/>
      <c r="J192" s="2302"/>
    </row>
    <row r="193" spans="1:10" hidden="1" x14ac:dyDescent="0.2">
      <c r="A193" s="2291" t="s">
        <v>5961</v>
      </c>
      <c r="B193" s="2302" t="s">
        <v>984</v>
      </c>
      <c r="C193" s="2302" t="s">
        <v>8391</v>
      </c>
      <c r="D193" s="2302" t="s">
        <v>6003</v>
      </c>
      <c r="E193" s="2302" t="s">
        <v>2648</v>
      </c>
      <c r="F193" s="2302" t="s">
        <v>8392</v>
      </c>
      <c r="G193" s="2302" t="s">
        <v>879</v>
      </c>
      <c r="H193" s="2302" t="s">
        <v>8393</v>
      </c>
      <c r="I193" s="2302"/>
      <c r="J193" s="2302"/>
    </row>
    <row r="194" spans="1:10" hidden="1" x14ac:dyDescent="0.2">
      <c r="A194" s="2291" t="s">
        <v>5962</v>
      </c>
      <c r="B194" s="2302" t="s">
        <v>8394</v>
      </c>
      <c r="C194" s="2302"/>
      <c r="D194" s="2302"/>
      <c r="E194" s="2302"/>
      <c r="F194" s="2302"/>
      <c r="G194" s="2302"/>
      <c r="H194" s="2302"/>
      <c r="I194" s="2302"/>
      <c r="J194" s="2302"/>
    </row>
    <row r="195" spans="1:10" hidden="1" x14ac:dyDescent="0.2">
      <c r="A195" s="2291" t="s">
        <v>5963</v>
      </c>
      <c r="B195" s="2302" t="s">
        <v>8395</v>
      </c>
      <c r="C195" s="2302"/>
      <c r="D195" s="2302"/>
      <c r="E195" s="2302"/>
      <c r="F195" s="2302"/>
      <c r="G195" s="2302"/>
      <c r="H195" s="2302"/>
      <c r="I195" s="2302"/>
      <c r="J195" s="2302"/>
    </row>
    <row r="196" spans="1:10" hidden="1" x14ac:dyDescent="0.2">
      <c r="A196" s="2291" t="s">
        <v>5964</v>
      </c>
      <c r="B196" s="2302" t="s">
        <v>8396</v>
      </c>
      <c r="C196" s="2302"/>
      <c r="D196" s="2302"/>
      <c r="E196" s="2302"/>
      <c r="F196" s="2302"/>
      <c r="G196" s="2302"/>
      <c r="H196" s="2302"/>
      <c r="I196" s="2302"/>
      <c r="J196" s="2302"/>
    </row>
    <row r="197" spans="1:10" hidden="1" x14ac:dyDescent="0.2">
      <c r="A197" s="2291" t="s">
        <v>5965</v>
      </c>
      <c r="B197" s="2302" t="s">
        <v>8397</v>
      </c>
      <c r="C197" s="2302"/>
      <c r="D197" s="2302"/>
      <c r="E197" s="2302"/>
      <c r="F197" s="2302"/>
      <c r="G197" s="2302"/>
      <c r="H197" s="2302"/>
      <c r="I197" s="2302"/>
      <c r="J197" s="2302"/>
    </row>
    <row r="198" spans="1:10" hidden="1" x14ac:dyDescent="0.2">
      <c r="A198" s="2292" t="s">
        <v>2813</v>
      </c>
      <c r="B198" s="2302" t="s">
        <v>8398</v>
      </c>
      <c r="C198" s="2302"/>
      <c r="D198" s="2302"/>
      <c r="E198" s="2302"/>
      <c r="F198" s="2302"/>
      <c r="G198" s="2302"/>
      <c r="H198" s="2302"/>
      <c r="I198" s="2302"/>
      <c r="J198" s="2302"/>
    </row>
    <row r="199" spans="1:10" hidden="1" x14ac:dyDescent="0.2">
      <c r="A199" s="2292" t="s">
        <v>2814</v>
      </c>
      <c r="B199" s="2302" t="s">
        <v>1886</v>
      </c>
      <c r="C199" s="2302" t="s">
        <v>8399</v>
      </c>
      <c r="D199" s="2302" t="s">
        <v>8400</v>
      </c>
      <c r="E199" s="2302" t="s">
        <v>8401</v>
      </c>
      <c r="F199" s="2302" t="s">
        <v>8402</v>
      </c>
      <c r="G199" s="2302" t="s">
        <v>8403</v>
      </c>
      <c r="H199" s="2302"/>
      <c r="I199" s="2302"/>
      <c r="J199" s="2302"/>
    </row>
    <row r="200" spans="1:10" hidden="1" x14ac:dyDescent="0.2">
      <c r="A200" s="1634"/>
    </row>
    <row r="205" spans="1:10" hidden="1" x14ac:dyDescent="0.2">
      <c r="A205" s="2291" t="s">
        <v>89</v>
      </c>
      <c r="B205" s="1634" t="s">
        <v>4773</v>
      </c>
      <c r="C205"/>
      <c r="D205"/>
      <c r="E205"/>
      <c r="F205"/>
      <c r="G205"/>
      <c r="H205"/>
    </row>
    <row r="206" spans="1:10" hidden="1" x14ac:dyDescent="0.2">
      <c r="A206" s="2291" t="s">
        <v>4774</v>
      </c>
      <c r="B206" s="1634" t="s">
        <v>4775</v>
      </c>
      <c r="C206"/>
      <c r="D206"/>
      <c r="E206"/>
      <c r="F206"/>
      <c r="G206"/>
      <c r="H206"/>
    </row>
    <row r="207" spans="1:10" hidden="1" x14ac:dyDescent="0.2">
      <c r="A207" s="2291" t="s">
        <v>4776</v>
      </c>
      <c r="B207" s="1634" t="s">
        <v>1551</v>
      </c>
      <c r="C207"/>
      <c r="D207"/>
      <c r="E207"/>
      <c r="F207"/>
      <c r="G207"/>
      <c r="H207"/>
    </row>
    <row r="208" spans="1:10" hidden="1" x14ac:dyDescent="0.2">
      <c r="A208" s="2291" t="s">
        <v>1552</v>
      </c>
      <c r="B208" s="1634" t="s">
        <v>1553</v>
      </c>
      <c r="C208"/>
      <c r="D208"/>
      <c r="E208"/>
      <c r="F208"/>
      <c r="G208"/>
      <c r="H208"/>
    </row>
    <row r="209" spans="1:8" hidden="1" x14ac:dyDescent="0.2">
      <c r="A209" s="2291" t="s">
        <v>2329</v>
      </c>
      <c r="B209" s="1634" t="s">
        <v>2330</v>
      </c>
      <c r="C209"/>
      <c r="D209"/>
      <c r="E209"/>
      <c r="F209"/>
      <c r="G209"/>
      <c r="H209"/>
    </row>
    <row r="210" spans="1:8" hidden="1" x14ac:dyDescent="0.2">
      <c r="A210" s="2291" t="s">
        <v>4273</v>
      </c>
      <c r="B210" s="1634" t="s">
        <v>4274</v>
      </c>
      <c r="C210"/>
      <c r="D210"/>
      <c r="E210"/>
      <c r="F210"/>
      <c r="G210"/>
      <c r="H210"/>
    </row>
    <row r="211" spans="1:8" hidden="1" x14ac:dyDescent="0.2">
      <c r="A211" s="2291" t="s">
        <v>330</v>
      </c>
      <c r="B211" s="1634" t="s">
        <v>331</v>
      </c>
      <c r="C211"/>
      <c r="D211"/>
      <c r="E211"/>
      <c r="F211"/>
      <c r="G211"/>
      <c r="H211"/>
    </row>
    <row r="212" spans="1:8" hidden="1" x14ac:dyDescent="0.2">
      <c r="A212" s="2291" t="s">
        <v>5174</v>
      </c>
      <c r="B212" s="1634" t="s">
        <v>5175</v>
      </c>
      <c r="C212"/>
      <c r="D212"/>
      <c r="E212"/>
      <c r="F212"/>
      <c r="G212"/>
      <c r="H212"/>
    </row>
    <row r="213" spans="1:8" hidden="1" x14ac:dyDescent="0.2">
      <c r="A213" s="2291" t="s">
        <v>5176</v>
      </c>
      <c r="B213" s="1634" t="s">
        <v>5177</v>
      </c>
      <c r="C213"/>
      <c r="D213"/>
      <c r="E213"/>
      <c r="F213"/>
      <c r="G213"/>
      <c r="H213"/>
    </row>
    <row r="214" spans="1:8" hidden="1" x14ac:dyDescent="0.2">
      <c r="A214" s="2291" t="s">
        <v>5178</v>
      </c>
      <c r="B214" s="1634" t="s">
        <v>1110</v>
      </c>
      <c r="C214"/>
      <c r="D214"/>
      <c r="E214"/>
      <c r="F214"/>
      <c r="G214"/>
      <c r="H214"/>
    </row>
    <row r="215" spans="1:8" hidden="1" x14ac:dyDescent="0.2">
      <c r="A215" s="2291" t="s">
        <v>1111</v>
      </c>
      <c r="B215" s="1634" t="s">
        <v>1112</v>
      </c>
      <c r="C215"/>
      <c r="D215"/>
      <c r="E215"/>
      <c r="F215"/>
      <c r="G215"/>
      <c r="H215"/>
    </row>
    <row r="216" spans="1:8" hidden="1" x14ac:dyDescent="0.2">
      <c r="A216" s="2291" t="s">
        <v>1113</v>
      </c>
      <c r="B216" s="1634" t="s">
        <v>1114</v>
      </c>
      <c r="C216"/>
      <c r="D216"/>
      <c r="E216"/>
      <c r="F216"/>
      <c r="G216"/>
      <c r="H216"/>
    </row>
    <row r="217" spans="1:8" hidden="1" x14ac:dyDescent="0.2">
      <c r="A217" s="2291" t="s">
        <v>1115</v>
      </c>
      <c r="B217" s="1634" t="s">
        <v>1116</v>
      </c>
      <c r="C217"/>
      <c r="D217"/>
      <c r="E217"/>
      <c r="F217"/>
      <c r="G217"/>
      <c r="H217"/>
    </row>
    <row r="218" spans="1:8" hidden="1" x14ac:dyDescent="0.2">
      <c r="A218" s="2291" t="s">
        <v>1117</v>
      </c>
      <c r="B218" s="1634" t="s">
        <v>1118</v>
      </c>
      <c r="C218"/>
      <c r="D218"/>
      <c r="E218"/>
      <c r="F218"/>
      <c r="G218"/>
      <c r="H218"/>
    </row>
    <row r="219" spans="1:8" hidden="1" x14ac:dyDescent="0.2">
      <c r="A219" s="2291" t="s">
        <v>1119</v>
      </c>
      <c r="B219" s="1634" t="s">
        <v>1120</v>
      </c>
      <c r="C219"/>
      <c r="D219"/>
      <c r="E219"/>
      <c r="F219"/>
      <c r="G219"/>
      <c r="H219"/>
    </row>
    <row r="220" spans="1:8" hidden="1" x14ac:dyDescent="0.2">
      <c r="A220" s="2291" t="s">
        <v>1121</v>
      </c>
      <c r="B220" s="1634" t="s">
        <v>1122</v>
      </c>
      <c r="C220"/>
      <c r="D220"/>
      <c r="E220"/>
      <c r="F220"/>
      <c r="G220"/>
      <c r="H220"/>
    </row>
    <row r="221" spans="1:8" hidden="1" x14ac:dyDescent="0.2">
      <c r="A221" s="2291" t="s">
        <v>1123</v>
      </c>
      <c r="B221" s="1634" t="s">
        <v>1124</v>
      </c>
      <c r="C221"/>
      <c r="D221"/>
      <c r="E221"/>
      <c r="F221"/>
      <c r="G221"/>
      <c r="H221"/>
    </row>
    <row r="222" spans="1:8" hidden="1" x14ac:dyDescent="0.2">
      <c r="A222" s="2291" t="s">
        <v>1125</v>
      </c>
      <c r="B222" s="1634" t="s">
        <v>1126</v>
      </c>
      <c r="C222"/>
      <c r="D222"/>
      <c r="E222"/>
      <c r="F222"/>
      <c r="G222"/>
      <c r="H222"/>
    </row>
    <row r="223" spans="1:8" hidden="1" x14ac:dyDescent="0.2">
      <c r="A223" s="2291" t="s">
        <v>1127</v>
      </c>
      <c r="B223" s="1634" t="s">
        <v>1128</v>
      </c>
      <c r="C223"/>
      <c r="D223"/>
      <c r="E223"/>
      <c r="F223"/>
      <c r="G223"/>
      <c r="H223"/>
    </row>
    <row r="224" spans="1:8" hidden="1" x14ac:dyDescent="0.2">
      <c r="A224" s="2291" t="s">
        <v>1129</v>
      </c>
      <c r="B224" s="1634" t="s">
        <v>1130</v>
      </c>
      <c r="C224"/>
      <c r="D224"/>
    </row>
    <row r="225" spans="1:4" hidden="1" x14ac:dyDescent="0.2">
      <c r="A225" s="2291" t="s">
        <v>1131</v>
      </c>
      <c r="B225" s="1634" t="s">
        <v>1132</v>
      </c>
      <c r="C225"/>
      <c r="D225"/>
    </row>
    <row r="226" spans="1:4" hidden="1" x14ac:dyDescent="0.2">
      <c r="A226" s="2291" t="s">
        <v>1133</v>
      </c>
      <c r="B226" s="1634" t="s">
        <v>10</v>
      </c>
      <c r="C226" s="1634" t="s">
        <v>2575</v>
      </c>
      <c r="D226" s="1634" t="s">
        <v>2576</v>
      </c>
    </row>
    <row r="227" spans="1:4" hidden="1" x14ac:dyDescent="0.2">
      <c r="A227" s="2291" t="s">
        <v>698</v>
      </c>
      <c r="B227" s="1634" t="s">
        <v>699</v>
      </c>
      <c r="C227" s="1634" t="s">
        <v>700</v>
      </c>
      <c r="D227"/>
    </row>
    <row r="231" spans="1:4" hidden="1" x14ac:dyDescent="0.2">
      <c r="A231" s="2291" t="s">
        <v>701</v>
      </c>
      <c r="B231" s="1634" t="s">
        <v>384</v>
      </c>
      <c r="C231"/>
      <c r="D231"/>
    </row>
    <row r="232" spans="1:4" hidden="1" x14ac:dyDescent="0.2">
      <c r="A232" s="2291" t="s">
        <v>704</v>
      </c>
      <c r="B232" s="1634" t="s">
        <v>703</v>
      </c>
      <c r="C232"/>
      <c r="D232"/>
    </row>
    <row r="233" spans="1:4" hidden="1" x14ac:dyDescent="0.2">
      <c r="A233" s="2291" t="s">
        <v>707</v>
      </c>
      <c r="B233" s="1634" t="s">
        <v>706</v>
      </c>
      <c r="C233"/>
      <c r="D233"/>
    </row>
    <row r="234" spans="1:4" hidden="1" x14ac:dyDescent="0.2">
      <c r="A234" s="2291" t="s">
        <v>710</v>
      </c>
      <c r="B234" s="1634" t="s">
        <v>5272</v>
      </c>
      <c r="C234" s="1634" t="s">
        <v>867</v>
      </c>
      <c r="D234"/>
    </row>
    <row r="235" spans="1:4" hidden="1" x14ac:dyDescent="0.2">
      <c r="A235" s="2291" t="s">
        <v>3816</v>
      </c>
      <c r="B235" s="1634" t="s">
        <v>5695</v>
      </c>
      <c r="C235" s="1634" t="s">
        <v>869</v>
      </c>
      <c r="D235"/>
    </row>
    <row r="236" spans="1:4" hidden="1" x14ac:dyDescent="0.2">
      <c r="A236" s="2291" t="s">
        <v>3818</v>
      </c>
      <c r="B236" s="1634" t="s">
        <v>5697</v>
      </c>
      <c r="C236" s="1634" t="s">
        <v>871</v>
      </c>
      <c r="D236"/>
    </row>
    <row r="237" spans="1:4" hidden="1" x14ac:dyDescent="0.2">
      <c r="A237" s="2291" t="s">
        <v>3820</v>
      </c>
      <c r="B237" s="1634" t="s">
        <v>4705</v>
      </c>
      <c r="C237" s="1634" t="s">
        <v>3008</v>
      </c>
      <c r="D237"/>
    </row>
    <row r="238" spans="1:4" hidden="1" x14ac:dyDescent="0.2">
      <c r="A238" s="2291" t="s">
        <v>3821</v>
      </c>
      <c r="B238" s="1634" t="s">
        <v>2021</v>
      </c>
      <c r="C238" s="1634" t="s">
        <v>3010</v>
      </c>
      <c r="D238"/>
    </row>
    <row r="239" spans="1:4" hidden="1" x14ac:dyDescent="0.2">
      <c r="A239" s="2291" t="s">
        <v>3822</v>
      </c>
      <c r="B239" s="1634" t="s">
        <v>4707</v>
      </c>
      <c r="C239" s="1634" t="s">
        <v>6460</v>
      </c>
      <c r="D239"/>
    </row>
    <row r="240" spans="1:4" hidden="1" x14ac:dyDescent="0.2">
      <c r="A240" s="2291" t="s">
        <v>3823</v>
      </c>
      <c r="B240" s="1634" t="s">
        <v>4709</v>
      </c>
      <c r="C240" s="1634" t="s">
        <v>6462</v>
      </c>
      <c r="D240"/>
    </row>
    <row r="241" spans="1:4" hidden="1" x14ac:dyDescent="0.2">
      <c r="A241" s="2291" t="s">
        <v>3824</v>
      </c>
      <c r="B241" s="1634" t="s">
        <v>4711</v>
      </c>
      <c r="C241" s="1634" t="s">
        <v>6464</v>
      </c>
      <c r="D241"/>
    </row>
    <row r="242" spans="1:4" hidden="1" x14ac:dyDescent="0.2">
      <c r="A242" s="2291" t="s">
        <v>3543</v>
      </c>
      <c r="B242" s="1634" t="s">
        <v>4713</v>
      </c>
      <c r="C242" s="1634" t="s">
        <v>2911</v>
      </c>
      <c r="D242"/>
    </row>
    <row r="243" spans="1:4" hidden="1" x14ac:dyDescent="0.2">
      <c r="A243" s="2291" t="s">
        <v>3544</v>
      </c>
      <c r="B243" s="1634" t="s">
        <v>2153</v>
      </c>
      <c r="C243" s="1634" t="s">
        <v>2913</v>
      </c>
      <c r="D243"/>
    </row>
    <row r="244" spans="1:4" hidden="1" x14ac:dyDescent="0.2">
      <c r="A244" s="2291" t="s">
        <v>3545</v>
      </c>
      <c r="B244" s="1634" t="s">
        <v>4715</v>
      </c>
      <c r="C244" s="1634" t="s">
        <v>2915</v>
      </c>
      <c r="D244"/>
    </row>
    <row r="245" spans="1:4" hidden="1" x14ac:dyDescent="0.2">
      <c r="A245" s="2291" t="s">
        <v>3546</v>
      </c>
      <c r="B245" s="1634" t="s">
        <v>2917</v>
      </c>
      <c r="C245"/>
      <c r="D245"/>
    </row>
    <row r="246" spans="1:4" hidden="1" x14ac:dyDescent="0.2">
      <c r="A246" s="2291" t="s">
        <v>743</v>
      </c>
      <c r="B246" s="1634" t="s">
        <v>6429</v>
      </c>
      <c r="C246" s="1634" t="s">
        <v>1575</v>
      </c>
      <c r="D246"/>
    </row>
    <row r="247" spans="1:4" hidden="1" x14ac:dyDescent="0.2">
      <c r="A247" s="2291" t="s">
        <v>744</v>
      </c>
      <c r="B247" s="1634" t="s">
        <v>2187</v>
      </c>
      <c r="C247" s="1634" t="s">
        <v>4078</v>
      </c>
      <c r="D247"/>
    </row>
    <row r="248" spans="1:4" hidden="1" x14ac:dyDescent="0.2">
      <c r="A248" s="2291" t="s">
        <v>1572</v>
      </c>
      <c r="B248" s="1634" t="s">
        <v>6431</v>
      </c>
      <c r="C248" s="1634" t="s">
        <v>4080</v>
      </c>
      <c r="D248"/>
    </row>
    <row r="249" spans="1:4" hidden="1" x14ac:dyDescent="0.2">
      <c r="A249" s="2291" t="s">
        <v>1573</v>
      </c>
      <c r="B249" s="1634" t="s">
        <v>6432</v>
      </c>
      <c r="C249" s="1634" t="s">
        <v>4082</v>
      </c>
      <c r="D249"/>
    </row>
    <row r="250" spans="1:4" hidden="1" x14ac:dyDescent="0.2">
      <c r="A250" s="2291" t="s">
        <v>1574</v>
      </c>
      <c r="B250" s="1634" t="s">
        <v>6433</v>
      </c>
      <c r="C250" s="1634" t="s">
        <v>4084</v>
      </c>
      <c r="D250"/>
    </row>
    <row r="251" spans="1:4" hidden="1" x14ac:dyDescent="0.2">
      <c r="A251" s="2291" t="s">
        <v>4077</v>
      </c>
      <c r="B251" s="1634" t="s">
        <v>2276</v>
      </c>
      <c r="C251" s="1634" t="s">
        <v>4086</v>
      </c>
      <c r="D251"/>
    </row>
    <row r="252" spans="1:4" hidden="1" x14ac:dyDescent="0.2">
      <c r="A252" s="2291" t="s">
        <v>4079</v>
      </c>
      <c r="B252" s="1634" t="s">
        <v>6434</v>
      </c>
      <c r="C252" s="1634" t="s">
        <v>2431</v>
      </c>
      <c r="D252"/>
    </row>
    <row r="253" spans="1:4" hidden="1" x14ac:dyDescent="0.2">
      <c r="A253" s="2291" t="s">
        <v>4081</v>
      </c>
      <c r="B253" s="1634" t="s">
        <v>6436</v>
      </c>
      <c r="C253" s="1634" t="s">
        <v>4088</v>
      </c>
      <c r="D253"/>
    </row>
    <row r="254" spans="1:4" hidden="1" x14ac:dyDescent="0.2">
      <c r="A254" s="2291" t="s">
        <v>4083</v>
      </c>
      <c r="B254" s="1634" t="s">
        <v>6438</v>
      </c>
      <c r="C254" s="1634" t="s">
        <v>1076</v>
      </c>
      <c r="D254"/>
    </row>
    <row r="255" spans="1:4" hidden="1" x14ac:dyDescent="0.2">
      <c r="A255" s="2291" t="s">
        <v>4085</v>
      </c>
      <c r="B255" s="1634" t="s">
        <v>2945</v>
      </c>
      <c r="C255" s="1634" t="s">
        <v>1783</v>
      </c>
      <c r="D255"/>
    </row>
    <row r="256" spans="1:4" hidden="1" x14ac:dyDescent="0.2">
      <c r="A256" s="2291" t="s">
        <v>4087</v>
      </c>
      <c r="B256" s="1634" t="s">
        <v>2667</v>
      </c>
      <c r="C256" s="1634" t="s">
        <v>2670</v>
      </c>
    </row>
    <row r="257" spans="1:10" hidden="1" x14ac:dyDescent="0.2">
      <c r="A257" s="2291" t="s">
        <v>385</v>
      </c>
      <c r="B257" s="1634" t="s">
        <v>661</v>
      </c>
      <c r="C257" s="1634" t="s">
        <v>666</v>
      </c>
    </row>
    <row r="258" spans="1:10" hidden="1" x14ac:dyDescent="0.2">
      <c r="A258" s="2291" t="s">
        <v>386</v>
      </c>
      <c r="B258" s="1634" t="s">
        <v>671</v>
      </c>
      <c r="C258" s="1634" t="s">
        <v>3493</v>
      </c>
    </row>
    <row r="259" spans="1:10" hidden="1" x14ac:dyDescent="0.2">
      <c r="A259" s="2291" t="s">
        <v>387</v>
      </c>
      <c r="B259" s="1634" t="s">
        <v>6441</v>
      </c>
      <c r="C259" s="1634" t="s">
        <v>3495</v>
      </c>
    </row>
    <row r="260" spans="1:10" hidden="1" x14ac:dyDescent="0.2">
      <c r="A260" s="2291" t="s">
        <v>388</v>
      </c>
      <c r="B260" s="1634" t="s">
        <v>6444</v>
      </c>
      <c r="C260" s="1634" t="s">
        <v>3497</v>
      </c>
    </row>
    <row r="261" spans="1:10" hidden="1" x14ac:dyDescent="0.2">
      <c r="A261" s="2291" t="s">
        <v>389</v>
      </c>
      <c r="B261" s="1634" t="s">
        <v>139</v>
      </c>
      <c r="C261"/>
    </row>
    <row r="262" spans="1:10" hidden="1" x14ac:dyDescent="0.2">
      <c r="A262" s="2291" t="s">
        <v>390</v>
      </c>
      <c r="B262" s="1634" t="s">
        <v>3397</v>
      </c>
      <c r="C262"/>
    </row>
    <row r="263" spans="1:10" hidden="1" x14ac:dyDescent="0.2">
      <c r="A263" s="2291" t="s">
        <v>2224</v>
      </c>
      <c r="B263" s="1634" t="s">
        <v>6452</v>
      </c>
      <c r="C263"/>
    </row>
    <row r="264" spans="1:10" hidden="1" x14ac:dyDescent="0.2">
      <c r="A264" s="2291" t="s">
        <v>3429</v>
      </c>
      <c r="B264" s="1634" t="s">
        <v>4523</v>
      </c>
      <c r="C264"/>
    </row>
    <row r="265" spans="1:10" hidden="1" x14ac:dyDescent="0.2">
      <c r="A265" s="2291" t="s">
        <v>3430</v>
      </c>
      <c r="B265" s="1634" t="s">
        <v>3255</v>
      </c>
      <c r="C265"/>
    </row>
    <row r="266" spans="1:10" hidden="1" x14ac:dyDescent="0.2">
      <c r="A266" s="2291" t="s">
        <v>4454</v>
      </c>
      <c r="B266" s="1634" t="s">
        <v>808</v>
      </c>
      <c r="C266"/>
    </row>
    <row r="267" spans="1:10" hidden="1" x14ac:dyDescent="0.2">
      <c r="A267" s="2291" t="s">
        <v>12</v>
      </c>
      <c r="B267" s="1634" t="s">
        <v>815</v>
      </c>
      <c r="C267"/>
    </row>
    <row r="268" spans="1:10" hidden="1" x14ac:dyDescent="0.2">
      <c r="A268" s="2291" t="s">
        <v>13</v>
      </c>
      <c r="B268" s="1634" t="s">
        <v>823</v>
      </c>
      <c r="C268"/>
    </row>
    <row r="269" spans="1:10" hidden="1" x14ac:dyDescent="0.2">
      <c r="A269" s="2291" t="s">
        <v>14</v>
      </c>
      <c r="B269" s="1634" t="s">
        <v>5730</v>
      </c>
      <c r="C269"/>
    </row>
    <row r="270" spans="1:10" hidden="1" x14ac:dyDescent="0.2">
      <c r="A270" s="2291" t="s">
        <v>15</v>
      </c>
      <c r="B270" s="1634" t="s">
        <v>5483</v>
      </c>
      <c r="C270"/>
    </row>
    <row r="271" spans="1:10" hidden="1" x14ac:dyDescent="0.2">
      <c r="A271" s="2291" t="s">
        <v>16</v>
      </c>
      <c r="B271" s="1634" t="s">
        <v>4792</v>
      </c>
      <c r="C271"/>
    </row>
    <row r="272" spans="1:10" hidden="1" x14ac:dyDescent="0.2">
      <c r="A272" s="2291" t="s">
        <v>6043</v>
      </c>
      <c r="B272" s="1634" t="s">
        <v>6503</v>
      </c>
      <c r="C272"/>
      <c r="D272"/>
      <c r="E272"/>
      <c r="F272"/>
      <c r="G272"/>
      <c r="H272"/>
      <c r="I272"/>
      <c r="J272"/>
    </row>
    <row r="273" spans="1:10" hidden="1" x14ac:dyDescent="0.2">
      <c r="A273" s="2291" t="s">
        <v>6044</v>
      </c>
      <c r="B273" s="1634" t="s">
        <v>406</v>
      </c>
      <c r="C273"/>
      <c r="D273"/>
      <c r="E273"/>
      <c r="F273"/>
      <c r="G273"/>
      <c r="H273"/>
      <c r="I273"/>
      <c r="J273"/>
    </row>
    <row r="274" spans="1:10" hidden="1" x14ac:dyDescent="0.2">
      <c r="A274" s="2291" t="s">
        <v>6045</v>
      </c>
      <c r="B274" s="1634" t="s">
        <v>2626</v>
      </c>
      <c r="C274"/>
      <c r="D274"/>
      <c r="E274"/>
      <c r="F274"/>
      <c r="G274"/>
      <c r="H274"/>
      <c r="I274"/>
      <c r="J274"/>
    </row>
    <row r="278" spans="1:10" hidden="1" x14ac:dyDescent="0.2">
      <c r="A278" s="2291" t="s">
        <v>4089</v>
      </c>
      <c r="B278" s="1634" t="s">
        <v>3099</v>
      </c>
      <c r="C278"/>
      <c r="D278"/>
      <c r="E278"/>
      <c r="F278"/>
      <c r="G278"/>
      <c r="H278"/>
      <c r="I278"/>
      <c r="J278"/>
    </row>
    <row r="279" spans="1:10" hidden="1" x14ac:dyDescent="0.2">
      <c r="A279" s="2291" t="s">
        <v>4090</v>
      </c>
      <c r="B279" s="1634" t="s">
        <v>3106</v>
      </c>
      <c r="C279"/>
      <c r="D279"/>
      <c r="E279"/>
      <c r="F279"/>
      <c r="G279"/>
      <c r="H279"/>
      <c r="I279"/>
      <c r="J279"/>
    </row>
    <row r="280" spans="1:10" hidden="1" x14ac:dyDescent="0.2">
      <c r="A280" s="2291" t="s">
        <v>4091</v>
      </c>
      <c r="B280" s="1634" t="s">
        <v>553</v>
      </c>
      <c r="C280"/>
      <c r="D280"/>
      <c r="E280"/>
      <c r="F280"/>
      <c r="G280"/>
      <c r="H280"/>
      <c r="I280"/>
      <c r="J280"/>
    </row>
    <row r="281" spans="1:10" hidden="1" x14ac:dyDescent="0.2">
      <c r="A281" s="2291" t="s">
        <v>4092</v>
      </c>
      <c r="B281" s="1634" t="s">
        <v>561</v>
      </c>
      <c r="C281"/>
      <c r="D281"/>
      <c r="E281"/>
      <c r="F281"/>
      <c r="G281"/>
      <c r="H281"/>
      <c r="I281"/>
      <c r="J281"/>
    </row>
    <row r="282" spans="1:10" hidden="1" x14ac:dyDescent="0.2">
      <c r="A282" s="2291" t="s">
        <v>4093</v>
      </c>
      <c r="B282" s="1634" t="s">
        <v>1114</v>
      </c>
      <c r="C282" s="1634" t="s">
        <v>4713</v>
      </c>
      <c r="D282" s="1634" t="s">
        <v>4094</v>
      </c>
      <c r="E282" s="1634" t="s">
        <v>5430</v>
      </c>
      <c r="F282" s="1634" t="s">
        <v>4714</v>
      </c>
      <c r="G282" s="1634" t="s">
        <v>2911</v>
      </c>
      <c r="H282" s="1634" t="s">
        <v>4095</v>
      </c>
      <c r="I282" s="1634" t="s">
        <v>4096</v>
      </c>
      <c r="J282" s="1634" t="s">
        <v>4097</v>
      </c>
    </row>
    <row r="283" spans="1:10" hidden="1" x14ac:dyDescent="0.2">
      <c r="A283" s="2291" t="s">
        <v>4098</v>
      </c>
      <c r="B283" s="1634" t="s">
        <v>1116</v>
      </c>
      <c r="C283" s="1634" t="s">
        <v>2153</v>
      </c>
      <c r="D283" s="1634" t="s">
        <v>4099</v>
      </c>
      <c r="E283" s="1634" t="s">
        <v>2154</v>
      </c>
      <c r="F283" s="1634" t="s">
        <v>5476</v>
      </c>
      <c r="G283" s="1634" t="s">
        <v>2913</v>
      </c>
      <c r="H283" s="1634" t="s">
        <v>4100</v>
      </c>
      <c r="I283" s="1634" t="s">
        <v>4101</v>
      </c>
      <c r="J283" s="1634" t="s">
        <v>4102</v>
      </c>
    </row>
    <row r="284" spans="1:10" hidden="1" x14ac:dyDescent="0.2">
      <c r="A284" s="2291" t="s">
        <v>4103</v>
      </c>
      <c r="B284" s="1634" t="s">
        <v>1118</v>
      </c>
      <c r="C284" s="1634" t="s">
        <v>4715</v>
      </c>
      <c r="D284" s="1634" t="s">
        <v>4104</v>
      </c>
      <c r="E284" s="1634" t="s">
        <v>2161</v>
      </c>
      <c r="F284" s="1634" t="s">
        <v>4716</v>
      </c>
      <c r="G284" s="1634" t="s">
        <v>2915</v>
      </c>
      <c r="H284" s="1634" t="s">
        <v>4105</v>
      </c>
      <c r="I284" s="1634" t="s">
        <v>2318</v>
      </c>
      <c r="J284" s="1634" t="s">
        <v>2319</v>
      </c>
    </row>
    <row r="285" spans="1:10" hidden="1" x14ac:dyDescent="0.2">
      <c r="A285" s="2291" t="s">
        <v>2320</v>
      </c>
      <c r="B285" s="1634" t="s">
        <v>1120</v>
      </c>
      <c r="C285" s="1634" t="s">
        <v>4717</v>
      </c>
      <c r="D285" s="1634" t="s">
        <v>2321</v>
      </c>
      <c r="E285" s="1634" t="s">
        <v>2168</v>
      </c>
      <c r="F285" s="1634" t="s">
        <v>6426</v>
      </c>
      <c r="G285" s="1634" t="s">
        <v>2917</v>
      </c>
      <c r="H285" s="1634" t="s">
        <v>2322</v>
      </c>
      <c r="I285" s="1634" t="s">
        <v>2323</v>
      </c>
      <c r="J285" s="1634" t="s">
        <v>2324</v>
      </c>
    </row>
    <row r="286" spans="1:10" hidden="1" x14ac:dyDescent="0.2">
      <c r="A286" s="2291" t="s">
        <v>2325</v>
      </c>
      <c r="B286" s="1634" t="s">
        <v>1122</v>
      </c>
      <c r="C286" s="1634" t="s">
        <v>6427</v>
      </c>
      <c r="D286" s="1634" t="s">
        <v>2326</v>
      </c>
      <c r="E286" s="1634" t="s">
        <v>2174</v>
      </c>
      <c r="F286" s="1634" t="s">
        <v>6428</v>
      </c>
      <c r="G286" s="1634" t="s">
        <v>2919</v>
      </c>
      <c r="H286" s="1634" t="s">
        <v>2327</v>
      </c>
      <c r="I286" s="1634" t="s">
        <v>2328</v>
      </c>
      <c r="J286" s="1634" t="s">
        <v>1011</v>
      </c>
    </row>
    <row r="287" spans="1:10" hidden="1" x14ac:dyDescent="0.2">
      <c r="A287" s="2291" t="s">
        <v>1012</v>
      </c>
      <c r="B287" s="1634" t="s">
        <v>1124</v>
      </c>
      <c r="C287" s="1634" t="s">
        <v>6429</v>
      </c>
      <c r="D287" s="1634" t="s">
        <v>6605</v>
      </c>
      <c r="E287" s="1634" t="s">
        <v>2181</v>
      </c>
      <c r="F287" s="1634" t="s">
        <v>6430</v>
      </c>
      <c r="G287" s="1634" t="s">
        <v>1575</v>
      </c>
      <c r="H287" s="1634" t="s">
        <v>6606</v>
      </c>
      <c r="I287" s="1634" t="s">
        <v>5084</v>
      </c>
      <c r="J287" s="1634" t="s">
        <v>5085</v>
      </c>
    </row>
    <row r="288" spans="1:10" hidden="1" x14ac:dyDescent="0.2">
      <c r="A288" s="2291" t="s">
        <v>1</v>
      </c>
      <c r="B288" s="1634" t="s">
        <v>1126</v>
      </c>
      <c r="C288" s="1634" t="s">
        <v>2187</v>
      </c>
      <c r="D288" s="1634" t="s">
        <v>2</v>
      </c>
      <c r="E288" s="1634" t="s">
        <v>2188</v>
      </c>
      <c r="F288" s="1634" t="s">
        <v>2921</v>
      </c>
      <c r="G288" s="1634" t="s">
        <v>4078</v>
      </c>
      <c r="H288" s="1634" t="s">
        <v>3</v>
      </c>
      <c r="I288" s="1634" t="s">
        <v>1741</v>
      </c>
      <c r="J288" s="1634" t="s">
        <v>1742</v>
      </c>
    </row>
    <row r="289" spans="1:10" hidden="1" x14ac:dyDescent="0.2">
      <c r="A289" s="2291" t="s">
        <v>1743</v>
      </c>
      <c r="B289" s="1634" t="s">
        <v>1128</v>
      </c>
      <c r="C289" s="1634" t="s">
        <v>6431</v>
      </c>
      <c r="D289" s="1634" t="s">
        <v>1744</v>
      </c>
      <c r="E289" s="1634" t="s">
        <v>3092</v>
      </c>
      <c r="F289" s="1634" t="s">
        <v>2923</v>
      </c>
      <c r="G289" s="1634" t="s">
        <v>4080</v>
      </c>
      <c r="H289" s="1634" t="s">
        <v>1745</v>
      </c>
      <c r="I289" s="1634" t="s">
        <v>1746</v>
      </c>
      <c r="J289" s="1634" t="s">
        <v>1747</v>
      </c>
    </row>
    <row r="290" spans="1:10" hidden="1" x14ac:dyDescent="0.2">
      <c r="A290" s="2291" t="s">
        <v>1748</v>
      </c>
      <c r="B290" s="1634" t="s">
        <v>1130</v>
      </c>
      <c r="C290" s="1634" t="s">
        <v>6432</v>
      </c>
      <c r="D290" s="1634" t="s">
        <v>1749</v>
      </c>
      <c r="E290" s="1634" t="s">
        <v>3535</v>
      </c>
      <c r="F290" s="1634" t="s">
        <v>3301</v>
      </c>
      <c r="G290" s="1634" t="s">
        <v>4082</v>
      </c>
      <c r="H290" s="1634" t="s">
        <v>1750</v>
      </c>
      <c r="I290" s="1634" t="s">
        <v>1751</v>
      </c>
      <c r="J290" s="1634" t="s">
        <v>1752</v>
      </c>
    </row>
    <row r="291" spans="1:10" hidden="1" x14ac:dyDescent="0.2">
      <c r="A291" s="2291" t="s">
        <v>1726</v>
      </c>
      <c r="B291" s="1634" t="s">
        <v>1132</v>
      </c>
      <c r="C291" s="1634" t="s">
        <v>6433</v>
      </c>
      <c r="D291" s="1634" t="s">
        <v>1727</v>
      </c>
      <c r="E291" s="1634" t="s">
        <v>6189</v>
      </c>
      <c r="F291" s="1634" t="s">
        <v>3303</v>
      </c>
      <c r="G291" s="1634" t="s">
        <v>4084</v>
      </c>
      <c r="H291" s="1634" t="s">
        <v>1728</v>
      </c>
      <c r="I291" s="1634" t="s">
        <v>945</v>
      </c>
      <c r="J291" s="1634" t="s">
        <v>946</v>
      </c>
    </row>
    <row r="292" spans="1:10" hidden="1" x14ac:dyDescent="0.2">
      <c r="A292" s="2291" t="s">
        <v>947</v>
      </c>
      <c r="B292" s="1634" t="s">
        <v>2492</v>
      </c>
      <c r="C292" s="1634" t="s">
        <v>2276</v>
      </c>
      <c r="D292" s="1634" t="s">
        <v>2493</v>
      </c>
      <c r="E292" s="1634" t="s">
        <v>2277</v>
      </c>
      <c r="F292" s="1634" t="s">
        <v>5477</v>
      </c>
      <c r="G292" s="1634" t="s">
        <v>4086</v>
      </c>
      <c r="H292" s="1634" t="s">
        <v>2494</v>
      </c>
      <c r="I292" s="1634" t="s">
        <v>2495</v>
      </c>
      <c r="J292" s="1634" t="s">
        <v>2496</v>
      </c>
    </row>
    <row r="293" spans="1:10" hidden="1" x14ac:dyDescent="0.2">
      <c r="A293" s="2291" t="s">
        <v>5815</v>
      </c>
      <c r="B293" s="1634" t="s">
        <v>5816</v>
      </c>
      <c r="C293" s="1634" t="s">
        <v>6434</v>
      </c>
      <c r="D293" s="1634" t="s">
        <v>5817</v>
      </c>
      <c r="E293" s="1634" t="s">
        <v>2284</v>
      </c>
      <c r="F293" s="1634" t="s">
        <v>6435</v>
      </c>
      <c r="G293" s="1634" t="s">
        <v>2431</v>
      </c>
      <c r="H293" s="1634" t="s">
        <v>2432</v>
      </c>
      <c r="I293" s="1634" t="s">
        <v>2433</v>
      </c>
      <c r="J293" s="1634" t="s">
        <v>1066</v>
      </c>
    </row>
    <row r="294" spans="1:10" hidden="1" x14ac:dyDescent="0.2">
      <c r="A294" s="2291" t="s">
        <v>1067</v>
      </c>
      <c r="B294" s="1634" t="s">
        <v>1068</v>
      </c>
      <c r="C294" s="1634" t="s">
        <v>6436</v>
      </c>
      <c r="D294" s="1634" t="s">
        <v>1069</v>
      </c>
      <c r="E294" s="1634" t="s">
        <v>270</v>
      </c>
      <c r="F294" s="1634" t="s">
        <v>6437</v>
      </c>
      <c r="G294" s="1634" t="s">
        <v>4088</v>
      </c>
      <c r="H294" s="1634" t="s">
        <v>1070</v>
      </c>
      <c r="I294" s="1634" t="s">
        <v>1071</v>
      </c>
      <c r="J294" s="1634" t="s">
        <v>1072</v>
      </c>
    </row>
    <row r="295" spans="1:10" hidden="1" x14ac:dyDescent="0.2">
      <c r="A295" s="2291" t="s">
        <v>1073</v>
      </c>
      <c r="B295" s="1634" t="s">
        <v>1074</v>
      </c>
      <c r="C295" s="1634" t="s">
        <v>6438</v>
      </c>
      <c r="D295" s="1634" t="s">
        <v>1075</v>
      </c>
      <c r="E295" s="1634" t="s">
        <v>277</v>
      </c>
      <c r="F295" s="1634" t="s">
        <v>6439</v>
      </c>
      <c r="G295" s="1634" t="s">
        <v>1076</v>
      </c>
      <c r="H295" s="1634" t="s">
        <v>4204</v>
      </c>
      <c r="I295" s="1634" t="s">
        <v>4205</v>
      </c>
      <c r="J295" s="1634" t="s">
        <v>4206</v>
      </c>
    </row>
    <row r="296" spans="1:10" hidden="1" x14ac:dyDescent="0.2">
      <c r="A296" s="2291" t="s">
        <v>4207</v>
      </c>
      <c r="B296" s="1634" t="s">
        <v>4208</v>
      </c>
      <c r="C296" s="1634" t="s">
        <v>2945</v>
      </c>
      <c r="D296" s="1634" t="s">
        <v>1781</v>
      </c>
      <c r="E296" s="1634" t="s">
        <v>2946</v>
      </c>
      <c r="F296" s="1634" t="s">
        <v>1782</v>
      </c>
      <c r="G296" s="1634" t="s">
        <v>1783</v>
      </c>
      <c r="H296" s="1634" t="s">
        <v>1784</v>
      </c>
      <c r="I296" s="1634" t="s">
        <v>3778</v>
      </c>
      <c r="J296" s="1634" t="s">
        <v>3779</v>
      </c>
    </row>
    <row r="297" spans="1:10" hidden="1" x14ac:dyDescent="0.2">
      <c r="A297" s="2291" t="s">
        <v>284</v>
      </c>
      <c r="B297" s="1634" t="s">
        <v>2666</v>
      </c>
      <c r="C297" s="1634" t="s">
        <v>2667</v>
      </c>
      <c r="D297" s="1634" t="s">
        <v>2668</v>
      </c>
      <c r="E297" s="1634" t="s">
        <v>2669</v>
      </c>
      <c r="F297" s="1634" t="s">
        <v>5478</v>
      </c>
      <c r="G297" s="1634" t="s">
        <v>2670</v>
      </c>
      <c r="H297" s="1634" t="s">
        <v>2671</v>
      </c>
      <c r="I297" s="1634" t="s">
        <v>2672</v>
      </c>
      <c r="J297" s="1634" t="s">
        <v>2673</v>
      </c>
    </row>
    <row r="298" spans="1:10" hidden="1" x14ac:dyDescent="0.2">
      <c r="A298" s="2291" t="s">
        <v>138</v>
      </c>
      <c r="B298" s="1634" t="s">
        <v>6448</v>
      </c>
      <c r="C298" s="1634" t="s">
        <v>139</v>
      </c>
      <c r="D298" s="1634" t="s">
        <v>140</v>
      </c>
      <c r="E298" s="1634" t="s">
        <v>2925</v>
      </c>
      <c r="F298" s="1634" t="s">
        <v>2926</v>
      </c>
      <c r="G298"/>
      <c r="H298"/>
      <c r="I298"/>
      <c r="J298"/>
    </row>
    <row r="299" spans="1:10" hidden="1" x14ac:dyDescent="0.2">
      <c r="A299" s="2291" t="s">
        <v>2927</v>
      </c>
      <c r="B299" s="1634" t="s">
        <v>6452</v>
      </c>
      <c r="C299" s="1634" t="s">
        <v>2928</v>
      </c>
      <c r="D299" s="1634" t="s">
        <v>2929</v>
      </c>
      <c r="E299" s="1634" t="s">
        <v>2930</v>
      </c>
      <c r="F299"/>
      <c r="G299"/>
      <c r="H299"/>
      <c r="I299"/>
      <c r="J299"/>
    </row>
    <row r="300" spans="1:10" hidden="1" x14ac:dyDescent="0.2">
      <c r="A300" s="2291" t="s">
        <v>2931</v>
      </c>
      <c r="B300" s="1634" t="s">
        <v>1936</v>
      </c>
      <c r="C300"/>
      <c r="D300"/>
      <c r="E300"/>
      <c r="F300"/>
      <c r="G300"/>
      <c r="H300"/>
      <c r="I300"/>
      <c r="J300"/>
    </row>
    <row r="304" spans="1:10" hidden="1" x14ac:dyDescent="0.2">
      <c r="A304" s="2291" t="s">
        <v>3124</v>
      </c>
      <c r="B304" s="1634" t="s">
        <v>1937</v>
      </c>
      <c r="C304"/>
      <c r="D304"/>
      <c r="E304"/>
      <c r="F304"/>
      <c r="G304"/>
      <c r="H304"/>
      <c r="I304"/>
      <c r="J304"/>
    </row>
    <row r="305" spans="1:10" hidden="1" x14ac:dyDescent="0.2">
      <c r="A305" s="2291" t="s">
        <v>4803</v>
      </c>
      <c r="B305" s="1634" t="s">
        <v>705</v>
      </c>
      <c r="C305" s="1634" t="s">
        <v>706</v>
      </c>
      <c r="D305"/>
      <c r="E305"/>
      <c r="F305"/>
      <c r="G305"/>
      <c r="H305"/>
      <c r="I305"/>
      <c r="J305"/>
    </row>
    <row r="306" spans="1:10" hidden="1" x14ac:dyDescent="0.2">
      <c r="A306" s="2291" t="s">
        <v>4804</v>
      </c>
      <c r="B306" s="1634" t="s">
        <v>708</v>
      </c>
      <c r="C306" s="1634" t="s">
        <v>709</v>
      </c>
      <c r="D306"/>
      <c r="E306"/>
      <c r="F306"/>
      <c r="G306"/>
      <c r="H306"/>
      <c r="I306"/>
      <c r="J306"/>
    </row>
    <row r="307" spans="1:10" hidden="1" x14ac:dyDescent="0.2">
      <c r="A307" s="2291" t="s">
        <v>4805</v>
      </c>
      <c r="B307" s="1634" t="s">
        <v>711</v>
      </c>
      <c r="C307" s="1634" t="s">
        <v>861</v>
      </c>
      <c r="D307"/>
      <c r="E307"/>
      <c r="F307"/>
      <c r="G307"/>
      <c r="H307"/>
      <c r="I307"/>
      <c r="J307"/>
    </row>
    <row r="308" spans="1:10" hidden="1" x14ac:dyDescent="0.2">
      <c r="A308" s="2291" t="s">
        <v>4806</v>
      </c>
      <c r="B308" s="1634" t="s">
        <v>3817</v>
      </c>
      <c r="C308" s="1634" t="s">
        <v>863</v>
      </c>
      <c r="D308"/>
      <c r="E308"/>
      <c r="F308"/>
      <c r="G308"/>
      <c r="H308"/>
      <c r="I308"/>
      <c r="J308"/>
    </row>
    <row r="309" spans="1:10" hidden="1" x14ac:dyDescent="0.2">
      <c r="A309" s="2291" t="s">
        <v>4807</v>
      </c>
      <c r="B309" s="1634" t="s">
        <v>1060</v>
      </c>
      <c r="C309" s="1634" t="s">
        <v>865</v>
      </c>
      <c r="D309"/>
      <c r="E309"/>
      <c r="F309"/>
      <c r="G309"/>
      <c r="H309"/>
      <c r="I309"/>
      <c r="J309"/>
    </row>
    <row r="310" spans="1:10" hidden="1" x14ac:dyDescent="0.2">
      <c r="A310" s="2291" t="s">
        <v>4808</v>
      </c>
      <c r="B310" s="1634" t="s">
        <v>5272</v>
      </c>
      <c r="C310" s="1634" t="s">
        <v>867</v>
      </c>
      <c r="D310"/>
      <c r="E310"/>
      <c r="F310"/>
      <c r="G310"/>
      <c r="H310"/>
      <c r="I310"/>
      <c r="J310"/>
    </row>
    <row r="311" spans="1:10" hidden="1" x14ac:dyDescent="0.2">
      <c r="A311" s="2291" t="s">
        <v>4809</v>
      </c>
      <c r="B311" s="1634" t="s">
        <v>5695</v>
      </c>
      <c r="C311" s="1634" t="s">
        <v>869</v>
      </c>
      <c r="D311"/>
      <c r="E311"/>
      <c r="F311"/>
      <c r="G311"/>
      <c r="H311"/>
      <c r="I311"/>
      <c r="J311"/>
    </row>
    <row r="312" spans="1:10" hidden="1" x14ac:dyDescent="0.2">
      <c r="A312" s="2291" t="s">
        <v>90</v>
      </c>
      <c r="B312" s="1634" t="s">
        <v>5697</v>
      </c>
      <c r="C312" s="1634" t="s">
        <v>871</v>
      </c>
      <c r="D312"/>
      <c r="E312"/>
      <c r="F312"/>
      <c r="G312"/>
      <c r="H312"/>
      <c r="I312"/>
      <c r="J312"/>
    </row>
    <row r="313" spans="1:10" hidden="1" x14ac:dyDescent="0.2">
      <c r="A313" s="2291" t="s">
        <v>5390</v>
      </c>
      <c r="B313" s="1634" t="s">
        <v>4705</v>
      </c>
      <c r="C313" s="1634" t="s">
        <v>3008</v>
      </c>
      <c r="D313"/>
      <c r="E313"/>
      <c r="F313"/>
      <c r="G313"/>
      <c r="H313"/>
      <c r="I313"/>
      <c r="J313"/>
    </row>
    <row r="314" spans="1:10" hidden="1" x14ac:dyDescent="0.2">
      <c r="A314" s="2291" t="s">
        <v>533</v>
      </c>
      <c r="B314" s="1634" t="s">
        <v>2021</v>
      </c>
      <c r="C314" s="1634" t="s">
        <v>3010</v>
      </c>
      <c r="D314"/>
      <c r="E314"/>
      <c r="F314"/>
      <c r="G314"/>
      <c r="H314"/>
      <c r="I314"/>
      <c r="J314"/>
    </row>
    <row r="315" spans="1:10" hidden="1" x14ac:dyDescent="0.2">
      <c r="A315" s="2291" t="s">
        <v>534</v>
      </c>
      <c r="B315" s="1634" t="s">
        <v>4707</v>
      </c>
      <c r="C315" s="1634" t="s">
        <v>6460</v>
      </c>
      <c r="D315"/>
      <c r="E315"/>
      <c r="F315"/>
      <c r="G315"/>
      <c r="H315"/>
      <c r="I315"/>
      <c r="J315"/>
    </row>
    <row r="316" spans="1:10" hidden="1" x14ac:dyDescent="0.2">
      <c r="A316" s="2291" t="s">
        <v>535</v>
      </c>
      <c r="B316" s="1634" t="s">
        <v>4709</v>
      </c>
      <c r="C316" s="1634" t="s">
        <v>6462</v>
      </c>
      <c r="D316"/>
      <c r="E316"/>
      <c r="F316"/>
      <c r="G316"/>
      <c r="H316"/>
      <c r="I316"/>
      <c r="J316"/>
    </row>
    <row r="317" spans="1:10" hidden="1" x14ac:dyDescent="0.2">
      <c r="A317" s="2291" t="s">
        <v>536</v>
      </c>
      <c r="B317" s="1634" t="s">
        <v>4711</v>
      </c>
      <c r="C317" s="1634" t="s">
        <v>6464</v>
      </c>
      <c r="D317"/>
      <c r="E317"/>
      <c r="F317"/>
      <c r="G317"/>
      <c r="H317"/>
      <c r="I317"/>
      <c r="J317"/>
    </row>
    <row r="318" spans="1:10" hidden="1" x14ac:dyDescent="0.2">
      <c r="A318" s="2291" t="s">
        <v>2508</v>
      </c>
      <c r="B318" s="1634" t="s">
        <v>4713</v>
      </c>
      <c r="C318" s="1634" t="s">
        <v>2911</v>
      </c>
      <c r="D318"/>
      <c r="E318"/>
      <c r="F318"/>
      <c r="G318"/>
      <c r="H318"/>
      <c r="I318"/>
      <c r="J318"/>
    </row>
    <row r="319" spans="1:10" hidden="1" x14ac:dyDescent="0.2">
      <c r="A319" s="2291" t="s">
        <v>2509</v>
      </c>
      <c r="B319" s="1634" t="s">
        <v>2153</v>
      </c>
      <c r="C319" s="1634" t="s">
        <v>2913</v>
      </c>
      <c r="D319"/>
      <c r="E319"/>
      <c r="F319"/>
      <c r="G319"/>
      <c r="H319"/>
      <c r="I319"/>
      <c r="J319"/>
    </row>
    <row r="320" spans="1:10" hidden="1" x14ac:dyDescent="0.2">
      <c r="A320" s="2291" t="s">
        <v>2510</v>
      </c>
      <c r="B320" s="1634" t="s">
        <v>4715</v>
      </c>
      <c r="C320" s="1634" t="s">
        <v>2915</v>
      </c>
    </row>
    <row r="321" spans="1:3" hidden="1" x14ac:dyDescent="0.2">
      <c r="A321" s="2291" t="s">
        <v>2511</v>
      </c>
      <c r="B321" s="1634" t="s">
        <v>4717</v>
      </c>
      <c r="C321" s="1634" t="s">
        <v>2917</v>
      </c>
    </row>
    <row r="322" spans="1:3" hidden="1" x14ac:dyDescent="0.2">
      <c r="A322" s="2291" t="s">
        <v>1022</v>
      </c>
      <c r="B322" s="1634" t="s">
        <v>6427</v>
      </c>
      <c r="C322" s="1634" t="s">
        <v>2919</v>
      </c>
    </row>
    <row r="323" spans="1:3" hidden="1" x14ac:dyDescent="0.2">
      <c r="A323" s="2291" t="s">
        <v>3571</v>
      </c>
      <c r="B323" s="1634" t="s">
        <v>6429</v>
      </c>
      <c r="C323" s="1634" t="s">
        <v>1575</v>
      </c>
    </row>
    <row r="324" spans="1:3" hidden="1" x14ac:dyDescent="0.2">
      <c r="A324" s="2291" t="s">
        <v>3572</v>
      </c>
      <c r="B324" s="1634" t="s">
        <v>2187</v>
      </c>
      <c r="C324" s="1634" t="s">
        <v>4078</v>
      </c>
    </row>
    <row r="325" spans="1:3" hidden="1" x14ac:dyDescent="0.2">
      <c r="A325" s="2291" t="s">
        <v>3573</v>
      </c>
      <c r="B325" s="1634" t="s">
        <v>6431</v>
      </c>
      <c r="C325" s="1634" t="s">
        <v>4080</v>
      </c>
    </row>
    <row r="326" spans="1:3" hidden="1" x14ac:dyDescent="0.2">
      <c r="A326" s="2291" t="s">
        <v>3574</v>
      </c>
      <c r="B326" s="1634" t="s">
        <v>6432</v>
      </c>
      <c r="C326" s="1634" t="s">
        <v>4082</v>
      </c>
    </row>
    <row r="327" spans="1:3" hidden="1" x14ac:dyDescent="0.2">
      <c r="A327" s="2291" t="s">
        <v>3575</v>
      </c>
      <c r="B327" s="1634" t="s">
        <v>6433</v>
      </c>
      <c r="C327" s="1634" t="s">
        <v>4084</v>
      </c>
    </row>
    <row r="328" spans="1:3" hidden="1" x14ac:dyDescent="0.2">
      <c r="A328" s="2291" t="s">
        <v>6146</v>
      </c>
      <c r="B328" s="1634" t="s">
        <v>2276</v>
      </c>
      <c r="C328" s="1634" t="s">
        <v>4086</v>
      </c>
    </row>
    <row r="329" spans="1:3" hidden="1" x14ac:dyDescent="0.2">
      <c r="A329" s="2291" t="s">
        <v>6147</v>
      </c>
      <c r="B329" s="1634" t="s">
        <v>2431</v>
      </c>
      <c r="C329"/>
    </row>
    <row r="330" spans="1:3" hidden="1" x14ac:dyDescent="0.2">
      <c r="A330" s="2291" t="s">
        <v>6148</v>
      </c>
      <c r="B330" s="1634" t="s">
        <v>1075</v>
      </c>
      <c r="C330" s="1634" t="s">
        <v>1076</v>
      </c>
    </row>
    <row r="334" spans="1:3" hidden="1" x14ac:dyDescent="0.2">
      <c r="A334" s="2291" t="s">
        <v>6149</v>
      </c>
      <c r="B334" s="1634" t="s">
        <v>5457</v>
      </c>
      <c r="C334" s="1634" t="s">
        <v>6109</v>
      </c>
    </row>
    <row r="335" spans="1:3" hidden="1" x14ac:dyDescent="0.2">
      <c r="A335" s="2291" t="s">
        <v>6608</v>
      </c>
      <c r="B335" s="1634" t="s">
        <v>6609</v>
      </c>
      <c r="C335" s="1634" t="s">
        <v>6110</v>
      </c>
    </row>
    <row r="336" spans="1:3" hidden="1" x14ac:dyDescent="0.2">
      <c r="A336" s="2291" t="s">
        <v>6610</v>
      </c>
      <c r="B336" s="1634" t="s">
        <v>6611</v>
      </c>
      <c r="C336" s="1634" t="s">
        <v>6111</v>
      </c>
    </row>
    <row r="337" spans="1:5" hidden="1" x14ac:dyDescent="0.2">
      <c r="A337" s="2291" t="s">
        <v>6612</v>
      </c>
      <c r="B337" s="1634" t="s">
        <v>6613</v>
      </c>
      <c r="C337" s="1634" t="s">
        <v>6112</v>
      </c>
    </row>
    <row r="338" spans="1:5" hidden="1" x14ac:dyDescent="0.2">
      <c r="A338" s="2291" t="s">
        <v>6614</v>
      </c>
      <c r="B338" s="1634" t="s">
        <v>6615</v>
      </c>
      <c r="C338" s="1634" t="s">
        <v>6113</v>
      </c>
    </row>
    <row r="339" spans="1:5" hidden="1" x14ac:dyDescent="0.2">
      <c r="A339" s="2291" t="s">
        <v>6616</v>
      </c>
      <c r="B339" s="1634" t="s">
        <v>6617</v>
      </c>
      <c r="C339" s="1634" t="s">
        <v>6114</v>
      </c>
    </row>
    <row r="340" spans="1:5" hidden="1" x14ac:dyDescent="0.2">
      <c r="A340" s="2291" t="s">
        <v>6618</v>
      </c>
      <c r="B340" s="1634" t="s">
        <v>6619</v>
      </c>
      <c r="C340" s="1634" t="s">
        <v>6115</v>
      </c>
    </row>
    <row r="341" spans="1:5" hidden="1" x14ac:dyDescent="0.2">
      <c r="A341" s="2291" t="s">
        <v>6620</v>
      </c>
      <c r="B341" s="1634" t="s">
        <v>6621</v>
      </c>
      <c r="C341" s="1634" t="s">
        <v>6116</v>
      </c>
    </row>
    <row r="342" spans="1:5" hidden="1" x14ac:dyDescent="0.2">
      <c r="A342" s="2291" t="s">
        <v>6622</v>
      </c>
      <c r="B342" s="1634" t="s">
        <v>6623</v>
      </c>
      <c r="C342" s="1634" t="s">
        <v>6117</v>
      </c>
    </row>
    <row r="343" spans="1:5" hidden="1" x14ac:dyDescent="0.2">
      <c r="A343" s="2291" t="s">
        <v>3131</v>
      </c>
      <c r="B343" s="1634" t="s">
        <v>3132</v>
      </c>
      <c r="C343" s="1634" t="s">
        <v>6118</v>
      </c>
    </row>
    <row r="344" spans="1:5" hidden="1" x14ac:dyDescent="0.2">
      <c r="A344" s="2291" t="s">
        <v>3133</v>
      </c>
      <c r="B344" s="1634" t="s">
        <v>4045</v>
      </c>
      <c r="C344" s="1634" t="s">
        <v>6119</v>
      </c>
    </row>
    <row r="345" spans="1:5" hidden="1" x14ac:dyDescent="0.2">
      <c r="A345" s="2291" t="s">
        <v>4046</v>
      </c>
      <c r="B345" s="1634" t="s">
        <v>4047</v>
      </c>
      <c r="C345" s="1634" t="s">
        <v>6120</v>
      </c>
    </row>
    <row r="346" spans="1:5" hidden="1" x14ac:dyDescent="0.2">
      <c r="A346" s="2291" t="s">
        <v>4048</v>
      </c>
      <c r="B346" s="1634" t="s">
        <v>4095</v>
      </c>
      <c r="C346" s="1634" t="s">
        <v>6121</v>
      </c>
    </row>
    <row r="347" spans="1:5" hidden="1" x14ac:dyDescent="0.2">
      <c r="A347" s="2291" t="s">
        <v>4049</v>
      </c>
      <c r="B347" s="1634" t="s">
        <v>4100</v>
      </c>
      <c r="C347" s="1634" t="s">
        <v>6122</v>
      </c>
    </row>
    <row r="348" spans="1:5" hidden="1" x14ac:dyDescent="0.2">
      <c r="A348" s="2291" t="s">
        <v>4050</v>
      </c>
      <c r="B348" s="1634" t="s">
        <v>4105</v>
      </c>
      <c r="C348" s="1634" t="s">
        <v>6123</v>
      </c>
    </row>
    <row r="349" spans="1:5" hidden="1" x14ac:dyDescent="0.2">
      <c r="A349" s="2291" t="s">
        <v>4051</v>
      </c>
      <c r="B349" s="1634" t="s">
        <v>2322</v>
      </c>
      <c r="C349" s="1634" t="s">
        <v>6124</v>
      </c>
    </row>
    <row r="350" spans="1:5" hidden="1" x14ac:dyDescent="0.2">
      <c r="A350" s="2291" t="s">
        <v>4052</v>
      </c>
      <c r="B350" s="1634" t="s">
        <v>2327</v>
      </c>
      <c r="C350" s="1634" t="s">
        <v>6125</v>
      </c>
    </row>
    <row r="351" spans="1:5" hidden="1" x14ac:dyDescent="0.2">
      <c r="A351" s="2291" t="s">
        <v>4053</v>
      </c>
      <c r="B351" s="1634" t="s">
        <v>6606</v>
      </c>
      <c r="C351" s="1634" t="s">
        <v>6126</v>
      </c>
    </row>
    <row r="352" spans="1:5" hidden="1" x14ac:dyDescent="0.2">
      <c r="A352" s="2291" t="s">
        <v>4054</v>
      </c>
      <c r="B352" s="1634" t="s">
        <v>3</v>
      </c>
      <c r="C352" s="1634" t="s">
        <v>6127</v>
      </c>
      <c r="D352"/>
      <c r="E352"/>
    </row>
    <row r="353" spans="1:12" hidden="1" x14ac:dyDescent="0.2">
      <c r="A353" s="2291" t="s">
        <v>341</v>
      </c>
      <c r="B353" s="1634" t="s">
        <v>1745</v>
      </c>
      <c r="C353" s="1634" t="s">
        <v>6128</v>
      </c>
      <c r="D353"/>
      <c r="E353"/>
    </row>
    <row r="354" spans="1:12" hidden="1" x14ac:dyDescent="0.2">
      <c r="A354" s="2291" t="s">
        <v>342</v>
      </c>
      <c r="B354" s="1634" t="s">
        <v>1750</v>
      </c>
      <c r="C354" s="1634" t="s">
        <v>6129</v>
      </c>
      <c r="D354"/>
      <c r="E354"/>
    </row>
    <row r="355" spans="1:12" hidden="1" x14ac:dyDescent="0.2">
      <c r="A355" s="2291" t="s">
        <v>343</v>
      </c>
      <c r="B355" s="1634" t="s">
        <v>1728</v>
      </c>
      <c r="C355" s="1634" t="s">
        <v>6130</v>
      </c>
      <c r="D355"/>
      <c r="E355"/>
    </row>
    <row r="356" spans="1:12" hidden="1" x14ac:dyDescent="0.2">
      <c r="A356" s="2291" t="s">
        <v>344</v>
      </c>
      <c r="B356" s="1634" t="s">
        <v>2494</v>
      </c>
      <c r="C356" s="1634" t="s">
        <v>1954</v>
      </c>
      <c r="D356"/>
      <c r="E356"/>
    </row>
    <row r="357" spans="1:12" hidden="1" x14ac:dyDescent="0.2">
      <c r="A357" s="2291" t="s">
        <v>345</v>
      </c>
      <c r="B357" s="1634" t="s">
        <v>2432</v>
      </c>
      <c r="C357" s="1634" t="s">
        <v>1955</v>
      </c>
      <c r="D357"/>
      <c r="E357"/>
    </row>
    <row r="358" spans="1:12" hidden="1" x14ac:dyDescent="0.2">
      <c r="A358" s="2291" t="s">
        <v>346</v>
      </c>
      <c r="B358" s="1634" t="s">
        <v>1070</v>
      </c>
      <c r="C358" s="1634" t="s">
        <v>1956</v>
      </c>
      <c r="D358"/>
      <c r="E358"/>
    </row>
    <row r="359" spans="1:12" hidden="1" x14ac:dyDescent="0.2">
      <c r="A359" s="2291" t="s">
        <v>347</v>
      </c>
      <c r="B359" s="1634" t="s">
        <v>4204</v>
      </c>
      <c r="C359" s="1634" t="s">
        <v>1957</v>
      </c>
      <c r="D359"/>
      <c r="E359"/>
    </row>
    <row r="360" spans="1:12" hidden="1" x14ac:dyDescent="0.2">
      <c r="A360" s="2291" t="s">
        <v>348</v>
      </c>
      <c r="B360" s="1634" t="s">
        <v>1784</v>
      </c>
      <c r="C360" s="1634" t="s">
        <v>1958</v>
      </c>
      <c r="D360"/>
      <c r="E360"/>
    </row>
    <row r="361" spans="1:12" hidden="1" x14ac:dyDescent="0.2">
      <c r="A361" s="2291" t="s">
        <v>349</v>
      </c>
      <c r="B361" s="1634" t="s">
        <v>2671</v>
      </c>
      <c r="C361" s="1634" t="s">
        <v>1959</v>
      </c>
      <c r="D361"/>
      <c r="E361"/>
    </row>
    <row r="362" spans="1:12" hidden="1" x14ac:dyDescent="0.2">
      <c r="A362" s="2291" t="s">
        <v>350</v>
      </c>
      <c r="B362" s="1634" t="s">
        <v>351</v>
      </c>
      <c r="C362" s="1634" t="s">
        <v>1960</v>
      </c>
      <c r="D362"/>
      <c r="E362"/>
    </row>
    <row r="363" spans="1:12" hidden="1" x14ac:dyDescent="0.2">
      <c r="A363" s="2291" t="s">
        <v>352</v>
      </c>
      <c r="B363" s="1634" t="s">
        <v>353</v>
      </c>
      <c r="C363" s="1634" t="s">
        <v>1961</v>
      </c>
      <c r="D363"/>
      <c r="E363"/>
    </row>
    <row r="364" spans="1:12" hidden="1" x14ac:dyDescent="0.2">
      <c r="A364" s="2291" t="s">
        <v>3676</v>
      </c>
      <c r="B364" s="1634" t="s">
        <v>682</v>
      </c>
      <c r="C364" s="1634" t="s">
        <v>683</v>
      </c>
      <c r="D364"/>
      <c r="E364"/>
    </row>
    <row r="365" spans="1:12" hidden="1" x14ac:dyDescent="0.2">
      <c r="A365" s="2291" t="s">
        <v>3925</v>
      </c>
      <c r="B365" s="164" t="s">
        <v>3397</v>
      </c>
      <c r="C365" s="164" t="s">
        <v>3398</v>
      </c>
      <c r="D365" s="164" t="s">
        <v>2384</v>
      </c>
      <c r="E365" s="164" t="s">
        <v>2227</v>
      </c>
    </row>
    <row r="366" spans="1:12" hidden="1" x14ac:dyDescent="0.2">
      <c r="A366" s="2291" t="s">
        <v>3926</v>
      </c>
      <c r="B366" s="164" t="s">
        <v>511</v>
      </c>
      <c r="C366" s="164"/>
      <c r="D366" s="164"/>
      <c r="E366" s="164"/>
    </row>
    <row r="367" spans="1:12" hidden="1" x14ac:dyDescent="0.2">
      <c r="A367" s="2291" t="s">
        <v>3927</v>
      </c>
      <c r="B367" s="164" t="s">
        <v>2928</v>
      </c>
      <c r="C367" s="164" t="s">
        <v>2929</v>
      </c>
      <c r="D367" s="164" t="s">
        <v>2930</v>
      </c>
      <c r="E367" s="164" t="s">
        <v>1973</v>
      </c>
    </row>
    <row r="368" spans="1:12" hidden="1" x14ac:dyDescent="0.2">
      <c r="A368" s="2291" t="s">
        <v>3928</v>
      </c>
      <c r="B368" s="164" t="s">
        <v>3250</v>
      </c>
      <c r="C368" s="164"/>
      <c r="D368" s="164"/>
      <c r="E368" s="164"/>
      <c r="F368"/>
      <c r="G368"/>
      <c r="H368"/>
      <c r="I368"/>
      <c r="J368"/>
      <c r="K368"/>
      <c r="L368"/>
    </row>
    <row r="369" spans="1:13" hidden="1" x14ac:dyDescent="0.2">
      <c r="A369"/>
      <c r="B369" s="164"/>
      <c r="C369" s="164"/>
      <c r="D369" s="164"/>
      <c r="E369" s="164"/>
      <c r="F369"/>
      <c r="G369"/>
      <c r="H369"/>
      <c r="I369"/>
      <c r="J369"/>
      <c r="K369"/>
      <c r="L369"/>
    </row>
    <row r="370" spans="1:13" hidden="1" x14ac:dyDescent="0.2">
      <c r="A370"/>
      <c r="B370" s="164"/>
      <c r="C370" s="164"/>
      <c r="D370" s="164"/>
      <c r="E370" s="164"/>
      <c r="F370"/>
      <c r="G370"/>
      <c r="H370"/>
      <c r="I370"/>
      <c r="J370"/>
      <c r="K370"/>
      <c r="L370"/>
    </row>
    <row r="371" spans="1:13" hidden="1" x14ac:dyDescent="0.2">
      <c r="A371"/>
      <c r="B371" s="164"/>
      <c r="C371" s="164"/>
      <c r="D371" s="164"/>
      <c r="E371" s="164"/>
      <c r="F371"/>
      <c r="G371"/>
      <c r="H371"/>
      <c r="I371"/>
      <c r="J371"/>
      <c r="K371"/>
      <c r="L371"/>
    </row>
    <row r="372" spans="1:13" hidden="1" x14ac:dyDescent="0.2">
      <c r="A372" s="2291" t="s">
        <v>3680</v>
      </c>
      <c r="B372" s="1634" t="s">
        <v>708</v>
      </c>
      <c r="C372" s="1634" t="s">
        <v>2538</v>
      </c>
      <c r="D372" s="1634" t="s">
        <v>2612</v>
      </c>
      <c r="E372" s="1634" t="s">
        <v>5692</v>
      </c>
      <c r="F372" s="1634" t="s">
        <v>709</v>
      </c>
      <c r="G372" s="1634" t="s">
        <v>5457</v>
      </c>
      <c r="H372" s="1634" t="s">
        <v>2613</v>
      </c>
      <c r="I372" s="1634" t="s">
        <v>2614</v>
      </c>
      <c r="J372" s="1634" t="s">
        <v>2615</v>
      </c>
      <c r="K372"/>
      <c r="L372"/>
    </row>
    <row r="373" spans="1:13" hidden="1" x14ac:dyDescent="0.2">
      <c r="A373" s="2291" t="s">
        <v>2616</v>
      </c>
      <c r="B373" s="1634" t="s">
        <v>711</v>
      </c>
      <c r="C373" s="1634" t="s">
        <v>5471</v>
      </c>
      <c r="D373" s="1634" t="s">
        <v>2715</v>
      </c>
      <c r="E373" s="1634" t="s">
        <v>2716</v>
      </c>
      <c r="F373" s="1634" t="s">
        <v>861</v>
      </c>
      <c r="G373" s="1634" t="s">
        <v>6609</v>
      </c>
      <c r="H373" s="1634" t="s">
        <v>2717</v>
      </c>
      <c r="I373" s="1634" t="s">
        <v>2718</v>
      </c>
      <c r="J373" s="1634" t="s">
        <v>2719</v>
      </c>
      <c r="K373"/>
      <c r="L373"/>
    </row>
    <row r="374" spans="1:13" hidden="1" x14ac:dyDescent="0.2">
      <c r="A374" s="2291" t="s">
        <v>2720</v>
      </c>
      <c r="B374" s="1634" t="s">
        <v>3817</v>
      </c>
      <c r="C374" s="1634" t="s">
        <v>2722</v>
      </c>
      <c r="D374" s="1634" t="s">
        <v>2723</v>
      </c>
      <c r="E374" s="1634" t="s">
        <v>5693</v>
      </c>
      <c r="F374" s="1634" t="s">
        <v>863</v>
      </c>
      <c r="G374" s="1634" t="s">
        <v>6611</v>
      </c>
      <c r="H374" s="1634" t="s">
        <v>2724</v>
      </c>
      <c r="I374" s="1634" t="s">
        <v>2725</v>
      </c>
      <c r="J374" s="1634" t="s">
        <v>4025</v>
      </c>
      <c r="K374"/>
      <c r="L374"/>
    </row>
    <row r="375" spans="1:13" hidden="1" x14ac:dyDescent="0.2">
      <c r="A375" s="2291" t="s">
        <v>4026</v>
      </c>
      <c r="B375" s="1634" t="s">
        <v>1060</v>
      </c>
      <c r="C375" s="1634" t="s">
        <v>4028</v>
      </c>
      <c r="D375" s="1634" t="s">
        <v>1061</v>
      </c>
      <c r="E375" s="1634" t="s">
        <v>5694</v>
      </c>
      <c r="F375" s="1634" t="s">
        <v>865</v>
      </c>
      <c r="G375" s="1634" t="s">
        <v>6613</v>
      </c>
      <c r="H375" s="1634" t="s">
        <v>4029</v>
      </c>
      <c r="I375" s="1634" t="s">
        <v>4030</v>
      </c>
      <c r="J375" s="1634" t="s">
        <v>4031</v>
      </c>
      <c r="K375"/>
      <c r="L375"/>
    </row>
    <row r="376" spans="1:13" hidden="1" x14ac:dyDescent="0.2">
      <c r="A376" s="2291" t="s">
        <v>4032</v>
      </c>
      <c r="B376" s="1634" t="s">
        <v>5272</v>
      </c>
      <c r="C376" s="1634" t="s">
        <v>4034</v>
      </c>
      <c r="D376" s="1634" t="s">
        <v>3099</v>
      </c>
      <c r="E376" s="1634" t="s">
        <v>4035</v>
      </c>
      <c r="F376" s="1634" t="s">
        <v>867</v>
      </c>
      <c r="G376" s="1634" t="s">
        <v>6615</v>
      </c>
      <c r="H376" s="1634" t="s">
        <v>4036</v>
      </c>
      <c r="I376" s="1634" t="s">
        <v>4037</v>
      </c>
      <c r="J376" s="1634" t="s">
        <v>4038</v>
      </c>
      <c r="K376"/>
      <c r="L376"/>
    </row>
    <row r="377" spans="1:13" hidden="1" x14ac:dyDescent="0.2">
      <c r="A377" s="2291" t="s">
        <v>4039</v>
      </c>
      <c r="B377" s="1634" t="s">
        <v>5695</v>
      </c>
      <c r="C377" s="1634" t="s">
        <v>4041</v>
      </c>
      <c r="D377" s="1634" t="s">
        <v>3106</v>
      </c>
      <c r="E377" s="1634" t="s">
        <v>5696</v>
      </c>
      <c r="F377" s="1634" t="s">
        <v>869</v>
      </c>
      <c r="G377" s="1634" t="s">
        <v>6617</v>
      </c>
      <c r="H377" s="1634" t="s">
        <v>4042</v>
      </c>
      <c r="I377" s="1634" t="s">
        <v>4043</v>
      </c>
      <c r="J377" s="1634" t="s">
        <v>4044</v>
      </c>
      <c r="K377"/>
      <c r="L377"/>
    </row>
    <row r="378" spans="1:13" hidden="1" x14ac:dyDescent="0.2">
      <c r="A378" s="2291" t="s">
        <v>6971</v>
      </c>
      <c r="B378" s="1634" t="s">
        <v>5697</v>
      </c>
      <c r="C378" s="1634" t="s">
        <v>5472</v>
      </c>
      <c r="D378" s="1634" t="s">
        <v>553</v>
      </c>
      <c r="E378" s="1634" t="s">
        <v>4704</v>
      </c>
      <c r="F378" s="1634" t="s">
        <v>871</v>
      </c>
      <c r="G378" s="1634" t="s">
        <v>6619</v>
      </c>
      <c r="H378" s="1634" t="s">
        <v>6973</v>
      </c>
      <c r="I378" s="1634" t="s">
        <v>6974</v>
      </c>
      <c r="J378" s="1634" t="s">
        <v>4171</v>
      </c>
      <c r="K378"/>
      <c r="L378"/>
    </row>
    <row r="379" spans="1:13" hidden="1" x14ac:dyDescent="0.2">
      <c r="A379" s="2291" t="s">
        <v>4172</v>
      </c>
      <c r="B379" s="1634" t="s">
        <v>4705</v>
      </c>
      <c r="C379" s="1634" t="s">
        <v>4174</v>
      </c>
      <c r="D379" s="1634" t="s">
        <v>561</v>
      </c>
      <c r="E379" s="1634" t="s">
        <v>4706</v>
      </c>
      <c r="F379" s="1634" t="s">
        <v>3008</v>
      </c>
      <c r="G379" s="1634" t="s">
        <v>6621</v>
      </c>
      <c r="H379" s="1634" t="s">
        <v>6662</v>
      </c>
      <c r="I379" s="1634" t="s">
        <v>6663</v>
      </c>
      <c r="J379" s="1634" t="s">
        <v>6670</v>
      </c>
      <c r="K379" s="2293"/>
      <c r="L379" s="146"/>
    </row>
    <row r="380" spans="1:13" hidden="1" x14ac:dyDescent="0.2">
      <c r="A380" s="2291" t="s">
        <v>6671</v>
      </c>
      <c r="B380" s="1634" t="s">
        <v>2021</v>
      </c>
      <c r="C380" s="1634" t="s">
        <v>5473</v>
      </c>
      <c r="D380" s="1634" t="s">
        <v>2022</v>
      </c>
      <c r="E380" s="1634" t="s">
        <v>5474</v>
      </c>
      <c r="F380" s="1634" t="s">
        <v>3010</v>
      </c>
      <c r="G380" s="1634" t="s">
        <v>6623</v>
      </c>
      <c r="H380" s="1634" t="s">
        <v>6673</v>
      </c>
      <c r="I380" s="1634" t="s">
        <v>6674</v>
      </c>
      <c r="J380" s="1634" t="s">
        <v>6675</v>
      </c>
      <c r="K380"/>
      <c r="L380"/>
    </row>
    <row r="381" spans="1:13" hidden="1" x14ac:dyDescent="0.2">
      <c r="A381" s="2291" t="s">
        <v>6676</v>
      </c>
      <c r="B381" s="1634" t="s">
        <v>4707</v>
      </c>
      <c r="C381" s="1634" t="s">
        <v>6678</v>
      </c>
      <c r="D381" s="1634" t="s">
        <v>2029</v>
      </c>
      <c r="E381" s="1634" t="s">
        <v>4708</v>
      </c>
      <c r="F381" s="1634" t="s">
        <v>6460</v>
      </c>
      <c r="G381" s="1634" t="s">
        <v>3132</v>
      </c>
      <c r="H381" s="1634" t="s">
        <v>6679</v>
      </c>
      <c r="I381" s="1634" t="s">
        <v>6680</v>
      </c>
      <c r="J381" s="1634" t="s">
        <v>6681</v>
      </c>
      <c r="K381"/>
      <c r="L381"/>
    </row>
    <row r="382" spans="1:13" hidden="1" x14ac:dyDescent="0.2">
      <c r="A382" s="2291" t="s">
        <v>6682</v>
      </c>
      <c r="B382" s="1634" t="s">
        <v>4709</v>
      </c>
      <c r="C382" s="1634" t="s">
        <v>5475</v>
      </c>
      <c r="D382" s="1634" t="s">
        <v>3423</v>
      </c>
      <c r="E382" s="1634" t="s">
        <v>4710</v>
      </c>
      <c r="F382" s="1634" t="s">
        <v>6462</v>
      </c>
      <c r="G382" s="1634" t="s">
        <v>4045</v>
      </c>
      <c r="H382" s="1634" t="s">
        <v>6684</v>
      </c>
      <c r="I382" s="1634" t="s">
        <v>6685</v>
      </c>
      <c r="J382" s="1634" t="s">
        <v>6686</v>
      </c>
      <c r="K382"/>
      <c r="L382"/>
    </row>
    <row r="383" spans="1:13" hidden="1" x14ac:dyDescent="0.2">
      <c r="A383" s="2291" t="s">
        <v>6687</v>
      </c>
      <c r="B383" s="1634" t="s">
        <v>4711</v>
      </c>
      <c r="C383" s="1634" t="s">
        <v>6689</v>
      </c>
      <c r="D383" s="1634" t="s">
        <v>5424</v>
      </c>
      <c r="E383" s="1634" t="s">
        <v>4712</v>
      </c>
      <c r="F383" s="1634" t="s">
        <v>6464</v>
      </c>
      <c r="G383" s="1634" t="s">
        <v>4047</v>
      </c>
      <c r="H383" s="1634" t="s">
        <v>6690</v>
      </c>
      <c r="I383" s="1634" t="s">
        <v>6691</v>
      </c>
      <c r="J383" s="1634" t="s">
        <v>6692</v>
      </c>
      <c r="K383"/>
      <c r="L383"/>
    </row>
    <row r="384" spans="1:13" hidden="1" x14ac:dyDescent="0.2">
      <c r="A384" s="2291" t="s">
        <v>6693</v>
      </c>
      <c r="B384" s="1634" t="s">
        <v>4713</v>
      </c>
      <c r="C384" s="1634" t="s">
        <v>4094</v>
      </c>
      <c r="D384" s="1634" t="s">
        <v>5430</v>
      </c>
      <c r="E384" s="1634" t="s">
        <v>4714</v>
      </c>
      <c r="F384" s="1634" t="s">
        <v>2911</v>
      </c>
      <c r="G384" s="1634" t="s">
        <v>4095</v>
      </c>
      <c r="H384" s="1634" t="s">
        <v>4096</v>
      </c>
      <c r="I384" s="1634" t="s">
        <v>4097</v>
      </c>
      <c r="J384" s="1634" t="s">
        <v>6695</v>
      </c>
      <c r="K384"/>
      <c r="L384"/>
      <c r="M384"/>
    </row>
    <row r="385" spans="1:13" hidden="1" x14ac:dyDescent="0.2">
      <c r="A385" s="2291" t="s">
        <v>6696</v>
      </c>
      <c r="B385" s="1634" t="s">
        <v>2153</v>
      </c>
      <c r="C385" s="1634" t="s">
        <v>4099</v>
      </c>
      <c r="D385" s="1634" t="s">
        <v>2154</v>
      </c>
      <c r="E385" s="1634" t="s">
        <v>5476</v>
      </c>
      <c r="F385" s="1634" t="s">
        <v>2913</v>
      </c>
      <c r="G385" s="1634" t="s">
        <v>4100</v>
      </c>
      <c r="H385" s="1634" t="s">
        <v>4101</v>
      </c>
      <c r="I385" s="1634" t="s">
        <v>4102</v>
      </c>
      <c r="J385" s="1634" t="s">
        <v>6698</v>
      </c>
      <c r="K385"/>
      <c r="L385"/>
      <c r="M385"/>
    </row>
    <row r="386" spans="1:13" hidden="1" x14ac:dyDescent="0.2">
      <c r="A386" s="2291" t="s">
        <v>6699</v>
      </c>
      <c r="B386" s="1634" t="s">
        <v>4715</v>
      </c>
      <c r="C386" s="1634" t="s">
        <v>4104</v>
      </c>
      <c r="D386" s="1634" t="s">
        <v>2161</v>
      </c>
      <c r="E386" s="1634" t="s">
        <v>4716</v>
      </c>
      <c r="F386" s="1634" t="s">
        <v>2915</v>
      </c>
      <c r="G386" s="1634" t="s">
        <v>4105</v>
      </c>
      <c r="H386" s="1634" t="s">
        <v>2318</v>
      </c>
      <c r="I386" s="1634" t="s">
        <v>2319</v>
      </c>
      <c r="J386" s="1634" t="s">
        <v>2661</v>
      </c>
      <c r="K386"/>
      <c r="L386"/>
      <c r="M386"/>
    </row>
    <row r="387" spans="1:13" hidden="1" x14ac:dyDescent="0.2">
      <c r="A387" s="2291" t="s">
        <v>2662</v>
      </c>
      <c r="B387" s="1634" t="s">
        <v>4717</v>
      </c>
      <c r="C387" s="1634" t="s">
        <v>2321</v>
      </c>
      <c r="D387" s="1634" t="s">
        <v>2168</v>
      </c>
      <c r="E387" s="1634" t="s">
        <v>6426</v>
      </c>
      <c r="F387" s="1634" t="s">
        <v>2917</v>
      </c>
      <c r="G387" s="1634" t="s">
        <v>2322</v>
      </c>
      <c r="H387" s="1634" t="s">
        <v>2323</v>
      </c>
      <c r="I387" s="1634" t="s">
        <v>2324</v>
      </c>
      <c r="J387" s="1634" t="s">
        <v>2664</v>
      </c>
      <c r="K387"/>
      <c r="L387"/>
      <c r="M387"/>
    </row>
    <row r="388" spans="1:13" hidden="1" x14ac:dyDescent="0.2">
      <c r="A388" s="2291" t="s">
        <v>3858</v>
      </c>
      <c r="B388" s="1634" t="s">
        <v>6427</v>
      </c>
      <c r="C388" s="1634" t="s">
        <v>2326</v>
      </c>
      <c r="D388" s="1634" t="s">
        <v>2174</v>
      </c>
      <c r="E388" s="1634" t="s">
        <v>6428</v>
      </c>
      <c r="F388" s="1634" t="s">
        <v>2919</v>
      </c>
      <c r="G388" s="1634" t="s">
        <v>2327</v>
      </c>
      <c r="H388" s="1634" t="s">
        <v>2328</v>
      </c>
      <c r="I388" s="1634" t="s">
        <v>1011</v>
      </c>
      <c r="J388" s="1634" t="s">
        <v>3860</v>
      </c>
      <c r="K388"/>
      <c r="L388"/>
      <c r="M388"/>
    </row>
    <row r="389" spans="1:13" hidden="1" x14ac:dyDescent="0.2">
      <c r="A389" s="2291" t="s">
        <v>3861</v>
      </c>
      <c r="B389" s="1634" t="s">
        <v>6429</v>
      </c>
      <c r="C389" s="1634" t="s">
        <v>6605</v>
      </c>
      <c r="D389" s="1634" t="s">
        <v>2181</v>
      </c>
      <c r="E389" s="1634" t="s">
        <v>6430</v>
      </c>
      <c r="F389" s="1634" t="s">
        <v>1575</v>
      </c>
      <c r="G389" s="1634" t="s">
        <v>6606</v>
      </c>
      <c r="H389" s="1634" t="s">
        <v>5084</v>
      </c>
      <c r="I389" s="1634" t="s">
        <v>5085</v>
      </c>
      <c r="J389" s="1634" t="s">
        <v>3863</v>
      </c>
      <c r="K389"/>
      <c r="L389"/>
      <c r="M389"/>
    </row>
    <row r="390" spans="1:13" hidden="1" x14ac:dyDescent="0.2">
      <c r="A390" s="2291" t="s">
        <v>3864</v>
      </c>
      <c r="B390" s="1634" t="s">
        <v>2276</v>
      </c>
      <c r="C390" s="1634" t="s">
        <v>2493</v>
      </c>
      <c r="D390" s="1634" t="s">
        <v>2277</v>
      </c>
      <c r="E390" s="1634" t="s">
        <v>5477</v>
      </c>
      <c r="F390" s="1634" t="s">
        <v>4086</v>
      </c>
      <c r="G390" s="1634" t="s">
        <v>2494</v>
      </c>
      <c r="H390" s="1634" t="s">
        <v>2495</v>
      </c>
      <c r="I390" s="1634" t="s">
        <v>2496</v>
      </c>
      <c r="J390" s="1634" t="s">
        <v>3866</v>
      </c>
      <c r="K390"/>
      <c r="L390"/>
      <c r="M390"/>
    </row>
    <row r="391" spans="1:13" hidden="1" x14ac:dyDescent="0.2">
      <c r="A391" s="2291" t="s">
        <v>3867</v>
      </c>
      <c r="B391" s="1634" t="s">
        <v>6434</v>
      </c>
      <c r="C391" s="1634" t="s">
        <v>5817</v>
      </c>
      <c r="D391" s="1634" t="s">
        <v>2284</v>
      </c>
      <c r="E391" s="1634" t="s">
        <v>6435</v>
      </c>
      <c r="F391" s="1634" t="s">
        <v>2431</v>
      </c>
      <c r="G391" s="1634" t="s">
        <v>2432</v>
      </c>
      <c r="H391" s="1634" t="s">
        <v>2433</v>
      </c>
      <c r="I391" s="1634" t="s">
        <v>1066</v>
      </c>
      <c r="J391" s="1634" t="s">
        <v>3869</v>
      </c>
      <c r="K391"/>
      <c r="L391"/>
      <c r="M391"/>
    </row>
    <row r="392" spans="1:13" hidden="1" x14ac:dyDescent="0.2">
      <c r="A392" s="2291" t="s">
        <v>3870</v>
      </c>
      <c r="B392" s="1634" t="s">
        <v>6436</v>
      </c>
      <c r="C392" s="1634" t="s">
        <v>1069</v>
      </c>
      <c r="D392" s="1634" t="s">
        <v>270</v>
      </c>
      <c r="E392" s="1634" t="s">
        <v>6437</v>
      </c>
      <c r="F392" s="1634" t="s">
        <v>4088</v>
      </c>
      <c r="G392" s="1634" t="s">
        <v>1070</v>
      </c>
      <c r="H392" s="1634" t="s">
        <v>1071</v>
      </c>
      <c r="I392" s="1634" t="s">
        <v>1072</v>
      </c>
      <c r="J392" s="1634" t="s">
        <v>3872</v>
      </c>
      <c r="K392"/>
      <c r="L392"/>
      <c r="M392" s="146"/>
    </row>
    <row r="393" spans="1:13" hidden="1" x14ac:dyDescent="0.2">
      <c r="A393" s="2291" t="s">
        <v>3873</v>
      </c>
      <c r="B393" s="1634" t="s">
        <v>6438</v>
      </c>
      <c r="C393" s="1634" t="s">
        <v>1075</v>
      </c>
      <c r="D393" s="1634" t="s">
        <v>277</v>
      </c>
      <c r="E393" s="1634" t="s">
        <v>6439</v>
      </c>
      <c r="F393" s="1634" t="s">
        <v>1076</v>
      </c>
      <c r="G393" s="1634" t="s">
        <v>4204</v>
      </c>
      <c r="H393" s="1634" t="s">
        <v>4205</v>
      </c>
      <c r="I393" s="1634" t="s">
        <v>4206</v>
      </c>
      <c r="J393" s="1634" t="s">
        <v>3875</v>
      </c>
      <c r="K393"/>
      <c r="L393"/>
      <c r="M393"/>
    </row>
    <row r="394" spans="1:13" hidden="1" x14ac:dyDescent="0.2">
      <c r="A394" s="2291" t="s">
        <v>3876</v>
      </c>
      <c r="B394" s="1634" t="s">
        <v>2945</v>
      </c>
      <c r="C394" s="1634" t="s">
        <v>1781</v>
      </c>
      <c r="D394" s="1634" t="s">
        <v>2946</v>
      </c>
      <c r="E394" s="1634" t="s">
        <v>1782</v>
      </c>
      <c r="F394" s="1634" t="s">
        <v>1783</v>
      </c>
      <c r="G394" s="1634" t="s">
        <v>1784</v>
      </c>
      <c r="H394" s="1634" t="s">
        <v>3778</v>
      </c>
      <c r="I394" s="1634" t="s">
        <v>3779</v>
      </c>
      <c r="J394" s="1634" t="s">
        <v>3878</v>
      </c>
      <c r="K394"/>
      <c r="L394"/>
      <c r="M394"/>
    </row>
    <row r="395" spans="1:13" hidden="1" x14ac:dyDescent="0.2">
      <c r="A395" s="2291" t="s">
        <v>3879</v>
      </c>
      <c r="B395" s="1634" t="s">
        <v>2667</v>
      </c>
      <c r="C395" s="1634" t="s">
        <v>2668</v>
      </c>
      <c r="D395" s="1634" t="s">
        <v>2669</v>
      </c>
      <c r="E395" s="1634" t="s">
        <v>5478</v>
      </c>
      <c r="F395" s="1634" t="s">
        <v>2670</v>
      </c>
      <c r="G395" s="1634" t="s">
        <v>2671</v>
      </c>
      <c r="H395" s="1634" t="s">
        <v>2672</v>
      </c>
      <c r="I395" s="1634" t="s">
        <v>2673</v>
      </c>
      <c r="J395" s="1634" t="s">
        <v>396</v>
      </c>
      <c r="K395"/>
      <c r="L395"/>
      <c r="M395"/>
    </row>
    <row r="396" spans="1:13" hidden="1" x14ac:dyDescent="0.2">
      <c r="A396" s="2291" t="s">
        <v>397</v>
      </c>
      <c r="B396" s="1634" t="s">
        <v>661</v>
      </c>
      <c r="C396" s="1634" t="s">
        <v>663</v>
      </c>
      <c r="D396" s="1634" t="s">
        <v>664</v>
      </c>
      <c r="E396" s="1634" t="s">
        <v>665</v>
      </c>
      <c r="F396" s="1634" t="s">
        <v>666</v>
      </c>
      <c r="G396" s="1634" t="s">
        <v>351</v>
      </c>
      <c r="H396" s="1634" t="s">
        <v>667</v>
      </c>
      <c r="I396" s="1634" t="s">
        <v>668</v>
      </c>
      <c r="J396" s="1634" t="s">
        <v>669</v>
      </c>
      <c r="K396"/>
      <c r="L396"/>
      <c r="M396"/>
    </row>
    <row r="397" spans="1:13" hidden="1" x14ac:dyDescent="0.2">
      <c r="A397" s="2291" t="s">
        <v>670</v>
      </c>
      <c r="B397" s="1634" t="s">
        <v>671</v>
      </c>
      <c r="C397" s="1634" t="s">
        <v>673</v>
      </c>
      <c r="D397" s="1634" t="s">
        <v>674</v>
      </c>
      <c r="E397" s="1634" t="s">
        <v>5479</v>
      </c>
      <c r="F397" s="1634" t="s">
        <v>3493</v>
      </c>
      <c r="G397" s="1634" t="s">
        <v>353</v>
      </c>
      <c r="H397" s="1634" t="s">
        <v>675</v>
      </c>
      <c r="I397" s="1634" t="s">
        <v>2574</v>
      </c>
      <c r="J397" s="1634" t="s">
        <v>676</v>
      </c>
      <c r="K397"/>
      <c r="L397"/>
      <c r="M397"/>
    </row>
    <row r="398" spans="1:13" hidden="1" x14ac:dyDescent="0.2">
      <c r="A398" s="2291" t="s">
        <v>677</v>
      </c>
      <c r="B398" s="1634" t="s">
        <v>6441</v>
      </c>
      <c r="C398" s="1634" t="s">
        <v>679</v>
      </c>
      <c r="D398" s="1634" t="s">
        <v>680</v>
      </c>
      <c r="E398" s="1634" t="s">
        <v>6442</v>
      </c>
      <c r="F398" s="1634" t="s">
        <v>3495</v>
      </c>
      <c r="G398" s="1634" t="s">
        <v>681</v>
      </c>
      <c r="H398" s="1634" t="s">
        <v>682</v>
      </c>
      <c r="I398" s="1634" t="s">
        <v>683</v>
      </c>
      <c r="J398" s="1634" t="s">
        <v>684</v>
      </c>
      <c r="K398"/>
      <c r="L398"/>
      <c r="M398"/>
    </row>
    <row r="399" spans="1:13" hidden="1" x14ac:dyDescent="0.2">
      <c r="A399" s="2291" t="s">
        <v>685</v>
      </c>
      <c r="B399" s="1634" t="s">
        <v>6444</v>
      </c>
      <c r="C399" s="1634" t="s">
        <v>687</v>
      </c>
      <c r="D399" s="1634" t="s">
        <v>688</v>
      </c>
      <c r="E399" s="1634" t="s">
        <v>6445</v>
      </c>
      <c r="F399" s="1634" t="s">
        <v>3497</v>
      </c>
      <c r="G399" s="1634" t="s">
        <v>689</v>
      </c>
      <c r="H399" s="1634" t="s">
        <v>3677</v>
      </c>
      <c r="I399" s="1634" t="s">
        <v>2575</v>
      </c>
      <c r="J399" s="1634" t="s">
        <v>3678</v>
      </c>
      <c r="K399"/>
      <c r="L399"/>
      <c r="M399"/>
    </row>
    <row r="400" spans="1:13" hidden="1" x14ac:dyDescent="0.2">
      <c r="A400" s="2291" t="s">
        <v>5110</v>
      </c>
      <c r="B400" s="1634" t="s">
        <v>6447</v>
      </c>
      <c r="C400" s="1634" t="s">
        <v>2562</v>
      </c>
      <c r="D400" s="1634" t="s">
        <v>2193</v>
      </c>
      <c r="E400" s="1634" t="s">
        <v>6448</v>
      </c>
      <c r="F400" s="1634" t="s">
        <v>139</v>
      </c>
      <c r="G400" s="1634" t="s">
        <v>140</v>
      </c>
      <c r="H400" s="1634" t="s">
        <v>2925</v>
      </c>
      <c r="I400" s="1634" t="s">
        <v>2926</v>
      </c>
      <c r="J400" s="1634" t="s">
        <v>2194</v>
      </c>
      <c r="K400"/>
      <c r="L400"/>
      <c r="M400"/>
    </row>
    <row r="401" spans="1:13" hidden="1" x14ac:dyDescent="0.2">
      <c r="A401" s="2291" t="s">
        <v>2195</v>
      </c>
      <c r="B401" s="1634" t="s">
        <v>2196</v>
      </c>
      <c r="C401" s="1634" t="s">
        <v>3394</v>
      </c>
      <c r="D401" s="1634" t="s">
        <v>3395</v>
      </c>
      <c r="E401" s="1634" t="s">
        <v>3396</v>
      </c>
      <c r="F401" s="1634" t="s">
        <v>3397</v>
      </c>
      <c r="G401" s="1634" t="s">
        <v>3398</v>
      </c>
      <c r="H401" s="1634" t="s">
        <v>2384</v>
      </c>
      <c r="I401" s="1634" t="s">
        <v>2227</v>
      </c>
      <c r="J401" s="1634" t="s">
        <v>2385</v>
      </c>
      <c r="K401"/>
      <c r="L401"/>
      <c r="M401"/>
    </row>
    <row r="402" spans="1:13" hidden="1" x14ac:dyDescent="0.2">
      <c r="A402" s="2291" t="s">
        <v>505</v>
      </c>
      <c r="B402" s="1634" t="s">
        <v>506</v>
      </c>
      <c r="C402" s="1634" t="s">
        <v>508</v>
      </c>
      <c r="D402" s="1634" t="s">
        <v>509</v>
      </c>
      <c r="E402" s="1634" t="s">
        <v>6450</v>
      </c>
      <c r="F402" s="1634" t="s">
        <v>3501</v>
      </c>
      <c r="G402" s="1634" t="s">
        <v>510</v>
      </c>
      <c r="H402" s="1634" t="s">
        <v>511</v>
      </c>
      <c r="I402" s="1634" t="s">
        <v>512</v>
      </c>
      <c r="J402" s="1634" t="s">
        <v>513</v>
      </c>
      <c r="K402"/>
      <c r="L402"/>
      <c r="M402"/>
    </row>
    <row r="403" spans="1:13" hidden="1" x14ac:dyDescent="0.2">
      <c r="A403" s="2291" t="s">
        <v>1968</v>
      </c>
      <c r="B403" s="1634" t="s">
        <v>1969</v>
      </c>
      <c r="C403" s="1634" t="s">
        <v>1971</v>
      </c>
      <c r="D403" s="1634" t="s">
        <v>1972</v>
      </c>
      <c r="E403" s="1634" t="s">
        <v>6452</v>
      </c>
      <c r="F403" s="1634" t="s">
        <v>2928</v>
      </c>
      <c r="G403" s="1634" t="s">
        <v>2929</v>
      </c>
      <c r="H403" s="1634" t="s">
        <v>2930</v>
      </c>
      <c r="I403" s="1634" t="s">
        <v>1973</v>
      </c>
      <c r="J403" s="1634" t="s">
        <v>1974</v>
      </c>
      <c r="K403"/>
      <c r="L403"/>
      <c r="M403"/>
    </row>
    <row r="404" spans="1:13" hidden="1" x14ac:dyDescent="0.2">
      <c r="A404" s="2291" t="s">
        <v>1975</v>
      </c>
      <c r="B404" s="1634" t="s">
        <v>1976</v>
      </c>
      <c r="C404" s="1634" t="s">
        <v>3246</v>
      </c>
      <c r="D404" s="1634" t="s">
        <v>3247</v>
      </c>
      <c r="E404" s="1634" t="s">
        <v>4523</v>
      </c>
      <c r="F404" s="1634" t="s">
        <v>3248</v>
      </c>
      <c r="G404" s="1634" t="s">
        <v>3249</v>
      </c>
      <c r="H404" s="1634" t="s">
        <v>3250</v>
      </c>
      <c r="I404" s="1634" t="s">
        <v>3251</v>
      </c>
      <c r="J404" s="1634" t="s">
        <v>3252</v>
      </c>
      <c r="K404"/>
      <c r="L404"/>
      <c r="M404"/>
    </row>
    <row r="405" spans="1:13" hidden="1" x14ac:dyDescent="0.2">
      <c r="A405" s="2291" t="s">
        <v>3253</v>
      </c>
      <c r="B405" s="1634" t="s">
        <v>2953</v>
      </c>
      <c r="C405" s="1634" t="s">
        <v>5480</v>
      </c>
      <c r="D405" s="1634" t="s">
        <v>2954</v>
      </c>
      <c r="E405" s="1634" t="s">
        <v>3254</v>
      </c>
      <c r="F405" s="1634" t="s">
        <v>3255</v>
      </c>
      <c r="G405" s="1634" t="s">
        <v>3256</v>
      </c>
      <c r="H405" s="1634" t="s">
        <v>3257</v>
      </c>
      <c r="I405" s="1634" t="s">
        <v>700</v>
      </c>
      <c r="J405" s="1634" t="s">
        <v>3258</v>
      </c>
      <c r="K405"/>
      <c r="L405"/>
      <c r="M405"/>
    </row>
    <row r="406" spans="1:13" hidden="1" x14ac:dyDescent="0.2">
      <c r="A406" s="2291" t="s">
        <v>3259</v>
      </c>
      <c r="B406" s="1634" t="s">
        <v>472</v>
      </c>
      <c r="C406" s="1634" t="s">
        <v>799</v>
      </c>
      <c r="D406" s="1634" t="s">
        <v>473</v>
      </c>
      <c r="E406" s="1634" t="s">
        <v>4525</v>
      </c>
      <c r="F406" s="1634" t="s">
        <v>800</v>
      </c>
      <c r="G406" s="1634" t="s">
        <v>801</v>
      </c>
      <c r="H406" s="1634" t="s">
        <v>802</v>
      </c>
      <c r="I406" s="1634" t="s">
        <v>803</v>
      </c>
      <c r="J406" s="1634" t="s">
        <v>804</v>
      </c>
      <c r="K406"/>
      <c r="L406"/>
      <c r="M406"/>
    </row>
    <row r="407" spans="1:13" hidden="1" x14ac:dyDescent="0.2">
      <c r="A407" s="2291" t="s">
        <v>805</v>
      </c>
      <c r="B407" s="1634" t="s">
        <v>4527</v>
      </c>
      <c r="C407" s="1634" t="s">
        <v>807</v>
      </c>
      <c r="D407" s="1634" t="s">
        <v>6470</v>
      </c>
      <c r="E407" s="1634" t="s">
        <v>465</v>
      </c>
      <c r="F407" s="1634" t="s">
        <v>808</v>
      </c>
      <c r="G407" s="1634" t="s">
        <v>809</v>
      </c>
      <c r="H407" s="1634" t="s">
        <v>810</v>
      </c>
      <c r="I407" s="1634" t="s">
        <v>1936</v>
      </c>
      <c r="J407" s="1634" t="s">
        <v>811</v>
      </c>
      <c r="K407"/>
      <c r="L407"/>
      <c r="M407"/>
    </row>
    <row r="408" spans="1:13" hidden="1" x14ac:dyDescent="0.2">
      <c r="A408" s="2291" t="s">
        <v>812</v>
      </c>
      <c r="B408" s="1634" t="s">
        <v>5727</v>
      </c>
      <c r="C408" s="1634" t="s">
        <v>814</v>
      </c>
      <c r="D408" s="1634" t="s">
        <v>6474</v>
      </c>
      <c r="E408" s="1634" t="s">
        <v>5728</v>
      </c>
      <c r="F408" s="1634" t="s">
        <v>815</v>
      </c>
      <c r="G408" s="1634" t="s">
        <v>816</v>
      </c>
      <c r="H408" s="1634" t="s">
        <v>817</v>
      </c>
      <c r="I408" s="1634" t="s">
        <v>818</v>
      </c>
      <c r="J408" s="1634" t="s">
        <v>819</v>
      </c>
      <c r="K408"/>
      <c r="L408"/>
      <c r="M408"/>
    </row>
    <row r="409" spans="1:13" hidden="1" x14ac:dyDescent="0.2">
      <c r="A409" s="2291" t="s">
        <v>820</v>
      </c>
      <c r="B409" s="1634" t="s">
        <v>220</v>
      </c>
      <c r="C409" s="1634" t="s">
        <v>822</v>
      </c>
      <c r="D409" s="1634" t="s">
        <v>4966</v>
      </c>
      <c r="E409" s="1634" t="s">
        <v>823</v>
      </c>
      <c r="F409" s="1634" t="s">
        <v>824</v>
      </c>
      <c r="G409" s="1634" t="s">
        <v>825</v>
      </c>
      <c r="H409" s="1634" t="s">
        <v>537</v>
      </c>
      <c r="I409" s="1634" t="s">
        <v>538</v>
      </c>
      <c r="J409" s="1634" t="s">
        <v>539</v>
      </c>
      <c r="K409"/>
      <c r="L409"/>
      <c r="M409"/>
    </row>
    <row r="410" spans="1:13" hidden="1" x14ac:dyDescent="0.2">
      <c r="A410" s="2291" t="s">
        <v>540</v>
      </c>
      <c r="B410" s="1634" t="s">
        <v>4971</v>
      </c>
      <c r="C410" s="1634" t="s">
        <v>5481</v>
      </c>
      <c r="D410" s="1634" t="s">
        <v>4972</v>
      </c>
      <c r="E410" s="1634" t="s">
        <v>5730</v>
      </c>
      <c r="F410" s="1634" t="s">
        <v>542</v>
      </c>
      <c r="G410" s="1634" t="s">
        <v>543</v>
      </c>
      <c r="H410" s="1634" t="s">
        <v>544</v>
      </c>
      <c r="I410" s="1634" t="s">
        <v>545</v>
      </c>
      <c r="J410" s="1634" t="s">
        <v>546</v>
      </c>
      <c r="K410"/>
      <c r="L410"/>
      <c r="M410"/>
    </row>
    <row r="411" spans="1:13" hidden="1" x14ac:dyDescent="0.2">
      <c r="A411" s="2291" t="s">
        <v>6911</v>
      </c>
      <c r="B411" s="1634" t="s">
        <v>2824</v>
      </c>
      <c r="C411" s="1634" t="s">
        <v>715</v>
      </c>
      <c r="D411" s="1634" t="s">
        <v>2825</v>
      </c>
      <c r="E411" s="1634" t="s">
        <v>4789</v>
      </c>
      <c r="F411" s="1634" t="s">
        <v>1807</v>
      </c>
      <c r="G411" s="1634" t="s">
        <v>716</v>
      </c>
      <c r="H411" s="1634" t="s">
        <v>717</v>
      </c>
      <c r="I411" s="1634" t="s">
        <v>718</v>
      </c>
      <c r="J411" s="1634" t="s">
        <v>719</v>
      </c>
      <c r="K411"/>
      <c r="L411"/>
      <c r="M411"/>
    </row>
    <row r="412" spans="1:13" hidden="1" x14ac:dyDescent="0.2">
      <c r="A412" s="2291" t="s">
        <v>3465</v>
      </c>
      <c r="B412" s="1634" t="s">
        <v>5609</v>
      </c>
      <c r="C412" s="1634" t="s">
        <v>5482</v>
      </c>
      <c r="D412" s="1634" t="s">
        <v>5610</v>
      </c>
      <c r="E412" s="1634" t="s">
        <v>5483</v>
      </c>
      <c r="F412" s="1634" t="s">
        <v>1809</v>
      </c>
      <c r="G412" s="1634" t="s">
        <v>3467</v>
      </c>
      <c r="H412" s="1634" t="s">
        <v>3468</v>
      </c>
      <c r="I412" s="1634" t="s">
        <v>3469</v>
      </c>
      <c r="J412" s="1634" t="s">
        <v>3470</v>
      </c>
      <c r="K412"/>
      <c r="L412"/>
      <c r="M412"/>
    </row>
    <row r="413" spans="1:13" hidden="1" x14ac:dyDescent="0.2">
      <c r="A413" s="2291" t="s">
        <v>3471</v>
      </c>
      <c r="B413" s="1634" t="s">
        <v>3359</v>
      </c>
      <c r="C413" s="1634" t="s">
        <v>3472</v>
      </c>
      <c r="D413" s="1634" t="s">
        <v>3360</v>
      </c>
      <c r="E413" s="1634" t="s">
        <v>4792</v>
      </c>
      <c r="F413" s="1634" t="s">
        <v>1811</v>
      </c>
      <c r="G413" s="1634" t="s">
        <v>3473</v>
      </c>
      <c r="H413" s="1634" t="s">
        <v>3474</v>
      </c>
      <c r="I413" s="1634" t="s">
        <v>6050</v>
      </c>
      <c r="J413" s="1634" t="s">
        <v>6051</v>
      </c>
      <c r="K413"/>
      <c r="L413"/>
      <c r="M413"/>
    </row>
    <row r="414" spans="1:13" hidden="1" x14ac:dyDescent="0.2">
      <c r="A414" s="2291" t="s">
        <v>1917</v>
      </c>
      <c r="B414" s="1634" t="s">
        <v>2375</v>
      </c>
      <c r="C414" s="1634" t="s">
        <v>5484</v>
      </c>
      <c r="D414" s="1634" t="s">
        <v>2376</v>
      </c>
      <c r="E414" s="1634" t="s">
        <v>6503</v>
      </c>
      <c r="F414" s="1634" t="s">
        <v>1813</v>
      </c>
      <c r="G414" s="1634" t="s">
        <v>1919</v>
      </c>
      <c r="H414" s="1634" t="s">
        <v>1920</v>
      </c>
      <c r="I414" s="1634" t="s">
        <v>1921</v>
      </c>
      <c r="J414" s="1634" t="s">
        <v>4799</v>
      </c>
      <c r="K414"/>
      <c r="L414"/>
      <c r="M414"/>
    </row>
    <row r="415" spans="1:13" hidden="1" x14ac:dyDescent="0.2">
      <c r="A415" s="2291" t="s">
        <v>4800</v>
      </c>
      <c r="B415" s="1634" t="s">
        <v>2380</v>
      </c>
      <c r="C415" s="1634" t="s">
        <v>986</v>
      </c>
      <c r="D415" s="1634" t="s">
        <v>216</v>
      </c>
      <c r="E415" s="1634" t="s">
        <v>5218</v>
      </c>
      <c r="F415" s="1634" t="s">
        <v>1815</v>
      </c>
      <c r="G415" s="1634" t="s">
        <v>987</v>
      </c>
      <c r="H415" s="1634" t="s">
        <v>1882</v>
      </c>
      <c r="I415" s="1634" t="s">
        <v>1883</v>
      </c>
      <c r="J415" s="1634" t="s">
        <v>1666</v>
      </c>
      <c r="K415"/>
      <c r="L415"/>
      <c r="M415"/>
    </row>
    <row r="416" spans="1:13" hidden="1" x14ac:dyDescent="0.2">
      <c r="A416" s="2291" t="s">
        <v>1590</v>
      </c>
      <c r="B416" s="1634" t="s">
        <v>6383</v>
      </c>
      <c r="C416" s="1634" t="s">
        <v>6180</v>
      </c>
      <c r="D416" s="1634" t="s">
        <v>6384</v>
      </c>
      <c r="E416" s="1634" t="s">
        <v>6181</v>
      </c>
      <c r="F416" s="1634" t="s">
        <v>406</v>
      </c>
      <c r="G416" s="1634" t="s">
        <v>6182</v>
      </c>
      <c r="H416" s="1634" t="s">
        <v>6183</v>
      </c>
      <c r="I416" s="1634" t="s">
        <v>520</v>
      </c>
      <c r="J416" s="1634" t="s">
        <v>521</v>
      </c>
    </row>
    <row r="417" spans="1:10" hidden="1" x14ac:dyDescent="0.2">
      <c r="A417" s="2291" t="s">
        <v>522</v>
      </c>
      <c r="B417" s="1634" t="s">
        <v>6388</v>
      </c>
      <c r="C417" s="1634" t="s">
        <v>6631</v>
      </c>
      <c r="D417" s="1634" t="s">
        <v>6389</v>
      </c>
      <c r="E417" s="1634" t="s">
        <v>4819</v>
      </c>
      <c r="F417" s="1634" t="s">
        <v>2624</v>
      </c>
      <c r="G417" s="1634" t="s">
        <v>720</v>
      </c>
      <c r="H417" s="1634" t="s">
        <v>721</v>
      </c>
      <c r="I417" s="1634" t="s">
        <v>2088</v>
      </c>
      <c r="J417" s="1634" t="s">
        <v>2089</v>
      </c>
    </row>
    <row r="418" spans="1:10" hidden="1" x14ac:dyDescent="0.2">
      <c r="A418" s="2291" t="s">
        <v>2090</v>
      </c>
      <c r="B418" s="1634" t="s">
        <v>6393</v>
      </c>
      <c r="C418" s="1634" t="s">
        <v>2092</v>
      </c>
      <c r="D418" s="1634" t="s">
        <v>6394</v>
      </c>
      <c r="E418" s="1634" t="s">
        <v>4820</v>
      </c>
      <c r="F418" s="1634" t="s">
        <v>2626</v>
      </c>
      <c r="G418" s="1634" t="s">
        <v>2093</v>
      </c>
      <c r="H418" s="1634" t="s">
        <v>2094</v>
      </c>
      <c r="I418" s="1634" t="s">
        <v>1555</v>
      </c>
      <c r="J418" s="1634" t="s">
        <v>1556</v>
      </c>
    </row>
    <row r="419" spans="1:10" hidden="1" x14ac:dyDescent="0.2">
      <c r="A419" s="2291" t="s">
        <v>1557</v>
      </c>
      <c r="B419" s="1634" t="s">
        <v>6398</v>
      </c>
      <c r="C419" s="1634" t="s">
        <v>5778</v>
      </c>
      <c r="D419" s="1634" t="s">
        <v>6399</v>
      </c>
      <c r="E419" s="1634" t="s">
        <v>4821</v>
      </c>
      <c r="F419" s="1634" t="s">
        <v>5689</v>
      </c>
      <c r="G419" s="1634" t="s">
        <v>5779</v>
      </c>
      <c r="H419" s="1634" t="s">
        <v>5780</v>
      </c>
      <c r="I419" s="1634" t="s">
        <v>5781</v>
      </c>
      <c r="J419" s="1634" t="s">
        <v>5782</v>
      </c>
    </row>
    <row r="420" spans="1:10" hidden="1" x14ac:dyDescent="0.2">
      <c r="A420" s="2291" t="s">
        <v>3399</v>
      </c>
      <c r="B420" s="1634" t="s">
        <v>6403</v>
      </c>
      <c r="C420" s="1634" t="s">
        <v>4549</v>
      </c>
      <c r="D420" s="1634" t="s">
        <v>6404</v>
      </c>
      <c r="E420" s="1634" t="s">
        <v>2230</v>
      </c>
      <c r="F420" s="1634" t="s">
        <v>5691</v>
      </c>
      <c r="G420" s="1634" t="s">
        <v>2983</v>
      </c>
      <c r="H420" s="1634" t="s">
        <v>2231</v>
      </c>
      <c r="I420" s="1634" t="s">
        <v>4582</v>
      </c>
      <c r="J420" s="1634" t="s">
        <v>4836</v>
      </c>
    </row>
    <row r="421" spans="1:10" hidden="1" x14ac:dyDescent="0.2">
      <c r="A421" s="2291" t="s">
        <v>3408</v>
      </c>
      <c r="B421" s="1634" t="s">
        <v>6408</v>
      </c>
      <c r="C421" s="1634" t="s">
        <v>1791</v>
      </c>
      <c r="D421" s="1634" t="s">
        <v>6409</v>
      </c>
      <c r="E421" s="1634" t="s">
        <v>4837</v>
      </c>
      <c r="F421" s="1634" t="s">
        <v>1792</v>
      </c>
      <c r="G421" s="1634" t="s">
        <v>1793</v>
      </c>
      <c r="H421" s="1634" t="s">
        <v>2233</v>
      </c>
      <c r="I421" s="1634" t="s">
        <v>91</v>
      </c>
      <c r="J421" s="1634" t="s">
        <v>5246</v>
      </c>
    </row>
    <row r="422" spans="1:10" hidden="1" x14ac:dyDescent="0.2">
      <c r="A422" s="2291" t="s">
        <v>5100</v>
      </c>
      <c r="B422" s="1634" t="s">
        <v>5238</v>
      </c>
      <c r="C422" s="1634" t="s">
        <v>1794</v>
      </c>
      <c r="D422" s="1634" t="s">
        <v>5239</v>
      </c>
      <c r="E422" s="1634" t="s">
        <v>2235</v>
      </c>
      <c r="F422" s="1634" t="s">
        <v>1795</v>
      </c>
      <c r="G422" s="1634" t="s">
        <v>1796</v>
      </c>
      <c r="H422" s="1634" t="s">
        <v>2236</v>
      </c>
      <c r="I422" s="1634" t="s">
        <v>92</v>
      </c>
      <c r="J422" s="1634" t="s">
        <v>93</v>
      </c>
    </row>
    <row r="423" spans="1:10" hidden="1" x14ac:dyDescent="0.2">
      <c r="A423" s="2291" t="s">
        <v>5109</v>
      </c>
      <c r="B423" s="1634" t="s">
        <v>5241</v>
      </c>
      <c r="C423" s="1634" t="s">
        <v>1797</v>
      </c>
      <c r="D423" s="1634" t="s">
        <v>5242</v>
      </c>
      <c r="E423" s="1634" t="s">
        <v>1798</v>
      </c>
      <c r="F423" s="1634" t="s">
        <v>1799</v>
      </c>
      <c r="G423" s="1634" t="s">
        <v>1800</v>
      </c>
      <c r="H423" s="1634" t="s">
        <v>1801</v>
      </c>
      <c r="I423" s="1634" t="s">
        <v>94</v>
      </c>
      <c r="J423" s="1634" t="s">
        <v>95</v>
      </c>
    </row>
    <row r="424" spans="1:10" hidden="1" x14ac:dyDescent="0.2">
      <c r="A424" s="2291" t="s">
        <v>2398</v>
      </c>
      <c r="B424" s="1634" t="s">
        <v>1023</v>
      </c>
      <c r="C424" s="1634" t="s">
        <v>3401</v>
      </c>
      <c r="D424" s="1634" t="s">
        <v>1024</v>
      </c>
      <c r="E424" s="1634" t="s">
        <v>3402</v>
      </c>
      <c r="F424" s="1634" t="s">
        <v>3403</v>
      </c>
      <c r="G424" s="1634" t="s">
        <v>3404</v>
      </c>
      <c r="H424" s="1634" t="s">
        <v>3405</v>
      </c>
      <c r="I424" s="1634" t="s">
        <v>3406</v>
      </c>
      <c r="J424" s="1634" t="s">
        <v>3407</v>
      </c>
    </row>
    <row r="425" spans="1:10" hidden="1" x14ac:dyDescent="0.2">
      <c r="A425" s="2291" t="s">
        <v>2406</v>
      </c>
      <c r="B425" s="1634" t="s">
        <v>6512</v>
      </c>
      <c r="C425" s="1634" t="s">
        <v>5897</v>
      </c>
      <c r="D425" s="1634" t="s">
        <v>6513</v>
      </c>
      <c r="E425" s="1634" t="s">
        <v>4822</v>
      </c>
      <c r="F425" s="1634" t="s">
        <v>5095</v>
      </c>
      <c r="G425" s="1634" t="s">
        <v>5096</v>
      </c>
      <c r="H425" s="1634" t="s">
        <v>5097</v>
      </c>
      <c r="I425" s="1634" t="s">
        <v>5098</v>
      </c>
      <c r="J425" s="1634" t="s">
        <v>5099</v>
      </c>
    </row>
    <row r="426" spans="1:10" hidden="1" x14ac:dyDescent="0.2">
      <c r="A426" s="2291" t="s">
        <v>2416</v>
      </c>
      <c r="B426" s="1634" t="s">
        <v>2300</v>
      </c>
      <c r="C426" s="1634" t="s">
        <v>5102</v>
      </c>
      <c r="D426" s="1634" t="s">
        <v>2301</v>
      </c>
      <c r="E426" s="1634" t="s">
        <v>5103</v>
      </c>
      <c r="F426" s="1634" t="s">
        <v>5104</v>
      </c>
      <c r="G426" s="1634" t="s">
        <v>5105</v>
      </c>
      <c r="H426" s="1634" t="s">
        <v>5106</v>
      </c>
      <c r="I426" s="1634" t="s">
        <v>5107</v>
      </c>
      <c r="J426" s="1634" t="s">
        <v>5108</v>
      </c>
    </row>
    <row r="427" spans="1:10" hidden="1" x14ac:dyDescent="0.2">
      <c r="A427" s="2291" t="s">
        <v>2637</v>
      </c>
      <c r="B427" s="1634" t="s">
        <v>2303</v>
      </c>
      <c r="C427" s="1634" t="s">
        <v>525</v>
      </c>
      <c r="D427" s="1634" t="s">
        <v>2304</v>
      </c>
      <c r="E427" s="1634" t="s">
        <v>4823</v>
      </c>
      <c r="F427" s="1634" t="s">
        <v>2393</v>
      </c>
      <c r="G427" s="1634" t="s">
        <v>2394</v>
      </c>
      <c r="H427" s="1634" t="s">
        <v>2395</v>
      </c>
      <c r="I427" s="1634" t="s">
        <v>2396</v>
      </c>
      <c r="J427" s="1634" t="s">
        <v>2397</v>
      </c>
    </row>
    <row r="428" spans="1:10" hidden="1" x14ac:dyDescent="0.2">
      <c r="A428" s="2291" t="s">
        <v>6581</v>
      </c>
      <c r="B428" s="1634" t="s">
        <v>2419</v>
      </c>
      <c r="C428" s="1634" t="s">
        <v>2400</v>
      </c>
      <c r="D428" s="1634" t="s">
        <v>2420</v>
      </c>
      <c r="E428" s="1634" t="s">
        <v>2401</v>
      </c>
      <c r="F428" s="1634" t="s">
        <v>852</v>
      </c>
      <c r="G428" s="1634" t="s">
        <v>2402</v>
      </c>
      <c r="H428" s="1634" t="s">
        <v>2403</v>
      </c>
      <c r="I428" s="1634" t="s">
        <v>2404</v>
      </c>
      <c r="J428" s="1634" t="s">
        <v>2405</v>
      </c>
    </row>
    <row r="429" spans="1:10" hidden="1" x14ac:dyDescent="0.2">
      <c r="A429" s="2291" t="s">
        <v>6270</v>
      </c>
      <c r="B429" s="1634" t="s">
        <v>2407</v>
      </c>
      <c r="C429" s="1634" t="s">
        <v>2409</v>
      </c>
      <c r="D429" s="1634" t="s">
        <v>2410</v>
      </c>
      <c r="E429" s="1634" t="s">
        <v>4824</v>
      </c>
      <c r="F429" s="1634" t="s">
        <v>2411</v>
      </c>
      <c r="G429" s="1634" t="s">
        <v>2412</v>
      </c>
      <c r="H429" s="1634" t="s">
        <v>2413</v>
      </c>
      <c r="I429" s="1634" t="s">
        <v>2414</v>
      </c>
      <c r="J429" s="1634" t="s">
        <v>2415</v>
      </c>
    </row>
    <row r="430" spans="1:10" hidden="1" x14ac:dyDescent="0.2">
      <c r="A430" s="2291" t="s">
        <v>5019</v>
      </c>
      <c r="B430" s="1634" t="s">
        <v>2417</v>
      </c>
      <c r="C430" s="1634" t="s">
        <v>2629</v>
      </c>
      <c r="D430" s="1634" t="s">
        <v>2630</v>
      </c>
      <c r="E430" s="1634" t="s">
        <v>2631</v>
      </c>
      <c r="F430" s="1634" t="s">
        <v>2632</v>
      </c>
      <c r="G430" s="1634" t="s">
        <v>2633</v>
      </c>
      <c r="H430" s="1634" t="s">
        <v>2634</v>
      </c>
      <c r="I430" s="1634" t="s">
        <v>2635</v>
      </c>
      <c r="J430" s="1634" t="s">
        <v>2636</v>
      </c>
    </row>
    <row r="431" spans="1:10" hidden="1" x14ac:dyDescent="0.2">
      <c r="A431" s="2291" t="s">
        <v>5029</v>
      </c>
      <c r="B431" s="1634" t="s">
        <v>2638</v>
      </c>
      <c r="C431" s="1634" t="s">
        <v>2640</v>
      </c>
      <c r="D431" s="1634" t="s">
        <v>2641</v>
      </c>
      <c r="E431" s="1634" t="s">
        <v>4825</v>
      </c>
      <c r="F431" s="1634" t="s">
        <v>2642</v>
      </c>
      <c r="G431" s="1634" t="s">
        <v>3965</v>
      </c>
      <c r="H431" s="1634" t="s">
        <v>3966</v>
      </c>
      <c r="I431" s="1634" t="s">
        <v>6196</v>
      </c>
      <c r="J431" s="1634" t="s">
        <v>6580</v>
      </c>
    </row>
    <row r="432" spans="1:10" hidden="1" x14ac:dyDescent="0.2">
      <c r="A432" s="2291" t="s">
        <v>2447</v>
      </c>
      <c r="B432" s="1634" t="s">
        <v>6582</v>
      </c>
      <c r="C432" s="1634" t="s">
        <v>6584</v>
      </c>
      <c r="D432" s="1634" t="s">
        <v>6585</v>
      </c>
      <c r="E432" s="1634" t="s">
        <v>6586</v>
      </c>
      <c r="F432" s="1634" t="s">
        <v>6587</v>
      </c>
      <c r="G432" s="1634" t="s">
        <v>6588</v>
      </c>
      <c r="H432" s="1634" t="s">
        <v>6589</v>
      </c>
      <c r="I432" s="1634" t="s">
        <v>6590</v>
      </c>
      <c r="J432" s="1634" t="s">
        <v>6591</v>
      </c>
    </row>
    <row r="433" spans="1:10" hidden="1" x14ac:dyDescent="0.2">
      <c r="A433" s="2291" t="s">
        <v>2457</v>
      </c>
      <c r="B433" s="1634" t="s">
        <v>6271</v>
      </c>
      <c r="C433" s="1634" t="s">
        <v>6273</v>
      </c>
      <c r="D433" s="1634" t="s">
        <v>6274</v>
      </c>
      <c r="E433" s="1634" t="s">
        <v>6275</v>
      </c>
      <c r="F433" s="1634" t="s">
        <v>5014</v>
      </c>
      <c r="G433" s="1634" t="s">
        <v>5015</v>
      </c>
      <c r="H433" s="1634" t="s">
        <v>5016</v>
      </c>
      <c r="I433" s="1634" t="s">
        <v>5017</v>
      </c>
      <c r="J433" s="1634" t="s">
        <v>5018</v>
      </c>
    </row>
    <row r="434" spans="1:10" hidden="1" x14ac:dyDescent="0.2">
      <c r="A434" s="2291" t="s">
        <v>1461</v>
      </c>
      <c r="B434" s="1634" t="s">
        <v>5020</v>
      </c>
      <c r="C434" s="1634" t="s">
        <v>5022</v>
      </c>
      <c r="D434" s="1634" t="s">
        <v>5023</v>
      </c>
      <c r="E434" s="1634" t="s">
        <v>4826</v>
      </c>
      <c r="F434" s="1634" t="s">
        <v>5024</v>
      </c>
      <c r="G434" s="1634" t="s">
        <v>5025</v>
      </c>
      <c r="H434" s="1634" t="s">
        <v>5026</v>
      </c>
      <c r="I434" s="1634" t="s">
        <v>5027</v>
      </c>
      <c r="J434" s="1634" t="s">
        <v>5028</v>
      </c>
    </row>
    <row r="435" spans="1:10" hidden="1" x14ac:dyDescent="0.2">
      <c r="A435" s="2291" t="s">
        <v>1467</v>
      </c>
      <c r="B435" s="1634" t="s">
        <v>5030</v>
      </c>
      <c r="C435" s="1634" t="s">
        <v>5032</v>
      </c>
      <c r="D435" s="1634" t="s">
        <v>5033</v>
      </c>
      <c r="E435" s="1634" t="s">
        <v>5034</v>
      </c>
      <c r="F435" s="1634" t="s">
        <v>5035</v>
      </c>
      <c r="G435" s="1634" t="s">
        <v>5036</v>
      </c>
      <c r="H435" s="1634" t="s">
        <v>5037</v>
      </c>
      <c r="I435" s="1634" t="s">
        <v>2445</v>
      </c>
      <c r="J435" s="1634" t="s">
        <v>2446</v>
      </c>
    </row>
    <row r="436" spans="1:10" hidden="1" x14ac:dyDescent="0.2">
      <c r="A436" s="2291" t="s">
        <v>1473</v>
      </c>
      <c r="B436" s="1634" t="s">
        <v>2448</v>
      </c>
      <c r="C436" s="1634" t="s">
        <v>2450</v>
      </c>
      <c r="D436" s="1634" t="s">
        <v>2451</v>
      </c>
      <c r="E436" s="1634" t="s">
        <v>4827</v>
      </c>
      <c r="F436" s="1634" t="s">
        <v>2452</v>
      </c>
      <c r="G436" s="1634" t="s">
        <v>2453</v>
      </c>
      <c r="H436" s="1634" t="s">
        <v>2454</v>
      </c>
      <c r="I436" s="1634" t="s">
        <v>2455</v>
      </c>
      <c r="J436" s="1634" t="s">
        <v>2456</v>
      </c>
    </row>
    <row r="437" spans="1:10" hidden="1" x14ac:dyDescent="0.2">
      <c r="A437" s="2291" t="s">
        <v>2677</v>
      </c>
      <c r="B437" s="1634" t="s">
        <v>4230</v>
      </c>
      <c r="C437" s="1634" t="s">
        <v>6419</v>
      </c>
      <c r="D437" s="1634" t="s">
        <v>6420</v>
      </c>
      <c r="E437" s="1634" t="s">
        <v>6421</v>
      </c>
      <c r="F437" s="1634" t="s">
        <v>1456</v>
      </c>
      <c r="G437" s="1634" t="s">
        <v>1457</v>
      </c>
      <c r="H437" s="1634" t="s">
        <v>1458</v>
      </c>
      <c r="I437" s="1634" t="s">
        <v>1459</v>
      </c>
      <c r="J437" s="1634" t="s">
        <v>1460</v>
      </c>
    </row>
    <row r="438" spans="1:10" hidden="1" x14ac:dyDescent="0.2">
      <c r="A438" s="2291" t="s">
        <v>1875</v>
      </c>
      <c r="B438" s="1634" t="s">
        <v>5140</v>
      </c>
      <c r="C438" s="1634" t="s">
        <v>2336</v>
      </c>
      <c r="D438" s="1634" t="s">
        <v>2337</v>
      </c>
      <c r="E438" s="1634" t="s">
        <v>2338</v>
      </c>
      <c r="F438" s="1634" t="s">
        <v>1462</v>
      </c>
      <c r="G438" s="1634" t="s">
        <v>1463</v>
      </c>
      <c r="H438" s="1634" t="s">
        <v>1464</v>
      </c>
      <c r="I438" s="1634" t="s">
        <v>1465</v>
      </c>
      <c r="J438" s="1634" t="s">
        <v>1466</v>
      </c>
    </row>
    <row r="439" spans="1:10" hidden="1" x14ac:dyDescent="0.2">
      <c r="A439" s="2291" t="s">
        <v>6664</v>
      </c>
      <c r="B439" s="1634" t="s">
        <v>2340</v>
      </c>
      <c r="C439" s="1634" t="s">
        <v>2342</v>
      </c>
      <c r="D439" s="1634" t="s">
        <v>2343</v>
      </c>
      <c r="E439" s="1634" t="s">
        <v>2344</v>
      </c>
      <c r="F439" s="1634" t="s">
        <v>1468</v>
      </c>
      <c r="G439" s="1634" t="s">
        <v>1469</v>
      </c>
      <c r="H439" s="1634" t="s">
        <v>1470</v>
      </c>
      <c r="I439" s="1634" t="s">
        <v>1471</v>
      </c>
      <c r="J439" s="1634" t="s">
        <v>1472</v>
      </c>
    </row>
    <row r="440" spans="1:10" hidden="1" x14ac:dyDescent="0.2">
      <c r="A440" s="2291" t="s">
        <v>2125</v>
      </c>
      <c r="B440" s="1634" t="s">
        <v>2346</v>
      </c>
      <c r="C440" s="1634" t="s">
        <v>2348</v>
      </c>
      <c r="D440" s="1634" t="s">
        <v>2349</v>
      </c>
      <c r="E440" s="1634" t="s">
        <v>2350</v>
      </c>
      <c r="F440" s="1634" t="s">
        <v>1474</v>
      </c>
      <c r="G440" s="1634" t="s">
        <v>4212</v>
      </c>
      <c r="H440" s="1634" t="s">
        <v>4495</v>
      </c>
      <c r="I440" s="1634" t="s">
        <v>2382</v>
      </c>
      <c r="J440" s="1634" t="s">
        <v>2383</v>
      </c>
    </row>
    <row r="441" spans="1:10" hidden="1" x14ac:dyDescent="0.2">
      <c r="A441" s="2291" t="s">
        <v>2131</v>
      </c>
      <c r="B441" s="1634" t="s">
        <v>2352</v>
      </c>
      <c r="C441" s="1634" t="s">
        <v>2354</v>
      </c>
      <c r="D441" s="1634" t="s">
        <v>2355</v>
      </c>
      <c r="E441" s="1634" t="s">
        <v>2356</v>
      </c>
      <c r="F441" s="1634" t="s">
        <v>1871</v>
      </c>
      <c r="G441" s="1634" t="s">
        <v>1872</v>
      </c>
      <c r="H441" s="1634" t="s">
        <v>1585</v>
      </c>
      <c r="I441" s="1634" t="s">
        <v>1873</v>
      </c>
      <c r="J441" s="1634" t="s">
        <v>1874</v>
      </c>
    </row>
    <row r="442" spans="1:10" hidden="1" x14ac:dyDescent="0.2">
      <c r="A442" s="2291" t="s">
        <v>985</v>
      </c>
      <c r="B442" s="1634" t="s">
        <v>2358</v>
      </c>
      <c r="C442" s="1634" t="s">
        <v>2360</v>
      </c>
      <c r="D442" s="1634" t="s">
        <v>2361</v>
      </c>
      <c r="E442" s="1634" t="s">
        <v>2362</v>
      </c>
      <c r="F442" s="1634" t="s">
        <v>1876</v>
      </c>
      <c r="G442" s="1634" t="s">
        <v>1877</v>
      </c>
      <c r="H442" s="1634" t="s">
        <v>1878</v>
      </c>
      <c r="I442" s="1634" t="s">
        <v>1879</v>
      </c>
      <c r="J442" s="1634" t="s">
        <v>1880</v>
      </c>
    </row>
    <row r="443" spans="1:10" hidden="1" x14ac:dyDescent="0.2">
      <c r="A443" s="2291" t="s">
        <v>5223</v>
      </c>
      <c r="B443" s="1634" t="s">
        <v>6700</v>
      </c>
      <c r="C443" s="1634" t="s">
        <v>6702</v>
      </c>
      <c r="D443" s="1634" t="s">
        <v>6703</v>
      </c>
      <c r="E443" s="1634" t="s">
        <v>2964</v>
      </c>
      <c r="F443" s="1634" t="s">
        <v>6665</v>
      </c>
      <c r="G443" s="1634" t="s">
        <v>6666</v>
      </c>
      <c r="H443" s="1634" t="s">
        <v>6667</v>
      </c>
      <c r="I443" s="1634" t="s">
        <v>6668</v>
      </c>
      <c r="J443" s="1634" t="s">
        <v>2124</v>
      </c>
    </row>
    <row r="444" spans="1:10" hidden="1" x14ac:dyDescent="0.2">
      <c r="A444" s="2291" t="s">
        <v>5228</v>
      </c>
      <c r="B444" s="1634" t="s">
        <v>3692</v>
      </c>
      <c r="C444" s="1634" t="s">
        <v>6204</v>
      </c>
      <c r="D444" s="1634" t="s">
        <v>6205</v>
      </c>
      <c r="E444" s="1634" t="s">
        <v>5575</v>
      </c>
      <c r="F444" s="1634" t="s">
        <v>2126</v>
      </c>
      <c r="G444" s="1634" t="s">
        <v>2127</v>
      </c>
      <c r="H444" s="1634" t="s">
        <v>2128</v>
      </c>
      <c r="I444" s="1634" t="s">
        <v>2129</v>
      </c>
      <c r="J444" s="1634" t="s">
        <v>2130</v>
      </c>
    </row>
    <row r="445" spans="1:10" hidden="1" x14ac:dyDescent="0.2">
      <c r="A445" s="2291" t="s">
        <v>452</v>
      </c>
      <c r="B445" s="1634" t="s">
        <v>5577</v>
      </c>
      <c r="C445" s="1634" t="s">
        <v>5579</v>
      </c>
      <c r="D445" s="1634" t="s">
        <v>3644</v>
      </c>
      <c r="E445" s="1634" t="s">
        <v>3645</v>
      </c>
      <c r="F445" s="1634" t="s">
        <v>2132</v>
      </c>
      <c r="G445" s="1634" t="s">
        <v>981</v>
      </c>
      <c r="H445" s="1634" t="s">
        <v>982</v>
      </c>
      <c r="I445" s="1634" t="s">
        <v>983</v>
      </c>
      <c r="J445" s="1634" t="s">
        <v>984</v>
      </c>
    </row>
    <row r="446" spans="1:10" hidden="1" x14ac:dyDescent="0.2">
      <c r="A446" s="2291" t="s">
        <v>6603</v>
      </c>
      <c r="B446" s="1634" t="s">
        <v>3647</v>
      </c>
      <c r="C446" s="1634" t="s">
        <v>3649</v>
      </c>
      <c r="D446" s="1634" t="s">
        <v>3650</v>
      </c>
      <c r="E446" s="1634" t="s">
        <v>3651</v>
      </c>
      <c r="F446" s="1634" t="s">
        <v>4496</v>
      </c>
      <c r="G446" s="1634" t="s">
        <v>5219</v>
      </c>
      <c r="H446" s="1634" t="s">
        <v>5220</v>
      </c>
      <c r="I446" s="1634" t="s">
        <v>5221</v>
      </c>
      <c r="J446" s="1634" t="s">
        <v>5222</v>
      </c>
    </row>
    <row r="447" spans="1:10" hidden="1" x14ac:dyDescent="0.2">
      <c r="A447" s="2291" t="s">
        <v>1545</v>
      </c>
      <c r="B447" s="1634" t="s">
        <v>5667</v>
      </c>
      <c r="C447" s="1634" t="s">
        <v>5669</v>
      </c>
      <c r="D447" s="1634" t="s">
        <v>5670</v>
      </c>
      <c r="E447" s="1634" t="s">
        <v>5671</v>
      </c>
      <c r="F447" s="1634" t="s">
        <v>5224</v>
      </c>
      <c r="G447" s="1634" t="s">
        <v>1586</v>
      </c>
      <c r="H447" s="1634" t="s">
        <v>5225</v>
      </c>
      <c r="I447" s="1634" t="s">
        <v>5226</v>
      </c>
      <c r="J447" s="1634" t="s">
        <v>5227</v>
      </c>
    </row>
    <row r="448" spans="1:10" hidden="1" x14ac:dyDescent="0.2">
      <c r="A448" s="2291" t="s">
        <v>3670</v>
      </c>
      <c r="B448" s="1634" t="s">
        <v>5673</v>
      </c>
      <c r="C448" s="1634" t="s">
        <v>5675</v>
      </c>
      <c r="D448" s="1634" t="s">
        <v>5676</v>
      </c>
      <c r="E448" s="1634" t="s">
        <v>5677</v>
      </c>
      <c r="F448" s="1634" t="s">
        <v>4401</v>
      </c>
      <c r="G448" s="1634" t="s">
        <v>4402</v>
      </c>
      <c r="H448" s="1634" t="s">
        <v>1598</v>
      </c>
      <c r="I448" s="1634" t="s">
        <v>2830</v>
      </c>
      <c r="J448" s="1634" t="s">
        <v>1599</v>
      </c>
    </row>
    <row r="449" spans="1:10" hidden="1" x14ac:dyDescent="0.2">
      <c r="A449" s="2291" t="s">
        <v>3409</v>
      </c>
      <c r="B449" s="1634" t="s">
        <v>3419</v>
      </c>
      <c r="C449" s="1634" t="s">
        <v>5679</v>
      </c>
      <c r="D449" s="1634" t="s">
        <v>5680</v>
      </c>
      <c r="E449" s="1634" t="s">
        <v>3431</v>
      </c>
      <c r="F449" s="1634" t="s">
        <v>1587</v>
      </c>
      <c r="G449" s="1634" t="s">
        <v>6052</v>
      </c>
      <c r="H449" s="1634" t="s">
        <v>6053</v>
      </c>
      <c r="I449" s="1634" t="s">
        <v>2649</v>
      </c>
      <c r="J449" s="1634" t="s">
        <v>1600</v>
      </c>
    </row>
    <row r="450" spans="1:10" hidden="1" x14ac:dyDescent="0.2">
      <c r="A450" s="2291" t="s">
        <v>595</v>
      </c>
      <c r="B450" s="1634" t="s">
        <v>3433</v>
      </c>
      <c r="C450" s="1634" t="s">
        <v>3434</v>
      </c>
      <c r="D450" s="1634" t="s">
        <v>3435</v>
      </c>
      <c r="E450" s="1634" t="s">
        <v>3436</v>
      </c>
      <c r="F450" s="1634" t="s">
        <v>6054</v>
      </c>
      <c r="G450" s="1634" t="s">
        <v>6055</v>
      </c>
      <c r="H450" s="1634" t="s">
        <v>6056</v>
      </c>
      <c r="I450" s="1634" t="s">
        <v>2650</v>
      </c>
      <c r="J450" s="1634" t="s">
        <v>1601</v>
      </c>
    </row>
    <row r="451" spans="1:10" hidden="1" x14ac:dyDescent="0.2">
      <c r="A451" s="2291" t="s">
        <v>2017</v>
      </c>
      <c r="B451" s="1634" t="s">
        <v>6487</v>
      </c>
      <c r="C451" s="1634" t="s">
        <v>6489</v>
      </c>
      <c r="D451" s="1634" t="s">
        <v>6490</v>
      </c>
      <c r="E451" s="1634" t="s">
        <v>6491</v>
      </c>
      <c r="F451" s="1634" t="s">
        <v>6057</v>
      </c>
      <c r="G451" s="1634" t="s">
        <v>6058</v>
      </c>
      <c r="H451" s="1634" t="s">
        <v>6059</v>
      </c>
      <c r="I451" s="1634" t="s">
        <v>2651</v>
      </c>
      <c r="J451" s="1634" t="s">
        <v>1602</v>
      </c>
    </row>
    <row r="452" spans="1:10" hidden="1" x14ac:dyDescent="0.2">
      <c r="A452" s="2291" t="s">
        <v>1887</v>
      </c>
      <c r="B452" s="1634" t="s">
        <v>5229</v>
      </c>
      <c r="C452" s="1634" t="s">
        <v>5230</v>
      </c>
      <c r="D452" s="1634" t="s">
        <v>5231</v>
      </c>
      <c r="E452" s="1634" t="s">
        <v>5232</v>
      </c>
      <c r="F452" s="1634" t="s">
        <v>5233</v>
      </c>
      <c r="G452" s="1634" t="s">
        <v>5234</v>
      </c>
      <c r="H452" s="1634" t="s">
        <v>449</v>
      </c>
      <c r="I452" s="1634" t="s">
        <v>450</v>
      </c>
      <c r="J452" s="1634" t="s">
        <v>451</v>
      </c>
    </row>
    <row r="453" spans="1:10" hidden="1" x14ac:dyDescent="0.2">
      <c r="A453" s="2291" t="s">
        <v>1773</v>
      </c>
      <c r="B453" s="1634" t="s">
        <v>5737</v>
      </c>
      <c r="C453" s="1634" t="s">
        <v>1105</v>
      </c>
      <c r="D453" s="1634" t="s">
        <v>1106</v>
      </c>
      <c r="E453" s="1634" t="s">
        <v>1107</v>
      </c>
      <c r="F453" s="1634" t="s">
        <v>1108</v>
      </c>
      <c r="G453" s="1634" t="s">
        <v>1588</v>
      </c>
      <c r="H453" s="1634" t="s">
        <v>1109</v>
      </c>
      <c r="I453" s="1634" t="s">
        <v>6601</v>
      </c>
      <c r="J453" s="1634" t="s">
        <v>6602</v>
      </c>
    </row>
    <row r="454" spans="1:10" hidden="1" x14ac:dyDescent="0.2">
      <c r="A454" s="2291" t="s">
        <v>6857</v>
      </c>
      <c r="B454" s="1634" t="s">
        <v>5741</v>
      </c>
      <c r="C454" s="1634" t="s">
        <v>6604</v>
      </c>
      <c r="D454" s="1634" t="s">
        <v>1538</v>
      </c>
      <c r="E454" s="1634" t="s">
        <v>1539</v>
      </c>
      <c r="F454" s="1634" t="s">
        <v>1540</v>
      </c>
      <c r="G454" s="1634" t="s">
        <v>1541</v>
      </c>
      <c r="H454" s="1634" t="s">
        <v>1542</v>
      </c>
      <c r="I454" s="1634" t="s">
        <v>1543</v>
      </c>
      <c r="J454" s="1634" t="s">
        <v>1544</v>
      </c>
    </row>
    <row r="455" spans="1:10" hidden="1" x14ac:dyDescent="0.2">
      <c r="A455" s="2291" t="s">
        <v>6867</v>
      </c>
      <c r="B455" s="1634" t="s">
        <v>6751</v>
      </c>
      <c r="C455" s="1634" t="s">
        <v>1546</v>
      </c>
      <c r="D455" s="1634" t="s">
        <v>6233</v>
      </c>
      <c r="E455" s="1634" t="s">
        <v>6234</v>
      </c>
      <c r="F455" s="1634" t="s">
        <v>6235</v>
      </c>
      <c r="G455" s="1634" t="s">
        <v>6236</v>
      </c>
      <c r="H455" s="1634" t="s">
        <v>6237</v>
      </c>
      <c r="I455" s="1634" t="s">
        <v>6238</v>
      </c>
      <c r="J455" s="1634" t="s">
        <v>3669</v>
      </c>
    </row>
    <row r="456" spans="1:10" hidden="1" x14ac:dyDescent="0.2">
      <c r="A456" s="2291" t="s">
        <v>4652</v>
      </c>
      <c r="B456" s="1634" t="s">
        <v>6755</v>
      </c>
      <c r="C456" s="1634" t="s">
        <v>3671</v>
      </c>
      <c r="D456" s="1634" t="s">
        <v>3672</v>
      </c>
      <c r="E456" s="1634" t="s">
        <v>3673</v>
      </c>
      <c r="F456" s="1634" t="s">
        <v>3674</v>
      </c>
      <c r="G456" s="1634" t="s">
        <v>416</v>
      </c>
      <c r="H456" s="1634" t="s">
        <v>417</v>
      </c>
      <c r="I456" s="1634" t="s">
        <v>418</v>
      </c>
      <c r="J456" s="1634" t="s">
        <v>419</v>
      </c>
    </row>
    <row r="457" spans="1:10" hidden="1" x14ac:dyDescent="0.2">
      <c r="A457" s="2291" t="s">
        <v>4849</v>
      </c>
      <c r="B457" s="1634" t="s">
        <v>6759</v>
      </c>
      <c r="C457" s="1634" t="s">
        <v>3410</v>
      </c>
      <c r="D457" s="1634" t="s">
        <v>3411</v>
      </c>
      <c r="E457" s="1634" t="s">
        <v>3412</v>
      </c>
      <c r="F457" s="1634" t="s">
        <v>3413</v>
      </c>
      <c r="G457" s="1634" t="s">
        <v>3414</v>
      </c>
      <c r="H457" s="1634" t="s">
        <v>5528</v>
      </c>
      <c r="I457" s="1634" t="s">
        <v>593</v>
      </c>
      <c r="J457" s="1634" t="s">
        <v>594</v>
      </c>
    </row>
    <row r="458" spans="1:10" hidden="1" x14ac:dyDescent="0.2">
      <c r="A458" s="2291" t="s">
        <v>96</v>
      </c>
      <c r="B458" s="1634" t="s">
        <v>6763</v>
      </c>
      <c r="C458" s="1634" t="s">
        <v>596</v>
      </c>
      <c r="D458" s="1634" t="s">
        <v>597</v>
      </c>
      <c r="E458" s="1634" t="s">
        <v>3086</v>
      </c>
      <c r="F458" s="1634" t="s">
        <v>3087</v>
      </c>
      <c r="G458" s="1634" t="s">
        <v>3088</v>
      </c>
      <c r="H458" s="1634" t="s">
        <v>3089</v>
      </c>
      <c r="I458" s="1634" t="s">
        <v>2015</v>
      </c>
      <c r="J458" s="1634" t="s">
        <v>2016</v>
      </c>
    </row>
    <row r="459" spans="1:10" hidden="1" x14ac:dyDescent="0.2">
      <c r="A459" s="2291" t="s">
        <v>97</v>
      </c>
      <c r="B459" s="1634" t="s">
        <v>6766</v>
      </c>
      <c r="C459" s="1634" t="s">
        <v>1724</v>
      </c>
      <c r="D459" s="1634" t="s">
        <v>1725</v>
      </c>
      <c r="E459" s="1634" t="s">
        <v>5771</v>
      </c>
      <c r="F459" s="1634" t="s">
        <v>5772</v>
      </c>
      <c r="G459" s="1634" t="s">
        <v>5773</v>
      </c>
      <c r="H459" s="1634" t="s">
        <v>5774</v>
      </c>
      <c r="I459" s="1634" t="s">
        <v>5775</v>
      </c>
      <c r="J459" s="1634" t="s">
        <v>1886</v>
      </c>
    </row>
    <row r="460" spans="1:10" hidden="1" x14ac:dyDescent="0.2">
      <c r="A460" s="2291" t="s">
        <v>98</v>
      </c>
      <c r="B460" s="1634" t="s">
        <v>4323</v>
      </c>
      <c r="C460" s="1634" t="s">
        <v>4325</v>
      </c>
      <c r="D460" s="1634" t="s">
        <v>4326</v>
      </c>
      <c r="E460" s="1634" t="s">
        <v>936</v>
      </c>
      <c r="F460" s="1634" t="s">
        <v>1768</v>
      </c>
      <c r="G460" s="1634" t="s">
        <v>1769</v>
      </c>
      <c r="H460" s="1634" t="s">
        <v>1770</v>
      </c>
      <c r="I460" s="1634" t="s">
        <v>1771</v>
      </c>
      <c r="J460" s="1634" t="s">
        <v>1772</v>
      </c>
    </row>
    <row r="461" spans="1:10" hidden="1" x14ac:dyDescent="0.2">
      <c r="A461" s="2291" t="s">
        <v>6727</v>
      </c>
      <c r="B461" s="1634" t="s">
        <v>1774</v>
      </c>
      <c r="C461" s="1634" t="s">
        <v>1776</v>
      </c>
      <c r="D461" s="1634" t="s">
        <v>6850</v>
      </c>
      <c r="E461" s="1634" t="s">
        <v>6851</v>
      </c>
      <c r="F461" s="1634" t="s">
        <v>6852</v>
      </c>
      <c r="G461" s="1634" t="s">
        <v>6853</v>
      </c>
      <c r="H461" s="1634" t="s">
        <v>6854</v>
      </c>
      <c r="I461" s="1634" t="s">
        <v>6855</v>
      </c>
      <c r="J461" s="1634" t="s">
        <v>6856</v>
      </c>
    </row>
    <row r="462" spans="1:10" hidden="1" x14ac:dyDescent="0.2">
      <c r="A462" s="2291" t="s">
        <v>1603</v>
      </c>
      <c r="B462" s="1634" t="s">
        <v>6858</v>
      </c>
      <c r="C462" s="1634" t="s">
        <v>6860</v>
      </c>
      <c r="D462" s="1634" t="s">
        <v>6493</v>
      </c>
      <c r="E462" s="1634" t="s">
        <v>6861</v>
      </c>
      <c r="F462" s="1634" t="s">
        <v>6862</v>
      </c>
      <c r="G462" s="1634" t="s">
        <v>6863</v>
      </c>
      <c r="H462" s="1634" t="s">
        <v>6864</v>
      </c>
      <c r="I462" s="1634" t="s">
        <v>6865</v>
      </c>
      <c r="J462" s="1634" t="s">
        <v>6866</v>
      </c>
    </row>
    <row r="463" spans="1:10" hidden="1" x14ac:dyDescent="0.2">
      <c r="A463" s="2291" t="s">
        <v>1604</v>
      </c>
      <c r="B463" s="1634" t="s">
        <v>6868</v>
      </c>
      <c r="C463" s="1634" t="s">
        <v>3984</v>
      </c>
      <c r="D463" s="1634" t="s">
        <v>3985</v>
      </c>
      <c r="E463" s="1634" t="s">
        <v>4646</v>
      </c>
      <c r="F463" s="1634" t="s">
        <v>4647</v>
      </c>
      <c r="G463" s="1634" t="s">
        <v>4648</v>
      </c>
      <c r="H463" s="1634" t="s">
        <v>4649</v>
      </c>
      <c r="I463" s="1634" t="s">
        <v>4650</v>
      </c>
      <c r="J463" s="1634" t="s">
        <v>4651</v>
      </c>
    </row>
    <row r="464" spans="1:10" hidden="1" x14ac:dyDescent="0.2">
      <c r="A464" s="2291" t="s">
        <v>1605</v>
      </c>
      <c r="B464" s="1634" t="s">
        <v>4653</v>
      </c>
      <c r="C464" s="1634" t="s">
        <v>4655</v>
      </c>
      <c r="D464" s="1634" t="s">
        <v>691</v>
      </c>
      <c r="E464" s="1634" t="s">
        <v>4656</v>
      </c>
      <c r="F464" s="1634" t="s">
        <v>4657</v>
      </c>
      <c r="G464" s="1634" t="s">
        <v>692</v>
      </c>
      <c r="H464" s="1634" t="s">
        <v>4658</v>
      </c>
      <c r="I464" s="1634" t="s">
        <v>4659</v>
      </c>
      <c r="J464" s="1634" t="s">
        <v>4660</v>
      </c>
    </row>
    <row r="465" spans="1:10" hidden="1" x14ac:dyDescent="0.2">
      <c r="A465" s="2291" t="s">
        <v>1606</v>
      </c>
      <c r="B465" s="1634" t="s">
        <v>992</v>
      </c>
      <c r="C465" s="1634" t="s">
        <v>1607</v>
      </c>
      <c r="D465" s="1634" t="s">
        <v>1608</v>
      </c>
      <c r="E465" s="1634" t="s">
        <v>1609</v>
      </c>
      <c r="F465" s="1634" t="s">
        <v>1610</v>
      </c>
      <c r="G465" s="1634" t="s">
        <v>1611</v>
      </c>
      <c r="H465" s="1634" t="s">
        <v>1612</v>
      </c>
      <c r="I465" s="1634" t="s">
        <v>1613</v>
      </c>
      <c r="J465" s="1634" t="s">
        <v>1614</v>
      </c>
    </row>
    <row r="466" spans="1:10" hidden="1" x14ac:dyDescent="0.2">
      <c r="A466" s="2291" t="s">
        <v>1615</v>
      </c>
      <c r="B466" s="1634" t="s">
        <v>993</v>
      </c>
      <c r="C466" s="1634" t="s">
        <v>1616</v>
      </c>
      <c r="D466" s="1634" t="s">
        <v>694</v>
      </c>
      <c r="E466" s="1634" t="s">
        <v>1617</v>
      </c>
      <c r="F466" s="1634" t="s">
        <v>1618</v>
      </c>
      <c r="G466" s="1634" t="s">
        <v>1619</v>
      </c>
      <c r="H466" s="1634" t="s">
        <v>1620</v>
      </c>
      <c r="I466" s="1634" t="s">
        <v>1621</v>
      </c>
      <c r="J466" s="1634" t="s">
        <v>1622</v>
      </c>
    </row>
    <row r="467" spans="1:10" hidden="1" x14ac:dyDescent="0.2">
      <c r="A467" s="2291" t="s">
        <v>1623</v>
      </c>
      <c r="B467" s="1634" t="s">
        <v>1624</v>
      </c>
      <c r="C467" s="1634" t="s">
        <v>1625</v>
      </c>
      <c r="D467" s="1634" t="s">
        <v>1626</v>
      </c>
      <c r="E467" s="1634" t="s">
        <v>1627</v>
      </c>
      <c r="F467" s="1634" t="s">
        <v>1628</v>
      </c>
      <c r="G467" s="1634" t="s">
        <v>1629</v>
      </c>
      <c r="H467" s="1634" t="s">
        <v>1630</v>
      </c>
      <c r="I467" s="1634" t="s">
        <v>1631</v>
      </c>
      <c r="J467" s="1634" t="s">
        <v>1632</v>
      </c>
    </row>
    <row r="468" spans="1:10" hidden="1" x14ac:dyDescent="0.2">
      <c r="A468" s="2291" t="s">
        <v>1633</v>
      </c>
      <c r="B468" s="1634" t="s">
        <v>1634</v>
      </c>
      <c r="C468" s="1634" t="s">
        <v>3934</v>
      </c>
      <c r="D468" s="1634" t="s">
        <v>3935</v>
      </c>
      <c r="E468" s="1634" t="s">
        <v>1635</v>
      </c>
      <c r="F468" s="1634" t="s">
        <v>1636</v>
      </c>
      <c r="G468" s="1634" t="s">
        <v>1637</v>
      </c>
      <c r="H468" s="1634" t="s">
        <v>5599</v>
      </c>
      <c r="I468" s="1634" t="s">
        <v>1638</v>
      </c>
      <c r="J468" s="1634" t="s">
        <v>1639</v>
      </c>
    </row>
    <row r="469" spans="1:10" hidden="1" x14ac:dyDescent="0.2">
      <c r="A469" s="2291" t="s">
        <v>1640</v>
      </c>
      <c r="B469" s="1634" t="s">
        <v>4237</v>
      </c>
      <c r="C469" s="1634" t="s">
        <v>4238</v>
      </c>
      <c r="D469" s="1634" t="s">
        <v>4239</v>
      </c>
      <c r="E469" s="1634" t="s">
        <v>4240</v>
      </c>
      <c r="F469" s="1634" t="s">
        <v>1641</v>
      </c>
      <c r="G469" s="1634" t="s">
        <v>1642</v>
      </c>
      <c r="H469" s="1634" t="s">
        <v>5550</v>
      </c>
      <c r="I469" s="1634" t="s">
        <v>1643</v>
      </c>
      <c r="J469" s="1634" t="s">
        <v>1644</v>
      </c>
    </row>
    <row r="470" spans="1:10" hidden="1" x14ac:dyDescent="0.2">
      <c r="A470" s="2291" t="s">
        <v>1645</v>
      </c>
      <c r="B470" s="1634" t="s">
        <v>4981</v>
      </c>
      <c r="C470" s="1634" t="s">
        <v>4983</v>
      </c>
      <c r="D470" s="1634" t="s">
        <v>4984</v>
      </c>
      <c r="E470" s="1634" t="s">
        <v>5131</v>
      </c>
      <c r="F470" s="1634" t="s">
        <v>1646</v>
      </c>
      <c r="G470" s="1634" t="s">
        <v>1647</v>
      </c>
      <c r="H470" s="1634" t="s">
        <v>3593</v>
      </c>
      <c r="I470" s="1634" t="s">
        <v>1648</v>
      </c>
      <c r="J470" s="1634" t="s">
        <v>1649</v>
      </c>
    </row>
    <row r="471" spans="1:10" hidden="1" x14ac:dyDescent="0.2">
      <c r="A471" s="2291" t="s">
        <v>1650</v>
      </c>
      <c r="B471" s="1634" t="s">
        <v>5133</v>
      </c>
      <c r="C471" s="1634" t="s">
        <v>5135</v>
      </c>
      <c r="D471" s="1634" t="s">
        <v>5136</v>
      </c>
      <c r="E471" s="1634" t="s">
        <v>5137</v>
      </c>
      <c r="F471" s="1634" t="s">
        <v>1651</v>
      </c>
      <c r="G471" s="1634" t="s">
        <v>1652</v>
      </c>
      <c r="H471" s="1634" t="s">
        <v>1653</v>
      </c>
      <c r="I471" s="1634" t="s">
        <v>1654</v>
      </c>
      <c r="J471" s="1634" t="s">
        <v>1655</v>
      </c>
    </row>
    <row r="472" spans="1:10" hidden="1" x14ac:dyDescent="0.2">
      <c r="A472" s="2291" t="s">
        <v>1656</v>
      </c>
      <c r="B472" s="1634" t="s">
        <v>6538</v>
      </c>
      <c r="C472" s="1634" t="s">
        <v>1002</v>
      </c>
      <c r="D472" s="1634" t="s">
        <v>1003</v>
      </c>
      <c r="E472" s="1634" t="s">
        <v>5343</v>
      </c>
      <c r="F472" s="1634" t="s">
        <v>1657</v>
      </c>
      <c r="G472" s="1634" t="s">
        <v>3594</v>
      </c>
      <c r="H472" s="1634" t="s">
        <v>1658</v>
      </c>
      <c r="I472" s="1634" t="s">
        <v>1659</v>
      </c>
      <c r="J472" s="1634" t="s">
        <v>1660</v>
      </c>
    </row>
    <row r="473" spans="1:10" hidden="1" x14ac:dyDescent="0.2">
      <c r="A473" s="2291" t="s">
        <v>1661</v>
      </c>
      <c r="B473" s="1634" t="s">
        <v>6542</v>
      </c>
      <c r="C473" s="1634" t="s">
        <v>332</v>
      </c>
      <c r="D473" s="1634" t="s">
        <v>333</v>
      </c>
      <c r="E473" s="1634" t="s">
        <v>334</v>
      </c>
      <c r="F473" s="1634" t="s">
        <v>1662</v>
      </c>
      <c r="G473" s="1634" t="s">
        <v>1663</v>
      </c>
      <c r="H473" s="1634" t="s">
        <v>1664</v>
      </c>
      <c r="I473" s="1634" t="s">
        <v>1839</v>
      </c>
      <c r="J473" s="1634" t="s">
        <v>1840</v>
      </c>
    </row>
    <row r="474" spans="1:10" hidden="1" x14ac:dyDescent="0.2">
      <c r="A474" s="2291" t="s">
        <v>1841</v>
      </c>
      <c r="B474" s="1634" t="s">
        <v>6546</v>
      </c>
      <c r="C474" s="1634" t="s">
        <v>336</v>
      </c>
      <c r="D474" s="1634" t="s">
        <v>337</v>
      </c>
      <c r="E474" s="1634" t="s">
        <v>338</v>
      </c>
      <c r="F474" s="1634" t="s">
        <v>1842</v>
      </c>
      <c r="G474" s="1634" t="s">
        <v>1843</v>
      </c>
      <c r="H474" s="1634" t="s">
        <v>1844</v>
      </c>
      <c r="I474" s="1634" t="s">
        <v>1845</v>
      </c>
      <c r="J474" s="1634" t="s">
        <v>1846</v>
      </c>
    </row>
    <row r="475" spans="1:10" hidden="1" x14ac:dyDescent="0.2">
      <c r="A475" s="2291" t="s">
        <v>1847</v>
      </c>
      <c r="B475" s="1634" t="s">
        <v>6550</v>
      </c>
      <c r="C475" s="1634" t="s">
        <v>6479</v>
      </c>
      <c r="D475" s="1634" t="s">
        <v>6480</v>
      </c>
      <c r="E475" s="1634" t="s">
        <v>6481</v>
      </c>
      <c r="F475" s="1634" t="s">
        <v>1848</v>
      </c>
      <c r="G475" s="1634" t="s">
        <v>1849</v>
      </c>
      <c r="H475" s="1634" t="s">
        <v>1850</v>
      </c>
      <c r="I475" s="1634" t="s">
        <v>1851</v>
      </c>
      <c r="J475" s="1634" t="s">
        <v>1852</v>
      </c>
    </row>
    <row r="476" spans="1:10" hidden="1" x14ac:dyDescent="0.2">
      <c r="A476" s="2291" t="s">
        <v>1853</v>
      </c>
      <c r="B476" s="1634" t="s">
        <v>6554</v>
      </c>
      <c r="C476" s="1634" t="s">
        <v>6483</v>
      </c>
      <c r="D476" s="1634" t="s">
        <v>6484</v>
      </c>
      <c r="E476" s="1634" t="s">
        <v>4055</v>
      </c>
      <c r="F476" s="1634" t="s">
        <v>1854</v>
      </c>
      <c r="G476" s="1634" t="s">
        <v>1855</v>
      </c>
      <c r="H476" s="1634" t="s">
        <v>1856</v>
      </c>
      <c r="I476" s="1634" t="s">
        <v>2968</v>
      </c>
      <c r="J476" s="1634" t="s">
        <v>5275</v>
      </c>
    </row>
    <row r="477" spans="1:10" hidden="1" x14ac:dyDescent="0.2">
      <c r="A477" s="2291" t="s">
        <v>5276</v>
      </c>
      <c r="B477" s="1634" t="s">
        <v>6558</v>
      </c>
      <c r="C477" s="1634" t="s">
        <v>4057</v>
      </c>
      <c r="D477" s="1634" t="s">
        <v>4058</v>
      </c>
      <c r="E477" s="1634" t="s">
        <v>4059</v>
      </c>
      <c r="F477" s="1634" t="s">
        <v>5277</v>
      </c>
      <c r="G477" s="1634" t="s">
        <v>5278</v>
      </c>
      <c r="H477" s="1634" t="s">
        <v>5279</v>
      </c>
      <c r="I477" s="1634" t="s">
        <v>5280</v>
      </c>
      <c r="J477" s="1634" t="s">
        <v>5281</v>
      </c>
    </row>
    <row r="478" spans="1:10" hidden="1" x14ac:dyDescent="0.2">
      <c r="A478" s="2291" t="s">
        <v>5282</v>
      </c>
      <c r="B478" s="1634" t="s">
        <v>6561</v>
      </c>
      <c r="C478" s="1634" t="s">
        <v>4061</v>
      </c>
      <c r="D478" s="1634" t="s">
        <v>4062</v>
      </c>
      <c r="E478" s="1634" t="s">
        <v>4063</v>
      </c>
      <c r="F478" s="1634" t="s">
        <v>5283</v>
      </c>
      <c r="G478" s="1634" t="s">
        <v>5284</v>
      </c>
      <c r="H478" s="1634" t="s">
        <v>5285</v>
      </c>
      <c r="I478" s="1634" t="s">
        <v>5286</v>
      </c>
      <c r="J478" s="1634" t="s">
        <v>5287</v>
      </c>
    </row>
    <row r="479" spans="1:10" hidden="1" x14ac:dyDescent="0.2">
      <c r="A479" s="2291" t="s">
        <v>5288</v>
      </c>
      <c r="B479" s="1634" t="s">
        <v>4065</v>
      </c>
      <c r="C479" s="1634" t="s">
        <v>4067</v>
      </c>
      <c r="D479" s="1634" t="s">
        <v>4068</v>
      </c>
      <c r="E479" s="1634" t="s">
        <v>4069</v>
      </c>
      <c r="F479" s="1634" t="s">
        <v>5289</v>
      </c>
      <c r="G479" s="1634" t="s">
        <v>5290</v>
      </c>
      <c r="H479" s="1634" t="s">
        <v>5291</v>
      </c>
      <c r="I479" s="1634" t="s">
        <v>5292</v>
      </c>
      <c r="J479" s="1634" t="s">
        <v>5293</v>
      </c>
    </row>
    <row r="480" spans="1:10" hidden="1" x14ac:dyDescent="0.2">
      <c r="A480" s="2291" t="s">
        <v>5294</v>
      </c>
      <c r="B480" s="1634" t="s">
        <v>4071</v>
      </c>
      <c r="C480" s="1634" t="s">
        <v>1077</v>
      </c>
      <c r="D480" s="1634" t="s">
        <v>1078</v>
      </c>
      <c r="E480" s="1634" t="s">
        <v>2255</v>
      </c>
      <c r="F480" s="1634" t="s">
        <v>5295</v>
      </c>
      <c r="G480" s="1634" t="s">
        <v>5296</v>
      </c>
      <c r="H480" s="1634" t="s">
        <v>5297</v>
      </c>
      <c r="I480" s="1634" t="s">
        <v>5298</v>
      </c>
      <c r="J480" s="1634" t="s">
        <v>5299</v>
      </c>
    </row>
    <row r="481" spans="1:10" hidden="1" x14ac:dyDescent="0.2">
      <c r="A481" s="2291" t="s">
        <v>5300</v>
      </c>
      <c r="B481" s="1634" t="s">
        <v>2257</v>
      </c>
      <c r="C481" s="1634" t="s">
        <v>2248</v>
      </c>
      <c r="D481" s="1634" t="s">
        <v>2249</v>
      </c>
      <c r="E481" s="1634" t="s">
        <v>2250</v>
      </c>
      <c r="F481" s="1634" t="s">
        <v>5301</v>
      </c>
      <c r="G481" s="1634" t="s">
        <v>5302</v>
      </c>
      <c r="H481" s="1634" t="s">
        <v>5303</v>
      </c>
      <c r="I481" s="1634" t="s">
        <v>5304</v>
      </c>
      <c r="J481" s="1634" t="s">
        <v>5305</v>
      </c>
    </row>
    <row r="482" spans="1:10" hidden="1" x14ac:dyDescent="0.2">
      <c r="A482" s="2291" t="s">
        <v>5306</v>
      </c>
      <c r="B482" s="1634" t="s">
        <v>3836</v>
      </c>
      <c r="C482" s="1634" t="s">
        <v>3838</v>
      </c>
      <c r="D482" s="1634" t="s">
        <v>3839</v>
      </c>
      <c r="E482" s="1634" t="s">
        <v>3840</v>
      </c>
      <c r="F482" s="1634" t="s">
        <v>1030</v>
      </c>
      <c r="G482" s="1634" t="s">
        <v>5307</v>
      </c>
      <c r="H482" s="1634" t="s">
        <v>5308</v>
      </c>
      <c r="I482" s="1634" t="s">
        <v>5309</v>
      </c>
      <c r="J482" s="1634" t="s">
        <v>5310</v>
      </c>
    </row>
    <row r="483" spans="1:10" hidden="1" x14ac:dyDescent="0.2">
      <c r="A483" s="2291" t="s">
        <v>5311</v>
      </c>
      <c r="B483" s="1634" t="s">
        <v>3842</v>
      </c>
      <c r="C483" s="1634" t="s">
        <v>3844</v>
      </c>
      <c r="D483" s="1634" t="s">
        <v>3845</v>
      </c>
      <c r="E483" s="1634" t="s">
        <v>3846</v>
      </c>
      <c r="F483" s="1634" t="s">
        <v>5312</v>
      </c>
      <c r="G483" s="1634" t="s">
        <v>5313</v>
      </c>
      <c r="H483" s="1634" t="s">
        <v>5314</v>
      </c>
      <c r="I483" s="1634" t="s">
        <v>5315</v>
      </c>
      <c r="J483" s="1634" t="s">
        <v>5316</v>
      </c>
    </row>
    <row r="484" spans="1:10" hidden="1" x14ac:dyDescent="0.2">
      <c r="A484" s="2291" t="s">
        <v>5317</v>
      </c>
      <c r="B484" s="1634" t="s">
        <v>3848</v>
      </c>
      <c r="C484" s="1634" t="s">
        <v>3850</v>
      </c>
      <c r="D484" s="1634" t="s">
        <v>3851</v>
      </c>
      <c r="E484" s="1634" t="s">
        <v>3852</v>
      </c>
      <c r="F484" s="1634" t="s">
        <v>1031</v>
      </c>
      <c r="G484" s="1634" t="s">
        <v>5318</v>
      </c>
      <c r="H484" s="1634" t="s">
        <v>5319</v>
      </c>
      <c r="I484" s="1634" t="s">
        <v>5320</v>
      </c>
      <c r="J484" s="1634" t="s">
        <v>5321</v>
      </c>
    </row>
    <row r="485" spans="1:10" hidden="1" x14ac:dyDescent="0.2">
      <c r="A485" s="2291" t="s">
        <v>5322</v>
      </c>
      <c r="B485" s="1634" t="s">
        <v>2599</v>
      </c>
      <c r="C485" s="1634" t="s">
        <v>2601</v>
      </c>
      <c r="D485" s="1634" t="s">
        <v>2602</v>
      </c>
      <c r="E485" s="1634" t="s">
        <v>2603</v>
      </c>
      <c r="F485" s="1634" t="s">
        <v>2504</v>
      </c>
      <c r="G485" s="1634" t="s">
        <v>5323</v>
      </c>
      <c r="H485" s="1634" t="s">
        <v>5324</v>
      </c>
      <c r="I485" s="1634" t="s">
        <v>5325</v>
      </c>
      <c r="J485" s="1634" t="s">
        <v>5326</v>
      </c>
    </row>
    <row r="486" spans="1:10" hidden="1" x14ac:dyDescent="0.2">
      <c r="A486" s="2291" t="s">
        <v>5327</v>
      </c>
      <c r="B486" s="1634" t="s">
        <v>2605</v>
      </c>
      <c r="C486" s="1634" t="s">
        <v>2607</v>
      </c>
      <c r="D486" s="1634" t="s">
        <v>2608</v>
      </c>
      <c r="E486" s="1634" t="s">
        <v>2609</v>
      </c>
      <c r="F486" s="1634" t="s">
        <v>2505</v>
      </c>
      <c r="G486" s="1634" t="s">
        <v>5328</v>
      </c>
      <c r="H486" s="1634" t="s">
        <v>5329</v>
      </c>
      <c r="I486" s="1634" t="s">
        <v>5330</v>
      </c>
      <c r="J486" s="1634" t="s">
        <v>5331</v>
      </c>
    </row>
    <row r="487" spans="1:10" hidden="1" x14ac:dyDescent="0.2">
      <c r="A487" s="2291" t="s">
        <v>5332</v>
      </c>
      <c r="B487" s="1634" t="s">
        <v>2611</v>
      </c>
      <c r="C487" s="1634" t="s">
        <v>5892</v>
      </c>
      <c r="D487" s="1634" t="s">
        <v>5893</v>
      </c>
      <c r="E487" s="1634" t="s">
        <v>5894</v>
      </c>
      <c r="F487" s="1634" t="s">
        <v>2506</v>
      </c>
      <c r="G487" s="1634" t="s">
        <v>5333</v>
      </c>
      <c r="H487" s="1634" t="s">
        <v>5334</v>
      </c>
      <c r="I487" s="1634" t="s">
        <v>1391</v>
      </c>
      <c r="J487" s="1634" t="s">
        <v>1392</v>
      </c>
    </row>
    <row r="488" spans="1:10" hidden="1" x14ac:dyDescent="0.2">
      <c r="A488" s="2291" t="s">
        <v>1393</v>
      </c>
      <c r="B488" s="1634" t="s">
        <v>3597</v>
      </c>
      <c r="C488" s="1634" t="s">
        <v>3599</v>
      </c>
      <c r="D488" s="1634" t="s">
        <v>3600</v>
      </c>
      <c r="E488" s="1634" t="s">
        <v>3601</v>
      </c>
      <c r="F488" s="1634" t="s">
        <v>2507</v>
      </c>
      <c r="G488" s="1634" t="s">
        <v>1394</v>
      </c>
      <c r="H488" s="1634" t="s">
        <v>1395</v>
      </c>
      <c r="I488" s="1634" t="s">
        <v>1396</v>
      </c>
      <c r="J488" s="1634" t="s">
        <v>1397</v>
      </c>
    </row>
    <row r="489" spans="1:10" hidden="1" x14ac:dyDescent="0.2">
      <c r="A489" s="2291" t="s">
        <v>1398</v>
      </c>
      <c r="B489" s="1634" t="s">
        <v>3603</v>
      </c>
      <c r="C489" s="1634" t="s">
        <v>3605</v>
      </c>
      <c r="D489" s="1634" t="s">
        <v>3606</v>
      </c>
      <c r="E489" s="1634" t="s">
        <v>3607</v>
      </c>
      <c r="F489" s="1634" t="s">
        <v>1399</v>
      </c>
      <c r="G489" s="1634" t="s">
        <v>1400</v>
      </c>
      <c r="H489" s="1634" t="s">
        <v>1401</v>
      </c>
      <c r="I489" s="1634" t="s">
        <v>1402</v>
      </c>
      <c r="J489" s="1634" t="s">
        <v>1403</v>
      </c>
    </row>
    <row r="490" spans="1:10" hidden="1" x14ac:dyDescent="0.2">
      <c r="A490" s="2291" t="s">
        <v>1404</v>
      </c>
      <c r="B490" s="1634" t="s">
        <v>3609</v>
      </c>
      <c r="C490" s="1634" t="s">
        <v>3611</v>
      </c>
      <c r="D490" s="1634" t="s">
        <v>3612</v>
      </c>
      <c r="E490" s="1634" t="s">
        <v>3613</v>
      </c>
      <c r="F490" s="1634" t="s">
        <v>1405</v>
      </c>
      <c r="G490" s="1634" t="s">
        <v>4681</v>
      </c>
      <c r="H490" s="1634" t="s">
        <v>1406</v>
      </c>
      <c r="I490" s="1634" t="s">
        <v>1407</v>
      </c>
      <c r="J490" s="1634" t="s">
        <v>1408</v>
      </c>
    </row>
    <row r="491" spans="1:10" hidden="1" x14ac:dyDescent="0.2">
      <c r="A491" s="2291" t="s">
        <v>1409</v>
      </c>
      <c r="B491" s="164" t="s">
        <v>1410</v>
      </c>
      <c r="C491" s="164" t="s">
        <v>1411</v>
      </c>
      <c r="D491" s="164" t="s">
        <v>1412</v>
      </c>
      <c r="E491" s="164" t="s">
        <v>1413</v>
      </c>
      <c r="F491"/>
      <c r="G491"/>
      <c r="H491"/>
      <c r="I491"/>
      <c r="J491"/>
    </row>
    <row r="495" spans="1:10" hidden="1" x14ac:dyDescent="0.2">
      <c r="A495" s="2291" t="s">
        <v>5266</v>
      </c>
      <c r="B495" s="1634" t="s">
        <v>3817</v>
      </c>
      <c r="C495" s="1634" t="s">
        <v>5693</v>
      </c>
      <c r="D495" s="1634" t="s">
        <v>6611</v>
      </c>
      <c r="E495"/>
      <c r="F495"/>
      <c r="G495"/>
      <c r="H495"/>
      <c r="I495"/>
      <c r="J495"/>
    </row>
    <row r="496" spans="1:10" hidden="1" x14ac:dyDescent="0.2">
      <c r="A496" s="2291" t="s">
        <v>5267</v>
      </c>
      <c r="B496" s="1634" t="s">
        <v>1060</v>
      </c>
      <c r="C496" s="1634" t="s">
        <v>5694</v>
      </c>
      <c r="D496" s="1634" t="s">
        <v>6613</v>
      </c>
      <c r="E496"/>
      <c r="F496"/>
      <c r="G496"/>
      <c r="H496"/>
      <c r="I496"/>
      <c r="J496"/>
    </row>
    <row r="497" spans="1:10" hidden="1" x14ac:dyDescent="0.2">
      <c r="A497" s="2291" t="s">
        <v>5190</v>
      </c>
      <c r="B497" s="1634" t="s">
        <v>5272</v>
      </c>
      <c r="C497" s="1634" t="s">
        <v>4035</v>
      </c>
      <c r="D497" s="1634" t="s">
        <v>6615</v>
      </c>
      <c r="E497"/>
      <c r="F497"/>
      <c r="G497"/>
      <c r="H497"/>
      <c r="I497"/>
      <c r="J497"/>
    </row>
    <row r="498" spans="1:10" hidden="1" x14ac:dyDescent="0.2">
      <c r="A498" s="2291" t="s">
        <v>5191</v>
      </c>
      <c r="B498" s="1634" t="s">
        <v>5695</v>
      </c>
      <c r="C498" s="1634" t="s">
        <v>5696</v>
      </c>
      <c r="D498" s="1634" t="s">
        <v>6617</v>
      </c>
      <c r="E498"/>
      <c r="F498"/>
      <c r="G498"/>
      <c r="H498"/>
      <c r="I498"/>
      <c r="J498"/>
    </row>
    <row r="499" spans="1:10" hidden="1" x14ac:dyDescent="0.2">
      <c r="A499" s="2291" t="s">
        <v>5192</v>
      </c>
      <c r="B499" s="1634" t="s">
        <v>5697</v>
      </c>
      <c r="C499" s="1634" t="s">
        <v>4704</v>
      </c>
      <c r="D499" s="1634" t="s">
        <v>6619</v>
      </c>
      <c r="E499"/>
      <c r="F499"/>
      <c r="G499"/>
      <c r="H499"/>
      <c r="I499"/>
      <c r="J499"/>
    </row>
    <row r="500" spans="1:10" hidden="1" x14ac:dyDescent="0.2">
      <c r="A500" s="2291" t="s">
        <v>5193</v>
      </c>
      <c r="B500" s="1634" t="s">
        <v>4705</v>
      </c>
      <c r="C500" s="1634" t="s">
        <v>4706</v>
      </c>
      <c r="D500" s="1634" t="s">
        <v>6621</v>
      </c>
      <c r="E500"/>
      <c r="F500"/>
      <c r="G500"/>
      <c r="H500"/>
      <c r="I500"/>
      <c r="J500"/>
    </row>
    <row r="501" spans="1:10" hidden="1" x14ac:dyDescent="0.2">
      <c r="A501" s="2291" t="s">
        <v>6846</v>
      </c>
      <c r="B501" s="1634" t="s">
        <v>2021</v>
      </c>
      <c r="C501" s="1634" t="s">
        <v>5474</v>
      </c>
      <c r="D501" s="1634" t="s">
        <v>6623</v>
      </c>
      <c r="E501"/>
      <c r="F501"/>
      <c r="G501"/>
      <c r="H501"/>
      <c r="I501"/>
      <c r="J501"/>
    </row>
    <row r="502" spans="1:10" hidden="1" x14ac:dyDescent="0.2">
      <c r="A502" s="2291" t="s">
        <v>1512</v>
      </c>
      <c r="B502" s="1634" t="s">
        <v>4715</v>
      </c>
      <c r="C502" s="1634" t="s">
        <v>4716</v>
      </c>
      <c r="D502" s="1634" t="s">
        <v>4105</v>
      </c>
      <c r="E502"/>
      <c r="F502"/>
      <c r="G502"/>
      <c r="H502"/>
      <c r="I502"/>
      <c r="J502"/>
    </row>
    <row r="503" spans="1:10" hidden="1" x14ac:dyDescent="0.2">
      <c r="A503" s="2291" t="s">
        <v>1513</v>
      </c>
      <c r="B503" s="1634" t="s">
        <v>4717</v>
      </c>
      <c r="C503" s="1634" t="s">
        <v>6426</v>
      </c>
      <c r="D503" s="1634" t="s">
        <v>2322</v>
      </c>
      <c r="E503"/>
      <c r="F503"/>
      <c r="G503"/>
      <c r="H503"/>
      <c r="I503"/>
      <c r="J503"/>
    </row>
    <row r="504" spans="1:10" hidden="1" x14ac:dyDescent="0.2">
      <c r="A504" s="2291" t="s">
        <v>1514</v>
      </c>
      <c r="B504" s="1634" t="s">
        <v>6427</v>
      </c>
      <c r="C504" s="1634" t="s">
        <v>6428</v>
      </c>
      <c r="D504" s="1634" t="s">
        <v>2327</v>
      </c>
      <c r="E504"/>
      <c r="F504"/>
      <c r="G504"/>
      <c r="H504"/>
      <c r="I504"/>
      <c r="J504"/>
    </row>
    <row r="505" spans="1:10" hidden="1" x14ac:dyDescent="0.2">
      <c r="A505" s="2291" t="s">
        <v>5900</v>
      </c>
      <c r="B505" s="1634" t="s">
        <v>6429</v>
      </c>
      <c r="C505" s="1634" t="s">
        <v>6430</v>
      </c>
      <c r="D505" s="1634" t="s">
        <v>6606</v>
      </c>
      <c r="E505"/>
      <c r="F505"/>
      <c r="G505"/>
      <c r="H505"/>
      <c r="I505"/>
      <c r="J505"/>
    </row>
    <row r="506" spans="1:10" hidden="1" x14ac:dyDescent="0.2">
      <c r="A506" s="2291" t="s">
        <v>5901</v>
      </c>
      <c r="B506" s="1634" t="s">
        <v>2187</v>
      </c>
      <c r="C506" s="1634" t="s">
        <v>2921</v>
      </c>
      <c r="D506" s="1634" t="s">
        <v>3</v>
      </c>
      <c r="E506"/>
      <c r="F506"/>
      <c r="G506"/>
      <c r="H506"/>
      <c r="I506"/>
      <c r="J506"/>
    </row>
    <row r="507" spans="1:10" hidden="1" x14ac:dyDescent="0.2">
      <c r="A507" s="2291" t="s">
        <v>5902</v>
      </c>
      <c r="B507" s="1634" t="s">
        <v>6431</v>
      </c>
      <c r="C507" s="1634" t="s">
        <v>2923</v>
      </c>
      <c r="D507" s="1634" t="s">
        <v>1745</v>
      </c>
      <c r="E507"/>
      <c r="F507"/>
      <c r="G507"/>
      <c r="H507"/>
      <c r="I507"/>
      <c r="J507"/>
    </row>
    <row r="508" spans="1:10" hidden="1" x14ac:dyDescent="0.2">
      <c r="A508" s="2291" t="s">
        <v>5903</v>
      </c>
      <c r="B508" s="1634" t="s">
        <v>6432</v>
      </c>
      <c r="C508" s="1634" t="s">
        <v>3301</v>
      </c>
      <c r="D508" s="1634" t="s">
        <v>1750</v>
      </c>
      <c r="E508"/>
      <c r="F508"/>
      <c r="G508"/>
      <c r="H508"/>
      <c r="I508"/>
      <c r="J508"/>
    </row>
    <row r="509" spans="1:10" hidden="1" x14ac:dyDescent="0.2">
      <c r="A509" s="2291" t="s">
        <v>5904</v>
      </c>
      <c r="B509" s="1634" t="s">
        <v>6433</v>
      </c>
      <c r="C509" s="1634" t="s">
        <v>3303</v>
      </c>
      <c r="D509" s="1634" t="s">
        <v>1728</v>
      </c>
      <c r="E509"/>
      <c r="F509"/>
      <c r="G509"/>
      <c r="H509"/>
      <c r="I509"/>
      <c r="J509"/>
    </row>
    <row r="510" spans="1:10" hidden="1" x14ac:dyDescent="0.2">
      <c r="A510" s="2291" t="s">
        <v>5905</v>
      </c>
      <c r="B510" s="1634" t="s">
        <v>2276</v>
      </c>
      <c r="C510" s="1634" t="s">
        <v>5477</v>
      </c>
      <c r="D510" s="1634" t="s">
        <v>2494</v>
      </c>
      <c r="E510"/>
      <c r="F510"/>
      <c r="G510"/>
      <c r="H510"/>
      <c r="I510"/>
      <c r="J510"/>
    </row>
    <row r="511" spans="1:10" hidden="1" x14ac:dyDescent="0.2">
      <c r="A511" s="2291" t="s">
        <v>5906</v>
      </c>
      <c r="B511" s="1634" t="s">
        <v>6434</v>
      </c>
      <c r="C511" s="1634" t="s">
        <v>6435</v>
      </c>
      <c r="D511" s="1634" t="s">
        <v>2432</v>
      </c>
      <c r="E511"/>
      <c r="F511"/>
      <c r="G511"/>
      <c r="H511"/>
      <c r="I511"/>
      <c r="J511"/>
    </row>
    <row r="512" spans="1:10" hidden="1" x14ac:dyDescent="0.2">
      <c r="A512" s="2291" t="s">
        <v>5907</v>
      </c>
      <c r="B512" s="1634" t="s">
        <v>6436</v>
      </c>
      <c r="C512" s="1634" t="s">
        <v>6437</v>
      </c>
      <c r="D512" s="1634" t="s">
        <v>1070</v>
      </c>
      <c r="E512"/>
      <c r="F512"/>
      <c r="G512"/>
      <c r="H512"/>
    </row>
    <row r="513" spans="1:13" hidden="1" x14ac:dyDescent="0.2">
      <c r="A513" s="2291" t="s">
        <v>5908</v>
      </c>
      <c r="B513" s="1634" t="s">
        <v>6438</v>
      </c>
      <c r="C513" s="1634" t="s">
        <v>6439</v>
      </c>
      <c r="D513" s="1634" t="s">
        <v>4204</v>
      </c>
      <c r="E513"/>
      <c r="F513"/>
      <c r="G513"/>
      <c r="H513"/>
    </row>
    <row r="514" spans="1:13" hidden="1" x14ac:dyDescent="0.2">
      <c r="A514" s="2291" t="s">
        <v>5909</v>
      </c>
      <c r="B514" s="1634" t="s">
        <v>2945</v>
      </c>
      <c r="C514" s="1634" t="s">
        <v>1782</v>
      </c>
      <c r="D514" s="1634" t="s">
        <v>1784</v>
      </c>
      <c r="E514"/>
      <c r="F514"/>
      <c r="G514"/>
      <c r="H514"/>
    </row>
    <row r="515" spans="1:13" hidden="1" x14ac:dyDescent="0.2">
      <c r="A515" s="2291" t="s">
        <v>5910</v>
      </c>
      <c r="B515" s="1634" t="s">
        <v>2667</v>
      </c>
      <c r="C515" s="1634" t="s">
        <v>5478</v>
      </c>
      <c r="D515" s="1634" t="s">
        <v>2671</v>
      </c>
      <c r="E515"/>
      <c r="F515"/>
      <c r="G515"/>
      <c r="H515"/>
    </row>
    <row r="516" spans="1:13" hidden="1" x14ac:dyDescent="0.2">
      <c r="A516" s="2291" t="s">
        <v>5911</v>
      </c>
      <c r="B516" s="1634" t="s">
        <v>661</v>
      </c>
      <c r="C516" s="1634" t="s">
        <v>665</v>
      </c>
      <c r="D516" s="1634" t="s">
        <v>351</v>
      </c>
      <c r="E516"/>
      <c r="F516"/>
      <c r="G516"/>
      <c r="H516"/>
    </row>
    <row r="517" spans="1:13" hidden="1" x14ac:dyDescent="0.2">
      <c r="A517" s="2291" t="s">
        <v>5912</v>
      </c>
      <c r="B517" s="1634" t="s">
        <v>671</v>
      </c>
      <c r="C517" s="1634" t="s">
        <v>5479</v>
      </c>
      <c r="D517" s="1634" t="s">
        <v>353</v>
      </c>
      <c r="E517"/>
      <c r="F517"/>
      <c r="G517"/>
      <c r="H517"/>
    </row>
    <row r="518" spans="1:13" hidden="1" x14ac:dyDescent="0.2">
      <c r="A518" s="2291" t="s">
        <v>5913</v>
      </c>
      <c r="B518" s="1634" t="s">
        <v>6441</v>
      </c>
      <c r="C518" s="1634" t="s">
        <v>6442</v>
      </c>
      <c r="D518" s="1634" t="s">
        <v>681</v>
      </c>
      <c r="E518"/>
      <c r="F518"/>
      <c r="G518"/>
      <c r="H518"/>
    </row>
    <row r="519" spans="1:13" hidden="1" x14ac:dyDescent="0.2">
      <c r="A519" s="2291" t="s">
        <v>977</v>
      </c>
      <c r="B519" s="1634" t="s">
        <v>6444</v>
      </c>
      <c r="C519" s="1634" t="s">
        <v>6445</v>
      </c>
      <c r="D519" s="1634" t="s">
        <v>689</v>
      </c>
      <c r="E519"/>
      <c r="F519"/>
      <c r="G519"/>
      <c r="H519"/>
    </row>
    <row r="520" spans="1:13" hidden="1" x14ac:dyDescent="0.2">
      <c r="A520" s="2291" t="s">
        <v>978</v>
      </c>
      <c r="B520" s="1634" t="s">
        <v>6447</v>
      </c>
      <c r="C520" s="1634" t="s">
        <v>6448</v>
      </c>
      <c r="D520" s="1634" t="s">
        <v>140</v>
      </c>
      <c r="E520"/>
      <c r="F520"/>
      <c r="G520"/>
      <c r="H520"/>
    </row>
    <row r="521" spans="1:13" hidden="1" x14ac:dyDescent="0.2">
      <c r="A521" s="2291" t="s">
        <v>979</v>
      </c>
      <c r="B521" s="2294" t="s">
        <v>3398</v>
      </c>
      <c r="C521"/>
      <c r="D521"/>
      <c r="E521"/>
      <c r="F521"/>
      <c r="G521"/>
      <c r="H521"/>
    </row>
    <row r="522" spans="1:13" hidden="1" x14ac:dyDescent="0.2">
      <c r="A522" s="2291" t="s">
        <v>3929</v>
      </c>
      <c r="B522" s="2294" t="s">
        <v>512</v>
      </c>
      <c r="C522"/>
      <c r="D522"/>
      <c r="E522"/>
      <c r="F522"/>
      <c r="G522"/>
      <c r="H522"/>
    </row>
    <row r="523" spans="1:13" hidden="1" x14ac:dyDescent="0.2">
      <c r="A523" s="2291" t="s">
        <v>3930</v>
      </c>
      <c r="B523" s="2294" t="s">
        <v>2954</v>
      </c>
      <c r="C523" s="2294" t="s">
        <v>3254</v>
      </c>
      <c r="D523" s="2294" t="s">
        <v>3256</v>
      </c>
      <c r="E523" s="2294" t="s">
        <v>700</v>
      </c>
      <c r="F523"/>
      <c r="G523"/>
      <c r="H523"/>
    </row>
    <row r="527" spans="1:13" hidden="1" x14ac:dyDescent="0.2">
      <c r="A527" s="2291" t="s">
        <v>980</v>
      </c>
      <c r="B527" s="1634" t="s">
        <v>4040</v>
      </c>
      <c r="C527" s="1634" t="s">
        <v>3106</v>
      </c>
      <c r="D527" s="1634" t="s">
        <v>869</v>
      </c>
      <c r="E527" s="1634" t="s">
        <v>6617</v>
      </c>
      <c r="F527" s="1634" t="s">
        <v>4043</v>
      </c>
      <c r="G527" s="1634" t="s">
        <v>4044</v>
      </c>
      <c r="H527" s="1634" t="s">
        <v>5696</v>
      </c>
    </row>
    <row r="528" spans="1:13" hidden="1" x14ac:dyDescent="0.2">
      <c r="A528" s="2291" t="s">
        <v>4696</v>
      </c>
      <c r="B528" s="1634" t="s">
        <v>6972</v>
      </c>
      <c r="C528" s="1634" t="s">
        <v>553</v>
      </c>
      <c r="D528" s="1634" t="s">
        <v>871</v>
      </c>
      <c r="E528" s="1634" t="s">
        <v>6619</v>
      </c>
      <c r="F528" s="1634" t="s">
        <v>6974</v>
      </c>
      <c r="G528" s="1634" t="s">
        <v>4171</v>
      </c>
      <c r="H528" s="1634" t="s">
        <v>4704</v>
      </c>
      <c r="I528"/>
      <c r="J528"/>
      <c r="K528"/>
      <c r="L528"/>
      <c r="M528"/>
    </row>
    <row r="529" spans="1:13" hidden="1" x14ac:dyDescent="0.2">
      <c r="A529" s="2291" t="s">
        <v>4697</v>
      </c>
      <c r="B529" s="1634" t="s">
        <v>4173</v>
      </c>
      <c r="C529" s="1634" t="s">
        <v>561</v>
      </c>
      <c r="D529" s="1634" t="s">
        <v>3008</v>
      </c>
      <c r="E529" s="1634" t="s">
        <v>6621</v>
      </c>
      <c r="F529" s="1634" t="s">
        <v>6663</v>
      </c>
      <c r="G529" s="1634" t="s">
        <v>6670</v>
      </c>
      <c r="H529" s="1634" t="s">
        <v>4706</v>
      </c>
      <c r="I529"/>
      <c r="J529"/>
      <c r="K529"/>
      <c r="L529"/>
      <c r="M529"/>
    </row>
    <row r="530" spans="1:13" hidden="1" x14ac:dyDescent="0.2">
      <c r="A530" s="2291" t="s">
        <v>4698</v>
      </c>
      <c r="B530" s="1634" t="s">
        <v>6672</v>
      </c>
      <c r="C530" s="1634" t="s">
        <v>2022</v>
      </c>
      <c r="D530" s="1634" t="s">
        <v>3010</v>
      </c>
      <c r="E530" s="1634" t="s">
        <v>6623</v>
      </c>
      <c r="F530" s="1634" t="s">
        <v>6674</v>
      </c>
      <c r="G530" s="1634" t="s">
        <v>6675</v>
      </c>
      <c r="H530" s="1634" t="s">
        <v>5474</v>
      </c>
      <c r="I530"/>
      <c r="J530"/>
      <c r="K530"/>
      <c r="L530"/>
      <c r="M530"/>
    </row>
    <row r="531" spans="1:13" hidden="1" x14ac:dyDescent="0.2">
      <c r="A531" s="2291" t="s">
        <v>4699</v>
      </c>
      <c r="B531" s="1634" t="s">
        <v>6677</v>
      </c>
      <c r="C531" s="1634" t="s">
        <v>2029</v>
      </c>
      <c r="D531" s="1634" t="s">
        <v>6460</v>
      </c>
      <c r="E531" s="1634" t="s">
        <v>3132</v>
      </c>
      <c r="F531" s="1634" t="s">
        <v>6680</v>
      </c>
      <c r="G531" s="1634" t="s">
        <v>6681</v>
      </c>
      <c r="H531" s="1634" t="s">
        <v>4708</v>
      </c>
      <c r="I531"/>
      <c r="J531"/>
      <c r="K531"/>
      <c r="L531"/>
      <c r="M531"/>
    </row>
    <row r="532" spans="1:13" hidden="1" x14ac:dyDescent="0.2">
      <c r="A532" s="2291" t="s">
        <v>5008</v>
      </c>
      <c r="B532" s="1634" t="s">
        <v>6683</v>
      </c>
      <c r="C532" s="1634" t="s">
        <v>3423</v>
      </c>
      <c r="D532" s="1634" t="s">
        <v>6462</v>
      </c>
      <c r="E532" s="1634" t="s">
        <v>4045</v>
      </c>
      <c r="F532" s="1634" t="s">
        <v>6685</v>
      </c>
      <c r="G532" s="1634" t="s">
        <v>6686</v>
      </c>
      <c r="H532" s="1634" t="s">
        <v>4710</v>
      </c>
      <c r="I532"/>
      <c r="J532"/>
      <c r="K532"/>
      <c r="L532"/>
      <c r="M532"/>
    </row>
    <row r="533" spans="1:13" hidden="1" x14ac:dyDescent="0.2">
      <c r="A533" s="2291" t="s">
        <v>5009</v>
      </c>
      <c r="B533" s="1634" t="s">
        <v>5426</v>
      </c>
      <c r="C533"/>
      <c r="D533"/>
      <c r="E533"/>
      <c r="F533"/>
      <c r="G533"/>
      <c r="H533"/>
      <c r="I533"/>
      <c r="J533"/>
      <c r="K533"/>
      <c r="L533"/>
      <c r="M533"/>
    </row>
    <row r="534" spans="1:13" hidden="1" x14ac:dyDescent="0.2">
      <c r="A534" s="2291" t="s">
        <v>3931</v>
      </c>
      <c r="B534" s="164" t="s">
        <v>2917</v>
      </c>
      <c r="C534" s="164" t="s">
        <v>2322</v>
      </c>
      <c r="D534" s="164" t="s">
        <v>2324</v>
      </c>
      <c r="E534" s="164" t="s">
        <v>2664</v>
      </c>
      <c r="F534"/>
      <c r="G534"/>
      <c r="H534"/>
      <c r="I534"/>
      <c r="J534"/>
      <c r="K534"/>
      <c r="L534"/>
      <c r="M534"/>
    </row>
    <row r="538" spans="1:13" hidden="1" x14ac:dyDescent="0.2">
      <c r="A538" s="2291" t="s">
        <v>6108</v>
      </c>
      <c r="B538" s="1634" t="s">
        <v>4773</v>
      </c>
      <c r="C538" s="1634" t="s">
        <v>711</v>
      </c>
      <c r="D538" s="1634" t="s">
        <v>2714</v>
      </c>
      <c r="E538" s="1634" t="s">
        <v>5471</v>
      </c>
      <c r="F538" s="1634" t="s">
        <v>2715</v>
      </c>
      <c r="G538" s="1634" t="s">
        <v>2716</v>
      </c>
      <c r="H538" s="1634" t="s">
        <v>861</v>
      </c>
      <c r="I538" s="1634" t="s">
        <v>6609</v>
      </c>
      <c r="J538" s="1634" t="s">
        <v>2717</v>
      </c>
      <c r="K538" s="1634" t="s">
        <v>2718</v>
      </c>
      <c r="L538" s="1634" t="s">
        <v>2719</v>
      </c>
      <c r="M538" s="1634" t="s">
        <v>3165</v>
      </c>
    </row>
    <row r="539" spans="1:13" hidden="1" x14ac:dyDescent="0.2">
      <c r="A539" s="2291" t="s">
        <v>3166</v>
      </c>
      <c r="B539" s="1634" t="s">
        <v>4775</v>
      </c>
      <c r="C539" s="1634" t="s">
        <v>3817</v>
      </c>
      <c r="D539" s="1634" t="s">
        <v>2721</v>
      </c>
      <c r="E539" s="1634" t="s">
        <v>2722</v>
      </c>
      <c r="F539" s="1634" t="s">
        <v>2723</v>
      </c>
      <c r="G539" s="1634" t="s">
        <v>5693</v>
      </c>
      <c r="H539" s="1634" t="s">
        <v>863</v>
      </c>
      <c r="I539" s="1634" t="s">
        <v>6611</v>
      </c>
      <c r="J539" s="1634" t="s">
        <v>2724</v>
      </c>
      <c r="K539" s="1634" t="s">
        <v>2725</v>
      </c>
      <c r="L539" s="1634" t="s">
        <v>4025</v>
      </c>
      <c r="M539" s="1634" t="s">
        <v>3167</v>
      </c>
    </row>
    <row r="540" spans="1:13" hidden="1" x14ac:dyDescent="0.2">
      <c r="A540" s="2291" t="s">
        <v>3168</v>
      </c>
      <c r="B540" s="1634" t="s">
        <v>1551</v>
      </c>
      <c r="C540" s="1634" t="s">
        <v>1060</v>
      </c>
      <c r="D540" s="1634" t="s">
        <v>4027</v>
      </c>
      <c r="E540" s="1634" t="s">
        <v>4028</v>
      </c>
      <c r="F540" s="1634" t="s">
        <v>1061</v>
      </c>
      <c r="G540" s="1634" t="s">
        <v>5694</v>
      </c>
      <c r="H540" s="1634" t="s">
        <v>865</v>
      </c>
      <c r="I540" s="1634" t="s">
        <v>6613</v>
      </c>
      <c r="J540" s="1634" t="s">
        <v>4029</v>
      </c>
      <c r="K540" s="1634" t="s">
        <v>4030</v>
      </c>
      <c r="L540" s="1634" t="s">
        <v>4031</v>
      </c>
      <c r="M540" s="1634" t="s">
        <v>1062</v>
      </c>
    </row>
    <row r="541" spans="1:13" hidden="1" x14ac:dyDescent="0.2">
      <c r="A541" s="2291" t="s">
        <v>3169</v>
      </c>
      <c r="B541" s="1634" t="s">
        <v>1553</v>
      </c>
      <c r="C541" s="1634" t="s">
        <v>5272</v>
      </c>
      <c r="D541" s="1634" t="s">
        <v>4033</v>
      </c>
      <c r="E541" s="1634" t="s">
        <v>4034</v>
      </c>
      <c r="F541" s="1634" t="s">
        <v>3099</v>
      </c>
      <c r="G541" s="1634" t="s">
        <v>4035</v>
      </c>
      <c r="H541" s="1634" t="s">
        <v>867</v>
      </c>
      <c r="I541" s="1634" t="s">
        <v>6615</v>
      </c>
      <c r="J541" s="1634" t="s">
        <v>4036</v>
      </c>
      <c r="K541" s="1634" t="s">
        <v>4037</v>
      </c>
      <c r="L541" s="1634" t="s">
        <v>4038</v>
      </c>
      <c r="M541" s="1634" t="s">
        <v>3100</v>
      </c>
    </row>
    <row r="542" spans="1:13" hidden="1" x14ac:dyDescent="0.2">
      <c r="A542" s="2291" t="s">
        <v>5172</v>
      </c>
      <c r="B542" s="1634" t="s">
        <v>2330</v>
      </c>
      <c r="C542" s="1634" t="s">
        <v>5695</v>
      </c>
      <c r="D542" s="1634" t="s">
        <v>4040</v>
      </c>
      <c r="E542" s="1634" t="s">
        <v>4041</v>
      </c>
      <c r="F542" s="1634" t="s">
        <v>3106</v>
      </c>
      <c r="G542" s="1634" t="s">
        <v>5696</v>
      </c>
      <c r="H542" s="1634" t="s">
        <v>869</v>
      </c>
      <c r="I542" s="1634" t="s">
        <v>6617</v>
      </c>
      <c r="J542" s="1634" t="s">
        <v>4042</v>
      </c>
      <c r="K542" s="1634" t="s">
        <v>4043</v>
      </c>
      <c r="L542" s="1634" t="s">
        <v>4044</v>
      </c>
      <c r="M542" s="1634" t="s">
        <v>3107</v>
      </c>
    </row>
    <row r="543" spans="1:13" hidden="1" x14ac:dyDescent="0.2">
      <c r="A543" s="2291" t="s">
        <v>5173</v>
      </c>
      <c r="B543" s="1634" t="s">
        <v>4274</v>
      </c>
      <c r="C543" s="1634" t="s">
        <v>5697</v>
      </c>
      <c r="D543" s="1634" t="s">
        <v>6972</v>
      </c>
      <c r="E543" s="1634" t="s">
        <v>5472</v>
      </c>
      <c r="F543" s="1634" t="s">
        <v>553</v>
      </c>
      <c r="G543" s="1634" t="s">
        <v>4704</v>
      </c>
      <c r="H543" s="1634" t="s">
        <v>871</v>
      </c>
      <c r="I543" s="1634" t="s">
        <v>6619</v>
      </c>
      <c r="J543" s="1634" t="s">
        <v>6973</v>
      </c>
      <c r="K543" s="1634" t="s">
        <v>6974</v>
      </c>
      <c r="L543" s="1634" t="s">
        <v>4171</v>
      </c>
      <c r="M543" s="1634" t="s">
        <v>554</v>
      </c>
    </row>
    <row r="544" spans="1:13" hidden="1" x14ac:dyDescent="0.2">
      <c r="A544" s="2291" t="s">
        <v>6494</v>
      </c>
      <c r="B544" s="1634" t="s">
        <v>331</v>
      </c>
      <c r="C544" s="1634" t="s">
        <v>4705</v>
      </c>
      <c r="D544" s="1634" t="s">
        <v>4173</v>
      </c>
      <c r="E544" s="1634" t="s">
        <v>4174</v>
      </c>
      <c r="F544" s="1634" t="s">
        <v>561</v>
      </c>
      <c r="G544" s="1634" t="s">
        <v>4706</v>
      </c>
      <c r="H544" s="1634" t="s">
        <v>3008</v>
      </c>
      <c r="I544" s="1634" t="s">
        <v>6621</v>
      </c>
      <c r="J544" s="1634" t="s">
        <v>6662</v>
      </c>
      <c r="K544" s="1634" t="s">
        <v>6663</v>
      </c>
      <c r="L544" s="1634" t="s">
        <v>6670</v>
      </c>
      <c r="M544" s="1634" t="s">
        <v>562</v>
      </c>
    </row>
    <row r="545" spans="1:13" hidden="1" x14ac:dyDescent="0.2">
      <c r="A545" s="2291" t="s">
        <v>6495</v>
      </c>
      <c r="B545" s="1634" t="s">
        <v>5175</v>
      </c>
      <c r="C545" s="1634" t="s">
        <v>2021</v>
      </c>
      <c r="D545" s="1634" t="s">
        <v>6672</v>
      </c>
      <c r="E545" s="1634" t="s">
        <v>5473</v>
      </c>
      <c r="F545" s="1634" t="s">
        <v>2022</v>
      </c>
      <c r="G545" s="1634" t="s">
        <v>5474</v>
      </c>
      <c r="H545" s="1634" t="s">
        <v>3010</v>
      </c>
      <c r="I545" s="1634" t="s">
        <v>6623</v>
      </c>
      <c r="J545" s="1634" t="s">
        <v>6673</v>
      </c>
      <c r="K545" s="1634" t="s">
        <v>6674</v>
      </c>
      <c r="L545" s="1634" t="s">
        <v>6675</v>
      </c>
      <c r="M545" s="1634" t="s">
        <v>2023</v>
      </c>
    </row>
    <row r="546" spans="1:13" hidden="1" x14ac:dyDescent="0.2">
      <c r="A546" s="2291" t="s">
        <v>6496</v>
      </c>
      <c r="B546" s="1634" t="s">
        <v>5177</v>
      </c>
      <c r="C546" s="1634" t="s">
        <v>4707</v>
      </c>
      <c r="D546" s="1634" t="s">
        <v>6677</v>
      </c>
      <c r="E546" s="1634" t="s">
        <v>6678</v>
      </c>
      <c r="F546" s="1634" t="s">
        <v>2029</v>
      </c>
      <c r="G546" s="1634" t="s">
        <v>4708</v>
      </c>
      <c r="H546" s="1634" t="s">
        <v>6460</v>
      </c>
      <c r="I546" s="1634" t="s">
        <v>3132</v>
      </c>
      <c r="J546" s="1634" t="s">
        <v>6679</v>
      </c>
      <c r="K546" s="1634" t="s">
        <v>6680</v>
      </c>
      <c r="L546" s="1634" t="s">
        <v>6681</v>
      </c>
      <c r="M546" s="1634" t="s">
        <v>5061</v>
      </c>
    </row>
    <row r="547" spans="1:13" hidden="1" x14ac:dyDescent="0.2">
      <c r="A547" s="2291" t="s">
        <v>3043</v>
      </c>
      <c r="B547" s="1634" t="s">
        <v>1110</v>
      </c>
      <c r="C547" s="1634" t="s">
        <v>4709</v>
      </c>
      <c r="D547" s="1634" t="s">
        <v>6683</v>
      </c>
      <c r="E547" s="1634" t="s">
        <v>5475</v>
      </c>
      <c r="F547" s="1634" t="s">
        <v>3423</v>
      </c>
      <c r="G547" s="1634" t="s">
        <v>4710</v>
      </c>
      <c r="H547" s="1634" t="s">
        <v>6462</v>
      </c>
      <c r="I547" s="1634" t="s">
        <v>4045</v>
      </c>
      <c r="J547" s="1634" t="s">
        <v>6684</v>
      </c>
      <c r="K547" s="1634" t="s">
        <v>6685</v>
      </c>
      <c r="L547" s="1634" t="s">
        <v>6686</v>
      </c>
      <c r="M547" s="1634" t="s">
        <v>3424</v>
      </c>
    </row>
    <row r="548" spans="1:13" hidden="1" x14ac:dyDescent="0.2">
      <c r="A548" s="2291" t="s">
        <v>3044</v>
      </c>
      <c r="B548" s="1634" t="s">
        <v>1112</v>
      </c>
      <c r="C548" s="1634" t="s">
        <v>4711</v>
      </c>
      <c r="D548" s="1634" t="s">
        <v>6688</v>
      </c>
      <c r="E548" s="1634" t="s">
        <v>6689</v>
      </c>
      <c r="F548" s="1634" t="s">
        <v>5424</v>
      </c>
      <c r="G548" s="1634" t="s">
        <v>4712</v>
      </c>
      <c r="H548" s="1634" t="s">
        <v>6464</v>
      </c>
      <c r="I548" s="1634" t="s">
        <v>4047</v>
      </c>
      <c r="J548" s="1634" t="s">
        <v>6690</v>
      </c>
      <c r="K548" s="1634" t="s">
        <v>6691</v>
      </c>
      <c r="L548" s="1634" t="s">
        <v>6692</v>
      </c>
      <c r="M548" s="1634" t="s">
        <v>5425</v>
      </c>
    </row>
    <row r="549" spans="1:13" hidden="1" x14ac:dyDescent="0.2">
      <c r="A549" s="2291" t="s">
        <v>3045</v>
      </c>
      <c r="B549" s="1634" t="s">
        <v>1114</v>
      </c>
      <c r="C549" s="1634" t="s">
        <v>4713</v>
      </c>
      <c r="D549" s="1634" t="s">
        <v>6694</v>
      </c>
      <c r="E549" s="1634" t="s">
        <v>4094</v>
      </c>
      <c r="F549" s="1634" t="s">
        <v>5430</v>
      </c>
      <c r="G549" s="1634" t="s">
        <v>4714</v>
      </c>
      <c r="H549" s="1634" t="s">
        <v>2911</v>
      </c>
      <c r="I549" s="1634" t="s">
        <v>4095</v>
      </c>
      <c r="J549" s="1634" t="s">
        <v>4096</v>
      </c>
      <c r="K549" s="1634" t="s">
        <v>4097</v>
      </c>
      <c r="L549" s="1634" t="s">
        <v>6695</v>
      </c>
      <c r="M549" s="1634" t="s">
        <v>5431</v>
      </c>
    </row>
    <row r="550" spans="1:13" hidden="1" x14ac:dyDescent="0.2">
      <c r="A550" s="2291" t="s">
        <v>3046</v>
      </c>
      <c r="B550" s="1634" t="s">
        <v>1116</v>
      </c>
      <c r="C550" s="1634" t="s">
        <v>2153</v>
      </c>
      <c r="D550" s="1634" t="s">
        <v>6697</v>
      </c>
      <c r="E550" s="1634" t="s">
        <v>4099</v>
      </c>
      <c r="F550" s="1634" t="s">
        <v>2154</v>
      </c>
      <c r="G550" s="1634" t="s">
        <v>5476</v>
      </c>
      <c r="H550" s="1634" t="s">
        <v>2913</v>
      </c>
      <c r="I550" s="1634" t="s">
        <v>4100</v>
      </c>
      <c r="J550" s="1634" t="s">
        <v>4101</v>
      </c>
      <c r="K550" s="1634" t="s">
        <v>4102</v>
      </c>
      <c r="L550" s="1634" t="s">
        <v>6698</v>
      </c>
      <c r="M550" s="1634" t="s">
        <v>2155</v>
      </c>
    </row>
    <row r="551" spans="1:13" hidden="1" x14ac:dyDescent="0.2">
      <c r="A551" s="2291" t="s">
        <v>3047</v>
      </c>
      <c r="B551" s="1634" t="s">
        <v>1118</v>
      </c>
      <c r="C551" s="1634" t="s">
        <v>4715</v>
      </c>
      <c r="D551" s="1634" t="s">
        <v>2660</v>
      </c>
      <c r="E551" s="1634" t="s">
        <v>4104</v>
      </c>
      <c r="F551" s="1634" t="s">
        <v>2161</v>
      </c>
      <c r="G551" s="1634" t="s">
        <v>4716</v>
      </c>
      <c r="H551" s="1634" t="s">
        <v>2915</v>
      </c>
      <c r="I551" s="1634" t="s">
        <v>4105</v>
      </c>
      <c r="J551" s="1634" t="s">
        <v>2318</v>
      </c>
      <c r="K551" s="1634" t="s">
        <v>2319</v>
      </c>
      <c r="L551" s="1634" t="s">
        <v>2661</v>
      </c>
      <c r="M551" s="1634" t="s">
        <v>2162</v>
      </c>
    </row>
    <row r="552" spans="1:13" hidden="1" x14ac:dyDescent="0.2">
      <c r="A552" s="2291" t="s">
        <v>3048</v>
      </c>
      <c r="B552" s="1634" t="s">
        <v>1120</v>
      </c>
      <c r="C552" s="1634" t="s">
        <v>4717</v>
      </c>
      <c r="D552" s="1634" t="s">
        <v>2663</v>
      </c>
      <c r="E552" s="1634" t="s">
        <v>2321</v>
      </c>
      <c r="F552" s="1634" t="s">
        <v>2168</v>
      </c>
      <c r="G552" s="1634" t="s">
        <v>6426</v>
      </c>
      <c r="H552" s="1634" t="s">
        <v>2917</v>
      </c>
      <c r="I552" s="1634" t="s">
        <v>2322</v>
      </c>
      <c r="J552" s="1634" t="s">
        <v>2323</v>
      </c>
      <c r="K552" s="1634" t="s">
        <v>2324</v>
      </c>
      <c r="L552" s="1634" t="s">
        <v>2664</v>
      </c>
      <c r="M552" s="1634" t="s">
        <v>2169</v>
      </c>
    </row>
    <row r="553" spans="1:13" hidden="1" x14ac:dyDescent="0.2">
      <c r="A553" s="2291" t="s">
        <v>3049</v>
      </c>
      <c r="B553" s="1634" t="s">
        <v>1122</v>
      </c>
      <c r="C553" s="1634" t="s">
        <v>6427</v>
      </c>
      <c r="D553" s="1634" t="s">
        <v>3859</v>
      </c>
      <c r="E553" s="1634" t="s">
        <v>2326</v>
      </c>
      <c r="F553" s="1634" t="s">
        <v>2174</v>
      </c>
      <c r="G553" s="1634" t="s">
        <v>6428</v>
      </c>
      <c r="H553" s="1634" t="s">
        <v>2919</v>
      </c>
      <c r="I553" s="1634" t="s">
        <v>2327</v>
      </c>
      <c r="J553" s="1634" t="s">
        <v>2328</v>
      </c>
      <c r="K553" s="1634" t="s">
        <v>1011</v>
      </c>
      <c r="L553" s="1634" t="s">
        <v>3860</v>
      </c>
      <c r="M553" s="1634" t="s">
        <v>2175</v>
      </c>
    </row>
    <row r="554" spans="1:13" hidden="1" x14ac:dyDescent="0.2">
      <c r="A554" s="2291" t="s">
        <v>3050</v>
      </c>
      <c r="B554" s="1634" t="s">
        <v>1124</v>
      </c>
      <c r="C554" s="1634" t="s">
        <v>6429</v>
      </c>
      <c r="D554" s="1634" t="s">
        <v>3862</v>
      </c>
      <c r="E554" s="1634" t="s">
        <v>6605</v>
      </c>
      <c r="F554" s="1634" t="s">
        <v>2181</v>
      </c>
      <c r="G554" s="1634" t="s">
        <v>6430</v>
      </c>
      <c r="H554" s="1634" t="s">
        <v>1575</v>
      </c>
      <c r="I554" s="1634" t="s">
        <v>6606</v>
      </c>
      <c r="J554" s="1634" t="s">
        <v>5084</v>
      </c>
      <c r="K554" s="1634" t="s">
        <v>5085</v>
      </c>
      <c r="L554" s="1634" t="s">
        <v>3863</v>
      </c>
      <c r="M554" s="1634" t="s">
        <v>2182</v>
      </c>
    </row>
    <row r="555" spans="1:13" hidden="1" x14ac:dyDescent="0.2">
      <c r="A555" s="2291" t="s">
        <v>3051</v>
      </c>
      <c r="B555" s="1634" t="s">
        <v>1130</v>
      </c>
      <c r="C555" s="1634" t="s">
        <v>6432</v>
      </c>
      <c r="D555" s="1634" t="s">
        <v>1749</v>
      </c>
      <c r="E555" s="1634" t="s">
        <v>3535</v>
      </c>
      <c r="F555" s="1634" t="s">
        <v>1750</v>
      </c>
      <c r="L555"/>
      <c r="M555"/>
    </row>
    <row r="556" spans="1:13" hidden="1" x14ac:dyDescent="0.2">
      <c r="A556" s="2291" t="s">
        <v>3053</v>
      </c>
      <c r="B556" s="1634" t="s">
        <v>1132</v>
      </c>
      <c r="C556" s="1634" t="s">
        <v>6433</v>
      </c>
      <c r="D556" s="1634" t="s">
        <v>1727</v>
      </c>
      <c r="E556" s="1634" t="s">
        <v>6189</v>
      </c>
      <c r="F556" s="1634" t="s">
        <v>1728</v>
      </c>
    </row>
    <row r="557" spans="1:13" hidden="1" x14ac:dyDescent="0.2">
      <c r="A557" s="2291" t="s">
        <v>3055</v>
      </c>
      <c r="B557" s="1634" t="s">
        <v>2492</v>
      </c>
      <c r="C557" s="1634" t="s">
        <v>2276</v>
      </c>
      <c r="D557" s="1634" t="s">
        <v>2493</v>
      </c>
      <c r="E557" s="1634" t="s">
        <v>2277</v>
      </c>
      <c r="F557" s="1634" t="s">
        <v>2494</v>
      </c>
    </row>
    <row r="558" spans="1:13" hidden="1" x14ac:dyDescent="0.2">
      <c r="A558" s="2291" t="s">
        <v>3057</v>
      </c>
      <c r="B558" s="1634" t="s">
        <v>672</v>
      </c>
      <c r="C558" s="1634" t="s">
        <v>673</v>
      </c>
      <c r="D558" s="1634" t="s">
        <v>674</v>
      </c>
      <c r="E558" s="1634" t="s">
        <v>5479</v>
      </c>
      <c r="F558" s="1634" t="s">
        <v>3493</v>
      </c>
      <c r="G558"/>
      <c r="H558"/>
      <c r="I558"/>
    </row>
    <row r="559" spans="1:13" hidden="1" x14ac:dyDescent="0.2">
      <c r="A559" s="2291" t="s">
        <v>3060</v>
      </c>
      <c r="B559" s="1634" t="s">
        <v>6442</v>
      </c>
      <c r="C559"/>
      <c r="D559"/>
      <c r="E559"/>
      <c r="F559"/>
      <c r="G559"/>
      <c r="H559"/>
      <c r="I559"/>
      <c r="J559"/>
      <c r="K559"/>
      <c r="L559"/>
      <c r="M559"/>
    </row>
    <row r="560" spans="1:13" hidden="1" x14ac:dyDescent="0.2">
      <c r="A560" s="2291" t="s">
        <v>3061</v>
      </c>
      <c r="B560" s="2294" t="s">
        <v>686</v>
      </c>
      <c r="C560" s="2294" t="s">
        <v>687</v>
      </c>
      <c r="D560" s="2294" t="s">
        <v>688</v>
      </c>
      <c r="E560" s="2294" t="s">
        <v>6445</v>
      </c>
      <c r="F560" s="2294" t="s">
        <v>3497</v>
      </c>
      <c r="G560"/>
      <c r="H560"/>
      <c r="I560"/>
      <c r="J560"/>
      <c r="K560"/>
      <c r="L560"/>
      <c r="M560"/>
    </row>
    <row r="561" spans="1:13" hidden="1" x14ac:dyDescent="0.2">
      <c r="A561" s="2291" t="s">
        <v>3062</v>
      </c>
      <c r="B561" s="1634" t="s">
        <v>3499</v>
      </c>
      <c r="C561" s="1634" t="s">
        <v>3394</v>
      </c>
      <c r="D561" s="1634" t="s">
        <v>3395</v>
      </c>
      <c r="E561" s="1634" t="s">
        <v>3396</v>
      </c>
      <c r="F561" s="1634" t="s">
        <v>3397</v>
      </c>
      <c r="G561"/>
      <c r="H561"/>
      <c r="I561"/>
      <c r="J561"/>
      <c r="K561"/>
      <c r="L561"/>
      <c r="M561"/>
    </row>
    <row r="562" spans="1:13" hidden="1" x14ac:dyDescent="0.2">
      <c r="A562" s="2291" t="s">
        <v>3063</v>
      </c>
      <c r="B562" s="1634" t="s">
        <v>5642</v>
      </c>
      <c r="C562" s="1634" t="s">
        <v>507</v>
      </c>
      <c r="D562" s="1634" t="s">
        <v>508</v>
      </c>
      <c r="E562" s="1634" t="s">
        <v>509</v>
      </c>
      <c r="F562" s="1634" t="s">
        <v>6450</v>
      </c>
      <c r="G562" s="1634" t="s">
        <v>3501</v>
      </c>
      <c r="H562"/>
      <c r="I562"/>
      <c r="J562"/>
      <c r="K562"/>
      <c r="L562"/>
      <c r="M562"/>
    </row>
    <row r="563" spans="1:13" hidden="1" x14ac:dyDescent="0.2">
      <c r="A563" s="2291" t="s">
        <v>5641</v>
      </c>
      <c r="B563" s="1634" t="s">
        <v>5644</v>
      </c>
      <c r="C563" s="1634" t="s">
        <v>1970</v>
      </c>
      <c r="D563" s="1634" t="s">
        <v>1971</v>
      </c>
      <c r="E563" s="1634" t="s">
        <v>1972</v>
      </c>
      <c r="F563" s="1634" t="s">
        <v>6452</v>
      </c>
      <c r="G563" s="1634" t="s">
        <v>2928</v>
      </c>
      <c r="H563"/>
      <c r="I563"/>
      <c r="J563"/>
      <c r="K563"/>
      <c r="L563"/>
      <c r="M563"/>
    </row>
    <row r="564" spans="1:13" hidden="1" x14ac:dyDescent="0.2">
      <c r="A564" s="2291" t="s">
        <v>5643</v>
      </c>
      <c r="B564" s="1634" t="s">
        <v>5646</v>
      </c>
      <c r="C564" s="1634" t="s">
        <v>3503</v>
      </c>
      <c r="D564" s="1634" t="s">
        <v>3246</v>
      </c>
      <c r="E564" s="1634" t="s">
        <v>3247</v>
      </c>
      <c r="F564" s="1634" t="s">
        <v>4523</v>
      </c>
      <c r="G564" s="1634" t="s">
        <v>3248</v>
      </c>
      <c r="H564"/>
      <c r="I564"/>
      <c r="J564"/>
      <c r="K564"/>
      <c r="L564"/>
      <c r="M564"/>
    </row>
    <row r="565" spans="1:13" hidden="1" x14ac:dyDescent="0.2">
      <c r="A565" s="2291" t="s">
        <v>5645</v>
      </c>
      <c r="B565" s="1634" t="s">
        <v>699</v>
      </c>
      <c r="C565" s="1634" t="s">
        <v>6948</v>
      </c>
      <c r="D565" s="1634" t="s">
        <v>5480</v>
      </c>
      <c r="E565" s="1634" t="s">
        <v>2954</v>
      </c>
      <c r="F565" s="1634" t="s">
        <v>3254</v>
      </c>
      <c r="G565" s="1634" t="s">
        <v>3255</v>
      </c>
      <c r="H565"/>
      <c r="I565"/>
      <c r="J565"/>
      <c r="K565"/>
      <c r="L565"/>
      <c r="M565"/>
    </row>
    <row r="566" spans="1:13" hidden="1" x14ac:dyDescent="0.2">
      <c r="A566" s="2291" t="s">
        <v>5647</v>
      </c>
      <c r="B566" s="1634" t="s">
        <v>4725</v>
      </c>
      <c r="C566" s="1634" t="s">
        <v>6950</v>
      </c>
      <c r="D566" s="1634" t="s">
        <v>799</v>
      </c>
      <c r="E566" s="1634" t="s">
        <v>473</v>
      </c>
      <c r="F566" s="1634" t="s">
        <v>4525</v>
      </c>
      <c r="G566" s="1634" t="s">
        <v>800</v>
      </c>
      <c r="H566"/>
      <c r="I566"/>
      <c r="J566"/>
      <c r="K566"/>
      <c r="L566"/>
      <c r="M566"/>
    </row>
    <row r="567" spans="1:13" hidden="1" x14ac:dyDescent="0.2">
      <c r="A567" s="2291" t="s">
        <v>5648</v>
      </c>
      <c r="B567" s="1634" t="s">
        <v>806</v>
      </c>
      <c r="C567" s="1634" t="s">
        <v>807</v>
      </c>
      <c r="D567" s="1634" t="s">
        <v>6470</v>
      </c>
      <c r="E567" s="1634" t="s">
        <v>465</v>
      </c>
      <c r="F567" s="1634" t="s">
        <v>808</v>
      </c>
      <c r="G567"/>
      <c r="H567"/>
      <c r="I567"/>
      <c r="J567"/>
      <c r="K567"/>
      <c r="L567"/>
      <c r="M567"/>
    </row>
    <row r="568" spans="1:13" hidden="1" x14ac:dyDescent="0.2">
      <c r="A568" s="2291" t="s">
        <v>3059</v>
      </c>
      <c r="B568" s="1634" t="s">
        <v>822</v>
      </c>
      <c r="C568" s="1634" t="s">
        <v>4966</v>
      </c>
      <c r="D568" s="1634" t="s">
        <v>823</v>
      </c>
      <c r="G568"/>
      <c r="H568"/>
      <c r="I568"/>
      <c r="J568"/>
      <c r="K568"/>
      <c r="L568"/>
      <c r="M568"/>
    </row>
    <row r="569" spans="1:13" hidden="1" x14ac:dyDescent="0.2">
      <c r="A569" s="2291" t="s">
        <v>3932</v>
      </c>
      <c r="B569" s="1634" t="s">
        <v>5481</v>
      </c>
      <c r="C569" s="1634" t="s">
        <v>4972</v>
      </c>
      <c r="D569" s="1634" t="s">
        <v>5730</v>
      </c>
      <c r="G569"/>
      <c r="H569"/>
      <c r="I569"/>
      <c r="J569"/>
      <c r="K569"/>
      <c r="L569"/>
      <c r="M569"/>
    </row>
    <row r="570" spans="1:13" hidden="1" x14ac:dyDescent="0.2">
      <c r="A570" s="2291" t="s">
        <v>9359</v>
      </c>
      <c r="B570" s="2294" t="s">
        <v>3458</v>
      </c>
      <c r="C570"/>
      <c r="D570"/>
      <c r="E570"/>
      <c r="F570"/>
      <c r="G570"/>
      <c r="H570"/>
      <c r="I570"/>
      <c r="J570"/>
      <c r="K570"/>
      <c r="L570"/>
      <c r="M570"/>
    </row>
    <row r="571" spans="1:13" hidden="1" x14ac:dyDescent="0.2">
      <c r="A571" s="2291" t="s">
        <v>9360</v>
      </c>
      <c r="B571" s="2294" t="s">
        <v>523</v>
      </c>
      <c r="C571"/>
      <c r="D571"/>
      <c r="E571"/>
      <c r="F571"/>
      <c r="G571"/>
      <c r="H571"/>
      <c r="I571"/>
      <c r="J571"/>
      <c r="K571"/>
      <c r="L571"/>
      <c r="M571"/>
    </row>
    <row r="572" spans="1:13" hidden="1" x14ac:dyDescent="0.2">
      <c r="A572" s="2291" t="s">
        <v>9361</v>
      </c>
      <c r="B572" s="1634" t="s">
        <v>5689</v>
      </c>
      <c r="C572"/>
      <c r="D572"/>
      <c r="E572"/>
      <c r="F572"/>
      <c r="G572"/>
      <c r="H572"/>
      <c r="I572"/>
      <c r="J572"/>
      <c r="K572"/>
      <c r="L572"/>
      <c r="M572"/>
    </row>
    <row r="573" spans="1:13" hidden="1" x14ac:dyDescent="0.2">
      <c r="B573"/>
      <c r="C573"/>
      <c r="D573"/>
      <c r="E573"/>
      <c r="F573"/>
      <c r="G573"/>
      <c r="H573"/>
      <c r="I573"/>
      <c r="J573"/>
      <c r="K573"/>
      <c r="L573"/>
      <c r="M573"/>
    </row>
    <row r="576" spans="1:13" hidden="1" x14ac:dyDescent="0.2">
      <c r="A576" s="2291" t="s">
        <v>5649</v>
      </c>
      <c r="B576" s="1634" t="s">
        <v>2523</v>
      </c>
      <c r="C576" s="2294" t="s">
        <v>708</v>
      </c>
      <c r="D576"/>
      <c r="E576"/>
      <c r="F576"/>
      <c r="G576"/>
      <c r="H576"/>
      <c r="I576"/>
      <c r="J576"/>
      <c r="K576"/>
      <c r="L576"/>
      <c r="M576"/>
    </row>
    <row r="577" spans="1:13" hidden="1" x14ac:dyDescent="0.2">
      <c r="A577" s="2291" t="s">
        <v>5650</v>
      </c>
      <c r="B577" s="2294" t="s">
        <v>2714</v>
      </c>
      <c r="C577" s="2294" t="s">
        <v>5471</v>
      </c>
      <c r="D577" s="2294" t="s">
        <v>2715</v>
      </c>
      <c r="E577"/>
      <c r="F577"/>
      <c r="G577"/>
      <c r="H577"/>
      <c r="I577"/>
      <c r="J577"/>
      <c r="K577"/>
      <c r="L577"/>
      <c r="M577"/>
    </row>
    <row r="578" spans="1:13" hidden="1" x14ac:dyDescent="0.2">
      <c r="A578" s="2291" t="s">
        <v>1531</v>
      </c>
      <c r="B578" s="1634" t="s">
        <v>2721</v>
      </c>
      <c r="C578" s="1634" t="s">
        <v>2722</v>
      </c>
      <c r="D578" s="2294"/>
      <c r="E578"/>
      <c r="F578"/>
      <c r="G578"/>
      <c r="H578"/>
      <c r="I578"/>
      <c r="J578"/>
      <c r="K578"/>
      <c r="L578"/>
      <c r="M578"/>
    </row>
    <row r="579" spans="1:13" hidden="1" x14ac:dyDescent="0.2">
      <c r="A579" s="2291" t="s">
        <v>1532</v>
      </c>
      <c r="B579" s="2294" t="s">
        <v>1061</v>
      </c>
      <c r="C579"/>
      <c r="D579"/>
      <c r="E579"/>
      <c r="F579"/>
      <c r="G579"/>
    </row>
    <row r="580" spans="1:13" hidden="1" x14ac:dyDescent="0.2">
      <c r="A580" s="2291" t="s">
        <v>1533</v>
      </c>
      <c r="B580" s="1634" t="s">
        <v>4274</v>
      </c>
      <c r="C580" s="1634" t="s">
        <v>5697</v>
      </c>
      <c r="D580" s="1634" t="s">
        <v>6972</v>
      </c>
      <c r="E580" s="2294" t="s">
        <v>5472</v>
      </c>
      <c r="F580" s="2294" t="s">
        <v>553</v>
      </c>
      <c r="G580"/>
    </row>
    <row r="581" spans="1:13" hidden="1" x14ac:dyDescent="0.2">
      <c r="A581" s="2291" t="s">
        <v>1534</v>
      </c>
      <c r="B581" s="1634" t="s">
        <v>331</v>
      </c>
      <c r="C581" s="1634" t="s">
        <v>4705</v>
      </c>
      <c r="D581" s="1634" t="s">
        <v>4173</v>
      </c>
      <c r="E581" s="2294" t="s">
        <v>4174</v>
      </c>
      <c r="F581" s="2294" t="s">
        <v>561</v>
      </c>
      <c r="G581"/>
    </row>
    <row r="582" spans="1:13" hidden="1" x14ac:dyDescent="0.2">
      <c r="A582" s="2291" t="s">
        <v>1535</v>
      </c>
      <c r="B582" s="1634" t="s">
        <v>5175</v>
      </c>
      <c r="C582" s="1634" t="s">
        <v>2021</v>
      </c>
      <c r="D582" s="1634" t="s">
        <v>6672</v>
      </c>
      <c r="E582" s="2294" t="s">
        <v>5473</v>
      </c>
      <c r="F582" s="2294" t="s">
        <v>2022</v>
      </c>
      <c r="G582"/>
    </row>
    <row r="583" spans="1:13" hidden="1" x14ac:dyDescent="0.2">
      <c r="A583" s="2291" t="s">
        <v>1536</v>
      </c>
      <c r="B583" s="1634" t="s">
        <v>5177</v>
      </c>
      <c r="C583" s="1634" t="s">
        <v>4707</v>
      </c>
      <c r="D583" s="1634" t="s">
        <v>6677</v>
      </c>
      <c r="E583" s="2294" t="s">
        <v>6678</v>
      </c>
      <c r="F583" s="2294" t="s">
        <v>2029</v>
      </c>
      <c r="G583"/>
    </row>
    <row r="584" spans="1:13" hidden="1" x14ac:dyDescent="0.2">
      <c r="A584" s="2291" t="s">
        <v>1537</v>
      </c>
      <c r="B584" s="1634" t="s">
        <v>1110</v>
      </c>
      <c r="C584" s="1634" t="s">
        <v>4709</v>
      </c>
      <c r="D584" s="1634" t="s">
        <v>6683</v>
      </c>
      <c r="E584" s="2294" t="s">
        <v>5475</v>
      </c>
      <c r="F584" s="2294" t="s">
        <v>3423</v>
      </c>
      <c r="G584"/>
    </row>
    <row r="585" spans="1:13" hidden="1" x14ac:dyDescent="0.2">
      <c r="A585" s="2291" t="s">
        <v>4643</v>
      </c>
      <c r="B585" s="1634" t="s">
        <v>1112</v>
      </c>
      <c r="C585" s="1634" t="s">
        <v>4711</v>
      </c>
      <c r="D585" s="1634" t="s">
        <v>6688</v>
      </c>
      <c r="E585" s="2294" t="s">
        <v>6689</v>
      </c>
      <c r="F585" s="2294" t="s">
        <v>5424</v>
      </c>
      <c r="G585"/>
    </row>
    <row r="586" spans="1:13" hidden="1" x14ac:dyDescent="0.2">
      <c r="A586" s="2291" t="s">
        <v>2464</v>
      </c>
      <c r="B586" s="1634" t="s">
        <v>1114</v>
      </c>
      <c r="C586" s="1634" t="s">
        <v>4713</v>
      </c>
      <c r="D586" s="1634" t="s">
        <v>6694</v>
      </c>
      <c r="E586" s="2294" t="s">
        <v>4094</v>
      </c>
      <c r="F586" s="2294" t="s">
        <v>5430</v>
      </c>
      <c r="G586"/>
    </row>
    <row r="587" spans="1:13" hidden="1" x14ac:dyDescent="0.2">
      <c r="A587" s="2291" t="s">
        <v>3933</v>
      </c>
      <c r="B587" s="1634" t="s">
        <v>1116</v>
      </c>
      <c r="C587" s="1634" t="s">
        <v>2153</v>
      </c>
      <c r="D587" s="1634" t="s">
        <v>6697</v>
      </c>
      <c r="E587" s="2294" t="s">
        <v>4099</v>
      </c>
      <c r="F587" s="2294" t="s">
        <v>2154</v>
      </c>
      <c r="G587"/>
    </row>
    <row r="588" spans="1:13" hidden="1" x14ac:dyDescent="0.2">
      <c r="A588" s="2291" t="s">
        <v>4661</v>
      </c>
      <c r="B588" s="1634" t="s">
        <v>4715</v>
      </c>
      <c r="C588" s="1634" t="s">
        <v>2660</v>
      </c>
      <c r="D588" s="2294" t="s">
        <v>4104</v>
      </c>
      <c r="E588" s="2294" t="s">
        <v>2161</v>
      </c>
      <c r="F588"/>
      <c r="G588"/>
    </row>
    <row r="589" spans="1:13" hidden="1" x14ac:dyDescent="0.2">
      <c r="A589" s="2307" t="s">
        <v>9362</v>
      </c>
      <c r="B589" s="2302" t="s">
        <v>3859</v>
      </c>
      <c r="C589" s="2302" t="s">
        <v>2326</v>
      </c>
      <c r="D589" s="2302" t="s">
        <v>2174</v>
      </c>
      <c r="E589" s="2294"/>
      <c r="F589"/>
      <c r="G589"/>
    </row>
    <row r="590" spans="1:13" hidden="1" x14ac:dyDescent="0.2">
      <c r="A590" s="2307" t="s">
        <v>8919</v>
      </c>
      <c r="B590" s="2302" t="s">
        <v>6429</v>
      </c>
      <c r="C590" s="2302" t="s">
        <v>3862</v>
      </c>
      <c r="D590" s="2302" t="s">
        <v>6605</v>
      </c>
      <c r="E590" s="2302" t="s">
        <v>2181</v>
      </c>
      <c r="F590"/>
      <c r="G590"/>
    </row>
    <row r="591" spans="1:13" hidden="1" x14ac:dyDescent="0.2">
      <c r="A591" s="2307" t="s">
        <v>9363</v>
      </c>
      <c r="B591" s="2302" t="s">
        <v>6431</v>
      </c>
      <c r="C591" s="2302"/>
      <c r="D591" s="2302"/>
      <c r="E591"/>
      <c r="F591"/>
      <c r="G591"/>
    </row>
    <row r="592" spans="1:13" hidden="1" x14ac:dyDescent="0.2">
      <c r="A592" s="2307"/>
      <c r="B592" s="2302"/>
      <c r="C592" s="2302"/>
      <c r="D592" s="2302"/>
      <c r="E592"/>
      <c r="F592"/>
      <c r="G592"/>
    </row>
    <row r="593" spans="1:7" hidden="1" x14ac:dyDescent="0.2">
      <c r="A593" s="2291" t="s">
        <v>2465</v>
      </c>
      <c r="B593" s="2294" t="s">
        <v>3499</v>
      </c>
      <c r="C593" s="2294" t="s">
        <v>3394</v>
      </c>
      <c r="D593" s="2294" t="s">
        <v>3395</v>
      </c>
      <c r="E593"/>
      <c r="F593"/>
      <c r="G593"/>
    </row>
    <row r="594" spans="1:7" hidden="1" x14ac:dyDescent="0.2">
      <c r="A594" s="2291" t="s">
        <v>4722</v>
      </c>
      <c r="B594" s="2294" t="s">
        <v>509</v>
      </c>
      <c r="C594"/>
      <c r="D594"/>
      <c r="E594"/>
      <c r="F594"/>
      <c r="G594"/>
    </row>
    <row r="595" spans="1:7" hidden="1" x14ac:dyDescent="0.2">
      <c r="A595" s="2291" t="s">
        <v>4723</v>
      </c>
      <c r="B595" s="1634" t="s">
        <v>699</v>
      </c>
      <c r="C595" s="2294" t="s">
        <v>6948</v>
      </c>
      <c r="D595" s="2294" t="s">
        <v>5480</v>
      </c>
      <c r="E595" s="2294" t="s">
        <v>2954</v>
      </c>
      <c r="F595"/>
      <c r="G595"/>
    </row>
    <row r="596" spans="1:7" hidden="1" x14ac:dyDescent="0.2">
      <c r="A596" s="2291" t="s">
        <v>4724</v>
      </c>
      <c r="B596" s="1634" t="s">
        <v>4725</v>
      </c>
      <c r="C596" s="2294" t="s">
        <v>6950</v>
      </c>
      <c r="D596" s="2294" t="s">
        <v>799</v>
      </c>
      <c r="E596" s="2294" t="s">
        <v>473</v>
      </c>
      <c r="F596"/>
      <c r="G596"/>
    </row>
    <row r="597" spans="1:7" hidden="1" x14ac:dyDescent="0.2">
      <c r="A597" s="2291" t="s">
        <v>4726</v>
      </c>
      <c r="B597" s="1634" t="s">
        <v>4727</v>
      </c>
      <c r="C597" s="2294" t="s">
        <v>806</v>
      </c>
      <c r="D597" s="2294" t="s">
        <v>807</v>
      </c>
      <c r="E597" s="2294" t="s">
        <v>6470</v>
      </c>
      <c r="F597"/>
      <c r="G597"/>
    </row>
    <row r="598" spans="1:7" hidden="1" x14ac:dyDescent="0.2">
      <c r="A598" s="2291" t="s">
        <v>4728</v>
      </c>
      <c r="B598" s="1634" t="s">
        <v>4729</v>
      </c>
      <c r="C598" s="2294" t="s">
        <v>813</v>
      </c>
      <c r="D598" s="2294" t="s">
        <v>814</v>
      </c>
      <c r="E598" s="2294" t="s">
        <v>6474</v>
      </c>
      <c r="F598"/>
    </row>
    <row r="599" spans="1:7" hidden="1" x14ac:dyDescent="0.2">
      <c r="A599" s="2291" t="s">
        <v>4730</v>
      </c>
      <c r="B599" s="1634" t="s">
        <v>4731</v>
      </c>
      <c r="C599" s="2294" t="s">
        <v>821</v>
      </c>
      <c r="D599" s="2294" t="s">
        <v>822</v>
      </c>
      <c r="E599" s="2294" t="s">
        <v>4966</v>
      </c>
      <c r="F599"/>
    </row>
    <row r="600" spans="1:7" hidden="1" x14ac:dyDescent="0.2">
      <c r="A600" s="2291" t="s">
        <v>4732</v>
      </c>
      <c r="B600" s="1634" t="s">
        <v>4733</v>
      </c>
      <c r="C600" s="2294" t="s">
        <v>541</v>
      </c>
      <c r="D600" s="2294" t="s">
        <v>5481</v>
      </c>
      <c r="E600" s="2294" t="s">
        <v>4972</v>
      </c>
      <c r="F600"/>
    </row>
    <row r="601" spans="1:7" hidden="1" x14ac:dyDescent="0.2">
      <c r="A601" s="2291" t="s">
        <v>4734</v>
      </c>
      <c r="B601" s="1634" t="s">
        <v>6284</v>
      </c>
      <c r="C601" s="2294" t="s">
        <v>6912</v>
      </c>
      <c r="D601" s="2294" t="s">
        <v>715</v>
      </c>
      <c r="E601" s="2294" t="s">
        <v>2825</v>
      </c>
      <c r="F601"/>
    </row>
    <row r="602" spans="1:7" hidden="1" x14ac:dyDescent="0.2">
      <c r="A602" s="2291" t="s">
        <v>6285</v>
      </c>
      <c r="B602" s="1634" t="s">
        <v>6286</v>
      </c>
      <c r="C602" s="2294" t="s">
        <v>3466</v>
      </c>
      <c r="D602" s="2294" t="s">
        <v>5482</v>
      </c>
      <c r="E602" s="2294" t="s">
        <v>5610</v>
      </c>
      <c r="F602"/>
    </row>
    <row r="603" spans="1:7" hidden="1" x14ac:dyDescent="0.2">
      <c r="A603" s="2291" t="s">
        <v>6287</v>
      </c>
      <c r="B603" s="2294" t="s">
        <v>4791</v>
      </c>
      <c r="C603" s="2294" t="s">
        <v>3472</v>
      </c>
      <c r="D603" s="2294" t="s">
        <v>3360</v>
      </c>
      <c r="E603"/>
      <c r="F603"/>
    </row>
    <row r="604" spans="1:7" hidden="1" x14ac:dyDescent="0.2">
      <c r="A604" s="2307" t="s">
        <v>9364</v>
      </c>
      <c r="B604" s="2302" t="s">
        <v>3458</v>
      </c>
      <c r="C604" s="2302" t="s">
        <v>986</v>
      </c>
      <c r="D604" s="2302" t="s">
        <v>216</v>
      </c>
      <c r="F604"/>
    </row>
    <row r="605" spans="1:7" hidden="1" x14ac:dyDescent="0.2">
      <c r="A605" s="2307" t="s">
        <v>9365</v>
      </c>
      <c r="B605" s="2302" t="s">
        <v>1591</v>
      </c>
      <c r="C605" s="2302" t="s">
        <v>6180</v>
      </c>
      <c r="D605" s="2302" t="s">
        <v>6384</v>
      </c>
      <c r="F605"/>
    </row>
    <row r="606" spans="1:7" hidden="1" x14ac:dyDescent="0.2">
      <c r="B606" s="2294"/>
      <c r="C606" s="2294"/>
      <c r="D606" s="2294"/>
      <c r="E606"/>
      <c r="F606"/>
    </row>
    <row r="607" spans="1:7" hidden="1" x14ac:dyDescent="0.2">
      <c r="A607" s="2291" t="s">
        <v>6288</v>
      </c>
      <c r="B607" s="1634" t="s">
        <v>5896</v>
      </c>
      <c r="C607" s="2294" t="s">
        <v>6513</v>
      </c>
      <c r="D607"/>
      <c r="E607"/>
      <c r="F607"/>
    </row>
    <row r="608" spans="1:7" hidden="1" x14ac:dyDescent="0.2">
      <c r="A608" s="2291" t="s">
        <v>1378</v>
      </c>
      <c r="B608" s="2294" t="s">
        <v>2301</v>
      </c>
      <c r="C608"/>
      <c r="D608"/>
      <c r="E608"/>
      <c r="F608"/>
    </row>
    <row r="609" spans="1:6" hidden="1" x14ac:dyDescent="0.2">
      <c r="A609" s="2291" t="s">
        <v>1379</v>
      </c>
      <c r="B609" s="1634" t="s">
        <v>2408</v>
      </c>
      <c r="C609" s="2294" t="s">
        <v>2410</v>
      </c>
      <c r="D609"/>
      <c r="E609"/>
      <c r="F609"/>
    </row>
    <row r="610" spans="1:6" hidden="1" x14ac:dyDescent="0.2">
      <c r="A610" s="2291" t="s">
        <v>1380</v>
      </c>
      <c r="B610" s="1634" t="s">
        <v>2628</v>
      </c>
      <c r="C610" s="2294" t="s">
        <v>2630</v>
      </c>
      <c r="D610"/>
      <c r="E610"/>
      <c r="F610"/>
    </row>
    <row r="611" spans="1:6" hidden="1" x14ac:dyDescent="0.2">
      <c r="A611" s="2291" t="s">
        <v>1381</v>
      </c>
      <c r="B611" s="1634" t="s">
        <v>2639</v>
      </c>
      <c r="C611" s="2294" t="s">
        <v>2641</v>
      </c>
      <c r="D611"/>
      <c r="E611"/>
      <c r="F611"/>
    </row>
    <row r="612" spans="1:6" hidden="1" x14ac:dyDescent="0.2">
      <c r="A612" s="2291" t="s">
        <v>1382</v>
      </c>
      <c r="B612" s="1634" t="s">
        <v>6583</v>
      </c>
      <c r="C612" s="2294" t="s">
        <v>6585</v>
      </c>
      <c r="D612"/>
      <c r="E612"/>
      <c r="F612"/>
    </row>
    <row r="613" spans="1:6" hidden="1" x14ac:dyDescent="0.2">
      <c r="A613" s="2291" t="s">
        <v>1383</v>
      </c>
      <c r="B613" s="1634" t="s">
        <v>1384</v>
      </c>
      <c r="C613" s="1634" t="s">
        <v>6272</v>
      </c>
      <c r="D613" s="2294" t="s">
        <v>6274</v>
      </c>
      <c r="E613"/>
      <c r="F613"/>
    </row>
    <row r="614" spans="1:6" hidden="1" x14ac:dyDescent="0.2">
      <c r="A614" s="2291" t="s">
        <v>1385</v>
      </c>
      <c r="B614" s="1634" t="s">
        <v>1386</v>
      </c>
      <c r="C614" s="1634" t="s">
        <v>5021</v>
      </c>
      <c r="D614" s="2294" t="s">
        <v>5023</v>
      </c>
      <c r="E614"/>
      <c r="F614"/>
    </row>
    <row r="615" spans="1:6" hidden="1" x14ac:dyDescent="0.2">
      <c r="A615" s="2291" t="s">
        <v>1387</v>
      </c>
      <c r="B615" s="1634" t="s">
        <v>1388</v>
      </c>
      <c r="C615" s="1634" t="s">
        <v>5031</v>
      </c>
      <c r="D615" s="2294" t="s">
        <v>5033</v>
      </c>
      <c r="E615"/>
      <c r="F615"/>
    </row>
    <row r="616" spans="1:6" hidden="1" x14ac:dyDescent="0.2">
      <c r="A616" s="2291" t="s">
        <v>1389</v>
      </c>
      <c r="B616" s="1634" t="s">
        <v>223</v>
      </c>
      <c r="C616" s="1634" t="s">
        <v>2449</v>
      </c>
      <c r="D616" s="2294" t="s">
        <v>2451</v>
      </c>
      <c r="E616"/>
      <c r="F616"/>
    </row>
    <row r="617" spans="1:6" hidden="1" x14ac:dyDescent="0.2">
      <c r="A617" s="2291" t="s">
        <v>4229</v>
      </c>
      <c r="B617" s="1634" t="s">
        <v>4231</v>
      </c>
      <c r="C617" s="2294" t="s">
        <v>6420</v>
      </c>
      <c r="D617" s="2294"/>
      <c r="E617"/>
      <c r="F617"/>
    </row>
    <row r="618" spans="1:6" hidden="1" x14ac:dyDescent="0.2">
      <c r="A618" s="2307" t="s">
        <v>4662</v>
      </c>
      <c r="B618" s="2302" t="s">
        <v>2341</v>
      </c>
      <c r="C618" s="2302" t="s">
        <v>2343</v>
      </c>
      <c r="D618" s="2294"/>
      <c r="E618"/>
      <c r="F618"/>
    </row>
    <row r="619" spans="1:6" hidden="1" x14ac:dyDescent="0.2">
      <c r="A619" s="2307" t="s">
        <v>9366</v>
      </c>
      <c r="B619" s="2302" t="s">
        <v>2347</v>
      </c>
      <c r="C619" s="2302" t="s">
        <v>2349</v>
      </c>
      <c r="D619" s="2294"/>
      <c r="E619"/>
      <c r="F619"/>
    </row>
    <row r="620" spans="1:6" hidden="1" x14ac:dyDescent="0.2">
      <c r="B620" s="2294"/>
      <c r="C620"/>
      <c r="D620"/>
      <c r="E620"/>
    </row>
    <row r="621" spans="1:6" hidden="1" x14ac:dyDescent="0.2">
      <c r="A621" s="2291" t="s">
        <v>3418</v>
      </c>
      <c r="B621" s="2294" t="s">
        <v>3420</v>
      </c>
      <c r="C621" s="2294" t="s">
        <v>5680</v>
      </c>
      <c r="D621"/>
      <c r="E621"/>
    </row>
    <row r="622" spans="1:6" hidden="1" x14ac:dyDescent="0.2">
      <c r="A622" s="2291" t="s">
        <v>3421</v>
      </c>
      <c r="B622" s="2294" t="s">
        <v>3435</v>
      </c>
      <c r="C622"/>
      <c r="D622"/>
      <c r="E622"/>
    </row>
    <row r="623" spans="1:6" hidden="1" x14ac:dyDescent="0.2">
      <c r="A623" s="2291" t="s">
        <v>5736</v>
      </c>
      <c r="B623" s="2294" t="s">
        <v>5738</v>
      </c>
      <c r="C623" s="2294" t="s">
        <v>1106</v>
      </c>
      <c r="D623"/>
      <c r="E623"/>
    </row>
    <row r="624" spans="1:6" hidden="1" x14ac:dyDescent="0.2">
      <c r="A624" s="2291" t="s">
        <v>5739</v>
      </c>
      <c r="B624" s="1634" t="s">
        <v>5740</v>
      </c>
      <c r="C624" s="2294" t="s">
        <v>6748</v>
      </c>
      <c r="D624" s="2294" t="s">
        <v>1538</v>
      </c>
      <c r="E624"/>
    </row>
    <row r="625" spans="1:5" hidden="1" x14ac:dyDescent="0.2">
      <c r="A625" s="2291" t="s">
        <v>6749</v>
      </c>
      <c r="B625" s="1634" t="s">
        <v>6750</v>
      </c>
      <c r="C625" s="2294" t="s">
        <v>6752</v>
      </c>
      <c r="D625" s="2294" t="s">
        <v>6233</v>
      </c>
      <c r="E625"/>
    </row>
    <row r="626" spans="1:5" hidden="1" x14ac:dyDescent="0.2">
      <c r="A626" s="2291" t="s">
        <v>6753</v>
      </c>
      <c r="B626" s="1634" t="s">
        <v>6754</v>
      </c>
      <c r="C626" s="2294" t="s">
        <v>6756</v>
      </c>
      <c r="D626" s="2294" t="s">
        <v>3672</v>
      </c>
      <c r="E626"/>
    </row>
    <row r="627" spans="1:5" hidden="1" x14ac:dyDescent="0.2">
      <c r="A627" s="2291" t="s">
        <v>6757</v>
      </c>
      <c r="B627" s="1634" t="s">
        <v>6758</v>
      </c>
      <c r="C627" s="2294" t="s">
        <v>6760</v>
      </c>
      <c r="D627" s="2294" t="s">
        <v>3411</v>
      </c>
      <c r="E627"/>
    </row>
    <row r="628" spans="1:5" hidden="1" x14ac:dyDescent="0.2">
      <c r="A628" s="2291" t="s">
        <v>6761</v>
      </c>
      <c r="B628" s="1634" t="s">
        <v>6762</v>
      </c>
      <c r="C628" s="2294" t="s">
        <v>6764</v>
      </c>
      <c r="D628" s="2294" t="s">
        <v>597</v>
      </c>
      <c r="E628"/>
    </row>
    <row r="629" spans="1:5" hidden="1" x14ac:dyDescent="0.2">
      <c r="A629" s="2291" t="s">
        <v>6765</v>
      </c>
      <c r="B629" s="1634" t="s">
        <v>6766</v>
      </c>
      <c r="C629" s="1634" t="s">
        <v>6767</v>
      </c>
      <c r="D629" s="2294" t="s">
        <v>1725</v>
      </c>
      <c r="E629"/>
    </row>
    <row r="630" spans="1:5" hidden="1" x14ac:dyDescent="0.2">
      <c r="A630" s="2307" t="s">
        <v>9367</v>
      </c>
      <c r="B630" s="2302" t="s">
        <v>1775</v>
      </c>
      <c r="C630" s="2302" t="s">
        <v>6850</v>
      </c>
      <c r="D630" s="2294"/>
      <c r="E630"/>
    </row>
    <row r="631" spans="1:5" hidden="1" x14ac:dyDescent="0.2">
      <c r="A631" s="2307" t="s">
        <v>9368</v>
      </c>
      <c r="B631" s="2302" t="s">
        <v>6859</v>
      </c>
      <c r="C631" s="2302" t="s">
        <v>6493</v>
      </c>
      <c r="E631"/>
    </row>
    <row r="632" spans="1:5" hidden="1" x14ac:dyDescent="0.2">
      <c r="D632" s="2294"/>
      <c r="E632"/>
    </row>
    <row r="633" spans="1:5" hidden="1" x14ac:dyDescent="0.2">
      <c r="A633" s="2291" t="s">
        <v>6768</v>
      </c>
      <c r="B633" s="2294" t="s">
        <v>6769</v>
      </c>
      <c r="C633" s="2294" t="s">
        <v>3934</v>
      </c>
      <c r="D633" s="2294" t="s">
        <v>3935</v>
      </c>
      <c r="E633"/>
    </row>
    <row r="634" spans="1:5" hidden="1" x14ac:dyDescent="0.2">
      <c r="A634" s="2291" t="s">
        <v>6770</v>
      </c>
      <c r="B634" s="1634" t="s">
        <v>6536</v>
      </c>
      <c r="C634" s="2294" t="s">
        <v>4238</v>
      </c>
      <c r="D634" s="2294" t="s">
        <v>4239</v>
      </c>
      <c r="E634"/>
    </row>
    <row r="635" spans="1:5" hidden="1" x14ac:dyDescent="0.2">
      <c r="A635" s="2291" t="s">
        <v>6537</v>
      </c>
      <c r="B635" s="2294" t="s">
        <v>4984</v>
      </c>
      <c r="C635"/>
      <c r="D635"/>
      <c r="E635"/>
    </row>
    <row r="636" spans="1:5" hidden="1" x14ac:dyDescent="0.2">
      <c r="A636" s="2291" t="s">
        <v>6540</v>
      </c>
      <c r="B636" s="1634" t="s">
        <v>6541</v>
      </c>
      <c r="C636" s="2294" t="s">
        <v>6543</v>
      </c>
      <c r="D636" s="2294" t="s">
        <v>332</v>
      </c>
      <c r="E636" s="2294" t="s">
        <v>333</v>
      </c>
    </row>
    <row r="637" spans="1:5" hidden="1" x14ac:dyDescent="0.2">
      <c r="A637" s="2291" t="s">
        <v>6544</v>
      </c>
      <c r="B637" s="1634" t="s">
        <v>6545</v>
      </c>
      <c r="C637" s="2294" t="s">
        <v>6547</v>
      </c>
      <c r="D637" s="2294" t="s">
        <v>336</v>
      </c>
      <c r="E637" s="2294" t="s">
        <v>337</v>
      </c>
    </row>
    <row r="638" spans="1:5" hidden="1" x14ac:dyDescent="0.2">
      <c r="A638" s="2291" t="s">
        <v>6548</v>
      </c>
      <c r="B638" s="1634" t="s">
        <v>6549</v>
      </c>
      <c r="C638" s="2294" t="s">
        <v>6551</v>
      </c>
      <c r="D638" s="2294" t="s">
        <v>6479</v>
      </c>
      <c r="E638" s="2294" t="s">
        <v>6480</v>
      </c>
    </row>
    <row r="639" spans="1:5" hidden="1" x14ac:dyDescent="0.2">
      <c r="A639" s="2291" t="s">
        <v>6552</v>
      </c>
      <c r="B639" s="1634" t="s">
        <v>6553</v>
      </c>
      <c r="C639" s="2294" t="s">
        <v>6555</v>
      </c>
      <c r="D639" s="2294" t="s">
        <v>6483</v>
      </c>
      <c r="E639" s="2294" t="s">
        <v>6484</v>
      </c>
    </row>
    <row r="640" spans="1:5" hidden="1" x14ac:dyDescent="0.2">
      <c r="A640" s="2291" t="s">
        <v>6556</v>
      </c>
      <c r="B640" s="1634" t="s">
        <v>6557</v>
      </c>
      <c r="C640" s="2294" t="s">
        <v>6559</v>
      </c>
      <c r="D640" s="2294" t="s">
        <v>4057</v>
      </c>
      <c r="E640" s="2294" t="s">
        <v>4058</v>
      </c>
    </row>
    <row r="641" spans="1:5" hidden="1" x14ac:dyDescent="0.2">
      <c r="A641" s="2291" t="s">
        <v>6560</v>
      </c>
      <c r="B641" s="1634" t="s">
        <v>6095</v>
      </c>
      <c r="C641" s="2294" t="s">
        <v>6562</v>
      </c>
      <c r="D641" s="2294" t="s">
        <v>4061</v>
      </c>
      <c r="E641" s="2294" t="s">
        <v>4062</v>
      </c>
    </row>
    <row r="642" spans="1:5" hidden="1" x14ac:dyDescent="0.2">
      <c r="A642" s="2291" t="s">
        <v>6096</v>
      </c>
      <c r="B642" s="2294" t="s">
        <v>4066</v>
      </c>
      <c r="C642" s="2294" t="s">
        <v>4067</v>
      </c>
      <c r="D642" s="2294" t="s">
        <v>4068</v>
      </c>
      <c r="E642"/>
    </row>
    <row r="643" spans="1:5" hidden="1" x14ac:dyDescent="0.2">
      <c r="A643" s="2307" t="s">
        <v>9369</v>
      </c>
      <c r="B643" s="2302" t="s">
        <v>2258</v>
      </c>
      <c r="C643" s="2302" t="s">
        <v>2248</v>
      </c>
      <c r="D643" s="2302" t="s">
        <v>2249</v>
      </c>
      <c r="E643"/>
    </row>
    <row r="644" spans="1:5" hidden="1" x14ac:dyDescent="0.2">
      <c r="A644" s="2307" t="s">
        <v>9370</v>
      </c>
      <c r="B644" s="2302" t="s">
        <v>3837</v>
      </c>
      <c r="C644" s="2302" t="s">
        <v>3838</v>
      </c>
      <c r="D644" s="2302" t="s">
        <v>3839</v>
      </c>
      <c r="E644"/>
    </row>
    <row r="645" spans="1:5" hidden="1" x14ac:dyDescent="0.2">
      <c r="B645" s="2294"/>
      <c r="C645" s="2294"/>
      <c r="D645" s="2294"/>
      <c r="E645"/>
    </row>
    <row r="646" spans="1:5" hidden="1" x14ac:dyDescent="0.2">
      <c r="A646" s="2291" t="s">
        <v>5337</v>
      </c>
      <c r="B646" s="1634" t="s">
        <v>5338</v>
      </c>
      <c r="C646" s="2294" t="s">
        <v>5340</v>
      </c>
      <c r="D646" s="2294" t="s">
        <v>3615</v>
      </c>
      <c r="E646" s="2294" t="s">
        <v>3616</v>
      </c>
    </row>
    <row r="647" spans="1:5" hidden="1" x14ac:dyDescent="0.2">
      <c r="A647" s="2291" t="s">
        <v>5341</v>
      </c>
      <c r="B647" s="1634" t="s">
        <v>5342</v>
      </c>
      <c r="C647" s="2294" t="s">
        <v>4686</v>
      </c>
      <c r="D647" s="2294" t="s">
        <v>628</v>
      </c>
      <c r="E647" s="2294" t="s">
        <v>629</v>
      </c>
    </row>
    <row r="648" spans="1:5" hidden="1" x14ac:dyDescent="0.2">
      <c r="A648" s="2291" t="s">
        <v>4687</v>
      </c>
      <c r="B648" s="1634" t="s">
        <v>4688</v>
      </c>
      <c r="C648" s="2294" t="s">
        <v>4690</v>
      </c>
      <c r="D648" s="2294" t="s">
        <v>632</v>
      </c>
      <c r="E648" s="2294" t="s">
        <v>633</v>
      </c>
    </row>
    <row r="649" spans="1:5" hidden="1" x14ac:dyDescent="0.2">
      <c r="A649" s="2291" t="s">
        <v>4691</v>
      </c>
      <c r="B649" s="1634" t="s">
        <v>1888</v>
      </c>
      <c r="C649" s="2294" t="s">
        <v>1890</v>
      </c>
      <c r="D649" s="2294" t="s">
        <v>636</v>
      </c>
      <c r="E649" s="2294" t="s">
        <v>637</v>
      </c>
    </row>
    <row r="650" spans="1:5" hidden="1" x14ac:dyDescent="0.2">
      <c r="A650" s="2291" t="s">
        <v>1891</v>
      </c>
      <c r="B650" s="1634" t="s">
        <v>1892</v>
      </c>
      <c r="C650" s="2294" t="s">
        <v>1893</v>
      </c>
      <c r="D650" s="2294" t="s">
        <v>3936</v>
      </c>
      <c r="E650" s="2294" t="s">
        <v>3937</v>
      </c>
    </row>
    <row r="651" spans="1:5" hidden="1" x14ac:dyDescent="0.2">
      <c r="A651" s="2291" t="s">
        <v>1894</v>
      </c>
      <c r="B651" s="2294" t="s">
        <v>3938</v>
      </c>
      <c r="C651"/>
      <c r="D651"/>
      <c r="E651"/>
    </row>
    <row r="652" spans="1:5" hidden="1" x14ac:dyDescent="0.2">
      <c r="A652" s="2291" t="s">
        <v>169</v>
      </c>
      <c r="B652" s="1634" t="s">
        <v>170</v>
      </c>
      <c r="C652" s="2294" t="s">
        <v>171</v>
      </c>
      <c r="D652" s="2294" t="s">
        <v>3939</v>
      </c>
      <c r="E652" s="2294" t="s">
        <v>3940</v>
      </c>
    </row>
    <row r="653" spans="1:5" hidden="1" x14ac:dyDescent="0.2">
      <c r="A653" s="2291" t="s">
        <v>172</v>
      </c>
      <c r="B653" s="1634" t="s">
        <v>173</v>
      </c>
      <c r="C653" s="2294" t="s">
        <v>174</v>
      </c>
      <c r="D653" s="2294" t="s">
        <v>3941</v>
      </c>
      <c r="E653" s="2294" t="s">
        <v>3942</v>
      </c>
    </row>
    <row r="654" spans="1:5" hidden="1" x14ac:dyDescent="0.2">
      <c r="A654" s="2291" t="s">
        <v>175</v>
      </c>
      <c r="B654" s="1634" t="s">
        <v>176</v>
      </c>
      <c r="C654" s="2294" t="s">
        <v>177</v>
      </c>
      <c r="D654" s="2294" t="s">
        <v>3943</v>
      </c>
      <c r="E654" s="2294" t="s">
        <v>3944</v>
      </c>
    </row>
    <row r="655" spans="1:5" hidden="1" x14ac:dyDescent="0.2">
      <c r="A655" s="2291" t="s">
        <v>178</v>
      </c>
      <c r="B655" s="1634" t="s">
        <v>179</v>
      </c>
      <c r="C655" s="2294" t="s">
        <v>180</v>
      </c>
      <c r="D655" s="2294" t="s">
        <v>3945</v>
      </c>
      <c r="E655" s="2294" t="s">
        <v>3946</v>
      </c>
    </row>
    <row r="656" spans="1:5" hidden="1" x14ac:dyDescent="0.2">
      <c r="A656" s="2291" t="s">
        <v>181</v>
      </c>
      <c r="B656" s="1634" t="s">
        <v>182</v>
      </c>
      <c r="C656" s="2294" t="s">
        <v>183</v>
      </c>
      <c r="D656" s="2294" t="s">
        <v>3947</v>
      </c>
      <c r="E656" s="2294" t="s">
        <v>4499</v>
      </c>
    </row>
    <row r="657" spans="1:7" hidden="1" x14ac:dyDescent="0.2">
      <c r="A657" s="2291" t="s">
        <v>184</v>
      </c>
      <c r="B657" s="1634" t="s">
        <v>185</v>
      </c>
      <c r="C657" s="2294" t="s">
        <v>186</v>
      </c>
      <c r="D657" s="2294" t="s">
        <v>4500</v>
      </c>
      <c r="E657" s="2294" t="s">
        <v>4501</v>
      </c>
      <c r="F657"/>
      <c r="G657"/>
    </row>
    <row r="658" spans="1:7" hidden="1" x14ac:dyDescent="0.2">
      <c r="A658" s="2291" t="s">
        <v>187</v>
      </c>
      <c r="B658" s="2294" t="s">
        <v>188</v>
      </c>
      <c r="C658" s="2294" t="s">
        <v>4502</v>
      </c>
      <c r="D658" s="2294" t="s">
        <v>4503</v>
      </c>
      <c r="E658"/>
      <c r="F658"/>
      <c r="G658"/>
    </row>
    <row r="659" spans="1:7" hidden="1" x14ac:dyDescent="0.2">
      <c r="A659" s="2307" t="s">
        <v>9371</v>
      </c>
      <c r="B659" s="2302" t="s">
        <v>9372</v>
      </c>
      <c r="C659" s="2302" t="s">
        <v>9373</v>
      </c>
      <c r="D659" s="2302" t="s">
        <v>9374</v>
      </c>
      <c r="E659"/>
      <c r="F659"/>
      <c r="G659"/>
    </row>
    <row r="660" spans="1:7" hidden="1" x14ac:dyDescent="0.2">
      <c r="A660" s="2307" t="s">
        <v>9375</v>
      </c>
      <c r="B660" s="2302" t="s">
        <v>9376</v>
      </c>
      <c r="C660" s="2302" t="s">
        <v>9377</v>
      </c>
      <c r="D660" s="2302" t="s">
        <v>9378</v>
      </c>
      <c r="E660"/>
      <c r="F660"/>
      <c r="G660"/>
    </row>
    <row r="663" spans="1:7" hidden="1" x14ac:dyDescent="0.2">
      <c r="A663" s="2291" t="s">
        <v>189</v>
      </c>
      <c r="B663" s="1634" t="s">
        <v>4706</v>
      </c>
    </row>
    <row r="664" spans="1:7" hidden="1" x14ac:dyDescent="0.2">
      <c r="A664" s="2291" t="s">
        <v>190</v>
      </c>
      <c r="B664" s="1634" t="s">
        <v>4709</v>
      </c>
      <c r="C664" s="1634" t="s">
        <v>5475</v>
      </c>
      <c r="D664" s="1634" t="s">
        <v>3423</v>
      </c>
      <c r="E664" s="1634" t="s">
        <v>6462</v>
      </c>
      <c r="F664" s="1634" t="s">
        <v>4045</v>
      </c>
      <c r="G664" s="1634" t="s">
        <v>6684</v>
      </c>
    </row>
    <row r="665" spans="1:7" hidden="1" x14ac:dyDescent="0.2">
      <c r="A665" s="2291" t="s">
        <v>191</v>
      </c>
      <c r="B665" s="1634" t="s">
        <v>4711</v>
      </c>
      <c r="C665" s="1634" t="s">
        <v>6689</v>
      </c>
      <c r="D665" s="1634" t="s">
        <v>5424</v>
      </c>
      <c r="E665" s="1634" t="s">
        <v>6464</v>
      </c>
      <c r="F665" s="1634" t="s">
        <v>4047</v>
      </c>
      <c r="G665" s="1634" t="s">
        <v>6690</v>
      </c>
    </row>
    <row r="666" spans="1:7" hidden="1" x14ac:dyDescent="0.2">
      <c r="A666" s="2291" t="s">
        <v>2293</v>
      </c>
      <c r="B666" s="1634" t="s">
        <v>4713</v>
      </c>
      <c r="C666" s="1634" t="s">
        <v>4094</v>
      </c>
      <c r="D666" s="1634" t="s">
        <v>5430</v>
      </c>
      <c r="E666" s="1634" t="s">
        <v>2911</v>
      </c>
      <c r="F666" s="1634" t="s">
        <v>4095</v>
      </c>
      <c r="G666" s="1634" t="s">
        <v>4096</v>
      </c>
    </row>
    <row r="667" spans="1:7" hidden="1" x14ac:dyDescent="0.2">
      <c r="A667" s="2307" t="s">
        <v>420</v>
      </c>
      <c r="B667" s="2302" t="s">
        <v>2913</v>
      </c>
      <c r="C667" s="2302" t="s">
        <v>4100</v>
      </c>
      <c r="D667" s="2302" t="s">
        <v>4101</v>
      </c>
    </row>
    <row r="668" spans="1:7" hidden="1" x14ac:dyDescent="0.2">
      <c r="A668" s="2307" t="s">
        <v>421</v>
      </c>
      <c r="B668" s="2302" t="s">
        <v>2318</v>
      </c>
      <c r="C668" s="2302"/>
      <c r="D668" s="2302"/>
    </row>
    <row r="669" spans="1:7" hidden="1" x14ac:dyDescent="0.2">
      <c r="A669" s="2307" t="s">
        <v>422</v>
      </c>
      <c r="B669" s="2302" t="s">
        <v>1575</v>
      </c>
      <c r="C669" s="2302" t="s">
        <v>6606</v>
      </c>
      <c r="D669" s="2302" t="s">
        <v>5084</v>
      </c>
    </row>
    <row r="670" spans="1:7" hidden="1" x14ac:dyDescent="0.2">
      <c r="A670" s="2307" t="s">
        <v>2774</v>
      </c>
      <c r="B670" s="2302" t="s">
        <v>4078</v>
      </c>
      <c r="C670" s="2302" t="s">
        <v>3</v>
      </c>
      <c r="D670" s="2302" t="s">
        <v>1741</v>
      </c>
    </row>
    <row r="671" spans="1:7" hidden="1" x14ac:dyDescent="0.2">
      <c r="A671" s="2307" t="s">
        <v>9379</v>
      </c>
      <c r="B671" s="2302" t="s">
        <v>5479</v>
      </c>
      <c r="C671" s="2302" t="s">
        <v>3493</v>
      </c>
      <c r="D671" s="2302" t="s">
        <v>353</v>
      </c>
      <c r="E671" s="2302" t="s">
        <v>675</v>
      </c>
    </row>
    <row r="672" spans="1:7" hidden="1" x14ac:dyDescent="0.2">
      <c r="A672" s="2307" t="s">
        <v>9380</v>
      </c>
      <c r="B672" s="2302" t="s">
        <v>3495</v>
      </c>
      <c r="C672" s="2302" t="s">
        <v>681</v>
      </c>
      <c r="D672" s="2302" t="s">
        <v>682</v>
      </c>
    </row>
    <row r="673" spans="1:7" hidden="1" x14ac:dyDescent="0.2">
      <c r="A673" s="2307" t="s">
        <v>9381</v>
      </c>
      <c r="B673" s="2302" t="s">
        <v>3497</v>
      </c>
      <c r="C673" s="2302" t="s">
        <v>689</v>
      </c>
      <c r="D673" s="2302" t="s">
        <v>3677</v>
      </c>
    </row>
    <row r="674" spans="1:7" hidden="1" x14ac:dyDescent="0.2">
      <c r="A674" s="2307" t="s">
        <v>9382</v>
      </c>
      <c r="B674" s="2302" t="s">
        <v>139</v>
      </c>
      <c r="C674" s="2302" t="s">
        <v>140</v>
      </c>
      <c r="D674" s="2302" t="s">
        <v>2925</v>
      </c>
    </row>
    <row r="675" spans="1:7" hidden="1" x14ac:dyDescent="0.2">
      <c r="A675" s="2307" t="s">
        <v>9383</v>
      </c>
      <c r="B675" s="2302" t="s">
        <v>3397</v>
      </c>
      <c r="C675" s="2302" t="s">
        <v>3398</v>
      </c>
      <c r="D675" s="2302" t="s">
        <v>2384</v>
      </c>
    </row>
    <row r="676" spans="1:7" hidden="1" x14ac:dyDescent="0.2">
      <c r="A676" s="2307" t="s">
        <v>9384</v>
      </c>
      <c r="B676" s="2302" t="s">
        <v>3501</v>
      </c>
      <c r="C676" s="2302" t="s">
        <v>510</v>
      </c>
      <c r="D676" s="2302" t="s">
        <v>511</v>
      </c>
    </row>
    <row r="677" spans="1:7" hidden="1" x14ac:dyDescent="0.2">
      <c r="A677" s="2307" t="s">
        <v>9385</v>
      </c>
      <c r="B677" s="2302" t="s">
        <v>2928</v>
      </c>
      <c r="C677" s="2302" t="s">
        <v>2929</v>
      </c>
      <c r="D677" s="2302" t="s">
        <v>2930</v>
      </c>
    </row>
    <row r="679" spans="1:7" hidden="1" x14ac:dyDescent="0.2">
      <c r="A679" s="2291" t="s">
        <v>423</v>
      </c>
      <c r="B679" s="1634" t="s">
        <v>2612</v>
      </c>
      <c r="C679"/>
      <c r="D679"/>
      <c r="E679"/>
      <c r="F679"/>
      <c r="G679"/>
    </row>
    <row r="680" spans="1:7" hidden="1" x14ac:dyDescent="0.2">
      <c r="A680" s="2291" t="s">
        <v>4595</v>
      </c>
      <c r="B680" s="1634" t="s">
        <v>2723</v>
      </c>
      <c r="C680" s="1634" t="s">
        <v>6611</v>
      </c>
      <c r="D680"/>
      <c r="E680"/>
      <c r="F680"/>
      <c r="G680"/>
    </row>
    <row r="681" spans="1:7" hidden="1" x14ac:dyDescent="0.2">
      <c r="A681" s="2291" t="s">
        <v>4596</v>
      </c>
      <c r="B681" s="1634" t="s">
        <v>3099</v>
      </c>
      <c r="C681"/>
      <c r="D681"/>
      <c r="E681"/>
      <c r="F681"/>
      <c r="G681"/>
    </row>
    <row r="682" spans="1:7" hidden="1" x14ac:dyDescent="0.2">
      <c r="A682" s="2291" t="s">
        <v>4597</v>
      </c>
      <c r="B682" s="1634" t="s">
        <v>553</v>
      </c>
      <c r="C682" s="1634" t="s">
        <v>6619</v>
      </c>
      <c r="D682"/>
      <c r="E682"/>
      <c r="F682"/>
      <c r="G682"/>
    </row>
    <row r="683" spans="1:7" hidden="1" x14ac:dyDescent="0.2">
      <c r="A683" s="2291" t="s">
        <v>4598</v>
      </c>
      <c r="B683" s="1634" t="s">
        <v>2022</v>
      </c>
      <c r="C683"/>
      <c r="D683"/>
      <c r="E683"/>
      <c r="F683"/>
      <c r="G683"/>
    </row>
    <row r="684" spans="1:7" hidden="1" x14ac:dyDescent="0.2">
      <c r="A684" s="2291" t="s">
        <v>4599</v>
      </c>
      <c r="B684" s="1634" t="s">
        <v>4711</v>
      </c>
      <c r="C684" s="1634" t="s">
        <v>6688</v>
      </c>
      <c r="D684" s="1634" t="s">
        <v>6689</v>
      </c>
      <c r="E684" s="1634" t="s">
        <v>5424</v>
      </c>
      <c r="F684" s="1634" t="s">
        <v>4712</v>
      </c>
      <c r="G684"/>
    </row>
    <row r="685" spans="1:7" hidden="1" x14ac:dyDescent="0.2">
      <c r="A685" s="2291" t="s">
        <v>4600</v>
      </c>
      <c r="B685" s="1634" t="s">
        <v>4713</v>
      </c>
      <c r="C685" s="1634" t="s">
        <v>6694</v>
      </c>
      <c r="D685" s="1634" t="s">
        <v>4094</v>
      </c>
      <c r="E685" s="1634" t="s">
        <v>5430</v>
      </c>
      <c r="F685" s="1634" t="s">
        <v>4714</v>
      </c>
      <c r="G685"/>
    </row>
    <row r="686" spans="1:7" hidden="1" x14ac:dyDescent="0.2">
      <c r="A686" s="2291" t="s">
        <v>6873</v>
      </c>
      <c r="B686" s="1634" t="s">
        <v>2153</v>
      </c>
      <c r="C686" s="1634" t="s">
        <v>6697</v>
      </c>
      <c r="D686" s="1634" t="s">
        <v>4099</v>
      </c>
      <c r="E686" s="1634" t="s">
        <v>2154</v>
      </c>
      <c r="F686" s="1634" t="s">
        <v>5476</v>
      </c>
      <c r="G686"/>
    </row>
    <row r="687" spans="1:7" hidden="1" x14ac:dyDescent="0.2">
      <c r="A687" s="2291" t="s">
        <v>3290</v>
      </c>
      <c r="B687" s="1634" t="s">
        <v>4715</v>
      </c>
      <c r="C687" s="1634" t="s">
        <v>2660</v>
      </c>
      <c r="D687" s="1634" t="s">
        <v>4104</v>
      </c>
      <c r="E687" s="1634" t="s">
        <v>2161</v>
      </c>
      <c r="F687" s="1634" t="s">
        <v>4716</v>
      </c>
      <c r="G687"/>
    </row>
    <row r="688" spans="1:7" hidden="1" x14ac:dyDescent="0.2">
      <c r="A688" s="2291" t="s">
        <v>3291</v>
      </c>
      <c r="B688" s="1634" t="s">
        <v>4717</v>
      </c>
      <c r="C688" s="1634" t="s">
        <v>2663</v>
      </c>
      <c r="D688" s="1634" t="s">
        <v>2321</v>
      </c>
      <c r="E688" s="1634" t="s">
        <v>2168</v>
      </c>
      <c r="F688" s="1634" t="s">
        <v>6426</v>
      </c>
      <c r="G688"/>
    </row>
    <row r="689" spans="1:7" hidden="1" x14ac:dyDescent="0.2">
      <c r="A689" s="2291" t="s">
        <v>3292</v>
      </c>
      <c r="B689" s="1634" t="s">
        <v>6427</v>
      </c>
      <c r="C689" s="1634" t="s">
        <v>3859</v>
      </c>
      <c r="D689" s="1634" t="s">
        <v>2326</v>
      </c>
      <c r="E689" s="1634" t="s">
        <v>2174</v>
      </c>
      <c r="F689" s="1634" t="s">
        <v>6428</v>
      </c>
      <c r="G689"/>
    </row>
    <row r="690" spans="1:7" hidden="1" x14ac:dyDescent="0.2">
      <c r="A690" s="2291" t="s">
        <v>3293</v>
      </c>
      <c r="B690" s="1634" t="s">
        <v>6429</v>
      </c>
      <c r="C690" s="1634" t="s">
        <v>3862</v>
      </c>
      <c r="D690" s="1634" t="s">
        <v>6605</v>
      </c>
      <c r="E690" s="1634" t="s">
        <v>2181</v>
      </c>
      <c r="F690" s="1634" t="s">
        <v>6430</v>
      </c>
      <c r="G690"/>
    </row>
    <row r="691" spans="1:7" hidden="1" x14ac:dyDescent="0.2">
      <c r="A691" s="2291" t="s">
        <v>3294</v>
      </c>
      <c r="B691" s="1634" t="s">
        <v>2187</v>
      </c>
      <c r="C691" s="1634" t="s">
        <v>3052</v>
      </c>
      <c r="D691" s="1634" t="s">
        <v>2</v>
      </c>
      <c r="E691" s="1634" t="s">
        <v>2188</v>
      </c>
      <c r="F691" s="1634" t="s">
        <v>2921</v>
      </c>
      <c r="G691"/>
    </row>
    <row r="692" spans="1:7" hidden="1" x14ac:dyDescent="0.2">
      <c r="A692" s="2291" t="s">
        <v>3295</v>
      </c>
      <c r="B692" s="1634" t="s">
        <v>6431</v>
      </c>
      <c r="C692" s="1634" t="s">
        <v>3054</v>
      </c>
      <c r="D692" s="1634" t="s">
        <v>1744</v>
      </c>
      <c r="E692" s="1634" t="s">
        <v>3092</v>
      </c>
      <c r="F692" s="1634" t="s">
        <v>2923</v>
      </c>
      <c r="G692"/>
    </row>
    <row r="693" spans="1:7" hidden="1" x14ac:dyDescent="0.2">
      <c r="A693" s="2291" t="s">
        <v>3296</v>
      </c>
      <c r="B693" s="1634" t="s">
        <v>6432</v>
      </c>
      <c r="C693" s="1634" t="s">
        <v>3056</v>
      </c>
      <c r="D693" s="1634" t="s">
        <v>1749</v>
      </c>
      <c r="E693" s="1634" t="s">
        <v>3535</v>
      </c>
      <c r="F693" s="1634" t="s">
        <v>3301</v>
      </c>
      <c r="G693"/>
    </row>
    <row r="694" spans="1:7" hidden="1" x14ac:dyDescent="0.2">
      <c r="A694" s="2291" t="s">
        <v>3297</v>
      </c>
      <c r="B694" s="1634" t="s">
        <v>6433</v>
      </c>
      <c r="C694" s="1634" t="s">
        <v>3058</v>
      </c>
      <c r="D694" s="1634" t="s">
        <v>1727</v>
      </c>
      <c r="E694" s="1634" t="s">
        <v>6189</v>
      </c>
      <c r="F694" s="1634" t="s">
        <v>3303</v>
      </c>
      <c r="G694"/>
    </row>
    <row r="695" spans="1:7" hidden="1" x14ac:dyDescent="0.2">
      <c r="A695" s="2291" t="s">
        <v>3298</v>
      </c>
      <c r="B695" s="1634" t="s">
        <v>2276</v>
      </c>
      <c r="C695" s="1634" t="s">
        <v>3865</v>
      </c>
      <c r="D695" s="1634" t="s">
        <v>2493</v>
      </c>
      <c r="E695" s="1634" t="s">
        <v>2277</v>
      </c>
      <c r="F695" s="1634" t="s">
        <v>5477</v>
      </c>
    </row>
    <row r="696" spans="1:7" hidden="1" x14ac:dyDescent="0.2">
      <c r="A696" s="2291" t="s">
        <v>3299</v>
      </c>
      <c r="B696" s="1634" t="s">
        <v>6434</v>
      </c>
      <c r="C696" s="1634" t="s">
        <v>3868</v>
      </c>
      <c r="D696" s="1634" t="s">
        <v>5817</v>
      </c>
      <c r="E696" s="1634" t="s">
        <v>2284</v>
      </c>
      <c r="F696" s="1634" t="s">
        <v>6435</v>
      </c>
    </row>
    <row r="697" spans="1:7" hidden="1" x14ac:dyDescent="0.2">
      <c r="A697" s="2291" t="s">
        <v>6918</v>
      </c>
      <c r="B697" s="1634" t="s">
        <v>6436</v>
      </c>
      <c r="C697" s="1634" t="s">
        <v>3871</v>
      </c>
      <c r="D697" s="1634" t="s">
        <v>1069</v>
      </c>
      <c r="E697" s="1634" t="s">
        <v>270</v>
      </c>
      <c r="F697" s="1634" t="s">
        <v>6437</v>
      </c>
    </row>
    <row r="698" spans="1:7" hidden="1" x14ac:dyDescent="0.2">
      <c r="A698" s="2291" t="s">
        <v>6919</v>
      </c>
      <c r="B698" s="1634" t="s">
        <v>6438</v>
      </c>
      <c r="C698" s="1634" t="s">
        <v>3874</v>
      </c>
      <c r="D698" s="1634" t="s">
        <v>1075</v>
      </c>
      <c r="E698" s="1634" t="s">
        <v>277</v>
      </c>
      <c r="F698" s="1634" t="s">
        <v>6439</v>
      </c>
    </row>
    <row r="699" spans="1:7" hidden="1" x14ac:dyDescent="0.2">
      <c r="A699" s="2291" t="s">
        <v>6920</v>
      </c>
      <c r="B699" s="1634" t="s">
        <v>2945</v>
      </c>
      <c r="C699" s="1634" t="s">
        <v>3877</v>
      </c>
      <c r="D699" s="1634" t="s">
        <v>1781</v>
      </c>
      <c r="E699" s="1634" t="s">
        <v>2946</v>
      </c>
      <c r="F699" s="1634" t="s">
        <v>1782</v>
      </c>
    </row>
    <row r="700" spans="1:7" hidden="1" x14ac:dyDescent="0.2">
      <c r="A700" s="2291" t="s">
        <v>6921</v>
      </c>
      <c r="B700" s="1634" t="s">
        <v>2667</v>
      </c>
      <c r="C700" s="1634" t="s">
        <v>395</v>
      </c>
      <c r="D700" s="1634" t="s">
        <v>2668</v>
      </c>
      <c r="E700" s="1634" t="s">
        <v>2669</v>
      </c>
      <c r="F700" s="1634" t="s">
        <v>5478</v>
      </c>
    </row>
    <row r="701" spans="1:7" hidden="1" x14ac:dyDescent="0.2">
      <c r="A701" s="2291" t="s">
        <v>6922</v>
      </c>
      <c r="B701" s="1634" t="s">
        <v>661</v>
      </c>
      <c r="C701" s="1634" t="s">
        <v>662</v>
      </c>
      <c r="D701" s="1634" t="s">
        <v>663</v>
      </c>
      <c r="E701" s="1634" t="s">
        <v>664</v>
      </c>
      <c r="F701" s="1634" t="s">
        <v>665</v>
      </c>
    </row>
    <row r="702" spans="1:7" hidden="1" x14ac:dyDescent="0.2">
      <c r="A702" s="2291" t="s">
        <v>6923</v>
      </c>
      <c r="B702" s="1634" t="s">
        <v>671</v>
      </c>
      <c r="C702" s="1634" t="s">
        <v>672</v>
      </c>
      <c r="D702" s="1634" t="s">
        <v>673</v>
      </c>
      <c r="E702" s="1634" t="s">
        <v>674</v>
      </c>
      <c r="F702" s="1634" t="s">
        <v>5479</v>
      </c>
    </row>
    <row r="703" spans="1:7" hidden="1" x14ac:dyDescent="0.2">
      <c r="A703" s="2291" t="s">
        <v>6924</v>
      </c>
      <c r="B703" s="1634" t="s">
        <v>6441</v>
      </c>
      <c r="C703" s="1634" t="s">
        <v>678</v>
      </c>
      <c r="D703" s="1634" t="s">
        <v>679</v>
      </c>
      <c r="E703" s="1634" t="s">
        <v>680</v>
      </c>
      <c r="F703" s="1634" t="s">
        <v>6442</v>
      </c>
    </row>
    <row r="704" spans="1:7" hidden="1" x14ac:dyDescent="0.2">
      <c r="A704" s="2291" t="s">
        <v>574</v>
      </c>
      <c r="B704" s="1634" t="s">
        <v>6444</v>
      </c>
      <c r="C704" s="1634" t="s">
        <v>686</v>
      </c>
      <c r="D704" s="1634" t="s">
        <v>687</v>
      </c>
      <c r="E704" s="1634" t="s">
        <v>688</v>
      </c>
      <c r="F704" s="1634" t="s">
        <v>6445</v>
      </c>
    </row>
    <row r="705" spans="1:6" hidden="1" x14ac:dyDescent="0.2">
      <c r="A705" s="2291" t="s">
        <v>575</v>
      </c>
      <c r="B705" s="1634" t="s">
        <v>6447</v>
      </c>
      <c r="C705" s="1634" t="s">
        <v>3170</v>
      </c>
      <c r="D705" s="1634" t="s">
        <v>2562</v>
      </c>
      <c r="E705" s="1634" t="s">
        <v>2193</v>
      </c>
      <c r="F705" s="1634" t="s">
        <v>6448</v>
      </c>
    </row>
    <row r="706" spans="1:6" hidden="1" x14ac:dyDescent="0.2">
      <c r="A706" s="2291" t="s">
        <v>576</v>
      </c>
      <c r="B706" s="1634" t="s">
        <v>2196</v>
      </c>
      <c r="C706" s="1634" t="s">
        <v>3499</v>
      </c>
      <c r="D706" s="1634" t="s">
        <v>3394</v>
      </c>
      <c r="E706" s="1634" t="s">
        <v>3395</v>
      </c>
      <c r="F706" s="1634" t="s">
        <v>3396</v>
      </c>
    </row>
    <row r="707" spans="1:6" hidden="1" x14ac:dyDescent="0.2">
      <c r="A707" s="2291" t="s">
        <v>577</v>
      </c>
      <c r="B707" s="1634" t="s">
        <v>506</v>
      </c>
      <c r="C707" s="1634" t="s">
        <v>507</v>
      </c>
      <c r="D707" s="1634" t="s">
        <v>508</v>
      </c>
      <c r="E707" s="1634" t="s">
        <v>509</v>
      </c>
      <c r="F707" s="1634" t="s">
        <v>6450</v>
      </c>
    </row>
    <row r="708" spans="1:6" hidden="1" x14ac:dyDescent="0.2">
      <c r="A708" s="2291" t="s">
        <v>578</v>
      </c>
      <c r="B708" s="1634" t="s">
        <v>1969</v>
      </c>
      <c r="C708" s="1634" t="s">
        <v>1970</v>
      </c>
      <c r="D708" s="1634" t="s">
        <v>1971</v>
      </c>
      <c r="E708" s="1634" t="s">
        <v>1972</v>
      </c>
      <c r="F708" s="1634" t="s">
        <v>6452</v>
      </c>
    </row>
    <row r="709" spans="1:6" hidden="1" x14ac:dyDescent="0.2">
      <c r="A709" s="2291" t="s">
        <v>579</v>
      </c>
      <c r="B709" s="1634" t="s">
        <v>1976</v>
      </c>
      <c r="C709" s="1634" t="s">
        <v>3503</v>
      </c>
      <c r="D709" s="1634" t="s">
        <v>3246</v>
      </c>
      <c r="E709" s="1634" t="s">
        <v>3247</v>
      </c>
      <c r="F709" s="1634" t="s">
        <v>4523</v>
      </c>
    </row>
    <row r="710" spans="1:6" hidden="1" x14ac:dyDescent="0.2">
      <c r="A710" s="2291" t="s">
        <v>580</v>
      </c>
      <c r="B710" s="1634" t="s">
        <v>216</v>
      </c>
      <c r="C710"/>
      <c r="D710"/>
      <c r="E710"/>
      <c r="F710"/>
    </row>
    <row r="711" spans="1:6" hidden="1" x14ac:dyDescent="0.2">
      <c r="A711" s="2291" t="s">
        <v>581</v>
      </c>
      <c r="B711" s="1634" t="s">
        <v>6389</v>
      </c>
      <c r="C711" s="1634" t="s">
        <v>720</v>
      </c>
      <c r="D711"/>
      <c r="E711"/>
      <c r="F711"/>
    </row>
    <row r="712" spans="1:6" hidden="1" x14ac:dyDescent="0.2">
      <c r="A712" s="2291" t="s">
        <v>582</v>
      </c>
      <c r="B712" s="1634" t="s">
        <v>6399</v>
      </c>
      <c r="C712"/>
      <c r="D712"/>
      <c r="E712"/>
      <c r="F712"/>
    </row>
    <row r="713" spans="1:6" hidden="1" x14ac:dyDescent="0.2">
      <c r="A713" s="2291" t="s">
        <v>583</v>
      </c>
      <c r="B713" s="1634" t="s">
        <v>6409</v>
      </c>
      <c r="C713" s="1634" t="s">
        <v>1793</v>
      </c>
      <c r="D713"/>
      <c r="E713"/>
      <c r="F713"/>
    </row>
    <row r="714" spans="1:6" hidden="1" x14ac:dyDescent="0.2">
      <c r="A714" s="2291" t="s">
        <v>584</v>
      </c>
      <c r="B714" s="1634" t="s">
        <v>5242</v>
      </c>
      <c r="C714"/>
      <c r="D714"/>
      <c r="E714"/>
      <c r="F714"/>
    </row>
    <row r="715" spans="1:6" hidden="1" x14ac:dyDescent="0.2">
      <c r="A715" s="2291" t="s">
        <v>585</v>
      </c>
      <c r="B715" s="1634" t="s">
        <v>2300</v>
      </c>
      <c r="C715" s="1634" t="s">
        <v>5101</v>
      </c>
      <c r="D715" s="1634" t="s">
        <v>5102</v>
      </c>
      <c r="E715" s="1634" t="s">
        <v>2301</v>
      </c>
      <c r="F715" s="1634" t="s">
        <v>5103</v>
      </c>
    </row>
    <row r="716" spans="1:6" hidden="1" x14ac:dyDescent="0.2">
      <c r="A716" s="2291" t="s">
        <v>586</v>
      </c>
      <c r="B716" s="1634" t="s">
        <v>2303</v>
      </c>
      <c r="C716" s="1634" t="s">
        <v>524</v>
      </c>
      <c r="D716" s="1634" t="s">
        <v>525</v>
      </c>
      <c r="E716" s="1634" t="s">
        <v>2304</v>
      </c>
      <c r="F716" s="1634" t="s">
        <v>4823</v>
      </c>
    </row>
    <row r="717" spans="1:6" hidden="1" x14ac:dyDescent="0.2">
      <c r="A717" s="2291" t="s">
        <v>587</v>
      </c>
      <c r="B717" s="1634" t="s">
        <v>2419</v>
      </c>
      <c r="C717" s="1634" t="s">
        <v>2399</v>
      </c>
      <c r="D717" s="1634" t="s">
        <v>2400</v>
      </c>
      <c r="E717" s="1634" t="s">
        <v>2420</v>
      </c>
      <c r="F717" s="1634" t="s">
        <v>2401</v>
      </c>
    </row>
    <row r="718" spans="1:6" hidden="1" x14ac:dyDescent="0.2">
      <c r="A718" s="2291" t="s">
        <v>5203</v>
      </c>
      <c r="B718" s="1634" t="s">
        <v>2407</v>
      </c>
      <c r="C718" s="1634" t="s">
        <v>2408</v>
      </c>
      <c r="D718" s="1634" t="s">
        <v>2409</v>
      </c>
      <c r="E718" s="1634" t="s">
        <v>2410</v>
      </c>
      <c r="F718" s="1634" t="s">
        <v>4824</v>
      </c>
    </row>
    <row r="719" spans="1:6" hidden="1" x14ac:dyDescent="0.2">
      <c r="A719" s="2291" t="s">
        <v>5204</v>
      </c>
      <c r="B719" s="1634" t="s">
        <v>2417</v>
      </c>
      <c r="C719" s="1634" t="s">
        <v>2628</v>
      </c>
      <c r="D719" s="1634" t="s">
        <v>2629</v>
      </c>
      <c r="E719" s="1634" t="s">
        <v>2630</v>
      </c>
      <c r="F719" s="1634" t="s">
        <v>2631</v>
      </c>
    </row>
    <row r="720" spans="1:6" hidden="1" x14ac:dyDescent="0.2">
      <c r="A720" s="2291" t="s">
        <v>5205</v>
      </c>
      <c r="B720" s="1634" t="s">
        <v>2638</v>
      </c>
      <c r="C720" s="1634" t="s">
        <v>2639</v>
      </c>
      <c r="D720" s="1634" t="s">
        <v>2640</v>
      </c>
      <c r="E720" s="1634" t="s">
        <v>2641</v>
      </c>
      <c r="F720" s="1634" t="s">
        <v>4825</v>
      </c>
    </row>
    <row r="721" spans="1:6" hidden="1" x14ac:dyDescent="0.2">
      <c r="A721" s="2291" t="s">
        <v>6413</v>
      </c>
      <c r="B721" s="1634" t="s">
        <v>6582</v>
      </c>
      <c r="C721" s="1634" t="s">
        <v>6583</v>
      </c>
      <c r="D721" s="1634" t="s">
        <v>6584</v>
      </c>
      <c r="E721" s="1634" t="s">
        <v>6585</v>
      </c>
      <c r="F721" s="1634" t="s">
        <v>6586</v>
      </c>
    </row>
    <row r="722" spans="1:6" hidden="1" x14ac:dyDescent="0.2">
      <c r="A722" s="2291" t="s">
        <v>6414</v>
      </c>
      <c r="B722" s="1634" t="s">
        <v>6271</v>
      </c>
      <c r="C722" s="1634" t="s">
        <v>6272</v>
      </c>
      <c r="D722" s="1634" t="s">
        <v>6273</v>
      </c>
      <c r="E722" s="1634" t="s">
        <v>6274</v>
      </c>
      <c r="F722" s="1634" t="s">
        <v>6275</v>
      </c>
    </row>
    <row r="723" spans="1:6" hidden="1" x14ac:dyDescent="0.2">
      <c r="A723" s="2291" t="s">
        <v>6415</v>
      </c>
      <c r="B723" s="1634" t="s">
        <v>5020</v>
      </c>
      <c r="C723" s="1634" t="s">
        <v>5021</v>
      </c>
      <c r="D723" s="1634" t="s">
        <v>5022</v>
      </c>
      <c r="E723" s="1634" t="s">
        <v>5023</v>
      </c>
      <c r="F723" s="1634" t="s">
        <v>4826</v>
      </c>
    </row>
    <row r="724" spans="1:6" hidden="1" x14ac:dyDescent="0.2">
      <c r="A724" s="2291" t="s">
        <v>6416</v>
      </c>
      <c r="B724" s="1634" t="s">
        <v>5030</v>
      </c>
      <c r="C724" s="1634" t="s">
        <v>5031</v>
      </c>
      <c r="D724" s="1634" t="s">
        <v>5032</v>
      </c>
      <c r="E724" s="1634" t="s">
        <v>5033</v>
      </c>
      <c r="F724" s="1634" t="s">
        <v>5034</v>
      </c>
    </row>
    <row r="725" spans="1:6" hidden="1" x14ac:dyDescent="0.2">
      <c r="A725" s="2291" t="s">
        <v>6417</v>
      </c>
      <c r="B725" s="1634" t="s">
        <v>2448</v>
      </c>
      <c r="C725" s="1634" t="s">
        <v>2449</v>
      </c>
      <c r="D725" s="1634" t="s">
        <v>2450</v>
      </c>
      <c r="E725" s="1634" t="s">
        <v>2451</v>
      </c>
      <c r="F725" s="1634" t="s">
        <v>4827</v>
      </c>
    </row>
    <row r="726" spans="1:6" hidden="1" x14ac:dyDescent="0.2">
      <c r="A726" s="2291" t="s">
        <v>6418</v>
      </c>
      <c r="B726" s="1634" t="s">
        <v>4230</v>
      </c>
      <c r="C726" s="1634" t="s">
        <v>4231</v>
      </c>
      <c r="D726" s="1634" t="s">
        <v>6419</v>
      </c>
      <c r="E726" s="1634" t="s">
        <v>6420</v>
      </c>
      <c r="F726" s="1634" t="s">
        <v>6421</v>
      </c>
    </row>
    <row r="727" spans="1:6" hidden="1" x14ac:dyDescent="0.2">
      <c r="A727" s="2291" t="s">
        <v>6422</v>
      </c>
      <c r="B727" s="1634" t="s">
        <v>5140</v>
      </c>
      <c r="C727" s="1634" t="s">
        <v>5141</v>
      </c>
      <c r="D727" s="1634" t="s">
        <v>2336</v>
      </c>
      <c r="E727" s="1634" t="s">
        <v>2337</v>
      </c>
      <c r="F727" s="1634" t="s">
        <v>2338</v>
      </c>
    </row>
    <row r="728" spans="1:6" hidden="1" x14ac:dyDescent="0.2">
      <c r="A728" s="2291" t="s">
        <v>2339</v>
      </c>
      <c r="B728" s="1634" t="s">
        <v>2340</v>
      </c>
      <c r="C728" s="1634" t="s">
        <v>2341</v>
      </c>
      <c r="D728" s="1634" t="s">
        <v>2342</v>
      </c>
      <c r="E728" s="1634" t="s">
        <v>2343</v>
      </c>
      <c r="F728" s="1634" t="s">
        <v>2344</v>
      </c>
    </row>
    <row r="729" spans="1:6" hidden="1" x14ac:dyDescent="0.2">
      <c r="A729" s="2291" t="s">
        <v>2345</v>
      </c>
      <c r="B729" s="1634" t="s">
        <v>2346</v>
      </c>
      <c r="C729" s="1634" t="s">
        <v>2347</v>
      </c>
      <c r="D729" s="1634" t="s">
        <v>2348</v>
      </c>
      <c r="E729" s="1634" t="s">
        <v>2349</v>
      </c>
      <c r="F729" s="1634" t="s">
        <v>2350</v>
      </c>
    </row>
    <row r="730" spans="1:6" hidden="1" x14ac:dyDescent="0.2">
      <c r="A730" s="2291" t="s">
        <v>2351</v>
      </c>
      <c r="B730" s="1634" t="s">
        <v>2352</v>
      </c>
      <c r="C730" s="1634" t="s">
        <v>2353</v>
      </c>
      <c r="D730" s="1634" t="s">
        <v>2354</v>
      </c>
      <c r="E730" s="1634" t="s">
        <v>2355</v>
      </c>
      <c r="F730" s="1634" t="s">
        <v>2356</v>
      </c>
    </row>
    <row r="731" spans="1:6" hidden="1" x14ac:dyDescent="0.2">
      <c r="A731" s="2291" t="s">
        <v>2357</v>
      </c>
      <c r="B731" s="1634" t="s">
        <v>2358</v>
      </c>
      <c r="C731" s="1634" t="s">
        <v>2359</v>
      </c>
      <c r="D731" s="1634" t="s">
        <v>2360</v>
      </c>
      <c r="E731" s="1634" t="s">
        <v>2361</v>
      </c>
      <c r="F731" s="1634" t="s">
        <v>2362</v>
      </c>
    </row>
    <row r="732" spans="1:6" hidden="1" x14ac:dyDescent="0.2">
      <c r="A732" s="2291" t="s">
        <v>2363</v>
      </c>
      <c r="B732" s="1634" t="s">
        <v>6700</v>
      </c>
      <c r="C732" s="1634" t="s">
        <v>6701</v>
      </c>
      <c r="D732" s="1634" t="s">
        <v>6702</v>
      </c>
      <c r="E732" s="1634" t="s">
        <v>6703</v>
      </c>
      <c r="F732" s="1634" t="s">
        <v>2964</v>
      </c>
    </row>
    <row r="733" spans="1:6" hidden="1" x14ac:dyDescent="0.2">
      <c r="A733" s="2291" t="s">
        <v>3691</v>
      </c>
      <c r="B733" s="1634" t="s">
        <v>3692</v>
      </c>
      <c r="C733" s="1634" t="s">
        <v>3693</v>
      </c>
      <c r="D733" s="1634" t="s">
        <v>6204</v>
      </c>
      <c r="E733" s="1634" t="s">
        <v>6205</v>
      </c>
      <c r="F733" s="1634" t="s">
        <v>5575</v>
      </c>
    </row>
    <row r="734" spans="1:6" hidden="1" x14ac:dyDescent="0.2">
      <c r="A734" s="2291" t="s">
        <v>5576</v>
      </c>
      <c r="B734" s="1634" t="s">
        <v>5577</v>
      </c>
      <c r="C734" s="1634" t="s">
        <v>5578</v>
      </c>
      <c r="D734" s="1634" t="s">
        <v>5579</v>
      </c>
      <c r="E734" s="1634" t="s">
        <v>3644</v>
      </c>
      <c r="F734" s="1634" t="s">
        <v>3645</v>
      </c>
    </row>
    <row r="735" spans="1:6" hidden="1" x14ac:dyDescent="0.2">
      <c r="A735" s="2291" t="s">
        <v>3646</v>
      </c>
      <c r="B735" s="1634" t="s">
        <v>3647</v>
      </c>
      <c r="C735" s="1634" t="s">
        <v>3648</v>
      </c>
      <c r="D735" s="1634" t="s">
        <v>3649</v>
      </c>
      <c r="E735" s="1634" t="s">
        <v>3650</v>
      </c>
      <c r="F735" s="1634" t="s">
        <v>3651</v>
      </c>
    </row>
    <row r="736" spans="1:6" hidden="1" x14ac:dyDescent="0.2">
      <c r="A736" s="2291" t="s">
        <v>3652</v>
      </c>
      <c r="B736" s="1634" t="s">
        <v>5667</v>
      </c>
      <c r="C736" s="1634" t="s">
        <v>5668</v>
      </c>
      <c r="D736" s="1634" t="s">
        <v>5669</v>
      </c>
      <c r="E736" s="1634" t="s">
        <v>5670</v>
      </c>
      <c r="F736" s="1634" t="s">
        <v>5671</v>
      </c>
    </row>
    <row r="737" spans="1:6" hidden="1" x14ac:dyDescent="0.2">
      <c r="A737" s="2291" t="s">
        <v>5672</v>
      </c>
      <c r="B737" s="1634" t="s">
        <v>5673</v>
      </c>
      <c r="C737" s="1634" t="s">
        <v>5674</v>
      </c>
      <c r="D737" s="1634" t="s">
        <v>5675</v>
      </c>
      <c r="E737" s="1634" t="s">
        <v>5676</v>
      </c>
      <c r="F737" s="1634" t="s">
        <v>5677</v>
      </c>
    </row>
    <row r="738" spans="1:6" hidden="1" x14ac:dyDescent="0.2">
      <c r="A738" s="2291" t="s">
        <v>5678</v>
      </c>
      <c r="B738" s="1634" t="s">
        <v>3419</v>
      </c>
      <c r="C738" s="1634" t="s">
        <v>3420</v>
      </c>
      <c r="D738" s="1634" t="s">
        <v>5679</v>
      </c>
      <c r="E738" s="1634" t="s">
        <v>5680</v>
      </c>
      <c r="F738" s="1634" t="s">
        <v>3431</v>
      </c>
    </row>
    <row r="739" spans="1:6" hidden="1" x14ac:dyDescent="0.2">
      <c r="A739" s="2291" t="s">
        <v>3432</v>
      </c>
      <c r="B739" s="1634" t="s">
        <v>3433</v>
      </c>
      <c r="C739" s="1634" t="s">
        <v>5735</v>
      </c>
      <c r="D739" s="1634" t="s">
        <v>3434</v>
      </c>
      <c r="E739" s="1634" t="s">
        <v>3435</v>
      </c>
      <c r="F739" s="1634" t="s">
        <v>3436</v>
      </c>
    </row>
    <row r="740" spans="1:6" hidden="1" x14ac:dyDescent="0.2">
      <c r="A740" s="2291" t="s">
        <v>3437</v>
      </c>
      <c r="B740" s="1634" t="s">
        <v>6487</v>
      </c>
      <c r="C740" s="1634" t="s">
        <v>6488</v>
      </c>
      <c r="D740" s="1634" t="s">
        <v>6489</v>
      </c>
      <c r="E740" s="1634" t="s">
        <v>6490</v>
      </c>
      <c r="F740" s="1634" t="s">
        <v>6491</v>
      </c>
    </row>
    <row r="741" spans="1:6" hidden="1" x14ac:dyDescent="0.2">
      <c r="A741" s="2291" t="s">
        <v>6492</v>
      </c>
      <c r="B741" s="1634" t="s">
        <v>6493</v>
      </c>
      <c r="C741"/>
      <c r="D741"/>
      <c r="E741"/>
      <c r="F741"/>
    </row>
    <row r="742" spans="1:6" hidden="1" x14ac:dyDescent="0.2">
      <c r="A742" s="2291" t="s">
        <v>690</v>
      </c>
      <c r="B742" s="1634" t="s">
        <v>691</v>
      </c>
      <c r="C742" s="1634" t="s">
        <v>692</v>
      </c>
      <c r="D742"/>
      <c r="E742"/>
      <c r="F742"/>
    </row>
    <row r="743" spans="1:6" hidden="1" x14ac:dyDescent="0.2">
      <c r="A743" s="2291" t="s">
        <v>693</v>
      </c>
      <c r="B743" s="1634" t="s">
        <v>694</v>
      </c>
      <c r="C743"/>
      <c r="D743"/>
      <c r="E743"/>
      <c r="F743"/>
    </row>
    <row r="744" spans="1:6" hidden="1" x14ac:dyDescent="0.2">
      <c r="A744" s="2291" t="s">
        <v>4232</v>
      </c>
      <c r="B744" s="1634" t="s">
        <v>4233</v>
      </c>
      <c r="C744" s="1634" t="s">
        <v>6046</v>
      </c>
      <c r="D744"/>
      <c r="E744"/>
      <c r="F744"/>
    </row>
    <row r="745" spans="1:6" hidden="1" x14ac:dyDescent="0.2">
      <c r="A745" s="2291" t="s">
        <v>4234</v>
      </c>
      <c r="B745" s="1634" t="s">
        <v>4235</v>
      </c>
      <c r="C745"/>
      <c r="D745"/>
      <c r="E745"/>
      <c r="F745"/>
    </row>
    <row r="746" spans="1:6" hidden="1" x14ac:dyDescent="0.2">
      <c r="A746" s="2291" t="s">
        <v>4236</v>
      </c>
      <c r="B746" s="1634" t="s">
        <v>4237</v>
      </c>
      <c r="C746" s="1634" t="s">
        <v>6536</v>
      </c>
      <c r="D746" s="1634" t="s">
        <v>4238</v>
      </c>
      <c r="E746" s="1634" t="s">
        <v>4239</v>
      </c>
      <c r="F746" s="1634" t="s">
        <v>4240</v>
      </c>
    </row>
    <row r="747" spans="1:6" hidden="1" x14ac:dyDescent="0.2">
      <c r="A747" s="2291" t="s">
        <v>4241</v>
      </c>
      <c r="B747" s="1634" t="s">
        <v>4981</v>
      </c>
      <c r="C747" s="1634" t="s">
        <v>4982</v>
      </c>
      <c r="D747" s="1634" t="s">
        <v>4983</v>
      </c>
      <c r="E747" s="1634" t="s">
        <v>4984</v>
      </c>
      <c r="F747" s="1634" t="s">
        <v>5131</v>
      </c>
    </row>
    <row r="748" spans="1:6" hidden="1" x14ac:dyDescent="0.2">
      <c r="A748" s="2291" t="s">
        <v>5132</v>
      </c>
      <c r="B748" s="1634" t="s">
        <v>5133</v>
      </c>
      <c r="C748" s="1634" t="s">
        <v>5134</v>
      </c>
      <c r="D748" s="1634" t="s">
        <v>5135</v>
      </c>
      <c r="E748" s="1634" t="s">
        <v>5136</v>
      </c>
      <c r="F748" s="1634" t="s">
        <v>5137</v>
      </c>
    </row>
    <row r="749" spans="1:6" hidden="1" x14ac:dyDescent="0.2">
      <c r="A749" s="2291" t="s">
        <v>5138</v>
      </c>
      <c r="B749" s="1634" t="s">
        <v>6538</v>
      </c>
      <c r="C749" s="1634" t="s">
        <v>6539</v>
      </c>
      <c r="D749" s="1634" t="s">
        <v>1002</v>
      </c>
      <c r="E749" s="1634" t="s">
        <v>1003</v>
      </c>
      <c r="F749" s="1634" t="s">
        <v>5343</v>
      </c>
    </row>
    <row r="750" spans="1:6" hidden="1" x14ac:dyDescent="0.2">
      <c r="A750" s="2291" t="s">
        <v>5344</v>
      </c>
      <c r="B750" s="1634" t="s">
        <v>6542</v>
      </c>
      <c r="C750" s="1634" t="s">
        <v>6543</v>
      </c>
      <c r="D750" s="1634" t="s">
        <v>332</v>
      </c>
      <c r="E750" s="1634" t="s">
        <v>333</v>
      </c>
      <c r="F750" s="1634" t="s">
        <v>334</v>
      </c>
    </row>
    <row r="751" spans="1:6" hidden="1" x14ac:dyDescent="0.2">
      <c r="A751" s="2291" t="s">
        <v>335</v>
      </c>
      <c r="B751" s="1634" t="s">
        <v>6546</v>
      </c>
      <c r="C751" s="1634" t="s">
        <v>6547</v>
      </c>
      <c r="D751" s="1634" t="s">
        <v>336</v>
      </c>
      <c r="E751" s="1634" t="s">
        <v>337</v>
      </c>
      <c r="F751" s="1634" t="s">
        <v>338</v>
      </c>
    </row>
    <row r="752" spans="1:6" hidden="1" x14ac:dyDescent="0.2">
      <c r="A752" s="2291" t="s">
        <v>339</v>
      </c>
      <c r="B752" s="1634" t="s">
        <v>6550</v>
      </c>
      <c r="C752" s="1634" t="s">
        <v>6551</v>
      </c>
      <c r="D752" s="1634" t="s">
        <v>6479</v>
      </c>
      <c r="E752" s="1634" t="s">
        <v>6480</v>
      </c>
      <c r="F752" s="1634" t="s">
        <v>6481</v>
      </c>
    </row>
    <row r="753" spans="1:6" hidden="1" x14ac:dyDescent="0.2">
      <c r="A753" s="2291" t="s">
        <v>6482</v>
      </c>
      <c r="B753" s="1634" t="s">
        <v>6554</v>
      </c>
      <c r="C753" s="1634" t="s">
        <v>6555</v>
      </c>
      <c r="D753" s="1634" t="s">
        <v>6483</v>
      </c>
      <c r="E753" s="1634" t="s">
        <v>6484</v>
      </c>
      <c r="F753" s="1634" t="s">
        <v>4055</v>
      </c>
    </row>
    <row r="754" spans="1:6" hidden="1" x14ac:dyDescent="0.2">
      <c r="A754" s="2291" t="s">
        <v>4056</v>
      </c>
      <c r="B754" s="1634" t="s">
        <v>6558</v>
      </c>
      <c r="C754" s="1634" t="s">
        <v>6559</v>
      </c>
      <c r="D754" s="1634" t="s">
        <v>4057</v>
      </c>
      <c r="E754" s="1634" t="s">
        <v>4058</v>
      </c>
      <c r="F754" s="1634" t="s">
        <v>4059</v>
      </c>
    </row>
    <row r="755" spans="1:6" hidden="1" x14ac:dyDescent="0.2">
      <c r="A755" s="2291" t="s">
        <v>4060</v>
      </c>
      <c r="B755" s="1634" t="s">
        <v>6561</v>
      </c>
      <c r="C755" s="1634" t="s">
        <v>6562</v>
      </c>
      <c r="D755" s="1634" t="s">
        <v>4061</v>
      </c>
      <c r="E755" s="1634" t="s">
        <v>4062</v>
      </c>
      <c r="F755" s="1634" t="s">
        <v>4063</v>
      </c>
    </row>
    <row r="756" spans="1:6" hidden="1" x14ac:dyDescent="0.2">
      <c r="A756" s="2291" t="s">
        <v>4064</v>
      </c>
      <c r="B756" s="1634" t="s">
        <v>4065</v>
      </c>
      <c r="C756" s="1634" t="s">
        <v>4066</v>
      </c>
      <c r="D756" s="1634" t="s">
        <v>4067</v>
      </c>
      <c r="E756" s="1634" t="s">
        <v>4068</v>
      </c>
      <c r="F756" s="1634" t="s">
        <v>4069</v>
      </c>
    </row>
    <row r="757" spans="1:6" hidden="1" x14ac:dyDescent="0.2">
      <c r="A757" s="2291" t="s">
        <v>4070</v>
      </c>
      <c r="B757" s="1634" t="s">
        <v>4071</v>
      </c>
      <c r="C757" s="1634" t="s">
        <v>3819</v>
      </c>
      <c r="D757" s="1634" t="s">
        <v>1077</v>
      </c>
      <c r="E757" s="1634" t="s">
        <v>1078</v>
      </c>
      <c r="F757" s="1634" t="s">
        <v>2255</v>
      </c>
    </row>
    <row r="758" spans="1:6" hidden="1" x14ac:dyDescent="0.2">
      <c r="A758" s="2291" t="s">
        <v>2256</v>
      </c>
      <c r="B758" s="1634" t="s">
        <v>2257</v>
      </c>
      <c r="C758" s="1634" t="s">
        <v>2258</v>
      </c>
      <c r="D758" s="1634" t="s">
        <v>2248</v>
      </c>
      <c r="E758" s="1634" t="s">
        <v>2249</v>
      </c>
      <c r="F758" s="1634" t="s">
        <v>2250</v>
      </c>
    </row>
    <row r="759" spans="1:6" hidden="1" x14ac:dyDescent="0.2">
      <c r="A759" s="2291" t="s">
        <v>2251</v>
      </c>
      <c r="B759" s="1634" t="s">
        <v>3836</v>
      </c>
      <c r="C759" s="1634" t="s">
        <v>3837</v>
      </c>
      <c r="D759" s="1634" t="s">
        <v>3838</v>
      </c>
      <c r="E759" s="1634" t="s">
        <v>3839</v>
      </c>
      <c r="F759" s="1634" t="s">
        <v>3840</v>
      </c>
    </row>
    <row r="760" spans="1:6" hidden="1" x14ac:dyDescent="0.2">
      <c r="A760" s="2291" t="s">
        <v>3841</v>
      </c>
      <c r="B760" s="1634" t="s">
        <v>3842</v>
      </c>
      <c r="C760" s="1634" t="s">
        <v>3843</v>
      </c>
      <c r="D760" s="1634" t="s">
        <v>3844</v>
      </c>
      <c r="E760" s="1634" t="s">
        <v>3845</v>
      </c>
      <c r="F760" s="1634" t="s">
        <v>3846</v>
      </c>
    </row>
    <row r="761" spans="1:6" hidden="1" x14ac:dyDescent="0.2">
      <c r="A761" s="2291" t="s">
        <v>3847</v>
      </c>
      <c r="B761" s="1634" t="s">
        <v>3848</v>
      </c>
      <c r="C761" s="1634" t="s">
        <v>3849</v>
      </c>
      <c r="D761" s="1634" t="s">
        <v>3850</v>
      </c>
      <c r="E761" s="1634" t="s">
        <v>3851</v>
      </c>
      <c r="F761" s="1634" t="s">
        <v>3852</v>
      </c>
    </row>
    <row r="762" spans="1:6" hidden="1" x14ac:dyDescent="0.2">
      <c r="A762" s="2291" t="s">
        <v>2598</v>
      </c>
      <c r="B762" s="1634" t="s">
        <v>2599</v>
      </c>
      <c r="C762" s="1634" t="s">
        <v>2600</v>
      </c>
      <c r="D762" s="1634" t="s">
        <v>2601</v>
      </c>
      <c r="E762" s="1634" t="s">
        <v>2602</v>
      </c>
      <c r="F762" s="1634" t="s">
        <v>2603</v>
      </c>
    </row>
    <row r="763" spans="1:6" hidden="1" x14ac:dyDescent="0.2">
      <c r="A763" s="2291" t="s">
        <v>2604</v>
      </c>
      <c r="B763" s="1634" t="s">
        <v>2605</v>
      </c>
      <c r="C763" s="1634" t="s">
        <v>2606</v>
      </c>
      <c r="D763" s="1634" t="s">
        <v>2607</v>
      </c>
      <c r="E763" s="1634" t="s">
        <v>2608</v>
      </c>
      <c r="F763" s="1634" t="s">
        <v>2609</v>
      </c>
    </row>
    <row r="764" spans="1:6" hidden="1" x14ac:dyDescent="0.2">
      <c r="A764" s="2291" t="s">
        <v>2610</v>
      </c>
      <c r="B764" s="1634" t="s">
        <v>2611</v>
      </c>
      <c r="C764" s="1634" t="s">
        <v>5891</v>
      </c>
      <c r="D764" s="1634" t="s">
        <v>5892</v>
      </c>
      <c r="E764" s="1634" t="s">
        <v>5893</v>
      </c>
      <c r="F764" s="1634" t="s">
        <v>5894</v>
      </c>
    </row>
    <row r="765" spans="1:6" hidden="1" x14ac:dyDescent="0.2">
      <c r="A765" s="2291" t="s">
        <v>5895</v>
      </c>
      <c r="B765" s="1634" t="s">
        <v>3597</v>
      </c>
      <c r="C765" s="1634" t="s">
        <v>3598</v>
      </c>
      <c r="D765" s="1634" t="s">
        <v>3599</v>
      </c>
      <c r="E765" s="1634" t="s">
        <v>3600</v>
      </c>
      <c r="F765" s="1634" t="s">
        <v>3601</v>
      </c>
    </row>
    <row r="766" spans="1:6" hidden="1" x14ac:dyDescent="0.2">
      <c r="A766" s="2291" t="s">
        <v>3602</v>
      </c>
      <c r="B766" s="1634" t="s">
        <v>3603</v>
      </c>
      <c r="C766" s="1634" t="s">
        <v>3604</v>
      </c>
      <c r="D766" s="1634" t="s">
        <v>3605</v>
      </c>
      <c r="E766" s="1634" t="s">
        <v>3606</v>
      </c>
      <c r="F766" s="1634" t="s">
        <v>3607</v>
      </c>
    </row>
    <row r="767" spans="1:6" hidden="1" x14ac:dyDescent="0.2">
      <c r="A767" s="2291" t="s">
        <v>3608</v>
      </c>
      <c r="B767" s="1634" t="s">
        <v>3609</v>
      </c>
      <c r="C767" s="1634" t="s">
        <v>3610</v>
      </c>
      <c r="D767" s="1634" t="s">
        <v>3611</v>
      </c>
      <c r="E767" s="1634" t="s">
        <v>3612</v>
      </c>
      <c r="F767" s="1634" t="s">
        <v>3613</v>
      </c>
    </row>
    <row r="768" spans="1:6" hidden="1" x14ac:dyDescent="0.2">
      <c r="A768" s="2291" t="s">
        <v>3614</v>
      </c>
      <c r="B768" s="1634" t="s">
        <v>5339</v>
      </c>
      <c r="C768" s="1634" t="s">
        <v>5340</v>
      </c>
      <c r="D768" s="1634" t="s">
        <v>3615</v>
      </c>
      <c r="E768" s="1634" t="s">
        <v>3616</v>
      </c>
      <c r="F768" s="1634" t="s">
        <v>3617</v>
      </c>
    </row>
    <row r="769" spans="1:6" hidden="1" x14ac:dyDescent="0.2">
      <c r="A769" s="2291" t="s">
        <v>627</v>
      </c>
      <c r="B769" s="1634" t="s">
        <v>4685</v>
      </c>
      <c r="C769" s="1634" t="s">
        <v>4686</v>
      </c>
      <c r="D769" s="1634" t="s">
        <v>628</v>
      </c>
      <c r="E769" s="1634" t="s">
        <v>629</v>
      </c>
      <c r="F769" s="1634" t="s">
        <v>630</v>
      </c>
    </row>
    <row r="770" spans="1:6" hidden="1" x14ac:dyDescent="0.2">
      <c r="A770" s="2291" t="s">
        <v>631</v>
      </c>
      <c r="B770" s="1634" t="s">
        <v>4689</v>
      </c>
      <c r="C770" s="1634" t="s">
        <v>4690</v>
      </c>
      <c r="D770" s="1634" t="s">
        <v>632</v>
      </c>
      <c r="E770" s="1634" t="s">
        <v>633</v>
      </c>
      <c r="F770" s="1634" t="s">
        <v>634</v>
      </c>
    </row>
    <row r="771" spans="1:6" hidden="1" x14ac:dyDescent="0.2">
      <c r="A771" s="2291" t="s">
        <v>635</v>
      </c>
      <c r="B771" s="1634" t="s">
        <v>1889</v>
      </c>
      <c r="C771" s="1634" t="s">
        <v>1890</v>
      </c>
      <c r="D771" s="1634" t="s">
        <v>636</v>
      </c>
      <c r="E771" s="1634" t="s">
        <v>637</v>
      </c>
      <c r="F771" s="1634" t="s">
        <v>638</v>
      </c>
    </row>
    <row r="774" spans="1:6" hidden="1" x14ac:dyDescent="0.2">
      <c r="A774" s="2291" t="s">
        <v>639</v>
      </c>
      <c r="B774" s="1634" t="s">
        <v>3882</v>
      </c>
      <c r="C774"/>
      <c r="D774"/>
      <c r="E774"/>
      <c r="F774"/>
    </row>
    <row r="775" spans="1:6" hidden="1" x14ac:dyDescent="0.2">
      <c r="A775" s="2291" t="s">
        <v>641</v>
      </c>
      <c r="B775" s="1634" t="s">
        <v>640</v>
      </c>
      <c r="C775"/>
      <c r="D775"/>
      <c r="E775"/>
      <c r="F775"/>
    </row>
    <row r="776" spans="1:6" hidden="1" x14ac:dyDescent="0.2">
      <c r="A776" s="2291" t="s">
        <v>642</v>
      </c>
      <c r="B776" s="1634" t="s">
        <v>2716</v>
      </c>
      <c r="C776"/>
      <c r="D776"/>
      <c r="E776"/>
      <c r="F776"/>
    </row>
    <row r="777" spans="1:6" hidden="1" x14ac:dyDescent="0.2">
      <c r="A777" s="2291" t="s">
        <v>643</v>
      </c>
      <c r="B777" s="1634" t="s">
        <v>5694</v>
      </c>
      <c r="C777"/>
      <c r="D777"/>
      <c r="E777"/>
      <c r="F777"/>
    </row>
    <row r="778" spans="1:6" hidden="1" x14ac:dyDescent="0.2">
      <c r="A778" s="2291" t="s">
        <v>644</v>
      </c>
      <c r="B778" s="1634" t="s">
        <v>5696</v>
      </c>
      <c r="C778"/>
      <c r="D778"/>
      <c r="E778"/>
      <c r="F778"/>
    </row>
    <row r="779" spans="1:6" hidden="1" x14ac:dyDescent="0.2">
      <c r="A779" s="2291" t="s">
        <v>645</v>
      </c>
      <c r="B779" s="1634" t="s">
        <v>4706</v>
      </c>
      <c r="C779"/>
      <c r="D779"/>
      <c r="E779"/>
      <c r="F779"/>
    </row>
    <row r="780" spans="1:6" hidden="1" x14ac:dyDescent="0.2">
      <c r="A780" s="2291" t="s">
        <v>646</v>
      </c>
      <c r="B780" s="1634" t="s">
        <v>4708</v>
      </c>
      <c r="C780" s="164"/>
      <c r="D780"/>
      <c r="E780"/>
      <c r="F780"/>
    </row>
    <row r="781" spans="1:6" hidden="1" x14ac:dyDescent="0.2">
      <c r="A781" s="2291" t="s">
        <v>647</v>
      </c>
      <c r="B781" s="1634" t="s">
        <v>4047</v>
      </c>
      <c r="C781"/>
      <c r="D781"/>
      <c r="E781"/>
      <c r="F781"/>
    </row>
    <row r="782" spans="1:6" hidden="1" x14ac:dyDescent="0.2">
      <c r="A782" s="2307" t="s">
        <v>2969</v>
      </c>
      <c r="B782" s="2302" t="s">
        <v>4100</v>
      </c>
      <c r="C782"/>
      <c r="D782"/>
      <c r="E782"/>
      <c r="F782"/>
    </row>
    <row r="783" spans="1:6" hidden="1" x14ac:dyDescent="0.2">
      <c r="A783" s="2307" t="s">
        <v>2970</v>
      </c>
      <c r="B783" s="2304" t="s">
        <v>2188</v>
      </c>
      <c r="C783"/>
      <c r="D783"/>
      <c r="E783"/>
      <c r="F783"/>
    </row>
    <row r="784" spans="1:6" hidden="1" x14ac:dyDescent="0.2">
      <c r="A784" s="2307" t="s">
        <v>2971</v>
      </c>
      <c r="B784" s="2304" t="s">
        <v>3092</v>
      </c>
      <c r="C784"/>
      <c r="D784"/>
      <c r="E784"/>
      <c r="F784"/>
    </row>
    <row r="785" spans="1:6" hidden="1" x14ac:dyDescent="0.2">
      <c r="A785" s="2307" t="s">
        <v>2972</v>
      </c>
      <c r="B785" s="1634" t="s">
        <v>6441</v>
      </c>
      <c r="C785"/>
      <c r="D785"/>
      <c r="E785"/>
      <c r="F785"/>
    </row>
    <row r="786" spans="1:6" hidden="1" x14ac:dyDescent="0.2">
      <c r="A786" s="2307" t="s">
        <v>2973</v>
      </c>
      <c r="B786" s="1634" t="s">
        <v>2193</v>
      </c>
      <c r="C786"/>
      <c r="D786"/>
      <c r="E786"/>
      <c r="F786"/>
    </row>
    <row r="787" spans="1:6" hidden="1" x14ac:dyDescent="0.2">
      <c r="A787" s="2307" t="s">
        <v>2974</v>
      </c>
      <c r="B787" s="1634" t="s">
        <v>6450</v>
      </c>
      <c r="C787"/>
      <c r="D787"/>
      <c r="E787"/>
      <c r="F787"/>
    </row>
    <row r="788" spans="1:6" hidden="1" x14ac:dyDescent="0.2">
      <c r="A788" s="2307" t="s">
        <v>2975</v>
      </c>
      <c r="B788" s="1634" t="s">
        <v>4523</v>
      </c>
      <c r="C788"/>
      <c r="D788"/>
      <c r="E788"/>
      <c r="F788"/>
    </row>
    <row r="789" spans="1:6" hidden="1" x14ac:dyDescent="0.2">
      <c r="A789" s="2307" t="s">
        <v>2976</v>
      </c>
      <c r="B789" s="1634" t="s">
        <v>4525</v>
      </c>
      <c r="C789"/>
      <c r="D789"/>
      <c r="E789"/>
      <c r="F789"/>
    </row>
    <row r="790" spans="1:6" hidden="1" x14ac:dyDescent="0.2">
      <c r="A790" s="2307" t="s">
        <v>2977</v>
      </c>
      <c r="B790" s="1634" t="s">
        <v>5728</v>
      </c>
      <c r="C790"/>
      <c r="D790"/>
      <c r="E790"/>
      <c r="F790"/>
    </row>
    <row r="791" spans="1:6" hidden="1" x14ac:dyDescent="0.2">
      <c r="A791" s="2307" t="s">
        <v>2978</v>
      </c>
      <c r="B791" s="1634" t="s">
        <v>5730</v>
      </c>
      <c r="C791"/>
      <c r="D791"/>
      <c r="E791"/>
      <c r="F791"/>
    </row>
    <row r="792" spans="1:6" hidden="1" x14ac:dyDescent="0.2">
      <c r="A792" s="2307" t="s">
        <v>2979</v>
      </c>
      <c r="B792" s="1634" t="s">
        <v>3467</v>
      </c>
      <c r="C792"/>
      <c r="D792"/>
      <c r="E792"/>
      <c r="F792"/>
    </row>
    <row r="793" spans="1:6" hidden="1" x14ac:dyDescent="0.2">
      <c r="A793" s="2307" t="s">
        <v>2980</v>
      </c>
      <c r="B793" s="1634" t="s">
        <v>1919</v>
      </c>
      <c r="C793"/>
      <c r="D793"/>
    </row>
    <row r="794" spans="1:6" hidden="1" x14ac:dyDescent="0.2">
      <c r="A794" s="2307" t="s">
        <v>2981</v>
      </c>
      <c r="B794" s="2304" t="s">
        <v>6399</v>
      </c>
      <c r="C794"/>
      <c r="D794"/>
    </row>
    <row r="795" spans="1:6" hidden="1" x14ac:dyDescent="0.2">
      <c r="A795" s="2307" t="s">
        <v>2982</v>
      </c>
      <c r="B795" s="2304" t="s">
        <v>6404</v>
      </c>
      <c r="C795"/>
      <c r="D795"/>
    </row>
    <row r="796" spans="1:6" hidden="1" x14ac:dyDescent="0.2">
      <c r="A796" s="2307" t="s">
        <v>2984</v>
      </c>
      <c r="B796" s="1634" t="s">
        <v>2638</v>
      </c>
      <c r="C796"/>
      <c r="D796"/>
    </row>
    <row r="797" spans="1:6" hidden="1" x14ac:dyDescent="0.2">
      <c r="A797" s="2307" t="s">
        <v>3491</v>
      </c>
      <c r="B797" s="1634" t="s">
        <v>6274</v>
      </c>
      <c r="C797"/>
      <c r="D797"/>
    </row>
    <row r="798" spans="1:6" hidden="1" x14ac:dyDescent="0.2">
      <c r="A798" s="2307" t="s">
        <v>6362</v>
      </c>
      <c r="B798" s="1634" t="s">
        <v>5034</v>
      </c>
      <c r="C798"/>
      <c r="D798"/>
    </row>
    <row r="799" spans="1:6" hidden="1" x14ac:dyDescent="0.2">
      <c r="A799" s="2307" t="s">
        <v>6363</v>
      </c>
      <c r="B799" s="1634" t="s">
        <v>6421</v>
      </c>
      <c r="C799"/>
      <c r="D799"/>
    </row>
    <row r="800" spans="1:6" hidden="1" x14ac:dyDescent="0.2">
      <c r="A800" s="2307" t="s">
        <v>6364</v>
      </c>
      <c r="B800" s="1634" t="s">
        <v>2344</v>
      </c>
      <c r="C800"/>
      <c r="D800"/>
    </row>
    <row r="801" spans="1:6" hidden="1" x14ac:dyDescent="0.2">
      <c r="A801" s="2307" t="s">
        <v>8404</v>
      </c>
      <c r="B801" s="1634" t="s">
        <v>2356</v>
      </c>
      <c r="C801"/>
      <c r="D801"/>
    </row>
    <row r="802" spans="1:6" hidden="1" x14ac:dyDescent="0.2">
      <c r="A802" s="2307" t="s">
        <v>8405</v>
      </c>
      <c r="B802" s="1634" t="s">
        <v>2964</v>
      </c>
      <c r="C802"/>
      <c r="D802"/>
    </row>
    <row r="803" spans="1:6" hidden="1" x14ac:dyDescent="0.2">
      <c r="A803" s="2307" t="s">
        <v>8406</v>
      </c>
      <c r="B803" s="1634" t="s">
        <v>981</v>
      </c>
      <c r="C803"/>
      <c r="D803"/>
    </row>
    <row r="804" spans="1:6" hidden="1" x14ac:dyDescent="0.2">
      <c r="A804" s="2307" t="s">
        <v>8407</v>
      </c>
      <c r="B804" s="1634" t="s">
        <v>1586</v>
      </c>
      <c r="C804"/>
      <c r="D804"/>
    </row>
    <row r="805" spans="1:6" hidden="1" x14ac:dyDescent="0.2">
      <c r="A805" s="2307" t="s">
        <v>8408</v>
      </c>
      <c r="B805" s="2304" t="s">
        <v>5231</v>
      </c>
      <c r="C805"/>
      <c r="D805"/>
    </row>
    <row r="806" spans="1:6" hidden="1" x14ac:dyDescent="0.2">
      <c r="A806" s="2307" t="s">
        <v>8409</v>
      </c>
      <c r="B806" s="2304" t="s">
        <v>1106</v>
      </c>
      <c r="C806"/>
      <c r="D806"/>
    </row>
    <row r="808" spans="1:6" hidden="1" x14ac:dyDescent="0.2">
      <c r="A808" s="2291" t="s">
        <v>1589</v>
      </c>
      <c r="B808" s="1634" t="s">
        <v>3681</v>
      </c>
      <c r="C808" s="2302" t="s">
        <v>2612</v>
      </c>
      <c r="D808" s="2302" t="s">
        <v>709</v>
      </c>
    </row>
    <row r="809" spans="1:6" hidden="1" x14ac:dyDescent="0.2">
      <c r="A809" s="2291" t="s">
        <v>1100</v>
      </c>
      <c r="B809" s="1634" t="s">
        <v>2714</v>
      </c>
      <c r="C809" s="2302" t="s">
        <v>2715</v>
      </c>
      <c r="D809" s="2302" t="s">
        <v>861</v>
      </c>
    </row>
    <row r="810" spans="1:6" hidden="1" x14ac:dyDescent="0.2">
      <c r="A810" s="2291" t="s">
        <v>1101</v>
      </c>
      <c r="B810" s="1634" t="s">
        <v>2721</v>
      </c>
      <c r="C810" s="1634" t="s">
        <v>2723</v>
      </c>
      <c r="D810" s="1634" t="s">
        <v>863</v>
      </c>
      <c r="F810" s="1634" t="s">
        <v>9386</v>
      </c>
    </row>
    <row r="811" spans="1:6" hidden="1" x14ac:dyDescent="0.2">
      <c r="A811" s="2291" t="s">
        <v>1102</v>
      </c>
      <c r="B811" s="1634" t="s">
        <v>553</v>
      </c>
      <c r="C811" s="1634" t="s">
        <v>871</v>
      </c>
    </row>
    <row r="812" spans="1:6" hidden="1" x14ac:dyDescent="0.2">
      <c r="A812" s="2291" t="s">
        <v>1103</v>
      </c>
      <c r="B812" s="1634" t="s">
        <v>561</v>
      </c>
      <c r="C812" s="1634" t="s">
        <v>3008</v>
      </c>
    </row>
    <row r="813" spans="1:6" hidden="1" x14ac:dyDescent="0.2">
      <c r="A813" s="2291" t="s">
        <v>1104</v>
      </c>
      <c r="B813" s="1634" t="s">
        <v>2022</v>
      </c>
      <c r="C813" s="1634" t="s">
        <v>3010</v>
      </c>
    </row>
    <row r="814" spans="1:6" hidden="1" x14ac:dyDescent="0.2">
      <c r="A814" s="2291" t="s">
        <v>2365</v>
      </c>
      <c r="B814" s="1634" t="s">
        <v>3423</v>
      </c>
      <c r="C814" s="1634" t="s">
        <v>6462</v>
      </c>
    </row>
    <row r="815" spans="1:6" hidden="1" x14ac:dyDescent="0.2">
      <c r="A815" s="2291" t="s">
        <v>2366</v>
      </c>
      <c r="B815" s="1634" t="s">
        <v>5424</v>
      </c>
      <c r="C815" s="1634" t="s">
        <v>6464</v>
      </c>
    </row>
    <row r="816" spans="1:6" hidden="1" x14ac:dyDescent="0.2">
      <c r="A816" s="2291" t="s">
        <v>2367</v>
      </c>
      <c r="B816" s="1634" t="s">
        <v>5430</v>
      </c>
      <c r="C816" s="1634" t="s">
        <v>2911</v>
      </c>
    </row>
    <row r="817" spans="1:6" hidden="1" x14ac:dyDescent="0.2">
      <c r="A817" s="2291" t="s">
        <v>6833</v>
      </c>
      <c r="B817" s="1634" t="s">
        <v>2154</v>
      </c>
      <c r="C817" s="1634" t="s">
        <v>2913</v>
      </c>
    </row>
    <row r="818" spans="1:6" hidden="1" x14ac:dyDescent="0.2">
      <c r="A818" s="2291" t="s">
        <v>6834</v>
      </c>
      <c r="B818" s="1634" t="s">
        <v>2161</v>
      </c>
      <c r="C818" s="1634" t="s">
        <v>2915</v>
      </c>
    </row>
    <row r="819" spans="1:6" hidden="1" x14ac:dyDescent="0.2">
      <c r="A819" s="2291" t="s">
        <v>6835</v>
      </c>
      <c r="B819" s="1634" t="s">
        <v>2168</v>
      </c>
      <c r="C819" s="1634" t="s">
        <v>2917</v>
      </c>
      <c r="F819" s="1634" t="s">
        <v>9386</v>
      </c>
    </row>
    <row r="820" spans="1:6" hidden="1" x14ac:dyDescent="0.2">
      <c r="A820" s="2291" t="s">
        <v>2517</v>
      </c>
      <c r="B820" s="1634" t="s">
        <v>2174</v>
      </c>
      <c r="C820" s="1634" t="s">
        <v>2919</v>
      </c>
      <c r="F820" s="1634" t="s">
        <v>9386</v>
      </c>
    </row>
    <row r="821" spans="1:6" hidden="1" x14ac:dyDescent="0.2">
      <c r="A821" s="2291" t="s">
        <v>2518</v>
      </c>
      <c r="B821" s="1634" t="s">
        <v>2181</v>
      </c>
      <c r="C821" s="1634" t="s">
        <v>1575</v>
      </c>
      <c r="F821" s="1634" t="s">
        <v>9386</v>
      </c>
    </row>
    <row r="822" spans="1:6" hidden="1" x14ac:dyDescent="0.2">
      <c r="A822" s="2291" t="s">
        <v>2519</v>
      </c>
      <c r="B822" s="1634" t="s">
        <v>2188</v>
      </c>
      <c r="C822" s="1634" t="s">
        <v>4078</v>
      </c>
      <c r="F822" s="1634" t="s">
        <v>9386</v>
      </c>
    </row>
    <row r="823" spans="1:6" hidden="1" x14ac:dyDescent="0.2">
      <c r="A823" s="2291" t="s">
        <v>2520</v>
      </c>
      <c r="B823" s="1634" t="s">
        <v>6432</v>
      </c>
      <c r="C823" s="1634" t="s">
        <v>3535</v>
      </c>
      <c r="D823" s="1634" t="s">
        <v>4082</v>
      </c>
    </row>
    <row r="824" spans="1:6" hidden="1" x14ac:dyDescent="0.2">
      <c r="A824" s="2291" t="s">
        <v>2521</v>
      </c>
      <c r="B824" s="1634" t="s">
        <v>6433</v>
      </c>
      <c r="C824" s="1634" t="s">
        <v>6189</v>
      </c>
      <c r="D824" s="1634" t="s">
        <v>4084</v>
      </c>
    </row>
    <row r="825" spans="1:6" hidden="1" x14ac:dyDescent="0.2">
      <c r="A825" s="2291" t="s">
        <v>2775</v>
      </c>
      <c r="B825" s="1634" t="s">
        <v>2276</v>
      </c>
      <c r="C825" s="1634" t="s">
        <v>2277</v>
      </c>
      <c r="D825" s="1634" t="s">
        <v>4086</v>
      </c>
    </row>
    <row r="826" spans="1:6" hidden="1" x14ac:dyDescent="0.2">
      <c r="A826" s="2291" t="s">
        <v>2776</v>
      </c>
      <c r="B826" s="1634" t="s">
        <v>6434</v>
      </c>
      <c r="C826" s="1634" t="s">
        <v>2284</v>
      </c>
      <c r="D826" s="1634" t="s">
        <v>2431</v>
      </c>
    </row>
    <row r="827" spans="1:6" hidden="1" x14ac:dyDescent="0.2">
      <c r="A827" s="2291" t="s">
        <v>2777</v>
      </c>
      <c r="B827" s="1634" t="s">
        <v>3871</v>
      </c>
      <c r="C827" s="1634" t="s">
        <v>270</v>
      </c>
      <c r="D827" s="1634" t="s">
        <v>4088</v>
      </c>
    </row>
    <row r="828" spans="1:6" hidden="1" x14ac:dyDescent="0.2">
      <c r="A828" s="2291" t="s">
        <v>2778</v>
      </c>
      <c r="B828" s="1634" t="s">
        <v>3874</v>
      </c>
      <c r="C828" s="1634" t="s">
        <v>277</v>
      </c>
      <c r="D828" s="1634" t="s">
        <v>1076</v>
      </c>
    </row>
    <row r="829" spans="1:6" hidden="1" x14ac:dyDescent="0.2">
      <c r="A829" s="2291" t="s">
        <v>2779</v>
      </c>
      <c r="B829" s="1634" t="s">
        <v>3877</v>
      </c>
      <c r="C829" s="1634" t="s">
        <v>2946</v>
      </c>
      <c r="D829" s="1634" t="s">
        <v>1783</v>
      </c>
    </row>
    <row r="830" spans="1:6" hidden="1" x14ac:dyDescent="0.2">
      <c r="A830" s="2291" t="s">
        <v>2780</v>
      </c>
      <c r="B830" s="2302" t="s">
        <v>395</v>
      </c>
      <c r="C830" s="2302" t="s">
        <v>2669</v>
      </c>
      <c r="D830" s="2302" t="s">
        <v>2670</v>
      </c>
    </row>
    <row r="831" spans="1:6" hidden="1" x14ac:dyDescent="0.2">
      <c r="A831" s="2291" t="s">
        <v>1414</v>
      </c>
      <c r="B831" s="2302" t="s">
        <v>662</v>
      </c>
      <c r="C831" s="2302" t="s">
        <v>664</v>
      </c>
      <c r="D831" s="2302" t="s">
        <v>666</v>
      </c>
    </row>
    <row r="832" spans="1:6" hidden="1" x14ac:dyDescent="0.2">
      <c r="A832" s="2291" t="s">
        <v>1415</v>
      </c>
      <c r="B832" s="2302" t="s">
        <v>672</v>
      </c>
      <c r="C832" s="2302" t="s">
        <v>674</v>
      </c>
      <c r="D832" s="2302" t="s">
        <v>3493</v>
      </c>
    </row>
    <row r="833" spans="1:5" hidden="1" x14ac:dyDescent="0.2">
      <c r="A833" s="2291" t="s">
        <v>1416</v>
      </c>
      <c r="B833" s="2302" t="s">
        <v>678</v>
      </c>
      <c r="C833" s="2302" t="s">
        <v>680</v>
      </c>
      <c r="D833" s="2302" t="s">
        <v>3495</v>
      </c>
    </row>
    <row r="834" spans="1:5" hidden="1" x14ac:dyDescent="0.2">
      <c r="A834" s="2291" t="s">
        <v>6097</v>
      </c>
      <c r="B834" s="2302" t="s">
        <v>686</v>
      </c>
      <c r="C834" s="2302" t="s">
        <v>688</v>
      </c>
      <c r="D834" s="2302" t="s">
        <v>3497</v>
      </c>
    </row>
    <row r="835" spans="1:5" hidden="1" x14ac:dyDescent="0.2">
      <c r="A835" s="2291" t="s">
        <v>8410</v>
      </c>
      <c r="B835" s="2302" t="s">
        <v>3170</v>
      </c>
      <c r="C835" s="2302" t="s">
        <v>2193</v>
      </c>
      <c r="D835" s="2302" t="s">
        <v>139</v>
      </c>
    </row>
    <row r="836" spans="1:5" hidden="1" x14ac:dyDescent="0.2">
      <c r="A836" s="2291" t="s">
        <v>8411</v>
      </c>
      <c r="B836" s="2302" t="s">
        <v>3499</v>
      </c>
      <c r="C836" s="2302" t="s">
        <v>3395</v>
      </c>
      <c r="D836" s="2302" t="s">
        <v>3397</v>
      </c>
    </row>
    <row r="837" spans="1:5" hidden="1" x14ac:dyDescent="0.2">
      <c r="A837" s="2291" t="s">
        <v>9387</v>
      </c>
      <c r="B837" s="2302" t="s">
        <v>507</v>
      </c>
      <c r="C837" s="2302" t="s">
        <v>509</v>
      </c>
      <c r="D837" s="2302" t="s">
        <v>3501</v>
      </c>
    </row>
    <row r="838" spans="1:5" hidden="1" x14ac:dyDescent="0.2">
      <c r="A838" s="2291" t="s">
        <v>9388</v>
      </c>
      <c r="B838" s="2302" t="s">
        <v>1970</v>
      </c>
      <c r="C838" s="2302" t="s">
        <v>1972</v>
      </c>
      <c r="D838" s="2302" t="s">
        <v>2928</v>
      </c>
    </row>
    <row r="839" spans="1:5" hidden="1" x14ac:dyDescent="0.2">
      <c r="A839" s="2291" t="s">
        <v>9389</v>
      </c>
      <c r="B839" s="2302" t="s">
        <v>3503</v>
      </c>
      <c r="C839" s="2302" t="s">
        <v>3247</v>
      </c>
      <c r="D839" s="2302" t="s">
        <v>3248</v>
      </c>
    </row>
    <row r="840" spans="1:5" hidden="1" x14ac:dyDescent="0.2">
      <c r="A840" s="2291" t="s">
        <v>9390</v>
      </c>
      <c r="B840" s="2302" t="s">
        <v>6948</v>
      </c>
      <c r="C840" s="2302" t="s">
        <v>2954</v>
      </c>
      <c r="D840" s="2302" t="s">
        <v>3255</v>
      </c>
    </row>
    <row r="841" spans="1:5" hidden="1" x14ac:dyDescent="0.2">
      <c r="A841" s="2291" t="s">
        <v>9391</v>
      </c>
      <c r="B841" s="2302" t="s">
        <v>6950</v>
      </c>
      <c r="C841" s="2302" t="s">
        <v>473</v>
      </c>
      <c r="D841" s="2302" t="s">
        <v>800</v>
      </c>
    </row>
    <row r="842" spans="1:5" hidden="1" x14ac:dyDescent="0.2">
      <c r="A842" s="2291" t="s">
        <v>9392</v>
      </c>
      <c r="B842" s="2302" t="s">
        <v>806</v>
      </c>
      <c r="C842" s="2302" t="s">
        <v>6470</v>
      </c>
      <c r="D842" s="2302" t="s">
        <v>808</v>
      </c>
    </row>
    <row r="843" spans="1:5" hidden="1" x14ac:dyDescent="0.2">
      <c r="A843" s="2291" t="s">
        <v>9393</v>
      </c>
      <c r="B843" s="2302" t="s">
        <v>813</v>
      </c>
      <c r="C843" s="2302" t="s">
        <v>6474</v>
      </c>
      <c r="D843" s="2302" t="s">
        <v>815</v>
      </c>
    </row>
    <row r="844" spans="1:5" hidden="1" x14ac:dyDescent="0.2">
      <c r="A844" s="2291" t="s">
        <v>9394</v>
      </c>
      <c r="B844" s="2302" t="s">
        <v>4305</v>
      </c>
      <c r="C844" s="2302" t="s">
        <v>5242</v>
      </c>
      <c r="D844" s="2302" t="s">
        <v>1799</v>
      </c>
    </row>
    <row r="845" spans="1:5" hidden="1" x14ac:dyDescent="0.2">
      <c r="A845" s="2291" t="s">
        <v>9395</v>
      </c>
      <c r="B845" s="2302" t="s">
        <v>3400</v>
      </c>
      <c r="C845" s="2302" t="s">
        <v>1024</v>
      </c>
      <c r="D845" s="2302" t="s">
        <v>3403</v>
      </c>
    </row>
    <row r="846" spans="1:5" hidden="1" x14ac:dyDescent="0.2">
      <c r="A846" s="2291" t="s">
        <v>9396</v>
      </c>
      <c r="B846" s="2302" t="s">
        <v>2301</v>
      </c>
      <c r="E846"/>
    </row>
    <row r="847" spans="1:5" hidden="1" x14ac:dyDescent="0.2">
      <c r="A847" s="2291" t="s">
        <v>9397</v>
      </c>
      <c r="B847" s="2302" t="s">
        <v>2410</v>
      </c>
      <c r="E847"/>
    </row>
    <row r="848" spans="1:5" hidden="1" x14ac:dyDescent="0.2">
      <c r="A848" s="2291" t="s">
        <v>9398</v>
      </c>
      <c r="B848" s="2302" t="s">
        <v>2641</v>
      </c>
      <c r="E848"/>
    </row>
    <row r="849" spans="1:5" hidden="1" x14ac:dyDescent="0.2">
      <c r="A849" s="2291" t="s">
        <v>9399</v>
      </c>
      <c r="B849" s="2302" t="s">
        <v>6274</v>
      </c>
      <c r="E849"/>
    </row>
    <row r="850" spans="1:5" hidden="1" x14ac:dyDescent="0.2">
      <c r="A850" s="2291" t="s">
        <v>9400</v>
      </c>
      <c r="B850" s="2302" t="s">
        <v>5033</v>
      </c>
      <c r="E850"/>
    </row>
    <row r="851" spans="1:5" hidden="1" x14ac:dyDescent="0.2">
      <c r="A851" s="2292"/>
      <c r="B851" s="164"/>
      <c r="C851"/>
      <c r="D851"/>
      <c r="E851"/>
    </row>
    <row r="852" spans="1:5" hidden="1" x14ac:dyDescent="0.2">
      <c r="A852" s="2292"/>
      <c r="B852" s="164"/>
      <c r="C852"/>
      <c r="D852"/>
      <c r="E852"/>
    </row>
    <row r="853" spans="1:5" hidden="1" x14ac:dyDescent="0.2">
      <c r="A853" s="2291" t="s">
        <v>2522</v>
      </c>
      <c r="B853" s="1634" t="s">
        <v>2523</v>
      </c>
      <c r="C853" s="1634" t="s">
        <v>708</v>
      </c>
      <c r="D853" s="2294" t="s">
        <v>3681</v>
      </c>
      <c r="E853" s="2294" t="s">
        <v>2612</v>
      </c>
    </row>
    <row r="854" spans="1:5" hidden="1" x14ac:dyDescent="0.2">
      <c r="A854" s="2291" t="s">
        <v>2524</v>
      </c>
      <c r="B854" s="1634" t="s">
        <v>4773</v>
      </c>
      <c r="C854" s="1634" t="s">
        <v>711</v>
      </c>
      <c r="D854" s="2294" t="s">
        <v>2714</v>
      </c>
      <c r="E854" s="2294" t="s">
        <v>2715</v>
      </c>
    </row>
    <row r="855" spans="1:5" hidden="1" x14ac:dyDescent="0.2">
      <c r="A855" s="2291" t="s">
        <v>2525</v>
      </c>
      <c r="B855" s="1634" t="s">
        <v>4775</v>
      </c>
      <c r="C855" s="1634" t="s">
        <v>3817</v>
      </c>
      <c r="D855" s="2294" t="s">
        <v>2721</v>
      </c>
      <c r="E855" s="2294" t="s">
        <v>2723</v>
      </c>
    </row>
    <row r="856" spans="1:5" hidden="1" x14ac:dyDescent="0.2">
      <c r="A856" s="2291" t="s">
        <v>2526</v>
      </c>
      <c r="B856" s="1634" t="s">
        <v>1551</v>
      </c>
      <c r="C856" s="1634" t="s">
        <v>1060</v>
      </c>
      <c r="D856" s="2294" t="s">
        <v>4027</v>
      </c>
      <c r="E856" s="2294" t="s">
        <v>1061</v>
      </c>
    </row>
    <row r="857" spans="1:5" hidden="1" x14ac:dyDescent="0.2">
      <c r="A857" s="2291" t="s">
        <v>2527</v>
      </c>
      <c r="B857" s="1634" t="s">
        <v>1553</v>
      </c>
      <c r="C857" s="1634" t="s">
        <v>5272</v>
      </c>
      <c r="D857" s="2294" t="s">
        <v>4033</v>
      </c>
      <c r="E857" s="2294" t="s">
        <v>3099</v>
      </c>
    </row>
    <row r="858" spans="1:5" hidden="1" x14ac:dyDescent="0.2">
      <c r="A858" s="2291" t="s">
        <v>2528</v>
      </c>
      <c r="B858" s="1634" t="s">
        <v>2330</v>
      </c>
      <c r="C858" s="1634" t="s">
        <v>5695</v>
      </c>
      <c r="D858" s="2294" t="s">
        <v>4040</v>
      </c>
      <c r="E858" s="2294" t="s">
        <v>3106</v>
      </c>
    </row>
    <row r="859" spans="1:5" hidden="1" x14ac:dyDescent="0.2">
      <c r="A859" s="2291" t="s">
        <v>2529</v>
      </c>
      <c r="B859" s="1634" t="s">
        <v>4274</v>
      </c>
      <c r="C859" s="1634" t="s">
        <v>5697</v>
      </c>
      <c r="D859" s="2294" t="s">
        <v>6972</v>
      </c>
      <c r="E859" s="2294" t="s">
        <v>553</v>
      </c>
    </row>
    <row r="860" spans="1:5" hidden="1" x14ac:dyDescent="0.2">
      <c r="A860" s="2291" t="s">
        <v>2530</v>
      </c>
      <c r="B860" s="1634" t="s">
        <v>331</v>
      </c>
      <c r="C860" s="1634" t="s">
        <v>4705</v>
      </c>
      <c r="D860" s="2294" t="s">
        <v>4173</v>
      </c>
      <c r="E860" s="2294" t="s">
        <v>561</v>
      </c>
    </row>
    <row r="861" spans="1:5" hidden="1" x14ac:dyDescent="0.2">
      <c r="A861" s="2291" t="s">
        <v>2531</v>
      </c>
      <c r="B861" s="1634" t="s">
        <v>5175</v>
      </c>
      <c r="C861" s="1634" t="s">
        <v>2021</v>
      </c>
      <c r="D861" s="2294" t="s">
        <v>6672</v>
      </c>
      <c r="E861" s="2294" t="s">
        <v>2022</v>
      </c>
    </row>
    <row r="862" spans="1:5" hidden="1" x14ac:dyDescent="0.2">
      <c r="A862" s="2291" t="s">
        <v>2532</v>
      </c>
      <c r="B862" s="1634" t="s">
        <v>5177</v>
      </c>
      <c r="C862" s="1634" t="s">
        <v>4707</v>
      </c>
      <c r="D862" s="2294" t="s">
        <v>6677</v>
      </c>
      <c r="E862" s="2294" t="s">
        <v>2029</v>
      </c>
    </row>
    <row r="863" spans="1:5" hidden="1" x14ac:dyDescent="0.2">
      <c r="A863" s="2291" t="s">
        <v>3011</v>
      </c>
      <c r="B863" s="1634" t="s">
        <v>1110</v>
      </c>
      <c r="C863" s="1634" t="s">
        <v>4709</v>
      </c>
      <c r="D863" s="2294" t="s">
        <v>6683</v>
      </c>
      <c r="E863" s="2294" t="s">
        <v>3423</v>
      </c>
    </row>
    <row r="864" spans="1:5" hidden="1" x14ac:dyDescent="0.2">
      <c r="A864" s="2291" t="s">
        <v>3012</v>
      </c>
      <c r="B864" s="1634" t="s">
        <v>1112</v>
      </c>
      <c r="C864" s="1634" t="s">
        <v>4711</v>
      </c>
      <c r="D864" s="2294" t="s">
        <v>6688</v>
      </c>
      <c r="E864" s="2294" t="s">
        <v>5424</v>
      </c>
    </row>
    <row r="865" spans="1:5" hidden="1" x14ac:dyDescent="0.2">
      <c r="A865" s="2291" t="s">
        <v>3013</v>
      </c>
      <c r="B865" s="1634" t="s">
        <v>1114</v>
      </c>
      <c r="C865" s="1634" t="s">
        <v>4713</v>
      </c>
      <c r="D865" s="2294" t="s">
        <v>6694</v>
      </c>
      <c r="E865" s="2294" t="s">
        <v>5430</v>
      </c>
    </row>
    <row r="866" spans="1:5" hidden="1" x14ac:dyDescent="0.2">
      <c r="A866" s="2291" t="s">
        <v>3014</v>
      </c>
      <c r="B866" s="1634" t="s">
        <v>1116</v>
      </c>
      <c r="C866" s="1634" t="s">
        <v>2153</v>
      </c>
      <c r="D866" s="2294" t="s">
        <v>6697</v>
      </c>
      <c r="E866" s="2294" t="s">
        <v>2154</v>
      </c>
    </row>
    <row r="867" spans="1:5" hidden="1" x14ac:dyDescent="0.2">
      <c r="A867" s="2291" t="s">
        <v>3015</v>
      </c>
      <c r="B867" s="1634" t="s">
        <v>1118</v>
      </c>
      <c r="C867" s="1634" t="s">
        <v>4715</v>
      </c>
      <c r="D867" s="2294" t="s">
        <v>2660</v>
      </c>
      <c r="E867" s="2294" t="s">
        <v>2161</v>
      </c>
    </row>
    <row r="868" spans="1:5" hidden="1" x14ac:dyDescent="0.2">
      <c r="A868" s="2291" t="s">
        <v>3016</v>
      </c>
      <c r="B868" s="1634" t="s">
        <v>1120</v>
      </c>
      <c r="C868" s="1634" t="s">
        <v>4717</v>
      </c>
      <c r="D868" s="2294" t="s">
        <v>2663</v>
      </c>
      <c r="E868" s="2294" t="s">
        <v>2168</v>
      </c>
    </row>
    <row r="869" spans="1:5" hidden="1" x14ac:dyDescent="0.2">
      <c r="A869" s="2291" t="s">
        <v>3017</v>
      </c>
      <c r="B869" s="1634" t="s">
        <v>1122</v>
      </c>
      <c r="C869" s="1634" t="s">
        <v>6427</v>
      </c>
      <c r="D869" s="2294" t="s">
        <v>3859</v>
      </c>
      <c r="E869" s="2294" t="s">
        <v>2174</v>
      </c>
    </row>
    <row r="870" spans="1:5" hidden="1" x14ac:dyDescent="0.2">
      <c r="A870" s="2291" t="s">
        <v>3018</v>
      </c>
      <c r="B870" s="1634" t="s">
        <v>1124</v>
      </c>
      <c r="C870" s="1634" t="s">
        <v>6429</v>
      </c>
      <c r="D870" s="2294" t="s">
        <v>3862</v>
      </c>
      <c r="E870" s="2294" t="s">
        <v>2181</v>
      </c>
    </row>
    <row r="871" spans="1:5" hidden="1" x14ac:dyDescent="0.2">
      <c r="A871" s="2291" t="s">
        <v>3019</v>
      </c>
      <c r="B871" s="1634" t="s">
        <v>1126</v>
      </c>
      <c r="C871" s="1634" t="s">
        <v>2187</v>
      </c>
      <c r="D871" s="2294" t="s">
        <v>3052</v>
      </c>
      <c r="E871" s="2294" t="s">
        <v>2188</v>
      </c>
    </row>
    <row r="872" spans="1:5" hidden="1" x14ac:dyDescent="0.2">
      <c r="A872" s="2291" t="s">
        <v>3020</v>
      </c>
      <c r="B872" s="1634" t="s">
        <v>1128</v>
      </c>
      <c r="C872" s="1634" t="s">
        <v>6431</v>
      </c>
      <c r="D872" s="2294" t="s">
        <v>3054</v>
      </c>
      <c r="E872" s="2294" t="s">
        <v>3092</v>
      </c>
    </row>
    <row r="873" spans="1:5" hidden="1" x14ac:dyDescent="0.2">
      <c r="A873"/>
      <c r="B873"/>
      <c r="C873"/>
      <c r="D873" s="2294"/>
      <c r="E873" s="2294"/>
    </row>
    <row r="874" spans="1:5" hidden="1" x14ac:dyDescent="0.2">
      <c r="A874"/>
      <c r="B874"/>
      <c r="C874"/>
      <c r="D874" s="2294"/>
      <c r="E874" s="2294"/>
    </row>
    <row r="875" spans="1:5" hidden="1" x14ac:dyDescent="0.2">
      <c r="A875"/>
      <c r="B875"/>
      <c r="C875"/>
      <c r="D875" s="2294"/>
      <c r="E875" s="2294"/>
    </row>
    <row r="876" spans="1:5" hidden="1" x14ac:dyDescent="0.2">
      <c r="A876" s="2291" t="s">
        <v>3021</v>
      </c>
      <c r="B876" s="1634" t="s">
        <v>2523</v>
      </c>
      <c r="C876" s="1634" t="s">
        <v>708</v>
      </c>
      <c r="D876" s="2294" t="s">
        <v>3681</v>
      </c>
      <c r="E876" s="2294" t="s">
        <v>2612</v>
      </c>
    </row>
    <row r="877" spans="1:5" hidden="1" x14ac:dyDescent="0.2">
      <c r="A877" s="2291" t="s">
        <v>2197</v>
      </c>
      <c r="B877" s="1634" t="s">
        <v>4773</v>
      </c>
      <c r="C877" s="1634" t="s">
        <v>711</v>
      </c>
      <c r="D877" s="2294" t="s">
        <v>2714</v>
      </c>
      <c r="E877" s="2294" t="s">
        <v>2715</v>
      </c>
    </row>
    <row r="878" spans="1:5" hidden="1" x14ac:dyDescent="0.2">
      <c r="A878" s="2291" t="s">
        <v>3683</v>
      </c>
      <c r="B878" s="1634" t="s">
        <v>4775</v>
      </c>
      <c r="C878" s="1634" t="s">
        <v>3817</v>
      </c>
      <c r="D878" s="2294" t="s">
        <v>2721</v>
      </c>
      <c r="E878" s="2294" t="s">
        <v>2723</v>
      </c>
    </row>
    <row r="879" spans="1:5" hidden="1" x14ac:dyDescent="0.2">
      <c r="A879" s="2291" t="s">
        <v>3684</v>
      </c>
      <c r="B879" s="1634" t="s">
        <v>1551</v>
      </c>
      <c r="C879" s="1634" t="s">
        <v>1060</v>
      </c>
      <c r="D879" s="2294" t="s">
        <v>4027</v>
      </c>
      <c r="E879" s="2294" t="s">
        <v>1061</v>
      </c>
    </row>
    <row r="880" spans="1:5" hidden="1" x14ac:dyDescent="0.2">
      <c r="A880" s="2291" t="s">
        <v>3685</v>
      </c>
      <c r="B880" s="1634" t="s">
        <v>1553</v>
      </c>
      <c r="C880" s="1634" t="s">
        <v>5272</v>
      </c>
      <c r="D880" s="2294" t="s">
        <v>4033</v>
      </c>
      <c r="E880" s="2294" t="s">
        <v>3099</v>
      </c>
    </row>
    <row r="881" spans="1:7" hidden="1" x14ac:dyDescent="0.2">
      <c r="A881" s="2291" t="s">
        <v>3686</v>
      </c>
      <c r="B881" s="1634" t="s">
        <v>2330</v>
      </c>
      <c r="C881" s="1634" t="s">
        <v>5695</v>
      </c>
      <c r="D881" s="2294" t="s">
        <v>4040</v>
      </c>
      <c r="E881" s="2294" t="s">
        <v>3106</v>
      </c>
    </row>
    <row r="882" spans="1:7" hidden="1" x14ac:dyDescent="0.2">
      <c r="A882" s="2291" t="s">
        <v>3687</v>
      </c>
      <c r="B882" s="1634" t="s">
        <v>4274</v>
      </c>
      <c r="C882" s="1634" t="s">
        <v>5697</v>
      </c>
      <c r="D882" s="2294" t="s">
        <v>6972</v>
      </c>
      <c r="E882" s="2294" t="s">
        <v>553</v>
      </c>
    </row>
    <row r="883" spans="1:7" hidden="1" x14ac:dyDescent="0.2">
      <c r="A883" s="2291" t="s">
        <v>3688</v>
      </c>
      <c r="B883" s="1634" t="s">
        <v>331</v>
      </c>
      <c r="C883" s="1634" t="s">
        <v>4705</v>
      </c>
      <c r="D883" s="2294" t="s">
        <v>4173</v>
      </c>
      <c r="E883" s="2294" t="s">
        <v>561</v>
      </c>
    </row>
    <row r="884" spans="1:7" hidden="1" x14ac:dyDescent="0.2">
      <c r="A884" s="2291" t="s">
        <v>3689</v>
      </c>
      <c r="B884" s="1634" t="s">
        <v>5175</v>
      </c>
      <c r="C884" s="1634" t="s">
        <v>2021</v>
      </c>
      <c r="D884" s="2294" t="s">
        <v>6672</v>
      </c>
      <c r="E884" s="2294" t="s">
        <v>2022</v>
      </c>
    </row>
    <row r="885" spans="1:7" hidden="1" x14ac:dyDescent="0.2">
      <c r="A885" s="2291" t="s">
        <v>3690</v>
      </c>
      <c r="B885" s="1634" t="s">
        <v>5177</v>
      </c>
      <c r="C885" s="1634" t="s">
        <v>4707</v>
      </c>
      <c r="D885" s="2294" t="s">
        <v>6677</v>
      </c>
      <c r="E885" s="2294" t="s">
        <v>2029</v>
      </c>
    </row>
    <row r="886" spans="1:7" hidden="1" x14ac:dyDescent="0.2">
      <c r="A886" s="2291" t="s">
        <v>3636</v>
      </c>
      <c r="B886" s="1634" t="s">
        <v>1110</v>
      </c>
      <c r="C886" s="1634" t="s">
        <v>4709</v>
      </c>
      <c r="D886" s="2294" t="s">
        <v>6683</v>
      </c>
      <c r="E886" s="2294" t="s">
        <v>3423</v>
      </c>
    </row>
    <row r="887" spans="1:7" hidden="1" x14ac:dyDescent="0.2">
      <c r="A887" s="2291" t="s">
        <v>3637</v>
      </c>
      <c r="B887" s="1634" t="s">
        <v>1112</v>
      </c>
      <c r="C887" s="1634" t="s">
        <v>4711</v>
      </c>
      <c r="D887" s="2294" t="s">
        <v>6688</v>
      </c>
      <c r="E887" s="2294" t="s">
        <v>5424</v>
      </c>
    </row>
    <row r="888" spans="1:7" hidden="1" x14ac:dyDescent="0.2">
      <c r="A888" s="2291" t="s">
        <v>3638</v>
      </c>
      <c r="B888" s="1634" t="s">
        <v>1114</v>
      </c>
      <c r="C888" s="1634" t="s">
        <v>4713</v>
      </c>
      <c r="D888" s="2294" t="s">
        <v>6694</v>
      </c>
      <c r="E888" s="2294" t="s">
        <v>5430</v>
      </c>
    </row>
    <row r="889" spans="1:7" hidden="1" x14ac:dyDescent="0.2">
      <c r="A889" s="2291" t="s">
        <v>3639</v>
      </c>
      <c r="B889" s="1634" t="s">
        <v>1116</v>
      </c>
      <c r="C889" s="1634" t="s">
        <v>2153</v>
      </c>
      <c r="D889" s="2294" t="s">
        <v>6697</v>
      </c>
      <c r="E889" s="2294" t="s">
        <v>2154</v>
      </c>
    </row>
    <row r="890" spans="1:7" hidden="1" x14ac:dyDescent="0.2">
      <c r="A890" s="2291" t="s">
        <v>3640</v>
      </c>
      <c r="B890" s="1634" t="s">
        <v>1118</v>
      </c>
      <c r="C890" s="1634" t="s">
        <v>4715</v>
      </c>
      <c r="D890" s="2294" t="s">
        <v>2660</v>
      </c>
      <c r="E890" s="2294" t="s">
        <v>2161</v>
      </c>
    </row>
    <row r="891" spans="1:7" hidden="1" x14ac:dyDescent="0.2">
      <c r="A891" s="2291" t="s">
        <v>3641</v>
      </c>
      <c r="B891" s="1634" t="s">
        <v>1120</v>
      </c>
      <c r="C891" s="1634" t="s">
        <v>4717</v>
      </c>
      <c r="D891" s="2294" t="s">
        <v>2663</v>
      </c>
      <c r="E891" s="2294" t="s">
        <v>2168</v>
      </c>
    </row>
    <row r="892" spans="1:7" hidden="1" x14ac:dyDescent="0.2">
      <c r="A892" s="2291" t="s">
        <v>3642</v>
      </c>
      <c r="B892" s="1634" t="s">
        <v>1122</v>
      </c>
      <c r="C892" s="1634" t="s">
        <v>6427</v>
      </c>
      <c r="D892" s="2294" t="s">
        <v>3859</v>
      </c>
      <c r="E892" s="2294" t="s">
        <v>2174</v>
      </c>
    </row>
    <row r="893" spans="1:7" hidden="1" x14ac:dyDescent="0.2">
      <c r="A893" s="2291" t="s">
        <v>3643</v>
      </c>
      <c r="B893" s="1634" t="s">
        <v>1124</v>
      </c>
      <c r="C893" s="1634" t="s">
        <v>6429</v>
      </c>
      <c r="D893" s="2294" t="s">
        <v>3862</v>
      </c>
      <c r="E893" s="2294" t="s">
        <v>2181</v>
      </c>
      <c r="F893"/>
      <c r="G893"/>
    </row>
    <row r="894" spans="1:7" hidden="1" x14ac:dyDescent="0.2">
      <c r="A894" s="2291" t="s">
        <v>1901</v>
      </c>
      <c r="B894" s="1634" t="s">
        <v>1126</v>
      </c>
      <c r="C894" s="1634" t="s">
        <v>2187</v>
      </c>
      <c r="D894" s="2294" t="s">
        <v>3052</v>
      </c>
      <c r="E894" s="2294" t="s">
        <v>2188</v>
      </c>
      <c r="F894"/>
      <c r="G894"/>
    </row>
    <row r="895" spans="1:7" hidden="1" x14ac:dyDescent="0.2">
      <c r="A895" s="2291" t="s">
        <v>1079</v>
      </c>
      <c r="B895" s="1634" t="s">
        <v>1128</v>
      </c>
      <c r="C895" s="1634" t="s">
        <v>6431</v>
      </c>
      <c r="D895" s="2294" t="s">
        <v>3054</v>
      </c>
      <c r="E895" s="2294" t="s">
        <v>3092</v>
      </c>
      <c r="F895"/>
      <c r="G895"/>
    </row>
    <row r="896" spans="1:7" hidden="1" x14ac:dyDescent="0.2">
      <c r="A896" s="2291" t="s">
        <v>4663</v>
      </c>
      <c r="B896" s="2294" t="s">
        <v>4086</v>
      </c>
      <c r="C896" s="2294" t="s">
        <v>2495</v>
      </c>
      <c r="D896" s="2294" t="s">
        <v>3866</v>
      </c>
      <c r="E896"/>
      <c r="F896"/>
      <c r="G896"/>
    </row>
    <row r="897" spans="1:7" hidden="1" x14ac:dyDescent="0.2">
      <c r="A897" s="2291" t="s">
        <v>4664</v>
      </c>
      <c r="B897" s="1634" t="s">
        <v>1783</v>
      </c>
      <c r="C897"/>
      <c r="D897"/>
      <c r="E897"/>
      <c r="F897"/>
      <c r="G897"/>
    </row>
    <row r="898" spans="1:7" hidden="1" x14ac:dyDescent="0.2">
      <c r="A898" s="2291" t="s">
        <v>4816</v>
      </c>
      <c r="B898" s="2294" t="s">
        <v>3495</v>
      </c>
      <c r="C898" s="2294" t="s">
        <v>682</v>
      </c>
      <c r="D898" s="2294" t="s">
        <v>684</v>
      </c>
      <c r="E898"/>
      <c r="F898"/>
      <c r="G898"/>
    </row>
    <row r="902" spans="1:7" hidden="1" x14ac:dyDescent="0.2">
      <c r="A902" s="2291" t="s">
        <v>5247</v>
      </c>
      <c r="B902" s="1634" t="s">
        <v>5248</v>
      </c>
      <c r="C902"/>
      <c r="D902"/>
      <c r="E902"/>
      <c r="F902"/>
      <c r="G902"/>
    </row>
    <row r="903" spans="1:7" hidden="1" x14ac:dyDescent="0.2">
      <c r="A903" s="2291" t="s">
        <v>5249</v>
      </c>
      <c r="B903" s="1634" t="s">
        <v>5457</v>
      </c>
      <c r="C903"/>
      <c r="D903"/>
      <c r="E903"/>
      <c r="F903"/>
      <c r="G903"/>
    </row>
    <row r="904" spans="1:7" hidden="1" x14ac:dyDescent="0.2">
      <c r="A904" s="2291" t="s">
        <v>5250</v>
      </c>
      <c r="B904" s="1634" t="s">
        <v>5272</v>
      </c>
      <c r="C904" s="1634" t="s">
        <v>4033</v>
      </c>
      <c r="D904" s="1634" t="s">
        <v>4034</v>
      </c>
      <c r="E904" s="1634" t="s">
        <v>3099</v>
      </c>
      <c r="F904" s="1634" t="s">
        <v>4035</v>
      </c>
      <c r="G904" s="1634" t="s">
        <v>867</v>
      </c>
    </row>
    <row r="905" spans="1:7" hidden="1" x14ac:dyDescent="0.2">
      <c r="A905" s="2291" t="s">
        <v>5251</v>
      </c>
      <c r="B905" s="1634" t="s">
        <v>5695</v>
      </c>
      <c r="C905" s="1634" t="s">
        <v>4040</v>
      </c>
      <c r="D905" s="1634" t="s">
        <v>4041</v>
      </c>
      <c r="E905" s="1634" t="s">
        <v>3106</v>
      </c>
      <c r="F905" s="1634" t="s">
        <v>5696</v>
      </c>
      <c r="G905" s="1634" t="s">
        <v>869</v>
      </c>
    </row>
    <row r="906" spans="1:7" hidden="1" x14ac:dyDescent="0.2">
      <c r="A906" s="2291" t="s">
        <v>5252</v>
      </c>
      <c r="B906" s="1634" t="s">
        <v>5697</v>
      </c>
      <c r="C906" s="1634" t="s">
        <v>6972</v>
      </c>
      <c r="D906" s="1634" t="s">
        <v>5472</v>
      </c>
      <c r="E906" s="1634" t="s">
        <v>553</v>
      </c>
      <c r="F906" s="1634" t="s">
        <v>4704</v>
      </c>
      <c r="G906" s="1634" t="s">
        <v>871</v>
      </c>
    </row>
    <row r="907" spans="1:7" hidden="1" x14ac:dyDescent="0.2">
      <c r="A907" s="2291" t="s">
        <v>6134</v>
      </c>
      <c r="B907" s="1634" t="s">
        <v>4705</v>
      </c>
      <c r="C907" s="1634" t="s">
        <v>4173</v>
      </c>
      <c r="D907" s="1634" t="s">
        <v>4174</v>
      </c>
      <c r="E907" s="1634" t="s">
        <v>561</v>
      </c>
      <c r="F907" s="1634" t="s">
        <v>4706</v>
      </c>
      <c r="G907" s="1634" t="s">
        <v>3008</v>
      </c>
    </row>
    <row r="908" spans="1:7" hidden="1" x14ac:dyDescent="0.2">
      <c r="A908" s="2291" t="s">
        <v>6135</v>
      </c>
      <c r="B908" s="1634" t="s">
        <v>2021</v>
      </c>
      <c r="C908" s="1634" t="s">
        <v>6672</v>
      </c>
      <c r="D908" s="1634" t="s">
        <v>5473</v>
      </c>
      <c r="E908" s="1634" t="s">
        <v>2022</v>
      </c>
      <c r="F908" s="1634" t="s">
        <v>5474</v>
      </c>
      <c r="G908" s="1634" t="s">
        <v>3010</v>
      </c>
    </row>
    <row r="909" spans="1:7" hidden="1" x14ac:dyDescent="0.2">
      <c r="A909" s="2291" t="s">
        <v>6136</v>
      </c>
      <c r="B909" s="1634" t="s">
        <v>4707</v>
      </c>
      <c r="C909" s="1634" t="s">
        <v>6677</v>
      </c>
      <c r="D909" s="1634" t="s">
        <v>6678</v>
      </c>
      <c r="E909" s="1634" t="s">
        <v>2029</v>
      </c>
      <c r="F909" s="1634" t="s">
        <v>4708</v>
      </c>
      <c r="G909" s="1634" t="s">
        <v>6460</v>
      </c>
    </row>
    <row r="910" spans="1:7" hidden="1" x14ac:dyDescent="0.2">
      <c r="A910" s="2291" t="s">
        <v>6137</v>
      </c>
      <c r="B910" s="2294" t="s">
        <v>2154</v>
      </c>
      <c r="C910" s="2294" t="s">
        <v>2913</v>
      </c>
      <c r="D910"/>
      <c r="E910"/>
      <c r="F910"/>
      <c r="G910"/>
    </row>
    <row r="911" spans="1:7" hidden="1" x14ac:dyDescent="0.2">
      <c r="A911" s="2291" t="s">
        <v>6138</v>
      </c>
      <c r="B911" s="1634" t="s">
        <v>2168</v>
      </c>
      <c r="C911" s="2294" t="s">
        <v>2917</v>
      </c>
      <c r="D911"/>
      <c r="E911"/>
      <c r="F911"/>
      <c r="G911"/>
    </row>
    <row r="912" spans="1:7" hidden="1" x14ac:dyDescent="0.2">
      <c r="A912" s="2291" t="s">
        <v>5435</v>
      </c>
      <c r="B912" s="2294" t="s">
        <v>2181</v>
      </c>
      <c r="C912" s="2294" t="s">
        <v>6430</v>
      </c>
      <c r="D912"/>
      <c r="E912"/>
      <c r="F912"/>
      <c r="G912"/>
    </row>
    <row r="913" spans="1:7" hidden="1" x14ac:dyDescent="0.2">
      <c r="A913" s="2291" t="s">
        <v>5436</v>
      </c>
      <c r="B913" s="2294" t="s">
        <v>2188</v>
      </c>
      <c r="C913" s="2294"/>
      <c r="D913"/>
      <c r="E913"/>
      <c r="F913"/>
      <c r="G913"/>
    </row>
    <row r="914" spans="1:7" hidden="1" x14ac:dyDescent="0.2">
      <c r="A914" s="2291" t="s">
        <v>5437</v>
      </c>
      <c r="B914" s="1634" t="s">
        <v>1068</v>
      </c>
      <c r="C914" s="1634" t="s">
        <v>1069</v>
      </c>
      <c r="D914" s="1634" t="s">
        <v>270</v>
      </c>
      <c r="E914"/>
      <c r="F914"/>
      <c r="G914"/>
    </row>
    <row r="915" spans="1:7" hidden="1" x14ac:dyDescent="0.2">
      <c r="A915" s="2291" t="s">
        <v>5438</v>
      </c>
      <c r="B915" s="1634" t="s">
        <v>1074</v>
      </c>
      <c r="C915" s="1634" t="s">
        <v>1075</v>
      </c>
      <c r="D915" s="1634" t="s">
        <v>277</v>
      </c>
      <c r="E915"/>
      <c r="F915"/>
      <c r="G915"/>
    </row>
    <row r="916" spans="1:7" hidden="1" x14ac:dyDescent="0.2">
      <c r="A916" s="2291" t="s">
        <v>5439</v>
      </c>
      <c r="B916" s="1634" t="s">
        <v>4208</v>
      </c>
      <c r="C916" s="1634" t="s">
        <v>1781</v>
      </c>
      <c r="D916" s="1634" t="s">
        <v>2946</v>
      </c>
      <c r="E916"/>
      <c r="F916"/>
      <c r="G916"/>
    </row>
    <row r="917" spans="1:7" hidden="1" x14ac:dyDescent="0.2">
      <c r="A917" s="2291" t="s">
        <v>5440</v>
      </c>
      <c r="B917" s="1634" t="s">
        <v>2666</v>
      </c>
      <c r="C917" s="1634" t="s">
        <v>2668</v>
      </c>
      <c r="D917" s="1634" t="s">
        <v>2669</v>
      </c>
      <c r="E917"/>
      <c r="F917"/>
      <c r="G917"/>
    </row>
    <row r="918" spans="1:7" hidden="1" x14ac:dyDescent="0.2">
      <c r="A918" s="2291" t="s">
        <v>5442</v>
      </c>
      <c r="B918" s="1634" t="s">
        <v>5441</v>
      </c>
      <c r="C918" s="1634" t="s">
        <v>663</v>
      </c>
      <c r="D918" s="1634" t="s">
        <v>664</v>
      </c>
      <c r="E918"/>
      <c r="F918"/>
      <c r="G918"/>
    </row>
    <row r="919" spans="1:7" hidden="1" x14ac:dyDescent="0.2">
      <c r="A919" s="2291" t="s">
        <v>2035</v>
      </c>
      <c r="B919" s="2294" t="s">
        <v>6448</v>
      </c>
      <c r="C919"/>
      <c r="D919"/>
      <c r="E919"/>
      <c r="F919"/>
      <c r="G919"/>
    </row>
    <row r="922" spans="1:7" hidden="1" x14ac:dyDescent="0.2">
      <c r="A922" s="2291" t="s">
        <v>4109</v>
      </c>
      <c r="B922" s="1634" t="s">
        <v>4110</v>
      </c>
      <c r="C922"/>
      <c r="D922"/>
      <c r="E922"/>
      <c r="F922"/>
      <c r="G922"/>
    </row>
    <row r="923" spans="1:7" hidden="1" x14ac:dyDescent="0.2">
      <c r="A923" s="2291" t="s">
        <v>4111</v>
      </c>
      <c r="B923" s="1634" t="s">
        <v>1060</v>
      </c>
      <c r="C923" s="1634" t="s">
        <v>5694</v>
      </c>
      <c r="D923" s="1634" t="s">
        <v>865</v>
      </c>
      <c r="E923" s="1634" t="s">
        <v>6613</v>
      </c>
      <c r="F923" s="1634" t="s">
        <v>4029</v>
      </c>
      <c r="G923"/>
    </row>
    <row r="924" spans="1:7" hidden="1" x14ac:dyDescent="0.2">
      <c r="A924" s="2291" t="s">
        <v>4112</v>
      </c>
      <c r="B924" s="1634" t="s">
        <v>5272</v>
      </c>
      <c r="C924" s="1634" t="s">
        <v>4035</v>
      </c>
      <c r="D924" s="1634" t="s">
        <v>867</v>
      </c>
      <c r="E924" s="1634" t="s">
        <v>6615</v>
      </c>
      <c r="F924" s="1634" t="s">
        <v>4036</v>
      </c>
      <c r="G924"/>
    </row>
    <row r="925" spans="1:7" hidden="1" x14ac:dyDescent="0.2">
      <c r="A925" s="2291" t="s">
        <v>6798</v>
      </c>
      <c r="B925" s="1634" t="s">
        <v>5695</v>
      </c>
      <c r="C925" s="1634" t="s">
        <v>5696</v>
      </c>
      <c r="D925" s="1634" t="s">
        <v>869</v>
      </c>
      <c r="E925" s="1634" t="s">
        <v>6617</v>
      </c>
      <c r="F925" s="1634" t="s">
        <v>4042</v>
      </c>
    </row>
    <row r="926" spans="1:7" hidden="1" x14ac:dyDescent="0.2">
      <c r="A926" s="2291" t="s">
        <v>6799</v>
      </c>
      <c r="B926" s="1634" t="s">
        <v>5697</v>
      </c>
      <c r="C926" s="1634" t="s">
        <v>4704</v>
      </c>
      <c r="D926" s="1634" t="s">
        <v>871</v>
      </c>
      <c r="E926" s="1634" t="s">
        <v>6619</v>
      </c>
      <c r="F926" s="1634" t="s">
        <v>6973</v>
      </c>
    </row>
    <row r="927" spans="1:7" hidden="1" x14ac:dyDescent="0.2">
      <c r="A927" s="2291" t="s">
        <v>6800</v>
      </c>
      <c r="B927" s="1634" t="s">
        <v>4705</v>
      </c>
      <c r="C927" s="1634" t="s">
        <v>4706</v>
      </c>
      <c r="D927" s="1634" t="s">
        <v>3008</v>
      </c>
      <c r="E927" s="1634" t="s">
        <v>6621</v>
      </c>
      <c r="F927" s="1634" t="s">
        <v>6662</v>
      </c>
    </row>
    <row r="928" spans="1:7" hidden="1" x14ac:dyDescent="0.2">
      <c r="A928" s="2291" t="s">
        <v>6801</v>
      </c>
      <c r="B928" s="1634" t="s">
        <v>2021</v>
      </c>
      <c r="C928" s="1634" t="s">
        <v>5474</v>
      </c>
      <c r="D928" s="1634" t="s">
        <v>3010</v>
      </c>
      <c r="E928" s="1634" t="s">
        <v>6623</v>
      </c>
      <c r="F928" s="1634" t="s">
        <v>6673</v>
      </c>
    </row>
    <row r="929" spans="1:6" hidden="1" x14ac:dyDescent="0.2">
      <c r="A929" s="2291" t="s">
        <v>6802</v>
      </c>
      <c r="B929" s="1634" t="s">
        <v>4707</v>
      </c>
      <c r="C929" s="1634" t="s">
        <v>4708</v>
      </c>
      <c r="D929" s="1634" t="s">
        <v>6460</v>
      </c>
      <c r="E929" s="1634" t="s">
        <v>3132</v>
      </c>
      <c r="F929" s="1634" t="s">
        <v>6679</v>
      </c>
    </row>
    <row r="930" spans="1:6" hidden="1" x14ac:dyDescent="0.2">
      <c r="A930" s="2291" t="s">
        <v>6803</v>
      </c>
      <c r="B930" s="1634" t="s">
        <v>4709</v>
      </c>
      <c r="C930" s="1634" t="s">
        <v>4710</v>
      </c>
      <c r="D930" s="1634" t="s">
        <v>6462</v>
      </c>
      <c r="E930" s="1634" t="s">
        <v>4045</v>
      </c>
      <c r="F930" s="1634" t="s">
        <v>6684</v>
      </c>
    </row>
    <row r="931" spans="1:6" hidden="1" x14ac:dyDescent="0.2">
      <c r="A931" s="2291" t="s">
        <v>6804</v>
      </c>
      <c r="B931" s="1634" t="s">
        <v>4711</v>
      </c>
      <c r="C931" s="1634" t="s">
        <v>4712</v>
      </c>
      <c r="D931" s="1634" t="s">
        <v>6464</v>
      </c>
      <c r="E931" s="1634" t="s">
        <v>4047</v>
      </c>
      <c r="F931" s="1634" t="s">
        <v>6690</v>
      </c>
    </row>
    <row r="932" spans="1:6" hidden="1" x14ac:dyDescent="0.2">
      <c r="A932" s="2291" t="s">
        <v>6805</v>
      </c>
      <c r="B932" s="1634" t="s">
        <v>4713</v>
      </c>
      <c r="C932" s="1634" t="s">
        <v>4714</v>
      </c>
      <c r="D932" s="1634" t="s">
        <v>2911</v>
      </c>
      <c r="E932" s="1634" t="s">
        <v>4095</v>
      </c>
      <c r="F932" s="1634" t="s">
        <v>4096</v>
      </c>
    </row>
    <row r="933" spans="1:6" hidden="1" x14ac:dyDescent="0.2">
      <c r="A933" s="2291" t="s">
        <v>6806</v>
      </c>
      <c r="B933" s="1634" t="s">
        <v>2153</v>
      </c>
      <c r="C933" s="1634" t="s">
        <v>5476</v>
      </c>
      <c r="D933" s="1634" t="s">
        <v>2913</v>
      </c>
      <c r="E933" s="1634" t="s">
        <v>4100</v>
      </c>
      <c r="F933" s="1634" t="s">
        <v>4101</v>
      </c>
    </row>
    <row r="934" spans="1:6" hidden="1" x14ac:dyDescent="0.2">
      <c r="A934" s="2291" t="s">
        <v>1033</v>
      </c>
      <c r="B934" s="1634" t="s">
        <v>4715</v>
      </c>
      <c r="C934" s="1634" t="s">
        <v>4716</v>
      </c>
      <c r="D934" s="1634" t="s">
        <v>2915</v>
      </c>
      <c r="E934" s="1634" t="s">
        <v>4105</v>
      </c>
      <c r="F934" s="1634" t="s">
        <v>2318</v>
      </c>
    </row>
    <row r="935" spans="1:6" hidden="1" x14ac:dyDescent="0.2">
      <c r="A935" s="2291" t="s">
        <v>1034</v>
      </c>
      <c r="B935" s="1634" t="s">
        <v>4717</v>
      </c>
      <c r="C935" s="1634" t="s">
        <v>6426</v>
      </c>
      <c r="D935" s="1634" t="s">
        <v>2917</v>
      </c>
      <c r="E935" s="1634" t="s">
        <v>2322</v>
      </c>
      <c r="F935" s="1634" t="s">
        <v>2323</v>
      </c>
    </row>
    <row r="936" spans="1:6" hidden="1" x14ac:dyDescent="0.2">
      <c r="A936" s="2291" t="s">
        <v>1035</v>
      </c>
      <c r="B936" s="1634" t="s">
        <v>6427</v>
      </c>
      <c r="C936" s="1634" t="s">
        <v>6428</v>
      </c>
      <c r="D936" s="1634" t="s">
        <v>2919</v>
      </c>
      <c r="E936" s="1634" t="s">
        <v>2327</v>
      </c>
      <c r="F936" s="1634" t="s">
        <v>2328</v>
      </c>
    </row>
    <row r="937" spans="1:6" hidden="1" x14ac:dyDescent="0.2">
      <c r="A937" s="2291" t="s">
        <v>4279</v>
      </c>
      <c r="B937" s="1634" t="s">
        <v>6429</v>
      </c>
      <c r="C937" s="1634" t="s">
        <v>6430</v>
      </c>
      <c r="D937" s="1634" t="s">
        <v>1575</v>
      </c>
      <c r="E937" s="1634" t="s">
        <v>6606</v>
      </c>
      <c r="F937" s="1634" t="s">
        <v>5084</v>
      </c>
    </row>
    <row r="938" spans="1:6" hidden="1" x14ac:dyDescent="0.2">
      <c r="A938" s="2291" t="s">
        <v>4280</v>
      </c>
      <c r="B938" s="1634" t="s">
        <v>2187</v>
      </c>
      <c r="C938" s="1634" t="s">
        <v>2921</v>
      </c>
      <c r="D938" s="1634" t="s">
        <v>4078</v>
      </c>
      <c r="E938" s="1634" t="s">
        <v>3</v>
      </c>
      <c r="F938" s="1634" t="s">
        <v>1741</v>
      </c>
    </row>
    <row r="939" spans="1:6" hidden="1" x14ac:dyDescent="0.2">
      <c r="A939" s="2291" t="s">
        <v>4281</v>
      </c>
      <c r="B939" s="2294" t="s">
        <v>1752</v>
      </c>
      <c r="C939"/>
      <c r="D939"/>
      <c r="E939"/>
      <c r="F939"/>
    </row>
    <row r="940" spans="1:6" hidden="1" x14ac:dyDescent="0.2">
      <c r="A940" s="2291" t="s">
        <v>4282</v>
      </c>
      <c r="B940" s="1634" t="s">
        <v>2945</v>
      </c>
      <c r="C940" s="1634" t="s">
        <v>3877</v>
      </c>
      <c r="D940" s="1634" t="s">
        <v>1781</v>
      </c>
      <c r="E940" s="1634" t="s">
        <v>1783</v>
      </c>
      <c r="F940"/>
    </row>
    <row r="941" spans="1:6" hidden="1" x14ac:dyDescent="0.2">
      <c r="A941" s="2291" t="s">
        <v>4283</v>
      </c>
      <c r="B941" s="1634" t="s">
        <v>2667</v>
      </c>
      <c r="C941" s="1634" t="s">
        <v>395</v>
      </c>
      <c r="D941" s="1634" t="s">
        <v>2668</v>
      </c>
      <c r="E941" s="1634" t="s">
        <v>2670</v>
      </c>
      <c r="F941"/>
    </row>
    <row r="942" spans="1:6" hidden="1" x14ac:dyDescent="0.2">
      <c r="A942" s="2291" t="s">
        <v>2730</v>
      </c>
      <c r="B942" s="1634" t="s">
        <v>661</v>
      </c>
      <c r="C942" s="1634" t="s">
        <v>662</v>
      </c>
      <c r="D942" s="1634" t="s">
        <v>663</v>
      </c>
      <c r="E942" s="1634" t="s">
        <v>666</v>
      </c>
      <c r="F942"/>
    </row>
    <row r="943" spans="1:6" hidden="1" x14ac:dyDescent="0.2">
      <c r="A943" s="2291" t="s">
        <v>2731</v>
      </c>
      <c r="B943" s="1634" t="s">
        <v>671</v>
      </c>
      <c r="C943" s="1634" t="s">
        <v>672</v>
      </c>
      <c r="D943" s="1634" t="s">
        <v>673</v>
      </c>
      <c r="E943" s="1634" t="s">
        <v>3493</v>
      </c>
      <c r="F943"/>
    </row>
    <row r="944" spans="1:6" hidden="1" x14ac:dyDescent="0.2">
      <c r="A944" s="2291" t="s">
        <v>2732</v>
      </c>
      <c r="B944" s="1634" t="s">
        <v>6441</v>
      </c>
      <c r="C944" s="1634" t="s">
        <v>678</v>
      </c>
      <c r="D944" s="1634" t="s">
        <v>679</v>
      </c>
      <c r="E944" s="1634" t="s">
        <v>3495</v>
      </c>
      <c r="F944"/>
    </row>
    <row r="945" spans="1:8" hidden="1" x14ac:dyDescent="0.2">
      <c r="A945" s="2291" t="s">
        <v>36</v>
      </c>
      <c r="B945" s="1634" t="s">
        <v>6444</v>
      </c>
      <c r="C945" s="1634" t="s">
        <v>686</v>
      </c>
      <c r="D945" s="1634" t="s">
        <v>687</v>
      </c>
      <c r="E945" s="1634" t="s">
        <v>3497</v>
      </c>
      <c r="F945"/>
    </row>
    <row r="946" spans="1:8" hidden="1" x14ac:dyDescent="0.2">
      <c r="A946" s="2291" t="s">
        <v>37</v>
      </c>
      <c r="B946" s="1634" t="s">
        <v>6447</v>
      </c>
      <c r="C946" s="1634" t="s">
        <v>3170</v>
      </c>
      <c r="D946" s="1634" t="s">
        <v>2562</v>
      </c>
      <c r="E946" s="1634" t="s">
        <v>139</v>
      </c>
      <c r="F946"/>
    </row>
    <row r="947" spans="1:8" hidden="1" x14ac:dyDescent="0.2">
      <c r="A947" s="2291" t="s">
        <v>38</v>
      </c>
      <c r="B947" s="1634" t="s">
        <v>2196</v>
      </c>
      <c r="C947" s="1634" t="s">
        <v>3499</v>
      </c>
      <c r="D947" s="1634" t="s">
        <v>3394</v>
      </c>
      <c r="E947" s="1634" t="s">
        <v>3397</v>
      </c>
      <c r="F947"/>
    </row>
    <row r="948" spans="1:8" hidden="1" x14ac:dyDescent="0.2">
      <c r="A948" s="2291" t="s">
        <v>39</v>
      </c>
      <c r="B948" s="1634" t="s">
        <v>506</v>
      </c>
      <c r="C948" s="1634" t="s">
        <v>507</v>
      </c>
      <c r="D948" s="1634" t="s">
        <v>508</v>
      </c>
      <c r="E948" s="1634" t="s">
        <v>3501</v>
      </c>
      <c r="F948"/>
    </row>
    <row r="949" spans="1:8" hidden="1" x14ac:dyDescent="0.2">
      <c r="A949" s="2291" t="s">
        <v>40</v>
      </c>
      <c r="B949" s="1634" t="s">
        <v>1969</v>
      </c>
      <c r="C949" s="1634" t="s">
        <v>1970</v>
      </c>
      <c r="D949" s="1634" t="s">
        <v>1971</v>
      </c>
      <c r="E949" s="1634" t="s">
        <v>2928</v>
      </c>
      <c r="F949"/>
    </row>
    <row r="950" spans="1:8" hidden="1" x14ac:dyDescent="0.2">
      <c r="A950" s="2291" t="s">
        <v>41</v>
      </c>
      <c r="B950" s="1634" t="s">
        <v>1976</v>
      </c>
      <c r="C950" s="1634" t="s">
        <v>3503</v>
      </c>
      <c r="D950" s="1634" t="s">
        <v>3246</v>
      </c>
      <c r="E950" s="1634" t="s">
        <v>3248</v>
      </c>
      <c r="F950"/>
    </row>
    <row r="951" spans="1:8" hidden="1" x14ac:dyDescent="0.2">
      <c r="A951" s="2291" t="s">
        <v>42</v>
      </c>
      <c r="B951" s="1634" t="s">
        <v>2953</v>
      </c>
      <c r="C951" s="1634" t="s">
        <v>6948</v>
      </c>
      <c r="D951" s="1634" t="s">
        <v>5480</v>
      </c>
      <c r="E951" s="1634" t="s">
        <v>3255</v>
      </c>
      <c r="F951"/>
    </row>
    <row r="952" spans="1:8" hidden="1" x14ac:dyDescent="0.2">
      <c r="A952" s="2291" t="s">
        <v>43</v>
      </c>
      <c r="B952" s="1634" t="s">
        <v>472</v>
      </c>
      <c r="C952" s="1634" t="s">
        <v>6950</v>
      </c>
      <c r="D952" s="1634" t="s">
        <v>799</v>
      </c>
      <c r="E952" s="1634" t="s">
        <v>800</v>
      </c>
      <c r="F952"/>
    </row>
    <row r="953" spans="1:8" hidden="1" x14ac:dyDescent="0.2">
      <c r="A953" s="2291" t="s">
        <v>44</v>
      </c>
      <c r="B953" s="1634" t="s">
        <v>4527</v>
      </c>
      <c r="C953" s="1634" t="s">
        <v>806</v>
      </c>
      <c r="D953" s="1634" t="s">
        <v>807</v>
      </c>
      <c r="E953" s="1634" t="s">
        <v>808</v>
      </c>
      <c r="F953"/>
    </row>
    <row r="954" spans="1:8" hidden="1" x14ac:dyDescent="0.2">
      <c r="A954" s="2291" t="s">
        <v>4504</v>
      </c>
      <c r="B954" s="1634" t="s">
        <v>1937</v>
      </c>
      <c r="C954"/>
      <c r="D954"/>
      <c r="E954"/>
      <c r="F954"/>
    </row>
    <row r="958" spans="1:8" hidden="1" x14ac:dyDescent="0.2">
      <c r="A958" s="2291" t="s">
        <v>45</v>
      </c>
      <c r="B958" s="1634" t="s">
        <v>2715</v>
      </c>
      <c r="C958" s="1634" t="s">
        <v>2716</v>
      </c>
      <c r="D958" s="1634" t="s">
        <v>861</v>
      </c>
      <c r="E958"/>
      <c r="F958"/>
      <c r="G958"/>
      <c r="H958"/>
    </row>
    <row r="959" spans="1:8" hidden="1" x14ac:dyDescent="0.2">
      <c r="A959" s="2291" t="s">
        <v>6647</v>
      </c>
      <c r="B959" s="1634" t="s">
        <v>5694</v>
      </c>
      <c r="C959" s="1634" t="s">
        <v>865</v>
      </c>
      <c r="D959"/>
      <c r="E959"/>
      <c r="F959"/>
      <c r="G959"/>
      <c r="H959"/>
    </row>
    <row r="960" spans="1:8" hidden="1" x14ac:dyDescent="0.2">
      <c r="A960" s="2291" t="s">
        <v>6648</v>
      </c>
      <c r="B960" s="2294" t="s">
        <v>5696</v>
      </c>
      <c r="C960" s="2294" t="s">
        <v>869</v>
      </c>
      <c r="D960"/>
      <c r="E960"/>
      <c r="F960"/>
      <c r="G960"/>
      <c r="H960"/>
    </row>
    <row r="961" spans="1:10" hidden="1" x14ac:dyDescent="0.2">
      <c r="A961" s="2291" t="s">
        <v>6649</v>
      </c>
      <c r="B961" s="2294" t="s">
        <v>553</v>
      </c>
      <c r="C961" s="2294" t="s">
        <v>4704</v>
      </c>
      <c r="D961" s="1634" t="s">
        <v>871</v>
      </c>
      <c r="E961"/>
      <c r="F961"/>
      <c r="G961"/>
      <c r="H961"/>
    </row>
    <row r="962" spans="1:10" hidden="1" x14ac:dyDescent="0.2">
      <c r="A962" s="2291" t="s">
        <v>6650</v>
      </c>
      <c r="B962" s="1634" t="s">
        <v>4706</v>
      </c>
      <c r="C962" s="1634" t="s">
        <v>3008</v>
      </c>
      <c r="D962"/>
      <c r="E962"/>
      <c r="F962"/>
      <c r="G962"/>
      <c r="H962"/>
    </row>
    <row r="963" spans="1:10" hidden="1" x14ac:dyDescent="0.2">
      <c r="A963" s="2291" t="s">
        <v>6651</v>
      </c>
      <c r="B963" s="1634" t="s">
        <v>5474</v>
      </c>
      <c r="C963"/>
      <c r="D963"/>
      <c r="E963"/>
      <c r="F963"/>
      <c r="G963"/>
      <c r="H963"/>
    </row>
    <row r="964" spans="1:10" hidden="1" x14ac:dyDescent="0.2">
      <c r="A964" s="2291" t="s">
        <v>6652</v>
      </c>
      <c r="B964" s="1634" t="s">
        <v>2029</v>
      </c>
      <c r="C964"/>
      <c r="D964"/>
      <c r="E964"/>
      <c r="F964"/>
      <c r="G964"/>
      <c r="H964"/>
    </row>
    <row r="965" spans="1:10" hidden="1" x14ac:dyDescent="0.2">
      <c r="A965" s="2291" t="s">
        <v>6653</v>
      </c>
      <c r="B965" s="1634" t="s">
        <v>5424</v>
      </c>
      <c r="C965"/>
      <c r="D965"/>
      <c r="E965"/>
      <c r="F965"/>
      <c r="G965"/>
      <c r="H965"/>
    </row>
    <row r="970" spans="1:10" hidden="1" x14ac:dyDescent="0.2">
      <c r="A970" s="2291" t="s">
        <v>1713</v>
      </c>
      <c r="B970" s="1634" t="s">
        <v>4695</v>
      </c>
      <c r="C970" s="1634" t="s">
        <v>640</v>
      </c>
      <c r="D970" s="1634" t="s">
        <v>706</v>
      </c>
      <c r="E970" s="1634" t="s">
        <v>1714</v>
      </c>
      <c r="F970" s="1634" t="s">
        <v>1715</v>
      </c>
      <c r="G970" s="1634" t="s">
        <v>4110</v>
      </c>
      <c r="H970" s="1634" t="s">
        <v>1716</v>
      </c>
    </row>
    <row r="971" spans="1:10" hidden="1" x14ac:dyDescent="0.2">
      <c r="A971" s="2291" t="s">
        <v>1717</v>
      </c>
      <c r="B971" s="1634" t="s">
        <v>2538</v>
      </c>
      <c r="C971" s="1634" t="s">
        <v>2612</v>
      </c>
      <c r="D971" s="1634" t="s">
        <v>709</v>
      </c>
      <c r="E971" s="1634" t="s">
        <v>5457</v>
      </c>
      <c r="F971" s="1634" t="s">
        <v>2614</v>
      </c>
      <c r="G971" s="1634" t="s">
        <v>2615</v>
      </c>
      <c r="H971" s="1634" t="s">
        <v>1718</v>
      </c>
    </row>
    <row r="972" spans="1:10" hidden="1" x14ac:dyDescent="0.2">
      <c r="A972" s="2291" t="s">
        <v>1719</v>
      </c>
      <c r="B972" s="1634" t="s">
        <v>5471</v>
      </c>
      <c r="C972" s="1634" t="s">
        <v>2715</v>
      </c>
      <c r="D972" s="1634" t="s">
        <v>861</v>
      </c>
      <c r="E972" s="1634" t="s">
        <v>6609</v>
      </c>
      <c r="F972" s="1634" t="s">
        <v>2718</v>
      </c>
      <c r="G972" s="1634" t="s">
        <v>2719</v>
      </c>
      <c r="H972" s="1634" t="s">
        <v>1720</v>
      </c>
    </row>
    <row r="973" spans="1:10" hidden="1" x14ac:dyDescent="0.2">
      <c r="A973" s="2291" t="s">
        <v>1721</v>
      </c>
      <c r="B973" s="1634" t="s">
        <v>2722</v>
      </c>
      <c r="C973" s="1634" t="s">
        <v>2723</v>
      </c>
      <c r="D973" s="1634" t="s">
        <v>863</v>
      </c>
      <c r="E973" s="1634" t="s">
        <v>6611</v>
      </c>
      <c r="F973" s="1634" t="s">
        <v>2725</v>
      </c>
      <c r="G973" s="1634" t="s">
        <v>4025</v>
      </c>
      <c r="H973" s="1634" t="s">
        <v>1722</v>
      </c>
      <c r="I973"/>
      <c r="J973"/>
    </row>
    <row r="974" spans="1:10" hidden="1" x14ac:dyDescent="0.2">
      <c r="A974" s="2291" t="s">
        <v>1723</v>
      </c>
      <c r="B974" s="1634" t="s">
        <v>4028</v>
      </c>
      <c r="C974" s="1634" t="s">
        <v>1061</v>
      </c>
      <c r="D974" s="1634" t="s">
        <v>865</v>
      </c>
      <c r="E974" s="1634" t="s">
        <v>6613</v>
      </c>
      <c r="F974" s="1634" t="s">
        <v>4030</v>
      </c>
      <c r="G974" s="1634" t="s">
        <v>4031</v>
      </c>
      <c r="H974" s="1634" t="s">
        <v>1063</v>
      </c>
      <c r="I974"/>
      <c r="J974"/>
    </row>
    <row r="975" spans="1:10" hidden="1" x14ac:dyDescent="0.2">
      <c r="A975" s="2291" t="s">
        <v>2935</v>
      </c>
      <c r="B975" s="1634" t="s">
        <v>4034</v>
      </c>
      <c r="C975" s="1634" t="s">
        <v>3099</v>
      </c>
      <c r="D975" s="1634" t="s">
        <v>867</v>
      </c>
      <c r="E975" s="1634" t="s">
        <v>6615</v>
      </c>
      <c r="F975" s="1634" t="s">
        <v>4037</v>
      </c>
      <c r="G975" s="1634" t="s">
        <v>4038</v>
      </c>
      <c r="H975" s="1634" t="s">
        <v>3101</v>
      </c>
      <c r="I975"/>
      <c r="J975"/>
    </row>
    <row r="976" spans="1:10" hidden="1" x14ac:dyDescent="0.2">
      <c r="A976" s="2291" t="s">
        <v>2936</v>
      </c>
      <c r="B976" s="1634" t="s">
        <v>4041</v>
      </c>
      <c r="C976" s="1634" t="s">
        <v>3106</v>
      </c>
      <c r="D976" s="1634" t="s">
        <v>869</v>
      </c>
      <c r="E976" s="1634" t="s">
        <v>6617</v>
      </c>
      <c r="F976" s="1634" t="s">
        <v>4043</v>
      </c>
      <c r="G976" s="1634" t="s">
        <v>4044</v>
      </c>
      <c r="H976" s="1634" t="s">
        <v>3108</v>
      </c>
      <c r="I976"/>
      <c r="J976"/>
    </row>
    <row r="977" spans="1:10" hidden="1" x14ac:dyDescent="0.2">
      <c r="A977" s="2291" t="s">
        <v>2937</v>
      </c>
      <c r="B977" s="1634" t="s">
        <v>5472</v>
      </c>
      <c r="C977" s="1634" t="s">
        <v>553</v>
      </c>
      <c r="D977" s="1634" t="s">
        <v>871</v>
      </c>
      <c r="E977" s="1634" t="s">
        <v>6619</v>
      </c>
      <c r="F977" s="1634" t="s">
        <v>6974</v>
      </c>
      <c r="G977" s="1634" t="s">
        <v>4171</v>
      </c>
      <c r="H977" s="1634" t="s">
        <v>555</v>
      </c>
      <c r="I977"/>
      <c r="J977"/>
    </row>
    <row r="978" spans="1:10" hidden="1" x14ac:dyDescent="0.2">
      <c r="A978" s="2291" t="s">
        <v>2938</v>
      </c>
      <c r="B978" s="1634" t="s">
        <v>4174</v>
      </c>
      <c r="C978" s="1634" t="s">
        <v>561</v>
      </c>
      <c r="D978" s="1634" t="s">
        <v>3008</v>
      </c>
      <c r="E978" s="1634" t="s">
        <v>6621</v>
      </c>
      <c r="F978" s="1634" t="s">
        <v>6663</v>
      </c>
      <c r="G978" s="1634" t="s">
        <v>6670</v>
      </c>
      <c r="H978" s="1634" t="s">
        <v>563</v>
      </c>
      <c r="I978"/>
      <c r="J978"/>
    </row>
    <row r="979" spans="1:10" hidden="1" x14ac:dyDescent="0.2">
      <c r="A979" s="2291" t="s">
        <v>2939</v>
      </c>
      <c r="B979" s="1634" t="s">
        <v>2021</v>
      </c>
      <c r="C979" s="1634" t="s">
        <v>5473</v>
      </c>
      <c r="D979" s="1634" t="s">
        <v>2022</v>
      </c>
      <c r="E979" s="1634" t="s">
        <v>3010</v>
      </c>
      <c r="F979" s="1634" t="s">
        <v>6623</v>
      </c>
      <c r="G979" s="1634" t="s">
        <v>6674</v>
      </c>
      <c r="H979" s="1634" t="s">
        <v>6675</v>
      </c>
      <c r="I979" s="1634" t="s">
        <v>2024</v>
      </c>
      <c r="J979"/>
    </row>
    <row r="980" spans="1:10" hidden="1" x14ac:dyDescent="0.2">
      <c r="A980" s="2291" t="s">
        <v>2940</v>
      </c>
      <c r="B980" s="1634" t="s">
        <v>4707</v>
      </c>
      <c r="C980" s="1634" t="s">
        <v>6678</v>
      </c>
      <c r="D980" s="1634" t="s">
        <v>2029</v>
      </c>
      <c r="E980" s="1634" t="s">
        <v>6460</v>
      </c>
      <c r="F980" s="1634" t="s">
        <v>3132</v>
      </c>
      <c r="G980" s="1634" t="s">
        <v>6680</v>
      </c>
      <c r="H980" s="1634" t="s">
        <v>6681</v>
      </c>
      <c r="I980" s="1634" t="s">
        <v>5062</v>
      </c>
      <c r="J980"/>
    </row>
    <row r="981" spans="1:10" hidden="1" x14ac:dyDescent="0.2">
      <c r="A981" s="2291" t="s">
        <v>5984</v>
      </c>
      <c r="B981" s="1634" t="s">
        <v>4709</v>
      </c>
      <c r="C981" s="1634" t="s">
        <v>5475</v>
      </c>
      <c r="D981" s="1634" t="s">
        <v>3423</v>
      </c>
      <c r="E981" s="1634" t="s">
        <v>6462</v>
      </c>
      <c r="F981" s="1634" t="s">
        <v>4045</v>
      </c>
      <c r="G981" s="1634" t="s">
        <v>6685</v>
      </c>
      <c r="H981" s="1634" t="s">
        <v>6686</v>
      </c>
      <c r="I981" s="1634" t="s">
        <v>5419</v>
      </c>
      <c r="J981"/>
    </row>
    <row r="985" spans="1:10" hidden="1" x14ac:dyDescent="0.2">
      <c r="A985" s="2291" t="s">
        <v>5985</v>
      </c>
      <c r="B985" s="1634" t="s">
        <v>702</v>
      </c>
      <c r="C985" s="1634" t="s">
        <v>6646</v>
      </c>
      <c r="D985" s="1634" t="s">
        <v>5986</v>
      </c>
      <c r="E985" s="1634" t="s">
        <v>5248</v>
      </c>
      <c r="F985" s="1634" t="s">
        <v>4739</v>
      </c>
      <c r="G985" s="1634" t="s">
        <v>703</v>
      </c>
      <c r="H985" s="1634" t="s">
        <v>4741</v>
      </c>
      <c r="I985" s="1634" t="s">
        <v>4740</v>
      </c>
      <c r="J985" s="2294" t="s">
        <v>4505</v>
      </c>
    </row>
    <row r="986" spans="1:10" hidden="1" x14ac:dyDescent="0.2">
      <c r="A986" s="2291" t="s">
        <v>5987</v>
      </c>
      <c r="B986" s="1634" t="s">
        <v>705</v>
      </c>
      <c r="C986" s="1634" t="s">
        <v>5988</v>
      </c>
      <c r="D986" s="1634" t="s">
        <v>4695</v>
      </c>
      <c r="E986" s="1634" t="s">
        <v>640</v>
      </c>
      <c r="F986" s="1634" t="s">
        <v>4742</v>
      </c>
      <c r="G986" s="1634" t="s">
        <v>706</v>
      </c>
      <c r="H986" s="1634" t="s">
        <v>1714</v>
      </c>
      <c r="I986" s="1634" t="s">
        <v>4743</v>
      </c>
      <c r="J986" s="2294" t="s">
        <v>1715</v>
      </c>
    </row>
    <row r="987" spans="1:10" hidden="1" x14ac:dyDescent="0.2">
      <c r="A987" s="2291" t="s">
        <v>5989</v>
      </c>
      <c r="B987" s="1634" t="s">
        <v>708</v>
      </c>
      <c r="C987" s="1634" t="s">
        <v>3681</v>
      </c>
      <c r="D987" s="1634" t="s">
        <v>2538</v>
      </c>
      <c r="E987" s="1634" t="s">
        <v>2612</v>
      </c>
      <c r="F987" s="1634" t="s">
        <v>5692</v>
      </c>
      <c r="G987" s="1634" t="s">
        <v>709</v>
      </c>
      <c r="H987" s="1634" t="s">
        <v>5457</v>
      </c>
      <c r="I987" s="1634" t="s">
        <v>2613</v>
      </c>
      <c r="J987" s="2294" t="s">
        <v>2614</v>
      </c>
    </row>
    <row r="988" spans="1:10" hidden="1" x14ac:dyDescent="0.2">
      <c r="A988" s="2291" t="s">
        <v>5990</v>
      </c>
      <c r="B988" s="1634" t="s">
        <v>711</v>
      </c>
      <c r="C988" s="1634" t="s">
        <v>2714</v>
      </c>
      <c r="D988" s="1634" t="s">
        <v>5471</v>
      </c>
      <c r="E988" s="1634" t="s">
        <v>2715</v>
      </c>
      <c r="F988" s="1634" t="s">
        <v>2716</v>
      </c>
      <c r="G988" s="1634" t="s">
        <v>861</v>
      </c>
      <c r="H988" s="1634" t="s">
        <v>6609</v>
      </c>
      <c r="I988" s="1634" t="s">
        <v>2717</v>
      </c>
      <c r="J988" s="2294" t="s">
        <v>2718</v>
      </c>
    </row>
    <row r="989" spans="1:10" hidden="1" x14ac:dyDescent="0.2">
      <c r="A989" s="2291" t="s">
        <v>5991</v>
      </c>
      <c r="B989" s="1634" t="s">
        <v>3817</v>
      </c>
      <c r="C989" s="1634" t="s">
        <v>2721</v>
      </c>
      <c r="D989" s="1634" t="s">
        <v>2722</v>
      </c>
      <c r="E989" s="1634" t="s">
        <v>2723</v>
      </c>
      <c r="F989" s="1634" t="s">
        <v>5693</v>
      </c>
      <c r="G989" s="1634" t="s">
        <v>863</v>
      </c>
      <c r="H989" s="1634" t="s">
        <v>6611</v>
      </c>
      <c r="I989" s="1634" t="s">
        <v>2724</v>
      </c>
      <c r="J989" s="2294" t="s">
        <v>2725</v>
      </c>
    </row>
    <row r="990" spans="1:10" hidden="1" x14ac:dyDescent="0.2">
      <c r="A990" s="2291" t="s">
        <v>5992</v>
      </c>
      <c r="B990" s="1634" t="s">
        <v>1060</v>
      </c>
      <c r="C990" s="1634" t="s">
        <v>4027</v>
      </c>
      <c r="D990" s="1634" t="s">
        <v>4028</v>
      </c>
      <c r="E990" s="1634" t="s">
        <v>1061</v>
      </c>
      <c r="F990" s="1634" t="s">
        <v>5694</v>
      </c>
      <c r="G990" s="1634" t="s">
        <v>865</v>
      </c>
      <c r="H990" s="1634" t="s">
        <v>6613</v>
      </c>
      <c r="I990" s="1634" t="s">
        <v>4029</v>
      </c>
      <c r="J990" s="2294" t="s">
        <v>4030</v>
      </c>
    </row>
    <row r="991" spans="1:10" hidden="1" x14ac:dyDescent="0.2">
      <c r="A991" s="2291" t="s">
        <v>5993</v>
      </c>
      <c r="B991" s="1634" t="s">
        <v>5272</v>
      </c>
      <c r="C991" s="1634" t="s">
        <v>4033</v>
      </c>
      <c r="D991" s="1634" t="s">
        <v>4034</v>
      </c>
      <c r="E991" s="1634" t="s">
        <v>3099</v>
      </c>
      <c r="F991" s="1634" t="s">
        <v>4035</v>
      </c>
      <c r="G991" s="1634" t="s">
        <v>867</v>
      </c>
      <c r="H991" s="1634" t="s">
        <v>6615</v>
      </c>
      <c r="I991" s="1634" t="s">
        <v>4036</v>
      </c>
      <c r="J991" s="2294" t="s">
        <v>4037</v>
      </c>
    </row>
    <row r="992" spans="1:10" hidden="1" x14ac:dyDescent="0.2">
      <c r="A992" s="2291" t="s">
        <v>5994</v>
      </c>
      <c r="B992" s="1634" t="s">
        <v>5695</v>
      </c>
      <c r="C992" s="1634" t="s">
        <v>4040</v>
      </c>
      <c r="D992" s="1634" t="s">
        <v>4041</v>
      </c>
      <c r="E992" s="1634" t="s">
        <v>3106</v>
      </c>
      <c r="F992" s="1634" t="s">
        <v>5696</v>
      </c>
      <c r="G992" s="1634" t="s">
        <v>869</v>
      </c>
      <c r="H992" s="1634" t="s">
        <v>6617</v>
      </c>
      <c r="I992" s="1634" t="s">
        <v>4042</v>
      </c>
      <c r="J992" s="2294" t="s">
        <v>4043</v>
      </c>
    </row>
    <row r="993" spans="1:10" hidden="1" x14ac:dyDescent="0.2">
      <c r="A993" s="2291" t="s">
        <v>5995</v>
      </c>
      <c r="B993" s="1634" t="s">
        <v>5697</v>
      </c>
      <c r="C993" s="1634" t="s">
        <v>6972</v>
      </c>
      <c r="D993" s="1634" t="s">
        <v>5472</v>
      </c>
      <c r="E993" s="1634" t="s">
        <v>553</v>
      </c>
      <c r="F993" s="1634" t="s">
        <v>4704</v>
      </c>
      <c r="G993" s="1634" t="s">
        <v>871</v>
      </c>
      <c r="H993" s="1634" t="s">
        <v>6619</v>
      </c>
      <c r="I993" s="1634" t="s">
        <v>6973</v>
      </c>
      <c r="J993" s="2294" t="s">
        <v>6974</v>
      </c>
    </row>
    <row r="994" spans="1:10" hidden="1" x14ac:dyDescent="0.2">
      <c r="A994" s="2291" t="s">
        <v>5996</v>
      </c>
      <c r="B994" s="1634" t="s">
        <v>4705</v>
      </c>
      <c r="C994" s="1634" t="s">
        <v>4173</v>
      </c>
      <c r="D994" s="1634" t="s">
        <v>4174</v>
      </c>
      <c r="E994" s="1634" t="s">
        <v>561</v>
      </c>
      <c r="F994" s="1634" t="s">
        <v>4706</v>
      </c>
      <c r="G994" s="1634" t="s">
        <v>3008</v>
      </c>
      <c r="H994" s="1634" t="s">
        <v>6621</v>
      </c>
      <c r="I994" s="1634" t="s">
        <v>6662</v>
      </c>
      <c r="J994" s="2294" t="s">
        <v>6663</v>
      </c>
    </row>
    <row r="995" spans="1:10" hidden="1" x14ac:dyDescent="0.2">
      <c r="A995" s="2291" t="s">
        <v>6953</v>
      </c>
      <c r="B995" s="1634" t="s">
        <v>2021</v>
      </c>
      <c r="C995" s="1634" t="s">
        <v>6672</v>
      </c>
      <c r="D995" s="1634" t="s">
        <v>5473</v>
      </c>
      <c r="E995" s="1634" t="s">
        <v>2022</v>
      </c>
      <c r="F995" s="1634" t="s">
        <v>5474</v>
      </c>
      <c r="G995" s="1634" t="s">
        <v>3010</v>
      </c>
      <c r="H995" s="1634" t="s">
        <v>6623</v>
      </c>
      <c r="I995" s="1634" t="s">
        <v>6673</v>
      </c>
      <c r="J995" s="2294" t="s">
        <v>6674</v>
      </c>
    </row>
    <row r="996" spans="1:10" hidden="1" x14ac:dyDescent="0.2">
      <c r="A996" s="2291" t="s">
        <v>6954</v>
      </c>
      <c r="B996" s="1634" t="s">
        <v>4707</v>
      </c>
      <c r="C996" s="1634" t="s">
        <v>6677</v>
      </c>
      <c r="D996" s="1634" t="s">
        <v>6678</v>
      </c>
      <c r="E996" s="1634" t="s">
        <v>2029</v>
      </c>
      <c r="F996" s="1634" t="s">
        <v>4708</v>
      </c>
      <c r="G996" s="1634" t="s">
        <v>6460</v>
      </c>
      <c r="H996" s="1634" t="s">
        <v>3132</v>
      </c>
      <c r="I996" s="1634" t="s">
        <v>6679</v>
      </c>
      <c r="J996" s="2294" t="s">
        <v>6680</v>
      </c>
    </row>
    <row r="997" spans="1:10" hidden="1" x14ac:dyDescent="0.2">
      <c r="A997" s="2291" t="s">
        <v>6955</v>
      </c>
      <c r="B997" s="1634" t="s">
        <v>4709</v>
      </c>
      <c r="C997" s="1634" t="s">
        <v>6683</v>
      </c>
      <c r="D997" s="1634" t="s">
        <v>5475</v>
      </c>
      <c r="E997" s="1634" t="s">
        <v>3423</v>
      </c>
      <c r="F997" s="1634" t="s">
        <v>4710</v>
      </c>
      <c r="G997" s="1634" t="s">
        <v>6462</v>
      </c>
      <c r="H997" s="1634" t="s">
        <v>4045</v>
      </c>
      <c r="I997" s="1634" t="s">
        <v>6684</v>
      </c>
      <c r="J997" s="2294" t="s">
        <v>6685</v>
      </c>
    </row>
    <row r="998" spans="1:10" hidden="1" x14ac:dyDescent="0.2">
      <c r="A998" s="2291" t="s">
        <v>6956</v>
      </c>
      <c r="B998" s="1634" t="s">
        <v>4711</v>
      </c>
      <c r="C998" s="1634" t="s">
        <v>6688</v>
      </c>
      <c r="D998" s="1634" t="s">
        <v>6689</v>
      </c>
      <c r="E998" s="1634" t="s">
        <v>5424</v>
      </c>
      <c r="F998" s="1634" t="s">
        <v>4712</v>
      </c>
      <c r="G998" s="1634" t="s">
        <v>6464</v>
      </c>
      <c r="H998" s="1634" t="s">
        <v>4047</v>
      </c>
      <c r="I998" s="1634" t="s">
        <v>6690</v>
      </c>
      <c r="J998" s="2294" t="s">
        <v>6691</v>
      </c>
    </row>
    <row r="999" spans="1:10" hidden="1" x14ac:dyDescent="0.2">
      <c r="A999" s="2291" t="s">
        <v>6957</v>
      </c>
      <c r="B999" s="1634" t="s">
        <v>4713</v>
      </c>
      <c r="C999" s="1634" t="s">
        <v>6694</v>
      </c>
      <c r="D999" s="1634" t="s">
        <v>4094</v>
      </c>
      <c r="E999" s="1634" t="s">
        <v>5430</v>
      </c>
      <c r="F999" s="1634" t="s">
        <v>4714</v>
      </c>
      <c r="G999" s="1634" t="s">
        <v>2911</v>
      </c>
      <c r="H999" s="1634" t="s">
        <v>4095</v>
      </c>
      <c r="I999" s="1634" t="s">
        <v>4096</v>
      </c>
      <c r="J999" s="2294" t="s">
        <v>4097</v>
      </c>
    </row>
    <row r="1000" spans="1:10" hidden="1" x14ac:dyDescent="0.2">
      <c r="A1000" s="2291" t="s">
        <v>6958</v>
      </c>
      <c r="B1000" s="1634" t="s">
        <v>2153</v>
      </c>
      <c r="C1000" s="1634" t="s">
        <v>6697</v>
      </c>
      <c r="D1000" s="1634" t="s">
        <v>4099</v>
      </c>
      <c r="E1000" s="1634" t="s">
        <v>2154</v>
      </c>
      <c r="F1000" s="1634" t="s">
        <v>5476</v>
      </c>
      <c r="G1000" s="1634" t="s">
        <v>2913</v>
      </c>
      <c r="H1000" s="1634" t="s">
        <v>4100</v>
      </c>
      <c r="I1000" s="1634" t="s">
        <v>4101</v>
      </c>
      <c r="J1000" s="2294" t="s">
        <v>4102</v>
      </c>
    </row>
    <row r="1001" spans="1:10" hidden="1" x14ac:dyDescent="0.2">
      <c r="A1001" s="2291" t="s">
        <v>2838</v>
      </c>
      <c r="B1001" s="1634" t="s">
        <v>4715</v>
      </c>
      <c r="C1001" s="1634" t="s">
        <v>2660</v>
      </c>
      <c r="D1001" s="1634" t="s">
        <v>4104</v>
      </c>
      <c r="E1001" s="1634" t="s">
        <v>2161</v>
      </c>
      <c r="F1001" s="1634" t="s">
        <v>4716</v>
      </c>
      <c r="G1001" s="1634" t="s">
        <v>2915</v>
      </c>
      <c r="H1001" s="1634" t="s">
        <v>4105</v>
      </c>
      <c r="I1001" s="1634" t="s">
        <v>2318</v>
      </c>
      <c r="J1001" s="2294" t="s">
        <v>2319</v>
      </c>
    </row>
    <row r="1002" spans="1:10" hidden="1" x14ac:dyDescent="0.2">
      <c r="A1002" s="2291" t="s">
        <v>2839</v>
      </c>
      <c r="B1002" s="1634" t="s">
        <v>4717</v>
      </c>
      <c r="C1002" s="1634" t="s">
        <v>2663</v>
      </c>
      <c r="D1002" s="1634" t="s">
        <v>2321</v>
      </c>
      <c r="E1002" s="1634" t="s">
        <v>2168</v>
      </c>
      <c r="F1002" s="1634" t="s">
        <v>6426</v>
      </c>
      <c r="G1002" s="1634" t="s">
        <v>2917</v>
      </c>
      <c r="H1002" s="1634" t="s">
        <v>2322</v>
      </c>
      <c r="I1002" s="1634" t="s">
        <v>2323</v>
      </c>
      <c r="J1002" s="2294" t="s">
        <v>2324</v>
      </c>
    </row>
    <row r="1003" spans="1:10" hidden="1" x14ac:dyDescent="0.2">
      <c r="A1003" s="2291" t="s">
        <v>2840</v>
      </c>
      <c r="B1003" s="1634" t="s">
        <v>6427</v>
      </c>
      <c r="C1003" s="1634" t="s">
        <v>3859</v>
      </c>
      <c r="D1003" s="1634" t="s">
        <v>2326</v>
      </c>
      <c r="E1003" s="1634" t="s">
        <v>2174</v>
      </c>
      <c r="F1003" s="1634" t="s">
        <v>6428</v>
      </c>
      <c r="G1003" s="1634" t="s">
        <v>2919</v>
      </c>
      <c r="H1003" s="1634" t="s">
        <v>2327</v>
      </c>
      <c r="I1003" s="1634" t="s">
        <v>2328</v>
      </c>
      <c r="J1003" s="2294" t="s">
        <v>1011</v>
      </c>
    </row>
    <row r="1004" spans="1:10" hidden="1" x14ac:dyDescent="0.2">
      <c r="A1004" s="2291" t="s">
        <v>2841</v>
      </c>
      <c r="B1004" s="1634" t="s">
        <v>6429</v>
      </c>
      <c r="C1004" s="1634" t="s">
        <v>3862</v>
      </c>
      <c r="D1004" s="1634" t="s">
        <v>6605</v>
      </c>
      <c r="E1004" s="1634" t="s">
        <v>2181</v>
      </c>
      <c r="F1004" s="1634" t="s">
        <v>6430</v>
      </c>
      <c r="G1004" s="1634" t="s">
        <v>1575</v>
      </c>
      <c r="H1004" s="1634" t="s">
        <v>6606</v>
      </c>
      <c r="I1004" s="1634" t="s">
        <v>5084</v>
      </c>
      <c r="J1004" s="2294" t="s">
        <v>5085</v>
      </c>
    </row>
    <row r="1005" spans="1:10" hidden="1" x14ac:dyDescent="0.2">
      <c r="A1005" s="2291" t="s">
        <v>2842</v>
      </c>
      <c r="B1005" s="1634" t="s">
        <v>2187</v>
      </c>
      <c r="C1005" s="1634" t="s">
        <v>3052</v>
      </c>
      <c r="D1005" s="1634" t="s">
        <v>2</v>
      </c>
      <c r="E1005" s="1634" t="s">
        <v>2188</v>
      </c>
      <c r="F1005" s="1634" t="s">
        <v>2921</v>
      </c>
      <c r="G1005" s="1634" t="s">
        <v>4078</v>
      </c>
      <c r="H1005" s="1634" t="s">
        <v>3</v>
      </c>
      <c r="I1005" s="1634" t="s">
        <v>1741</v>
      </c>
      <c r="J1005" s="2294" t="s">
        <v>1742</v>
      </c>
    </row>
    <row r="1006" spans="1:10" hidden="1" x14ac:dyDescent="0.2">
      <c r="A1006" s="2291" t="s">
        <v>2843</v>
      </c>
      <c r="B1006" s="1634" t="s">
        <v>6431</v>
      </c>
      <c r="C1006" s="1634" t="s">
        <v>3054</v>
      </c>
      <c r="D1006" s="1634" t="s">
        <v>1744</v>
      </c>
      <c r="E1006" s="1634" t="s">
        <v>3092</v>
      </c>
      <c r="F1006" s="1634" t="s">
        <v>2923</v>
      </c>
      <c r="G1006" s="1634" t="s">
        <v>4080</v>
      </c>
      <c r="H1006" s="1634" t="s">
        <v>1745</v>
      </c>
      <c r="I1006" s="1634" t="s">
        <v>1746</v>
      </c>
      <c r="J1006" s="2294" t="s">
        <v>1747</v>
      </c>
    </row>
    <row r="1007" spans="1:10" hidden="1" x14ac:dyDescent="0.2">
      <c r="A1007" s="2291" t="s">
        <v>2844</v>
      </c>
      <c r="B1007" s="1634" t="s">
        <v>6432</v>
      </c>
      <c r="C1007" s="1634" t="s">
        <v>3056</v>
      </c>
      <c r="D1007" s="1634" t="s">
        <v>1749</v>
      </c>
      <c r="E1007" s="1634" t="s">
        <v>3535</v>
      </c>
      <c r="F1007" s="1634" t="s">
        <v>3301</v>
      </c>
      <c r="G1007" s="1634" t="s">
        <v>4082</v>
      </c>
      <c r="H1007" s="1634" t="s">
        <v>1750</v>
      </c>
      <c r="I1007" s="1634" t="s">
        <v>1751</v>
      </c>
      <c r="J1007" s="2294" t="s">
        <v>1752</v>
      </c>
    </row>
    <row r="1008" spans="1:10" hidden="1" x14ac:dyDescent="0.2">
      <c r="A1008" s="2291" t="s">
        <v>2845</v>
      </c>
      <c r="B1008" s="1634" t="s">
        <v>6433</v>
      </c>
      <c r="C1008" s="1634" t="s">
        <v>3058</v>
      </c>
      <c r="D1008" s="1634" t="s">
        <v>1727</v>
      </c>
      <c r="E1008" s="1634" t="s">
        <v>6189</v>
      </c>
      <c r="F1008" s="1634" t="s">
        <v>3303</v>
      </c>
      <c r="G1008" s="1634" t="s">
        <v>4084</v>
      </c>
      <c r="H1008" s="1634" t="s">
        <v>1728</v>
      </c>
      <c r="I1008" s="1634" t="s">
        <v>945</v>
      </c>
      <c r="J1008" s="2294" t="s">
        <v>946</v>
      </c>
    </row>
    <row r="1009" spans="1:10" hidden="1" x14ac:dyDescent="0.2">
      <c r="A1009" s="2291" t="s">
        <v>2846</v>
      </c>
      <c r="B1009" s="1634" t="s">
        <v>2276</v>
      </c>
      <c r="C1009" s="1634" t="s">
        <v>3865</v>
      </c>
      <c r="D1009" s="1634" t="s">
        <v>2493</v>
      </c>
      <c r="E1009" s="1634" t="s">
        <v>2277</v>
      </c>
      <c r="F1009" s="1634" t="s">
        <v>5477</v>
      </c>
      <c r="G1009" s="1634" t="s">
        <v>4086</v>
      </c>
      <c r="H1009" s="1634" t="s">
        <v>2494</v>
      </c>
      <c r="I1009" s="1634" t="s">
        <v>2495</v>
      </c>
      <c r="J1009" s="2294" t="s">
        <v>2496</v>
      </c>
    </row>
    <row r="1010" spans="1:10" hidden="1" x14ac:dyDescent="0.2">
      <c r="A1010" s="2291" t="s">
        <v>2847</v>
      </c>
      <c r="B1010" s="1634" t="s">
        <v>6434</v>
      </c>
      <c r="C1010" s="1634" t="s">
        <v>3868</v>
      </c>
      <c r="D1010" s="1634" t="s">
        <v>5817</v>
      </c>
      <c r="E1010" s="1634" t="s">
        <v>2284</v>
      </c>
      <c r="F1010" s="1634" t="s">
        <v>6435</v>
      </c>
      <c r="G1010" s="1634" t="s">
        <v>2431</v>
      </c>
      <c r="H1010" s="1634" t="s">
        <v>2432</v>
      </c>
      <c r="I1010" s="1634" t="s">
        <v>2433</v>
      </c>
      <c r="J1010" s="2294" t="s">
        <v>1066</v>
      </c>
    </row>
    <row r="1011" spans="1:10" hidden="1" x14ac:dyDescent="0.2">
      <c r="A1011" s="2291" t="s">
        <v>2848</v>
      </c>
      <c r="B1011" s="1634" t="s">
        <v>6436</v>
      </c>
      <c r="C1011" s="1634" t="s">
        <v>3871</v>
      </c>
      <c r="D1011" s="1634" t="s">
        <v>1069</v>
      </c>
      <c r="E1011" s="1634" t="s">
        <v>270</v>
      </c>
      <c r="F1011" s="1634" t="s">
        <v>6437</v>
      </c>
      <c r="G1011" s="1634" t="s">
        <v>4088</v>
      </c>
      <c r="H1011" s="1634" t="s">
        <v>1070</v>
      </c>
      <c r="I1011" s="1634" t="s">
        <v>1071</v>
      </c>
      <c r="J1011" s="2294" t="s">
        <v>1072</v>
      </c>
    </row>
    <row r="1012" spans="1:10" hidden="1" x14ac:dyDescent="0.2">
      <c r="A1012" s="2291" t="s">
        <v>2849</v>
      </c>
      <c r="B1012" s="1634" t="s">
        <v>6438</v>
      </c>
      <c r="C1012" s="1634" t="s">
        <v>3874</v>
      </c>
      <c r="D1012" s="1634" t="s">
        <v>1075</v>
      </c>
      <c r="E1012" s="1634" t="s">
        <v>277</v>
      </c>
      <c r="F1012" s="1634" t="s">
        <v>6439</v>
      </c>
      <c r="G1012" s="1634" t="s">
        <v>1076</v>
      </c>
      <c r="H1012" s="1634" t="s">
        <v>4204</v>
      </c>
      <c r="I1012" s="1634" t="s">
        <v>4205</v>
      </c>
      <c r="J1012" s="2294" t="s">
        <v>4206</v>
      </c>
    </row>
    <row r="1013" spans="1:10" hidden="1" x14ac:dyDescent="0.2">
      <c r="A1013" s="2291" t="s">
        <v>2850</v>
      </c>
      <c r="B1013" s="1634" t="s">
        <v>2945</v>
      </c>
      <c r="C1013" s="1634" t="s">
        <v>3877</v>
      </c>
      <c r="D1013" s="1634" t="s">
        <v>1781</v>
      </c>
      <c r="E1013" s="1634" t="s">
        <v>2946</v>
      </c>
      <c r="F1013" s="1634" t="s">
        <v>1782</v>
      </c>
      <c r="G1013" s="1634" t="s">
        <v>1783</v>
      </c>
      <c r="H1013" s="1634" t="s">
        <v>1784</v>
      </c>
      <c r="I1013" s="1634" t="s">
        <v>3778</v>
      </c>
      <c r="J1013" s="2294" t="s">
        <v>3779</v>
      </c>
    </row>
    <row r="1014" spans="1:10" hidden="1" x14ac:dyDescent="0.2">
      <c r="A1014" s="2291" t="s">
        <v>2851</v>
      </c>
      <c r="B1014" s="1634" t="s">
        <v>2667</v>
      </c>
      <c r="C1014" s="1634" t="s">
        <v>395</v>
      </c>
      <c r="D1014" s="1634" t="s">
        <v>2668</v>
      </c>
      <c r="E1014" s="1634" t="s">
        <v>2669</v>
      </c>
      <c r="F1014" s="1634" t="s">
        <v>5478</v>
      </c>
      <c r="G1014" s="1634" t="s">
        <v>2670</v>
      </c>
      <c r="H1014" s="1634" t="s">
        <v>2671</v>
      </c>
      <c r="I1014" s="1634" t="s">
        <v>2672</v>
      </c>
      <c r="J1014" s="2294" t="s">
        <v>2673</v>
      </c>
    </row>
    <row r="1015" spans="1:10" hidden="1" x14ac:dyDescent="0.2">
      <c r="A1015" s="2291" t="s">
        <v>2852</v>
      </c>
      <c r="B1015" s="1634" t="s">
        <v>661</v>
      </c>
      <c r="C1015" s="1634" t="s">
        <v>662</v>
      </c>
      <c r="D1015" s="1634" t="s">
        <v>663</v>
      </c>
      <c r="E1015" s="1634" t="s">
        <v>664</v>
      </c>
      <c r="F1015" s="1634" t="s">
        <v>665</v>
      </c>
      <c r="G1015" s="1634" t="s">
        <v>666</v>
      </c>
      <c r="H1015" s="1634" t="s">
        <v>351</v>
      </c>
      <c r="I1015" s="1634" t="s">
        <v>667</v>
      </c>
      <c r="J1015" s="2294" t="s">
        <v>668</v>
      </c>
    </row>
    <row r="1016" spans="1:10" hidden="1" x14ac:dyDescent="0.2">
      <c r="A1016" s="2291" t="s">
        <v>3328</v>
      </c>
      <c r="B1016" s="1634" t="s">
        <v>671</v>
      </c>
      <c r="C1016" s="1634" t="s">
        <v>672</v>
      </c>
      <c r="D1016" s="1634" t="s">
        <v>673</v>
      </c>
      <c r="E1016" s="1634" t="s">
        <v>674</v>
      </c>
      <c r="F1016" s="1634" t="s">
        <v>5479</v>
      </c>
      <c r="G1016" s="1634" t="s">
        <v>3493</v>
      </c>
      <c r="H1016" s="1634" t="s">
        <v>353</v>
      </c>
      <c r="I1016" s="1634" t="s">
        <v>675</v>
      </c>
      <c r="J1016" s="2294" t="s">
        <v>2574</v>
      </c>
    </row>
    <row r="1017" spans="1:10" hidden="1" x14ac:dyDescent="0.2">
      <c r="A1017" s="2291" t="s">
        <v>3329</v>
      </c>
      <c r="B1017" s="1634" t="s">
        <v>6441</v>
      </c>
      <c r="C1017" s="1634" t="s">
        <v>678</v>
      </c>
      <c r="D1017" s="1634" t="s">
        <v>679</v>
      </c>
      <c r="E1017" s="1634" t="s">
        <v>680</v>
      </c>
      <c r="F1017" s="1634" t="s">
        <v>6442</v>
      </c>
      <c r="G1017" s="1634" t="s">
        <v>3495</v>
      </c>
      <c r="H1017" s="1634" t="s">
        <v>681</v>
      </c>
      <c r="I1017" s="1634" t="s">
        <v>682</v>
      </c>
      <c r="J1017" s="2294" t="s">
        <v>683</v>
      </c>
    </row>
    <row r="1018" spans="1:10" hidden="1" x14ac:dyDescent="0.2">
      <c r="A1018" s="2291" t="s">
        <v>6637</v>
      </c>
      <c r="B1018" s="1634" t="s">
        <v>6444</v>
      </c>
      <c r="C1018" s="1634" t="s">
        <v>686</v>
      </c>
      <c r="D1018" s="1634" t="s">
        <v>687</v>
      </c>
      <c r="E1018" s="1634" t="s">
        <v>688</v>
      </c>
      <c r="F1018" s="1634" t="s">
        <v>6445</v>
      </c>
      <c r="G1018" s="1634" t="s">
        <v>3497</v>
      </c>
      <c r="H1018" s="1634" t="s">
        <v>689</v>
      </c>
      <c r="I1018" s="1634" t="s">
        <v>3677</v>
      </c>
      <c r="J1018" s="2294" t="s">
        <v>2575</v>
      </c>
    </row>
    <row r="1019" spans="1:10" hidden="1" x14ac:dyDescent="0.2">
      <c r="A1019" s="2291" t="s">
        <v>6638</v>
      </c>
      <c r="B1019" s="1634" t="s">
        <v>6447</v>
      </c>
      <c r="C1019" s="1634" t="s">
        <v>3170</v>
      </c>
      <c r="D1019" s="1634" t="s">
        <v>2562</v>
      </c>
      <c r="E1019" s="1634" t="s">
        <v>2193</v>
      </c>
      <c r="F1019" s="1634" t="s">
        <v>6448</v>
      </c>
      <c r="G1019" s="1634" t="s">
        <v>139</v>
      </c>
      <c r="H1019" s="1634" t="s">
        <v>140</v>
      </c>
      <c r="I1019" s="1634" t="s">
        <v>2925</v>
      </c>
      <c r="J1019" s="2294" t="s">
        <v>2926</v>
      </c>
    </row>
    <row r="1020" spans="1:10" hidden="1" x14ac:dyDescent="0.2">
      <c r="A1020" s="2291" t="s">
        <v>228</v>
      </c>
      <c r="B1020" s="1634" t="s">
        <v>2196</v>
      </c>
      <c r="C1020" s="1634" t="s">
        <v>3499</v>
      </c>
      <c r="D1020" s="1634" t="s">
        <v>3394</v>
      </c>
      <c r="E1020" s="1634" t="s">
        <v>3395</v>
      </c>
      <c r="F1020" s="1634" t="s">
        <v>3396</v>
      </c>
      <c r="G1020" s="1634" t="s">
        <v>3397</v>
      </c>
      <c r="H1020" s="1634" t="s">
        <v>3398</v>
      </c>
      <c r="I1020" s="1634" t="s">
        <v>2384</v>
      </c>
      <c r="J1020" s="2294" t="s">
        <v>2227</v>
      </c>
    </row>
    <row r="1021" spans="1:10" hidden="1" x14ac:dyDescent="0.2">
      <c r="A1021" s="2291" t="s">
        <v>229</v>
      </c>
      <c r="B1021" s="1634" t="s">
        <v>506</v>
      </c>
      <c r="C1021" s="1634" t="s">
        <v>507</v>
      </c>
      <c r="D1021" s="1634" t="s">
        <v>508</v>
      </c>
      <c r="E1021" s="1634" t="s">
        <v>509</v>
      </c>
      <c r="F1021" s="1634" t="s">
        <v>6450</v>
      </c>
      <c r="G1021" s="1634" t="s">
        <v>3501</v>
      </c>
      <c r="H1021" s="1634" t="s">
        <v>510</v>
      </c>
      <c r="I1021" s="1634" t="s">
        <v>511</v>
      </c>
      <c r="J1021" s="2294" t="s">
        <v>512</v>
      </c>
    </row>
    <row r="1022" spans="1:10" hidden="1" x14ac:dyDescent="0.2">
      <c r="A1022" s="2291" t="s">
        <v>1786</v>
      </c>
      <c r="B1022" s="1634" t="s">
        <v>1969</v>
      </c>
      <c r="C1022" s="1634" t="s">
        <v>1970</v>
      </c>
      <c r="D1022" s="1634" t="s">
        <v>1971</v>
      </c>
      <c r="E1022" s="1634" t="s">
        <v>1972</v>
      </c>
      <c r="F1022" s="1634" t="s">
        <v>6452</v>
      </c>
      <c r="G1022" s="1634" t="s">
        <v>2928</v>
      </c>
      <c r="H1022" s="1634" t="s">
        <v>2929</v>
      </c>
      <c r="I1022" s="1634" t="s">
        <v>2930</v>
      </c>
      <c r="J1022" s="2294" t="s">
        <v>1973</v>
      </c>
    </row>
    <row r="1023" spans="1:10" hidden="1" x14ac:dyDescent="0.2">
      <c r="A1023" s="2291" t="s">
        <v>1787</v>
      </c>
      <c r="B1023" s="1634" t="s">
        <v>1976</v>
      </c>
      <c r="C1023" s="1634" t="s">
        <v>3503</v>
      </c>
      <c r="D1023" s="1634" t="s">
        <v>3246</v>
      </c>
      <c r="E1023" s="1634" t="s">
        <v>3247</v>
      </c>
      <c r="F1023" s="1634" t="s">
        <v>4523</v>
      </c>
      <c r="G1023" s="1634" t="s">
        <v>3248</v>
      </c>
      <c r="H1023" s="1634" t="s">
        <v>3249</v>
      </c>
      <c r="I1023" s="1634" t="s">
        <v>3250</v>
      </c>
      <c r="J1023" s="2294" t="s">
        <v>3251</v>
      </c>
    </row>
    <row r="1024" spans="1:10" hidden="1" x14ac:dyDescent="0.2">
      <c r="A1024" s="2291" t="s">
        <v>1788</v>
      </c>
      <c r="B1024" s="1634" t="s">
        <v>2953</v>
      </c>
      <c r="C1024" s="1634" t="s">
        <v>6948</v>
      </c>
      <c r="D1024" s="1634" t="s">
        <v>5480</v>
      </c>
      <c r="E1024" s="1634" t="s">
        <v>2954</v>
      </c>
      <c r="F1024" s="1634" t="s">
        <v>3254</v>
      </c>
      <c r="G1024" s="1634" t="s">
        <v>3255</v>
      </c>
      <c r="H1024" s="1634" t="s">
        <v>3256</v>
      </c>
      <c r="I1024" s="1634" t="s">
        <v>3257</v>
      </c>
      <c r="J1024" s="2294" t="s">
        <v>700</v>
      </c>
    </row>
    <row r="1025" spans="1:10" hidden="1" x14ac:dyDescent="0.2">
      <c r="A1025" s="2291" t="s">
        <v>1789</v>
      </c>
      <c r="B1025" s="1634" t="s">
        <v>472</v>
      </c>
      <c r="C1025" s="1634" t="s">
        <v>6950</v>
      </c>
      <c r="D1025" s="1634" t="s">
        <v>799</v>
      </c>
      <c r="E1025" s="1634" t="s">
        <v>473</v>
      </c>
      <c r="F1025" s="1634" t="s">
        <v>4525</v>
      </c>
      <c r="G1025" s="1634" t="s">
        <v>800</v>
      </c>
      <c r="H1025" s="1634" t="s">
        <v>801</v>
      </c>
      <c r="I1025" s="1634" t="s">
        <v>802</v>
      </c>
      <c r="J1025" s="2294" t="s">
        <v>803</v>
      </c>
    </row>
    <row r="1026" spans="1:10" hidden="1" x14ac:dyDescent="0.2">
      <c r="A1026" s="2291" t="s">
        <v>1790</v>
      </c>
      <c r="B1026" s="1634" t="s">
        <v>4527</v>
      </c>
      <c r="C1026" s="1634" t="s">
        <v>806</v>
      </c>
      <c r="D1026" s="1634" t="s">
        <v>807</v>
      </c>
      <c r="E1026" s="1634" t="s">
        <v>6470</v>
      </c>
      <c r="F1026" s="1634" t="s">
        <v>465</v>
      </c>
      <c r="G1026" s="1634" t="s">
        <v>808</v>
      </c>
      <c r="H1026" s="1634" t="s">
        <v>809</v>
      </c>
      <c r="I1026" s="1634" t="s">
        <v>810</v>
      </c>
      <c r="J1026" s="2294" t="s">
        <v>1936</v>
      </c>
    </row>
    <row r="1027" spans="1:10" hidden="1" x14ac:dyDescent="0.2">
      <c r="A1027" s="2291" t="s">
        <v>2487</v>
      </c>
      <c r="B1027" s="1634" t="s">
        <v>5727</v>
      </c>
      <c r="C1027" s="1634" t="s">
        <v>813</v>
      </c>
      <c r="D1027" s="1634" t="s">
        <v>814</v>
      </c>
      <c r="E1027" s="1634" t="s">
        <v>6474</v>
      </c>
      <c r="F1027" s="1634" t="s">
        <v>5728</v>
      </c>
      <c r="G1027" s="1634" t="s">
        <v>815</v>
      </c>
      <c r="H1027" s="1634" t="s">
        <v>816</v>
      </c>
      <c r="I1027" s="1634" t="s">
        <v>817</v>
      </c>
      <c r="J1027" s="2294" t="s">
        <v>818</v>
      </c>
    </row>
    <row r="1028" spans="1:10" hidden="1" x14ac:dyDescent="0.2">
      <c r="A1028" s="2291" t="s">
        <v>2488</v>
      </c>
      <c r="B1028" s="1634" t="s">
        <v>220</v>
      </c>
      <c r="C1028" s="1634" t="s">
        <v>821</v>
      </c>
      <c r="D1028" s="1634" t="s">
        <v>822</v>
      </c>
      <c r="E1028" s="1634" t="s">
        <v>4966</v>
      </c>
      <c r="F1028" s="1634" t="s">
        <v>823</v>
      </c>
      <c r="G1028" s="1634" t="s">
        <v>824</v>
      </c>
      <c r="H1028" s="1634" t="s">
        <v>825</v>
      </c>
      <c r="I1028" s="1634" t="s">
        <v>537</v>
      </c>
      <c r="J1028" s="2294" t="s">
        <v>538</v>
      </c>
    </row>
    <row r="1029" spans="1:10" hidden="1" x14ac:dyDescent="0.2">
      <c r="A1029" s="2291" t="s">
        <v>2489</v>
      </c>
      <c r="B1029" s="1634" t="s">
        <v>4971</v>
      </c>
      <c r="C1029" s="1634" t="s">
        <v>541</v>
      </c>
      <c r="D1029" s="1634" t="s">
        <v>5481</v>
      </c>
      <c r="E1029" s="1634" t="s">
        <v>4972</v>
      </c>
      <c r="F1029" s="1634" t="s">
        <v>5730</v>
      </c>
      <c r="G1029" s="1634" t="s">
        <v>542</v>
      </c>
      <c r="H1029" s="1634" t="s">
        <v>543</v>
      </c>
      <c r="I1029" s="1634" t="s">
        <v>544</v>
      </c>
      <c r="J1029" s="2294" t="s">
        <v>545</v>
      </c>
    </row>
    <row r="1030" spans="1:10" hidden="1" x14ac:dyDescent="0.2">
      <c r="A1030" s="2291" t="s">
        <v>2490</v>
      </c>
      <c r="B1030" s="1634" t="s">
        <v>2824</v>
      </c>
      <c r="C1030" s="1634" t="s">
        <v>6912</v>
      </c>
      <c r="D1030" s="1634" t="s">
        <v>715</v>
      </c>
      <c r="E1030" s="1634" t="s">
        <v>2825</v>
      </c>
      <c r="F1030" s="1634" t="s">
        <v>4789</v>
      </c>
      <c r="G1030" s="1634" t="s">
        <v>1807</v>
      </c>
      <c r="H1030" s="1634" t="s">
        <v>716</v>
      </c>
      <c r="I1030" s="1634" t="s">
        <v>717</v>
      </c>
      <c r="J1030" s="2294" t="s">
        <v>718</v>
      </c>
    </row>
    <row r="1031" spans="1:10" hidden="1" x14ac:dyDescent="0.2">
      <c r="A1031" s="2291" t="s">
        <v>2491</v>
      </c>
      <c r="B1031" s="1634" t="s">
        <v>5609</v>
      </c>
      <c r="C1031" s="1634" t="s">
        <v>3466</v>
      </c>
      <c r="D1031" s="1634" t="s">
        <v>5482</v>
      </c>
      <c r="E1031" s="1634" t="s">
        <v>5610</v>
      </c>
      <c r="F1031" s="1634" t="s">
        <v>5483</v>
      </c>
      <c r="G1031" s="1634" t="s">
        <v>1809</v>
      </c>
      <c r="H1031" s="1634" t="s">
        <v>3467</v>
      </c>
      <c r="I1031" s="1634" t="s">
        <v>3468</v>
      </c>
      <c r="J1031" s="2294" t="s">
        <v>3469</v>
      </c>
    </row>
    <row r="1032" spans="1:10" hidden="1" x14ac:dyDescent="0.2">
      <c r="A1032" s="2291" t="s">
        <v>3853</v>
      </c>
      <c r="B1032" s="1634" t="s">
        <v>3359</v>
      </c>
      <c r="C1032" s="1634" t="s">
        <v>4791</v>
      </c>
      <c r="D1032" s="1634" t="s">
        <v>3472</v>
      </c>
      <c r="E1032" s="1634" t="s">
        <v>3360</v>
      </c>
      <c r="F1032" s="1634" t="s">
        <v>4792</v>
      </c>
      <c r="G1032" s="1634" t="s">
        <v>1811</v>
      </c>
      <c r="H1032" s="1634" t="s">
        <v>3473</v>
      </c>
      <c r="I1032" s="1634" t="s">
        <v>3474</v>
      </c>
      <c r="J1032" s="2294" t="s">
        <v>6050</v>
      </c>
    </row>
    <row r="1033" spans="1:10" hidden="1" x14ac:dyDescent="0.2">
      <c r="A1033" s="2291" t="s">
        <v>3854</v>
      </c>
      <c r="B1033" s="1634" t="s">
        <v>2375</v>
      </c>
      <c r="C1033" s="1634" t="s">
        <v>1918</v>
      </c>
      <c r="D1033" s="1634" t="s">
        <v>5484</v>
      </c>
      <c r="E1033" s="1634" t="s">
        <v>2376</v>
      </c>
      <c r="F1033" s="1634" t="s">
        <v>6503</v>
      </c>
      <c r="G1033" s="1634" t="s">
        <v>1813</v>
      </c>
      <c r="H1033" s="1634" t="s">
        <v>1919</v>
      </c>
      <c r="I1033" s="1634" t="s">
        <v>1920</v>
      </c>
      <c r="J1033" s="2294" t="s">
        <v>1921</v>
      </c>
    </row>
    <row r="1034" spans="1:10" hidden="1" x14ac:dyDescent="0.2">
      <c r="A1034" s="2291" t="s">
        <v>3855</v>
      </c>
      <c r="B1034" s="1634" t="s">
        <v>2380</v>
      </c>
      <c r="C1034" s="1634" t="s">
        <v>3458</v>
      </c>
      <c r="D1034" s="1634" t="s">
        <v>986</v>
      </c>
      <c r="E1034" s="1634" t="s">
        <v>216</v>
      </c>
      <c r="F1034" s="1634" t="s">
        <v>5218</v>
      </c>
      <c r="G1034" s="1634" t="s">
        <v>1815</v>
      </c>
      <c r="H1034" s="1634" t="s">
        <v>987</v>
      </c>
      <c r="I1034" s="1634" t="s">
        <v>1882</v>
      </c>
      <c r="J1034" s="2294" t="s">
        <v>1883</v>
      </c>
    </row>
    <row r="1035" spans="1:10" hidden="1" x14ac:dyDescent="0.2">
      <c r="A1035" s="2291" t="s">
        <v>3856</v>
      </c>
      <c r="B1035" s="1634" t="s">
        <v>6383</v>
      </c>
      <c r="C1035" s="1634" t="s">
        <v>1591</v>
      </c>
      <c r="D1035" s="1634" t="s">
        <v>6180</v>
      </c>
      <c r="E1035" s="1634" t="s">
        <v>6384</v>
      </c>
      <c r="F1035" s="1634" t="s">
        <v>6181</v>
      </c>
      <c r="G1035" s="1634" t="s">
        <v>406</v>
      </c>
      <c r="H1035" s="1634" t="s">
        <v>6182</v>
      </c>
      <c r="I1035" s="1634" t="s">
        <v>6183</v>
      </c>
      <c r="J1035" s="2294" t="s">
        <v>520</v>
      </c>
    </row>
    <row r="1036" spans="1:10" hidden="1" x14ac:dyDescent="0.2">
      <c r="A1036" s="2291" t="s">
        <v>3857</v>
      </c>
      <c r="B1036" s="1634" t="s">
        <v>6388</v>
      </c>
      <c r="C1036" s="1634" t="s">
        <v>523</v>
      </c>
      <c r="D1036" s="1634" t="s">
        <v>6631</v>
      </c>
      <c r="E1036" s="1634" t="s">
        <v>6389</v>
      </c>
      <c r="F1036" s="1634" t="s">
        <v>4819</v>
      </c>
      <c r="G1036" s="1634" t="s">
        <v>2624</v>
      </c>
      <c r="H1036" s="1634" t="s">
        <v>720</v>
      </c>
      <c r="I1036" s="1634" t="s">
        <v>721</v>
      </c>
      <c r="J1036" s="2294" t="s">
        <v>2088</v>
      </c>
    </row>
    <row r="1037" spans="1:10" hidden="1" x14ac:dyDescent="0.2">
      <c r="A1037" s="2291" t="s">
        <v>29</v>
      </c>
      <c r="B1037" s="1634" t="s">
        <v>6393</v>
      </c>
      <c r="C1037" s="1634" t="s">
        <v>2091</v>
      </c>
      <c r="D1037" s="1634" t="s">
        <v>2092</v>
      </c>
      <c r="E1037" s="1634" t="s">
        <v>6394</v>
      </c>
      <c r="F1037" s="1634" t="s">
        <v>4820</v>
      </c>
      <c r="G1037" s="1634" t="s">
        <v>2626</v>
      </c>
      <c r="H1037" s="1634" t="s">
        <v>2093</v>
      </c>
      <c r="I1037" s="1634" t="s">
        <v>2094</v>
      </c>
      <c r="J1037" s="2294" t="s">
        <v>1555</v>
      </c>
    </row>
    <row r="1038" spans="1:10" hidden="1" x14ac:dyDescent="0.2">
      <c r="A1038"/>
      <c r="B1038"/>
      <c r="C1038"/>
      <c r="D1038"/>
      <c r="E1038"/>
      <c r="F1038"/>
      <c r="G1038"/>
      <c r="H1038"/>
      <c r="I1038"/>
      <c r="J1038" s="2294"/>
    </row>
    <row r="1039" spans="1:10" hidden="1" x14ac:dyDescent="0.2">
      <c r="A1039"/>
      <c r="B1039"/>
      <c r="C1039"/>
      <c r="D1039"/>
      <c r="E1039"/>
      <c r="F1039"/>
      <c r="G1039"/>
      <c r="H1039"/>
      <c r="I1039"/>
      <c r="J1039" s="2294"/>
    </row>
    <row r="1041" spans="1:10" hidden="1" x14ac:dyDescent="0.2">
      <c r="A1041" s="2291" t="s">
        <v>425</v>
      </c>
      <c r="B1041" s="1634" t="s">
        <v>2715</v>
      </c>
      <c r="C1041" s="1634" t="s">
        <v>2716</v>
      </c>
      <c r="D1041" s="1634" t="s">
        <v>861</v>
      </c>
      <c r="E1041" s="2294" t="s">
        <v>6609</v>
      </c>
      <c r="F1041"/>
      <c r="G1041"/>
      <c r="H1041"/>
      <c r="I1041"/>
      <c r="J1041"/>
    </row>
    <row r="1042" spans="1:10" hidden="1" x14ac:dyDescent="0.2">
      <c r="A1042" s="2291" t="s">
        <v>426</v>
      </c>
      <c r="B1042" s="1634" t="s">
        <v>2723</v>
      </c>
      <c r="C1042" s="1634" t="s">
        <v>5693</v>
      </c>
      <c r="D1042" s="1634" t="s">
        <v>863</v>
      </c>
      <c r="E1042" s="2294" t="s">
        <v>6611</v>
      </c>
      <c r="F1042"/>
      <c r="G1042"/>
      <c r="H1042"/>
      <c r="I1042"/>
      <c r="J1042"/>
    </row>
    <row r="1043" spans="1:10" hidden="1" x14ac:dyDescent="0.2">
      <c r="A1043" s="2291" t="s">
        <v>4744</v>
      </c>
      <c r="B1043" s="1634" t="s">
        <v>1061</v>
      </c>
      <c r="C1043" s="1634" t="s">
        <v>5694</v>
      </c>
      <c r="D1043" s="1634" t="s">
        <v>865</v>
      </c>
      <c r="E1043" s="2294" t="s">
        <v>6613</v>
      </c>
      <c r="F1043"/>
      <c r="G1043"/>
      <c r="H1043"/>
      <c r="I1043"/>
      <c r="J1043"/>
    </row>
    <row r="1044" spans="1:10" hidden="1" x14ac:dyDescent="0.2">
      <c r="A1044" s="2291" t="s">
        <v>4745</v>
      </c>
      <c r="B1044" s="1634" t="s">
        <v>561</v>
      </c>
      <c r="C1044" s="1634" t="s">
        <v>4706</v>
      </c>
      <c r="D1044" s="1634" t="s">
        <v>3008</v>
      </c>
      <c r="E1044" s="2294" t="s">
        <v>6621</v>
      </c>
      <c r="F1044"/>
      <c r="G1044"/>
      <c r="H1044"/>
      <c r="I1044"/>
      <c r="J1044"/>
    </row>
    <row r="1045" spans="1:10" hidden="1" x14ac:dyDescent="0.2">
      <c r="A1045" s="2291" t="s">
        <v>4746</v>
      </c>
      <c r="B1045" s="1634" t="s">
        <v>2022</v>
      </c>
      <c r="C1045" s="1634" t="s">
        <v>5474</v>
      </c>
      <c r="D1045" s="1634" t="s">
        <v>3010</v>
      </c>
      <c r="E1045" s="2294" t="s">
        <v>6623</v>
      </c>
      <c r="F1045"/>
      <c r="G1045"/>
      <c r="H1045"/>
      <c r="I1045"/>
      <c r="J1045"/>
    </row>
    <row r="1046" spans="1:10" hidden="1" x14ac:dyDescent="0.2">
      <c r="A1046" s="2291" t="s">
        <v>4747</v>
      </c>
      <c r="B1046" s="1634" t="s">
        <v>2029</v>
      </c>
      <c r="C1046" s="1634" t="s">
        <v>4708</v>
      </c>
      <c r="D1046" s="1634" t="s">
        <v>6460</v>
      </c>
      <c r="E1046" s="2294" t="s">
        <v>3132</v>
      </c>
      <c r="F1046"/>
      <c r="G1046"/>
      <c r="H1046"/>
      <c r="I1046"/>
      <c r="J1046"/>
    </row>
    <row r="1047" spans="1:10" hidden="1" x14ac:dyDescent="0.2">
      <c r="A1047" s="2291" t="s">
        <v>4748</v>
      </c>
      <c r="B1047" s="1634" t="s">
        <v>3423</v>
      </c>
      <c r="C1047" s="1634" t="s">
        <v>4710</v>
      </c>
      <c r="D1047" s="1634" t="s">
        <v>6462</v>
      </c>
      <c r="E1047" s="2294" t="s">
        <v>4045</v>
      </c>
      <c r="F1047"/>
      <c r="G1047"/>
      <c r="H1047"/>
      <c r="I1047"/>
      <c r="J1047"/>
    </row>
    <row r="1048" spans="1:10" hidden="1" x14ac:dyDescent="0.2">
      <c r="A1048" s="2291" t="s">
        <v>4749</v>
      </c>
      <c r="B1048" s="1634" t="s">
        <v>5424</v>
      </c>
      <c r="C1048" s="1634" t="s">
        <v>4712</v>
      </c>
      <c r="D1048" s="1634" t="s">
        <v>6464</v>
      </c>
      <c r="E1048" s="2294" t="s">
        <v>4047</v>
      </c>
      <c r="F1048"/>
      <c r="G1048"/>
      <c r="H1048"/>
      <c r="I1048"/>
      <c r="J1048"/>
    </row>
    <row r="1049" spans="1:10" hidden="1" x14ac:dyDescent="0.2">
      <c r="A1049" s="2291" t="s">
        <v>4750</v>
      </c>
      <c r="B1049" s="1634" t="s">
        <v>5430</v>
      </c>
      <c r="C1049" s="1634" t="s">
        <v>4714</v>
      </c>
      <c r="D1049" s="1634" t="s">
        <v>2911</v>
      </c>
      <c r="E1049" s="2294" t="s">
        <v>4095</v>
      </c>
      <c r="F1049"/>
      <c r="G1049"/>
      <c r="H1049"/>
      <c r="I1049"/>
      <c r="J1049"/>
    </row>
    <row r="1050" spans="1:10" hidden="1" x14ac:dyDescent="0.2">
      <c r="A1050" s="2291" t="s">
        <v>4751</v>
      </c>
      <c r="B1050" s="1634" t="s">
        <v>2660</v>
      </c>
      <c r="C1050" s="1634" t="s">
        <v>2161</v>
      </c>
      <c r="D1050" s="1634" t="s">
        <v>4716</v>
      </c>
      <c r="E1050" s="1634" t="s">
        <v>2915</v>
      </c>
      <c r="F1050" s="2294" t="s">
        <v>4105</v>
      </c>
      <c r="G1050"/>
      <c r="H1050"/>
      <c r="I1050"/>
      <c r="J1050"/>
    </row>
    <row r="1051" spans="1:10" hidden="1" x14ac:dyDescent="0.2">
      <c r="A1051" s="2291" t="s">
        <v>4752</v>
      </c>
      <c r="B1051" s="1634" t="s">
        <v>2663</v>
      </c>
      <c r="C1051" s="1634" t="s">
        <v>2168</v>
      </c>
      <c r="D1051" s="1634" t="s">
        <v>6426</v>
      </c>
      <c r="E1051" s="1634" t="s">
        <v>2917</v>
      </c>
      <c r="F1051" s="2294" t="s">
        <v>2322</v>
      </c>
      <c r="G1051"/>
      <c r="H1051"/>
      <c r="I1051"/>
      <c r="J1051"/>
    </row>
    <row r="1052" spans="1:10" hidden="1" x14ac:dyDescent="0.2">
      <c r="A1052" s="2291" t="s">
        <v>4753</v>
      </c>
      <c r="B1052" s="1634" t="s">
        <v>3859</v>
      </c>
      <c r="C1052" s="1634" t="s">
        <v>2174</v>
      </c>
      <c r="D1052" s="1634" t="s">
        <v>6428</v>
      </c>
      <c r="E1052" s="1634" t="s">
        <v>2919</v>
      </c>
      <c r="F1052" s="2294" t="s">
        <v>2327</v>
      </c>
      <c r="G1052"/>
      <c r="H1052"/>
      <c r="I1052"/>
      <c r="J1052"/>
    </row>
    <row r="1053" spans="1:10" hidden="1" x14ac:dyDescent="0.2">
      <c r="A1053" s="2291" t="s">
        <v>4754</v>
      </c>
      <c r="B1053" s="1634" t="s">
        <v>3862</v>
      </c>
      <c r="C1053" s="1634" t="s">
        <v>2181</v>
      </c>
      <c r="D1053" s="1634" t="s">
        <v>6430</v>
      </c>
      <c r="E1053" s="1634" t="s">
        <v>1575</v>
      </c>
      <c r="F1053" s="2294" t="s">
        <v>6606</v>
      </c>
      <c r="G1053"/>
      <c r="H1053"/>
      <c r="I1053"/>
      <c r="J1053"/>
    </row>
    <row r="1054" spans="1:10" hidden="1" x14ac:dyDescent="0.2">
      <c r="A1054" s="2291" t="s">
        <v>4755</v>
      </c>
      <c r="B1054" s="1634" t="s">
        <v>3052</v>
      </c>
      <c r="C1054" s="1634" t="s">
        <v>2188</v>
      </c>
      <c r="D1054" s="1634" t="s">
        <v>2921</v>
      </c>
      <c r="E1054" s="1634" t="s">
        <v>4078</v>
      </c>
      <c r="F1054" s="2294" t="s">
        <v>3</v>
      </c>
      <c r="G1054"/>
      <c r="H1054"/>
      <c r="I1054"/>
      <c r="J1054"/>
    </row>
    <row r="1055" spans="1:10" hidden="1" x14ac:dyDescent="0.2">
      <c r="A1055" s="2291" t="s">
        <v>4756</v>
      </c>
      <c r="B1055" s="1634" t="s">
        <v>3054</v>
      </c>
      <c r="C1055" s="1634" t="s">
        <v>3092</v>
      </c>
      <c r="D1055" s="1634" t="s">
        <v>2923</v>
      </c>
      <c r="E1055" s="1634" t="s">
        <v>4080</v>
      </c>
      <c r="F1055" s="2294" t="s">
        <v>1745</v>
      </c>
      <c r="G1055"/>
      <c r="H1055"/>
      <c r="I1055"/>
      <c r="J1055"/>
    </row>
    <row r="1056" spans="1:10" hidden="1" x14ac:dyDescent="0.2">
      <c r="A1056" s="2291" t="s">
        <v>4757</v>
      </c>
      <c r="B1056" s="1634" t="s">
        <v>3056</v>
      </c>
      <c r="C1056" s="1634" t="s">
        <v>3535</v>
      </c>
      <c r="D1056" s="1634" t="s">
        <v>3301</v>
      </c>
      <c r="E1056" s="1634" t="s">
        <v>4082</v>
      </c>
      <c r="F1056" s="2294" t="s">
        <v>1750</v>
      </c>
      <c r="G1056"/>
      <c r="H1056"/>
      <c r="I1056"/>
      <c r="J1056"/>
    </row>
    <row r="1057" spans="1:10" hidden="1" x14ac:dyDescent="0.2">
      <c r="A1057" s="2291" t="s">
        <v>4758</v>
      </c>
      <c r="B1057" s="1634" t="s">
        <v>2277</v>
      </c>
      <c r="C1057" s="1634" t="s">
        <v>4086</v>
      </c>
      <c r="D1057"/>
      <c r="E1057"/>
      <c r="F1057"/>
      <c r="G1057"/>
      <c r="H1057"/>
      <c r="I1057"/>
      <c r="J1057"/>
    </row>
    <row r="1061" spans="1:10" hidden="1" x14ac:dyDescent="0.2">
      <c r="A1061" s="2291" t="s">
        <v>5890</v>
      </c>
      <c r="B1061" s="1634" t="s">
        <v>6646</v>
      </c>
      <c r="C1061"/>
      <c r="D1061"/>
      <c r="E1061"/>
      <c r="F1061"/>
      <c r="G1061"/>
      <c r="H1061"/>
      <c r="I1061"/>
      <c r="J1061"/>
    </row>
    <row r="1062" spans="1:10" hidden="1" x14ac:dyDescent="0.2">
      <c r="A1062" s="2291" t="s">
        <v>1930</v>
      </c>
      <c r="B1062" s="1634" t="s">
        <v>2538</v>
      </c>
      <c r="C1062"/>
      <c r="D1062"/>
      <c r="E1062"/>
      <c r="F1062"/>
      <c r="G1062"/>
      <c r="H1062"/>
      <c r="I1062"/>
      <c r="J1062"/>
    </row>
    <row r="1063" spans="1:10" hidden="1" x14ac:dyDescent="0.2">
      <c r="A1063" s="2291" t="s">
        <v>2750</v>
      </c>
      <c r="B1063" s="1634" t="s">
        <v>2722</v>
      </c>
      <c r="C1063"/>
      <c r="D1063"/>
      <c r="E1063"/>
      <c r="F1063"/>
      <c r="G1063"/>
      <c r="H1063"/>
      <c r="I1063"/>
      <c r="J1063"/>
    </row>
    <row r="1064" spans="1:10" hidden="1" x14ac:dyDescent="0.2">
      <c r="A1064" s="2291" t="s">
        <v>2751</v>
      </c>
      <c r="B1064" s="1634" t="s">
        <v>6694</v>
      </c>
      <c r="C1064"/>
      <c r="D1064"/>
      <c r="E1064"/>
      <c r="F1064"/>
      <c r="G1064"/>
      <c r="H1064"/>
      <c r="I1064"/>
      <c r="J1064"/>
    </row>
    <row r="1065" spans="1:10" hidden="1" x14ac:dyDescent="0.2">
      <c r="A1065" s="2291" t="s">
        <v>2752</v>
      </c>
      <c r="B1065" s="1634" t="s">
        <v>6697</v>
      </c>
      <c r="C1065"/>
      <c r="D1065"/>
      <c r="E1065"/>
      <c r="F1065"/>
      <c r="G1065"/>
      <c r="H1065"/>
      <c r="I1065"/>
      <c r="J1065"/>
    </row>
    <row r="1066" spans="1:10" hidden="1" x14ac:dyDescent="0.2">
      <c r="A1066" s="2291" t="s">
        <v>2577</v>
      </c>
      <c r="B1066" s="1634" t="s">
        <v>2660</v>
      </c>
      <c r="C1066"/>
      <c r="D1066"/>
      <c r="E1066"/>
      <c r="F1066"/>
      <c r="G1066"/>
      <c r="H1066"/>
      <c r="I1066"/>
      <c r="J1066"/>
    </row>
    <row r="1067" spans="1:10" hidden="1" x14ac:dyDescent="0.2">
      <c r="A1067" s="2291" t="s">
        <v>2578</v>
      </c>
      <c r="B1067" s="1634" t="s">
        <v>2663</v>
      </c>
      <c r="C1067"/>
      <c r="D1067"/>
      <c r="E1067"/>
      <c r="F1067"/>
      <c r="G1067"/>
      <c r="H1067"/>
      <c r="I1067"/>
      <c r="J1067"/>
    </row>
    <row r="1068" spans="1:10" hidden="1" x14ac:dyDescent="0.2">
      <c r="A1068" s="2291" t="s">
        <v>2579</v>
      </c>
      <c r="B1068" s="1634" t="s">
        <v>3859</v>
      </c>
      <c r="C1068"/>
      <c r="D1068"/>
      <c r="E1068"/>
      <c r="F1068"/>
      <c r="G1068"/>
      <c r="H1068"/>
      <c r="I1068"/>
      <c r="J1068"/>
    </row>
    <row r="1069" spans="1:10" hidden="1" x14ac:dyDescent="0.2">
      <c r="A1069" s="2291" t="s">
        <v>2580</v>
      </c>
      <c r="B1069" s="1634" t="s">
        <v>3862</v>
      </c>
      <c r="C1069"/>
      <c r="D1069"/>
      <c r="E1069"/>
      <c r="F1069"/>
    </row>
    <row r="1070" spans="1:10" hidden="1" x14ac:dyDescent="0.2">
      <c r="A1070" s="2291" t="s">
        <v>2581</v>
      </c>
      <c r="B1070" s="1634" t="s">
        <v>1749</v>
      </c>
      <c r="C1070"/>
      <c r="D1070"/>
      <c r="E1070"/>
      <c r="F1070"/>
    </row>
    <row r="1071" spans="1:10" hidden="1" x14ac:dyDescent="0.2">
      <c r="A1071" s="2291" t="s">
        <v>2582</v>
      </c>
      <c r="B1071" s="1634" t="s">
        <v>6434</v>
      </c>
      <c r="C1071" s="1634" t="s">
        <v>5817</v>
      </c>
      <c r="D1071" s="1634" t="s">
        <v>2284</v>
      </c>
      <c r="E1071"/>
      <c r="F1071"/>
    </row>
    <row r="1072" spans="1:10" hidden="1" x14ac:dyDescent="0.2">
      <c r="A1072" s="2291" t="s">
        <v>2583</v>
      </c>
      <c r="B1072" s="1634" t="s">
        <v>6436</v>
      </c>
      <c r="C1072" s="1634" t="s">
        <v>1069</v>
      </c>
      <c r="D1072" s="1634" t="s">
        <v>270</v>
      </c>
      <c r="E1072"/>
      <c r="F1072"/>
    </row>
    <row r="1073" spans="1:21" hidden="1" x14ac:dyDescent="0.2">
      <c r="A1073" s="2291" t="s">
        <v>2584</v>
      </c>
      <c r="B1073" s="1634" t="s">
        <v>6438</v>
      </c>
      <c r="C1073" s="1634" t="s">
        <v>1075</v>
      </c>
      <c r="D1073" s="1634" t="s">
        <v>277</v>
      </c>
      <c r="E1073"/>
      <c r="F1073"/>
    </row>
    <row r="1074" spans="1:21" hidden="1" x14ac:dyDescent="0.2">
      <c r="A1074" s="2291" t="s">
        <v>2585</v>
      </c>
      <c r="B1074" s="1634" t="s">
        <v>2945</v>
      </c>
      <c r="C1074" s="1634" t="s">
        <v>1781</v>
      </c>
      <c r="D1074" s="1634" t="s">
        <v>2946</v>
      </c>
      <c r="E1074"/>
      <c r="F1074"/>
    </row>
    <row r="1075" spans="1:21" hidden="1" x14ac:dyDescent="0.2">
      <c r="A1075" s="2291" t="s">
        <v>2586</v>
      </c>
      <c r="B1075" s="1634" t="s">
        <v>2667</v>
      </c>
      <c r="C1075" s="1634" t="s">
        <v>2668</v>
      </c>
      <c r="D1075" s="1634" t="s">
        <v>2669</v>
      </c>
      <c r="E1075"/>
      <c r="F1075"/>
    </row>
    <row r="1076" spans="1:21" hidden="1" x14ac:dyDescent="0.2">
      <c r="A1076" s="2291" t="s">
        <v>2587</v>
      </c>
      <c r="B1076" s="1634" t="s">
        <v>661</v>
      </c>
      <c r="C1076" s="1634" t="s">
        <v>663</v>
      </c>
      <c r="D1076" s="1634" t="s">
        <v>664</v>
      </c>
      <c r="E1076"/>
      <c r="F1076"/>
    </row>
    <row r="1077" spans="1:21" hidden="1" x14ac:dyDescent="0.2">
      <c r="A1077" s="2291" t="s">
        <v>2588</v>
      </c>
      <c r="B1077" s="1634" t="s">
        <v>216</v>
      </c>
      <c r="C1077" s="1634" t="s">
        <v>1815</v>
      </c>
      <c r="D1077"/>
      <c r="E1077"/>
      <c r="F1077"/>
    </row>
    <row r="1078" spans="1:21" hidden="1" x14ac:dyDescent="0.2">
      <c r="A1078" s="2291" t="s">
        <v>6269</v>
      </c>
      <c r="B1078" s="1634" t="s">
        <v>6448</v>
      </c>
      <c r="C1078"/>
      <c r="D1078"/>
      <c r="E1078"/>
      <c r="F1078"/>
    </row>
    <row r="1079" spans="1:21" hidden="1" x14ac:dyDescent="0.2">
      <c r="A1079" s="2291" t="s">
        <v>3134</v>
      </c>
      <c r="B1079" s="1634" t="s">
        <v>4034</v>
      </c>
      <c r="C1079"/>
      <c r="D1079"/>
      <c r="E1079"/>
      <c r="F1079"/>
    </row>
    <row r="1080" spans="1:21" hidden="1" x14ac:dyDescent="0.2">
      <c r="A1080" s="2291" t="s">
        <v>3135</v>
      </c>
      <c r="B1080" s="1634" t="s">
        <v>1728</v>
      </c>
      <c r="C1080"/>
      <c r="D1080"/>
      <c r="E1080"/>
      <c r="F1080"/>
    </row>
    <row r="1081" spans="1:21" hidden="1" x14ac:dyDescent="0.2">
      <c r="A1081" s="2291" t="s">
        <v>6520</v>
      </c>
      <c r="B1081" s="1634" t="s">
        <v>3254</v>
      </c>
      <c r="C1081"/>
      <c r="D1081"/>
      <c r="E1081"/>
      <c r="F1081"/>
    </row>
    <row r="1082" spans="1:21" hidden="1" x14ac:dyDescent="0.2">
      <c r="C1082"/>
      <c r="D1082"/>
      <c r="E1082"/>
      <c r="F1082"/>
    </row>
    <row r="1083" spans="1:21" hidden="1" x14ac:dyDescent="0.2">
      <c r="A1083" s="3042" t="s">
        <v>6821</v>
      </c>
      <c r="B1083" s="3043"/>
      <c r="C1083" s="3043"/>
      <c r="D1083" s="3043"/>
      <c r="E1083" s="3043"/>
      <c r="F1083" s="3043"/>
      <c r="G1083" s="3043"/>
      <c r="H1083" s="3043"/>
      <c r="I1083" s="3043"/>
      <c r="J1083" s="3043"/>
      <c r="K1083" s="3043"/>
      <c r="L1083" s="3043"/>
      <c r="M1083" s="3043"/>
      <c r="N1083" s="3043"/>
      <c r="O1083" s="3043"/>
      <c r="P1083" s="3043"/>
      <c r="Q1083" s="3043"/>
      <c r="R1083" s="3043"/>
      <c r="S1083" s="3043"/>
      <c r="T1083" s="3043"/>
      <c r="U1083" s="3043"/>
    </row>
    <row r="1084" spans="1:21" hidden="1" x14ac:dyDescent="0.2">
      <c r="A1084" s="3467" t="s">
        <v>2589</v>
      </c>
      <c r="B1084" s="2299" t="s">
        <v>2590</v>
      </c>
      <c r="C1084" s="2299" t="s">
        <v>4506</v>
      </c>
      <c r="D1084" s="2299" t="s">
        <v>1417</v>
      </c>
      <c r="E1084"/>
      <c r="F1084"/>
    </row>
    <row r="1085" spans="1:21" hidden="1" x14ac:dyDescent="0.2">
      <c r="A1085" s="3467" t="s">
        <v>2591</v>
      </c>
      <c r="B1085" s="2299" t="s">
        <v>2592</v>
      </c>
      <c r="C1085" s="2299" t="s">
        <v>3323</v>
      </c>
      <c r="D1085" s="2299" t="s">
        <v>1418</v>
      </c>
      <c r="E1085"/>
      <c r="F1085"/>
    </row>
    <row r="1086" spans="1:21" hidden="1" x14ac:dyDescent="0.2">
      <c r="A1086" s="3467" t="s">
        <v>564</v>
      </c>
      <c r="B1086" s="2299" t="s">
        <v>4110</v>
      </c>
      <c r="C1086" s="2299" t="s">
        <v>4507</v>
      </c>
      <c r="D1086" s="2299" t="s">
        <v>1716</v>
      </c>
    </row>
    <row r="1087" spans="1:21" hidden="1" x14ac:dyDescent="0.2">
      <c r="A1087" s="3467" t="s">
        <v>565</v>
      </c>
      <c r="B1087" s="2299" t="s">
        <v>2615</v>
      </c>
      <c r="C1087" s="2299" t="s">
        <v>7842</v>
      </c>
      <c r="D1087" s="2299" t="s">
        <v>1718</v>
      </c>
    </row>
    <row r="1088" spans="1:21" hidden="1" x14ac:dyDescent="0.2">
      <c r="A1088" s="3467" t="s">
        <v>6528</v>
      </c>
      <c r="B1088" s="2299" t="s">
        <v>2719</v>
      </c>
      <c r="C1088" s="2299" t="s">
        <v>3165</v>
      </c>
      <c r="D1088" s="2299" t="s">
        <v>1720</v>
      </c>
    </row>
    <row r="1089" spans="1:9" hidden="1" x14ac:dyDescent="0.2">
      <c r="A1089" s="3467" t="s">
        <v>3553</v>
      </c>
      <c r="B1089" s="2299" t="s">
        <v>4025</v>
      </c>
      <c r="C1089" s="2299" t="s">
        <v>3167</v>
      </c>
      <c r="D1089" s="2299" t="s">
        <v>1722</v>
      </c>
    </row>
    <row r="1090" spans="1:9" hidden="1" x14ac:dyDescent="0.2">
      <c r="A1090" s="3467" t="s">
        <v>141</v>
      </c>
      <c r="B1090" s="2299" t="s">
        <v>6670</v>
      </c>
      <c r="C1090" s="2299" t="s">
        <v>562</v>
      </c>
      <c r="D1090" s="2299" t="s">
        <v>563</v>
      </c>
    </row>
    <row r="1091" spans="1:9" hidden="1" x14ac:dyDescent="0.2">
      <c r="A1091" s="3467" t="s">
        <v>6731</v>
      </c>
      <c r="B1091" s="2299" t="s">
        <v>6681</v>
      </c>
      <c r="C1091" s="2299" t="s">
        <v>5061</v>
      </c>
      <c r="D1091" s="2299" t="s">
        <v>5062</v>
      </c>
    </row>
    <row r="1092" spans="1:9" hidden="1" x14ac:dyDescent="0.2">
      <c r="A1092" s="3467" t="s">
        <v>6732</v>
      </c>
      <c r="B1092" s="2299" t="s">
        <v>6686</v>
      </c>
      <c r="C1092" s="2299" t="s">
        <v>3424</v>
      </c>
      <c r="D1092" s="2299" t="s">
        <v>5419</v>
      </c>
    </row>
    <row r="1093" spans="1:9" hidden="1" x14ac:dyDescent="0.2">
      <c r="A1093" s="3467" t="s">
        <v>6733</v>
      </c>
      <c r="B1093" s="2299" t="s">
        <v>6692</v>
      </c>
      <c r="C1093" s="2299" t="s">
        <v>5425</v>
      </c>
      <c r="D1093" s="2299" t="s">
        <v>5426</v>
      </c>
    </row>
    <row r="1094" spans="1:9" hidden="1" x14ac:dyDescent="0.2">
      <c r="A1094" s="3467" t="s">
        <v>6734</v>
      </c>
      <c r="B1094" s="2299" t="s">
        <v>6695</v>
      </c>
      <c r="C1094" s="2299" t="s">
        <v>5431</v>
      </c>
      <c r="D1094" s="2299" t="s">
        <v>5432</v>
      </c>
    </row>
    <row r="1095" spans="1:9" hidden="1" x14ac:dyDescent="0.2">
      <c r="A1095" s="3467" t="s">
        <v>6735</v>
      </c>
      <c r="B1095" s="2299" t="s">
        <v>6698</v>
      </c>
      <c r="C1095" s="2299" t="s">
        <v>2155</v>
      </c>
      <c r="D1095" s="2299" t="s">
        <v>2156</v>
      </c>
    </row>
    <row r="1096" spans="1:9" hidden="1" x14ac:dyDescent="0.2">
      <c r="A1096" s="3467" t="s">
        <v>6736</v>
      </c>
      <c r="B1096" s="3467" t="s">
        <v>2661</v>
      </c>
      <c r="C1096" s="3467" t="s">
        <v>2162</v>
      </c>
      <c r="D1096" s="3467" t="s">
        <v>2163</v>
      </c>
    </row>
    <row r="1097" spans="1:9" hidden="1" x14ac:dyDescent="0.2">
      <c r="A1097" s="3467" t="s">
        <v>6737</v>
      </c>
      <c r="B1097" s="3467" t="s">
        <v>2664</v>
      </c>
      <c r="C1097" s="3467" t="s">
        <v>2169</v>
      </c>
      <c r="D1097" s="3467" t="s">
        <v>2170</v>
      </c>
    </row>
    <row r="1098" spans="1:9" hidden="1" x14ac:dyDescent="0.2">
      <c r="A1098" s="3467" t="s">
        <v>7843</v>
      </c>
      <c r="B1098" s="3467" t="s">
        <v>3860</v>
      </c>
      <c r="C1098" s="3467" t="s">
        <v>2175</v>
      </c>
      <c r="D1098" s="3467" t="s">
        <v>2176</v>
      </c>
    </row>
    <row r="1099" spans="1:9" hidden="1" x14ac:dyDescent="0.2">
      <c r="A1099" s="3467" t="s">
        <v>7844</v>
      </c>
      <c r="B1099" s="2299" t="s">
        <v>3863</v>
      </c>
      <c r="C1099" s="2299" t="s">
        <v>2182</v>
      </c>
      <c r="D1099" s="2299" t="s">
        <v>2183</v>
      </c>
    </row>
    <row r="1100" spans="1:9" hidden="1" x14ac:dyDescent="0.2">
      <c r="A1100" s="3467"/>
      <c r="B1100" s="2299"/>
      <c r="C1100" s="2299"/>
      <c r="D1100" s="2299"/>
    </row>
    <row r="1101" spans="1:9" hidden="1" x14ac:dyDescent="0.2">
      <c r="A1101" s="3467" t="s">
        <v>7845</v>
      </c>
      <c r="B1101" s="2299" t="s">
        <v>5011</v>
      </c>
      <c r="C1101" s="2299" t="s">
        <v>3530</v>
      </c>
      <c r="D1101" s="2299" t="s">
        <v>3531</v>
      </c>
      <c r="F1101" s="3044" t="s">
        <v>8920</v>
      </c>
    </row>
    <row r="1102" spans="1:9" hidden="1" x14ac:dyDescent="0.2">
      <c r="A1102" s="3467" t="s">
        <v>7846</v>
      </c>
      <c r="B1102" s="2299" t="s">
        <v>5012</v>
      </c>
      <c r="C1102" s="2299" t="s">
        <v>3536</v>
      </c>
      <c r="D1102" s="2299" t="s">
        <v>3537</v>
      </c>
      <c r="F1102" s="3468" t="s">
        <v>7844</v>
      </c>
      <c r="G1102" s="2301" t="s">
        <v>5010</v>
      </c>
      <c r="H1102" s="2301" t="s">
        <v>2189</v>
      </c>
      <c r="I1102" s="2301" t="s">
        <v>2190</v>
      </c>
    </row>
    <row r="1103" spans="1:9" hidden="1" x14ac:dyDescent="0.2">
      <c r="A1103" s="3467" t="s">
        <v>7847</v>
      </c>
      <c r="B1103" s="2299" t="s">
        <v>5013</v>
      </c>
      <c r="C1103" s="2299" t="s">
        <v>6190</v>
      </c>
      <c r="D1103" s="2299" t="s">
        <v>6191</v>
      </c>
      <c r="F1103" s="3468" t="s">
        <v>7845</v>
      </c>
      <c r="G1103" s="2301" t="s">
        <v>5013</v>
      </c>
      <c r="H1103" s="2301" t="s">
        <v>6190</v>
      </c>
      <c r="I1103" s="2301" t="s">
        <v>6191</v>
      </c>
    </row>
    <row r="1104" spans="1:9" hidden="1" x14ac:dyDescent="0.2">
      <c r="A1104" s="3467" t="s">
        <v>7848</v>
      </c>
      <c r="B1104" s="2299" t="s">
        <v>3866</v>
      </c>
      <c r="C1104" s="2299" t="s">
        <v>2278</v>
      </c>
      <c r="D1104" s="2299" t="s">
        <v>2279</v>
      </c>
      <c r="F1104" s="3468" t="s">
        <v>7846</v>
      </c>
      <c r="G1104" s="2301" t="s">
        <v>3869</v>
      </c>
      <c r="H1104" s="2301" t="s">
        <v>2285</v>
      </c>
      <c r="I1104" s="2301"/>
    </row>
    <row r="1105" spans="1:21" hidden="1" x14ac:dyDescent="0.2">
      <c r="A1105" s="2299" t="s">
        <v>8412</v>
      </c>
      <c r="B1105" s="2299" t="s">
        <v>3869</v>
      </c>
      <c r="C1105" s="2299" t="s">
        <v>2285</v>
      </c>
      <c r="D1105" s="2299" t="s">
        <v>2286</v>
      </c>
      <c r="F1105" s="3468" t="s">
        <v>7847</v>
      </c>
      <c r="G1105" s="2301" t="s">
        <v>3872</v>
      </c>
      <c r="H1105" s="2301" t="s">
        <v>271</v>
      </c>
      <c r="I1105" s="2301"/>
    </row>
    <row r="1106" spans="1:21" hidden="1" x14ac:dyDescent="0.2">
      <c r="A1106" s="3467" t="s">
        <v>8413</v>
      </c>
      <c r="B1106" s="2299" t="s">
        <v>3872</v>
      </c>
      <c r="C1106" s="2299" t="s">
        <v>271</v>
      </c>
      <c r="D1106" s="2299" t="s">
        <v>272</v>
      </c>
      <c r="F1106" s="3468" t="s">
        <v>7848</v>
      </c>
      <c r="G1106" s="2301" t="s">
        <v>3875</v>
      </c>
      <c r="H1106" s="2301" t="s">
        <v>278</v>
      </c>
      <c r="I1106" s="2301"/>
    </row>
    <row r="1107" spans="1:21" hidden="1" x14ac:dyDescent="0.2">
      <c r="A1107" s="3467" t="s">
        <v>8414</v>
      </c>
      <c r="B1107" s="2299" t="s">
        <v>3875</v>
      </c>
      <c r="C1107" s="2299" t="s">
        <v>278</v>
      </c>
      <c r="D1107" s="2299" t="s">
        <v>6049</v>
      </c>
    </row>
    <row r="1108" spans="1:21" hidden="1" x14ac:dyDescent="0.2">
      <c r="A1108" s="3467" t="s">
        <v>8415</v>
      </c>
      <c r="B1108" s="2299" t="s">
        <v>3878</v>
      </c>
      <c r="C1108" s="2299" t="s">
        <v>2947</v>
      </c>
      <c r="D1108" s="2299" t="s">
        <v>2948</v>
      </c>
    </row>
    <row r="1109" spans="1:21" hidden="1" x14ac:dyDescent="0.2">
      <c r="A1109" s="3469" t="s">
        <v>8416</v>
      </c>
      <c r="B1109" s="3470" t="s">
        <v>396</v>
      </c>
      <c r="C1109" s="3470" t="s">
        <v>6031</v>
      </c>
      <c r="D1109" s="3470" t="s">
        <v>235</v>
      </c>
    </row>
    <row r="1110" spans="1:21" hidden="1" x14ac:dyDescent="0.2">
      <c r="A1110" s="3469" t="s">
        <v>8418</v>
      </c>
      <c r="B1110" s="3470" t="s">
        <v>669</v>
      </c>
      <c r="C1110" s="3470" t="s">
        <v>6775</v>
      </c>
      <c r="D1110" s="3470" t="s">
        <v>238</v>
      </c>
    </row>
    <row r="1111" spans="1:21" hidden="1" x14ac:dyDescent="0.2">
      <c r="A1111" s="1634"/>
    </row>
    <row r="1112" spans="1:21" hidden="1" x14ac:dyDescent="0.2">
      <c r="A1112" s="3469" t="s">
        <v>8419</v>
      </c>
      <c r="B1112" s="3470" t="s">
        <v>3470</v>
      </c>
      <c r="C1112" s="3470" t="s">
        <v>67</v>
      </c>
      <c r="D1112" s="2299"/>
      <c r="F1112" s="3468" t="s">
        <v>8417</v>
      </c>
    </row>
    <row r="1113" spans="1:21" hidden="1" x14ac:dyDescent="0.2">
      <c r="A1113" s="3469" t="s">
        <v>8921</v>
      </c>
      <c r="B1113" s="3470" t="s">
        <v>6051</v>
      </c>
      <c r="C1113" s="3470" t="s">
        <v>4513</v>
      </c>
      <c r="D1113" s="2299"/>
      <c r="F1113" s="3468" t="s">
        <v>8417</v>
      </c>
    </row>
    <row r="1114" spans="1:21" hidden="1" x14ac:dyDescent="0.2">
      <c r="A1114" s="3469" t="s">
        <v>8922</v>
      </c>
      <c r="B1114" s="3470" t="s">
        <v>4799</v>
      </c>
      <c r="C1114" s="3470" t="s">
        <v>78</v>
      </c>
      <c r="D1114" s="2299"/>
      <c r="F1114" s="3468" t="s">
        <v>8417</v>
      </c>
    </row>
    <row r="1115" spans="1:21" hidden="1" x14ac:dyDescent="0.2">
      <c r="A1115" s="2299"/>
      <c r="B1115" s="2299"/>
      <c r="C1115" s="2299"/>
      <c r="D1115" s="2299"/>
    </row>
    <row r="1116" spans="1:21" hidden="1" x14ac:dyDescent="0.2">
      <c r="A1116" s="3470" t="s">
        <v>8923</v>
      </c>
      <c r="B1116" s="3470" t="s">
        <v>4883</v>
      </c>
      <c r="C1116" s="2299"/>
      <c r="D1116" s="2299"/>
    </row>
    <row r="1117" spans="1:21" hidden="1" x14ac:dyDescent="0.2">
      <c r="A1117" s="3470" t="s">
        <v>9401</v>
      </c>
      <c r="B1117" s="3470" t="s">
        <v>4895</v>
      </c>
      <c r="C1117" s="2299"/>
      <c r="D1117" s="2299"/>
    </row>
    <row r="1118" spans="1:21" hidden="1" x14ac:dyDescent="0.2">
      <c r="A1118" s="3470" t="s">
        <v>9402</v>
      </c>
      <c r="B1118" s="3470" t="s">
        <v>2219</v>
      </c>
      <c r="C1118" s="2299"/>
      <c r="D1118" s="2299"/>
    </row>
    <row r="1119" spans="1:21" hidden="1" x14ac:dyDescent="0.2">
      <c r="A1119" s="3470"/>
      <c r="B1119" s="3470"/>
      <c r="C1119" s="3470"/>
      <c r="D1119" s="2299"/>
    </row>
    <row r="1120" spans="1:21" hidden="1" x14ac:dyDescent="0.2">
      <c r="A1120" s="3042" t="s">
        <v>1052</v>
      </c>
      <c r="B1120" s="3043"/>
      <c r="C1120" s="3043"/>
      <c r="D1120" s="3043"/>
      <c r="E1120" s="3043"/>
      <c r="F1120" s="3043"/>
      <c r="G1120" s="3043"/>
      <c r="H1120" s="3043"/>
      <c r="I1120" s="3043"/>
      <c r="J1120" s="3043"/>
      <c r="K1120" s="3043"/>
      <c r="L1120" s="3043"/>
      <c r="M1120" s="3043"/>
      <c r="N1120" s="3043"/>
      <c r="O1120" s="3043"/>
      <c r="P1120" s="3043"/>
      <c r="Q1120" s="3043"/>
      <c r="R1120" s="3043"/>
      <c r="S1120" s="3043"/>
      <c r="T1120" s="3043"/>
      <c r="U1120" s="3043"/>
    </row>
    <row r="1121" spans="1:4" hidden="1" x14ac:dyDescent="0.2">
      <c r="A1121" s="2291" t="s">
        <v>567</v>
      </c>
      <c r="B1121" s="1634" t="s">
        <v>640</v>
      </c>
      <c r="C1121"/>
      <c r="D1121"/>
    </row>
    <row r="1122" spans="1:4" hidden="1" x14ac:dyDescent="0.2">
      <c r="A1122" s="2291" t="s">
        <v>568</v>
      </c>
      <c r="B1122" s="1634" t="s">
        <v>2715</v>
      </c>
      <c r="C1122"/>
      <c r="D1122"/>
    </row>
    <row r="1123" spans="1:4" hidden="1" x14ac:dyDescent="0.2">
      <c r="A1123" s="2291" t="s">
        <v>569</v>
      </c>
      <c r="B1123" s="1634" t="s">
        <v>6972</v>
      </c>
      <c r="C1123" s="1634" t="s">
        <v>553</v>
      </c>
      <c r="D1123" s="1634" t="s">
        <v>871</v>
      </c>
    </row>
    <row r="1124" spans="1:4" hidden="1" x14ac:dyDescent="0.2">
      <c r="A1124" s="2291" t="s">
        <v>5495</v>
      </c>
      <c r="B1124" s="1634" t="s">
        <v>6694</v>
      </c>
      <c r="C1124" s="1634" t="s">
        <v>5430</v>
      </c>
      <c r="D1124" s="1634" t="s">
        <v>2911</v>
      </c>
    </row>
    <row r="1125" spans="1:4" hidden="1" x14ac:dyDescent="0.2">
      <c r="A1125" s="2291" t="s">
        <v>566</v>
      </c>
      <c r="B1125" s="1634" t="s">
        <v>3052</v>
      </c>
      <c r="C1125" s="1634" t="s">
        <v>2188</v>
      </c>
      <c r="D1125" s="1634" t="s">
        <v>4078</v>
      </c>
    </row>
    <row r="1126" spans="1:4" hidden="1" x14ac:dyDescent="0.2">
      <c r="A1126" s="2291" t="s">
        <v>5496</v>
      </c>
      <c r="B1126" s="1634" t="s">
        <v>3871</v>
      </c>
      <c r="C1126" s="1634" t="s">
        <v>270</v>
      </c>
      <c r="D1126" s="1634" t="s">
        <v>4088</v>
      </c>
    </row>
    <row r="1127" spans="1:4" hidden="1" x14ac:dyDescent="0.2">
      <c r="A1127" s="2291" t="s">
        <v>5497</v>
      </c>
      <c r="B1127" s="1634" t="s">
        <v>2670</v>
      </c>
      <c r="C1127"/>
      <c r="D1127"/>
    </row>
    <row r="1128" spans="1:4" hidden="1" x14ac:dyDescent="0.2">
      <c r="A1128" s="2291" t="s">
        <v>5498</v>
      </c>
      <c r="B1128" s="1634" t="s">
        <v>2193</v>
      </c>
      <c r="C1128"/>
      <c r="D1128"/>
    </row>
    <row r="1129" spans="1:4" hidden="1" x14ac:dyDescent="0.2">
      <c r="A1129" s="2291" t="s">
        <v>5499</v>
      </c>
      <c r="B1129" s="1634" t="s">
        <v>3395</v>
      </c>
      <c r="C1129"/>
      <c r="D1129"/>
    </row>
    <row r="1130" spans="1:4" hidden="1" x14ac:dyDescent="0.2">
      <c r="A1130" s="2291" t="s">
        <v>5500</v>
      </c>
      <c r="B1130" s="1634" t="s">
        <v>509</v>
      </c>
      <c r="C1130"/>
      <c r="D1130"/>
    </row>
    <row r="1131" spans="1:4" hidden="1" x14ac:dyDescent="0.2">
      <c r="A1131" s="2291" t="s">
        <v>5501</v>
      </c>
      <c r="B1131" s="1634" t="s">
        <v>1972</v>
      </c>
      <c r="C1131"/>
      <c r="D1131"/>
    </row>
    <row r="1132" spans="1:4" hidden="1" x14ac:dyDescent="0.2">
      <c r="A1132" s="2291" t="s">
        <v>5502</v>
      </c>
      <c r="B1132" s="1634" t="s">
        <v>3247</v>
      </c>
      <c r="C1132"/>
      <c r="D1132"/>
    </row>
    <row r="1133" spans="1:4" hidden="1" x14ac:dyDescent="0.2">
      <c r="A1133" s="2291" t="s">
        <v>5503</v>
      </c>
      <c r="B1133" s="1634" t="s">
        <v>800</v>
      </c>
      <c r="C1133"/>
      <c r="D1133"/>
    </row>
    <row r="1134" spans="1:4" hidden="1" x14ac:dyDescent="0.2">
      <c r="A1134" s="2291" t="s">
        <v>5504</v>
      </c>
      <c r="B1134" s="1634" t="s">
        <v>815</v>
      </c>
      <c r="C1134"/>
      <c r="D1134"/>
    </row>
    <row r="1135" spans="1:4" hidden="1" x14ac:dyDescent="0.2">
      <c r="A1135" s="2291" t="s">
        <v>5505</v>
      </c>
      <c r="B1135" s="1634" t="s">
        <v>1809</v>
      </c>
      <c r="C1135"/>
      <c r="D1135"/>
    </row>
    <row r="1136" spans="1:4" hidden="1" x14ac:dyDescent="0.2">
      <c r="A1136" s="2291" t="s">
        <v>5506</v>
      </c>
      <c r="B1136" s="1634" t="s">
        <v>4791</v>
      </c>
      <c r="C1136" s="1634" t="s">
        <v>1811</v>
      </c>
      <c r="D1136"/>
    </row>
    <row r="1137" spans="1:4" hidden="1" x14ac:dyDescent="0.2">
      <c r="A1137" s="2291" t="s">
        <v>5507</v>
      </c>
      <c r="B1137" s="1634" t="s">
        <v>1813</v>
      </c>
      <c r="C1137"/>
      <c r="D1137"/>
    </row>
    <row r="1138" spans="1:4" hidden="1" x14ac:dyDescent="0.2">
      <c r="A1138" s="2291" t="s">
        <v>5508</v>
      </c>
      <c r="B1138" s="1634" t="s">
        <v>216</v>
      </c>
      <c r="C1138"/>
      <c r="D1138"/>
    </row>
    <row r="1139" spans="1:4" hidden="1" x14ac:dyDescent="0.2">
      <c r="A1139" s="2291" t="s">
        <v>1862</v>
      </c>
      <c r="B1139" s="1634" t="s">
        <v>406</v>
      </c>
      <c r="C1139"/>
      <c r="D1139"/>
    </row>
    <row r="1140" spans="1:4" hidden="1" x14ac:dyDescent="0.2">
      <c r="A1140" s="2291" t="s">
        <v>1863</v>
      </c>
      <c r="B1140" s="1634" t="s">
        <v>2624</v>
      </c>
      <c r="C1140"/>
      <c r="D1140"/>
    </row>
    <row r="1141" spans="1:4" hidden="1" x14ac:dyDescent="0.2">
      <c r="A1141" s="2291" t="s">
        <v>1864</v>
      </c>
      <c r="B1141" s="1634" t="s">
        <v>2626</v>
      </c>
      <c r="C1141"/>
      <c r="D1141"/>
    </row>
    <row r="1142" spans="1:4" hidden="1" x14ac:dyDescent="0.2">
      <c r="A1142" s="2291" t="s">
        <v>1865</v>
      </c>
      <c r="B1142" s="1634" t="s">
        <v>5689</v>
      </c>
      <c r="C1142"/>
      <c r="D1142"/>
    </row>
    <row r="1143" spans="1:4" hidden="1" x14ac:dyDescent="0.2">
      <c r="A1143" s="2291" t="s">
        <v>1866</v>
      </c>
      <c r="B1143" s="1634" t="s">
        <v>5691</v>
      </c>
      <c r="C1143"/>
      <c r="D1143"/>
    </row>
    <row r="1144" spans="1:4" hidden="1" x14ac:dyDescent="0.2">
      <c r="A1144" s="2291" t="s">
        <v>1867</v>
      </c>
      <c r="B1144" s="2294" t="s">
        <v>1792</v>
      </c>
      <c r="C1144"/>
      <c r="D1144"/>
    </row>
    <row r="1145" spans="1:4" hidden="1" x14ac:dyDescent="0.2">
      <c r="A1145" s="2291" t="s">
        <v>1868</v>
      </c>
      <c r="B1145" s="1634" t="s">
        <v>1795</v>
      </c>
      <c r="C1145"/>
      <c r="D1145"/>
    </row>
    <row r="1146" spans="1:4" hidden="1" x14ac:dyDescent="0.2">
      <c r="A1146" s="2291" t="s">
        <v>1869</v>
      </c>
      <c r="B1146" s="1634" t="s">
        <v>6513</v>
      </c>
      <c r="C1146"/>
      <c r="D1146"/>
    </row>
    <row r="1147" spans="1:4" hidden="1" x14ac:dyDescent="0.2">
      <c r="A1147" s="2291" t="s">
        <v>3515</v>
      </c>
      <c r="B1147" s="1634" t="s">
        <v>5101</v>
      </c>
      <c r="C1147"/>
      <c r="D1147"/>
    </row>
    <row r="1148" spans="1:4" hidden="1" x14ac:dyDescent="0.2">
      <c r="A1148" s="2291" t="s">
        <v>764</v>
      </c>
      <c r="B1148" s="1634" t="s">
        <v>2304</v>
      </c>
      <c r="C1148"/>
    </row>
    <row r="1149" spans="1:4" hidden="1" x14ac:dyDescent="0.2">
      <c r="A1149" s="2291" t="s">
        <v>765</v>
      </c>
      <c r="B1149" s="1634" t="s">
        <v>852</v>
      </c>
      <c r="C1149"/>
    </row>
    <row r="1150" spans="1:4" hidden="1" x14ac:dyDescent="0.2">
      <c r="A1150" s="2291" t="s">
        <v>766</v>
      </c>
      <c r="B1150" s="1634" t="s">
        <v>6583</v>
      </c>
      <c r="C1150"/>
    </row>
    <row r="1151" spans="1:4" hidden="1" x14ac:dyDescent="0.2">
      <c r="A1151" s="2291" t="s">
        <v>786</v>
      </c>
      <c r="B1151" s="1634" t="s">
        <v>6272</v>
      </c>
      <c r="C1151"/>
    </row>
    <row r="1152" spans="1:4" hidden="1" x14ac:dyDescent="0.2">
      <c r="A1152" s="2291" t="s">
        <v>4508</v>
      </c>
      <c r="B1152" s="1634" t="s">
        <v>5035</v>
      </c>
      <c r="C1152"/>
    </row>
    <row r="1156" spans="1:8" hidden="1" x14ac:dyDescent="0.2">
      <c r="A1156" s="2291" t="s">
        <v>787</v>
      </c>
      <c r="B1156" s="1634" t="s">
        <v>5248</v>
      </c>
      <c r="C1156"/>
    </row>
    <row r="1157" spans="1:8" hidden="1" x14ac:dyDescent="0.2">
      <c r="A1157" s="2291" t="s">
        <v>788</v>
      </c>
      <c r="B1157" s="1634" t="s">
        <v>2715</v>
      </c>
      <c r="C1157"/>
    </row>
    <row r="1158" spans="1:8" hidden="1" x14ac:dyDescent="0.2">
      <c r="A1158" s="2291" t="s">
        <v>4490</v>
      </c>
      <c r="B1158" s="1634" t="s">
        <v>3099</v>
      </c>
      <c r="C1158"/>
    </row>
    <row r="1159" spans="1:8" hidden="1" x14ac:dyDescent="0.2">
      <c r="A1159" s="2291" t="s">
        <v>4491</v>
      </c>
      <c r="B1159" s="1634" t="s">
        <v>3106</v>
      </c>
      <c r="C1159"/>
    </row>
    <row r="1160" spans="1:8" hidden="1" x14ac:dyDescent="0.2">
      <c r="A1160" s="2291" t="s">
        <v>4492</v>
      </c>
      <c r="B1160" s="1634" t="s">
        <v>561</v>
      </c>
      <c r="C1160"/>
    </row>
    <row r="1161" spans="1:8" hidden="1" x14ac:dyDescent="0.2">
      <c r="A1161" s="2291" t="s">
        <v>5545</v>
      </c>
      <c r="B1161" s="1634" t="s">
        <v>6460</v>
      </c>
      <c r="C1161"/>
    </row>
    <row r="1162" spans="1:8" hidden="1" x14ac:dyDescent="0.2">
      <c r="A1162" s="2291" t="s">
        <v>5546</v>
      </c>
      <c r="B1162" s="1634" t="s">
        <v>6683</v>
      </c>
      <c r="C1162"/>
    </row>
    <row r="1163" spans="1:8" hidden="1" x14ac:dyDescent="0.2">
      <c r="A1163" s="2291" t="s">
        <v>5547</v>
      </c>
      <c r="B1163" s="1634" t="s">
        <v>6464</v>
      </c>
      <c r="C1163"/>
    </row>
    <row r="1164" spans="1:8" hidden="1" x14ac:dyDescent="0.2">
      <c r="A1164" s="2291" t="s">
        <v>5548</v>
      </c>
      <c r="B1164" s="1634" t="s">
        <v>6694</v>
      </c>
      <c r="C1164"/>
      <c r="D1164"/>
      <c r="E1164"/>
      <c r="F1164"/>
      <c r="G1164"/>
      <c r="H1164"/>
    </row>
    <row r="1165" spans="1:8" hidden="1" x14ac:dyDescent="0.2">
      <c r="A1165" s="2291" t="s">
        <v>6088</v>
      </c>
      <c r="B1165" s="1634" t="s">
        <v>2913</v>
      </c>
      <c r="C1165"/>
      <c r="D1165"/>
      <c r="E1165"/>
      <c r="F1165"/>
      <c r="G1165"/>
      <c r="H1165"/>
    </row>
    <row r="1166" spans="1:8" hidden="1" x14ac:dyDescent="0.2">
      <c r="A1166" s="2291" t="s">
        <v>4640</v>
      </c>
      <c r="B1166" s="1634" t="s">
        <v>2915</v>
      </c>
      <c r="C1166"/>
      <c r="D1166"/>
      <c r="E1166"/>
      <c r="F1166"/>
      <c r="G1166"/>
      <c r="H1166"/>
    </row>
    <row r="1167" spans="1:8" hidden="1" x14ac:dyDescent="0.2">
      <c r="A1167" s="2291" t="s">
        <v>3461</v>
      </c>
      <c r="B1167" s="1634" t="s">
        <v>2919</v>
      </c>
      <c r="C1167"/>
      <c r="D1167"/>
      <c r="E1167"/>
      <c r="F1167"/>
      <c r="G1167"/>
      <c r="H1167"/>
    </row>
    <row r="1168" spans="1:8" hidden="1" x14ac:dyDescent="0.2">
      <c r="A1168" s="2291" t="s">
        <v>3462</v>
      </c>
      <c r="B1168" s="1634" t="s">
        <v>4078</v>
      </c>
      <c r="C1168"/>
      <c r="D1168"/>
      <c r="E1168"/>
      <c r="F1168"/>
      <c r="G1168"/>
      <c r="H1168"/>
    </row>
    <row r="1169" spans="1:8" hidden="1" x14ac:dyDescent="0.2">
      <c r="A1169" s="2291" t="s">
        <v>3463</v>
      </c>
      <c r="B1169" s="1634" t="s">
        <v>6189</v>
      </c>
      <c r="C1169"/>
      <c r="D1169"/>
      <c r="E1169"/>
      <c r="F1169"/>
      <c r="G1169"/>
      <c r="H1169"/>
    </row>
    <row r="1170" spans="1:8" hidden="1" x14ac:dyDescent="0.2">
      <c r="A1170" s="2291" t="s">
        <v>3464</v>
      </c>
      <c r="B1170" s="1634" t="s">
        <v>3865</v>
      </c>
      <c r="C1170"/>
      <c r="D1170"/>
      <c r="E1170"/>
      <c r="F1170"/>
      <c r="G1170"/>
      <c r="H1170"/>
    </row>
    <row r="1171" spans="1:8" hidden="1" x14ac:dyDescent="0.2">
      <c r="A1171" s="2291" t="s">
        <v>1940</v>
      </c>
      <c r="B1171" s="1634" t="s">
        <v>2284</v>
      </c>
      <c r="C1171"/>
      <c r="D1171"/>
      <c r="E1171"/>
      <c r="F1171"/>
      <c r="G1171"/>
      <c r="H1171"/>
    </row>
    <row r="1172" spans="1:8" hidden="1" x14ac:dyDescent="0.2">
      <c r="A1172" s="2291" t="s">
        <v>1941</v>
      </c>
      <c r="B1172" s="1634" t="s">
        <v>4088</v>
      </c>
      <c r="C1172"/>
      <c r="D1172"/>
      <c r="E1172"/>
      <c r="F1172"/>
      <c r="G1172"/>
      <c r="H1172"/>
    </row>
    <row r="1173" spans="1:8" hidden="1" x14ac:dyDescent="0.2">
      <c r="A1173" s="2291" t="s">
        <v>1942</v>
      </c>
      <c r="B1173" s="1634" t="s">
        <v>662</v>
      </c>
      <c r="C1173"/>
      <c r="D1173"/>
      <c r="E1173"/>
      <c r="F1173"/>
      <c r="G1173"/>
      <c r="H1173"/>
    </row>
    <row r="1174" spans="1:8" hidden="1" x14ac:dyDescent="0.2">
      <c r="A1174" s="2291" t="s">
        <v>3714</v>
      </c>
      <c r="B1174" s="1634" t="s">
        <v>672</v>
      </c>
      <c r="C1174"/>
      <c r="D1174"/>
      <c r="E1174"/>
      <c r="F1174"/>
      <c r="G1174"/>
      <c r="H1174"/>
    </row>
    <row r="1175" spans="1:8" hidden="1" x14ac:dyDescent="0.2">
      <c r="A1175" s="2291" t="s">
        <v>3715</v>
      </c>
      <c r="B1175" s="1634" t="s">
        <v>3497</v>
      </c>
      <c r="C1175"/>
      <c r="D1175"/>
      <c r="E1175"/>
      <c r="F1175"/>
      <c r="G1175"/>
      <c r="H1175"/>
    </row>
    <row r="1178" spans="1:8" hidden="1" x14ac:dyDescent="0.2">
      <c r="A1178" s="2291" t="s">
        <v>6505</v>
      </c>
      <c r="B1178" s="1634" t="s">
        <v>2714</v>
      </c>
      <c r="C1178" s="1634" t="s">
        <v>5471</v>
      </c>
      <c r="D1178" s="1634" t="s">
        <v>2715</v>
      </c>
      <c r="E1178" s="1634" t="s">
        <v>2716</v>
      </c>
      <c r="F1178" s="1634" t="s">
        <v>861</v>
      </c>
      <c r="G1178" s="1634" t="s">
        <v>6609</v>
      </c>
      <c r="H1178" s="1634" t="s">
        <v>2717</v>
      </c>
    </row>
    <row r="1179" spans="1:8" hidden="1" x14ac:dyDescent="0.2">
      <c r="A1179" s="2291" t="s">
        <v>6506</v>
      </c>
      <c r="B1179" s="1634" t="s">
        <v>2721</v>
      </c>
      <c r="C1179" s="1634" t="s">
        <v>2722</v>
      </c>
      <c r="D1179" s="1634" t="s">
        <v>2723</v>
      </c>
      <c r="E1179" s="1634" t="s">
        <v>5693</v>
      </c>
      <c r="F1179" s="1634" t="s">
        <v>863</v>
      </c>
      <c r="G1179" s="1634" t="s">
        <v>6611</v>
      </c>
      <c r="H1179" s="1634" t="s">
        <v>2724</v>
      </c>
    </row>
    <row r="1180" spans="1:8" hidden="1" x14ac:dyDescent="0.2">
      <c r="A1180" s="2291" t="s">
        <v>6507</v>
      </c>
      <c r="B1180" s="1634" t="s">
        <v>4027</v>
      </c>
      <c r="C1180" s="1634" t="s">
        <v>4028</v>
      </c>
      <c r="D1180" s="1634" t="s">
        <v>1061</v>
      </c>
      <c r="E1180" s="1634" t="s">
        <v>5694</v>
      </c>
      <c r="F1180" s="1634" t="s">
        <v>865</v>
      </c>
      <c r="G1180" s="1634" t="s">
        <v>6613</v>
      </c>
      <c r="H1180" s="1634" t="s">
        <v>4029</v>
      </c>
    </row>
    <row r="1181" spans="1:8" hidden="1" x14ac:dyDescent="0.2">
      <c r="A1181" s="2291" t="s">
        <v>3516</v>
      </c>
      <c r="B1181" s="1634" t="s">
        <v>4033</v>
      </c>
      <c r="C1181" s="1634" t="s">
        <v>4034</v>
      </c>
      <c r="D1181" s="1634" t="s">
        <v>3099</v>
      </c>
      <c r="E1181" s="1634" t="s">
        <v>4035</v>
      </c>
      <c r="F1181" s="1634" t="s">
        <v>867</v>
      </c>
      <c r="G1181" s="1634" t="s">
        <v>6615</v>
      </c>
      <c r="H1181" s="1634" t="s">
        <v>4036</v>
      </c>
    </row>
    <row r="1182" spans="1:8" hidden="1" x14ac:dyDescent="0.2">
      <c r="A1182" s="2291" t="s">
        <v>3517</v>
      </c>
      <c r="B1182" s="1634" t="s">
        <v>4040</v>
      </c>
      <c r="C1182" s="1634" t="s">
        <v>4041</v>
      </c>
      <c r="D1182" s="1634" t="s">
        <v>3106</v>
      </c>
      <c r="E1182" s="1634" t="s">
        <v>5696</v>
      </c>
      <c r="F1182" s="1634" t="s">
        <v>869</v>
      </c>
      <c r="G1182" s="1634" t="s">
        <v>6617</v>
      </c>
      <c r="H1182" s="1634" t="s">
        <v>4042</v>
      </c>
    </row>
    <row r="1183" spans="1:8" hidden="1" x14ac:dyDescent="0.2">
      <c r="A1183" s="2291" t="s">
        <v>3518</v>
      </c>
      <c r="B1183" s="1634" t="s">
        <v>6972</v>
      </c>
      <c r="C1183" s="1634" t="s">
        <v>5472</v>
      </c>
      <c r="D1183" s="1634" t="s">
        <v>553</v>
      </c>
      <c r="E1183" s="1634" t="s">
        <v>4704</v>
      </c>
      <c r="F1183" s="1634" t="s">
        <v>871</v>
      </c>
      <c r="G1183" s="1634" t="s">
        <v>6619</v>
      </c>
      <c r="H1183" s="1634" t="s">
        <v>6973</v>
      </c>
    </row>
    <row r="1184" spans="1:8" hidden="1" x14ac:dyDescent="0.2">
      <c r="A1184" s="2291" t="s">
        <v>3519</v>
      </c>
      <c r="B1184" s="1634" t="s">
        <v>4173</v>
      </c>
      <c r="C1184" s="1634" t="s">
        <v>4174</v>
      </c>
      <c r="D1184" s="1634" t="s">
        <v>561</v>
      </c>
      <c r="E1184" s="1634" t="s">
        <v>4706</v>
      </c>
      <c r="F1184" s="1634" t="s">
        <v>3008</v>
      </c>
      <c r="G1184" s="1634" t="s">
        <v>6621</v>
      </c>
      <c r="H1184" s="1634" t="s">
        <v>6662</v>
      </c>
    </row>
    <row r="1185" spans="1:8" hidden="1" x14ac:dyDescent="0.2">
      <c r="A1185" s="2291" t="s">
        <v>3520</v>
      </c>
      <c r="B1185" s="1634" t="s">
        <v>6672</v>
      </c>
      <c r="C1185" s="1634" t="s">
        <v>5473</v>
      </c>
      <c r="D1185" s="1634" t="s">
        <v>2022</v>
      </c>
      <c r="E1185" s="1634" t="s">
        <v>5474</v>
      </c>
      <c r="F1185" s="1634" t="s">
        <v>3010</v>
      </c>
      <c r="G1185" s="1634" t="s">
        <v>6623</v>
      </c>
      <c r="H1185" s="1634" t="s">
        <v>6673</v>
      </c>
    </row>
    <row r="1186" spans="1:8" hidden="1" x14ac:dyDescent="0.2">
      <c r="A1186" s="2291" t="s">
        <v>3521</v>
      </c>
      <c r="B1186" s="1634" t="s">
        <v>6677</v>
      </c>
      <c r="C1186" s="1634" t="s">
        <v>6678</v>
      </c>
      <c r="D1186" s="1634" t="s">
        <v>2029</v>
      </c>
      <c r="E1186" s="1634" t="s">
        <v>4708</v>
      </c>
      <c r="F1186" s="1634" t="s">
        <v>6460</v>
      </c>
      <c r="G1186" s="1634" t="s">
        <v>3132</v>
      </c>
      <c r="H1186" s="1634" t="s">
        <v>6679</v>
      </c>
    </row>
    <row r="1187" spans="1:8" hidden="1" x14ac:dyDescent="0.2">
      <c r="A1187" s="2291" t="s">
        <v>3522</v>
      </c>
      <c r="B1187" s="1634" t="s">
        <v>6683</v>
      </c>
      <c r="C1187" s="1634" t="s">
        <v>5475</v>
      </c>
      <c r="D1187" s="1634" t="s">
        <v>3423</v>
      </c>
      <c r="E1187" s="1634" t="s">
        <v>4710</v>
      </c>
      <c r="F1187" s="1634" t="s">
        <v>6462</v>
      </c>
      <c r="G1187" s="1634" t="s">
        <v>4045</v>
      </c>
      <c r="H1187" s="1634" t="s">
        <v>6684</v>
      </c>
    </row>
    <row r="1188" spans="1:8" hidden="1" x14ac:dyDescent="0.2">
      <c r="A1188" s="2291" t="s">
        <v>3523</v>
      </c>
      <c r="B1188" s="1634" t="s">
        <v>6688</v>
      </c>
      <c r="C1188" s="1634" t="s">
        <v>6689</v>
      </c>
      <c r="D1188" s="1634" t="s">
        <v>5424</v>
      </c>
      <c r="E1188" s="1634" t="s">
        <v>4712</v>
      </c>
      <c r="F1188" s="1634" t="s">
        <v>6464</v>
      </c>
      <c r="G1188" s="1634" t="s">
        <v>4047</v>
      </c>
      <c r="H1188" s="1634" t="s">
        <v>6690</v>
      </c>
    </row>
    <row r="1189" spans="1:8" hidden="1" x14ac:dyDescent="0.2">
      <c r="A1189" s="2291" t="s">
        <v>3524</v>
      </c>
      <c r="B1189" s="1634" t="s">
        <v>6694</v>
      </c>
      <c r="C1189" s="1634" t="s">
        <v>4094</v>
      </c>
      <c r="D1189" s="1634" t="s">
        <v>5430</v>
      </c>
      <c r="E1189" s="1634" t="s">
        <v>4714</v>
      </c>
      <c r="F1189" s="1634" t="s">
        <v>2911</v>
      </c>
      <c r="G1189" s="1634" t="s">
        <v>4095</v>
      </c>
      <c r="H1189" s="1634" t="s">
        <v>4096</v>
      </c>
    </row>
    <row r="1190" spans="1:8" hidden="1" x14ac:dyDescent="0.2">
      <c r="A1190" s="2291" t="s">
        <v>3525</v>
      </c>
      <c r="B1190" s="1634" t="s">
        <v>6697</v>
      </c>
      <c r="C1190" s="1634" t="s">
        <v>4099</v>
      </c>
      <c r="D1190" s="1634" t="s">
        <v>2154</v>
      </c>
      <c r="E1190" s="1634" t="s">
        <v>5476</v>
      </c>
      <c r="F1190" s="1634" t="s">
        <v>2913</v>
      </c>
      <c r="G1190" s="1634" t="s">
        <v>4100</v>
      </c>
      <c r="H1190" s="1634" t="s">
        <v>4101</v>
      </c>
    </row>
    <row r="1191" spans="1:8" hidden="1" x14ac:dyDescent="0.2">
      <c r="A1191" s="2291" t="s">
        <v>3526</v>
      </c>
      <c r="B1191" s="1634" t="s">
        <v>2660</v>
      </c>
      <c r="C1191" s="1634" t="s">
        <v>4104</v>
      </c>
      <c r="D1191" s="1634" t="s">
        <v>2161</v>
      </c>
      <c r="E1191" s="1634" t="s">
        <v>4716</v>
      </c>
      <c r="F1191" s="1634" t="s">
        <v>2915</v>
      </c>
      <c r="G1191" s="1634" t="s">
        <v>4105</v>
      </c>
      <c r="H1191" s="1634" t="s">
        <v>2318</v>
      </c>
    </row>
    <row r="1192" spans="1:8" hidden="1" x14ac:dyDescent="0.2">
      <c r="A1192" s="2291" t="s">
        <v>3527</v>
      </c>
      <c r="B1192" s="1634" t="s">
        <v>2663</v>
      </c>
      <c r="C1192" s="1634" t="s">
        <v>2321</v>
      </c>
      <c r="D1192" s="1634" t="s">
        <v>2168</v>
      </c>
      <c r="E1192" s="1634" t="s">
        <v>6426</v>
      </c>
      <c r="F1192" s="1634" t="s">
        <v>2917</v>
      </c>
      <c r="G1192" s="1634" t="s">
        <v>2322</v>
      </c>
      <c r="H1192" s="1634" t="s">
        <v>2323</v>
      </c>
    </row>
    <row r="1193" spans="1:8" hidden="1" x14ac:dyDescent="0.2">
      <c r="A1193" s="2291" t="s">
        <v>3528</v>
      </c>
      <c r="B1193" s="1634" t="s">
        <v>3859</v>
      </c>
      <c r="C1193" s="1634" t="s">
        <v>2326</v>
      </c>
      <c r="D1193" s="1634" t="s">
        <v>2174</v>
      </c>
      <c r="E1193" s="1634" t="s">
        <v>6428</v>
      </c>
      <c r="F1193" s="1634" t="s">
        <v>2919</v>
      </c>
      <c r="G1193" s="1634" t="s">
        <v>2327</v>
      </c>
      <c r="H1193" s="1634" t="s">
        <v>2328</v>
      </c>
    </row>
    <row r="1194" spans="1:8" hidden="1" x14ac:dyDescent="0.2">
      <c r="A1194" s="2291" t="s">
        <v>3529</v>
      </c>
      <c r="B1194" s="1634" t="s">
        <v>3862</v>
      </c>
      <c r="C1194" s="1634" t="s">
        <v>6605</v>
      </c>
      <c r="D1194" s="1634" t="s">
        <v>2181</v>
      </c>
      <c r="E1194" s="1634" t="s">
        <v>6430</v>
      </c>
      <c r="F1194" s="1634" t="s">
        <v>1575</v>
      </c>
      <c r="G1194" s="1634" t="s">
        <v>6606</v>
      </c>
      <c r="H1194" s="1634" t="s">
        <v>5084</v>
      </c>
    </row>
    <row r="1195" spans="1:8" hidden="1" x14ac:dyDescent="0.2">
      <c r="A1195" s="2291" t="s">
        <v>5039</v>
      </c>
      <c r="B1195" s="1634" t="s">
        <v>3052</v>
      </c>
      <c r="C1195" s="1634" t="s">
        <v>2</v>
      </c>
      <c r="D1195" s="1634" t="s">
        <v>2188</v>
      </c>
      <c r="E1195" s="1634" t="s">
        <v>2921</v>
      </c>
      <c r="F1195" s="1634" t="s">
        <v>4078</v>
      </c>
      <c r="G1195" s="1634" t="s">
        <v>3</v>
      </c>
      <c r="H1195" s="1634" t="s">
        <v>1741</v>
      </c>
    </row>
    <row r="1196" spans="1:8" hidden="1" x14ac:dyDescent="0.2">
      <c r="A1196" s="2291" t="s">
        <v>5040</v>
      </c>
      <c r="B1196" s="1634" t="s">
        <v>3054</v>
      </c>
      <c r="C1196" s="1634" t="s">
        <v>1744</v>
      </c>
      <c r="D1196" s="1634" t="s">
        <v>3092</v>
      </c>
      <c r="E1196" s="1634" t="s">
        <v>2923</v>
      </c>
      <c r="F1196" s="1634" t="s">
        <v>4080</v>
      </c>
      <c r="G1196" s="1634" t="s">
        <v>1745</v>
      </c>
      <c r="H1196" s="1634" t="s">
        <v>1746</v>
      </c>
    </row>
    <row r="1197" spans="1:8" hidden="1" x14ac:dyDescent="0.2">
      <c r="A1197" s="2291" t="s">
        <v>5041</v>
      </c>
      <c r="B1197" s="1634" t="s">
        <v>3303</v>
      </c>
      <c r="C1197"/>
      <c r="D1197"/>
      <c r="E1197"/>
      <c r="F1197"/>
      <c r="G1197"/>
      <c r="H1197"/>
    </row>
    <row r="1198" spans="1:8" hidden="1" x14ac:dyDescent="0.2">
      <c r="A1198" s="2291" t="s">
        <v>5042</v>
      </c>
      <c r="B1198" s="1634" t="s">
        <v>5477</v>
      </c>
      <c r="C1198"/>
      <c r="D1198"/>
      <c r="E1198"/>
      <c r="F1198"/>
      <c r="G1198"/>
      <c r="H1198"/>
    </row>
    <row r="1199" spans="1:8" hidden="1" x14ac:dyDescent="0.2">
      <c r="A1199" s="2291" t="s">
        <v>5043</v>
      </c>
      <c r="B1199" s="1634" t="s">
        <v>662</v>
      </c>
      <c r="C1199" s="1634" t="s">
        <v>663</v>
      </c>
      <c r="D1199" s="1634" t="s">
        <v>664</v>
      </c>
      <c r="E1199" s="1634" t="s">
        <v>665</v>
      </c>
      <c r="F1199" s="1634" t="s">
        <v>666</v>
      </c>
      <c r="G1199" s="1634" t="s">
        <v>351</v>
      </c>
      <c r="H1199" s="1634" t="s">
        <v>667</v>
      </c>
    </row>
    <row r="1200" spans="1:8" hidden="1" x14ac:dyDescent="0.2">
      <c r="A1200" s="2291" t="s">
        <v>5044</v>
      </c>
      <c r="B1200" s="1634" t="s">
        <v>672</v>
      </c>
      <c r="C1200" s="1634" t="s">
        <v>673</v>
      </c>
      <c r="D1200" s="1634" t="s">
        <v>674</v>
      </c>
      <c r="E1200" s="1634" t="s">
        <v>5479</v>
      </c>
      <c r="F1200" s="1634" t="s">
        <v>3493</v>
      </c>
      <c r="G1200" s="1634" t="s">
        <v>353</v>
      </c>
      <c r="H1200" s="1634" t="s">
        <v>675</v>
      </c>
    </row>
    <row r="1201" spans="1:8" hidden="1" x14ac:dyDescent="0.2">
      <c r="A1201" s="2291" t="s">
        <v>5045</v>
      </c>
      <c r="B1201" s="1634" t="s">
        <v>678</v>
      </c>
      <c r="C1201" s="1634" t="s">
        <v>679</v>
      </c>
      <c r="D1201" s="1634" t="s">
        <v>680</v>
      </c>
      <c r="E1201" s="1634" t="s">
        <v>6442</v>
      </c>
      <c r="F1201" s="1634" t="s">
        <v>3495</v>
      </c>
      <c r="G1201" s="1634" t="s">
        <v>681</v>
      </c>
      <c r="H1201" s="1634" t="s">
        <v>682</v>
      </c>
    </row>
    <row r="1202" spans="1:8" hidden="1" x14ac:dyDescent="0.2">
      <c r="A1202" s="2291" t="s">
        <v>5046</v>
      </c>
      <c r="B1202" s="1634" t="s">
        <v>686</v>
      </c>
      <c r="C1202" s="1634" t="s">
        <v>687</v>
      </c>
      <c r="D1202" s="1634" t="s">
        <v>688</v>
      </c>
      <c r="E1202" s="1634" t="s">
        <v>6445</v>
      </c>
      <c r="F1202" s="1634" t="s">
        <v>3497</v>
      </c>
      <c r="G1202" s="1634" t="s">
        <v>689</v>
      </c>
      <c r="H1202" s="1634" t="s">
        <v>3677</v>
      </c>
    </row>
    <row r="1203" spans="1:8" hidden="1" x14ac:dyDescent="0.2">
      <c r="A1203" s="2291" t="s">
        <v>5047</v>
      </c>
      <c r="B1203" s="1634" t="s">
        <v>3170</v>
      </c>
      <c r="C1203" s="1634" t="s">
        <v>2562</v>
      </c>
      <c r="D1203" s="1634" t="s">
        <v>2193</v>
      </c>
      <c r="E1203" s="1634" t="s">
        <v>6448</v>
      </c>
      <c r="F1203" s="1634" t="s">
        <v>139</v>
      </c>
      <c r="G1203" s="1634" t="s">
        <v>140</v>
      </c>
      <c r="H1203" s="1634" t="s">
        <v>2925</v>
      </c>
    </row>
    <row r="1204" spans="1:8" hidden="1" x14ac:dyDescent="0.2">
      <c r="A1204" s="2291" t="s">
        <v>201</v>
      </c>
      <c r="B1204" s="1634" t="s">
        <v>3499</v>
      </c>
      <c r="C1204" s="1634" t="s">
        <v>3394</v>
      </c>
      <c r="D1204" s="1634" t="s">
        <v>3395</v>
      </c>
      <c r="E1204" s="1634" t="s">
        <v>3396</v>
      </c>
      <c r="F1204" s="1634" t="s">
        <v>3397</v>
      </c>
      <c r="G1204" s="1634" t="s">
        <v>3398</v>
      </c>
      <c r="H1204" s="1634" t="s">
        <v>2384</v>
      </c>
    </row>
    <row r="1205" spans="1:8" hidden="1" x14ac:dyDescent="0.2">
      <c r="A1205" s="2291" t="s">
        <v>202</v>
      </c>
      <c r="B1205" s="1634" t="s">
        <v>507</v>
      </c>
      <c r="C1205" s="1634" t="s">
        <v>508</v>
      </c>
      <c r="D1205" s="1634" t="s">
        <v>509</v>
      </c>
      <c r="E1205" s="1634" t="s">
        <v>6450</v>
      </c>
      <c r="F1205" s="1634" t="s">
        <v>3501</v>
      </c>
      <c r="G1205" s="1634" t="s">
        <v>510</v>
      </c>
      <c r="H1205" s="1634" t="s">
        <v>511</v>
      </c>
    </row>
    <row r="1206" spans="1:8" hidden="1" x14ac:dyDescent="0.2">
      <c r="A1206" s="2291" t="s">
        <v>203</v>
      </c>
      <c r="B1206" s="1634" t="s">
        <v>1970</v>
      </c>
      <c r="C1206" s="1634" t="s">
        <v>1971</v>
      </c>
      <c r="D1206" s="1634" t="s">
        <v>1972</v>
      </c>
      <c r="E1206" s="1634" t="s">
        <v>6452</v>
      </c>
      <c r="F1206" s="1634" t="s">
        <v>2928</v>
      </c>
      <c r="G1206" s="1634" t="s">
        <v>2929</v>
      </c>
      <c r="H1206" s="1634" t="s">
        <v>2930</v>
      </c>
    </row>
    <row r="1207" spans="1:8" hidden="1" x14ac:dyDescent="0.2">
      <c r="A1207" s="2291" t="s">
        <v>204</v>
      </c>
      <c r="B1207" s="1634" t="s">
        <v>3503</v>
      </c>
      <c r="C1207" s="1634" t="s">
        <v>3246</v>
      </c>
      <c r="D1207" s="1634" t="s">
        <v>3247</v>
      </c>
      <c r="E1207" s="1634" t="s">
        <v>4523</v>
      </c>
      <c r="F1207" s="1634" t="s">
        <v>3248</v>
      </c>
      <c r="G1207" s="1634" t="s">
        <v>3249</v>
      </c>
      <c r="H1207" s="1634" t="s">
        <v>3250</v>
      </c>
    </row>
    <row r="1208" spans="1:8" hidden="1" x14ac:dyDescent="0.2">
      <c r="A1208" s="2291" t="s">
        <v>205</v>
      </c>
      <c r="B1208" s="1634" t="s">
        <v>6948</v>
      </c>
      <c r="C1208" s="1634" t="s">
        <v>5480</v>
      </c>
      <c r="D1208" s="1634" t="s">
        <v>2954</v>
      </c>
      <c r="E1208" s="1634" t="s">
        <v>3254</v>
      </c>
      <c r="F1208" s="1634" t="s">
        <v>3255</v>
      </c>
      <c r="G1208" s="1634" t="s">
        <v>3256</v>
      </c>
      <c r="H1208" s="1634" t="s">
        <v>3257</v>
      </c>
    </row>
    <row r="1209" spans="1:8" hidden="1" x14ac:dyDescent="0.2">
      <c r="A1209" s="2291" t="s">
        <v>4678</v>
      </c>
      <c r="B1209" s="1634" t="s">
        <v>6950</v>
      </c>
      <c r="C1209" s="1634" t="s">
        <v>799</v>
      </c>
      <c r="D1209" s="1634" t="s">
        <v>473</v>
      </c>
      <c r="E1209" s="1634" t="s">
        <v>4525</v>
      </c>
      <c r="F1209" s="1634" t="s">
        <v>800</v>
      </c>
      <c r="G1209" s="1634" t="s">
        <v>801</v>
      </c>
      <c r="H1209" s="1634" t="s">
        <v>802</v>
      </c>
    </row>
    <row r="1210" spans="1:8" hidden="1" x14ac:dyDescent="0.2">
      <c r="A1210" s="2291" t="s">
        <v>3266</v>
      </c>
      <c r="B1210" s="1634" t="s">
        <v>806</v>
      </c>
      <c r="C1210" s="1634" t="s">
        <v>807</v>
      </c>
      <c r="D1210" s="1634" t="s">
        <v>6470</v>
      </c>
      <c r="E1210" s="1634" t="s">
        <v>465</v>
      </c>
      <c r="F1210" s="1634" t="s">
        <v>808</v>
      </c>
      <c r="G1210" s="1634" t="s">
        <v>809</v>
      </c>
      <c r="H1210" s="1634" t="s">
        <v>810</v>
      </c>
    </row>
    <row r="1211" spans="1:8" hidden="1" x14ac:dyDescent="0.2">
      <c r="A1211" s="2291" t="s">
        <v>3267</v>
      </c>
      <c r="B1211" s="1634" t="s">
        <v>813</v>
      </c>
      <c r="C1211" s="1634" t="s">
        <v>814</v>
      </c>
      <c r="D1211" s="1634" t="s">
        <v>6474</v>
      </c>
      <c r="E1211" s="1634" t="s">
        <v>5728</v>
      </c>
      <c r="F1211" s="1634" t="s">
        <v>815</v>
      </c>
      <c r="G1211" s="1634" t="s">
        <v>816</v>
      </c>
      <c r="H1211" s="1634" t="s">
        <v>817</v>
      </c>
    </row>
    <row r="1212" spans="1:8" hidden="1" x14ac:dyDescent="0.2">
      <c r="A1212" s="2291" t="s">
        <v>3268</v>
      </c>
      <c r="B1212" s="1634" t="s">
        <v>821</v>
      </c>
      <c r="C1212" s="1634" t="s">
        <v>822</v>
      </c>
      <c r="D1212" s="1634" t="s">
        <v>4966</v>
      </c>
      <c r="E1212" s="1634" t="s">
        <v>823</v>
      </c>
      <c r="F1212" s="1634" t="s">
        <v>824</v>
      </c>
      <c r="G1212" s="1634" t="s">
        <v>825</v>
      </c>
      <c r="H1212" s="1634" t="s">
        <v>537</v>
      </c>
    </row>
    <row r="1213" spans="1:8" hidden="1" x14ac:dyDescent="0.2">
      <c r="A1213" s="2291" t="s">
        <v>3269</v>
      </c>
      <c r="B1213" s="1634" t="s">
        <v>541</v>
      </c>
      <c r="C1213" s="1634" t="s">
        <v>5481</v>
      </c>
      <c r="D1213" s="1634" t="s">
        <v>4972</v>
      </c>
      <c r="E1213" s="1634" t="s">
        <v>5730</v>
      </c>
      <c r="F1213" s="1634" t="s">
        <v>542</v>
      </c>
      <c r="G1213" s="1634" t="s">
        <v>543</v>
      </c>
      <c r="H1213" s="1634" t="s">
        <v>544</v>
      </c>
    </row>
    <row r="1214" spans="1:8" hidden="1" x14ac:dyDescent="0.2">
      <c r="A1214" s="2291" t="s">
        <v>3270</v>
      </c>
      <c r="B1214" s="1634" t="s">
        <v>6912</v>
      </c>
      <c r="C1214" s="1634" t="s">
        <v>715</v>
      </c>
      <c r="D1214" s="1634" t="s">
        <v>2825</v>
      </c>
      <c r="E1214" s="1634" t="s">
        <v>4789</v>
      </c>
      <c r="F1214" s="1634" t="s">
        <v>1807</v>
      </c>
      <c r="G1214" s="1634" t="s">
        <v>716</v>
      </c>
      <c r="H1214" s="1634" t="s">
        <v>717</v>
      </c>
    </row>
    <row r="1215" spans="1:8" hidden="1" x14ac:dyDescent="0.2">
      <c r="A1215" s="2291" t="s">
        <v>2545</v>
      </c>
      <c r="B1215" s="1634" t="s">
        <v>3466</v>
      </c>
      <c r="C1215" s="1634" t="s">
        <v>5482</v>
      </c>
      <c r="D1215" s="1634" t="s">
        <v>5610</v>
      </c>
      <c r="E1215" s="1634" t="s">
        <v>5483</v>
      </c>
      <c r="F1215" s="1634" t="s">
        <v>1809</v>
      </c>
      <c r="G1215" s="1634" t="s">
        <v>3467</v>
      </c>
      <c r="H1215" s="1634" t="s">
        <v>3468</v>
      </c>
    </row>
    <row r="1216" spans="1:8" hidden="1" x14ac:dyDescent="0.2">
      <c r="A1216" s="2291" t="s">
        <v>2546</v>
      </c>
      <c r="B1216" s="1634" t="s">
        <v>4791</v>
      </c>
      <c r="C1216" s="1634" t="s">
        <v>3472</v>
      </c>
      <c r="D1216" s="1634" t="s">
        <v>3360</v>
      </c>
      <c r="E1216" s="1634" t="s">
        <v>4792</v>
      </c>
      <c r="F1216" s="1634" t="s">
        <v>1811</v>
      </c>
      <c r="G1216" s="1634" t="s">
        <v>3473</v>
      </c>
      <c r="H1216" s="1634" t="s">
        <v>3474</v>
      </c>
    </row>
    <row r="1217" spans="1:8" hidden="1" x14ac:dyDescent="0.2">
      <c r="A1217" s="2291" t="s">
        <v>2547</v>
      </c>
      <c r="B1217" s="1634" t="s">
        <v>1918</v>
      </c>
      <c r="C1217" s="1634" t="s">
        <v>5484</v>
      </c>
      <c r="D1217" s="1634" t="s">
        <v>2376</v>
      </c>
      <c r="E1217" s="1634" t="s">
        <v>6503</v>
      </c>
      <c r="F1217" s="1634" t="s">
        <v>1813</v>
      </c>
      <c r="G1217" s="1634" t="s">
        <v>1919</v>
      </c>
      <c r="H1217" s="1634" t="s">
        <v>1920</v>
      </c>
    </row>
    <row r="1218" spans="1:8" hidden="1" x14ac:dyDescent="0.2">
      <c r="A1218" s="2291" t="s">
        <v>606</v>
      </c>
      <c r="B1218" s="1634" t="s">
        <v>6181</v>
      </c>
      <c r="C1218"/>
      <c r="D1218"/>
      <c r="E1218"/>
      <c r="F1218"/>
      <c r="G1218"/>
      <c r="H1218"/>
    </row>
    <row r="1219" spans="1:8" hidden="1" x14ac:dyDescent="0.2">
      <c r="A1219" s="2291" t="s">
        <v>607</v>
      </c>
      <c r="B1219" s="1634" t="s">
        <v>4819</v>
      </c>
      <c r="C1219"/>
      <c r="D1219"/>
      <c r="E1219"/>
      <c r="F1219"/>
      <c r="G1219"/>
      <c r="H1219"/>
    </row>
    <row r="1220" spans="1:8" hidden="1" x14ac:dyDescent="0.2">
      <c r="D1220"/>
      <c r="E1220"/>
      <c r="F1220"/>
      <c r="G1220"/>
      <c r="H1220"/>
    </row>
    <row r="1221" spans="1:8" hidden="1" x14ac:dyDescent="0.2">
      <c r="D1221"/>
      <c r="E1221"/>
      <c r="F1221"/>
      <c r="G1221"/>
      <c r="H1221"/>
    </row>
    <row r="1222" spans="1:8" hidden="1" x14ac:dyDescent="0.2">
      <c r="D1222"/>
      <c r="E1222"/>
      <c r="F1222"/>
      <c r="G1222"/>
      <c r="H1222"/>
    </row>
    <row r="1223" spans="1:8" hidden="1" x14ac:dyDescent="0.2">
      <c r="A1223" s="2291" t="s">
        <v>2548</v>
      </c>
      <c r="B1223" s="1634" t="s">
        <v>2549</v>
      </c>
      <c r="C1223" s="1634" t="s">
        <v>640</v>
      </c>
      <c r="D1223"/>
      <c r="E1223"/>
      <c r="F1223"/>
      <c r="G1223"/>
      <c r="H1223"/>
    </row>
    <row r="1224" spans="1:8" hidden="1" x14ac:dyDescent="0.2">
      <c r="A1224" s="2291" t="s">
        <v>2550</v>
      </c>
      <c r="B1224" s="1634" t="s">
        <v>2523</v>
      </c>
      <c r="C1224" s="1634" t="s">
        <v>2612</v>
      </c>
      <c r="D1224"/>
      <c r="E1224"/>
      <c r="F1224"/>
      <c r="G1224"/>
      <c r="H1224"/>
    </row>
    <row r="1225" spans="1:8" hidden="1" x14ac:dyDescent="0.2">
      <c r="A1225" s="2291" t="s">
        <v>2422</v>
      </c>
      <c r="B1225" s="1634" t="s">
        <v>4773</v>
      </c>
      <c r="C1225" s="1634" t="s">
        <v>2715</v>
      </c>
      <c r="D1225"/>
      <c r="E1225"/>
      <c r="F1225"/>
      <c r="G1225"/>
      <c r="H1225"/>
    </row>
    <row r="1226" spans="1:8" hidden="1" x14ac:dyDescent="0.2">
      <c r="A1226" s="2291" t="s">
        <v>2423</v>
      </c>
      <c r="B1226" s="1634" t="s">
        <v>4775</v>
      </c>
      <c r="C1226" s="1634" t="s">
        <v>2723</v>
      </c>
      <c r="D1226"/>
      <c r="E1226"/>
      <c r="F1226"/>
      <c r="G1226"/>
      <c r="H1226"/>
    </row>
    <row r="1227" spans="1:8" hidden="1" x14ac:dyDescent="0.2">
      <c r="A1227" s="2291" t="s">
        <v>2424</v>
      </c>
      <c r="B1227" s="1634" t="s">
        <v>1551</v>
      </c>
      <c r="C1227" s="1634" t="s">
        <v>1061</v>
      </c>
      <c r="D1227"/>
      <c r="E1227"/>
      <c r="F1227"/>
      <c r="G1227"/>
      <c r="H1227"/>
    </row>
    <row r="1228" spans="1:8" hidden="1" x14ac:dyDescent="0.2">
      <c r="A1228" s="2291" t="s">
        <v>2425</v>
      </c>
      <c r="B1228" s="1634" t="s">
        <v>1553</v>
      </c>
      <c r="C1228" s="1634" t="s">
        <v>3099</v>
      </c>
      <c r="D1228"/>
      <c r="E1228"/>
      <c r="F1228"/>
      <c r="G1228"/>
      <c r="H1228"/>
    </row>
    <row r="1229" spans="1:8" hidden="1" x14ac:dyDescent="0.2">
      <c r="A1229" s="2291" t="s">
        <v>2426</v>
      </c>
      <c r="B1229" s="1634" t="s">
        <v>2330</v>
      </c>
      <c r="C1229" s="1634" t="s">
        <v>3106</v>
      </c>
      <c r="D1229"/>
      <c r="E1229"/>
      <c r="F1229"/>
      <c r="G1229"/>
      <c r="H1229"/>
    </row>
    <row r="1230" spans="1:8" hidden="1" x14ac:dyDescent="0.2">
      <c r="A1230" s="2291" t="s">
        <v>2427</v>
      </c>
      <c r="B1230" s="1634" t="s">
        <v>4274</v>
      </c>
      <c r="C1230" s="1634" t="s">
        <v>553</v>
      </c>
      <c r="D1230"/>
      <c r="E1230"/>
      <c r="F1230"/>
      <c r="G1230"/>
      <c r="H1230"/>
    </row>
    <row r="1231" spans="1:8" hidden="1" x14ac:dyDescent="0.2">
      <c r="A1231" s="2291" t="s">
        <v>6849</v>
      </c>
      <c r="B1231" s="1634" t="s">
        <v>331</v>
      </c>
      <c r="C1231" s="1634" t="s">
        <v>561</v>
      </c>
      <c r="D1231"/>
      <c r="E1231"/>
      <c r="F1231"/>
      <c r="G1231"/>
      <c r="H1231"/>
    </row>
    <row r="1232" spans="1:8" hidden="1" x14ac:dyDescent="0.2">
      <c r="A1232" s="2291" t="s">
        <v>285</v>
      </c>
      <c r="B1232" s="1634" t="s">
        <v>2021</v>
      </c>
      <c r="C1232" s="1634" t="s">
        <v>2022</v>
      </c>
      <c r="D1232"/>
      <c r="E1232"/>
      <c r="F1232"/>
      <c r="G1232"/>
      <c r="H1232"/>
    </row>
    <row r="1233" spans="1:8" hidden="1" x14ac:dyDescent="0.2">
      <c r="A1233" s="2291" t="s">
        <v>286</v>
      </c>
      <c r="B1233" s="1634" t="s">
        <v>4707</v>
      </c>
      <c r="C1233" s="1634" t="s">
        <v>2029</v>
      </c>
      <c r="D1233"/>
      <c r="E1233"/>
      <c r="F1233"/>
      <c r="G1233"/>
      <c r="H1233"/>
    </row>
    <row r="1234" spans="1:8" hidden="1" x14ac:dyDescent="0.2">
      <c r="A1234" s="2291" t="s">
        <v>287</v>
      </c>
      <c r="B1234" s="1634" t="s">
        <v>4709</v>
      </c>
      <c r="C1234" s="1634" t="s">
        <v>3423</v>
      </c>
      <c r="D1234"/>
      <c r="E1234"/>
      <c r="F1234"/>
      <c r="G1234"/>
      <c r="H1234"/>
    </row>
    <row r="1235" spans="1:8" hidden="1" x14ac:dyDescent="0.2">
      <c r="A1235" s="2291" t="s">
        <v>288</v>
      </c>
      <c r="B1235" s="1634" t="s">
        <v>4711</v>
      </c>
      <c r="C1235" s="1634" t="s">
        <v>5424</v>
      </c>
      <c r="D1235"/>
      <c r="E1235"/>
      <c r="F1235"/>
      <c r="G1235"/>
      <c r="H1235"/>
    </row>
    <row r="1236" spans="1:8" hidden="1" x14ac:dyDescent="0.2">
      <c r="A1236" s="2291" t="s">
        <v>289</v>
      </c>
      <c r="B1236" s="1634" t="s">
        <v>4713</v>
      </c>
      <c r="C1236" s="1634" t="s">
        <v>5430</v>
      </c>
      <c r="D1236"/>
      <c r="E1236"/>
      <c r="F1236"/>
      <c r="G1236"/>
      <c r="H1236"/>
    </row>
    <row r="1237" spans="1:8" hidden="1" x14ac:dyDescent="0.2">
      <c r="A1237" s="2291" t="s">
        <v>290</v>
      </c>
      <c r="B1237" s="1634" t="s">
        <v>2153</v>
      </c>
      <c r="C1237" s="1634" t="s">
        <v>2154</v>
      </c>
      <c r="D1237"/>
      <c r="E1237"/>
      <c r="F1237"/>
      <c r="G1237"/>
      <c r="H1237"/>
    </row>
    <row r="1238" spans="1:8" hidden="1" x14ac:dyDescent="0.2">
      <c r="A1238" s="2291" t="s">
        <v>291</v>
      </c>
      <c r="B1238" s="1634" t="s">
        <v>4715</v>
      </c>
      <c r="C1238" s="1634" t="s">
        <v>2161</v>
      </c>
      <c r="D1238"/>
      <c r="E1238"/>
      <c r="F1238"/>
      <c r="G1238"/>
      <c r="H1238"/>
    </row>
    <row r="1239" spans="1:8" hidden="1" x14ac:dyDescent="0.2">
      <c r="A1239" s="2291" t="s">
        <v>292</v>
      </c>
      <c r="B1239" s="1634" t="s">
        <v>2187</v>
      </c>
      <c r="C1239" s="1634" t="s">
        <v>2</v>
      </c>
      <c r="D1239"/>
      <c r="E1239"/>
      <c r="F1239"/>
      <c r="G1239"/>
      <c r="H1239"/>
    </row>
    <row r="1240" spans="1:8" hidden="1" x14ac:dyDescent="0.2">
      <c r="A1240" s="2291" t="s">
        <v>293</v>
      </c>
      <c r="B1240" s="1634" t="s">
        <v>3056</v>
      </c>
      <c r="C1240"/>
      <c r="D1240"/>
      <c r="E1240"/>
      <c r="F1240"/>
      <c r="G1240"/>
      <c r="H1240"/>
    </row>
    <row r="1241" spans="1:8" hidden="1" x14ac:dyDescent="0.2">
      <c r="A1241" s="2291" t="s">
        <v>294</v>
      </c>
      <c r="B1241" s="1634" t="s">
        <v>3865</v>
      </c>
      <c r="C1241"/>
      <c r="D1241"/>
      <c r="E1241"/>
      <c r="F1241"/>
      <c r="G1241"/>
      <c r="H1241"/>
    </row>
    <row r="1242" spans="1:8" hidden="1" x14ac:dyDescent="0.2">
      <c r="A1242" s="2291" t="s">
        <v>5181</v>
      </c>
      <c r="B1242" s="1634" t="s">
        <v>3871</v>
      </c>
      <c r="C1242"/>
      <c r="D1242"/>
      <c r="E1242"/>
      <c r="F1242"/>
      <c r="G1242"/>
      <c r="H1242"/>
    </row>
    <row r="1243" spans="1:8" hidden="1" x14ac:dyDescent="0.2">
      <c r="A1243" s="2291" t="s">
        <v>5182</v>
      </c>
      <c r="B1243" s="1634" t="s">
        <v>3877</v>
      </c>
      <c r="C1243"/>
      <c r="D1243"/>
      <c r="E1243"/>
      <c r="F1243"/>
      <c r="G1243"/>
      <c r="H1243"/>
    </row>
    <row r="1247" spans="1:8" hidden="1" x14ac:dyDescent="0.2">
      <c r="A1247" s="2291" t="s">
        <v>5449</v>
      </c>
      <c r="B1247" s="1634" t="s">
        <v>6573</v>
      </c>
      <c r="C1247" s="1634" t="s">
        <v>2133</v>
      </c>
      <c r="D1247" s="1634" t="s">
        <v>1714</v>
      </c>
      <c r="E1247"/>
      <c r="F1247"/>
    </row>
    <row r="1248" spans="1:8" hidden="1" x14ac:dyDescent="0.2">
      <c r="A1248" s="2291" t="s">
        <v>5450</v>
      </c>
      <c r="B1248" s="1634" t="s">
        <v>4709</v>
      </c>
      <c r="C1248" s="1634" t="s">
        <v>5475</v>
      </c>
      <c r="D1248" s="1634" t="s">
        <v>4045</v>
      </c>
      <c r="E1248" s="1634" t="s">
        <v>6685</v>
      </c>
      <c r="F1248" s="1634" t="s">
        <v>3424</v>
      </c>
    </row>
    <row r="1249" spans="1:6" hidden="1" x14ac:dyDescent="0.2">
      <c r="A1249" s="2291" t="s">
        <v>5451</v>
      </c>
      <c r="B1249" s="1634" t="s">
        <v>4711</v>
      </c>
      <c r="C1249" s="1634" t="s">
        <v>6689</v>
      </c>
      <c r="D1249" s="1634" t="s">
        <v>4047</v>
      </c>
      <c r="E1249" s="1634" t="s">
        <v>6691</v>
      </c>
      <c r="F1249" s="1634" t="s">
        <v>5425</v>
      </c>
    </row>
    <row r="1250" spans="1:6" hidden="1" x14ac:dyDescent="0.2">
      <c r="A1250" s="2291" t="s">
        <v>5452</v>
      </c>
      <c r="B1250" s="1634" t="s">
        <v>4713</v>
      </c>
      <c r="C1250" s="1634" t="s">
        <v>4094</v>
      </c>
      <c r="D1250" s="1634" t="s">
        <v>4095</v>
      </c>
      <c r="E1250" s="1634" t="s">
        <v>4097</v>
      </c>
      <c r="F1250" s="1634" t="s">
        <v>5431</v>
      </c>
    </row>
    <row r="1251" spans="1:6" hidden="1" x14ac:dyDescent="0.2">
      <c r="A1251" s="2291" t="s">
        <v>5453</v>
      </c>
      <c r="B1251" s="1634" t="s">
        <v>2153</v>
      </c>
      <c r="C1251" s="1634" t="s">
        <v>4099</v>
      </c>
      <c r="D1251" s="1634" t="s">
        <v>4100</v>
      </c>
      <c r="E1251" s="1634" t="s">
        <v>4102</v>
      </c>
      <c r="F1251" s="1634" t="s">
        <v>2155</v>
      </c>
    </row>
    <row r="1252" spans="1:6" hidden="1" x14ac:dyDescent="0.2">
      <c r="A1252" s="2291" t="s">
        <v>5454</v>
      </c>
      <c r="B1252" s="1634" t="s">
        <v>4715</v>
      </c>
      <c r="C1252" s="1634" t="s">
        <v>4104</v>
      </c>
      <c r="D1252" s="1634" t="s">
        <v>4105</v>
      </c>
      <c r="E1252" s="1634" t="s">
        <v>2319</v>
      </c>
      <c r="F1252" s="1634" t="s">
        <v>2162</v>
      </c>
    </row>
    <row r="1253" spans="1:6" hidden="1" x14ac:dyDescent="0.2">
      <c r="A1253" s="2291" t="s">
        <v>5455</v>
      </c>
      <c r="B1253" s="1634" t="s">
        <v>4717</v>
      </c>
      <c r="C1253" s="1634" t="s">
        <v>2321</v>
      </c>
      <c r="D1253" s="1634" t="s">
        <v>2322</v>
      </c>
      <c r="E1253" s="1634" t="s">
        <v>2324</v>
      </c>
      <c r="F1253" s="1634" t="s">
        <v>2169</v>
      </c>
    </row>
    <row r="1254" spans="1:6" hidden="1" x14ac:dyDescent="0.2">
      <c r="A1254" s="2291" t="s">
        <v>5456</v>
      </c>
      <c r="B1254" s="1634" t="s">
        <v>6427</v>
      </c>
      <c r="C1254" s="1634" t="s">
        <v>2326</v>
      </c>
      <c r="D1254" s="1634" t="s">
        <v>2327</v>
      </c>
      <c r="E1254" s="1634" t="s">
        <v>1011</v>
      </c>
      <c r="F1254" s="1634" t="s">
        <v>2175</v>
      </c>
    </row>
    <row r="1255" spans="1:6" hidden="1" x14ac:dyDescent="0.2">
      <c r="A1255" s="2291" t="s">
        <v>2551</v>
      </c>
      <c r="B1255" s="1634" t="s">
        <v>6429</v>
      </c>
      <c r="C1255" s="1634" t="s">
        <v>6605</v>
      </c>
      <c r="D1255" s="1634" t="s">
        <v>6606</v>
      </c>
      <c r="E1255" s="1634" t="s">
        <v>5085</v>
      </c>
      <c r="F1255" s="1634" t="s">
        <v>2182</v>
      </c>
    </row>
    <row r="1256" spans="1:6" hidden="1" x14ac:dyDescent="0.2">
      <c r="A1256" s="2291" t="s">
        <v>2552</v>
      </c>
      <c r="B1256" s="1634" t="s">
        <v>2187</v>
      </c>
      <c r="C1256" s="1634" t="s">
        <v>2</v>
      </c>
      <c r="D1256" s="1634" t="s">
        <v>3</v>
      </c>
      <c r="E1256" s="1634" t="s">
        <v>1742</v>
      </c>
      <c r="F1256" s="1634" t="s">
        <v>2189</v>
      </c>
    </row>
    <row r="1257" spans="1:6" hidden="1" x14ac:dyDescent="0.2">
      <c r="A1257" s="2291" t="s">
        <v>2553</v>
      </c>
      <c r="B1257" s="1634" t="s">
        <v>6431</v>
      </c>
      <c r="C1257" s="1634" t="s">
        <v>1744</v>
      </c>
      <c r="D1257" s="1634" t="s">
        <v>1745</v>
      </c>
      <c r="E1257" s="1634" t="s">
        <v>1747</v>
      </c>
      <c r="F1257" s="1634" t="s">
        <v>3530</v>
      </c>
    </row>
    <row r="1258" spans="1:6" hidden="1" x14ac:dyDescent="0.2">
      <c r="A1258" s="2291" t="s">
        <v>2554</v>
      </c>
      <c r="B1258" s="1634" t="s">
        <v>6435</v>
      </c>
      <c r="C1258"/>
      <c r="D1258"/>
      <c r="E1258"/>
      <c r="F1258"/>
    </row>
    <row r="1259" spans="1:6" hidden="1" x14ac:dyDescent="0.2">
      <c r="A1259" s="2291" t="s">
        <v>429</v>
      </c>
      <c r="B1259" s="1634" t="s">
        <v>6439</v>
      </c>
      <c r="C1259"/>
      <c r="D1259"/>
      <c r="E1259"/>
      <c r="F1259"/>
    </row>
    <row r="1260" spans="1:6" hidden="1" x14ac:dyDescent="0.2">
      <c r="A1260" s="2291" t="s">
        <v>430</v>
      </c>
      <c r="B1260" s="1634" t="s">
        <v>2671</v>
      </c>
      <c r="C1260"/>
      <c r="D1260"/>
      <c r="E1260"/>
      <c r="F1260"/>
    </row>
    <row r="1261" spans="1:6" hidden="1" x14ac:dyDescent="0.2">
      <c r="A1261" s="2291" t="s">
        <v>431</v>
      </c>
      <c r="B1261" s="1634" t="s">
        <v>2673</v>
      </c>
      <c r="C1261"/>
      <c r="D1261"/>
      <c r="E1261"/>
      <c r="F1261"/>
    </row>
    <row r="1262" spans="1:6" hidden="1" x14ac:dyDescent="0.2">
      <c r="A1262" s="2291" t="s">
        <v>5261</v>
      </c>
      <c r="B1262" s="1634" t="s">
        <v>2574</v>
      </c>
      <c r="C1262"/>
      <c r="D1262"/>
      <c r="E1262"/>
      <c r="F1262"/>
    </row>
    <row r="1263" spans="1:6" hidden="1" x14ac:dyDescent="0.2">
      <c r="A1263" s="2291" t="s">
        <v>5262</v>
      </c>
      <c r="B1263" s="1634" t="s">
        <v>689</v>
      </c>
      <c r="C1263"/>
      <c r="D1263"/>
      <c r="E1263"/>
      <c r="F1263"/>
    </row>
    <row r="1264" spans="1:6" hidden="1" x14ac:dyDescent="0.2">
      <c r="A1264" s="2291" t="s">
        <v>5263</v>
      </c>
      <c r="B1264" s="1634" t="s">
        <v>2227</v>
      </c>
      <c r="C1264"/>
      <c r="D1264"/>
      <c r="E1264"/>
      <c r="F1264"/>
    </row>
    <row r="1265" spans="1:6" hidden="1" x14ac:dyDescent="0.2">
      <c r="A1265" s="2291" t="s">
        <v>5264</v>
      </c>
      <c r="B1265" s="1634" t="s">
        <v>6265</v>
      </c>
      <c r="C1265"/>
      <c r="D1265"/>
      <c r="E1265"/>
      <c r="F1265"/>
    </row>
    <row r="1266" spans="1:6" hidden="1" x14ac:dyDescent="0.2">
      <c r="A1266" s="2291" t="s">
        <v>5265</v>
      </c>
      <c r="B1266" s="1634" t="s">
        <v>700</v>
      </c>
      <c r="C1266"/>
      <c r="D1266"/>
      <c r="E1266"/>
      <c r="F1266"/>
    </row>
    <row r="1270" spans="1:6" hidden="1" x14ac:dyDescent="0.2">
      <c r="A1270" s="2291" t="s">
        <v>6738</v>
      </c>
      <c r="B1270" s="1634" t="s">
        <v>5988</v>
      </c>
      <c r="C1270"/>
      <c r="D1270"/>
      <c r="E1270"/>
      <c r="F1270"/>
    </row>
    <row r="1271" spans="1:6" hidden="1" x14ac:dyDescent="0.2">
      <c r="A1271" s="2291" t="s">
        <v>6739</v>
      </c>
      <c r="B1271" s="1634" t="s">
        <v>863</v>
      </c>
      <c r="C1271"/>
      <c r="D1271"/>
      <c r="E1271"/>
      <c r="F1271"/>
    </row>
    <row r="1272" spans="1:6" hidden="1" x14ac:dyDescent="0.2">
      <c r="A1272" s="2291" t="s">
        <v>6740</v>
      </c>
      <c r="B1272" s="1634" t="s">
        <v>867</v>
      </c>
      <c r="C1272"/>
      <c r="D1272"/>
      <c r="E1272"/>
      <c r="F1272"/>
    </row>
    <row r="1273" spans="1:6" hidden="1" x14ac:dyDescent="0.2">
      <c r="A1273" s="2291" t="s">
        <v>6741</v>
      </c>
      <c r="B1273" s="1634" t="s">
        <v>869</v>
      </c>
      <c r="C1273"/>
      <c r="D1273"/>
      <c r="E1273"/>
      <c r="F1273"/>
    </row>
    <row r="1274" spans="1:6" hidden="1" x14ac:dyDescent="0.2">
      <c r="A1274" s="2291" t="s">
        <v>6742</v>
      </c>
      <c r="B1274" s="1634" t="s">
        <v>871</v>
      </c>
      <c r="C1274"/>
      <c r="D1274"/>
      <c r="E1274"/>
      <c r="F1274"/>
    </row>
    <row r="1275" spans="1:6" hidden="1" x14ac:dyDescent="0.2">
      <c r="A1275" s="2291" t="s">
        <v>6743</v>
      </c>
      <c r="B1275" s="1634" t="s">
        <v>3008</v>
      </c>
      <c r="C1275"/>
      <c r="D1275"/>
      <c r="E1275"/>
      <c r="F1275"/>
    </row>
    <row r="1276" spans="1:6" hidden="1" x14ac:dyDescent="0.2">
      <c r="A1276" s="2291" t="s">
        <v>6744</v>
      </c>
      <c r="B1276" s="1634" t="s">
        <v>3010</v>
      </c>
      <c r="C1276"/>
      <c r="D1276"/>
      <c r="E1276"/>
      <c r="F1276"/>
    </row>
    <row r="1277" spans="1:6" hidden="1" x14ac:dyDescent="0.2">
      <c r="A1277" s="2291" t="s">
        <v>6745</v>
      </c>
      <c r="B1277" s="1634" t="s">
        <v>6462</v>
      </c>
      <c r="C1277"/>
      <c r="D1277"/>
      <c r="E1277"/>
      <c r="F1277"/>
    </row>
    <row r="1278" spans="1:6" hidden="1" x14ac:dyDescent="0.2">
      <c r="A1278" s="2291" t="s">
        <v>6746</v>
      </c>
      <c r="B1278" s="1634" t="s">
        <v>861</v>
      </c>
      <c r="C1278"/>
      <c r="D1278"/>
      <c r="E1278"/>
      <c r="F1278"/>
    </row>
    <row r="1279" spans="1:6" hidden="1" x14ac:dyDescent="0.2">
      <c r="A1279" s="2291" t="s">
        <v>3784</v>
      </c>
      <c r="B1279" s="1634" t="s">
        <v>2911</v>
      </c>
      <c r="C1279"/>
      <c r="D1279"/>
      <c r="E1279"/>
      <c r="F1279"/>
    </row>
    <row r="1280" spans="1:6" hidden="1" x14ac:dyDescent="0.2">
      <c r="A1280" s="2291" t="s">
        <v>3785</v>
      </c>
      <c r="B1280" s="1634" t="s">
        <v>4101</v>
      </c>
      <c r="C1280"/>
      <c r="D1280"/>
      <c r="E1280"/>
      <c r="F1280"/>
    </row>
    <row r="1281" spans="1:6" hidden="1" x14ac:dyDescent="0.2">
      <c r="A1281" s="2291" t="s">
        <v>1096</v>
      </c>
      <c r="B1281" s="1634" t="s">
        <v>2318</v>
      </c>
      <c r="C1281"/>
      <c r="D1281"/>
      <c r="E1281"/>
      <c r="F1281"/>
    </row>
    <row r="1282" spans="1:6" hidden="1" x14ac:dyDescent="0.2">
      <c r="A1282" s="2291" t="s">
        <v>1097</v>
      </c>
      <c r="B1282" s="1634" t="s">
        <v>2923</v>
      </c>
      <c r="C1282" s="1634" t="s">
        <v>4080</v>
      </c>
      <c r="D1282" s="1634" t="s">
        <v>1745</v>
      </c>
      <c r="E1282" s="1634" t="s">
        <v>1746</v>
      </c>
      <c r="F1282" s="1634" t="s">
        <v>1747</v>
      </c>
    </row>
    <row r="1283" spans="1:6" hidden="1" x14ac:dyDescent="0.2">
      <c r="A1283" s="2291" t="s">
        <v>937</v>
      </c>
      <c r="B1283" s="1634" t="s">
        <v>3301</v>
      </c>
      <c r="C1283" s="1634" t="s">
        <v>4082</v>
      </c>
      <c r="D1283" s="1634" t="s">
        <v>1750</v>
      </c>
      <c r="E1283" s="1634" t="s">
        <v>1751</v>
      </c>
      <c r="F1283" s="1634" t="s">
        <v>1752</v>
      </c>
    </row>
    <row r="1284" spans="1:6" hidden="1" x14ac:dyDescent="0.2">
      <c r="A1284" s="2291" t="s">
        <v>3369</v>
      </c>
      <c r="B1284" s="1634" t="s">
        <v>3303</v>
      </c>
      <c r="C1284" s="1634" t="s">
        <v>4084</v>
      </c>
      <c r="D1284" s="1634" t="s">
        <v>1728</v>
      </c>
      <c r="E1284" s="1634" t="s">
        <v>945</v>
      </c>
      <c r="F1284" s="1634" t="s">
        <v>946</v>
      </c>
    </row>
    <row r="1285" spans="1:6" hidden="1" x14ac:dyDescent="0.2">
      <c r="A1285" s="2291" t="s">
        <v>3370</v>
      </c>
      <c r="B1285" s="1634" t="s">
        <v>5477</v>
      </c>
      <c r="C1285" s="1634" t="s">
        <v>4086</v>
      </c>
      <c r="D1285" s="1634" t="s">
        <v>2494</v>
      </c>
      <c r="E1285" s="1634" t="s">
        <v>2495</v>
      </c>
      <c r="F1285" s="1634" t="s">
        <v>2496</v>
      </c>
    </row>
    <row r="1286" spans="1:6" hidden="1" x14ac:dyDescent="0.2">
      <c r="A1286" s="2291" t="s">
        <v>3371</v>
      </c>
      <c r="B1286" s="1634" t="s">
        <v>6435</v>
      </c>
      <c r="C1286" s="1634" t="s">
        <v>2431</v>
      </c>
      <c r="D1286" s="1634" t="s">
        <v>2432</v>
      </c>
      <c r="E1286" s="1634" t="s">
        <v>2433</v>
      </c>
      <c r="F1286" s="1634" t="s">
        <v>1066</v>
      </c>
    </row>
    <row r="1287" spans="1:6" hidden="1" x14ac:dyDescent="0.2">
      <c r="A1287" s="2291" t="s">
        <v>3372</v>
      </c>
      <c r="B1287" s="1634" t="s">
        <v>6437</v>
      </c>
      <c r="C1287" s="1634" t="s">
        <v>4088</v>
      </c>
      <c r="D1287" s="1634" t="s">
        <v>1070</v>
      </c>
      <c r="E1287" s="1634" t="s">
        <v>1071</v>
      </c>
      <c r="F1287" s="1634" t="s">
        <v>1072</v>
      </c>
    </row>
    <row r="1288" spans="1:6" hidden="1" x14ac:dyDescent="0.2">
      <c r="A1288" s="2291" t="s">
        <v>3373</v>
      </c>
      <c r="B1288" s="1634" t="s">
        <v>6439</v>
      </c>
      <c r="C1288" s="1634" t="s">
        <v>1076</v>
      </c>
      <c r="D1288" s="1634" t="s">
        <v>4204</v>
      </c>
      <c r="E1288" s="1634" t="s">
        <v>4205</v>
      </c>
      <c r="F1288" s="1634" t="s">
        <v>4206</v>
      </c>
    </row>
    <row r="1289" spans="1:6" hidden="1" x14ac:dyDescent="0.2">
      <c r="A1289" s="2291" t="s">
        <v>1190</v>
      </c>
      <c r="B1289" s="1634" t="s">
        <v>5478</v>
      </c>
      <c r="C1289" s="1634" t="s">
        <v>2670</v>
      </c>
      <c r="D1289" s="1634" t="s">
        <v>2671</v>
      </c>
      <c r="E1289" s="1634" t="s">
        <v>2672</v>
      </c>
      <c r="F1289" s="1634" t="s">
        <v>2673</v>
      </c>
    </row>
    <row r="1290" spans="1:6" hidden="1" x14ac:dyDescent="0.2">
      <c r="A1290" s="2291" t="s">
        <v>1191</v>
      </c>
      <c r="B1290" s="1634" t="s">
        <v>351</v>
      </c>
      <c r="C1290"/>
      <c r="D1290"/>
      <c r="E1290"/>
      <c r="F1290"/>
    </row>
    <row r="1291" spans="1:6" hidden="1" x14ac:dyDescent="0.2">
      <c r="A1291" s="2291" t="s">
        <v>1192</v>
      </c>
      <c r="B1291" s="1634" t="s">
        <v>353</v>
      </c>
      <c r="C1291"/>
      <c r="D1291"/>
      <c r="E1291"/>
      <c r="F1291"/>
    </row>
    <row r="1292" spans="1:6" hidden="1" x14ac:dyDescent="0.2">
      <c r="A1292" s="2291" t="s">
        <v>1193</v>
      </c>
      <c r="B1292" s="1634" t="s">
        <v>681</v>
      </c>
      <c r="C1292"/>
      <c r="D1292"/>
      <c r="E1292"/>
      <c r="F1292"/>
    </row>
    <row r="1293" spans="1:6" hidden="1" x14ac:dyDescent="0.2">
      <c r="A1293" s="2291" t="s">
        <v>1194</v>
      </c>
      <c r="B1293" s="1634" t="s">
        <v>689</v>
      </c>
      <c r="C1293"/>
      <c r="D1293"/>
      <c r="E1293"/>
      <c r="F1293"/>
    </row>
    <row r="1294" spans="1:6" hidden="1" x14ac:dyDescent="0.2">
      <c r="A1294" s="2291" t="s">
        <v>1195</v>
      </c>
      <c r="B1294" s="1634" t="s">
        <v>3254</v>
      </c>
      <c r="C1294" s="1634" t="s">
        <v>3255</v>
      </c>
      <c r="D1294" s="1634" t="s">
        <v>3256</v>
      </c>
      <c r="E1294" s="1634" t="s">
        <v>3257</v>
      </c>
      <c r="F1294" s="1634" t="s">
        <v>700</v>
      </c>
    </row>
    <row r="1295" spans="1:6" hidden="1" x14ac:dyDescent="0.2">
      <c r="A1295" s="2291" t="s">
        <v>1196</v>
      </c>
      <c r="B1295" s="1634" t="s">
        <v>4525</v>
      </c>
      <c r="C1295" s="1634" t="s">
        <v>800</v>
      </c>
      <c r="D1295" s="1634" t="s">
        <v>801</v>
      </c>
      <c r="E1295" s="1634" t="s">
        <v>802</v>
      </c>
      <c r="F1295" s="1634" t="s">
        <v>803</v>
      </c>
    </row>
    <row r="1296" spans="1:6" hidden="1" x14ac:dyDescent="0.2">
      <c r="A1296" s="2291" t="s">
        <v>1197</v>
      </c>
      <c r="B1296" s="1634" t="s">
        <v>465</v>
      </c>
      <c r="C1296" s="1634" t="s">
        <v>808</v>
      </c>
      <c r="D1296" s="1634" t="s">
        <v>809</v>
      </c>
      <c r="E1296" s="1634" t="s">
        <v>810</v>
      </c>
      <c r="F1296" s="1634" t="s">
        <v>1936</v>
      </c>
    </row>
    <row r="1297" spans="1:6" hidden="1" x14ac:dyDescent="0.2">
      <c r="A1297" s="2291" t="s">
        <v>1198</v>
      </c>
      <c r="B1297" s="1634" t="s">
        <v>5728</v>
      </c>
      <c r="C1297" s="1634" t="s">
        <v>815</v>
      </c>
      <c r="D1297" s="1634" t="s">
        <v>816</v>
      </c>
      <c r="E1297" s="1634" t="s">
        <v>817</v>
      </c>
      <c r="F1297" s="1634" t="s">
        <v>818</v>
      </c>
    </row>
    <row r="1298" spans="1:6" hidden="1" x14ac:dyDescent="0.2">
      <c r="A1298" s="2291" t="s">
        <v>1199</v>
      </c>
      <c r="B1298" s="1634" t="s">
        <v>823</v>
      </c>
      <c r="C1298" s="1634" t="s">
        <v>824</v>
      </c>
      <c r="D1298" s="1634" t="s">
        <v>825</v>
      </c>
      <c r="E1298" s="1634" t="s">
        <v>537</v>
      </c>
      <c r="F1298" s="1634" t="s">
        <v>538</v>
      </c>
    </row>
    <row r="1299" spans="1:6" hidden="1" x14ac:dyDescent="0.2">
      <c r="A1299" s="2291" t="s">
        <v>1200</v>
      </c>
      <c r="B1299" s="1634" t="s">
        <v>5730</v>
      </c>
      <c r="C1299" s="1634" t="s">
        <v>542</v>
      </c>
      <c r="D1299" s="1634" t="s">
        <v>543</v>
      </c>
      <c r="E1299" s="1634" t="s">
        <v>544</v>
      </c>
      <c r="F1299" s="1634" t="s">
        <v>545</v>
      </c>
    </row>
    <row r="1300" spans="1:6" hidden="1" x14ac:dyDescent="0.2">
      <c r="A1300" s="2291" t="s">
        <v>1201</v>
      </c>
      <c r="B1300" s="1634" t="s">
        <v>4789</v>
      </c>
      <c r="C1300" s="1634" t="s">
        <v>1807</v>
      </c>
      <c r="D1300" s="1634" t="s">
        <v>716</v>
      </c>
      <c r="E1300" s="1634" t="s">
        <v>717</v>
      </c>
      <c r="F1300" s="1634" t="s">
        <v>718</v>
      </c>
    </row>
    <row r="1301" spans="1:6" hidden="1" x14ac:dyDescent="0.2">
      <c r="A1301" s="2291" t="s">
        <v>1202</v>
      </c>
      <c r="B1301" s="1634" t="s">
        <v>4792</v>
      </c>
      <c r="C1301" s="1634" t="s">
        <v>1811</v>
      </c>
      <c r="D1301" s="1634" t="s">
        <v>3473</v>
      </c>
      <c r="E1301" s="1634" t="s">
        <v>3474</v>
      </c>
      <c r="F1301" s="1634" t="s">
        <v>6050</v>
      </c>
    </row>
    <row r="1302" spans="1:6" hidden="1" x14ac:dyDescent="0.2">
      <c r="A1302" s="2291" t="s">
        <v>1203</v>
      </c>
      <c r="B1302" s="1634" t="s">
        <v>1921</v>
      </c>
      <c r="C1302"/>
      <c r="D1302"/>
      <c r="E1302"/>
      <c r="F1302"/>
    </row>
    <row r="1303" spans="1:6" hidden="1" x14ac:dyDescent="0.2">
      <c r="A1303" s="2291" t="s">
        <v>1204</v>
      </c>
      <c r="B1303" s="1634" t="s">
        <v>1883</v>
      </c>
      <c r="C1303"/>
      <c r="D1303"/>
      <c r="E1303"/>
      <c r="F1303"/>
    </row>
    <row r="1304" spans="1:6" hidden="1" x14ac:dyDescent="0.2">
      <c r="A1304" s="2291" t="s">
        <v>1205</v>
      </c>
      <c r="B1304" s="1634" t="s">
        <v>520</v>
      </c>
      <c r="C1304"/>
      <c r="D1304"/>
      <c r="E1304"/>
      <c r="F1304"/>
    </row>
    <row r="1305" spans="1:6" hidden="1" x14ac:dyDescent="0.2">
      <c r="A1305" s="2291" t="s">
        <v>1206</v>
      </c>
      <c r="B1305" s="1634" t="s">
        <v>2088</v>
      </c>
      <c r="C1305"/>
      <c r="D1305"/>
      <c r="E1305"/>
      <c r="F1305"/>
    </row>
    <row r="1306" spans="1:6" hidden="1" x14ac:dyDescent="0.2">
      <c r="A1306" s="2291" t="s">
        <v>6106</v>
      </c>
      <c r="B1306" s="1634" t="s">
        <v>5779</v>
      </c>
      <c r="C1306"/>
      <c r="D1306"/>
      <c r="E1306"/>
      <c r="F1306"/>
    </row>
    <row r="1307" spans="1:6" hidden="1" x14ac:dyDescent="0.2">
      <c r="A1307" s="1634"/>
      <c r="C1307"/>
      <c r="D1307"/>
      <c r="E1307"/>
      <c r="F1307"/>
    </row>
    <row r="1308" spans="1:6" hidden="1" x14ac:dyDescent="0.2">
      <c r="A1308" s="1634"/>
      <c r="C1308"/>
      <c r="D1308"/>
      <c r="E1308"/>
      <c r="F1308"/>
    </row>
    <row r="1309" spans="1:6" hidden="1" x14ac:dyDescent="0.2">
      <c r="A1309" s="1634"/>
      <c r="B1309"/>
      <c r="C1309"/>
      <c r="D1309"/>
      <c r="E1309"/>
      <c r="F1309"/>
    </row>
    <row r="1310" spans="1:6" hidden="1" x14ac:dyDescent="0.2">
      <c r="A1310" s="1634" t="s">
        <v>3309</v>
      </c>
      <c r="B1310" s="1634" t="s">
        <v>3681</v>
      </c>
      <c r="C1310"/>
      <c r="D1310"/>
      <c r="E1310"/>
      <c r="F1310"/>
    </row>
    <row r="1311" spans="1:6" hidden="1" x14ac:dyDescent="0.2">
      <c r="A1311" s="1634" t="s">
        <v>3310</v>
      </c>
      <c r="B1311" s="1634" t="s">
        <v>863</v>
      </c>
      <c r="C1311"/>
      <c r="D1311"/>
      <c r="E1311"/>
      <c r="F1311"/>
    </row>
    <row r="1312" spans="1:6" hidden="1" x14ac:dyDescent="0.2">
      <c r="A1312" s="1634" t="s">
        <v>3311</v>
      </c>
      <c r="B1312" s="1634" t="s">
        <v>867</v>
      </c>
      <c r="C1312"/>
      <c r="D1312"/>
      <c r="E1312"/>
      <c r="F1312"/>
    </row>
    <row r="1313" spans="1:6" hidden="1" x14ac:dyDescent="0.2">
      <c r="A1313" s="1634" t="s">
        <v>3164</v>
      </c>
      <c r="B1313" s="1634" t="s">
        <v>869</v>
      </c>
      <c r="C1313"/>
      <c r="D1313"/>
      <c r="E1313"/>
      <c r="F1313"/>
    </row>
    <row r="1314" spans="1:6" hidden="1" x14ac:dyDescent="0.2">
      <c r="A1314" s="1634" t="s">
        <v>953</v>
      </c>
      <c r="B1314" s="1634" t="s">
        <v>871</v>
      </c>
      <c r="C1314"/>
      <c r="D1314"/>
      <c r="E1314"/>
      <c r="F1314"/>
    </row>
    <row r="1315" spans="1:6" hidden="1" x14ac:dyDescent="0.2">
      <c r="A1315" s="1634" t="s">
        <v>954</v>
      </c>
      <c r="B1315" s="1634" t="s">
        <v>3008</v>
      </c>
      <c r="C1315"/>
      <c r="D1315"/>
      <c r="E1315"/>
      <c r="F1315"/>
    </row>
    <row r="1316" spans="1:6" hidden="1" x14ac:dyDescent="0.2">
      <c r="A1316" s="1634" t="s">
        <v>955</v>
      </c>
      <c r="B1316" s="1634" t="s">
        <v>6460</v>
      </c>
      <c r="C1316"/>
      <c r="D1316"/>
      <c r="E1316"/>
      <c r="F1316"/>
    </row>
    <row r="1317" spans="1:6" hidden="1" x14ac:dyDescent="0.2">
      <c r="A1317" s="1634" t="s">
        <v>956</v>
      </c>
      <c r="B1317" s="1634" t="s">
        <v>4716</v>
      </c>
      <c r="C1317"/>
      <c r="D1317"/>
      <c r="E1317"/>
      <c r="F1317"/>
    </row>
    <row r="1318" spans="1:6" hidden="1" x14ac:dyDescent="0.2">
      <c r="A1318" s="1634" t="s">
        <v>957</v>
      </c>
      <c r="B1318" s="1634" t="s">
        <v>2919</v>
      </c>
      <c r="C1318"/>
      <c r="D1318"/>
      <c r="E1318"/>
      <c r="F1318"/>
    </row>
    <row r="1319" spans="1:6" hidden="1" x14ac:dyDescent="0.2">
      <c r="A1319" s="1634" t="s">
        <v>958</v>
      </c>
      <c r="B1319" s="1634" t="s">
        <v>1575</v>
      </c>
      <c r="C1319"/>
      <c r="D1319"/>
      <c r="E1319"/>
      <c r="F1319"/>
    </row>
    <row r="1320" spans="1:6" hidden="1" x14ac:dyDescent="0.2">
      <c r="A1320" s="1634" t="s">
        <v>3697</v>
      </c>
      <c r="B1320" s="1634" t="s">
        <v>2493</v>
      </c>
      <c r="C1320" s="1634" t="s">
        <v>2277</v>
      </c>
      <c r="D1320" s="1634" t="s">
        <v>5477</v>
      </c>
      <c r="E1320" s="1634" t="s">
        <v>4086</v>
      </c>
      <c r="F1320"/>
    </row>
    <row r="1321" spans="1:6" hidden="1" x14ac:dyDescent="0.2">
      <c r="A1321" s="1634" t="s">
        <v>3698</v>
      </c>
      <c r="B1321" s="1634" t="s">
        <v>5817</v>
      </c>
      <c r="C1321" s="1634" t="s">
        <v>2284</v>
      </c>
      <c r="D1321" s="1634" t="s">
        <v>6435</v>
      </c>
      <c r="E1321" s="1634" t="s">
        <v>2431</v>
      </c>
      <c r="F1321"/>
    </row>
    <row r="1322" spans="1:6" hidden="1" x14ac:dyDescent="0.2">
      <c r="A1322" s="1634" t="s">
        <v>3699</v>
      </c>
      <c r="B1322" s="1634" t="s">
        <v>1069</v>
      </c>
      <c r="C1322" s="1634" t="s">
        <v>270</v>
      </c>
      <c r="D1322" s="1634" t="s">
        <v>6437</v>
      </c>
      <c r="E1322" s="1634" t="s">
        <v>4088</v>
      </c>
      <c r="F1322"/>
    </row>
    <row r="1323" spans="1:6" hidden="1" x14ac:dyDescent="0.2">
      <c r="A1323" s="1634" t="s">
        <v>3700</v>
      </c>
      <c r="B1323" s="1634" t="s">
        <v>1075</v>
      </c>
      <c r="C1323" s="1634" t="s">
        <v>277</v>
      </c>
      <c r="D1323" s="1634" t="s">
        <v>6439</v>
      </c>
      <c r="E1323" s="1634" t="s">
        <v>1076</v>
      </c>
      <c r="F1323"/>
    </row>
    <row r="1324" spans="1:6" hidden="1" x14ac:dyDescent="0.2">
      <c r="A1324" s="1634" t="s">
        <v>3701</v>
      </c>
      <c r="B1324" s="1634" t="s">
        <v>1781</v>
      </c>
      <c r="C1324" s="1634" t="s">
        <v>2946</v>
      </c>
      <c r="D1324" s="1634" t="s">
        <v>1782</v>
      </c>
      <c r="E1324" s="1634" t="s">
        <v>1783</v>
      </c>
      <c r="F1324"/>
    </row>
    <row r="1325" spans="1:6" hidden="1" x14ac:dyDescent="0.2">
      <c r="A1325" s="1634" t="s">
        <v>3702</v>
      </c>
      <c r="B1325" s="1634" t="s">
        <v>508</v>
      </c>
      <c r="C1325" s="1634" t="s">
        <v>509</v>
      </c>
      <c r="D1325" s="1634" t="s">
        <v>6450</v>
      </c>
      <c r="E1325" s="1634" t="s">
        <v>3501</v>
      </c>
      <c r="F1325" s="1634" t="s">
        <v>510</v>
      </c>
    </row>
    <row r="1326" spans="1:6" hidden="1" x14ac:dyDescent="0.2">
      <c r="A1326" s="1634" t="s">
        <v>3703</v>
      </c>
      <c r="B1326" s="1634" t="s">
        <v>1971</v>
      </c>
      <c r="C1326" s="1634" t="s">
        <v>1972</v>
      </c>
      <c r="D1326" s="1634" t="s">
        <v>6452</v>
      </c>
      <c r="E1326" s="1634" t="s">
        <v>2928</v>
      </c>
      <c r="F1326" s="1634" t="s">
        <v>2929</v>
      </c>
    </row>
    <row r="1327" spans="1:6" hidden="1" x14ac:dyDescent="0.2">
      <c r="A1327" s="1634" t="s">
        <v>3704</v>
      </c>
      <c r="B1327" s="1634" t="s">
        <v>3246</v>
      </c>
      <c r="C1327" s="1634" t="s">
        <v>3247</v>
      </c>
      <c r="D1327" s="1634" t="s">
        <v>4523</v>
      </c>
      <c r="E1327"/>
      <c r="F1327"/>
    </row>
    <row r="1328" spans="1:6" hidden="1" x14ac:dyDescent="0.2">
      <c r="A1328" s="1634" t="s">
        <v>3705</v>
      </c>
      <c r="B1328" s="1634" t="s">
        <v>5610</v>
      </c>
      <c r="C1328" s="1634" t="s">
        <v>5483</v>
      </c>
      <c r="D1328" s="1634" t="s">
        <v>3467</v>
      </c>
      <c r="E1328"/>
      <c r="F1328"/>
    </row>
    <row r="1329" spans="1:8" hidden="1" x14ac:dyDescent="0.2">
      <c r="A1329" s="1634" t="s">
        <v>3706</v>
      </c>
      <c r="B1329" s="1634" t="s">
        <v>406</v>
      </c>
      <c r="C1329"/>
      <c r="D1329"/>
      <c r="E1329"/>
      <c r="F1329"/>
    </row>
    <row r="1330" spans="1:8" hidden="1" x14ac:dyDescent="0.2">
      <c r="A1330" s="1634" t="s">
        <v>3226</v>
      </c>
      <c r="B1330" s="1634" t="s">
        <v>2624</v>
      </c>
      <c r="C1330"/>
      <c r="D1330"/>
      <c r="E1330"/>
      <c r="F1330"/>
    </row>
    <row r="1331" spans="1:8" hidden="1" x14ac:dyDescent="0.2">
      <c r="A1331" s="1634" t="s">
        <v>3227</v>
      </c>
      <c r="B1331" s="1634" t="s">
        <v>5689</v>
      </c>
      <c r="C1331"/>
      <c r="D1331"/>
      <c r="E1331"/>
      <c r="F1331"/>
    </row>
    <row r="1332" spans="1:8" hidden="1" x14ac:dyDescent="0.2">
      <c r="A1332" s="1634" t="s">
        <v>3228</v>
      </c>
      <c r="B1332" s="1634" t="s">
        <v>5691</v>
      </c>
      <c r="C1332"/>
      <c r="D1332"/>
      <c r="E1332"/>
      <c r="F1332"/>
    </row>
    <row r="1333" spans="1:8" hidden="1" x14ac:dyDescent="0.2">
      <c r="A1333" s="1634" t="s">
        <v>3229</v>
      </c>
      <c r="B1333" s="1634" t="s">
        <v>1795</v>
      </c>
      <c r="C1333"/>
      <c r="D1333"/>
      <c r="E1333"/>
      <c r="F1333"/>
    </row>
    <row r="1334" spans="1:8" hidden="1" x14ac:dyDescent="0.2">
      <c r="A1334" s="1634" t="s">
        <v>3230</v>
      </c>
      <c r="B1334" s="1634" t="s">
        <v>3403</v>
      </c>
      <c r="C1334"/>
      <c r="D1334"/>
      <c r="E1334"/>
      <c r="F1334"/>
    </row>
    <row r="1335" spans="1:8" hidden="1" x14ac:dyDescent="0.2">
      <c r="A1335" s="1634" t="s">
        <v>3231</v>
      </c>
      <c r="B1335" s="1634" t="s">
        <v>5104</v>
      </c>
      <c r="C1335"/>
      <c r="D1335"/>
      <c r="E1335"/>
      <c r="F1335"/>
    </row>
    <row r="1336" spans="1:8" hidden="1" x14ac:dyDescent="0.2">
      <c r="A1336" s="1634" t="s">
        <v>6082</v>
      </c>
      <c r="B1336" s="1634" t="s">
        <v>2409</v>
      </c>
      <c r="C1336" s="1634" t="s">
        <v>2411</v>
      </c>
      <c r="D1336"/>
      <c r="E1336"/>
      <c r="F1336"/>
    </row>
    <row r="1337" spans="1:8" hidden="1" x14ac:dyDescent="0.2">
      <c r="A1337" s="1634" t="s">
        <v>6083</v>
      </c>
      <c r="B1337" s="1634" t="s">
        <v>3965</v>
      </c>
      <c r="C1337"/>
      <c r="D1337"/>
      <c r="E1337"/>
      <c r="F1337"/>
    </row>
    <row r="1338" spans="1:8" hidden="1" x14ac:dyDescent="0.2">
      <c r="A1338" s="1634" t="s">
        <v>6084</v>
      </c>
      <c r="B1338" s="1634" t="s">
        <v>6588</v>
      </c>
      <c r="C1338"/>
      <c r="D1338"/>
      <c r="E1338"/>
      <c r="F1338"/>
    </row>
    <row r="1339" spans="1:8" hidden="1" x14ac:dyDescent="0.2">
      <c r="A1339" s="1634" t="s">
        <v>767</v>
      </c>
      <c r="B1339" s="1634" t="s">
        <v>5015</v>
      </c>
      <c r="C1339"/>
      <c r="D1339"/>
      <c r="E1339"/>
      <c r="F1339"/>
    </row>
    <row r="1340" spans="1:8" hidden="1" x14ac:dyDescent="0.2">
      <c r="A1340" s="1634" t="s">
        <v>768</v>
      </c>
      <c r="B1340" s="1634" t="s">
        <v>5025</v>
      </c>
      <c r="C1340"/>
      <c r="D1340"/>
      <c r="E1340"/>
      <c r="F1340"/>
      <c r="G1340"/>
      <c r="H1340"/>
    </row>
    <row r="1341" spans="1:8" hidden="1" x14ac:dyDescent="0.2">
      <c r="A1341" s="1634" t="s">
        <v>769</v>
      </c>
      <c r="B1341" s="1634" t="s">
        <v>4827</v>
      </c>
      <c r="C1341"/>
      <c r="D1341"/>
      <c r="E1341"/>
      <c r="F1341"/>
      <c r="G1341"/>
      <c r="H1341"/>
    </row>
    <row r="1342" spans="1:8" hidden="1" x14ac:dyDescent="0.2">
      <c r="A1342" s="1634"/>
      <c r="B1342"/>
      <c r="C1342"/>
      <c r="D1342"/>
      <c r="E1342"/>
      <c r="F1342"/>
      <c r="G1342"/>
      <c r="H1342"/>
    </row>
    <row r="1343" spans="1:8" hidden="1" x14ac:dyDescent="0.2">
      <c r="A1343" s="1634"/>
      <c r="B1343"/>
      <c r="C1343"/>
      <c r="D1343"/>
      <c r="E1343"/>
      <c r="F1343"/>
      <c r="G1343"/>
      <c r="H1343"/>
    </row>
    <row r="1344" spans="1:8" hidden="1" x14ac:dyDescent="0.2">
      <c r="A1344" s="1634"/>
      <c r="B1344"/>
      <c r="C1344"/>
      <c r="D1344"/>
      <c r="E1344"/>
      <c r="F1344"/>
      <c r="G1344"/>
      <c r="H1344"/>
    </row>
    <row r="1345" spans="1:11" hidden="1" x14ac:dyDescent="0.2">
      <c r="A1345" s="1634" t="s">
        <v>770</v>
      </c>
      <c r="B1345" s="1634" t="s">
        <v>6678</v>
      </c>
      <c r="C1345"/>
      <c r="D1345"/>
      <c r="E1345"/>
      <c r="F1345"/>
      <c r="G1345"/>
      <c r="H1345"/>
    </row>
    <row r="1346" spans="1:11" hidden="1" x14ac:dyDescent="0.2">
      <c r="A1346" s="1634" t="s">
        <v>771</v>
      </c>
      <c r="B1346" s="1634" t="s">
        <v>4104</v>
      </c>
      <c r="C1346" s="1634" t="s">
        <v>2161</v>
      </c>
      <c r="D1346" s="2294" t="s">
        <v>4716</v>
      </c>
      <c r="E1346" s="2295" t="s">
        <v>2915</v>
      </c>
      <c r="F1346" s="1634" t="s">
        <v>4105</v>
      </c>
      <c r="G1346"/>
      <c r="H1346"/>
    </row>
    <row r="1347" spans="1:11" hidden="1" x14ac:dyDescent="0.2">
      <c r="A1347" s="1634" t="s">
        <v>772</v>
      </c>
      <c r="B1347" s="1634" t="s">
        <v>2321</v>
      </c>
      <c r="C1347" s="1634" t="s">
        <v>2168</v>
      </c>
      <c r="D1347" s="2294" t="s">
        <v>6426</v>
      </c>
      <c r="E1347" s="2295" t="s">
        <v>2917</v>
      </c>
      <c r="F1347" s="1634" t="s">
        <v>2322</v>
      </c>
      <c r="G1347"/>
      <c r="H1347"/>
    </row>
    <row r="1348" spans="1:11" hidden="1" x14ac:dyDescent="0.2">
      <c r="A1348" s="1634" t="s">
        <v>773</v>
      </c>
      <c r="B1348" s="1634" t="s">
        <v>2326</v>
      </c>
      <c r="C1348" s="1634" t="s">
        <v>2174</v>
      </c>
      <c r="D1348" s="2294" t="s">
        <v>6428</v>
      </c>
      <c r="E1348" s="2295" t="s">
        <v>2919</v>
      </c>
      <c r="F1348" s="1634" t="s">
        <v>2327</v>
      </c>
      <c r="G1348"/>
      <c r="H1348"/>
    </row>
    <row r="1349" spans="1:11" hidden="1" x14ac:dyDescent="0.2">
      <c r="A1349" s="1634" t="s">
        <v>774</v>
      </c>
      <c r="B1349" s="1634" t="s">
        <v>6605</v>
      </c>
      <c r="C1349" s="1634" t="s">
        <v>2181</v>
      </c>
      <c r="D1349" s="2294" t="s">
        <v>6430</v>
      </c>
      <c r="E1349" s="2295" t="s">
        <v>1575</v>
      </c>
      <c r="F1349" s="1634" t="s">
        <v>6606</v>
      </c>
      <c r="G1349"/>
      <c r="H1349"/>
    </row>
    <row r="1350" spans="1:11" hidden="1" x14ac:dyDescent="0.2">
      <c r="A1350" s="1634" t="s">
        <v>775</v>
      </c>
      <c r="B1350" s="1634" t="s">
        <v>1749</v>
      </c>
      <c r="C1350" s="1634" t="s">
        <v>3535</v>
      </c>
      <c r="D1350" s="2294" t="s">
        <v>3301</v>
      </c>
      <c r="E1350" s="2295" t="s">
        <v>4082</v>
      </c>
      <c r="F1350" s="1634" t="s">
        <v>1750</v>
      </c>
      <c r="G1350" s="2295" t="s">
        <v>6903</v>
      </c>
      <c r="H1350"/>
    </row>
    <row r="1351" spans="1:11" hidden="1" x14ac:dyDescent="0.2">
      <c r="A1351" s="1634" t="s">
        <v>776</v>
      </c>
      <c r="B1351" s="1634" t="s">
        <v>1727</v>
      </c>
      <c r="C1351" s="1634" t="s">
        <v>6189</v>
      </c>
      <c r="D1351" s="2294" t="s">
        <v>3303</v>
      </c>
      <c r="E1351" s="2295" t="s">
        <v>4084</v>
      </c>
      <c r="F1351" s="1634" t="s">
        <v>1728</v>
      </c>
      <c r="G1351"/>
      <c r="H1351"/>
    </row>
    <row r="1352" spans="1:11" hidden="1" x14ac:dyDescent="0.2">
      <c r="A1352" s="1634" t="s">
        <v>777</v>
      </c>
      <c r="B1352" s="1634" t="s">
        <v>2493</v>
      </c>
      <c r="C1352" s="1634" t="s">
        <v>2277</v>
      </c>
      <c r="D1352" s="2294" t="s">
        <v>5477</v>
      </c>
      <c r="E1352" s="2295" t="s">
        <v>4086</v>
      </c>
      <c r="F1352" s="1634" t="s">
        <v>2494</v>
      </c>
      <c r="G1352"/>
      <c r="H1352"/>
    </row>
    <row r="1353" spans="1:11" hidden="1" x14ac:dyDescent="0.2">
      <c r="A1353" s="1634" t="s">
        <v>778</v>
      </c>
      <c r="B1353" s="1634" t="s">
        <v>1069</v>
      </c>
      <c r="C1353" s="1634" t="s">
        <v>270</v>
      </c>
      <c r="D1353" s="2294" t="s">
        <v>6437</v>
      </c>
      <c r="E1353" s="2295" t="s">
        <v>4088</v>
      </c>
      <c r="F1353" s="1634" t="s">
        <v>1070</v>
      </c>
      <c r="G1353"/>
      <c r="H1353"/>
    </row>
    <row r="1354" spans="1:11" hidden="1" x14ac:dyDescent="0.2">
      <c r="A1354" s="1634" t="s">
        <v>779</v>
      </c>
      <c r="B1354" s="1634" t="s">
        <v>1781</v>
      </c>
      <c r="C1354" s="1634" t="s">
        <v>2946</v>
      </c>
      <c r="D1354" s="2294" t="s">
        <v>1782</v>
      </c>
      <c r="E1354" s="2295" t="s">
        <v>1783</v>
      </c>
      <c r="F1354" s="1634" t="s">
        <v>1784</v>
      </c>
      <c r="G1354" s="2295" t="s">
        <v>650</v>
      </c>
      <c r="H1354"/>
    </row>
    <row r="1355" spans="1:11" hidden="1" x14ac:dyDescent="0.2">
      <c r="A1355" s="1634" t="s">
        <v>780</v>
      </c>
      <c r="B1355" s="1634" t="s">
        <v>679</v>
      </c>
      <c r="C1355" s="1634" t="s">
        <v>680</v>
      </c>
      <c r="D1355" s="2294" t="s">
        <v>6442</v>
      </c>
      <c r="E1355" s="2295" t="s">
        <v>3495</v>
      </c>
      <c r="F1355" s="1634" t="s">
        <v>681</v>
      </c>
      <c r="G1355" s="1634" t="s">
        <v>682</v>
      </c>
      <c r="H1355" s="1634" t="s">
        <v>683</v>
      </c>
    </row>
    <row r="1356" spans="1:11" hidden="1" x14ac:dyDescent="0.2">
      <c r="A1356" s="1634" t="s">
        <v>3224</v>
      </c>
      <c r="B1356" s="1634" t="s">
        <v>2562</v>
      </c>
      <c r="C1356" s="1634" t="s">
        <v>2193</v>
      </c>
      <c r="D1356" s="2294" t="s">
        <v>6448</v>
      </c>
      <c r="E1356"/>
      <c r="F1356"/>
      <c r="G1356"/>
      <c r="H1356"/>
      <c r="I1356"/>
      <c r="J1356"/>
      <c r="K1356"/>
    </row>
    <row r="1357" spans="1:11" hidden="1" x14ac:dyDescent="0.2">
      <c r="A1357" s="2291" t="s">
        <v>3225</v>
      </c>
      <c r="B1357" s="1634" t="s">
        <v>3395</v>
      </c>
      <c r="C1357" s="2294" t="s">
        <v>3396</v>
      </c>
      <c r="D1357" s="2295" t="s">
        <v>3397</v>
      </c>
      <c r="E1357"/>
      <c r="F1357"/>
      <c r="G1357"/>
      <c r="H1357"/>
      <c r="I1357"/>
      <c r="J1357"/>
      <c r="K1357"/>
    </row>
    <row r="1358" spans="1:11" hidden="1" x14ac:dyDescent="0.2">
      <c r="A1358" s="1634" t="s">
        <v>5756</v>
      </c>
      <c r="B1358" s="2294" t="s">
        <v>6450</v>
      </c>
      <c r="C1358" s="2295" t="s">
        <v>3501</v>
      </c>
      <c r="D1358" s="2294" t="s">
        <v>510</v>
      </c>
      <c r="E1358"/>
      <c r="F1358"/>
      <c r="G1358"/>
      <c r="H1358"/>
      <c r="I1358"/>
      <c r="J1358"/>
      <c r="K1358"/>
    </row>
    <row r="1359" spans="1:11" hidden="1" x14ac:dyDescent="0.2">
      <c r="A1359" s="2291" t="s">
        <v>5757</v>
      </c>
      <c r="B1359" s="2295" t="s">
        <v>2928</v>
      </c>
      <c r="C1359" s="1634" t="s">
        <v>2929</v>
      </c>
      <c r="D1359" s="2294" t="s">
        <v>2930</v>
      </c>
      <c r="E1359"/>
      <c r="F1359"/>
      <c r="G1359"/>
      <c r="H1359"/>
      <c r="I1359"/>
      <c r="J1359"/>
      <c r="K1359"/>
    </row>
    <row r="1360" spans="1:11" hidden="1" x14ac:dyDescent="0.2">
      <c r="A1360" s="2291" t="s">
        <v>5755</v>
      </c>
      <c r="B1360" s="2295" t="s">
        <v>3249</v>
      </c>
      <c r="C1360" s="1634" t="s">
        <v>3250</v>
      </c>
      <c r="D1360" s="2294" t="s">
        <v>3251</v>
      </c>
      <c r="E1360"/>
      <c r="F1360"/>
      <c r="G1360"/>
      <c r="H1360"/>
      <c r="I1360"/>
      <c r="J1360"/>
      <c r="K1360"/>
    </row>
    <row r="1361" spans="1:11" hidden="1" x14ac:dyDescent="0.2">
      <c r="A1361" s="2291" t="s">
        <v>3155</v>
      </c>
      <c r="B1361" s="1634" t="s">
        <v>799</v>
      </c>
      <c r="C1361" s="1634" t="s">
        <v>473</v>
      </c>
      <c r="D1361" s="2294" t="s">
        <v>4525</v>
      </c>
      <c r="E1361" s="2295" t="s">
        <v>800</v>
      </c>
      <c r="F1361" s="1634" t="s">
        <v>801</v>
      </c>
      <c r="G1361" s="1634" t="s">
        <v>802</v>
      </c>
      <c r="H1361" s="2295" t="s">
        <v>803</v>
      </c>
      <c r="I1361" s="1634" t="s">
        <v>195</v>
      </c>
      <c r="J1361"/>
      <c r="K1361"/>
    </row>
    <row r="1362" spans="1:11" hidden="1" x14ac:dyDescent="0.2">
      <c r="A1362" s="2291" t="s">
        <v>3156</v>
      </c>
      <c r="B1362" s="1634" t="s">
        <v>814</v>
      </c>
      <c r="C1362" s="1634" t="s">
        <v>6474</v>
      </c>
      <c r="D1362" s="2294" t="s">
        <v>5728</v>
      </c>
      <c r="E1362" s="2295" t="s">
        <v>815</v>
      </c>
      <c r="F1362" s="1634" t="s">
        <v>816</v>
      </c>
      <c r="G1362" s="1634" t="s">
        <v>817</v>
      </c>
      <c r="H1362" s="2295" t="s">
        <v>818</v>
      </c>
      <c r="I1362" s="1634" t="s">
        <v>6626</v>
      </c>
      <c r="J1362"/>
      <c r="K1362"/>
    </row>
    <row r="1363" spans="1:11" hidden="1" x14ac:dyDescent="0.2">
      <c r="A1363" s="2291" t="s">
        <v>3158</v>
      </c>
      <c r="B1363" s="1634" t="s">
        <v>5481</v>
      </c>
      <c r="C1363" s="1634" t="s">
        <v>4972</v>
      </c>
      <c r="D1363" s="2294" t="s">
        <v>5730</v>
      </c>
      <c r="E1363" s="1634" t="s">
        <v>5636</v>
      </c>
      <c r="F1363"/>
      <c r="G1363"/>
      <c r="H1363"/>
      <c r="I1363"/>
      <c r="J1363"/>
      <c r="K1363"/>
    </row>
    <row r="1364" spans="1:11" hidden="1" x14ac:dyDescent="0.2">
      <c r="A1364" s="2291" t="s">
        <v>3159</v>
      </c>
      <c r="B1364" s="1634" t="s">
        <v>2825</v>
      </c>
      <c r="C1364" s="2294" t="s">
        <v>4789</v>
      </c>
      <c r="D1364" s="2295" t="s">
        <v>1807</v>
      </c>
      <c r="E1364" s="2295" t="s">
        <v>5638</v>
      </c>
      <c r="F1364"/>
      <c r="G1364"/>
      <c r="H1364"/>
      <c r="I1364"/>
      <c r="J1364"/>
      <c r="K1364"/>
    </row>
    <row r="1365" spans="1:11" hidden="1" x14ac:dyDescent="0.2">
      <c r="A1365" s="2291" t="s">
        <v>3160</v>
      </c>
      <c r="B1365" s="2294" t="s">
        <v>5483</v>
      </c>
      <c r="C1365" s="2295" t="s">
        <v>1809</v>
      </c>
      <c r="D1365" s="2294" t="s">
        <v>3467</v>
      </c>
      <c r="E1365" s="2295" t="s">
        <v>5640</v>
      </c>
      <c r="F1365"/>
      <c r="G1365"/>
      <c r="H1365"/>
      <c r="I1365"/>
      <c r="J1365"/>
      <c r="K1365"/>
    </row>
    <row r="1366" spans="1:11" hidden="1" x14ac:dyDescent="0.2">
      <c r="A1366" s="2291" t="s">
        <v>3162</v>
      </c>
      <c r="B1366" s="2295" t="s">
        <v>1811</v>
      </c>
      <c r="C1366" s="1634" t="s">
        <v>3473</v>
      </c>
      <c r="D1366" s="2294" t="s">
        <v>3474</v>
      </c>
      <c r="E1366" s="2295" t="s">
        <v>6593</v>
      </c>
      <c r="F1366"/>
      <c r="G1366"/>
      <c r="H1366"/>
      <c r="I1366"/>
      <c r="J1366"/>
      <c r="K1366"/>
    </row>
    <row r="1367" spans="1:11" hidden="1" x14ac:dyDescent="0.2">
      <c r="A1367" s="2291" t="s">
        <v>5183</v>
      </c>
      <c r="B1367" s="2295" t="s">
        <v>1919</v>
      </c>
      <c r="C1367" s="1634" t="s">
        <v>1920</v>
      </c>
      <c r="D1367" s="1634" t="s">
        <v>1921</v>
      </c>
      <c r="E1367" s="1634" t="s">
        <v>224</v>
      </c>
      <c r="F1367"/>
      <c r="G1367"/>
      <c r="H1367"/>
      <c r="I1367"/>
      <c r="J1367"/>
      <c r="K1367"/>
    </row>
    <row r="1368" spans="1:11" hidden="1" x14ac:dyDescent="0.2">
      <c r="A1368" s="2291" t="s">
        <v>5184</v>
      </c>
      <c r="B1368" s="1634" t="s">
        <v>6180</v>
      </c>
      <c r="C1368" s="1634" t="s">
        <v>6384</v>
      </c>
      <c r="D1368" s="2294" t="s">
        <v>6181</v>
      </c>
      <c r="E1368" s="2295" t="s">
        <v>406</v>
      </c>
      <c r="F1368" s="1634" t="s">
        <v>6182</v>
      </c>
      <c r="G1368" s="1634" t="s">
        <v>6183</v>
      </c>
      <c r="H1368" s="2295" t="s">
        <v>520</v>
      </c>
      <c r="I1368" s="1634" t="s">
        <v>3154</v>
      </c>
      <c r="J1368"/>
      <c r="K1368"/>
    </row>
    <row r="1369" spans="1:11" hidden="1" x14ac:dyDescent="0.2">
      <c r="A1369" s="2291" t="s">
        <v>5185</v>
      </c>
      <c r="B1369" s="1634" t="s">
        <v>2092</v>
      </c>
      <c r="C1369" s="1634" t="s">
        <v>6394</v>
      </c>
      <c r="D1369" s="2294" t="s">
        <v>4820</v>
      </c>
      <c r="E1369" s="2295" t="s">
        <v>2626</v>
      </c>
      <c r="F1369" s="1634" t="s">
        <v>2093</v>
      </c>
      <c r="G1369" s="1634" t="s">
        <v>2094</v>
      </c>
      <c r="H1369" s="1634" t="s">
        <v>1555</v>
      </c>
      <c r="I1369" s="1634" t="s">
        <v>1556</v>
      </c>
      <c r="J1369" s="1634" t="s">
        <v>4895</v>
      </c>
      <c r="K1369"/>
    </row>
    <row r="1370" spans="1:11" hidden="1" x14ac:dyDescent="0.2">
      <c r="A1370" s="2291" t="s">
        <v>5186</v>
      </c>
      <c r="B1370" s="1634" t="s">
        <v>5778</v>
      </c>
      <c r="C1370" s="1634" t="s">
        <v>6399</v>
      </c>
      <c r="D1370" s="2294" t="s">
        <v>4821</v>
      </c>
      <c r="E1370" s="2295" t="s">
        <v>5689</v>
      </c>
      <c r="F1370" s="1634" t="s">
        <v>5779</v>
      </c>
      <c r="G1370" s="2295" t="s">
        <v>3157</v>
      </c>
      <c r="H1370"/>
      <c r="I1370"/>
      <c r="J1370"/>
      <c r="K1370"/>
    </row>
    <row r="1371" spans="1:11" hidden="1" x14ac:dyDescent="0.2">
      <c r="A1371" s="2291" t="s">
        <v>5187</v>
      </c>
      <c r="B1371" s="1634" t="s">
        <v>1791</v>
      </c>
      <c r="C1371" s="1634" t="s">
        <v>6409</v>
      </c>
      <c r="D1371" s="2294" t="s">
        <v>4837</v>
      </c>
      <c r="E1371" s="2295" t="s">
        <v>1792</v>
      </c>
      <c r="F1371" s="1634" t="s">
        <v>1793</v>
      </c>
      <c r="G1371" s="1634" t="s">
        <v>2233</v>
      </c>
      <c r="H1371" s="1634" t="s">
        <v>91</v>
      </c>
      <c r="I1371" s="1634" t="s">
        <v>5246</v>
      </c>
      <c r="J1371" s="1634" t="s">
        <v>1315</v>
      </c>
      <c r="K1371"/>
    </row>
    <row r="1372" spans="1:11" hidden="1" x14ac:dyDescent="0.2">
      <c r="A1372" s="2291" t="s">
        <v>6002</v>
      </c>
      <c r="B1372" s="1634" t="s">
        <v>3401</v>
      </c>
      <c r="C1372" s="1634" t="s">
        <v>1024</v>
      </c>
      <c r="D1372" s="2294" t="s">
        <v>3402</v>
      </c>
      <c r="E1372" s="2295" t="s">
        <v>3403</v>
      </c>
      <c r="F1372" s="1634" t="s">
        <v>3404</v>
      </c>
      <c r="G1372" s="1634" t="s">
        <v>3405</v>
      </c>
      <c r="H1372" s="1634" t="s">
        <v>3406</v>
      </c>
      <c r="I1372" s="1634" t="s">
        <v>3407</v>
      </c>
      <c r="J1372" s="1634" t="s">
        <v>1316</v>
      </c>
      <c r="K1372"/>
    </row>
    <row r="1373" spans="1:11" hidden="1" x14ac:dyDescent="0.2">
      <c r="A1373" s="2291" t="s">
        <v>5057</v>
      </c>
      <c r="B1373" s="1634" t="s">
        <v>5102</v>
      </c>
      <c r="C1373" s="1634" t="s">
        <v>2301</v>
      </c>
      <c r="D1373" s="2294" t="s">
        <v>5103</v>
      </c>
      <c r="E1373" s="2295" t="s">
        <v>5104</v>
      </c>
      <c r="F1373" s="1634" t="s">
        <v>5105</v>
      </c>
      <c r="G1373" s="1634" t="s">
        <v>5106</v>
      </c>
      <c r="H1373" s="2295" t="s">
        <v>5107</v>
      </c>
      <c r="I1373" s="1634" t="s">
        <v>5108</v>
      </c>
      <c r="J1373" s="1634" t="s">
        <v>1317</v>
      </c>
      <c r="K1373" s="1634" t="s">
        <v>3161</v>
      </c>
    </row>
    <row r="1374" spans="1:11" hidden="1" x14ac:dyDescent="0.2">
      <c r="A1374" s="2291" t="s">
        <v>5058</v>
      </c>
      <c r="B1374" s="1634" t="s">
        <v>525</v>
      </c>
      <c r="C1374" s="1634" t="s">
        <v>2304</v>
      </c>
      <c r="D1374" s="2294" t="s">
        <v>4823</v>
      </c>
      <c r="E1374" s="2295" t="s">
        <v>2393</v>
      </c>
      <c r="F1374" s="1634" t="s">
        <v>2394</v>
      </c>
      <c r="G1374" s="1634" t="s">
        <v>2395</v>
      </c>
      <c r="H1374" s="2295" t="s">
        <v>2396</v>
      </c>
      <c r="I1374" s="1634" t="s">
        <v>2397</v>
      </c>
      <c r="J1374" s="1634" t="s">
        <v>1318</v>
      </c>
      <c r="K1374" s="1634" t="s">
        <v>3163</v>
      </c>
    </row>
    <row r="1375" spans="1:11" hidden="1" x14ac:dyDescent="0.2">
      <c r="A1375" s="2291" t="s">
        <v>5060</v>
      </c>
      <c r="B1375" s="1634" t="s">
        <v>2400</v>
      </c>
      <c r="C1375" s="1634" t="s">
        <v>2420</v>
      </c>
      <c r="D1375" s="2294" t="s">
        <v>2401</v>
      </c>
      <c r="E1375" s="2295" t="s">
        <v>852</v>
      </c>
      <c r="F1375" s="1634" t="s">
        <v>2402</v>
      </c>
      <c r="G1375" s="1634" t="s">
        <v>2403</v>
      </c>
      <c r="H1375" s="2295" t="s">
        <v>2404</v>
      </c>
      <c r="I1375" s="1634" t="s">
        <v>2405</v>
      </c>
      <c r="J1375" s="1634" t="s">
        <v>1319</v>
      </c>
      <c r="K1375" s="1634" t="s">
        <v>5804</v>
      </c>
    </row>
    <row r="1376" spans="1:11" hidden="1" x14ac:dyDescent="0.2">
      <c r="A1376" s="2291" t="s">
        <v>4509</v>
      </c>
      <c r="B1376" s="1634" t="s">
        <v>2640</v>
      </c>
      <c r="C1376" s="1634" t="s">
        <v>2641</v>
      </c>
      <c r="D1376" s="2294" t="s">
        <v>4825</v>
      </c>
      <c r="E1376" s="2295" t="s">
        <v>2642</v>
      </c>
      <c r="F1376" s="1634" t="s">
        <v>3965</v>
      </c>
      <c r="G1376" s="1634" t="s">
        <v>3966</v>
      </c>
      <c r="H1376" s="2295" t="s">
        <v>6196</v>
      </c>
      <c r="I1376" s="1634" t="s">
        <v>6580</v>
      </c>
      <c r="J1376" s="1634" t="s">
        <v>1320</v>
      </c>
      <c r="K1376"/>
    </row>
    <row r="1377" spans="1:11" hidden="1" x14ac:dyDescent="0.2">
      <c r="A1377" s="2291" t="s">
        <v>4510</v>
      </c>
      <c r="B1377" s="2294" t="s">
        <v>5023</v>
      </c>
      <c r="C1377" s="2294" t="s">
        <v>4826</v>
      </c>
      <c r="D1377" s="2295" t="s">
        <v>5024</v>
      </c>
      <c r="E1377" s="2295" t="s">
        <v>5025</v>
      </c>
      <c r="F1377" s="1634" t="s">
        <v>5026</v>
      </c>
      <c r="G1377" s="1634" t="s">
        <v>5027</v>
      </c>
      <c r="H1377" s="1634" t="s">
        <v>5028</v>
      </c>
      <c r="I1377" s="1634" t="s">
        <v>1321</v>
      </c>
      <c r="J1377"/>
      <c r="K1377"/>
    </row>
    <row r="1378" spans="1:11" hidden="1" x14ac:dyDescent="0.2">
      <c r="A1378" s="2291" t="s">
        <v>4511</v>
      </c>
      <c r="B1378" s="1634" t="s">
        <v>2450</v>
      </c>
      <c r="C1378" s="1634" t="s">
        <v>2451</v>
      </c>
      <c r="D1378" s="2294" t="s">
        <v>4827</v>
      </c>
      <c r="E1378" s="1634" t="s">
        <v>1830</v>
      </c>
      <c r="F1378"/>
      <c r="G1378"/>
      <c r="H1378"/>
      <c r="I1378"/>
      <c r="J1378"/>
      <c r="K1378"/>
    </row>
    <row r="1379" spans="1:11" hidden="1" x14ac:dyDescent="0.2">
      <c r="A1379" s="2291" t="s">
        <v>3774</v>
      </c>
      <c r="B1379" s="1634" t="s">
        <v>6420</v>
      </c>
      <c r="C1379" s="2294" t="s">
        <v>6421</v>
      </c>
      <c r="D1379" s="2295" t="s">
        <v>1456</v>
      </c>
      <c r="E1379" s="2295" t="s">
        <v>5059</v>
      </c>
      <c r="F1379"/>
      <c r="G1379"/>
      <c r="H1379"/>
      <c r="I1379"/>
      <c r="J1379"/>
      <c r="K1379"/>
    </row>
    <row r="1380" spans="1:11" hidden="1" x14ac:dyDescent="0.2">
      <c r="A1380" s="2291" t="s">
        <v>3775</v>
      </c>
      <c r="B1380" s="2294" t="s">
        <v>2338</v>
      </c>
      <c r="C1380" s="2295" t="s">
        <v>1462</v>
      </c>
      <c r="D1380" s="2295" t="s">
        <v>1463</v>
      </c>
      <c r="E1380" s="2295" t="s">
        <v>3773</v>
      </c>
      <c r="F1380"/>
      <c r="G1380"/>
      <c r="H1380"/>
      <c r="I1380"/>
      <c r="J1380"/>
      <c r="K1380"/>
    </row>
    <row r="1381" spans="1:11" hidden="1" x14ac:dyDescent="0.2">
      <c r="A1381" s="2291" t="s">
        <v>3776</v>
      </c>
      <c r="B1381" s="2295" t="s">
        <v>1468</v>
      </c>
      <c r="C1381" s="1634" t="s">
        <v>1469</v>
      </c>
      <c r="D1381" s="2295" t="s">
        <v>1470</v>
      </c>
      <c r="E1381" s="2295" t="s">
        <v>2807</v>
      </c>
      <c r="F1381"/>
      <c r="G1381"/>
      <c r="H1381"/>
      <c r="I1381"/>
      <c r="J1381"/>
      <c r="K1381"/>
    </row>
    <row r="1382" spans="1:11" hidden="1" x14ac:dyDescent="0.2">
      <c r="A1382" s="2291" t="s">
        <v>3777</v>
      </c>
      <c r="B1382" s="2295" t="s">
        <v>4212</v>
      </c>
      <c r="C1382" s="1634" t="s">
        <v>4495</v>
      </c>
      <c r="D1382" s="2295" t="s">
        <v>2382</v>
      </c>
      <c r="E1382" s="1634" t="s">
        <v>1419</v>
      </c>
      <c r="F1382"/>
      <c r="G1382"/>
      <c r="H1382"/>
      <c r="I1382"/>
      <c r="J1382"/>
      <c r="K1382"/>
    </row>
    <row r="1383" spans="1:11" hidden="1" x14ac:dyDescent="0.2">
      <c r="A1383" s="2291" t="s">
        <v>1420</v>
      </c>
      <c r="B1383" s="1634" t="s">
        <v>2360</v>
      </c>
      <c r="C1383" s="1634" t="s">
        <v>2361</v>
      </c>
      <c r="D1383" s="2294" t="s">
        <v>2362</v>
      </c>
      <c r="E1383" s="2295" t="s">
        <v>1876</v>
      </c>
      <c r="F1383" s="1634" t="s">
        <v>1877</v>
      </c>
      <c r="G1383" s="1634" t="s">
        <v>1878</v>
      </c>
      <c r="H1383" s="1634" t="s">
        <v>1879</v>
      </c>
      <c r="I1383" s="2295" t="s">
        <v>1880</v>
      </c>
      <c r="J1383" s="1634" t="s">
        <v>1322</v>
      </c>
      <c r="K1383" s="1634" t="s">
        <v>1058</v>
      </c>
    </row>
    <row r="1384" spans="1:11" hidden="1" x14ac:dyDescent="0.2">
      <c r="A1384" s="2291" t="s">
        <v>1421</v>
      </c>
      <c r="B1384" s="1634" t="s">
        <v>6702</v>
      </c>
      <c r="C1384" s="1634" t="s">
        <v>6703</v>
      </c>
      <c r="D1384" s="2294" t="s">
        <v>2964</v>
      </c>
      <c r="E1384" s="2295" t="s">
        <v>6665</v>
      </c>
      <c r="F1384" s="1634" t="s">
        <v>6666</v>
      </c>
      <c r="G1384" s="1634" t="s">
        <v>6667</v>
      </c>
      <c r="H1384" s="1634" t="s">
        <v>6668</v>
      </c>
      <c r="I1384" s="1634" t="s">
        <v>2124</v>
      </c>
      <c r="J1384" s="1634" t="s">
        <v>1323</v>
      </c>
      <c r="K1384"/>
    </row>
    <row r="1385" spans="1:11" hidden="1" x14ac:dyDescent="0.2">
      <c r="A1385" s="2291" t="s">
        <v>1422</v>
      </c>
      <c r="B1385" s="1634" t="s">
        <v>5579</v>
      </c>
      <c r="C1385" s="1634" t="s">
        <v>3644</v>
      </c>
      <c r="D1385" s="2294" t="s">
        <v>3645</v>
      </c>
      <c r="E1385" s="2295" t="s">
        <v>2132</v>
      </c>
      <c r="F1385" s="1634" t="s">
        <v>981</v>
      </c>
      <c r="G1385" s="1634" t="s">
        <v>982</v>
      </c>
      <c r="H1385" s="1634" t="s">
        <v>983</v>
      </c>
      <c r="I1385" s="2295" t="s">
        <v>984</v>
      </c>
      <c r="J1385" s="1634" t="s">
        <v>1324</v>
      </c>
      <c r="K1385" s="1634" t="s">
        <v>6003</v>
      </c>
    </row>
    <row r="1386" spans="1:11" hidden="1" x14ac:dyDescent="0.2">
      <c r="A1386"/>
      <c r="B1386"/>
      <c r="C1386"/>
      <c r="D1386" s="2294"/>
      <c r="E1386" s="164"/>
      <c r="F1386" s="164"/>
      <c r="G1386"/>
      <c r="H1386"/>
      <c r="I1386"/>
      <c r="J1386"/>
      <c r="K1386"/>
    </row>
    <row r="1387" spans="1:11" hidden="1" x14ac:dyDescent="0.2">
      <c r="A1387"/>
      <c r="B1387"/>
      <c r="C1387"/>
      <c r="D1387" s="2294"/>
      <c r="E1387" s="164"/>
      <c r="F1387" s="164"/>
      <c r="G1387"/>
      <c r="H1387"/>
      <c r="I1387"/>
      <c r="J1387"/>
      <c r="K1387"/>
    </row>
    <row r="1388" spans="1:11" hidden="1" x14ac:dyDescent="0.2">
      <c r="A1388"/>
      <c r="B1388"/>
      <c r="C1388"/>
      <c r="D1388" s="2294"/>
      <c r="E1388" s="164"/>
      <c r="F1388" s="164"/>
      <c r="G1388"/>
      <c r="H1388"/>
      <c r="I1388"/>
      <c r="J1388"/>
      <c r="K1388"/>
    </row>
    <row r="1389" spans="1:11" hidden="1" x14ac:dyDescent="0.2">
      <c r="A1389" s="1634" t="s">
        <v>1423</v>
      </c>
      <c r="B1389" s="1634" t="s">
        <v>5988</v>
      </c>
      <c r="C1389"/>
      <c r="D1389"/>
      <c r="E1389"/>
      <c r="F1389"/>
      <c r="G1389"/>
      <c r="H1389"/>
      <c r="I1389"/>
      <c r="J1389"/>
      <c r="K1389"/>
    </row>
    <row r="1390" spans="1:11" hidden="1" x14ac:dyDescent="0.2">
      <c r="A1390" s="1634" t="s">
        <v>1424</v>
      </c>
      <c r="B1390" s="1634" t="s">
        <v>863</v>
      </c>
      <c r="C1390"/>
      <c r="D1390"/>
      <c r="E1390"/>
      <c r="F1390"/>
      <c r="G1390"/>
      <c r="H1390"/>
      <c r="I1390"/>
      <c r="J1390"/>
      <c r="K1390"/>
    </row>
    <row r="1391" spans="1:11" hidden="1" x14ac:dyDescent="0.2">
      <c r="A1391" s="1634" t="s">
        <v>1425</v>
      </c>
      <c r="B1391" s="1634" t="s">
        <v>867</v>
      </c>
      <c r="C1391"/>
      <c r="D1391"/>
      <c r="E1391"/>
      <c r="F1391"/>
      <c r="G1391"/>
      <c r="H1391"/>
      <c r="I1391"/>
      <c r="J1391"/>
      <c r="K1391"/>
    </row>
    <row r="1392" spans="1:11" hidden="1" x14ac:dyDescent="0.2">
      <c r="A1392" s="1634" t="s">
        <v>1426</v>
      </c>
      <c r="B1392" s="1634" t="s">
        <v>869</v>
      </c>
      <c r="C1392"/>
      <c r="D1392"/>
      <c r="E1392"/>
      <c r="F1392"/>
      <c r="G1392"/>
      <c r="H1392"/>
      <c r="I1392"/>
      <c r="J1392"/>
      <c r="K1392"/>
    </row>
    <row r="1393" spans="1:11" hidden="1" x14ac:dyDescent="0.2">
      <c r="A1393" s="1634" t="s">
        <v>1427</v>
      </c>
      <c r="B1393" s="1634" t="s">
        <v>871</v>
      </c>
      <c r="C1393"/>
      <c r="D1393"/>
      <c r="E1393"/>
      <c r="F1393"/>
      <c r="G1393"/>
      <c r="H1393"/>
      <c r="I1393"/>
      <c r="J1393"/>
      <c r="K1393"/>
    </row>
    <row r="1394" spans="1:11" hidden="1" x14ac:dyDescent="0.2">
      <c r="A1394" s="1634" t="s">
        <v>1428</v>
      </c>
      <c r="B1394" s="1634" t="s">
        <v>3008</v>
      </c>
      <c r="C1394"/>
      <c r="D1394"/>
      <c r="E1394"/>
      <c r="F1394"/>
      <c r="G1394"/>
      <c r="H1394"/>
      <c r="I1394"/>
      <c r="J1394"/>
      <c r="K1394"/>
    </row>
    <row r="1395" spans="1:11" hidden="1" x14ac:dyDescent="0.2">
      <c r="A1395" s="1634" t="s">
        <v>1429</v>
      </c>
      <c r="B1395" s="1634" t="s">
        <v>3010</v>
      </c>
      <c r="C1395"/>
      <c r="D1395"/>
      <c r="E1395"/>
      <c r="F1395"/>
      <c r="G1395"/>
      <c r="H1395"/>
      <c r="I1395"/>
      <c r="J1395"/>
      <c r="K1395"/>
    </row>
    <row r="1396" spans="1:11" hidden="1" x14ac:dyDescent="0.2">
      <c r="A1396" s="1634" t="s">
        <v>1430</v>
      </c>
      <c r="B1396" s="1634" t="s">
        <v>4045</v>
      </c>
      <c r="C1396"/>
      <c r="D1396"/>
      <c r="E1396"/>
      <c r="F1396"/>
      <c r="G1396"/>
      <c r="H1396"/>
      <c r="I1396"/>
      <c r="J1396"/>
      <c r="K1396"/>
    </row>
    <row r="1397" spans="1:11" hidden="1" x14ac:dyDescent="0.2">
      <c r="A1397" s="1634" t="s">
        <v>1431</v>
      </c>
      <c r="B1397" s="1634" t="s">
        <v>4095</v>
      </c>
      <c r="C1397"/>
      <c r="D1397"/>
      <c r="E1397"/>
      <c r="F1397"/>
      <c r="G1397"/>
      <c r="H1397"/>
      <c r="I1397"/>
      <c r="J1397"/>
      <c r="K1397"/>
    </row>
    <row r="1398" spans="1:11" hidden="1" x14ac:dyDescent="0.2">
      <c r="A1398" s="1634" t="s">
        <v>1432</v>
      </c>
      <c r="B1398" s="1634" t="s">
        <v>2915</v>
      </c>
      <c r="C1398"/>
      <c r="D1398"/>
      <c r="E1398"/>
      <c r="F1398"/>
      <c r="G1398"/>
      <c r="H1398"/>
      <c r="I1398"/>
      <c r="J1398"/>
      <c r="K1398"/>
    </row>
    <row r="1399" spans="1:11" hidden="1" x14ac:dyDescent="0.2">
      <c r="A1399" s="1634" t="s">
        <v>1433</v>
      </c>
      <c r="B1399" s="1634" t="s">
        <v>2917</v>
      </c>
      <c r="C1399"/>
      <c r="D1399"/>
      <c r="E1399"/>
      <c r="F1399"/>
      <c r="G1399"/>
      <c r="H1399"/>
      <c r="I1399"/>
      <c r="J1399"/>
      <c r="K1399"/>
    </row>
    <row r="1400" spans="1:11" hidden="1" x14ac:dyDescent="0.2">
      <c r="A1400" s="1634" t="s">
        <v>1434</v>
      </c>
      <c r="B1400" s="1634" t="s">
        <v>2919</v>
      </c>
      <c r="C1400"/>
      <c r="D1400"/>
      <c r="E1400"/>
      <c r="F1400"/>
      <c r="G1400"/>
      <c r="H1400"/>
      <c r="I1400"/>
      <c r="J1400"/>
      <c r="K1400"/>
    </row>
    <row r="1401" spans="1:11" hidden="1" x14ac:dyDescent="0.2">
      <c r="A1401" s="1634" t="s">
        <v>1435</v>
      </c>
      <c r="B1401" s="1634" t="s">
        <v>1575</v>
      </c>
      <c r="C1401"/>
      <c r="D1401"/>
      <c r="E1401"/>
      <c r="F1401"/>
      <c r="G1401"/>
      <c r="H1401"/>
      <c r="I1401"/>
      <c r="J1401"/>
      <c r="K1401"/>
    </row>
    <row r="1402" spans="1:11" hidden="1" x14ac:dyDescent="0.2">
      <c r="A1402" s="1634" t="s">
        <v>1436</v>
      </c>
      <c r="B1402" s="1634" t="s">
        <v>6435</v>
      </c>
      <c r="C1402" s="1634" t="s">
        <v>2431</v>
      </c>
      <c r="D1402" s="1634" t="s">
        <v>2432</v>
      </c>
      <c r="E1402" s="1634" t="s">
        <v>2433</v>
      </c>
      <c r="F1402"/>
      <c r="G1402"/>
      <c r="H1402"/>
      <c r="I1402"/>
      <c r="J1402"/>
      <c r="K1402"/>
    </row>
    <row r="1403" spans="1:11" hidden="1" x14ac:dyDescent="0.2">
      <c r="A1403" s="1634" t="s">
        <v>1437</v>
      </c>
      <c r="B1403" s="1634" t="s">
        <v>6437</v>
      </c>
      <c r="C1403" s="1634" t="s">
        <v>4088</v>
      </c>
      <c r="D1403" s="1634" t="s">
        <v>1070</v>
      </c>
      <c r="E1403" s="1634" t="s">
        <v>1071</v>
      </c>
      <c r="F1403"/>
      <c r="G1403"/>
      <c r="H1403"/>
      <c r="I1403"/>
      <c r="J1403"/>
      <c r="K1403"/>
    </row>
    <row r="1404" spans="1:11" hidden="1" x14ac:dyDescent="0.2">
      <c r="A1404" s="1634" t="s">
        <v>1438</v>
      </c>
      <c r="B1404" s="1634" t="s">
        <v>6439</v>
      </c>
      <c r="C1404" s="1634" t="s">
        <v>1076</v>
      </c>
      <c r="D1404" s="1634" t="s">
        <v>4204</v>
      </c>
      <c r="E1404" s="1634" t="s">
        <v>4205</v>
      </c>
    </row>
    <row r="1405" spans="1:11" hidden="1" x14ac:dyDescent="0.2">
      <c r="A1405" s="1634" t="s">
        <v>1439</v>
      </c>
      <c r="B1405" s="2296" t="s">
        <v>1782</v>
      </c>
      <c r="C1405" s="1634" t="s">
        <v>1783</v>
      </c>
      <c r="D1405" s="1634" t="s">
        <v>1784</v>
      </c>
      <c r="E1405" s="1634" t="s">
        <v>3778</v>
      </c>
    </row>
    <row r="1406" spans="1:11" hidden="1" x14ac:dyDescent="0.2">
      <c r="A1406" s="1634" t="s">
        <v>1440</v>
      </c>
      <c r="B1406" s="1634" t="s">
        <v>2671</v>
      </c>
      <c r="C1406"/>
      <c r="D1406"/>
      <c r="E1406"/>
    </row>
    <row r="1407" spans="1:11" hidden="1" x14ac:dyDescent="0.2">
      <c r="A1407" s="1634" t="s">
        <v>1441</v>
      </c>
      <c r="B1407" s="1634" t="s">
        <v>351</v>
      </c>
      <c r="C1407"/>
      <c r="D1407"/>
      <c r="E1407"/>
    </row>
    <row r="1408" spans="1:11" hidden="1" x14ac:dyDescent="0.2">
      <c r="A1408" s="1634" t="s">
        <v>1442</v>
      </c>
      <c r="B1408" s="1634" t="s">
        <v>353</v>
      </c>
      <c r="C1408"/>
      <c r="D1408"/>
      <c r="E1408"/>
    </row>
    <row r="1409" spans="1:5" hidden="1" x14ac:dyDescent="0.2">
      <c r="A1409" s="1634" t="s">
        <v>1443</v>
      </c>
      <c r="B1409" s="1634" t="s">
        <v>681</v>
      </c>
      <c r="C1409"/>
      <c r="D1409"/>
      <c r="E1409"/>
    </row>
    <row r="1410" spans="1:5" hidden="1" x14ac:dyDescent="0.2">
      <c r="A1410" s="1634" t="s">
        <v>1444</v>
      </c>
      <c r="B1410" s="1634" t="s">
        <v>511</v>
      </c>
      <c r="C1410"/>
      <c r="D1410"/>
      <c r="E1410"/>
    </row>
    <row r="1411" spans="1:5" hidden="1" x14ac:dyDescent="0.2">
      <c r="A1411" s="1634" t="s">
        <v>1445</v>
      </c>
      <c r="B1411" s="1634" t="s">
        <v>2930</v>
      </c>
      <c r="C1411"/>
      <c r="D1411"/>
      <c r="E1411"/>
    </row>
    <row r="1412" spans="1:5" hidden="1" x14ac:dyDescent="0.2">
      <c r="A1412" s="1634" t="s">
        <v>1446</v>
      </c>
      <c r="B1412" s="1634" t="s">
        <v>3250</v>
      </c>
      <c r="C1412"/>
      <c r="D1412"/>
      <c r="E1412"/>
    </row>
    <row r="1413" spans="1:5" hidden="1" x14ac:dyDescent="0.2">
      <c r="A1413" s="1634" t="s">
        <v>1447</v>
      </c>
      <c r="B1413" s="1634" t="s">
        <v>3257</v>
      </c>
      <c r="C1413"/>
      <c r="D1413"/>
      <c r="E1413"/>
    </row>
    <row r="1414" spans="1:5" hidden="1" x14ac:dyDescent="0.2">
      <c r="A1414" s="1634" t="s">
        <v>1448</v>
      </c>
      <c r="B1414" s="1634" t="s">
        <v>802</v>
      </c>
      <c r="C1414"/>
      <c r="D1414"/>
      <c r="E1414"/>
    </row>
    <row r="1415" spans="1:5" hidden="1" x14ac:dyDescent="0.2">
      <c r="A1415" s="1634" t="s">
        <v>1449</v>
      </c>
      <c r="B1415" s="1634" t="s">
        <v>5730</v>
      </c>
      <c r="C1415" s="1634" t="s">
        <v>542</v>
      </c>
      <c r="D1415" s="1634" t="s">
        <v>543</v>
      </c>
      <c r="E1415" s="1634" t="s">
        <v>544</v>
      </c>
    </row>
    <row r="1416" spans="1:5" hidden="1" x14ac:dyDescent="0.2">
      <c r="A1416" s="1634" t="s">
        <v>1450</v>
      </c>
      <c r="B1416" s="1634" t="s">
        <v>3474</v>
      </c>
      <c r="C1416"/>
      <c r="D1416"/>
      <c r="E1416"/>
    </row>
    <row r="1417" spans="1:5" hidden="1" x14ac:dyDescent="0.2">
      <c r="A1417" s="1634" t="s">
        <v>1451</v>
      </c>
      <c r="B1417" s="1634" t="s">
        <v>1920</v>
      </c>
      <c r="C1417"/>
      <c r="D1417"/>
      <c r="E1417"/>
    </row>
    <row r="1418" spans="1:5" hidden="1" x14ac:dyDescent="0.2">
      <c r="A1418" s="1634" t="s">
        <v>1452</v>
      </c>
      <c r="B1418" s="1634" t="s">
        <v>1882</v>
      </c>
      <c r="C1418"/>
      <c r="D1418"/>
      <c r="E1418"/>
    </row>
    <row r="1419" spans="1:5" hidden="1" x14ac:dyDescent="0.2">
      <c r="A1419" s="1634" t="s">
        <v>1453</v>
      </c>
      <c r="B1419" s="1634" t="s">
        <v>6183</v>
      </c>
      <c r="C1419"/>
      <c r="D1419"/>
      <c r="E1419"/>
    </row>
    <row r="1420" spans="1:5" hidden="1" x14ac:dyDescent="0.2">
      <c r="A1420" s="1634" t="s">
        <v>1454</v>
      </c>
      <c r="B1420" s="1634" t="s">
        <v>2093</v>
      </c>
      <c r="C1420"/>
      <c r="D1420"/>
      <c r="E1420"/>
    </row>
    <row r="1421" spans="1:5" hidden="1" x14ac:dyDescent="0.2">
      <c r="A1421" s="1634" t="s">
        <v>1455</v>
      </c>
      <c r="B1421" s="1634" t="s">
        <v>852</v>
      </c>
      <c r="C1421"/>
      <c r="D1421"/>
      <c r="E1421"/>
    </row>
    <row r="1422" spans="1:5" hidden="1" x14ac:dyDescent="0.2">
      <c r="A1422" s="1634" t="s">
        <v>5358</v>
      </c>
      <c r="B1422" s="1634" t="s">
        <v>2632</v>
      </c>
      <c r="C1422"/>
      <c r="D1422"/>
      <c r="E1422"/>
    </row>
    <row r="1423" spans="1:5" hidden="1" x14ac:dyDescent="0.2">
      <c r="A1423" s="1634" t="s">
        <v>247</v>
      </c>
      <c r="B1423" s="1634" t="s">
        <v>2642</v>
      </c>
      <c r="C1423"/>
      <c r="D1423"/>
      <c r="E1423"/>
    </row>
    <row r="1424" spans="1:5" hidden="1" x14ac:dyDescent="0.2">
      <c r="A1424" s="1634" t="s">
        <v>248</v>
      </c>
      <c r="B1424" s="1634" t="s">
        <v>6587</v>
      </c>
      <c r="C1424"/>
      <c r="D1424"/>
      <c r="E1424"/>
    </row>
    <row r="1425" spans="1:5" hidden="1" x14ac:dyDescent="0.2">
      <c r="A1425" s="1634" t="s">
        <v>249</v>
      </c>
      <c r="B1425" s="1634" t="s">
        <v>5014</v>
      </c>
      <c r="C1425"/>
      <c r="D1425"/>
      <c r="E1425"/>
    </row>
    <row r="1426" spans="1:5" hidden="1" x14ac:dyDescent="0.2">
      <c r="A1426" s="1634" t="s">
        <v>250</v>
      </c>
      <c r="B1426" s="1634" t="s">
        <v>5024</v>
      </c>
      <c r="C1426"/>
      <c r="D1426"/>
      <c r="E1426"/>
    </row>
    <row r="1427" spans="1:5" hidden="1" x14ac:dyDescent="0.2">
      <c r="A1427" s="1634" t="s">
        <v>251</v>
      </c>
      <c r="B1427" s="1634" t="s">
        <v>2453</v>
      </c>
      <c r="C1427"/>
      <c r="D1427"/>
      <c r="E1427"/>
    </row>
    <row r="1428" spans="1:5" hidden="1" x14ac:dyDescent="0.2">
      <c r="A1428" s="1634" t="s">
        <v>252</v>
      </c>
      <c r="B1428" s="1634" t="s">
        <v>1463</v>
      </c>
      <c r="C1428"/>
      <c r="D1428"/>
      <c r="E1428"/>
    </row>
    <row r="1429" spans="1:5" hidden="1" x14ac:dyDescent="0.2">
      <c r="A1429" s="1634" t="s">
        <v>253</v>
      </c>
      <c r="B1429" s="1634" t="s">
        <v>1474</v>
      </c>
      <c r="C1429"/>
      <c r="D1429"/>
      <c r="E1429"/>
    </row>
    <row r="1430" spans="1:5" hidden="1" x14ac:dyDescent="0.2">
      <c r="A1430" s="1634" t="s">
        <v>254</v>
      </c>
      <c r="B1430" s="1634" t="s">
        <v>1871</v>
      </c>
      <c r="C1430"/>
      <c r="D1430"/>
      <c r="E1430"/>
    </row>
    <row r="1431" spans="1:5" hidden="1" x14ac:dyDescent="0.2">
      <c r="A1431" s="1634" t="s">
        <v>255</v>
      </c>
      <c r="B1431" s="1634" t="s">
        <v>1876</v>
      </c>
      <c r="C1431"/>
      <c r="D1431"/>
      <c r="E1431"/>
    </row>
    <row r="1432" spans="1:5" hidden="1" x14ac:dyDescent="0.2">
      <c r="A1432" s="1634" t="s">
        <v>256</v>
      </c>
      <c r="B1432" s="1634" t="s">
        <v>6665</v>
      </c>
      <c r="C1432"/>
      <c r="D1432"/>
      <c r="E1432"/>
    </row>
    <row r="1433" spans="1:5" hidden="1" x14ac:dyDescent="0.2">
      <c r="A1433" s="1634" t="s">
        <v>257</v>
      </c>
      <c r="B1433" s="1634" t="s">
        <v>3431</v>
      </c>
      <c r="C1433" s="1634" t="s">
        <v>1587</v>
      </c>
      <c r="D1433" s="1634" t="s">
        <v>6052</v>
      </c>
      <c r="E1433" s="1634" t="s">
        <v>6053</v>
      </c>
    </row>
    <row r="1434" spans="1:5" hidden="1" x14ac:dyDescent="0.2">
      <c r="A1434" s="1634" t="s">
        <v>258</v>
      </c>
      <c r="B1434" s="1634" t="s">
        <v>3436</v>
      </c>
      <c r="C1434" s="1634" t="s">
        <v>6054</v>
      </c>
      <c r="D1434" s="1634" t="s">
        <v>6055</v>
      </c>
      <c r="E1434" s="1634" t="s">
        <v>6056</v>
      </c>
    </row>
    <row r="1435" spans="1:5" hidden="1" x14ac:dyDescent="0.2">
      <c r="A1435" s="1634" t="s">
        <v>259</v>
      </c>
      <c r="B1435" s="1634" t="s">
        <v>6491</v>
      </c>
      <c r="C1435" s="1634" t="s">
        <v>6057</v>
      </c>
      <c r="D1435" s="1634" t="s">
        <v>6058</v>
      </c>
      <c r="E1435" s="1634" t="s">
        <v>6059</v>
      </c>
    </row>
    <row r="1436" spans="1:5" hidden="1" x14ac:dyDescent="0.2">
      <c r="A1436" s="1634" t="s">
        <v>260</v>
      </c>
      <c r="B1436" s="1634" t="s">
        <v>5232</v>
      </c>
      <c r="C1436" s="1634" t="s">
        <v>5233</v>
      </c>
      <c r="D1436" s="1634" t="s">
        <v>5234</v>
      </c>
      <c r="E1436" s="1634" t="s">
        <v>449</v>
      </c>
    </row>
    <row r="1437" spans="1:5" hidden="1" x14ac:dyDescent="0.2">
      <c r="A1437" s="1634" t="s">
        <v>261</v>
      </c>
      <c r="B1437" s="1634" t="s">
        <v>1588</v>
      </c>
      <c r="C1437"/>
      <c r="D1437"/>
      <c r="E1437"/>
    </row>
    <row r="1438" spans="1:5" hidden="1" x14ac:dyDescent="0.2">
      <c r="A1438" s="1634" t="s">
        <v>262</v>
      </c>
      <c r="B1438" s="1634" t="s">
        <v>1541</v>
      </c>
      <c r="C1438"/>
      <c r="D1438"/>
      <c r="E1438"/>
    </row>
    <row r="1439" spans="1:5" hidden="1" x14ac:dyDescent="0.2">
      <c r="A1439" s="1634" t="s">
        <v>263</v>
      </c>
      <c r="B1439" s="1634" t="s">
        <v>6236</v>
      </c>
      <c r="C1439"/>
      <c r="D1439"/>
      <c r="E1439"/>
    </row>
    <row r="1440" spans="1:5" hidden="1" x14ac:dyDescent="0.2">
      <c r="A1440" s="1634" t="s">
        <v>264</v>
      </c>
      <c r="B1440" s="1634" t="s">
        <v>416</v>
      </c>
      <c r="C1440"/>
      <c r="D1440"/>
      <c r="E1440"/>
    </row>
    <row r="1441" spans="1:5" hidden="1" x14ac:dyDescent="0.2">
      <c r="A1441" s="1634" t="s">
        <v>265</v>
      </c>
      <c r="B1441" s="1634" t="s">
        <v>1770</v>
      </c>
      <c r="C1441"/>
      <c r="D1441"/>
      <c r="E1441"/>
    </row>
    <row r="1442" spans="1:5" hidden="1" x14ac:dyDescent="0.2">
      <c r="A1442" s="1634" t="s">
        <v>266</v>
      </c>
      <c r="B1442" s="1634" t="s">
        <v>6854</v>
      </c>
      <c r="C1442"/>
      <c r="D1442"/>
      <c r="E1442"/>
    </row>
    <row r="1443" spans="1:5" hidden="1" x14ac:dyDescent="0.2">
      <c r="A1443" s="1634" t="s">
        <v>267</v>
      </c>
      <c r="B1443" s="1634" t="s">
        <v>6864</v>
      </c>
      <c r="C1443"/>
      <c r="D1443"/>
      <c r="E1443"/>
    </row>
    <row r="1444" spans="1:5" hidden="1" x14ac:dyDescent="0.2">
      <c r="A1444" s="1634" t="s">
        <v>268</v>
      </c>
      <c r="B1444" s="1634" t="s">
        <v>4649</v>
      </c>
      <c r="C1444"/>
      <c r="D1444"/>
      <c r="E1444"/>
    </row>
    <row r="1445" spans="1:5" hidden="1" x14ac:dyDescent="0.2">
      <c r="A1445" s="1634" t="s">
        <v>1367</v>
      </c>
      <c r="B1445" s="1634" t="s">
        <v>4658</v>
      </c>
      <c r="C1445"/>
      <c r="D1445"/>
      <c r="E1445"/>
    </row>
    <row r="1446" spans="1:5" hidden="1" x14ac:dyDescent="0.2">
      <c r="A1446" s="1634" t="s">
        <v>1368</v>
      </c>
      <c r="B1446" s="1634" t="s">
        <v>959</v>
      </c>
      <c r="C1446" s="1634" t="s">
        <v>5596</v>
      </c>
      <c r="D1446" s="1634" t="s">
        <v>6046</v>
      </c>
      <c r="E1446" s="1634" t="s">
        <v>5597</v>
      </c>
    </row>
    <row r="1447" spans="1:5" hidden="1" x14ac:dyDescent="0.2">
      <c r="A1447" s="1634" t="s">
        <v>1369</v>
      </c>
      <c r="B1447" s="1634" t="s">
        <v>5598</v>
      </c>
      <c r="C1447"/>
      <c r="D1447"/>
      <c r="E1447"/>
    </row>
    <row r="1448" spans="1:5" hidden="1" x14ac:dyDescent="0.2">
      <c r="A1448" s="1634" t="s">
        <v>1370</v>
      </c>
      <c r="B1448" s="1634" t="s">
        <v>5599</v>
      </c>
      <c r="C1448"/>
      <c r="D1448"/>
      <c r="E1448"/>
    </row>
    <row r="1449" spans="1:5" hidden="1" x14ac:dyDescent="0.2">
      <c r="A1449" s="1634" t="s">
        <v>1371</v>
      </c>
      <c r="B1449" s="1634" t="s">
        <v>5550</v>
      </c>
      <c r="C1449"/>
      <c r="D1449"/>
      <c r="E1449"/>
    </row>
    <row r="1450" spans="1:5" hidden="1" x14ac:dyDescent="0.2">
      <c r="A1450" s="1634" t="s">
        <v>1372</v>
      </c>
      <c r="B1450" s="1634" t="s">
        <v>3593</v>
      </c>
      <c r="C1450"/>
      <c r="D1450"/>
      <c r="E1450"/>
    </row>
    <row r="1451" spans="1:5" hidden="1" x14ac:dyDescent="0.2">
      <c r="A1451" s="1634" t="s">
        <v>1373</v>
      </c>
      <c r="B1451" s="1634" t="s">
        <v>3594</v>
      </c>
      <c r="C1451"/>
      <c r="D1451"/>
      <c r="E1451"/>
    </row>
    <row r="1452" spans="1:5" hidden="1" x14ac:dyDescent="0.2">
      <c r="A1452" s="1634" t="s">
        <v>1374</v>
      </c>
      <c r="B1452" s="1634" t="s">
        <v>1030</v>
      </c>
      <c r="C1452"/>
      <c r="D1452"/>
      <c r="E1452"/>
    </row>
    <row r="1453" spans="1:5" hidden="1" x14ac:dyDescent="0.2">
      <c r="A1453" s="1634" t="s">
        <v>1375</v>
      </c>
      <c r="B1453" s="1634" t="s">
        <v>1031</v>
      </c>
      <c r="C1453"/>
      <c r="D1453"/>
      <c r="E1453"/>
    </row>
    <row r="1454" spans="1:5" hidden="1" x14ac:dyDescent="0.2">
      <c r="A1454" s="1634" t="s">
        <v>206</v>
      </c>
      <c r="B1454" s="1634" t="s">
        <v>2504</v>
      </c>
      <c r="C1454"/>
      <c r="D1454"/>
      <c r="E1454"/>
    </row>
    <row r="1455" spans="1:5" hidden="1" x14ac:dyDescent="0.2">
      <c r="A1455" s="1634" t="s">
        <v>207</v>
      </c>
      <c r="B1455" s="1634" t="s">
        <v>2505</v>
      </c>
      <c r="C1455"/>
      <c r="D1455"/>
      <c r="E1455"/>
    </row>
    <row r="1456" spans="1:5" hidden="1" x14ac:dyDescent="0.2">
      <c r="A1456" s="1634" t="s">
        <v>208</v>
      </c>
      <c r="B1456" s="1634" t="s">
        <v>2506</v>
      </c>
      <c r="C1456"/>
      <c r="D1456"/>
      <c r="E1456"/>
    </row>
    <row r="1457" spans="1:6" hidden="1" x14ac:dyDescent="0.2">
      <c r="A1457" s="1634" t="s">
        <v>209</v>
      </c>
      <c r="B1457" s="1634" t="s">
        <v>2507</v>
      </c>
      <c r="C1457"/>
      <c r="D1457"/>
      <c r="E1457"/>
    </row>
    <row r="1458" spans="1:6" hidden="1" x14ac:dyDescent="0.2">
      <c r="A1458" s="1634" t="s">
        <v>3721</v>
      </c>
      <c r="B1458" s="1634" t="s">
        <v>4681</v>
      </c>
      <c r="C1458"/>
      <c r="D1458"/>
      <c r="E1458"/>
    </row>
    <row r="1459" spans="1:6" hidden="1" x14ac:dyDescent="0.2">
      <c r="A1459" s="1634" t="s">
        <v>3722</v>
      </c>
      <c r="B1459" s="1634" t="s">
        <v>4682</v>
      </c>
      <c r="C1459"/>
      <c r="D1459"/>
      <c r="E1459"/>
    </row>
    <row r="1460" spans="1:6" hidden="1" x14ac:dyDescent="0.2">
      <c r="A1460" s="1634" t="s">
        <v>3723</v>
      </c>
      <c r="B1460" s="1634" t="s">
        <v>4683</v>
      </c>
      <c r="C1460"/>
      <c r="D1460"/>
      <c r="E1460"/>
    </row>
    <row r="1461" spans="1:6" hidden="1" x14ac:dyDescent="0.2">
      <c r="A1461" s="1634" t="s">
        <v>3724</v>
      </c>
      <c r="B1461" s="1634" t="s">
        <v>4684</v>
      </c>
      <c r="C1461"/>
      <c r="D1461"/>
      <c r="E1461"/>
    </row>
    <row r="1462" spans="1:6" hidden="1" x14ac:dyDescent="0.2">
      <c r="A1462" s="1634" t="s">
        <v>3725</v>
      </c>
      <c r="B1462" s="1634" t="s">
        <v>149</v>
      </c>
      <c r="C1462"/>
      <c r="D1462"/>
      <c r="E1462"/>
    </row>
    <row r="1463" spans="1:6" hidden="1" x14ac:dyDescent="0.2">
      <c r="A1463" s="1634" t="s">
        <v>3726</v>
      </c>
      <c r="B1463" s="1634" t="s">
        <v>150</v>
      </c>
      <c r="C1463"/>
      <c r="D1463"/>
      <c r="E1463"/>
    </row>
    <row r="1464" spans="1:6" hidden="1" x14ac:dyDescent="0.2">
      <c r="A1464" s="1634" t="s">
        <v>3727</v>
      </c>
      <c r="B1464" s="1634" t="s">
        <v>151</v>
      </c>
      <c r="C1464" s="1634" t="s">
        <v>152</v>
      </c>
      <c r="D1464" s="1634" t="s">
        <v>153</v>
      </c>
      <c r="E1464" s="1634" t="s">
        <v>154</v>
      </c>
    </row>
    <row r="1465" spans="1:6" hidden="1" x14ac:dyDescent="0.2">
      <c r="A1465" s="1634" t="s">
        <v>3728</v>
      </c>
      <c r="B1465" s="1634" t="s">
        <v>155</v>
      </c>
      <c r="C1465" s="1634" t="s">
        <v>156</v>
      </c>
      <c r="D1465" s="1634" t="s">
        <v>157</v>
      </c>
      <c r="E1465" s="1634" t="s">
        <v>158</v>
      </c>
    </row>
    <row r="1466" spans="1:6" hidden="1" x14ac:dyDescent="0.2">
      <c r="A1466" s="1634" t="s">
        <v>3729</v>
      </c>
      <c r="B1466" s="1634" t="s">
        <v>159</v>
      </c>
      <c r="C1466" s="1634" t="s">
        <v>160</v>
      </c>
      <c r="D1466" s="1634" t="s">
        <v>161</v>
      </c>
      <c r="E1466" s="1634" t="s">
        <v>5122</v>
      </c>
    </row>
    <row r="1467" spans="1:6" hidden="1" x14ac:dyDescent="0.2">
      <c r="A1467" s="1634" t="s">
        <v>3730</v>
      </c>
      <c r="B1467" s="1634" t="s">
        <v>5123</v>
      </c>
      <c r="C1467" s="1634" t="s">
        <v>5124</v>
      </c>
      <c r="D1467" s="1634" t="s">
        <v>5125</v>
      </c>
      <c r="E1467" s="1634" t="s">
        <v>5126</v>
      </c>
    </row>
    <row r="1468" spans="1:6" hidden="1" x14ac:dyDescent="0.2">
      <c r="A1468" s="1634" t="s">
        <v>3731</v>
      </c>
      <c r="B1468" s="1634" t="s">
        <v>5127</v>
      </c>
      <c r="C1468"/>
      <c r="D1468"/>
      <c r="E1468"/>
      <c r="F1468"/>
    </row>
    <row r="1469" spans="1:6" hidden="1" x14ac:dyDescent="0.2">
      <c r="A1469" s="1634" t="s">
        <v>3732</v>
      </c>
      <c r="B1469" s="1634" t="s">
        <v>5128</v>
      </c>
      <c r="C1469"/>
      <c r="D1469"/>
      <c r="E1469"/>
      <c r="F1469"/>
    </row>
    <row r="1470" spans="1:6" hidden="1" x14ac:dyDescent="0.2">
      <c r="A1470" s="1634" t="s">
        <v>3733</v>
      </c>
      <c r="B1470" s="1634" t="s">
        <v>1931</v>
      </c>
      <c r="C1470"/>
      <c r="D1470"/>
      <c r="E1470"/>
      <c r="F1470"/>
    </row>
    <row r="1471" spans="1:6" hidden="1" x14ac:dyDescent="0.2">
      <c r="A1471" s="1634" t="s">
        <v>3734</v>
      </c>
      <c r="B1471" s="1634" t="s">
        <v>1932</v>
      </c>
      <c r="C1471"/>
      <c r="D1471"/>
      <c r="E1471"/>
      <c r="F1471"/>
    </row>
    <row r="1472" spans="1:6" hidden="1" x14ac:dyDescent="0.2">
      <c r="A1472" s="1634" t="s">
        <v>3735</v>
      </c>
      <c r="B1472" s="1634" t="s">
        <v>1933</v>
      </c>
      <c r="C1472"/>
      <c r="D1472"/>
      <c r="E1472"/>
      <c r="F1472"/>
    </row>
    <row r="1473" spans="1:7" hidden="1" x14ac:dyDescent="0.2">
      <c r="A1473" s="1634" t="s">
        <v>3736</v>
      </c>
      <c r="B1473" s="1634" t="s">
        <v>2108</v>
      </c>
      <c r="C1473"/>
      <c r="D1473"/>
      <c r="E1473"/>
      <c r="F1473"/>
    </row>
    <row r="1474" spans="1:7" hidden="1" x14ac:dyDescent="0.2">
      <c r="A1474" s="1634" t="s">
        <v>3737</v>
      </c>
      <c r="B1474" s="1634" t="s">
        <v>2109</v>
      </c>
      <c r="C1474"/>
      <c r="D1474"/>
      <c r="E1474"/>
      <c r="F1474"/>
    </row>
    <row r="1475" spans="1:7" hidden="1" x14ac:dyDescent="0.2">
      <c r="A1475" s="1634" t="s">
        <v>3738</v>
      </c>
      <c r="B1475" s="1634" t="s">
        <v>2110</v>
      </c>
      <c r="C1475"/>
      <c r="D1475"/>
      <c r="E1475"/>
      <c r="F1475"/>
    </row>
    <row r="1476" spans="1:7" hidden="1" x14ac:dyDescent="0.2">
      <c r="A1476" s="1634" t="s">
        <v>3739</v>
      </c>
      <c r="B1476" s="1634" t="s">
        <v>2111</v>
      </c>
      <c r="C1476"/>
      <c r="D1476"/>
      <c r="E1476"/>
      <c r="F1476"/>
    </row>
    <row r="1477" spans="1:7" hidden="1" x14ac:dyDescent="0.2">
      <c r="A1477" s="1634" t="s">
        <v>3740</v>
      </c>
      <c r="B1477" s="1634" t="s">
        <v>2112</v>
      </c>
      <c r="C1477" s="1634" t="s">
        <v>2113</v>
      </c>
      <c r="D1477" s="1634" t="s">
        <v>2114</v>
      </c>
      <c r="E1477" s="1634" t="s">
        <v>2115</v>
      </c>
      <c r="F1477"/>
    </row>
    <row r="1478" spans="1:7" hidden="1" x14ac:dyDescent="0.2">
      <c r="A1478" s="1634" t="s">
        <v>3741</v>
      </c>
      <c r="B1478" s="1634" t="s">
        <v>998</v>
      </c>
      <c r="C1478"/>
      <c r="D1478"/>
      <c r="E1478"/>
      <c r="F1478"/>
    </row>
    <row r="1479" spans="1:7" hidden="1" x14ac:dyDescent="0.2">
      <c r="A1479" s="1634" t="s">
        <v>3742</v>
      </c>
      <c r="B1479" s="1634" t="s">
        <v>999</v>
      </c>
      <c r="C1479"/>
      <c r="D1479"/>
      <c r="E1479"/>
      <c r="F1479"/>
    </row>
    <row r="1480" spans="1:7" hidden="1" x14ac:dyDescent="0.2">
      <c r="A1480" s="1634" t="s">
        <v>3743</v>
      </c>
      <c r="B1480" s="1634" t="s">
        <v>1000</v>
      </c>
      <c r="C1480"/>
      <c r="D1480"/>
      <c r="E1480"/>
      <c r="F1480"/>
    </row>
    <row r="1481" spans="1:7" hidden="1" x14ac:dyDescent="0.2">
      <c r="A1481" s="1634" t="s">
        <v>3744</v>
      </c>
      <c r="B1481" s="1634" t="s">
        <v>1001</v>
      </c>
      <c r="C1481"/>
      <c r="D1481"/>
      <c r="E1481"/>
      <c r="F1481"/>
    </row>
    <row r="1482" spans="1:7" hidden="1" x14ac:dyDescent="0.2">
      <c r="A1482" s="1634" t="s">
        <v>3745</v>
      </c>
      <c r="B1482" s="1634" t="s">
        <v>2963</v>
      </c>
      <c r="C1482"/>
      <c r="D1482"/>
      <c r="E1482"/>
      <c r="F1482"/>
    </row>
    <row r="1483" spans="1:7" hidden="1" x14ac:dyDescent="0.2">
      <c r="A1483" s="1634"/>
      <c r="B1483"/>
      <c r="C1483"/>
      <c r="D1483"/>
      <c r="E1483"/>
      <c r="F1483"/>
    </row>
    <row r="1484" spans="1:7" hidden="1" x14ac:dyDescent="0.2">
      <c r="A1484" s="1634"/>
      <c r="B1484"/>
      <c r="C1484"/>
      <c r="D1484"/>
      <c r="E1484"/>
      <c r="F1484"/>
      <c r="G1484"/>
    </row>
    <row r="1485" spans="1:7" hidden="1" x14ac:dyDescent="0.2">
      <c r="A1485"/>
      <c r="B1485"/>
      <c r="C1485"/>
      <c r="D1485" s="2294"/>
      <c r="E1485" s="164"/>
      <c r="F1485" s="164"/>
      <c r="G1485"/>
    </row>
    <row r="1486" spans="1:7" hidden="1" x14ac:dyDescent="0.2">
      <c r="A1486" s="1634" t="s">
        <v>6004</v>
      </c>
      <c r="B1486" s="1634" t="s">
        <v>3681</v>
      </c>
      <c r="C1486"/>
      <c r="D1486"/>
      <c r="E1486"/>
      <c r="F1486"/>
      <c r="G1486"/>
    </row>
    <row r="1487" spans="1:7" hidden="1" x14ac:dyDescent="0.2">
      <c r="A1487" s="1634" t="s">
        <v>6005</v>
      </c>
      <c r="B1487" s="1634" t="s">
        <v>863</v>
      </c>
      <c r="C1487"/>
      <c r="D1487"/>
      <c r="E1487"/>
      <c r="F1487"/>
      <c r="G1487"/>
    </row>
    <row r="1488" spans="1:7" hidden="1" x14ac:dyDescent="0.2">
      <c r="A1488" s="1634" t="s">
        <v>6006</v>
      </c>
      <c r="B1488" s="1634" t="s">
        <v>867</v>
      </c>
      <c r="C1488"/>
      <c r="D1488"/>
      <c r="E1488"/>
      <c r="F1488"/>
      <c r="G1488"/>
    </row>
    <row r="1489" spans="1:7" hidden="1" x14ac:dyDescent="0.2">
      <c r="A1489" s="1634" t="s">
        <v>6007</v>
      </c>
      <c r="B1489" s="1634" t="s">
        <v>869</v>
      </c>
      <c r="C1489"/>
      <c r="D1489"/>
      <c r="E1489"/>
      <c r="F1489"/>
      <c r="G1489"/>
    </row>
    <row r="1490" spans="1:7" hidden="1" x14ac:dyDescent="0.2">
      <c r="A1490" s="1634" t="s">
        <v>6008</v>
      </c>
      <c r="B1490" s="1634" t="s">
        <v>871</v>
      </c>
      <c r="C1490"/>
      <c r="D1490"/>
      <c r="E1490"/>
      <c r="F1490"/>
      <c r="G1490"/>
    </row>
    <row r="1491" spans="1:7" hidden="1" x14ac:dyDescent="0.2">
      <c r="A1491" s="1634" t="s">
        <v>6009</v>
      </c>
      <c r="B1491" s="1634" t="s">
        <v>3008</v>
      </c>
      <c r="C1491"/>
      <c r="D1491"/>
      <c r="E1491"/>
      <c r="F1491"/>
      <c r="G1491"/>
    </row>
    <row r="1492" spans="1:7" hidden="1" x14ac:dyDescent="0.2">
      <c r="A1492" s="1634" t="s">
        <v>6010</v>
      </c>
      <c r="B1492" s="1634" t="s">
        <v>6460</v>
      </c>
      <c r="C1492"/>
      <c r="D1492"/>
      <c r="E1492"/>
      <c r="F1492"/>
      <c r="G1492"/>
    </row>
    <row r="1493" spans="1:7" hidden="1" x14ac:dyDescent="0.2">
      <c r="A1493" s="1634" t="s">
        <v>6011</v>
      </c>
      <c r="B1493" s="1634" t="s">
        <v>6462</v>
      </c>
      <c r="C1493"/>
      <c r="D1493"/>
      <c r="E1493"/>
      <c r="F1493"/>
      <c r="G1493"/>
    </row>
    <row r="1494" spans="1:7" hidden="1" x14ac:dyDescent="0.2">
      <c r="A1494" s="1634" t="s">
        <v>6012</v>
      </c>
      <c r="B1494" s="1634" t="s">
        <v>5430</v>
      </c>
      <c r="C1494"/>
      <c r="D1494"/>
      <c r="E1494"/>
      <c r="F1494"/>
      <c r="G1494"/>
    </row>
    <row r="1495" spans="1:7" hidden="1" x14ac:dyDescent="0.2">
      <c r="A1495" s="1634" t="s">
        <v>6013</v>
      </c>
      <c r="B1495" s="1634" t="s">
        <v>2154</v>
      </c>
      <c r="C1495"/>
      <c r="D1495"/>
      <c r="E1495"/>
      <c r="F1495"/>
      <c r="G1495"/>
    </row>
    <row r="1496" spans="1:7" hidden="1" x14ac:dyDescent="0.2">
      <c r="A1496" s="1634" t="s">
        <v>6014</v>
      </c>
      <c r="B1496" s="1634" t="s">
        <v>2161</v>
      </c>
      <c r="C1496"/>
      <c r="D1496"/>
      <c r="E1496"/>
      <c r="F1496"/>
      <c r="G1496"/>
    </row>
    <row r="1497" spans="1:7" hidden="1" x14ac:dyDescent="0.2">
      <c r="A1497" s="1634" t="s">
        <v>6015</v>
      </c>
      <c r="B1497" s="1634" t="s">
        <v>2917</v>
      </c>
      <c r="C1497"/>
      <c r="D1497"/>
      <c r="E1497"/>
      <c r="F1497"/>
      <c r="G1497"/>
    </row>
    <row r="1498" spans="1:7" hidden="1" x14ac:dyDescent="0.2">
      <c r="A1498" s="1634" t="s">
        <v>6016</v>
      </c>
      <c r="B1498" s="1634" t="s">
        <v>1575</v>
      </c>
      <c r="C1498"/>
      <c r="D1498"/>
      <c r="E1498"/>
      <c r="F1498"/>
      <c r="G1498"/>
    </row>
    <row r="1499" spans="1:7" hidden="1" x14ac:dyDescent="0.2">
      <c r="A1499" s="1634" t="s">
        <v>6017</v>
      </c>
      <c r="B1499" s="1634" t="s">
        <v>4078</v>
      </c>
      <c r="C1499"/>
      <c r="D1499"/>
      <c r="E1499"/>
      <c r="F1499"/>
      <c r="G1499"/>
    </row>
    <row r="1500" spans="1:7" hidden="1" x14ac:dyDescent="0.2">
      <c r="A1500" s="1634" t="s">
        <v>6018</v>
      </c>
      <c r="B1500" s="1634" t="s">
        <v>5817</v>
      </c>
      <c r="C1500" s="1634" t="s">
        <v>2284</v>
      </c>
      <c r="D1500" s="1634" t="s">
        <v>6435</v>
      </c>
      <c r="E1500" s="1634" t="s">
        <v>2431</v>
      </c>
      <c r="F1500" s="1634" t="s">
        <v>2432</v>
      </c>
      <c r="G1500" s="1634" t="s">
        <v>2433</v>
      </c>
    </row>
    <row r="1501" spans="1:7" hidden="1" x14ac:dyDescent="0.2">
      <c r="A1501" s="1634" t="s">
        <v>3456</v>
      </c>
      <c r="B1501" s="1634" t="s">
        <v>1069</v>
      </c>
      <c r="C1501" s="1634" t="s">
        <v>270</v>
      </c>
      <c r="D1501" s="1634" t="s">
        <v>6437</v>
      </c>
      <c r="E1501" s="1634" t="s">
        <v>4088</v>
      </c>
      <c r="F1501" s="1634" t="s">
        <v>1070</v>
      </c>
      <c r="G1501" s="1634" t="s">
        <v>1071</v>
      </c>
    </row>
    <row r="1502" spans="1:7" hidden="1" x14ac:dyDescent="0.2">
      <c r="A1502" s="1634" t="s">
        <v>4365</v>
      </c>
      <c r="B1502" s="1634" t="s">
        <v>1075</v>
      </c>
      <c r="C1502" s="1634" t="s">
        <v>277</v>
      </c>
      <c r="D1502" s="1634" t="s">
        <v>6439</v>
      </c>
      <c r="E1502" s="1634" t="s">
        <v>1076</v>
      </c>
      <c r="F1502" s="1634" t="s">
        <v>4204</v>
      </c>
      <c r="G1502" s="1634" t="s">
        <v>4205</v>
      </c>
    </row>
    <row r="1503" spans="1:7" hidden="1" x14ac:dyDescent="0.2">
      <c r="A1503" s="1634" t="s">
        <v>4366</v>
      </c>
      <c r="B1503" s="1634" t="s">
        <v>2668</v>
      </c>
      <c r="C1503" s="1634" t="s">
        <v>2669</v>
      </c>
      <c r="D1503" s="1634" t="s">
        <v>5478</v>
      </c>
      <c r="E1503" s="1634" t="s">
        <v>2670</v>
      </c>
      <c r="F1503" s="1634" t="s">
        <v>2672</v>
      </c>
      <c r="G1503"/>
    </row>
    <row r="1504" spans="1:7" hidden="1" x14ac:dyDescent="0.2">
      <c r="A1504" s="1634" t="s">
        <v>4367</v>
      </c>
      <c r="B1504" s="1634" t="s">
        <v>675</v>
      </c>
      <c r="C1504"/>
      <c r="D1504"/>
      <c r="E1504"/>
      <c r="F1504"/>
      <c r="G1504"/>
    </row>
    <row r="1505" spans="1:7" hidden="1" x14ac:dyDescent="0.2">
      <c r="A1505" s="1634" t="s">
        <v>4368</v>
      </c>
      <c r="B1505" s="1634" t="s">
        <v>3499</v>
      </c>
      <c r="C1505" s="1634" t="s">
        <v>3394</v>
      </c>
      <c r="D1505" s="1634" t="s">
        <v>3395</v>
      </c>
      <c r="E1505" s="1634" t="s">
        <v>3396</v>
      </c>
      <c r="F1505" s="1634" t="s">
        <v>3397</v>
      </c>
      <c r="G1505"/>
    </row>
    <row r="1506" spans="1:7" hidden="1" x14ac:dyDescent="0.2">
      <c r="A1506" s="1634" t="s">
        <v>4369</v>
      </c>
      <c r="B1506" s="1634" t="s">
        <v>507</v>
      </c>
      <c r="C1506" s="1634" t="s">
        <v>508</v>
      </c>
      <c r="D1506" s="1634" t="s">
        <v>509</v>
      </c>
      <c r="E1506" s="1634" t="s">
        <v>6450</v>
      </c>
      <c r="F1506" s="1634" t="s">
        <v>3501</v>
      </c>
      <c r="G1506"/>
    </row>
    <row r="1507" spans="1:7" hidden="1" x14ac:dyDescent="0.2">
      <c r="A1507" s="1634" t="s">
        <v>4370</v>
      </c>
      <c r="B1507" s="1634" t="s">
        <v>1970</v>
      </c>
      <c r="C1507" s="1634" t="s">
        <v>1971</v>
      </c>
      <c r="D1507" s="1634" t="s">
        <v>1972</v>
      </c>
      <c r="E1507" s="1634" t="s">
        <v>6452</v>
      </c>
      <c r="F1507" s="1634" t="s">
        <v>2928</v>
      </c>
      <c r="G1507"/>
    </row>
    <row r="1508" spans="1:7" hidden="1" x14ac:dyDescent="0.2">
      <c r="A1508" s="1634" t="s">
        <v>6023</v>
      </c>
      <c r="B1508" s="1634" t="s">
        <v>3503</v>
      </c>
      <c r="C1508" s="1634" t="s">
        <v>3246</v>
      </c>
      <c r="D1508" s="1634" t="s">
        <v>3247</v>
      </c>
      <c r="E1508" s="1634" t="s">
        <v>4523</v>
      </c>
      <c r="F1508" s="1634" t="s">
        <v>3248</v>
      </c>
      <c r="G1508"/>
    </row>
    <row r="1509" spans="1:7" hidden="1" x14ac:dyDescent="0.2">
      <c r="A1509" s="1634" t="s">
        <v>6024</v>
      </c>
      <c r="B1509" s="1634" t="s">
        <v>6948</v>
      </c>
      <c r="C1509" s="1634" t="s">
        <v>5480</v>
      </c>
      <c r="D1509" s="1634" t="s">
        <v>2954</v>
      </c>
      <c r="E1509" s="1634" t="s">
        <v>3254</v>
      </c>
      <c r="F1509" s="1634" t="s">
        <v>3255</v>
      </c>
      <c r="G1509"/>
    </row>
    <row r="1510" spans="1:7" hidden="1" x14ac:dyDescent="0.2">
      <c r="A1510" s="1634" t="s">
        <v>6025</v>
      </c>
      <c r="B1510" s="1634" t="s">
        <v>6950</v>
      </c>
      <c r="C1510" s="1634" t="s">
        <v>799</v>
      </c>
      <c r="D1510" s="1634" t="s">
        <v>473</v>
      </c>
      <c r="E1510" s="1634" t="s">
        <v>4525</v>
      </c>
      <c r="F1510" s="1634" t="s">
        <v>800</v>
      </c>
      <c r="G1510"/>
    </row>
    <row r="1511" spans="1:7" hidden="1" x14ac:dyDescent="0.2">
      <c r="A1511" s="1634" t="s">
        <v>6026</v>
      </c>
      <c r="B1511" s="1634" t="s">
        <v>806</v>
      </c>
      <c r="C1511" s="1634" t="s">
        <v>807</v>
      </c>
      <c r="D1511" s="1634" t="s">
        <v>6470</v>
      </c>
      <c r="E1511" s="1634" t="s">
        <v>465</v>
      </c>
      <c r="F1511" s="1634" t="s">
        <v>808</v>
      </c>
      <c r="G1511"/>
    </row>
    <row r="1512" spans="1:7" hidden="1" x14ac:dyDescent="0.2">
      <c r="A1512" s="1634" t="s">
        <v>6027</v>
      </c>
      <c r="B1512" s="1634" t="s">
        <v>813</v>
      </c>
      <c r="C1512" s="1634" t="s">
        <v>814</v>
      </c>
      <c r="D1512" s="1634" t="s">
        <v>6474</v>
      </c>
      <c r="E1512" s="1634" t="s">
        <v>5728</v>
      </c>
      <c r="F1512" s="1634" t="s">
        <v>815</v>
      </c>
      <c r="G1512"/>
    </row>
    <row r="1513" spans="1:7" hidden="1" x14ac:dyDescent="0.2">
      <c r="A1513" s="1634" t="s">
        <v>6028</v>
      </c>
      <c r="B1513" s="1634" t="s">
        <v>821</v>
      </c>
      <c r="C1513" s="1634" t="s">
        <v>822</v>
      </c>
      <c r="D1513" s="1634" t="s">
        <v>4966</v>
      </c>
      <c r="E1513" s="1634" t="s">
        <v>823</v>
      </c>
      <c r="F1513" s="1634" t="s">
        <v>824</v>
      </c>
      <c r="G1513"/>
    </row>
    <row r="1514" spans="1:7" hidden="1" x14ac:dyDescent="0.2">
      <c r="A1514" s="1634" t="s">
        <v>6029</v>
      </c>
      <c r="B1514" s="1634" t="s">
        <v>541</v>
      </c>
      <c r="C1514" s="1634" t="s">
        <v>5481</v>
      </c>
      <c r="D1514" s="1634" t="s">
        <v>4972</v>
      </c>
      <c r="E1514" s="1634" t="s">
        <v>5730</v>
      </c>
      <c r="F1514" s="1634" t="s">
        <v>542</v>
      </c>
      <c r="G1514"/>
    </row>
    <row r="1515" spans="1:7" hidden="1" x14ac:dyDescent="0.2">
      <c r="A1515" s="1634" t="s">
        <v>6030</v>
      </c>
      <c r="B1515" s="1634" t="s">
        <v>3468</v>
      </c>
      <c r="C1515"/>
      <c r="D1515"/>
      <c r="E1515"/>
      <c r="F1515"/>
      <c r="G1515"/>
    </row>
    <row r="1516" spans="1:7" hidden="1" x14ac:dyDescent="0.2">
      <c r="A1516" s="1634" t="s">
        <v>281</v>
      </c>
      <c r="B1516" s="1634" t="s">
        <v>2624</v>
      </c>
      <c r="C1516"/>
      <c r="D1516"/>
      <c r="E1516"/>
      <c r="F1516"/>
    </row>
    <row r="1517" spans="1:7" hidden="1" x14ac:dyDescent="0.2">
      <c r="A1517" s="1634" t="s">
        <v>1668</v>
      </c>
      <c r="B1517" s="1634" t="s">
        <v>2626</v>
      </c>
      <c r="C1517"/>
      <c r="D1517"/>
      <c r="E1517"/>
      <c r="F1517"/>
    </row>
    <row r="1518" spans="1:7" hidden="1" x14ac:dyDescent="0.2">
      <c r="A1518" s="1634" t="s">
        <v>1669</v>
      </c>
      <c r="B1518" s="1634" t="s">
        <v>5691</v>
      </c>
      <c r="C1518"/>
      <c r="D1518"/>
      <c r="E1518"/>
      <c r="F1518"/>
    </row>
    <row r="1519" spans="1:7" hidden="1" x14ac:dyDescent="0.2">
      <c r="A1519" s="1634" t="s">
        <v>1670</v>
      </c>
      <c r="B1519" s="1634" t="s">
        <v>1792</v>
      </c>
      <c r="C1519"/>
      <c r="D1519"/>
      <c r="E1519"/>
      <c r="F1519"/>
    </row>
    <row r="1520" spans="1:7" hidden="1" x14ac:dyDescent="0.2">
      <c r="A1520" s="1634" t="s">
        <v>1671</v>
      </c>
      <c r="B1520" s="1634" t="s">
        <v>3401</v>
      </c>
      <c r="C1520" s="1634" t="s">
        <v>3403</v>
      </c>
      <c r="D1520"/>
      <c r="E1520"/>
      <c r="F1520"/>
    </row>
    <row r="1521" spans="1:6" hidden="1" x14ac:dyDescent="0.2">
      <c r="A1521" s="1634" t="s">
        <v>1672</v>
      </c>
      <c r="B1521" s="1634" t="s">
        <v>5106</v>
      </c>
      <c r="C1521"/>
      <c r="D1521"/>
      <c r="E1521"/>
      <c r="F1521"/>
    </row>
    <row r="1522" spans="1:6" hidden="1" x14ac:dyDescent="0.2">
      <c r="A1522" s="1634" t="s">
        <v>1673</v>
      </c>
      <c r="B1522" s="1634" t="s">
        <v>2403</v>
      </c>
      <c r="C1522"/>
      <c r="D1522"/>
      <c r="E1522"/>
      <c r="F1522"/>
    </row>
    <row r="1523" spans="1:6" hidden="1" x14ac:dyDescent="0.2">
      <c r="A1523" s="1634" t="s">
        <v>1674</v>
      </c>
      <c r="B1523" s="1634" t="s">
        <v>2634</v>
      </c>
      <c r="C1523"/>
      <c r="D1523"/>
      <c r="E1523"/>
      <c r="F1523"/>
    </row>
    <row r="1524" spans="1:6" hidden="1" x14ac:dyDescent="0.2">
      <c r="A1524" s="1634" t="s">
        <v>1675</v>
      </c>
      <c r="B1524" s="1634" t="s">
        <v>3966</v>
      </c>
      <c r="C1524"/>
      <c r="D1524"/>
      <c r="E1524"/>
      <c r="F1524"/>
    </row>
    <row r="1525" spans="1:6" hidden="1" x14ac:dyDescent="0.2">
      <c r="A1525" s="1634" t="s">
        <v>1676</v>
      </c>
      <c r="B1525" s="1634" t="s">
        <v>6589</v>
      </c>
      <c r="C1525"/>
      <c r="D1525"/>
      <c r="E1525"/>
      <c r="F1525"/>
    </row>
    <row r="1526" spans="1:6" hidden="1" x14ac:dyDescent="0.2">
      <c r="A1526" s="1634" t="s">
        <v>1677</v>
      </c>
      <c r="B1526" s="1634" t="s">
        <v>5016</v>
      </c>
      <c r="C1526"/>
      <c r="D1526"/>
      <c r="E1526"/>
      <c r="F1526"/>
    </row>
    <row r="1527" spans="1:6" hidden="1" x14ac:dyDescent="0.2">
      <c r="A1527" s="1634" t="s">
        <v>1678</v>
      </c>
      <c r="B1527" s="1634" t="s">
        <v>5026</v>
      </c>
      <c r="C1527"/>
      <c r="D1527"/>
      <c r="E1527"/>
      <c r="F1527"/>
    </row>
    <row r="1528" spans="1:6" hidden="1" x14ac:dyDescent="0.2">
      <c r="A1528" s="1634" t="s">
        <v>1341</v>
      </c>
      <c r="B1528" s="1634" t="s">
        <v>4827</v>
      </c>
      <c r="C1528"/>
      <c r="D1528"/>
      <c r="E1528"/>
      <c r="F1528"/>
    </row>
    <row r="1529" spans="1:6" hidden="1" x14ac:dyDescent="0.2">
      <c r="A1529" s="1634"/>
      <c r="B1529"/>
      <c r="C1529"/>
      <c r="D1529"/>
      <c r="E1529"/>
      <c r="F1529"/>
    </row>
    <row r="1530" spans="1:6" hidden="1" x14ac:dyDescent="0.2">
      <c r="A1530" s="1634"/>
      <c r="B1530"/>
      <c r="C1530"/>
      <c r="D1530"/>
      <c r="E1530"/>
      <c r="F1530"/>
    </row>
    <row r="1531" spans="1:6" hidden="1" x14ac:dyDescent="0.2">
      <c r="A1531" s="1634"/>
      <c r="B1531"/>
      <c r="C1531"/>
      <c r="D1531"/>
      <c r="E1531"/>
      <c r="F1531"/>
    </row>
    <row r="1532" spans="1:6" hidden="1" x14ac:dyDescent="0.2">
      <c r="A1532" s="1634" t="s">
        <v>1342</v>
      </c>
      <c r="B1532" s="1634" t="s">
        <v>6613</v>
      </c>
      <c r="C1532"/>
      <c r="D1532"/>
      <c r="E1532"/>
    </row>
    <row r="1533" spans="1:6" hidden="1" x14ac:dyDescent="0.2">
      <c r="A1533" s="1634" t="s">
        <v>1343</v>
      </c>
      <c r="B1533" s="1634" t="s">
        <v>6617</v>
      </c>
      <c r="C1533"/>
      <c r="D1533"/>
      <c r="E1533"/>
    </row>
    <row r="1534" spans="1:6" hidden="1" x14ac:dyDescent="0.2">
      <c r="A1534" s="1634" t="s">
        <v>1344</v>
      </c>
      <c r="B1534" s="1634" t="s">
        <v>561</v>
      </c>
      <c r="C1534"/>
      <c r="D1534"/>
      <c r="E1534"/>
    </row>
    <row r="1535" spans="1:6" hidden="1" x14ac:dyDescent="0.2">
      <c r="A1535" s="1634" t="s">
        <v>1345</v>
      </c>
      <c r="B1535" s="1634" t="s">
        <v>2022</v>
      </c>
      <c r="C1535"/>
      <c r="D1535"/>
      <c r="E1535"/>
    </row>
    <row r="1536" spans="1:6" hidden="1" x14ac:dyDescent="0.2">
      <c r="A1536" s="1634" t="s">
        <v>1346</v>
      </c>
      <c r="B1536" s="1634" t="s">
        <v>2029</v>
      </c>
      <c r="C1536"/>
      <c r="D1536"/>
      <c r="E1536"/>
    </row>
    <row r="1537" spans="1:13" hidden="1" x14ac:dyDescent="0.2">
      <c r="A1537" s="1634" t="s">
        <v>1347</v>
      </c>
      <c r="B1537" s="1634" t="s">
        <v>3423</v>
      </c>
      <c r="C1537"/>
      <c r="D1537"/>
      <c r="E1537"/>
    </row>
    <row r="1538" spans="1:13" hidden="1" x14ac:dyDescent="0.2">
      <c r="A1538" s="1634" t="s">
        <v>1348</v>
      </c>
      <c r="B1538" s="1634" t="s">
        <v>2154</v>
      </c>
      <c r="C1538" s="1634" t="s">
        <v>5476</v>
      </c>
      <c r="D1538" s="1634" t="s">
        <v>2913</v>
      </c>
      <c r="E1538" s="1634" t="s">
        <v>4100</v>
      </c>
    </row>
    <row r="1539" spans="1:13" hidden="1" x14ac:dyDescent="0.2">
      <c r="A1539" s="1634" t="s">
        <v>1349</v>
      </c>
      <c r="B1539" s="1634" t="s">
        <v>2161</v>
      </c>
      <c r="C1539" s="1634" t="s">
        <v>4716</v>
      </c>
      <c r="D1539" s="1634" t="s">
        <v>2915</v>
      </c>
      <c r="E1539" s="1634" t="s">
        <v>4105</v>
      </c>
    </row>
    <row r="1540" spans="1:13" hidden="1" x14ac:dyDescent="0.2">
      <c r="A1540" s="1634" t="s">
        <v>1350</v>
      </c>
      <c r="B1540" s="1634" t="s">
        <v>2168</v>
      </c>
      <c r="C1540" s="1634" t="s">
        <v>6426</v>
      </c>
      <c r="D1540" s="1634" t="s">
        <v>2917</v>
      </c>
      <c r="E1540" s="1634" t="s">
        <v>2322</v>
      </c>
    </row>
    <row r="1541" spans="1:13" hidden="1" x14ac:dyDescent="0.2">
      <c r="A1541" s="1634" t="s">
        <v>1351</v>
      </c>
      <c r="B1541" s="1634" t="s">
        <v>2174</v>
      </c>
      <c r="C1541" s="1634" t="s">
        <v>6428</v>
      </c>
      <c r="D1541" s="1634" t="s">
        <v>2919</v>
      </c>
      <c r="E1541" s="1634" t="s">
        <v>2327</v>
      </c>
    </row>
    <row r="1542" spans="1:13" hidden="1" x14ac:dyDescent="0.2">
      <c r="A1542" s="1634" t="s">
        <v>1352</v>
      </c>
      <c r="B1542" s="1634" t="s">
        <v>2181</v>
      </c>
      <c r="C1542" s="1634" t="s">
        <v>6430</v>
      </c>
      <c r="D1542" s="1634" t="s">
        <v>1575</v>
      </c>
      <c r="E1542" s="1634" t="s">
        <v>6606</v>
      </c>
    </row>
    <row r="1543" spans="1:13" hidden="1" x14ac:dyDescent="0.2">
      <c r="A1543" s="1634" t="s">
        <v>1353</v>
      </c>
      <c r="B1543" s="1634" t="s">
        <v>2188</v>
      </c>
      <c r="C1543" s="1634" t="s">
        <v>2921</v>
      </c>
      <c r="D1543" s="1634" t="s">
        <v>4078</v>
      </c>
      <c r="E1543" s="1634" t="s">
        <v>3</v>
      </c>
    </row>
    <row r="1544" spans="1:13" hidden="1" x14ac:dyDescent="0.2">
      <c r="A1544" s="1634" t="s">
        <v>1354</v>
      </c>
      <c r="B1544" s="1634" t="s">
        <v>3092</v>
      </c>
      <c r="C1544" s="1634" t="s">
        <v>2923</v>
      </c>
      <c r="D1544" s="1634" t="s">
        <v>4080</v>
      </c>
      <c r="E1544" s="1634" t="s">
        <v>1745</v>
      </c>
    </row>
    <row r="1545" spans="1:13" hidden="1" x14ac:dyDescent="0.2">
      <c r="A1545" s="1634" t="s">
        <v>1355</v>
      </c>
      <c r="B1545" s="1634" t="s">
        <v>3535</v>
      </c>
      <c r="C1545" s="1634" t="s">
        <v>3301</v>
      </c>
      <c r="D1545" s="1634" t="s">
        <v>4082</v>
      </c>
      <c r="E1545" s="1634" t="s">
        <v>1750</v>
      </c>
    </row>
    <row r="1546" spans="1:13" hidden="1" x14ac:dyDescent="0.2">
      <c r="A1546" s="1634" t="s">
        <v>1356</v>
      </c>
      <c r="B1546" s="1634" t="s">
        <v>945</v>
      </c>
      <c r="C1546"/>
      <c r="D1546"/>
      <c r="E1546"/>
    </row>
    <row r="1547" spans="1:13" hidden="1" x14ac:dyDescent="0.2">
      <c r="A1547" s="1634" t="s">
        <v>1357</v>
      </c>
      <c r="B1547" s="1634" t="s">
        <v>4204</v>
      </c>
      <c r="C1547"/>
      <c r="D1547"/>
      <c r="E1547"/>
    </row>
    <row r="1548" spans="1:13" hidden="1" x14ac:dyDescent="0.2">
      <c r="A1548" s="1634" t="s">
        <v>1358</v>
      </c>
      <c r="B1548" s="1634" t="s">
        <v>2671</v>
      </c>
      <c r="C1548"/>
      <c r="D1548"/>
      <c r="E1548"/>
      <c r="F1548"/>
      <c r="G1548"/>
      <c r="H1548"/>
      <c r="I1548"/>
      <c r="J1548"/>
      <c r="K1548"/>
      <c r="L1548"/>
      <c r="M1548"/>
    </row>
    <row r="1549" spans="1:13" hidden="1" x14ac:dyDescent="0.2">
      <c r="A1549" s="1634" t="s">
        <v>1359</v>
      </c>
      <c r="B1549" s="1634" t="s">
        <v>674</v>
      </c>
      <c r="C1549"/>
      <c r="D1549"/>
      <c r="E1549"/>
      <c r="F1549"/>
      <c r="G1549"/>
      <c r="H1549"/>
      <c r="I1549"/>
      <c r="J1549"/>
      <c r="K1549"/>
      <c r="L1549"/>
      <c r="M1549"/>
    </row>
    <row r="1550" spans="1:13" hidden="1" x14ac:dyDescent="0.2">
      <c r="A1550" s="1634" t="s">
        <v>1360</v>
      </c>
      <c r="B1550" s="1634" t="s">
        <v>680</v>
      </c>
      <c r="C1550"/>
      <c r="D1550"/>
      <c r="E1550"/>
      <c r="F1550"/>
      <c r="G1550"/>
      <c r="H1550"/>
      <c r="I1550"/>
      <c r="J1550"/>
      <c r="K1550"/>
      <c r="L1550"/>
      <c r="M1550"/>
    </row>
    <row r="1551" spans="1:13" hidden="1" x14ac:dyDescent="0.2">
      <c r="A1551" s="1634" t="s">
        <v>1361</v>
      </c>
      <c r="B1551" s="1634" t="s">
        <v>688</v>
      </c>
      <c r="C1551"/>
      <c r="D1551"/>
      <c r="E1551"/>
      <c r="F1551"/>
      <c r="G1551"/>
      <c r="H1551"/>
      <c r="I1551"/>
      <c r="J1551"/>
      <c r="K1551"/>
      <c r="L1551"/>
      <c r="M1551"/>
    </row>
    <row r="1552" spans="1:13" hidden="1" x14ac:dyDescent="0.2">
      <c r="A1552" s="1634" t="s">
        <v>1362</v>
      </c>
      <c r="B1552" s="1634" t="s">
        <v>2193</v>
      </c>
      <c r="C1552"/>
      <c r="D1552"/>
      <c r="E1552"/>
      <c r="F1552"/>
      <c r="G1552"/>
      <c r="H1552"/>
      <c r="I1552"/>
      <c r="J1552"/>
      <c r="K1552"/>
      <c r="L1552"/>
      <c r="M1552"/>
    </row>
    <row r="1553" spans="1:14" hidden="1" x14ac:dyDescent="0.2">
      <c r="A1553" s="1634" t="s">
        <v>1363</v>
      </c>
      <c r="B1553" s="1634" t="s">
        <v>1972</v>
      </c>
      <c r="C1553" s="1634" t="s">
        <v>6452</v>
      </c>
      <c r="D1553" s="1634" t="s">
        <v>2928</v>
      </c>
      <c r="E1553" s="1634" t="s">
        <v>2929</v>
      </c>
      <c r="F1553"/>
      <c r="G1553"/>
      <c r="H1553"/>
      <c r="I1553"/>
      <c r="J1553"/>
      <c r="K1553"/>
      <c r="L1553"/>
      <c r="M1553"/>
    </row>
    <row r="1554" spans="1:14" hidden="1" x14ac:dyDescent="0.2">
      <c r="A1554" s="1634" t="s">
        <v>1364</v>
      </c>
      <c r="B1554" s="1634" t="s">
        <v>3247</v>
      </c>
      <c r="C1554" s="1634" t="s">
        <v>4523</v>
      </c>
      <c r="D1554" s="1634" t="s">
        <v>3248</v>
      </c>
      <c r="E1554" s="1634" t="s">
        <v>3249</v>
      </c>
      <c r="F1554"/>
      <c r="G1554"/>
      <c r="H1554"/>
      <c r="I1554"/>
      <c r="J1554"/>
      <c r="K1554"/>
      <c r="L1554"/>
      <c r="M1554"/>
    </row>
    <row r="1555" spans="1:14" hidden="1" x14ac:dyDescent="0.2">
      <c r="A1555" s="1634" t="s">
        <v>1365</v>
      </c>
      <c r="B1555" s="1634" t="s">
        <v>2954</v>
      </c>
      <c r="C1555" s="1634" t="s">
        <v>3254</v>
      </c>
      <c r="D1555" s="1634" t="s">
        <v>3255</v>
      </c>
      <c r="E1555" s="1634" t="s">
        <v>3256</v>
      </c>
      <c r="F1555"/>
      <c r="G1555"/>
      <c r="H1555"/>
      <c r="I1555"/>
      <c r="J1555"/>
      <c r="K1555"/>
      <c r="L1555"/>
      <c r="M1555"/>
    </row>
    <row r="1556" spans="1:14" hidden="1" x14ac:dyDescent="0.2">
      <c r="A1556" s="1634" t="s">
        <v>2831</v>
      </c>
      <c r="B1556" s="1634" t="s">
        <v>473</v>
      </c>
      <c r="C1556" s="1634" t="s">
        <v>4525</v>
      </c>
      <c r="D1556" s="1634" t="s">
        <v>800</v>
      </c>
      <c r="E1556" s="1634" t="s">
        <v>801</v>
      </c>
      <c r="F1556"/>
      <c r="G1556"/>
      <c r="H1556"/>
      <c r="I1556"/>
      <c r="J1556"/>
      <c r="K1556"/>
      <c r="L1556"/>
      <c r="M1556"/>
    </row>
    <row r="1557" spans="1:14" hidden="1" x14ac:dyDescent="0.2">
      <c r="A1557" s="1634" t="s">
        <v>2832</v>
      </c>
      <c r="B1557" s="1634" t="s">
        <v>6470</v>
      </c>
      <c r="C1557" s="1634" t="s">
        <v>465</v>
      </c>
      <c r="D1557" s="1634" t="s">
        <v>808</v>
      </c>
      <c r="E1557" s="1634" t="s">
        <v>809</v>
      </c>
      <c r="F1557"/>
      <c r="G1557"/>
      <c r="H1557"/>
      <c r="I1557"/>
      <c r="J1557"/>
      <c r="K1557"/>
      <c r="L1557"/>
      <c r="M1557"/>
    </row>
    <row r="1558" spans="1:14" hidden="1" x14ac:dyDescent="0.2">
      <c r="A1558" s="1634" t="s">
        <v>2833</v>
      </c>
      <c r="B1558" s="1634" t="s">
        <v>6474</v>
      </c>
      <c r="C1558" s="1634" t="s">
        <v>5728</v>
      </c>
      <c r="D1558" s="1634" t="s">
        <v>815</v>
      </c>
      <c r="E1558" s="1634" t="s">
        <v>816</v>
      </c>
      <c r="F1558"/>
      <c r="G1558"/>
      <c r="H1558"/>
      <c r="I1558"/>
      <c r="J1558"/>
      <c r="K1558"/>
      <c r="L1558"/>
      <c r="M1558"/>
    </row>
    <row r="1559" spans="1:14" hidden="1" x14ac:dyDescent="0.2">
      <c r="A1559" s="1634" t="s">
        <v>2834</v>
      </c>
      <c r="B1559" s="1634" t="s">
        <v>4966</v>
      </c>
      <c r="C1559" s="1634" t="s">
        <v>823</v>
      </c>
      <c r="D1559" s="1634" t="s">
        <v>824</v>
      </c>
      <c r="E1559" s="1634" t="s">
        <v>825</v>
      </c>
      <c r="F1559"/>
      <c r="G1559"/>
      <c r="H1559"/>
      <c r="I1559"/>
      <c r="J1559"/>
      <c r="K1559"/>
      <c r="L1559"/>
      <c r="M1559"/>
    </row>
    <row r="1560" spans="1:14" hidden="1" x14ac:dyDescent="0.2">
      <c r="A1560" s="1634" t="s">
        <v>2835</v>
      </c>
      <c r="B1560" s="1634" t="s">
        <v>4972</v>
      </c>
      <c r="C1560" s="1634" t="s">
        <v>5730</v>
      </c>
      <c r="D1560" s="1634" t="s">
        <v>542</v>
      </c>
      <c r="E1560" s="1634" t="s">
        <v>543</v>
      </c>
      <c r="F1560"/>
      <c r="G1560"/>
      <c r="H1560"/>
      <c r="I1560"/>
      <c r="J1560"/>
      <c r="K1560"/>
      <c r="L1560"/>
      <c r="M1560"/>
    </row>
    <row r="1561" spans="1:14" hidden="1" x14ac:dyDescent="0.2">
      <c r="A1561" s="1634" t="s">
        <v>2836</v>
      </c>
      <c r="B1561" s="1634" t="s">
        <v>717</v>
      </c>
      <c r="C1561"/>
      <c r="D1561"/>
      <c r="E1561"/>
      <c r="F1561"/>
      <c r="G1561"/>
      <c r="H1561"/>
      <c r="I1561"/>
      <c r="J1561"/>
      <c r="K1561"/>
      <c r="L1561"/>
      <c r="M1561"/>
    </row>
    <row r="1562" spans="1:14" hidden="1" x14ac:dyDescent="0.2">
      <c r="A1562" s="1634" t="s">
        <v>2837</v>
      </c>
      <c r="B1562" s="1634" t="s">
        <v>3474</v>
      </c>
      <c r="C1562"/>
      <c r="D1562"/>
      <c r="E1562"/>
      <c r="F1562"/>
      <c r="G1562"/>
      <c r="H1562"/>
      <c r="I1562"/>
      <c r="J1562"/>
      <c r="K1562"/>
      <c r="L1562"/>
      <c r="M1562"/>
    </row>
    <row r="1563" spans="1:14" hidden="1" x14ac:dyDescent="0.2">
      <c r="A1563" s="1634"/>
      <c r="B1563"/>
      <c r="C1563"/>
      <c r="D1563"/>
      <c r="E1563"/>
      <c r="F1563"/>
      <c r="G1563"/>
      <c r="H1563"/>
      <c r="I1563"/>
      <c r="J1563"/>
      <c r="K1563"/>
      <c r="L1563"/>
      <c r="M1563"/>
    </row>
    <row r="1564" spans="1:14" hidden="1" x14ac:dyDescent="0.2">
      <c r="A1564" s="1634"/>
      <c r="B1564"/>
      <c r="C1564"/>
      <c r="D1564"/>
      <c r="E1564"/>
      <c r="F1564"/>
      <c r="G1564"/>
      <c r="H1564"/>
      <c r="I1564"/>
      <c r="J1564"/>
      <c r="K1564"/>
      <c r="L1564"/>
      <c r="M1564"/>
      <c r="N1564"/>
    </row>
    <row r="1565" spans="1:14" hidden="1" x14ac:dyDescent="0.2">
      <c r="A1565" s="1634"/>
      <c r="B1565"/>
      <c r="C1565"/>
      <c r="D1565"/>
      <c r="E1565"/>
      <c r="F1565"/>
      <c r="G1565"/>
      <c r="H1565"/>
      <c r="I1565"/>
      <c r="J1565"/>
      <c r="K1565"/>
      <c r="L1565"/>
      <c r="M1565"/>
      <c r="N1565"/>
    </row>
    <row r="1566" spans="1:14" hidden="1" x14ac:dyDescent="0.2">
      <c r="A1566" s="1634" t="s">
        <v>6807</v>
      </c>
      <c r="B1566" s="1634" t="s">
        <v>3817</v>
      </c>
      <c r="C1566" s="1634" t="s">
        <v>2722</v>
      </c>
      <c r="D1566" s="1634" t="s">
        <v>5693</v>
      </c>
      <c r="E1566" s="1634" t="s">
        <v>863</v>
      </c>
      <c r="F1566" s="1634" t="s">
        <v>6611</v>
      </c>
      <c r="G1566" s="1634" t="s">
        <v>2724</v>
      </c>
      <c r="H1566" s="2294" t="s">
        <v>2725</v>
      </c>
      <c r="I1566" s="2294" t="s">
        <v>4025</v>
      </c>
      <c r="J1566" s="2294" t="s">
        <v>3167</v>
      </c>
      <c r="K1566" s="2294" t="s">
        <v>1722</v>
      </c>
      <c r="L1566" s="2302" t="s">
        <v>7849</v>
      </c>
      <c r="M1566" s="2294" t="s">
        <v>4512</v>
      </c>
      <c r="N1566" s="2294" t="s">
        <v>7493</v>
      </c>
    </row>
    <row r="1567" spans="1:14" hidden="1" x14ac:dyDescent="0.2">
      <c r="A1567" s="1634" t="s">
        <v>6808</v>
      </c>
      <c r="B1567" s="1634" t="s">
        <v>1060</v>
      </c>
      <c r="C1567" s="1634" t="s">
        <v>4028</v>
      </c>
      <c r="D1567" s="1634" t="s">
        <v>5694</v>
      </c>
      <c r="E1567" s="1634" t="s">
        <v>865</v>
      </c>
      <c r="F1567" s="1634" t="s">
        <v>6613</v>
      </c>
      <c r="G1567" s="1634" t="s">
        <v>4029</v>
      </c>
      <c r="H1567" s="2294" t="s">
        <v>4030</v>
      </c>
      <c r="I1567" s="2294" t="s">
        <v>4031</v>
      </c>
      <c r="J1567" s="2294" t="s">
        <v>1062</v>
      </c>
      <c r="K1567" s="2294" t="s">
        <v>1063</v>
      </c>
      <c r="L1567" s="2302" t="s">
        <v>3802</v>
      </c>
      <c r="M1567" s="2294" t="s">
        <v>4828</v>
      </c>
      <c r="N1567" s="2294" t="s">
        <v>3803</v>
      </c>
    </row>
    <row r="1568" spans="1:14" hidden="1" x14ac:dyDescent="0.2">
      <c r="A1568" s="1634" t="s">
        <v>6809</v>
      </c>
      <c r="B1568" s="1634" t="s">
        <v>5272</v>
      </c>
      <c r="C1568" s="1634" t="s">
        <v>4034</v>
      </c>
      <c r="D1568" s="1634" t="s">
        <v>4035</v>
      </c>
      <c r="E1568" s="1634" t="s">
        <v>867</v>
      </c>
      <c r="F1568" s="1634" t="s">
        <v>6615</v>
      </c>
      <c r="G1568" s="1634" t="s">
        <v>4036</v>
      </c>
      <c r="H1568" s="2294" t="s">
        <v>4037</v>
      </c>
      <c r="I1568" s="2294" t="s">
        <v>4038</v>
      </c>
      <c r="J1568" s="2294" t="s">
        <v>3100</v>
      </c>
      <c r="K1568" s="2294" t="s">
        <v>3101</v>
      </c>
      <c r="L1568" s="2302" t="s">
        <v>3804</v>
      </c>
      <c r="M1568" s="2294" t="s">
        <v>2237</v>
      </c>
      <c r="N1568" s="2294" t="s">
        <v>3805</v>
      </c>
    </row>
    <row r="1569" spans="1:14" hidden="1" x14ac:dyDescent="0.2">
      <c r="A1569" s="1634" t="s">
        <v>6810</v>
      </c>
      <c r="B1569" s="1634" t="s">
        <v>5695</v>
      </c>
      <c r="C1569" s="1634" t="s">
        <v>4041</v>
      </c>
      <c r="D1569" s="1634" t="s">
        <v>5696</v>
      </c>
      <c r="E1569" s="1634" t="s">
        <v>869</v>
      </c>
      <c r="F1569" s="1634" t="s">
        <v>6617</v>
      </c>
      <c r="G1569" s="1634" t="s">
        <v>4042</v>
      </c>
      <c r="H1569" s="2294" t="s">
        <v>4043</v>
      </c>
      <c r="I1569" s="2294" t="s">
        <v>4044</v>
      </c>
      <c r="J1569" s="2294" t="s">
        <v>3107</v>
      </c>
      <c r="K1569" s="2294" t="s">
        <v>3108</v>
      </c>
      <c r="L1569" s="2302" t="s">
        <v>3806</v>
      </c>
      <c r="M1569" s="2294" t="s">
        <v>2239</v>
      </c>
      <c r="N1569" s="2294" t="s">
        <v>3807</v>
      </c>
    </row>
    <row r="1570" spans="1:14" hidden="1" x14ac:dyDescent="0.2">
      <c r="A1570" s="1634" t="s">
        <v>6811</v>
      </c>
      <c r="B1570" s="1634" t="s">
        <v>5697</v>
      </c>
      <c r="C1570" s="1634" t="s">
        <v>5472</v>
      </c>
      <c r="D1570" s="1634" t="s">
        <v>4704</v>
      </c>
      <c r="E1570" s="1634" t="s">
        <v>871</v>
      </c>
      <c r="F1570" s="1634" t="s">
        <v>6619</v>
      </c>
      <c r="G1570" s="1634" t="s">
        <v>6973</v>
      </c>
      <c r="H1570" s="2294" t="s">
        <v>6974</v>
      </c>
      <c r="I1570" s="2294" t="s">
        <v>4171</v>
      </c>
      <c r="J1570" s="2294" t="s">
        <v>554</v>
      </c>
      <c r="K1570" s="2294" t="s">
        <v>555</v>
      </c>
      <c r="L1570" s="2302" t="s">
        <v>3808</v>
      </c>
      <c r="M1570" s="2294" t="s">
        <v>556</v>
      </c>
      <c r="N1570" s="2294" t="s">
        <v>3809</v>
      </c>
    </row>
    <row r="1571" spans="1:14" hidden="1" x14ac:dyDescent="0.2">
      <c r="A1571" s="1634" t="s">
        <v>6812</v>
      </c>
      <c r="B1571" s="1634" t="s">
        <v>4705</v>
      </c>
      <c r="C1571" s="1634" t="s">
        <v>4174</v>
      </c>
      <c r="D1571" s="1634" t="s">
        <v>4706</v>
      </c>
      <c r="E1571" s="1634" t="s">
        <v>3008</v>
      </c>
      <c r="F1571" s="1634" t="s">
        <v>6621</v>
      </c>
      <c r="G1571" s="1634" t="s">
        <v>6662</v>
      </c>
      <c r="H1571" s="2294" t="s">
        <v>6663</v>
      </c>
      <c r="I1571" s="2294" t="s">
        <v>6670</v>
      </c>
      <c r="J1571" s="2294" t="s">
        <v>562</v>
      </c>
      <c r="K1571" s="2294" t="s">
        <v>563</v>
      </c>
      <c r="L1571" s="2302" t="s">
        <v>3810</v>
      </c>
      <c r="M1571" s="2294" t="s">
        <v>6880</v>
      </c>
      <c r="N1571" s="2294" t="s">
        <v>3811</v>
      </c>
    </row>
    <row r="1572" spans="1:14" hidden="1" x14ac:dyDescent="0.2">
      <c r="A1572" s="1634" t="s">
        <v>6813</v>
      </c>
      <c r="B1572" s="1634" t="s">
        <v>2021</v>
      </c>
      <c r="C1572" s="1634" t="s">
        <v>5473</v>
      </c>
      <c r="D1572" s="1634" t="s">
        <v>5474</v>
      </c>
      <c r="E1572" s="1634" t="s">
        <v>3010</v>
      </c>
      <c r="F1572" s="1634" t="s">
        <v>6623</v>
      </c>
      <c r="G1572" s="1634" t="s">
        <v>6673</v>
      </c>
      <c r="H1572" s="2294" t="s">
        <v>6674</v>
      </c>
      <c r="I1572" s="2294" t="s">
        <v>6675</v>
      </c>
      <c r="J1572" s="2294" t="s">
        <v>2023</v>
      </c>
      <c r="K1572" s="2294" t="s">
        <v>2024</v>
      </c>
      <c r="L1572" s="2302" t="s">
        <v>7850</v>
      </c>
      <c r="M1572" s="2294" t="s">
        <v>6882</v>
      </c>
      <c r="N1572" s="2294" t="s">
        <v>7494</v>
      </c>
    </row>
    <row r="1573" spans="1:14" hidden="1" x14ac:dyDescent="0.2">
      <c r="A1573" s="1634" t="s">
        <v>6814</v>
      </c>
      <c r="B1573" s="1634" t="s">
        <v>4707</v>
      </c>
      <c r="C1573" s="1634" t="s">
        <v>6678</v>
      </c>
      <c r="D1573" s="1634" t="s">
        <v>4708</v>
      </c>
      <c r="E1573" s="1634" t="s">
        <v>6460</v>
      </c>
      <c r="F1573" s="1634" t="s">
        <v>3132</v>
      </c>
      <c r="G1573" s="1634" t="s">
        <v>6679</v>
      </c>
      <c r="H1573" s="2294" t="s">
        <v>6680</v>
      </c>
      <c r="I1573" s="2294" t="s">
        <v>6681</v>
      </c>
      <c r="J1573" s="2294" t="s">
        <v>5061</v>
      </c>
      <c r="K1573" s="2294" t="s">
        <v>5062</v>
      </c>
      <c r="L1573" s="2302" t="s">
        <v>7851</v>
      </c>
      <c r="M1573" s="2294" t="s">
        <v>6884</v>
      </c>
      <c r="N1573" s="2294" t="s">
        <v>7495</v>
      </c>
    </row>
    <row r="1574" spans="1:14" hidden="1" x14ac:dyDescent="0.2">
      <c r="A1574" s="1634" t="s">
        <v>6815</v>
      </c>
      <c r="B1574" s="1634" t="s">
        <v>4709</v>
      </c>
      <c r="C1574" s="1634" t="s">
        <v>5475</v>
      </c>
      <c r="D1574" s="1634" t="s">
        <v>4710</v>
      </c>
      <c r="E1574" s="1634" t="s">
        <v>6462</v>
      </c>
      <c r="F1574" s="1634" t="s">
        <v>4045</v>
      </c>
      <c r="G1574" s="1634" t="s">
        <v>6684</v>
      </c>
      <c r="H1574" s="2294" t="s">
        <v>6685</v>
      </c>
      <c r="I1574" s="2294" t="s">
        <v>6686</v>
      </c>
      <c r="J1574" s="2294" t="s">
        <v>3424</v>
      </c>
      <c r="K1574" s="2294" t="s">
        <v>5419</v>
      </c>
      <c r="L1574" s="2302" t="s">
        <v>7852</v>
      </c>
      <c r="M1574" s="2294" t="s">
        <v>6886</v>
      </c>
      <c r="N1574" s="2294" t="s">
        <v>7496</v>
      </c>
    </row>
    <row r="1575" spans="1:14" hidden="1" x14ac:dyDescent="0.2">
      <c r="A1575" s="1634" t="s">
        <v>6816</v>
      </c>
      <c r="B1575" s="1634" t="s">
        <v>4711</v>
      </c>
      <c r="C1575" s="1634" t="s">
        <v>6689</v>
      </c>
      <c r="D1575" s="1634" t="s">
        <v>4712</v>
      </c>
      <c r="E1575" s="1634" t="s">
        <v>6464</v>
      </c>
      <c r="F1575" s="1634" t="s">
        <v>4047</v>
      </c>
      <c r="G1575" s="1634" t="s">
        <v>6690</v>
      </c>
      <c r="H1575" s="2294" t="s">
        <v>6691</v>
      </c>
      <c r="I1575" s="2294" t="s">
        <v>6692</v>
      </c>
      <c r="J1575" s="2294" t="s">
        <v>5425</v>
      </c>
      <c r="K1575" s="2294" t="s">
        <v>5426</v>
      </c>
      <c r="L1575" s="2302" t="s">
        <v>4850</v>
      </c>
      <c r="M1575" s="2294" t="s">
        <v>6888</v>
      </c>
      <c r="N1575" s="2294" t="s">
        <v>3812</v>
      </c>
    </row>
    <row r="1576" spans="1:14" hidden="1" x14ac:dyDescent="0.2">
      <c r="A1576" s="1634" t="s">
        <v>6817</v>
      </c>
      <c r="B1576" s="1634" t="s">
        <v>4713</v>
      </c>
      <c r="C1576" s="1634" t="s">
        <v>4094</v>
      </c>
      <c r="D1576" s="1634" t="s">
        <v>4714</v>
      </c>
      <c r="E1576" s="1634" t="s">
        <v>2911</v>
      </c>
      <c r="F1576" s="1634" t="s">
        <v>4095</v>
      </c>
      <c r="G1576" s="1634" t="s">
        <v>4096</v>
      </c>
      <c r="H1576" s="2294" t="s">
        <v>4097</v>
      </c>
      <c r="I1576" s="2294" t="s">
        <v>6695</v>
      </c>
      <c r="J1576" s="2294" t="s">
        <v>5431</v>
      </c>
      <c r="K1576" s="2294" t="s">
        <v>5432</v>
      </c>
      <c r="L1576" s="2302" t="s">
        <v>7853</v>
      </c>
      <c r="M1576" s="2294" t="s">
        <v>5433</v>
      </c>
      <c r="N1576" s="2294" t="s">
        <v>7497</v>
      </c>
    </row>
    <row r="1577" spans="1:14" hidden="1" x14ac:dyDescent="0.2">
      <c r="A1577" s="1634" t="s">
        <v>6818</v>
      </c>
      <c r="B1577" s="1634" t="s">
        <v>2153</v>
      </c>
      <c r="C1577" s="1634" t="s">
        <v>4099</v>
      </c>
      <c r="D1577" s="1634" t="s">
        <v>5476</v>
      </c>
      <c r="E1577" s="1634" t="s">
        <v>2913</v>
      </c>
      <c r="F1577" s="1634" t="s">
        <v>4100</v>
      </c>
      <c r="G1577" s="1634" t="s">
        <v>4101</v>
      </c>
      <c r="H1577" s="2294" t="s">
        <v>4102</v>
      </c>
      <c r="I1577" s="2294" t="s">
        <v>6698</v>
      </c>
      <c r="J1577" s="2294" t="s">
        <v>2155</v>
      </c>
      <c r="K1577" s="2294" t="s">
        <v>2156</v>
      </c>
      <c r="L1577" s="2302" t="s">
        <v>7854</v>
      </c>
      <c r="M1577" s="2294" t="s">
        <v>6890</v>
      </c>
      <c r="N1577" s="2294" t="s">
        <v>7498</v>
      </c>
    </row>
    <row r="1578" spans="1:14" hidden="1" x14ac:dyDescent="0.2">
      <c r="A1578" s="1634" t="s">
        <v>4288</v>
      </c>
      <c r="B1578" s="1634" t="s">
        <v>4715</v>
      </c>
      <c r="C1578" s="1634" t="s">
        <v>4104</v>
      </c>
      <c r="D1578" s="1634" t="s">
        <v>4716</v>
      </c>
      <c r="E1578" s="1634" t="s">
        <v>2915</v>
      </c>
      <c r="F1578" s="1634" t="s">
        <v>4105</v>
      </c>
      <c r="G1578" s="1634" t="s">
        <v>2318</v>
      </c>
      <c r="H1578" s="2294" t="s">
        <v>2319</v>
      </c>
      <c r="I1578" s="2294" t="s">
        <v>2661</v>
      </c>
      <c r="J1578" s="2294" t="s">
        <v>2162</v>
      </c>
      <c r="K1578" s="2294" t="s">
        <v>2163</v>
      </c>
      <c r="L1578" s="2302" t="s">
        <v>7855</v>
      </c>
      <c r="M1578" s="2294" t="s">
        <v>6892</v>
      </c>
      <c r="N1578" s="2294" t="s">
        <v>7499</v>
      </c>
    </row>
    <row r="1579" spans="1:14" hidden="1" x14ac:dyDescent="0.2">
      <c r="A1579" s="1634" t="s">
        <v>4289</v>
      </c>
      <c r="B1579" s="1634" t="s">
        <v>4717</v>
      </c>
      <c r="C1579" s="1634" t="s">
        <v>2321</v>
      </c>
      <c r="D1579" s="1634" t="s">
        <v>6426</v>
      </c>
      <c r="E1579" s="1634" t="s">
        <v>2917</v>
      </c>
      <c r="F1579" s="1634" t="s">
        <v>2322</v>
      </c>
      <c r="G1579" s="1634" t="s">
        <v>2323</v>
      </c>
      <c r="H1579" s="2294" t="s">
        <v>2324</v>
      </c>
      <c r="I1579" s="2294" t="s">
        <v>2664</v>
      </c>
      <c r="J1579" s="2294" t="s">
        <v>2169</v>
      </c>
      <c r="K1579" s="2294" t="s">
        <v>2170</v>
      </c>
      <c r="L1579" s="2302" t="s">
        <v>7856</v>
      </c>
      <c r="M1579" s="2294" t="s">
        <v>6894</v>
      </c>
      <c r="N1579" s="2294" t="s">
        <v>7500</v>
      </c>
    </row>
    <row r="1580" spans="1:14" hidden="1" x14ac:dyDescent="0.2">
      <c r="A1580" s="1634" t="s">
        <v>4290</v>
      </c>
      <c r="B1580" s="1634" t="s">
        <v>6427</v>
      </c>
      <c r="C1580" s="1634" t="s">
        <v>2326</v>
      </c>
      <c r="D1580" s="1634" t="s">
        <v>6428</v>
      </c>
      <c r="E1580" s="1634" t="s">
        <v>2919</v>
      </c>
      <c r="F1580" s="1634" t="s">
        <v>2327</v>
      </c>
      <c r="G1580" s="1634" t="s">
        <v>2328</v>
      </c>
      <c r="H1580" s="2294" t="s">
        <v>1011</v>
      </c>
      <c r="I1580" s="2294" t="s">
        <v>3860</v>
      </c>
      <c r="J1580" s="2294" t="s">
        <v>2175</v>
      </c>
      <c r="K1580" s="2294" t="s">
        <v>2176</v>
      </c>
      <c r="L1580" s="2302" t="s">
        <v>3813</v>
      </c>
      <c r="M1580" s="2294" t="s">
        <v>6895</v>
      </c>
      <c r="N1580" s="2294" t="s">
        <v>1729</v>
      </c>
    </row>
    <row r="1581" spans="1:14" hidden="1" x14ac:dyDescent="0.2">
      <c r="A1581" s="1634" t="s">
        <v>4291</v>
      </c>
      <c r="B1581" s="1634" t="s">
        <v>6429</v>
      </c>
      <c r="C1581" s="1634" t="s">
        <v>6605</v>
      </c>
      <c r="D1581" s="1634" t="s">
        <v>6430</v>
      </c>
      <c r="E1581" s="1634" t="s">
        <v>1575</v>
      </c>
      <c r="F1581" s="1634" t="s">
        <v>6606</v>
      </c>
      <c r="G1581" s="1634" t="s">
        <v>5084</v>
      </c>
      <c r="H1581" s="2294" t="s">
        <v>5085</v>
      </c>
      <c r="I1581" s="2294" t="s">
        <v>3863</v>
      </c>
      <c r="J1581" s="2294" t="s">
        <v>2182</v>
      </c>
      <c r="K1581" s="2294" t="s">
        <v>2183</v>
      </c>
      <c r="L1581" s="2302" t="s">
        <v>1730</v>
      </c>
      <c r="M1581" s="2294" t="s">
        <v>6897</v>
      </c>
      <c r="N1581" s="2294" t="s">
        <v>1731</v>
      </c>
    </row>
    <row r="1582" spans="1:14" hidden="1" x14ac:dyDescent="0.2">
      <c r="A1582" s="1634" t="s">
        <v>4292</v>
      </c>
      <c r="B1582" s="1634" t="s">
        <v>2187</v>
      </c>
      <c r="C1582" s="1634" t="s">
        <v>2</v>
      </c>
      <c r="D1582" s="1634" t="s">
        <v>2921</v>
      </c>
      <c r="E1582" s="1634" t="s">
        <v>4078</v>
      </c>
      <c r="F1582" s="1634" t="s">
        <v>3</v>
      </c>
      <c r="G1582" s="1634" t="s">
        <v>1741</v>
      </c>
      <c r="H1582" s="2294" t="s">
        <v>1742</v>
      </c>
      <c r="I1582" s="2294" t="s">
        <v>5010</v>
      </c>
      <c r="J1582" s="2294" t="s">
        <v>2189</v>
      </c>
      <c r="K1582" s="2294" t="s">
        <v>2190</v>
      </c>
      <c r="L1582" s="2302" t="s">
        <v>1732</v>
      </c>
      <c r="M1582" s="2294" t="s">
        <v>6899</v>
      </c>
      <c r="N1582" s="2294" t="s">
        <v>1733</v>
      </c>
    </row>
    <row r="1583" spans="1:14" hidden="1" x14ac:dyDescent="0.2">
      <c r="A1583" s="1634" t="s">
        <v>4293</v>
      </c>
      <c r="B1583" s="1634" t="s">
        <v>6431</v>
      </c>
      <c r="C1583" s="1634" t="s">
        <v>1744</v>
      </c>
      <c r="D1583" s="1634" t="s">
        <v>2923</v>
      </c>
      <c r="E1583" s="1634" t="s">
        <v>4080</v>
      </c>
      <c r="F1583" s="1634" t="s">
        <v>1745</v>
      </c>
      <c r="G1583" s="1634" t="s">
        <v>1746</v>
      </c>
      <c r="H1583" s="2294" t="s">
        <v>1747</v>
      </c>
      <c r="I1583" s="2294" t="s">
        <v>5011</v>
      </c>
      <c r="J1583" s="2294" t="s">
        <v>3530</v>
      </c>
      <c r="K1583" s="2294" t="s">
        <v>3531</v>
      </c>
      <c r="L1583" s="2302" t="s">
        <v>1734</v>
      </c>
      <c r="M1583" s="2294" t="s">
        <v>6901</v>
      </c>
      <c r="N1583" s="2294" t="s">
        <v>1487</v>
      </c>
    </row>
    <row r="1584" spans="1:14" hidden="1" x14ac:dyDescent="0.2">
      <c r="A1584" s="1634" t="s">
        <v>4294</v>
      </c>
      <c r="B1584" s="1634" t="s">
        <v>6432</v>
      </c>
      <c r="C1584" s="1634" t="s">
        <v>1749</v>
      </c>
      <c r="D1584" s="1634" t="s">
        <v>3301</v>
      </c>
      <c r="E1584" s="1634" t="s">
        <v>4082</v>
      </c>
      <c r="F1584" s="1634" t="s">
        <v>1750</v>
      </c>
      <c r="G1584" s="1634" t="s">
        <v>1751</v>
      </c>
      <c r="H1584" s="2294" t="s">
        <v>1752</v>
      </c>
      <c r="I1584" s="2294" t="s">
        <v>5012</v>
      </c>
      <c r="J1584" s="2294" t="s">
        <v>3536</v>
      </c>
      <c r="K1584" s="2294" t="s">
        <v>3537</v>
      </c>
      <c r="L1584" s="2302" t="s">
        <v>1488</v>
      </c>
      <c r="M1584" s="2294" t="s">
        <v>6903</v>
      </c>
      <c r="N1584" s="2294" t="s">
        <v>1489</v>
      </c>
    </row>
    <row r="1585" spans="1:14" hidden="1" x14ac:dyDescent="0.2">
      <c r="A1585" s="1634" t="s">
        <v>4295</v>
      </c>
      <c r="B1585" s="1634" t="s">
        <v>6433</v>
      </c>
      <c r="C1585" s="1634" t="s">
        <v>1727</v>
      </c>
      <c r="D1585" s="1634" t="s">
        <v>3303</v>
      </c>
      <c r="E1585" s="1634" t="s">
        <v>4084</v>
      </c>
      <c r="F1585" s="1634" t="s">
        <v>1728</v>
      </c>
      <c r="G1585" s="1634" t="s">
        <v>945</v>
      </c>
      <c r="H1585" s="2294" t="s">
        <v>946</v>
      </c>
      <c r="I1585" s="2294" t="s">
        <v>5013</v>
      </c>
      <c r="J1585" s="2294" t="s">
        <v>6190</v>
      </c>
      <c r="K1585" s="2294" t="s">
        <v>6191</v>
      </c>
      <c r="L1585" s="2302" t="s">
        <v>1490</v>
      </c>
      <c r="M1585" s="2294" t="s">
        <v>6905</v>
      </c>
      <c r="N1585" s="2294" t="s">
        <v>1491</v>
      </c>
    </row>
    <row r="1586" spans="1:14" hidden="1" x14ac:dyDescent="0.2">
      <c r="A1586" s="1634" t="s">
        <v>4296</v>
      </c>
      <c r="B1586" s="1634" t="s">
        <v>2276</v>
      </c>
      <c r="C1586" s="1634" t="s">
        <v>2493</v>
      </c>
      <c r="D1586" s="1634" t="s">
        <v>5477</v>
      </c>
      <c r="E1586" s="1634" t="s">
        <v>4086</v>
      </c>
      <c r="F1586" s="1634" t="s">
        <v>2494</v>
      </c>
      <c r="G1586" s="1634" t="s">
        <v>2495</v>
      </c>
      <c r="H1586" s="2294" t="s">
        <v>2496</v>
      </c>
      <c r="I1586" s="2294" t="s">
        <v>3866</v>
      </c>
      <c r="J1586" s="2294" t="s">
        <v>2278</v>
      </c>
      <c r="K1586" s="2294" t="s">
        <v>2279</v>
      </c>
      <c r="L1586" s="2302" t="s">
        <v>1492</v>
      </c>
      <c r="M1586" s="2294" t="s">
        <v>6907</v>
      </c>
      <c r="N1586" s="2294" t="s">
        <v>1493</v>
      </c>
    </row>
    <row r="1587" spans="1:14" hidden="1" x14ac:dyDescent="0.2">
      <c r="A1587" s="1634" t="s">
        <v>1696</v>
      </c>
      <c r="B1587" s="1634" t="s">
        <v>6434</v>
      </c>
      <c r="C1587" s="1634" t="s">
        <v>5817</v>
      </c>
      <c r="D1587" s="1634" t="s">
        <v>6435</v>
      </c>
      <c r="E1587" s="1634" t="s">
        <v>2431</v>
      </c>
      <c r="F1587" s="1634" t="s">
        <v>2432</v>
      </c>
      <c r="G1587" s="1634" t="s">
        <v>2433</v>
      </c>
      <c r="H1587" s="2294" t="s">
        <v>1066</v>
      </c>
      <c r="I1587" s="2294" t="s">
        <v>3869</v>
      </c>
      <c r="J1587" s="2294" t="s">
        <v>2285</v>
      </c>
      <c r="K1587" s="2294" t="s">
        <v>2286</v>
      </c>
      <c r="L1587" s="2302" t="s">
        <v>1494</v>
      </c>
      <c r="M1587" s="2294" t="s">
        <v>6909</v>
      </c>
      <c r="N1587" s="2294" t="s">
        <v>5915</v>
      </c>
    </row>
    <row r="1588" spans="1:14" hidden="1" x14ac:dyDescent="0.2">
      <c r="A1588" s="1634" t="s">
        <v>1697</v>
      </c>
      <c r="B1588" s="1634" t="s">
        <v>6436</v>
      </c>
      <c r="C1588" s="1634" t="s">
        <v>1069</v>
      </c>
      <c r="D1588" s="1634" t="s">
        <v>6437</v>
      </c>
      <c r="E1588" s="1634" t="s">
        <v>4088</v>
      </c>
      <c r="F1588" s="1634" t="s">
        <v>1070</v>
      </c>
      <c r="G1588" s="1634" t="s">
        <v>1071</v>
      </c>
      <c r="H1588" s="2294" t="s">
        <v>1072</v>
      </c>
      <c r="I1588" s="2294" t="s">
        <v>3872</v>
      </c>
      <c r="J1588" s="2294" t="s">
        <v>271</v>
      </c>
      <c r="K1588" s="2294" t="s">
        <v>272</v>
      </c>
      <c r="L1588" s="2302" t="s">
        <v>5916</v>
      </c>
      <c r="M1588" s="2294" t="s">
        <v>4985</v>
      </c>
      <c r="N1588" s="2294" t="s">
        <v>5917</v>
      </c>
    </row>
    <row r="1589" spans="1:14" hidden="1" x14ac:dyDescent="0.2">
      <c r="A1589" s="1634" t="s">
        <v>1698</v>
      </c>
      <c r="B1589" s="1634" t="s">
        <v>6438</v>
      </c>
      <c r="C1589" s="1634" t="s">
        <v>1075</v>
      </c>
      <c r="D1589" s="1634" t="s">
        <v>6439</v>
      </c>
      <c r="E1589" s="1634" t="s">
        <v>1076</v>
      </c>
      <c r="F1589" s="1634" t="s">
        <v>4204</v>
      </c>
      <c r="G1589" s="1634" t="s">
        <v>4205</v>
      </c>
      <c r="H1589" s="2294" t="s">
        <v>4206</v>
      </c>
      <c r="I1589" s="2294" t="s">
        <v>3875</v>
      </c>
      <c r="J1589" s="2294" t="s">
        <v>278</v>
      </c>
      <c r="K1589" s="2294" t="s">
        <v>6049</v>
      </c>
      <c r="L1589" s="2302" t="s">
        <v>231</v>
      </c>
      <c r="M1589" s="2294" t="s">
        <v>649</v>
      </c>
      <c r="N1589" s="2294" t="s">
        <v>232</v>
      </c>
    </row>
    <row r="1590" spans="1:14" hidden="1" x14ac:dyDescent="0.2">
      <c r="A1590" s="1634" t="s">
        <v>1699</v>
      </c>
      <c r="B1590" s="1634" t="s">
        <v>2945</v>
      </c>
      <c r="C1590" s="1634" t="s">
        <v>1781</v>
      </c>
      <c r="D1590" s="1634" t="s">
        <v>1782</v>
      </c>
      <c r="E1590" s="1634" t="s">
        <v>1783</v>
      </c>
      <c r="F1590" s="1634" t="s">
        <v>1784</v>
      </c>
      <c r="G1590" s="1634" t="s">
        <v>3778</v>
      </c>
      <c r="H1590" s="2294" t="s">
        <v>3779</v>
      </c>
      <c r="I1590" s="2294" t="s">
        <v>3878</v>
      </c>
      <c r="J1590" s="2294" t="s">
        <v>2947</v>
      </c>
      <c r="K1590" s="2294" t="s">
        <v>2948</v>
      </c>
      <c r="L1590" s="2302" t="s">
        <v>233</v>
      </c>
      <c r="M1590" s="2294" t="s">
        <v>650</v>
      </c>
      <c r="N1590" s="2294" t="s">
        <v>234</v>
      </c>
    </row>
    <row r="1591" spans="1:14" hidden="1" x14ac:dyDescent="0.2">
      <c r="A1591" s="1634" t="s">
        <v>826</v>
      </c>
      <c r="B1591" s="1634" t="s">
        <v>671</v>
      </c>
      <c r="C1591" s="1634" t="s">
        <v>673</v>
      </c>
      <c r="D1591" s="1634" t="s">
        <v>3493</v>
      </c>
      <c r="E1591" s="2302" t="s">
        <v>242</v>
      </c>
      <c r="F1591" s="1634" t="s">
        <v>5968</v>
      </c>
      <c r="G1591" s="1634" t="s">
        <v>243</v>
      </c>
      <c r="H1591" s="2294"/>
      <c r="I1591" s="2294"/>
      <c r="J1591" s="2294"/>
      <c r="K1591" s="2294"/>
      <c r="L1591" s="2294"/>
      <c r="M1591"/>
      <c r="N1591"/>
    </row>
    <row r="1592" spans="1:14" hidden="1" x14ac:dyDescent="0.2">
      <c r="A1592" s="1634" t="s">
        <v>827</v>
      </c>
      <c r="B1592" s="1634" t="s">
        <v>6441</v>
      </c>
      <c r="C1592" s="1634" t="s">
        <v>679</v>
      </c>
      <c r="D1592" s="1634" t="s">
        <v>3495</v>
      </c>
      <c r="E1592" s="2302" t="s">
        <v>245</v>
      </c>
      <c r="F1592" s="1634" t="s">
        <v>655</v>
      </c>
      <c r="G1592" s="1634" t="s">
        <v>2680</v>
      </c>
      <c r="H1592" s="2294"/>
      <c r="I1592" s="2294"/>
      <c r="J1592" s="2294"/>
      <c r="K1592" s="2294"/>
      <c r="L1592" s="2294"/>
      <c r="M1592"/>
      <c r="N1592"/>
    </row>
    <row r="1593" spans="1:14" hidden="1" x14ac:dyDescent="0.2">
      <c r="A1593" s="1634" t="s">
        <v>6098</v>
      </c>
      <c r="B1593" s="1634" t="s">
        <v>6444</v>
      </c>
      <c r="C1593" s="1634" t="s">
        <v>687</v>
      </c>
      <c r="D1593" s="1634" t="s">
        <v>3497</v>
      </c>
      <c r="E1593" s="2302" t="s">
        <v>2682</v>
      </c>
      <c r="F1593" s="1634" t="s">
        <v>3488</v>
      </c>
      <c r="G1593" s="1634" t="s">
        <v>2683</v>
      </c>
      <c r="H1593" s="2294"/>
      <c r="I1593" s="2294"/>
      <c r="J1593" s="2294"/>
      <c r="K1593" s="2294"/>
      <c r="L1593" s="2294"/>
      <c r="M1593"/>
      <c r="N1593"/>
    </row>
    <row r="1594" spans="1:14" hidden="1" x14ac:dyDescent="0.2">
      <c r="A1594" s="2302" t="s">
        <v>6099</v>
      </c>
      <c r="B1594" s="2302" t="s">
        <v>6447</v>
      </c>
      <c r="C1594" s="2302" t="s">
        <v>2562</v>
      </c>
      <c r="D1594" s="2302" t="s">
        <v>139</v>
      </c>
      <c r="E1594" s="2302" t="s">
        <v>2685</v>
      </c>
      <c r="F1594" s="2302" t="s">
        <v>3489</v>
      </c>
      <c r="G1594" s="2302" t="s">
        <v>2686</v>
      </c>
      <c r="H1594"/>
      <c r="I1594"/>
      <c r="J1594"/>
      <c r="K1594"/>
      <c r="L1594"/>
      <c r="M1594"/>
      <c r="N1594"/>
    </row>
    <row r="1595" spans="1:14" hidden="1" x14ac:dyDescent="0.2">
      <c r="A1595" s="2302" t="s">
        <v>6100</v>
      </c>
      <c r="B1595" s="2302" t="s">
        <v>2196</v>
      </c>
      <c r="C1595" s="2302" t="s">
        <v>3394</v>
      </c>
      <c r="D1595" s="2302" t="s">
        <v>3397</v>
      </c>
      <c r="E1595" s="2302" t="s">
        <v>2688</v>
      </c>
      <c r="F1595" s="2302" t="s">
        <v>1702</v>
      </c>
      <c r="G1595" s="2302" t="s">
        <v>2689</v>
      </c>
      <c r="H1595"/>
      <c r="I1595"/>
      <c r="J1595"/>
      <c r="K1595"/>
      <c r="L1595"/>
      <c r="M1595"/>
      <c r="N1595"/>
    </row>
    <row r="1596" spans="1:14" hidden="1" x14ac:dyDescent="0.2">
      <c r="A1596" s="2302" t="s">
        <v>7857</v>
      </c>
      <c r="B1596" s="1634" t="s">
        <v>3472</v>
      </c>
      <c r="C1596" s="1634" t="s">
        <v>1811</v>
      </c>
      <c r="D1596" s="2294" t="s">
        <v>3473</v>
      </c>
      <c r="E1596" s="2294" t="s">
        <v>6051</v>
      </c>
      <c r="F1596" s="2294" t="s">
        <v>4513</v>
      </c>
      <c r="G1596" s="2294" t="s">
        <v>3361</v>
      </c>
      <c r="H1596" s="2303" t="s">
        <v>7858</v>
      </c>
      <c r="I1596"/>
      <c r="J1596"/>
      <c r="K1596"/>
      <c r="L1596"/>
      <c r="M1596"/>
    </row>
    <row r="1597" spans="1:14" hidden="1" x14ac:dyDescent="0.2">
      <c r="A1597" s="2302" t="s">
        <v>7859</v>
      </c>
      <c r="B1597" s="2294" t="s">
        <v>1666</v>
      </c>
      <c r="C1597"/>
      <c r="D1597"/>
      <c r="E1597"/>
      <c r="F1597"/>
      <c r="G1597"/>
      <c r="H1597"/>
      <c r="I1597"/>
      <c r="J1597"/>
      <c r="K1597"/>
      <c r="L1597"/>
      <c r="M1597"/>
    </row>
    <row r="1598" spans="1:14" hidden="1" x14ac:dyDescent="0.2">
      <c r="A1598" s="1634"/>
      <c r="B1598"/>
      <c r="C1598"/>
      <c r="D1598"/>
      <c r="E1598"/>
      <c r="F1598"/>
      <c r="G1598"/>
      <c r="H1598"/>
      <c r="I1598"/>
      <c r="J1598"/>
      <c r="K1598"/>
      <c r="L1598"/>
      <c r="M1598"/>
    </row>
    <row r="1599" spans="1:14" hidden="1" x14ac:dyDescent="0.2">
      <c r="A1599" s="2292" t="s">
        <v>4405</v>
      </c>
      <c r="B1599" s="164" t="s">
        <v>5988</v>
      </c>
      <c r="C1599"/>
      <c r="D1599"/>
      <c r="E1599"/>
      <c r="F1599"/>
      <c r="G1599"/>
      <c r="H1599"/>
      <c r="I1599"/>
      <c r="J1599"/>
      <c r="K1599"/>
      <c r="L1599"/>
      <c r="M1599"/>
    </row>
    <row r="1600" spans="1:14" hidden="1" x14ac:dyDescent="0.2">
      <c r="A1600" s="2292" t="s">
        <v>4406</v>
      </c>
      <c r="B1600" s="164" t="s">
        <v>2714</v>
      </c>
      <c r="C1600"/>
      <c r="D1600"/>
      <c r="E1600"/>
      <c r="F1600"/>
      <c r="G1600"/>
      <c r="H1600"/>
      <c r="I1600"/>
      <c r="J1600"/>
      <c r="K1600"/>
      <c r="L1600"/>
      <c r="M1600"/>
    </row>
    <row r="1601" spans="1:13" hidden="1" x14ac:dyDescent="0.2">
      <c r="A1601" s="2292" t="s">
        <v>4407</v>
      </c>
      <c r="B1601" s="164" t="s">
        <v>1060</v>
      </c>
      <c r="C1601" s="164" t="s">
        <v>4027</v>
      </c>
      <c r="D1601" s="164" t="s">
        <v>6613</v>
      </c>
      <c r="E1601"/>
      <c r="F1601"/>
      <c r="G1601"/>
      <c r="H1601"/>
      <c r="I1601"/>
      <c r="J1601"/>
      <c r="K1601"/>
      <c r="L1601"/>
      <c r="M1601"/>
    </row>
    <row r="1602" spans="1:13" hidden="1" x14ac:dyDescent="0.2">
      <c r="A1602" s="2292" t="s">
        <v>4408</v>
      </c>
      <c r="B1602" s="164" t="s">
        <v>5472</v>
      </c>
      <c r="C1602"/>
      <c r="D1602"/>
      <c r="E1602"/>
      <c r="F1602"/>
      <c r="G1602"/>
      <c r="H1602"/>
      <c r="I1602"/>
      <c r="J1602"/>
      <c r="K1602"/>
      <c r="L1602"/>
      <c r="M1602"/>
    </row>
    <row r="1603" spans="1:13" hidden="1" x14ac:dyDescent="0.2">
      <c r="A1603" s="2292" t="s">
        <v>4409</v>
      </c>
      <c r="B1603" s="164" t="s">
        <v>5473</v>
      </c>
      <c r="C1603"/>
      <c r="D1603"/>
      <c r="E1603"/>
      <c r="F1603"/>
      <c r="G1603"/>
      <c r="H1603"/>
      <c r="I1603"/>
      <c r="J1603"/>
      <c r="K1603"/>
      <c r="L1603"/>
      <c r="M1603"/>
    </row>
    <row r="1604" spans="1:13" hidden="1" x14ac:dyDescent="0.2">
      <c r="A1604" s="2292" t="s">
        <v>4410</v>
      </c>
      <c r="B1604" s="164" t="s">
        <v>5475</v>
      </c>
      <c r="C1604"/>
      <c r="D1604"/>
      <c r="E1604"/>
      <c r="F1604"/>
      <c r="G1604"/>
      <c r="H1604"/>
      <c r="I1604"/>
      <c r="J1604"/>
      <c r="K1604"/>
      <c r="L1604"/>
      <c r="M1604"/>
    </row>
    <row r="1605" spans="1:13" hidden="1" x14ac:dyDescent="0.2">
      <c r="A1605" s="2292" t="s">
        <v>4411</v>
      </c>
      <c r="B1605" s="164" t="s">
        <v>4094</v>
      </c>
      <c r="C1605"/>
      <c r="D1605"/>
      <c r="E1605"/>
      <c r="F1605"/>
      <c r="G1605"/>
      <c r="H1605"/>
      <c r="I1605"/>
      <c r="J1605"/>
      <c r="K1605"/>
      <c r="L1605"/>
      <c r="M1605"/>
    </row>
    <row r="1606" spans="1:13" hidden="1" x14ac:dyDescent="0.2">
      <c r="A1606" s="2292" t="s">
        <v>4412</v>
      </c>
      <c r="B1606" s="164" t="s">
        <v>4104</v>
      </c>
      <c r="C1606"/>
      <c r="D1606"/>
      <c r="E1606"/>
      <c r="F1606"/>
      <c r="G1606"/>
      <c r="H1606"/>
      <c r="I1606"/>
      <c r="J1606"/>
      <c r="K1606"/>
      <c r="L1606"/>
      <c r="M1606"/>
    </row>
    <row r="1607" spans="1:13" hidden="1" x14ac:dyDescent="0.2">
      <c r="A1607" s="2292" t="s">
        <v>4413</v>
      </c>
      <c r="B1607" s="164" t="s">
        <v>2326</v>
      </c>
      <c r="C1607"/>
      <c r="D1607"/>
      <c r="E1607"/>
      <c r="F1607"/>
      <c r="G1607"/>
      <c r="H1607"/>
      <c r="I1607"/>
      <c r="J1607"/>
      <c r="K1607"/>
      <c r="L1607"/>
      <c r="M1607"/>
    </row>
    <row r="1608" spans="1:13" hidden="1" x14ac:dyDescent="0.2">
      <c r="A1608" s="2292" t="s">
        <v>4414</v>
      </c>
      <c r="B1608" s="164" t="s">
        <v>2</v>
      </c>
      <c r="C1608"/>
      <c r="D1608"/>
      <c r="E1608"/>
      <c r="F1608"/>
      <c r="G1608"/>
      <c r="H1608"/>
      <c r="I1608"/>
      <c r="J1608"/>
      <c r="K1608"/>
      <c r="L1608"/>
      <c r="M1608"/>
    </row>
    <row r="1609" spans="1:13" hidden="1" x14ac:dyDescent="0.2">
      <c r="A1609" s="2292" t="s">
        <v>4415</v>
      </c>
      <c r="B1609" s="164" t="s">
        <v>1749</v>
      </c>
      <c r="C1609"/>
      <c r="D1609"/>
      <c r="E1609"/>
      <c r="F1609"/>
      <c r="G1609"/>
      <c r="H1609"/>
      <c r="I1609"/>
      <c r="J1609"/>
      <c r="K1609"/>
      <c r="L1609"/>
      <c r="M1609"/>
    </row>
    <row r="1610" spans="1:13" hidden="1" x14ac:dyDescent="0.2">
      <c r="A1610" s="2292" t="s">
        <v>4416</v>
      </c>
      <c r="B1610" s="164" t="s">
        <v>2493</v>
      </c>
      <c r="C1610" s="1634" t="s">
        <v>2494</v>
      </c>
      <c r="D1610"/>
      <c r="E1610"/>
      <c r="F1610"/>
      <c r="G1610"/>
      <c r="H1610"/>
      <c r="I1610"/>
      <c r="J1610"/>
      <c r="K1610"/>
      <c r="L1610"/>
      <c r="M1610"/>
    </row>
    <row r="1611" spans="1:13" hidden="1" x14ac:dyDescent="0.2">
      <c r="A1611" s="2292" t="s">
        <v>4417</v>
      </c>
      <c r="B1611" s="164" t="s">
        <v>1069</v>
      </c>
      <c r="C1611"/>
      <c r="D1611"/>
      <c r="E1611"/>
      <c r="F1611"/>
      <c r="G1611"/>
      <c r="H1611"/>
      <c r="I1611"/>
      <c r="J1611"/>
      <c r="K1611"/>
      <c r="L1611"/>
      <c r="M1611"/>
    </row>
    <row r="1612" spans="1:13" hidden="1" x14ac:dyDescent="0.2">
      <c r="A1612" s="2292" t="s">
        <v>4418</v>
      </c>
      <c r="B1612" s="164" t="s">
        <v>1781</v>
      </c>
      <c r="C1612"/>
      <c r="D1612"/>
    </row>
    <row r="1613" spans="1:13" hidden="1" x14ac:dyDescent="0.2">
      <c r="A1613" s="2292" t="s">
        <v>4419</v>
      </c>
      <c r="B1613" s="164" t="s">
        <v>663</v>
      </c>
      <c r="C1613"/>
      <c r="D1613"/>
    </row>
    <row r="1614" spans="1:13" hidden="1" x14ac:dyDescent="0.2">
      <c r="A1614" s="2292" t="s">
        <v>4420</v>
      </c>
      <c r="B1614" s="164" t="s">
        <v>679</v>
      </c>
      <c r="C1614"/>
      <c r="D1614"/>
    </row>
    <row r="1615" spans="1:13" hidden="1" x14ac:dyDescent="0.2">
      <c r="A1615" s="2292" t="s">
        <v>4421</v>
      </c>
      <c r="B1615" s="164" t="s">
        <v>2562</v>
      </c>
      <c r="C1615"/>
      <c r="D1615"/>
    </row>
    <row r="1616" spans="1:13" hidden="1" x14ac:dyDescent="0.2">
      <c r="A1616" s="2292" t="s">
        <v>4422</v>
      </c>
      <c r="B1616" s="164" t="s">
        <v>508</v>
      </c>
      <c r="C1616"/>
      <c r="D1616"/>
    </row>
    <row r="1617" spans="1:7" hidden="1" x14ac:dyDescent="0.2">
      <c r="A1617" s="2292" t="s">
        <v>7323</v>
      </c>
      <c r="B1617" s="164" t="s">
        <v>3246</v>
      </c>
      <c r="C1617"/>
      <c r="D1617"/>
    </row>
    <row r="1618" spans="1:7" hidden="1" x14ac:dyDescent="0.2">
      <c r="A1618" s="2292"/>
      <c r="B1618" s="164"/>
      <c r="C1618"/>
      <c r="D1618"/>
    </row>
    <row r="1619" spans="1:7" hidden="1" x14ac:dyDescent="0.2">
      <c r="A1619" s="2292"/>
      <c r="B1619" s="164"/>
      <c r="C1619"/>
      <c r="D1619"/>
    </row>
    <row r="1620" spans="1:7" hidden="1" x14ac:dyDescent="0.2">
      <c r="A1620" s="2292"/>
      <c r="B1620" s="164"/>
      <c r="C1620"/>
      <c r="D1620"/>
    </row>
    <row r="1621" spans="1:7" hidden="1" x14ac:dyDescent="0.2">
      <c r="A1621" s="2292"/>
      <c r="B1621" s="164"/>
      <c r="C1621"/>
      <c r="D1621"/>
    </row>
    <row r="1622" spans="1:7" hidden="1" x14ac:dyDescent="0.2">
      <c r="A1622" s="2292"/>
      <c r="B1622" s="164"/>
    </row>
    <row r="1623" spans="1:7" hidden="1" x14ac:dyDescent="0.2">
      <c r="A1623" s="2292"/>
      <c r="B1623" s="164"/>
    </row>
    <row r="1624" spans="1:7" hidden="1" x14ac:dyDescent="0.2">
      <c r="A1624" s="2292"/>
      <c r="B1624" s="164"/>
    </row>
    <row r="1625" spans="1:7" hidden="1" x14ac:dyDescent="0.2">
      <c r="A1625" s="2292" t="s">
        <v>4423</v>
      </c>
      <c r="B1625" s="164" t="s">
        <v>2538</v>
      </c>
      <c r="C1625"/>
      <c r="D1625"/>
    </row>
    <row r="1626" spans="1:7" hidden="1" x14ac:dyDescent="0.2">
      <c r="A1626" s="2292" t="s">
        <v>4424</v>
      </c>
      <c r="B1626" s="164" t="s">
        <v>5471</v>
      </c>
      <c r="C1626"/>
      <c r="D1626"/>
    </row>
    <row r="1627" spans="1:7" hidden="1" x14ac:dyDescent="0.2">
      <c r="A1627" s="2292" t="s">
        <v>4425</v>
      </c>
      <c r="B1627" s="164" t="s">
        <v>2722</v>
      </c>
      <c r="C1627"/>
      <c r="D1627"/>
    </row>
    <row r="1628" spans="1:7" hidden="1" x14ac:dyDescent="0.2">
      <c r="A1628" s="2292" t="s">
        <v>4426</v>
      </c>
      <c r="B1628" s="164" t="s">
        <v>1061</v>
      </c>
      <c r="C1628"/>
      <c r="D1628"/>
      <c r="E1628"/>
      <c r="F1628"/>
      <c r="G1628"/>
    </row>
    <row r="1629" spans="1:7" hidden="1" x14ac:dyDescent="0.2">
      <c r="A1629" s="2292" t="s">
        <v>4427</v>
      </c>
      <c r="B1629" s="164" t="s">
        <v>5472</v>
      </c>
      <c r="C1629"/>
      <c r="D1629"/>
      <c r="E1629"/>
      <c r="F1629"/>
      <c r="G1629"/>
    </row>
    <row r="1630" spans="1:7" hidden="1" x14ac:dyDescent="0.2">
      <c r="A1630" s="2292" t="s">
        <v>4428</v>
      </c>
      <c r="B1630" s="164" t="s">
        <v>4174</v>
      </c>
      <c r="C1630"/>
      <c r="D1630"/>
      <c r="E1630"/>
      <c r="F1630"/>
      <c r="G1630"/>
    </row>
    <row r="1631" spans="1:7" hidden="1" x14ac:dyDescent="0.2">
      <c r="A1631" s="2292" t="s">
        <v>4429</v>
      </c>
      <c r="B1631" s="164" t="s">
        <v>5473</v>
      </c>
      <c r="C1631"/>
      <c r="D1631"/>
      <c r="E1631"/>
      <c r="F1631"/>
      <c r="G1631"/>
    </row>
    <row r="1632" spans="1:7" hidden="1" x14ac:dyDescent="0.2">
      <c r="A1632" s="2292" t="s">
        <v>4430</v>
      </c>
      <c r="B1632" s="164" t="s">
        <v>2029</v>
      </c>
      <c r="C1632"/>
      <c r="D1632"/>
      <c r="E1632"/>
      <c r="F1632"/>
      <c r="G1632"/>
    </row>
    <row r="1633" spans="1:7" hidden="1" x14ac:dyDescent="0.2">
      <c r="A1633" s="2292" t="s">
        <v>4431</v>
      </c>
      <c r="B1633" s="164" t="s">
        <v>5424</v>
      </c>
      <c r="C1633"/>
      <c r="D1633"/>
      <c r="E1633"/>
      <c r="F1633"/>
      <c r="G1633"/>
    </row>
    <row r="1634" spans="1:7" hidden="1" x14ac:dyDescent="0.2">
      <c r="A1634" s="2292"/>
      <c r="B1634" s="164"/>
      <c r="C1634"/>
      <c r="D1634"/>
      <c r="E1634"/>
      <c r="F1634"/>
      <c r="G1634"/>
    </row>
    <row r="1635" spans="1:7" hidden="1" x14ac:dyDescent="0.2">
      <c r="A1635" s="2292"/>
      <c r="B1635" s="164"/>
      <c r="C1635"/>
      <c r="D1635"/>
      <c r="E1635"/>
      <c r="F1635"/>
      <c r="G1635"/>
    </row>
    <row r="1636" spans="1:7" hidden="1" x14ac:dyDescent="0.2">
      <c r="A1636" s="2292"/>
      <c r="B1636" s="164"/>
      <c r="C1636"/>
      <c r="D1636"/>
      <c r="E1636"/>
      <c r="F1636"/>
      <c r="G1636"/>
    </row>
    <row r="1637" spans="1:7" hidden="1" x14ac:dyDescent="0.2">
      <c r="A1637" s="2291" t="s">
        <v>3746</v>
      </c>
      <c r="B1637" s="164" t="s">
        <v>2714</v>
      </c>
      <c r="C1637"/>
      <c r="D1637"/>
      <c r="E1637"/>
      <c r="F1637"/>
      <c r="G1637"/>
    </row>
    <row r="1638" spans="1:7" hidden="1" x14ac:dyDescent="0.2">
      <c r="A1638" s="2291" t="s">
        <v>3747</v>
      </c>
      <c r="B1638" s="1634" t="s">
        <v>5694</v>
      </c>
      <c r="C1638"/>
      <c r="D1638"/>
      <c r="E1638"/>
      <c r="F1638"/>
      <c r="G1638"/>
    </row>
    <row r="1639" spans="1:7" hidden="1" x14ac:dyDescent="0.2">
      <c r="A1639" s="2291" t="s">
        <v>3748</v>
      </c>
      <c r="B1639" s="1634" t="s">
        <v>5696</v>
      </c>
      <c r="C1639"/>
      <c r="D1639"/>
      <c r="E1639"/>
      <c r="F1639"/>
      <c r="G1639"/>
    </row>
    <row r="1640" spans="1:7" hidden="1" x14ac:dyDescent="0.2">
      <c r="A1640" s="2291" t="s">
        <v>3749</v>
      </c>
      <c r="B1640" s="1634" t="s">
        <v>6677</v>
      </c>
      <c r="C1640" s="1634" t="s">
        <v>2029</v>
      </c>
      <c r="D1640" s="1634" t="s">
        <v>4708</v>
      </c>
      <c r="E1640" s="1634" t="s">
        <v>6460</v>
      </c>
      <c r="F1640" s="1634" t="s">
        <v>3132</v>
      </c>
      <c r="G1640" s="1634" t="s">
        <v>6679</v>
      </c>
    </row>
    <row r="1641" spans="1:7" hidden="1" x14ac:dyDescent="0.2">
      <c r="A1641" s="2291" t="s">
        <v>3750</v>
      </c>
      <c r="B1641" s="1634" t="s">
        <v>6683</v>
      </c>
      <c r="C1641" s="1634" t="s">
        <v>3423</v>
      </c>
      <c r="D1641" s="1634" t="s">
        <v>4710</v>
      </c>
      <c r="E1641" s="1634" t="s">
        <v>6462</v>
      </c>
      <c r="F1641" s="1634" t="s">
        <v>4045</v>
      </c>
      <c r="G1641" s="1634" t="s">
        <v>6684</v>
      </c>
    </row>
    <row r="1642" spans="1:7" hidden="1" x14ac:dyDescent="0.2">
      <c r="A1642" s="2291" t="s">
        <v>3751</v>
      </c>
      <c r="B1642" s="1634" t="s">
        <v>6688</v>
      </c>
      <c r="C1642" s="1634" t="s">
        <v>5424</v>
      </c>
      <c r="D1642" s="1634" t="s">
        <v>4712</v>
      </c>
      <c r="E1642" s="1634" t="s">
        <v>6464</v>
      </c>
      <c r="F1642" s="1634" t="s">
        <v>4047</v>
      </c>
      <c r="G1642" s="1634" t="s">
        <v>6690</v>
      </c>
    </row>
    <row r="1643" spans="1:7" hidden="1" x14ac:dyDescent="0.2">
      <c r="A1643" s="2291" t="s">
        <v>3752</v>
      </c>
      <c r="B1643" s="1634" t="s">
        <v>6694</v>
      </c>
      <c r="C1643" s="1634" t="s">
        <v>5430</v>
      </c>
      <c r="D1643" s="1634" t="s">
        <v>4714</v>
      </c>
      <c r="E1643" s="1634" t="s">
        <v>2911</v>
      </c>
      <c r="F1643" s="1634" t="s">
        <v>4095</v>
      </c>
      <c r="G1643" s="1634" t="s">
        <v>4096</v>
      </c>
    </row>
    <row r="1644" spans="1:7" hidden="1" x14ac:dyDescent="0.2">
      <c r="A1644" s="2291" t="s">
        <v>3753</v>
      </c>
      <c r="B1644" s="1634" t="s">
        <v>6697</v>
      </c>
      <c r="C1644" s="1634" t="s">
        <v>2154</v>
      </c>
      <c r="D1644" s="1634" t="s">
        <v>5476</v>
      </c>
      <c r="E1644" s="1634" t="s">
        <v>2913</v>
      </c>
      <c r="F1644" s="1634" t="s">
        <v>4100</v>
      </c>
      <c r="G1644" s="1634" t="s">
        <v>4101</v>
      </c>
    </row>
    <row r="1645" spans="1:7" hidden="1" x14ac:dyDescent="0.2">
      <c r="A1645" s="2291" t="s">
        <v>3754</v>
      </c>
      <c r="B1645" s="1634" t="s">
        <v>2660</v>
      </c>
      <c r="C1645" s="1634" t="s">
        <v>2161</v>
      </c>
      <c r="D1645" s="1634" t="s">
        <v>4716</v>
      </c>
      <c r="E1645" s="1634" t="s">
        <v>2915</v>
      </c>
      <c r="F1645" s="1634" t="s">
        <v>4105</v>
      </c>
      <c r="G1645" s="1634" t="s">
        <v>2318</v>
      </c>
    </row>
    <row r="1646" spans="1:7" hidden="1" x14ac:dyDescent="0.2">
      <c r="A1646" s="2291" t="s">
        <v>3755</v>
      </c>
      <c r="B1646" s="1634" t="s">
        <v>2663</v>
      </c>
      <c r="C1646" s="1634" t="s">
        <v>2168</v>
      </c>
      <c r="D1646" s="1634" t="s">
        <v>6426</v>
      </c>
      <c r="E1646" s="1634" t="s">
        <v>2917</v>
      </c>
      <c r="F1646" s="1634" t="s">
        <v>2322</v>
      </c>
      <c r="G1646" s="1634" t="s">
        <v>2323</v>
      </c>
    </row>
    <row r="1647" spans="1:7" hidden="1" x14ac:dyDescent="0.2">
      <c r="A1647" s="2291" t="s">
        <v>3756</v>
      </c>
      <c r="B1647" s="1634" t="s">
        <v>3859</v>
      </c>
      <c r="C1647" s="1634" t="s">
        <v>2174</v>
      </c>
      <c r="D1647" s="1634" t="s">
        <v>6428</v>
      </c>
      <c r="E1647" s="1634" t="s">
        <v>2919</v>
      </c>
      <c r="F1647" s="1634" t="s">
        <v>2327</v>
      </c>
      <c r="G1647" s="1634" t="s">
        <v>2328</v>
      </c>
    </row>
    <row r="1648" spans="1:7" hidden="1" x14ac:dyDescent="0.2">
      <c r="A1648" s="2291" t="s">
        <v>5833</v>
      </c>
      <c r="B1648" s="1634" t="s">
        <v>3862</v>
      </c>
      <c r="C1648" s="1634" t="s">
        <v>2181</v>
      </c>
      <c r="D1648" s="1634" t="s">
        <v>6430</v>
      </c>
      <c r="E1648" s="1634" t="s">
        <v>1575</v>
      </c>
      <c r="F1648" s="1634" t="s">
        <v>6606</v>
      </c>
      <c r="G1648" s="1634" t="s">
        <v>5084</v>
      </c>
    </row>
    <row r="1649" spans="1:13" hidden="1" x14ac:dyDescent="0.2">
      <c r="A1649" s="2291" t="s">
        <v>5834</v>
      </c>
      <c r="B1649" s="1634" t="s">
        <v>3052</v>
      </c>
      <c r="C1649" s="1634" t="s">
        <v>2188</v>
      </c>
      <c r="D1649" s="1634" t="s">
        <v>2921</v>
      </c>
      <c r="E1649" s="1634" t="s">
        <v>4078</v>
      </c>
      <c r="F1649" s="1634" t="s">
        <v>3</v>
      </c>
      <c r="G1649" s="1634" t="s">
        <v>1741</v>
      </c>
    </row>
    <row r="1650" spans="1:13" hidden="1" x14ac:dyDescent="0.2">
      <c r="A1650" s="2291" t="s">
        <v>5835</v>
      </c>
      <c r="B1650" s="1634" t="s">
        <v>3054</v>
      </c>
      <c r="C1650" s="1634" t="s">
        <v>3092</v>
      </c>
      <c r="D1650" s="1634" t="s">
        <v>2923</v>
      </c>
      <c r="E1650" s="1634" t="s">
        <v>4080</v>
      </c>
      <c r="F1650" s="1634" t="s">
        <v>1745</v>
      </c>
      <c r="G1650" s="1634" t="s">
        <v>1746</v>
      </c>
    </row>
    <row r="1651" spans="1:13" hidden="1" x14ac:dyDescent="0.2">
      <c r="A1651" s="2291" t="s">
        <v>5836</v>
      </c>
      <c r="B1651" s="1634" t="s">
        <v>3056</v>
      </c>
      <c r="C1651" s="1634" t="s">
        <v>3535</v>
      </c>
      <c r="D1651" s="1634" t="s">
        <v>3301</v>
      </c>
      <c r="E1651" s="1634" t="s">
        <v>4082</v>
      </c>
      <c r="F1651" s="1634" t="s">
        <v>1750</v>
      </c>
      <c r="G1651" s="1634" t="s">
        <v>1751</v>
      </c>
    </row>
    <row r="1652" spans="1:13" hidden="1" x14ac:dyDescent="0.2">
      <c r="A1652" s="2291" t="s">
        <v>5837</v>
      </c>
      <c r="B1652" s="1634" t="s">
        <v>3058</v>
      </c>
      <c r="C1652" s="1634" t="s">
        <v>6189</v>
      </c>
      <c r="D1652" s="1634" t="s">
        <v>3303</v>
      </c>
      <c r="E1652" s="1634" t="s">
        <v>4084</v>
      </c>
      <c r="F1652" s="1634" t="s">
        <v>1728</v>
      </c>
      <c r="G1652" s="1634" t="s">
        <v>945</v>
      </c>
    </row>
    <row r="1653" spans="1:13" hidden="1" x14ac:dyDescent="0.2">
      <c r="A1653" s="2291" t="s">
        <v>5838</v>
      </c>
      <c r="B1653" s="1634" t="s">
        <v>3865</v>
      </c>
      <c r="C1653" s="1634" t="s">
        <v>2277</v>
      </c>
      <c r="D1653" s="1634" t="s">
        <v>5477</v>
      </c>
      <c r="E1653" s="1634" t="s">
        <v>4086</v>
      </c>
      <c r="F1653" s="1634" t="s">
        <v>2494</v>
      </c>
      <c r="G1653" s="1634" t="s">
        <v>2495</v>
      </c>
    </row>
    <row r="1654" spans="1:13" hidden="1" x14ac:dyDescent="0.2">
      <c r="A1654" s="2291" t="s">
        <v>5839</v>
      </c>
      <c r="B1654" s="1634" t="s">
        <v>2433</v>
      </c>
      <c r="C1654"/>
      <c r="D1654"/>
      <c r="E1654"/>
      <c r="F1654"/>
      <c r="G1654"/>
    </row>
    <row r="1655" spans="1:13" hidden="1" x14ac:dyDescent="0.2">
      <c r="C1655"/>
      <c r="D1655"/>
      <c r="E1655"/>
      <c r="F1655"/>
      <c r="G1655"/>
    </row>
    <row r="1656" spans="1:13" hidden="1" x14ac:dyDescent="0.2">
      <c r="C1656"/>
      <c r="D1656"/>
      <c r="E1656"/>
      <c r="F1656"/>
      <c r="G1656"/>
    </row>
    <row r="1657" spans="1:13" hidden="1" x14ac:dyDescent="0.2">
      <c r="C1657"/>
      <c r="D1657"/>
      <c r="E1657"/>
      <c r="F1657"/>
      <c r="G1657"/>
    </row>
    <row r="1658" spans="1:13" hidden="1" x14ac:dyDescent="0.2">
      <c r="A1658" s="2291" t="s">
        <v>5840</v>
      </c>
      <c r="B1658" s="1634" t="s">
        <v>2714</v>
      </c>
      <c r="C1658"/>
      <c r="D1658"/>
      <c r="E1658"/>
      <c r="F1658"/>
      <c r="G1658"/>
    </row>
    <row r="1659" spans="1:13" hidden="1" x14ac:dyDescent="0.2">
      <c r="A1659" s="2291" t="s">
        <v>5841</v>
      </c>
      <c r="B1659" s="1634" t="s">
        <v>5694</v>
      </c>
      <c r="C1659"/>
      <c r="D1659"/>
      <c r="E1659"/>
      <c r="F1659"/>
      <c r="G1659"/>
    </row>
    <row r="1660" spans="1:13" hidden="1" x14ac:dyDescent="0.2">
      <c r="A1660" s="2291" t="s">
        <v>5842</v>
      </c>
      <c r="B1660" s="1634" t="s">
        <v>5696</v>
      </c>
      <c r="C1660"/>
      <c r="D1660"/>
      <c r="E1660"/>
      <c r="F1660"/>
      <c r="G1660"/>
      <c r="H1660"/>
      <c r="I1660"/>
      <c r="J1660"/>
      <c r="K1660"/>
      <c r="L1660"/>
      <c r="M1660"/>
    </row>
    <row r="1661" spans="1:13" hidden="1" x14ac:dyDescent="0.2">
      <c r="A1661" s="2291" t="s">
        <v>5843</v>
      </c>
      <c r="B1661" s="1634" t="s">
        <v>6677</v>
      </c>
      <c r="C1661" s="1634" t="s">
        <v>2029</v>
      </c>
      <c r="D1661" s="1634" t="s">
        <v>4708</v>
      </c>
      <c r="E1661" s="1634" t="s">
        <v>6460</v>
      </c>
      <c r="F1661" s="1634" t="s">
        <v>3132</v>
      </c>
      <c r="G1661" s="1634" t="s">
        <v>6679</v>
      </c>
      <c r="H1661"/>
      <c r="I1661"/>
      <c r="J1661"/>
      <c r="K1661"/>
      <c r="L1661"/>
      <c r="M1661"/>
    </row>
    <row r="1662" spans="1:13" hidden="1" x14ac:dyDescent="0.2">
      <c r="A1662" s="2291" t="s">
        <v>5844</v>
      </c>
      <c r="B1662" s="1634" t="s">
        <v>6683</v>
      </c>
      <c r="C1662" s="1634" t="s">
        <v>3423</v>
      </c>
      <c r="D1662" s="1634" t="s">
        <v>4710</v>
      </c>
      <c r="E1662" s="1634" t="s">
        <v>6462</v>
      </c>
      <c r="F1662" s="1634" t="s">
        <v>4045</v>
      </c>
      <c r="G1662" s="1634" t="s">
        <v>6684</v>
      </c>
      <c r="H1662"/>
      <c r="I1662"/>
      <c r="J1662"/>
      <c r="K1662"/>
      <c r="L1662"/>
      <c r="M1662"/>
    </row>
    <row r="1663" spans="1:13" hidden="1" x14ac:dyDescent="0.2">
      <c r="A1663" s="2291" t="s">
        <v>5845</v>
      </c>
      <c r="B1663" s="1634" t="s">
        <v>6688</v>
      </c>
      <c r="C1663" s="1634" t="s">
        <v>5424</v>
      </c>
      <c r="D1663" s="1634" t="s">
        <v>4712</v>
      </c>
      <c r="E1663" s="1634" t="s">
        <v>6464</v>
      </c>
      <c r="F1663" s="1634" t="s">
        <v>4047</v>
      </c>
      <c r="G1663" s="1634" t="s">
        <v>6690</v>
      </c>
      <c r="H1663"/>
      <c r="I1663"/>
      <c r="J1663"/>
      <c r="K1663"/>
      <c r="L1663"/>
      <c r="M1663"/>
    </row>
    <row r="1664" spans="1:13" hidden="1" x14ac:dyDescent="0.2">
      <c r="A1664" s="2291" t="s">
        <v>5846</v>
      </c>
      <c r="B1664" s="1634" t="s">
        <v>6694</v>
      </c>
      <c r="C1664" s="1634" t="s">
        <v>5430</v>
      </c>
      <c r="D1664" s="1634" t="s">
        <v>4714</v>
      </c>
      <c r="E1664" s="1634" t="s">
        <v>2911</v>
      </c>
      <c r="F1664" s="1634" t="s">
        <v>4095</v>
      </c>
      <c r="G1664" s="1634" t="s">
        <v>4096</v>
      </c>
      <c r="H1664"/>
      <c r="I1664"/>
      <c r="J1664"/>
      <c r="K1664"/>
      <c r="L1664"/>
      <c r="M1664"/>
    </row>
    <row r="1665" spans="1:13" hidden="1" x14ac:dyDescent="0.2">
      <c r="A1665" s="2291" t="s">
        <v>5847</v>
      </c>
      <c r="B1665" s="1634" t="s">
        <v>6697</v>
      </c>
      <c r="C1665" s="1634" t="s">
        <v>2154</v>
      </c>
      <c r="D1665" s="1634" t="s">
        <v>5476</v>
      </c>
      <c r="E1665" s="1634" t="s">
        <v>2913</v>
      </c>
      <c r="F1665" s="1634" t="s">
        <v>4100</v>
      </c>
      <c r="G1665" s="1634" t="s">
        <v>4101</v>
      </c>
      <c r="H1665"/>
      <c r="I1665"/>
      <c r="J1665"/>
      <c r="K1665"/>
      <c r="L1665"/>
      <c r="M1665"/>
    </row>
    <row r="1666" spans="1:13" hidden="1" x14ac:dyDescent="0.2">
      <c r="A1666" s="2291" t="s">
        <v>5848</v>
      </c>
      <c r="B1666" s="1634" t="s">
        <v>2660</v>
      </c>
      <c r="C1666" s="1634" t="s">
        <v>2161</v>
      </c>
      <c r="D1666" s="1634" t="s">
        <v>4716</v>
      </c>
      <c r="E1666" s="1634" t="s">
        <v>2915</v>
      </c>
      <c r="F1666" s="1634" t="s">
        <v>4105</v>
      </c>
      <c r="G1666" s="1634" t="s">
        <v>2318</v>
      </c>
      <c r="H1666"/>
      <c r="I1666"/>
      <c r="J1666"/>
      <c r="K1666"/>
      <c r="L1666"/>
      <c r="M1666"/>
    </row>
    <row r="1667" spans="1:13" hidden="1" x14ac:dyDescent="0.2">
      <c r="A1667" s="2291" t="s">
        <v>5849</v>
      </c>
      <c r="B1667" s="1634" t="s">
        <v>2663</v>
      </c>
      <c r="C1667" s="1634" t="s">
        <v>2168</v>
      </c>
      <c r="D1667" s="1634" t="s">
        <v>6426</v>
      </c>
      <c r="E1667" s="1634" t="s">
        <v>2917</v>
      </c>
      <c r="F1667" s="1634" t="s">
        <v>2322</v>
      </c>
      <c r="G1667" s="1634" t="s">
        <v>2323</v>
      </c>
      <c r="H1667"/>
      <c r="I1667"/>
      <c r="J1667"/>
      <c r="K1667"/>
      <c r="L1667"/>
      <c r="M1667"/>
    </row>
    <row r="1668" spans="1:13" hidden="1" x14ac:dyDescent="0.2">
      <c r="A1668" s="2291" t="s">
        <v>5850</v>
      </c>
      <c r="B1668" s="1634" t="s">
        <v>3859</v>
      </c>
      <c r="C1668" s="1634" t="s">
        <v>2174</v>
      </c>
      <c r="D1668" s="1634" t="s">
        <v>6428</v>
      </c>
      <c r="E1668" s="1634" t="s">
        <v>2919</v>
      </c>
      <c r="F1668" s="1634" t="s">
        <v>2327</v>
      </c>
      <c r="G1668" s="1634" t="s">
        <v>2328</v>
      </c>
      <c r="H1668"/>
      <c r="I1668"/>
      <c r="J1668"/>
      <c r="K1668"/>
      <c r="L1668"/>
      <c r="M1668"/>
    </row>
    <row r="1669" spans="1:13" hidden="1" x14ac:dyDescent="0.2">
      <c r="A1669" s="2291" t="s">
        <v>5851</v>
      </c>
      <c r="B1669" s="1634" t="s">
        <v>3862</v>
      </c>
      <c r="C1669" s="1634" t="s">
        <v>2181</v>
      </c>
      <c r="D1669" s="1634" t="s">
        <v>6430</v>
      </c>
      <c r="E1669" s="1634" t="s">
        <v>1575</v>
      </c>
      <c r="F1669" s="1634" t="s">
        <v>6606</v>
      </c>
      <c r="G1669" s="1634" t="s">
        <v>5084</v>
      </c>
      <c r="H1669"/>
      <c r="I1669"/>
      <c r="J1669"/>
      <c r="K1669"/>
      <c r="L1669"/>
      <c r="M1669"/>
    </row>
    <row r="1670" spans="1:13" hidden="1" x14ac:dyDescent="0.2">
      <c r="A1670" s="2291" t="s">
        <v>5852</v>
      </c>
      <c r="B1670" s="1634" t="s">
        <v>3052</v>
      </c>
      <c r="C1670" s="1634" t="s">
        <v>2188</v>
      </c>
      <c r="D1670" s="1634" t="s">
        <v>2921</v>
      </c>
      <c r="E1670" s="1634" t="s">
        <v>4078</v>
      </c>
      <c r="F1670" s="1634" t="s">
        <v>3</v>
      </c>
      <c r="G1670" s="1634" t="s">
        <v>1741</v>
      </c>
      <c r="H1670"/>
      <c r="I1670"/>
      <c r="J1670"/>
      <c r="K1670"/>
      <c r="L1670"/>
      <c r="M1670"/>
    </row>
    <row r="1671" spans="1:13" hidden="1" x14ac:dyDescent="0.2">
      <c r="A1671" s="2291" t="s">
        <v>5853</v>
      </c>
      <c r="B1671" s="1634" t="s">
        <v>3054</v>
      </c>
      <c r="C1671" s="1634" t="s">
        <v>3092</v>
      </c>
      <c r="D1671" s="1634" t="s">
        <v>2923</v>
      </c>
      <c r="E1671" s="1634" t="s">
        <v>4080</v>
      </c>
      <c r="F1671" s="1634" t="s">
        <v>1745</v>
      </c>
      <c r="G1671" s="1634" t="s">
        <v>1746</v>
      </c>
      <c r="H1671"/>
      <c r="I1671"/>
      <c r="J1671"/>
      <c r="K1671"/>
      <c r="L1671"/>
      <c r="M1671"/>
    </row>
    <row r="1672" spans="1:13" hidden="1" x14ac:dyDescent="0.2">
      <c r="A1672" s="2291" t="s">
        <v>5854</v>
      </c>
      <c r="B1672" s="1634" t="s">
        <v>3056</v>
      </c>
      <c r="C1672" s="1634" t="s">
        <v>3535</v>
      </c>
      <c r="D1672" s="1634" t="s">
        <v>3301</v>
      </c>
      <c r="E1672" s="1634" t="s">
        <v>4082</v>
      </c>
      <c r="F1672" s="1634" t="s">
        <v>1750</v>
      </c>
      <c r="G1672" s="1634" t="s">
        <v>1751</v>
      </c>
      <c r="H1672"/>
      <c r="I1672"/>
      <c r="J1672"/>
      <c r="K1672"/>
      <c r="L1672"/>
      <c r="M1672"/>
    </row>
    <row r="1673" spans="1:13" hidden="1" x14ac:dyDescent="0.2">
      <c r="A1673" s="2291" t="s">
        <v>5855</v>
      </c>
      <c r="B1673" s="1634" t="s">
        <v>3058</v>
      </c>
      <c r="C1673" s="1634" t="s">
        <v>6189</v>
      </c>
      <c r="D1673" s="1634" t="s">
        <v>3303</v>
      </c>
      <c r="E1673" s="1634" t="s">
        <v>4084</v>
      </c>
      <c r="F1673" s="1634" t="s">
        <v>1728</v>
      </c>
      <c r="G1673" s="1634" t="s">
        <v>945</v>
      </c>
      <c r="H1673"/>
      <c r="I1673"/>
      <c r="J1673"/>
      <c r="K1673"/>
      <c r="L1673"/>
      <c r="M1673"/>
    </row>
    <row r="1674" spans="1:13" hidden="1" x14ac:dyDescent="0.2">
      <c r="A1674" s="2291" t="s">
        <v>5856</v>
      </c>
      <c r="B1674" s="1634" t="s">
        <v>2433</v>
      </c>
      <c r="G1674"/>
      <c r="H1674"/>
      <c r="I1674"/>
      <c r="J1674"/>
      <c r="K1674"/>
      <c r="L1674" s="2291"/>
      <c r="M1674" s="2302"/>
    </row>
    <row r="1675" spans="1:13" hidden="1" x14ac:dyDescent="0.2">
      <c r="A1675"/>
      <c r="B1675"/>
      <c r="C1675"/>
      <c r="D1675"/>
      <c r="E1675"/>
      <c r="F1675"/>
      <c r="G1675"/>
      <c r="H1675"/>
      <c r="I1675"/>
      <c r="J1675"/>
      <c r="K1675"/>
      <c r="L1675"/>
      <c r="M1675"/>
    </row>
    <row r="1676" spans="1:13" hidden="1" x14ac:dyDescent="0.2">
      <c r="C1676"/>
      <c r="D1676"/>
      <c r="E1676"/>
      <c r="F1676"/>
      <c r="G1676"/>
    </row>
    <row r="1677" spans="1:13" hidden="1" x14ac:dyDescent="0.2">
      <c r="C1677"/>
      <c r="D1677"/>
      <c r="E1677"/>
      <c r="F1677"/>
      <c r="G1677"/>
    </row>
    <row r="1678" spans="1:13" hidden="1" x14ac:dyDescent="0.2">
      <c r="C1678"/>
      <c r="D1678"/>
      <c r="E1678"/>
      <c r="F1678"/>
      <c r="G1678"/>
    </row>
    <row r="1679" spans="1:13" hidden="1" x14ac:dyDescent="0.2">
      <c r="A1679" s="2291" t="s">
        <v>5857</v>
      </c>
      <c r="B1679" s="1634" t="s">
        <v>2714</v>
      </c>
      <c r="C1679"/>
      <c r="D1679"/>
      <c r="E1679"/>
      <c r="F1679"/>
      <c r="G1679"/>
    </row>
    <row r="1680" spans="1:13" hidden="1" x14ac:dyDescent="0.2">
      <c r="A1680" s="2291" t="s">
        <v>5858</v>
      </c>
      <c r="B1680" s="1634" t="s">
        <v>5694</v>
      </c>
      <c r="C1680"/>
      <c r="D1680"/>
      <c r="E1680"/>
      <c r="F1680"/>
      <c r="G1680"/>
    </row>
    <row r="1681" spans="1:7" hidden="1" x14ac:dyDescent="0.2">
      <c r="A1681" s="2291" t="s">
        <v>5859</v>
      </c>
      <c r="B1681" s="1634" t="s">
        <v>5696</v>
      </c>
      <c r="C1681"/>
      <c r="D1681"/>
      <c r="E1681"/>
      <c r="F1681"/>
      <c r="G1681"/>
    </row>
    <row r="1682" spans="1:7" hidden="1" x14ac:dyDescent="0.2">
      <c r="A1682" s="2291" t="s">
        <v>5860</v>
      </c>
      <c r="B1682" s="1634" t="s">
        <v>6677</v>
      </c>
      <c r="C1682" s="1634" t="s">
        <v>2029</v>
      </c>
      <c r="D1682" s="1634" t="s">
        <v>4708</v>
      </c>
      <c r="E1682" s="1634" t="s">
        <v>6460</v>
      </c>
      <c r="F1682" s="1634" t="s">
        <v>3132</v>
      </c>
      <c r="G1682" s="1634" t="s">
        <v>6679</v>
      </c>
    </row>
    <row r="1683" spans="1:7" hidden="1" x14ac:dyDescent="0.2">
      <c r="A1683" s="2291" t="s">
        <v>5861</v>
      </c>
      <c r="B1683" s="1634" t="s">
        <v>6683</v>
      </c>
      <c r="C1683" s="1634" t="s">
        <v>3423</v>
      </c>
      <c r="D1683" s="1634" t="s">
        <v>4710</v>
      </c>
      <c r="E1683" s="1634" t="s">
        <v>6462</v>
      </c>
      <c r="F1683" s="1634" t="s">
        <v>4045</v>
      </c>
      <c r="G1683" s="1634" t="s">
        <v>6684</v>
      </c>
    </row>
    <row r="1684" spans="1:7" hidden="1" x14ac:dyDescent="0.2">
      <c r="A1684" s="2291" t="s">
        <v>5862</v>
      </c>
      <c r="B1684" s="1634" t="s">
        <v>6688</v>
      </c>
      <c r="C1684" s="1634" t="s">
        <v>5424</v>
      </c>
      <c r="D1684" s="1634" t="s">
        <v>4712</v>
      </c>
      <c r="E1684" s="1634" t="s">
        <v>6464</v>
      </c>
      <c r="F1684" s="1634" t="s">
        <v>4047</v>
      </c>
      <c r="G1684" s="1634" t="s">
        <v>6690</v>
      </c>
    </row>
    <row r="1685" spans="1:7" hidden="1" x14ac:dyDescent="0.2">
      <c r="A1685" s="2291" t="s">
        <v>5863</v>
      </c>
      <c r="B1685" s="1634" t="s">
        <v>6694</v>
      </c>
      <c r="C1685" s="1634" t="s">
        <v>5430</v>
      </c>
      <c r="D1685" s="1634" t="s">
        <v>4714</v>
      </c>
      <c r="E1685" s="1634" t="s">
        <v>2911</v>
      </c>
      <c r="F1685" s="1634" t="s">
        <v>4095</v>
      </c>
      <c r="G1685" s="1634" t="s">
        <v>4096</v>
      </c>
    </row>
    <row r="1686" spans="1:7" hidden="1" x14ac:dyDescent="0.2">
      <c r="A1686" s="2291" t="s">
        <v>5864</v>
      </c>
      <c r="B1686" s="1634" t="s">
        <v>6697</v>
      </c>
      <c r="C1686" s="1634" t="s">
        <v>2154</v>
      </c>
      <c r="D1686" s="1634" t="s">
        <v>5476</v>
      </c>
      <c r="E1686" s="1634" t="s">
        <v>2913</v>
      </c>
      <c r="F1686" s="1634" t="s">
        <v>4100</v>
      </c>
      <c r="G1686" s="1634" t="s">
        <v>4101</v>
      </c>
    </row>
    <row r="1687" spans="1:7" hidden="1" x14ac:dyDescent="0.2">
      <c r="A1687" s="2291" t="s">
        <v>5865</v>
      </c>
      <c r="B1687" s="1634" t="s">
        <v>2660</v>
      </c>
      <c r="C1687" s="1634" t="s">
        <v>2161</v>
      </c>
      <c r="D1687" s="1634" t="s">
        <v>4716</v>
      </c>
      <c r="E1687" s="1634" t="s">
        <v>2915</v>
      </c>
      <c r="F1687" s="1634" t="s">
        <v>4105</v>
      </c>
      <c r="G1687" s="1634" t="s">
        <v>2318</v>
      </c>
    </row>
    <row r="1688" spans="1:7" hidden="1" x14ac:dyDescent="0.2">
      <c r="A1688" s="2291" t="s">
        <v>5866</v>
      </c>
      <c r="B1688" s="1634" t="s">
        <v>2663</v>
      </c>
      <c r="C1688" s="1634" t="s">
        <v>2168</v>
      </c>
      <c r="D1688" s="1634" t="s">
        <v>6426</v>
      </c>
      <c r="E1688" s="1634" t="s">
        <v>2917</v>
      </c>
      <c r="F1688" s="1634" t="s">
        <v>2322</v>
      </c>
      <c r="G1688" s="1634" t="s">
        <v>2323</v>
      </c>
    </row>
    <row r="1689" spans="1:7" hidden="1" x14ac:dyDescent="0.2">
      <c r="A1689" s="2291" t="s">
        <v>5867</v>
      </c>
      <c r="B1689" s="1634" t="s">
        <v>3859</v>
      </c>
      <c r="C1689" s="1634" t="s">
        <v>2174</v>
      </c>
      <c r="D1689" s="1634" t="s">
        <v>6428</v>
      </c>
      <c r="E1689" s="1634" t="s">
        <v>2919</v>
      </c>
      <c r="F1689" s="1634" t="s">
        <v>2327</v>
      </c>
      <c r="G1689" s="1634" t="s">
        <v>2328</v>
      </c>
    </row>
    <row r="1690" spans="1:7" hidden="1" x14ac:dyDescent="0.2">
      <c r="A1690" s="2291" t="s">
        <v>5868</v>
      </c>
      <c r="B1690" s="1634" t="s">
        <v>3862</v>
      </c>
      <c r="C1690" s="1634" t="s">
        <v>2181</v>
      </c>
      <c r="D1690" s="1634" t="s">
        <v>6430</v>
      </c>
      <c r="E1690" s="1634" t="s">
        <v>1575</v>
      </c>
      <c r="F1690" s="1634" t="s">
        <v>6606</v>
      </c>
      <c r="G1690" s="1634" t="s">
        <v>5084</v>
      </c>
    </row>
    <row r="1691" spans="1:7" hidden="1" x14ac:dyDescent="0.2">
      <c r="A1691" s="2291" t="s">
        <v>5869</v>
      </c>
      <c r="B1691" s="1634" t="s">
        <v>3052</v>
      </c>
      <c r="C1691" s="1634" t="s">
        <v>2188</v>
      </c>
      <c r="D1691" s="1634" t="s">
        <v>2921</v>
      </c>
      <c r="E1691" s="1634" t="s">
        <v>4078</v>
      </c>
      <c r="F1691" s="1634" t="s">
        <v>3</v>
      </c>
      <c r="G1691" s="1634" t="s">
        <v>1741</v>
      </c>
    </row>
    <row r="1692" spans="1:7" hidden="1" x14ac:dyDescent="0.2">
      <c r="A1692" s="2291" t="s">
        <v>5870</v>
      </c>
      <c r="B1692" s="1634" t="s">
        <v>3054</v>
      </c>
      <c r="C1692" s="1634" t="s">
        <v>3092</v>
      </c>
      <c r="D1692" s="1634" t="s">
        <v>2923</v>
      </c>
      <c r="E1692" s="1634" t="s">
        <v>4080</v>
      </c>
      <c r="F1692" s="1634" t="s">
        <v>1745</v>
      </c>
      <c r="G1692" s="1634" t="s">
        <v>1746</v>
      </c>
    </row>
    <row r="1693" spans="1:7" hidden="1" x14ac:dyDescent="0.2">
      <c r="A1693" s="2291" t="s">
        <v>5871</v>
      </c>
      <c r="B1693" s="1634" t="s">
        <v>3056</v>
      </c>
      <c r="C1693" s="1634" t="s">
        <v>3535</v>
      </c>
      <c r="D1693" s="1634" t="s">
        <v>3301</v>
      </c>
      <c r="E1693" s="1634" t="s">
        <v>4082</v>
      </c>
      <c r="F1693" s="1634" t="s">
        <v>1750</v>
      </c>
      <c r="G1693" s="1634" t="s">
        <v>1751</v>
      </c>
    </row>
    <row r="1694" spans="1:7" hidden="1" x14ac:dyDescent="0.2">
      <c r="A1694" s="2291" t="s">
        <v>5872</v>
      </c>
      <c r="B1694" s="1634" t="s">
        <v>3058</v>
      </c>
      <c r="C1694" s="1634" t="s">
        <v>6189</v>
      </c>
      <c r="D1694" s="1634" t="s">
        <v>3303</v>
      </c>
      <c r="E1694" s="1634" t="s">
        <v>4084</v>
      </c>
      <c r="F1694" s="1634" t="s">
        <v>1728</v>
      </c>
      <c r="G1694" s="1634" t="s">
        <v>945</v>
      </c>
    </row>
    <row r="1695" spans="1:7" hidden="1" x14ac:dyDescent="0.2">
      <c r="A1695" s="2291" t="s">
        <v>5873</v>
      </c>
      <c r="B1695" s="1634" t="s">
        <v>3865</v>
      </c>
      <c r="C1695" s="1634" t="s">
        <v>2277</v>
      </c>
      <c r="D1695" s="1634" t="s">
        <v>5477</v>
      </c>
      <c r="E1695" s="1634" t="s">
        <v>4086</v>
      </c>
      <c r="F1695" s="1634" t="s">
        <v>2494</v>
      </c>
      <c r="G1695" s="1634" t="s">
        <v>2495</v>
      </c>
    </row>
    <row r="1696" spans="1:7" hidden="1" x14ac:dyDescent="0.2">
      <c r="A1696" s="2291" t="s">
        <v>5874</v>
      </c>
      <c r="B1696" s="1634" t="s">
        <v>2433</v>
      </c>
      <c r="C1696"/>
      <c r="D1696"/>
      <c r="E1696"/>
      <c r="F1696"/>
      <c r="G1696"/>
    </row>
    <row r="1697" spans="1:7" hidden="1" x14ac:dyDescent="0.2">
      <c r="A1697" s="2292"/>
      <c r="B1697" s="164"/>
      <c r="C1697"/>
      <c r="D1697"/>
      <c r="E1697"/>
      <c r="F1697"/>
      <c r="G1697"/>
    </row>
    <row r="1698" spans="1:7" hidden="1" x14ac:dyDescent="0.2">
      <c r="A1698" s="1634" t="s">
        <v>4529</v>
      </c>
      <c r="B1698" s="1634" t="s">
        <v>5694</v>
      </c>
      <c r="C1698"/>
      <c r="D1698"/>
      <c r="E1698"/>
      <c r="F1698"/>
      <c r="G1698"/>
    </row>
    <row r="1699" spans="1:7" hidden="1" x14ac:dyDescent="0.2">
      <c r="A1699" s="1634" t="s">
        <v>4530</v>
      </c>
      <c r="B1699" s="1634" t="s">
        <v>4035</v>
      </c>
      <c r="C1699"/>
      <c r="D1699"/>
      <c r="E1699"/>
      <c r="F1699"/>
      <c r="G1699"/>
    </row>
    <row r="1700" spans="1:7" hidden="1" x14ac:dyDescent="0.2">
      <c r="A1700" s="1634" t="s">
        <v>6033</v>
      </c>
      <c r="B1700" s="1634" t="s">
        <v>5696</v>
      </c>
      <c r="C1700"/>
      <c r="D1700"/>
      <c r="E1700"/>
      <c r="F1700"/>
      <c r="G1700"/>
    </row>
    <row r="1701" spans="1:7" hidden="1" x14ac:dyDescent="0.2">
      <c r="A1701" s="1634" t="s">
        <v>6034</v>
      </c>
      <c r="B1701" s="2294" t="s">
        <v>4704</v>
      </c>
      <c r="C1701"/>
      <c r="D1701"/>
      <c r="E1701"/>
      <c r="F1701"/>
      <c r="G1701"/>
    </row>
    <row r="1702" spans="1:7" hidden="1" x14ac:dyDescent="0.2">
      <c r="A1702" s="1634" t="s">
        <v>6035</v>
      </c>
      <c r="B1702" s="2294" t="s">
        <v>4706</v>
      </c>
      <c r="C1702"/>
      <c r="D1702"/>
      <c r="E1702"/>
      <c r="F1702"/>
      <c r="G1702"/>
    </row>
    <row r="1703" spans="1:7" hidden="1" x14ac:dyDescent="0.2">
      <c r="A1703" s="1634" t="s">
        <v>6036</v>
      </c>
      <c r="B1703" s="2294" t="s">
        <v>5474</v>
      </c>
    </row>
    <row r="1704" spans="1:7" hidden="1" x14ac:dyDescent="0.2">
      <c r="A1704" s="1634" t="s">
        <v>6037</v>
      </c>
      <c r="B1704" s="2294" t="s">
        <v>4708</v>
      </c>
      <c r="C1704"/>
      <c r="D1704"/>
      <c r="E1704"/>
      <c r="F1704"/>
      <c r="G1704"/>
    </row>
    <row r="1705" spans="1:7" hidden="1" x14ac:dyDescent="0.2">
      <c r="A1705" s="1634" t="s">
        <v>6038</v>
      </c>
      <c r="B1705" s="2294" t="s">
        <v>4710</v>
      </c>
      <c r="C1705"/>
      <c r="D1705"/>
      <c r="E1705"/>
      <c r="F1705"/>
      <c r="G1705"/>
    </row>
    <row r="1706" spans="1:7" hidden="1" x14ac:dyDescent="0.2">
      <c r="A1706" s="1634" t="s">
        <v>6039</v>
      </c>
      <c r="B1706" s="2294" t="s">
        <v>6428</v>
      </c>
      <c r="C1706" s="2294" t="s">
        <v>2327</v>
      </c>
      <c r="D1706" s="2294" t="s">
        <v>2328</v>
      </c>
      <c r="E1706"/>
      <c r="F1706"/>
      <c r="G1706"/>
    </row>
    <row r="1707" spans="1:7" hidden="1" x14ac:dyDescent="0.2">
      <c r="A1707" s="1634" t="s">
        <v>6040</v>
      </c>
      <c r="B1707" s="2294" t="s">
        <v>6430</v>
      </c>
      <c r="C1707"/>
      <c r="D1707"/>
      <c r="E1707"/>
      <c r="F1707"/>
      <c r="G1707"/>
    </row>
    <row r="1708" spans="1:7" hidden="1" x14ac:dyDescent="0.2">
      <c r="A1708" s="1634" t="s">
        <v>6041</v>
      </c>
      <c r="B1708" s="2294" t="s">
        <v>3301</v>
      </c>
      <c r="C1708"/>
      <c r="D1708"/>
      <c r="E1708"/>
    </row>
    <row r="1709" spans="1:7" hidden="1" x14ac:dyDescent="0.2">
      <c r="A1709" s="1634" t="s">
        <v>4514</v>
      </c>
      <c r="B1709" s="2294" t="s">
        <v>6439</v>
      </c>
      <c r="C1709" s="2294" t="s">
        <v>4204</v>
      </c>
      <c r="D1709" s="2294" t="s">
        <v>4205</v>
      </c>
      <c r="E1709"/>
    </row>
    <row r="1710" spans="1:7" hidden="1" x14ac:dyDescent="0.2">
      <c r="A1710" s="1634" t="s">
        <v>4515</v>
      </c>
      <c r="B1710" s="2294" t="s">
        <v>1782</v>
      </c>
      <c r="C1710" s="2294"/>
      <c r="D1710" s="2294"/>
    </row>
    <row r="1711" spans="1:7" hidden="1" x14ac:dyDescent="0.2">
      <c r="A1711" s="1634" t="s">
        <v>4516</v>
      </c>
      <c r="B1711" s="2294" t="s">
        <v>5478</v>
      </c>
      <c r="C1711" s="2294"/>
      <c r="D1711" s="2294"/>
    </row>
    <row r="1712" spans="1:7" hidden="1" x14ac:dyDescent="0.2">
      <c r="A1712" s="1634" t="s">
        <v>1376</v>
      </c>
      <c r="B1712" s="2294" t="s">
        <v>665</v>
      </c>
      <c r="C1712" s="2294" t="s">
        <v>351</v>
      </c>
      <c r="D1712" s="2294"/>
    </row>
    <row r="1713" spans="1:5" hidden="1" x14ac:dyDescent="0.2">
      <c r="A1713" s="1634" t="s">
        <v>6101</v>
      </c>
      <c r="B1713" s="2294" t="s">
        <v>5479</v>
      </c>
      <c r="C1713" s="2294" t="s">
        <v>353</v>
      </c>
      <c r="D1713" s="2294" t="s">
        <v>675</v>
      </c>
    </row>
    <row r="1714" spans="1:5" hidden="1" x14ac:dyDescent="0.2">
      <c r="A1714" s="1634" t="s">
        <v>6102</v>
      </c>
      <c r="B1714" s="2294" t="s">
        <v>6442</v>
      </c>
      <c r="C1714" s="2294" t="s">
        <v>681</v>
      </c>
      <c r="D1714" s="2294" t="s">
        <v>682</v>
      </c>
    </row>
    <row r="1715" spans="1:5" hidden="1" x14ac:dyDescent="0.2">
      <c r="A1715" s="1634" t="s">
        <v>6103</v>
      </c>
      <c r="B1715" s="2294" t="s">
        <v>6445</v>
      </c>
      <c r="C1715" s="2294" t="s">
        <v>689</v>
      </c>
      <c r="D1715" s="2294" t="s">
        <v>3677</v>
      </c>
    </row>
    <row r="1716" spans="1:5" hidden="1" x14ac:dyDescent="0.2">
      <c r="A1716" s="1634" t="s">
        <v>6365</v>
      </c>
      <c r="B1716" s="2294" t="s">
        <v>6448</v>
      </c>
      <c r="C1716"/>
      <c r="D1716"/>
      <c r="E1716"/>
    </row>
    <row r="1717" spans="1:5" hidden="1" x14ac:dyDescent="0.2">
      <c r="A1717" s="1634" t="s">
        <v>6366</v>
      </c>
      <c r="B1717" s="2294" t="s">
        <v>3396</v>
      </c>
      <c r="C1717" s="2294" t="s">
        <v>3398</v>
      </c>
      <c r="D1717" s="2294" t="s">
        <v>2384</v>
      </c>
      <c r="E1717"/>
    </row>
    <row r="1718" spans="1:5" hidden="1" x14ac:dyDescent="0.2">
      <c r="A1718" s="1634" t="s">
        <v>6367</v>
      </c>
      <c r="B1718" s="2294" t="s">
        <v>6450</v>
      </c>
      <c r="C1718" s="2294"/>
      <c r="D1718" s="2294"/>
      <c r="E1718"/>
    </row>
    <row r="1719" spans="1:5" hidden="1" x14ac:dyDescent="0.2">
      <c r="A1719" s="1634" t="s">
        <v>2040</v>
      </c>
      <c r="B1719" s="2294" t="s">
        <v>6452</v>
      </c>
      <c r="C1719" s="2294"/>
      <c r="D1719" s="2294"/>
      <c r="E1719"/>
    </row>
    <row r="1720" spans="1:5" hidden="1" x14ac:dyDescent="0.2">
      <c r="A1720" s="1634" t="s">
        <v>2041</v>
      </c>
      <c r="B1720" s="2294" t="s">
        <v>4523</v>
      </c>
      <c r="C1720" s="2294"/>
      <c r="D1720"/>
      <c r="E1720"/>
    </row>
    <row r="1721" spans="1:5" hidden="1" x14ac:dyDescent="0.2">
      <c r="A1721" s="1634" t="s">
        <v>1208</v>
      </c>
      <c r="B1721" s="2294" t="s">
        <v>3254</v>
      </c>
      <c r="C1721" s="1634" t="s">
        <v>3257</v>
      </c>
      <c r="D1721"/>
      <c r="E1721"/>
    </row>
    <row r="1722" spans="1:5" hidden="1" x14ac:dyDescent="0.2">
      <c r="A1722" s="1634" t="s">
        <v>1209</v>
      </c>
      <c r="B1722" s="2294" t="s">
        <v>4525</v>
      </c>
      <c r="C1722"/>
      <c r="D1722"/>
      <c r="E1722"/>
    </row>
    <row r="1723" spans="1:5" hidden="1" x14ac:dyDescent="0.2">
      <c r="A1723" s="1634" t="s">
        <v>7324</v>
      </c>
      <c r="B1723" s="2294" t="s">
        <v>465</v>
      </c>
      <c r="C1723" s="1634" t="s">
        <v>810</v>
      </c>
      <c r="D1723"/>
      <c r="E1723"/>
    </row>
    <row r="1724" spans="1:5" hidden="1" x14ac:dyDescent="0.2">
      <c r="A1724" s="2302" t="s">
        <v>7325</v>
      </c>
      <c r="B1724" s="2302" t="s">
        <v>5728</v>
      </c>
      <c r="C1724" s="2302" t="s">
        <v>817</v>
      </c>
      <c r="D1724"/>
      <c r="E1724"/>
    </row>
    <row r="1725" spans="1:5" hidden="1" x14ac:dyDescent="0.2">
      <c r="A1725" s="2302" t="s">
        <v>8420</v>
      </c>
      <c r="B1725" s="2302" t="s">
        <v>823</v>
      </c>
      <c r="C1725" s="2302" t="s">
        <v>537</v>
      </c>
      <c r="D1725"/>
      <c r="E1725"/>
    </row>
    <row r="1726" spans="1:5" hidden="1" x14ac:dyDescent="0.2">
      <c r="A1726" s="2302" t="s">
        <v>8421</v>
      </c>
      <c r="B1726" s="2302" t="s">
        <v>5730</v>
      </c>
      <c r="C1726" s="2302"/>
      <c r="D1726"/>
      <c r="E1726"/>
    </row>
    <row r="1727" spans="1:5" hidden="1" x14ac:dyDescent="0.2">
      <c r="A1727" s="2302" t="s">
        <v>8422</v>
      </c>
      <c r="B1727" s="2302" t="s">
        <v>4789</v>
      </c>
      <c r="C1727" s="2302" t="s">
        <v>717</v>
      </c>
      <c r="D1727"/>
      <c r="E1727"/>
    </row>
    <row r="1728" spans="1:5" hidden="1" x14ac:dyDescent="0.2">
      <c r="A1728" s="2302" t="s">
        <v>8423</v>
      </c>
      <c r="B1728" s="2302" t="s">
        <v>5483</v>
      </c>
      <c r="C1728" s="2302"/>
      <c r="D1728"/>
      <c r="E1728"/>
    </row>
    <row r="1729" spans="1:6" hidden="1" x14ac:dyDescent="0.2">
      <c r="A1729" s="2302" t="s">
        <v>8424</v>
      </c>
      <c r="B1729" s="2302" t="s">
        <v>1798</v>
      </c>
      <c r="C1729" s="2302" t="s">
        <v>1801</v>
      </c>
      <c r="D1729"/>
      <c r="E1729"/>
      <c r="F1729"/>
    </row>
    <row r="1730" spans="1:6" hidden="1" x14ac:dyDescent="0.2">
      <c r="A1730" s="1634"/>
      <c r="B1730"/>
      <c r="C1730"/>
      <c r="D1730"/>
      <c r="E1730"/>
      <c r="F1730"/>
    </row>
    <row r="1731" spans="1:6" hidden="1" x14ac:dyDescent="0.2">
      <c r="A1731" s="1634"/>
      <c r="B1731"/>
      <c r="C1731"/>
      <c r="D1731"/>
      <c r="E1731"/>
      <c r="F1731"/>
    </row>
    <row r="1732" spans="1:6" hidden="1" x14ac:dyDescent="0.2">
      <c r="A1732" s="1634"/>
      <c r="B1732"/>
      <c r="C1732"/>
      <c r="D1732"/>
      <c r="E1732"/>
      <c r="F1732"/>
    </row>
    <row r="1733" spans="1:6" hidden="1" x14ac:dyDescent="0.2">
      <c r="A1733" s="1634"/>
      <c r="B1733"/>
      <c r="C1733"/>
      <c r="D1733"/>
      <c r="E1733"/>
      <c r="F1733"/>
    </row>
    <row r="1734" spans="1:6" hidden="1" x14ac:dyDescent="0.2">
      <c r="A1734" s="2291" t="s">
        <v>4520</v>
      </c>
      <c r="B1734" s="1634" t="s">
        <v>5694</v>
      </c>
      <c r="C1734" s="1634" t="s">
        <v>865</v>
      </c>
      <c r="D1734" s="1634" t="s">
        <v>6613</v>
      </c>
      <c r="E1734" s="1634" t="s">
        <v>4029</v>
      </c>
      <c r="F1734"/>
    </row>
    <row r="1735" spans="1:6" hidden="1" x14ac:dyDescent="0.2">
      <c r="A1735" s="2291" t="s">
        <v>4521</v>
      </c>
      <c r="B1735" s="1634" t="s">
        <v>4035</v>
      </c>
      <c r="C1735" s="1634" t="s">
        <v>867</v>
      </c>
      <c r="D1735" s="1634" t="s">
        <v>6615</v>
      </c>
      <c r="E1735" s="1634" t="s">
        <v>4036</v>
      </c>
      <c r="F1735"/>
    </row>
    <row r="1736" spans="1:6" hidden="1" x14ac:dyDescent="0.2">
      <c r="A1736" s="2291" t="s">
        <v>934</v>
      </c>
      <c r="B1736" s="1634" t="s">
        <v>5696</v>
      </c>
      <c r="C1736" s="1634" t="s">
        <v>869</v>
      </c>
      <c r="D1736" s="1634" t="s">
        <v>6617</v>
      </c>
      <c r="E1736" s="1634" t="s">
        <v>4042</v>
      </c>
      <c r="F1736"/>
    </row>
    <row r="1737" spans="1:6" hidden="1" x14ac:dyDescent="0.2">
      <c r="A1737" s="2291" t="s">
        <v>935</v>
      </c>
      <c r="B1737" s="1634" t="s">
        <v>4704</v>
      </c>
      <c r="C1737" s="1634" t="s">
        <v>871</v>
      </c>
      <c r="D1737" s="1634" t="s">
        <v>6619</v>
      </c>
      <c r="E1737" s="1634" t="s">
        <v>6973</v>
      </c>
      <c r="F1737"/>
    </row>
    <row r="1738" spans="1:6" hidden="1" x14ac:dyDescent="0.2">
      <c r="A1738" s="2291" t="s">
        <v>2728</v>
      </c>
      <c r="B1738" s="1634" t="s">
        <v>4706</v>
      </c>
      <c r="C1738" s="1634" t="s">
        <v>3008</v>
      </c>
      <c r="D1738" s="1634" t="s">
        <v>6621</v>
      </c>
      <c r="E1738" s="1634" t="s">
        <v>6662</v>
      </c>
      <c r="F1738"/>
    </row>
    <row r="1739" spans="1:6" hidden="1" x14ac:dyDescent="0.2">
      <c r="A1739" s="2291" t="s">
        <v>4860</v>
      </c>
      <c r="B1739" s="1634" t="s">
        <v>5474</v>
      </c>
      <c r="C1739" s="1634" t="s">
        <v>3010</v>
      </c>
      <c r="D1739" s="1634" t="s">
        <v>6623</v>
      </c>
      <c r="E1739" s="1634" t="s">
        <v>6673</v>
      </c>
      <c r="F1739"/>
    </row>
    <row r="1740" spans="1:6" hidden="1" x14ac:dyDescent="0.2">
      <c r="A1740" s="2291" t="s">
        <v>4861</v>
      </c>
      <c r="B1740" s="1634" t="s">
        <v>4708</v>
      </c>
      <c r="C1740" s="1634" t="s">
        <v>6460</v>
      </c>
      <c r="D1740" s="1634" t="s">
        <v>3132</v>
      </c>
      <c r="E1740" s="1634" t="s">
        <v>6679</v>
      </c>
      <c r="F1740"/>
    </row>
    <row r="1741" spans="1:6" hidden="1" x14ac:dyDescent="0.2">
      <c r="A1741" s="2291" t="s">
        <v>4862</v>
      </c>
      <c r="B1741" s="1634" t="s">
        <v>4710</v>
      </c>
      <c r="C1741" s="1634" t="s">
        <v>6462</v>
      </c>
      <c r="D1741" s="1634" t="s">
        <v>4045</v>
      </c>
      <c r="E1741" s="1634" t="s">
        <v>6684</v>
      </c>
      <c r="F1741"/>
    </row>
    <row r="1742" spans="1:6" hidden="1" x14ac:dyDescent="0.2">
      <c r="A1742" s="2291" t="s">
        <v>4863</v>
      </c>
      <c r="B1742" s="1634" t="s">
        <v>4712</v>
      </c>
      <c r="C1742" s="1634" t="s">
        <v>6464</v>
      </c>
      <c r="D1742" s="1634" t="s">
        <v>4047</v>
      </c>
      <c r="E1742" s="1634" t="s">
        <v>6690</v>
      </c>
      <c r="F1742"/>
    </row>
    <row r="1743" spans="1:6" hidden="1" x14ac:dyDescent="0.2">
      <c r="A1743" s="2291" t="s">
        <v>4864</v>
      </c>
      <c r="B1743" s="1634" t="s">
        <v>4714</v>
      </c>
      <c r="C1743" s="1634" t="s">
        <v>2911</v>
      </c>
      <c r="D1743" s="1634" t="s">
        <v>4095</v>
      </c>
      <c r="E1743" s="1634" t="s">
        <v>4096</v>
      </c>
      <c r="F1743"/>
    </row>
    <row r="1744" spans="1:6" hidden="1" x14ac:dyDescent="0.2">
      <c r="A1744" s="2291" t="s">
        <v>4865</v>
      </c>
      <c r="B1744" s="1634" t="s">
        <v>5476</v>
      </c>
      <c r="C1744" s="1634" t="s">
        <v>2913</v>
      </c>
      <c r="D1744" s="1634" t="s">
        <v>4100</v>
      </c>
      <c r="E1744" s="1634" t="s">
        <v>4101</v>
      </c>
      <c r="F1744"/>
    </row>
    <row r="1745" spans="1:7" hidden="1" x14ac:dyDescent="0.2">
      <c r="A1745" s="2291" t="s">
        <v>4866</v>
      </c>
      <c r="B1745" s="1634" t="s">
        <v>4716</v>
      </c>
      <c r="C1745" s="1634" t="s">
        <v>2915</v>
      </c>
      <c r="D1745" s="1634" t="s">
        <v>4105</v>
      </c>
      <c r="E1745" s="1634" t="s">
        <v>2318</v>
      </c>
      <c r="F1745"/>
      <c r="G1745"/>
    </row>
    <row r="1746" spans="1:7" hidden="1" x14ac:dyDescent="0.2">
      <c r="A1746" s="2307" t="s">
        <v>4371</v>
      </c>
      <c r="B1746" s="2302" t="s">
        <v>6426</v>
      </c>
      <c r="C1746" s="2302" t="s">
        <v>2917</v>
      </c>
      <c r="D1746" s="2302" t="s">
        <v>2322</v>
      </c>
      <c r="E1746" s="2302" t="s">
        <v>2323</v>
      </c>
      <c r="F1746"/>
      <c r="G1746"/>
    </row>
    <row r="1747" spans="1:7" hidden="1" x14ac:dyDescent="0.2">
      <c r="A1747" s="2307" t="s">
        <v>4372</v>
      </c>
      <c r="B1747" s="2302" t="s">
        <v>6428</v>
      </c>
      <c r="C1747" s="2302" t="s">
        <v>2919</v>
      </c>
      <c r="D1747" s="2302" t="s">
        <v>2327</v>
      </c>
      <c r="E1747" s="2302" t="s">
        <v>2328</v>
      </c>
      <c r="F1747"/>
      <c r="G1747"/>
    </row>
    <row r="1748" spans="1:7" hidden="1" x14ac:dyDescent="0.2">
      <c r="A1748" s="2307" t="s">
        <v>2042</v>
      </c>
      <c r="B1748" s="2302" t="s">
        <v>6430</v>
      </c>
      <c r="C1748" s="2302" t="s">
        <v>1575</v>
      </c>
      <c r="D1748" s="2302" t="s">
        <v>6606</v>
      </c>
      <c r="E1748" s="2302" t="s">
        <v>5084</v>
      </c>
      <c r="F1748"/>
      <c r="G1748"/>
    </row>
    <row r="1749" spans="1:7" hidden="1" x14ac:dyDescent="0.2">
      <c r="A1749" s="2300" t="s">
        <v>2043</v>
      </c>
      <c r="B1749" s="1634" t="s">
        <v>6435</v>
      </c>
      <c r="C1749" s="1634" t="s">
        <v>2431</v>
      </c>
      <c r="D1749" s="1634" t="s">
        <v>2432</v>
      </c>
      <c r="E1749" s="1634" t="s">
        <v>2433</v>
      </c>
      <c r="F1749"/>
      <c r="G1749"/>
    </row>
    <row r="1750" spans="1:7" hidden="1" x14ac:dyDescent="0.2">
      <c r="A1750" s="2300" t="s">
        <v>2044</v>
      </c>
      <c r="B1750" s="1634" t="s">
        <v>6439</v>
      </c>
      <c r="C1750" s="1634" t="s">
        <v>1076</v>
      </c>
      <c r="D1750" s="1634" t="s">
        <v>4204</v>
      </c>
      <c r="E1750" s="1634" t="s">
        <v>4205</v>
      </c>
      <c r="F1750"/>
      <c r="G1750"/>
    </row>
    <row r="1751" spans="1:7" hidden="1" x14ac:dyDescent="0.2">
      <c r="A1751" s="2300" t="s">
        <v>7326</v>
      </c>
      <c r="B1751" s="1634" t="s">
        <v>1781</v>
      </c>
      <c r="C1751" s="1634" t="s">
        <v>1782</v>
      </c>
      <c r="D1751" s="1634" t="s">
        <v>1783</v>
      </c>
      <c r="E1751" s="1634" t="s">
        <v>1784</v>
      </c>
      <c r="F1751" s="1634" t="s">
        <v>3778</v>
      </c>
      <c r="G1751"/>
    </row>
    <row r="1752" spans="1:7" hidden="1" x14ac:dyDescent="0.2">
      <c r="A1752" s="2300" t="s">
        <v>7501</v>
      </c>
      <c r="B1752" s="1634" t="s">
        <v>2668</v>
      </c>
      <c r="C1752" s="1634" t="s">
        <v>5478</v>
      </c>
      <c r="D1752" s="1634" t="s">
        <v>2670</v>
      </c>
      <c r="E1752" s="1634" t="s">
        <v>2671</v>
      </c>
      <c r="F1752" s="1634" t="s">
        <v>2672</v>
      </c>
      <c r="G1752"/>
    </row>
    <row r="1753" spans="1:7" hidden="1" x14ac:dyDescent="0.2">
      <c r="A1753" s="2300" t="s">
        <v>8425</v>
      </c>
      <c r="B1753" s="164" t="s">
        <v>673</v>
      </c>
      <c r="C1753" s="164" t="s">
        <v>3493</v>
      </c>
      <c r="D1753" s="164" t="s">
        <v>675</v>
      </c>
      <c r="E1753"/>
      <c r="F1753"/>
      <c r="G1753"/>
    </row>
    <row r="1754" spans="1:7" hidden="1" x14ac:dyDescent="0.2">
      <c r="A1754" s="2300" t="s">
        <v>8426</v>
      </c>
      <c r="B1754" s="164" t="s">
        <v>679</v>
      </c>
      <c r="C1754" s="164" t="s">
        <v>3495</v>
      </c>
      <c r="D1754" s="164" t="s">
        <v>682</v>
      </c>
      <c r="E1754"/>
      <c r="F1754"/>
      <c r="G1754"/>
    </row>
    <row r="1755" spans="1:7" hidden="1" x14ac:dyDescent="0.2">
      <c r="A1755" s="2300" t="s">
        <v>8427</v>
      </c>
      <c r="B1755" s="164" t="s">
        <v>4792</v>
      </c>
      <c r="C1755" s="164" t="s">
        <v>1811</v>
      </c>
      <c r="D1755" s="164" t="s">
        <v>3473</v>
      </c>
      <c r="E1755" s="164" t="s">
        <v>3474</v>
      </c>
      <c r="F1755"/>
      <c r="G1755"/>
    </row>
    <row r="1756" spans="1:7" hidden="1" x14ac:dyDescent="0.2">
      <c r="A1756"/>
      <c r="B1756"/>
      <c r="C1756"/>
      <c r="D1756"/>
      <c r="E1756"/>
      <c r="F1756"/>
      <c r="G1756" s="164"/>
    </row>
    <row r="1757" spans="1:7" hidden="1" x14ac:dyDescent="0.2">
      <c r="A1757"/>
      <c r="B1757"/>
      <c r="C1757"/>
      <c r="D1757"/>
      <c r="E1757"/>
      <c r="F1757"/>
      <c r="G1757" s="164"/>
    </row>
    <row r="1758" spans="1:7" hidden="1" x14ac:dyDescent="0.2">
      <c r="A1758"/>
      <c r="B1758"/>
      <c r="C1758"/>
      <c r="D1758"/>
      <c r="E1758"/>
      <c r="F1758"/>
      <c r="G1758" s="164"/>
    </row>
    <row r="1759" spans="1:7" hidden="1" x14ac:dyDescent="0.2">
      <c r="A1759"/>
      <c r="B1759"/>
      <c r="C1759"/>
      <c r="D1759"/>
      <c r="E1759"/>
      <c r="F1759"/>
      <c r="G1759" s="164"/>
    </row>
    <row r="1760" spans="1:7" hidden="1" x14ac:dyDescent="0.2">
      <c r="A1760"/>
      <c r="B1760"/>
      <c r="C1760"/>
      <c r="D1760"/>
      <c r="E1760"/>
      <c r="F1760"/>
      <c r="G1760" s="164"/>
    </row>
    <row r="1761" spans="1:7" hidden="1" x14ac:dyDescent="0.2">
      <c r="A1761"/>
      <c r="B1761"/>
      <c r="C1761"/>
      <c r="D1761"/>
      <c r="E1761"/>
      <c r="F1761"/>
      <c r="G1761" s="164"/>
    </row>
    <row r="1762" spans="1:7" hidden="1" x14ac:dyDescent="0.2">
      <c r="A1762"/>
      <c r="B1762"/>
      <c r="C1762"/>
      <c r="D1762"/>
      <c r="E1762"/>
      <c r="F1762"/>
      <c r="G1762" s="164"/>
    </row>
    <row r="1763" spans="1:7" hidden="1" x14ac:dyDescent="0.2">
      <c r="A1763"/>
      <c r="B1763"/>
      <c r="C1763"/>
      <c r="D1763"/>
      <c r="E1763"/>
      <c r="F1763"/>
      <c r="G1763" s="164"/>
    </row>
    <row r="1764" spans="1:7" hidden="1" x14ac:dyDescent="0.2">
      <c r="A1764"/>
      <c r="B1764"/>
      <c r="C1764"/>
      <c r="D1764"/>
      <c r="E1764"/>
      <c r="F1764"/>
      <c r="G1764" s="164"/>
    </row>
    <row r="1765" spans="1:7" hidden="1" x14ac:dyDescent="0.2">
      <c r="A1765"/>
      <c r="B1765"/>
      <c r="C1765"/>
      <c r="D1765"/>
      <c r="E1765"/>
      <c r="F1765"/>
      <c r="G1765" s="164"/>
    </row>
    <row r="1766" spans="1:7" hidden="1" x14ac:dyDescent="0.2">
      <c r="A1766"/>
      <c r="B1766"/>
      <c r="C1766"/>
      <c r="D1766"/>
      <c r="E1766"/>
      <c r="F1766"/>
      <c r="G1766" s="164"/>
    </row>
    <row r="1767" spans="1:7" hidden="1" x14ac:dyDescent="0.2">
      <c r="A1767"/>
      <c r="B1767"/>
      <c r="C1767"/>
      <c r="D1767"/>
      <c r="E1767"/>
      <c r="F1767"/>
      <c r="G1767" s="164"/>
    </row>
    <row r="1768" spans="1:7" hidden="1" x14ac:dyDescent="0.2">
      <c r="A1768"/>
      <c r="B1768"/>
      <c r="C1768"/>
      <c r="D1768"/>
      <c r="E1768"/>
      <c r="F1768"/>
      <c r="G1768" s="164"/>
    </row>
    <row r="1769" spans="1:7" hidden="1" x14ac:dyDescent="0.2">
      <c r="A1769"/>
      <c r="B1769"/>
      <c r="C1769"/>
      <c r="D1769"/>
      <c r="E1769"/>
      <c r="F1769"/>
      <c r="G1769" s="164"/>
    </row>
    <row r="1770" spans="1:7" hidden="1" x14ac:dyDescent="0.2">
      <c r="A1770"/>
      <c r="B1770"/>
      <c r="C1770"/>
      <c r="D1770"/>
      <c r="E1770"/>
      <c r="F1770"/>
      <c r="G1770" s="164"/>
    </row>
    <row r="1771" spans="1:7" hidden="1" x14ac:dyDescent="0.2">
      <c r="A1771"/>
      <c r="B1771"/>
      <c r="C1771"/>
      <c r="D1771"/>
      <c r="E1771"/>
      <c r="F1771"/>
      <c r="G1771" s="164"/>
    </row>
    <row r="1772" spans="1:7" hidden="1" x14ac:dyDescent="0.2">
      <c r="A1772"/>
      <c r="B1772"/>
      <c r="C1772"/>
      <c r="D1772"/>
      <c r="E1772"/>
      <c r="F1772"/>
      <c r="G1772" s="164"/>
    </row>
    <row r="1773" spans="1:7" hidden="1" x14ac:dyDescent="0.2">
      <c r="A1773"/>
      <c r="B1773"/>
      <c r="C1773"/>
      <c r="D1773"/>
      <c r="E1773"/>
      <c r="F1773"/>
      <c r="G1773" s="164"/>
    </row>
    <row r="1774" spans="1:7" hidden="1" x14ac:dyDescent="0.2">
      <c r="A1774"/>
      <c r="B1774"/>
      <c r="C1774"/>
      <c r="D1774"/>
      <c r="E1774"/>
      <c r="F1774"/>
      <c r="G1774" s="164"/>
    </row>
    <row r="1775" spans="1:7" hidden="1" x14ac:dyDescent="0.2">
      <c r="A1775"/>
      <c r="B1775"/>
      <c r="C1775"/>
      <c r="D1775"/>
      <c r="E1775"/>
      <c r="F1775"/>
      <c r="G1775" s="164"/>
    </row>
    <row r="1776" spans="1:7" hidden="1" x14ac:dyDescent="0.2">
      <c r="A1776"/>
      <c r="B1776"/>
      <c r="C1776"/>
      <c r="D1776"/>
      <c r="E1776"/>
      <c r="F1776"/>
      <c r="G1776" s="164"/>
    </row>
    <row r="1777" spans="1:7" hidden="1" x14ac:dyDescent="0.2">
      <c r="A1777"/>
      <c r="B1777"/>
      <c r="C1777"/>
      <c r="D1777"/>
      <c r="E1777"/>
      <c r="F1777"/>
      <c r="G1777" s="164"/>
    </row>
    <row r="1778" spans="1:7" hidden="1" x14ac:dyDescent="0.2">
      <c r="A1778"/>
      <c r="B1778"/>
      <c r="C1778"/>
      <c r="D1778"/>
      <c r="E1778"/>
      <c r="F1778"/>
      <c r="G1778" s="164"/>
    </row>
    <row r="1779" spans="1:7" hidden="1" x14ac:dyDescent="0.2">
      <c r="A1779"/>
      <c r="B1779"/>
      <c r="C1779"/>
      <c r="D1779"/>
      <c r="E1779"/>
      <c r="F1779"/>
      <c r="G1779" s="164"/>
    </row>
    <row r="1780" spans="1:7" hidden="1" x14ac:dyDescent="0.2">
      <c r="A1780"/>
      <c r="B1780"/>
      <c r="C1780"/>
      <c r="D1780"/>
      <c r="E1780"/>
      <c r="F1780"/>
      <c r="G1780" s="164"/>
    </row>
    <row r="1781" spans="1:7" hidden="1" x14ac:dyDescent="0.2">
      <c r="A1781"/>
      <c r="B1781"/>
      <c r="C1781"/>
      <c r="D1781"/>
      <c r="E1781"/>
      <c r="F1781"/>
      <c r="G1781" s="164"/>
    </row>
    <row r="1782" spans="1:7" hidden="1" x14ac:dyDescent="0.2">
      <c r="A1782"/>
      <c r="B1782"/>
      <c r="C1782"/>
      <c r="D1782"/>
      <c r="E1782"/>
      <c r="F1782"/>
      <c r="G1782" s="164"/>
    </row>
    <row r="1783" spans="1:7" hidden="1" x14ac:dyDescent="0.2">
      <c r="A1783"/>
      <c r="B1783"/>
      <c r="C1783"/>
      <c r="D1783"/>
      <c r="E1783"/>
      <c r="F1783"/>
      <c r="G1783" s="164"/>
    </row>
    <row r="1784" spans="1:7" hidden="1" x14ac:dyDescent="0.2">
      <c r="A1784"/>
      <c r="B1784"/>
      <c r="C1784"/>
      <c r="D1784"/>
      <c r="E1784"/>
      <c r="F1784"/>
      <c r="G1784" s="164"/>
    </row>
    <row r="1785" spans="1:7" hidden="1" x14ac:dyDescent="0.2">
      <c r="A1785"/>
      <c r="B1785"/>
      <c r="C1785"/>
      <c r="D1785"/>
      <c r="E1785"/>
      <c r="F1785"/>
      <c r="G1785" s="164"/>
    </row>
    <row r="1786" spans="1:7" hidden="1" x14ac:dyDescent="0.2">
      <c r="A1786"/>
      <c r="B1786"/>
      <c r="C1786"/>
      <c r="D1786"/>
      <c r="E1786"/>
      <c r="F1786"/>
      <c r="G1786" s="164"/>
    </row>
    <row r="1787" spans="1:7" hidden="1" x14ac:dyDescent="0.2">
      <c r="A1787"/>
      <c r="B1787"/>
      <c r="C1787"/>
      <c r="D1787"/>
      <c r="E1787"/>
      <c r="F1787"/>
      <c r="G1787" s="164"/>
    </row>
    <row r="1788" spans="1:7" hidden="1" x14ac:dyDescent="0.2">
      <c r="A1788"/>
      <c r="B1788"/>
      <c r="C1788"/>
      <c r="D1788"/>
      <c r="E1788"/>
      <c r="F1788"/>
      <c r="G1788" s="164"/>
    </row>
    <row r="1789" spans="1:7" hidden="1" x14ac:dyDescent="0.2">
      <c r="A1789"/>
      <c r="B1789"/>
      <c r="C1789"/>
      <c r="D1789"/>
      <c r="E1789"/>
      <c r="F1789"/>
      <c r="G1789" s="164"/>
    </row>
    <row r="1790" spans="1:7" hidden="1" x14ac:dyDescent="0.2">
      <c r="F1790"/>
      <c r="G1790"/>
    </row>
    <row r="1791" spans="1:7" hidden="1" x14ac:dyDescent="0.2">
      <c r="F1791"/>
      <c r="G1791"/>
    </row>
    <row r="1792" spans="1:7" hidden="1" x14ac:dyDescent="0.2">
      <c r="F1792"/>
      <c r="G1792"/>
    </row>
    <row r="1793" spans="1:7" hidden="1" x14ac:dyDescent="0.2">
      <c r="A1793" s="2291" t="s">
        <v>4902</v>
      </c>
      <c r="B1793" s="2304" t="s">
        <v>1063</v>
      </c>
      <c r="C1793" s="2304" t="s">
        <v>3802</v>
      </c>
      <c r="D1793" s="2304" t="s">
        <v>4828</v>
      </c>
      <c r="E1793" s="2304" t="s">
        <v>3803</v>
      </c>
      <c r="F1793"/>
      <c r="G1793"/>
    </row>
    <row r="1794" spans="1:7" hidden="1" x14ac:dyDescent="0.2">
      <c r="A1794" s="2291" t="s">
        <v>4903</v>
      </c>
      <c r="B1794" s="2304" t="s">
        <v>3101</v>
      </c>
      <c r="C1794" s="2304" t="s">
        <v>3804</v>
      </c>
      <c r="D1794" s="2304" t="s">
        <v>2237</v>
      </c>
      <c r="E1794" s="2304" t="s">
        <v>3805</v>
      </c>
      <c r="F1794"/>
      <c r="G1794"/>
    </row>
    <row r="1795" spans="1:7" hidden="1" x14ac:dyDescent="0.2">
      <c r="A1795" s="2291" t="s">
        <v>4904</v>
      </c>
      <c r="B1795" s="2304" t="s">
        <v>3108</v>
      </c>
      <c r="C1795" s="2304" t="s">
        <v>3806</v>
      </c>
      <c r="D1795" s="2304" t="s">
        <v>2239</v>
      </c>
      <c r="E1795" s="2304" t="s">
        <v>3807</v>
      </c>
      <c r="F1795"/>
      <c r="G1795"/>
    </row>
    <row r="1796" spans="1:7" hidden="1" x14ac:dyDescent="0.2">
      <c r="A1796" s="2291" t="s">
        <v>4905</v>
      </c>
      <c r="B1796" s="2304" t="s">
        <v>555</v>
      </c>
      <c r="C1796" s="2304" t="s">
        <v>3808</v>
      </c>
      <c r="D1796" s="2304" t="s">
        <v>556</v>
      </c>
      <c r="E1796" s="2304" t="s">
        <v>3809</v>
      </c>
      <c r="F1796"/>
      <c r="G1796"/>
    </row>
    <row r="1797" spans="1:7" hidden="1" x14ac:dyDescent="0.2">
      <c r="A1797" s="2291" t="s">
        <v>4906</v>
      </c>
      <c r="B1797" s="2304" t="s">
        <v>563</v>
      </c>
      <c r="C1797" s="2304" t="s">
        <v>3810</v>
      </c>
      <c r="D1797" s="2304" t="s">
        <v>6880</v>
      </c>
      <c r="E1797" s="2304" t="s">
        <v>3811</v>
      </c>
      <c r="F1797"/>
      <c r="G1797"/>
    </row>
    <row r="1798" spans="1:7" hidden="1" x14ac:dyDescent="0.2">
      <c r="A1798" s="2291" t="s">
        <v>4907</v>
      </c>
      <c r="B1798" s="2304" t="s">
        <v>2024</v>
      </c>
      <c r="C1798" s="2304" t="s">
        <v>7850</v>
      </c>
      <c r="D1798" s="2304" t="s">
        <v>6882</v>
      </c>
      <c r="E1798" s="2304" t="s">
        <v>7494</v>
      </c>
      <c r="F1798"/>
      <c r="G1798"/>
    </row>
    <row r="1799" spans="1:7" hidden="1" x14ac:dyDescent="0.2">
      <c r="A1799" s="2291" t="s">
        <v>4908</v>
      </c>
      <c r="B1799" s="2304" t="s">
        <v>5062</v>
      </c>
      <c r="C1799" s="2304" t="s">
        <v>7851</v>
      </c>
      <c r="D1799" s="2304" t="s">
        <v>6884</v>
      </c>
      <c r="E1799" s="2304" t="s">
        <v>7495</v>
      </c>
      <c r="F1799"/>
      <c r="G1799"/>
    </row>
    <row r="1800" spans="1:7" hidden="1" x14ac:dyDescent="0.2">
      <c r="A1800" s="2291" t="s">
        <v>3655</v>
      </c>
      <c r="B1800" s="2304" t="s">
        <v>5419</v>
      </c>
      <c r="C1800" s="2304" t="s">
        <v>7852</v>
      </c>
      <c r="D1800" s="2304" t="s">
        <v>6886</v>
      </c>
      <c r="E1800" s="2304" t="s">
        <v>7496</v>
      </c>
      <c r="F1800"/>
      <c r="G1800"/>
    </row>
    <row r="1801" spans="1:7" hidden="1" x14ac:dyDescent="0.2">
      <c r="A1801" s="2291" t="s">
        <v>3656</v>
      </c>
      <c r="B1801" s="2304" t="s">
        <v>5426</v>
      </c>
      <c r="C1801" s="2304" t="s">
        <v>4850</v>
      </c>
      <c r="D1801" s="2304" t="s">
        <v>6888</v>
      </c>
      <c r="E1801" s="2304" t="s">
        <v>3812</v>
      </c>
      <c r="F1801"/>
      <c r="G1801"/>
    </row>
    <row r="1802" spans="1:7" hidden="1" x14ac:dyDescent="0.2">
      <c r="A1802" s="2291" t="s">
        <v>3657</v>
      </c>
      <c r="B1802" s="2304" t="s">
        <v>5432</v>
      </c>
      <c r="C1802" s="2304" t="s">
        <v>7853</v>
      </c>
      <c r="D1802" s="2304" t="s">
        <v>5433</v>
      </c>
      <c r="E1802" s="2304" t="s">
        <v>7497</v>
      </c>
      <c r="F1802"/>
      <c r="G1802"/>
    </row>
    <row r="1803" spans="1:7" hidden="1" x14ac:dyDescent="0.2">
      <c r="A1803" s="2291" t="s">
        <v>3658</v>
      </c>
      <c r="B1803" s="2304" t="s">
        <v>2156</v>
      </c>
      <c r="C1803" s="2304" t="s">
        <v>7854</v>
      </c>
      <c r="D1803" s="2304" t="s">
        <v>6890</v>
      </c>
      <c r="E1803" s="2304" t="s">
        <v>7498</v>
      </c>
      <c r="F1803"/>
      <c r="G1803"/>
    </row>
    <row r="1804" spans="1:7" hidden="1" x14ac:dyDescent="0.2">
      <c r="A1804" s="2291" t="s">
        <v>3659</v>
      </c>
      <c r="B1804" s="2304" t="s">
        <v>2163</v>
      </c>
      <c r="C1804" s="2304" t="s">
        <v>7855</v>
      </c>
      <c r="D1804" s="2304" t="s">
        <v>6892</v>
      </c>
      <c r="E1804" s="2304" t="s">
        <v>7499</v>
      </c>
      <c r="F1804"/>
      <c r="G1804"/>
    </row>
    <row r="1805" spans="1:7" hidden="1" x14ac:dyDescent="0.2">
      <c r="A1805" s="2291" t="s">
        <v>3660</v>
      </c>
      <c r="B1805" s="2302" t="s">
        <v>2183</v>
      </c>
      <c r="C1805" s="2302" t="s">
        <v>1730</v>
      </c>
      <c r="D1805" s="2302" t="s">
        <v>6897</v>
      </c>
      <c r="E1805" s="2302" t="s">
        <v>1731</v>
      </c>
      <c r="F1805" s="2302"/>
      <c r="G1805" s="2302"/>
    </row>
    <row r="1806" spans="1:7" hidden="1" x14ac:dyDescent="0.2">
      <c r="A1806" s="2291" t="s">
        <v>3661</v>
      </c>
      <c r="B1806" s="2302" t="s">
        <v>2286</v>
      </c>
      <c r="C1806" s="2302" t="s">
        <v>1494</v>
      </c>
      <c r="D1806" s="2302" t="s">
        <v>6909</v>
      </c>
      <c r="E1806" s="2302" t="s">
        <v>5915</v>
      </c>
      <c r="F1806" s="2302"/>
      <c r="G1806" s="2302"/>
    </row>
    <row r="1807" spans="1:7" hidden="1" x14ac:dyDescent="0.2">
      <c r="A1807" s="2291" t="s">
        <v>3662</v>
      </c>
      <c r="B1807" s="2302" t="s">
        <v>272</v>
      </c>
      <c r="C1807" s="2302" t="s">
        <v>5916</v>
      </c>
      <c r="D1807" s="2302" t="s">
        <v>4985</v>
      </c>
      <c r="E1807" s="2302" t="s">
        <v>5917</v>
      </c>
      <c r="F1807" s="2302"/>
      <c r="G1807" s="2302"/>
    </row>
    <row r="1808" spans="1:7" hidden="1" x14ac:dyDescent="0.2">
      <c r="A1808" s="2291" t="s">
        <v>3791</v>
      </c>
      <c r="B1808" s="2302" t="s">
        <v>6049</v>
      </c>
      <c r="C1808" s="2302" t="s">
        <v>231</v>
      </c>
      <c r="D1808" s="2302" t="s">
        <v>649</v>
      </c>
      <c r="E1808" s="2302" t="s">
        <v>232</v>
      </c>
      <c r="F1808" s="2302"/>
      <c r="G1808" s="2302"/>
    </row>
    <row r="1809" spans="1:9" hidden="1" x14ac:dyDescent="0.2">
      <c r="A1809" s="2291" t="s">
        <v>3792</v>
      </c>
      <c r="B1809" s="2302" t="s">
        <v>2948</v>
      </c>
      <c r="C1809" s="2302" t="s">
        <v>233</v>
      </c>
      <c r="D1809" s="2302" t="s">
        <v>650</v>
      </c>
      <c r="E1809" s="2302" t="s">
        <v>234</v>
      </c>
      <c r="F1809" s="2302"/>
      <c r="G1809" s="2302"/>
    </row>
    <row r="1810" spans="1:9" hidden="1" x14ac:dyDescent="0.2">
      <c r="A1810" s="2291" t="s">
        <v>3793</v>
      </c>
      <c r="B1810" s="2302" t="s">
        <v>235</v>
      </c>
      <c r="C1810" s="2302" t="s">
        <v>236</v>
      </c>
      <c r="D1810" s="2302" t="s">
        <v>652</v>
      </c>
      <c r="E1810" s="2302" t="s">
        <v>237</v>
      </c>
      <c r="F1810" s="2302"/>
      <c r="G1810" s="2302"/>
    </row>
    <row r="1811" spans="1:9" hidden="1" x14ac:dyDescent="0.2">
      <c r="A1811" s="2291" t="s">
        <v>3794</v>
      </c>
      <c r="B1811" s="2302" t="s">
        <v>238</v>
      </c>
      <c r="C1811" s="2302" t="s">
        <v>239</v>
      </c>
      <c r="D1811" s="2302" t="s">
        <v>653</v>
      </c>
      <c r="E1811" s="2302" t="s">
        <v>240</v>
      </c>
      <c r="F1811" s="2302"/>
      <c r="G1811" s="2302"/>
    </row>
    <row r="1812" spans="1:9" hidden="1" x14ac:dyDescent="0.2">
      <c r="A1812" s="2291" t="s">
        <v>3795</v>
      </c>
      <c r="B1812" s="2302" t="s">
        <v>241</v>
      </c>
      <c r="C1812" s="2302" t="s">
        <v>242</v>
      </c>
      <c r="D1812" s="2302" t="s">
        <v>5968</v>
      </c>
      <c r="E1812" s="2302" t="s">
        <v>243</v>
      </c>
      <c r="F1812" s="2302"/>
      <c r="G1812" s="2302"/>
      <c r="H1812"/>
      <c r="I1812"/>
    </row>
    <row r="1813" spans="1:9" hidden="1" x14ac:dyDescent="0.2">
      <c r="A1813" s="2291" t="s">
        <v>3796</v>
      </c>
      <c r="B1813" s="2302" t="s">
        <v>244</v>
      </c>
      <c r="C1813" s="2302" t="s">
        <v>245</v>
      </c>
      <c r="D1813" s="2302" t="s">
        <v>655</v>
      </c>
      <c r="E1813" s="2302" t="s">
        <v>2680</v>
      </c>
      <c r="F1813" s="2302"/>
      <c r="G1813" s="2302"/>
      <c r="H1813"/>
      <c r="I1813"/>
    </row>
    <row r="1814" spans="1:9" hidden="1" x14ac:dyDescent="0.2">
      <c r="A1814" s="2291" t="s">
        <v>3797</v>
      </c>
      <c r="B1814" s="2302" t="s">
        <v>2575</v>
      </c>
      <c r="C1814" s="2302" t="s">
        <v>2681</v>
      </c>
      <c r="D1814" s="2302" t="s">
        <v>2682</v>
      </c>
      <c r="E1814" s="2302" t="s">
        <v>3488</v>
      </c>
      <c r="F1814" s="2302" t="s">
        <v>2683</v>
      </c>
      <c r="G1814" s="2302"/>
      <c r="H1814"/>
      <c r="I1814"/>
    </row>
    <row r="1815" spans="1:9" hidden="1" x14ac:dyDescent="0.2">
      <c r="A1815" s="2291" t="s">
        <v>3798</v>
      </c>
      <c r="B1815" s="2302" t="s">
        <v>2926</v>
      </c>
      <c r="C1815" s="2302" t="s">
        <v>2684</v>
      </c>
      <c r="D1815" s="2302" t="s">
        <v>2685</v>
      </c>
      <c r="E1815" s="2302" t="s">
        <v>3489</v>
      </c>
      <c r="F1815" s="2302" t="s">
        <v>2686</v>
      </c>
      <c r="G1815" s="2302"/>
      <c r="H1815"/>
      <c r="I1815"/>
    </row>
    <row r="1816" spans="1:9" hidden="1" x14ac:dyDescent="0.2">
      <c r="A1816" s="2291" t="s">
        <v>3799</v>
      </c>
      <c r="B1816" s="2302" t="s">
        <v>2227</v>
      </c>
      <c r="C1816" s="2302" t="s">
        <v>2687</v>
      </c>
      <c r="D1816" s="2302" t="s">
        <v>2688</v>
      </c>
      <c r="E1816" s="2302" t="s">
        <v>1702</v>
      </c>
      <c r="F1816" s="2302" t="s">
        <v>2689</v>
      </c>
      <c r="G1816" s="2302"/>
      <c r="H1816"/>
      <c r="I1816"/>
    </row>
    <row r="1817" spans="1:9" hidden="1" x14ac:dyDescent="0.2">
      <c r="A1817" s="2291" t="s">
        <v>3800</v>
      </c>
      <c r="B1817" s="2302" t="s">
        <v>512</v>
      </c>
      <c r="C1817" s="2302" t="s">
        <v>2690</v>
      </c>
      <c r="D1817" s="2302" t="s">
        <v>2691</v>
      </c>
      <c r="E1817" s="2302" t="s">
        <v>2692</v>
      </c>
      <c r="F1817" s="2302" t="s">
        <v>2693</v>
      </c>
      <c r="G1817" s="2302"/>
      <c r="H1817"/>
      <c r="I1817"/>
    </row>
    <row r="1818" spans="1:9" hidden="1" x14ac:dyDescent="0.2">
      <c r="A1818" s="2291" t="s">
        <v>3801</v>
      </c>
      <c r="B1818" s="2302" t="s">
        <v>1973</v>
      </c>
      <c r="C1818" s="2302" t="s">
        <v>3378</v>
      </c>
      <c r="D1818" s="2302" t="s">
        <v>7503</v>
      </c>
      <c r="E1818" s="2302" t="s">
        <v>1704</v>
      </c>
      <c r="F1818" s="2302" t="s">
        <v>7860</v>
      </c>
      <c r="G1818" s="2302"/>
      <c r="H1818"/>
      <c r="I1818"/>
    </row>
    <row r="1819" spans="1:9" hidden="1" x14ac:dyDescent="0.2">
      <c r="A1819" s="2291" t="s">
        <v>7502</v>
      </c>
      <c r="B1819" s="2302" t="s">
        <v>3251</v>
      </c>
      <c r="C1819" s="2302" t="s">
        <v>3384</v>
      </c>
      <c r="D1819" s="2302" t="s">
        <v>7861</v>
      </c>
      <c r="E1819" s="2302" t="s">
        <v>1706</v>
      </c>
      <c r="F1819" s="2302" t="s">
        <v>7862</v>
      </c>
      <c r="G1819" s="2302"/>
      <c r="H1819"/>
      <c r="I1819"/>
    </row>
    <row r="1820" spans="1:9" hidden="1" x14ac:dyDescent="0.2">
      <c r="A1820" s="2291" t="s">
        <v>7863</v>
      </c>
      <c r="B1820" s="2302" t="s">
        <v>700</v>
      </c>
      <c r="C1820" s="2302" t="s">
        <v>2955</v>
      </c>
      <c r="D1820" s="2302" t="s">
        <v>7864</v>
      </c>
      <c r="E1820" s="2302" t="s">
        <v>4327</v>
      </c>
      <c r="F1820" s="2302" t="s">
        <v>7865</v>
      </c>
      <c r="G1820" s="2302"/>
      <c r="H1820"/>
      <c r="I1820"/>
    </row>
    <row r="1821" spans="1:9" hidden="1" x14ac:dyDescent="0.2">
      <c r="A1821" s="2291" t="s">
        <v>7866</v>
      </c>
      <c r="B1821" s="2302" t="s">
        <v>803</v>
      </c>
      <c r="C1821" s="2302" t="s">
        <v>5809</v>
      </c>
      <c r="D1821" s="2302" t="s">
        <v>7867</v>
      </c>
      <c r="E1821" s="2302" t="s">
        <v>195</v>
      </c>
      <c r="F1821" s="2302" t="s">
        <v>7868</v>
      </c>
      <c r="G1821" s="2302"/>
      <c r="H1821"/>
      <c r="I1821"/>
    </row>
    <row r="1822" spans="1:9" hidden="1" x14ac:dyDescent="0.2">
      <c r="A1822" s="2291" t="s">
        <v>7869</v>
      </c>
      <c r="B1822" s="2302" t="s">
        <v>1936</v>
      </c>
      <c r="C1822" s="2302" t="s">
        <v>6471</v>
      </c>
      <c r="D1822" s="2302" t="s">
        <v>7870</v>
      </c>
      <c r="E1822" s="2302" t="s">
        <v>5081</v>
      </c>
      <c r="F1822" s="2302" t="s">
        <v>7871</v>
      </c>
      <c r="G1822" s="2302"/>
      <c r="H1822"/>
      <c r="I1822"/>
    </row>
    <row r="1823" spans="1:9" hidden="1" x14ac:dyDescent="0.2">
      <c r="A1823" s="2291" t="s">
        <v>7872</v>
      </c>
      <c r="B1823" s="2302" t="s">
        <v>818</v>
      </c>
      <c r="C1823" s="2302" t="s">
        <v>6475</v>
      </c>
      <c r="D1823" s="2302" t="s">
        <v>7873</v>
      </c>
      <c r="E1823" s="2302" t="s">
        <v>6626</v>
      </c>
      <c r="F1823" s="2302" t="s">
        <v>7874</v>
      </c>
      <c r="G1823" s="2302"/>
      <c r="H1823"/>
      <c r="I1823"/>
    </row>
    <row r="1824" spans="1:9" hidden="1" x14ac:dyDescent="0.2">
      <c r="A1824" s="2291" t="s">
        <v>7875</v>
      </c>
      <c r="B1824" s="2302" t="s">
        <v>538</v>
      </c>
      <c r="C1824" s="2302" t="s">
        <v>4967</v>
      </c>
      <c r="D1824" s="2302" t="s">
        <v>4968</v>
      </c>
      <c r="E1824" s="2302" t="s">
        <v>6627</v>
      </c>
      <c r="F1824" s="2302" t="s">
        <v>2694</v>
      </c>
      <c r="G1824" s="2302"/>
      <c r="H1824"/>
      <c r="I1824"/>
    </row>
    <row r="1825" spans="1:9" hidden="1" x14ac:dyDescent="0.2">
      <c r="A1825" s="2291" t="s">
        <v>7876</v>
      </c>
      <c r="B1825" s="2302" t="s">
        <v>4621</v>
      </c>
      <c r="C1825" s="2302"/>
      <c r="D1825" s="2302"/>
      <c r="E1825" s="2302"/>
      <c r="F1825" s="2302"/>
      <c r="G1825" s="2302"/>
      <c r="H1825"/>
      <c r="I1825"/>
    </row>
    <row r="1826" spans="1:9" hidden="1" x14ac:dyDescent="0.2">
      <c r="A1826" s="2291" t="s">
        <v>7877</v>
      </c>
      <c r="B1826" s="2302" t="s">
        <v>6385</v>
      </c>
      <c r="C1826" s="2302" t="s">
        <v>7878</v>
      </c>
      <c r="D1826" s="2302" t="s">
        <v>3154</v>
      </c>
      <c r="E1826" s="2302" t="s">
        <v>7879</v>
      </c>
      <c r="F1826" s="2302"/>
      <c r="G1826" s="2302"/>
      <c r="H1826"/>
      <c r="I1826"/>
    </row>
    <row r="1827" spans="1:9" hidden="1" x14ac:dyDescent="0.2">
      <c r="A1827" s="1634"/>
      <c r="B1827"/>
      <c r="C1827"/>
      <c r="D1827"/>
      <c r="E1827"/>
      <c r="F1827"/>
      <c r="G1827"/>
      <c r="H1827"/>
      <c r="I1827"/>
    </row>
    <row r="1828" spans="1:9" hidden="1" x14ac:dyDescent="0.2">
      <c r="A1828" s="1634"/>
      <c r="B1828"/>
      <c r="C1828"/>
      <c r="D1828"/>
      <c r="E1828"/>
      <c r="F1828"/>
      <c r="G1828"/>
      <c r="H1828"/>
      <c r="I1828"/>
    </row>
    <row r="1829" spans="1:9" hidden="1" x14ac:dyDescent="0.2">
      <c r="A1829" s="2291" t="s">
        <v>5875</v>
      </c>
      <c r="B1829" s="1634" t="s">
        <v>640</v>
      </c>
      <c r="C1829"/>
      <c r="D1829"/>
      <c r="E1829"/>
      <c r="F1829"/>
      <c r="G1829"/>
      <c r="H1829"/>
      <c r="I1829"/>
    </row>
    <row r="1830" spans="1:9" hidden="1" x14ac:dyDescent="0.2">
      <c r="A1830" s="2291" t="s">
        <v>5876</v>
      </c>
      <c r="B1830" s="1634" t="s">
        <v>2714</v>
      </c>
      <c r="C1830" s="1634" t="s">
        <v>861</v>
      </c>
      <c r="D1830"/>
      <c r="E1830"/>
      <c r="F1830"/>
      <c r="G1830"/>
      <c r="H1830"/>
      <c r="I1830"/>
    </row>
    <row r="1831" spans="1:9" hidden="1" x14ac:dyDescent="0.2">
      <c r="A1831" s="2291" t="s">
        <v>5877</v>
      </c>
      <c r="B1831" s="1634" t="s">
        <v>4027</v>
      </c>
      <c r="C1831" s="1634" t="s">
        <v>865</v>
      </c>
      <c r="D1831"/>
      <c r="E1831"/>
      <c r="F1831"/>
      <c r="G1831"/>
      <c r="H1831"/>
      <c r="I1831"/>
    </row>
    <row r="1832" spans="1:9" hidden="1" x14ac:dyDescent="0.2">
      <c r="A1832" s="2291" t="s">
        <v>5878</v>
      </c>
      <c r="B1832" s="1634" t="s">
        <v>4040</v>
      </c>
      <c r="C1832" s="1634" t="s">
        <v>869</v>
      </c>
      <c r="D1832"/>
      <c r="E1832"/>
      <c r="F1832"/>
      <c r="G1832"/>
      <c r="H1832"/>
      <c r="I1832"/>
    </row>
    <row r="1833" spans="1:9" hidden="1" x14ac:dyDescent="0.2">
      <c r="A1833" s="2291" t="s">
        <v>5879</v>
      </c>
      <c r="B1833" s="1634" t="s">
        <v>4709</v>
      </c>
      <c r="C1833" s="1634" t="s">
        <v>6683</v>
      </c>
      <c r="D1833" s="1634" t="s">
        <v>5475</v>
      </c>
      <c r="E1833" s="1634" t="s">
        <v>3423</v>
      </c>
      <c r="F1833" s="1634" t="s">
        <v>4710</v>
      </c>
      <c r="G1833" s="1634" t="s">
        <v>6462</v>
      </c>
      <c r="H1833" s="1634" t="s">
        <v>4045</v>
      </c>
      <c r="I1833" s="1634" t="s">
        <v>6684</v>
      </c>
    </row>
    <row r="1834" spans="1:9" hidden="1" x14ac:dyDescent="0.2">
      <c r="A1834" s="2291" t="s">
        <v>5880</v>
      </c>
      <c r="B1834" s="1634" t="s">
        <v>4713</v>
      </c>
      <c r="C1834" s="1634" t="s">
        <v>6694</v>
      </c>
      <c r="D1834" s="1634" t="s">
        <v>4094</v>
      </c>
      <c r="E1834" s="1634" t="s">
        <v>5430</v>
      </c>
      <c r="F1834" s="1634" t="s">
        <v>4714</v>
      </c>
      <c r="G1834" s="1634" t="s">
        <v>2911</v>
      </c>
      <c r="H1834" s="1634" t="s">
        <v>4095</v>
      </c>
      <c r="I1834" s="1634" t="s">
        <v>4096</v>
      </c>
    </row>
    <row r="1835" spans="1:9" hidden="1" x14ac:dyDescent="0.2">
      <c r="A1835" s="2291" t="s">
        <v>5881</v>
      </c>
      <c r="B1835" s="1634" t="s">
        <v>4715</v>
      </c>
      <c r="C1835" s="1634" t="s">
        <v>2660</v>
      </c>
      <c r="D1835" s="1634" t="s">
        <v>4104</v>
      </c>
      <c r="E1835" s="1634" t="s">
        <v>2161</v>
      </c>
      <c r="F1835" s="1634" t="s">
        <v>4716</v>
      </c>
      <c r="G1835" s="1634" t="s">
        <v>2915</v>
      </c>
      <c r="H1835" s="1634" t="s">
        <v>4105</v>
      </c>
      <c r="I1835" s="1634" t="s">
        <v>2318</v>
      </c>
    </row>
    <row r="1836" spans="1:9" hidden="1" x14ac:dyDescent="0.2">
      <c r="A1836" s="2291" t="s">
        <v>5882</v>
      </c>
      <c r="B1836" s="1634" t="s">
        <v>2328</v>
      </c>
      <c r="C1836"/>
      <c r="D1836"/>
      <c r="E1836"/>
      <c r="F1836"/>
      <c r="G1836"/>
      <c r="H1836"/>
      <c r="I1836"/>
    </row>
    <row r="1837" spans="1:9" hidden="1" x14ac:dyDescent="0.2">
      <c r="A1837" s="2291" t="s">
        <v>5883</v>
      </c>
      <c r="B1837" s="1634" t="s">
        <v>1741</v>
      </c>
      <c r="C1837"/>
      <c r="D1837"/>
      <c r="E1837"/>
      <c r="F1837"/>
      <c r="G1837"/>
      <c r="H1837"/>
      <c r="I1837"/>
    </row>
    <row r="1838" spans="1:9" hidden="1" x14ac:dyDescent="0.2">
      <c r="A1838" s="2291" t="s">
        <v>5884</v>
      </c>
      <c r="B1838" s="1634" t="s">
        <v>1751</v>
      </c>
      <c r="C1838"/>
      <c r="D1838"/>
      <c r="E1838"/>
      <c r="F1838"/>
      <c r="G1838"/>
      <c r="H1838"/>
      <c r="I1838"/>
    </row>
    <row r="1839" spans="1:9" hidden="1" x14ac:dyDescent="0.2">
      <c r="A1839" s="2291" t="s">
        <v>5885</v>
      </c>
      <c r="B1839" s="1634" t="s">
        <v>3874</v>
      </c>
      <c r="C1839" s="1634" t="s">
        <v>1075</v>
      </c>
      <c r="D1839" s="1634" t="s">
        <v>277</v>
      </c>
      <c r="E1839" s="1634" t="s">
        <v>6439</v>
      </c>
      <c r="F1839"/>
      <c r="G1839"/>
      <c r="H1839"/>
      <c r="I1839"/>
    </row>
    <row r="1840" spans="1:9" hidden="1" x14ac:dyDescent="0.2">
      <c r="A1840" s="2291" t="s">
        <v>5886</v>
      </c>
      <c r="B1840" s="1634" t="s">
        <v>395</v>
      </c>
      <c r="C1840" s="1634" t="s">
        <v>2668</v>
      </c>
      <c r="D1840" s="1634" t="s">
        <v>2669</v>
      </c>
      <c r="E1840" s="1634" t="s">
        <v>5478</v>
      </c>
      <c r="F1840"/>
      <c r="G1840"/>
      <c r="H1840"/>
      <c r="I1840"/>
    </row>
    <row r="1841" spans="1:9" hidden="1" x14ac:dyDescent="0.2">
      <c r="A1841" s="2291" t="s">
        <v>3028</v>
      </c>
      <c r="B1841" s="1634" t="s">
        <v>672</v>
      </c>
      <c r="C1841" s="1634" t="s">
        <v>673</v>
      </c>
      <c r="D1841" s="1634" t="s">
        <v>674</v>
      </c>
      <c r="E1841" s="1634" t="s">
        <v>5479</v>
      </c>
      <c r="F1841"/>
      <c r="G1841"/>
      <c r="H1841"/>
      <c r="I1841"/>
    </row>
    <row r="1842" spans="1:9" hidden="1" x14ac:dyDescent="0.2">
      <c r="A1842" s="2291" t="s">
        <v>3029</v>
      </c>
      <c r="B1842" s="1634" t="s">
        <v>6450</v>
      </c>
      <c r="C1842"/>
      <c r="D1842"/>
      <c r="E1842"/>
      <c r="F1842"/>
      <c r="G1842"/>
      <c r="H1842"/>
      <c r="I1842"/>
    </row>
    <row r="1843" spans="1:9" hidden="1" x14ac:dyDescent="0.2">
      <c r="A1843" s="2291" t="s">
        <v>3030</v>
      </c>
      <c r="B1843" s="1634" t="s">
        <v>4523</v>
      </c>
      <c r="C1843"/>
      <c r="D1843"/>
      <c r="E1843"/>
      <c r="F1843"/>
      <c r="G1843"/>
      <c r="H1843"/>
      <c r="I1843"/>
    </row>
    <row r="1844" spans="1:9" hidden="1" x14ac:dyDescent="0.2">
      <c r="A1844" s="2291" t="s">
        <v>3031</v>
      </c>
      <c r="B1844" s="1634" t="s">
        <v>4525</v>
      </c>
      <c r="C1844"/>
      <c r="D1844"/>
      <c r="E1844"/>
      <c r="F1844"/>
      <c r="G1844"/>
      <c r="H1844"/>
      <c r="I1844"/>
    </row>
    <row r="1845" spans="1:9" hidden="1" x14ac:dyDescent="0.2">
      <c r="A1845" s="2291" t="s">
        <v>3032</v>
      </c>
      <c r="B1845" s="1634" t="s">
        <v>5728</v>
      </c>
      <c r="C1845"/>
      <c r="D1845"/>
      <c r="E1845"/>
      <c r="F1845"/>
      <c r="G1845"/>
      <c r="H1845"/>
      <c r="I1845"/>
    </row>
    <row r="1846" spans="1:9" hidden="1" x14ac:dyDescent="0.2">
      <c r="A1846" s="2291" t="s">
        <v>3033</v>
      </c>
      <c r="B1846" s="1634" t="s">
        <v>4972</v>
      </c>
      <c r="C1846"/>
      <c r="D1846"/>
      <c r="E1846"/>
      <c r="F1846"/>
      <c r="G1846"/>
      <c r="H1846"/>
      <c r="I1846"/>
    </row>
    <row r="1847" spans="1:9" hidden="1" x14ac:dyDescent="0.2">
      <c r="A1847" s="2291" t="s">
        <v>3034</v>
      </c>
      <c r="B1847" s="1634" t="s">
        <v>5483</v>
      </c>
      <c r="C1847"/>
      <c r="D1847"/>
      <c r="E1847"/>
      <c r="F1847"/>
      <c r="G1847"/>
      <c r="H1847"/>
      <c r="I1847"/>
    </row>
    <row r="1848" spans="1:9" hidden="1" x14ac:dyDescent="0.2">
      <c r="A1848" s="2291" t="s">
        <v>3035</v>
      </c>
      <c r="B1848" s="1634" t="s">
        <v>6503</v>
      </c>
      <c r="C1848"/>
      <c r="D1848"/>
      <c r="E1848"/>
      <c r="F1848"/>
      <c r="G1848"/>
      <c r="H1848"/>
      <c r="I1848"/>
    </row>
    <row r="1849" spans="1:9" hidden="1" x14ac:dyDescent="0.2">
      <c r="A1849" s="2291" t="s">
        <v>3036</v>
      </c>
      <c r="B1849" s="1634" t="s">
        <v>6183</v>
      </c>
      <c r="C1849"/>
      <c r="D1849"/>
      <c r="E1849"/>
      <c r="F1849"/>
      <c r="G1849"/>
      <c r="H1849"/>
      <c r="I1849"/>
    </row>
    <row r="1850" spans="1:9" hidden="1" x14ac:dyDescent="0.2">
      <c r="A1850" s="2291" t="s">
        <v>3037</v>
      </c>
      <c r="B1850" s="1634" t="s">
        <v>2626</v>
      </c>
      <c r="C1850"/>
      <c r="D1850"/>
      <c r="E1850"/>
      <c r="F1850"/>
      <c r="G1850"/>
      <c r="H1850"/>
      <c r="I1850"/>
    </row>
    <row r="1851" spans="1:9" hidden="1" x14ac:dyDescent="0.2">
      <c r="A1851" s="1634"/>
    </row>
    <row r="1852" spans="1:9" hidden="1" x14ac:dyDescent="0.2">
      <c r="A1852" s="1634"/>
    </row>
    <row r="1853" spans="1:9" hidden="1" x14ac:dyDescent="0.2">
      <c r="A1853" s="1634"/>
      <c r="B1853"/>
      <c r="C1853"/>
      <c r="D1853"/>
      <c r="E1853"/>
      <c r="F1853"/>
      <c r="G1853"/>
      <c r="H1853"/>
      <c r="I1853"/>
    </row>
    <row r="1854" spans="1:9" hidden="1" x14ac:dyDescent="0.2">
      <c r="A1854" s="1634" t="s">
        <v>2148</v>
      </c>
      <c r="B1854" s="1634" t="s">
        <v>640</v>
      </c>
      <c r="C1854"/>
      <c r="D1854"/>
      <c r="E1854"/>
      <c r="F1854"/>
      <c r="G1854"/>
      <c r="H1854"/>
      <c r="I1854"/>
    </row>
    <row r="1855" spans="1:9" hidden="1" x14ac:dyDescent="0.2">
      <c r="A1855" s="1634" t="s">
        <v>2147</v>
      </c>
      <c r="B1855" s="1634" t="s">
        <v>2715</v>
      </c>
      <c r="C1855"/>
      <c r="D1855"/>
      <c r="E1855"/>
      <c r="F1855"/>
      <c r="G1855"/>
      <c r="H1855"/>
      <c r="I1855"/>
    </row>
    <row r="1856" spans="1:9" hidden="1" x14ac:dyDescent="0.2">
      <c r="A1856" s="1634" t="s">
        <v>2146</v>
      </c>
      <c r="B1856" s="2302" t="s">
        <v>6677</v>
      </c>
      <c r="C1856" s="1634" t="s">
        <v>6678</v>
      </c>
      <c r="D1856" s="1634" t="s">
        <v>2029</v>
      </c>
      <c r="E1856" s="1634" t="s">
        <v>4708</v>
      </c>
      <c r="F1856" s="1634" t="s">
        <v>6460</v>
      </c>
      <c r="G1856" s="1634" t="s">
        <v>3132</v>
      </c>
      <c r="H1856" s="1634" t="s">
        <v>6679</v>
      </c>
      <c r="I1856" s="1634" t="s">
        <v>6680</v>
      </c>
    </row>
    <row r="1857" spans="1:12" hidden="1" x14ac:dyDescent="0.2">
      <c r="A1857" s="1634" t="s">
        <v>2145</v>
      </c>
      <c r="B1857" s="1634" t="s">
        <v>6683</v>
      </c>
      <c r="C1857" s="1634" t="s">
        <v>5475</v>
      </c>
      <c r="D1857" s="1634" t="s">
        <v>3423</v>
      </c>
      <c r="E1857" s="1634" t="s">
        <v>4710</v>
      </c>
      <c r="F1857" s="1634" t="s">
        <v>6462</v>
      </c>
      <c r="G1857" s="1634" t="s">
        <v>4045</v>
      </c>
      <c r="H1857" s="1634" t="s">
        <v>6684</v>
      </c>
      <c r="I1857" s="1634" t="s">
        <v>6685</v>
      </c>
    </row>
    <row r="1858" spans="1:12" hidden="1" x14ac:dyDescent="0.2">
      <c r="A1858" s="1634" t="s">
        <v>2144</v>
      </c>
      <c r="B1858" s="1634" t="s">
        <v>6688</v>
      </c>
      <c r="C1858" s="1634" t="s">
        <v>6689</v>
      </c>
      <c r="D1858" s="1634" t="s">
        <v>5424</v>
      </c>
      <c r="E1858" s="1634" t="s">
        <v>4712</v>
      </c>
      <c r="F1858" s="1634" t="s">
        <v>6464</v>
      </c>
      <c r="G1858" s="1634" t="s">
        <v>4047</v>
      </c>
      <c r="H1858" s="1634" t="s">
        <v>6690</v>
      </c>
      <c r="I1858" s="1634" t="s">
        <v>6691</v>
      </c>
    </row>
    <row r="1859" spans="1:12" hidden="1" x14ac:dyDescent="0.2">
      <c r="A1859" s="1634" t="s">
        <v>2143</v>
      </c>
      <c r="B1859" s="1634" t="s">
        <v>6694</v>
      </c>
      <c r="C1859" s="1634" t="s">
        <v>4094</v>
      </c>
      <c r="D1859" s="1634" t="s">
        <v>5430</v>
      </c>
      <c r="E1859" s="1634" t="s">
        <v>4714</v>
      </c>
      <c r="F1859" s="1634" t="s">
        <v>2911</v>
      </c>
      <c r="G1859" s="1634" t="s">
        <v>4095</v>
      </c>
      <c r="H1859" s="1634" t="s">
        <v>4096</v>
      </c>
      <c r="I1859" s="1634" t="s">
        <v>4097</v>
      </c>
    </row>
    <row r="1860" spans="1:12" hidden="1" x14ac:dyDescent="0.2">
      <c r="A1860" s="1634" t="s">
        <v>2142</v>
      </c>
      <c r="B1860" s="1634" t="s">
        <v>6697</v>
      </c>
      <c r="C1860" s="1634" t="s">
        <v>4099</v>
      </c>
      <c r="D1860" s="1634" t="s">
        <v>2154</v>
      </c>
      <c r="E1860" s="1634" t="s">
        <v>5476</v>
      </c>
      <c r="F1860" s="1634" t="s">
        <v>2913</v>
      </c>
      <c r="G1860" s="1634" t="s">
        <v>4100</v>
      </c>
      <c r="H1860" s="1634" t="s">
        <v>4101</v>
      </c>
      <c r="I1860" s="1634" t="s">
        <v>4102</v>
      </c>
      <c r="J1860"/>
      <c r="K1860"/>
      <c r="L1860"/>
    </row>
    <row r="1861" spans="1:12" hidden="1" x14ac:dyDescent="0.2">
      <c r="A1861" s="1634" t="s">
        <v>2141</v>
      </c>
      <c r="B1861" s="1634" t="s">
        <v>2660</v>
      </c>
      <c r="C1861" s="1634" t="s">
        <v>4104</v>
      </c>
      <c r="D1861" s="1634" t="s">
        <v>2161</v>
      </c>
      <c r="E1861" s="1634" t="s">
        <v>4716</v>
      </c>
      <c r="F1861" s="1634" t="s">
        <v>2915</v>
      </c>
      <c r="G1861" s="1634" t="s">
        <v>4105</v>
      </c>
      <c r="H1861" s="1634" t="s">
        <v>2318</v>
      </c>
      <c r="I1861" s="1634" t="s">
        <v>2319</v>
      </c>
      <c r="J1861"/>
      <c r="K1861"/>
      <c r="L1861"/>
    </row>
    <row r="1862" spans="1:12" hidden="1" x14ac:dyDescent="0.2">
      <c r="A1862" s="1634" t="s">
        <v>2140</v>
      </c>
      <c r="B1862" s="1634" t="s">
        <v>2663</v>
      </c>
      <c r="C1862" s="1634" t="s">
        <v>2321</v>
      </c>
      <c r="D1862" s="1634" t="s">
        <v>2168</v>
      </c>
      <c r="E1862" s="1634" t="s">
        <v>6426</v>
      </c>
      <c r="F1862" s="1634" t="s">
        <v>2917</v>
      </c>
      <c r="G1862" s="1634" t="s">
        <v>2322</v>
      </c>
      <c r="H1862" s="1634" t="s">
        <v>2323</v>
      </c>
      <c r="I1862" s="1634" t="s">
        <v>2324</v>
      </c>
      <c r="J1862"/>
      <c r="K1862"/>
      <c r="L1862"/>
    </row>
    <row r="1863" spans="1:12" hidden="1" x14ac:dyDescent="0.2">
      <c r="A1863" s="1634" t="s">
        <v>2139</v>
      </c>
      <c r="B1863" s="1634" t="s">
        <v>3859</v>
      </c>
      <c r="C1863" s="1634" t="s">
        <v>2326</v>
      </c>
      <c r="D1863" s="1634" t="s">
        <v>2174</v>
      </c>
      <c r="E1863" s="1634" t="s">
        <v>6428</v>
      </c>
      <c r="F1863" s="1634" t="s">
        <v>2919</v>
      </c>
      <c r="G1863" s="1634" t="s">
        <v>2327</v>
      </c>
      <c r="H1863" s="1634" t="s">
        <v>2328</v>
      </c>
      <c r="I1863" s="1634" t="s">
        <v>1011</v>
      </c>
      <c r="J1863"/>
      <c r="K1863"/>
      <c r="L1863"/>
    </row>
    <row r="1864" spans="1:12" hidden="1" x14ac:dyDescent="0.2">
      <c r="A1864" s="1634" t="s">
        <v>2138</v>
      </c>
      <c r="B1864" s="1634" t="s">
        <v>3862</v>
      </c>
      <c r="C1864" s="1634" t="s">
        <v>6605</v>
      </c>
      <c r="D1864" s="1634" t="s">
        <v>2181</v>
      </c>
      <c r="E1864" s="1634" t="s">
        <v>6430</v>
      </c>
      <c r="F1864" s="1634" t="s">
        <v>1575</v>
      </c>
      <c r="G1864" s="1634" t="s">
        <v>6606</v>
      </c>
      <c r="H1864" s="1634" t="s">
        <v>5084</v>
      </c>
      <c r="I1864" s="1634" t="s">
        <v>5085</v>
      </c>
      <c r="J1864"/>
      <c r="K1864"/>
      <c r="L1864"/>
    </row>
    <row r="1865" spans="1:12" hidden="1" x14ac:dyDescent="0.2">
      <c r="A1865" s="1634" t="s">
        <v>2137</v>
      </c>
      <c r="B1865" s="1634" t="s">
        <v>3052</v>
      </c>
      <c r="C1865" s="1634" t="s">
        <v>2</v>
      </c>
      <c r="D1865" s="1634" t="s">
        <v>2188</v>
      </c>
      <c r="E1865" s="1634" t="s">
        <v>2921</v>
      </c>
      <c r="F1865" s="1634" t="s">
        <v>4078</v>
      </c>
      <c r="G1865" s="1634" t="s">
        <v>3</v>
      </c>
      <c r="H1865" s="1634" t="s">
        <v>1741</v>
      </c>
      <c r="I1865" s="1634" t="s">
        <v>1742</v>
      </c>
      <c r="J1865"/>
      <c r="K1865"/>
      <c r="L1865"/>
    </row>
    <row r="1866" spans="1:12" hidden="1" x14ac:dyDescent="0.2">
      <c r="A1866" s="1634" t="s">
        <v>2136</v>
      </c>
      <c r="B1866" s="2302" t="s">
        <v>1747</v>
      </c>
      <c r="C1866"/>
      <c r="D1866"/>
      <c r="E1866"/>
      <c r="F1866"/>
      <c r="G1866"/>
      <c r="H1866"/>
      <c r="I1866"/>
      <c r="J1866"/>
      <c r="K1866"/>
      <c r="L1866"/>
    </row>
    <row r="1867" spans="1:12" hidden="1" x14ac:dyDescent="0.2">
      <c r="A1867" s="1634" t="s">
        <v>2135</v>
      </c>
      <c r="B1867" s="2302" t="s">
        <v>946</v>
      </c>
      <c r="C1867"/>
      <c r="D1867"/>
      <c r="E1867"/>
      <c r="F1867"/>
      <c r="G1867"/>
      <c r="H1867"/>
      <c r="I1867"/>
      <c r="J1867"/>
      <c r="K1867"/>
      <c r="L1867"/>
    </row>
    <row r="1868" spans="1:12" hidden="1" x14ac:dyDescent="0.2">
      <c r="A1868" s="2302" t="s">
        <v>4766</v>
      </c>
      <c r="B1868" s="2302" t="s">
        <v>277</v>
      </c>
      <c r="C1868" s="2302"/>
      <c r="D1868" s="2302"/>
      <c r="E1868" s="2302"/>
      <c r="F1868" s="2302"/>
      <c r="G1868" s="2302"/>
      <c r="H1868" s="2302"/>
      <c r="I1868" s="2302"/>
      <c r="J1868" s="2302"/>
      <c r="K1868" s="2302"/>
      <c r="L1868" s="2302"/>
    </row>
    <row r="1869" spans="1:12" hidden="1" x14ac:dyDescent="0.2">
      <c r="A1869" s="2302" t="s">
        <v>7880</v>
      </c>
      <c r="B1869" s="2302" t="s">
        <v>2669</v>
      </c>
      <c r="C1869" s="2302"/>
      <c r="D1869" s="2302"/>
      <c r="E1869" s="2302"/>
      <c r="F1869" s="2302"/>
      <c r="G1869" s="2302"/>
      <c r="H1869" s="2302"/>
      <c r="I1869" s="2302"/>
      <c r="J1869" s="2302"/>
      <c r="K1869" s="2302"/>
      <c r="L1869" s="2302"/>
    </row>
    <row r="1870" spans="1:12" hidden="1" x14ac:dyDescent="0.2">
      <c r="A1870" s="2302" t="s">
        <v>7881</v>
      </c>
      <c r="B1870" s="2302" t="s">
        <v>1970</v>
      </c>
      <c r="C1870" s="2302" t="s">
        <v>1971</v>
      </c>
      <c r="D1870" s="2302" t="s">
        <v>1972</v>
      </c>
      <c r="E1870" s="2302" t="s">
        <v>6452</v>
      </c>
      <c r="F1870" s="2302" t="s">
        <v>2928</v>
      </c>
      <c r="G1870" s="2302" t="s">
        <v>2929</v>
      </c>
      <c r="H1870" s="2302" t="s">
        <v>2930</v>
      </c>
      <c r="I1870" s="2302" t="s">
        <v>1973</v>
      </c>
      <c r="J1870" s="2302"/>
      <c r="K1870" s="2302"/>
      <c r="L1870" s="2302"/>
    </row>
    <row r="1871" spans="1:12" hidden="1" x14ac:dyDescent="0.2">
      <c r="A1871" s="2302" t="s">
        <v>7882</v>
      </c>
      <c r="B1871" s="2302" t="s">
        <v>3503</v>
      </c>
      <c r="C1871" s="2302" t="s">
        <v>3246</v>
      </c>
      <c r="D1871" s="2302" t="s">
        <v>3247</v>
      </c>
      <c r="E1871" s="2302" t="s">
        <v>4523</v>
      </c>
      <c r="F1871" s="2302" t="s">
        <v>3248</v>
      </c>
      <c r="G1871" s="2302" t="s">
        <v>3249</v>
      </c>
      <c r="H1871" s="2302" t="s">
        <v>3250</v>
      </c>
      <c r="I1871" s="2302" t="s">
        <v>3251</v>
      </c>
      <c r="J1871" s="2302"/>
      <c r="K1871" s="2302"/>
      <c r="L1871" s="2302"/>
    </row>
    <row r="1872" spans="1:12" hidden="1" x14ac:dyDescent="0.2">
      <c r="A1872" s="2302" t="s">
        <v>7883</v>
      </c>
      <c r="B1872" s="2302" t="s">
        <v>6948</v>
      </c>
      <c r="C1872" s="2302" t="s">
        <v>5480</v>
      </c>
      <c r="D1872" s="2302" t="s">
        <v>2954</v>
      </c>
      <c r="E1872" s="2302" t="s">
        <v>3254</v>
      </c>
      <c r="F1872" s="2302" t="s">
        <v>3255</v>
      </c>
      <c r="G1872" s="2302" t="s">
        <v>3256</v>
      </c>
      <c r="H1872" s="2302" t="s">
        <v>3257</v>
      </c>
      <c r="I1872" s="2302" t="s">
        <v>700</v>
      </c>
      <c r="J1872" s="2302"/>
      <c r="K1872" s="2302"/>
      <c r="L1872" s="2302"/>
    </row>
    <row r="1873" spans="1:12" hidden="1" x14ac:dyDescent="0.2">
      <c r="A1873" s="2302" t="s">
        <v>7884</v>
      </c>
      <c r="B1873" s="2302" t="s">
        <v>6950</v>
      </c>
      <c r="C1873" s="2302" t="s">
        <v>799</v>
      </c>
      <c r="D1873" s="2302" t="s">
        <v>473</v>
      </c>
      <c r="E1873" s="2302" t="s">
        <v>4525</v>
      </c>
      <c r="F1873" s="2302" t="s">
        <v>800</v>
      </c>
      <c r="G1873" s="2302" t="s">
        <v>801</v>
      </c>
      <c r="H1873" s="2302" t="s">
        <v>802</v>
      </c>
      <c r="I1873" s="2302" t="s">
        <v>803</v>
      </c>
      <c r="J1873" s="2302"/>
      <c r="K1873" s="2302"/>
      <c r="L1873" s="2302"/>
    </row>
    <row r="1874" spans="1:12" hidden="1" x14ac:dyDescent="0.2">
      <c r="A1874" s="2302" t="s">
        <v>7885</v>
      </c>
      <c r="B1874" s="2302" t="s">
        <v>806</v>
      </c>
      <c r="C1874" s="2302" t="s">
        <v>807</v>
      </c>
      <c r="D1874" s="2302" t="s">
        <v>6470</v>
      </c>
      <c r="E1874" s="2302" t="s">
        <v>465</v>
      </c>
      <c r="F1874" s="2302" t="s">
        <v>808</v>
      </c>
      <c r="G1874" s="2302" t="s">
        <v>809</v>
      </c>
      <c r="H1874" s="2302" t="s">
        <v>810</v>
      </c>
      <c r="I1874" s="2302" t="s">
        <v>1936</v>
      </c>
      <c r="J1874" s="2302"/>
      <c r="K1874" s="2302"/>
      <c r="L1874" s="2302"/>
    </row>
    <row r="1875" spans="1:12" hidden="1" x14ac:dyDescent="0.2">
      <c r="A1875" s="2302" t="s">
        <v>7886</v>
      </c>
      <c r="B1875" s="2302" t="s">
        <v>813</v>
      </c>
      <c r="C1875" s="2302" t="s">
        <v>814</v>
      </c>
      <c r="D1875" s="2302" t="s">
        <v>6474</v>
      </c>
      <c r="E1875" s="2302" t="s">
        <v>5728</v>
      </c>
      <c r="F1875" s="2302" t="s">
        <v>815</v>
      </c>
      <c r="G1875" s="2302" t="s">
        <v>816</v>
      </c>
      <c r="H1875" s="2302" t="s">
        <v>817</v>
      </c>
      <c r="I1875" s="2302" t="s">
        <v>818</v>
      </c>
      <c r="J1875" s="2302"/>
      <c r="K1875" s="2302"/>
      <c r="L1875" s="2302"/>
    </row>
    <row r="1876" spans="1:12" hidden="1" x14ac:dyDescent="0.2">
      <c r="A1876" s="2302" t="s">
        <v>7887</v>
      </c>
      <c r="B1876" s="2302" t="s">
        <v>821</v>
      </c>
      <c r="C1876" s="2302" t="s">
        <v>822</v>
      </c>
      <c r="D1876" s="2302" t="s">
        <v>4966</v>
      </c>
      <c r="E1876" s="2302" t="s">
        <v>823</v>
      </c>
      <c r="F1876" s="2302" t="s">
        <v>824</v>
      </c>
      <c r="G1876" s="2302" t="s">
        <v>825</v>
      </c>
      <c r="H1876" s="2302" t="s">
        <v>537</v>
      </c>
      <c r="I1876" s="2302" t="s">
        <v>538</v>
      </c>
      <c r="J1876" s="2302"/>
      <c r="K1876" s="2302"/>
      <c r="L1876" s="2302"/>
    </row>
    <row r="1877" spans="1:12" hidden="1" x14ac:dyDescent="0.2">
      <c r="A1877" s="2302" t="s">
        <v>7888</v>
      </c>
      <c r="B1877" s="2302" t="s">
        <v>541</v>
      </c>
      <c r="C1877" s="2302" t="s">
        <v>5481</v>
      </c>
      <c r="D1877" s="2302" t="s">
        <v>4972</v>
      </c>
      <c r="E1877" s="2302" t="s">
        <v>5730</v>
      </c>
      <c r="F1877" s="2302" t="s">
        <v>542</v>
      </c>
      <c r="G1877" s="2302" t="s">
        <v>543</v>
      </c>
      <c r="H1877" s="2302" t="s">
        <v>544</v>
      </c>
      <c r="I1877" s="2302" t="s">
        <v>545</v>
      </c>
      <c r="J1877" s="2302"/>
      <c r="K1877" s="2302"/>
      <c r="L1877" s="2302"/>
    </row>
    <row r="1878" spans="1:12" hidden="1" x14ac:dyDescent="0.2">
      <c r="A1878" s="2302" t="s">
        <v>7889</v>
      </c>
      <c r="B1878" s="2302" t="s">
        <v>6912</v>
      </c>
      <c r="C1878" s="2302" t="s">
        <v>715</v>
      </c>
      <c r="D1878" s="2302" t="s">
        <v>2825</v>
      </c>
      <c r="E1878" s="2302" t="s">
        <v>4789</v>
      </c>
      <c r="F1878" s="2302" t="s">
        <v>1807</v>
      </c>
      <c r="G1878" s="2302" t="s">
        <v>716</v>
      </c>
      <c r="H1878" s="2302" t="s">
        <v>717</v>
      </c>
      <c r="I1878" s="2302" t="s">
        <v>718</v>
      </c>
      <c r="J1878" s="2302"/>
      <c r="K1878" s="2302"/>
      <c r="L1878" s="2302"/>
    </row>
    <row r="1879" spans="1:12" hidden="1" x14ac:dyDescent="0.2">
      <c r="A1879" s="2302" t="s">
        <v>7890</v>
      </c>
      <c r="B1879" s="2302" t="s">
        <v>3466</v>
      </c>
      <c r="C1879" s="2302" t="s">
        <v>5482</v>
      </c>
      <c r="D1879" s="2302" t="s">
        <v>5610</v>
      </c>
      <c r="E1879" s="2302" t="s">
        <v>5483</v>
      </c>
      <c r="F1879" s="2302" t="s">
        <v>1809</v>
      </c>
      <c r="G1879" s="2302" t="s">
        <v>3467</v>
      </c>
      <c r="H1879" s="2302" t="s">
        <v>3468</v>
      </c>
      <c r="I1879" s="2302" t="s">
        <v>3469</v>
      </c>
      <c r="J1879" s="2302"/>
      <c r="K1879" s="2302"/>
      <c r="L1879" s="2302"/>
    </row>
    <row r="1880" spans="1:12" hidden="1" x14ac:dyDescent="0.2">
      <c r="A1880" s="2302" t="s">
        <v>7891</v>
      </c>
      <c r="B1880" s="2302" t="s">
        <v>6050</v>
      </c>
      <c r="C1880" s="2302"/>
      <c r="D1880" s="2302"/>
      <c r="E1880" s="2302"/>
      <c r="F1880" s="2302"/>
      <c r="G1880" s="2302"/>
      <c r="H1880" s="2302"/>
      <c r="I1880" s="2302"/>
      <c r="J1880" s="2302"/>
      <c r="K1880" s="2302"/>
      <c r="L1880" s="2302"/>
    </row>
    <row r="1881" spans="1:12" hidden="1" x14ac:dyDescent="0.2">
      <c r="A1881" s="2302" t="s">
        <v>7892</v>
      </c>
      <c r="B1881" s="2302" t="s">
        <v>5781</v>
      </c>
      <c r="C1881" s="2302"/>
      <c r="D1881" s="2302"/>
      <c r="E1881" s="2302"/>
      <c r="F1881" s="2302"/>
      <c r="G1881" s="2302"/>
      <c r="H1881" s="2302"/>
      <c r="I1881" s="2302"/>
      <c r="J1881" s="2302"/>
      <c r="K1881" s="2302"/>
      <c r="L1881" s="2302"/>
    </row>
    <row r="1882" spans="1:12" hidden="1" x14ac:dyDescent="0.2">
      <c r="A1882" s="2302" t="s">
        <v>7893</v>
      </c>
      <c r="B1882" s="2302" t="s">
        <v>92</v>
      </c>
      <c r="C1882" s="2302"/>
      <c r="D1882" s="2302"/>
      <c r="E1882" s="2302"/>
      <c r="F1882" s="2302"/>
      <c r="G1882" s="2302"/>
      <c r="H1882" s="2302"/>
      <c r="I1882" s="2302"/>
      <c r="J1882" s="2302"/>
      <c r="K1882" s="2302"/>
      <c r="L1882" s="2302"/>
    </row>
    <row r="1883" spans="1:12" hidden="1" x14ac:dyDescent="0.2">
      <c r="A1883" s="2302" t="s">
        <v>7894</v>
      </c>
      <c r="B1883" s="2302" t="s">
        <v>3404</v>
      </c>
      <c r="C1883" s="2302"/>
      <c r="D1883" s="2302"/>
      <c r="E1883" s="2302"/>
      <c r="F1883" s="2302"/>
      <c r="G1883" s="2302"/>
      <c r="H1883" s="2302"/>
      <c r="I1883" s="2302"/>
      <c r="J1883" s="2302"/>
      <c r="K1883" s="2302"/>
      <c r="L1883" s="2302"/>
    </row>
    <row r="1884" spans="1:12" hidden="1" x14ac:dyDescent="0.2">
      <c r="A1884" s="2302" t="s">
        <v>7895</v>
      </c>
      <c r="B1884" s="2302" t="s">
        <v>5105</v>
      </c>
      <c r="C1884" s="2302"/>
      <c r="D1884" s="2302"/>
      <c r="E1884" s="2302"/>
      <c r="F1884" s="2302"/>
      <c r="G1884" s="2302"/>
      <c r="H1884" s="2302"/>
      <c r="I1884" s="2302"/>
      <c r="J1884" s="2302"/>
      <c r="K1884" s="2302"/>
      <c r="L1884" s="2302"/>
    </row>
    <row r="1885" spans="1:12" hidden="1" x14ac:dyDescent="0.2">
      <c r="A1885" s="1634"/>
      <c r="B1885"/>
      <c r="C1885"/>
      <c r="D1885"/>
      <c r="E1885"/>
      <c r="F1885"/>
      <c r="G1885"/>
      <c r="H1885"/>
      <c r="I1885"/>
      <c r="J1885"/>
      <c r="K1885"/>
      <c r="L1885"/>
    </row>
    <row r="1886" spans="1:12" hidden="1" x14ac:dyDescent="0.2">
      <c r="A1886" s="1634"/>
      <c r="C1886"/>
      <c r="D1886"/>
      <c r="E1886"/>
      <c r="F1886"/>
      <c r="G1886"/>
      <c r="H1886"/>
      <c r="I1886"/>
      <c r="J1886"/>
      <c r="K1886"/>
      <c r="L1886"/>
    </row>
    <row r="1887" spans="1:12" hidden="1" x14ac:dyDescent="0.2">
      <c r="A1887" s="1634"/>
      <c r="C1887"/>
      <c r="D1887"/>
      <c r="E1887"/>
      <c r="F1887"/>
      <c r="G1887"/>
      <c r="H1887"/>
      <c r="I1887"/>
      <c r="J1887"/>
      <c r="K1887"/>
      <c r="L1887"/>
    </row>
    <row r="1888" spans="1:12" hidden="1" x14ac:dyDescent="0.2">
      <c r="A1888" s="1634"/>
      <c r="C1888"/>
      <c r="D1888"/>
      <c r="E1888"/>
      <c r="F1888"/>
      <c r="G1888"/>
      <c r="H1888"/>
      <c r="I1888"/>
      <c r="J1888"/>
      <c r="K1888"/>
      <c r="L1888"/>
    </row>
    <row r="1889" spans="1:12" hidden="1" x14ac:dyDescent="0.2">
      <c r="A1889" s="1634"/>
      <c r="B1889"/>
      <c r="C1889"/>
      <c r="D1889"/>
      <c r="E1889"/>
      <c r="F1889"/>
      <c r="G1889"/>
      <c r="H1889"/>
      <c r="I1889"/>
      <c r="J1889"/>
      <c r="K1889"/>
      <c r="L1889"/>
    </row>
    <row r="1890" spans="1:12" hidden="1" x14ac:dyDescent="0.2">
      <c r="C1890"/>
      <c r="D1890"/>
      <c r="E1890"/>
    </row>
    <row r="1891" spans="1:12" hidden="1" x14ac:dyDescent="0.2">
      <c r="C1891"/>
      <c r="D1891"/>
      <c r="E1891"/>
    </row>
    <row r="1892" spans="1:12" hidden="1" x14ac:dyDescent="0.2">
      <c r="A1892" s="2291" t="s">
        <v>3881</v>
      </c>
      <c r="B1892" s="1634" t="s">
        <v>3882</v>
      </c>
      <c r="C1892"/>
      <c r="D1892"/>
      <c r="E1892"/>
      <c r="F1892"/>
      <c r="G1892"/>
      <c r="H1892"/>
      <c r="I1892"/>
    </row>
    <row r="1893" spans="1:12" hidden="1" x14ac:dyDescent="0.2">
      <c r="A1893" s="2291" t="s">
        <v>3883</v>
      </c>
      <c r="B1893" s="1634" t="s">
        <v>2721</v>
      </c>
      <c r="C1893"/>
      <c r="D1893"/>
      <c r="E1893"/>
      <c r="F1893"/>
      <c r="G1893"/>
      <c r="H1893"/>
      <c r="I1893"/>
    </row>
    <row r="1894" spans="1:12" hidden="1" x14ac:dyDescent="0.2">
      <c r="A1894" s="2291" t="s">
        <v>3884</v>
      </c>
      <c r="B1894" s="1634" t="s">
        <v>4033</v>
      </c>
      <c r="C1894"/>
      <c r="D1894"/>
      <c r="E1894"/>
      <c r="F1894"/>
      <c r="G1894"/>
      <c r="H1894"/>
      <c r="I1894"/>
    </row>
    <row r="1895" spans="1:12" hidden="1" x14ac:dyDescent="0.2">
      <c r="A1895" s="2291" t="s">
        <v>3885</v>
      </c>
      <c r="B1895" s="1634" t="s">
        <v>4705</v>
      </c>
      <c r="C1895"/>
      <c r="D1895"/>
      <c r="E1895"/>
      <c r="F1895"/>
      <c r="G1895"/>
      <c r="H1895"/>
      <c r="I1895"/>
    </row>
    <row r="1896" spans="1:12" hidden="1" x14ac:dyDescent="0.2">
      <c r="A1896" s="2291" t="s">
        <v>3886</v>
      </c>
      <c r="B1896" s="1634" t="s">
        <v>4104</v>
      </c>
      <c r="C1896"/>
      <c r="D1896"/>
      <c r="E1896"/>
      <c r="F1896"/>
      <c r="G1896"/>
      <c r="H1896"/>
      <c r="I1896"/>
    </row>
    <row r="1897" spans="1:12" hidden="1" x14ac:dyDescent="0.2">
      <c r="A1897" s="2291" t="s">
        <v>3887</v>
      </c>
      <c r="B1897" s="1634" t="s">
        <v>2321</v>
      </c>
      <c r="C1897"/>
      <c r="D1897"/>
      <c r="E1897"/>
      <c r="F1897"/>
      <c r="G1897"/>
      <c r="H1897"/>
      <c r="I1897"/>
    </row>
    <row r="1898" spans="1:12" hidden="1" x14ac:dyDescent="0.2">
      <c r="A1898" s="2291" t="s">
        <v>3888</v>
      </c>
      <c r="B1898" s="1634" t="s">
        <v>2326</v>
      </c>
      <c r="C1898"/>
      <c r="D1898"/>
      <c r="E1898"/>
      <c r="F1898"/>
      <c r="G1898"/>
      <c r="H1898"/>
      <c r="I1898"/>
    </row>
    <row r="1899" spans="1:12" hidden="1" x14ac:dyDescent="0.2">
      <c r="A1899" s="2291" t="s">
        <v>3889</v>
      </c>
      <c r="B1899" s="1634" t="s">
        <v>6429</v>
      </c>
      <c r="C1899"/>
      <c r="D1899"/>
      <c r="E1899"/>
      <c r="F1899"/>
      <c r="G1899"/>
      <c r="H1899"/>
      <c r="I1899"/>
    </row>
    <row r="1900" spans="1:12" hidden="1" x14ac:dyDescent="0.2">
      <c r="A1900" s="2291" t="s">
        <v>3890</v>
      </c>
      <c r="B1900" s="1634" t="s">
        <v>1744</v>
      </c>
      <c r="C1900"/>
      <c r="D1900"/>
      <c r="E1900"/>
      <c r="F1900"/>
      <c r="G1900"/>
      <c r="H1900"/>
      <c r="I1900"/>
    </row>
    <row r="1901" spans="1:12" hidden="1" x14ac:dyDescent="0.2">
      <c r="A1901" s="2291" t="s">
        <v>2084</v>
      </c>
      <c r="B1901" s="1634" t="s">
        <v>1727</v>
      </c>
      <c r="C1901"/>
      <c r="D1901"/>
      <c r="E1901"/>
      <c r="F1901"/>
      <c r="G1901"/>
      <c r="H1901"/>
      <c r="I1901"/>
    </row>
    <row r="1903" spans="1:12" hidden="1" x14ac:dyDescent="0.2">
      <c r="A1903" s="2291" t="s">
        <v>3891</v>
      </c>
      <c r="B1903" s="1634" t="s">
        <v>5988</v>
      </c>
      <c r="C1903"/>
      <c r="D1903"/>
      <c r="E1903"/>
      <c r="F1903"/>
      <c r="G1903"/>
      <c r="H1903"/>
      <c r="I1903"/>
    </row>
    <row r="1904" spans="1:12" hidden="1" x14ac:dyDescent="0.2">
      <c r="A1904" s="2291" t="s">
        <v>3892</v>
      </c>
      <c r="B1904" s="1634" t="s">
        <v>1061</v>
      </c>
      <c r="C1904"/>
      <c r="D1904"/>
      <c r="E1904"/>
      <c r="F1904"/>
      <c r="G1904"/>
      <c r="H1904"/>
      <c r="I1904"/>
    </row>
    <row r="1905" spans="1:9" hidden="1" x14ac:dyDescent="0.2">
      <c r="A1905" s="2291" t="s">
        <v>3893</v>
      </c>
      <c r="B1905" s="1634" t="s">
        <v>3106</v>
      </c>
      <c r="C1905"/>
      <c r="D1905"/>
      <c r="E1905"/>
      <c r="F1905"/>
      <c r="G1905"/>
      <c r="H1905"/>
      <c r="I1905"/>
    </row>
    <row r="1906" spans="1:9" hidden="1" x14ac:dyDescent="0.2">
      <c r="A1906" s="2291" t="s">
        <v>3894</v>
      </c>
      <c r="B1906" s="1634" t="s">
        <v>561</v>
      </c>
      <c r="C1906"/>
      <c r="D1906"/>
      <c r="E1906"/>
      <c r="F1906"/>
      <c r="G1906"/>
      <c r="H1906"/>
      <c r="I1906"/>
    </row>
    <row r="1907" spans="1:9" hidden="1" x14ac:dyDescent="0.2">
      <c r="A1907" s="2291" t="s">
        <v>3895</v>
      </c>
      <c r="B1907" s="1634" t="s">
        <v>4710</v>
      </c>
      <c r="C1907"/>
      <c r="D1907"/>
      <c r="E1907"/>
      <c r="F1907"/>
      <c r="G1907"/>
      <c r="H1907"/>
      <c r="I1907"/>
    </row>
    <row r="1908" spans="1:9" hidden="1" x14ac:dyDescent="0.2">
      <c r="A1908" s="2291" t="s">
        <v>3896</v>
      </c>
      <c r="B1908" s="1634" t="s">
        <v>2154</v>
      </c>
      <c r="C1908" s="1634" t="s">
        <v>5476</v>
      </c>
      <c r="D1908" s="1634" t="s">
        <v>2913</v>
      </c>
      <c r="E1908" s="1634" t="s">
        <v>4100</v>
      </c>
    </row>
    <row r="1909" spans="1:9" hidden="1" x14ac:dyDescent="0.2">
      <c r="A1909" s="2291" t="s">
        <v>3897</v>
      </c>
      <c r="B1909" s="1634" t="s">
        <v>2161</v>
      </c>
      <c r="C1909" s="1634" t="s">
        <v>4716</v>
      </c>
      <c r="D1909" s="1634" t="s">
        <v>2915</v>
      </c>
      <c r="E1909" s="1634" t="s">
        <v>4105</v>
      </c>
    </row>
    <row r="1910" spans="1:9" hidden="1" x14ac:dyDescent="0.2">
      <c r="A1910" s="2291" t="s">
        <v>3898</v>
      </c>
      <c r="B1910" s="1634" t="s">
        <v>2168</v>
      </c>
      <c r="C1910" s="1634" t="s">
        <v>6426</v>
      </c>
      <c r="D1910" s="1634" t="s">
        <v>2917</v>
      </c>
      <c r="E1910" s="1634" t="s">
        <v>2322</v>
      </c>
    </row>
    <row r="1911" spans="1:9" hidden="1" x14ac:dyDescent="0.2">
      <c r="A1911" s="2291" t="s">
        <v>3899</v>
      </c>
      <c r="B1911" s="1634" t="s">
        <v>2174</v>
      </c>
      <c r="C1911" s="1634" t="s">
        <v>6428</v>
      </c>
      <c r="D1911" s="1634" t="s">
        <v>2919</v>
      </c>
      <c r="E1911" s="1634" t="s">
        <v>2327</v>
      </c>
    </row>
    <row r="1912" spans="1:9" hidden="1" x14ac:dyDescent="0.2">
      <c r="A1912" s="2291" t="s">
        <v>3900</v>
      </c>
      <c r="B1912" s="1634" t="s">
        <v>2181</v>
      </c>
      <c r="C1912" s="1634" t="s">
        <v>6430</v>
      </c>
      <c r="D1912" s="1634" t="s">
        <v>1575</v>
      </c>
      <c r="E1912" s="1634" t="s">
        <v>6606</v>
      </c>
    </row>
    <row r="1913" spans="1:9" hidden="1" x14ac:dyDescent="0.2">
      <c r="A1913" s="2291" t="s">
        <v>3901</v>
      </c>
      <c r="B1913" s="1634" t="s">
        <v>2188</v>
      </c>
      <c r="C1913" s="1634" t="s">
        <v>2921</v>
      </c>
      <c r="D1913" s="1634" t="s">
        <v>4078</v>
      </c>
      <c r="E1913" s="1634" t="s">
        <v>3</v>
      </c>
    </row>
    <row r="1914" spans="1:9" hidden="1" x14ac:dyDescent="0.2">
      <c r="A1914" s="2291" t="s">
        <v>3902</v>
      </c>
      <c r="B1914" s="1634" t="s">
        <v>3092</v>
      </c>
      <c r="C1914" s="1634" t="s">
        <v>2923</v>
      </c>
      <c r="D1914" s="1634" t="s">
        <v>4080</v>
      </c>
      <c r="E1914" s="1634" t="s">
        <v>1745</v>
      </c>
    </row>
    <row r="1915" spans="1:9" hidden="1" x14ac:dyDescent="0.2">
      <c r="A1915" s="2291" t="s">
        <v>3903</v>
      </c>
      <c r="B1915" s="1634" t="s">
        <v>3535</v>
      </c>
      <c r="C1915" s="1634" t="s">
        <v>3301</v>
      </c>
      <c r="D1915" s="1634" t="s">
        <v>4082</v>
      </c>
      <c r="E1915" s="1634" t="s">
        <v>1750</v>
      </c>
    </row>
    <row r="1916" spans="1:9" hidden="1" x14ac:dyDescent="0.2">
      <c r="A1916" s="2291" t="s">
        <v>1142</v>
      </c>
      <c r="B1916" s="1634" t="s">
        <v>2494</v>
      </c>
      <c r="C1916"/>
      <c r="D1916"/>
      <c r="E1916"/>
    </row>
    <row r="1919" spans="1:9" hidden="1" x14ac:dyDescent="0.2">
      <c r="A1919" s="2291" t="s">
        <v>1143</v>
      </c>
      <c r="B1919" s="1634" t="s">
        <v>3882</v>
      </c>
      <c r="C1919"/>
      <c r="D1919"/>
      <c r="E1919"/>
    </row>
    <row r="1920" spans="1:9" hidden="1" x14ac:dyDescent="0.2">
      <c r="A1920" s="2291" t="s">
        <v>1144</v>
      </c>
      <c r="B1920" s="1634" t="s">
        <v>2714</v>
      </c>
      <c r="C1920"/>
      <c r="D1920"/>
      <c r="E1920"/>
    </row>
    <row r="1921" spans="1:5" hidden="1" x14ac:dyDescent="0.2">
      <c r="A1921" s="2291" t="s">
        <v>1145</v>
      </c>
      <c r="B1921" s="1634" t="s">
        <v>2022</v>
      </c>
      <c r="C1921"/>
      <c r="D1921"/>
      <c r="E1921"/>
    </row>
    <row r="1922" spans="1:5" hidden="1" x14ac:dyDescent="0.2">
      <c r="A1922" s="2291" t="s">
        <v>1146</v>
      </c>
      <c r="B1922" s="1634" t="s">
        <v>2029</v>
      </c>
      <c r="C1922"/>
      <c r="D1922"/>
      <c r="E1922"/>
    </row>
    <row r="1923" spans="1:5" hidden="1" x14ac:dyDescent="0.2">
      <c r="A1923" s="2291" t="s">
        <v>1147</v>
      </c>
      <c r="B1923" s="1634" t="s">
        <v>3423</v>
      </c>
      <c r="C1923"/>
      <c r="D1923"/>
      <c r="E1923"/>
    </row>
    <row r="1924" spans="1:5" hidden="1" x14ac:dyDescent="0.2">
      <c r="A1924" s="2291" t="s">
        <v>1148</v>
      </c>
      <c r="B1924" s="1634" t="s">
        <v>2174</v>
      </c>
      <c r="C1924"/>
      <c r="D1924"/>
      <c r="E1924"/>
    </row>
    <row r="1925" spans="1:5" hidden="1" x14ac:dyDescent="0.2">
      <c r="A1925" s="2291" t="s">
        <v>1149</v>
      </c>
      <c r="B1925" s="1634" t="s">
        <v>2188</v>
      </c>
      <c r="C1925"/>
      <c r="D1925"/>
      <c r="E1925"/>
    </row>
    <row r="1926" spans="1:5" hidden="1" x14ac:dyDescent="0.2">
      <c r="A1926" s="2291" t="s">
        <v>1150</v>
      </c>
      <c r="B1926" s="1634" t="s">
        <v>3535</v>
      </c>
      <c r="C1926"/>
      <c r="D1926"/>
      <c r="E1926"/>
    </row>
    <row r="1927" spans="1:5" hidden="1" x14ac:dyDescent="0.2">
      <c r="A1927" s="2291" t="s">
        <v>1151</v>
      </c>
      <c r="B1927" s="1634" t="s">
        <v>2277</v>
      </c>
      <c r="C1927"/>
      <c r="D1927"/>
      <c r="E1927"/>
    </row>
    <row r="1928" spans="1:5" hidden="1" x14ac:dyDescent="0.2">
      <c r="A1928" s="2291" t="s">
        <v>1152</v>
      </c>
      <c r="B1928" s="1634" t="s">
        <v>270</v>
      </c>
      <c r="C1928"/>
      <c r="D1928"/>
      <c r="E1928"/>
    </row>
    <row r="1929" spans="1:5" hidden="1" x14ac:dyDescent="0.2">
      <c r="A1929" s="2291" t="s">
        <v>1153</v>
      </c>
      <c r="B1929" s="1634" t="s">
        <v>2946</v>
      </c>
      <c r="C1929"/>
      <c r="D1929"/>
      <c r="E1929"/>
    </row>
    <row r="1930" spans="1:5" hidden="1" x14ac:dyDescent="0.2">
      <c r="A1930" s="2291" t="s">
        <v>1154</v>
      </c>
      <c r="B1930" s="1634" t="s">
        <v>664</v>
      </c>
      <c r="C1930"/>
      <c r="D1930"/>
      <c r="E1930"/>
    </row>
    <row r="1931" spans="1:5" hidden="1" x14ac:dyDescent="0.2">
      <c r="C1931"/>
      <c r="D1931"/>
    </row>
    <row r="1932" spans="1:5" hidden="1" x14ac:dyDescent="0.2">
      <c r="C1932"/>
      <c r="D1932"/>
    </row>
    <row r="1933" spans="1:5" hidden="1" x14ac:dyDescent="0.2">
      <c r="A1933" s="2291" t="s">
        <v>1155</v>
      </c>
      <c r="B1933" s="1634" t="s">
        <v>3882</v>
      </c>
      <c r="C1933"/>
      <c r="D1933"/>
      <c r="E1933"/>
    </row>
    <row r="1934" spans="1:5" hidden="1" x14ac:dyDescent="0.2">
      <c r="A1934" s="2291" t="s">
        <v>1156</v>
      </c>
      <c r="B1934" s="1634" t="s">
        <v>2714</v>
      </c>
      <c r="C1934"/>
      <c r="D1934"/>
      <c r="E1934"/>
    </row>
    <row r="1935" spans="1:5" hidden="1" x14ac:dyDescent="0.2">
      <c r="A1935" s="2291" t="s">
        <v>1157</v>
      </c>
      <c r="B1935" s="1634" t="s">
        <v>4027</v>
      </c>
      <c r="C1935"/>
      <c r="D1935"/>
      <c r="E1935"/>
    </row>
    <row r="1936" spans="1:5" hidden="1" x14ac:dyDescent="0.2">
      <c r="A1936" s="2291" t="s">
        <v>1158</v>
      </c>
      <c r="B1936" s="1634" t="s">
        <v>4033</v>
      </c>
      <c r="C1936"/>
      <c r="D1936"/>
      <c r="E1936"/>
    </row>
    <row r="1937" spans="1:5" hidden="1" x14ac:dyDescent="0.2">
      <c r="A1937" s="2291" t="s">
        <v>1159</v>
      </c>
      <c r="B1937" s="1634" t="s">
        <v>2022</v>
      </c>
      <c r="C1937"/>
      <c r="D1937"/>
      <c r="E1937"/>
    </row>
    <row r="1938" spans="1:5" hidden="1" x14ac:dyDescent="0.2">
      <c r="A1938" s="2291" t="s">
        <v>1160</v>
      </c>
      <c r="B1938" s="1634" t="s">
        <v>2029</v>
      </c>
      <c r="C1938"/>
      <c r="D1938"/>
      <c r="E1938"/>
    </row>
    <row r="1939" spans="1:5" hidden="1" x14ac:dyDescent="0.2">
      <c r="A1939" s="2291" t="s">
        <v>1161</v>
      </c>
      <c r="B1939" s="1634" t="s">
        <v>3423</v>
      </c>
      <c r="C1939"/>
      <c r="D1939"/>
      <c r="E1939"/>
    </row>
    <row r="1940" spans="1:5" hidden="1" x14ac:dyDescent="0.2">
      <c r="A1940" s="2291" t="s">
        <v>1162</v>
      </c>
      <c r="B1940" s="1634" t="s">
        <v>5424</v>
      </c>
    </row>
    <row r="1941" spans="1:5" hidden="1" x14ac:dyDescent="0.2">
      <c r="A1941" s="2291" t="s">
        <v>1163</v>
      </c>
      <c r="B1941" s="1634" t="s">
        <v>2174</v>
      </c>
    </row>
    <row r="1942" spans="1:5" hidden="1" x14ac:dyDescent="0.2">
      <c r="A1942" s="2291" t="s">
        <v>1164</v>
      </c>
      <c r="B1942" s="1634" t="s">
        <v>2188</v>
      </c>
    </row>
    <row r="1943" spans="1:5" hidden="1" x14ac:dyDescent="0.2">
      <c r="A1943" s="2291" t="s">
        <v>1165</v>
      </c>
      <c r="B1943" s="1634" t="s">
        <v>3535</v>
      </c>
    </row>
    <row r="1944" spans="1:5" hidden="1" x14ac:dyDescent="0.2">
      <c r="A1944" s="2291" t="s">
        <v>1166</v>
      </c>
      <c r="B1944" s="1634" t="s">
        <v>2277</v>
      </c>
    </row>
    <row r="1945" spans="1:5" hidden="1" x14ac:dyDescent="0.2">
      <c r="A1945" s="2291" t="s">
        <v>1167</v>
      </c>
      <c r="B1945" s="1634" t="s">
        <v>270</v>
      </c>
    </row>
    <row r="1946" spans="1:5" hidden="1" x14ac:dyDescent="0.2">
      <c r="A1946" s="2291" t="s">
        <v>1168</v>
      </c>
      <c r="B1946" s="1634" t="s">
        <v>2946</v>
      </c>
    </row>
    <row r="1947" spans="1:5" hidden="1" x14ac:dyDescent="0.2">
      <c r="A1947" s="2291" t="s">
        <v>1169</v>
      </c>
      <c r="B1947" s="1634" t="s">
        <v>664</v>
      </c>
    </row>
    <row r="1950" spans="1:5" hidden="1" x14ac:dyDescent="0.2">
      <c r="A1950" s="2291" t="s">
        <v>1170</v>
      </c>
      <c r="B1950" s="1634" t="s">
        <v>3817</v>
      </c>
    </row>
    <row r="1951" spans="1:5" hidden="1" x14ac:dyDescent="0.2">
      <c r="A1951" s="2291" t="s">
        <v>1171</v>
      </c>
      <c r="B1951" s="1634" t="s">
        <v>4173</v>
      </c>
    </row>
    <row r="1952" spans="1:5" hidden="1" x14ac:dyDescent="0.2">
      <c r="A1952" s="2291" t="s">
        <v>1172</v>
      </c>
      <c r="B1952" s="1634" t="s">
        <v>6672</v>
      </c>
    </row>
    <row r="1953" spans="1:4" hidden="1" x14ac:dyDescent="0.2">
      <c r="A1953" s="2291" t="s">
        <v>1173</v>
      </c>
      <c r="B1953" s="1634" t="s">
        <v>6677</v>
      </c>
    </row>
    <row r="1954" spans="1:4" hidden="1" x14ac:dyDescent="0.2">
      <c r="A1954" s="2291" t="s">
        <v>1174</v>
      </c>
      <c r="B1954" s="1634" t="s">
        <v>6683</v>
      </c>
    </row>
    <row r="1955" spans="1:4" hidden="1" x14ac:dyDescent="0.2">
      <c r="A1955" s="2291" t="s">
        <v>1175</v>
      </c>
      <c r="B1955" s="1634" t="s">
        <v>6688</v>
      </c>
    </row>
    <row r="1956" spans="1:4" hidden="1" x14ac:dyDescent="0.2">
      <c r="A1956" s="2291" t="s">
        <v>1176</v>
      </c>
      <c r="B1956" s="1634" t="s">
        <v>6694</v>
      </c>
      <c r="C1956"/>
      <c r="D1956"/>
    </row>
    <row r="1957" spans="1:4" hidden="1" x14ac:dyDescent="0.2">
      <c r="A1957" s="2291" t="s">
        <v>1177</v>
      </c>
      <c r="B1957" s="1634" t="s">
        <v>6697</v>
      </c>
      <c r="C1957"/>
      <c r="D1957"/>
    </row>
    <row r="1958" spans="1:4" hidden="1" x14ac:dyDescent="0.2">
      <c r="A1958" s="2291" t="s">
        <v>1178</v>
      </c>
      <c r="B1958" s="1634" t="s">
        <v>3859</v>
      </c>
      <c r="C1958"/>
      <c r="D1958"/>
    </row>
    <row r="1959" spans="1:4" hidden="1" x14ac:dyDescent="0.2">
      <c r="A1959" s="2291" t="s">
        <v>1179</v>
      </c>
      <c r="B1959" s="1634" t="s">
        <v>3052</v>
      </c>
      <c r="C1959"/>
      <c r="D1959"/>
    </row>
    <row r="1960" spans="1:4" hidden="1" x14ac:dyDescent="0.2">
      <c r="A1960" s="2291" t="s">
        <v>1180</v>
      </c>
      <c r="B1960" s="1634" t="s">
        <v>3054</v>
      </c>
      <c r="C1960"/>
      <c r="D1960"/>
    </row>
    <row r="1961" spans="1:4" hidden="1" x14ac:dyDescent="0.2">
      <c r="A1961" s="2291" t="s">
        <v>1181</v>
      </c>
      <c r="B1961" s="1634" t="s">
        <v>3056</v>
      </c>
      <c r="C1961"/>
      <c r="D1961"/>
    </row>
    <row r="1962" spans="1:4" hidden="1" x14ac:dyDescent="0.2">
      <c r="A1962" s="2291" t="s">
        <v>1182</v>
      </c>
      <c r="B1962" s="1634" t="s">
        <v>3058</v>
      </c>
      <c r="C1962"/>
      <c r="D1962"/>
    </row>
    <row r="1963" spans="1:4" hidden="1" x14ac:dyDescent="0.2">
      <c r="A1963" s="2291" t="s">
        <v>1210</v>
      </c>
      <c r="B1963" s="1634" t="s">
        <v>3868</v>
      </c>
      <c r="C1963"/>
      <c r="D1963"/>
    </row>
    <row r="1964" spans="1:4" hidden="1" x14ac:dyDescent="0.2">
      <c r="A1964" s="2291" t="s">
        <v>1211</v>
      </c>
      <c r="B1964" s="1634" t="s">
        <v>1781</v>
      </c>
      <c r="C1964"/>
      <c r="D1964"/>
    </row>
    <row r="1965" spans="1:4" hidden="1" x14ac:dyDescent="0.2">
      <c r="A1965" s="1634"/>
      <c r="B1965"/>
      <c r="C1965"/>
      <c r="D1965"/>
    </row>
    <row r="1967" spans="1:4" hidden="1" x14ac:dyDescent="0.2">
      <c r="A1967" s="2291" t="s">
        <v>4851</v>
      </c>
      <c r="B1967" s="1634" t="s">
        <v>4852</v>
      </c>
      <c r="C1967" s="1634" t="s">
        <v>4853</v>
      </c>
      <c r="D1967"/>
    </row>
    <row r="1968" spans="1:4" hidden="1" x14ac:dyDescent="0.2">
      <c r="A1968" s="2291" t="s">
        <v>4854</v>
      </c>
      <c r="B1968" s="1634" t="s">
        <v>4855</v>
      </c>
      <c r="C1968" s="1634" t="s">
        <v>4856</v>
      </c>
      <c r="D1968"/>
    </row>
    <row r="1969" spans="1:4" hidden="1" x14ac:dyDescent="0.2">
      <c r="A1969" s="2291" t="s">
        <v>4857</v>
      </c>
      <c r="B1969" s="1634" t="s">
        <v>4858</v>
      </c>
      <c r="C1969" s="1634" t="s">
        <v>6646</v>
      </c>
      <c r="D1969"/>
    </row>
    <row r="1970" spans="1:4" hidden="1" x14ac:dyDescent="0.2">
      <c r="A1970" s="2291" t="s">
        <v>4859</v>
      </c>
      <c r="B1970" s="1634" t="s">
        <v>4775</v>
      </c>
      <c r="C1970" s="1634" t="s">
        <v>3817</v>
      </c>
      <c r="D1970" s="1634" t="s">
        <v>2721</v>
      </c>
    </row>
    <row r="1971" spans="1:4" hidden="1" x14ac:dyDescent="0.2">
      <c r="A1971" s="2291" t="s">
        <v>1902</v>
      </c>
      <c r="B1971" s="1634" t="s">
        <v>1551</v>
      </c>
      <c r="C1971" s="1634" t="s">
        <v>4027</v>
      </c>
      <c r="D1971" s="1634" t="s">
        <v>4027</v>
      </c>
    </row>
    <row r="1972" spans="1:4" hidden="1" x14ac:dyDescent="0.2">
      <c r="A1972" s="2291" t="s">
        <v>1903</v>
      </c>
      <c r="B1972" s="1634" t="s">
        <v>4274</v>
      </c>
      <c r="C1972" s="1634" t="s">
        <v>5697</v>
      </c>
      <c r="D1972" s="1634" t="s">
        <v>6972</v>
      </c>
    </row>
    <row r="1973" spans="1:4" hidden="1" x14ac:dyDescent="0.2">
      <c r="A1973" s="2291" t="s">
        <v>2199</v>
      </c>
      <c r="B1973" s="1634" t="s">
        <v>331</v>
      </c>
      <c r="C1973" s="1634" t="s">
        <v>4705</v>
      </c>
      <c r="D1973" s="1634" t="s">
        <v>4173</v>
      </c>
    </row>
    <row r="1974" spans="1:4" hidden="1" x14ac:dyDescent="0.2">
      <c r="A1974" s="2291" t="s">
        <v>2200</v>
      </c>
      <c r="B1974" s="1634" t="s">
        <v>5175</v>
      </c>
      <c r="C1974" s="1634" t="s">
        <v>2021</v>
      </c>
      <c r="D1974" s="1634" t="s">
        <v>6672</v>
      </c>
    </row>
    <row r="1975" spans="1:4" hidden="1" x14ac:dyDescent="0.2">
      <c r="A1975" s="2291" t="s">
        <v>3583</v>
      </c>
      <c r="B1975" s="1634" t="s">
        <v>5177</v>
      </c>
      <c r="C1975" s="1634" t="s">
        <v>4707</v>
      </c>
      <c r="D1975" s="1634" t="s">
        <v>6677</v>
      </c>
    </row>
    <row r="1976" spans="1:4" hidden="1" x14ac:dyDescent="0.2">
      <c r="A1976" s="2291" t="s">
        <v>3584</v>
      </c>
      <c r="B1976" s="1634" t="s">
        <v>1110</v>
      </c>
      <c r="C1976" s="1634" t="s">
        <v>4709</v>
      </c>
      <c r="D1976" s="1634" t="s">
        <v>6683</v>
      </c>
    </row>
    <row r="1977" spans="1:4" hidden="1" x14ac:dyDescent="0.2">
      <c r="A1977" s="2291" t="s">
        <v>3585</v>
      </c>
      <c r="B1977" s="1634" t="s">
        <v>1112</v>
      </c>
      <c r="C1977" s="1634" t="s">
        <v>4711</v>
      </c>
      <c r="D1977" s="1634" t="s">
        <v>6688</v>
      </c>
    </row>
    <row r="1978" spans="1:4" hidden="1" x14ac:dyDescent="0.2">
      <c r="A1978" s="2291" t="s">
        <v>3586</v>
      </c>
      <c r="B1978" s="1634" t="s">
        <v>1114</v>
      </c>
      <c r="C1978" s="1634" t="s">
        <v>4713</v>
      </c>
      <c r="D1978" s="1634" t="s">
        <v>6694</v>
      </c>
    </row>
    <row r="1979" spans="1:4" hidden="1" x14ac:dyDescent="0.2">
      <c r="A1979" s="2291" t="s">
        <v>3587</v>
      </c>
      <c r="B1979" s="1634" t="s">
        <v>1116</v>
      </c>
      <c r="C1979" s="1634" t="s">
        <v>2153</v>
      </c>
      <c r="D1979" s="1634" t="s">
        <v>6697</v>
      </c>
    </row>
    <row r="1980" spans="1:4" hidden="1" x14ac:dyDescent="0.2">
      <c r="A1980" s="2291" t="s">
        <v>3588</v>
      </c>
      <c r="B1980" s="1634" t="s">
        <v>1118</v>
      </c>
      <c r="C1980" s="1634" t="s">
        <v>4715</v>
      </c>
      <c r="D1980" s="1634" t="s">
        <v>2660</v>
      </c>
    </row>
    <row r="1981" spans="1:4" hidden="1" x14ac:dyDescent="0.2">
      <c r="A1981" s="2291" t="s">
        <v>3589</v>
      </c>
      <c r="B1981" s="1634" t="s">
        <v>1120</v>
      </c>
      <c r="C1981" s="1634" t="s">
        <v>4717</v>
      </c>
      <c r="D1981" s="1634" t="s">
        <v>2663</v>
      </c>
    </row>
    <row r="1982" spans="1:4" hidden="1" x14ac:dyDescent="0.2">
      <c r="A1982" s="2291" t="s">
        <v>3590</v>
      </c>
      <c r="B1982" s="1634" t="s">
        <v>1122</v>
      </c>
      <c r="C1982" s="1634" t="s">
        <v>6427</v>
      </c>
      <c r="D1982" s="1634" t="s">
        <v>3859</v>
      </c>
    </row>
    <row r="1983" spans="1:4" hidden="1" x14ac:dyDescent="0.2">
      <c r="A1983" s="2291" t="s">
        <v>3591</v>
      </c>
      <c r="B1983" s="1634" t="s">
        <v>1124</v>
      </c>
      <c r="C1983" s="1634" t="s">
        <v>6429</v>
      </c>
      <c r="D1983" s="1634" t="s">
        <v>3862</v>
      </c>
    </row>
    <row r="1984" spans="1:4" hidden="1" x14ac:dyDescent="0.2">
      <c r="A1984" s="2291" t="s">
        <v>3592</v>
      </c>
      <c r="B1984" s="1634" t="s">
        <v>1126</v>
      </c>
      <c r="C1984" s="1634" t="s">
        <v>2187</v>
      </c>
      <c r="D1984" s="1634" t="s">
        <v>3052</v>
      </c>
    </row>
    <row r="1985" spans="1:4" hidden="1" x14ac:dyDescent="0.2">
      <c r="A1985" s="2291" t="s">
        <v>2468</v>
      </c>
      <c r="B1985" s="1634" t="s">
        <v>1128</v>
      </c>
      <c r="C1985" s="1634" t="s">
        <v>6431</v>
      </c>
      <c r="D1985" s="1634" t="s">
        <v>3054</v>
      </c>
    </row>
    <row r="1986" spans="1:4" hidden="1" x14ac:dyDescent="0.2">
      <c r="A1986" s="2291" t="s">
        <v>2469</v>
      </c>
      <c r="B1986" s="1634" t="s">
        <v>1130</v>
      </c>
      <c r="C1986" s="1634" t="s">
        <v>6432</v>
      </c>
      <c r="D1986" s="1634" t="s">
        <v>3056</v>
      </c>
    </row>
    <row r="1987" spans="1:4" hidden="1" x14ac:dyDescent="0.2">
      <c r="A1987" s="2291" t="s">
        <v>2470</v>
      </c>
      <c r="B1987" s="1634" t="s">
        <v>1132</v>
      </c>
      <c r="C1987" s="1634" t="s">
        <v>6433</v>
      </c>
      <c r="D1987" s="1634" t="s">
        <v>3058</v>
      </c>
    </row>
    <row r="1988" spans="1:4" hidden="1" x14ac:dyDescent="0.2">
      <c r="A1988" s="2291" t="s">
        <v>2471</v>
      </c>
      <c r="B1988" s="1634" t="s">
        <v>5816</v>
      </c>
      <c r="C1988" s="1634" t="s">
        <v>6434</v>
      </c>
      <c r="D1988" s="1634" t="s">
        <v>3868</v>
      </c>
    </row>
    <row r="1989" spans="1:4" hidden="1" x14ac:dyDescent="0.2">
      <c r="A1989" s="2291" t="s">
        <v>2472</v>
      </c>
      <c r="B1989" s="1634" t="s">
        <v>1068</v>
      </c>
      <c r="C1989" s="1634" t="s">
        <v>6436</v>
      </c>
      <c r="D1989" s="1634" t="s">
        <v>3871</v>
      </c>
    </row>
    <row r="1990" spans="1:4" hidden="1" x14ac:dyDescent="0.2">
      <c r="A1990" s="2291" t="s">
        <v>2473</v>
      </c>
      <c r="B1990" s="1634" t="s">
        <v>1074</v>
      </c>
      <c r="C1990" s="1634" t="s">
        <v>6438</v>
      </c>
      <c r="D1990" s="1634" t="s">
        <v>3874</v>
      </c>
    </row>
    <row r="1991" spans="1:4" hidden="1" x14ac:dyDescent="0.2">
      <c r="A1991" s="2291" t="s">
        <v>2474</v>
      </c>
      <c r="B1991" s="1634" t="s">
        <v>4208</v>
      </c>
      <c r="C1991" s="1634" t="s">
        <v>2945</v>
      </c>
      <c r="D1991" s="1634" t="s">
        <v>3877</v>
      </c>
    </row>
    <row r="1992" spans="1:4" hidden="1" x14ac:dyDescent="0.2">
      <c r="A1992" s="2291" t="s">
        <v>2475</v>
      </c>
      <c r="B1992" s="1634" t="s">
        <v>2666</v>
      </c>
      <c r="C1992" s="1634" t="s">
        <v>2667</v>
      </c>
      <c r="D1992" s="1634" t="s">
        <v>395</v>
      </c>
    </row>
    <row r="1993" spans="1:4" hidden="1" x14ac:dyDescent="0.2">
      <c r="A1993" s="2291" t="s">
        <v>2476</v>
      </c>
      <c r="B1993" s="1634" t="s">
        <v>5441</v>
      </c>
      <c r="C1993" s="1634" t="s">
        <v>661</v>
      </c>
      <c r="D1993" s="1634" t="s">
        <v>662</v>
      </c>
    </row>
    <row r="1994" spans="1:4" hidden="1" x14ac:dyDescent="0.2">
      <c r="A1994" s="2291" t="s">
        <v>2477</v>
      </c>
      <c r="B1994" s="1634" t="s">
        <v>2481</v>
      </c>
      <c r="C1994" s="1634" t="s">
        <v>671</v>
      </c>
      <c r="D1994" s="1634" t="s">
        <v>672</v>
      </c>
    </row>
    <row r="1995" spans="1:4" hidden="1" x14ac:dyDescent="0.2">
      <c r="A1995" s="2291" t="s">
        <v>2478</v>
      </c>
      <c r="B1995" s="1634" t="s">
        <v>2483</v>
      </c>
      <c r="C1995" s="1634" t="s">
        <v>6441</v>
      </c>
      <c r="D1995" s="1634" t="s">
        <v>678</v>
      </c>
    </row>
    <row r="1996" spans="1:4" hidden="1" x14ac:dyDescent="0.2">
      <c r="A1996" s="2291" t="s">
        <v>2479</v>
      </c>
      <c r="B1996" s="1634" t="s">
        <v>2655</v>
      </c>
      <c r="C1996" s="1634" t="s">
        <v>6447</v>
      </c>
      <c r="D1996" s="1634" t="s">
        <v>3170</v>
      </c>
    </row>
    <row r="1997" spans="1:4" hidden="1" x14ac:dyDescent="0.2">
      <c r="A1997" s="2291" t="s">
        <v>2480</v>
      </c>
      <c r="B1997" s="1634" t="s">
        <v>3064</v>
      </c>
      <c r="C1997" s="1634" t="s">
        <v>2196</v>
      </c>
      <c r="D1997" s="1634" t="s">
        <v>3499</v>
      </c>
    </row>
    <row r="1998" spans="1:4" hidden="1" x14ac:dyDescent="0.2">
      <c r="A1998" s="2291" t="s">
        <v>2482</v>
      </c>
      <c r="B1998" s="1634" t="s">
        <v>5642</v>
      </c>
      <c r="C1998" s="1634" t="s">
        <v>506</v>
      </c>
      <c r="D1998" s="1634" t="s">
        <v>507</v>
      </c>
    </row>
    <row r="1999" spans="1:4" hidden="1" x14ac:dyDescent="0.2">
      <c r="A1999" s="2291" t="s">
        <v>2484</v>
      </c>
      <c r="B1999" s="1634" t="s">
        <v>5644</v>
      </c>
      <c r="C1999" s="1634" t="s">
        <v>1969</v>
      </c>
      <c r="D1999" s="1634" t="s">
        <v>1970</v>
      </c>
    </row>
    <row r="2000" spans="1:4" hidden="1" x14ac:dyDescent="0.2">
      <c r="A2000" s="2291" t="s">
        <v>2485</v>
      </c>
      <c r="B2000" s="1634" t="s">
        <v>5646</v>
      </c>
      <c r="C2000" s="1634" t="s">
        <v>1976</v>
      </c>
      <c r="D2000" s="1634" t="s">
        <v>3503</v>
      </c>
    </row>
    <row r="2001" spans="1:4" hidden="1" x14ac:dyDescent="0.2">
      <c r="A2001" s="2291" t="s">
        <v>2656</v>
      </c>
      <c r="B2001" s="1634" t="s">
        <v>699</v>
      </c>
      <c r="C2001" s="1634" t="s">
        <v>2953</v>
      </c>
      <c r="D2001" s="1634" t="s">
        <v>6948</v>
      </c>
    </row>
    <row r="2002" spans="1:4" hidden="1" x14ac:dyDescent="0.2">
      <c r="A2002" s="2291" t="s">
        <v>734</v>
      </c>
      <c r="B2002" s="1634" t="s">
        <v>4725</v>
      </c>
      <c r="C2002" s="1634" t="s">
        <v>472</v>
      </c>
      <c r="D2002" s="1634" t="s">
        <v>6950</v>
      </c>
    </row>
    <row r="2003" spans="1:4" hidden="1" x14ac:dyDescent="0.2">
      <c r="A2003" s="2291" t="s">
        <v>735</v>
      </c>
      <c r="B2003" s="1634" t="s">
        <v>4727</v>
      </c>
      <c r="C2003" s="1634" t="s">
        <v>4527</v>
      </c>
      <c r="D2003" s="1634" t="s">
        <v>806</v>
      </c>
    </row>
    <row r="2004" spans="1:4" hidden="1" x14ac:dyDescent="0.2">
      <c r="A2004" s="2291" t="s">
        <v>736</v>
      </c>
      <c r="B2004" s="1634" t="s">
        <v>4731</v>
      </c>
      <c r="C2004" s="1634" t="s">
        <v>220</v>
      </c>
      <c r="D2004" s="1634" t="s">
        <v>821</v>
      </c>
    </row>
    <row r="2005" spans="1:4" hidden="1" x14ac:dyDescent="0.2">
      <c r="A2005" s="2291" t="s">
        <v>737</v>
      </c>
      <c r="B2005" s="1634" t="s">
        <v>4733</v>
      </c>
      <c r="C2005" s="1634" t="s">
        <v>4971</v>
      </c>
      <c r="D2005" s="1634" t="s">
        <v>541</v>
      </c>
    </row>
    <row r="2006" spans="1:4" hidden="1" x14ac:dyDescent="0.2">
      <c r="A2006" s="2291" t="s">
        <v>738</v>
      </c>
      <c r="B2006" s="1634" t="s">
        <v>6284</v>
      </c>
      <c r="C2006" s="1634" t="s">
        <v>2824</v>
      </c>
      <c r="D2006" s="1634" t="s">
        <v>6912</v>
      </c>
    </row>
    <row r="2007" spans="1:4" hidden="1" x14ac:dyDescent="0.2">
      <c r="A2007" s="2291" t="s">
        <v>739</v>
      </c>
      <c r="B2007" s="1634" t="s">
        <v>6286</v>
      </c>
      <c r="C2007" s="1634" t="s">
        <v>5609</v>
      </c>
      <c r="D2007" s="1634" t="s">
        <v>3466</v>
      </c>
    </row>
    <row r="2008" spans="1:4" hidden="1" x14ac:dyDescent="0.2">
      <c r="A2008" s="2291" t="s">
        <v>740</v>
      </c>
      <c r="B2008" s="1634" t="s">
        <v>1861</v>
      </c>
      <c r="C2008" s="1634" t="s">
        <v>3359</v>
      </c>
      <c r="D2008" s="1634" t="s">
        <v>4791</v>
      </c>
    </row>
    <row r="2009" spans="1:4" hidden="1" x14ac:dyDescent="0.2">
      <c r="A2009" s="2291" t="s">
        <v>741</v>
      </c>
      <c r="B2009" s="1634" t="s">
        <v>3023</v>
      </c>
      <c r="C2009" s="1634" t="s">
        <v>2375</v>
      </c>
      <c r="D2009" s="1634" t="s">
        <v>1918</v>
      </c>
    </row>
    <row r="2010" spans="1:4" hidden="1" x14ac:dyDescent="0.2">
      <c r="A2010" s="2291" t="s">
        <v>742</v>
      </c>
      <c r="B2010" s="1634" t="s">
        <v>3025</v>
      </c>
      <c r="C2010" s="1634" t="s">
        <v>2380</v>
      </c>
      <c r="D2010" s="1634" t="s">
        <v>3458</v>
      </c>
    </row>
    <row r="2011" spans="1:4" hidden="1" x14ac:dyDescent="0.2">
      <c r="A2011" s="2291" t="s">
        <v>1858</v>
      </c>
      <c r="B2011" s="1634" t="s">
        <v>1523</v>
      </c>
      <c r="C2011" s="1634" t="s">
        <v>6383</v>
      </c>
      <c r="D2011" s="1634" t="s">
        <v>1591</v>
      </c>
    </row>
    <row r="2012" spans="1:4" hidden="1" x14ac:dyDescent="0.2">
      <c r="A2012" s="2291" t="s">
        <v>1859</v>
      </c>
      <c r="B2012" s="1634" t="s">
        <v>1525</v>
      </c>
      <c r="C2012" s="1634" t="s">
        <v>6388</v>
      </c>
      <c r="D2012" s="1634" t="s">
        <v>523</v>
      </c>
    </row>
    <row r="2013" spans="1:4" hidden="1" x14ac:dyDescent="0.2">
      <c r="A2013" s="2291" t="s">
        <v>1860</v>
      </c>
      <c r="B2013" s="1634" t="s">
        <v>1527</v>
      </c>
      <c r="C2013" s="1634" t="s">
        <v>6393</v>
      </c>
      <c r="D2013" s="1634" t="s">
        <v>2091</v>
      </c>
    </row>
    <row r="2014" spans="1:4" hidden="1" x14ac:dyDescent="0.2">
      <c r="A2014" s="2291" t="s">
        <v>3022</v>
      </c>
      <c r="B2014" s="1634" t="s">
        <v>1529</v>
      </c>
      <c r="C2014" s="1634" t="s">
        <v>6398</v>
      </c>
      <c r="D2014" s="1634" t="s">
        <v>5777</v>
      </c>
    </row>
    <row r="2015" spans="1:4" hidden="1" x14ac:dyDescent="0.2">
      <c r="A2015" s="2291" t="s">
        <v>3024</v>
      </c>
      <c r="B2015" s="1634" t="s">
        <v>4832</v>
      </c>
      <c r="C2015" s="1634" t="s">
        <v>6403</v>
      </c>
      <c r="D2015" s="1634" t="s">
        <v>30</v>
      </c>
    </row>
    <row r="2016" spans="1:4" hidden="1" x14ac:dyDescent="0.2">
      <c r="A2016" s="2291" t="s">
        <v>3026</v>
      </c>
      <c r="B2016" s="1634" t="s">
        <v>4298</v>
      </c>
      <c r="C2016" s="1634" t="s">
        <v>6408</v>
      </c>
      <c r="D2016" s="1634" t="s">
        <v>4299</v>
      </c>
    </row>
    <row r="2017" spans="1:4" hidden="1" x14ac:dyDescent="0.2">
      <c r="A2017" s="2291" t="s">
        <v>1524</v>
      </c>
      <c r="B2017" s="1634" t="s">
        <v>4301</v>
      </c>
      <c r="C2017" s="1634" t="s">
        <v>5238</v>
      </c>
      <c r="D2017" s="1634" t="s">
        <v>4302</v>
      </c>
    </row>
    <row r="2018" spans="1:4" hidden="1" x14ac:dyDescent="0.2">
      <c r="A2018" s="2291" t="s">
        <v>1526</v>
      </c>
      <c r="B2018" s="1634" t="s">
        <v>4304</v>
      </c>
      <c r="C2018" s="1634" t="s">
        <v>5241</v>
      </c>
      <c r="D2018" s="1634" t="s">
        <v>4305</v>
      </c>
    </row>
    <row r="2019" spans="1:4" hidden="1" x14ac:dyDescent="0.2">
      <c r="A2019" s="2291" t="s">
        <v>1528</v>
      </c>
      <c r="B2019" s="1634" t="s">
        <v>4307</v>
      </c>
      <c r="C2019" s="1634" t="s">
        <v>1023</v>
      </c>
      <c r="D2019" s="1634" t="s">
        <v>3400</v>
      </c>
    </row>
    <row r="2020" spans="1:4" hidden="1" x14ac:dyDescent="0.2">
      <c r="A2020" s="2291" t="s">
        <v>1530</v>
      </c>
      <c r="B2020" s="1634" t="s">
        <v>4309</v>
      </c>
      <c r="C2020" s="1634" t="s">
        <v>6512</v>
      </c>
      <c r="D2020" s="1634" t="s">
        <v>5896</v>
      </c>
    </row>
    <row r="2021" spans="1:4" hidden="1" x14ac:dyDescent="0.2">
      <c r="A2021" s="2291" t="s">
        <v>4297</v>
      </c>
      <c r="B2021" s="1634" t="s">
        <v>4311</v>
      </c>
      <c r="C2021" s="1634" t="s">
        <v>2300</v>
      </c>
      <c r="D2021" s="1634" t="s">
        <v>5101</v>
      </c>
    </row>
    <row r="2022" spans="1:4" hidden="1" x14ac:dyDescent="0.2">
      <c r="A2022" s="2291" t="s">
        <v>4300</v>
      </c>
      <c r="B2022" s="1634" t="s">
        <v>4313</v>
      </c>
      <c r="C2022" s="1634" t="s">
        <v>2303</v>
      </c>
      <c r="D2022" s="1634" t="s">
        <v>524</v>
      </c>
    </row>
    <row r="2023" spans="1:4" hidden="1" x14ac:dyDescent="0.2">
      <c r="A2023" s="2291" t="s">
        <v>4303</v>
      </c>
      <c r="B2023" s="1634" t="s">
        <v>4315</v>
      </c>
      <c r="C2023" s="1634" t="s">
        <v>2419</v>
      </c>
      <c r="D2023" s="1634" t="s">
        <v>2399</v>
      </c>
    </row>
    <row r="2024" spans="1:4" hidden="1" x14ac:dyDescent="0.2">
      <c r="A2024" s="2291" t="s">
        <v>4306</v>
      </c>
      <c r="B2024" s="1634" t="s">
        <v>4317</v>
      </c>
      <c r="C2024" s="1634" t="s">
        <v>2407</v>
      </c>
      <c r="D2024" s="1634" t="s">
        <v>2408</v>
      </c>
    </row>
    <row r="2025" spans="1:4" hidden="1" x14ac:dyDescent="0.2">
      <c r="A2025" s="2291" t="s">
        <v>4308</v>
      </c>
      <c r="B2025" s="1634" t="s">
        <v>4319</v>
      </c>
      <c r="C2025" s="1634" t="s">
        <v>2417</v>
      </c>
      <c r="D2025" s="1634" t="s">
        <v>2628</v>
      </c>
    </row>
    <row r="2026" spans="1:4" hidden="1" x14ac:dyDescent="0.2">
      <c r="A2026" s="2291" t="s">
        <v>4310</v>
      </c>
      <c r="B2026" s="1634" t="s">
        <v>4321</v>
      </c>
      <c r="C2026" s="1634" t="s">
        <v>2638</v>
      </c>
      <c r="D2026" s="1634" t="s">
        <v>2639</v>
      </c>
    </row>
    <row r="2027" spans="1:4" hidden="1" x14ac:dyDescent="0.2">
      <c r="A2027" s="2291" t="s">
        <v>4312</v>
      </c>
      <c r="B2027" s="1634" t="s">
        <v>1384</v>
      </c>
      <c r="C2027" s="1634" t="s">
        <v>6271</v>
      </c>
      <c r="D2027" s="1634" t="s">
        <v>6272</v>
      </c>
    </row>
    <row r="2028" spans="1:4" hidden="1" x14ac:dyDescent="0.2">
      <c r="A2028" s="2291" t="s">
        <v>4314</v>
      </c>
      <c r="B2028" s="1634" t="s">
        <v>1386</v>
      </c>
      <c r="C2028" s="1634" t="s">
        <v>5020</v>
      </c>
      <c r="D2028" s="1634" t="s">
        <v>5021</v>
      </c>
    </row>
    <row r="2029" spans="1:4" hidden="1" x14ac:dyDescent="0.2">
      <c r="A2029" s="2291" t="s">
        <v>4316</v>
      </c>
      <c r="B2029" s="1634" t="s">
        <v>1388</v>
      </c>
      <c r="C2029" s="1634" t="s">
        <v>5030</v>
      </c>
      <c r="D2029" s="1634" t="s">
        <v>5031</v>
      </c>
    </row>
    <row r="2030" spans="1:4" hidden="1" x14ac:dyDescent="0.2">
      <c r="A2030" s="2291" t="s">
        <v>4318</v>
      </c>
      <c r="B2030" s="1634" t="s">
        <v>223</v>
      </c>
      <c r="C2030" s="1634" t="s">
        <v>2448</v>
      </c>
      <c r="D2030" s="1634" t="s">
        <v>2449</v>
      </c>
    </row>
    <row r="2031" spans="1:4" hidden="1" x14ac:dyDescent="0.2">
      <c r="A2031" s="2291" t="s">
        <v>4320</v>
      </c>
      <c r="B2031" s="1634" t="s">
        <v>835</v>
      </c>
      <c r="C2031" s="1634" t="s">
        <v>4230</v>
      </c>
      <c r="D2031" s="1634" t="s">
        <v>4231</v>
      </c>
    </row>
    <row r="2032" spans="1:4" hidden="1" x14ac:dyDescent="0.2">
      <c r="A2032" s="2291" t="s">
        <v>4322</v>
      </c>
      <c r="B2032" s="1634" t="s">
        <v>837</v>
      </c>
      <c r="C2032" s="1634" t="s">
        <v>5140</v>
      </c>
      <c r="D2032" s="1634" t="s">
        <v>5141</v>
      </c>
    </row>
    <row r="2033" spans="1:4" hidden="1" x14ac:dyDescent="0.2">
      <c r="A2033" s="2291" t="s">
        <v>830</v>
      </c>
      <c r="B2033" s="1634" t="s">
        <v>839</v>
      </c>
      <c r="C2033" s="1634" t="s">
        <v>2340</v>
      </c>
      <c r="D2033" s="1634" t="s">
        <v>2341</v>
      </c>
    </row>
    <row r="2034" spans="1:4" hidden="1" x14ac:dyDescent="0.2">
      <c r="A2034" s="2291" t="s">
        <v>831</v>
      </c>
      <c r="B2034" s="1634" t="s">
        <v>841</v>
      </c>
      <c r="C2034" s="1634" t="s">
        <v>2346</v>
      </c>
      <c r="D2034" s="1634" t="s">
        <v>2347</v>
      </c>
    </row>
    <row r="2035" spans="1:4" hidden="1" x14ac:dyDescent="0.2">
      <c r="A2035" s="2291" t="s">
        <v>832</v>
      </c>
      <c r="B2035" s="1634" t="s">
        <v>843</v>
      </c>
      <c r="C2035" s="1634" t="s">
        <v>2352</v>
      </c>
      <c r="D2035" s="1634" t="s">
        <v>2353</v>
      </c>
    </row>
    <row r="2036" spans="1:4" hidden="1" x14ac:dyDescent="0.2">
      <c r="A2036" s="2291" t="s">
        <v>833</v>
      </c>
      <c r="B2036" s="1634" t="s">
        <v>845</v>
      </c>
      <c r="C2036" s="1634" t="s">
        <v>2358</v>
      </c>
      <c r="D2036" s="1634" t="s">
        <v>2359</v>
      </c>
    </row>
    <row r="2037" spans="1:4" hidden="1" x14ac:dyDescent="0.2">
      <c r="A2037" s="2291" t="s">
        <v>834</v>
      </c>
      <c r="B2037" s="1634" t="s">
        <v>847</v>
      </c>
      <c r="C2037" s="1634" t="s">
        <v>6700</v>
      </c>
      <c r="D2037" s="1634" t="s">
        <v>6701</v>
      </c>
    </row>
    <row r="2038" spans="1:4" hidden="1" x14ac:dyDescent="0.2">
      <c r="A2038" s="2291" t="s">
        <v>836</v>
      </c>
      <c r="B2038" s="1634" t="s">
        <v>849</v>
      </c>
      <c r="C2038" s="1634" t="s">
        <v>3692</v>
      </c>
      <c r="D2038" s="1634" t="s">
        <v>3693</v>
      </c>
    </row>
    <row r="2039" spans="1:4" hidden="1" x14ac:dyDescent="0.2">
      <c r="A2039" s="2291" t="s">
        <v>838</v>
      </c>
      <c r="B2039" s="1634" t="s">
        <v>5532</v>
      </c>
      <c r="C2039" s="1634" t="s">
        <v>5577</v>
      </c>
      <c r="D2039" s="1634" t="s">
        <v>5578</v>
      </c>
    </row>
    <row r="2040" spans="1:4" hidden="1" x14ac:dyDescent="0.2">
      <c r="A2040" s="2291" t="s">
        <v>840</v>
      </c>
      <c r="B2040" s="1634" t="s">
        <v>5534</v>
      </c>
      <c r="C2040" s="1634" t="s">
        <v>3647</v>
      </c>
      <c r="D2040" s="1634" t="s">
        <v>3648</v>
      </c>
    </row>
    <row r="2041" spans="1:4" hidden="1" x14ac:dyDescent="0.2">
      <c r="A2041" s="2291" t="s">
        <v>842</v>
      </c>
      <c r="B2041" s="1634" t="s">
        <v>1831</v>
      </c>
      <c r="C2041" s="1634" t="s">
        <v>5673</v>
      </c>
      <c r="D2041" s="1634" t="s">
        <v>5674</v>
      </c>
    </row>
    <row r="2042" spans="1:4" hidden="1" x14ac:dyDescent="0.2">
      <c r="A2042" s="2291" t="s">
        <v>844</v>
      </c>
      <c r="B2042" s="1634" t="s">
        <v>1833</v>
      </c>
      <c r="C2042" s="1634" t="s">
        <v>3419</v>
      </c>
      <c r="D2042" s="1634" t="s">
        <v>3420</v>
      </c>
    </row>
    <row r="2043" spans="1:4" hidden="1" x14ac:dyDescent="0.2">
      <c r="A2043" s="2291" t="s">
        <v>846</v>
      </c>
      <c r="B2043" s="1634" t="s">
        <v>1835</v>
      </c>
      <c r="C2043" s="1634" t="s">
        <v>3433</v>
      </c>
      <c r="D2043" s="1634" t="s">
        <v>5735</v>
      </c>
    </row>
    <row r="2044" spans="1:4" hidden="1" x14ac:dyDescent="0.2">
      <c r="A2044" s="2291" t="s">
        <v>848</v>
      </c>
      <c r="B2044" s="1634" t="s">
        <v>1837</v>
      </c>
      <c r="C2044" s="1634" t="s">
        <v>6487</v>
      </c>
      <c r="D2044" s="1634" t="s">
        <v>6488</v>
      </c>
    </row>
    <row r="2045" spans="1:4" hidden="1" x14ac:dyDescent="0.2">
      <c r="A2045" s="2291" t="s">
        <v>4838</v>
      </c>
      <c r="B2045" s="1634" t="s">
        <v>3439</v>
      </c>
      <c r="C2045" s="1634" t="s">
        <v>5737</v>
      </c>
      <c r="D2045" s="1634" t="s">
        <v>5738</v>
      </c>
    </row>
    <row r="2046" spans="1:4" hidden="1" x14ac:dyDescent="0.2">
      <c r="A2046" s="2291" t="s">
        <v>5533</v>
      </c>
      <c r="B2046" s="1634" t="s">
        <v>5740</v>
      </c>
      <c r="C2046" s="1634" t="s">
        <v>5741</v>
      </c>
      <c r="D2046" s="1634" t="s">
        <v>6748</v>
      </c>
    </row>
    <row r="2047" spans="1:4" hidden="1" x14ac:dyDescent="0.2">
      <c r="A2047" s="2291" t="s">
        <v>5535</v>
      </c>
      <c r="B2047" s="1634" t="s">
        <v>6750</v>
      </c>
      <c r="C2047" s="1634" t="s">
        <v>6751</v>
      </c>
      <c r="D2047" s="1634" t="s">
        <v>6752</v>
      </c>
    </row>
    <row r="2048" spans="1:4" hidden="1" x14ac:dyDescent="0.2">
      <c r="A2048" s="2291" t="s">
        <v>5536</v>
      </c>
      <c r="B2048" s="1634" t="s">
        <v>6754</v>
      </c>
      <c r="C2048" s="1634" t="s">
        <v>6755</v>
      </c>
      <c r="D2048" s="1634" t="s">
        <v>6756</v>
      </c>
    </row>
    <row r="2049" spans="1:6" hidden="1" x14ac:dyDescent="0.2">
      <c r="A2049" s="2291" t="s">
        <v>1832</v>
      </c>
      <c r="B2049" s="1634" t="s">
        <v>6758</v>
      </c>
      <c r="C2049" s="1634" t="s">
        <v>6759</v>
      </c>
      <c r="D2049" s="1634" t="s">
        <v>6760</v>
      </c>
    </row>
    <row r="2050" spans="1:6" hidden="1" x14ac:dyDescent="0.2">
      <c r="A2050" s="2291" t="s">
        <v>1834</v>
      </c>
      <c r="B2050" s="1634" t="s">
        <v>6762</v>
      </c>
      <c r="C2050" s="1634" t="s">
        <v>6763</v>
      </c>
      <c r="D2050" s="1634" t="s">
        <v>6764</v>
      </c>
    </row>
    <row r="2051" spans="1:6" hidden="1" x14ac:dyDescent="0.2">
      <c r="A2051" s="2291" t="s">
        <v>1836</v>
      </c>
      <c r="B2051" s="1634" t="s">
        <v>2623</v>
      </c>
      <c r="C2051" s="1634" t="s">
        <v>6766</v>
      </c>
      <c r="D2051" s="1634" t="s">
        <v>6767</v>
      </c>
    </row>
    <row r="2052" spans="1:6" hidden="1" x14ac:dyDescent="0.2">
      <c r="A2052" s="2291" t="s">
        <v>1838</v>
      </c>
      <c r="B2052" s="1634" t="s">
        <v>6241</v>
      </c>
      <c r="C2052" s="1634" t="s">
        <v>4323</v>
      </c>
      <c r="D2052" s="1634" t="s">
        <v>4324</v>
      </c>
    </row>
    <row r="2053" spans="1:6" hidden="1" x14ac:dyDescent="0.2">
      <c r="A2053" s="2291" t="s">
        <v>3438</v>
      </c>
      <c r="B2053" s="1634" t="s">
        <v>6243</v>
      </c>
      <c r="C2053" s="1634" t="s">
        <v>1774</v>
      </c>
      <c r="D2053" s="1634" t="s">
        <v>1775</v>
      </c>
    </row>
    <row r="2054" spans="1:6" hidden="1" x14ac:dyDescent="0.2">
      <c r="A2054" s="2291" t="s">
        <v>3440</v>
      </c>
      <c r="B2054" s="1634" t="s">
        <v>6245</v>
      </c>
      <c r="C2054" s="1634" t="s">
        <v>6858</v>
      </c>
      <c r="D2054" s="1634" t="s">
        <v>6859</v>
      </c>
      <c r="E2054"/>
      <c r="F2054"/>
    </row>
    <row r="2055" spans="1:6" hidden="1" x14ac:dyDescent="0.2">
      <c r="A2055" s="2291" t="s">
        <v>3441</v>
      </c>
      <c r="B2055" s="1634" t="s">
        <v>6247</v>
      </c>
      <c r="C2055" s="1634" t="s">
        <v>6868</v>
      </c>
      <c r="D2055" s="1634" t="s">
        <v>6869</v>
      </c>
      <c r="E2055"/>
      <c r="F2055"/>
    </row>
    <row r="2056" spans="1:6" hidden="1" x14ac:dyDescent="0.2">
      <c r="A2056" s="2291" t="s">
        <v>5824</v>
      </c>
      <c r="B2056" s="1634" t="s">
        <v>6249</v>
      </c>
      <c r="C2056" s="1634" t="s">
        <v>4653</v>
      </c>
      <c r="D2056" s="1634" t="s">
        <v>4654</v>
      </c>
      <c r="E2056"/>
      <c r="F2056"/>
    </row>
    <row r="2057" spans="1:6" hidden="1" x14ac:dyDescent="0.2">
      <c r="A2057" s="2291" t="s">
        <v>5825</v>
      </c>
      <c r="B2057" s="1634" t="s">
        <v>6251</v>
      </c>
      <c r="C2057" s="1634" t="s">
        <v>992</v>
      </c>
      <c r="D2057" s="1634" t="s">
        <v>6252</v>
      </c>
      <c r="E2057"/>
      <c r="F2057"/>
    </row>
    <row r="2058" spans="1:6" hidden="1" x14ac:dyDescent="0.2">
      <c r="A2058" s="2291" t="s">
        <v>5826</v>
      </c>
      <c r="B2058" s="1634" t="s">
        <v>6253</v>
      </c>
      <c r="C2058" s="1634" t="s">
        <v>993</v>
      </c>
      <c r="D2058" s="1634" t="s">
        <v>6254</v>
      </c>
      <c r="E2058"/>
      <c r="F2058"/>
    </row>
    <row r="2059" spans="1:6" hidden="1" x14ac:dyDescent="0.2">
      <c r="A2059" s="2291" t="s">
        <v>2622</v>
      </c>
      <c r="B2059" s="1634" t="s">
        <v>6255</v>
      </c>
      <c r="C2059" s="1634" t="s">
        <v>6256</v>
      </c>
      <c r="D2059"/>
      <c r="E2059" s="164"/>
      <c r="F2059" s="164"/>
    </row>
    <row r="2060" spans="1:6" hidden="1" x14ac:dyDescent="0.2">
      <c r="A2060" s="2291" t="s">
        <v>6240</v>
      </c>
      <c r="B2060" s="1634" t="s">
        <v>6257</v>
      </c>
      <c r="C2060" s="1634" t="s">
        <v>6258</v>
      </c>
      <c r="D2060"/>
      <c r="E2060"/>
      <c r="F2060"/>
    </row>
    <row r="2061" spans="1:6" hidden="1" x14ac:dyDescent="0.2">
      <c r="A2061" s="2291" t="s">
        <v>6242</v>
      </c>
      <c r="B2061" s="1634" t="s">
        <v>6259</v>
      </c>
      <c r="C2061" s="1634" t="s">
        <v>6260</v>
      </c>
      <c r="D2061"/>
      <c r="E2061"/>
      <c r="F2061"/>
    </row>
    <row r="2062" spans="1:6" hidden="1" x14ac:dyDescent="0.2">
      <c r="A2062" s="2291" t="s">
        <v>6244</v>
      </c>
      <c r="B2062" s="1634" t="s">
        <v>6261</v>
      </c>
      <c r="C2062" s="1634" t="s">
        <v>6262</v>
      </c>
      <c r="D2062"/>
      <c r="E2062"/>
      <c r="F2062"/>
    </row>
    <row r="2063" spans="1:6" hidden="1" x14ac:dyDescent="0.2">
      <c r="A2063" s="2291" t="s">
        <v>6246</v>
      </c>
      <c r="B2063" s="1634" t="s">
        <v>6263</v>
      </c>
      <c r="C2063" s="1634" t="s">
        <v>6536</v>
      </c>
      <c r="D2063"/>
      <c r="E2063"/>
      <c r="F2063"/>
    </row>
    <row r="2064" spans="1:6" hidden="1" x14ac:dyDescent="0.2">
      <c r="A2064" s="2291" t="s">
        <v>6248</v>
      </c>
      <c r="B2064" s="1634" t="s">
        <v>6264</v>
      </c>
      <c r="C2064" s="1634" t="s">
        <v>4982</v>
      </c>
      <c r="D2064"/>
      <c r="E2064"/>
      <c r="F2064"/>
    </row>
    <row r="2065" spans="1:14" hidden="1" x14ac:dyDescent="0.2">
      <c r="A2065" s="2291" t="s">
        <v>6250</v>
      </c>
      <c r="B2065" s="1634" t="s">
        <v>5448</v>
      </c>
      <c r="C2065" s="1634" t="s">
        <v>5134</v>
      </c>
      <c r="D2065"/>
      <c r="E2065"/>
      <c r="F2065"/>
    </row>
    <row r="2066" spans="1:14" hidden="1" x14ac:dyDescent="0.2">
      <c r="A2066" s="2292"/>
      <c r="B2066" s="164"/>
      <c r="C2066" s="164"/>
      <c r="D2066"/>
      <c r="E2066"/>
      <c r="F2066"/>
    </row>
    <row r="2067" spans="1:14" hidden="1" x14ac:dyDescent="0.2">
      <c r="A2067" s="2292" t="s">
        <v>4373</v>
      </c>
      <c r="B2067" s="164" t="s">
        <v>871</v>
      </c>
      <c r="C2067" s="164" t="s">
        <v>6619</v>
      </c>
      <c r="D2067"/>
      <c r="E2067"/>
      <c r="F2067"/>
    </row>
    <row r="2068" spans="1:14" hidden="1" x14ac:dyDescent="0.2">
      <c r="A2068" s="2292" t="s">
        <v>4374</v>
      </c>
      <c r="B2068" s="164" t="s">
        <v>3008</v>
      </c>
      <c r="C2068" s="164" t="s">
        <v>6621</v>
      </c>
      <c r="D2068"/>
      <c r="E2068"/>
      <c r="F2068"/>
    </row>
    <row r="2069" spans="1:14" hidden="1" x14ac:dyDescent="0.2">
      <c r="A2069" s="2292" t="s">
        <v>4375</v>
      </c>
      <c r="B2069" s="164" t="s">
        <v>3010</v>
      </c>
      <c r="C2069" s="164" t="s">
        <v>6623</v>
      </c>
      <c r="D2069"/>
      <c r="E2069"/>
      <c r="F2069"/>
    </row>
    <row r="2070" spans="1:14" hidden="1" x14ac:dyDescent="0.2">
      <c r="A2070" s="2292" t="s">
        <v>4376</v>
      </c>
      <c r="B2070" s="164" t="s">
        <v>6460</v>
      </c>
      <c r="C2070" s="164" t="s">
        <v>3132</v>
      </c>
      <c r="D2070"/>
      <c r="E2070"/>
      <c r="F2070"/>
      <c r="G2070"/>
      <c r="H2070"/>
      <c r="I2070"/>
      <c r="J2070"/>
      <c r="K2070"/>
      <c r="L2070"/>
      <c r="M2070"/>
      <c r="N2070"/>
    </row>
    <row r="2071" spans="1:14" hidden="1" x14ac:dyDescent="0.2">
      <c r="A2071" s="2292" t="s">
        <v>4377</v>
      </c>
      <c r="B2071" s="164" t="s">
        <v>6462</v>
      </c>
      <c r="C2071" s="164" t="s">
        <v>4045</v>
      </c>
      <c r="D2071"/>
      <c r="E2071"/>
      <c r="F2071"/>
      <c r="G2071"/>
      <c r="H2071"/>
      <c r="I2071"/>
      <c r="J2071"/>
      <c r="K2071"/>
      <c r="L2071"/>
      <c r="M2071"/>
      <c r="N2071"/>
    </row>
    <row r="2072" spans="1:14" hidden="1" x14ac:dyDescent="0.2">
      <c r="A2072" s="2292" t="s">
        <v>4378</v>
      </c>
      <c r="B2072" s="164" t="s">
        <v>6464</v>
      </c>
      <c r="C2072" s="164" t="s">
        <v>4047</v>
      </c>
      <c r="D2072"/>
      <c r="E2072"/>
      <c r="F2072"/>
      <c r="G2072"/>
      <c r="H2072"/>
      <c r="I2072"/>
      <c r="J2072"/>
      <c r="K2072"/>
      <c r="L2072"/>
      <c r="M2072"/>
      <c r="N2072"/>
    </row>
    <row r="2073" spans="1:14" hidden="1" x14ac:dyDescent="0.2">
      <c r="A2073" s="2292" t="s">
        <v>4379</v>
      </c>
      <c r="B2073" s="164" t="s">
        <v>2911</v>
      </c>
      <c r="C2073" s="164" t="s">
        <v>4095</v>
      </c>
      <c r="D2073"/>
      <c r="E2073"/>
      <c r="F2073"/>
      <c r="G2073"/>
      <c r="H2073"/>
      <c r="I2073"/>
      <c r="J2073"/>
      <c r="K2073"/>
      <c r="L2073"/>
      <c r="M2073"/>
      <c r="N2073"/>
    </row>
    <row r="2074" spans="1:14" hidden="1" x14ac:dyDescent="0.2">
      <c r="A2074" s="2292" t="s">
        <v>4380</v>
      </c>
      <c r="B2074" s="164" t="s">
        <v>2913</v>
      </c>
      <c r="C2074" s="164" t="s">
        <v>4100</v>
      </c>
      <c r="D2074"/>
      <c r="E2074"/>
      <c r="F2074"/>
      <c r="G2074"/>
      <c r="H2074"/>
      <c r="I2074"/>
      <c r="J2074"/>
      <c r="K2074"/>
      <c r="L2074"/>
      <c r="M2074"/>
      <c r="N2074"/>
    </row>
    <row r="2075" spans="1:14" hidden="1" x14ac:dyDescent="0.2">
      <c r="A2075" s="2292" t="s">
        <v>4381</v>
      </c>
      <c r="B2075" s="164" t="s">
        <v>2915</v>
      </c>
      <c r="C2075" s="164" t="s">
        <v>4105</v>
      </c>
      <c r="D2075"/>
      <c r="E2075"/>
      <c r="F2075"/>
      <c r="G2075"/>
      <c r="H2075"/>
      <c r="I2075"/>
      <c r="J2075"/>
      <c r="K2075"/>
      <c r="L2075"/>
      <c r="M2075"/>
      <c r="N2075"/>
    </row>
    <row r="2076" spans="1:14" hidden="1" x14ac:dyDescent="0.2">
      <c r="A2076" s="2292" t="s">
        <v>4382</v>
      </c>
      <c r="B2076" s="164" t="s">
        <v>2917</v>
      </c>
      <c r="C2076" s="164" t="s">
        <v>2322</v>
      </c>
      <c r="D2076"/>
      <c r="E2076"/>
      <c r="F2076"/>
      <c r="G2076"/>
      <c r="H2076"/>
      <c r="I2076"/>
      <c r="J2076"/>
      <c r="K2076"/>
      <c r="L2076"/>
      <c r="M2076"/>
      <c r="N2076"/>
    </row>
    <row r="2077" spans="1:14" hidden="1" x14ac:dyDescent="0.2">
      <c r="A2077" s="2292" t="s">
        <v>4383</v>
      </c>
      <c r="B2077" s="164" t="s">
        <v>2919</v>
      </c>
      <c r="C2077" s="164" t="s">
        <v>2327</v>
      </c>
      <c r="D2077"/>
      <c r="E2077"/>
      <c r="F2077"/>
      <c r="G2077"/>
      <c r="H2077"/>
      <c r="I2077"/>
      <c r="J2077"/>
      <c r="K2077"/>
      <c r="L2077"/>
      <c r="M2077"/>
      <c r="N2077"/>
    </row>
    <row r="2078" spans="1:14" hidden="1" x14ac:dyDescent="0.2">
      <c r="A2078" s="2292" t="s">
        <v>4384</v>
      </c>
      <c r="B2078" s="164" t="s">
        <v>4082</v>
      </c>
      <c r="C2078" s="164" t="s">
        <v>1750</v>
      </c>
      <c r="D2078"/>
      <c r="E2078"/>
      <c r="F2078"/>
      <c r="G2078"/>
      <c r="H2078"/>
      <c r="I2078"/>
      <c r="J2078"/>
      <c r="K2078"/>
      <c r="L2078"/>
      <c r="M2078"/>
      <c r="N2078"/>
    </row>
    <row r="2079" spans="1:14" hidden="1" x14ac:dyDescent="0.2">
      <c r="A2079" s="2292" t="s">
        <v>4385</v>
      </c>
      <c r="B2079" s="164" t="s">
        <v>4084</v>
      </c>
      <c r="C2079" s="164" t="s">
        <v>1728</v>
      </c>
      <c r="D2079"/>
      <c r="E2079"/>
      <c r="F2079"/>
      <c r="G2079"/>
      <c r="H2079"/>
      <c r="I2079"/>
      <c r="J2079"/>
      <c r="K2079"/>
      <c r="L2079"/>
      <c r="M2079"/>
      <c r="N2079"/>
    </row>
    <row r="2080" spans="1:14" hidden="1" x14ac:dyDescent="0.2">
      <c r="A2080" s="2292" t="s">
        <v>4386</v>
      </c>
      <c r="B2080" s="164" t="s">
        <v>4086</v>
      </c>
      <c r="C2080" s="164" t="s">
        <v>2494</v>
      </c>
      <c r="D2080"/>
      <c r="E2080"/>
      <c r="F2080"/>
      <c r="G2080"/>
      <c r="H2080"/>
      <c r="I2080"/>
      <c r="J2080"/>
      <c r="K2080"/>
      <c r="L2080"/>
      <c r="M2080"/>
      <c r="N2080"/>
    </row>
    <row r="2081" spans="1:14" hidden="1" x14ac:dyDescent="0.2">
      <c r="A2081" s="2292" t="s">
        <v>4387</v>
      </c>
      <c r="B2081" s="164" t="s">
        <v>2670</v>
      </c>
      <c r="C2081" s="164" t="s">
        <v>2671</v>
      </c>
      <c r="D2081"/>
      <c r="E2081"/>
      <c r="F2081"/>
      <c r="G2081"/>
      <c r="H2081"/>
      <c r="I2081"/>
      <c r="J2081"/>
      <c r="K2081"/>
      <c r="L2081"/>
      <c r="M2081"/>
      <c r="N2081"/>
    </row>
    <row r="2082" spans="1:14" hidden="1" x14ac:dyDescent="0.2">
      <c r="A2082" s="2292" t="s">
        <v>4388</v>
      </c>
      <c r="B2082" s="164" t="s">
        <v>3497</v>
      </c>
      <c r="C2082" s="164" t="s">
        <v>689</v>
      </c>
      <c r="D2082"/>
    </row>
    <row r="2083" spans="1:14" hidden="1" x14ac:dyDescent="0.2">
      <c r="A2083" s="2292" t="s">
        <v>4389</v>
      </c>
      <c r="B2083" s="164" t="s">
        <v>139</v>
      </c>
      <c r="C2083" s="164" t="s">
        <v>140</v>
      </c>
      <c r="D2083"/>
      <c r="E2083" s="164"/>
      <c r="F2083" s="164"/>
      <c r="G2083" s="164"/>
      <c r="H2083" s="164"/>
      <c r="I2083" s="164"/>
      <c r="J2083" s="164"/>
      <c r="K2083" s="164"/>
      <c r="L2083" s="164"/>
      <c r="M2083" s="164"/>
      <c r="N2083" s="164"/>
    </row>
    <row r="2084" spans="1:14" hidden="1" x14ac:dyDescent="0.2">
      <c r="A2084" s="2291" t="s">
        <v>4390</v>
      </c>
      <c r="B2084" s="164" t="s">
        <v>5689</v>
      </c>
      <c r="C2084" s="164" t="s">
        <v>5779</v>
      </c>
      <c r="D2084"/>
      <c r="E2084"/>
      <c r="F2084"/>
      <c r="G2084" s="164"/>
      <c r="H2084" s="164"/>
      <c r="I2084" s="164"/>
      <c r="J2084" s="164"/>
      <c r="K2084" s="164"/>
      <c r="L2084" s="164"/>
      <c r="M2084" s="164"/>
      <c r="N2084" s="164"/>
    </row>
    <row r="2085" spans="1:14" hidden="1" x14ac:dyDescent="0.2">
      <c r="A2085" s="2291" t="s">
        <v>4391</v>
      </c>
      <c r="B2085" s="164" t="s">
        <v>1799</v>
      </c>
      <c r="C2085" s="164" t="s">
        <v>1800</v>
      </c>
      <c r="D2085"/>
      <c r="E2085"/>
      <c r="F2085"/>
      <c r="G2085" s="164"/>
      <c r="H2085" s="164"/>
      <c r="I2085" s="164"/>
      <c r="J2085" s="164"/>
      <c r="K2085" s="164"/>
      <c r="L2085" s="164"/>
      <c r="M2085" s="164"/>
      <c r="N2085" s="164"/>
    </row>
    <row r="2086" spans="1:14" hidden="1" x14ac:dyDescent="0.2">
      <c r="A2086" s="2291" t="s">
        <v>4392</v>
      </c>
      <c r="B2086" s="164" t="s">
        <v>3403</v>
      </c>
      <c r="C2086" s="164" t="s">
        <v>3404</v>
      </c>
      <c r="D2086"/>
      <c r="E2086"/>
      <c r="F2086"/>
      <c r="G2086" s="164"/>
      <c r="H2086" s="164"/>
      <c r="I2086" s="164"/>
      <c r="J2086" s="164"/>
      <c r="K2086" s="164"/>
      <c r="L2086" s="164"/>
      <c r="M2086" s="164"/>
      <c r="N2086" s="164"/>
    </row>
    <row r="2087" spans="1:14" hidden="1" x14ac:dyDescent="0.2">
      <c r="A2087" s="2291" t="s">
        <v>4393</v>
      </c>
      <c r="B2087" s="164" t="s">
        <v>5095</v>
      </c>
      <c r="C2087" s="164" t="s">
        <v>5096</v>
      </c>
      <c r="D2087"/>
      <c r="E2087"/>
      <c r="F2087"/>
      <c r="G2087" s="164"/>
      <c r="H2087" s="164"/>
      <c r="I2087" s="164"/>
      <c r="J2087" s="164"/>
      <c r="K2087" s="164"/>
      <c r="L2087" s="164"/>
      <c r="M2087" s="164"/>
      <c r="N2087" s="164"/>
    </row>
    <row r="2088" spans="1:14" hidden="1" x14ac:dyDescent="0.2">
      <c r="A2088" s="2291" t="s">
        <v>4394</v>
      </c>
      <c r="B2088" s="164" t="s">
        <v>5104</v>
      </c>
      <c r="C2088" s="164" t="s">
        <v>5105</v>
      </c>
      <c r="D2088"/>
      <c r="E2088"/>
      <c r="F2088"/>
      <c r="G2088" s="164"/>
      <c r="H2088" s="164"/>
      <c r="I2088" s="164"/>
      <c r="J2088" s="164"/>
      <c r="K2088" s="164"/>
      <c r="L2088" s="164"/>
      <c r="M2088" s="164"/>
      <c r="N2088" s="164"/>
    </row>
    <row r="2089" spans="1:14" hidden="1" x14ac:dyDescent="0.2">
      <c r="A2089" s="2291" t="s">
        <v>4395</v>
      </c>
      <c r="B2089" s="164" t="s">
        <v>2393</v>
      </c>
      <c r="C2089" s="164" t="s">
        <v>2394</v>
      </c>
      <c r="D2089"/>
      <c r="E2089"/>
      <c r="F2089"/>
      <c r="G2089" s="164"/>
      <c r="H2089" s="164"/>
      <c r="I2089" s="164"/>
      <c r="J2089" s="164"/>
      <c r="K2089" s="164"/>
      <c r="L2089" s="164"/>
      <c r="M2089" s="164"/>
      <c r="N2089" s="164"/>
    </row>
    <row r="2090" spans="1:14" hidden="1" x14ac:dyDescent="0.2">
      <c r="A2090" s="2291" t="s">
        <v>4396</v>
      </c>
      <c r="B2090" s="164" t="s">
        <v>852</v>
      </c>
      <c r="C2090" s="164" t="s">
        <v>2402</v>
      </c>
      <c r="D2090"/>
      <c r="E2090" s="164"/>
      <c r="F2090" s="164"/>
      <c r="G2090" s="164"/>
      <c r="H2090" s="164"/>
      <c r="I2090" s="164"/>
      <c r="J2090" s="164"/>
      <c r="K2090" s="164"/>
      <c r="L2090" s="164"/>
      <c r="M2090" s="164"/>
      <c r="N2090" s="164"/>
    </row>
    <row r="2091" spans="1:14" hidden="1" x14ac:dyDescent="0.2">
      <c r="A2091" s="2291" t="s">
        <v>4397</v>
      </c>
      <c r="B2091" s="164" t="s">
        <v>2632</v>
      </c>
      <c r="C2091" s="164" t="s">
        <v>2633</v>
      </c>
      <c r="D2091"/>
      <c r="E2091"/>
      <c r="F2091"/>
      <c r="G2091" s="164"/>
      <c r="H2091" s="164"/>
      <c r="I2091" s="164"/>
      <c r="J2091" s="164"/>
      <c r="K2091" s="164"/>
      <c r="L2091" s="164"/>
      <c r="M2091" s="164"/>
      <c r="N2091" s="164"/>
    </row>
    <row r="2092" spans="1:14" hidden="1" x14ac:dyDescent="0.2">
      <c r="A2092" s="2291" t="s">
        <v>4398</v>
      </c>
      <c r="B2092" s="164" t="s">
        <v>6587</v>
      </c>
      <c r="C2092" s="164" t="s">
        <v>6588</v>
      </c>
      <c r="D2092"/>
      <c r="E2092"/>
      <c r="F2092"/>
      <c r="G2092" s="164"/>
      <c r="H2092" s="164"/>
      <c r="I2092" s="164"/>
      <c r="J2092" s="164"/>
      <c r="K2092" s="164"/>
      <c r="L2092" s="164"/>
      <c r="M2092" s="164"/>
      <c r="N2092" s="164"/>
    </row>
    <row r="2093" spans="1:14" hidden="1" x14ac:dyDescent="0.2">
      <c r="A2093" s="2291" t="s">
        <v>4399</v>
      </c>
      <c r="B2093" s="164" t="s">
        <v>5014</v>
      </c>
      <c r="C2093" s="164" t="s">
        <v>5015</v>
      </c>
      <c r="D2093"/>
      <c r="E2093"/>
      <c r="F2093"/>
      <c r="G2093" s="164"/>
      <c r="H2093" s="164"/>
      <c r="I2093" s="164"/>
      <c r="J2093" s="164"/>
      <c r="K2093" s="164"/>
      <c r="L2093" s="164"/>
      <c r="M2093" s="164"/>
      <c r="N2093" s="164"/>
    </row>
    <row r="2094" spans="1:14" hidden="1" x14ac:dyDescent="0.2">
      <c r="A2094" s="2291" t="s">
        <v>4400</v>
      </c>
      <c r="B2094" s="164" t="s">
        <v>5035</v>
      </c>
      <c r="C2094" s="164" t="s">
        <v>5036</v>
      </c>
      <c r="D2094"/>
      <c r="E2094"/>
      <c r="F2094"/>
      <c r="G2094" s="164"/>
      <c r="H2094" s="164"/>
      <c r="I2094" s="164"/>
      <c r="J2094" s="164"/>
      <c r="K2094" s="164"/>
      <c r="L2094" s="164"/>
      <c r="M2094" s="164"/>
      <c r="N2094" s="164"/>
    </row>
    <row r="2095" spans="1:14" hidden="1" x14ac:dyDescent="0.2">
      <c r="A2095" s="2291" t="s">
        <v>4403</v>
      </c>
      <c r="B2095" s="164" t="s">
        <v>2132</v>
      </c>
      <c r="C2095" s="164" t="s">
        <v>981</v>
      </c>
      <c r="D2095"/>
      <c r="E2095"/>
      <c r="F2095"/>
      <c r="G2095" s="164"/>
      <c r="H2095" s="164"/>
      <c r="I2095" s="164"/>
      <c r="J2095" s="164"/>
      <c r="K2095" s="164"/>
      <c r="L2095" s="164"/>
      <c r="M2095" s="164"/>
      <c r="N2095" s="164"/>
    </row>
    <row r="2096" spans="1:14" hidden="1" x14ac:dyDescent="0.2">
      <c r="A2096" s="2291" t="s">
        <v>4404</v>
      </c>
      <c r="B2096" s="164" t="s">
        <v>4496</v>
      </c>
      <c r="C2096" s="164" t="s">
        <v>5219</v>
      </c>
      <c r="D2096"/>
      <c r="E2096"/>
      <c r="F2096"/>
      <c r="G2096" s="164"/>
      <c r="H2096" s="164"/>
      <c r="I2096" s="164"/>
      <c r="J2096" s="164"/>
      <c r="K2096" s="164"/>
      <c r="L2096" s="164"/>
      <c r="M2096" s="164"/>
      <c r="N2096" s="164"/>
    </row>
    <row r="2097" spans="1:14" hidden="1" x14ac:dyDescent="0.2">
      <c r="A2097" s="2291" t="s">
        <v>3038</v>
      </c>
      <c r="B2097" s="164" t="s">
        <v>5224</v>
      </c>
      <c r="C2097" s="164" t="s">
        <v>1586</v>
      </c>
      <c r="D2097"/>
      <c r="E2097"/>
      <c r="F2097"/>
      <c r="G2097" s="164"/>
      <c r="H2097" s="164"/>
      <c r="I2097" s="164"/>
      <c r="J2097" s="164"/>
      <c r="K2097" s="164"/>
      <c r="L2097" s="164"/>
      <c r="M2097" s="164"/>
      <c r="N2097" s="164"/>
    </row>
    <row r="2098" spans="1:14" hidden="1" x14ac:dyDescent="0.2">
      <c r="A2098" s="2291" t="s">
        <v>3039</v>
      </c>
      <c r="B2098" s="164" t="s">
        <v>4401</v>
      </c>
      <c r="C2098" s="164" t="s">
        <v>4402</v>
      </c>
      <c r="D2098"/>
      <c r="E2098"/>
      <c r="F2098"/>
      <c r="G2098" s="164"/>
      <c r="H2098" s="164"/>
      <c r="I2098" s="164"/>
      <c r="J2098" s="164"/>
      <c r="K2098" s="164"/>
      <c r="L2098" s="164"/>
      <c r="M2098" s="164"/>
      <c r="N2098" s="164"/>
    </row>
    <row r="2099" spans="1:14" hidden="1" x14ac:dyDescent="0.2">
      <c r="A2099" s="2291" t="s">
        <v>3040</v>
      </c>
      <c r="B2099" s="164" t="s">
        <v>1587</v>
      </c>
      <c r="C2099" s="164" t="s">
        <v>6052</v>
      </c>
      <c r="D2099"/>
      <c r="E2099"/>
      <c r="F2099"/>
      <c r="G2099" s="164"/>
      <c r="H2099" s="164"/>
      <c r="I2099" s="164"/>
      <c r="J2099" s="164"/>
      <c r="K2099" s="164"/>
      <c r="L2099" s="164"/>
      <c r="M2099" s="164"/>
      <c r="N2099" s="164"/>
    </row>
    <row r="2100" spans="1:14" hidden="1" x14ac:dyDescent="0.2">
      <c r="A2100" s="2291" t="s">
        <v>3041</v>
      </c>
      <c r="B2100" s="164" t="s">
        <v>6054</v>
      </c>
      <c r="C2100" s="164" t="s">
        <v>6055</v>
      </c>
      <c r="D2100"/>
      <c r="E2100"/>
      <c r="F2100"/>
      <c r="G2100"/>
      <c r="H2100"/>
      <c r="I2100"/>
      <c r="J2100"/>
      <c r="K2100"/>
      <c r="L2100"/>
      <c r="M2100"/>
      <c r="N2100"/>
    </row>
    <row r="2101" spans="1:14" hidden="1" x14ac:dyDescent="0.2">
      <c r="A2101" s="2291" t="s">
        <v>1212</v>
      </c>
      <c r="B2101" s="164" t="s">
        <v>6057</v>
      </c>
      <c r="C2101" s="164" t="s">
        <v>6058</v>
      </c>
      <c r="D2101"/>
      <c r="E2101"/>
      <c r="F2101"/>
      <c r="G2101"/>
      <c r="H2101"/>
      <c r="I2101"/>
      <c r="J2101"/>
      <c r="K2101"/>
      <c r="L2101"/>
      <c r="M2101"/>
      <c r="N2101"/>
    </row>
    <row r="2102" spans="1:14" hidden="1" x14ac:dyDescent="0.2">
      <c r="A2102" s="2291" t="s">
        <v>1213</v>
      </c>
      <c r="B2102" s="164" t="s">
        <v>5233</v>
      </c>
      <c r="C2102" s="164" t="s">
        <v>5234</v>
      </c>
      <c r="D2102"/>
      <c r="E2102"/>
      <c r="F2102"/>
      <c r="G2102"/>
      <c r="H2102"/>
      <c r="I2102"/>
      <c r="J2102"/>
      <c r="K2102"/>
      <c r="L2102"/>
      <c r="M2102"/>
      <c r="N2102"/>
    </row>
    <row r="2103" spans="1:14" hidden="1" x14ac:dyDescent="0.2">
      <c r="A2103" s="2291" t="s">
        <v>7317</v>
      </c>
      <c r="B2103" s="164" t="s">
        <v>1108</v>
      </c>
      <c r="C2103" s="164" t="s">
        <v>1588</v>
      </c>
      <c r="D2103"/>
      <c r="E2103"/>
      <c r="F2103"/>
      <c r="G2103"/>
      <c r="H2103"/>
      <c r="I2103"/>
      <c r="J2103"/>
      <c r="K2103"/>
      <c r="L2103"/>
      <c r="M2103"/>
      <c r="N2103"/>
    </row>
    <row r="2104" spans="1:14" hidden="1" x14ac:dyDescent="0.2">
      <c r="A2104" s="2291" t="s">
        <v>7318</v>
      </c>
      <c r="B2104" s="164" t="s">
        <v>1540</v>
      </c>
      <c r="C2104" s="164" t="s">
        <v>1541</v>
      </c>
      <c r="D2104"/>
      <c r="E2104"/>
      <c r="F2104"/>
      <c r="G2104"/>
      <c r="H2104"/>
      <c r="I2104"/>
      <c r="J2104"/>
      <c r="K2104"/>
      <c r="L2104"/>
      <c r="M2104"/>
      <c r="N2104"/>
    </row>
    <row r="2105" spans="1:14" hidden="1" x14ac:dyDescent="0.2">
      <c r="A2105" s="2291" t="s">
        <v>7319</v>
      </c>
      <c r="B2105" s="164" t="s">
        <v>6235</v>
      </c>
      <c r="C2105" s="164" t="s">
        <v>6236</v>
      </c>
      <c r="D2105"/>
      <c r="E2105"/>
      <c r="F2105"/>
      <c r="G2105"/>
      <c r="H2105"/>
      <c r="I2105"/>
      <c r="J2105"/>
      <c r="K2105"/>
      <c r="L2105"/>
      <c r="M2105"/>
      <c r="N2105"/>
    </row>
    <row r="2106" spans="1:14" hidden="1" x14ac:dyDescent="0.2">
      <c r="A2106" s="2291" t="s">
        <v>7320</v>
      </c>
      <c r="B2106" s="164" t="s">
        <v>3674</v>
      </c>
      <c r="C2106" s="164" t="s">
        <v>416</v>
      </c>
      <c r="D2106"/>
      <c r="E2106"/>
      <c r="F2106"/>
      <c r="G2106"/>
      <c r="H2106"/>
      <c r="I2106"/>
      <c r="J2106"/>
      <c r="K2106"/>
      <c r="L2106"/>
      <c r="M2106"/>
      <c r="N2106"/>
    </row>
    <row r="2107" spans="1:14" hidden="1" x14ac:dyDescent="0.2">
      <c r="A2107" s="2291" t="s">
        <v>7321</v>
      </c>
      <c r="B2107" s="164" t="s">
        <v>3413</v>
      </c>
      <c r="C2107" s="164" t="s">
        <v>3414</v>
      </c>
      <c r="D2107"/>
      <c r="E2107"/>
      <c r="F2107"/>
      <c r="G2107"/>
      <c r="H2107"/>
      <c r="I2107"/>
      <c r="J2107"/>
      <c r="K2107"/>
      <c r="L2107"/>
      <c r="M2107"/>
      <c r="N2107"/>
    </row>
    <row r="2108" spans="1:14" hidden="1" x14ac:dyDescent="0.2">
      <c r="A2108" s="2291" t="s">
        <v>7322</v>
      </c>
      <c r="B2108" s="164" t="s">
        <v>3087</v>
      </c>
      <c r="C2108" s="164" t="s">
        <v>3088</v>
      </c>
      <c r="D2108"/>
      <c r="E2108"/>
      <c r="F2108"/>
      <c r="G2108"/>
      <c r="H2108"/>
      <c r="I2108"/>
      <c r="J2108"/>
      <c r="K2108"/>
      <c r="L2108"/>
      <c r="M2108"/>
      <c r="N2108"/>
    </row>
    <row r="2109" spans="1:14" hidden="1" x14ac:dyDescent="0.2">
      <c r="A2109"/>
      <c r="B2109" s="164"/>
      <c r="C2109" s="164"/>
      <c r="D2109"/>
      <c r="E2109"/>
      <c r="F2109"/>
      <c r="G2109"/>
      <c r="H2109"/>
      <c r="I2109"/>
      <c r="J2109"/>
      <c r="K2109"/>
      <c r="L2109"/>
      <c r="M2109"/>
      <c r="N2109"/>
    </row>
    <row r="2110" spans="1:14" hidden="1" x14ac:dyDescent="0.2">
      <c r="A2110"/>
      <c r="B2110" s="164"/>
      <c r="C2110" s="164"/>
      <c r="D2110"/>
      <c r="E2110"/>
      <c r="F2110"/>
      <c r="G2110"/>
      <c r="H2110"/>
      <c r="I2110"/>
      <c r="J2110"/>
      <c r="K2110"/>
      <c r="L2110"/>
      <c r="M2110"/>
      <c r="N2110"/>
    </row>
    <row r="2111" spans="1:14" hidden="1" x14ac:dyDescent="0.2">
      <c r="A2111"/>
      <c r="B2111" s="164"/>
      <c r="C2111" s="164"/>
      <c r="D2111"/>
      <c r="E2111"/>
      <c r="F2111"/>
      <c r="G2111"/>
      <c r="H2111"/>
      <c r="I2111"/>
      <c r="J2111"/>
      <c r="K2111"/>
      <c r="L2111"/>
      <c r="M2111"/>
      <c r="N2111"/>
    </row>
    <row r="2112" spans="1:14" hidden="1" x14ac:dyDescent="0.2">
      <c r="A2112"/>
      <c r="B2112" s="164"/>
      <c r="C2112" s="164"/>
      <c r="D2112"/>
      <c r="E2112"/>
      <c r="F2112"/>
      <c r="G2112"/>
      <c r="H2112"/>
      <c r="I2112"/>
      <c r="J2112"/>
      <c r="K2112"/>
      <c r="L2112"/>
      <c r="M2112"/>
      <c r="N2112"/>
    </row>
    <row r="2113" spans="1:15" hidden="1" x14ac:dyDescent="0.2">
      <c r="A2113" s="2292"/>
      <c r="B2113" s="164"/>
      <c r="C2113" s="164"/>
      <c r="D2113" s="164"/>
      <c r="E2113" s="164"/>
      <c r="F2113" s="164"/>
      <c r="G2113" s="164"/>
      <c r="H2113" s="164"/>
      <c r="I2113" s="164"/>
      <c r="J2113" s="164"/>
      <c r="K2113" s="164"/>
      <c r="L2113" s="164"/>
      <c r="M2113" s="164"/>
      <c r="N2113" s="164"/>
    </row>
    <row r="2114" spans="1:15" hidden="1" x14ac:dyDescent="0.2">
      <c r="A2114" s="2292"/>
      <c r="B2114" s="164"/>
      <c r="C2114" s="164"/>
      <c r="D2114" s="164"/>
      <c r="E2114" s="164"/>
      <c r="F2114" s="164"/>
      <c r="G2114" s="164"/>
      <c r="H2114" s="164"/>
      <c r="I2114" s="164"/>
      <c r="J2114" s="164"/>
      <c r="K2114" s="164"/>
      <c r="L2114" s="164"/>
      <c r="M2114" s="164"/>
      <c r="N2114" s="164"/>
    </row>
    <row r="2115" spans="1:15" hidden="1" x14ac:dyDescent="0.2">
      <c r="A2115" s="2292" t="s">
        <v>1059</v>
      </c>
      <c r="B2115" s="164" t="s">
        <v>5272</v>
      </c>
      <c r="C2115" s="164" t="s">
        <v>4034</v>
      </c>
      <c r="D2115" s="164" t="s">
        <v>3099</v>
      </c>
      <c r="E2115" s="164" t="s">
        <v>4035</v>
      </c>
      <c r="F2115" s="164" t="s">
        <v>4036</v>
      </c>
      <c r="G2115" s="164" t="s">
        <v>3100</v>
      </c>
      <c r="H2115" s="164" t="s">
        <v>3101</v>
      </c>
      <c r="I2115" s="164" t="s">
        <v>2237</v>
      </c>
      <c r="J2115" s="164" t="s">
        <v>3102</v>
      </c>
      <c r="K2115" s="164" t="s">
        <v>3103</v>
      </c>
      <c r="L2115" s="164" t="s">
        <v>3104</v>
      </c>
      <c r="M2115" s="164" t="s">
        <v>4432</v>
      </c>
      <c r="N2115" s="164" t="s">
        <v>4433</v>
      </c>
      <c r="O2115" s="164" t="s">
        <v>4434</v>
      </c>
    </row>
    <row r="2116" spans="1:15" hidden="1" x14ac:dyDescent="0.2">
      <c r="A2116" s="2292" t="s">
        <v>5594</v>
      </c>
      <c r="B2116" s="164" t="s">
        <v>5695</v>
      </c>
      <c r="C2116" s="164" t="s">
        <v>4041</v>
      </c>
      <c r="D2116" s="164" t="s">
        <v>3106</v>
      </c>
      <c r="E2116" s="164" t="s">
        <v>5696</v>
      </c>
      <c r="F2116" s="164" t="s">
        <v>4042</v>
      </c>
      <c r="G2116" s="164" t="s">
        <v>3107</v>
      </c>
      <c r="H2116" s="164" t="s">
        <v>3108</v>
      </c>
      <c r="I2116" s="164" t="s">
        <v>2239</v>
      </c>
      <c r="J2116" s="164" t="s">
        <v>3109</v>
      </c>
      <c r="K2116" s="164" t="s">
        <v>551</v>
      </c>
      <c r="L2116" s="164" t="s">
        <v>4830</v>
      </c>
      <c r="M2116" s="164" t="s">
        <v>4435</v>
      </c>
      <c r="N2116" s="164" t="s">
        <v>4436</v>
      </c>
      <c r="O2116" s="164" t="s">
        <v>4437</v>
      </c>
    </row>
    <row r="2117" spans="1:15" hidden="1" x14ac:dyDescent="0.2">
      <c r="A2117" s="2292" t="s">
        <v>3105</v>
      </c>
      <c r="B2117" s="164" t="s">
        <v>5697</v>
      </c>
      <c r="C2117" s="164" t="s">
        <v>5472</v>
      </c>
      <c r="D2117" s="164" t="s">
        <v>553</v>
      </c>
      <c r="E2117" s="164" t="s">
        <v>4704</v>
      </c>
      <c r="F2117" s="164" t="s">
        <v>6973</v>
      </c>
      <c r="G2117" s="164" t="s">
        <v>554</v>
      </c>
      <c r="H2117" s="164" t="s">
        <v>555</v>
      </c>
      <c r="I2117" s="164" t="s">
        <v>556</v>
      </c>
      <c r="J2117" s="164" t="s">
        <v>557</v>
      </c>
      <c r="K2117" s="164" t="s">
        <v>558</v>
      </c>
      <c r="L2117" s="164" t="s">
        <v>559</v>
      </c>
      <c r="M2117" s="164" t="s">
        <v>4438</v>
      </c>
      <c r="N2117" s="164" t="s">
        <v>4439</v>
      </c>
      <c r="O2117" s="164" t="s">
        <v>4440</v>
      </c>
    </row>
    <row r="2118" spans="1:15" hidden="1" x14ac:dyDescent="0.2">
      <c r="A2118" s="2292" t="s">
        <v>552</v>
      </c>
      <c r="B2118" s="164" t="s">
        <v>4705</v>
      </c>
      <c r="C2118" s="164" t="s">
        <v>4174</v>
      </c>
      <c r="D2118" s="164" t="s">
        <v>561</v>
      </c>
      <c r="E2118" s="164" t="s">
        <v>4706</v>
      </c>
      <c r="F2118" s="164" t="s">
        <v>6662</v>
      </c>
      <c r="G2118" s="164" t="s">
        <v>562</v>
      </c>
      <c r="H2118" s="164" t="s">
        <v>563</v>
      </c>
      <c r="I2118" s="164" t="s">
        <v>6880</v>
      </c>
      <c r="J2118" s="164" t="s">
        <v>2018</v>
      </c>
      <c r="K2118" s="164" t="s">
        <v>2019</v>
      </c>
      <c r="L2118" s="164" t="s">
        <v>2564</v>
      </c>
      <c r="M2118" s="164" t="s">
        <v>4441</v>
      </c>
      <c r="N2118" s="164" t="s">
        <v>4442</v>
      </c>
      <c r="O2118" s="164" t="s">
        <v>4443</v>
      </c>
    </row>
    <row r="2119" spans="1:15" hidden="1" x14ac:dyDescent="0.2">
      <c r="A2119" s="2292" t="s">
        <v>560</v>
      </c>
      <c r="B2119" s="164" t="s">
        <v>2021</v>
      </c>
      <c r="C2119" s="164" t="s">
        <v>5473</v>
      </c>
      <c r="D2119" s="164" t="s">
        <v>2022</v>
      </c>
      <c r="E2119" s="164" t="s">
        <v>5474</v>
      </c>
      <c r="F2119" s="164" t="s">
        <v>6673</v>
      </c>
      <c r="G2119" s="164" t="s">
        <v>2023</v>
      </c>
      <c r="H2119" s="164" t="s">
        <v>2024</v>
      </c>
      <c r="I2119" s="164" t="s">
        <v>6882</v>
      </c>
      <c r="J2119" s="164" t="s">
        <v>2025</v>
      </c>
      <c r="K2119" s="164" t="s">
        <v>2026</v>
      </c>
      <c r="L2119" s="164" t="s">
        <v>2027</v>
      </c>
      <c r="M2119" s="164" t="s">
        <v>4444</v>
      </c>
      <c r="N2119" s="164" t="s">
        <v>2819</v>
      </c>
      <c r="O2119" s="164" t="s">
        <v>2859</v>
      </c>
    </row>
    <row r="2120" spans="1:15" hidden="1" x14ac:dyDescent="0.2">
      <c r="A2120" s="2292" t="s">
        <v>2020</v>
      </c>
      <c r="B2120" s="164" t="s">
        <v>4707</v>
      </c>
      <c r="C2120" s="164" t="s">
        <v>6678</v>
      </c>
      <c r="D2120" s="164" t="s">
        <v>2029</v>
      </c>
      <c r="E2120" s="164" t="s">
        <v>4708</v>
      </c>
      <c r="F2120" s="164" t="s">
        <v>6679</v>
      </c>
      <c r="G2120" s="164" t="s">
        <v>5061</v>
      </c>
      <c r="H2120" s="164" t="s">
        <v>5062</v>
      </c>
      <c r="I2120" s="164" t="s">
        <v>6884</v>
      </c>
      <c r="J2120" s="164" t="s">
        <v>2941</v>
      </c>
      <c r="K2120" s="164" t="s">
        <v>0</v>
      </c>
      <c r="L2120" s="164" t="s">
        <v>2565</v>
      </c>
      <c r="M2120" s="164" t="s">
        <v>2860</v>
      </c>
      <c r="N2120" s="164" t="s">
        <v>2861</v>
      </c>
      <c r="O2120" s="164" t="s">
        <v>2862</v>
      </c>
    </row>
    <row r="2121" spans="1:15" hidden="1" x14ac:dyDescent="0.2">
      <c r="A2121" s="2292" t="s">
        <v>2028</v>
      </c>
      <c r="B2121" s="164" t="s">
        <v>4709</v>
      </c>
      <c r="C2121" s="164" t="s">
        <v>5475</v>
      </c>
      <c r="D2121" s="164" t="s">
        <v>3423</v>
      </c>
      <c r="E2121" s="164" t="s">
        <v>4710</v>
      </c>
      <c r="F2121" s="164" t="s">
        <v>6684</v>
      </c>
      <c r="G2121" s="164" t="s">
        <v>3424</v>
      </c>
      <c r="H2121" s="164" t="s">
        <v>5419</v>
      </c>
      <c r="I2121" s="164" t="s">
        <v>6886</v>
      </c>
      <c r="J2121" s="164" t="s">
        <v>5420</v>
      </c>
      <c r="K2121" s="164" t="s">
        <v>5421</v>
      </c>
      <c r="L2121" s="164" t="s">
        <v>5422</v>
      </c>
      <c r="M2121" s="164" t="s">
        <v>2863</v>
      </c>
      <c r="N2121" s="164" t="s">
        <v>2864</v>
      </c>
      <c r="O2121" s="164" t="s">
        <v>2865</v>
      </c>
    </row>
    <row r="2122" spans="1:15" hidden="1" x14ac:dyDescent="0.2">
      <c r="A2122" s="2292" t="s">
        <v>3422</v>
      </c>
      <c r="B2122" s="164" t="s">
        <v>4711</v>
      </c>
      <c r="C2122" s="164" t="s">
        <v>6689</v>
      </c>
      <c r="D2122" s="164" t="s">
        <v>5424</v>
      </c>
      <c r="E2122" s="164" t="s">
        <v>4712</v>
      </c>
      <c r="F2122" s="164" t="s">
        <v>6690</v>
      </c>
      <c r="G2122" s="164" t="s">
        <v>5425</v>
      </c>
      <c r="H2122" s="164" t="s">
        <v>5426</v>
      </c>
      <c r="I2122" s="164" t="s">
        <v>6888</v>
      </c>
      <c r="J2122" s="164" t="s">
        <v>5427</v>
      </c>
      <c r="K2122" s="164" t="s">
        <v>5428</v>
      </c>
      <c r="L2122" s="164" t="s">
        <v>2566</v>
      </c>
      <c r="M2122" s="164" t="s">
        <v>2866</v>
      </c>
      <c r="N2122" s="164" t="s">
        <v>2867</v>
      </c>
      <c r="O2122" s="164" t="s">
        <v>2868</v>
      </c>
    </row>
    <row r="2123" spans="1:15" hidden="1" x14ac:dyDescent="0.2">
      <c r="A2123" s="2292" t="s">
        <v>5423</v>
      </c>
      <c r="B2123" s="164" t="s">
        <v>4713</v>
      </c>
      <c r="C2123" s="164" t="s">
        <v>4094</v>
      </c>
      <c r="D2123" s="164" t="s">
        <v>5430</v>
      </c>
      <c r="E2123" s="164" t="s">
        <v>4714</v>
      </c>
      <c r="F2123" s="164" t="s">
        <v>4096</v>
      </c>
      <c r="G2123" s="164" t="s">
        <v>5431</v>
      </c>
      <c r="H2123" s="164" t="s">
        <v>5432</v>
      </c>
      <c r="I2123" s="164" t="s">
        <v>5433</v>
      </c>
      <c r="J2123" s="164" t="s">
        <v>5434</v>
      </c>
      <c r="K2123" s="164" t="s">
        <v>2150</v>
      </c>
      <c r="L2123" s="164" t="s">
        <v>2151</v>
      </c>
      <c r="M2123" s="164" t="s">
        <v>2869</v>
      </c>
      <c r="N2123" s="164" t="s">
        <v>2870</v>
      </c>
      <c r="O2123" s="164" t="s">
        <v>2871</v>
      </c>
    </row>
    <row r="2124" spans="1:15" hidden="1" x14ac:dyDescent="0.2">
      <c r="A2124" s="2292" t="s">
        <v>5429</v>
      </c>
      <c r="B2124" s="164" t="s">
        <v>2153</v>
      </c>
      <c r="C2124" s="164" t="s">
        <v>4099</v>
      </c>
      <c r="D2124" s="164" t="s">
        <v>2154</v>
      </c>
      <c r="E2124" s="164" t="s">
        <v>5476</v>
      </c>
      <c r="F2124" s="164" t="s">
        <v>4101</v>
      </c>
      <c r="G2124" s="164" t="s">
        <v>2155</v>
      </c>
      <c r="H2124" s="164" t="s">
        <v>2156</v>
      </c>
      <c r="I2124" s="164" t="s">
        <v>6890</v>
      </c>
      <c r="J2124" s="164" t="s">
        <v>2157</v>
      </c>
      <c r="K2124" s="164" t="s">
        <v>2158</v>
      </c>
      <c r="L2124" s="164" t="s">
        <v>2159</v>
      </c>
      <c r="M2124" s="164" t="s">
        <v>2872</v>
      </c>
      <c r="N2124" s="164" t="s">
        <v>2873</v>
      </c>
      <c r="O2124" s="164" t="s">
        <v>2874</v>
      </c>
    </row>
    <row r="2125" spans="1:15" hidden="1" x14ac:dyDescent="0.2">
      <c r="A2125" s="2292" t="s">
        <v>2152</v>
      </c>
      <c r="B2125" s="164" t="s">
        <v>4715</v>
      </c>
      <c r="C2125" s="164" t="s">
        <v>4104</v>
      </c>
      <c r="D2125" s="164" t="s">
        <v>2161</v>
      </c>
      <c r="E2125" s="164" t="s">
        <v>4716</v>
      </c>
      <c r="F2125" s="164" t="s">
        <v>2318</v>
      </c>
      <c r="G2125" s="164" t="s">
        <v>2162</v>
      </c>
      <c r="H2125" s="164" t="s">
        <v>2163</v>
      </c>
      <c r="I2125" s="164" t="s">
        <v>6892</v>
      </c>
      <c r="J2125" s="164" t="s">
        <v>2164</v>
      </c>
      <c r="K2125" s="164" t="s">
        <v>2165</v>
      </c>
      <c r="L2125" s="164" t="s">
        <v>2166</v>
      </c>
      <c r="M2125" s="164" t="s">
        <v>2875</v>
      </c>
      <c r="N2125" s="164" t="s">
        <v>2876</v>
      </c>
      <c r="O2125" s="164" t="s">
        <v>2877</v>
      </c>
    </row>
    <row r="2126" spans="1:15" hidden="1" x14ac:dyDescent="0.2">
      <c r="A2126" s="2292" t="s">
        <v>2160</v>
      </c>
      <c r="B2126" s="164" t="s">
        <v>4717</v>
      </c>
      <c r="C2126" s="164" t="s">
        <v>2321</v>
      </c>
      <c r="D2126" s="164" t="s">
        <v>2168</v>
      </c>
      <c r="E2126" s="164" t="s">
        <v>6426</v>
      </c>
      <c r="F2126" s="164" t="s">
        <v>2323</v>
      </c>
      <c r="G2126" s="164" t="s">
        <v>2169</v>
      </c>
      <c r="H2126" s="164" t="s">
        <v>2170</v>
      </c>
      <c r="I2126" s="164" t="s">
        <v>6894</v>
      </c>
      <c r="J2126" s="164" t="s">
        <v>2171</v>
      </c>
      <c r="K2126" s="164" t="s">
        <v>2172</v>
      </c>
      <c r="L2126" s="164" t="s">
        <v>2567</v>
      </c>
      <c r="M2126" s="164" t="s">
        <v>2878</v>
      </c>
      <c r="N2126" s="164" t="s">
        <v>2879</v>
      </c>
      <c r="O2126" s="164" t="s">
        <v>2880</v>
      </c>
    </row>
    <row r="2127" spans="1:15" hidden="1" x14ac:dyDescent="0.2">
      <c r="A2127" s="2292" t="s">
        <v>2167</v>
      </c>
      <c r="B2127" s="164" t="s">
        <v>6427</v>
      </c>
      <c r="C2127" s="164" t="s">
        <v>2326</v>
      </c>
      <c r="D2127" s="164" t="s">
        <v>2174</v>
      </c>
      <c r="E2127" s="164" t="s">
        <v>6428</v>
      </c>
      <c r="F2127" s="164" t="s">
        <v>2328</v>
      </c>
      <c r="G2127" s="164" t="s">
        <v>2175</v>
      </c>
      <c r="H2127" s="164" t="s">
        <v>2176</v>
      </c>
      <c r="I2127" s="164" t="s">
        <v>6895</v>
      </c>
      <c r="J2127" s="164" t="s">
        <v>2177</v>
      </c>
      <c r="K2127" s="164" t="s">
        <v>2178</v>
      </c>
      <c r="L2127" s="164" t="s">
        <v>2179</v>
      </c>
      <c r="M2127" s="164" t="s">
        <v>2881</v>
      </c>
      <c r="N2127" s="164" t="s">
        <v>2882</v>
      </c>
      <c r="O2127" s="164" t="s">
        <v>2883</v>
      </c>
    </row>
    <row r="2128" spans="1:15" hidden="1" x14ac:dyDescent="0.2">
      <c r="A2128" s="2292" t="s">
        <v>2173</v>
      </c>
      <c r="B2128" s="164" t="s">
        <v>6429</v>
      </c>
      <c r="C2128" s="164" t="s">
        <v>6605</v>
      </c>
      <c r="D2128" s="164" t="s">
        <v>2181</v>
      </c>
      <c r="E2128" s="164" t="s">
        <v>6430</v>
      </c>
      <c r="F2128" s="164" t="s">
        <v>5084</v>
      </c>
      <c r="G2128" s="164" t="s">
        <v>2182</v>
      </c>
      <c r="H2128" s="164" t="s">
        <v>2183</v>
      </c>
      <c r="I2128" s="164" t="s">
        <v>6897</v>
      </c>
      <c r="J2128" s="164" t="s">
        <v>2184</v>
      </c>
      <c r="K2128" s="164" t="s">
        <v>2185</v>
      </c>
      <c r="L2128" s="164" t="s">
        <v>2568</v>
      </c>
      <c r="M2128" s="164" t="s">
        <v>2884</v>
      </c>
      <c r="N2128" s="164" t="s">
        <v>2885</v>
      </c>
      <c r="O2128" s="164" t="s">
        <v>2886</v>
      </c>
    </row>
    <row r="2129" spans="1:15" hidden="1" x14ac:dyDescent="0.2">
      <c r="A2129" s="2292" t="s">
        <v>2180</v>
      </c>
      <c r="B2129" s="164" t="s">
        <v>2187</v>
      </c>
      <c r="C2129" s="164" t="s">
        <v>2</v>
      </c>
      <c r="D2129" s="164" t="s">
        <v>2188</v>
      </c>
      <c r="E2129" s="164" t="s">
        <v>2921</v>
      </c>
      <c r="F2129" s="164" t="s">
        <v>1741</v>
      </c>
      <c r="G2129" s="164" t="s">
        <v>2189</v>
      </c>
      <c r="H2129" s="164" t="s">
        <v>2190</v>
      </c>
      <c r="I2129" s="164" t="s">
        <v>6899</v>
      </c>
      <c r="J2129" s="164" t="s">
        <v>2191</v>
      </c>
      <c r="K2129" s="164" t="s">
        <v>608</v>
      </c>
      <c r="L2129" s="164" t="s">
        <v>609</v>
      </c>
      <c r="M2129" s="164" t="s">
        <v>2887</v>
      </c>
      <c r="N2129" s="164" t="s">
        <v>2888</v>
      </c>
      <c r="O2129" s="164" t="s">
        <v>2889</v>
      </c>
    </row>
    <row r="2130" spans="1:15" hidden="1" x14ac:dyDescent="0.2">
      <c r="A2130" s="2292" t="s">
        <v>2186</v>
      </c>
      <c r="B2130" s="164" t="s">
        <v>6431</v>
      </c>
      <c r="C2130" s="164" t="s">
        <v>1744</v>
      </c>
      <c r="D2130" s="164" t="s">
        <v>3092</v>
      </c>
      <c r="E2130" s="164" t="s">
        <v>2923</v>
      </c>
      <c r="F2130" s="164" t="s">
        <v>1746</v>
      </c>
      <c r="G2130" s="164" t="s">
        <v>3530</v>
      </c>
      <c r="H2130" s="164" t="s">
        <v>3531</v>
      </c>
      <c r="I2130" s="164" t="s">
        <v>6901</v>
      </c>
      <c r="J2130" s="164" t="s">
        <v>3532</v>
      </c>
      <c r="K2130" s="164" t="s">
        <v>3533</v>
      </c>
      <c r="L2130" s="164" t="s">
        <v>2569</v>
      </c>
      <c r="M2130" s="164" t="s">
        <v>2890</v>
      </c>
      <c r="N2130" s="164" t="s">
        <v>2891</v>
      </c>
      <c r="O2130" s="164" t="s">
        <v>2892</v>
      </c>
    </row>
    <row r="2131" spans="1:15" hidden="1" x14ac:dyDescent="0.2">
      <c r="A2131" s="2292" t="s">
        <v>610</v>
      </c>
      <c r="B2131" s="164" t="s">
        <v>6432</v>
      </c>
      <c r="C2131" s="164" t="s">
        <v>1749</v>
      </c>
      <c r="D2131" s="164" t="s">
        <v>3535</v>
      </c>
      <c r="E2131" s="164" t="s">
        <v>3301</v>
      </c>
      <c r="F2131" s="164" t="s">
        <v>1751</v>
      </c>
      <c r="G2131" s="164" t="s">
        <v>3536</v>
      </c>
      <c r="H2131" s="164" t="s">
        <v>3537</v>
      </c>
      <c r="I2131" s="164" t="s">
        <v>6903</v>
      </c>
      <c r="J2131" s="164" t="s">
        <v>3538</v>
      </c>
      <c r="K2131" s="164" t="s">
        <v>3695</v>
      </c>
      <c r="L2131" s="164" t="s">
        <v>6187</v>
      </c>
      <c r="M2131" s="164" t="s">
        <v>2893</v>
      </c>
      <c r="N2131" s="164" t="s">
        <v>2894</v>
      </c>
      <c r="O2131" s="164" t="s">
        <v>2895</v>
      </c>
    </row>
    <row r="2132" spans="1:15" hidden="1" x14ac:dyDescent="0.2">
      <c r="A2132" s="2292" t="s">
        <v>3534</v>
      </c>
      <c r="B2132" s="164" t="s">
        <v>6433</v>
      </c>
      <c r="C2132" s="164" t="s">
        <v>1727</v>
      </c>
      <c r="D2132" s="164" t="s">
        <v>6189</v>
      </c>
      <c r="E2132" s="164" t="s">
        <v>3303</v>
      </c>
      <c r="F2132" s="164" t="s">
        <v>945</v>
      </c>
      <c r="G2132" s="164" t="s">
        <v>6190</v>
      </c>
      <c r="H2132" s="164" t="s">
        <v>6191</v>
      </c>
      <c r="I2132" s="164" t="s">
        <v>6905</v>
      </c>
      <c r="J2132" s="164" t="s">
        <v>6192</v>
      </c>
      <c r="K2132" s="164" t="s">
        <v>6193</v>
      </c>
      <c r="L2132" s="164" t="s">
        <v>2570</v>
      </c>
      <c r="M2132" s="164" t="s">
        <v>2896</v>
      </c>
      <c r="N2132" s="164" t="s">
        <v>2897</v>
      </c>
      <c r="O2132" s="164" t="s">
        <v>2898</v>
      </c>
    </row>
    <row r="2133" spans="1:15" hidden="1" x14ac:dyDescent="0.2">
      <c r="A2133" s="2292" t="s">
        <v>6188</v>
      </c>
      <c r="B2133" s="164" t="s">
        <v>2276</v>
      </c>
      <c r="C2133" s="164" t="s">
        <v>2493</v>
      </c>
      <c r="D2133" s="164" t="s">
        <v>2277</v>
      </c>
      <c r="E2133" s="164" t="s">
        <v>5477</v>
      </c>
      <c r="F2133" s="164" t="s">
        <v>2495</v>
      </c>
      <c r="G2133" s="164" t="s">
        <v>2278</v>
      </c>
      <c r="H2133" s="164" t="s">
        <v>2279</v>
      </c>
      <c r="I2133" s="164" t="s">
        <v>6907</v>
      </c>
      <c r="J2133" s="164" t="s">
        <v>2280</v>
      </c>
      <c r="K2133" s="164" t="s">
        <v>2281</v>
      </c>
      <c r="L2133" s="164" t="s">
        <v>2282</v>
      </c>
      <c r="M2133" s="164" t="s">
        <v>2899</v>
      </c>
      <c r="N2133" s="164" t="s">
        <v>2900</v>
      </c>
      <c r="O2133" s="164" t="s">
        <v>2901</v>
      </c>
    </row>
    <row r="2134" spans="1:15" hidden="1" x14ac:dyDescent="0.2">
      <c r="A2134" s="2292" t="s">
        <v>2275</v>
      </c>
      <c r="B2134" s="164" t="s">
        <v>6434</v>
      </c>
      <c r="C2134" s="164" t="s">
        <v>5817</v>
      </c>
      <c r="D2134" s="164" t="s">
        <v>2284</v>
      </c>
      <c r="E2134" s="164" t="s">
        <v>6435</v>
      </c>
      <c r="F2134" s="164" t="s">
        <v>2433</v>
      </c>
      <c r="G2134" s="164" t="s">
        <v>2285</v>
      </c>
      <c r="H2134" s="164" t="s">
        <v>2286</v>
      </c>
      <c r="I2134" s="164" t="s">
        <v>6909</v>
      </c>
      <c r="J2134" s="164" t="s">
        <v>2287</v>
      </c>
      <c r="K2134" s="164" t="s">
        <v>2288</v>
      </c>
      <c r="L2134" s="164" t="s">
        <v>2571</v>
      </c>
      <c r="M2134" s="164" t="s">
        <v>2902</v>
      </c>
      <c r="N2134" s="164" t="s">
        <v>2903</v>
      </c>
      <c r="O2134" s="164" t="s">
        <v>2904</v>
      </c>
    </row>
    <row r="2135" spans="1:15" hidden="1" x14ac:dyDescent="0.2">
      <c r="A2135" s="2292" t="s">
        <v>2283</v>
      </c>
      <c r="B2135" s="164" t="s">
        <v>6436</v>
      </c>
      <c r="C2135" s="164" t="s">
        <v>1069</v>
      </c>
      <c r="D2135" s="164" t="s">
        <v>270</v>
      </c>
      <c r="E2135" s="164" t="s">
        <v>6437</v>
      </c>
      <c r="F2135" s="164" t="s">
        <v>1071</v>
      </c>
      <c r="G2135" s="164" t="s">
        <v>271</v>
      </c>
      <c r="H2135" s="164" t="s">
        <v>272</v>
      </c>
      <c r="I2135" s="164" t="s">
        <v>4985</v>
      </c>
      <c r="J2135" s="164" t="s">
        <v>273</v>
      </c>
      <c r="K2135" s="164" t="s">
        <v>274</v>
      </c>
      <c r="L2135" s="164" t="s">
        <v>275</v>
      </c>
      <c r="M2135" s="164" t="s">
        <v>2905</v>
      </c>
      <c r="N2135" s="164" t="s">
        <v>2906</v>
      </c>
      <c r="O2135" s="164" t="s">
        <v>2907</v>
      </c>
    </row>
    <row r="2136" spans="1:15" hidden="1" x14ac:dyDescent="0.2">
      <c r="A2136" s="2292" t="s">
        <v>269</v>
      </c>
      <c r="B2136" s="164" t="s">
        <v>6438</v>
      </c>
      <c r="C2136" s="164" t="s">
        <v>1075</v>
      </c>
      <c r="D2136" s="164" t="s">
        <v>277</v>
      </c>
      <c r="E2136" s="164" t="s">
        <v>6439</v>
      </c>
      <c r="F2136" s="164" t="s">
        <v>4205</v>
      </c>
      <c r="G2136" s="164" t="s">
        <v>278</v>
      </c>
      <c r="H2136" s="164" t="s">
        <v>6049</v>
      </c>
      <c r="I2136" s="164" t="s">
        <v>649</v>
      </c>
      <c r="J2136" s="164" t="s">
        <v>2942</v>
      </c>
      <c r="K2136" s="164" t="s">
        <v>2943</v>
      </c>
      <c r="L2136" s="164" t="s">
        <v>2572</v>
      </c>
      <c r="M2136" s="164" t="s">
        <v>2908</v>
      </c>
      <c r="N2136" s="164" t="s">
        <v>2909</v>
      </c>
      <c r="O2136" s="164" t="s">
        <v>2910</v>
      </c>
    </row>
    <row r="2137" spans="1:15" hidden="1" x14ac:dyDescent="0.2">
      <c r="A2137" s="2292" t="s">
        <v>276</v>
      </c>
      <c r="B2137" s="164" t="s">
        <v>2945</v>
      </c>
      <c r="C2137" s="164" t="s">
        <v>1781</v>
      </c>
      <c r="D2137" s="164" t="s">
        <v>2946</v>
      </c>
      <c r="E2137" s="164" t="s">
        <v>1782</v>
      </c>
      <c r="F2137" s="164" t="s">
        <v>3778</v>
      </c>
      <c r="G2137" s="164" t="s">
        <v>2947</v>
      </c>
      <c r="H2137" s="164" t="s">
        <v>2948</v>
      </c>
      <c r="I2137" s="164" t="s">
        <v>650</v>
      </c>
      <c r="J2137" s="164" t="s">
        <v>2949</v>
      </c>
      <c r="K2137" s="164" t="s">
        <v>2950</v>
      </c>
      <c r="L2137" s="164" t="s">
        <v>2951</v>
      </c>
      <c r="M2137" s="164" t="s">
        <v>1922</v>
      </c>
      <c r="N2137" s="164" t="s">
        <v>1923</v>
      </c>
      <c r="O2137" s="164" t="s">
        <v>1924</v>
      </c>
    </row>
    <row r="2138" spans="1:15" hidden="1" x14ac:dyDescent="0.2">
      <c r="A2138" s="2292" t="s">
        <v>2944</v>
      </c>
      <c r="B2138" s="164" t="s">
        <v>2667</v>
      </c>
      <c r="C2138" s="164" t="s">
        <v>2668</v>
      </c>
      <c r="D2138" s="164" t="s">
        <v>2669</v>
      </c>
      <c r="E2138" s="164" t="s">
        <v>5478</v>
      </c>
      <c r="F2138" s="164" t="s">
        <v>2672</v>
      </c>
      <c r="G2138" s="164" t="s">
        <v>6031</v>
      </c>
      <c r="H2138" s="164" t="s">
        <v>235</v>
      </c>
      <c r="I2138" s="164" t="s">
        <v>652</v>
      </c>
      <c r="J2138" s="164" t="s">
        <v>5966</v>
      </c>
      <c r="K2138" s="164" t="s">
        <v>5967</v>
      </c>
      <c r="L2138" s="164" t="s">
        <v>2573</v>
      </c>
      <c r="M2138" s="164" t="s">
        <v>6771</v>
      </c>
      <c r="N2138" s="164" t="s">
        <v>6772</v>
      </c>
      <c r="O2138" s="164" t="s">
        <v>6773</v>
      </c>
    </row>
    <row r="2139" spans="1:15" hidden="1" x14ac:dyDescent="0.2">
      <c r="A2139" s="2292" t="s">
        <v>6774</v>
      </c>
      <c r="B2139" s="164" t="s">
        <v>661</v>
      </c>
      <c r="C2139" s="164" t="s">
        <v>663</v>
      </c>
      <c r="D2139" s="164" t="s">
        <v>664</v>
      </c>
      <c r="E2139" s="164" t="s">
        <v>665</v>
      </c>
      <c r="F2139" s="164" t="s">
        <v>667</v>
      </c>
      <c r="G2139" s="164" t="s">
        <v>6775</v>
      </c>
      <c r="H2139" s="164" t="s">
        <v>238</v>
      </c>
      <c r="I2139" s="164" t="s">
        <v>653</v>
      </c>
      <c r="J2139" s="164" t="s">
        <v>2781</v>
      </c>
      <c r="K2139" s="164" t="s">
        <v>2782</v>
      </c>
      <c r="L2139" s="164" t="s">
        <v>2783</v>
      </c>
      <c r="M2139" s="164" t="s">
        <v>6776</v>
      </c>
      <c r="N2139" s="164" t="s">
        <v>6777</v>
      </c>
      <c r="O2139" s="164" t="s">
        <v>6778</v>
      </c>
    </row>
    <row r="2140" spans="1:15" hidden="1" x14ac:dyDescent="0.2">
      <c r="A2140" s="2292" t="s">
        <v>6779</v>
      </c>
      <c r="B2140" s="164" t="s">
        <v>671</v>
      </c>
      <c r="C2140" s="164" t="s">
        <v>673</v>
      </c>
      <c r="D2140" s="164" t="s">
        <v>674</v>
      </c>
      <c r="E2140" s="164" t="s">
        <v>5479</v>
      </c>
      <c r="F2140" s="164" t="s">
        <v>675</v>
      </c>
      <c r="G2140" s="164" t="s">
        <v>6780</v>
      </c>
      <c r="H2140" s="164" t="s">
        <v>241</v>
      </c>
      <c r="I2140" s="164" t="s">
        <v>5968</v>
      </c>
      <c r="J2140" s="164" t="s">
        <v>5969</v>
      </c>
      <c r="K2140" s="164" t="s">
        <v>5970</v>
      </c>
      <c r="L2140" s="164" t="s">
        <v>5971</v>
      </c>
      <c r="M2140" s="164" t="s">
        <v>6781</v>
      </c>
      <c r="N2140" s="164" t="s">
        <v>6782</v>
      </c>
      <c r="O2140" s="164" t="s">
        <v>6783</v>
      </c>
    </row>
    <row r="2141" spans="1:15" hidden="1" x14ac:dyDescent="0.2">
      <c r="A2141" s="2292" t="s">
        <v>6784</v>
      </c>
      <c r="B2141" s="164" t="s">
        <v>6441</v>
      </c>
      <c r="C2141" s="164" t="s">
        <v>679</v>
      </c>
      <c r="D2141" s="164" t="s">
        <v>680</v>
      </c>
      <c r="E2141" s="164" t="s">
        <v>6442</v>
      </c>
      <c r="F2141" s="164" t="s">
        <v>682</v>
      </c>
      <c r="G2141" s="164" t="s">
        <v>6785</v>
      </c>
      <c r="H2141" s="164" t="s">
        <v>244</v>
      </c>
      <c r="I2141" s="164" t="s">
        <v>655</v>
      </c>
      <c r="J2141" s="164" t="s">
        <v>2784</v>
      </c>
      <c r="K2141" s="164" t="s">
        <v>2785</v>
      </c>
      <c r="L2141" s="164" t="s">
        <v>2786</v>
      </c>
      <c r="M2141" s="164" t="s">
        <v>6786</v>
      </c>
      <c r="N2141" s="164" t="s">
        <v>6787</v>
      </c>
      <c r="O2141" s="164" t="s">
        <v>6788</v>
      </c>
    </row>
    <row r="2142" spans="1:15" hidden="1" x14ac:dyDescent="0.2">
      <c r="A2142" s="2292" t="s">
        <v>6789</v>
      </c>
      <c r="B2142" s="164" t="s">
        <v>6444</v>
      </c>
      <c r="C2142" s="164" t="s">
        <v>687</v>
      </c>
      <c r="D2142" s="164" t="s">
        <v>688</v>
      </c>
      <c r="E2142" s="164" t="s">
        <v>6445</v>
      </c>
      <c r="F2142" s="164" t="s">
        <v>3677</v>
      </c>
      <c r="G2142" s="164" t="s">
        <v>3679</v>
      </c>
      <c r="H2142" s="164" t="s">
        <v>2681</v>
      </c>
      <c r="I2142" s="164" t="s">
        <v>3488</v>
      </c>
      <c r="J2142" s="164" t="s">
        <v>5972</v>
      </c>
      <c r="K2142" s="164" t="s">
        <v>5973</v>
      </c>
      <c r="L2142" s="164" t="s">
        <v>2576</v>
      </c>
      <c r="M2142" s="164" t="s">
        <v>6790</v>
      </c>
      <c r="N2142" s="164" t="s">
        <v>6791</v>
      </c>
      <c r="O2142" s="164" t="s">
        <v>6792</v>
      </c>
    </row>
    <row r="2143" spans="1:15" hidden="1" x14ac:dyDescent="0.2">
      <c r="A2143" s="2292" t="s">
        <v>6793</v>
      </c>
      <c r="B2143" s="164" t="s">
        <v>6447</v>
      </c>
      <c r="C2143" s="164" t="s">
        <v>2562</v>
      </c>
      <c r="D2143" s="164" t="s">
        <v>2193</v>
      </c>
      <c r="E2143" s="164" t="s">
        <v>6448</v>
      </c>
      <c r="F2143" s="164" t="s">
        <v>2925</v>
      </c>
      <c r="G2143" s="164" t="s">
        <v>6794</v>
      </c>
      <c r="H2143" s="164" t="s">
        <v>2684</v>
      </c>
      <c r="I2143" s="164" t="s">
        <v>3489</v>
      </c>
      <c r="J2143" s="164" t="s">
        <v>2787</v>
      </c>
      <c r="K2143" s="164" t="s">
        <v>2788</v>
      </c>
      <c r="L2143" s="164" t="s">
        <v>2789</v>
      </c>
      <c r="M2143" s="164" t="s">
        <v>6795</v>
      </c>
      <c r="N2143" s="164" t="s">
        <v>6796</v>
      </c>
      <c r="O2143" s="164" t="s">
        <v>2555</v>
      </c>
    </row>
    <row r="2144" spans="1:15" hidden="1" x14ac:dyDescent="0.2">
      <c r="A2144" s="2292" t="s">
        <v>2556</v>
      </c>
      <c r="B2144" s="164" t="s">
        <v>2196</v>
      </c>
      <c r="C2144" s="164" t="s">
        <v>3394</v>
      </c>
      <c r="D2144" s="164" t="s">
        <v>3395</v>
      </c>
      <c r="E2144" s="164" t="s">
        <v>3396</v>
      </c>
      <c r="F2144" s="164" t="s">
        <v>2384</v>
      </c>
      <c r="G2144" s="164" t="s">
        <v>6032</v>
      </c>
      <c r="H2144" s="164" t="s">
        <v>2687</v>
      </c>
      <c r="I2144" s="164" t="s">
        <v>1702</v>
      </c>
      <c r="J2144" s="164" t="s">
        <v>2557</v>
      </c>
      <c r="K2144" s="164" t="s">
        <v>4937</v>
      </c>
      <c r="L2144" s="164" t="s">
        <v>4938</v>
      </c>
      <c r="M2144" s="164" t="s">
        <v>4939</v>
      </c>
      <c r="N2144" s="164" t="s">
        <v>4940</v>
      </c>
      <c r="O2144" s="164" t="s">
        <v>4941</v>
      </c>
    </row>
    <row r="2145" spans="1:15" hidden="1" x14ac:dyDescent="0.2">
      <c r="A2145" s="2292" t="s">
        <v>4942</v>
      </c>
      <c r="B2145" s="164" t="s">
        <v>506</v>
      </c>
      <c r="C2145" s="164" t="s">
        <v>508</v>
      </c>
      <c r="D2145" s="164" t="s">
        <v>509</v>
      </c>
      <c r="E2145" s="164" t="s">
        <v>6450</v>
      </c>
      <c r="F2145" s="164" t="s">
        <v>511</v>
      </c>
      <c r="G2145" s="164" t="s">
        <v>4943</v>
      </c>
      <c r="H2145" s="164" t="s">
        <v>2690</v>
      </c>
      <c r="I2145" s="164" t="s">
        <v>2692</v>
      </c>
      <c r="J2145" s="164" t="s">
        <v>4944</v>
      </c>
      <c r="K2145" s="164" t="s">
        <v>4945</v>
      </c>
      <c r="L2145" s="164" t="s">
        <v>4946</v>
      </c>
      <c r="M2145" s="164" t="s">
        <v>3963</v>
      </c>
      <c r="N2145" s="164" t="s">
        <v>3964</v>
      </c>
      <c r="O2145" s="164" t="s">
        <v>3376</v>
      </c>
    </row>
    <row r="2146" spans="1:15" hidden="1" x14ac:dyDescent="0.2">
      <c r="A2146" s="2292" t="s">
        <v>3377</v>
      </c>
      <c r="B2146" s="164" t="s">
        <v>1969</v>
      </c>
      <c r="C2146" s="164" t="s">
        <v>1971</v>
      </c>
      <c r="D2146" s="164" t="s">
        <v>1972</v>
      </c>
      <c r="E2146" s="164" t="s">
        <v>6452</v>
      </c>
      <c r="F2146" s="164" t="s">
        <v>2930</v>
      </c>
      <c r="G2146" s="164" t="s">
        <v>6265</v>
      </c>
      <c r="H2146" s="164" t="s">
        <v>3378</v>
      </c>
      <c r="I2146" s="164" t="s">
        <v>1704</v>
      </c>
      <c r="J2146" s="164" t="s">
        <v>5974</v>
      </c>
      <c r="K2146" s="164" t="s">
        <v>5975</v>
      </c>
      <c r="L2146" s="164" t="s">
        <v>2228</v>
      </c>
      <c r="M2146" s="164" t="s">
        <v>3379</v>
      </c>
      <c r="N2146" s="164" t="s">
        <v>3380</v>
      </c>
      <c r="O2146" s="164" t="s">
        <v>3381</v>
      </c>
    </row>
    <row r="2147" spans="1:15" hidden="1" x14ac:dyDescent="0.2">
      <c r="A2147" s="2292" t="s">
        <v>3382</v>
      </c>
      <c r="B2147" s="164" t="s">
        <v>1976</v>
      </c>
      <c r="C2147" s="164" t="s">
        <v>3246</v>
      </c>
      <c r="D2147" s="164" t="s">
        <v>3247</v>
      </c>
      <c r="E2147" s="164" t="s">
        <v>4523</v>
      </c>
      <c r="F2147" s="164" t="s">
        <v>3250</v>
      </c>
      <c r="G2147" s="164" t="s">
        <v>3383</v>
      </c>
      <c r="H2147" s="164" t="s">
        <v>3384</v>
      </c>
      <c r="I2147" s="164" t="s">
        <v>1706</v>
      </c>
      <c r="J2147" s="164" t="s">
        <v>2790</v>
      </c>
      <c r="K2147" s="164" t="s">
        <v>2791</v>
      </c>
      <c r="L2147" s="164" t="s">
        <v>2792</v>
      </c>
      <c r="M2147" s="164" t="s">
        <v>3385</v>
      </c>
      <c r="N2147" s="164" t="s">
        <v>3386</v>
      </c>
      <c r="O2147" s="164" t="s">
        <v>3387</v>
      </c>
    </row>
    <row r="2148" spans="1:15" hidden="1" x14ac:dyDescent="0.2">
      <c r="A2148" s="2292" t="s">
        <v>3388</v>
      </c>
      <c r="B2148" s="164" t="s">
        <v>2953</v>
      </c>
      <c r="C2148" s="164" t="s">
        <v>5480</v>
      </c>
      <c r="D2148" s="164" t="s">
        <v>2954</v>
      </c>
      <c r="E2148" s="164" t="s">
        <v>3254</v>
      </c>
      <c r="F2148" s="164" t="s">
        <v>3257</v>
      </c>
      <c r="G2148" s="164" t="s">
        <v>6266</v>
      </c>
      <c r="H2148" s="164" t="s">
        <v>2955</v>
      </c>
      <c r="I2148" s="164" t="s">
        <v>4327</v>
      </c>
      <c r="J2148" s="164" t="s">
        <v>2956</v>
      </c>
      <c r="K2148" s="164" t="s">
        <v>4328</v>
      </c>
      <c r="L2148" s="164" t="s">
        <v>4329</v>
      </c>
      <c r="M2148" s="164" t="s">
        <v>4330</v>
      </c>
      <c r="N2148" s="164" t="s">
        <v>4331</v>
      </c>
      <c r="O2148" s="164" t="s">
        <v>4332</v>
      </c>
    </row>
    <row r="2149" spans="1:15" hidden="1" x14ac:dyDescent="0.2">
      <c r="A2149" s="2292" t="s">
        <v>4333</v>
      </c>
      <c r="B2149" s="164" t="s">
        <v>472</v>
      </c>
      <c r="C2149" s="164" t="s">
        <v>799</v>
      </c>
      <c r="D2149" s="164" t="s">
        <v>473</v>
      </c>
      <c r="E2149" s="164" t="s">
        <v>4525</v>
      </c>
      <c r="F2149" s="164" t="s">
        <v>802</v>
      </c>
      <c r="G2149" s="164" t="s">
        <v>4334</v>
      </c>
      <c r="H2149" s="164" t="s">
        <v>5809</v>
      </c>
      <c r="I2149" s="164" t="s">
        <v>195</v>
      </c>
      <c r="J2149" s="164" t="s">
        <v>5810</v>
      </c>
      <c r="K2149" s="164" t="s">
        <v>4335</v>
      </c>
      <c r="L2149" s="164" t="s">
        <v>4336</v>
      </c>
      <c r="M2149" s="164" t="s">
        <v>4337</v>
      </c>
      <c r="N2149" s="164" t="s">
        <v>4338</v>
      </c>
      <c r="O2149" s="164" t="s">
        <v>4339</v>
      </c>
    </row>
    <row r="2150" spans="1:15" hidden="1" x14ac:dyDescent="0.2">
      <c r="A2150" s="2292" t="s">
        <v>4340</v>
      </c>
      <c r="B2150" s="164" t="s">
        <v>4527</v>
      </c>
      <c r="C2150" s="164" t="s">
        <v>807</v>
      </c>
      <c r="D2150" s="164" t="s">
        <v>6470</v>
      </c>
      <c r="E2150" s="164" t="s">
        <v>465</v>
      </c>
      <c r="F2150" s="164" t="s">
        <v>810</v>
      </c>
      <c r="G2150" s="164" t="s">
        <v>2218</v>
      </c>
      <c r="H2150" s="164" t="s">
        <v>6471</v>
      </c>
      <c r="I2150" s="164" t="s">
        <v>5081</v>
      </c>
      <c r="J2150" s="164" t="s">
        <v>6472</v>
      </c>
      <c r="K2150" s="164" t="s">
        <v>5976</v>
      </c>
      <c r="L2150" s="164" t="s">
        <v>6563</v>
      </c>
      <c r="M2150" s="164" t="s">
        <v>4341</v>
      </c>
      <c r="N2150" s="164" t="s">
        <v>4342</v>
      </c>
      <c r="O2150" s="164" t="s">
        <v>4343</v>
      </c>
    </row>
    <row r="2151" spans="1:15" hidden="1" x14ac:dyDescent="0.2">
      <c r="A2151" s="2292" t="s">
        <v>4344</v>
      </c>
      <c r="B2151" s="164" t="s">
        <v>5727</v>
      </c>
      <c r="C2151" s="164" t="s">
        <v>814</v>
      </c>
      <c r="D2151" s="164" t="s">
        <v>6474</v>
      </c>
      <c r="E2151" s="164" t="s">
        <v>5728</v>
      </c>
      <c r="F2151" s="164" t="s">
        <v>817</v>
      </c>
      <c r="G2151" s="164" t="s">
        <v>4345</v>
      </c>
      <c r="H2151" s="164" t="s">
        <v>6475</v>
      </c>
      <c r="I2151" s="164" t="s">
        <v>6626</v>
      </c>
      <c r="J2151" s="164" t="s">
        <v>5721</v>
      </c>
      <c r="K2151" s="164" t="s">
        <v>2793</v>
      </c>
      <c r="L2151" s="164" t="s">
        <v>2794</v>
      </c>
      <c r="M2151" s="164" t="s">
        <v>4346</v>
      </c>
      <c r="N2151" s="164" t="s">
        <v>4347</v>
      </c>
      <c r="O2151" s="164" t="s">
        <v>4348</v>
      </c>
    </row>
    <row r="2152" spans="1:15" hidden="1" x14ac:dyDescent="0.2">
      <c r="A2152" s="2292" t="s">
        <v>4349</v>
      </c>
      <c r="B2152" s="164" t="s">
        <v>220</v>
      </c>
      <c r="C2152" s="164" t="s">
        <v>822</v>
      </c>
      <c r="D2152" s="164" t="s">
        <v>4966</v>
      </c>
      <c r="E2152" s="164" t="s">
        <v>823</v>
      </c>
      <c r="F2152" s="164" t="s">
        <v>537</v>
      </c>
      <c r="G2152" s="164" t="s">
        <v>6267</v>
      </c>
      <c r="H2152" s="164" t="s">
        <v>4967</v>
      </c>
      <c r="I2152" s="164" t="s">
        <v>6627</v>
      </c>
      <c r="J2152" s="164" t="s">
        <v>4969</v>
      </c>
      <c r="K2152" s="164" t="s">
        <v>5977</v>
      </c>
      <c r="L2152" s="164" t="s">
        <v>6564</v>
      </c>
      <c r="M2152" s="164" t="s">
        <v>4350</v>
      </c>
      <c r="N2152" s="164" t="s">
        <v>4351</v>
      </c>
      <c r="O2152" s="164" t="s">
        <v>4352</v>
      </c>
    </row>
    <row r="2153" spans="1:15" hidden="1" x14ac:dyDescent="0.2">
      <c r="A2153" s="2292" t="s">
        <v>4353</v>
      </c>
      <c r="B2153" s="164" t="s">
        <v>4971</v>
      </c>
      <c r="C2153" s="164" t="s">
        <v>5481</v>
      </c>
      <c r="D2153" s="164" t="s">
        <v>4972</v>
      </c>
      <c r="E2153" s="164" t="s">
        <v>5730</v>
      </c>
      <c r="F2153" s="164" t="s">
        <v>544</v>
      </c>
      <c r="G2153" s="164" t="s">
        <v>4354</v>
      </c>
      <c r="H2153" s="164" t="s">
        <v>4973</v>
      </c>
      <c r="I2153" s="164" t="s">
        <v>5636</v>
      </c>
      <c r="J2153" s="164" t="s">
        <v>2822</v>
      </c>
      <c r="K2153" s="164" t="s">
        <v>2795</v>
      </c>
      <c r="L2153" s="164" t="s">
        <v>2796</v>
      </c>
      <c r="M2153" s="164" t="s">
        <v>4623</v>
      </c>
      <c r="N2153" s="164" t="s">
        <v>59</v>
      </c>
      <c r="O2153" s="164" t="s">
        <v>60</v>
      </c>
    </row>
    <row r="2154" spans="1:15" hidden="1" x14ac:dyDescent="0.2">
      <c r="A2154" s="2292" t="s">
        <v>61</v>
      </c>
      <c r="B2154" s="164" t="s">
        <v>2824</v>
      </c>
      <c r="C2154" s="164" t="s">
        <v>715</v>
      </c>
      <c r="D2154" s="164" t="s">
        <v>2825</v>
      </c>
      <c r="E2154" s="164" t="s">
        <v>4789</v>
      </c>
      <c r="F2154" s="164" t="s">
        <v>717</v>
      </c>
      <c r="G2154" s="164" t="s">
        <v>6268</v>
      </c>
      <c r="H2154" s="164" t="s">
        <v>5489</v>
      </c>
      <c r="I2154" s="164" t="s">
        <v>5638</v>
      </c>
      <c r="J2154" s="164" t="s">
        <v>6847</v>
      </c>
      <c r="K2154" s="164" t="s">
        <v>62</v>
      </c>
      <c r="L2154" s="164" t="s">
        <v>6565</v>
      </c>
      <c r="M2154" s="164" t="s">
        <v>63</v>
      </c>
      <c r="N2154" s="164" t="s">
        <v>64</v>
      </c>
      <c r="O2154" s="164" t="s">
        <v>65</v>
      </c>
    </row>
    <row r="2155" spans="1:15" hidden="1" x14ac:dyDescent="0.2">
      <c r="A2155" s="2292" t="s">
        <v>66</v>
      </c>
      <c r="B2155" s="164" t="s">
        <v>5609</v>
      </c>
      <c r="C2155" s="164" t="s">
        <v>5482</v>
      </c>
      <c r="D2155" s="164" t="s">
        <v>5610</v>
      </c>
      <c r="E2155" s="164" t="s">
        <v>5483</v>
      </c>
      <c r="F2155" s="164" t="s">
        <v>3468</v>
      </c>
      <c r="G2155" s="164" t="s">
        <v>67</v>
      </c>
      <c r="H2155" s="164" t="s">
        <v>5611</v>
      </c>
      <c r="I2155" s="164" t="s">
        <v>5640</v>
      </c>
      <c r="J2155" s="164" t="s">
        <v>5612</v>
      </c>
      <c r="K2155" s="164" t="s">
        <v>68</v>
      </c>
      <c r="L2155" s="164" t="s">
        <v>2797</v>
      </c>
      <c r="M2155" s="164" t="s">
        <v>69</v>
      </c>
      <c r="N2155" s="164" t="s">
        <v>70</v>
      </c>
      <c r="O2155" s="164" t="s">
        <v>71</v>
      </c>
    </row>
    <row r="2156" spans="1:15" hidden="1" x14ac:dyDescent="0.2">
      <c r="A2156" s="2292" t="s">
        <v>72</v>
      </c>
      <c r="B2156" s="164" t="s">
        <v>3359</v>
      </c>
      <c r="C2156" s="164" t="s">
        <v>3472</v>
      </c>
      <c r="D2156" s="164" t="s">
        <v>3360</v>
      </c>
      <c r="E2156" s="164" t="s">
        <v>4792</v>
      </c>
      <c r="F2156" s="164" t="s">
        <v>3474</v>
      </c>
      <c r="G2156" s="164" t="s">
        <v>4513</v>
      </c>
      <c r="H2156" s="164" t="s">
        <v>3361</v>
      </c>
      <c r="I2156" s="164" t="s">
        <v>6593</v>
      </c>
      <c r="J2156" s="164" t="s">
        <v>3362</v>
      </c>
      <c r="K2156" s="164" t="s">
        <v>73</v>
      </c>
      <c r="L2156" s="164" t="s">
        <v>1963</v>
      </c>
      <c r="M2156" s="164" t="s">
        <v>74</v>
      </c>
      <c r="N2156" s="164" t="s">
        <v>75</v>
      </c>
      <c r="O2156" s="164" t="s">
        <v>76</v>
      </c>
    </row>
    <row r="2157" spans="1:15" hidden="1" x14ac:dyDescent="0.2">
      <c r="A2157" s="2292" t="s">
        <v>77</v>
      </c>
      <c r="B2157" s="164" t="s">
        <v>2375</v>
      </c>
      <c r="C2157" s="164" t="s">
        <v>5484</v>
      </c>
      <c r="D2157" s="164" t="s">
        <v>2376</v>
      </c>
      <c r="E2157" s="164" t="s">
        <v>6503</v>
      </c>
      <c r="F2157" s="164" t="s">
        <v>1920</v>
      </c>
      <c r="G2157" s="164" t="s">
        <v>78</v>
      </c>
      <c r="H2157" s="164" t="s">
        <v>2377</v>
      </c>
      <c r="I2157" s="164" t="s">
        <v>224</v>
      </c>
      <c r="J2157" s="164" t="s">
        <v>2378</v>
      </c>
      <c r="K2157" s="164" t="s">
        <v>79</v>
      </c>
      <c r="L2157" s="164" t="s">
        <v>2798</v>
      </c>
      <c r="M2157" s="164" t="s">
        <v>80</v>
      </c>
      <c r="N2157" s="164" t="s">
        <v>81</v>
      </c>
      <c r="O2157" s="164" t="s">
        <v>82</v>
      </c>
    </row>
    <row r="2158" spans="1:15" hidden="1" x14ac:dyDescent="0.2">
      <c r="A2158" s="2292" t="s">
        <v>83</v>
      </c>
      <c r="B2158" s="164" t="s">
        <v>2380</v>
      </c>
      <c r="C2158" s="164" t="s">
        <v>986</v>
      </c>
      <c r="D2158" s="164" t="s">
        <v>216</v>
      </c>
      <c r="E2158" s="164" t="s">
        <v>5218</v>
      </c>
      <c r="F2158" s="164" t="s">
        <v>1882</v>
      </c>
      <c r="G2158" s="164" t="s">
        <v>84</v>
      </c>
      <c r="H2158" s="164" t="s">
        <v>217</v>
      </c>
      <c r="I2158" s="164" t="s">
        <v>5469</v>
      </c>
      <c r="J2158" s="164" t="s">
        <v>6381</v>
      </c>
      <c r="K2158" s="164" t="s">
        <v>85</v>
      </c>
      <c r="L2158" s="164" t="s">
        <v>86</v>
      </c>
      <c r="M2158" s="164" t="s">
        <v>4917</v>
      </c>
      <c r="N2158" s="164" t="s">
        <v>4918</v>
      </c>
      <c r="O2158" s="164" t="s">
        <v>4919</v>
      </c>
    </row>
    <row r="2159" spans="1:15" hidden="1" x14ac:dyDescent="0.2">
      <c r="A2159" s="2292" t="s">
        <v>4920</v>
      </c>
      <c r="B2159" s="164" t="s">
        <v>6383</v>
      </c>
      <c r="C2159" s="164" t="s">
        <v>6180</v>
      </c>
      <c r="D2159" s="164" t="s">
        <v>6384</v>
      </c>
      <c r="E2159" s="164" t="s">
        <v>6181</v>
      </c>
      <c r="F2159" s="164" t="s">
        <v>6183</v>
      </c>
      <c r="G2159" s="164" t="s">
        <v>4882</v>
      </c>
      <c r="H2159" s="164" t="s">
        <v>6385</v>
      </c>
      <c r="I2159" s="164" t="s">
        <v>3154</v>
      </c>
      <c r="J2159" s="164" t="s">
        <v>6386</v>
      </c>
      <c r="K2159" s="164" t="s">
        <v>4921</v>
      </c>
      <c r="L2159" s="164" t="s">
        <v>4922</v>
      </c>
      <c r="M2159" s="164" t="s">
        <v>4923</v>
      </c>
      <c r="N2159" s="164" t="s">
        <v>4924</v>
      </c>
      <c r="O2159" s="164" t="s">
        <v>4925</v>
      </c>
    </row>
    <row r="2160" spans="1:15" hidden="1" x14ac:dyDescent="0.2">
      <c r="A2160" s="2292" t="s">
        <v>4926</v>
      </c>
      <c r="B2160" s="164" t="s">
        <v>6388</v>
      </c>
      <c r="C2160" s="164" t="s">
        <v>6631</v>
      </c>
      <c r="D2160" s="164" t="s">
        <v>6389</v>
      </c>
      <c r="E2160" s="164" t="s">
        <v>4819</v>
      </c>
      <c r="F2160" s="164" t="s">
        <v>721</v>
      </c>
      <c r="G2160" s="164" t="s">
        <v>4883</v>
      </c>
      <c r="H2160" s="164" t="s">
        <v>6390</v>
      </c>
      <c r="I2160" s="164" t="s">
        <v>4927</v>
      </c>
      <c r="J2160" s="164" t="s">
        <v>6391</v>
      </c>
      <c r="K2160" s="164" t="s">
        <v>4928</v>
      </c>
      <c r="L2160" s="164" t="s">
        <v>4929</v>
      </c>
      <c r="M2160" s="164" t="s">
        <v>4930</v>
      </c>
      <c r="N2160" s="164" t="s">
        <v>4931</v>
      </c>
      <c r="O2160" s="164" t="s">
        <v>4630</v>
      </c>
    </row>
    <row r="2161" spans="1:15" hidden="1" x14ac:dyDescent="0.2">
      <c r="A2161" s="2292" t="s">
        <v>4932</v>
      </c>
      <c r="B2161" s="164" t="s">
        <v>6393</v>
      </c>
      <c r="C2161" s="164" t="s">
        <v>2092</v>
      </c>
      <c r="D2161" s="164" t="s">
        <v>6394</v>
      </c>
      <c r="E2161" s="164" t="s">
        <v>4820</v>
      </c>
      <c r="F2161" s="164" t="s">
        <v>2094</v>
      </c>
      <c r="G2161" s="164" t="s">
        <v>4895</v>
      </c>
      <c r="H2161" s="164" t="s">
        <v>6395</v>
      </c>
      <c r="I2161" s="164" t="s">
        <v>4933</v>
      </c>
      <c r="J2161" s="164" t="s">
        <v>6396</v>
      </c>
      <c r="K2161" s="164" t="s">
        <v>4934</v>
      </c>
      <c r="L2161" s="164" t="s">
        <v>4935</v>
      </c>
      <c r="M2161" s="164" t="s">
        <v>4936</v>
      </c>
      <c r="N2161" s="164" t="s">
        <v>4255</v>
      </c>
      <c r="O2161" s="164" t="s">
        <v>4256</v>
      </c>
    </row>
    <row r="2162" spans="1:15" hidden="1" x14ac:dyDescent="0.2">
      <c r="A2162" s="2292" t="s">
        <v>4257</v>
      </c>
      <c r="B2162" s="164" t="s">
        <v>6398</v>
      </c>
      <c r="C2162" s="164" t="s">
        <v>5778</v>
      </c>
      <c r="D2162" s="164" t="s">
        <v>6399</v>
      </c>
      <c r="E2162" s="164" t="s">
        <v>4821</v>
      </c>
      <c r="F2162" s="164" t="s">
        <v>5780</v>
      </c>
      <c r="G2162" s="164" t="s">
        <v>2219</v>
      </c>
      <c r="H2162" s="164" t="s">
        <v>6400</v>
      </c>
      <c r="I2162" s="164" t="s">
        <v>3157</v>
      </c>
      <c r="J2162" s="164" t="s">
        <v>6401</v>
      </c>
      <c r="K2162" s="164" t="s">
        <v>4258</v>
      </c>
      <c r="L2162" s="164" t="s">
        <v>4259</v>
      </c>
      <c r="M2162" s="164" t="s">
        <v>4260</v>
      </c>
      <c r="N2162" s="164" t="s">
        <v>4261</v>
      </c>
      <c r="O2162" s="164" t="s">
        <v>4262</v>
      </c>
    </row>
    <row r="2163" spans="1:15" hidden="1" x14ac:dyDescent="0.2">
      <c r="A2163" s="2292" t="s">
        <v>4263</v>
      </c>
      <c r="B2163" s="164" t="s">
        <v>6403</v>
      </c>
      <c r="C2163" s="164" t="s">
        <v>4549</v>
      </c>
      <c r="D2163" s="164" t="s">
        <v>6404</v>
      </c>
      <c r="E2163" s="164" t="s">
        <v>2230</v>
      </c>
      <c r="F2163" s="164" t="s">
        <v>2231</v>
      </c>
      <c r="G2163" s="164" t="s">
        <v>4896</v>
      </c>
      <c r="H2163" s="164" t="s">
        <v>6405</v>
      </c>
      <c r="I2163" s="164" t="s">
        <v>4264</v>
      </c>
      <c r="J2163" s="164" t="s">
        <v>6406</v>
      </c>
      <c r="K2163" s="164" t="s">
        <v>4265</v>
      </c>
      <c r="L2163" s="164" t="s">
        <v>4633</v>
      </c>
      <c r="M2163" s="164" t="s">
        <v>4266</v>
      </c>
      <c r="N2163" s="164" t="s">
        <v>4267</v>
      </c>
      <c r="O2163" s="164" t="s">
        <v>4268</v>
      </c>
    </row>
    <row r="2164" spans="1:15" hidden="1" x14ac:dyDescent="0.2">
      <c r="A2164" s="2292" t="s">
        <v>9403</v>
      </c>
      <c r="B2164" s="164" t="s">
        <v>6408</v>
      </c>
      <c r="C2164" s="164" t="s">
        <v>1791</v>
      </c>
      <c r="D2164" s="164" t="s">
        <v>6409</v>
      </c>
      <c r="E2164" s="164" t="s">
        <v>4837</v>
      </c>
      <c r="F2164" s="164" t="s">
        <v>2233</v>
      </c>
      <c r="G2164" s="164" t="s">
        <v>1315</v>
      </c>
      <c r="H2164" s="164" t="s">
        <v>7505</v>
      </c>
      <c r="I2164" s="164" t="s">
        <v>7506</v>
      </c>
      <c r="J2164" s="164" t="s">
        <v>9404</v>
      </c>
      <c r="K2164" s="164" t="s">
        <v>9405</v>
      </c>
      <c r="L2164" s="164" t="s">
        <v>4636</v>
      </c>
      <c r="M2164" s="164" t="s">
        <v>9406</v>
      </c>
      <c r="N2164" s="164" t="s">
        <v>9407</v>
      </c>
      <c r="O2164" s="164" t="s">
        <v>9408</v>
      </c>
    </row>
    <row r="2165" spans="1:15" hidden="1" x14ac:dyDescent="0.2">
      <c r="A2165" s="2292" t="s">
        <v>9409</v>
      </c>
      <c r="B2165" s="164" t="s">
        <v>5238</v>
      </c>
      <c r="C2165" s="164" t="s">
        <v>1794</v>
      </c>
      <c r="D2165" s="164" t="s">
        <v>5239</v>
      </c>
      <c r="E2165" s="164" t="s">
        <v>2235</v>
      </c>
      <c r="F2165" s="164" t="s">
        <v>2236</v>
      </c>
      <c r="G2165" s="164" t="s">
        <v>7507</v>
      </c>
      <c r="H2165" s="164" t="s">
        <v>7508</v>
      </c>
      <c r="I2165" s="164" t="s">
        <v>7509</v>
      </c>
      <c r="J2165" s="164" t="s">
        <v>9410</v>
      </c>
      <c r="K2165" s="164" t="s">
        <v>9411</v>
      </c>
      <c r="L2165" s="164" t="s">
        <v>4831</v>
      </c>
      <c r="M2165" s="164" t="s">
        <v>9412</v>
      </c>
      <c r="N2165" s="164" t="s">
        <v>9413</v>
      </c>
      <c r="O2165" s="164" t="s">
        <v>9414</v>
      </c>
    </row>
    <row r="2166" spans="1:15" hidden="1" x14ac:dyDescent="0.2">
      <c r="A2166" s="2292" t="s">
        <v>9415</v>
      </c>
      <c r="B2166" s="164" t="s">
        <v>5241</v>
      </c>
      <c r="C2166" s="164" t="s">
        <v>1797</v>
      </c>
      <c r="D2166" s="164" t="s">
        <v>5242</v>
      </c>
      <c r="E2166" s="164" t="s">
        <v>1798</v>
      </c>
      <c r="F2166" s="164" t="s">
        <v>1801</v>
      </c>
      <c r="G2166" s="164" t="s">
        <v>7510</v>
      </c>
      <c r="H2166" s="164" t="s">
        <v>7511</v>
      </c>
      <c r="I2166" s="164" t="s">
        <v>7512</v>
      </c>
      <c r="J2166" s="164" t="s">
        <v>9416</v>
      </c>
      <c r="K2166" s="164" t="s">
        <v>9417</v>
      </c>
      <c r="L2166" s="164" t="s">
        <v>4108</v>
      </c>
      <c r="M2166" s="164" t="s">
        <v>9418</v>
      </c>
      <c r="N2166" s="164" t="s">
        <v>9419</v>
      </c>
      <c r="O2166" s="164" t="s">
        <v>9420</v>
      </c>
    </row>
    <row r="2167" spans="1:15" hidden="1" x14ac:dyDescent="0.2">
      <c r="A2167" s="2292" t="s">
        <v>9421</v>
      </c>
      <c r="B2167" s="164" t="s">
        <v>1023</v>
      </c>
      <c r="C2167" s="164" t="s">
        <v>3401</v>
      </c>
      <c r="D2167" s="164" t="s">
        <v>1024</v>
      </c>
      <c r="E2167" s="164" t="s">
        <v>3402</v>
      </c>
      <c r="F2167" s="164" t="s">
        <v>3405</v>
      </c>
      <c r="G2167" s="164" t="s">
        <v>1316</v>
      </c>
      <c r="H2167" s="164" t="s">
        <v>7513</v>
      </c>
      <c r="I2167" s="164" t="s">
        <v>7514</v>
      </c>
      <c r="J2167" s="164" t="s">
        <v>9422</v>
      </c>
      <c r="K2167" s="164" t="s">
        <v>9423</v>
      </c>
      <c r="L2167" s="164" t="s">
        <v>9424</v>
      </c>
      <c r="M2167" s="164" t="s">
        <v>9425</v>
      </c>
      <c r="N2167" s="164" t="s">
        <v>9426</v>
      </c>
      <c r="O2167" s="164" t="s">
        <v>9427</v>
      </c>
    </row>
    <row r="2168" spans="1:15" hidden="1" x14ac:dyDescent="0.2">
      <c r="A2168" s="2292" t="s">
        <v>9428</v>
      </c>
      <c r="B2168" s="164" t="s">
        <v>6512</v>
      </c>
      <c r="C2168" s="164" t="s">
        <v>5897</v>
      </c>
      <c r="D2168" s="164" t="s">
        <v>6513</v>
      </c>
      <c r="E2168" s="164" t="s">
        <v>4822</v>
      </c>
      <c r="F2168" s="164" t="s">
        <v>5097</v>
      </c>
      <c r="G2168" s="164" t="s">
        <v>7515</v>
      </c>
      <c r="H2168" s="164" t="s">
        <v>7516</v>
      </c>
      <c r="I2168" s="164" t="s">
        <v>7517</v>
      </c>
      <c r="J2168" s="164" t="s">
        <v>9429</v>
      </c>
      <c r="K2168" s="164" t="s">
        <v>9430</v>
      </c>
      <c r="L2168" s="164" t="s">
        <v>9431</v>
      </c>
      <c r="M2168" s="164" t="s">
        <v>9432</v>
      </c>
      <c r="N2168" s="164" t="s">
        <v>9433</v>
      </c>
      <c r="O2168" s="164" t="s">
        <v>9434</v>
      </c>
    </row>
    <row r="2169" spans="1:15" hidden="1" x14ac:dyDescent="0.2">
      <c r="A2169" s="2292" t="s">
        <v>9435</v>
      </c>
      <c r="B2169" s="164" t="s">
        <v>2300</v>
      </c>
      <c r="C2169" s="164" t="s">
        <v>5102</v>
      </c>
      <c r="D2169" s="164" t="s">
        <v>2301</v>
      </c>
      <c r="E2169" s="164" t="s">
        <v>5103</v>
      </c>
      <c r="F2169" s="164" t="s">
        <v>5106</v>
      </c>
      <c r="G2169" s="164" t="s">
        <v>1317</v>
      </c>
      <c r="H2169" s="164" t="s">
        <v>7518</v>
      </c>
      <c r="I2169" s="164" t="s">
        <v>3161</v>
      </c>
      <c r="J2169" s="164" t="s">
        <v>9436</v>
      </c>
      <c r="K2169" s="164" t="s">
        <v>9437</v>
      </c>
      <c r="L2169" s="164" t="s">
        <v>9438</v>
      </c>
      <c r="M2169" s="164" t="s">
        <v>9439</v>
      </c>
      <c r="N2169" s="164" t="s">
        <v>9440</v>
      </c>
      <c r="O2169" s="164" t="s">
        <v>9441</v>
      </c>
    </row>
    <row r="2170" spans="1:15" hidden="1" x14ac:dyDescent="0.2">
      <c r="A2170" s="2292" t="s">
        <v>9442</v>
      </c>
      <c r="B2170" s="164" t="s">
        <v>2303</v>
      </c>
      <c r="C2170" s="164" t="s">
        <v>525</v>
      </c>
      <c r="D2170" s="164" t="s">
        <v>2304</v>
      </c>
      <c r="E2170" s="164" t="s">
        <v>4823</v>
      </c>
      <c r="F2170" s="164" t="s">
        <v>2395</v>
      </c>
      <c r="G2170" s="164" t="s">
        <v>1318</v>
      </c>
      <c r="H2170" s="164" t="s">
        <v>7519</v>
      </c>
      <c r="I2170" s="164" t="s">
        <v>3163</v>
      </c>
      <c r="J2170" s="164" t="s">
        <v>9443</v>
      </c>
      <c r="K2170" s="164" t="s">
        <v>9444</v>
      </c>
      <c r="L2170" s="164" t="s">
        <v>9445</v>
      </c>
      <c r="M2170" s="164" t="s">
        <v>9446</v>
      </c>
      <c r="N2170" s="164" t="s">
        <v>9447</v>
      </c>
      <c r="O2170" s="164" t="s">
        <v>9448</v>
      </c>
    </row>
    <row r="2171" spans="1:15" hidden="1" x14ac:dyDescent="0.2">
      <c r="A2171" s="2292" t="s">
        <v>9449</v>
      </c>
      <c r="B2171" s="164" t="s">
        <v>2419</v>
      </c>
      <c r="C2171" s="164" t="s">
        <v>2400</v>
      </c>
      <c r="D2171" s="164" t="s">
        <v>2420</v>
      </c>
      <c r="E2171" s="164" t="s">
        <v>2401</v>
      </c>
      <c r="F2171" s="164" t="s">
        <v>2403</v>
      </c>
      <c r="G2171" s="164" t="s">
        <v>1319</v>
      </c>
      <c r="H2171" s="164" t="s">
        <v>853</v>
      </c>
      <c r="I2171" s="164" t="s">
        <v>5804</v>
      </c>
      <c r="J2171" s="164" t="s">
        <v>9450</v>
      </c>
      <c r="K2171" s="164" t="s">
        <v>854</v>
      </c>
      <c r="L2171" s="164" t="s">
        <v>9451</v>
      </c>
      <c r="M2171" s="164" t="s">
        <v>9452</v>
      </c>
      <c r="N2171" s="164" t="s">
        <v>855</v>
      </c>
      <c r="O2171" s="164" t="s">
        <v>9453</v>
      </c>
    </row>
    <row r="2172" spans="1:15" hidden="1" x14ac:dyDescent="0.2">
      <c r="A2172" s="2292" t="s">
        <v>9454</v>
      </c>
      <c r="B2172" s="164" t="s">
        <v>2407</v>
      </c>
      <c r="C2172" s="164" t="s">
        <v>2409</v>
      </c>
      <c r="D2172" s="164" t="s">
        <v>2410</v>
      </c>
      <c r="E2172" s="164" t="s">
        <v>4824</v>
      </c>
      <c r="F2172" s="164" t="s">
        <v>2413</v>
      </c>
      <c r="G2172" s="164" t="s">
        <v>9455</v>
      </c>
      <c r="H2172" s="164" t="s">
        <v>8378</v>
      </c>
      <c r="I2172" s="164" t="s">
        <v>8379</v>
      </c>
      <c r="J2172" s="164" t="s">
        <v>8380</v>
      </c>
      <c r="K2172" s="164" t="s">
        <v>8381</v>
      </c>
      <c r="L2172" s="164" t="s">
        <v>8382</v>
      </c>
      <c r="M2172" s="164" t="s">
        <v>8383</v>
      </c>
      <c r="N2172" s="164" t="s">
        <v>9456</v>
      </c>
      <c r="O2172" s="164" t="s">
        <v>9457</v>
      </c>
    </row>
    <row r="2173" spans="1:15" hidden="1" x14ac:dyDescent="0.2">
      <c r="A2173" s="2292" t="s">
        <v>9458</v>
      </c>
      <c r="B2173" s="164" t="s">
        <v>2417</v>
      </c>
      <c r="C2173" s="164" t="s">
        <v>2629</v>
      </c>
      <c r="D2173" s="164" t="s">
        <v>2630</v>
      </c>
      <c r="E2173" s="164" t="s">
        <v>2631</v>
      </c>
      <c r="F2173" s="164" t="s">
        <v>2634</v>
      </c>
      <c r="G2173" s="164" t="s">
        <v>7520</v>
      </c>
      <c r="H2173" s="164" t="s">
        <v>7521</v>
      </c>
      <c r="I2173" s="164" t="s">
        <v>7522</v>
      </c>
      <c r="J2173" s="164" t="s">
        <v>9459</v>
      </c>
      <c r="K2173" s="164" t="s">
        <v>9460</v>
      </c>
      <c r="L2173" s="164" t="s">
        <v>9461</v>
      </c>
      <c r="M2173" s="164" t="s">
        <v>9462</v>
      </c>
      <c r="N2173" s="164" t="s">
        <v>9463</v>
      </c>
      <c r="O2173" s="164" t="s">
        <v>9464</v>
      </c>
    </row>
    <row r="2174" spans="1:15" hidden="1" x14ac:dyDescent="0.2">
      <c r="A2174" s="2292" t="s">
        <v>9465</v>
      </c>
      <c r="B2174" s="164" t="s">
        <v>2638</v>
      </c>
      <c r="C2174" s="164" t="s">
        <v>2640</v>
      </c>
      <c r="D2174" s="164" t="s">
        <v>2641</v>
      </c>
      <c r="E2174" s="164" t="s">
        <v>4825</v>
      </c>
      <c r="F2174" s="164" t="s">
        <v>3966</v>
      </c>
      <c r="G2174" s="164" t="s">
        <v>1320</v>
      </c>
      <c r="H2174" s="164" t="s">
        <v>7523</v>
      </c>
      <c r="I2174" s="164" t="s">
        <v>7524</v>
      </c>
      <c r="J2174" s="164" t="s">
        <v>4270</v>
      </c>
      <c r="K2174" s="164" t="s">
        <v>9466</v>
      </c>
      <c r="L2174" s="164" t="s">
        <v>6368</v>
      </c>
      <c r="M2174" s="164" t="s">
        <v>9467</v>
      </c>
      <c r="N2174" s="164" t="s">
        <v>9468</v>
      </c>
      <c r="O2174" s="164" t="s">
        <v>9469</v>
      </c>
    </row>
    <row r="2175" spans="1:15" hidden="1" x14ac:dyDescent="0.2">
      <c r="A2175" s="2292" t="s">
        <v>9470</v>
      </c>
      <c r="B2175" s="164" t="s">
        <v>6582</v>
      </c>
      <c r="C2175" s="164" t="s">
        <v>6584</v>
      </c>
      <c r="D2175" s="164" t="s">
        <v>6585</v>
      </c>
      <c r="E2175" s="164" t="s">
        <v>6586</v>
      </c>
      <c r="F2175" s="164" t="s">
        <v>6589</v>
      </c>
      <c r="G2175" s="164" t="s">
        <v>7525</v>
      </c>
      <c r="H2175" s="164" t="s">
        <v>7526</v>
      </c>
      <c r="I2175" s="164" t="s">
        <v>7527</v>
      </c>
      <c r="J2175" s="164" t="s">
        <v>1964</v>
      </c>
      <c r="K2175" s="164" t="s">
        <v>9471</v>
      </c>
      <c r="L2175" s="164" t="s">
        <v>6369</v>
      </c>
      <c r="M2175" s="164" t="s">
        <v>9472</v>
      </c>
      <c r="N2175" s="164" t="s">
        <v>9473</v>
      </c>
      <c r="O2175" s="164" t="s">
        <v>9474</v>
      </c>
    </row>
    <row r="2176" spans="1:15" hidden="1" x14ac:dyDescent="0.2">
      <c r="A2176" s="2292" t="s">
        <v>9475</v>
      </c>
      <c r="B2176" s="164" t="s">
        <v>6271</v>
      </c>
      <c r="C2176" s="164" t="s">
        <v>6273</v>
      </c>
      <c r="D2176" s="164" t="s">
        <v>6274</v>
      </c>
      <c r="E2176" s="164" t="s">
        <v>6275</v>
      </c>
      <c r="F2176" s="164" t="s">
        <v>5016</v>
      </c>
      <c r="G2176" s="164" t="s">
        <v>7528</v>
      </c>
      <c r="H2176" s="164" t="s">
        <v>7529</v>
      </c>
      <c r="I2176" s="164" t="s">
        <v>7530</v>
      </c>
      <c r="J2176" s="164" t="s">
        <v>2799</v>
      </c>
      <c r="K2176" s="164" t="s">
        <v>9476</v>
      </c>
      <c r="L2176" s="164" t="s">
        <v>2800</v>
      </c>
      <c r="M2176" s="164" t="s">
        <v>9477</v>
      </c>
      <c r="N2176" s="164" t="s">
        <v>9478</v>
      </c>
      <c r="O2176" s="164" t="s">
        <v>9479</v>
      </c>
    </row>
    <row r="2177" spans="1:15" hidden="1" x14ac:dyDescent="0.2">
      <c r="A2177" s="2292" t="s">
        <v>9480</v>
      </c>
      <c r="B2177" s="164" t="s">
        <v>5020</v>
      </c>
      <c r="C2177" s="164" t="s">
        <v>5022</v>
      </c>
      <c r="D2177" s="164" t="s">
        <v>5023</v>
      </c>
      <c r="E2177" s="164" t="s">
        <v>4826</v>
      </c>
      <c r="F2177" s="164" t="s">
        <v>5026</v>
      </c>
      <c r="G2177" s="164" t="s">
        <v>1321</v>
      </c>
      <c r="H2177" s="164" t="s">
        <v>9481</v>
      </c>
      <c r="I2177" s="164" t="s">
        <v>9482</v>
      </c>
      <c r="J2177" s="164" t="s">
        <v>1965</v>
      </c>
      <c r="K2177" s="164" t="s">
        <v>9483</v>
      </c>
      <c r="L2177" s="164" t="s">
        <v>6370</v>
      </c>
      <c r="M2177" s="164" t="s">
        <v>9484</v>
      </c>
      <c r="N2177" s="164" t="s">
        <v>9485</v>
      </c>
      <c r="O2177" s="164" t="s">
        <v>9486</v>
      </c>
    </row>
    <row r="2178" spans="1:15" hidden="1" x14ac:dyDescent="0.2">
      <c r="A2178" s="2292" t="s">
        <v>9487</v>
      </c>
      <c r="B2178" s="164" t="s">
        <v>5030</v>
      </c>
      <c r="C2178" s="164" t="s">
        <v>5032</v>
      </c>
      <c r="D2178" s="164" t="s">
        <v>5033</v>
      </c>
      <c r="E2178" s="164" t="s">
        <v>5034</v>
      </c>
      <c r="F2178" s="164" t="s">
        <v>5037</v>
      </c>
      <c r="G2178" s="164" t="s">
        <v>7531</v>
      </c>
      <c r="H2178" s="164" t="s">
        <v>7532</v>
      </c>
      <c r="I2178" s="164" t="s">
        <v>7533</v>
      </c>
      <c r="J2178" s="164" t="s">
        <v>2801</v>
      </c>
      <c r="K2178" s="164" t="s">
        <v>8384</v>
      </c>
      <c r="L2178" s="164" t="s">
        <v>2802</v>
      </c>
      <c r="M2178" s="164" t="s">
        <v>9488</v>
      </c>
      <c r="N2178" s="164" t="s">
        <v>9489</v>
      </c>
      <c r="O2178" s="164" t="s">
        <v>9490</v>
      </c>
    </row>
    <row r="2179" spans="1:15" hidden="1" x14ac:dyDescent="0.2">
      <c r="A2179" s="2292" t="s">
        <v>9491</v>
      </c>
      <c r="B2179" s="164" t="s">
        <v>2448</v>
      </c>
      <c r="C2179" s="164" t="s">
        <v>2450</v>
      </c>
      <c r="D2179" s="164" t="s">
        <v>2451</v>
      </c>
      <c r="E2179" s="164" t="s">
        <v>4827</v>
      </c>
      <c r="F2179" s="164" t="s">
        <v>2454</v>
      </c>
      <c r="G2179" s="164" t="s">
        <v>7534</v>
      </c>
      <c r="H2179" s="164" t="s">
        <v>7535</v>
      </c>
      <c r="I2179" s="164" t="s">
        <v>1830</v>
      </c>
      <c r="J2179" s="164" t="s">
        <v>1966</v>
      </c>
      <c r="K2179" s="164" t="s">
        <v>9492</v>
      </c>
      <c r="L2179" s="164" t="s">
        <v>6371</v>
      </c>
      <c r="M2179" s="164" t="s">
        <v>9493</v>
      </c>
      <c r="N2179" s="164" t="s">
        <v>9494</v>
      </c>
      <c r="O2179" s="164" t="s">
        <v>9495</v>
      </c>
    </row>
    <row r="2180" spans="1:15" hidden="1" x14ac:dyDescent="0.2">
      <c r="A2180" s="2292" t="s">
        <v>9496</v>
      </c>
      <c r="B2180" s="164" t="s">
        <v>4230</v>
      </c>
      <c r="C2180" s="164" t="s">
        <v>6419</v>
      </c>
      <c r="D2180" s="164" t="s">
        <v>6420</v>
      </c>
      <c r="E2180" s="164" t="s">
        <v>6421</v>
      </c>
      <c r="F2180" s="164" t="s">
        <v>1458</v>
      </c>
      <c r="G2180" s="164" t="s">
        <v>7536</v>
      </c>
      <c r="H2180" s="164" t="s">
        <v>2803</v>
      </c>
      <c r="I2180" s="164" t="s">
        <v>5059</v>
      </c>
      <c r="J2180" s="164" t="s">
        <v>2804</v>
      </c>
      <c r="K2180" s="164" t="s">
        <v>2805</v>
      </c>
      <c r="L2180" s="164" t="s">
        <v>2806</v>
      </c>
      <c r="M2180" s="164" t="s">
        <v>9497</v>
      </c>
      <c r="N2180" s="164" t="s">
        <v>9498</v>
      </c>
      <c r="O2180" s="164" t="s">
        <v>9499</v>
      </c>
    </row>
    <row r="2181" spans="1:15" hidden="1" x14ac:dyDescent="0.2">
      <c r="A2181" s="2292" t="s">
        <v>9500</v>
      </c>
      <c r="B2181" s="164" t="s">
        <v>5140</v>
      </c>
      <c r="C2181" s="164" t="s">
        <v>2336</v>
      </c>
      <c r="D2181" s="164" t="s">
        <v>2337</v>
      </c>
      <c r="E2181" s="164" t="s">
        <v>2338</v>
      </c>
      <c r="F2181" s="164" t="s">
        <v>1464</v>
      </c>
      <c r="G2181" s="164" t="s">
        <v>7537</v>
      </c>
      <c r="H2181" s="164" t="s">
        <v>2036</v>
      </c>
      <c r="I2181" s="164" t="s">
        <v>3773</v>
      </c>
      <c r="J2181" s="164" t="s">
        <v>2098</v>
      </c>
      <c r="K2181" s="164" t="s">
        <v>9501</v>
      </c>
      <c r="L2181" s="164" t="s">
        <v>6372</v>
      </c>
      <c r="M2181" s="164" t="s">
        <v>9502</v>
      </c>
      <c r="N2181" s="164" t="s">
        <v>9503</v>
      </c>
      <c r="O2181" s="164" t="s">
        <v>9504</v>
      </c>
    </row>
    <row r="2182" spans="1:15" hidden="1" x14ac:dyDescent="0.2">
      <c r="A2182" s="2292" t="s">
        <v>9505</v>
      </c>
      <c r="B2182" s="164" t="s">
        <v>2340</v>
      </c>
      <c r="C2182" s="164" t="s">
        <v>2342</v>
      </c>
      <c r="D2182" s="164" t="s">
        <v>2343</v>
      </c>
      <c r="E2182" s="164" t="s">
        <v>2344</v>
      </c>
      <c r="F2182" s="164" t="s">
        <v>1470</v>
      </c>
      <c r="G2182" s="164" t="s">
        <v>7538</v>
      </c>
      <c r="H2182" s="164" t="s">
        <v>7539</v>
      </c>
      <c r="I2182" s="164" t="s">
        <v>2807</v>
      </c>
      <c r="J2182" s="164" t="s">
        <v>2808</v>
      </c>
      <c r="K2182" s="164" t="s">
        <v>8385</v>
      </c>
      <c r="L2182" s="164" t="s">
        <v>2809</v>
      </c>
      <c r="M2182" s="164" t="s">
        <v>9506</v>
      </c>
      <c r="N2182" s="164" t="s">
        <v>9507</v>
      </c>
      <c r="O2182" s="164" t="s">
        <v>9508</v>
      </c>
    </row>
    <row r="2183" spans="1:15" hidden="1" x14ac:dyDescent="0.2">
      <c r="A2183" s="2292" t="s">
        <v>9509</v>
      </c>
      <c r="B2183" s="164" t="s">
        <v>2346</v>
      </c>
      <c r="C2183" s="164" t="s">
        <v>2348</v>
      </c>
      <c r="D2183" s="164" t="s">
        <v>2349</v>
      </c>
      <c r="E2183" s="164" t="s">
        <v>2350</v>
      </c>
      <c r="F2183" s="164" t="s">
        <v>4495</v>
      </c>
      <c r="G2183" s="164" t="s">
        <v>7540</v>
      </c>
      <c r="H2183" s="164" t="s">
        <v>2037</v>
      </c>
      <c r="I2183" s="164" t="s">
        <v>1419</v>
      </c>
      <c r="J2183" s="164" t="s">
        <v>2646</v>
      </c>
      <c r="K2183" s="164" t="s">
        <v>9510</v>
      </c>
      <c r="L2183" s="164" t="s">
        <v>6375</v>
      </c>
      <c r="M2183" s="164" t="s">
        <v>9511</v>
      </c>
      <c r="N2183" s="164" t="s">
        <v>9512</v>
      </c>
      <c r="O2183" s="164" t="s">
        <v>9513</v>
      </c>
    </row>
    <row r="2184" spans="1:15" hidden="1" x14ac:dyDescent="0.2">
      <c r="A2184" s="2292" t="s">
        <v>9514</v>
      </c>
      <c r="B2184" s="164" t="s">
        <v>2352</v>
      </c>
      <c r="C2184" s="164" t="s">
        <v>2354</v>
      </c>
      <c r="D2184" s="164" t="s">
        <v>2355</v>
      </c>
      <c r="E2184" s="164" t="s">
        <v>2356</v>
      </c>
      <c r="F2184" s="164" t="s">
        <v>1585</v>
      </c>
      <c r="G2184" s="164" t="s">
        <v>9515</v>
      </c>
      <c r="H2184" s="164" t="s">
        <v>8386</v>
      </c>
      <c r="I2184" s="164" t="s">
        <v>8387</v>
      </c>
      <c r="J2184" s="164" t="s">
        <v>2810</v>
      </c>
      <c r="K2184" s="164" t="s">
        <v>8388</v>
      </c>
      <c r="L2184" s="164" t="s">
        <v>876</v>
      </c>
      <c r="M2184" s="164" t="s">
        <v>9516</v>
      </c>
      <c r="N2184" s="164" t="s">
        <v>9517</v>
      </c>
      <c r="O2184" s="164" t="s">
        <v>9518</v>
      </c>
    </row>
    <row r="2185" spans="1:15" hidden="1" x14ac:dyDescent="0.2">
      <c r="A2185" s="2292" t="s">
        <v>9519</v>
      </c>
      <c r="B2185" s="164" t="s">
        <v>2358</v>
      </c>
      <c r="C2185" s="164" t="s">
        <v>2360</v>
      </c>
      <c r="D2185" s="164" t="s">
        <v>2361</v>
      </c>
      <c r="E2185" s="164" t="s">
        <v>2362</v>
      </c>
      <c r="F2185" s="164" t="s">
        <v>1878</v>
      </c>
      <c r="G2185" s="164" t="s">
        <v>1322</v>
      </c>
      <c r="H2185" s="164" t="s">
        <v>9520</v>
      </c>
      <c r="I2185" s="164" t="s">
        <v>1058</v>
      </c>
      <c r="J2185" s="164" t="s">
        <v>5700</v>
      </c>
      <c r="K2185" s="164" t="s">
        <v>9521</v>
      </c>
      <c r="L2185" s="164" t="s">
        <v>877</v>
      </c>
      <c r="M2185" s="164" t="s">
        <v>9522</v>
      </c>
      <c r="N2185" s="164" t="s">
        <v>9523</v>
      </c>
      <c r="O2185" s="164" t="s">
        <v>9524</v>
      </c>
    </row>
    <row r="2186" spans="1:15" hidden="1" x14ac:dyDescent="0.2">
      <c r="A2186" s="2292" t="s">
        <v>9525</v>
      </c>
      <c r="B2186" s="164" t="s">
        <v>6700</v>
      </c>
      <c r="C2186" s="164" t="s">
        <v>6702</v>
      </c>
      <c r="D2186" s="164" t="s">
        <v>6703</v>
      </c>
      <c r="E2186" s="164" t="s">
        <v>2964</v>
      </c>
      <c r="F2186" s="164" t="s">
        <v>6667</v>
      </c>
      <c r="G2186" s="164" t="s">
        <v>1323</v>
      </c>
      <c r="H2186" s="164" t="s">
        <v>8389</v>
      </c>
      <c r="I2186" s="164" t="s">
        <v>8390</v>
      </c>
      <c r="J2186" s="164" t="s">
        <v>2811</v>
      </c>
      <c r="K2186" s="164" t="s">
        <v>9526</v>
      </c>
      <c r="L2186" s="164" t="s">
        <v>2812</v>
      </c>
      <c r="M2186" s="164" t="s">
        <v>9527</v>
      </c>
      <c r="N2186" s="164" t="s">
        <v>9528</v>
      </c>
      <c r="O2186" s="164" t="s">
        <v>9529</v>
      </c>
    </row>
    <row r="2187" spans="1:15" hidden="1" x14ac:dyDescent="0.2">
      <c r="A2187" s="2292" t="s">
        <v>9530</v>
      </c>
      <c r="B2187" s="164" t="s">
        <v>3692</v>
      </c>
      <c r="C2187" s="164" t="s">
        <v>6204</v>
      </c>
      <c r="D2187" s="164" t="s">
        <v>6205</v>
      </c>
      <c r="E2187" s="164" t="s">
        <v>5575</v>
      </c>
      <c r="F2187" s="164" t="s">
        <v>2128</v>
      </c>
      <c r="G2187" s="164" t="s">
        <v>9531</v>
      </c>
      <c r="H2187" s="164" t="s">
        <v>2038</v>
      </c>
      <c r="I2187" s="164" t="s">
        <v>9532</v>
      </c>
      <c r="J2187" s="164" t="s">
        <v>2647</v>
      </c>
      <c r="K2187" s="164" t="s">
        <v>2039</v>
      </c>
      <c r="L2187" s="164" t="s">
        <v>878</v>
      </c>
      <c r="M2187" s="164" t="s">
        <v>9533</v>
      </c>
      <c r="N2187" s="164" t="s">
        <v>9534</v>
      </c>
      <c r="O2187" s="164" t="s">
        <v>9535</v>
      </c>
    </row>
    <row r="2188" spans="1:15" hidden="1" x14ac:dyDescent="0.2">
      <c r="A2188" s="2292" t="s">
        <v>9536</v>
      </c>
      <c r="B2188" s="164" t="s">
        <v>5577</v>
      </c>
      <c r="C2188" s="164" t="s">
        <v>5579</v>
      </c>
      <c r="D2188" s="164" t="s">
        <v>3644</v>
      </c>
      <c r="E2188" s="164" t="s">
        <v>3645</v>
      </c>
      <c r="F2188" s="164" t="s">
        <v>982</v>
      </c>
      <c r="G2188" s="164" t="s">
        <v>1324</v>
      </c>
      <c r="H2188" s="164" t="s">
        <v>8391</v>
      </c>
      <c r="I2188" s="164" t="s">
        <v>6003</v>
      </c>
      <c r="J2188" s="164" t="s">
        <v>2648</v>
      </c>
      <c r="K2188" s="164" t="s">
        <v>8392</v>
      </c>
      <c r="L2188" s="164" t="s">
        <v>879</v>
      </c>
      <c r="M2188" s="164" t="s">
        <v>8393</v>
      </c>
      <c r="N2188" s="164" t="s">
        <v>9537</v>
      </c>
      <c r="O2188" s="164" t="s">
        <v>9538</v>
      </c>
    </row>
    <row r="2189" spans="1:15" hidden="1" x14ac:dyDescent="0.2">
      <c r="A2189" s="2292" t="s">
        <v>2952</v>
      </c>
      <c r="B2189" s="164" t="s">
        <v>6755</v>
      </c>
      <c r="C2189" s="164" t="s">
        <v>419</v>
      </c>
      <c r="D2189" s="164" t="s">
        <v>9539</v>
      </c>
      <c r="E2189" s="164" t="s">
        <v>3671</v>
      </c>
      <c r="F2189" s="164" t="s">
        <v>3672</v>
      </c>
      <c r="G2189" s="164" t="s">
        <v>3674</v>
      </c>
      <c r="H2189" s="164" t="s">
        <v>417</v>
      </c>
      <c r="I2189" s="164" t="s">
        <v>9540</v>
      </c>
      <c r="J2189" s="164" t="s">
        <v>9541</v>
      </c>
      <c r="K2189" s="164" t="s">
        <v>9542</v>
      </c>
      <c r="L2189" s="164" t="s">
        <v>9543</v>
      </c>
      <c r="M2189" s="164"/>
      <c r="N2189" s="164"/>
    </row>
    <row r="2190" spans="1:15" hidden="1" x14ac:dyDescent="0.2">
      <c r="A2190" s="2292" t="s">
        <v>471</v>
      </c>
      <c r="B2190" s="164" t="s">
        <v>6759</v>
      </c>
      <c r="C2190" s="164" t="s">
        <v>594</v>
      </c>
      <c r="D2190" s="164" t="s">
        <v>9544</v>
      </c>
      <c r="E2190" s="164" t="s">
        <v>3410</v>
      </c>
      <c r="F2190" s="164" t="s">
        <v>3411</v>
      </c>
      <c r="G2190" s="164" t="s">
        <v>3413</v>
      </c>
      <c r="H2190" s="164" t="s">
        <v>5528</v>
      </c>
      <c r="I2190" s="164" t="s">
        <v>9545</v>
      </c>
      <c r="J2190" s="164" t="s">
        <v>9546</v>
      </c>
      <c r="K2190" s="164" t="s">
        <v>9547</v>
      </c>
      <c r="L2190" s="164" t="s">
        <v>9548</v>
      </c>
      <c r="M2190" s="164"/>
      <c r="N2190" s="164"/>
    </row>
    <row r="2191" spans="1:15" hidden="1" x14ac:dyDescent="0.2">
      <c r="A2191" s="2292" t="s">
        <v>6469</v>
      </c>
      <c r="B2191" s="164" t="s">
        <v>6763</v>
      </c>
      <c r="C2191" s="164" t="s">
        <v>2016</v>
      </c>
      <c r="D2191" s="164" t="s">
        <v>9549</v>
      </c>
      <c r="E2191" s="164" t="s">
        <v>596</v>
      </c>
      <c r="F2191" s="164" t="s">
        <v>597</v>
      </c>
      <c r="G2191" s="164" t="s">
        <v>3087</v>
      </c>
      <c r="H2191" s="164" t="s">
        <v>3089</v>
      </c>
      <c r="I2191" s="164" t="s">
        <v>9550</v>
      </c>
      <c r="J2191" s="164" t="s">
        <v>9551</v>
      </c>
      <c r="K2191" s="164" t="s">
        <v>9552</v>
      </c>
      <c r="L2191" s="164" t="s">
        <v>9553</v>
      </c>
      <c r="M2191" s="164"/>
      <c r="N2191" s="164"/>
    </row>
    <row r="2192" spans="1:15" hidden="1" x14ac:dyDescent="0.2">
      <c r="A2192" s="2292" t="s">
        <v>6473</v>
      </c>
      <c r="B2192" s="164" t="s">
        <v>6766</v>
      </c>
      <c r="C2192" s="164" t="s">
        <v>1886</v>
      </c>
      <c r="D2192" s="164" t="s">
        <v>9554</v>
      </c>
      <c r="E2192" s="164" t="s">
        <v>1724</v>
      </c>
      <c r="F2192" s="164" t="s">
        <v>1725</v>
      </c>
      <c r="G2192" s="164" t="s">
        <v>5772</v>
      </c>
      <c r="H2192" s="164" t="s">
        <v>5774</v>
      </c>
      <c r="I2192" s="164" t="s">
        <v>8401</v>
      </c>
      <c r="J2192" s="164" t="s">
        <v>9555</v>
      </c>
      <c r="K2192" s="164" t="s">
        <v>9556</v>
      </c>
      <c r="L2192" s="164" t="s">
        <v>9557</v>
      </c>
      <c r="M2192" s="164"/>
      <c r="N2192" s="164"/>
    </row>
    <row r="2193" spans="1:14" hidden="1" x14ac:dyDescent="0.2">
      <c r="A2193" s="2292" t="s">
        <v>5722</v>
      </c>
      <c r="B2193" s="164" t="s">
        <v>4323</v>
      </c>
      <c r="C2193" s="164" t="s">
        <v>1772</v>
      </c>
      <c r="D2193" s="164" t="s">
        <v>9558</v>
      </c>
      <c r="E2193" s="164" t="s">
        <v>4325</v>
      </c>
      <c r="F2193" s="164" t="s">
        <v>4326</v>
      </c>
      <c r="G2193" s="164" t="s">
        <v>1768</v>
      </c>
      <c r="H2193" s="164" t="s">
        <v>1770</v>
      </c>
      <c r="I2193" s="164" t="s">
        <v>9559</v>
      </c>
      <c r="J2193" s="164" t="s">
        <v>9560</v>
      </c>
      <c r="K2193" s="164" t="s">
        <v>9561</v>
      </c>
      <c r="L2193" s="164" t="s">
        <v>9562</v>
      </c>
      <c r="M2193" s="164"/>
      <c r="N2193" s="164"/>
    </row>
    <row r="2194" spans="1:14" hidden="1" x14ac:dyDescent="0.2">
      <c r="A2194" s="2292" t="s">
        <v>4970</v>
      </c>
      <c r="B2194" s="164" t="s">
        <v>1774</v>
      </c>
      <c r="C2194" s="164" t="s">
        <v>6856</v>
      </c>
      <c r="D2194" s="164" t="s">
        <v>9563</v>
      </c>
      <c r="E2194" s="164" t="s">
        <v>1776</v>
      </c>
      <c r="F2194" s="164" t="s">
        <v>6850</v>
      </c>
      <c r="G2194" s="164" t="s">
        <v>6852</v>
      </c>
      <c r="H2194" s="164" t="s">
        <v>6854</v>
      </c>
      <c r="I2194" s="164" t="s">
        <v>9564</v>
      </c>
      <c r="J2194" s="164" t="s">
        <v>9565</v>
      </c>
      <c r="K2194" s="164" t="s">
        <v>9566</v>
      </c>
      <c r="L2194" s="164" t="s">
        <v>9567</v>
      </c>
      <c r="M2194" s="164"/>
      <c r="N2194" s="164"/>
    </row>
    <row r="2195" spans="1:14" hidden="1" x14ac:dyDescent="0.2">
      <c r="A2195" s="2292" t="s">
        <v>2823</v>
      </c>
      <c r="B2195" s="164" t="s">
        <v>6858</v>
      </c>
      <c r="C2195" s="164" t="s">
        <v>6866</v>
      </c>
      <c r="D2195" s="164" t="s">
        <v>9568</v>
      </c>
      <c r="E2195" s="164" t="s">
        <v>6860</v>
      </c>
      <c r="F2195" s="164" t="s">
        <v>6493</v>
      </c>
      <c r="G2195" s="164" t="s">
        <v>6862</v>
      </c>
      <c r="H2195" s="164" t="s">
        <v>6864</v>
      </c>
      <c r="I2195" s="164" t="s">
        <v>9569</v>
      </c>
      <c r="J2195" s="164" t="s">
        <v>9570</v>
      </c>
      <c r="K2195" s="164" t="s">
        <v>9571</v>
      </c>
      <c r="L2195" s="164" t="s">
        <v>9572</v>
      </c>
      <c r="M2195" s="164"/>
      <c r="N2195" s="164"/>
    </row>
    <row r="2196" spans="1:14" hidden="1" x14ac:dyDescent="0.2">
      <c r="A2196" s="2292" t="s">
        <v>5608</v>
      </c>
      <c r="B2196" s="164" t="s">
        <v>6868</v>
      </c>
      <c r="C2196" s="164" t="s">
        <v>4651</v>
      </c>
      <c r="D2196" s="164" t="s">
        <v>9573</v>
      </c>
      <c r="E2196" s="164" t="s">
        <v>3984</v>
      </c>
      <c r="F2196" s="164" t="s">
        <v>3985</v>
      </c>
      <c r="G2196" s="164" t="s">
        <v>4647</v>
      </c>
      <c r="H2196" s="164" t="s">
        <v>4649</v>
      </c>
      <c r="I2196" s="164" t="s">
        <v>9574</v>
      </c>
      <c r="J2196" s="164" t="s">
        <v>9575</v>
      </c>
      <c r="K2196" s="164" t="s">
        <v>9576</v>
      </c>
      <c r="L2196" s="164" t="s">
        <v>9577</v>
      </c>
      <c r="M2196" s="164"/>
      <c r="N2196" s="164"/>
    </row>
    <row r="2197" spans="1:14" hidden="1" x14ac:dyDescent="0.2">
      <c r="A2197" s="2292" t="s">
        <v>5613</v>
      </c>
      <c r="B2197" s="164" t="s">
        <v>4653</v>
      </c>
      <c r="C2197" s="164" t="s">
        <v>4660</v>
      </c>
      <c r="D2197" s="164" t="s">
        <v>9578</v>
      </c>
      <c r="E2197" s="164" t="s">
        <v>4655</v>
      </c>
      <c r="F2197" s="164" t="s">
        <v>691</v>
      </c>
      <c r="G2197" s="164" t="s">
        <v>4657</v>
      </c>
      <c r="H2197" s="164" t="s">
        <v>4658</v>
      </c>
      <c r="I2197" s="164" t="s">
        <v>9579</v>
      </c>
      <c r="J2197" s="164" t="s">
        <v>9580</v>
      </c>
      <c r="K2197" s="164" t="s">
        <v>9581</v>
      </c>
      <c r="L2197" s="164" t="s">
        <v>9582</v>
      </c>
      <c r="M2197" s="164"/>
      <c r="N2197" s="164"/>
    </row>
    <row r="2198" spans="1:14" hidden="1" x14ac:dyDescent="0.2">
      <c r="A2198" s="2292" t="s">
        <v>2374</v>
      </c>
      <c r="B2198" s="164" t="s">
        <v>992</v>
      </c>
      <c r="C2198" s="164" t="s">
        <v>1614</v>
      </c>
      <c r="D2198" s="164" t="s">
        <v>9583</v>
      </c>
      <c r="E2198" s="164" t="s">
        <v>1607</v>
      </c>
      <c r="F2198" s="164" t="s">
        <v>1608</v>
      </c>
      <c r="G2198" s="164" t="s">
        <v>1610</v>
      </c>
      <c r="H2198" s="164" t="s">
        <v>1612</v>
      </c>
      <c r="I2198" s="164" t="s">
        <v>9584</v>
      </c>
      <c r="J2198" s="164" t="s">
        <v>9585</v>
      </c>
      <c r="K2198" s="164" t="s">
        <v>9586</v>
      </c>
      <c r="L2198" s="164" t="s">
        <v>9587</v>
      </c>
      <c r="M2198" s="164"/>
      <c r="N2198" s="164"/>
    </row>
    <row r="2199" spans="1:14" hidden="1" x14ac:dyDescent="0.2">
      <c r="A2199" s="2292" t="s">
        <v>2379</v>
      </c>
      <c r="B2199" s="164" t="s">
        <v>993</v>
      </c>
      <c r="C2199" s="164" t="s">
        <v>1622</v>
      </c>
      <c r="D2199" s="164" t="s">
        <v>9588</v>
      </c>
      <c r="E2199" s="164" t="s">
        <v>1616</v>
      </c>
      <c r="F2199" s="164" t="s">
        <v>694</v>
      </c>
      <c r="G2199" s="164" t="s">
        <v>1618</v>
      </c>
      <c r="H2199" s="164" t="s">
        <v>1620</v>
      </c>
      <c r="I2199" s="164" t="s">
        <v>9589</v>
      </c>
      <c r="J2199" s="164" t="s">
        <v>9590</v>
      </c>
      <c r="K2199" s="164" t="s">
        <v>9591</v>
      </c>
      <c r="L2199" s="164" t="s">
        <v>9592</v>
      </c>
      <c r="M2199"/>
      <c r="N2199"/>
    </row>
    <row r="2200" spans="1:14" hidden="1" x14ac:dyDescent="0.2">
      <c r="A2200" s="2292" t="s">
        <v>6382</v>
      </c>
      <c r="B2200" s="164" t="s">
        <v>1624</v>
      </c>
      <c r="C2200" s="164" t="s">
        <v>1632</v>
      </c>
      <c r="D2200" s="164" t="s">
        <v>9593</v>
      </c>
      <c r="E2200" s="164" t="s">
        <v>1625</v>
      </c>
      <c r="F2200" s="164" t="s">
        <v>1626</v>
      </c>
      <c r="G2200" s="164" t="s">
        <v>1628</v>
      </c>
      <c r="H2200" s="164" t="s">
        <v>1630</v>
      </c>
      <c r="I2200" s="164" t="s">
        <v>9594</v>
      </c>
      <c r="J2200" s="164" t="s">
        <v>9595</v>
      </c>
      <c r="K2200" s="164" t="s">
        <v>9596</v>
      </c>
      <c r="L2200" s="164" t="s">
        <v>9597</v>
      </c>
      <c r="M2200"/>
      <c r="N2200"/>
    </row>
    <row r="2201" spans="1:14" hidden="1" x14ac:dyDescent="0.2">
      <c r="A2201" s="2292" t="s">
        <v>6387</v>
      </c>
      <c r="B2201" s="164" t="s">
        <v>9598</v>
      </c>
      <c r="C2201" s="164" t="s">
        <v>8554</v>
      </c>
      <c r="D2201" s="164" t="s">
        <v>9599</v>
      </c>
      <c r="E2201" s="164" t="s">
        <v>8552</v>
      </c>
      <c r="F2201" s="164" t="s">
        <v>4233</v>
      </c>
      <c r="G2201" s="164" t="s">
        <v>5596</v>
      </c>
      <c r="H2201" s="164" t="s">
        <v>5597</v>
      </c>
      <c r="I2201" s="164" t="s">
        <v>9600</v>
      </c>
      <c r="J2201" s="164" t="s">
        <v>9601</v>
      </c>
      <c r="K2201" s="164" t="s">
        <v>9602</v>
      </c>
      <c r="L2201" s="164" t="s">
        <v>9603</v>
      </c>
      <c r="M2201"/>
      <c r="N2201"/>
    </row>
    <row r="2202" spans="1:14" hidden="1" x14ac:dyDescent="0.2">
      <c r="A2202" s="2292" t="s">
        <v>6392</v>
      </c>
      <c r="B2202" s="164" t="s">
        <v>9604</v>
      </c>
      <c r="C2202" s="164" t="s">
        <v>8563</v>
      </c>
      <c r="D2202" s="164" t="s">
        <v>9605</v>
      </c>
      <c r="E2202" s="164" t="s">
        <v>8556</v>
      </c>
      <c r="F2202" s="164" t="s">
        <v>8557</v>
      </c>
      <c r="G2202" s="164" t="s">
        <v>8559</v>
      </c>
      <c r="H2202" s="164" t="s">
        <v>8561</v>
      </c>
      <c r="I2202" s="164" t="s">
        <v>9606</v>
      </c>
      <c r="J2202" s="164" t="s">
        <v>9607</v>
      </c>
      <c r="K2202" s="164" t="s">
        <v>9608</v>
      </c>
      <c r="L2202" s="164" t="s">
        <v>9609</v>
      </c>
      <c r="M2202"/>
      <c r="N2202"/>
    </row>
    <row r="2203" spans="1:14" hidden="1" x14ac:dyDescent="0.2">
      <c r="A2203" s="2292" t="s">
        <v>6397</v>
      </c>
      <c r="B2203" s="164" t="s">
        <v>9610</v>
      </c>
      <c r="C2203" s="164" t="s">
        <v>8571</v>
      </c>
      <c r="D2203" s="164" t="s">
        <v>9611</v>
      </c>
      <c r="E2203" s="164" t="s">
        <v>8565</v>
      </c>
      <c r="F2203" s="164" t="s">
        <v>4235</v>
      </c>
      <c r="G2203" s="164" t="s">
        <v>8567</v>
      </c>
      <c r="H2203" s="164" t="s">
        <v>8569</v>
      </c>
      <c r="I2203" s="164" t="s">
        <v>9612</v>
      </c>
      <c r="J2203" s="164" t="s">
        <v>9613</v>
      </c>
      <c r="K2203" s="164" t="s">
        <v>9614</v>
      </c>
      <c r="L2203" s="164" t="s">
        <v>9615</v>
      </c>
      <c r="M2203"/>
      <c r="N2203"/>
    </row>
    <row r="2204" spans="1:14" hidden="1" x14ac:dyDescent="0.2">
      <c r="A2204" s="2292" t="s">
        <v>6402</v>
      </c>
      <c r="B2204" s="164" t="s">
        <v>9616</v>
      </c>
      <c r="C2204" s="164" t="s">
        <v>8579</v>
      </c>
      <c r="D2204" s="164" t="s">
        <v>9617</v>
      </c>
      <c r="E2204" s="164" t="s">
        <v>8573</v>
      </c>
      <c r="F2204" s="164" t="s">
        <v>8574</v>
      </c>
      <c r="G2204" s="164" t="s">
        <v>8576</v>
      </c>
      <c r="H2204" s="164" t="s">
        <v>5598</v>
      </c>
      <c r="I2204" s="164" t="s">
        <v>9618</v>
      </c>
      <c r="J2204" s="164" t="s">
        <v>9619</v>
      </c>
      <c r="K2204" s="164" t="s">
        <v>9620</v>
      </c>
      <c r="L2204" s="164" t="s">
        <v>9621</v>
      </c>
      <c r="M2204"/>
      <c r="N2204"/>
    </row>
    <row r="2205" spans="1:14" hidden="1" x14ac:dyDescent="0.2">
      <c r="A2205" s="2292" t="s">
        <v>6407</v>
      </c>
      <c r="B2205" s="164" t="s">
        <v>1634</v>
      </c>
      <c r="C2205" s="164" t="s">
        <v>1639</v>
      </c>
      <c r="D2205" s="164" t="s">
        <v>9622</v>
      </c>
      <c r="E2205" s="164" t="s">
        <v>3934</v>
      </c>
      <c r="F2205" s="164" t="s">
        <v>3935</v>
      </c>
      <c r="G2205" s="164" t="s">
        <v>1636</v>
      </c>
      <c r="H2205" s="164" t="s">
        <v>5599</v>
      </c>
      <c r="I2205" s="164" t="s">
        <v>9623</v>
      </c>
      <c r="J2205" s="164" t="s">
        <v>9624</v>
      </c>
      <c r="K2205" s="164" t="s">
        <v>9625</v>
      </c>
      <c r="L2205" s="164" t="s">
        <v>9626</v>
      </c>
      <c r="M2205"/>
      <c r="N2205"/>
    </row>
    <row r="2206" spans="1:14" hidden="1" x14ac:dyDescent="0.2">
      <c r="A2206" s="2292" t="s">
        <v>5237</v>
      </c>
      <c r="B2206" s="164" t="s">
        <v>4237</v>
      </c>
      <c r="C2206" s="164" t="s">
        <v>1644</v>
      </c>
      <c r="D2206" s="164" t="s">
        <v>9627</v>
      </c>
      <c r="E2206" s="164" t="s">
        <v>4238</v>
      </c>
      <c r="F2206" s="164" t="s">
        <v>4239</v>
      </c>
      <c r="G2206" s="164" t="s">
        <v>1641</v>
      </c>
      <c r="H2206" s="164" t="s">
        <v>5550</v>
      </c>
      <c r="I2206" s="164" t="s">
        <v>9628</v>
      </c>
      <c r="J2206" s="164" t="s">
        <v>9629</v>
      </c>
      <c r="K2206" s="164" t="s">
        <v>9630</v>
      </c>
      <c r="L2206" s="164" t="s">
        <v>9631</v>
      </c>
      <c r="M2206"/>
      <c r="N2206"/>
    </row>
    <row r="2207" spans="1:14" hidden="1" x14ac:dyDescent="0.2">
      <c r="A2207" s="2292" t="s">
        <v>5240</v>
      </c>
      <c r="B2207" s="164" t="s">
        <v>4981</v>
      </c>
      <c r="C2207" s="164" t="s">
        <v>1649</v>
      </c>
      <c r="D2207" s="164" t="s">
        <v>9632</v>
      </c>
      <c r="E2207" s="164" t="s">
        <v>4983</v>
      </c>
      <c r="F2207" s="164" t="s">
        <v>4984</v>
      </c>
      <c r="G2207" s="164" t="s">
        <v>1646</v>
      </c>
      <c r="H2207" s="164" t="s">
        <v>3593</v>
      </c>
      <c r="I2207" s="164" t="s">
        <v>9633</v>
      </c>
      <c r="J2207" s="164" t="s">
        <v>9634</v>
      </c>
      <c r="K2207" s="164" t="s">
        <v>9635</v>
      </c>
      <c r="L2207" s="164" t="s">
        <v>9636</v>
      </c>
      <c r="M2207"/>
      <c r="N2207"/>
    </row>
    <row r="2208" spans="1:14" hidden="1" x14ac:dyDescent="0.2">
      <c r="A2208" s="2292" t="s">
        <v>5243</v>
      </c>
      <c r="B2208" s="164" t="s">
        <v>5133</v>
      </c>
      <c r="C2208" s="164" t="s">
        <v>1655</v>
      </c>
      <c r="D2208" s="164" t="s">
        <v>9637</v>
      </c>
      <c r="E2208" s="164" t="s">
        <v>5135</v>
      </c>
      <c r="F2208" s="164" t="s">
        <v>5136</v>
      </c>
      <c r="G2208" s="164" t="s">
        <v>1651</v>
      </c>
      <c r="H2208" s="164" t="s">
        <v>1653</v>
      </c>
      <c r="I2208" s="164" t="s">
        <v>9638</v>
      </c>
      <c r="J2208" s="164" t="s">
        <v>9639</v>
      </c>
      <c r="K2208" s="164" t="s">
        <v>9640</v>
      </c>
      <c r="L2208" s="164" t="s">
        <v>9641</v>
      </c>
      <c r="M2208"/>
      <c r="N2208"/>
    </row>
    <row r="2209" spans="1:14" hidden="1" x14ac:dyDescent="0.2">
      <c r="A2209" s="2292" t="s">
        <v>6511</v>
      </c>
      <c r="B2209" s="164" t="s">
        <v>6538</v>
      </c>
      <c r="C2209" s="164" t="s">
        <v>1660</v>
      </c>
      <c r="D2209" s="164" t="s">
        <v>9642</v>
      </c>
      <c r="E2209" s="164" t="s">
        <v>1002</v>
      </c>
      <c r="F2209" s="164" t="s">
        <v>1003</v>
      </c>
      <c r="G2209" s="164" t="s">
        <v>1657</v>
      </c>
      <c r="H2209" s="164" t="s">
        <v>1658</v>
      </c>
      <c r="I2209" s="164" t="s">
        <v>9643</v>
      </c>
      <c r="J2209" s="164" t="s">
        <v>9644</v>
      </c>
      <c r="K2209" s="164" t="s">
        <v>9645</v>
      </c>
      <c r="L2209" s="164" t="s">
        <v>9646</v>
      </c>
      <c r="M2209"/>
      <c r="N2209"/>
    </row>
    <row r="2210" spans="1:14" hidden="1" x14ac:dyDescent="0.2">
      <c r="A2210" s="2292" t="s">
        <v>5245</v>
      </c>
      <c r="B2210" s="164" t="s">
        <v>6542</v>
      </c>
      <c r="C2210" s="164" t="s">
        <v>1840</v>
      </c>
      <c r="D2210" s="164" t="s">
        <v>9647</v>
      </c>
      <c r="E2210" s="164" t="s">
        <v>332</v>
      </c>
      <c r="F2210" s="164" t="s">
        <v>333</v>
      </c>
      <c r="G2210" s="164" t="s">
        <v>1662</v>
      </c>
      <c r="H2210" s="164" t="s">
        <v>1664</v>
      </c>
      <c r="I2210" s="164" t="s">
        <v>9648</v>
      </c>
      <c r="J2210" s="164" t="s">
        <v>9649</v>
      </c>
      <c r="K2210" s="164" t="s">
        <v>9650</v>
      </c>
      <c r="L2210" s="164" t="s">
        <v>9651</v>
      </c>
      <c r="M2210"/>
      <c r="N2210"/>
    </row>
    <row r="2211" spans="1:14" hidden="1" x14ac:dyDescent="0.2">
      <c r="A2211" s="2292" t="s">
        <v>2302</v>
      </c>
      <c r="B2211" s="164" t="s">
        <v>6546</v>
      </c>
      <c r="C2211" s="164" t="s">
        <v>1846</v>
      </c>
      <c r="D2211" s="164" t="s">
        <v>9652</v>
      </c>
      <c r="E2211" s="164" t="s">
        <v>336</v>
      </c>
      <c r="F2211" s="164" t="s">
        <v>337</v>
      </c>
      <c r="G2211" s="164" t="s">
        <v>1842</v>
      </c>
      <c r="H2211" s="164" t="s">
        <v>1844</v>
      </c>
      <c r="I2211" s="164" t="s">
        <v>9653</v>
      </c>
      <c r="J2211" s="164" t="s">
        <v>9654</v>
      </c>
      <c r="K2211" s="164" t="s">
        <v>9655</v>
      </c>
      <c r="L2211" s="164" t="s">
        <v>9656</v>
      </c>
      <c r="M2211"/>
      <c r="N2211"/>
    </row>
    <row r="2212" spans="1:14" hidden="1" x14ac:dyDescent="0.2">
      <c r="A2212" s="2292" t="s">
        <v>2418</v>
      </c>
      <c r="B2212" s="164" t="s">
        <v>6550</v>
      </c>
      <c r="C2212" s="164" t="s">
        <v>1852</v>
      </c>
      <c r="D2212" s="164" t="s">
        <v>9657</v>
      </c>
      <c r="E2212" s="164" t="s">
        <v>6479</v>
      </c>
      <c r="F2212" s="164" t="s">
        <v>6480</v>
      </c>
      <c r="G2212" s="164" t="s">
        <v>1848</v>
      </c>
      <c r="H2212" s="164" t="s">
        <v>1850</v>
      </c>
      <c r="I2212" s="164" t="s">
        <v>9658</v>
      </c>
      <c r="J2212" s="164" t="s">
        <v>9659</v>
      </c>
      <c r="K2212" s="164" t="s">
        <v>9660</v>
      </c>
      <c r="L2212" s="164" t="s">
        <v>9661</v>
      </c>
      <c r="M2212"/>
      <c r="N2212"/>
    </row>
    <row r="2213" spans="1:14" hidden="1" x14ac:dyDescent="0.2">
      <c r="B2213" s="164"/>
      <c r="C2213"/>
      <c r="D2213"/>
      <c r="E2213"/>
      <c r="F2213"/>
      <c r="G2213"/>
    </row>
    <row r="2214" spans="1:14" hidden="1" x14ac:dyDescent="0.2">
      <c r="A2214"/>
      <c r="B2214" s="164"/>
      <c r="C2214"/>
      <c r="D2214"/>
      <c r="E2214"/>
      <c r="F2214"/>
      <c r="G2214"/>
      <c r="H2214"/>
      <c r="I2214"/>
      <c r="J2214"/>
      <c r="K2214"/>
      <c r="L2214"/>
      <c r="M2214"/>
      <c r="N2214"/>
    </row>
    <row r="2215" spans="1:14" hidden="1" x14ac:dyDescent="0.2">
      <c r="A2215" s="2291" t="s">
        <v>5359</v>
      </c>
      <c r="B2215" s="164" t="s">
        <v>3817</v>
      </c>
      <c r="C2215"/>
      <c r="D2215"/>
      <c r="E2215"/>
      <c r="F2215"/>
      <c r="G2215"/>
      <c r="H2215"/>
      <c r="I2215"/>
      <c r="J2215"/>
      <c r="K2215"/>
      <c r="L2215"/>
      <c r="M2215"/>
      <c r="N2215"/>
    </row>
    <row r="2216" spans="1:14" hidden="1" x14ac:dyDescent="0.2">
      <c r="A2216" s="2291" t="s">
        <v>5360</v>
      </c>
      <c r="B2216" s="164" t="s">
        <v>4173</v>
      </c>
      <c r="C2216"/>
      <c r="D2216"/>
      <c r="E2216"/>
      <c r="F2216"/>
      <c r="G2216"/>
      <c r="H2216"/>
      <c r="I2216"/>
      <c r="J2216"/>
      <c r="K2216"/>
      <c r="L2216"/>
      <c r="M2216"/>
      <c r="N2216"/>
    </row>
    <row r="2217" spans="1:14" hidden="1" x14ac:dyDescent="0.2">
      <c r="A2217" s="2291" t="s">
        <v>5361</v>
      </c>
      <c r="B2217" s="164" t="s">
        <v>6672</v>
      </c>
      <c r="C2217"/>
      <c r="D2217"/>
      <c r="E2217"/>
      <c r="F2217"/>
      <c r="G2217"/>
      <c r="H2217"/>
      <c r="I2217"/>
      <c r="J2217"/>
      <c r="K2217"/>
      <c r="L2217"/>
      <c r="M2217"/>
      <c r="N2217"/>
    </row>
    <row r="2218" spans="1:14" hidden="1" x14ac:dyDescent="0.2">
      <c r="A2218" s="2291" t="s">
        <v>5362</v>
      </c>
      <c r="B2218" s="164" t="s">
        <v>6688</v>
      </c>
      <c r="C2218"/>
      <c r="D2218"/>
      <c r="E2218"/>
      <c r="F2218"/>
      <c r="G2218"/>
      <c r="H2218"/>
      <c r="I2218"/>
      <c r="J2218"/>
      <c r="K2218"/>
      <c r="L2218"/>
      <c r="M2218"/>
      <c r="N2218"/>
    </row>
    <row r="2219" spans="1:14" hidden="1" x14ac:dyDescent="0.2">
      <c r="A2219" s="2291" t="s">
        <v>5363</v>
      </c>
      <c r="B2219" s="164" t="s">
        <v>6694</v>
      </c>
      <c r="C2219"/>
      <c r="D2219"/>
      <c r="E2219"/>
      <c r="F2219"/>
      <c r="G2219"/>
      <c r="H2219"/>
      <c r="I2219"/>
      <c r="J2219"/>
      <c r="K2219"/>
      <c r="L2219"/>
      <c r="M2219"/>
      <c r="N2219"/>
    </row>
    <row r="2220" spans="1:14" hidden="1" x14ac:dyDescent="0.2">
      <c r="A2220" s="2291" t="s">
        <v>5364</v>
      </c>
      <c r="B2220" s="164" t="s">
        <v>6697</v>
      </c>
      <c r="C2220"/>
      <c r="D2220"/>
      <c r="E2220"/>
      <c r="F2220"/>
      <c r="G2220"/>
      <c r="H2220"/>
      <c r="I2220"/>
      <c r="J2220"/>
      <c r="K2220"/>
      <c r="L2220"/>
      <c r="M2220"/>
      <c r="N2220"/>
    </row>
    <row r="2221" spans="1:14" hidden="1" x14ac:dyDescent="0.2">
      <c r="A2221" s="2291" t="s">
        <v>5365</v>
      </c>
      <c r="B2221" s="164" t="s">
        <v>3859</v>
      </c>
      <c r="C2221"/>
      <c r="D2221"/>
      <c r="E2221"/>
      <c r="F2221"/>
      <c r="G2221"/>
      <c r="H2221"/>
      <c r="I2221"/>
      <c r="J2221"/>
      <c r="K2221"/>
      <c r="L2221"/>
    </row>
    <row r="2222" spans="1:14" hidden="1" x14ac:dyDescent="0.2">
      <c r="A2222" s="2291" t="s">
        <v>5366</v>
      </c>
      <c r="B2222" s="164" t="s">
        <v>3052</v>
      </c>
      <c r="C2222"/>
      <c r="D2222"/>
      <c r="E2222"/>
      <c r="F2222"/>
      <c r="G2222"/>
      <c r="H2222"/>
      <c r="I2222"/>
      <c r="J2222"/>
      <c r="K2222"/>
      <c r="L2222"/>
    </row>
    <row r="2223" spans="1:14" hidden="1" x14ac:dyDescent="0.2">
      <c r="A2223" s="2291" t="s">
        <v>5367</v>
      </c>
      <c r="B2223" s="164" t="s">
        <v>3054</v>
      </c>
      <c r="C2223"/>
      <c r="D2223"/>
      <c r="E2223"/>
      <c r="F2223"/>
      <c r="G2223"/>
      <c r="H2223"/>
      <c r="I2223"/>
      <c r="J2223"/>
      <c r="K2223"/>
      <c r="L2223"/>
    </row>
    <row r="2224" spans="1:14" hidden="1" x14ac:dyDescent="0.2">
      <c r="A2224" s="2291" t="s">
        <v>5368</v>
      </c>
      <c r="B2224" s="164" t="s">
        <v>3056</v>
      </c>
      <c r="C2224"/>
      <c r="D2224"/>
      <c r="E2224"/>
      <c r="F2224"/>
      <c r="G2224"/>
      <c r="H2224"/>
      <c r="I2224"/>
      <c r="J2224"/>
      <c r="K2224"/>
      <c r="L2224"/>
    </row>
    <row r="2225" spans="1:12" hidden="1" x14ac:dyDescent="0.2">
      <c r="A2225" s="2291" t="s">
        <v>5369</v>
      </c>
      <c r="B2225" s="164" t="s">
        <v>3058</v>
      </c>
      <c r="C2225"/>
      <c r="D2225"/>
      <c r="E2225"/>
      <c r="F2225"/>
      <c r="G2225"/>
      <c r="H2225"/>
      <c r="I2225"/>
      <c r="J2225"/>
      <c r="K2225"/>
      <c r="L2225"/>
    </row>
    <row r="2226" spans="1:12" hidden="1" x14ac:dyDescent="0.2">
      <c r="A2226" s="2291" t="s">
        <v>5370</v>
      </c>
      <c r="B2226" s="164" t="s">
        <v>3868</v>
      </c>
      <c r="C2226"/>
      <c r="D2226"/>
      <c r="E2226"/>
      <c r="F2226"/>
      <c r="G2226"/>
      <c r="H2226"/>
      <c r="I2226"/>
      <c r="J2226"/>
      <c r="K2226"/>
      <c r="L2226"/>
    </row>
    <row r="2227" spans="1:12" hidden="1" x14ac:dyDescent="0.2">
      <c r="A2227" s="2291" t="s">
        <v>5371</v>
      </c>
      <c r="B2227" s="164" t="s">
        <v>1781</v>
      </c>
      <c r="C2227"/>
      <c r="D2227"/>
      <c r="E2227"/>
      <c r="F2227"/>
      <c r="G2227"/>
      <c r="H2227"/>
      <c r="I2227"/>
      <c r="J2227"/>
      <c r="K2227"/>
      <c r="L2227"/>
    </row>
    <row r="2228" spans="1:12" hidden="1" x14ac:dyDescent="0.2">
      <c r="B2228" s="164"/>
      <c r="E2228"/>
      <c r="F2228"/>
    </row>
    <row r="2229" spans="1:12" hidden="1" x14ac:dyDescent="0.2">
      <c r="A2229"/>
      <c r="B2229" s="164"/>
      <c r="C2229"/>
      <c r="D2229"/>
      <c r="E2229"/>
      <c r="F2229"/>
      <c r="G2229"/>
      <c r="H2229"/>
      <c r="I2229"/>
      <c r="J2229"/>
      <c r="K2229"/>
      <c r="L2229"/>
    </row>
    <row r="2230" spans="1:12" hidden="1" x14ac:dyDescent="0.2">
      <c r="A2230" s="2291" t="s">
        <v>880</v>
      </c>
      <c r="B2230" s="1634" t="s">
        <v>3882</v>
      </c>
      <c r="C2230"/>
      <c r="D2230"/>
      <c r="E2230"/>
      <c r="F2230"/>
      <c r="G2230"/>
      <c r="H2230"/>
      <c r="I2230"/>
      <c r="J2230"/>
      <c r="K2230"/>
      <c r="L2230"/>
    </row>
    <row r="2231" spans="1:12" hidden="1" x14ac:dyDescent="0.2">
      <c r="A2231" s="2291" t="s">
        <v>881</v>
      </c>
      <c r="B2231" s="1634" t="s">
        <v>702</v>
      </c>
      <c r="C2231"/>
      <c r="D2231"/>
      <c r="E2231"/>
      <c r="F2231"/>
      <c r="G2231"/>
      <c r="H2231"/>
      <c r="I2231"/>
      <c r="J2231"/>
      <c r="K2231"/>
      <c r="L2231"/>
    </row>
    <row r="2232" spans="1:12" hidden="1" x14ac:dyDescent="0.2">
      <c r="A2232" s="2291" t="s">
        <v>882</v>
      </c>
      <c r="B2232" s="1634" t="s">
        <v>5695</v>
      </c>
      <c r="C2232" s="1634" t="s">
        <v>4040</v>
      </c>
      <c r="D2232" s="1634" t="s">
        <v>4041</v>
      </c>
      <c r="E2232" s="1634" t="s">
        <v>3106</v>
      </c>
      <c r="F2232" s="1634" t="s">
        <v>5696</v>
      </c>
      <c r="G2232" s="2302" t="s">
        <v>869</v>
      </c>
      <c r="H2232" s="2302" t="s">
        <v>6617</v>
      </c>
      <c r="I2232"/>
      <c r="J2232"/>
      <c r="K2232"/>
      <c r="L2232"/>
    </row>
    <row r="2233" spans="1:12" hidden="1" x14ac:dyDescent="0.2">
      <c r="A2233" s="2291" t="s">
        <v>883</v>
      </c>
      <c r="B2233" s="1634" t="s">
        <v>5697</v>
      </c>
      <c r="C2233" s="1634" t="s">
        <v>6972</v>
      </c>
      <c r="D2233" s="1634" t="s">
        <v>5472</v>
      </c>
      <c r="E2233" s="1634" t="s">
        <v>553</v>
      </c>
      <c r="F2233" s="1634" t="s">
        <v>4704</v>
      </c>
      <c r="G2233" s="2302" t="s">
        <v>871</v>
      </c>
      <c r="H2233" s="2302" t="s">
        <v>6619</v>
      </c>
      <c r="I2233"/>
      <c r="J2233"/>
      <c r="K2233"/>
      <c r="L2233"/>
    </row>
    <row r="2234" spans="1:12" hidden="1" x14ac:dyDescent="0.2">
      <c r="A2234" s="2291" t="s">
        <v>884</v>
      </c>
      <c r="B2234" s="1634" t="s">
        <v>4705</v>
      </c>
      <c r="C2234" s="1634" t="s">
        <v>4173</v>
      </c>
      <c r="D2234" s="1634" t="s">
        <v>4174</v>
      </c>
      <c r="E2234" s="1634" t="s">
        <v>561</v>
      </c>
      <c r="F2234" s="1634" t="s">
        <v>4706</v>
      </c>
      <c r="G2234" s="2302" t="s">
        <v>3008</v>
      </c>
      <c r="H2234" s="2302" t="s">
        <v>6621</v>
      </c>
      <c r="I2234"/>
      <c r="J2234"/>
      <c r="K2234"/>
      <c r="L2234"/>
    </row>
    <row r="2235" spans="1:12" hidden="1" x14ac:dyDescent="0.2">
      <c r="A2235" s="2291" t="s">
        <v>885</v>
      </c>
      <c r="B2235" s="1634" t="s">
        <v>2021</v>
      </c>
      <c r="C2235" s="1634" t="s">
        <v>6672</v>
      </c>
      <c r="D2235" s="1634" t="s">
        <v>5473</v>
      </c>
      <c r="E2235" s="1634" t="s">
        <v>2022</v>
      </c>
      <c r="F2235" s="1634" t="s">
        <v>5474</v>
      </c>
      <c r="G2235" s="2302" t="s">
        <v>3010</v>
      </c>
      <c r="H2235" s="2302" t="s">
        <v>6623</v>
      </c>
      <c r="I2235"/>
      <c r="J2235"/>
      <c r="K2235"/>
      <c r="L2235"/>
    </row>
    <row r="2236" spans="1:12" hidden="1" x14ac:dyDescent="0.2">
      <c r="A2236" s="2291" t="s">
        <v>886</v>
      </c>
      <c r="B2236" s="1634" t="s">
        <v>4707</v>
      </c>
      <c r="C2236" s="1634" t="s">
        <v>6677</v>
      </c>
      <c r="D2236" s="1634" t="s">
        <v>6678</v>
      </c>
      <c r="E2236" s="1634" t="s">
        <v>2029</v>
      </c>
      <c r="F2236" s="1634" t="s">
        <v>4708</v>
      </c>
      <c r="G2236" s="2302" t="s">
        <v>6460</v>
      </c>
      <c r="H2236" s="2302" t="s">
        <v>3132</v>
      </c>
      <c r="I2236"/>
      <c r="J2236"/>
      <c r="K2236"/>
      <c r="L2236"/>
    </row>
    <row r="2237" spans="1:12" hidden="1" x14ac:dyDescent="0.2">
      <c r="A2237" s="2291" t="s">
        <v>887</v>
      </c>
      <c r="B2237" s="1634" t="s">
        <v>4709</v>
      </c>
      <c r="C2237" s="1634" t="s">
        <v>6683</v>
      </c>
      <c r="D2237" s="1634" t="s">
        <v>5475</v>
      </c>
      <c r="E2237" s="1634" t="s">
        <v>3423</v>
      </c>
      <c r="F2237" s="1634" t="s">
        <v>4710</v>
      </c>
      <c r="G2237" s="2302" t="s">
        <v>6462</v>
      </c>
      <c r="H2237" s="2302" t="s">
        <v>4045</v>
      </c>
    </row>
    <row r="2238" spans="1:12" hidden="1" x14ac:dyDescent="0.2">
      <c r="A2238" s="2291" t="s">
        <v>888</v>
      </c>
      <c r="B2238" s="1634" t="s">
        <v>4711</v>
      </c>
      <c r="C2238" s="1634" t="s">
        <v>6688</v>
      </c>
      <c r="D2238" s="1634" t="s">
        <v>6689</v>
      </c>
      <c r="E2238" s="1634" t="s">
        <v>5424</v>
      </c>
      <c r="F2238" s="1634" t="s">
        <v>4712</v>
      </c>
      <c r="G2238" s="2302" t="s">
        <v>6464</v>
      </c>
      <c r="H2238" s="2302" t="s">
        <v>4047</v>
      </c>
    </row>
    <row r="2239" spans="1:12" hidden="1" x14ac:dyDescent="0.2">
      <c r="A2239" s="2291" t="s">
        <v>889</v>
      </c>
      <c r="B2239" s="1634" t="s">
        <v>4713</v>
      </c>
      <c r="C2239" s="1634" t="s">
        <v>6694</v>
      </c>
      <c r="D2239" s="1634" t="s">
        <v>4094</v>
      </c>
      <c r="E2239" s="1634" t="s">
        <v>5430</v>
      </c>
      <c r="F2239" s="1634" t="s">
        <v>4714</v>
      </c>
      <c r="G2239" s="2302" t="s">
        <v>2911</v>
      </c>
      <c r="H2239" s="2302" t="s">
        <v>4095</v>
      </c>
    </row>
    <row r="2240" spans="1:12" hidden="1" x14ac:dyDescent="0.2">
      <c r="A2240" s="2291" t="s">
        <v>890</v>
      </c>
      <c r="B2240" s="1634" t="s">
        <v>2153</v>
      </c>
      <c r="C2240" s="1634" t="s">
        <v>6697</v>
      </c>
      <c r="D2240" s="1634" t="s">
        <v>4099</v>
      </c>
      <c r="E2240" s="1634" t="s">
        <v>2154</v>
      </c>
      <c r="F2240" s="1634" t="s">
        <v>5476</v>
      </c>
      <c r="G2240" s="2302" t="s">
        <v>2913</v>
      </c>
      <c r="H2240" s="2302" t="s">
        <v>4100</v>
      </c>
    </row>
    <row r="2241" spans="1:8" hidden="1" x14ac:dyDescent="0.2">
      <c r="A2241" s="2291" t="s">
        <v>891</v>
      </c>
      <c r="B2241" s="1634" t="s">
        <v>4715</v>
      </c>
      <c r="C2241" s="1634" t="s">
        <v>2660</v>
      </c>
      <c r="D2241" s="1634" t="s">
        <v>4104</v>
      </c>
      <c r="E2241" s="1634" t="s">
        <v>2161</v>
      </c>
      <c r="F2241" s="1634" t="s">
        <v>4716</v>
      </c>
      <c r="G2241" s="2302" t="s">
        <v>2915</v>
      </c>
      <c r="H2241" s="2302" t="s">
        <v>4105</v>
      </c>
    </row>
    <row r="2242" spans="1:8" hidden="1" x14ac:dyDescent="0.2">
      <c r="A2242" s="2291" t="s">
        <v>892</v>
      </c>
      <c r="B2242" s="1634" t="s">
        <v>4717</v>
      </c>
      <c r="C2242" s="1634" t="s">
        <v>2663</v>
      </c>
      <c r="D2242" s="1634" t="s">
        <v>2321</v>
      </c>
      <c r="E2242" s="1634" t="s">
        <v>2168</v>
      </c>
      <c r="F2242" s="1634" t="s">
        <v>6426</v>
      </c>
      <c r="G2242" s="2302" t="s">
        <v>2917</v>
      </c>
      <c r="H2242" s="2302" t="s">
        <v>2322</v>
      </c>
    </row>
    <row r="2243" spans="1:8" hidden="1" x14ac:dyDescent="0.2">
      <c r="A2243" s="2291" t="s">
        <v>893</v>
      </c>
      <c r="B2243" s="2302" t="s">
        <v>2328</v>
      </c>
      <c r="C2243"/>
      <c r="D2243"/>
      <c r="E2243"/>
      <c r="F2243"/>
      <c r="G2243"/>
      <c r="H2243"/>
    </row>
    <row r="2244" spans="1:8" hidden="1" x14ac:dyDescent="0.2">
      <c r="A2244" s="2291" t="s">
        <v>894</v>
      </c>
      <c r="B2244" s="2302" t="s">
        <v>6432</v>
      </c>
      <c r="C2244" s="2302" t="s">
        <v>3056</v>
      </c>
      <c r="D2244" s="2302" t="s">
        <v>1749</v>
      </c>
      <c r="E2244" s="2302" t="s">
        <v>3535</v>
      </c>
      <c r="F2244" s="2302" t="s">
        <v>3301</v>
      </c>
      <c r="G2244" s="2302" t="s">
        <v>4082</v>
      </c>
      <c r="H2244" s="2302" t="s">
        <v>1750</v>
      </c>
    </row>
    <row r="2245" spans="1:8" hidden="1" x14ac:dyDescent="0.2">
      <c r="A2245" s="2291" t="s">
        <v>7896</v>
      </c>
      <c r="B2245" s="2302" t="s">
        <v>6433</v>
      </c>
      <c r="C2245" s="2302" t="s">
        <v>3058</v>
      </c>
      <c r="D2245" s="2302" t="s">
        <v>1727</v>
      </c>
      <c r="E2245" s="2302" t="s">
        <v>6189</v>
      </c>
      <c r="F2245" s="2302" t="s">
        <v>3303</v>
      </c>
      <c r="G2245" s="2302" t="s">
        <v>4084</v>
      </c>
      <c r="H2245" s="2302" t="s">
        <v>1728</v>
      </c>
    </row>
    <row r="2246" spans="1:8" hidden="1" x14ac:dyDescent="0.2">
      <c r="A2246" s="2291" t="s">
        <v>7897</v>
      </c>
      <c r="B2246" s="2302" t="s">
        <v>2276</v>
      </c>
      <c r="C2246" s="2302" t="s">
        <v>3865</v>
      </c>
      <c r="D2246" s="2302" t="s">
        <v>2493</v>
      </c>
      <c r="E2246" s="2302" t="s">
        <v>2277</v>
      </c>
      <c r="F2246" s="2302" t="s">
        <v>5477</v>
      </c>
      <c r="G2246" s="2302" t="s">
        <v>4086</v>
      </c>
      <c r="H2246" s="2302" t="s">
        <v>2494</v>
      </c>
    </row>
    <row r="2247" spans="1:8" hidden="1" x14ac:dyDescent="0.2">
      <c r="A2247" s="2291" t="s">
        <v>7898</v>
      </c>
      <c r="B2247" s="2302" t="s">
        <v>6434</v>
      </c>
      <c r="C2247" s="2302" t="s">
        <v>3868</v>
      </c>
      <c r="D2247" s="2302" t="s">
        <v>5817</v>
      </c>
      <c r="E2247" s="2302" t="s">
        <v>2284</v>
      </c>
      <c r="F2247" s="2302" t="s">
        <v>6435</v>
      </c>
      <c r="G2247" s="2302" t="s">
        <v>2431</v>
      </c>
      <c r="H2247" s="2302" t="s">
        <v>2432</v>
      </c>
    </row>
    <row r="2248" spans="1:8" hidden="1" x14ac:dyDescent="0.2">
      <c r="A2248" s="2291" t="s">
        <v>7899</v>
      </c>
      <c r="B2248" s="2302" t="s">
        <v>6436</v>
      </c>
      <c r="C2248" s="2302" t="s">
        <v>3871</v>
      </c>
      <c r="D2248" s="2302" t="s">
        <v>1069</v>
      </c>
      <c r="E2248" s="2302" t="s">
        <v>270</v>
      </c>
      <c r="F2248" s="2302" t="s">
        <v>6437</v>
      </c>
      <c r="G2248" s="2302" t="s">
        <v>4088</v>
      </c>
      <c r="H2248" s="2302" t="s">
        <v>1070</v>
      </c>
    </row>
    <row r="2249" spans="1:8" hidden="1" x14ac:dyDescent="0.2">
      <c r="A2249" s="2291" t="s">
        <v>7900</v>
      </c>
      <c r="B2249" s="2302" t="s">
        <v>6438</v>
      </c>
      <c r="C2249" s="2302" t="s">
        <v>3874</v>
      </c>
      <c r="D2249" s="2302" t="s">
        <v>1075</v>
      </c>
      <c r="E2249" s="2302" t="s">
        <v>277</v>
      </c>
      <c r="F2249" s="2302" t="s">
        <v>6439</v>
      </c>
      <c r="G2249" s="2302" t="s">
        <v>1076</v>
      </c>
      <c r="H2249" s="2302" t="s">
        <v>4204</v>
      </c>
    </row>
    <row r="2250" spans="1:8" hidden="1" x14ac:dyDescent="0.2">
      <c r="A2250" s="2291" t="s">
        <v>7901</v>
      </c>
      <c r="B2250" s="2302" t="s">
        <v>2945</v>
      </c>
      <c r="C2250" s="2302" t="s">
        <v>3877</v>
      </c>
      <c r="D2250" s="2302" t="s">
        <v>1781</v>
      </c>
      <c r="E2250" s="2302" t="s">
        <v>2946</v>
      </c>
      <c r="F2250" s="2302" t="s">
        <v>1782</v>
      </c>
      <c r="G2250" s="2302" t="s">
        <v>1783</v>
      </c>
      <c r="H2250" s="2302" t="s">
        <v>1784</v>
      </c>
    </row>
    <row r="2251" spans="1:8" hidden="1" x14ac:dyDescent="0.2">
      <c r="A2251" s="2291" t="s">
        <v>7902</v>
      </c>
      <c r="B2251" s="2302" t="s">
        <v>2667</v>
      </c>
      <c r="C2251" s="2302" t="s">
        <v>395</v>
      </c>
      <c r="D2251" s="2302" t="s">
        <v>2668</v>
      </c>
      <c r="E2251" s="2302" t="s">
        <v>2669</v>
      </c>
      <c r="F2251" s="2302" t="s">
        <v>5478</v>
      </c>
      <c r="G2251" s="2302" t="s">
        <v>2670</v>
      </c>
      <c r="H2251" s="2302" t="s">
        <v>2671</v>
      </c>
    </row>
    <row r="2252" spans="1:8" hidden="1" x14ac:dyDescent="0.2">
      <c r="A2252" s="2291" t="s">
        <v>7903</v>
      </c>
      <c r="B2252" s="2302" t="s">
        <v>661</v>
      </c>
      <c r="C2252" s="2302" t="s">
        <v>662</v>
      </c>
      <c r="D2252" s="2302" t="s">
        <v>663</v>
      </c>
      <c r="E2252" s="2302" t="s">
        <v>664</v>
      </c>
      <c r="F2252" s="2302" t="s">
        <v>665</v>
      </c>
      <c r="G2252" s="2302" t="s">
        <v>666</v>
      </c>
      <c r="H2252" s="2302" t="s">
        <v>351</v>
      </c>
    </row>
    <row r="2253" spans="1:8" hidden="1" x14ac:dyDescent="0.2">
      <c r="A2253" s="2291" t="s">
        <v>7904</v>
      </c>
      <c r="B2253" s="2302" t="s">
        <v>671</v>
      </c>
      <c r="C2253" s="2302" t="s">
        <v>672</v>
      </c>
      <c r="D2253" s="2302" t="s">
        <v>673</v>
      </c>
      <c r="E2253" s="2302" t="s">
        <v>674</v>
      </c>
      <c r="F2253" s="2302" t="s">
        <v>5479</v>
      </c>
      <c r="G2253" s="2302" t="s">
        <v>3493</v>
      </c>
      <c r="H2253" s="2302" t="s">
        <v>353</v>
      </c>
    </row>
    <row r="2254" spans="1:8" hidden="1" x14ac:dyDescent="0.2">
      <c r="A2254" s="2291" t="s">
        <v>7905</v>
      </c>
      <c r="B2254" s="164" t="s">
        <v>682</v>
      </c>
      <c r="C2254"/>
      <c r="D2254"/>
      <c r="E2254"/>
      <c r="F2254"/>
      <c r="G2254"/>
      <c r="H2254"/>
    </row>
    <row r="2255" spans="1:8" hidden="1" x14ac:dyDescent="0.2">
      <c r="A2255" s="2291" t="s">
        <v>7906</v>
      </c>
      <c r="B2255" s="164" t="s">
        <v>2925</v>
      </c>
      <c r="C2255"/>
      <c r="D2255"/>
      <c r="E2255"/>
      <c r="F2255"/>
      <c r="G2255"/>
      <c r="H2255"/>
    </row>
    <row r="2256" spans="1:8" hidden="1" x14ac:dyDescent="0.2">
      <c r="A2256" s="2291" t="s">
        <v>7907</v>
      </c>
      <c r="B2256" s="2302" t="s">
        <v>510</v>
      </c>
      <c r="C2256"/>
      <c r="D2256"/>
      <c r="E2256"/>
      <c r="F2256"/>
      <c r="G2256"/>
      <c r="H2256"/>
    </row>
    <row r="2257" spans="1:8" hidden="1" x14ac:dyDescent="0.2">
      <c r="A2257" s="2292"/>
      <c r="B2257" s="164"/>
      <c r="C2257" s="164"/>
      <c r="D2257" s="164"/>
      <c r="E2257" s="164"/>
      <c r="F2257" s="164"/>
    </row>
    <row r="2258" spans="1:8" hidden="1" x14ac:dyDescent="0.2">
      <c r="A2258"/>
      <c r="B2258" s="164"/>
      <c r="C2258"/>
      <c r="D2258"/>
      <c r="E2258"/>
      <c r="F2258"/>
      <c r="G2258"/>
      <c r="H2258"/>
    </row>
    <row r="2259" spans="1:8" hidden="1" x14ac:dyDescent="0.2">
      <c r="A2259" s="2291" t="s">
        <v>895</v>
      </c>
      <c r="B2259" s="164" t="s">
        <v>3882</v>
      </c>
      <c r="C2259"/>
      <c r="D2259"/>
      <c r="E2259"/>
      <c r="F2259"/>
      <c r="G2259"/>
      <c r="H2259"/>
    </row>
    <row r="2260" spans="1:8" hidden="1" x14ac:dyDescent="0.2">
      <c r="A2260" s="2291" t="s">
        <v>896</v>
      </c>
      <c r="B2260" s="164" t="s">
        <v>702</v>
      </c>
      <c r="C2260"/>
      <c r="D2260"/>
      <c r="E2260"/>
      <c r="F2260"/>
      <c r="G2260"/>
      <c r="H2260"/>
    </row>
    <row r="2261" spans="1:8" hidden="1" x14ac:dyDescent="0.2">
      <c r="A2261" s="2291" t="s">
        <v>897</v>
      </c>
      <c r="B2261" s="164" t="s">
        <v>863</v>
      </c>
      <c r="C2261" s="1634" t="s">
        <v>6611</v>
      </c>
      <c r="D2261" s="1634" t="s">
        <v>2724</v>
      </c>
      <c r="E2261"/>
      <c r="F2261"/>
      <c r="G2261"/>
      <c r="H2261"/>
    </row>
    <row r="2262" spans="1:8" hidden="1" x14ac:dyDescent="0.2">
      <c r="A2262" s="2291" t="s">
        <v>898</v>
      </c>
      <c r="B2262" s="164" t="s">
        <v>865</v>
      </c>
      <c r="C2262" s="1634" t="s">
        <v>6613</v>
      </c>
      <c r="D2262" s="1634" t="s">
        <v>4029</v>
      </c>
      <c r="E2262"/>
      <c r="F2262"/>
      <c r="G2262"/>
      <c r="H2262"/>
    </row>
    <row r="2263" spans="1:8" hidden="1" x14ac:dyDescent="0.2">
      <c r="A2263" s="2291" t="s">
        <v>899</v>
      </c>
      <c r="B2263" s="164" t="s">
        <v>867</v>
      </c>
      <c r="C2263" s="1634" t="s">
        <v>6615</v>
      </c>
      <c r="D2263" s="1634" t="s">
        <v>4036</v>
      </c>
      <c r="E2263"/>
      <c r="F2263"/>
      <c r="G2263"/>
      <c r="H2263"/>
    </row>
    <row r="2264" spans="1:8" hidden="1" x14ac:dyDescent="0.2">
      <c r="A2264" s="2291" t="s">
        <v>900</v>
      </c>
      <c r="B2264" s="164" t="s">
        <v>869</v>
      </c>
      <c r="C2264" s="1634" t="s">
        <v>4042</v>
      </c>
      <c r="D2264"/>
      <c r="E2264"/>
      <c r="F2264"/>
      <c r="G2264"/>
      <c r="H2264"/>
    </row>
    <row r="2265" spans="1:8" hidden="1" x14ac:dyDescent="0.2">
      <c r="A2265" s="2291" t="s">
        <v>901</v>
      </c>
      <c r="B2265" s="164" t="s">
        <v>4706</v>
      </c>
      <c r="C2265"/>
      <c r="D2265"/>
      <c r="E2265"/>
      <c r="F2265"/>
      <c r="G2265"/>
      <c r="H2265"/>
    </row>
    <row r="2266" spans="1:8" hidden="1" x14ac:dyDescent="0.2">
      <c r="A2266" s="2291" t="s">
        <v>902</v>
      </c>
      <c r="B2266" s="164" t="s">
        <v>4708</v>
      </c>
      <c r="C2266"/>
      <c r="D2266"/>
      <c r="E2266"/>
      <c r="F2266"/>
      <c r="G2266"/>
      <c r="H2266"/>
    </row>
    <row r="2267" spans="1:8" hidden="1" x14ac:dyDescent="0.2">
      <c r="A2267" s="2291" t="s">
        <v>903</v>
      </c>
      <c r="B2267" s="164" t="s">
        <v>2153</v>
      </c>
      <c r="C2267" s="1634" t="s">
        <v>4099</v>
      </c>
      <c r="D2267" s="1634" t="s">
        <v>2154</v>
      </c>
      <c r="E2267"/>
      <c r="F2267"/>
      <c r="G2267"/>
      <c r="H2267"/>
    </row>
    <row r="2268" spans="1:8" hidden="1" x14ac:dyDescent="0.2">
      <c r="A2268" s="2291" t="s">
        <v>904</v>
      </c>
      <c r="B2268" s="164" t="s">
        <v>4715</v>
      </c>
      <c r="C2268" s="1634" t="s">
        <v>4104</v>
      </c>
      <c r="D2268" s="1634" t="s">
        <v>2161</v>
      </c>
      <c r="E2268"/>
      <c r="F2268"/>
      <c r="G2268"/>
      <c r="H2268"/>
    </row>
    <row r="2269" spans="1:8" hidden="1" x14ac:dyDescent="0.2">
      <c r="A2269" s="2291" t="s">
        <v>905</v>
      </c>
      <c r="B2269" s="164" t="s">
        <v>4717</v>
      </c>
      <c r="C2269" s="1634" t="s">
        <v>2321</v>
      </c>
      <c r="D2269" s="1634" t="s">
        <v>2168</v>
      </c>
      <c r="E2269"/>
      <c r="F2269"/>
    </row>
    <row r="2270" spans="1:8" hidden="1" x14ac:dyDescent="0.2">
      <c r="A2270" s="2291" t="s">
        <v>906</v>
      </c>
      <c r="B2270" s="164" t="s">
        <v>6427</v>
      </c>
      <c r="C2270" s="1634" t="s">
        <v>2326</v>
      </c>
      <c r="D2270" s="1634" t="s">
        <v>2174</v>
      </c>
      <c r="E2270"/>
      <c r="F2270"/>
    </row>
    <row r="2271" spans="1:8" hidden="1" x14ac:dyDescent="0.2">
      <c r="A2271" s="2291" t="s">
        <v>907</v>
      </c>
      <c r="B2271" s="164" t="s">
        <v>6429</v>
      </c>
      <c r="C2271" s="1634" t="s">
        <v>6605</v>
      </c>
      <c r="D2271" s="1634" t="s">
        <v>2181</v>
      </c>
      <c r="E2271"/>
      <c r="F2271"/>
    </row>
    <row r="2272" spans="1:8" hidden="1" x14ac:dyDescent="0.2">
      <c r="A2272" s="2291" t="s">
        <v>908</v>
      </c>
      <c r="B2272" s="164" t="s">
        <v>2187</v>
      </c>
      <c r="C2272" s="1634" t="s">
        <v>2</v>
      </c>
      <c r="D2272" s="1634" t="s">
        <v>2188</v>
      </c>
      <c r="E2272"/>
      <c r="F2272"/>
    </row>
    <row r="2273" spans="1:6" hidden="1" x14ac:dyDescent="0.2">
      <c r="A2273" s="2291" t="s">
        <v>909</v>
      </c>
      <c r="B2273" s="164" t="s">
        <v>6431</v>
      </c>
      <c r="C2273" s="1634" t="s">
        <v>1744</v>
      </c>
      <c r="D2273" s="1634" t="s">
        <v>3092</v>
      </c>
      <c r="E2273"/>
      <c r="F2273"/>
    </row>
    <row r="2274" spans="1:6" hidden="1" x14ac:dyDescent="0.2">
      <c r="A2274" s="2291" t="s">
        <v>910</v>
      </c>
      <c r="B2274" s="164" t="s">
        <v>6432</v>
      </c>
      <c r="C2274" s="1634" t="s">
        <v>1749</v>
      </c>
      <c r="D2274" s="1634" t="s">
        <v>3535</v>
      </c>
      <c r="E2274"/>
      <c r="F2274"/>
    </row>
    <row r="2275" spans="1:6" hidden="1" x14ac:dyDescent="0.2">
      <c r="A2275" s="2291" t="s">
        <v>911</v>
      </c>
      <c r="B2275" s="164" t="s">
        <v>5477</v>
      </c>
      <c r="C2275"/>
      <c r="D2275"/>
      <c r="E2275"/>
      <c r="F2275"/>
    </row>
    <row r="2276" spans="1:6" hidden="1" x14ac:dyDescent="0.2">
      <c r="A2276" s="2291" t="s">
        <v>912</v>
      </c>
      <c r="B2276" s="164" t="s">
        <v>4088</v>
      </c>
      <c r="C2276"/>
      <c r="D2276"/>
      <c r="E2276"/>
      <c r="F2276"/>
    </row>
    <row r="2277" spans="1:6" hidden="1" x14ac:dyDescent="0.2">
      <c r="A2277" s="2291" t="s">
        <v>913</v>
      </c>
      <c r="B2277" s="164" t="s">
        <v>1783</v>
      </c>
      <c r="C2277"/>
      <c r="D2277"/>
      <c r="E2277"/>
      <c r="F2277"/>
    </row>
    <row r="2278" spans="1:6" hidden="1" x14ac:dyDescent="0.2">
      <c r="A2278" s="2291" t="s">
        <v>4144</v>
      </c>
      <c r="B2278" s="164" t="s">
        <v>666</v>
      </c>
      <c r="C2278"/>
      <c r="D2278"/>
      <c r="E2278"/>
      <c r="F2278"/>
    </row>
    <row r="2279" spans="1:6" hidden="1" x14ac:dyDescent="0.2">
      <c r="A2279" s="2292"/>
      <c r="B2279" s="164"/>
      <c r="C2279" s="164"/>
      <c r="D2279" s="164"/>
      <c r="E2279" s="164"/>
      <c r="F2279"/>
    </row>
    <row r="2280" spans="1:6" hidden="1" x14ac:dyDescent="0.2">
      <c r="A2280" s="2292"/>
      <c r="B2280" s="164"/>
      <c r="C2280" s="164"/>
      <c r="D2280" s="164"/>
      <c r="E2280" s="164"/>
      <c r="F2280" s="164"/>
    </row>
    <row r="2281" spans="1:6" hidden="1" x14ac:dyDescent="0.2">
      <c r="A2281" s="2292" t="s">
        <v>4867</v>
      </c>
      <c r="B2281" s="164" t="s">
        <v>706</v>
      </c>
      <c r="C2281" s="164"/>
      <c r="D2281" s="164"/>
      <c r="E2281" s="164"/>
      <c r="F2281" s="164"/>
    </row>
    <row r="2282" spans="1:6" hidden="1" x14ac:dyDescent="0.2">
      <c r="A2282" s="2292" t="s">
        <v>4868</v>
      </c>
      <c r="B2282" s="164" t="s">
        <v>867</v>
      </c>
      <c r="C2282" s="164"/>
      <c r="D2282" s="164"/>
      <c r="E2282" s="164"/>
      <c r="F2282" s="164"/>
    </row>
    <row r="2283" spans="1:6" hidden="1" x14ac:dyDescent="0.2">
      <c r="A2283" s="2292" t="s">
        <v>4869</v>
      </c>
      <c r="B2283" s="164" t="s">
        <v>4040</v>
      </c>
      <c r="C2283" s="164" t="s">
        <v>869</v>
      </c>
      <c r="D2283" s="164"/>
      <c r="E2283" s="164"/>
      <c r="F2283" s="164"/>
    </row>
    <row r="2284" spans="1:6" hidden="1" x14ac:dyDescent="0.2">
      <c r="A2284" s="2292" t="s">
        <v>4870</v>
      </c>
      <c r="B2284" s="164" t="s">
        <v>871</v>
      </c>
      <c r="C2284" s="164"/>
      <c r="D2284" s="164"/>
      <c r="E2284" s="164"/>
      <c r="F2284" s="164"/>
    </row>
    <row r="2285" spans="1:6" hidden="1" x14ac:dyDescent="0.2">
      <c r="A2285" s="2292" t="s">
        <v>4871</v>
      </c>
      <c r="B2285" s="164" t="s">
        <v>2660</v>
      </c>
      <c r="C2285" s="164" t="s">
        <v>4104</v>
      </c>
      <c r="D2285" s="164" t="s">
        <v>2161</v>
      </c>
      <c r="E2285" s="164" t="s">
        <v>4716</v>
      </c>
      <c r="F2285" s="164" t="s">
        <v>2915</v>
      </c>
    </row>
    <row r="2286" spans="1:6" hidden="1" x14ac:dyDescent="0.2">
      <c r="A2286" s="2292" t="s">
        <v>6104</v>
      </c>
      <c r="B2286" s="164" t="s">
        <v>2663</v>
      </c>
      <c r="C2286" s="164" t="s">
        <v>2321</v>
      </c>
      <c r="D2286" s="164" t="s">
        <v>2168</v>
      </c>
      <c r="E2286" s="164" t="s">
        <v>6426</v>
      </c>
      <c r="F2286" s="164" t="s">
        <v>2917</v>
      </c>
    </row>
    <row r="2287" spans="1:6" hidden="1" x14ac:dyDescent="0.2">
      <c r="A2287" s="2292" t="s">
        <v>6105</v>
      </c>
      <c r="B2287" s="164" t="s">
        <v>3859</v>
      </c>
      <c r="C2287" s="164" t="s">
        <v>2326</v>
      </c>
      <c r="D2287" s="164" t="s">
        <v>2174</v>
      </c>
      <c r="E2287" s="164" t="s">
        <v>6428</v>
      </c>
      <c r="F2287" s="164" t="s">
        <v>2919</v>
      </c>
    </row>
    <row r="2288" spans="1:6" hidden="1" x14ac:dyDescent="0.2">
      <c r="A2288" s="2292" t="s">
        <v>3880</v>
      </c>
      <c r="B2288" s="164" t="s">
        <v>3862</v>
      </c>
      <c r="C2288" s="164" t="s">
        <v>6605</v>
      </c>
      <c r="D2288" s="164" t="s">
        <v>2181</v>
      </c>
      <c r="E2288" s="164" t="s">
        <v>6430</v>
      </c>
      <c r="F2288" s="164" t="s">
        <v>1575</v>
      </c>
    </row>
    <row r="2289" spans="1:6" hidden="1" x14ac:dyDescent="0.2">
      <c r="A2289" s="2292" t="s">
        <v>914</v>
      </c>
      <c r="B2289" s="164" t="s">
        <v>2</v>
      </c>
      <c r="C2289" s="164" t="s">
        <v>2188</v>
      </c>
      <c r="D2289" s="164" t="s">
        <v>2921</v>
      </c>
      <c r="E2289" s="164" t="s">
        <v>4078</v>
      </c>
      <c r="F2289"/>
    </row>
    <row r="2290" spans="1:6" hidden="1" x14ac:dyDescent="0.2">
      <c r="A2290" s="2292" t="s">
        <v>915</v>
      </c>
      <c r="B2290" s="164" t="s">
        <v>3871</v>
      </c>
      <c r="C2290" s="164" t="s">
        <v>1069</v>
      </c>
      <c r="D2290" s="164" t="s">
        <v>270</v>
      </c>
      <c r="E2290" s="164" t="s">
        <v>6437</v>
      </c>
      <c r="F2290" s="164" t="s">
        <v>4088</v>
      </c>
    </row>
    <row r="2291" spans="1:6" hidden="1" x14ac:dyDescent="0.2">
      <c r="A2291" s="2292" t="s">
        <v>916</v>
      </c>
      <c r="B2291" s="164" t="s">
        <v>3874</v>
      </c>
      <c r="C2291" s="164" t="s">
        <v>1075</v>
      </c>
      <c r="D2291" s="164" t="s">
        <v>277</v>
      </c>
      <c r="E2291" s="164" t="s">
        <v>6439</v>
      </c>
      <c r="F2291" s="164" t="s">
        <v>1076</v>
      </c>
    </row>
    <row r="2292" spans="1:6" hidden="1" x14ac:dyDescent="0.2">
      <c r="A2292" s="2292" t="s">
        <v>917</v>
      </c>
      <c r="B2292" s="164" t="s">
        <v>3877</v>
      </c>
      <c r="C2292" s="164" t="s">
        <v>1781</v>
      </c>
      <c r="D2292" s="164" t="s">
        <v>2946</v>
      </c>
      <c r="E2292" s="164" t="s">
        <v>1782</v>
      </c>
      <c r="F2292" s="164" t="s">
        <v>1783</v>
      </c>
    </row>
    <row r="2293" spans="1:6" hidden="1" x14ac:dyDescent="0.2">
      <c r="A2293" s="2292" t="s">
        <v>918</v>
      </c>
      <c r="B2293" s="164" t="s">
        <v>395</v>
      </c>
      <c r="C2293" s="164" t="s">
        <v>2668</v>
      </c>
      <c r="D2293" s="164" t="s">
        <v>2669</v>
      </c>
      <c r="E2293" s="164" t="s">
        <v>5478</v>
      </c>
      <c r="F2293" s="164" t="s">
        <v>2670</v>
      </c>
    </row>
    <row r="2294" spans="1:6" hidden="1" x14ac:dyDescent="0.2">
      <c r="A2294" s="2292" t="s">
        <v>919</v>
      </c>
      <c r="B2294" s="164" t="s">
        <v>663</v>
      </c>
      <c r="C2294" s="164" t="s">
        <v>664</v>
      </c>
      <c r="D2294" s="164" t="s">
        <v>665</v>
      </c>
      <c r="E2294" s="164" t="s">
        <v>666</v>
      </c>
      <c r="F2294"/>
    </row>
    <row r="2295" spans="1:6" hidden="1" x14ac:dyDescent="0.2">
      <c r="A2295" s="2292" t="s">
        <v>920</v>
      </c>
      <c r="B2295" s="164" t="s">
        <v>3503</v>
      </c>
      <c r="C2295" s="164" t="s">
        <v>3246</v>
      </c>
      <c r="D2295" s="164" t="s">
        <v>3247</v>
      </c>
      <c r="E2295" s="164" t="s">
        <v>4523</v>
      </c>
      <c r="F2295" s="164" t="s">
        <v>3248</v>
      </c>
    </row>
    <row r="2296" spans="1:6" hidden="1" x14ac:dyDescent="0.2">
      <c r="A2296" s="2292" t="s">
        <v>921</v>
      </c>
      <c r="B2296" s="164" t="s">
        <v>6948</v>
      </c>
      <c r="C2296" s="164" t="s">
        <v>5480</v>
      </c>
      <c r="D2296" s="164" t="s">
        <v>2954</v>
      </c>
      <c r="E2296" s="164" t="s">
        <v>3254</v>
      </c>
      <c r="F2296" s="164" t="s">
        <v>3255</v>
      </c>
    </row>
    <row r="2297" spans="1:6" hidden="1" x14ac:dyDescent="0.2">
      <c r="A2297" s="2292" t="s">
        <v>4872</v>
      </c>
      <c r="B2297" s="164" t="s">
        <v>6950</v>
      </c>
      <c r="C2297" s="164" t="s">
        <v>799</v>
      </c>
      <c r="D2297" s="164" t="s">
        <v>473</v>
      </c>
      <c r="E2297" s="164" t="s">
        <v>4525</v>
      </c>
      <c r="F2297" s="164" t="s">
        <v>800</v>
      </c>
    </row>
    <row r="2298" spans="1:6" hidden="1" x14ac:dyDescent="0.2">
      <c r="A2298" s="2292" t="s">
        <v>4873</v>
      </c>
      <c r="B2298" s="164" t="s">
        <v>806</v>
      </c>
      <c r="C2298" s="164" t="s">
        <v>807</v>
      </c>
      <c r="D2298" s="164" t="s">
        <v>6470</v>
      </c>
      <c r="E2298" s="164" t="s">
        <v>465</v>
      </c>
      <c r="F2298" s="164" t="s">
        <v>808</v>
      </c>
    </row>
    <row r="2299" spans="1:6" hidden="1" x14ac:dyDescent="0.2">
      <c r="A2299" s="2292" t="s">
        <v>4874</v>
      </c>
      <c r="B2299" s="164" t="s">
        <v>814</v>
      </c>
      <c r="C2299" s="164" t="s">
        <v>6474</v>
      </c>
      <c r="D2299" s="164" t="s">
        <v>5728</v>
      </c>
      <c r="E2299" s="164" t="s">
        <v>815</v>
      </c>
      <c r="F2299"/>
    </row>
    <row r="2300" spans="1:6" hidden="1" x14ac:dyDescent="0.2">
      <c r="A2300" s="2292" t="s">
        <v>4875</v>
      </c>
      <c r="B2300" s="164" t="s">
        <v>3458</v>
      </c>
      <c r="C2300" s="164" t="s">
        <v>986</v>
      </c>
      <c r="D2300" s="164" t="s">
        <v>216</v>
      </c>
      <c r="E2300" s="164" t="s">
        <v>5218</v>
      </c>
      <c r="F2300" s="164" t="s">
        <v>1815</v>
      </c>
    </row>
    <row r="2301" spans="1:6" hidden="1" x14ac:dyDescent="0.2">
      <c r="A2301" s="2292" t="s">
        <v>4876</v>
      </c>
      <c r="B2301" s="164" t="s">
        <v>1591</v>
      </c>
      <c r="C2301" s="164" t="s">
        <v>6180</v>
      </c>
      <c r="D2301" s="164" t="s">
        <v>6384</v>
      </c>
      <c r="E2301" s="164" t="s">
        <v>6181</v>
      </c>
      <c r="F2301" s="164" t="s">
        <v>406</v>
      </c>
    </row>
    <row r="2302" spans="1:6" hidden="1" x14ac:dyDescent="0.2">
      <c r="A2302" s="2292" t="s">
        <v>4877</v>
      </c>
      <c r="B2302" s="164" t="s">
        <v>523</v>
      </c>
      <c r="C2302" s="164" t="s">
        <v>6631</v>
      </c>
      <c r="D2302" s="164" t="s">
        <v>6389</v>
      </c>
      <c r="E2302" s="164" t="s">
        <v>4819</v>
      </c>
      <c r="F2302" s="164" t="s">
        <v>2624</v>
      </c>
    </row>
    <row r="2303" spans="1:6" hidden="1" x14ac:dyDescent="0.2">
      <c r="A2303" s="2292" t="s">
        <v>4878</v>
      </c>
      <c r="B2303" s="164" t="s">
        <v>2091</v>
      </c>
      <c r="C2303" s="164" t="s">
        <v>2092</v>
      </c>
      <c r="D2303" s="164" t="s">
        <v>6394</v>
      </c>
      <c r="E2303" s="164" t="s">
        <v>4820</v>
      </c>
      <c r="F2303" s="164" t="s">
        <v>2626</v>
      </c>
    </row>
    <row r="2304" spans="1:6" hidden="1" x14ac:dyDescent="0.2">
      <c r="A2304" s="2292" t="s">
        <v>4879</v>
      </c>
      <c r="B2304" s="164" t="s">
        <v>5777</v>
      </c>
      <c r="C2304" s="164" t="s">
        <v>5778</v>
      </c>
      <c r="D2304" s="164" t="s">
        <v>6399</v>
      </c>
      <c r="E2304" s="164" t="s">
        <v>4821</v>
      </c>
      <c r="F2304" s="164" t="s">
        <v>5689</v>
      </c>
    </row>
    <row r="2305" spans="1:6" hidden="1" x14ac:dyDescent="0.2">
      <c r="A2305" s="2292" t="s">
        <v>4880</v>
      </c>
      <c r="B2305" s="164" t="s">
        <v>30</v>
      </c>
      <c r="C2305" s="164" t="s">
        <v>4549</v>
      </c>
      <c r="D2305" s="164" t="s">
        <v>6404</v>
      </c>
      <c r="E2305" s="164" t="s">
        <v>2230</v>
      </c>
      <c r="F2305" s="164" t="s">
        <v>5691</v>
      </c>
    </row>
    <row r="2306" spans="1:6" hidden="1" x14ac:dyDescent="0.2">
      <c r="A2306" s="2292" t="s">
        <v>4881</v>
      </c>
      <c r="B2306" s="164" t="s">
        <v>4299</v>
      </c>
      <c r="C2306" s="164" t="s">
        <v>1791</v>
      </c>
      <c r="D2306" s="164" t="s">
        <v>6409</v>
      </c>
      <c r="E2306" s="164" t="s">
        <v>4837</v>
      </c>
      <c r="F2306" s="164" t="s">
        <v>1792</v>
      </c>
    </row>
    <row r="2307" spans="1:6" hidden="1" x14ac:dyDescent="0.2">
      <c r="A2307" s="2292" t="s">
        <v>4884</v>
      </c>
      <c r="B2307" s="164" t="s">
        <v>4302</v>
      </c>
      <c r="C2307" s="164" t="s">
        <v>1794</v>
      </c>
      <c r="D2307" s="164" t="s">
        <v>5239</v>
      </c>
      <c r="E2307" s="164" t="s">
        <v>2235</v>
      </c>
      <c r="F2307" s="164" t="s">
        <v>1795</v>
      </c>
    </row>
    <row r="2308" spans="1:6" hidden="1" x14ac:dyDescent="0.2">
      <c r="A2308" s="2292" t="s">
        <v>4885</v>
      </c>
      <c r="B2308" s="164" t="s">
        <v>4305</v>
      </c>
      <c r="C2308" s="164" t="s">
        <v>1797</v>
      </c>
      <c r="D2308" s="164" t="s">
        <v>5242</v>
      </c>
      <c r="E2308" s="164" t="s">
        <v>1798</v>
      </c>
      <c r="F2308" s="164" t="s">
        <v>1799</v>
      </c>
    </row>
    <row r="2309" spans="1:6" hidden="1" x14ac:dyDescent="0.2">
      <c r="A2309" s="2292" t="s">
        <v>4886</v>
      </c>
      <c r="B2309" s="164" t="s">
        <v>3400</v>
      </c>
      <c r="C2309" s="164" t="s">
        <v>3401</v>
      </c>
      <c r="D2309" s="164" t="s">
        <v>1024</v>
      </c>
      <c r="E2309" s="164" t="s">
        <v>3402</v>
      </c>
      <c r="F2309" s="164" t="s">
        <v>3403</v>
      </c>
    </row>
    <row r="2310" spans="1:6" hidden="1" x14ac:dyDescent="0.2">
      <c r="A2310" s="2292" t="s">
        <v>4887</v>
      </c>
      <c r="B2310" s="164" t="s">
        <v>5896</v>
      </c>
      <c r="C2310" s="164" t="s">
        <v>5897</v>
      </c>
      <c r="D2310" s="164" t="s">
        <v>6513</v>
      </c>
      <c r="E2310" s="164" t="s">
        <v>4822</v>
      </c>
      <c r="F2310" s="164" t="s">
        <v>5095</v>
      </c>
    </row>
    <row r="2311" spans="1:6" hidden="1" x14ac:dyDescent="0.2">
      <c r="A2311" s="2292" t="s">
        <v>4888</v>
      </c>
      <c r="B2311" s="164" t="s">
        <v>5101</v>
      </c>
      <c r="C2311" s="164" t="s">
        <v>5102</v>
      </c>
      <c r="D2311" s="164" t="s">
        <v>2301</v>
      </c>
      <c r="E2311" s="164" t="s">
        <v>5103</v>
      </c>
      <c r="F2311" s="164" t="s">
        <v>5104</v>
      </c>
    </row>
    <row r="2312" spans="1:6" hidden="1" x14ac:dyDescent="0.2">
      <c r="A2312" s="2292" t="s">
        <v>4889</v>
      </c>
      <c r="B2312" s="164" t="s">
        <v>2639</v>
      </c>
      <c r="C2312" s="164" t="s">
        <v>2640</v>
      </c>
      <c r="D2312" s="164" t="s">
        <v>2641</v>
      </c>
      <c r="E2312" s="164" t="s">
        <v>4825</v>
      </c>
      <c r="F2312" s="164" t="s">
        <v>2642</v>
      </c>
    </row>
    <row r="2313" spans="1:6" hidden="1" x14ac:dyDescent="0.2">
      <c r="A2313" s="2292" t="s">
        <v>4890</v>
      </c>
      <c r="B2313" s="164" t="s">
        <v>6583</v>
      </c>
      <c r="C2313" s="164" t="s">
        <v>6584</v>
      </c>
      <c r="D2313" s="164" t="s">
        <v>6585</v>
      </c>
      <c r="E2313" s="164" t="s">
        <v>6586</v>
      </c>
      <c r="F2313" s="164" t="s">
        <v>6587</v>
      </c>
    </row>
    <row r="2314" spans="1:6" hidden="1" x14ac:dyDescent="0.2">
      <c r="A2314" s="2292" t="s">
        <v>4891</v>
      </c>
      <c r="B2314" s="164" t="s">
        <v>6272</v>
      </c>
      <c r="C2314" s="164" t="s">
        <v>6273</v>
      </c>
      <c r="D2314" s="164" t="s">
        <v>6274</v>
      </c>
      <c r="E2314" s="164" t="s">
        <v>6275</v>
      </c>
      <c r="F2314" s="164" t="s">
        <v>5014</v>
      </c>
    </row>
    <row r="2315" spans="1:6" hidden="1" x14ac:dyDescent="0.2">
      <c r="A2315" s="2292" t="s">
        <v>4892</v>
      </c>
      <c r="B2315" s="164" t="s">
        <v>5022</v>
      </c>
      <c r="C2315" s="164" t="s">
        <v>5023</v>
      </c>
      <c r="D2315" s="164" t="s">
        <v>4826</v>
      </c>
      <c r="E2315" s="164" t="s">
        <v>5024</v>
      </c>
      <c r="F2315"/>
    </row>
    <row r="2316" spans="1:6" hidden="1" x14ac:dyDescent="0.2">
      <c r="A2316" s="2292" t="s">
        <v>4893</v>
      </c>
      <c r="B2316" s="164" t="s">
        <v>2340</v>
      </c>
      <c r="C2316" s="164" t="s">
        <v>2342</v>
      </c>
      <c r="D2316" s="164" t="s">
        <v>2343</v>
      </c>
      <c r="E2316" s="164" t="s">
        <v>2344</v>
      </c>
      <c r="F2316" s="164" t="s">
        <v>1468</v>
      </c>
    </row>
    <row r="2317" spans="1:6" hidden="1" x14ac:dyDescent="0.2">
      <c r="A2317" s="2292" t="s">
        <v>4894</v>
      </c>
      <c r="B2317" s="164" t="s">
        <v>2346</v>
      </c>
      <c r="C2317" s="164" t="s">
        <v>2348</v>
      </c>
      <c r="D2317" s="164" t="s">
        <v>2349</v>
      </c>
      <c r="E2317" s="164" t="s">
        <v>2350</v>
      </c>
      <c r="F2317" s="164" t="s">
        <v>1474</v>
      </c>
    </row>
    <row r="2318" spans="1:6" hidden="1" x14ac:dyDescent="0.2">
      <c r="A2318" s="2292" t="s">
        <v>4897</v>
      </c>
      <c r="B2318" s="164" t="s">
        <v>2352</v>
      </c>
      <c r="C2318" s="164" t="s">
        <v>2354</v>
      </c>
      <c r="D2318" s="164" t="s">
        <v>2355</v>
      </c>
      <c r="E2318" s="164" t="s">
        <v>2356</v>
      </c>
      <c r="F2318" s="164" t="s">
        <v>1871</v>
      </c>
    </row>
    <row r="2319" spans="1:6" hidden="1" x14ac:dyDescent="0.2">
      <c r="A2319" s="2292" t="s">
        <v>4898</v>
      </c>
      <c r="B2319" s="164" t="s">
        <v>2358</v>
      </c>
      <c r="C2319" s="164" t="s">
        <v>2360</v>
      </c>
      <c r="D2319" s="164" t="s">
        <v>2361</v>
      </c>
      <c r="E2319" s="164" t="s">
        <v>2362</v>
      </c>
      <c r="F2319" s="164" t="s">
        <v>1876</v>
      </c>
    </row>
    <row r="2320" spans="1:6" hidden="1" x14ac:dyDescent="0.2">
      <c r="A2320" s="2292" t="s">
        <v>4899</v>
      </c>
      <c r="B2320" s="164" t="s">
        <v>6700</v>
      </c>
      <c r="C2320" s="164" t="s">
        <v>6702</v>
      </c>
      <c r="D2320" s="164" t="s">
        <v>6703</v>
      </c>
      <c r="E2320" s="164" t="s">
        <v>2964</v>
      </c>
      <c r="F2320" s="164" t="s">
        <v>6665</v>
      </c>
    </row>
    <row r="2321" spans="1:6" hidden="1" x14ac:dyDescent="0.2">
      <c r="A2321" s="2292" t="s">
        <v>4900</v>
      </c>
      <c r="B2321" s="164" t="s">
        <v>6204</v>
      </c>
      <c r="C2321" s="164" t="s">
        <v>6205</v>
      </c>
      <c r="D2321" s="164" t="s">
        <v>5575</v>
      </c>
      <c r="E2321" s="164" t="s">
        <v>2126</v>
      </c>
      <c r="F2321"/>
    </row>
    <row r="2322" spans="1:6" hidden="1" x14ac:dyDescent="0.2">
      <c r="A2322" s="2292" t="s">
        <v>4901</v>
      </c>
      <c r="B2322" s="164" t="s">
        <v>3649</v>
      </c>
      <c r="C2322" s="164" t="s">
        <v>3650</v>
      </c>
      <c r="D2322" s="164" t="s">
        <v>3651</v>
      </c>
      <c r="E2322" s="164" t="s">
        <v>4496</v>
      </c>
      <c r="F2322"/>
    </row>
    <row r="2323" spans="1:6" hidden="1" x14ac:dyDescent="0.2">
      <c r="A2323"/>
      <c r="B2323" s="164"/>
      <c r="C2323"/>
      <c r="D2323"/>
    </row>
    <row r="2324" spans="1:6" hidden="1" x14ac:dyDescent="0.2">
      <c r="A2324"/>
      <c r="B2324" s="164"/>
      <c r="C2324"/>
      <c r="D2324"/>
      <c r="E2324"/>
      <c r="F2324"/>
    </row>
    <row r="2325" spans="1:6" hidden="1" x14ac:dyDescent="0.2">
      <c r="A2325" s="2291" t="s">
        <v>922</v>
      </c>
      <c r="B2325" s="164" t="s">
        <v>5471</v>
      </c>
      <c r="C2325"/>
      <c r="D2325"/>
      <c r="E2325"/>
      <c r="F2325"/>
    </row>
    <row r="2326" spans="1:6" hidden="1" x14ac:dyDescent="0.2">
      <c r="A2326" s="2291" t="s">
        <v>923</v>
      </c>
      <c r="B2326" s="164" t="s">
        <v>4174</v>
      </c>
      <c r="C2326"/>
      <c r="D2326"/>
      <c r="E2326"/>
      <c r="F2326"/>
    </row>
    <row r="2327" spans="1:6" hidden="1" x14ac:dyDescent="0.2">
      <c r="A2327" s="2291" t="s">
        <v>924</v>
      </c>
      <c r="B2327" s="164" t="s">
        <v>6678</v>
      </c>
      <c r="C2327"/>
      <c r="D2327"/>
      <c r="E2327"/>
      <c r="F2327"/>
    </row>
    <row r="2328" spans="1:6" hidden="1" x14ac:dyDescent="0.2">
      <c r="A2328" s="2291" t="s">
        <v>925</v>
      </c>
      <c r="B2328" s="164" t="s">
        <v>6697</v>
      </c>
      <c r="C2328"/>
      <c r="D2328"/>
      <c r="E2328"/>
      <c r="F2328"/>
    </row>
    <row r="2329" spans="1:6" hidden="1" x14ac:dyDescent="0.2">
      <c r="A2329" s="2291" t="s">
        <v>926</v>
      </c>
      <c r="B2329" s="164" t="s">
        <v>2660</v>
      </c>
      <c r="C2329"/>
      <c r="D2329"/>
      <c r="E2329"/>
      <c r="F2329"/>
    </row>
    <row r="2330" spans="1:6" hidden="1" x14ac:dyDescent="0.2">
      <c r="A2330" s="2291" t="s">
        <v>927</v>
      </c>
      <c r="B2330" s="164" t="s">
        <v>2321</v>
      </c>
      <c r="C2330"/>
      <c r="D2330"/>
      <c r="E2330"/>
      <c r="F2330"/>
    </row>
    <row r="2331" spans="1:6" hidden="1" x14ac:dyDescent="0.2">
      <c r="A2331" s="2291" t="s">
        <v>928</v>
      </c>
      <c r="B2331" s="164" t="s">
        <v>3056</v>
      </c>
      <c r="C2331"/>
      <c r="D2331"/>
      <c r="E2331"/>
      <c r="F2331"/>
    </row>
    <row r="2332" spans="1:6" hidden="1" x14ac:dyDescent="0.2">
      <c r="A2332" s="2291" t="s">
        <v>929</v>
      </c>
      <c r="B2332" s="164" t="s">
        <v>3058</v>
      </c>
      <c r="C2332"/>
      <c r="D2332"/>
      <c r="E2332"/>
      <c r="F2332"/>
    </row>
    <row r="2333" spans="1:6" hidden="1" x14ac:dyDescent="0.2">
      <c r="A2333" s="2291" t="s">
        <v>930</v>
      </c>
      <c r="B2333" s="164" t="s">
        <v>3865</v>
      </c>
      <c r="C2333"/>
      <c r="D2333"/>
    </row>
    <row r="2334" spans="1:6" hidden="1" x14ac:dyDescent="0.2">
      <c r="A2334" s="2291" t="s">
        <v>931</v>
      </c>
      <c r="B2334" s="164" t="s">
        <v>3868</v>
      </c>
      <c r="C2334"/>
      <c r="D2334"/>
    </row>
    <row r="2335" spans="1:6" hidden="1" x14ac:dyDescent="0.2">
      <c r="A2335" s="2291" t="s">
        <v>932</v>
      </c>
      <c r="B2335" s="164" t="s">
        <v>1069</v>
      </c>
      <c r="C2335"/>
      <c r="D2335"/>
    </row>
    <row r="2336" spans="1:6" hidden="1" x14ac:dyDescent="0.2">
      <c r="A2336" s="2291" t="s">
        <v>933</v>
      </c>
      <c r="B2336" s="164" t="s">
        <v>5480</v>
      </c>
      <c r="C2336"/>
      <c r="D2336"/>
    </row>
    <row r="2337" spans="1:4" hidden="1" x14ac:dyDescent="0.2">
      <c r="A2337" s="2291" t="s">
        <v>1983</v>
      </c>
      <c r="B2337" s="164" t="s">
        <v>807</v>
      </c>
      <c r="C2337"/>
      <c r="D2337"/>
    </row>
    <row r="2338" spans="1:4" hidden="1" x14ac:dyDescent="0.2">
      <c r="A2338" s="2291" t="s">
        <v>1984</v>
      </c>
      <c r="B2338" s="164" t="s">
        <v>822</v>
      </c>
      <c r="C2338"/>
      <c r="D2338"/>
    </row>
    <row r="2339" spans="1:4" hidden="1" x14ac:dyDescent="0.2">
      <c r="A2339" s="2291" t="s">
        <v>1985</v>
      </c>
      <c r="B2339" s="164" t="s">
        <v>715</v>
      </c>
      <c r="C2339"/>
      <c r="D2339"/>
    </row>
    <row r="2340" spans="1:4" hidden="1" x14ac:dyDescent="0.2">
      <c r="A2340" s="2291" t="s">
        <v>1986</v>
      </c>
      <c r="B2340" s="164" t="s">
        <v>3472</v>
      </c>
      <c r="C2340"/>
      <c r="D2340"/>
    </row>
    <row r="2341" spans="1:4" hidden="1" x14ac:dyDescent="0.2">
      <c r="A2341" s="2291" t="s">
        <v>1987</v>
      </c>
      <c r="B2341" s="164" t="s">
        <v>986</v>
      </c>
      <c r="C2341"/>
      <c r="D2341"/>
    </row>
    <row r="2342" spans="1:4" hidden="1" x14ac:dyDescent="0.2">
      <c r="A2342" s="2300" t="s">
        <v>1988</v>
      </c>
      <c r="B2342" s="164" t="s">
        <v>2400</v>
      </c>
      <c r="C2342"/>
      <c r="D2342"/>
    </row>
    <row r="2343" spans="1:4" hidden="1" x14ac:dyDescent="0.2">
      <c r="A2343" s="2291" t="s">
        <v>1989</v>
      </c>
      <c r="B2343" s="164" t="s">
        <v>2629</v>
      </c>
      <c r="C2343"/>
      <c r="D2343"/>
    </row>
    <row r="2344" spans="1:4" hidden="1" x14ac:dyDescent="0.2">
      <c r="A2344" s="2291" t="s">
        <v>1990</v>
      </c>
      <c r="B2344" s="164" t="s">
        <v>6584</v>
      </c>
      <c r="C2344"/>
      <c r="D2344"/>
    </row>
    <row r="2345" spans="1:4" hidden="1" x14ac:dyDescent="0.2">
      <c r="A2345" s="2291" t="s">
        <v>1991</v>
      </c>
      <c r="B2345" s="164" t="s">
        <v>5022</v>
      </c>
      <c r="C2345"/>
      <c r="D2345"/>
    </row>
    <row r="2346" spans="1:4" hidden="1" x14ac:dyDescent="0.2">
      <c r="A2346" s="2291" t="s">
        <v>1992</v>
      </c>
      <c r="B2346" s="164" t="s">
        <v>5140</v>
      </c>
      <c r="C2346" s="1634" t="s">
        <v>5141</v>
      </c>
      <c r="D2346" s="1634" t="s">
        <v>2336</v>
      </c>
    </row>
    <row r="2347" spans="1:4" hidden="1" x14ac:dyDescent="0.2">
      <c r="A2347" s="2291" t="s">
        <v>1993</v>
      </c>
      <c r="B2347" s="164" t="s">
        <v>2340</v>
      </c>
      <c r="C2347" s="1634" t="s">
        <v>2341</v>
      </c>
      <c r="D2347" s="1634" t="s">
        <v>2342</v>
      </c>
    </row>
    <row r="2348" spans="1:4" hidden="1" x14ac:dyDescent="0.2">
      <c r="A2348" s="2291" t="s">
        <v>1994</v>
      </c>
      <c r="B2348" s="164" t="s">
        <v>2346</v>
      </c>
      <c r="C2348" s="1634" t="s">
        <v>2347</v>
      </c>
      <c r="D2348" s="1634" t="s">
        <v>2348</v>
      </c>
    </row>
    <row r="2349" spans="1:4" hidden="1" x14ac:dyDescent="0.2">
      <c r="A2349" s="2291" t="s">
        <v>1995</v>
      </c>
      <c r="B2349" s="164" t="s">
        <v>2352</v>
      </c>
      <c r="C2349" s="1634" t="s">
        <v>2353</v>
      </c>
      <c r="D2349" s="1634" t="s">
        <v>2354</v>
      </c>
    </row>
    <row r="2350" spans="1:4" hidden="1" x14ac:dyDescent="0.2">
      <c r="A2350" s="2291" t="s">
        <v>1996</v>
      </c>
      <c r="B2350" s="164" t="s">
        <v>2358</v>
      </c>
      <c r="C2350" s="1634" t="s">
        <v>2359</v>
      </c>
      <c r="D2350" s="1634" t="s">
        <v>2360</v>
      </c>
    </row>
    <row r="2351" spans="1:4" hidden="1" x14ac:dyDescent="0.2">
      <c r="A2351" s="2291" t="s">
        <v>1997</v>
      </c>
      <c r="B2351" s="164" t="s">
        <v>6700</v>
      </c>
      <c r="C2351" s="1634" t="s">
        <v>6701</v>
      </c>
      <c r="D2351" s="1634" t="s">
        <v>6702</v>
      </c>
    </row>
    <row r="2352" spans="1:4" hidden="1" x14ac:dyDescent="0.2">
      <c r="A2352" s="2291" t="s">
        <v>1998</v>
      </c>
      <c r="B2352" s="164" t="s">
        <v>6204</v>
      </c>
      <c r="C2352"/>
      <c r="D2352"/>
    </row>
    <row r="2353" spans="1:12" hidden="1" x14ac:dyDescent="0.2">
      <c r="A2353" s="2291" t="s">
        <v>1999</v>
      </c>
      <c r="B2353" s="164" t="s">
        <v>5667</v>
      </c>
      <c r="C2353" s="1634" t="s">
        <v>5668</v>
      </c>
      <c r="D2353"/>
    </row>
    <row r="2354" spans="1:12" hidden="1" x14ac:dyDescent="0.2">
      <c r="A2354" s="2291" t="s">
        <v>2000</v>
      </c>
      <c r="B2354" s="164" t="s">
        <v>5673</v>
      </c>
      <c r="C2354" s="1634" t="s">
        <v>5674</v>
      </c>
      <c r="D2354"/>
    </row>
    <row r="2355" spans="1:12" hidden="1" x14ac:dyDescent="0.2">
      <c r="A2355" s="2291" t="s">
        <v>2001</v>
      </c>
      <c r="B2355" s="164" t="s">
        <v>3419</v>
      </c>
      <c r="C2355" s="1634" t="s">
        <v>3420</v>
      </c>
      <c r="D2355"/>
    </row>
    <row r="2356" spans="1:12" hidden="1" x14ac:dyDescent="0.2">
      <c r="A2356" s="2291" t="s">
        <v>2002</v>
      </c>
      <c r="B2356" s="164" t="s">
        <v>3433</v>
      </c>
      <c r="C2356" s="1634" t="s">
        <v>5735</v>
      </c>
      <c r="D2356"/>
    </row>
    <row r="2357" spans="1:12" hidden="1" x14ac:dyDescent="0.2">
      <c r="B2357"/>
      <c r="C2357"/>
      <c r="D2357"/>
    </row>
    <row r="2358" spans="1:12" hidden="1" x14ac:dyDescent="0.2">
      <c r="B2358"/>
      <c r="C2358"/>
      <c r="D2358"/>
    </row>
    <row r="2359" spans="1:12" hidden="1" x14ac:dyDescent="0.2">
      <c r="B2359"/>
      <c r="C2359"/>
      <c r="D2359"/>
    </row>
    <row r="2360" spans="1:12" hidden="1" x14ac:dyDescent="0.2">
      <c r="B2360"/>
      <c r="C2360"/>
      <c r="D2360"/>
    </row>
    <row r="2361" spans="1:12" hidden="1" x14ac:dyDescent="0.2">
      <c r="A2361"/>
      <c r="B2361" s="164"/>
      <c r="C2361"/>
      <c r="D2361"/>
    </row>
    <row r="2362" spans="1:12" hidden="1" x14ac:dyDescent="0.2">
      <c r="A2362"/>
      <c r="B2362" s="164"/>
      <c r="C2362"/>
      <c r="D2362"/>
    </row>
    <row r="2363" spans="1:12" hidden="1" x14ac:dyDescent="0.2">
      <c r="A2363"/>
      <c r="B2363" s="164"/>
      <c r="C2363"/>
      <c r="D2363"/>
    </row>
    <row r="2364" spans="1:12" hidden="1" x14ac:dyDescent="0.2">
      <c r="A2364"/>
      <c r="B2364" s="164"/>
      <c r="C2364"/>
      <c r="D2364"/>
    </row>
    <row r="2365" spans="1:12" hidden="1" x14ac:dyDescent="0.2">
      <c r="A2365"/>
      <c r="B2365" s="164"/>
      <c r="C2365"/>
      <c r="D2365"/>
    </row>
    <row r="2366" spans="1:12" hidden="1" x14ac:dyDescent="0.2">
      <c r="A2366"/>
      <c r="B2366" s="164"/>
      <c r="C2366"/>
      <c r="D2366"/>
    </row>
    <row r="2367" spans="1:12" hidden="1" x14ac:dyDescent="0.2">
      <c r="A2367"/>
      <c r="B2367" s="164"/>
      <c r="C2367"/>
      <c r="D2367"/>
      <c r="E2367"/>
      <c r="F2367"/>
      <c r="G2367"/>
      <c r="H2367"/>
      <c r="I2367"/>
      <c r="J2367"/>
      <c r="K2367"/>
      <c r="L2367"/>
    </row>
    <row r="2368" spans="1:12" hidden="1" x14ac:dyDescent="0.2">
      <c r="A2368"/>
      <c r="B2368" s="164"/>
      <c r="C2368"/>
      <c r="D2368"/>
      <c r="E2368"/>
      <c r="F2368"/>
      <c r="G2368"/>
      <c r="H2368"/>
      <c r="I2368"/>
      <c r="J2368"/>
      <c r="K2368"/>
      <c r="L2368"/>
    </row>
    <row r="2369" spans="1:4" hidden="1" x14ac:dyDescent="0.2">
      <c r="A2369"/>
      <c r="B2369" s="164"/>
      <c r="C2369"/>
      <c r="D2369"/>
    </row>
    <row r="2370" spans="1:4" hidden="1" x14ac:dyDescent="0.2">
      <c r="A2370"/>
      <c r="B2370" s="164"/>
      <c r="C2370"/>
      <c r="D2370"/>
    </row>
    <row r="2372" spans="1:4" hidden="1" x14ac:dyDescent="0.2">
      <c r="A2372"/>
      <c r="B2372" s="164"/>
      <c r="C2372"/>
      <c r="D2372"/>
    </row>
    <row r="2373" spans="1:4" hidden="1" x14ac:dyDescent="0.2">
      <c r="A2373" s="2291" t="s">
        <v>2045</v>
      </c>
      <c r="B2373" s="164" t="s">
        <v>1060</v>
      </c>
      <c r="C2373" s="1634" t="s">
        <v>4027</v>
      </c>
      <c r="D2373" s="1634" t="s">
        <v>4028</v>
      </c>
    </row>
    <row r="2374" spans="1:4" hidden="1" x14ac:dyDescent="0.2">
      <c r="A2374" s="2291" t="s">
        <v>2046</v>
      </c>
      <c r="B2374" s="164" t="s">
        <v>5272</v>
      </c>
      <c r="C2374" s="1634" t="s">
        <v>4033</v>
      </c>
      <c r="D2374" s="1634" t="s">
        <v>4034</v>
      </c>
    </row>
    <row r="2375" spans="1:4" hidden="1" x14ac:dyDescent="0.2">
      <c r="A2375" s="2291" t="s">
        <v>2047</v>
      </c>
      <c r="B2375" s="164" t="s">
        <v>5695</v>
      </c>
      <c r="C2375" s="1634" t="s">
        <v>4040</v>
      </c>
      <c r="D2375" s="1634" t="s">
        <v>4041</v>
      </c>
    </row>
    <row r="2376" spans="1:4" hidden="1" x14ac:dyDescent="0.2">
      <c r="A2376" s="2291" t="s">
        <v>2048</v>
      </c>
      <c r="B2376" s="164" t="s">
        <v>5697</v>
      </c>
      <c r="C2376" s="1634" t="s">
        <v>6972</v>
      </c>
      <c r="D2376" s="1634" t="s">
        <v>5472</v>
      </c>
    </row>
    <row r="2377" spans="1:4" hidden="1" x14ac:dyDescent="0.2">
      <c r="A2377" s="2291" t="s">
        <v>2049</v>
      </c>
      <c r="B2377" s="164" t="s">
        <v>4705</v>
      </c>
      <c r="C2377" s="1634" t="s">
        <v>4173</v>
      </c>
      <c r="D2377" s="1634" t="s">
        <v>4174</v>
      </c>
    </row>
    <row r="2378" spans="1:4" hidden="1" x14ac:dyDescent="0.2">
      <c r="A2378" s="2291" t="s">
        <v>2050</v>
      </c>
      <c r="B2378" s="164" t="s">
        <v>2021</v>
      </c>
      <c r="C2378" s="1634" t="s">
        <v>6672</v>
      </c>
      <c r="D2378" s="1634" t="s">
        <v>5473</v>
      </c>
    </row>
    <row r="2379" spans="1:4" hidden="1" x14ac:dyDescent="0.2">
      <c r="A2379" s="2291" t="s">
        <v>2051</v>
      </c>
      <c r="B2379" s="164" t="s">
        <v>4707</v>
      </c>
      <c r="C2379" s="1634" t="s">
        <v>6677</v>
      </c>
      <c r="D2379" s="1634" t="s">
        <v>6678</v>
      </c>
    </row>
    <row r="2380" spans="1:4" hidden="1" x14ac:dyDescent="0.2">
      <c r="A2380" s="2291" t="s">
        <v>2052</v>
      </c>
      <c r="B2380" s="164" t="s">
        <v>4709</v>
      </c>
      <c r="C2380" s="1634" t="s">
        <v>6683</v>
      </c>
      <c r="D2380" s="1634" t="s">
        <v>5475</v>
      </c>
    </row>
    <row r="2381" spans="1:4" hidden="1" x14ac:dyDescent="0.2">
      <c r="A2381" s="2291" t="s">
        <v>2053</v>
      </c>
      <c r="B2381" s="164" t="s">
        <v>4711</v>
      </c>
      <c r="C2381" s="1634" t="s">
        <v>6688</v>
      </c>
      <c r="D2381" s="1634" t="s">
        <v>6689</v>
      </c>
    </row>
    <row r="2382" spans="1:4" hidden="1" x14ac:dyDescent="0.2">
      <c r="A2382" s="2291" t="s">
        <v>2054</v>
      </c>
      <c r="B2382" s="164" t="s">
        <v>4713</v>
      </c>
      <c r="C2382" s="1634" t="s">
        <v>6694</v>
      </c>
      <c r="D2382" s="1634" t="s">
        <v>4094</v>
      </c>
    </row>
    <row r="2383" spans="1:4" hidden="1" x14ac:dyDescent="0.2">
      <c r="A2383" s="2291" t="s">
        <v>2055</v>
      </c>
      <c r="B2383" s="1634" t="s">
        <v>6697</v>
      </c>
      <c r="C2383" s="1634" t="s">
        <v>4099</v>
      </c>
      <c r="D2383"/>
    </row>
    <row r="2384" spans="1:4" hidden="1" x14ac:dyDescent="0.2">
      <c r="A2384" s="2291" t="s">
        <v>2067</v>
      </c>
      <c r="B2384" s="164" t="s">
        <v>2663</v>
      </c>
      <c r="C2384"/>
      <c r="D2384"/>
    </row>
    <row r="2385" spans="1:12" hidden="1" x14ac:dyDescent="0.2">
      <c r="A2385" s="2291" t="s">
        <v>1325</v>
      </c>
      <c r="B2385" s="164" t="s">
        <v>3862</v>
      </c>
      <c r="C2385"/>
      <c r="D2385"/>
    </row>
    <row r="2386" spans="1:12" hidden="1" x14ac:dyDescent="0.2">
      <c r="A2386"/>
      <c r="B2386" s="164"/>
      <c r="C2386"/>
      <c r="D2386"/>
    </row>
    <row r="2387" spans="1:12" hidden="1" x14ac:dyDescent="0.2">
      <c r="A2387"/>
      <c r="B2387" s="164"/>
      <c r="C2387"/>
      <c r="D2387"/>
    </row>
    <row r="2388" spans="1:12" hidden="1" x14ac:dyDescent="0.2">
      <c r="A2388"/>
      <c r="B2388" s="164"/>
      <c r="C2388"/>
      <c r="D2388"/>
      <c r="E2388"/>
      <c r="F2388"/>
      <c r="G2388"/>
      <c r="H2388"/>
      <c r="I2388"/>
      <c r="J2388"/>
      <c r="K2388"/>
      <c r="L2388"/>
    </row>
    <row r="2389" spans="1:12" hidden="1" x14ac:dyDescent="0.2">
      <c r="A2389"/>
      <c r="B2389" s="164"/>
      <c r="C2389"/>
      <c r="D2389"/>
      <c r="E2389"/>
      <c r="F2389"/>
      <c r="G2389"/>
      <c r="H2389"/>
      <c r="I2389"/>
      <c r="J2389"/>
      <c r="K2389"/>
      <c r="L2389"/>
    </row>
    <row r="2390" spans="1:12" hidden="1" x14ac:dyDescent="0.2">
      <c r="A2390"/>
      <c r="B2390" s="164"/>
      <c r="C2390"/>
      <c r="D2390"/>
    </row>
    <row r="2391" spans="1:12" hidden="1" x14ac:dyDescent="0.2">
      <c r="A2391"/>
      <c r="B2391" s="164"/>
      <c r="C2391"/>
      <c r="D2391"/>
    </row>
    <row r="2392" spans="1:12" hidden="1" x14ac:dyDescent="0.2">
      <c r="A2392"/>
      <c r="B2392" s="164"/>
      <c r="C2392"/>
      <c r="D2392"/>
    </row>
    <row r="2393" spans="1:12" hidden="1" x14ac:dyDescent="0.2">
      <c r="A2393"/>
      <c r="B2393" s="164"/>
      <c r="C2393"/>
      <c r="D2393"/>
    </row>
    <row r="2394" spans="1:12" hidden="1" x14ac:dyDescent="0.2">
      <c r="A2394"/>
      <c r="B2394" s="164"/>
      <c r="C2394"/>
      <c r="D2394"/>
    </row>
    <row r="2398" spans="1:12" hidden="1" x14ac:dyDescent="0.2">
      <c r="A2398"/>
      <c r="B2398" s="164"/>
      <c r="C2398"/>
      <c r="D2398"/>
      <c r="E2398"/>
      <c r="F2398"/>
      <c r="G2398"/>
      <c r="H2398"/>
      <c r="I2398"/>
      <c r="J2398"/>
      <c r="K2398"/>
      <c r="L2398"/>
    </row>
    <row r="2399" spans="1:12" hidden="1" x14ac:dyDescent="0.2">
      <c r="A2399" s="2291" t="s">
        <v>2056</v>
      </c>
      <c r="B2399" s="164" t="s">
        <v>1060</v>
      </c>
      <c r="C2399" s="1634" t="s">
        <v>4027</v>
      </c>
      <c r="D2399" s="1634" t="s">
        <v>4028</v>
      </c>
      <c r="E2399"/>
      <c r="F2399"/>
      <c r="G2399"/>
      <c r="H2399"/>
      <c r="I2399"/>
      <c r="J2399"/>
      <c r="K2399"/>
      <c r="L2399"/>
    </row>
    <row r="2400" spans="1:12" hidden="1" x14ac:dyDescent="0.2">
      <c r="A2400" s="2291" t="s">
        <v>2057</v>
      </c>
      <c r="B2400" s="164" t="s">
        <v>5272</v>
      </c>
      <c r="C2400" s="1634" t="s">
        <v>4033</v>
      </c>
      <c r="D2400" s="1634" t="s">
        <v>4034</v>
      </c>
      <c r="E2400"/>
      <c r="F2400"/>
      <c r="G2400"/>
      <c r="H2400"/>
      <c r="I2400"/>
      <c r="J2400"/>
      <c r="K2400"/>
      <c r="L2400"/>
    </row>
    <row r="2401" spans="1:12" hidden="1" x14ac:dyDescent="0.2">
      <c r="A2401" s="2291" t="s">
        <v>2058</v>
      </c>
      <c r="B2401" s="164" t="s">
        <v>5695</v>
      </c>
      <c r="C2401" s="1634" t="s">
        <v>4040</v>
      </c>
      <c r="D2401" s="1634" t="s">
        <v>4041</v>
      </c>
      <c r="E2401"/>
      <c r="F2401"/>
      <c r="G2401"/>
      <c r="H2401"/>
      <c r="I2401"/>
      <c r="J2401"/>
      <c r="K2401"/>
      <c r="L2401"/>
    </row>
    <row r="2402" spans="1:12" hidden="1" x14ac:dyDescent="0.2">
      <c r="A2402" s="2291" t="s">
        <v>2059</v>
      </c>
      <c r="B2402" s="164" t="s">
        <v>5697</v>
      </c>
      <c r="C2402" s="1634" t="s">
        <v>6972</v>
      </c>
      <c r="D2402" s="1634" t="s">
        <v>5472</v>
      </c>
      <c r="E2402"/>
      <c r="F2402"/>
      <c r="G2402"/>
      <c r="H2402"/>
      <c r="I2402"/>
      <c r="J2402"/>
      <c r="K2402"/>
      <c r="L2402"/>
    </row>
    <row r="2403" spans="1:12" hidden="1" x14ac:dyDescent="0.2">
      <c r="A2403" s="2291" t="s">
        <v>2060</v>
      </c>
      <c r="B2403" s="164" t="s">
        <v>4705</v>
      </c>
      <c r="C2403" s="1634" t="s">
        <v>4173</v>
      </c>
      <c r="D2403" s="1634" t="s">
        <v>4174</v>
      </c>
      <c r="E2403"/>
      <c r="F2403"/>
      <c r="G2403"/>
      <c r="H2403"/>
      <c r="I2403"/>
      <c r="J2403"/>
      <c r="K2403"/>
      <c r="L2403"/>
    </row>
    <row r="2404" spans="1:12" hidden="1" x14ac:dyDescent="0.2">
      <c r="A2404" s="2291" t="s">
        <v>2061</v>
      </c>
      <c r="B2404" s="164" t="s">
        <v>2021</v>
      </c>
      <c r="C2404" s="1634" t="s">
        <v>6672</v>
      </c>
      <c r="D2404" s="1634" t="s">
        <v>5473</v>
      </c>
      <c r="E2404"/>
      <c r="F2404"/>
      <c r="G2404"/>
      <c r="H2404"/>
      <c r="I2404"/>
      <c r="J2404"/>
      <c r="K2404"/>
      <c r="L2404"/>
    </row>
    <row r="2405" spans="1:12" hidden="1" x14ac:dyDescent="0.2">
      <c r="A2405" s="2291" t="s">
        <v>2062</v>
      </c>
      <c r="B2405" s="164" t="s">
        <v>4707</v>
      </c>
      <c r="C2405" s="1634" t="s">
        <v>6677</v>
      </c>
      <c r="D2405" s="1634" t="s">
        <v>6678</v>
      </c>
      <c r="E2405"/>
      <c r="F2405"/>
      <c r="G2405"/>
      <c r="H2405"/>
      <c r="I2405"/>
      <c r="J2405"/>
      <c r="K2405"/>
      <c r="L2405"/>
    </row>
    <row r="2406" spans="1:12" hidden="1" x14ac:dyDescent="0.2">
      <c r="A2406" s="2291" t="s">
        <v>2063</v>
      </c>
      <c r="B2406" s="164" t="s">
        <v>4709</v>
      </c>
      <c r="C2406" s="1634" t="s">
        <v>6683</v>
      </c>
      <c r="D2406" s="1634" t="s">
        <v>5475</v>
      </c>
      <c r="E2406"/>
      <c r="F2406"/>
      <c r="G2406"/>
      <c r="H2406"/>
      <c r="I2406"/>
      <c r="J2406"/>
      <c r="K2406"/>
      <c r="L2406"/>
    </row>
    <row r="2407" spans="1:12" hidden="1" x14ac:dyDescent="0.2">
      <c r="A2407" s="2291" t="s">
        <v>2064</v>
      </c>
      <c r="B2407" s="164" t="s">
        <v>4711</v>
      </c>
      <c r="C2407" s="1634" t="s">
        <v>6688</v>
      </c>
      <c r="D2407" s="1634" t="s">
        <v>6689</v>
      </c>
      <c r="E2407"/>
      <c r="F2407"/>
      <c r="G2407"/>
      <c r="H2407"/>
      <c r="I2407"/>
      <c r="J2407"/>
      <c r="K2407"/>
      <c r="L2407"/>
    </row>
    <row r="2408" spans="1:12" hidden="1" x14ac:dyDescent="0.2">
      <c r="A2408" s="2291" t="s">
        <v>2065</v>
      </c>
      <c r="B2408" s="164" t="s">
        <v>4713</v>
      </c>
      <c r="C2408" s="1634" t="s">
        <v>6694</v>
      </c>
      <c r="D2408" s="1634" t="s">
        <v>4094</v>
      </c>
      <c r="E2408"/>
      <c r="F2408"/>
      <c r="G2408"/>
      <c r="H2408"/>
      <c r="I2408"/>
      <c r="J2408"/>
      <c r="K2408"/>
      <c r="L2408"/>
    </row>
    <row r="2409" spans="1:12" hidden="1" x14ac:dyDescent="0.2">
      <c r="A2409" s="2291" t="s">
        <v>2066</v>
      </c>
      <c r="B2409" s="1634" t="s">
        <v>6697</v>
      </c>
      <c r="C2409" s="1634" t="s">
        <v>4099</v>
      </c>
      <c r="D2409"/>
      <c r="E2409"/>
      <c r="F2409"/>
      <c r="G2409"/>
      <c r="H2409"/>
      <c r="I2409"/>
      <c r="J2409"/>
      <c r="K2409"/>
      <c r="L2409"/>
    </row>
    <row r="2410" spans="1:12" hidden="1" x14ac:dyDescent="0.2">
      <c r="A2410" s="2291" t="s">
        <v>2068</v>
      </c>
      <c r="B2410" s="164" t="s">
        <v>2663</v>
      </c>
      <c r="C2410"/>
      <c r="D2410"/>
      <c r="E2410"/>
      <c r="F2410"/>
      <c r="G2410"/>
      <c r="H2410"/>
      <c r="I2410"/>
      <c r="J2410"/>
      <c r="K2410"/>
      <c r="L2410"/>
    </row>
    <row r="2411" spans="1:12" hidden="1" x14ac:dyDescent="0.2">
      <c r="A2411" s="2291" t="s">
        <v>1326</v>
      </c>
      <c r="B2411" s="1634" t="s">
        <v>3862</v>
      </c>
      <c r="C2411"/>
      <c r="D2411"/>
      <c r="E2411"/>
      <c r="F2411"/>
      <c r="G2411"/>
      <c r="H2411"/>
      <c r="I2411"/>
      <c r="J2411"/>
      <c r="K2411"/>
      <c r="L2411"/>
    </row>
    <row r="2413" spans="1:12" hidden="1" x14ac:dyDescent="0.2">
      <c r="C2413"/>
    </row>
    <row r="2414" spans="1:12" hidden="1" x14ac:dyDescent="0.2">
      <c r="C2414"/>
    </row>
    <row r="2421" spans="1:12" hidden="1" x14ac:dyDescent="0.2">
      <c r="A2421" s="2291" t="s">
        <v>2069</v>
      </c>
      <c r="B2421" s="1634" t="s">
        <v>1060</v>
      </c>
      <c r="C2421" s="1634" t="s">
        <v>4027</v>
      </c>
      <c r="D2421" s="1634" t="s">
        <v>4028</v>
      </c>
      <c r="E2421" s="1634" t="s">
        <v>1061</v>
      </c>
      <c r="F2421" s="1634" t="s">
        <v>5694</v>
      </c>
      <c r="G2421" s="1634" t="s">
        <v>865</v>
      </c>
      <c r="H2421" s="1634" t="s">
        <v>6613</v>
      </c>
      <c r="I2421" s="1634" t="s">
        <v>4029</v>
      </c>
      <c r="J2421" s="1634" t="s">
        <v>4030</v>
      </c>
      <c r="K2421" s="1634" t="s">
        <v>4031</v>
      </c>
      <c r="L2421" s="1634" t="s">
        <v>1062</v>
      </c>
    </row>
    <row r="2422" spans="1:12" hidden="1" x14ac:dyDescent="0.2">
      <c r="A2422" s="2291" t="s">
        <v>2070</v>
      </c>
      <c r="B2422" s="1634" t="s">
        <v>5272</v>
      </c>
      <c r="C2422" s="1634" t="s">
        <v>4033</v>
      </c>
      <c r="D2422" s="1634" t="s">
        <v>4034</v>
      </c>
      <c r="E2422" s="1634" t="s">
        <v>3099</v>
      </c>
      <c r="F2422" s="1634" t="s">
        <v>4035</v>
      </c>
      <c r="G2422" s="1634" t="s">
        <v>867</v>
      </c>
      <c r="H2422" s="1634" t="s">
        <v>6615</v>
      </c>
      <c r="I2422" s="1634" t="s">
        <v>4036</v>
      </c>
      <c r="J2422" s="1634" t="s">
        <v>4037</v>
      </c>
      <c r="K2422" s="1634" t="s">
        <v>4038</v>
      </c>
      <c r="L2422" s="1634" t="s">
        <v>3100</v>
      </c>
    </row>
    <row r="2423" spans="1:12" hidden="1" x14ac:dyDescent="0.2">
      <c r="A2423" s="2291" t="s">
        <v>2071</v>
      </c>
      <c r="B2423" s="1634" t="s">
        <v>5695</v>
      </c>
      <c r="C2423" s="1634" t="s">
        <v>4040</v>
      </c>
      <c r="D2423" s="1634" t="s">
        <v>4041</v>
      </c>
      <c r="E2423" s="1634" t="s">
        <v>3106</v>
      </c>
      <c r="F2423" s="1634" t="s">
        <v>5696</v>
      </c>
      <c r="G2423" s="1634" t="s">
        <v>869</v>
      </c>
      <c r="H2423" s="1634" t="s">
        <v>6617</v>
      </c>
      <c r="I2423" s="1634" t="s">
        <v>4042</v>
      </c>
      <c r="J2423" s="1634" t="s">
        <v>4043</v>
      </c>
      <c r="K2423" s="1634" t="s">
        <v>4044</v>
      </c>
      <c r="L2423" s="1634" t="s">
        <v>3107</v>
      </c>
    </row>
    <row r="2424" spans="1:12" hidden="1" x14ac:dyDescent="0.2">
      <c r="A2424" s="2291" t="s">
        <v>2072</v>
      </c>
      <c r="B2424" s="1634" t="s">
        <v>5697</v>
      </c>
      <c r="C2424" s="1634" t="s">
        <v>6972</v>
      </c>
      <c r="D2424" s="1634" t="s">
        <v>5472</v>
      </c>
      <c r="E2424" s="1634" t="s">
        <v>553</v>
      </c>
      <c r="F2424" s="1634" t="s">
        <v>4704</v>
      </c>
      <c r="G2424" s="1634" t="s">
        <v>871</v>
      </c>
      <c r="H2424" s="1634" t="s">
        <v>6619</v>
      </c>
      <c r="I2424" s="1634" t="s">
        <v>6973</v>
      </c>
      <c r="J2424" s="1634" t="s">
        <v>6974</v>
      </c>
      <c r="K2424" s="1634" t="s">
        <v>4171</v>
      </c>
      <c r="L2424" s="1634" t="s">
        <v>554</v>
      </c>
    </row>
    <row r="2425" spans="1:12" hidden="1" x14ac:dyDescent="0.2">
      <c r="A2425" s="2291" t="s">
        <v>2073</v>
      </c>
      <c r="B2425" s="1634" t="s">
        <v>4705</v>
      </c>
      <c r="C2425" s="1634" t="s">
        <v>4173</v>
      </c>
      <c r="D2425" s="1634" t="s">
        <v>4174</v>
      </c>
      <c r="E2425" s="1634" t="s">
        <v>561</v>
      </c>
      <c r="F2425" s="1634" t="s">
        <v>4706</v>
      </c>
      <c r="G2425" s="1634" t="s">
        <v>3008</v>
      </c>
      <c r="H2425" s="1634" t="s">
        <v>6621</v>
      </c>
      <c r="I2425" s="1634" t="s">
        <v>6662</v>
      </c>
      <c r="J2425" s="1634" t="s">
        <v>6663</v>
      </c>
      <c r="K2425" s="1634" t="s">
        <v>6670</v>
      </c>
      <c r="L2425" s="1634" t="s">
        <v>562</v>
      </c>
    </row>
    <row r="2426" spans="1:12" hidden="1" x14ac:dyDescent="0.2">
      <c r="A2426" s="2291" t="s">
        <v>2074</v>
      </c>
      <c r="B2426" s="1634" t="s">
        <v>2021</v>
      </c>
      <c r="C2426" s="1634" t="s">
        <v>6672</v>
      </c>
      <c r="D2426" s="1634" t="s">
        <v>5473</v>
      </c>
      <c r="E2426" s="1634" t="s">
        <v>2022</v>
      </c>
      <c r="F2426" s="1634" t="s">
        <v>5474</v>
      </c>
      <c r="G2426" s="1634" t="s">
        <v>3010</v>
      </c>
      <c r="H2426" s="1634" t="s">
        <v>6623</v>
      </c>
      <c r="I2426" s="1634" t="s">
        <v>6673</v>
      </c>
      <c r="J2426" s="1634" t="s">
        <v>6674</v>
      </c>
      <c r="K2426" s="1634" t="s">
        <v>6675</v>
      </c>
      <c r="L2426" s="1634" t="s">
        <v>2023</v>
      </c>
    </row>
    <row r="2427" spans="1:12" hidden="1" x14ac:dyDescent="0.2">
      <c r="A2427" s="2291" t="s">
        <v>2075</v>
      </c>
      <c r="B2427" s="1634" t="s">
        <v>4707</v>
      </c>
      <c r="C2427" s="1634" t="s">
        <v>6677</v>
      </c>
      <c r="D2427" s="1634" t="s">
        <v>6678</v>
      </c>
      <c r="E2427" s="1634" t="s">
        <v>2029</v>
      </c>
      <c r="F2427" s="1634" t="s">
        <v>4708</v>
      </c>
      <c r="G2427" s="1634" t="s">
        <v>6460</v>
      </c>
      <c r="H2427" s="1634" t="s">
        <v>3132</v>
      </c>
      <c r="I2427" s="1634" t="s">
        <v>6679</v>
      </c>
      <c r="J2427" s="1634" t="s">
        <v>6680</v>
      </c>
      <c r="K2427" s="1634" t="s">
        <v>6681</v>
      </c>
      <c r="L2427" s="1634" t="s">
        <v>5061</v>
      </c>
    </row>
    <row r="2428" spans="1:12" hidden="1" x14ac:dyDescent="0.2">
      <c r="A2428" s="2291" t="s">
        <v>2076</v>
      </c>
      <c r="B2428" s="1634" t="s">
        <v>4709</v>
      </c>
      <c r="C2428" s="1634" t="s">
        <v>6683</v>
      </c>
      <c r="D2428" s="1634" t="s">
        <v>5475</v>
      </c>
      <c r="E2428" s="1634" t="s">
        <v>3423</v>
      </c>
      <c r="F2428" s="1634" t="s">
        <v>4710</v>
      </c>
      <c r="G2428" s="1634" t="s">
        <v>6462</v>
      </c>
      <c r="H2428" s="1634" t="s">
        <v>4045</v>
      </c>
      <c r="I2428" s="1634" t="s">
        <v>6684</v>
      </c>
      <c r="J2428" s="1634" t="s">
        <v>6685</v>
      </c>
      <c r="K2428" s="1634" t="s">
        <v>6686</v>
      </c>
      <c r="L2428" s="1634" t="s">
        <v>3424</v>
      </c>
    </row>
    <row r="2429" spans="1:12" hidden="1" x14ac:dyDescent="0.2">
      <c r="A2429" s="2291" t="s">
        <v>2077</v>
      </c>
      <c r="B2429" s="1634" t="s">
        <v>4711</v>
      </c>
      <c r="C2429" s="1634" t="s">
        <v>6688</v>
      </c>
      <c r="D2429" s="1634" t="s">
        <v>6689</v>
      </c>
      <c r="E2429" s="1634" t="s">
        <v>5424</v>
      </c>
      <c r="F2429" s="1634" t="s">
        <v>4712</v>
      </c>
      <c r="G2429" s="1634" t="s">
        <v>6464</v>
      </c>
      <c r="H2429" s="1634" t="s">
        <v>4047</v>
      </c>
      <c r="I2429" s="1634" t="s">
        <v>6690</v>
      </c>
      <c r="J2429" s="1634" t="s">
        <v>6691</v>
      </c>
      <c r="K2429" s="1634" t="s">
        <v>6692</v>
      </c>
      <c r="L2429" s="1634" t="s">
        <v>5425</v>
      </c>
    </row>
    <row r="2430" spans="1:12" hidden="1" x14ac:dyDescent="0.2">
      <c r="A2430" s="2291" t="s">
        <v>2078</v>
      </c>
      <c r="B2430" s="1634" t="s">
        <v>4713</v>
      </c>
      <c r="C2430" s="1634" t="s">
        <v>6694</v>
      </c>
      <c r="D2430" s="1634" t="s">
        <v>4094</v>
      </c>
      <c r="E2430" s="1634" t="s">
        <v>5430</v>
      </c>
      <c r="F2430" s="1634" t="s">
        <v>4714</v>
      </c>
      <c r="G2430" s="1634" t="s">
        <v>2911</v>
      </c>
      <c r="H2430" s="1634" t="s">
        <v>4095</v>
      </c>
      <c r="I2430" s="1634" t="s">
        <v>4096</v>
      </c>
      <c r="J2430" s="1634" t="s">
        <v>4097</v>
      </c>
      <c r="K2430" s="1634" t="s">
        <v>6695</v>
      </c>
      <c r="L2430" s="1634" t="s">
        <v>5431</v>
      </c>
    </row>
    <row r="2431" spans="1:12" hidden="1" x14ac:dyDescent="0.2">
      <c r="A2431" s="2291" t="s">
        <v>2079</v>
      </c>
      <c r="B2431" s="1634" t="s">
        <v>4101</v>
      </c>
      <c r="C2431" s="1634" t="s">
        <v>4102</v>
      </c>
      <c r="D2431"/>
      <c r="E2431"/>
      <c r="F2431"/>
      <c r="G2431"/>
      <c r="H2431"/>
      <c r="I2431"/>
      <c r="J2431"/>
      <c r="K2431"/>
      <c r="L2431"/>
    </row>
    <row r="2432" spans="1:12" hidden="1" x14ac:dyDescent="0.2">
      <c r="A2432" s="2291" t="s">
        <v>2080</v>
      </c>
      <c r="B2432" s="1634" t="s">
        <v>2323</v>
      </c>
      <c r="C2432"/>
      <c r="D2432"/>
      <c r="E2432"/>
      <c r="F2432"/>
      <c r="G2432"/>
      <c r="H2432"/>
      <c r="I2432"/>
      <c r="J2432"/>
      <c r="K2432"/>
      <c r="L2432"/>
    </row>
    <row r="2437" spans="3:7" hidden="1" x14ac:dyDescent="0.2">
      <c r="D2437"/>
      <c r="E2437"/>
      <c r="F2437"/>
      <c r="G2437"/>
    </row>
    <row r="2447" spans="3:7" hidden="1" x14ac:dyDescent="0.2">
      <c r="C2447"/>
      <c r="D2447"/>
      <c r="E2447"/>
    </row>
    <row r="2448" spans="3:7" hidden="1" x14ac:dyDescent="0.2">
      <c r="C2448"/>
      <c r="D2448"/>
      <c r="E2448"/>
    </row>
    <row r="2449" spans="1:5" hidden="1" x14ac:dyDescent="0.2">
      <c r="C2449"/>
      <c r="D2449"/>
      <c r="E2449"/>
    </row>
    <row r="2450" spans="1:5" hidden="1" x14ac:dyDescent="0.2">
      <c r="A2450" s="2291" t="s">
        <v>1214</v>
      </c>
      <c r="B2450" s="1634" t="s">
        <v>4033</v>
      </c>
      <c r="C2450"/>
    </row>
    <row r="2451" spans="1:5" hidden="1" x14ac:dyDescent="0.2">
      <c r="A2451" s="2291" t="s">
        <v>1215</v>
      </c>
      <c r="B2451" s="1634" t="s">
        <v>4040</v>
      </c>
      <c r="C2451"/>
    </row>
    <row r="2452" spans="1:5" hidden="1" x14ac:dyDescent="0.2">
      <c r="A2452" s="2291" t="s">
        <v>1216</v>
      </c>
      <c r="B2452" s="1634" t="s">
        <v>2029</v>
      </c>
      <c r="C2452" s="1634" t="s">
        <v>4708</v>
      </c>
    </row>
    <row r="2453" spans="1:5" hidden="1" x14ac:dyDescent="0.2">
      <c r="A2453" s="2291" t="s">
        <v>1217</v>
      </c>
      <c r="B2453" s="1634" t="s">
        <v>3423</v>
      </c>
      <c r="C2453" s="1634" t="s">
        <v>4710</v>
      </c>
    </row>
    <row r="2454" spans="1:5" hidden="1" x14ac:dyDescent="0.2">
      <c r="A2454" s="2291" t="s">
        <v>1218</v>
      </c>
      <c r="B2454" s="1634" t="s">
        <v>5424</v>
      </c>
      <c r="C2454" s="1634" t="s">
        <v>4712</v>
      </c>
    </row>
    <row r="2455" spans="1:5" hidden="1" x14ac:dyDescent="0.2">
      <c r="A2455" s="2291" t="s">
        <v>1219</v>
      </c>
      <c r="B2455" s="1634" t="s">
        <v>2154</v>
      </c>
      <c r="C2455" s="1634" t="s">
        <v>5476</v>
      </c>
      <c r="D2455"/>
      <c r="E2455"/>
    </row>
    <row r="2456" spans="1:5" hidden="1" x14ac:dyDescent="0.2">
      <c r="A2456" s="2291" t="s">
        <v>1220</v>
      </c>
      <c r="B2456" s="1634" t="s">
        <v>2923</v>
      </c>
      <c r="C2456"/>
      <c r="D2456"/>
      <c r="E2456"/>
    </row>
    <row r="2457" spans="1:5" hidden="1" x14ac:dyDescent="0.2">
      <c r="A2457" s="2291" t="s">
        <v>1313</v>
      </c>
      <c r="B2457" s="1634" t="s">
        <v>277</v>
      </c>
      <c r="C2457"/>
      <c r="D2457"/>
      <c r="E2457"/>
    </row>
    <row r="2458" spans="1:5" hidden="1" x14ac:dyDescent="0.2">
      <c r="C2458"/>
      <c r="D2458"/>
      <c r="E2458"/>
    </row>
    <row r="2459" spans="1:5" hidden="1" x14ac:dyDescent="0.2">
      <c r="C2459"/>
      <c r="D2459"/>
      <c r="E2459"/>
    </row>
    <row r="2460" spans="1:5" hidden="1" x14ac:dyDescent="0.2">
      <c r="C2460"/>
      <c r="D2460"/>
      <c r="E2460"/>
    </row>
    <row r="2461" spans="1:5" hidden="1" x14ac:dyDescent="0.2">
      <c r="C2461"/>
      <c r="D2461"/>
      <c r="E2461"/>
    </row>
    <row r="2470" spans="1:7" hidden="1" x14ac:dyDescent="0.2">
      <c r="A2470" s="2291" t="s">
        <v>1221</v>
      </c>
      <c r="B2470" s="1634" t="s">
        <v>4029</v>
      </c>
      <c r="C2470"/>
      <c r="D2470"/>
      <c r="E2470"/>
      <c r="F2470"/>
      <c r="G2470"/>
    </row>
    <row r="2471" spans="1:7" hidden="1" x14ac:dyDescent="0.2">
      <c r="A2471" s="2291" t="s">
        <v>1222</v>
      </c>
      <c r="B2471" s="1634" t="s">
        <v>4042</v>
      </c>
      <c r="C2471"/>
      <c r="D2471"/>
      <c r="E2471"/>
      <c r="F2471"/>
      <c r="G2471"/>
    </row>
    <row r="2472" spans="1:7" hidden="1" x14ac:dyDescent="0.2">
      <c r="A2472" s="2291" t="s">
        <v>1223</v>
      </c>
      <c r="B2472" s="1634" t="s">
        <v>6672</v>
      </c>
      <c r="C2472" s="1634" t="s">
        <v>2022</v>
      </c>
      <c r="D2472" s="1634" t="s">
        <v>5474</v>
      </c>
      <c r="E2472" s="1634" t="s">
        <v>3010</v>
      </c>
      <c r="F2472" s="1634" t="s">
        <v>6623</v>
      </c>
      <c r="G2472" s="1634" t="s">
        <v>6673</v>
      </c>
    </row>
    <row r="2473" spans="1:7" hidden="1" x14ac:dyDescent="0.2">
      <c r="A2473" s="2291" t="s">
        <v>1224</v>
      </c>
      <c r="B2473" s="1634" t="s">
        <v>6677</v>
      </c>
      <c r="C2473" s="1634" t="s">
        <v>2029</v>
      </c>
      <c r="D2473" s="1634" t="s">
        <v>4708</v>
      </c>
      <c r="E2473" s="1634" t="s">
        <v>6460</v>
      </c>
      <c r="F2473" s="1634" t="s">
        <v>3132</v>
      </c>
      <c r="G2473" s="1634" t="s">
        <v>6679</v>
      </c>
    </row>
    <row r="2474" spans="1:7" hidden="1" x14ac:dyDescent="0.2">
      <c r="A2474" s="2291" t="s">
        <v>1225</v>
      </c>
      <c r="B2474" s="1634" t="s">
        <v>6683</v>
      </c>
      <c r="C2474" s="1634" t="s">
        <v>3423</v>
      </c>
      <c r="D2474" s="1634" t="s">
        <v>4710</v>
      </c>
      <c r="E2474" s="1634" t="s">
        <v>6462</v>
      </c>
      <c r="F2474" s="1634" t="s">
        <v>4045</v>
      </c>
      <c r="G2474" s="1634" t="s">
        <v>6684</v>
      </c>
    </row>
    <row r="2475" spans="1:7" hidden="1" x14ac:dyDescent="0.2">
      <c r="A2475" s="2291" t="s">
        <v>1226</v>
      </c>
      <c r="B2475" s="1634" t="s">
        <v>6688</v>
      </c>
      <c r="C2475" s="1634" t="s">
        <v>5424</v>
      </c>
      <c r="D2475" s="1634" t="s">
        <v>4712</v>
      </c>
      <c r="E2475" s="1634" t="s">
        <v>6464</v>
      </c>
      <c r="F2475" s="1634" t="s">
        <v>4047</v>
      </c>
      <c r="G2475" s="1634" t="s">
        <v>6690</v>
      </c>
    </row>
    <row r="2476" spans="1:7" hidden="1" x14ac:dyDescent="0.2">
      <c r="A2476" s="2291" t="s">
        <v>1227</v>
      </c>
      <c r="B2476" s="1634" t="s">
        <v>6694</v>
      </c>
      <c r="C2476" s="1634" t="s">
        <v>5430</v>
      </c>
      <c r="D2476" s="1634" t="s">
        <v>4714</v>
      </c>
      <c r="E2476" s="1634" t="s">
        <v>2911</v>
      </c>
      <c r="F2476" s="1634" t="s">
        <v>4095</v>
      </c>
      <c r="G2476" s="1634" t="s">
        <v>4096</v>
      </c>
    </row>
    <row r="2477" spans="1:7" hidden="1" x14ac:dyDescent="0.2">
      <c r="A2477" s="2291" t="s">
        <v>1228</v>
      </c>
      <c r="B2477" s="1634" t="s">
        <v>6697</v>
      </c>
      <c r="C2477" s="1634" t="s">
        <v>2154</v>
      </c>
      <c r="D2477" s="1634" t="s">
        <v>5476</v>
      </c>
      <c r="E2477" s="1634" t="s">
        <v>2913</v>
      </c>
      <c r="F2477" s="1634" t="s">
        <v>4100</v>
      </c>
      <c r="G2477" s="1634" t="s">
        <v>4101</v>
      </c>
    </row>
    <row r="2478" spans="1:7" hidden="1" x14ac:dyDescent="0.2">
      <c r="A2478" s="2291" t="s">
        <v>1229</v>
      </c>
      <c r="B2478" s="1634" t="s">
        <v>2660</v>
      </c>
      <c r="C2478" s="1634" t="s">
        <v>2161</v>
      </c>
      <c r="D2478" s="1634" t="s">
        <v>4716</v>
      </c>
      <c r="E2478" s="1634" t="s">
        <v>2915</v>
      </c>
      <c r="F2478" s="1634" t="s">
        <v>4105</v>
      </c>
      <c r="G2478" s="1634" t="s">
        <v>2318</v>
      </c>
    </row>
    <row r="2479" spans="1:7" hidden="1" x14ac:dyDescent="0.2">
      <c r="A2479" s="2291" t="s">
        <v>1230</v>
      </c>
      <c r="B2479" s="1634" t="s">
        <v>2663</v>
      </c>
      <c r="C2479" s="1634" t="s">
        <v>2168</v>
      </c>
      <c r="D2479" s="1634" t="s">
        <v>6426</v>
      </c>
      <c r="E2479" s="1634" t="s">
        <v>2917</v>
      </c>
      <c r="F2479" s="1634" t="s">
        <v>2322</v>
      </c>
      <c r="G2479" s="1634" t="s">
        <v>2323</v>
      </c>
    </row>
    <row r="2480" spans="1:7" hidden="1" x14ac:dyDescent="0.2">
      <c r="A2480" s="2291" t="s">
        <v>1231</v>
      </c>
      <c r="B2480" s="1634" t="s">
        <v>2327</v>
      </c>
      <c r="C2480" s="1634" t="s">
        <v>2328</v>
      </c>
      <c r="D2480"/>
      <c r="E2480"/>
      <c r="F2480"/>
      <c r="G2480"/>
    </row>
    <row r="2490" spans="1:7" hidden="1" x14ac:dyDescent="0.2">
      <c r="A2490" s="2291" t="s">
        <v>1232</v>
      </c>
      <c r="B2490" s="1634" t="s">
        <v>4034</v>
      </c>
      <c r="C2490"/>
      <c r="D2490"/>
      <c r="E2490"/>
      <c r="F2490"/>
      <c r="G2490"/>
    </row>
    <row r="2491" spans="1:7" hidden="1" x14ac:dyDescent="0.2">
      <c r="A2491" s="2291" t="s">
        <v>1233</v>
      </c>
      <c r="B2491" s="1634" t="s">
        <v>553</v>
      </c>
      <c r="C2491"/>
      <c r="D2491"/>
      <c r="E2491"/>
      <c r="F2491"/>
      <c r="G2491"/>
    </row>
    <row r="2492" spans="1:7" hidden="1" x14ac:dyDescent="0.2">
      <c r="A2492" s="2291" t="s">
        <v>1234</v>
      </c>
      <c r="B2492" s="1634" t="s">
        <v>561</v>
      </c>
      <c r="C2492"/>
      <c r="D2492"/>
      <c r="E2492"/>
      <c r="F2492"/>
      <c r="G2492"/>
    </row>
    <row r="2493" spans="1:7" hidden="1" x14ac:dyDescent="0.2">
      <c r="A2493" s="2291" t="s">
        <v>1235</v>
      </c>
      <c r="B2493" s="1634" t="s">
        <v>3423</v>
      </c>
      <c r="C2493" s="1634" t="s">
        <v>4710</v>
      </c>
      <c r="D2493" s="1634" t="s">
        <v>6462</v>
      </c>
      <c r="E2493" s="1634" t="s">
        <v>4045</v>
      </c>
    </row>
    <row r="2494" spans="1:7" hidden="1" x14ac:dyDescent="0.2">
      <c r="A2494" s="2291" t="s">
        <v>1236</v>
      </c>
      <c r="B2494" s="1634" t="s">
        <v>5424</v>
      </c>
      <c r="C2494" s="1634" t="s">
        <v>4712</v>
      </c>
      <c r="D2494" s="1634" t="s">
        <v>6464</v>
      </c>
      <c r="E2494" s="1634" t="s">
        <v>4047</v>
      </c>
    </row>
    <row r="2495" spans="1:7" hidden="1" x14ac:dyDescent="0.2">
      <c r="A2495" s="2291" t="s">
        <v>1237</v>
      </c>
      <c r="B2495" s="1634" t="s">
        <v>5430</v>
      </c>
      <c r="C2495" s="1634" t="s">
        <v>4714</v>
      </c>
      <c r="D2495" s="1634" t="s">
        <v>2911</v>
      </c>
      <c r="E2495" s="1634" t="s">
        <v>4095</v>
      </c>
    </row>
    <row r="2496" spans="1:7" hidden="1" x14ac:dyDescent="0.2">
      <c r="A2496" s="2291" t="s">
        <v>1238</v>
      </c>
      <c r="B2496" s="1634" t="s">
        <v>2154</v>
      </c>
      <c r="C2496" s="1634" t="s">
        <v>5476</v>
      </c>
      <c r="D2496" s="1634" t="s">
        <v>2913</v>
      </c>
      <c r="E2496" s="1634" t="s">
        <v>4100</v>
      </c>
    </row>
    <row r="2497" spans="1:10" hidden="1" x14ac:dyDescent="0.2">
      <c r="A2497" s="2291" t="s">
        <v>1239</v>
      </c>
      <c r="B2497" s="1634" t="s">
        <v>2168</v>
      </c>
      <c r="C2497" s="1634" t="s">
        <v>6426</v>
      </c>
      <c r="D2497" s="1634" t="s">
        <v>2917</v>
      </c>
      <c r="E2497" s="1634" t="s">
        <v>2322</v>
      </c>
      <c r="F2497"/>
    </row>
    <row r="2498" spans="1:10" hidden="1" x14ac:dyDescent="0.2">
      <c r="A2498" s="2291" t="s">
        <v>1240</v>
      </c>
      <c r="B2498" s="1634" t="s">
        <v>6606</v>
      </c>
      <c r="C2498"/>
      <c r="D2498"/>
      <c r="E2498"/>
      <c r="F2498"/>
    </row>
    <row r="2499" spans="1:10" hidden="1" x14ac:dyDescent="0.2">
      <c r="A2499" s="2291" t="s">
        <v>1241</v>
      </c>
      <c r="B2499" s="1634" t="s">
        <v>1745</v>
      </c>
      <c r="C2499"/>
      <c r="D2499"/>
      <c r="E2499"/>
      <c r="F2499"/>
    </row>
    <row r="2500" spans="1:10" hidden="1" x14ac:dyDescent="0.2">
      <c r="A2500" s="2291" t="s">
        <v>1242</v>
      </c>
      <c r="B2500" s="1634" t="s">
        <v>1728</v>
      </c>
      <c r="C2500"/>
      <c r="D2500"/>
      <c r="E2500"/>
      <c r="F2500"/>
    </row>
    <row r="2501" spans="1:10" hidden="1" x14ac:dyDescent="0.2">
      <c r="A2501" s="2291" t="s">
        <v>1243</v>
      </c>
      <c r="B2501" s="1634" t="s">
        <v>2432</v>
      </c>
      <c r="C2501"/>
      <c r="D2501"/>
      <c r="E2501"/>
      <c r="F2501"/>
    </row>
    <row r="2502" spans="1:10" hidden="1" x14ac:dyDescent="0.2">
      <c r="A2502" s="2291" t="s">
        <v>1244</v>
      </c>
      <c r="B2502" s="1634" t="s">
        <v>4204</v>
      </c>
      <c r="C2502"/>
      <c r="D2502"/>
      <c r="E2502"/>
    </row>
    <row r="2503" spans="1:10" hidden="1" x14ac:dyDescent="0.2">
      <c r="A2503" s="2291" t="s">
        <v>1245</v>
      </c>
      <c r="B2503" s="1634" t="s">
        <v>351</v>
      </c>
      <c r="C2503"/>
      <c r="D2503"/>
      <c r="E2503"/>
    </row>
    <row r="2504" spans="1:10" hidden="1" x14ac:dyDescent="0.2">
      <c r="A2504" s="2291" t="s">
        <v>1246</v>
      </c>
      <c r="B2504" s="1634" t="s">
        <v>681</v>
      </c>
      <c r="C2504"/>
      <c r="D2504"/>
      <c r="E2504"/>
    </row>
    <row r="2505" spans="1:10" hidden="1" x14ac:dyDescent="0.2">
      <c r="F2505"/>
    </row>
    <row r="2506" spans="1:10" hidden="1" x14ac:dyDescent="0.2">
      <c r="F2506"/>
    </row>
    <row r="2507" spans="1:10" hidden="1" x14ac:dyDescent="0.2">
      <c r="C2507"/>
      <c r="D2507"/>
      <c r="E2507"/>
      <c r="F2507"/>
    </row>
    <row r="2511" spans="1:10" hidden="1" x14ac:dyDescent="0.2">
      <c r="G2511"/>
      <c r="H2511"/>
      <c r="I2511"/>
      <c r="J2511"/>
    </row>
    <row r="2512" spans="1:10" hidden="1" x14ac:dyDescent="0.2">
      <c r="G2512"/>
      <c r="H2512"/>
      <c r="I2512"/>
      <c r="J2512"/>
    </row>
    <row r="2513" spans="1:10" hidden="1" x14ac:dyDescent="0.2">
      <c r="G2513"/>
      <c r="H2513"/>
      <c r="I2513"/>
      <c r="J2513"/>
    </row>
    <row r="2514" spans="1:10" hidden="1" x14ac:dyDescent="0.2">
      <c r="G2514"/>
      <c r="H2514"/>
      <c r="I2514"/>
      <c r="J2514"/>
    </row>
    <row r="2515" spans="1:10" hidden="1" x14ac:dyDescent="0.2">
      <c r="D2515"/>
      <c r="E2515"/>
      <c r="F2515"/>
      <c r="G2515"/>
      <c r="H2515"/>
      <c r="I2515"/>
      <c r="J2515"/>
    </row>
    <row r="2516" spans="1:10" hidden="1" x14ac:dyDescent="0.2">
      <c r="C2516"/>
      <c r="D2516"/>
      <c r="E2516"/>
      <c r="F2516"/>
      <c r="G2516"/>
      <c r="H2516"/>
      <c r="I2516"/>
      <c r="J2516"/>
    </row>
    <row r="2517" spans="1:10" hidden="1" x14ac:dyDescent="0.2">
      <c r="C2517"/>
      <c r="D2517"/>
      <c r="E2517"/>
      <c r="F2517"/>
      <c r="G2517"/>
      <c r="H2517"/>
      <c r="I2517"/>
      <c r="J2517"/>
    </row>
    <row r="2520" spans="1:10" hidden="1" x14ac:dyDescent="0.2">
      <c r="A2520" s="2291" t="s">
        <v>1247</v>
      </c>
      <c r="B2520" s="1634" t="s">
        <v>553</v>
      </c>
    </row>
    <row r="2521" spans="1:10" hidden="1" x14ac:dyDescent="0.2">
      <c r="A2521" s="2291" t="s">
        <v>1248</v>
      </c>
      <c r="B2521" s="1634" t="s">
        <v>561</v>
      </c>
    </row>
    <row r="2522" spans="1:10" hidden="1" x14ac:dyDescent="0.2">
      <c r="A2522" s="2291" t="s">
        <v>1249</v>
      </c>
      <c r="B2522" s="1634" t="s">
        <v>3132</v>
      </c>
    </row>
    <row r="2523" spans="1:10" hidden="1" x14ac:dyDescent="0.2">
      <c r="A2523" s="2291" t="s">
        <v>1250</v>
      </c>
      <c r="B2523" s="1634" t="s">
        <v>4047</v>
      </c>
    </row>
    <row r="2524" spans="1:10" hidden="1" x14ac:dyDescent="0.2">
      <c r="A2524" s="2291" t="s">
        <v>1251</v>
      </c>
      <c r="B2524" s="1634" t="s">
        <v>5430</v>
      </c>
    </row>
    <row r="2525" spans="1:10" hidden="1" x14ac:dyDescent="0.2">
      <c r="A2525" s="2291" t="s">
        <v>1252</v>
      </c>
      <c r="B2525" s="1634" t="s">
        <v>4100</v>
      </c>
      <c r="C2525"/>
      <c r="D2525"/>
      <c r="E2525"/>
      <c r="F2525"/>
    </row>
    <row r="2526" spans="1:10" hidden="1" x14ac:dyDescent="0.2">
      <c r="A2526" s="2291" t="s">
        <v>1253</v>
      </c>
      <c r="B2526" s="1634" t="s">
        <v>2322</v>
      </c>
      <c r="C2526"/>
      <c r="D2526"/>
      <c r="E2526"/>
      <c r="F2526"/>
    </row>
    <row r="2527" spans="1:10" hidden="1" x14ac:dyDescent="0.2">
      <c r="A2527" s="2291" t="s">
        <v>1254</v>
      </c>
      <c r="B2527" s="1634" t="s">
        <v>6606</v>
      </c>
      <c r="C2527"/>
      <c r="D2527"/>
      <c r="E2527"/>
      <c r="F2527"/>
    </row>
    <row r="2528" spans="1:10" hidden="1" x14ac:dyDescent="0.2">
      <c r="A2528" s="2291" t="s">
        <v>1255</v>
      </c>
      <c r="B2528" s="1634" t="s">
        <v>1750</v>
      </c>
      <c r="C2528"/>
      <c r="D2528"/>
      <c r="E2528"/>
      <c r="F2528"/>
    </row>
    <row r="2529" spans="1:10" hidden="1" x14ac:dyDescent="0.2">
      <c r="A2529" s="2291" t="s">
        <v>1256</v>
      </c>
      <c r="B2529" s="1634" t="s">
        <v>2494</v>
      </c>
      <c r="C2529"/>
      <c r="D2529"/>
      <c r="E2529"/>
      <c r="F2529"/>
    </row>
    <row r="2540" spans="1:10" hidden="1" x14ac:dyDescent="0.2">
      <c r="A2540" s="2291" t="s">
        <v>1257</v>
      </c>
      <c r="B2540" s="1634" t="s">
        <v>2613</v>
      </c>
      <c r="C2540"/>
      <c r="D2540"/>
      <c r="E2540"/>
      <c r="F2540"/>
    </row>
    <row r="2541" spans="1:10" hidden="1" x14ac:dyDescent="0.2">
      <c r="A2541" s="2291" t="s">
        <v>1258</v>
      </c>
      <c r="B2541" s="1634" t="s">
        <v>2724</v>
      </c>
      <c r="C2541"/>
      <c r="D2541"/>
      <c r="E2541"/>
      <c r="F2541"/>
      <c r="G2541"/>
      <c r="H2541"/>
      <c r="I2541"/>
      <c r="J2541"/>
    </row>
    <row r="2542" spans="1:10" hidden="1" x14ac:dyDescent="0.2">
      <c r="A2542" s="2291" t="s">
        <v>1259</v>
      </c>
      <c r="B2542" s="1634" t="s">
        <v>4029</v>
      </c>
      <c r="C2542"/>
      <c r="D2542"/>
      <c r="E2542"/>
      <c r="F2542"/>
      <c r="G2542"/>
      <c r="H2542"/>
      <c r="I2542"/>
      <c r="J2542"/>
    </row>
    <row r="2543" spans="1:10" hidden="1" x14ac:dyDescent="0.2">
      <c r="A2543" s="2291" t="s">
        <v>1260</v>
      </c>
      <c r="B2543" s="1634" t="s">
        <v>4036</v>
      </c>
      <c r="C2543"/>
      <c r="D2543"/>
      <c r="E2543"/>
      <c r="F2543"/>
      <c r="G2543"/>
      <c r="H2543"/>
      <c r="I2543"/>
      <c r="J2543"/>
    </row>
    <row r="2544" spans="1:10" hidden="1" x14ac:dyDescent="0.2">
      <c r="A2544" s="2291" t="s">
        <v>1261</v>
      </c>
      <c r="B2544" s="1634" t="s">
        <v>4100</v>
      </c>
      <c r="C2544"/>
      <c r="D2544"/>
      <c r="E2544"/>
      <c r="F2544"/>
      <c r="G2544"/>
      <c r="H2544"/>
      <c r="I2544"/>
      <c r="J2544"/>
    </row>
    <row r="2545" spans="1:10" hidden="1" x14ac:dyDescent="0.2">
      <c r="A2545" s="2291" t="s">
        <v>1262</v>
      </c>
      <c r="B2545" s="1634" t="s">
        <v>2174</v>
      </c>
      <c r="C2545" s="1634" t="s">
        <v>6428</v>
      </c>
      <c r="D2545" s="1634" t="s">
        <v>2919</v>
      </c>
      <c r="E2545" s="1634" t="s">
        <v>2327</v>
      </c>
      <c r="F2545" s="1634" t="s">
        <v>2328</v>
      </c>
      <c r="G2545"/>
      <c r="H2545"/>
      <c r="I2545"/>
      <c r="J2545"/>
    </row>
    <row r="2546" spans="1:10" hidden="1" x14ac:dyDescent="0.2">
      <c r="A2546" s="2291" t="s">
        <v>1263</v>
      </c>
      <c r="B2546" s="1634" t="s">
        <v>2181</v>
      </c>
      <c r="C2546" s="1634" t="s">
        <v>6430</v>
      </c>
      <c r="D2546" s="1634" t="s">
        <v>1575</v>
      </c>
      <c r="E2546" s="1634" t="s">
        <v>6606</v>
      </c>
      <c r="F2546" s="1634" t="s">
        <v>5084</v>
      </c>
      <c r="G2546"/>
      <c r="H2546"/>
      <c r="I2546"/>
      <c r="J2546"/>
    </row>
    <row r="2547" spans="1:10" hidden="1" x14ac:dyDescent="0.2">
      <c r="A2547" s="2291" t="s">
        <v>1264</v>
      </c>
      <c r="B2547" s="1634" t="s">
        <v>2188</v>
      </c>
      <c r="C2547" s="1634" t="s">
        <v>2921</v>
      </c>
      <c r="D2547" s="1634" t="s">
        <v>4078</v>
      </c>
      <c r="E2547" s="1634" t="s">
        <v>3</v>
      </c>
      <c r="F2547" s="1634" t="s">
        <v>1741</v>
      </c>
      <c r="G2547"/>
      <c r="H2547"/>
      <c r="I2547"/>
      <c r="J2547"/>
    </row>
    <row r="2548" spans="1:10" hidden="1" x14ac:dyDescent="0.2">
      <c r="A2548" s="2291" t="s">
        <v>1265</v>
      </c>
      <c r="B2548" s="1634" t="s">
        <v>2923</v>
      </c>
      <c r="C2548" s="1634" t="s">
        <v>4080</v>
      </c>
      <c r="D2548" s="1634" t="s">
        <v>1745</v>
      </c>
      <c r="E2548" s="1634" t="s">
        <v>1746</v>
      </c>
      <c r="F2548"/>
      <c r="G2548"/>
      <c r="H2548"/>
      <c r="I2548"/>
      <c r="J2548"/>
    </row>
    <row r="2549" spans="1:10" hidden="1" x14ac:dyDescent="0.2">
      <c r="A2549" s="2291" t="s">
        <v>1266</v>
      </c>
      <c r="B2549" s="1634" t="s">
        <v>3303</v>
      </c>
      <c r="C2549" s="1634" t="s">
        <v>4084</v>
      </c>
      <c r="D2549" s="1634" t="s">
        <v>1728</v>
      </c>
      <c r="E2549" s="1634" t="s">
        <v>945</v>
      </c>
      <c r="F2549"/>
      <c r="G2549"/>
      <c r="H2549"/>
      <c r="I2549"/>
      <c r="J2549"/>
    </row>
    <row r="2550" spans="1:10" hidden="1" x14ac:dyDescent="0.2">
      <c r="A2550" s="2291" t="s">
        <v>1267</v>
      </c>
      <c r="B2550" s="1634" t="s">
        <v>4204</v>
      </c>
      <c r="C2550"/>
      <c r="D2550"/>
      <c r="E2550"/>
      <c r="F2550"/>
      <c r="G2550"/>
      <c r="H2550"/>
      <c r="I2550"/>
      <c r="J2550"/>
    </row>
    <row r="2551" spans="1:10" hidden="1" x14ac:dyDescent="0.2">
      <c r="A2551" s="2291" t="s">
        <v>1268</v>
      </c>
      <c r="B2551" s="1634" t="s">
        <v>5441</v>
      </c>
      <c r="C2551" s="1634" t="s">
        <v>661</v>
      </c>
      <c r="D2551" s="1634" t="s">
        <v>665</v>
      </c>
      <c r="E2551" s="1634" t="s">
        <v>666</v>
      </c>
      <c r="F2551" s="1634" t="s">
        <v>351</v>
      </c>
      <c r="G2551"/>
      <c r="H2551"/>
      <c r="I2551"/>
      <c r="J2551"/>
    </row>
    <row r="2552" spans="1:10" hidden="1" x14ac:dyDescent="0.2">
      <c r="A2552" s="2291" t="s">
        <v>1269</v>
      </c>
      <c r="B2552" s="1634" t="s">
        <v>2481</v>
      </c>
      <c r="C2552" s="1634" t="s">
        <v>671</v>
      </c>
      <c r="D2552" s="1634" t="s">
        <v>5479</v>
      </c>
      <c r="E2552" s="1634" t="s">
        <v>3493</v>
      </c>
      <c r="F2552" s="1634" t="s">
        <v>353</v>
      </c>
      <c r="G2552"/>
      <c r="H2552"/>
      <c r="I2552"/>
      <c r="J2552"/>
    </row>
    <row r="2553" spans="1:10" hidden="1" x14ac:dyDescent="0.2">
      <c r="A2553" s="2291" t="s">
        <v>1270</v>
      </c>
      <c r="B2553" s="1634" t="s">
        <v>2483</v>
      </c>
      <c r="C2553" s="1634" t="s">
        <v>6441</v>
      </c>
      <c r="D2553" s="1634" t="s">
        <v>6442</v>
      </c>
      <c r="E2553" s="1634" t="s">
        <v>3495</v>
      </c>
      <c r="F2553" s="1634" t="s">
        <v>681</v>
      </c>
      <c r="G2553"/>
      <c r="H2553"/>
      <c r="I2553"/>
      <c r="J2553"/>
    </row>
    <row r="2554" spans="1:10" hidden="1" x14ac:dyDescent="0.2">
      <c r="A2554" s="2291" t="s">
        <v>1271</v>
      </c>
      <c r="B2554" s="1634" t="s">
        <v>10</v>
      </c>
      <c r="C2554" s="1634" t="s">
        <v>6444</v>
      </c>
      <c r="D2554" s="1634" t="s">
        <v>6445</v>
      </c>
      <c r="E2554" s="1634" t="s">
        <v>3497</v>
      </c>
      <c r="F2554" s="1634" t="s">
        <v>689</v>
      </c>
      <c r="G2554"/>
      <c r="H2554"/>
      <c r="I2554"/>
      <c r="J2554"/>
    </row>
    <row r="2555" spans="1:10" hidden="1" x14ac:dyDescent="0.2">
      <c r="A2555" s="2291" t="s">
        <v>1272</v>
      </c>
      <c r="B2555" s="1634" t="s">
        <v>2655</v>
      </c>
      <c r="C2555" s="1634" t="s">
        <v>6447</v>
      </c>
      <c r="D2555" s="1634" t="s">
        <v>6448</v>
      </c>
      <c r="E2555" s="1634" t="s">
        <v>139</v>
      </c>
      <c r="F2555" s="1634" t="s">
        <v>140</v>
      </c>
      <c r="G2555"/>
      <c r="H2555"/>
      <c r="I2555"/>
      <c r="J2555"/>
    </row>
    <row r="2556" spans="1:10" hidden="1" x14ac:dyDescent="0.2">
      <c r="A2556" s="2291" t="s">
        <v>1273</v>
      </c>
      <c r="B2556" s="1634" t="s">
        <v>3064</v>
      </c>
      <c r="C2556" s="1634" t="s">
        <v>2196</v>
      </c>
      <c r="D2556" s="1634" t="s">
        <v>3396</v>
      </c>
      <c r="E2556" s="1634" t="s">
        <v>3397</v>
      </c>
      <c r="F2556" s="1634" t="s">
        <v>3398</v>
      </c>
      <c r="G2556"/>
      <c r="H2556"/>
      <c r="I2556"/>
      <c r="J2556"/>
    </row>
    <row r="2557" spans="1:10" hidden="1" x14ac:dyDescent="0.2">
      <c r="A2557" s="2291" t="s">
        <v>1274</v>
      </c>
      <c r="B2557" s="1634" t="s">
        <v>5642</v>
      </c>
      <c r="C2557" s="1634" t="s">
        <v>506</v>
      </c>
      <c r="D2557" s="1634" t="s">
        <v>6450</v>
      </c>
      <c r="E2557" s="1634" t="s">
        <v>3501</v>
      </c>
      <c r="F2557" s="1634" t="s">
        <v>510</v>
      </c>
      <c r="G2557"/>
      <c r="H2557"/>
      <c r="I2557"/>
      <c r="J2557"/>
    </row>
    <row r="2558" spans="1:10" hidden="1" x14ac:dyDescent="0.2">
      <c r="A2558" s="2291" t="s">
        <v>1275</v>
      </c>
      <c r="B2558" s="1634" t="s">
        <v>823</v>
      </c>
      <c r="C2558" s="1634" t="s">
        <v>825</v>
      </c>
      <c r="D2558"/>
      <c r="E2558"/>
      <c r="F2558"/>
      <c r="G2558"/>
      <c r="H2558"/>
      <c r="I2558"/>
      <c r="J2558"/>
    </row>
    <row r="2559" spans="1:10" hidden="1" x14ac:dyDescent="0.2">
      <c r="A2559" s="2291" t="s">
        <v>1276</v>
      </c>
      <c r="B2559" s="1634" t="s">
        <v>716</v>
      </c>
      <c r="C2559"/>
      <c r="D2559"/>
      <c r="E2559"/>
      <c r="F2559"/>
      <c r="G2559"/>
      <c r="H2559"/>
      <c r="I2559"/>
      <c r="J2559"/>
    </row>
    <row r="2560" spans="1:10" hidden="1" x14ac:dyDescent="0.2">
      <c r="A2560" s="2291" t="s">
        <v>1277</v>
      </c>
      <c r="B2560" s="1634" t="s">
        <v>2626</v>
      </c>
      <c r="C2560"/>
      <c r="D2560"/>
      <c r="E2560"/>
      <c r="F2560"/>
      <c r="G2560"/>
      <c r="H2560"/>
      <c r="I2560"/>
      <c r="J2560"/>
    </row>
    <row r="2561" spans="1:10" hidden="1" x14ac:dyDescent="0.2">
      <c r="A2561" s="2291" t="s">
        <v>1278</v>
      </c>
      <c r="B2561" s="1634" t="s">
        <v>4307</v>
      </c>
      <c r="C2561" s="1634" t="s">
        <v>1023</v>
      </c>
      <c r="D2561" s="1634" t="s">
        <v>3400</v>
      </c>
      <c r="E2561" s="1634" t="s">
        <v>3401</v>
      </c>
      <c r="F2561" s="1634" t="s">
        <v>1024</v>
      </c>
      <c r="G2561" s="1634" t="s">
        <v>3402</v>
      </c>
      <c r="H2561" s="1634" t="s">
        <v>3403</v>
      </c>
      <c r="I2561" s="1634" t="s">
        <v>3404</v>
      </c>
      <c r="J2561" s="1634" t="s">
        <v>3405</v>
      </c>
    </row>
    <row r="2562" spans="1:10" hidden="1" x14ac:dyDescent="0.2">
      <c r="A2562" s="2291" t="s">
        <v>1279</v>
      </c>
      <c r="B2562" s="1634" t="s">
        <v>4309</v>
      </c>
      <c r="C2562" s="1634" t="s">
        <v>6512</v>
      </c>
      <c r="D2562" s="1634" t="s">
        <v>5896</v>
      </c>
      <c r="E2562" s="1634" t="s">
        <v>5897</v>
      </c>
      <c r="F2562" s="1634" t="s">
        <v>6513</v>
      </c>
      <c r="G2562" s="1634" t="s">
        <v>4822</v>
      </c>
      <c r="H2562" s="1634" t="s">
        <v>5095</v>
      </c>
      <c r="I2562" s="1634" t="s">
        <v>5096</v>
      </c>
      <c r="J2562" s="1634" t="s">
        <v>5097</v>
      </c>
    </row>
    <row r="2563" spans="1:10" hidden="1" x14ac:dyDescent="0.2">
      <c r="A2563" s="2291" t="s">
        <v>1280</v>
      </c>
      <c r="B2563" s="1634" t="s">
        <v>4311</v>
      </c>
      <c r="C2563" s="1634" t="s">
        <v>2300</v>
      </c>
      <c r="D2563" s="1634" t="s">
        <v>5101</v>
      </c>
      <c r="E2563" s="1634" t="s">
        <v>5102</v>
      </c>
      <c r="F2563" s="1634" t="s">
        <v>2301</v>
      </c>
      <c r="G2563" s="1634" t="s">
        <v>5103</v>
      </c>
      <c r="H2563" s="1634" t="s">
        <v>5104</v>
      </c>
      <c r="I2563" s="1634" t="s">
        <v>5105</v>
      </c>
      <c r="J2563" s="1634" t="s">
        <v>5106</v>
      </c>
    </row>
    <row r="2564" spans="1:10" hidden="1" x14ac:dyDescent="0.2">
      <c r="A2564" s="2291" t="s">
        <v>1281</v>
      </c>
      <c r="B2564" s="1634" t="s">
        <v>4313</v>
      </c>
      <c r="C2564" s="1634" t="s">
        <v>2303</v>
      </c>
      <c r="D2564" s="1634" t="s">
        <v>524</v>
      </c>
      <c r="E2564" s="1634" t="s">
        <v>525</v>
      </c>
      <c r="F2564" s="1634" t="s">
        <v>2304</v>
      </c>
      <c r="G2564" s="1634" t="s">
        <v>4823</v>
      </c>
      <c r="H2564" s="1634" t="s">
        <v>2393</v>
      </c>
      <c r="I2564" s="1634" t="s">
        <v>2394</v>
      </c>
      <c r="J2564" s="1634" t="s">
        <v>2395</v>
      </c>
    </row>
    <row r="2565" spans="1:10" hidden="1" x14ac:dyDescent="0.2">
      <c r="A2565" s="2291" t="s">
        <v>1282</v>
      </c>
      <c r="B2565" s="1634" t="s">
        <v>4315</v>
      </c>
      <c r="C2565" s="1634" t="s">
        <v>2419</v>
      </c>
      <c r="D2565" s="1634" t="s">
        <v>2399</v>
      </c>
      <c r="E2565" s="1634" t="s">
        <v>2400</v>
      </c>
      <c r="F2565" s="1634" t="s">
        <v>2420</v>
      </c>
      <c r="G2565" s="1634" t="s">
        <v>2401</v>
      </c>
      <c r="H2565" s="1634" t="s">
        <v>852</v>
      </c>
      <c r="I2565" s="1634" t="s">
        <v>2402</v>
      </c>
      <c r="J2565" s="1634" t="s">
        <v>2403</v>
      </c>
    </row>
    <row r="2566" spans="1:10" hidden="1" x14ac:dyDescent="0.2">
      <c r="A2566" s="2291" t="s">
        <v>1283</v>
      </c>
      <c r="B2566" s="1634" t="s">
        <v>4317</v>
      </c>
      <c r="C2566" s="1634" t="s">
        <v>2407</v>
      </c>
      <c r="D2566" s="1634" t="s">
        <v>2408</v>
      </c>
      <c r="E2566" s="1634" t="s">
        <v>2409</v>
      </c>
      <c r="F2566" s="1634" t="s">
        <v>2410</v>
      </c>
      <c r="G2566" s="1634" t="s">
        <v>4824</v>
      </c>
      <c r="H2566" s="1634" t="s">
        <v>2411</v>
      </c>
      <c r="I2566" s="1634" t="s">
        <v>2412</v>
      </c>
      <c r="J2566" s="1634" t="s">
        <v>2413</v>
      </c>
    </row>
    <row r="2567" spans="1:10" hidden="1" x14ac:dyDescent="0.2">
      <c r="A2567" s="2291" t="s">
        <v>1284</v>
      </c>
      <c r="B2567" s="1634" t="s">
        <v>4319</v>
      </c>
      <c r="C2567" s="1634" t="s">
        <v>2417</v>
      </c>
      <c r="D2567" s="1634" t="s">
        <v>2628</v>
      </c>
      <c r="E2567" s="1634" t="s">
        <v>2629</v>
      </c>
      <c r="F2567" s="1634" t="s">
        <v>2630</v>
      </c>
      <c r="G2567" s="1634" t="s">
        <v>2631</v>
      </c>
      <c r="H2567" s="1634" t="s">
        <v>2632</v>
      </c>
      <c r="I2567" s="1634" t="s">
        <v>2633</v>
      </c>
      <c r="J2567" s="1634" t="s">
        <v>2634</v>
      </c>
    </row>
    <row r="2568" spans="1:10" hidden="1" x14ac:dyDescent="0.2">
      <c r="A2568" s="2291" t="s">
        <v>1285</v>
      </c>
      <c r="B2568" s="1634" t="s">
        <v>4321</v>
      </c>
      <c r="C2568" s="1634" t="s">
        <v>2638</v>
      </c>
      <c r="D2568" s="1634" t="s">
        <v>2639</v>
      </c>
      <c r="E2568" s="1634" t="s">
        <v>2640</v>
      </c>
      <c r="F2568" s="1634" t="s">
        <v>2641</v>
      </c>
      <c r="G2568" s="1634" t="s">
        <v>4825</v>
      </c>
      <c r="H2568" s="1634" t="s">
        <v>2642</v>
      </c>
      <c r="I2568" s="1634" t="s">
        <v>3965</v>
      </c>
      <c r="J2568" s="1634" t="s">
        <v>3966</v>
      </c>
    </row>
    <row r="2569" spans="1:10" hidden="1" x14ac:dyDescent="0.2">
      <c r="A2569" s="2291" t="s">
        <v>1286</v>
      </c>
      <c r="B2569" s="1634" t="s">
        <v>1287</v>
      </c>
      <c r="C2569" s="1634" t="s">
        <v>6582</v>
      </c>
      <c r="D2569" s="1634" t="s">
        <v>6583</v>
      </c>
      <c r="E2569" s="1634" t="s">
        <v>6584</v>
      </c>
      <c r="F2569" s="1634" t="s">
        <v>6585</v>
      </c>
      <c r="G2569" s="1634" t="s">
        <v>6586</v>
      </c>
      <c r="H2569" s="1634" t="s">
        <v>6587</v>
      </c>
      <c r="I2569" s="1634" t="s">
        <v>6588</v>
      </c>
      <c r="J2569" s="1634" t="s">
        <v>6589</v>
      </c>
    </row>
    <row r="2570" spans="1:10" hidden="1" x14ac:dyDescent="0.2">
      <c r="A2570" s="2291" t="s">
        <v>1288</v>
      </c>
      <c r="B2570" s="1634" t="s">
        <v>1384</v>
      </c>
      <c r="C2570" s="1634" t="s">
        <v>6271</v>
      </c>
      <c r="D2570" s="1634" t="s">
        <v>6272</v>
      </c>
      <c r="E2570" s="1634" t="s">
        <v>6273</v>
      </c>
      <c r="F2570" s="1634" t="s">
        <v>6274</v>
      </c>
      <c r="G2570" s="1634" t="s">
        <v>6275</v>
      </c>
      <c r="H2570" s="1634" t="s">
        <v>5014</v>
      </c>
      <c r="I2570" s="1634" t="s">
        <v>5015</v>
      </c>
      <c r="J2570" s="1634" t="s">
        <v>5016</v>
      </c>
    </row>
    <row r="2571" spans="1:10" hidden="1" x14ac:dyDescent="0.2">
      <c r="A2571" s="2291" t="s">
        <v>1289</v>
      </c>
      <c r="B2571" s="1634" t="s">
        <v>1386</v>
      </c>
      <c r="C2571" s="1634" t="s">
        <v>5020</v>
      </c>
      <c r="D2571" s="1634" t="s">
        <v>5021</v>
      </c>
      <c r="E2571" s="1634" t="s">
        <v>5022</v>
      </c>
      <c r="F2571" s="1634" t="s">
        <v>5023</v>
      </c>
      <c r="G2571" s="1634" t="s">
        <v>4826</v>
      </c>
      <c r="H2571" s="1634" t="s">
        <v>5024</v>
      </c>
      <c r="I2571" s="1634" t="s">
        <v>5025</v>
      </c>
      <c r="J2571" s="1634" t="s">
        <v>5026</v>
      </c>
    </row>
    <row r="2572" spans="1:10" hidden="1" x14ac:dyDescent="0.2">
      <c r="A2572" s="2291" t="s">
        <v>1290</v>
      </c>
      <c r="B2572" s="1634" t="s">
        <v>1388</v>
      </c>
      <c r="C2572" s="1634" t="s">
        <v>5030</v>
      </c>
      <c r="D2572" s="1634" t="s">
        <v>5031</v>
      </c>
      <c r="E2572" s="1634" t="s">
        <v>5032</v>
      </c>
      <c r="F2572" s="1634" t="s">
        <v>5033</v>
      </c>
      <c r="G2572" s="1634" t="s">
        <v>5034</v>
      </c>
      <c r="H2572" s="1634" t="s">
        <v>5035</v>
      </c>
      <c r="I2572" s="1634" t="s">
        <v>5036</v>
      </c>
      <c r="J2572" s="1634" t="s">
        <v>5037</v>
      </c>
    </row>
    <row r="2573" spans="1:10" hidden="1" x14ac:dyDescent="0.2">
      <c r="A2573" s="2291" t="s">
        <v>1291</v>
      </c>
      <c r="B2573" s="1634" t="s">
        <v>223</v>
      </c>
      <c r="C2573" s="1634" t="s">
        <v>2448</v>
      </c>
      <c r="D2573" s="1634" t="s">
        <v>2449</v>
      </c>
      <c r="E2573" s="1634" t="s">
        <v>2450</v>
      </c>
      <c r="F2573" s="1634" t="s">
        <v>2451</v>
      </c>
      <c r="G2573" s="1634" t="s">
        <v>4827</v>
      </c>
      <c r="H2573" s="1634" t="s">
        <v>2452</v>
      </c>
      <c r="I2573" s="1634" t="s">
        <v>2453</v>
      </c>
      <c r="J2573" s="1634" t="s">
        <v>2454</v>
      </c>
    </row>
    <row r="2574" spans="1:10" hidden="1" x14ac:dyDescent="0.2">
      <c r="A2574" s="2291" t="s">
        <v>1292</v>
      </c>
      <c r="B2574" s="1634" t="s">
        <v>835</v>
      </c>
      <c r="C2574" s="1634" t="s">
        <v>4230</v>
      </c>
      <c r="D2574" s="1634" t="s">
        <v>4231</v>
      </c>
      <c r="E2574" s="1634" t="s">
        <v>6419</v>
      </c>
      <c r="F2574" s="1634" t="s">
        <v>6420</v>
      </c>
      <c r="G2574" s="1634" t="s">
        <v>6421</v>
      </c>
      <c r="H2574" s="1634" t="s">
        <v>1456</v>
      </c>
      <c r="I2574" s="1634" t="s">
        <v>1457</v>
      </c>
      <c r="J2574" s="1634" t="s">
        <v>1458</v>
      </c>
    </row>
    <row r="2575" spans="1:10" hidden="1" x14ac:dyDescent="0.2">
      <c r="A2575" s="2291" t="s">
        <v>1293</v>
      </c>
      <c r="B2575" s="1634" t="s">
        <v>837</v>
      </c>
      <c r="C2575" s="1634" t="s">
        <v>5140</v>
      </c>
      <c r="D2575" s="1634" t="s">
        <v>5141</v>
      </c>
      <c r="E2575" s="1634" t="s">
        <v>2336</v>
      </c>
      <c r="F2575" s="1634" t="s">
        <v>2337</v>
      </c>
      <c r="G2575" s="1634" t="s">
        <v>2338</v>
      </c>
      <c r="H2575" s="1634" t="s">
        <v>1462</v>
      </c>
      <c r="I2575" s="1634" t="s">
        <v>1463</v>
      </c>
      <c r="J2575" s="1634" t="s">
        <v>1464</v>
      </c>
    </row>
    <row r="2576" spans="1:10" hidden="1" x14ac:dyDescent="0.2">
      <c r="A2576" s="2291" t="s">
        <v>1294</v>
      </c>
      <c r="B2576" s="1634" t="s">
        <v>839</v>
      </c>
      <c r="C2576" s="1634" t="s">
        <v>2340</v>
      </c>
      <c r="D2576" s="1634" t="s">
        <v>2341</v>
      </c>
      <c r="E2576" s="1634" t="s">
        <v>2342</v>
      </c>
      <c r="F2576" s="1634" t="s">
        <v>2343</v>
      </c>
      <c r="G2576" s="1634" t="s">
        <v>2344</v>
      </c>
      <c r="H2576" s="1634" t="s">
        <v>1468</v>
      </c>
      <c r="I2576" s="1634" t="s">
        <v>1469</v>
      </c>
      <c r="J2576" s="1634" t="s">
        <v>1470</v>
      </c>
    </row>
    <row r="2577" spans="1:10" hidden="1" x14ac:dyDescent="0.2">
      <c r="A2577" s="2291" t="s">
        <v>1295</v>
      </c>
      <c r="B2577" s="1634" t="s">
        <v>841</v>
      </c>
      <c r="C2577" s="1634" t="s">
        <v>2346</v>
      </c>
      <c r="D2577" s="1634" t="s">
        <v>2347</v>
      </c>
      <c r="E2577" s="1634" t="s">
        <v>2348</v>
      </c>
      <c r="F2577" s="1634" t="s">
        <v>2349</v>
      </c>
      <c r="G2577" s="1634" t="s">
        <v>2350</v>
      </c>
      <c r="H2577" s="1634" t="s">
        <v>1474</v>
      </c>
      <c r="I2577" s="1634" t="s">
        <v>4212</v>
      </c>
      <c r="J2577" s="1634" t="s">
        <v>4495</v>
      </c>
    </row>
    <row r="2578" spans="1:10" hidden="1" x14ac:dyDescent="0.2">
      <c r="A2578" s="2291" t="s">
        <v>1296</v>
      </c>
      <c r="B2578" s="1634" t="s">
        <v>843</v>
      </c>
      <c r="C2578" s="1634" t="s">
        <v>2352</v>
      </c>
      <c r="D2578" s="1634" t="s">
        <v>2353</v>
      </c>
      <c r="E2578" s="1634" t="s">
        <v>2354</v>
      </c>
      <c r="F2578" s="1634" t="s">
        <v>2355</v>
      </c>
      <c r="G2578" s="1634" t="s">
        <v>2356</v>
      </c>
      <c r="H2578" s="1634" t="s">
        <v>1871</v>
      </c>
      <c r="I2578" s="1634" t="s">
        <v>1872</v>
      </c>
      <c r="J2578" s="1634" t="s">
        <v>1585</v>
      </c>
    </row>
    <row r="2579" spans="1:10" hidden="1" x14ac:dyDescent="0.2">
      <c r="A2579" s="2291" t="s">
        <v>1297</v>
      </c>
      <c r="B2579" s="1634" t="s">
        <v>845</v>
      </c>
      <c r="C2579" s="1634" t="s">
        <v>2358</v>
      </c>
      <c r="D2579" s="1634" t="s">
        <v>2359</v>
      </c>
      <c r="E2579" s="1634" t="s">
        <v>2360</v>
      </c>
      <c r="F2579" s="1634" t="s">
        <v>2361</v>
      </c>
      <c r="G2579" s="1634" t="s">
        <v>2362</v>
      </c>
      <c r="H2579" s="1634" t="s">
        <v>1876</v>
      </c>
      <c r="I2579" s="1634" t="s">
        <v>1877</v>
      </c>
      <c r="J2579" s="1634" t="s">
        <v>1878</v>
      </c>
    </row>
    <row r="2580" spans="1:10" hidden="1" x14ac:dyDescent="0.2">
      <c r="A2580" s="2291" t="s">
        <v>1298</v>
      </c>
      <c r="B2580" s="1634" t="s">
        <v>847</v>
      </c>
      <c r="C2580" s="1634" t="s">
        <v>6700</v>
      </c>
      <c r="D2580" s="1634" t="s">
        <v>6701</v>
      </c>
      <c r="E2580" s="1634" t="s">
        <v>6702</v>
      </c>
      <c r="F2580" s="1634" t="s">
        <v>6703</v>
      </c>
      <c r="G2580" s="1634" t="s">
        <v>2964</v>
      </c>
      <c r="H2580" s="1634" t="s">
        <v>6665</v>
      </c>
      <c r="I2580" s="1634" t="s">
        <v>6666</v>
      </c>
      <c r="J2580" s="1634" t="s">
        <v>6667</v>
      </c>
    </row>
    <row r="2581" spans="1:10" hidden="1" x14ac:dyDescent="0.2">
      <c r="A2581" s="2291" t="s">
        <v>1299</v>
      </c>
      <c r="B2581" s="1634" t="s">
        <v>849</v>
      </c>
      <c r="C2581" s="1634" t="s">
        <v>3692</v>
      </c>
      <c r="D2581" s="1634" t="s">
        <v>3693</v>
      </c>
      <c r="E2581" s="1634" t="s">
        <v>6204</v>
      </c>
      <c r="F2581" s="1634" t="s">
        <v>6205</v>
      </c>
      <c r="G2581" s="1634" t="s">
        <v>5575</v>
      </c>
      <c r="H2581" s="1634" t="s">
        <v>2126</v>
      </c>
      <c r="I2581" s="1634" t="s">
        <v>2127</v>
      </c>
      <c r="J2581" s="1634" t="s">
        <v>2128</v>
      </c>
    </row>
    <row r="2582" spans="1:10" hidden="1" x14ac:dyDescent="0.2">
      <c r="A2582" s="2291" t="s">
        <v>1300</v>
      </c>
      <c r="B2582" s="1634" t="s">
        <v>5532</v>
      </c>
      <c r="C2582" s="1634" t="s">
        <v>5577</v>
      </c>
      <c r="D2582" s="1634" t="s">
        <v>5578</v>
      </c>
      <c r="E2582" s="1634" t="s">
        <v>5579</v>
      </c>
      <c r="F2582" s="1634" t="s">
        <v>3644</v>
      </c>
      <c r="G2582" s="1634" t="s">
        <v>3645</v>
      </c>
      <c r="H2582" s="1634" t="s">
        <v>2132</v>
      </c>
      <c r="I2582" s="1634" t="s">
        <v>981</v>
      </c>
      <c r="J2582" s="1634" t="s">
        <v>982</v>
      </c>
    </row>
    <row r="2583" spans="1:10" hidden="1" x14ac:dyDescent="0.2">
      <c r="A2583" s="2291" t="s">
        <v>1301</v>
      </c>
      <c r="B2583" s="1634" t="s">
        <v>5534</v>
      </c>
      <c r="C2583" s="1634" t="s">
        <v>3647</v>
      </c>
      <c r="D2583" s="1634" t="s">
        <v>3648</v>
      </c>
      <c r="E2583" s="1634" t="s">
        <v>3649</v>
      </c>
      <c r="F2583" s="1634" t="s">
        <v>3650</v>
      </c>
      <c r="G2583" s="1634" t="s">
        <v>3651</v>
      </c>
      <c r="H2583" s="1634" t="s">
        <v>4496</v>
      </c>
      <c r="I2583" s="1634" t="s">
        <v>5219</v>
      </c>
      <c r="J2583" s="1634" t="s">
        <v>5220</v>
      </c>
    </row>
    <row r="2584" spans="1:10" hidden="1" x14ac:dyDescent="0.2">
      <c r="A2584" s="2291" t="s">
        <v>1302</v>
      </c>
      <c r="B2584" s="1634" t="s">
        <v>1303</v>
      </c>
      <c r="C2584" s="1634" t="s">
        <v>5667</v>
      </c>
      <c r="D2584" s="1634" t="s">
        <v>5668</v>
      </c>
      <c r="E2584" s="1634" t="s">
        <v>5669</v>
      </c>
      <c r="F2584" s="1634" t="s">
        <v>5670</v>
      </c>
      <c r="G2584" s="1634" t="s">
        <v>5671</v>
      </c>
      <c r="H2584" s="1634" t="s">
        <v>5224</v>
      </c>
      <c r="I2584" s="1634" t="s">
        <v>1586</v>
      </c>
      <c r="J2584" s="1634" t="s">
        <v>5225</v>
      </c>
    </row>
    <row r="2585" spans="1:10" hidden="1" x14ac:dyDescent="0.2">
      <c r="A2585" s="2291" t="s">
        <v>1304</v>
      </c>
      <c r="B2585" s="1634" t="s">
        <v>1831</v>
      </c>
      <c r="C2585" s="1634" t="s">
        <v>5673</v>
      </c>
      <c r="D2585" s="1634" t="s">
        <v>5674</v>
      </c>
      <c r="E2585" s="1634" t="s">
        <v>5675</v>
      </c>
      <c r="F2585" s="1634" t="s">
        <v>5676</v>
      </c>
      <c r="G2585" s="1634" t="s">
        <v>5677</v>
      </c>
      <c r="H2585" s="1634" t="s">
        <v>4401</v>
      </c>
      <c r="I2585" s="1634" t="s">
        <v>4402</v>
      </c>
      <c r="J2585" s="1634" t="s">
        <v>1598</v>
      </c>
    </row>
    <row r="2586" spans="1:10" hidden="1" x14ac:dyDescent="0.2">
      <c r="A2586" s="2291" t="s">
        <v>1305</v>
      </c>
      <c r="B2586" s="1634" t="s">
        <v>1833</v>
      </c>
      <c r="C2586" s="1634" t="s">
        <v>3419</v>
      </c>
      <c r="D2586" s="1634" t="s">
        <v>3420</v>
      </c>
      <c r="E2586" s="1634" t="s">
        <v>5679</v>
      </c>
      <c r="F2586" s="1634" t="s">
        <v>5680</v>
      </c>
      <c r="G2586" s="1634" t="s">
        <v>3431</v>
      </c>
      <c r="H2586" s="1634" t="s">
        <v>1587</v>
      </c>
      <c r="I2586" s="1634" t="s">
        <v>6052</v>
      </c>
      <c r="J2586" s="1634" t="s">
        <v>6053</v>
      </c>
    </row>
    <row r="2587" spans="1:10" hidden="1" x14ac:dyDescent="0.2">
      <c r="A2587" s="2291" t="s">
        <v>1306</v>
      </c>
      <c r="B2587" s="1634" t="s">
        <v>6055</v>
      </c>
      <c r="C2587" s="1634" t="s">
        <v>6056</v>
      </c>
      <c r="D2587"/>
      <c r="E2587"/>
      <c r="F2587"/>
      <c r="G2587"/>
      <c r="H2587"/>
      <c r="I2587"/>
      <c r="J2587"/>
    </row>
    <row r="2588" spans="1:10" hidden="1" x14ac:dyDescent="0.2">
      <c r="C2588"/>
      <c r="D2588"/>
      <c r="E2588"/>
      <c r="F2588"/>
    </row>
    <row r="2589" spans="1:10" hidden="1" x14ac:dyDescent="0.2">
      <c r="C2589"/>
      <c r="D2589"/>
      <c r="E2589"/>
      <c r="F2589"/>
    </row>
    <row r="2590" spans="1:10" hidden="1" x14ac:dyDescent="0.2">
      <c r="C2590"/>
      <c r="D2590"/>
      <c r="E2590"/>
      <c r="F2590"/>
    </row>
    <row r="2595" spans="1:11" hidden="1" x14ac:dyDescent="0.2">
      <c r="C2595"/>
      <c r="D2595"/>
      <c r="E2595"/>
      <c r="F2595"/>
      <c r="G2595"/>
      <c r="H2595"/>
      <c r="I2595"/>
      <c r="J2595"/>
    </row>
    <row r="2596" spans="1:11" hidden="1" x14ac:dyDescent="0.2">
      <c r="A2596" s="2291" t="s">
        <v>7189</v>
      </c>
      <c r="B2596" s="1634" t="s">
        <v>5696</v>
      </c>
      <c r="C2596"/>
      <c r="D2596"/>
      <c r="E2596"/>
      <c r="F2596"/>
      <c r="G2596"/>
      <c r="H2596"/>
      <c r="I2596"/>
      <c r="J2596"/>
    </row>
    <row r="2597" spans="1:11" hidden="1" x14ac:dyDescent="0.2">
      <c r="A2597" s="2291" t="s">
        <v>7190</v>
      </c>
      <c r="B2597" s="1634" t="s">
        <v>5695</v>
      </c>
      <c r="C2597" s="1634" t="s">
        <v>4040</v>
      </c>
      <c r="D2597" s="1634" t="s">
        <v>4041</v>
      </c>
      <c r="E2597" s="1634" t="s">
        <v>3106</v>
      </c>
      <c r="F2597" s="1634" t="s">
        <v>5696</v>
      </c>
      <c r="G2597"/>
      <c r="H2597"/>
      <c r="I2597"/>
      <c r="J2597"/>
      <c r="K2597"/>
    </row>
    <row r="2598" spans="1:11" hidden="1" x14ac:dyDescent="0.2">
      <c r="A2598" s="2291" t="s">
        <v>7191</v>
      </c>
      <c r="B2598" s="1634" t="s">
        <v>5697</v>
      </c>
      <c r="C2598" s="1634" t="s">
        <v>6972</v>
      </c>
      <c r="D2598" s="1634" t="s">
        <v>5472</v>
      </c>
      <c r="E2598" s="1634" t="s">
        <v>553</v>
      </c>
      <c r="F2598" s="1634" t="s">
        <v>4704</v>
      </c>
      <c r="G2598"/>
      <c r="H2598"/>
      <c r="I2598"/>
      <c r="J2598"/>
    </row>
    <row r="2599" spans="1:11" hidden="1" x14ac:dyDescent="0.2">
      <c r="A2599" s="2291" t="s">
        <v>7192</v>
      </c>
      <c r="B2599" s="1634" t="s">
        <v>4705</v>
      </c>
      <c r="C2599" s="1634" t="s">
        <v>4173</v>
      </c>
      <c r="D2599" s="1634" t="s">
        <v>4174</v>
      </c>
      <c r="E2599" s="1634" t="s">
        <v>561</v>
      </c>
      <c r="F2599" s="1634" t="s">
        <v>4706</v>
      </c>
      <c r="G2599"/>
      <c r="H2599"/>
      <c r="I2599"/>
      <c r="J2599"/>
    </row>
    <row r="2600" spans="1:11" hidden="1" x14ac:dyDescent="0.2">
      <c r="A2600" s="2291" t="s">
        <v>7193</v>
      </c>
      <c r="B2600" s="1634" t="s">
        <v>2021</v>
      </c>
      <c r="C2600" s="1634" t="s">
        <v>6672</v>
      </c>
      <c r="D2600" s="1634" t="s">
        <v>5473</v>
      </c>
      <c r="E2600" s="1634" t="s">
        <v>2022</v>
      </c>
      <c r="F2600" s="1634" t="s">
        <v>5474</v>
      </c>
      <c r="G2600"/>
      <c r="H2600"/>
      <c r="I2600"/>
      <c r="J2600"/>
    </row>
    <row r="2601" spans="1:11" hidden="1" x14ac:dyDescent="0.2">
      <c r="A2601" s="2291" t="s">
        <v>7194</v>
      </c>
      <c r="B2601" s="1634" t="s">
        <v>4707</v>
      </c>
      <c r="C2601" s="1634" t="s">
        <v>6677</v>
      </c>
      <c r="D2601" s="1634" t="s">
        <v>6678</v>
      </c>
      <c r="E2601" s="1634" t="s">
        <v>2029</v>
      </c>
      <c r="F2601" s="1634" t="s">
        <v>4708</v>
      </c>
      <c r="G2601"/>
      <c r="H2601"/>
      <c r="I2601"/>
      <c r="J2601"/>
    </row>
    <row r="2602" spans="1:11" hidden="1" x14ac:dyDescent="0.2">
      <c r="A2602" s="2291" t="s">
        <v>7195</v>
      </c>
      <c r="B2602" s="1634" t="s">
        <v>4709</v>
      </c>
      <c r="C2602" s="1634" t="s">
        <v>6683</v>
      </c>
      <c r="D2602" s="1634" t="s">
        <v>5475</v>
      </c>
      <c r="E2602" s="1634" t="s">
        <v>3423</v>
      </c>
      <c r="F2602" s="1634" t="s">
        <v>4710</v>
      </c>
      <c r="G2602"/>
      <c r="H2602"/>
      <c r="I2602"/>
      <c r="J2602"/>
    </row>
    <row r="2603" spans="1:11" hidden="1" x14ac:dyDescent="0.2">
      <c r="A2603" s="2291" t="s">
        <v>7196</v>
      </c>
      <c r="B2603" s="1634" t="s">
        <v>4711</v>
      </c>
      <c r="C2603" s="1634" t="s">
        <v>6688</v>
      </c>
      <c r="D2603" s="1634" t="s">
        <v>6689</v>
      </c>
      <c r="E2603" s="1634" t="s">
        <v>5424</v>
      </c>
      <c r="F2603" s="1634" t="s">
        <v>4712</v>
      </c>
      <c r="G2603"/>
      <c r="H2603"/>
      <c r="I2603"/>
      <c r="J2603"/>
    </row>
    <row r="2604" spans="1:11" hidden="1" x14ac:dyDescent="0.2">
      <c r="A2604" s="2291" t="s">
        <v>7197</v>
      </c>
      <c r="B2604" s="1634" t="s">
        <v>4713</v>
      </c>
      <c r="C2604" s="1634" t="s">
        <v>6694</v>
      </c>
      <c r="D2604" s="1634" t="s">
        <v>4094</v>
      </c>
      <c r="E2604" s="1634" t="s">
        <v>5430</v>
      </c>
      <c r="F2604" s="1634" t="s">
        <v>4714</v>
      </c>
      <c r="G2604"/>
      <c r="H2604"/>
      <c r="I2604"/>
      <c r="J2604"/>
    </row>
    <row r="2605" spans="1:11" hidden="1" x14ac:dyDescent="0.2">
      <c r="A2605" s="2291" t="s">
        <v>7198</v>
      </c>
      <c r="B2605" s="1634" t="s">
        <v>2153</v>
      </c>
      <c r="C2605" s="1634" t="s">
        <v>6697</v>
      </c>
      <c r="D2605" s="1634" t="s">
        <v>4099</v>
      </c>
      <c r="E2605" s="1634" t="s">
        <v>2154</v>
      </c>
      <c r="F2605" s="1634" t="s">
        <v>5476</v>
      </c>
    </row>
    <row r="2606" spans="1:11" hidden="1" x14ac:dyDescent="0.2">
      <c r="A2606" s="2291" t="s">
        <v>7199</v>
      </c>
      <c r="B2606" s="1634" t="s">
        <v>4715</v>
      </c>
      <c r="C2606" s="1634" t="s">
        <v>2660</v>
      </c>
      <c r="D2606" s="1634" t="s">
        <v>4104</v>
      </c>
      <c r="E2606" s="1634" t="s">
        <v>2161</v>
      </c>
      <c r="F2606" s="1634" t="s">
        <v>4716</v>
      </c>
    </row>
    <row r="2607" spans="1:11" hidden="1" x14ac:dyDescent="0.2">
      <c r="A2607" s="2291" t="s">
        <v>7200</v>
      </c>
      <c r="B2607" s="1634" t="s">
        <v>4717</v>
      </c>
      <c r="C2607" s="1634" t="s">
        <v>2663</v>
      </c>
      <c r="D2607" s="1634" t="s">
        <v>2321</v>
      </c>
      <c r="E2607" s="1634" t="s">
        <v>2168</v>
      </c>
      <c r="F2607" s="1634" t="s">
        <v>6426</v>
      </c>
    </row>
    <row r="2608" spans="1:11" hidden="1" x14ac:dyDescent="0.2">
      <c r="A2608" s="2291" t="s">
        <v>7201</v>
      </c>
      <c r="B2608" s="1634" t="s">
        <v>6427</v>
      </c>
      <c r="C2608" s="1634" t="s">
        <v>3859</v>
      </c>
      <c r="D2608" s="1634" t="s">
        <v>2326</v>
      </c>
      <c r="E2608" s="1634" t="s">
        <v>2174</v>
      </c>
      <c r="F2608" s="1634" t="s">
        <v>6428</v>
      </c>
    </row>
    <row r="2609" spans="1:11" hidden="1" x14ac:dyDescent="0.2">
      <c r="A2609" s="2300" t="s">
        <v>7202</v>
      </c>
      <c r="B2609" s="2304" t="s">
        <v>6429</v>
      </c>
      <c r="C2609" s="2304" t="s">
        <v>3862</v>
      </c>
      <c r="D2609" s="2304" t="s">
        <v>6605</v>
      </c>
      <c r="E2609" s="2304" t="s">
        <v>2181</v>
      </c>
      <c r="F2609" s="2304" t="s">
        <v>6430</v>
      </c>
    </row>
    <row r="2610" spans="1:11" hidden="1" x14ac:dyDescent="0.2">
      <c r="A2610" s="2300" t="s">
        <v>7203</v>
      </c>
      <c r="B2610" s="2304" t="s">
        <v>2187</v>
      </c>
      <c r="C2610" s="2304" t="s">
        <v>3052</v>
      </c>
      <c r="D2610" s="2304" t="s">
        <v>2</v>
      </c>
      <c r="E2610" s="2304" t="s">
        <v>2188</v>
      </c>
      <c r="F2610" s="2304" t="s">
        <v>2921</v>
      </c>
    </row>
    <row r="2611" spans="1:11" hidden="1" x14ac:dyDescent="0.2">
      <c r="A2611" s="2300" t="s">
        <v>7204</v>
      </c>
      <c r="B2611" s="2304" t="s">
        <v>6431</v>
      </c>
      <c r="C2611" s="2304" t="s">
        <v>3054</v>
      </c>
      <c r="D2611" s="2304" t="s">
        <v>1744</v>
      </c>
      <c r="E2611" s="2304" t="s">
        <v>3092</v>
      </c>
      <c r="F2611" s="2304" t="s">
        <v>2923</v>
      </c>
      <c r="G2611"/>
      <c r="H2611"/>
      <c r="I2611"/>
      <c r="J2611"/>
      <c r="K2611"/>
    </row>
    <row r="2612" spans="1:11" hidden="1" x14ac:dyDescent="0.2">
      <c r="A2612" s="2300" t="s">
        <v>7205</v>
      </c>
      <c r="B2612" s="2304" t="s">
        <v>6432</v>
      </c>
      <c r="C2612" s="2304" t="s">
        <v>3056</v>
      </c>
      <c r="D2612" s="2304" t="s">
        <v>1749</v>
      </c>
      <c r="E2612" s="2304" t="s">
        <v>3535</v>
      </c>
      <c r="F2612" s="2304" t="s">
        <v>3301</v>
      </c>
      <c r="G2612"/>
      <c r="H2612"/>
      <c r="I2612"/>
      <c r="J2612"/>
      <c r="K2612"/>
    </row>
    <row r="2613" spans="1:11" hidden="1" x14ac:dyDescent="0.2">
      <c r="A2613" s="2300" t="s">
        <v>7908</v>
      </c>
      <c r="B2613" s="2304" t="s">
        <v>6433</v>
      </c>
      <c r="C2613" s="2304" t="s">
        <v>3058</v>
      </c>
      <c r="D2613" s="2304" t="s">
        <v>1727</v>
      </c>
      <c r="E2613" s="2304" t="s">
        <v>6189</v>
      </c>
      <c r="F2613" s="2304" t="s">
        <v>3303</v>
      </c>
    </row>
    <row r="2614" spans="1:11" hidden="1" x14ac:dyDescent="0.2">
      <c r="A2614" s="2300" t="s">
        <v>7909</v>
      </c>
      <c r="B2614" s="2304" t="s">
        <v>2276</v>
      </c>
      <c r="C2614" s="2304" t="s">
        <v>3865</v>
      </c>
      <c r="D2614" s="2304" t="s">
        <v>2493</v>
      </c>
      <c r="E2614" s="2304" t="s">
        <v>2277</v>
      </c>
      <c r="F2614" s="2304" t="s">
        <v>5477</v>
      </c>
    </row>
    <row r="2615" spans="1:11" hidden="1" x14ac:dyDescent="0.2">
      <c r="A2615" s="2300" t="s">
        <v>7910</v>
      </c>
      <c r="B2615" s="2304" t="s">
        <v>6434</v>
      </c>
      <c r="C2615" s="2304" t="s">
        <v>3868</v>
      </c>
      <c r="D2615" s="2304" t="s">
        <v>5817</v>
      </c>
      <c r="E2615" s="2304" t="s">
        <v>2284</v>
      </c>
      <c r="F2615" s="2304" t="s">
        <v>6435</v>
      </c>
    </row>
    <row r="2616" spans="1:11" hidden="1" x14ac:dyDescent="0.2">
      <c r="A2616" s="2300" t="s">
        <v>7911</v>
      </c>
      <c r="B2616" s="2304" t="s">
        <v>6436</v>
      </c>
      <c r="C2616" s="2304" t="s">
        <v>3871</v>
      </c>
      <c r="D2616" s="2304" t="s">
        <v>1069</v>
      </c>
      <c r="E2616" s="2304" t="s">
        <v>270</v>
      </c>
      <c r="F2616" s="2304" t="s">
        <v>6437</v>
      </c>
    </row>
    <row r="2617" spans="1:11" hidden="1" x14ac:dyDescent="0.2">
      <c r="A2617" s="2300" t="s">
        <v>7912</v>
      </c>
      <c r="B2617" s="2304" t="s">
        <v>6438</v>
      </c>
      <c r="C2617" s="2304" t="s">
        <v>3874</v>
      </c>
      <c r="D2617" s="2304" t="s">
        <v>1075</v>
      </c>
      <c r="E2617" s="2304" t="s">
        <v>277</v>
      </c>
      <c r="F2617" s="2304" t="s">
        <v>6439</v>
      </c>
    </row>
    <row r="2618" spans="1:11" hidden="1" x14ac:dyDescent="0.2">
      <c r="A2618" s="2300" t="s">
        <v>7913</v>
      </c>
      <c r="B2618" s="2304" t="s">
        <v>2945</v>
      </c>
      <c r="C2618" s="2304" t="s">
        <v>3877</v>
      </c>
      <c r="D2618" s="2304" t="s">
        <v>1781</v>
      </c>
      <c r="E2618" s="2304" t="s">
        <v>2946</v>
      </c>
      <c r="F2618" s="2304" t="s">
        <v>1782</v>
      </c>
    </row>
    <row r="2619" spans="1:11" hidden="1" x14ac:dyDescent="0.2">
      <c r="A2619" s="2300" t="s">
        <v>7914</v>
      </c>
      <c r="B2619" s="2304" t="s">
        <v>2667</v>
      </c>
      <c r="C2619" s="2304" t="s">
        <v>395</v>
      </c>
      <c r="D2619" s="2304" t="s">
        <v>2668</v>
      </c>
      <c r="E2619" s="2304" t="s">
        <v>2669</v>
      </c>
      <c r="F2619" s="2304" t="s">
        <v>5478</v>
      </c>
    </row>
    <row r="2620" spans="1:11" hidden="1" x14ac:dyDescent="0.2">
      <c r="A2620" s="2300" t="s">
        <v>7915</v>
      </c>
      <c r="B2620" s="2304" t="s">
        <v>661</v>
      </c>
      <c r="C2620" s="2304" t="s">
        <v>662</v>
      </c>
      <c r="D2620" s="2304" t="s">
        <v>663</v>
      </c>
      <c r="E2620" s="2304" t="s">
        <v>664</v>
      </c>
      <c r="F2620" s="2304" t="s">
        <v>665</v>
      </c>
    </row>
    <row r="2621" spans="1:11" hidden="1" x14ac:dyDescent="0.2">
      <c r="A2621" s="2300" t="s">
        <v>7916</v>
      </c>
      <c r="B2621" s="2304" t="s">
        <v>671</v>
      </c>
      <c r="C2621" s="2304" t="s">
        <v>672</v>
      </c>
      <c r="D2621" s="2304" t="s">
        <v>673</v>
      </c>
      <c r="E2621" s="2304" t="s">
        <v>674</v>
      </c>
      <c r="F2621" s="2304" t="s">
        <v>5479</v>
      </c>
      <c r="G2621"/>
      <c r="H2621"/>
      <c r="I2621"/>
      <c r="J2621"/>
      <c r="K2621"/>
    </row>
    <row r="2622" spans="1:11" hidden="1" x14ac:dyDescent="0.2">
      <c r="A2622" s="2300" t="s">
        <v>7917</v>
      </c>
      <c r="B2622" s="2304" t="s">
        <v>6441</v>
      </c>
      <c r="C2622" s="2304" t="s">
        <v>678</v>
      </c>
      <c r="D2622" s="2304" t="s">
        <v>679</v>
      </c>
      <c r="E2622" s="2304" t="s">
        <v>680</v>
      </c>
      <c r="F2622" s="2304" t="s">
        <v>6442</v>
      </c>
      <c r="G2622"/>
      <c r="H2622"/>
      <c r="I2622"/>
      <c r="J2622"/>
      <c r="K2622"/>
    </row>
    <row r="2623" spans="1:11" hidden="1" x14ac:dyDescent="0.2">
      <c r="A2623" s="2300" t="s">
        <v>7918</v>
      </c>
      <c r="B2623" s="2304" t="s">
        <v>6444</v>
      </c>
      <c r="C2623" s="2304" t="s">
        <v>686</v>
      </c>
      <c r="D2623" s="2304" t="s">
        <v>687</v>
      </c>
      <c r="E2623" s="2304" t="s">
        <v>688</v>
      </c>
      <c r="F2623" s="2304" t="s">
        <v>6445</v>
      </c>
    </row>
    <row r="2624" spans="1:11" hidden="1" x14ac:dyDescent="0.2">
      <c r="A2624" s="2300" t="s">
        <v>7919</v>
      </c>
      <c r="B2624" s="2304" t="s">
        <v>6447</v>
      </c>
      <c r="C2624" s="2304" t="s">
        <v>3170</v>
      </c>
      <c r="D2624" s="2304" t="s">
        <v>2562</v>
      </c>
      <c r="E2624" s="2304" t="s">
        <v>2193</v>
      </c>
      <c r="F2624" s="2304" t="s">
        <v>6448</v>
      </c>
    </row>
    <row r="2625" spans="1:6" hidden="1" x14ac:dyDescent="0.2">
      <c r="A2625" s="2300" t="s">
        <v>7920</v>
      </c>
      <c r="B2625" s="2304" t="s">
        <v>2196</v>
      </c>
      <c r="C2625" s="2304" t="s">
        <v>3499</v>
      </c>
      <c r="D2625" s="2304" t="s">
        <v>3394</v>
      </c>
      <c r="E2625" s="2304" t="s">
        <v>3395</v>
      </c>
      <c r="F2625" s="2304" t="s">
        <v>3396</v>
      </c>
    </row>
    <row r="2626" spans="1:6" hidden="1" x14ac:dyDescent="0.2">
      <c r="A2626" s="2300" t="s">
        <v>7921</v>
      </c>
      <c r="B2626" s="2304" t="s">
        <v>506</v>
      </c>
      <c r="C2626" s="2304" t="s">
        <v>507</v>
      </c>
      <c r="D2626" s="2304" t="s">
        <v>508</v>
      </c>
      <c r="E2626" s="2304" t="s">
        <v>509</v>
      </c>
      <c r="F2626" s="2304" t="s">
        <v>6450</v>
      </c>
    </row>
    <row r="2627" spans="1:6" hidden="1" x14ac:dyDescent="0.2">
      <c r="A2627" s="2300" t="s">
        <v>7922</v>
      </c>
      <c r="B2627" s="2304" t="s">
        <v>1969</v>
      </c>
      <c r="C2627" s="2304" t="s">
        <v>1970</v>
      </c>
      <c r="D2627" s="2304" t="s">
        <v>1971</v>
      </c>
      <c r="E2627" s="2304" t="s">
        <v>1972</v>
      </c>
      <c r="F2627" s="2304" t="s">
        <v>6452</v>
      </c>
    </row>
    <row r="2628" spans="1:6" hidden="1" x14ac:dyDescent="0.2">
      <c r="A2628" s="2300" t="s">
        <v>7923</v>
      </c>
      <c r="B2628" s="2304" t="s">
        <v>1976</v>
      </c>
      <c r="C2628" s="2304" t="s">
        <v>3503</v>
      </c>
      <c r="D2628" s="2304" t="s">
        <v>3246</v>
      </c>
      <c r="E2628" s="2304" t="s">
        <v>3247</v>
      </c>
      <c r="F2628" s="2304" t="s">
        <v>4523</v>
      </c>
    </row>
    <row r="2629" spans="1:6" hidden="1" x14ac:dyDescent="0.2">
      <c r="A2629" s="2300" t="s">
        <v>7924</v>
      </c>
      <c r="B2629" s="2304" t="s">
        <v>2953</v>
      </c>
      <c r="C2629" s="2304" t="s">
        <v>6948</v>
      </c>
      <c r="D2629" s="2304" t="s">
        <v>5480</v>
      </c>
      <c r="E2629" s="2304" t="s">
        <v>2954</v>
      </c>
      <c r="F2629" s="2304" t="s">
        <v>3254</v>
      </c>
    </row>
    <row r="2630" spans="1:6" hidden="1" x14ac:dyDescent="0.2">
      <c r="A2630" s="2300" t="s">
        <v>7925</v>
      </c>
      <c r="B2630" s="2304" t="s">
        <v>472</v>
      </c>
      <c r="C2630" s="2304" t="s">
        <v>6950</v>
      </c>
      <c r="D2630" s="2304" t="s">
        <v>799</v>
      </c>
      <c r="E2630" s="2304" t="s">
        <v>473</v>
      </c>
      <c r="F2630" s="2304" t="s">
        <v>4525</v>
      </c>
    </row>
    <row r="2631" spans="1:6" hidden="1" x14ac:dyDescent="0.2">
      <c r="A2631" s="2300" t="s">
        <v>7926</v>
      </c>
      <c r="B2631" s="2304" t="s">
        <v>4527</v>
      </c>
      <c r="C2631" s="2304" t="s">
        <v>806</v>
      </c>
      <c r="D2631" s="2304" t="s">
        <v>807</v>
      </c>
      <c r="E2631" s="2304" t="s">
        <v>6470</v>
      </c>
      <c r="F2631" s="2304" t="s">
        <v>465</v>
      </c>
    </row>
    <row r="2632" spans="1:6" hidden="1" x14ac:dyDescent="0.2">
      <c r="A2632" s="2300" t="s">
        <v>7927</v>
      </c>
      <c r="B2632" s="2304" t="s">
        <v>5727</v>
      </c>
      <c r="C2632" s="2304" t="s">
        <v>813</v>
      </c>
      <c r="D2632" s="2304" t="s">
        <v>814</v>
      </c>
      <c r="E2632" s="2304" t="s">
        <v>6474</v>
      </c>
      <c r="F2632" s="2304" t="s">
        <v>5728</v>
      </c>
    </row>
    <row r="2633" spans="1:6" hidden="1" x14ac:dyDescent="0.2">
      <c r="A2633" s="2302" t="s">
        <v>7928</v>
      </c>
      <c r="B2633" s="2302" t="s">
        <v>823</v>
      </c>
      <c r="C2633"/>
      <c r="D2633"/>
      <c r="E2633"/>
      <c r="F2633"/>
    </row>
    <row r="2634" spans="1:6" hidden="1" x14ac:dyDescent="0.2">
      <c r="A2634" s="2302" t="s">
        <v>7929</v>
      </c>
      <c r="B2634" s="2302" t="s">
        <v>4789</v>
      </c>
      <c r="C2634"/>
      <c r="D2634"/>
      <c r="E2634"/>
      <c r="F2634"/>
    </row>
    <row r="2635" spans="1:6" hidden="1" x14ac:dyDescent="0.2">
      <c r="A2635" s="2302" t="s">
        <v>7930</v>
      </c>
      <c r="B2635" s="2302" t="s">
        <v>4792</v>
      </c>
      <c r="C2635"/>
      <c r="D2635"/>
      <c r="E2635"/>
      <c r="F2635"/>
    </row>
    <row r="2636" spans="1:6" hidden="1" x14ac:dyDescent="0.2">
      <c r="A2636" s="2302" t="s">
        <v>7931</v>
      </c>
      <c r="B2636" s="2302" t="s">
        <v>6384</v>
      </c>
      <c r="C2636"/>
      <c r="D2636"/>
      <c r="E2636"/>
      <c r="F2636"/>
    </row>
    <row r="2637" spans="1:6" hidden="1" x14ac:dyDescent="0.2">
      <c r="B2637"/>
      <c r="C2637"/>
      <c r="D2637"/>
      <c r="E2637"/>
      <c r="F2637"/>
    </row>
    <row r="2638" spans="1:6" hidden="1" x14ac:dyDescent="0.2">
      <c r="C2638"/>
      <c r="D2638"/>
      <c r="E2638"/>
      <c r="F2638"/>
    </row>
    <row r="2639" spans="1:6" hidden="1" x14ac:dyDescent="0.2">
      <c r="C2639"/>
      <c r="D2639"/>
      <c r="E2639"/>
      <c r="F2639"/>
    </row>
    <row r="2640" spans="1:6" hidden="1" x14ac:dyDescent="0.2">
      <c r="C2640"/>
      <c r="D2640"/>
      <c r="E2640"/>
      <c r="F2640"/>
    </row>
    <row r="2641" spans="1:11" hidden="1" x14ac:dyDescent="0.2">
      <c r="C2641"/>
      <c r="D2641"/>
      <c r="E2641"/>
      <c r="F2641"/>
    </row>
    <row r="2642" spans="1:11" hidden="1" x14ac:dyDescent="0.2">
      <c r="C2642"/>
      <c r="D2642"/>
      <c r="E2642"/>
      <c r="F2642"/>
    </row>
    <row r="2643" spans="1:11" hidden="1" x14ac:dyDescent="0.2">
      <c r="C2643"/>
      <c r="D2643"/>
      <c r="E2643"/>
      <c r="F2643"/>
    </row>
    <row r="2644" spans="1:11" hidden="1" x14ac:dyDescent="0.2">
      <c r="A2644" s="2291" t="s">
        <v>7206</v>
      </c>
      <c r="B2644" s="1634" t="s">
        <v>6611</v>
      </c>
      <c r="C2644"/>
      <c r="D2644"/>
      <c r="E2644"/>
      <c r="F2644"/>
    </row>
    <row r="2645" spans="1:11" hidden="1" x14ac:dyDescent="0.2">
      <c r="A2645" s="2291" t="s">
        <v>7207</v>
      </c>
      <c r="B2645" s="1634" t="s">
        <v>6972</v>
      </c>
      <c r="C2645" s="1634" t="s">
        <v>553</v>
      </c>
      <c r="D2645" s="1634" t="s">
        <v>4704</v>
      </c>
      <c r="E2645" s="1634" t="s">
        <v>871</v>
      </c>
      <c r="F2645" s="1634" t="s">
        <v>6619</v>
      </c>
    </row>
    <row r="2646" spans="1:11" hidden="1" x14ac:dyDescent="0.2">
      <c r="A2646" s="2291" t="s">
        <v>7208</v>
      </c>
      <c r="B2646" s="1634" t="s">
        <v>4173</v>
      </c>
      <c r="C2646" s="1634" t="s">
        <v>561</v>
      </c>
      <c r="D2646" s="1634" t="s">
        <v>4706</v>
      </c>
      <c r="E2646" s="1634" t="s">
        <v>3008</v>
      </c>
      <c r="F2646" s="1634" t="s">
        <v>6621</v>
      </c>
    </row>
    <row r="2647" spans="1:11" hidden="1" x14ac:dyDescent="0.2">
      <c r="A2647" s="2291" t="s">
        <v>7209</v>
      </c>
      <c r="B2647" s="1634" t="s">
        <v>6672</v>
      </c>
      <c r="C2647" s="1634" t="s">
        <v>2022</v>
      </c>
      <c r="D2647" s="1634" t="s">
        <v>5474</v>
      </c>
      <c r="E2647" s="1634" t="s">
        <v>3010</v>
      </c>
      <c r="F2647" s="1634" t="s">
        <v>6623</v>
      </c>
    </row>
    <row r="2648" spans="1:11" hidden="1" x14ac:dyDescent="0.2">
      <c r="A2648" s="2291" t="s">
        <v>7210</v>
      </c>
      <c r="B2648" s="1634" t="s">
        <v>6677</v>
      </c>
      <c r="C2648" s="1634" t="s">
        <v>2029</v>
      </c>
      <c r="D2648" s="1634" t="s">
        <v>4708</v>
      </c>
      <c r="E2648" s="1634" t="s">
        <v>6460</v>
      </c>
      <c r="F2648" s="1634" t="s">
        <v>3132</v>
      </c>
    </row>
    <row r="2649" spans="1:11" hidden="1" x14ac:dyDescent="0.2">
      <c r="A2649" s="2291" t="s">
        <v>7211</v>
      </c>
      <c r="B2649" s="1634" t="s">
        <v>6683</v>
      </c>
      <c r="C2649" s="1634" t="s">
        <v>3423</v>
      </c>
      <c r="D2649" s="1634" t="s">
        <v>4710</v>
      </c>
      <c r="E2649" s="1634" t="s">
        <v>6462</v>
      </c>
      <c r="F2649" s="1634" t="s">
        <v>4045</v>
      </c>
    </row>
    <row r="2650" spans="1:11" hidden="1" x14ac:dyDescent="0.2">
      <c r="A2650" s="2291" t="s">
        <v>7212</v>
      </c>
      <c r="B2650" s="1634" t="s">
        <v>6688</v>
      </c>
      <c r="C2650" s="1634" t="s">
        <v>5424</v>
      </c>
      <c r="D2650" s="1634" t="s">
        <v>4712</v>
      </c>
      <c r="E2650" s="1634" t="s">
        <v>6464</v>
      </c>
      <c r="F2650" s="1634" t="s">
        <v>4047</v>
      </c>
    </row>
    <row r="2651" spans="1:11" hidden="1" x14ac:dyDescent="0.2">
      <c r="A2651" s="2291" t="s">
        <v>7213</v>
      </c>
      <c r="B2651" s="1634" t="s">
        <v>6694</v>
      </c>
      <c r="C2651" s="1634" t="s">
        <v>5430</v>
      </c>
      <c r="D2651" s="1634" t="s">
        <v>4714</v>
      </c>
      <c r="E2651" s="1634" t="s">
        <v>2911</v>
      </c>
      <c r="F2651" s="1634" t="s">
        <v>4095</v>
      </c>
    </row>
    <row r="2652" spans="1:11" hidden="1" x14ac:dyDescent="0.2">
      <c r="A2652" s="2291" t="s">
        <v>7214</v>
      </c>
      <c r="B2652" s="1634" t="s">
        <v>6697</v>
      </c>
      <c r="C2652" s="1634" t="s">
        <v>2154</v>
      </c>
      <c r="D2652" s="1634" t="s">
        <v>5476</v>
      </c>
      <c r="E2652" s="1634" t="s">
        <v>2913</v>
      </c>
      <c r="F2652" s="1634" t="s">
        <v>4100</v>
      </c>
    </row>
    <row r="2653" spans="1:11" hidden="1" x14ac:dyDescent="0.2">
      <c r="A2653" s="2291" t="s">
        <v>7215</v>
      </c>
      <c r="B2653" s="1634" t="s">
        <v>4105</v>
      </c>
      <c r="C2653"/>
      <c r="D2653"/>
      <c r="E2653"/>
      <c r="F2653"/>
      <c r="G2653"/>
      <c r="H2653"/>
      <c r="I2653"/>
      <c r="J2653"/>
      <c r="K2653"/>
    </row>
    <row r="2654" spans="1:11" hidden="1" x14ac:dyDescent="0.2">
      <c r="A2654" s="2291" t="s">
        <v>7216</v>
      </c>
      <c r="B2654" s="1634" t="s">
        <v>2327</v>
      </c>
      <c r="C2654"/>
      <c r="D2654"/>
      <c r="E2654"/>
      <c r="F2654"/>
      <c r="G2654"/>
      <c r="H2654"/>
      <c r="I2654"/>
      <c r="J2654"/>
      <c r="K2654"/>
    </row>
    <row r="2655" spans="1:11" hidden="1" x14ac:dyDescent="0.2">
      <c r="A2655" s="2291" t="s">
        <v>7217</v>
      </c>
      <c r="B2655" s="1634" t="s">
        <v>3</v>
      </c>
      <c r="C2655"/>
      <c r="D2655"/>
      <c r="E2655"/>
      <c r="F2655"/>
      <c r="G2655"/>
      <c r="H2655"/>
      <c r="I2655"/>
      <c r="J2655"/>
      <c r="K2655"/>
    </row>
    <row r="2656" spans="1:11" hidden="1" x14ac:dyDescent="0.2">
      <c r="A2656" s="2291" t="s">
        <v>7218</v>
      </c>
      <c r="B2656" s="1634" t="s">
        <v>1750</v>
      </c>
      <c r="C2656"/>
      <c r="D2656"/>
      <c r="E2656"/>
      <c r="F2656"/>
      <c r="G2656"/>
      <c r="H2656"/>
      <c r="I2656"/>
      <c r="J2656"/>
      <c r="K2656"/>
    </row>
    <row r="2657" spans="1:11" hidden="1" x14ac:dyDescent="0.2">
      <c r="A2657" s="2291" t="s">
        <v>7219</v>
      </c>
      <c r="B2657" s="1634" t="s">
        <v>2494</v>
      </c>
      <c r="C2657"/>
      <c r="D2657"/>
      <c r="E2657"/>
      <c r="F2657"/>
      <c r="G2657"/>
      <c r="H2657"/>
      <c r="I2657"/>
      <c r="J2657"/>
      <c r="K2657"/>
    </row>
    <row r="2663" spans="1:11" hidden="1" x14ac:dyDescent="0.2">
      <c r="C2663"/>
      <c r="D2663"/>
      <c r="E2663"/>
      <c r="F2663"/>
      <c r="G2663"/>
      <c r="H2663"/>
      <c r="I2663"/>
      <c r="J2663"/>
      <c r="K2663"/>
    </row>
    <row r="2664" spans="1:11" hidden="1" x14ac:dyDescent="0.2">
      <c r="A2664" s="2291" t="s">
        <v>7220</v>
      </c>
      <c r="B2664" s="1634" t="s">
        <v>3100</v>
      </c>
      <c r="C2664"/>
      <c r="D2664"/>
      <c r="E2664"/>
      <c r="F2664"/>
      <c r="G2664"/>
      <c r="H2664"/>
      <c r="I2664"/>
      <c r="J2664"/>
      <c r="K2664"/>
    </row>
    <row r="2665" spans="1:11" hidden="1" x14ac:dyDescent="0.2">
      <c r="A2665" s="2291" t="s">
        <v>7221</v>
      </c>
      <c r="B2665" s="1634" t="s">
        <v>6672</v>
      </c>
      <c r="C2665" s="1634" t="s">
        <v>5473</v>
      </c>
      <c r="D2665" s="1634" t="s">
        <v>2022</v>
      </c>
      <c r="E2665" s="1634" t="s">
        <v>5474</v>
      </c>
      <c r="F2665" s="1634" t="s">
        <v>3010</v>
      </c>
      <c r="G2665" s="1634" t="s">
        <v>6623</v>
      </c>
      <c r="H2665" s="1634" t="s">
        <v>6673</v>
      </c>
      <c r="I2665" s="1634" t="s">
        <v>6674</v>
      </c>
      <c r="J2665" s="1634" t="s">
        <v>6675</v>
      </c>
      <c r="K2665" s="1634" t="s">
        <v>2023</v>
      </c>
    </row>
    <row r="2666" spans="1:11" hidden="1" x14ac:dyDescent="0.2">
      <c r="A2666" s="2291" t="s">
        <v>7222</v>
      </c>
      <c r="B2666" s="1634" t="s">
        <v>6677</v>
      </c>
      <c r="C2666" s="1634" t="s">
        <v>6678</v>
      </c>
      <c r="D2666" s="1634" t="s">
        <v>2029</v>
      </c>
      <c r="E2666" s="1634" t="s">
        <v>4708</v>
      </c>
      <c r="F2666" s="1634" t="s">
        <v>6460</v>
      </c>
      <c r="G2666" s="1634" t="s">
        <v>3132</v>
      </c>
      <c r="H2666" s="1634" t="s">
        <v>6679</v>
      </c>
      <c r="I2666" s="1634" t="s">
        <v>6680</v>
      </c>
      <c r="J2666" s="1634" t="s">
        <v>6681</v>
      </c>
      <c r="K2666" s="1634" t="s">
        <v>5061</v>
      </c>
    </row>
    <row r="2667" spans="1:11" hidden="1" x14ac:dyDescent="0.2">
      <c r="A2667" s="2291" t="s">
        <v>7223</v>
      </c>
      <c r="B2667" s="1634" t="s">
        <v>6683</v>
      </c>
      <c r="C2667" s="1634" t="s">
        <v>5475</v>
      </c>
      <c r="D2667" s="1634" t="s">
        <v>3423</v>
      </c>
      <c r="E2667" s="1634" t="s">
        <v>4710</v>
      </c>
      <c r="F2667" s="1634" t="s">
        <v>6462</v>
      </c>
      <c r="G2667" s="1634" t="s">
        <v>4045</v>
      </c>
      <c r="H2667" s="1634" t="s">
        <v>6684</v>
      </c>
      <c r="I2667" s="1634" t="s">
        <v>6685</v>
      </c>
      <c r="J2667" s="1634" t="s">
        <v>6686</v>
      </c>
      <c r="K2667" s="1634" t="s">
        <v>3424</v>
      </c>
    </row>
    <row r="2668" spans="1:11" hidden="1" x14ac:dyDescent="0.2">
      <c r="A2668" s="2291" t="s">
        <v>7224</v>
      </c>
      <c r="B2668" s="1634" t="s">
        <v>6688</v>
      </c>
      <c r="C2668" s="1634" t="s">
        <v>6689</v>
      </c>
      <c r="D2668" s="1634" t="s">
        <v>5424</v>
      </c>
      <c r="E2668" s="1634" t="s">
        <v>4712</v>
      </c>
      <c r="F2668" s="1634" t="s">
        <v>6464</v>
      </c>
      <c r="G2668" s="1634" t="s">
        <v>4047</v>
      </c>
      <c r="H2668" s="1634" t="s">
        <v>6690</v>
      </c>
      <c r="I2668" s="1634" t="s">
        <v>6691</v>
      </c>
      <c r="J2668" s="1634" t="s">
        <v>6692</v>
      </c>
      <c r="K2668" s="1634" t="s">
        <v>5425</v>
      </c>
    </row>
    <row r="2669" spans="1:11" hidden="1" x14ac:dyDescent="0.2">
      <c r="A2669" s="2291" t="s">
        <v>7225</v>
      </c>
      <c r="B2669" s="1634" t="s">
        <v>6694</v>
      </c>
      <c r="C2669" s="1634" t="s">
        <v>4094</v>
      </c>
      <c r="D2669" s="1634" t="s">
        <v>5430</v>
      </c>
      <c r="E2669" s="1634" t="s">
        <v>4714</v>
      </c>
      <c r="F2669" s="1634" t="s">
        <v>2911</v>
      </c>
      <c r="G2669" s="1634" t="s">
        <v>4095</v>
      </c>
      <c r="H2669" s="1634" t="s">
        <v>4096</v>
      </c>
      <c r="I2669" s="1634" t="s">
        <v>4097</v>
      </c>
      <c r="J2669" s="1634" t="s">
        <v>6695</v>
      </c>
      <c r="K2669" s="1634" t="s">
        <v>5431</v>
      </c>
    </row>
    <row r="2670" spans="1:11" hidden="1" x14ac:dyDescent="0.2">
      <c r="A2670" s="2291" t="s">
        <v>7226</v>
      </c>
      <c r="B2670" s="1634" t="s">
        <v>6697</v>
      </c>
      <c r="C2670" s="1634" t="s">
        <v>4099</v>
      </c>
      <c r="D2670" s="1634" t="s">
        <v>2154</v>
      </c>
      <c r="E2670" s="1634" t="s">
        <v>5476</v>
      </c>
      <c r="F2670" s="1634" t="s">
        <v>2913</v>
      </c>
      <c r="G2670" s="1634" t="s">
        <v>4100</v>
      </c>
      <c r="H2670" s="1634" t="s">
        <v>4101</v>
      </c>
      <c r="I2670" s="1634" t="s">
        <v>4102</v>
      </c>
      <c r="J2670" s="1634" t="s">
        <v>6698</v>
      </c>
      <c r="K2670" s="1634" t="s">
        <v>2155</v>
      </c>
    </row>
    <row r="2671" spans="1:11" hidden="1" x14ac:dyDescent="0.2">
      <c r="A2671" s="2291" t="s">
        <v>7227</v>
      </c>
      <c r="B2671" s="1634" t="s">
        <v>2660</v>
      </c>
      <c r="C2671" s="1634" t="s">
        <v>4104</v>
      </c>
      <c r="D2671" s="1634" t="s">
        <v>2161</v>
      </c>
      <c r="E2671" s="1634" t="s">
        <v>4716</v>
      </c>
      <c r="F2671" s="1634" t="s">
        <v>2915</v>
      </c>
      <c r="G2671" s="1634" t="s">
        <v>4105</v>
      </c>
      <c r="H2671" s="1634" t="s">
        <v>2318</v>
      </c>
      <c r="I2671" s="1634" t="s">
        <v>2319</v>
      </c>
      <c r="J2671" s="1634" t="s">
        <v>2661</v>
      </c>
      <c r="K2671" s="1634" t="s">
        <v>2162</v>
      </c>
    </row>
    <row r="2672" spans="1:11" hidden="1" x14ac:dyDescent="0.2">
      <c r="A2672" s="2291" t="s">
        <v>7228</v>
      </c>
      <c r="B2672" s="1634" t="s">
        <v>2663</v>
      </c>
      <c r="C2672" s="1634" t="s">
        <v>2321</v>
      </c>
      <c r="D2672" s="1634" t="s">
        <v>2168</v>
      </c>
      <c r="E2672" s="1634" t="s">
        <v>6426</v>
      </c>
      <c r="F2672" s="1634" t="s">
        <v>2917</v>
      </c>
      <c r="G2672" s="1634" t="s">
        <v>2322</v>
      </c>
      <c r="H2672" s="1634" t="s">
        <v>2323</v>
      </c>
      <c r="I2672" s="1634" t="s">
        <v>2324</v>
      </c>
      <c r="J2672" s="1634" t="s">
        <v>2664</v>
      </c>
      <c r="K2672" s="1634" t="s">
        <v>2169</v>
      </c>
    </row>
    <row r="2673" spans="1:11" hidden="1" x14ac:dyDescent="0.2">
      <c r="A2673" s="2291" t="s">
        <v>7229</v>
      </c>
      <c r="B2673" s="1634" t="s">
        <v>3859</v>
      </c>
      <c r="C2673" s="1634" t="s">
        <v>2326</v>
      </c>
      <c r="D2673" s="1634" t="s">
        <v>2174</v>
      </c>
      <c r="E2673" s="1634" t="s">
        <v>6428</v>
      </c>
      <c r="F2673" s="1634" t="s">
        <v>2919</v>
      </c>
      <c r="G2673" s="1634" t="s">
        <v>2327</v>
      </c>
      <c r="H2673" s="1634" t="s">
        <v>2328</v>
      </c>
      <c r="I2673" s="1634" t="s">
        <v>1011</v>
      </c>
      <c r="J2673" s="1634" t="s">
        <v>3860</v>
      </c>
      <c r="K2673" s="1634" t="s">
        <v>2175</v>
      </c>
    </row>
    <row r="2674" spans="1:11" hidden="1" x14ac:dyDescent="0.2">
      <c r="A2674" s="2291" t="s">
        <v>7230</v>
      </c>
      <c r="B2674" s="1634" t="s">
        <v>3862</v>
      </c>
      <c r="C2674" s="1634" t="s">
        <v>6605</v>
      </c>
      <c r="D2674" s="1634" t="s">
        <v>2181</v>
      </c>
      <c r="E2674" s="1634" t="s">
        <v>6430</v>
      </c>
      <c r="F2674" s="1634" t="s">
        <v>1575</v>
      </c>
      <c r="G2674" s="1634" t="s">
        <v>6606</v>
      </c>
      <c r="H2674" s="1634" t="s">
        <v>5084</v>
      </c>
      <c r="I2674" s="1634" t="s">
        <v>5085</v>
      </c>
      <c r="J2674" s="1634" t="s">
        <v>3863</v>
      </c>
      <c r="K2674" s="1634" t="s">
        <v>2182</v>
      </c>
    </row>
    <row r="2675" spans="1:11" hidden="1" x14ac:dyDescent="0.2">
      <c r="A2675" s="2291" t="s">
        <v>7231</v>
      </c>
      <c r="B2675" s="1634" t="s">
        <v>2189</v>
      </c>
    </row>
    <row r="2676" spans="1:11" hidden="1" x14ac:dyDescent="0.2">
      <c r="A2676" s="2291" t="s">
        <v>7232</v>
      </c>
      <c r="B2676" s="1634" t="s">
        <v>3536</v>
      </c>
    </row>
    <row r="2677" spans="1:11" hidden="1" x14ac:dyDescent="0.2">
      <c r="A2677" s="2291" t="s">
        <v>7233</v>
      </c>
      <c r="B2677" s="1634" t="s">
        <v>2278</v>
      </c>
    </row>
    <row r="2678" spans="1:11" hidden="1" x14ac:dyDescent="0.2">
      <c r="A2678" s="2291" t="s">
        <v>7234</v>
      </c>
      <c r="B2678" s="1634" t="s">
        <v>271</v>
      </c>
      <c r="C2678"/>
      <c r="D2678"/>
      <c r="E2678"/>
      <c r="F2678"/>
      <c r="G2678"/>
      <c r="H2678"/>
      <c r="I2678"/>
      <c r="J2678"/>
      <c r="K2678"/>
    </row>
    <row r="2679" spans="1:11" hidden="1" x14ac:dyDescent="0.2">
      <c r="A2679" s="2291" t="s">
        <v>7316</v>
      </c>
      <c r="B2679" s="1634" t="s">
        <v>2947</v>
      </c>
      <c r="C2679"/>
      <c r="D2679"/>
      <c r="E2679"/>
      <c r="F2679"/>
      <c r="G2679"/>
      <c r="H2679"/>
      <c r="I2679"/>
      <c r="J2679"/>
      <c r="K2679"/>
    </row>
    <row r="2685" spans="1:11" hidden="1" x14ac:dyDescent="0.2">
      <c r="C2685"/>
      <c r="D2685"/>
    </row>
    <row r="2686" spans="1:11" hidden="1" x14ac:dyDescent="0.2">
      <c r="C2686"/>
      <c r="D2686"/>
    </row>
    <row r="2687" spans="1:11" hidden="1" x14ac:dyDescent="0.2">
      <c r="C2687"/>
      <c r="D2687"/>
      <c r="E2687"/>
      <c r="F2687"/>
      <c r="G2687"/>
      <c r="H2687"/>
      <c r="I2687"/>
      <c r="J2687"/>
      <c r="K2687"/>
    </row>
    <row r="2688" spans="1:11" hidden="1" x14ac:dyDescent="0.2">
      <c r="A2688" s="2291" t="s">
        <v>7235</v>
      </c>
      <c r="B2688" s="1634" t="s">
        <v>4042</v>
      </c>
      <c r="C2688"/>
      <c r="D2688"/>
      <c r="E2688"/>
      <c r="F2688"/>
      <c r="G2688"/>
      <c r="H2688"/>
      <c r="I2688"/>
      <c r="J2688"/>
      <c r="K2688"/>
    </row>
    <row r="2689" spans="1:11" hidden="1" x14ac:dyDescent="0.2">
      <c r="A2689" s="2291" t="s">
        <v>7236</v>
      </c>
      <c r="B2689" s="1634" t="s">
        <v>6462</v>
      </c>
      <c r="C2689" s="2302" t="s">
        <v>6685</v>
      </c>
      <c r="D2689"/>
      <c r="E2689"/>
      <c r="F2689"/>
      <c r="G2689"/>
      <c r="H2689"/>
      <c r="I2689"/>
      <c r="J2689"/>
      <c r="K2689"/>
    </row>
    <row r="2690" spans="1:11" hidden="1" x14ac:dyDescent="0.2">
      <c r="A2690" s="2291" t="s">
        <v>7237</v>
      </c>
      <c r="B2690" s="1634" t="s">
        <v>2911</v>
      </c>
      <c r="C2690" s="2302" t="s">
        <v>4097</v>
      </c>
      <c r="D2690"/>
      <c r="E2690"/>
      <c r="F2690"/>
      <c r="G2690"/>
      <c r="H2690"/>
      <c r="I2690"/>
      <c r="J2690"/>
      <c r="K2690"/>
    </row>
    <row r="2691" spans="1:11" hidden="1" x14ac:dyDescent="0.2">
      <c r="A2691" s="2291" t="s">
        <v>7238</v>
      </c>
      <c r="B2691" s="2302" t="s">
        <v>2161</v>
      </c>
      <c r="D2691"/>
      <c r="E2691"/>
      <c r="F2691"/>
      <c r="G2691"/>
      <c r="H2691"/>
      <c r="I2691"/>
      <c r="J2691"/>
      <c r="K2691"/>
    </row>
    <row r="2692" spans="1:11" hidden="1" x14ac:dyDescent="0.2">
      <c r="A2692" s="2291" t="s">
        <v>7239</v>
      </c>
      <c r="B2692" s="2302" t="s">
        <v>2174</v>
      </c>
      <c r="C2692"/>
      <c r="D2692"/>
      <c r="E2692"/>
      <c r="F2692"/>
      <c r="G2692"/>
      <c r="H2692"/>
      <c r="I2692"/>
      <c r="J2692"/>
      <c r="K2692"/>
    </row>
    <row r="2693" spans="1:11" hidden="1" x14ac:dyDescent="0.2">
      <c r="A2693" s="2305" t="s">
        <v>7240</v>
      </c>
      <c r="B2693" s="2306" t="s">
        <v>4078</v>
      </c>
      <c r="C2693"/>
      <c r="D2693"/>
      <c r="E2693"/>
      <c r="F2693"/>
      <c r="G2693"/>
      <c r="H2693"/>
      <c r="I2693"/>
      <c r="J2693"/>
      <c r="K2693"/>
    </row>
    <row r="2694" spans="1:11" hidden="1" x14ac:dyDescent="0.2">
      <c r="A2694" s="2291" t="s">
        <v>7241</v>
      </c>
      <c r="B2694" s="2302" t="s">
        <v>3535</v>
      </c>
      <c r="C2694"/>
      <c r="D2694"/>
      <c r="E2694"/>
      <c r="F2694"/>
      <c r="G2694"/>
      <c r="H2694"/>
      <c r="I2694"/>
      <c r="J2694"/>
      <c r="K2694"/>
    </row>
    <row r="2695" spans="1:11" hidden="1" x14ac:dyDescent="0.2">
      <c r="A2695" s="2291" t="s">
        <v>7242</v>
      </c>
      <c r="B2695" s="2302" t="s">
        <v>5477</v>
      </c>
      <c r="C2695"/>
      <c r="D2695"/>
      <c r="E2695"/>
      <c r="F2695"/>
      <c r="G2695"/>
      <c r="H2695"/>
      <c r="I2695"/>
      <c r="J2695"/>
      <c r="K2695"/>
    </row>
    <row r="2696" spans="1:11" hidden="1" x14ac:dyDescent="0.2">
      <c r="A2696" s="2291" t="s">
        <v>7243</v>
      </c>
      <c r="B2696" s="1634" t="s">
        <v>4204</v>
      </c>
      <c r="C2696"/>
      <c r="D2696"/>
      <c r="E2696"/>
      <c r="F2696"/>
      <c r="G2696"/>
      <c r="H2696"/>
      <c r="I2696"/>
      <c r="J2696"/>
      <c r="K2696"/>
    </row>
    <row r="2697" spans="1:11" hidden="1" x14ac:dyDescent="0.2">
      <c r="A2697" s="2291" t="s">
        <v>7244</v>
      </c>
      <c r="B2697" s="1634" t="s">
        <v>2671</v>
      </c>
      <c r="C2697"/>
      <c r="D2697"/>
      <c r="E2697"/>
      <c r="F2697"/>
      <c r="G2697"/>
      <c r="H2697"/>
      <c r="I2697"/>
      <c r="J2697"/>
      <c r="K2697"/>
    </row>
    <row r="2698" spans="1:11" hidden="1" x14ac:dyDescent="0.2">
      <c r="A2698" s="2291" t="s">
        <v>7245</v>
      </c>
      <c r="B2698" s="1634" t="s">
        <v>351</v>
      </c>
      <c r="C2698"/>
      <c r="D2698"/>
      <c r="E2698"/>
      <c r="F2698"/>
      <c r="G2698"/>
      <c r="H2698"/>
      <c r="I2698"/>
      <c r="J2698"/>
      <c r="K2698"/>
    </row>
    <row r="2699" spans="1:11" hidden="1" x14ac:dyDescent="0.2">
      <c r="A2699" s="2291" t="s">
        <v>7246</v>
      </c>
      <c r="B2699" s="1634" t="s">
        <v>353</v>
      </c>
      <c r="C2699"/>
      <c r="D2699"/>
      <c r="E2699"/>
      <c r="F2699"/>
      <c r="G2699"/>
      <c r="H2699"/>
      <c r="I2699"/>
      <c r="J2699"/>
      <c r="K2699"/>
    </row>
    <row r="2700" spans="1:11" hidden="1" x14ac:dyDescent="0.2">
      <c r="A2700" s="2291" t="s">
        <v>7247</v>
      </c>
      <c r="B2700" s="1634" t="s">
        <v>689</v>
      </c>
      <c r="C2700"/>
      <c r="D2700"/>
      <c r="E2700"/>
      <c r="F2700"/>
      <c r="G2700"/>
      <c r="H2700"/>
      <c r="I2700"/>
      <c r="J2700"/>
      <c r="K2700"/>
    </row>
    <row r="2701" spans="1:11" hidden="1" x14ac:dyDescent="0.2">
      <c r="A2701" s="2291" t="s">
        <v>7248</v>
      </c>
      <c r="B2701" s="1634" t="s">
        <v>140</v>
      </c>
      <c r="C2701"/>
    </row>
    <row r="2702" spans="1:11" hidden="1" x14ac:dyDescent="0.2">
      <c r="A2702" s="2291" t="s">
        <v>7249</v>
      </c>
      <c r="B2702" s="1634" t="s">
        <v>6450</v>
      </c>
      <c r="C2702" s="1634" t="s">
        <v>510</v>
      </c>
    </row>
    <row r="2703" spans="1:11" hidden="1" x14ac:dyDescent="0.2">
      <c r="A2703" s="2291" t="s">
        <v>7250</v>
      </c>
      <c r="B2703" s="1634" t="s">
        <v>6452</v>
      </c>
      <c r="C2703"/>
    </row>
    <row r="2704" spans="1:11" hidden="1" x14ac:dyDescent="0.2">
      <c r="A2704" s="2291" t="s">
        <v>7251</v>
      </c>
      <c r="B2704" s="1634" t="s">
        <v>3256</v>
      </c>
      <c r="C2704"/>
    </row>
    <row r="2705" spans="1:4" hidden="1" x14ac:dyDescent="0.2">
      <c r="A2705" s="2291" t="s">
        <v>7252</v>
      </c>
      <c r="B2705" s="1634" t="s">
        <v>801</v>
      </c>
      <c r="C2705"/>
    </row>
    <row r="2706" spans="1:4" hidden="1" x14ac:dyDescent="0.2">
      <c r="A2706" s="2291" t="s">
        <v>7253</v>
      </c>
      <c r="B2706" s="1634" t="s">
        <v>809</v>
      </c>
      <c r="C2706"/>
    </row>
    <row r="2707" spans="1:4" hidden="1" x14ac:dyDescent="0.2">
      <c r="A2707" s="2291" t="s">
        <v>7254</v>
      </c>
      <c r="B2707" s="1634" t="s">
        <v>825</v>
      </c>
      <c r="C2707"/>
    </row>
    <row r="2708" spans="1:4" hidden="1" x14ac:dyDescent="0.2">
      <c r="A2708" s="2291" t="s">
        <v>7255</v>
      </c>
      <c r="B2708" s="1634" t="s">
        <v>543</v>
      </c>
      <c r="C2708"/>
    </row>
    <row r="2709" spans="1:4" hidden="1" x14ac:dyDescent="0.2">
      <c r="A2709" s="2291" t="s">
        <v>7256</v>
      </c>
      <c r="B2709" s="1634" t="s">
        <v>716</v>
      </c>
      <c r="C2709"/>
    </row>
    <row r="2710" spans="1:4" hidden="1" x14ac:dyDescent="0.2">
      <c r="A2710" s="2291" t="s">
        <v>7257</v>
      </c>
      <c r="B2710" s="1634" t="s">
        <v>3467</v>
      </c>
      <c r="C2710"/>
    </row>
    <row r="2711" spans="1:4" hidden="1" x14ac:dyDescent="0.2">
      <c r="A2711" s="2291" t="s">
        <v>7258</v>
      </c>
      <c r="B2711" s="1634" t="s">
        <v>406</v>
      </c>
      <c r="C2711"/>
    </row>
    <row r="2712" spans="1:4" hidden="1" x14ac:dyDescent="0.2">
      <c r="A2712" s="2291" t="s">
        <v>7259</v>
      </c>
      <c r="B2712" s="1634" t="s">
        <v>2626</v>
      </c>
      <c r="C2712"/>
    </row>
    <row r="2713" spans="1:4" hidden="1" x14ac:dyDescent="0.2">
      <c r="A2713" s="2291" t="s">
        <v>7260</v>
      </c>
      <c r="B2713" s="1634" t="s">
        <v>2983</v>
      </c>
      <c r="C2713"/>
    </row>
    <row r="2714" spans="1:4" hidden="1" x14ac:dyDescent="0.2">
      <c r="A2714" s="2291" t="s">
        <v>7261</v>
      </c>
      <c r="B2714" s="1634" t="s">
        <v>1800</v>
      </c>
      <c r="C2714"/>
    </row>
    <row r="2715" spans="1:4" hidden="1" x14ac:dyDescent="0.2">
      <c r="A2715" s="2291" t="s">
        <v>7262</v>
      </c>
      <c r="B2715" s="1634" t="s">
        <v>5096</v>
      </c>
      <c r="C2715"/>
    </row>
    <row r="2716" spans="1:4" hidden="1" x14ac:dyDescent="0.2">
      <c r="A2716" s="2291" t="s">
        <v>7263</v>
      </c>
      <c r="B2716" s="1634" t="s">
        <v>5105</v>
      </c>
      <c r="C2716"/>
    </row>
    <row r="2717" spans="1:4" hidden="1" x14ac:dyDescent="0.2">
      <c r="A2717" s="2291" t="s">
        <v>7264</v>
      </c>
      <c r="B2717" s="1634" t="s">
        <v>2394</v>
      </c>
      <c r="C2717"/>
      <c r="D2717"/>
    </row>
    <row r="2718" spans="1:4" hidden="1" x14ac:dyDescent="0.2">
      <c r="A2718" s="2291" t="s">
        <v>7265</v>
      </c>
      <c r="B2718" s="1634" t="s">
        <v>2412</v>
      </c>
      <c r="C2718"/>
      <c r="D2718"/>
    </row>
    <row r="2719" spans="1:4" hidden="1" x14ac:dyDescent="0.2">
      <c r="A2719" s="2291" t="s">
        <v>7266</v>
      </c>
      <c r="B2719" s="1634" t="s">
        <v>2633</v>
      </c>
      <c r="C2719"/>
      <c r="D2719"/>
    </row>
    <row r="2720" spans="1:4" hidden="1" x14ac:dyDescent="0.2">
      <c r="A2720" s="2291" t="s">
        <v>7267</v>
      </c>
      <c r="B2720" s="1634" t="s">
        <v>3965</v>
      </c>
      <c r="C2720"/>
      <c r="D2720"/>
    </row>
    <row r="2721" spans="1:4" hidden="1" x14ac:dyDescent="0.2">
      <c r="A2721" s="2291" t="s">
        <v>7268</v>
      </c>
      <c r="B2721" s="1634" t="s">
        <v>6588</v>
      </c>
      <c r="C2721"/>
      <c r="D2721"/>
    </row>
    <row r="2722" spans="1:4" hidden="1" x14ac:dyDescent="0.2">
      <c r="A2722" s="2291" t="s">
        <v>7269</v>
      </c>
      <c r="B2722" s="1634" t="s">
        <v>5015</v>
      </c>
      <c r="C2722"/>
      <c r="D2722"/>
    </row>
    <row r="2723" spans="1:4" hidden="1" x14ac:dyDescent="0.2">
      <c r="A2723" s="2291" t="s">
        <v>7270</v>
      </c>
      <c r="B2723" s="1634" t="s">
        <v>5037</v>
      </c>
      <c r="C2723"/>
      <c r="D2723"/>
    </row>
    <row r="2724" spans="1:4" hidden="1" x14ac:dyDescent="0.2">
      <c r="A2724" s="2291" t="s">
        <v>7271</v>
      </c>
      <c r="B2724" s="1634" t="s">
        <v>1462</v>
      </c>
      <c r="C2724"/>
      <c r="D2724"/>
    </row>
    <row r="2733" spans="1:4" hidden="1" x14ac:dyDescent="0.2">
      <c r="C2733"/>
      <c r="D2733"/>
    </row>
    <row r="2734" spans="1:4" hidden="1" x14ac:dyDescent="0.2">
      <c r="A2734" s="2291" t="s">
        <v>7272</v>
      </c>
      <c r="B2734" s="1634" t="s">
        <v>869</v>
      </c>
      <c r="C2734"/>
      <c r="D2734"/>
    </row>
    <row r="2735" spans="1:4" hidden="1" x14ac:dyDescent="0.2">
      <c r="A2735" s="2291" t="s">
        <v>7273</v>
      </c>
      <c r="B2735" s="1634" t="s">
        <v>3008</v>
      </c>
      <c r="C2735"/>
      <c r="D2735"/>
    </row>
    <row r="2736" spans="1:4" hidden="1" x14ac:dyDescent="0.2">
      <c r="A2736" s="2291" t="s">
        <v>7274</v>
      </c>
      <c r="B2736" s="1634" t="s">
        <v>6689</v>
      </c>
      <c r="C2736" s="1634" t="s">
        <v>5424</v>
      </c>
      <c r="D2736" s="1634" t="s">
        <v>4712</v>
      </c>
    </row>
    <row r="2737" spans="1:9" hidden="1" x14ac:dyDescent="0.2">
      <c r="A2737" s="2291" t="s">
        <v>7275</v>
      </c>
      <c r="B2737" s="1634" t="s">
        <v>4094</v>
      </c>
      <c r="C2737" s="1634" t="s">
        <v>5430</v>
      </c>
      <c r="D2737" s="1634" t="s">
        <v>4714</v>
      </c>
    </row>
    <row r="2738" spans="1:9" hidden="1" x14ac:dyDescent="0.2">
      <c r="A2738" s="2291" t="s">
        <v>7276</v>
      </c>
      <c r="B2738" s="1634" t="s">
        <v>4099</v>
      </c>
      <c r="C2738" s="1634" t="s">
        <v>2154</v>
      </c>
      <c r="D2738" s="1634" t="s">
        <v>5476</v>
      </c>
    </row>
    <row r="2739" spans="1:9" hidden="1" x14ac:dyDescent="0.2">
      <c r="A2739" s="2291" t="s">
        <v>7277</v>
      </c>
      <c r="B2739" s="1634" t="s">
        <v>4104</v>
      </c>
      <c r="C2739" s="1634" t="s">
        <v>2161</v>
      </c>
      <c r="D2739" s="1634" t="s">
        <v>4716</v>
      </c>
    </row>
    <row r="2740" spans="1:9" hidden="1" x14ac:dyDescent="0.2">
      <c r="A2740" s="2291" t="s">
        <v>7278</v>
      </c>
      <c r="B2740" s="1634" t="s">
        <v>6426</v>
      </c>
      <c r="C2740"/>
      <c r="D2740"/>
    </row>
    <row r="2741" spans="1:9" hidden="1" x14ac:dyDescent="0.2">
      <c r="A2741" s="2291" t="s">
        <v>7279</v>
      </c>
      <c r="B2741" s="1634" t="s">
        <v>1575</v>
      </c>
      <c r="C2741"/>
      <c r="D2741"/>
    </row>
    <row r="2751" spans="1:9" hidden="1" x14ac:dyDescent="0.2">
      <c r="C2751"/>
      <c r="D2751"/>
      <c r="E2751"/>
      <c r="F2751"/>
      <c r="G2751"/>
      <c r="H2751"/>
      <c r="I2751"/>
    </row>
    <row r="2752" spans="1:9" hidden="1" x14ac:dyDescent="0.2">
      <c r="A2752" s="2291" t="s">
        <v>7280</v>
      </c>
      <c r="B2752" s="1634" t="s">
        <v>863</v>
      </c>
      <c r="C2752"/>
      <c r="D2752"/>
      <c r="E2752"/>
      <c r="F2752"/>
      <c r="G2752"/>
      <c r="H2752"/>
      <c r="I2752"/>
    </row>
    <row r="2753" spans="1:9" hidden="1" x14ac:dyDescent="0.2">
      <c r="A2753" s="2291" t="s">
        <v>7281</v>
      </c>
      <c r="B2753" s="1634" t="s">
        <v>865</v>
      </c>
      <c r="C2753"/>
      <c r="D2753"/>
      <c r="E2753"/>
      <c r="F2753"/>
      <c r="G2753"/>
      <c r="H2753"/>
      <c r="I2753"/>
    </row>
    <row r="2754" spans="1:9" hidden="1" x14ac:dyDescent="0.2">
      <c r="A2754" s="2291" t="s">
        <v>7282</v>
      </c>
      <c r="B2754" s="2291" t="s">
        <v>867</v>
      </c>
      <c r="C2754" s="2302"/>
      <c r="D2754" s="2302"/>
      <c r="E2754" s="2302"/>
      <c r="F2754" s="2302"/>
      <c r="G2754" s="2302"/>
      <c r="H2754" s="2302"/>
      <c r="I2754" s="2302"/>
    </row>
    <row r="2755" spans="1:9" hidden="1" x14ac:dyDescent="0.2">
      <c r="A2755" s="2307" t="s">
        <v>7283</v>
      </c>
      <c r="B2755" s="2302" t="s">
        <v>869</v>
      </c>
      <c r="C2755" s="2302"/>
      <c r="D2755" s="2302"/>
      <c r="E2755" s="2302"/>
      <c r="F2755" s="2302"/>
      <c r="G2755" s="2302"/>
      <c r="H2755" s="2302"/>
      <c r="I2755" s="2302"/>
    </row>
    <row r="2756" spans="1:9" hidden="1" x14ac:dyDescent="0.2">
      <c r="A2756" s="2304" t="s">
        <v>7284</v>
      </c>
      <c r="B2756" s="2304" t="s">
        <v>3008</v>
      </c>
      <c r="C2756" s="2304"/>
      <c r="D2756" s="2304"/>
      <c r="E2756" s="2304"/>
      <c r="F2756" s="2304"/>
      <c r="G2756" s="2304"/>
      <c r="H2756" s="2304"/>
      <c r="I2756" s="2304"/>
    </row>
    <row r="2757" spans="1:9" hidden="1" x14ac:dyDescent="0.2">
      <c r="A2757" s="2304" t="s">
        <v>7285</v>
      </c>
      <c r="B2757" s="2304" t="s">
        <v>6683</v>
      </c>
      <c r="C2757" s="2304" t="s">
        <v>5475</v>
      </c>
      <c r="D2757" s="2304" t="s">
        <v>3423</v>
      </c>
      <c r="E2757" s="2304" t="s">
        <v>4710</v>
      </c>
      <c r="F2757" s="2304" t="s">
        <v>6462</v>
      </c>
      <c r="G2757" s="2304" t="s">
        <v>4045</v>
      </c>
      <c r="H2757" s="2304" t="s">
        <v>6684</v>
      </c>
      <c r="I2757" s="2304" t="s">
        <v>6685</v>
      </c>
    </row>
    <row r="2758" spans="1:9" hidden="1" x14ac:dyDescent="0.2">
      <c r="A2758" s="2304" t="s">
        <v>7286</v>
      </c>
      <c r="B2758" s="2304" t="s">
        <v>6688</v>
      </c>
      <c r="C2758" s="2304" t="s">
        <v>6689</v>
      </c>
      <c r="D2758" s="2304" t="s">
        <v>5424</v>
      </c>
      <c r="E2758" s="2304" t="s">
        <v>4712</v>
      </c>
      <c r="F2758" s="2304" t="s">
        <v>6464</v>
      </c>
      <c r="G2758" s="2304" t="s">
        <v>4047</v>
      </c>
      <c r="H2758" s="2304" t="s">
        <v>6690</v>
      </c>
      <c r="I2758" s="2304" t="s">
        <v>6691</v>
      </c>
    </row>
    <row r="2759" spans="1:9" hidden="1" x14ac:dyDescent="0.2">
      <c r="A2759" s="2304" t="s">
        <v>7287</v>
      </c>
      <c r="B2759" s="2304" t="s">
        <v>6694</v>
      </c>
      <c r="C2759" s="2304" t="s">
        <v>4094</v>
      </c>
      <c r="D2759" s="2304" t="s">
        <v>5430</v>
      </c>
      <c r="E2759" s="2304" t="s">
        <v>4714</v>
      </c>
      <c r="F2759" s="2304" t="s">
        <v>2911</v>
      </c>
      <c r="G2759" s="2304" t="s">
        <v>4095</v>
      </c>
      <c r="H2759" s="2304" t="s">
        <v>4096</v>
      </c>
      <c r="I2759" s="2304" t="s">
        <v>4097</v>
      </c>
    </row>
    <row r="2760" spans="1:9" hidden="1" x14ac:dyDescent="0.2">
      <c r="A2760" s="2304" t="s">
        <v>7288</v>
      </c>
      <c r="B2760" s="2304" t="s">
        <v>6697</v>
      </c>
      <c r="C2760" s="2304" t="s">
        <v>4099</v>
      </c>
      <c r="D2760" s="2304" t="s">
        <v>2154</v>
      </c>
      <c r="E2760" s="2304" t="s">
        <v>5476</v>
      </c>
      <c r="F2760" s="2304" t="s">
        <v>2913</v>
      </c>
      <c r="G2760" s="2304" t="s">
        <v>4100</v>
      </c>
      <c r="H2760" s="2304" t="s">
        <v>4101</v>
      </c>
      <c r="I2760" s="2304" t="s">
        <v>4102</v>
      </c>
    </row>
    <row r="2761" spans="1:9" hidden="1" x14ac:dyDescent="0.2">
      <c r="A2761" s="2304" t="s">
        <v>7289</v>
      </c>
      <c r="B2761" s="2304" t="s">
        <v>2161</v>
      </c>
      <c r="C2761" s="2304"/>
      <c r="D2761" s="2304"/>
      <c r="E2761" s="2304"/>
      <c r="F2761" s="2304"/>
      <c r="G2761" s="2304"/>
      <c r="H2761" s="2304"/>
      <c r="I2761" s="2304"/>
    </row>
    <row r="2762" spans="1:9" hidden="1" x14ac:dyDescent="0.2">
      <c r="A2762" s="2304" t="s">
        <v>7290</v>
      </c>
      <c r="B2762" s="2304" t="s">
        <v>2917</v>
      </c>
      <c r="C2762" s="2304"/>
      <c r="D2762" s="2304"/>
      <c r="E2762" s="2304"/>
      <c r="F2762" s="2304"/>
      <c r="G2762" s="2304"/>
      <c r="H2762" s="2304"/>
      <c r="I2762" s="2304"/>
    </row>
    <row r="2763" spans="1:9" hidden="1" x14ac:dyDescent="0.2">
      <c r="A2763" s="2304" t="s">
        <v>7291</v>
      </c>
      <c r="B2763" s="2304" t="s">
        <v>2327</v>
      </c>
      <c r="C2763" s="2304"/>
      <c r="D2763" s="2304"/>
      <c r="E2763" s="2304"/>
      <c r="F2763" s="2304"/>
      <c r="G2763" s="2304"/>
      <c r="H2763" s="2304"/>
      <c r="I2763" s="2304"/>
    </row>
    <row r="2764" spans="1:9" hidden="1" x14ac:dyDescent="0.2">
      <c r="A2764" s="2304" t="s">
        <v>7292</v>
      </c>
      <c r="B2764" s="2304" t="s">
        <v>5084</v>
      </c>
      <c r="C2764" s="2304"/>
      <c r="D2764" s="2304"/>
      <c r="E2764" s="2304"/>
      <c r="F2764" s="2304"/>
      <c r="G2764" s="2304"/>
      <c r="H2764" s="2304"/>
      <c r="I2764" s="2304"/>
    </row>
    <row r="2765" spans="1:9" hidden="1" x14ac:dyDescent="0.2">
      <c r="A2765" s="2304" t="s">
        <v>7293</v>
      </c>
      <c r="B2765" s="2304" t="s">
        <v>1742</v>
      </c>
      <c r="C2765" s="2304"/>
      <c r="D2765" s="2304"/>
      <c r="E2765" s="2304"/>
      <c r="F2765" s="2304"/>
      <c r="G2765" s="2304"/>
      <c r="H2765" s="2304"/>
      <c r="I2765" s="2304"/>
    </row>
    <row r="2766" spans="1:9" hidden="1" x14ac:dyDescent="0.2">
      <c r="A2766" s="2304" t="s">
        <v>7932</v>
      </c>
      <c r="B2766" s="2304" t="s">
        <v>1752</v>
      </c>
      <c r="C2766" s="2304"/>
      <c r="D2766" s="2304"/>
      <c r="E2766" s="2304"/>
      <c r="F2766" s="2304"/>
      <c r="G2766" s="2304"/>
      <c r="H2766" s="2304"/>
      <c r="I2766" s="2304"/>
    </row>
    <row r="2767" spans="1:9" hidden="1" x14ac:dyDescent="0.2">
      <c r="A2767" s="2304" t="s">
        <v>8428</v>
      </c>
      <c r="B2767" s="2304" t="s">
        <v>2495</v>
      </c>
      <c r="C2767" s="2304"/>
      <c r="D2767" s="2304"/>
      <c r="E2767" s="2304"/>
      <c r="F2767" s="2304"/>
      <c r="G2767" s="2304"/>
      <c r="H2767" s="2304"/>
      <c r="I2767" s="2304"/>
    </row>
    <row r="2775" spans="1:9" hidden="1" x14ac:dyDescent="0.2">
      <c r="A2775" s="2291" t="s">
        <v>7504</v>
      </c>
      <c r="B2775" s="1634" t="s">
        <v>2615</v>
      </c>
      <c r="C2775"/>
      <c r="D2775"/>
      <c r="E2775"/>
      <c r="F2775"/>
      <c r="G2775"/>
      <c r="H2775"/>
      <c r="I2775"/>
    </row>
    <row r="2776" spans="1:9" hidden="1" x14ac:dyDescent="0.2">
      <c r="A2776" s="2291" t="s">
        <v>7541</v>
      </c>
      <c r="B2776" s="1634" t="s">
        <v>4025</v>
      </c>
      <c r="C2776"/>
      <c r="D2776"/>
      <c r="E2776"/>
      <c r="F2776"/>
      <c r="G2776"/>
      <c r="H2776"/>
      <c r="I2776"/>
    </row>
    <row r="2777" spans="1:9" hidden="1" x14ac:dyDescent="0.2">
      <c r="A2777" s="2291" t="s">
        <v>7542</v>
      </c>
      <c r="B2777" s="1634" t="s">
        <v>4036</v>
      </c>
      <c r="C2777"/>
      <c r="D2777"/>
      <c r="E2777"/>
      <c r="F2777"/>
      <c r="G2777"/>
      <c r="H2777"/>
      <c r="I2777"/>
    </row>
    <row r="2778" spans="1:9" hidden="1" x14ac:dyDescent="0.2">
      <c r="A2778" s="2291" t="s">
        <v>7543</v>
      </c>
      <c r="B2778" s="1634" t="s">
        <v>4705</v>
      </c>
      <c r="C2778" s="1634" t="s">
        <v>4174</v>
      </c>
      <c r="D2778" s="1634" t="s">
        <v>6662</v>
      </c>
      <c r="E2778" s="1634" t="s">
        <v>6663</v>
      </c>
      <c r="F2778"/>
      <c r="G2778"/>
      <c r="H2778"/>
      <c r="I2778"/>
    </row>
    <row r="2779" spans="1:9" hidden="1" x14ac:dyDescent="0.2">
      <c r="A2779" s="2291" t="s">
        <v>7544</v>
      </c>
      <c r="B2779" s="1634" t="s">
        <v>2021</v>
      </c>
      <c r="C2779" s="1634" t="s">
        <v>5473</v>
      </c>
      <c r="D2779" s="1634" t="s">
        <v>6673</v>
      </c>
      <c r="E2779" s="1634" t="s">
        <v>6674</v>
      </c>
      <c r="F2779"/>
      <c r="G2779"/>
      <c r="H2779"/>
      <c r="I2779"/>
    </row>
    <row r="2780" spans="1:9" hidden="1" x14ac:dyDescent="0.2">
      <c r="A2780" s="2291" t="s">
        <v>7545</v>
      </c>
      <c r="B2780" s="1634" t="s">
        <v>4707</v>
      </c>
      <c r="C2780" s="1634" t="s">
        <v>6678</v>
      </c>
      <c r="D2780" s="1634" t="s">
        <v>6679</v>
      </c>
      <c r="E2780" s="1634" t="s">
        <v>6680</v>
      </c>
      <c r="F2780"/>
      <c r="G2780"/>
      <c r="H2780"/>
      <c r="I2780"/>
    </row>
    <row r="2781" spans="1:9" hidden="1" x14ac:dyDescent="0.2">
      <c r="A2781" s="2291" t="s">
        <v>7546</v>
      </c>
      <c r="B2781" s="1634" t="s">
        <v>4709</v>
      </c>
      <c r="C2781" s="1634" t="s">
        <v>5475</v>
      </c>
      <c r="D2781" s="1634" t="s">
        <v>6684</v>
      </c>
      <c r="E2781" s="1634" t="s">
        <v>6685</v>
      </c>
      <c r="F2781"/>
      <c r="G2781"/>
      <c r="H2781"/>
      <c r="I2781"/>
    </row>
    <row r="2782" spans="1:9" hidden="1" x14ac:dyDescent="0.2">
      <c r="A2782" s="2291" t="s">
        <v>7547</v>
      </c>
      <c r="B2782" s="1634" t="s">
        <v>4711</v>
      </c>
      <c r="C2782" s="1634" t="s">
        <v>6689</v>
      </c>
      <c r="D2782" s="1634" t="s">
        <v>6690</v>
      </c>
      <c r="E2782" s="1634" t="s">
        <v>6691</v>
      </c>
      <c r="F2782"/>
      <c r="G2782"/>
    </row>
    <row r="2783" spans="1:9" hidden="1" x14ac:dyDescent="0.2">
      <c r="A2783" s="2291" t="s">
        <v>7548</v>
      </c>
      <c r="B2783" s="1634" t="s">
        <v>4713</v>
      </c>
      <c r="C2783" s="1634" t="s">
        <v>4094</v>
      </c>
      <c r="D2783" s="1634" t="s">
        <v>4096</v>
      </c>
      <c r="E2783" s="1634" t="s">
        <v>4097</v>
      </c>
      <c r="F2783"/>
      <c r="G2783"/>
    </row>
    <row r="2784" spans="1:9" hidden="1" x14ac:dyDescent="0.2">
      <c r="A2784" s="2291" t="s">
        <v>7549</v>
      </c>
      <c r="B2784" s="1634" t="s">
        <v>2187</v>
      </c>
      <c r="C2784" s="1634" t="s">
        <v>2</v>
      </c>
      <c r="D2784" s="1634" t="s">
        <v>2921</v>
      </c>
      <c r="E2784" s="1634" t="s">
        <v>4078</v>
      </c>
      <c r="F2784" s="1634" t="s">
        <v>3</v>
      </c>
      <c r="G2784" s="1634" t="s">
        <v>1741</v>
      </c>
    </row>
    <row r="2785" spans="1:8" hidden="1" x14ac:dyDescent="0.2">
      <c r="A2785" s="2291" t="s">
        <v>7550</v>
      </c>
      <c r="B2785" s="1634" t="s">
        <v>6431</v>
      </c>
      <c r="C2785" s="1634" t="s">
        <v>1744</v>
      </c>
      <c r="D2785" s="1634" t="s">
        <v>2923</v>
      </c>
      <c r="E2785" s="1634" t="s">
        <v>4080</v>
      </c>
      <c r="F2785" s="1634" t="s">
        <v>1745</v>
      </c>
      <c r="G2785" s="1634" t="s">
        <v>1746</v>
      </c>
    </row>
    <row r="2786" spans="1:8" hidden="1" x14ac:dyDescent="0.2">
      <c r="A2786" s="2291" t="s">
        <v>7551</v>
      </c>
      <c r="B2786" s="1634" t="s">
        <v>6432</v>
      </c>
      <c r="C2786" s="1634" t="s">
        <v>1749</v>
      </c>
      <c r="D2786" s="1634" t="s">
        <v>3301</v>
      </c>
      <c r="E2786" s="1634" t="s">
        <v>4082</v>
      </c>
      <c r="F2786" s="1634" t="s">
        <v>1750</v>
      </c>
      <c r="G2786" s="1634" t="s">
        <v>1751</v>
      </c>
    </row>
    <row r="2787" spans="1:8" hidden="1" x14ac:dyDescent="0.2">
      <c r="A2787" s="2291" t="s">
        <v>7552</v>
      </c>
      <c r="B2787" s="1634" t="s">
        <v>6433</v>
      </c>
      <c r="C2787" s="1634" t="s">
        <v>1727</v>
      </c>
      <c r="D2787" s="1634" t="s">
        <v>3303</v>
      </c>
      <c r="E2787" s="1634" t="s">
        <v>4084</v>
      </c>
      <c r="F2787" s="1634" t="s">
        <v>1728</v>
      </c>
      <c r="G2787" s="1634" t="s">
        <v>945</v>
      </c>
    </row>
    <row r="2788" spans="1:8" hidden="1" x14ac:dyDescent="0.2">
      <c r="A2788" s="2291" t="s">
        <v>7553</v>
      </c>
      <c r="B2788" s="1634" t="s">
        <v>2276</v>
      </c>
      <c r="C2788" s="1634" t="s">
        <v>2493</v>
      </c>
      <c r="D2788" s="1634" t="s">
        <v>5477</v>
      </c>
      <c r="E2788" s="1634" t="s">
        <v>4086</v>
      </c>
      <c r="F2788" s="1634" t="s">
        <v>2494</v>
      </c>
      <c r="G2788" s="1634" t="s">
        <v>2495</v>
      </c>
    </row>
    <row r="2789" spans="1:8" hidden="1" x14ac:dyDescent="0.2">
      <c r="A2789" s="2291" t="s">
        <v>7554</v>
      </c>
      <c r="B2789" s="1634" t="s">
        <v>6434</v>
      </c>
      <c r="C2789" s="1634" t="s">
        <v>5817</v>
      </c>
      <c r="D2789" s="1634" t="s">
        <v>6435</v>
      </c>
      <c r="E2789" s="1634" t="s">
        <v>2431</v>
      </c>
      <c r="F2789" s="1634" t="s">
        <v>2432</v>
      </c>
      <c r="G2789" s="1634" t="s">
        <v>2433</v>
      </c>
    </row>
    <row r="2790" spans="1:8" hidden="1" x14ac:dyDescent="0.2">
      <c r="A2790" s="2291" t="s">
        <v>7555</v>
      </c>
      <c r="B2790" s="1634" t="s">
        <v>6436</v>
      </c>
      <c r="C2790" s="1634" t="s">
        <v>1069</v>
      </c>
      <c r="D2790" s="1634" t="s">
        <v>6437</v>
      </c>
      <c r="E2790" s="1634" t="s">
        <v>4088</v>
      </c>
      <c r="F2790" s="1634" t="s">
        <v>1070</v>
      </c>
      <c r="G2790" s="1634" t="s">
        <v>1071</v>
      </c>
    </row>
    <row r="2791" spans="1:8" hidden="1" x14ac:dyDescent="0.2">
      <c r="A2791" s="2291" t="s">
        <v>7556</v>
      </c>
      <c r="B2791" s="1634" t="s">
        <v>6438</v>
      </c>
      <c r="C2791" s="1634" t="s">
        <v>1075</v>
      </c>
      <c r="D2791" s="1634" t="s">
        <v>6439</v>
      </c>
      <c r="E2791" s="1634" t="s">
        <v>1076</v>
      </c>
      <c r="F2791" s="1634" t="s">
        <v>4204</v>
      </c>
      <c r="G2791" s="1634" t="s">
        <v>4205</v>
      </c>
    </row>
    <row r="2792" spans="1:8" hidden="1" x14ac:dyDescent="0.2">
      <c r="A2792" s="2291" t="s">
        <v>7557</v>
      </c>
      <c r="B2792" s="1634" t="s">
        <v>2945</v>
      </c>
      <c r="C2792" s="1634" t="s">
        <v>1781</v>
      </c>
      <c r="D2792" s="1634" t="s">
        <v>1782</v>
      </c>
      <c r="E2792" s="1634" t="s">
        <v>1783</v>
      </c>
      <c r="F2792" s="1634" t="s">
        <v>1784</v>
      </c>
      <c r="G2792" s="1634" t="s">
        <v>3778</v>
      </c>
    </row>
    <row r="2793" spans="1:8" hidden="1" x14ac:dyDescent="0.2">
      <c r="A2793" s="2291" t="s">
        <v>7558</v>
      </c>
      <c r="B2793" s="1634" t="s">
        <v>2667</v>
      </c>
      <c r="C2793" s="1634" t="s">
        <v>2668</v>
      </c>
      <c r="D2793" s="1634" t="s">
        <v>5478</v>
      </c>
      <c r="E2793" s="1634" t="s">
        <v>2670</v>
      </c>
      <c r="F2793" s="1634" t="s">
        <v>2671</v>
      </c>
      <c r="G2793" s="1634" t="s">
        <v>2672</v>
      </c>
    </row>
    <row r="2794" spans="1:8" hidden="1" x14ac:dyDescent="0.2">
      <c r="A2794" s="2291" t="s">
        <v>7559</v>
      </c>
      <c r="B2794" s="1634" t="s">
        <v>661</v>
      </c>
      <c r="C2794" s="1634" t="s">
        <v>663</v>
      </c>
      <c r="D2794" s="1634" t="s">
        <v>665</v>
      </c>
      <c r="E2794" s="1634" t="s">
        <v>666</v>
      </c>
      <c r="F2794" s="1634" t="s">
        <v>351</v>
      </c>
      <c r="G2794" s="1634" t="s">
        <v>667</v>
      </c>
    </row>
    <row r="2795" spans="1:8" hidden="1" x14ac:dyDescent="0.2">
      <c r="A2795" s="2291" t="s">
        <v>7560</v>
      </c>
      <c r="B2795" s="1634" t="s">
        <v>671</v>
      </c>
      <c r="C2795" s="1634" t="s">
        <v>673</v>
      </c>
      <c r="D2795" s="1634" t="s">
        <v>5479</v>
      </c>
      <c r="E2795" s="1634" t="s">
        <v>3493</v>
      </c>
      <c r="F2795" s="1634" t="s">
        <v>353</v>
      </c>
      <c r="G2795" s="1634" t="s">
        <v>675</v>
      </c>
    </row>
    <row r="2796" spans="1:8" hidden="1" x14ac:dyDescent="0.2">
      <c r="A2796" s="2291" t="s">
        <v>7561</v>
      </c>
      <c r="B2796" s="1634" t="s">
        <v>6441</v>
      </c>
      <c r="C2796" s="1634" t="s">
        <v>679</v>
      </c>
      <c r="D2796" s="1634" t="s">
        <v>6442</v>
      </c>
      <c r="E2796" s="1634" t="s">
        <v>3495</v>
      </c>
      <c r="F2796" s="1634" t="s">
        <v>681</v>
      </c>
      <c r="G2796" s="1634" t="s">
        <v>682</v>
      </c>
    </row>
    <row r="2797" spans="1:8" hidden="1" x14ac:dyDescent="0.2">
      <c r="A2797" s="2291" t="s">
        <v>7562</v>
      </c>
      <c r="B2797" s="1634" t="s">
        <v>6444</v>
      </c>
      <c r="C2797" s="1634" t="s">
        <v>687</v>
      </c>
      <c r="D2797" s="1634" t="s">
        <v>6445</v>
      </c>
      <c r="E2797" s="1634" t="s">
        <v>3497</v>
      </c>
      <c r="F2797" s="1634" t="s">
        <v>689</v>
      </c>
      <c r="G2797" s="1634" t="s">
        <v>3677</v>
      </c>
    </row>
    <row r="2798" spans="1:8" hidden="1" x14ac:dyDescent="0.2">
      <c r="A2798" s="2291" t="s">
        <v>7563</v>
      </c>
      <c r="B2798" s="1634" t="s">
        <v>6447</v>
      </c>
      <c r="C2798" s="1634" t="s">
        <v>2562</v>
      </c>
      <c r="D2798" s="1634" t="s">
        <v>6448</v>
      </c>
      <c r="E2798" s="1634" t="s">
        <v>139</v>
      </c>
      <c r="F2798" s="1634" t="s">
        <v>140</v>
      </c>
      <c r="G2798" s="1634" t="s">
        <v>2925</v>
      </c>
      <c r="H2798"/>
    </row>
    <row r="2799" spans="1:8" hidden="1" x14ac:dyDescent="0.2">
      <c r="A2799" s="2291" t="s">
        <v>7564</v>
      </c>
      <c r="B2799" s="1634" t="s">
        <v>2196</v>
      </c>
      <c r="C2799" s="1634" t="s">
        <v>3394</v>
      </c>
      <c r="D2799" s="1634" t="s">
        <v>3396</v>
      </c>
      <c r="E2799" s="1634" t="s">
        <v>3397</v>
      </c>
      <c r="F2799" s="1634" t="s">
        <v>3398</v>
      </c>
      <c r="G2799" s="1634" t="s">
        <v>2384</v>
      </c>
      <c r="H2799"/>
    </row>
    <row r="2800" spans="1:8" hidden="1" x14ac:dyDescent="0.2">
      <c r="A2800" s="2291" t="s">
        <v>7565</v>
      </c>
      <c r="B2800" s="1634" t="s">
        <v>506</v>
      </c>
      <c r="C2800" s="1634" t="s">
        <v>508</v>
      </c>
      <c r="D2800" s="1634" t="s">
        <v>6450</v>
      </c>
      <c r="E2800" s="1634" t="s">
        <v>3501</v>
      </c>
      <c r="F2800" s="1634" t="s">
        <v>510</v>
      </c>
      <c r="G2800" s="1634" t="s">
        <v>511</v>
      </c>
      <c r="H2800"/>
    </row>
    <row r="2801" spans="1:8" hidden="1" x14ac:dyDescent="0.2">
      <c r="A2801" s="2291" t="s">
        <v>7566</v>
      </c>
      <c r="B2801" s="1634" t="s">
        <v>1969</v>
      </c>
      <c r="C2801" s="1634" t="s">
        <v>1971</v>
      </c>
      <c r="D2801" s="1634" t="s">
        <v>6452</v>
      </c>
      <c r="E2801" s="1634" t="s">
        <v>2928</v>
      </c>
      <c r="F2801" s="1634" t="s">
        <v>2929</v>
      </c>
      <c r="G2801" s="1634" t="s">
        <v>2930</v>
      </c>
      <c r="H2801"/>
    </row>
    <row r="2802" spans="1:8" hidden="1" x14ac:dyDescent="0.2">
      <c r="A2802" s="2291" t="s">
        <v>7567</v>
      </c>
      <c r="B2802" s="1634" t="s">
        <v>1976</v>
      </c>
      <c r="C2802" s="1634" t="s">
        <v>3246</v>
      </c>
      <c r="D2802" s="1634" t="s">
        <v>4523</v>
      </c>
      <c r="E2802" s="1634" t="s">
        <v>3248</v>
      </c>
      <c r="F2802" s="1634" t="s">
        <v>3249</v>
      </c>
      <c r="G2802" s="1634" t="s">
        <v>3250</v>
      </c>
      <c r="H2802"/>
    </row>
    <row r="2803" spans="1:8" hidden="1" x14ac:dyDescent="0.2">
      <c r="A2803" s="2291" t="s">
        <v>7568</v>
      </c>
      <c r="B2803" s="1634" t="s">
        <v>2953</v>
      </c>
      <c r="C2803" s="1634" t="s">
        <v>5480</v>
      </c>
      <c r="D2803" s="1634" t="s">
        <v>3254</v>
      </c>
      <c r="E2803" s="1634" t="s">
        <v>3255</v>
      </c>
      <c r="F2803" s="1634" t="s">
        <v>3256</v>
      </c>
      <c r="G2803" s="1634" t="s">
        <v>3257</v>
      </c>
      <c r="H2803"/>
    </row>
    <row r="2804" spans="1:8" hidden="1" x14ac:dyDescent="0.2">
      <c r="A2804" s="2291" t="s">
        <v>7569</v>
      </c>
      <c r="B2804" s="1634" t="s">
        <v>472</v>
      </c>
      <c r="C2804" s="1634" t="s">
        <v>799</v>
      </c>
      <c r="D2804" s="1634" t="s">
        <v>4525</v>
      </c>
      <c r="E2804" s="1634" t="s">
        <v>800</v>
      </c>
      <c r="F2804" s="1634" t="s">
        <v>801</v>
      </c>
      <c r="G2804" s="1634" t="s">
        <v>802</v>
      </c>
      <c r="H2804"/>
    </row>
    <row r="2805" spans="1:8" hidden="1" x14ac:dyDescent="0.2">
      <c r="A2805" s="2291" t="s">
        <v>7570</v>
      </c>
      <c r="B2805" s="1634" t="s">
        <v>4527</v>
      </c>
      <c r="C2805" s="1634" t="s">
        <v>807</v>
      </c>
      <c r="D2805" s="1634" t="s">
        <v>465</v>
      </c>
      <c r="E2805" s="1634" t="s">
        <v>808</v>
      </c>
      <c r="F2805" s="1634" t="s">
        <v>809</v>
      </c>
      <c r="G2805" s="1634" t="s">
        <v>810</v>
      </c>
      <c r="H2805"/>
    </row>
    <row r="2806" spans="1:8" hidden="1" x14ac:dyDescent="0.2">
      <c r="A2806" s="2291" t="s">
        <v>7571</v>
      </c>
      <c r="B2806" s="1634" t="s">
        <v>5727</v>
      </c>
      <c r="C2806" s="1634" t="s">
        <v>814</v>
      </c>
      <c r="D2806" s="1634" t="s">
        <v>5728</v>
      </c>
      <c r="E2806" s="1634" t="s">
        <v>815</v>
      </c>
      <c r="F2806" s="1634" t="s">
        <v>816</v>
      </c>
      <c r="G2806" s="1634" t="s">
        <v>817</v>
      </c>
      <c r="H2806"/>
    </row>
    <row r="2807" spans="1:8" hidden="1" x14ac:dyDescent="0.2">
      <c r="A2807" s="2291" t="s">
        <v>7572</v>
      </c>
      <c r="B2807" s="1634" t="s">
        <v>220</v>
      </c>
      <c r="C2807" s="1634" t="s">
        <v>822</v>
      </c>
      <c r="D2807" s="1634" t="s">
        <v>823</v>
      </c>
      <c r="E2807" s="1634" t="s">
        <v>824</v>
      </c>
      <c r="F2807" s="1634" t="s">
        <v>825</v>
      </c>
      <c r="G2807" s="1634" t="s">
        <v>537</v>
      </c>
      <c r="H2807"/>
    </row>
    <row r="2808" spans="1:8" hidden="1" x14ac:dyDescent="0.2">
      <c r="A2808" s="2291" t="s">
        <v>7573</v>
      </c>
      <c r="B2808" s="1634" t="s">
        <v>4971</v>
      </c>
      <c r="C2808" s="1634" t="s">
        <v>5481</v>
      </c>
      <c r="D2808" s="1634" t="s">
        <v>5730</v>
      </c>
      <c r="E2808" s="1634" t="s">
        <v>542</v>
      </c>
      <c r="F2808" s="1634" t="s">
        <v>543</v>
      </c>
      <c r="G2808" s="1634" t="s">
        <v>544</v>
      </c>
      <c r="H2808"/>
    </row>
    <row r="2809" spans="1:8" hidden="1" x14ac:dyDescent="0.2">
      <c r="A2809" s="2291" t="s">
        <v>7574</v>
      </c>
      <c r="B2809" s="1634" t="s">
        <v>2093</v>
      </c>
      <c r="C2809" s="1634" t="s">
        <v>2094</v>
      </c>
      <c r="D2809" s="1634" t="s">
        <v>1555</v>
      </c>
      <c r="E2809" s="1634" t="s">
        <v>1556</v>
      </c>
      <c r="F2809" s="1634" t="s">
        <v>4895</v>
      </c>
      <c r="G2809" s="1634" t="s">
        <v>6395</v>
      </c>
      <c r="H2809" s="1634" t="s">
        <v>4933</v>
      </c>
    </row>
    <row r="2810" spans="1:8" hidden="1" x14ac:dyDescent="0.2">
      <c r="A2810" s="2291" t="s">
        <v>7575</v>
      </c>
      <c r="B2810" s="1634" t="s">
        <v>5779</v>
      </c>
      <c r="C2810" s="1634" t="s">
        <v>5780</v>
      </c>
      <c r="D2810" s="1634" t="s">
        <v>5781</v>
      </c>
      <c r="E2810" s="1634" t="s">
        <v>5782</v>
      </c>
      <c r="F2810" s="1634" t="s">
        <v>2219</v>
      </c>
      <c r="G2810" s="1634" t="s">
        <v>6400</v>
      </c>
      <c r="H2810" s="1634" t="s">
        <v>3157</v>
      </c>
    </row>
    <row r="2811" spans="1:8" hidden="1" x14ac:dyDescent="0.2">
      <c r="A2811" s="2291" t="s">
        <v>7576</v>
      </c>
      <c r="B2811" s="1634" t="s">
        <v>2983</v>
      </c>
      <c r="C2811" s="1634" t="s">
        <v>2231</v>
      </c>
      <c r="D2811" s="1634" t="s">
        <v>4582</v>
      </c>
      <c r="E2811" s="1634" t="s">
        <v>4836</v>
      </c>
      <c r="F2811" s="1634" t="s">
        <v>4896</v>
      </c>
      <c r="G2811" s="1634" t="s">
        <v>6405</v>
      </c>
      <c r="H2811" s="1634" t="s">
        <v>4264</v>
      </c>
    </row>
    <row r="2812" spans="1:8" hidden="1" x14ac:dyDescent="0.2">
      <c r="A2812" s="2291" t="s">
        <v>7577</v>
      </c>
      <c r="B2812" s="1634" t="s">
        <v>1793</v>
      </c>
      <c r="C2812" s="1634" t="s">
        <v>2233</v>
      </c>
      <c r="D2812" s="1634" t="s">
        <v>91</v>
      </c>
      <c r="E2812" s="1634" t="s">
        <v>5246</v>
      </c>
      <c r="F2812" s="1634" t="s">
        <v>1315</v>
      </c>
      <c r="G2812" s="1634" t="s">
        <v>7505</v>
      </c>
      <c r="H2812" s="1634" t="s">
        <v>7506</v>
      </c>
    </row>
    <row r="2813" spans="1:8" hidden="1" x14ac:dyDescent="0.2">
      <c r="A2813" s="2291" t="s">
        <v>7578</v>
      </c>
      <c r="B2813" s="1634" t="s">
        <v>1796</v>
      </c>
      <c r="C2813" s="1634" t="s">
        <v>2236</v>
      </c>
      <c r="D2813" s="1634" t="s">
        <v>92</v>
      </c>
      <c r="E2813" s="1634" t="s">
        <v>93</v>
      </c>
      <c r="F2813" s="1634" t="s">
        <v>7507</v>
      </c>
      <c r="G2813" s="1634" t="s">
        <v>7508</v>
      </c>
      <c r="H2813" s="1634" t="s">
        <v>7509</v>
      </c>
    </row>
    <row r="2814" spans="1:8" hidden="1" x14ac:dyDescent="0.2">
      <c r="A2814" s="2291" t="s">
        <v>7579</v>
      </c>
      <c r="B2814" s="1634" t="s">
        <v>1800</v>
      </c>
      <c r="C2814" s="1634" t="s">
        <v>1801</v>
      </c>
      <c r="D2814" s="1634" t="s">
        <v>94</v>
      </c>
      <c r="E2814" s="1634" t="s">
        <v>95</v>
      </c>
      <c r="F2814" s="1634" t="s">
        <v>7510</v>
      </c>
      <c r="G2814" s="1634" t="s">
        <v>7511</v>
      </c>
      <c r="H2814" s="1634" t="s">
        <v>7512</v>
      </c>
    </row>
    <row r="2815" spans="1:8" hidden="1" x14ac:dyDescent="0.2">
      <c r="A2815" s="2291" t="s">
        <v>7580</v>
      </c>
      <c r="B2815" s="1634" t="s">
        <v>3404</v>
      </c>
      <c r="C2815" s="1634" t="s">
        <v>3405</v>
      </c>
      <c r="D2815" s="1634" t="s">
        <v>3406</v>
      </c>
      <c r="E2815" s="1634" t="s">
        <v>3407</v>
      </c>
      <c r="F2815" s="1634" t="s">
        <v>1316</v>
      </c>
      <c r="G2815" s="1634" t="s">
        <v>7513</v>
      </c>
      <c r="H2815" s="1634" t="s">
        <v>7514</v>
      </c>
    </row>
    <row r="2816" spans="1:8" hidden="1" x14ac:dyDescent="0.2">
      <c r="A2816" s="2291" t="s">
        <v>7581</v>
      </c>
      <c r="B2816" s="1634" t="s">
        <v>5096</v>
      </c>
      <c r="C2816" s="1634" t="s">
        <v>5097</v>
      </c>
      <c r="D2816" s="1634" t="s">
        <v>5098</v>
      </c>
      <c r="E2816" s="1634" t="s">
        <v>5099</v>
      </c>
      <c r="F2816" s="1634" t="s">
        <v>7515</v>
      </c>
      <c r="G2816" s="1634" t="s">
        <v>7516</v>
      </c>
      <c r="H2816" s="1634" t="s">
        <v>7517</v>
      </c>
    </row>
    <row r="2817" spans="1:8" hidden="1" x14ac:dyDescent="0.2">
      <c r="A2817" s="2291" t="s">
        <v>7582</v>
      </c>
      <c r="B2817" s="1634" t="s">
        <v>5105</v>
      </c>
      <c r="C2817" s="1634" t="s">
        <v>5106</v>
      </c>
      <c r="D2817" s="1634" t="s">
        <v>5107</v>
      </c>
      <c r="E2817" s="1634" t="s">
        <v>5108</v>
      </c>
      <c r="F2817" s="1634" t="s">
        <v>1317</v>
      </c>
      <c r="G2817" s="1634" t="s">
        <v>7518</v>
      </c>
      <c r="H2817" s="1634" t="s">
        <v>3161</v>
      </c>
    </row>
    <row r="2818" spans="1:8" hidden="1" x14ac:dyDescent="0.2">
      <c r="A2818" s="2291" t="s">
        <v>7583</v>
      </c>
      <c r="B2818" s="1634" t="s">
        <v>2394</v>
      </c>
      <c r="C2818" s="1634" t="s">
        <v>2395</v>
      </c>
      <c r="D2818" s="1634" t="s">
        <v>2396</v>
      </c>
      <c r="E2818" s="1634" t="s">
        <v>2397</v>
      </c>
      <c r="F2818" s="1634" t="s">
        <v>1318</v>
      </c>
      <c r="G2818" s="1634" t="s">
        <v>7519</v>
      </c>
      <c r="H2818" s="1634" t="s">
        <v>3163</v>
      </c>
    </row>
    <row r="2819" spans="1:8" hidden="1" x14ac:dyDescent="0.2">
      <c r="A2819" s="2291" t="s">
        <v>7584</v>
      </c>
      <c r="B2819" s="1634" t="s">
        <v>2402</v>
      </c>
      <c r="C2819" s="1634" t="s">
        <v>2403</v>
      </c>
      <c r="D2819" s="1634" t="s">
        <v>2404</v>
      </c>
      <c r="E2819" s="1634" t="s">
        <v>2405</v>
      </c>
      <c r="F2819" s="1634" t="s">
        <v>1319</v>
      </c>
      <c r="G2819" s="1634" t="s">
        <v>853</v>
      </c>
      <c r="H2819" s="1634" t="s">
        <v>5804</v>
      </c>
    </row>
    <row r="2820" spans="1:8" hidden="1" x14ac:dyDescent="0.2">
      <c r="A2820" s="2291" t="s">
        <v>7585</v>
      </c>
      <c r="B2820" s="1634" t="s">
        <v>2633</v>
      </c>
      <c r="C2820" s="1634" t="s">
        <v>2634</v>
      </c>
      <c r="D2820" s="1634" t="s">
        <v>2635</v>
      </c>
      <c r="E2820" s="1634" t="s">
        <v>2636</v>
      </c>
      <c r="F2820" s="1634" t="s">
        <v>7520</v>
      </c>
      <c r="G2820" s="1634" t="s">
        <v>7521</v>
      </c>
      <c r="H2820" s="1634" t="s">
        <v>7522</v>
      </c>
    </row>
    <row r="2821" spans="1:8" hidden="1" x14ac:dyDescent="0.2">
      <c r="A2821" s="2291" t="s">
        <v>7586</v>
      </c>
      <c r="B2821" s="1634" t="s">
        <v>3965</v>
      </c>
      <c r="C2821" s="1634" t="s">
        <v>3966</v>
      </c>
      <c r="D2821" s="1634" t="s">
        <v>6196</v>
      </c>
      <c r="E2821" s="1634" t="s">
        <v>6580</v>
      </c>
      <c r="F2821" s="1634" t="s">
        <v>1320</v>
      </c>
      <c r="G2821" s="1634" t="s">
        <v>7523</v>
      </c>
      <c r="H2821" s="1634" t="s">
        <v>7524</v>
      </c>
    </row>
    <row r="2822" spans="1:8" hidden="1" x14ac:dyDescent="0.2">
      <c r="A2822" s="2291" t="s">
        <v>7587</v>
      </c>
      <c r="B2822" s="1634" t="s">
        <v>6588</v>
      </c>
      <c r="C2822" s="1634" t="s">
        <v>6589</v>
      </c>
      <c r="D2822" s="1634" t="s">
        <v>6590</v>
      </c>
      <c r="E2822" s="1634" t="s">
        <v>6591</v>
      </c>
      <c r="F2822" s="1634" t="s">
        <v>7525</v>
      </c>
      <c r="G2822" s="1634" t="s">
        <v>7526</v>
      </c>
      <c r="H2822" s="1634" t="s">
        <v>7527</v>
      </c>
    </row>
    <row r="2823" spans="1:8" hidden="1" x14ac:dyDescent="0.2">
      <c r="A2823" s="2291" t="s">
        <v>7588</v>
      </c>
      <c r="B2823" s="1634" t="s">
        <v>5015</v>
      </c>
      <c r="C2823" s="1634" t="s">
        <v>5016</v>
      </c>
      <c r="D2823" s="1634" t="s">
        <v>5017</v>
      </c>
      <c r="E2823" s="1634" t="s">
        <v>5018</v>
      </c>
      <c r="F2823" s="1634" t="s">
        <v>7528</v>
      </c>
      <c r="G2823" s="1634" t="s">
        <v>7529</v>
      </c>
      <c r="H2823" s="1634" t="s">
        <v>7530</v>
      </c>
    </row>
    <row r="2824" spans="1:8" hidden="1" x14ac:dyDescent="0.2">
      <c r="A2824" s="2291" t="s">
        <v>7589</v>
      </c>
      <c r="B2824" s="1634" t="s">
        <v>5036</v>
      </c>
      <c r="C2824" s="1634" t="s">
        <v>5037</v>
      </c>
      <c r="D2824" s="1634" t="s">
        <v>2445</v>
      </c>
      <c r="E2824" s="1634" t="s">
        <v>2446</v>
      </c>
      <c r="F2824" s="1634" t="s">
        <v>7531</v>
      </c>
      <c r="G2824" s="1634" t="s">
        <v>7532</v>
      </c>
      <c r="H2824" s="1634" t="s">
        <v>7533</v>
      </c>
    </row>
    <row r="2825" spans="1:8" hidden="1" x14ac:dyDescent="0.2">
      <c r="A2825" s="2291" t="s">
        <v>7590</v>
      </c>
      <c r="B2825" s="1634" t="s">
        <v>2453</v>
      </c>
      <c r="C2825" s="1634" t="s">
        <v>2454</v>
      </c>
      <c r="D2825" s="1634" t="s">
        <v>2455</v>
      </c>
      <c r="E2825" s="1634" t="s">
        <v>2456</v>
      </c>
      <c r="F2825" s="1634" t="s">
        <v>7534</v>
      </c>
      <c r="G2825" s="1634" t="s">
        <v>7535</v>
      </c>
      <c r="H2825" s="1634" t="s">
        <v>1830</v>
      </c>
    </row>
    <row r="2826" spans="1:8" hidden="1" x14ac:dyDescent="0.2">
      <c r="A2826" s="2291" t="s">
        <v>7591</v>
      </c>
      <c r="B2826" s="1634" t="s">
        <v>1457</v>
      </c>
      <c r="C2826" s="1634" t="s">
        <v>1458</v>
      </c>
      <c r="D2826" s="1634" t="s">
        <v>1459</v>
      </c>
      <c r="E2826" s="1634" t="s">
        <v>1460</v>
      </c>
      <c r="F2826" s="1634" t="s">
        <v>7536</v>
      </c>
      <c r="G2826" s="1634" t="s">
        <v>2803</v>
      </c>
      <c r="H2826" s="1634" t="s">
        <v>5059</v>
      </c>
    </row>
    <row r="2827" spans="1:8" hidden="1" x14ac:dyDescent="0.2">
      <c r="A2827" s="2291" t="s">
        <v>7592</v>
      </c>
      <c r="B2827" s="1634" t="s">
        <v>1463</v>
      </c>
      <c r="C2827" s="1634" t="s">
        <v>1464</v>
      </c>
      <c r="D2827" s="1634" t="s">
        <v>1465</v>
      </c>
      <c r="E2827" s="1634" t="s">
        <v>1466</v>
      </c>
      <c r="F2827" s="1634" t="s">
        <v>7537</v>
      </c>
      <c r="G2827" s="1634" t="s">
        <v>2036</v>
      </c>
      <c r="H2827" s="1634" t="s">
        <v>3773</v>
      </c>
    </row>
    <row r="2828" spans="1:8" hidden="1" x14ac:dyDescent="0.2">
      <c r="A2828" s="2291" t="s">
        <v>7593</v>
      </c>
      <c r="B2828" s="1634" t="s">
        <v>1469</v>
      </c>
      <c r="C2828" s="1634" t="s">
        <v>1470</v>
      </c>
      <c r="D2828" s="1634" t="s">
        <v>1471</v>
      </c>
      <c r="E2828" s="1634" t="s">
        <v>1472</v>
      </c>
      <c r="F2828" s="1634" t="s">
        <v>7538</v>
      </c>
      <c r="G2828" s="1634" t="s">
        <v>7539</v>
      </c>
      <c r="H2828" s="1634" t="s">
        <v>2807</v>
      </c>
    </row>
    <row r="2829" spans="1:8" hidden="1" x14ac:dyDescent="0.2">
      <c r="A2829" s="2291" t="s">
        <v>7594</v>
      </c>
      <c r="B2829" s="1634" t="s">
        <v>4212</v>
      </c>
      <c r="C2829" s="1634" t="s">
        <v>4495</v>
      </c>
      <c r="D2829" s="1634" t="s">
        <v>2382</v>
      </c>
      <c r="E2829" s="1634" t="s">
        <v>2383</v>
      </c>
      <c r="F2829" s="1634" t="s">
        <v>7540</v>
      </c>
      <c r="G2829" s="1634" t="s">
        <v>2037</v>
      </c>
      <c r="H2829" s="1634" t="s">
        <v>1419</v>
      </c>
    </row>
    <row r="2830" spans="1:8" hidden="1" x14ac:dyDescent="0.2">
      <c r="A2830" s="2291" t="s">
        <v>7595</v>
      </c>
      <c r="B2830" s="1634" t="s">
        <v>1880</v>
      </c>
    </row>
    <row r="2831" spans="1:8" hidden="1" x14ac:dyDescent="0.2">
      <c r="A2831" s="2291" t="s">
        <v>7596</v>
      </c>
      <c r="B2831" s="1634" t="s">
        <v>4496</v>
      </c>
    </row>
    <row r="2833" spans="1:4" hidden="1" x14ac:dyDescent="0.2">
      <c r="A2833" s="2291" t="s">
        <v>7597</v>
      </c>
      <c r="B2833" s="1634" t="s">
        <v>6972</v>
      </c>
    </row>
    <row r="2834" spans="1:4" hidden="1" x14ac:dyDescent="0.2">
      <c r="A2834" s="2291" t="s">
        <v>7598</v>
      </c>
      <c r="B2834" s="1634" t="s">
        <v>6672</v>
      </c>
    </row>
    <row r="2835" spans="1:4" hidden="1" x14ac:dyDescent="0.2">
      <c r="A2835" s="2291" t="s">
        <v>7599</v>
      </c>
      <c r="B2835" s="1634" t="s">
        <v>5475</v>
      </c>
    </row>
    <row r="2836" spans="1:4" hidden="1" x14ac:dyDescent="0.2">
      <c r="A2836" s="2291" t="s">
        <v>7600</v>
      </c>
      <c r="B2836" s="1634" t="s">
        <v>2154</v>
      </c>
    </row>
    <row r="2837" spans="1:4" hidden="1" x14ac:dyDescent="0.2">
      <c r="A2837" s="2291" t="s">
        <v>7601</v>
      </c>
      <c r="B2837" s="1634" t="s">
        <v>2161</v>
      </c>
    </row>
    <row r="2838" spans="1:4" hidden="1" x14ac:dyDescent="0.2">
      <c r="A2838" s="2291" t="s">
        <v>7602</v>
      </c>
      <c r="B2838" s="1634" t="s">
        <v>2168</v>
      </c>
    </row>
    <row r="2839" spans="1:4" hidden="1" x14ac:dyDescent="0.2">
      <c r="A2839" s="2291" t="s">
        <v>7603</v>
      </c>
      <c r="B2839" s="1634" t="s">
        <v>2188</v>
      </c>
    </row>
    <row r="2840" spans="1:4" hidden="1" x14ac:dyDescent="0.2">
      <c r="A2840" s="2291" t="s">
        <v>7604</v>
      </c>
      <c r="B2840" s="1634" t="s">
        <v>3092</v>
      </c>
    </row>
    <row r="2841" spans="1:4" hidden="1" x14ac:dyDescent="0.2">
      <c r="A2841" s="2291" t="s">
        <v>7605</v>
      </c>
      <c r="B2841" s="1634" t="s">
        <v>3535</v>
      </c>
    </row>
    <row r="2842" spans="1:4" hidden="1" x14ac:dyDescent="0.2">
      <c r="A2842" s="2291" t="s">
        <v>7606</v>
      </c>
      <c r="B2842" s="1634" t="s">
        <v>2277</v>
      </c>
    </row>
    <row r="2843" spans="1:4" hidden="1" x14ac:dyDescent="0.2">
      <c r="A2843" s="2291" t="s">
        <v>7607</v>
      </c>
      <c r="B2843" s="1634" t="s">
        <v>277</v>
      </c>
    </row>
    <row r="2844" spans="1:4" hidden="1" x14ac:dyDescent="0.2">
      <c r="A2844" s="2291" t="s">
        <v>7608</v>
      </c>
      <c r="B2844" s="1634" t="s">
        <v>2946</v>
      </c>
    </row>
    <row r="2845" spans="1:4" hidden="1" x14ac:dyDescent="0.2">
      <c r="A2845" s="2291" t="s">
        <v>7609</v>
      </c>
      <c r="B2845" s="1634" t="s">
        <v>2669</v>
      </c>
    </row>
    <row r="2846" spans="1:4" hidden="1" x14ac:dyDescent="0.2">
      <c r="A2846" s="2291" t="s">
        <v>7610</v>
      </c>
      <c r="B2846" s="1634" t="s">
        <v>664</v>
      </c>
      <c r="C2846"/>
      <c r="D2846"/>
    </row>
    <row r="2847" spans="1:4" hidden="1" x14ac:dyDescent="0.2">
      <c r="A2847" s="2291" t="s">
        <v>7611</v>
      </c>
      <c r="B2847" s="1634" t="s">
        <v>674</v>
      </c>
      <c r="C2847"/>
      <c r="D2847"/>
    </row>
    <row r="2848" spans="1:4" hidden="1" x14ac:dyDescent="0.2">
      <c r="A2848" s="2291" t="s">
        <v>7612</v>
      </c>
      <c r="B2848" s="1634" t="s">
        <v>688</v>
      </c>
      <c r="C2848"/>
      <c r="D2848"/>
    </row>
    <row r="2849" spans="1:6" hidden="1" x14ac:dyDescent="0.2">
      <c r="A2849" s="2291" t="s">
        <v>7613</v>
      </c>
      <c r="B2849" s="1634" t="s">
        <v>6450</v>
      </c>
      <c r="C2849"/>
      <c r="D2849"/>
    </row>
    <row r="2850" spans="1:6" hidden="1" x14ac:dyDescent="0.2">
      <c r="A2850" s="2291" t="s">
        <v>7614</v>
      </c>
      <c r="B2850" s="1634" t="s">
        <v>4523</v>
      </c>
      <c r="C2850"/>
      <c r="D2850"/>
    </row>
    <row r="2859" spans="1:6" hidden="1" x14ac:dyDescent="0.2">
      <c r="A2859" s="2291" t="s">
        <v>7615</v>
      </c>
      <c r="B2859" s="1634" t="s">
        <v>706</v>
      </c>
      <c r="C2859"/>
      <c r="D2859"/>
    </row>
    <row r="2860" spans="1:6" hidden="1" x14ac:dyDescent="0.2">
      <c r="A2860" s="2291" t="s">
        <v>7616</v>
      </c>
      <c r="B2860" s="1634" t="s">
        <v>2721</v>
      </c>
      <c r="C2860" s="1634" t="s">
        <v>863</v>
      </c>
      <c r="D2860" s="1634" t="s">
        <v>2725</v>
      </c>
    </row>
    <row r="2861" spans="1:6" hidden="1" x14ac:dyDescent="0.2">
      <c r="A2861" s="2291" t="s">
        <v>7617</v>
      </c>
      <c r="B2861" s="1634" t="s">
        <v>4033</v>
      </c>
      <c r="C2861" s="1634" t="s">
        <v>867</v>
      </c>
      <c r="D2861" s="1634" t="s">
        <v>4037</v>
      </c>
    </row>
    <row r="2862" spans="1:6" hidden="1" x14ac:dyDescent="0.2">
      <c r="A2862" s="2291" t="s">
        <v>7618</v>
      </c>
      <c r="B2862" s="1634" t="s">
        <v>6972</v>
      </c>
      <c r="C2862" s="1634" t="s">
        <v>871</v>
      </c>
      <c r="D2862" s="1634" t="s">
        <v>6974</v>
      </c>
      <c r="E2862"/>
      <c r="F2862"/>
    </row>
    <row r="2863" spans="1:6" hidden="1" x14ac:dyDescent="0.2">
      <c r="A2863" s="2291" t="s">
        <v>7619</v>
      </c>
      <c r="B2863" s="1634" t="s">
        <v>5424</v>
      </c>
      <c r="C2863" s="1634" t="s">
        <v>4712</v>
      </c>
      <c r="D2863" s="1634" t="s">
        <v>6464</v>
      </c>
      <c r="E2863" s="1634" t="s">
        <v>4047</v>
      </c>
      <c r="F2863" s="1634" t="s">
        <v>6690</v>
      </c>
    </row>
    <row r="2864" spans="1:6" hidden="1" x14ac:dyDescent="0.2">
      <c r="A2864" s="2291" t="s">
        <v>7620</v>
      </c>
      <c r="B2864" s="1634" t="s">
        <v>2154</v>
      </c>
      <c r="C2864" s="1634" t="s">
        <v>5476</v>
      </c>
      <c r="D2864" s="1634" t="s">
        <v>2913</v>
      </c>
      <c r="E2864" s="1634" t="s">
        <v>4100</v>
      </c>
      <c r="F2864" s="1634" t="s">
        <v>4101</v>
      </c>
    </row>
    <row r="2865" spans="1:6" hidden="1" x14ac:dyDescent="0.2">
      <c r="A2865" s="2291" t="s">
        <v>7621</v>
      </c>
      <c r="B2865" s="1634" t="s">
        <v>2168</v>
      </c>
      <c r="C2865" s="1634" t="s">
        <v>6426</v>
      </c>
      <c r="D2865" s="1634" t="s">
        <v>2917</v>
      </c>
      <c r="E2865" s="1634" t="s">
        <v>2322</v>
      </c>
      <c r="F2865" s="1634" t="s">
        <v>2323</v>
      </c>
    </row>
    <row r="2866" spans="1:6" hidden="1" x14ac:dyDescent="0.2">
      <c r="A2866" s="2291" t="s">
        <v>7622</v>
      </c>
      <c r="B2866" s="1634" t="s">
        <v>5084</v>
      </c>
      <c r="C2866"/>
      <c r="D2866"/>
      <c r="E2866"/>
      <c r="F2866"/>
    </row>
    <row r="2867" spans="1:6" hidden="1" x14ac:dyDescent="0.2">
      <c r="A2867" s="2291" t="s">
        <v>7623</v>
      </c>
      <c r="B2867" s="1634" t="s">
        <v>1746</v>
      </c>
      <c r="C2867"/>
      <c r="D2867"/>
      <c r="E2867"/>
      <c r="F2867"/>
    </row>
    <row r="2868" spans="1:6" hidden="1" x14ac:dyDescent="0.2">
      <c r="A2868" s="2291" t="s">
        <v>7624</v>
      </c>
      <c r="B2868" s="1634" t="s">
        <v>945</v>
      </c>
      <c r="C2868"/>
      <c r="D2868"/>
      <c r="E2868"/>
      <c r="F2868"/>
    </row>
    <row r="2869" spans="1:6" hidden="1" x14ac:dyDescent="0.2">
      <c r="A2869" s="2291" t="s">
        <v>7625</v>
      </c>
      <c r="B2869" s="1634" t="s">
        <v>1784</v>
      </c>
      <c r="C2869"/>
      <c r="D2869"/>
      <c r="E2869"/>
      <c r="F2869"/>
    </row>
    <row r="2870" spans="1:6" hidden="1" x14ac:dyDescent="0.2">
      <c r="A2870" s="2291" t="s">
        <v>7626</v>
      </c>
      <c r="B2870" s="1634" t="s">
        <v>351</v>
      </c>
      <c r="C2870"/>
      <c r="D2870"/>
      <c r="E2870"/>
      <c r="F2870"/>
    </row>
    <row r="2871" spans="1:6" hidden="1" x14ac:dyDescent="0.2">
      <c r="A2871" s="2291" t="s">
        <v>7627</v>
      </c>
      <c r="B2871" s="1634" t="s">
        <v>681</v>
      </c>
      <c r="C2871"/>
      <c r="D2871"/>
      <c r="E2871"/>
      <c r="F2871"/>
    </row>
    <row r="2872" spans="1:6" hidden="1" x14ac:dyDescent="0.2">
      <c r="A2872" s="2291" t="s">
        <v>7628</v>
      </c>
      <c r="B2872" s="1634" t="s">
        <v>140</v>
      </c>
      <c r="C2872"/>
      <c r="D2872"/>
      <c r="E2872"/>
      <c r="F2872"/>
    </row>
    <row r="2873" spans="1:6" hidden="1" x14ac:dyDescent="0.2">
      <c r="A2873" s="2291" t="s">
        <v>7629</v>
      </c>
      <c r="B2873" s="1634" t="s">
        <v>510</v>
      </c>
      <c r="C2873"/>
      <c r="D2873"/>
      <c r="E2873"/>
      <c r="F2873"/>
    </row>
    <row r="2874" spans="1:6" hidden="1" x14ac:dyDescent="0.2">
      <c r="A2874" s="2291" t="s">
        <v>7630</v>
      </c>
      <c r="B2874" s="1634" t="s">
        <v>3252</v>
      </c>
      <c r="C2874"/>
      <c r="D2874"/>
      <c r="E2874"/>
      <c r="F2874"/>
    </row>
    <row r="2875" spans="1:6" hidden="1" x14ac:dyDescent="0.2">
      <c r="A2875" s="2291" t="s">
        <v>7631</v>
      </c>
      <c r="B2875" s="1634" t="s">
        <v>802</v>
      </c>
      <c r="C2875"/>
      <c r="D2875"/>
      <c r="E2875"/>
      <c r="F2875"/>
    </row>
    <row r="2876" spans="1:6" hidden="1" x14ac:dyDescent="0.2">
      <c r="A2876" s="2291" t="s">
        <v>7632</v>
      </c>
      <c r="B2876" s="1634" t="s">
        <v>816</v>
      </c>
      <c r="C2876"/>
      <c r="D2876"/>
      <c r="E2876"/>
      <c r="F2876"/>
    </row>
    <row r="2885" spans="1:3" ht="15" hidden="1" x14ac:dyDescent="0.25">
      <c r="A2885" s="2308" t="s">
        <v>7933</v>
      </c>
      <c r="B2885" s="2308" t="s">
        <v>5696</v>
      </c>
      <c r="C2885" s="2308"/>
    </row>
    <row r="2886" spans="1:3" ht="15" hidden="1" x14ac:dyDescent="0.25">
      <c r="A2886" s="2308" t="s">
        <v>7934</v>
      </c>
      <c r="B2886" s="2308" t="s">
        <v>4706</v>
      </c>
      <c r="C2886" s="2308" t="s">
        <v>6662</v>
      </c>
    </row>
    <row r="2887" spans="1:3" ht="15" hidden="1" x14ac:dyDescent="0.25">
      <c r="A2887" s="2308" t="s">
        <v>7935</v>
      </c>
      <c r="B2887" s="2308" t="s">
        <v>6678</v>
      </c>
      <c r="C2887" s="2308"/>
    </row>
    <row r="2888" spans="1:3" ht="15" hidden="1" x14ac:dyDescent="0.25">
      <c r="A2888" s="2308" t="s">
        <v>7936</v>
      </c>
      <c r="B2888" s="2308" t="s">
        <v>4105</v>
      </c>
      <c r="C2888" s="2308"/>
    </row>
    <row r="2889" spans="1:3" ht="15" hidden="1" x14ac:dyDescent="0.25">
      <c r="A2889" s="2308" t="s">
        <v>7937</v>
      </c>
      <c r="B2889" s="2308" t="s">
        <v>2323</v>
      </c>
      <c r="C2889" s="2308"/>
    </row>
    <row r="2890" spans="1:3" ht="15" hidden="1" x14ac:dyDescent="0.25">
      <c r="A2890" s="2308" t="s">
        <v>7938</v>
      </c>
      <c r="B2890" s="2308" t="s">
        <v>2328</v>
      </c>
      <c r="C2890" s="2308"/>
    </row>
    <row r="2891" spans="1:3" ht="15" hidden="1" x14ac:dyDescent="0.25">
      <c r="A2891" s="2308" t="s">
        <v>7939</v>
      </c>
      <c r="B2891" s="2308" t="s">
        <v>5084</v>
      </c>
      <c r="C2891" s="2308"/>
    </row>
    <row r="2892" spans="1:3" ht="15" hidden="1" x14ac:dyDescent="0.25">
      <c r="A2892" s="2308" t="s">
        <v>7940</v>
      </c>
      <c r="B2892" s="2308" t="s">
        <v>1741</v>
      </c>
      <c r="C2892" s="2308"/>
    </row>
    <row r="2893" spans="1:3" ht="15" hidden="1" x14ac:dyDescent="0.25">
      <c r="A2893" s="2308" t="s">
        <v>7941</v>
      </c>
      <c r="B2893" s="2308" t="s">
        <v>1746</v>
      </c>
      <c r="C2893" s="2308"/>
    </row>
    <row r="2894" spans="1:3" ht="15" hidden="1" x14ac:dyDescent="0.25">
      <c r="A2894" s="2308" t="s">
        <v>7942</v>
      </c>
      <c r="B2894" s="2308" t="s">
        <v>1751</v>
      </c>
      <c r="C2894" s="2308"/>
    </row>
    <row r="2895" spans="1:3" ht="15" hidden="1" x14ac:dyDescent="0.25">
      <c r="A2895" s="2308" t="s">
        <v>7943</v>
      </c>
      <c r="B2895" s="2308" t="s">
        <v>945</v>
      </c>
      <c r="C2895" s="2308"/>
    </row>
    <row r="2896" spans="1:3" ht="15" hidden="1" x14ac:dyDescent="0.25">
      <c r="A2896" s="2308" t="s">
        <v>7944</v>
      </c>
      <c r="B2896" s="2308" t="s">
        <v>1071</v>
      </c>
      <c r="C2896" s="2308"/>
    </row>
    <row r="2897" spans="1:3" ht="15" hidden="1" x14ac:dyDescent="0.25">
      <c r="A2897" s="2308" t="s">
        <v>7945</v>
      </c>
      <c r="B2897" s="2308" t="s">
        <v>4205</v>
      </c>
      <c r="C2897" s="2308"/>
    </row>
    <row r="2898" spans="1:3" ht="15" hidden="1" x14ac:dyDescent="0.25">
      <c r="A2898" s="2308" t="s">
        <v>7946</v>
      </c>
      <c r="B2898" s="2308" t="s">
        <v>3778</v>
      </c>
      <c r="C2898" s="2308"/>
    </row>
    <row r="2899" spans="1:3" ht="15" hidden="1" x14ac:dyDescent="0.25">
      <c r="A2899" s="2308" t="s">
        <v>7947</v>
      </c>
      <c r="B2899" s="2308" t="s">
        <v>667</v>
      </c>
      <c r="C2899" s="2308"/>
    </row>
    <row r="2900" spans="1:3" ht="15" hidden="1" x14ac:dyDescent="0.25">
      <c r="A2900" s="2308" t="s">
        <v>7948</v>
      </c>
      <c r="B2900" s="2308" t="s">
        <v>675</v>
      </c>
      <c r="C2900" s="2308"/>
    </row>
    <row r="2901" spans="1:3" ht="15" hidden="1" x14ac:dyDescent="0.25">
      <c r="A2901" s="2308" t="s">
        <v>7949</v>
      </c>
      <c r="B2901" s="2308" t="s">
        <v>682</v>
      </c>
      <c r="C2901"/>
    </row>
    <row r="2902" spans="1:3" ht="15" hidden="1" x14ac:dyDescent="0.25">
      <c r="A2902" s="2308" t="s">
        <v>7950</v>
      </c>
      <c r="B2902" s="2308" t="s">
        <v>2384</v>
      </c>
      <c r="C2902"/>
    </row>
    <row r="2903" spans="1:3" ht="15" hidden="1" x14ac:dyDescent="0.25">
      <c r="A2903" s="2308" t="s">
        <v>7951</v>
      </c>
      <c r="B2903" s="2308" t="s">
        <v>2929</v>
      </c>
      <c r="C2903"/>
    </row>
    <row r="2904" spans="1:3" ht="15" hidden="1" x14ac:dyDescent="0.25">
      <c r="A2904" s="2308"/>
      <c r="B2904" s="2308"/>
      <c r="C2904"/>
    </row>
    <row r="2910" spans="1:3" hidden="1" x14ac:dyDescent="0.2">
      <c r="A2910" s="2291" t="s">
        <v>7952</v>
      </c>
      <c r="B2910" s="1634" t="s">
        <v>3106</v>
      </c>
    </row>
    <row r="2911" spans="1:3" hidden="1" x14ac:dyDescent="0.2">
      <c r="A2911" s="2291" t="s">
        <v>7953</v>
      </c>
      <c r="B2911" s="1634" t="s">
        <v>561</v>
      </c>
    </row>
    <row r="2912" spans="1:3" hidden="1" x14ac:dyDescent="0.2">
      <c r="A2912" s="2291" t="s">
        <v>7954</v>
      </c>
      <c r="B2912" s="1634" t="s">
        <v>4708</v>
      </c>
    </row>
    <row r="2913" spans="1:2" hidden="1" x14ac:dyDescent="0.2">
      <c r="A2913" s="2291" t="s">
        <v>7955</v>
      </c>
      <c r="B2913" s="1634" t="s">
        <v>4710</v>
      </c>
    </row>
    <row r="2914" spans="1:2" hidden="1" x14ac:dyDescent="0.2">
      <c r="A2914" s="2291" t="s">
        <v>7956</v>
      </c>
      <c r="B2914" s="1634" t="s">
        <v>4712</v>
      </c>
    </row>
    <row r="2915" spans="1:2" hidden="1" x14ac:dyDescent="0.2">
      <c r="A2915" s="2291" t="s">
        <v>7957</v>
      </c>
      <c r="B2915" s="1634" t="s">
        <v>4714</v>
      </c>
    </row>
    <row r="2916" spans="1:2" hidden="1" x14ac:dyDescent="0.2">
      <c r="A2916" s="2291" t="s">
        <v>7958</v>
      </c>
      <c r="B2916" s="1634" t="s">
        <v>5476</v>
      </c>
    </row>
    <row r="2917" spans="1:2" hidden="1" x14ac:dyDescent="0.2">
      <c r="A2917" s="2291" t="s">
        <v>7959</v>
      </c>
      <c r="B2917" s="1634" t="s">
        <v>4716</v>
      </c>
    </row>
    <row r="2918" spans="1:2" hidden="1" x14ac:dyDescent="0.2">
      <c r="A2918" s="2291" t="s">
        <v>7960</v>
      </c>
      <c r="B2918" s="1634" t="s">
        <v>2921</v>
      </c>
    </row>
    <row r="2919" spans="1:2" hidden="1" x14ac:dyDescent="0.2">
      <c r="A2919" s="2291" t="s">
        <v>7961</v>
      </c>
      <c r="B2919" s="1634" t="s">
        <v>3301</v>
      </c>
    </row>
    <row r="2920" spans="1:2" hidden="1" x14ac:dyDescent="0.2">
      <c r="A2920" s="2291" t="s">
        <v>7962</v>
      </c>
      <c r="B2920" s="1634" t="s">
        <v>5477</v>
      </c>
    </row>
    <row r="2921" spans="1:2" hidden="1" x14ac:dyDescent="0.2">
      <c r="A2921" s="2291" t="s">
        <v>7963</v>
      </c>
      <c r="B2921" s="1634" t="s">
        <v>6437</v>
      </c>
    </row>
    <row r="2922" spans="1:2" hidden="1" x14ac:dyDescent="0.2">
      <c r="A2922" s="2291" t="s">
        <v>7964</v>
      </c>
      <c r="B2922" s="1634" t="s">
        <v>1782</v>
      </c>
    </row>
    <row r="2923" spans="1:2" hidden="1" x14ac:dyDescent="0.2">
      <c r="A2923" s="2291" t="s">
        <v>7965</v>
      </c>
      <c r="B2923" s="1634" t="s">
        <v>3493</v>
      </c>
    </row>
    <row r="2924" spans="1:2" hidden="1" x14ac:dyDescent="0.2">
      <c r="A2924" s="2291" t="s">
        <v>7966</v>
      </c>
      <c r="B2924" s="1634" t="s">
        <v>3497</v>
      </c>
    </row>
    <row r="2929" spans="1:2" hidden="1" x14ac:dyDescent="0.2">
      <c r="A2929" s="2291" t="s">
        <v>7967</v>
      </c>
      <c r="B2929" s="1634" t="s">
        <v>869</v>
      </c>
    </row>
    <row r="2930" spans="1:2" hidden="1" x14ac:dyDescent="0.2">
      <c r="A2930" s="2291" t="s">
        <v>7968</v>
      </c>
      <c r="B2930" s="1634" t="s">
        <v>871</v>
      </c>
    </row>
    <row r="2931" spans="1:2" hidden="1" x14ac:dyDescent="0.2">
      <c r="A2931" s="2291" t="s">
        <v>7969</v>
      </c>
      <c r="B2931" s="1634" t="s">
        <v>3008</v>
      </c>
    </row>
    <row r="2932" spans="1:2" hidden="1" x14ac:dyDescent="0.2">
      <c r="A2932" s="2291" t="s">
        <v>7970</v>
      </c>
      <c r="B2932" s="1634" t="s">
        <v>3010</v>
      </c>
    </row>
    <row r="2933" spans="1:2" hidden="1" x14ac:dyDescent="0.2">
      <c r="A2933" s="2291" t="s">
        <v>7971</v>
      </c>
      <c r="B2933" s="1634" t="s">
        <v>6460</v>
      </c>
    </row>
    <row r="2934" spans="1:2" hidden="1" x14ac:dyDescent="0.2">
      <c r="A2934" s="2291" t="s">
        <v>7972</v>
      </c>
      <c r="B2934" s="1634" t="s">
        <v>6462</v>
      </c>
    </row>
    <row r="2935" spans="1:2" hidden="1" x14ac:dyDescent="0.2">
      <c r="A2935" s="2291" t="s">
        <v>7973</v>
      </c>
      <c r="B2935" s="1634" t="s">
        <v>6464</v>
      </c>
    </row>
    <row r="2936" spans="1:2" hidden="1" x14ac:dyDescent="0.2">
      <c r="A2936" s="2291" t="s">
        <v>7974</v>
      </c>
      <c r="B2936" s="1634" t="s">
        <v>2911</v>
      </c>
    </row>
    <row r="2937" spans="1:2" hidden="1" x14ac:dyDescent="0.2">
      <c r="A2937" s="2291" t="s">
        <v>7975</v>
      </c>
      <c r="B2937" s="1634" t="s">
        <v>2917</v>
      </c>
    </row>
    <row r="2938" spans="1:2" hidden="1" x14ac:dyDescent="0.2">
      <c r="A2938" s="2291" t="s">
        <v>7976</v>
      </c>
      <c r="B2938" s="1634" t="s">
        <v>2919</v>
      </c>
    </row>
    <row r="2939" spans="1:2" hidden="1" x14ac:dyDescent="0.2">
      <c r="A2939" s="2291" t="s">
        <v>7977</v>
      </c>
      <c r="B2939" s="1634" t="s">
        <v>1575</v>
      </c>
    </row>
    <row r="2940" spans="1:2" hidden="1" x14ac:dyDescent="0.2">
      <c r="A2940" s="2291" t="s">
        <v>7978</v>
      </c>
      <c r="B2940" s="1634" t="s">
        <v>4078</v>
      </c>
    </row>
    <row r="2941" spans="1:2" hidden="1" x14ac:dyDescent="0.2">
      <c r="A2941" s="2291" t="s">
        <v>7979</v>
      </c>
      <c r="B2941" s="1634" t="s">
        <v>4080</v>
      </c>
    </row>
    <row r="2942" spans="1:2" hidden="1" x14ac:dyDescent="0.2">
      <c r="A2942" s="2291" t="s">
        <v>7980</v>
      </c>
      <c r="B2942" s="1634" t="s">
        <v>4084</v>
      </c>
    </row>
    <row r="2943" spans="1:2" hidden="1" x14ac:dyDescent="0.2">
      <c r="A2943" s="2291" t="s">
        <v>7981</v>
      </c>
      <c r="B2943" s="1634" t="s">
        <v>4088</v>
      </c>
    </row>
    <row r="2953" spans="1:2" hidden="1" x14ac:dyDescent="0.2">
      <c r="A2953" s="2291" t="s">
        <v>8429</v>
      </c>
      <c r="B2953" s="1634" t="s">
        <v>2613</v>
      </c>
    </row>
    <row r="2954" spans="1:2" hidden="1" x14ac:dyDescent="0.2">
      <c r="A2954" s="2291" t="s">
        <v>8430</v>
      </c>
      <c r="B2954" s="1634" t="s">
        <v>2724</v>
      </c>
    </row>
    <row r="2955" spans="1:2" hidden="1" x14ac:dyDescent="0.2">
      <c r="A2955" s="2291" t="s">
        <v>8431</v>
      </c>
      <c r="B2955" s="1634" t="s">
        <v>6663</v>
      </c>
    </row>
    <row r="2956" spans="1:2" hidden="1" x14ac:dyDescent="0.2">
      <c r="A2956" s="2291" t="s">
        <v>8432</v>
      </c>
      <c r="B2956" s="1634" t="s">
        <v>6680</v>
      </c>
    </row>
    <row r="2957" spans="1:2" hidden="1" x14ac:dyDescent="0.2">
      <c r="A2957" s="2291" t="s">
        <v>8433</v>
      </c>
      <c r="B2957" s="1634" t="s">
        <v>2318</v>
      </c>
    </row>
    <row r="2958" spans="1:2" hidden="1" x14ac:dyDescent="0.2">
      <c r="A2958" s="2291" t="s">
        <v>8434</v>
      </c>
      <c r="B2958" s="1634" t="s">
        <v>2328</v>
      </c>
    </row>
    <row r="2959" spans="1:2" hidden="1" x14ac:dyDescent="0.2">
      <c r="A2959" s="2291" t="s">
        <v>8435</v>
      </c>
      <c r="B2959" s="1634" t="s">
        <v>1492</v>
      </c>
    </row>
    <row r="2960" spans="1:2" hidden="1" x14ac:dyDescent="0.2">
      <c r="A2960" s="2291" t="s">
        <v>8436</v>
      </c>
      <c r="B2960" s="1634" t="s">
        <v>5916</v>
      </c>
    </row>
    <row r="2961" spans="1:2" hidden="1" x14ac:dyDescent="0.2">
      <c r="A2961" s="2291" t="s">
        <v>8437</v>
      </c>
      <c r="B2961" s="1634" t="s">
        <v>233</v>
      </c>
    </row>
    <row r="2962" spans="1:2" hidden="1" x14ac:dyDescent="0.2">
      <c r="A2962" s="2291" t="s">
        <v>8438</v>
      </c>
      <c r="B2962" s="1634" t="s">
        <v>3677</v>
      </c>
    </row>
    <row r="2964" spans="1:2" hidden="1" x14ac:dyDescent="0.2">
      <c r="A2964" s="2291" t="s">
        <v>8439</v>
      </c>
      <c r="B2964" s="1634" t="s">
        <v>2613</v>
      </c>
    </row>
    <row r="2965" spans="1:2" hidden="1" x14ac:dyDescent="0.2">
      <c r="A2965" s="2291" t="s">
        <v>8440</v>
      </c>
      <c r="B2965" s="1634" t="s">
        <v>2724</v>
      </c>
    </row>
    <row r="2966" spans="1:2" hidden="1" x14ac:dyDescent="0.2">
      <c r="A2966" s="2291" t="s">
        <v>8441</v>
      </c>
      <c r="B2966" s="1634" t="s">
        <v>4037</v>
      </c>
    </row>
    <row r="2967" spans="1:2" hidden="1" x14ac:dyDescent="0.2">
      <c r="A2967" s="2291" t="s">
        <v>8442</v>
      </c>
      <c r="B2967" s="1634" t="s">
        <v>4704</v>
      </c>
    </row>
    <row r="2968" spans="1:2" hidden="1" x14ac:dyDescent="0.2">
      <c r="A2968" s="2291" t="s">
        <v>8443</v>
      </c>
      <c r="B2968" s="1634" t="s">
        <v>4706</v>
      </c>
    </row>
    <row r="2969" spans="1:2" hidden="1" x14ac:dyDescent="0.2">
      <c r="A2969" s="2291" t="s">
        <v>8444</v>
      </c>
      <c r="B2969" s="1634" t="s">
        <v>5474</v>
      </c>
    </row>
    <row r="2970" spans="1:2" hidden="1" x14ac:dyDescent="0.2">
      <c r="A2970" s="2291" t="s">
        <v>8445</v>
      </c>
      <c r="B2970" s="1634" t="s">
        <v>4708</v>
      </c>
    </row>
    <row r="2971" spans="1:2" hidden="1" x14ac:dyDescent="0.2">
      <c r="A2971" s="2291" t="s">
        <v>8446</v>
      </c>
      <c r="B2971" s="1634" t="s">
        <v>4710</v>
      </c>
    </row>
    <row r="2972" spans="1:2" hidden="1" x14ac:dyDescent="0.2">
      <c r="A2972" s="2291" t="s">
        <v>8447</v>
      </c>
      <c r="B2972" s="1634" t="s">
        <v>945</v>
      </c>
    </row>
    <row r="2973" spans="1:2" hidden="1" x14ac:dyDescent="0.2">
      <c r="A2973" s="2291" t="s">
        <v>8448</v>
      </c>
      <c r="B2973" s="1634" t="s">
        <v>2433</v>
      </c>
    </row>
    <row r="2974" spans="1:2" hidden="1" x14ac:dyDescent="0.2">
      <c r="A2974" s="2291" t="s">
        <v>8449</v>
      </c>
      <c r="B2974" s="1634" t="s">
        <v>3778</v>
      </c>
    </row>
    <row r="2975" spans="1:2" hidden="1" x14ac:dyDescent="0.2">
      <c r="A2975" s="2291" t="s">
        <v>8450</v>
      </c>
      <c r="B2975" s="1634" t="s">
        <v>667</v>
      </c>
    </row>
    <row r="2976" spans="1:2" hidden="1" x14ac:dyDescent="0.2">
      <c r="A2976" s="2291" t="s">
        <v>8451</v>
      </c>
      <c r="B2976" s="1634" t="s">
        <v>683</v>
      </c>
    </row>
    <row r="2977" spans="1:2" hidden="1" x14ac:dyDescent="0.2">
      <c r="A2977" s="2291" t="s">
        <v>8452</v>
      </c>
      <c r="B2977" s="1634" t="s">
        <v>2384</v>
      </c>
    </row>
    <row r="2978" spans="1:2" hidden="1" x14ac:dyDescent="0.2">
      <c r="A2978" s="2291" t="s">
        <v>8453</v>
      </c>
      <c r="B2978" s="1634" t="s">
        <v>2930</v>
      </c>
    </row>
    <row r="2979" spans="1:2" hidden="1" x14ac:dyDescent="0.2">
      <c r="A2979" s="2291" t="s">
        <v>8454</v>
      </c>
      <c r="B2979" s="1634" t="s">
        <v>3257</v>
      </c>
    </row>
    <row r="2980" spans="1:2" hidden="1" x14ac:dyDescent="0.2">
      <c r="A2980" s="2291" t="s">
        <v>8455</v>
      </c>
      <c r="B2980" s="1634" t="s">
        <v>810</v>
      </c>
    </row>
    <row r="2981" spans="1:2" hidden="1" x14ac:dyDescent="0.2">
      <c r="A2981" s="2291" t="s">
        <v>8456</v>
      </c>
      <c r="B2981" s="1634" t="s">
        <v>538</v>
      </c>
    </row>
    <row r="2982" spans="1:2" hidden="1" x14ac:dyDescent="0.2">
      <c r="A2982" s="2291" t="s">
        <v>8457</v>
      </c>
      <c r="B2982" s="1634" t="s">
        <v>6050</v>
      </c>
    </row>
    <row r="2983" spans="1:2" hidden="1" x14ac:dyDescent="0.2">
      <c r="A2983" s="2291" t="s">
        <v>8458</v>
      </c>
      <c r="B2983" s="1634" t="s">
        <v>1883</v>
      </c>
    </row>
    <row r="2984" spans="1:2" hidden="1" x14ac:dyDescent="0.2">
      <c r="A2984" s="2291" t="s">
        <v>8459</v>
      </c>
      <c r="B2984" s="1634" t="s">
        <v>2088</v>
      </c>
    </row>
    <row r="2985" spans="1:2" hidden="1" x14ac:dyDescent="0.2">
      <c r="A2985" s="2291" t="s">
        <v>8460</v>
      </c>
      <c r="B2985" s="1634" t="s">
        <v>5781</v>
      </c>
    </row>
    <row r="2986" spans="1:2" hidden="1" x14ac:dyDescent="0.2">
      <c r="A2986" s="2291" t="s">
        <v>8461</v>
      </c>
      <c r="B2986" s="1634" t="s">
        <v>91</v>
      </c>
    </row>
    <row r="2987" spans="1:2" hidden="1" x14ac:dyDescent="0.2">
      <c r="A2987" s="2291" t="s">
        <v>8462</v>
      </c>
      <c r="B2987" s="1634" t="s">
        <v>94</v>
      </c>
    </row>
    <row r="2988" spans="1:2" hidden="1" x14ac:dyDescent="0.2">
      <c r="A2988" s="2291" t="s">
        <v>8463</v>
      </c>
      <c r="B2988" s="1634" t="s">
        <v>2403</v>
      </c>
    </row>
    <row r="2989" spans="1:2" hidden="1" x14ac:dyDescent="0.2">
      <c r="A2989" s="2291" t="s">
        <v>8464</v>
      </c>
      <c r="B2989" s="1634" t="s">
        <v>2635</v>
      </c>
    </row>
    <row r="2990" spans="1:2" hidden="1" x14ac:dyDescent="0.2">
      <c r="A2990" s="2291" t="s">
        <v>8465</v>
      </c>
      <c r="B2990" s="1634" t="s">
        <v>5016</v>
      </c>
    </row>
    <row r="2991" spans="1:2" hidden="1" x14ac:dyDescent="0.2">
      <c r="A2991" s="2291" t="s">
        <v>8466</v>
      </c>
      <c r="B2991" s="1634" t="s">
        <v>5037</v>
      </c>
    </row>
    <row r="2992" spans="1:2" hidden="1" x14ac:dyDescent="0.2">
      <c r="A2992" s="2291" t="s">
        <v>8467</v>
      </c>
      <c r="B2992" s="1634" t="s">
        <v>1459</v>
      </c>
    </row>
    <row r="2993" spans="1:6" hidden="1" x14ac:dyDescent="0.2">
      <c r="A2993" s="2291" t="s">
        <v>8468</v>
      </c>
      <c r="B2993" s="1634" t="s">
        <v>1471</v>
      </c>
    </row>
    <row r="2994" spans="1:6" hidden="1" x14ac:dyDescent="0.2">
      <c r="A2994" s="2291" t="s">
        <v>8469</v>
      </c>
      <c r="B2994" s="1634" t="s">
        <v>1586</v>
      </c>
    </row>
    <row r="2997" spans="1:6" hidden="1" x14ac:dyDescent="0.2">
      <c r="A2997" s="2291" t="s">
        <v>8470</v>
      </c>
      <c r="B2997" s="1634" t="s">
        <v>1060</v>
      </c>
      <c r="C2997" s="1634" t="s">
        <v>4027</v>
      </c>
      <c r="D2997" s="1634" t="s">
        <v>4028</v>
      </c>
      <c r="E2997" s="1634" t="s">
        <v>1061</v>
      </c>
      <c r="F2997" s="1634" t="s">
        <v>5694</v>
      </c>
    </row>
    <row r="2998" spans="1:6" hidden="1" x14ac:dyDescent="0.2">
      <c r="A2998" s="2291" t="s">
        <v>8471</v>
      </c>
      <c r="B2998" s="1634" t="s">
        <v>5272</v>
      </c>
      <c r="C2998" s="1634" t="s">
        <v>4033</v>
      </c>
      <c r="D2998" s="1634" t="s">
        <v>4034</v>
      </c>
      <c r="E2998" s="1634" t="s">
        <v>3099</v>
      </c>
      <c r="F2998" s="1634" t="s">
        <v>4035</v>
      </c>
    </row>
    <row r="2999" spans="1:6" hidden="1" x14ac:dyDescent="0.2">
      <c r="A2999" s="2291" t="s">
        <v>8472</v>
      </c>
      <c r="B2999" s="1634" t="s">
        <v>5695</v>
      </c>
      <c r="C2999" s="1634" t="s">
        <v>4040</v>
      </c>
      <c r="D2999" s="1634" t="s">
        <v>4041</v>
      </c>
      <c r="E2999" s="1634" t="s">
        <v>3106</v>
      </c>
      <c r="F2999" s="1634" t="s">
        <v>5696</v>
      </c>
    </row>
    <row r="3000" spans="1:6" hidden="1" x14ac:dyDescent="0.2">
      <c r="A3000" s="2291" t="s">
        <v>8473</v>
      </c>
      <c r="B3000" s="1634" t="s">
        <v>5697</v>
      </c>
      <c r="C3000" s="1634" t="s">
        <v>6972</v>
      </c>
      <c r="D3000" s="1634" t="s">
        <v>5472</v>
      </c>
      <c r="E3000" s="1634" t="s">
        <v>553</v>
      </c>
      <c r="F3000" s="1634" t="s">
        <v>4704</v>
      </c>
    </row>
    <row r="3001" spans="1:6" hidden="1" x14ac:dyDescent="0.2">
      <c r="A3001" s="2291" t="s">
        <v>8474</v>
      </c>
      <c r="B3001" s="1634" t="s">
        <v>4705</v>
      </c>
      <c r="C3001" s="1634" t="s">
        <v>4173</v>
      </c>
      <c r="D3001" s="1634" t="s">
        <v>4174</v>
      </c>
      <c r="E3001" s="1634" t="s">
        <v>561</v>
      </c>
      <c r="F3001" s="1634" t="s">
        <v>4706</v>
      </c>
    </row>
    <row r="3002" spans="1:6" hidden="1" x14ac:dyDescent="0.2">
      <c r="A3002" s="2291" t="s">
        <v>8475</v>
      </c>
      <c r="B3002" s="1634" t="s">
        <v>2021</v>
      </c>
      <c r="C3002" s="1634" t="s">
        <v>6672</v>
      </c>
      <c r="D3002" s="1634" t="s">
        <v>5473</v>
      </c>
      <c r="E3002" s="1634" t="s">
        <v>2022</v>
      </c>
      <c r="F3002" s="1634" t="s">
        <v>5474</v>
      </c>
    </row>
    <row r="3003" spans="1:6" hidden="1" x14ac:dyDescent="0.2">
      <c r="A3003" s="2291" t="s">
        <v>8476</v>
      </c>
      <c r="B3003" s="1634" t="s">
        <v>4707</v>
      </c>
      <c r="C3003" s="1634" t="s">
        <v>6677</v>
      </c>
      <c r="D3003" s="1634" t="s">
        <v>6678</v>
      </c>
      <c r="E3003" s="1634" t="s">
        <v>2029</v>
      </c>
      <c r="F3003" s="1634" t="s">
        <v>4708</v>
      </c>
    </row>
    <row r="3004" spans="1:6" hidden="1" x14ac:dyDescent="0.2">
      <c r="A3004" s="2291" t="s">
        <v>8477</v>
      </c>
      <c r="B3004" s="1634" t="s">
        <v>4709</v>
      </c>
      <c r="C3004" s="1634" t="s">
        <v>6683</v>
      </c>
      <c r="D3004" s="1634" t="s">
        <v>5475</v>
      </c>
      <c r="E3004" s="1634" t="s">
        <v>3423</v>
      </c>
      <c r="F3004" s="1634" t="s">
        <v>4710</v>
      </c>
    </row>
    <row r="3005" spans="1:6" hidden="1" x14ac:dyDescent="0.2">
      <c r="A3005" s="2291" t="s">
        <v>8478</v>
      </c>
      <c r="B3005" s="1634" t="s">
        <v>4711</v>
      </c>
      <c r="C3005" s="1634" t="s">
        <v>6688</v>
      </c>
      <c r="D3005" s="1634" t="s">
        <v>6689</v>
      </c>
      <c r="E3005" s="1634" t="s">
        <v>5424</v>
      </c>
      <c r="F3005" s="1634" t="s">
        <v>4712</v>
      </c>
    </row>
    <row r="3006" spans="1:6" hidden="1" x14ac:dyDescent="0.2">
      <c r="A3006" s="2291" t="s">
        <v>8479</v>
      </c>
      <c r="B3006" s="1634" t="s">
        <v>4713</v>
      </c>
      <c r="C3006" s="1634" t="s">
        <v>6694</v>
      </c>
      <c r="D3006" s="1634" t="s">
        <v>4094</v>
      </c>
      <c r="E3006" s="1634" t="s">
        <v>5430</v>
      </c>
      <c r="F3006" s="1634" t="s">
        <v>4714</v>
      </c>
    </row>
    <row r="3007" spans="1:6" hidden="1" x14ac:dyDescent="0.2">
      <c r="A3007" s="2291" t="s">
        <v>8480</v>
      </c>
      <c r="B3007" s="1634" t="s">
        <v>6697</v>
      </c>
      <c r="C3007" s="1634" t="s">
        <v>4099</v>
      </c>
    </row>
    <row r="3008" spans="1:6" hidden="1" x14ac:dyDescent="0.2">
      <c r="A3008" s="2291" t="s">
        <v>8481</v>
      </c>
      <c r="B3008" s="1634" t="s">
        <v>2663</v>
      </c>
    </row>
    <row r="3009" spans="1:4" hidden="1" x14ac:dyDescent="0.2">
      <c r="A3009" s="2291" t="s">
        <v>8482</v>
      </c>
      <c r="B3009" s="1634" t="s">
        <v>3862</v>
      </c>
    </row>
    <row r="3010" spans="1:4" hidden="1" x14ac:dyDescent="0.2">
      <c r="A3010" s="2291" t="s">
        <v>8483</v>
      </c>
      <c r="B3010" s="1634" t="s">
        <v>3054</v>
      </c>
    </row>
    <row r="3011" spans="1:4" hidden="1" x14ac:dyDescent="0.2">
      <c r="A3011" s="2291" t="s">
        <v>8484</v>
      </c>
      <c r="B3011" s="1634" t="s">
        <v>3058</v>
      </c>
    </row>
    <row r="3014" spans="1:4" hidden="1" x14ac:dyDescent="0.2">
      <c r="A3014" s="2291" t="s">
        <v>8485</v>
      </c>
      <c r="B3014" s="2291" t="s">
        <v>711</v>
      </c>
    </row>
    <row r="3015" spans="1:4" hidden="1" x14ac:dyDescent="0.2">
      <c r="A3015" s="2291" t="s">
        <v>8486</v>
      </c>
      <c r="B3015" s="2291" t="s">
        <v>6619</v>
      </c>
    </row>
    <row r="3016" spans="1:4" hidden="1" x14ac:dyDescent="0.2">
      <c r="A3016" s="2291" t="s">
        <v>8487</v>
      </c>
      <c r="B3016" s="2291" t="s">
        <v>6621</v>
      </c>
    </row>
    <row r="3017" spans="1:4" hidden="1" x14ac:dyDescent="0.2">
      <c r="A3017" s="2291" t="s">
        <v>8488</v>
      </c>
      <c r="B3017" s="2291" t="s">
        <v>6623</v>
      </c>
    </row>
    <row r="3018" spans="1:4" hidden="1" x14ac:dyDescent="0.2">
      <c r="A3018" s="2291" t="s">
        <v>8489</v>
      </c>
      <c r="B3018" s="2291" t="s">
        <v>3423</v>
      </c>
    </row>
    <row r="3019" spans="1:4" hidden="1" x14ac:dyDescent="0.2">
      <c r="A3019" s="2291" t="s">
        <v>8490</v>
      </c>
      <c r="B3019" s="2291" t="s">
        <v>2153</v>
      </c>
      <c r="C3019" s="1634" t="s">
        <v>2154</v>
      </c>
      <c r="D3019" s="1634" t="s">
        <v>5476</v>
      </c>
    </row>
    <row r="3020" spans="1:4" hidden="1" x14ac:dyDescent="0.2">
      <c r="A3020" s="2291" t="s">
        <v>8491</v>
      </c>
      <c r="B3020" s="2291" t="s">
        <v>4715</v>
      </c>
      <c r="C3020" s="1634" t="s">
        <v>2161</v>
      </c>
      <c r="D3020" s="1634" t="s">
        <v>4716</v>
      </c>
    </row>
    <row r="3021" spans="1:4" hidden="1" x14ac:dyDescent="0.2">
      <c r="A3021" s="2291" t="s">
        <v>8492</v>
      </c>
      <c r="B3021" s="2291" t="s">
        <v>4717</v>
      </c>
      <c r="C3021" s="1634" t="s">
        <v>2168</v>
      </c>
      <c r="D3021" s="1634" t="s">
        <v>6426</v>
      </c>
    </row>
    <row r="3022" spans="1:4" hidden="1" x14ac:dyDescent="0.2">
      <c r="A3022" s="2291" t="s">
        <v>8493</v>
      </c>
      <c r="B3022" s="2291" t="s">
        <v>1745</v>
      </c>
    </row>
    <row r="3023" spans="1:4" hidden="1" x14ac:dyDescent="0.2">
      <c r="A3023" s="2291" t="s">
        <v>8494</v>
      </c>
      <c r="B3023" s="2291" t="s">
        <v>1728</v>
      </c>
    </row>
    <row r="3024" spans="1:4" hidden="1" x14ac:dyDescent="0.2">
      <c r="A3024" s="2291" t="s">
        <v>8495</v>
      </c>
      <c r="B3024" s="2291" t="s">
        <v>2432</v>
      </c>
    </row>
    <row r="3025" spans="1:2" hidden="1" x14ac:dyDescent="0.2">
      <c r="A3025" s="2291" t="s">
        <v>8496</v>
      </c>
      <c r="B3025" s="2291" t="s">
        <v>4204</v>
      </c>
    </row>
    <row r="3026" spans="1:2" hidden="1" x14ac:dyDescent="0.2">
      <c r="A3026" s="2291" t="s">
        <v>8497</v>
      </c>
      <c r="B3026" s="2291" t="s">
        <v>2671</v>
      </c>
    </row>
    <row r="3027" spans="1:2" hidden="1" x14ac:dyDescent="0.2">
      <c r="A3027" s="2291" t="s">
        <v>8498</v>
      </c>
      <c r="B3027" s="2291" t="s">
        <v>689</v>
      </c>
    </row>
    <row r="3030" spans="1:2" hidden="1" x14ac:dyDescent="0.2">
      <c r="A3030" s="2291" t="s">
        <v>8499</v>
      </c>
      <c r="B3030" s="1634" t="s">
        <v>2612</v>
      </c>
    </row>
    <row r="3031" spans="1:2" hidden="1" x14ac:dyDescent="0.2">
      <c r="A3031" s="2291" t="s">
        <v>8500</v>
      </c>
      <c r="B3031" s="1634" t="s">
        <v>2724</v>
      </c>
    </row>
    <row r="3032" spans="1:2" hidden="1" x14ac:dyDescent="0.2">
      <c r="A3032" s="2291" t="s">
        <v>8501</v>
      </c>
      <c r="B3032" s="1634" t="s">
        <v>4036</v>
      </c>
    </row>
    <row r="3033" spans="1:2" hidden="1" x14ac:dyDescent="0.2">
      <c r="A3033" s="2291" t="s">
        <v>8502</v>
      </c>
      <c r="B3033" s="1634" t="s">
        <v>6973</v>
      </c>
    </row>
    <row r="3034" spans="1:2" hidden="1" x14ac:dyDescent="0.2">
      <c r="A3034" s="2291" t="s">
        <v>8503</v>
      </c>
      <c r="B3034" s="1634" t="s">
        <v>6673</v>
      </c>
    </row>
    <row r="3035" spans="1:2" hidden="1" x14ac:dyDescent="0.2">
      <c r="A3035" s="2291" t="s">
        <v>8504</v>
      </c>
      <c r="B3035" s="1634" t="s">
        <v>6684</v>
      </c>
    </row>
    <row r="3036" spans="1:2" hidden="1" x14ac:dyDescent="0.2">
      <c r="A3036" s="2291" t="s">
        <v>8505</v>
      </c>
      <c r="B3036" s="1634" t="s">
        <v>4096</v>
      </c>
    </row>
    <row r="3037" spans="1:2" hidden="1" x14ac:dyDescent="0.2">
      <c r="A3037" s="2291" t="s">
        <v>8506</v>
      </c>
      <c r="B3037" s="1634" t="s">
        <v>2318</v>
      </c>
    </row>
    <row r="3038" spans="1:2" hidden="1" x14ac:dyDescent="0.2">
      <c r="A3038" s="2291" t="s">
        <v>8507</v>
      </c>
      <c r="B3038" s="1634" t="s">
        <v>2328</v>
      </c>
    </row>
    <row r="3039" spans="1:2" hidden="1" x14ac:dyDescent="0.2">
      <c r="A3039" s="2291" t="s">
        <v>8508</v>
      </c>
      <c r="B3039" s="1634" t="s">
        <v>2432</v>
      </c>
    </row>
    <row r="3041" spans="1:21" hidden="1" x14ac:dyDescent="0.2">
      <c r="A3041" s="3042" t="s">
        <v>8924</v>
      </c>
      <c r="B3041" s="3043"/>
      <c r="C3041" s="3043"/>
      <c r="D3041" s="3043"/>
      <c r="E3041" s="3043"/>
      <c r="F3041" s="3043"/>
      <c r="G3041" s="3043"/>
      <c r="H3041" s="3043"/>
      <c r="I3041" s="3043"/>
      <c r="J3041" s="3043"/>
      <c r="K3041" s="3043"/>
      <c r="L3041" s="3043"/>
      <c r="M3041" s="3043"/>
      <c r="N3041" s="3043"/>
      <c r="O3041" s="3043"/>
      <c r="P3041" s="3043"/>
      <c r="Q3041" s="3043"/>
      <c r="R3041" s="3043"/>
      <c r="S3041" s="3043"/>
      <c r="T3041" s="3043"/>
      <c r="U3041" s="3043"/>
    </row>
    <row r="3042" spans="1:21" hidden="1" x14ac:dyDescent="0.2">
      <c r="A3042" s="2291" t="s">
        <v>8509</v>
      </c>
      <c r="B3042" s="1634" t="s">
        <v>2615</v>
      </c>
    </row>
    <row r="3043" spans="1:21" hidden="1" x14ac:dyDescent="0.2">
      <c r="A3043" s="2291" t="s">
        <v>8510</v>
      </c>
      <c r="B3043" s="1634" t="s">
        <v>4025</v>
      </c>
    </row>
    <row r="3044" spans="1:21" hidden="1" x14ac:dyDescent="0.2">
      <c r="A3044" s="2291" t="s">
        <v>8511</v>
      </c>
      <c r="B3044" s="1634" t="s">
        <v>4038</v>
      </c>
    </row>
    <row r="3045" spans="1:21" hidden="1" x14ac:dyDescent="0.2">
      <c r="A3045" s="2291" t="s">
        <v>8512</v>
      </c>
      <c r="B3045" s="1634" t="s">
        <v>4171</v>
      </c>
    </row>
    <row r="3046" spans="1:21" hidden="1" x14ac:dyDescent="0.2">
      <c r="A3046" s="2291" t="s">
        <v>8513</v>
      </c>
      <c r="B3046" s="1634" t="s">
        <v>6680</v>
      </c>
      <c r="C3046" s="1634" t="s">
        <v>6681</v>
      </c>
    </row>
    <row r="3047" spans="1:21" hidden="1" x14ac:dyDescent="0.2">
      <c r="A3047" s="2291" t="s">
        <v>8514</v>
      </c>
      <c r="B3047" s="1634" t="s">
        <v>6691</v>
      </c>
    </row>
    <row r="3048" spans="1:21" hidden="1" x14ac:dyDescent="0.2">
      <c r="A3048" s="2291" t="s">
        <v>8515</v>
      </c>
      <c r="B3048" s="1634" t="s">
        <v>4102</v>
      </c>
      <c r="C3048" s="1634" t="s">
        <v>6698</v>
      </c>
    </row>
    <row r="3049" spans="1:21" hidden="1" x14ac:dyDescent="0.2">
      <c r="A3049" s="2291" t="s">
        <v>8516</v>
      </c>
      <c r="B3049" s="1634" t="s">
        <v>2324</v>
      </c>
      <c r="C3049" s="1634" t="s">
        <v>2664</v>
      </c>
    </row>
    <row r="3050" spans="1:21" hidden="1" x14ac:dyDescent="0.2">
      <c r="A3050" s="2291" t="s">
        <v>8517</v>
      </c>
      <c r="B3050" s="1634" t="s">
        <v>5084</v>
      </c>
    </row>
    <row r="3051" spans="1:21" hidden="1" x14ac:dyDescent="0.2">
      <c r="A3051" s="2291" t="s">
        <v>8518</v>
      </c>
      <c r="B3051" s="1634" t="s">
        <v>6442</v>
      </c>
    </row>
    <row r="3052" spans="1:21" hidden="1" x14ac:dyDescent="0.2">
      <c r="A3052" s="2291" t="s">
        <v>8519</v>
      </c>
      <c r="B3052" s="1634" t="s">
        <v>2194</v>
      </c>
    </row>
    <row r="3053" spans="1:21" hidden="1" x14ac:dyDescent="0.2">
      <c r="A3053" s="2291" t="s">
        <v>8520</v>
      </c>
      <c r="B3053" s="1634" t="s">
        <v>513</v>
      </c>
    </row>
    <row r="3054" spans="1:21" hidden="1" x14ac:dyDescent="0.2">
      <c r="A3054" s="2291" t="s">
        <v>8521</v>
      </c>
      <c r="B3054" s="1634" t="s">
        <v>3252</v>
      </c>
    </row>
    <row r="3055" spans="1:21" hidden="1" x14ac:dyDescent="0.2">
      <c r="A3055" s="2291" t="s">
        <v>8522</v>
      </c>
      <c r="B3055" s="1634" t="s">
        <v>802</v>
      </c>
    </row>
    <row r="3056" spans="1:21" hidden="1" x14ac:dyDescent="0.2">
      <c r="A3056" s="2291" t="s">
        <v>8523</v>
      </c>
      <c r="B3056" s="1634" t="s">
        <v>810</v>
      </c>
      <c r="C3056" s="1634" t="s">
        <v>2218</v>
      </c>
    </row>
    <row r="3057" spans="1:9" hidden="1" x14ac:dyDescent="0.2">
      <c r="A3057" s="2291" t="s">
        <v>8524</v>
      </c>
      <c r="B3057" s="1634" t="s">
        <v>817</v>
      </c>
      <c r="C3057" s="1634" t="s">
        <v>4345</v>
      </c>
    </row>
    <row r="3058" spans="1:9" hidden="1" x14ac:dyDescent="0.2">
      <c r="A3058" s="2291" t="s">
        <v>8525</v>
      </c>
      <c r="B3058" s="1634" t="s">
        <v>537</v>
      </c>
    </row>
    <row r="3059" spans="1:9" hidden="1" x14ac:dyDescent="0.2">
      <c r="A3059" s="2291" t="s">
        <v>8526</v>
      </c>
      <c r="B3059" s="1634" t="s">
        <v>719</v>
      </c>
    </row>
    <row r="3060" spans="1:9" hidden="1" x14ac:dyDescent="0.2">
      <c r="A3060" s="2291" t="s">
        <v>8527</v>
      </c>
      <c r="B3060" s="1634" t="s">
        <v>2089</v>
      </c>
    </row>
    <row r="3061" spans="1:9" hidden="1" x14ac:dyDescent="0.2">
      <c r="A3061" s="2291" t="s">
        <v>8528</v>
      </c>
      <c r="B3061" s="1634" t="s">
        <v>5782</v>
      </c>
    </row>
    <row r="3062" spans="1:9" hidden="1" x14ac:dyDescent="0.2">
      <c r="A3062" s="2291" t="s">
        <v>8529</v>
      </c>
      <c r="B3062" s="1634" t="s">
        <v>92</v>
      </c>
      <c r="C3062" s="1634" t="s">
        <v>93</v>
      </c>
    </row>
    <row r="3063" spans="1:9" hidden="1" x14ac:dyDescent="0.2">
      <c r="A3063" s="2291" t="s">
        <v>8530</v>
      </c>
      <c r="B3063" s="1634" t="s">
        <v>1801</v>
      </c>
    </row>
    <row r="3064" spans="1:9" hidden="1" x14ac:dyDescent="0.2">
      <c r="A3064" s="2291" t="s">
        <v>8531</v>
      </c>
      <c r="B3064" s="1634" t="s">
        <v>2404</v>
      </c>
      <c r="C3064" s="1634" t="s">
        <v>2405</v>
      </c>
    </row>
    <row r="3065" spans="1:9" hidden="1" x14ac:dyDescent="0.2">
      <c r="A3065" s="2291" t="s">
        <v>8532</v>
      </c>
      <c r="B3065" s="1634" t="s">
        <v>3966</v>
      </c>
    </row>
    <row r="3066" spans="1:9" hidden="1" x14ac:dyDescent="0.2">
      <c r="A3066" s="2291" t="s">
        <v>8533</v>
      </c>
      <c r="B3066" s="1634" t="s">
        <v>6589</v>
      </c>
      <c r="C3066" s="1634" t="s">
        <v>6590</v>
      </c>
      <c r="D3066" s="1634" t="s">
        <v>6591</v>
      </c>
    </row>
    <row r="3067" spans="1:9" hidden="1" x14ac:dyDescent="0.2">
      <c r="A3067" s="2291" t="s">
        <v>8534</v>
      </c>
      <c r="B3067" s="1634" t="s">
        <v>5016</v>
      </c>
    </row>
    <row r="3068" spans="1:9" hidden="1" x14ac:dyDescent="0.2">
      <c r="A3068" s="2291" t="s">
        <v>8535</v>
      </c>
      <c r="B3068" s="1634" t="s">
        <v>6860</v>
      </c>
      <c r="C3068" s="1634" t="s">
        <v>6493</v>
      </c>
      <c r="D3068" s="1634" t="s">
        <v>6861</v>
      </c>
      <c r="E3068" s="1634" t="s">
        <v>6862</v>
      </c>
      <c r="F3068" s="1634" t="s">
        <v>6863</v>
      </c>
      <c r="G3068" s="1634" t="s">
        <v>6864</v>
      </c>
      <c r="H3068" s="1634" t="s">
        <v>6865</v>
      </c>
      <c r="I3068" s="1634" t="s">
        <v>6866</v>
      </c>
    </row>
    <row r="3069" spans="1:9" hidden="1" x14ac:dyDescent="0.2">
      <c r="A3069" s="2291" t="s">
        <v>8536</v>
      </c>
      <c r="B3069" s="1634" t="s">
        <v>3984</v>
      </c>
      <c r="C3069" s="1634" t="s">
        <v>3985</v>
      </c>
      <c r="D3069" s="1634" t="s">
        <v>4646</v>
      </c>
      <c r="E3069" s="1634" t="s">
        <v>4647</v>
      </c>
      <c r="F3069" s="1634" t="s">
        <v>4648</v>
      </c>
      <c r="G3069" s="1634" t="s">
        <v>4649</v>
      </c>
      <c r="H3069" s="1634" t="s">
        <v>4650</v>
      </c>
      <c r="I3069" s="1634" t="s">
        <v>4651</v>
      </c>
    </row>
    <row r="3070" spans="1:9" hidden="1" x14ac:dyDescent="0.2">
      <c r="A3070" s="2291" t="s">
        <v>8537</v>
      </c>
      <c r="B3070" s="1634" t="s">
        <v>4655</v>
      </c>
      <c r="C3070" s="1634" t="s">
        <v>691</v>
      </c>
      <c r="D3070" s="1634" t="s">
        <v>4656</v>
      </c>
      <c r="E3070" s="1634" t="s">
        <v>4657</v>
      </c>
      <c r="F3070" s="1634" t="s">
        <v>692</v>
      </c>
      <c r="G3070" s="1634" t="s">
        <v>4658</v>
      </c>
      <c r="H3070" s="1634" t="s">
        <v>4659</v>
      </c>
      <c r="I3070" s="1634" t="s">
        <v>4660</v>
      </c>
    </row>
    <row r="3071" spans="1:9" hidden="1" x14ac:dyDescent="0.2">
      <c r="A3071" s="2291" t="s">
        <v>8538</v>
      </c>
      <c r="B3071" s="1634" t="s">
        <v>1607</v>
      </c>
      <c r="C3071" s="1634" t="s">
        <v>1608</v>
      </c>
      <c r="D3071" s="1634" t="s">
        <v>1609</v>
      </c>
      <c r="E3071" s="1634" t="s">
        <v>1610</v>
      </c>
      <c r="F3071" s="1634" t="s">
        <v>1611</v>
      </c>
      <c r="G3071" s="1634" t="s">
        <v>1612</v>
      </c>
      <c r="H3071" s="1634" t="s">
        <v>1613</v>
      </c>
      <c r="I3071" s="1634" t="s">
        <v>1614</v>
      </c>
    </row>
    <row r="3072" spans="1:9" hidden="1" x14ac:dyDescent="0.2">
      <c r="A3072" s="2291" t="s">
        <v>8539</v>
      </c>
      <c r="B3072" s="1634" t="s">
        <v>1616</v>
      </c>
      <c r="C3072" s="1634" t="s">
        <v>694</v>
      </c>
      <c r="D3072" s="1634" t="s">
        <v>1617</v>
      </c>
      <c r="E3072" s="1634" t="s">
        <v>1618</v>
      </c>
      <c r="F3072" s="1634" t="s">
        <v>1619</v>
      </c>
      <c r="G3072" s="1634" t="s">
        <v>1620</v>
      </c>
      <c r="H3072" s="1634" t="s">
        <v>1621</v>
      </c>
      <c r="I3072" s="1634" t="s">
        <v>1622</v>
      </c>
    </row>
    <row r="3073" spans="1:9" hidden="1" x14ac:dyDescent="0.2">
      <c r="A3073" s="2291" t="s">
        <v>8540</v>
      </c>
      <c r="B3073" s="1634" t="s">
        <v>1625</v>
      </c>
      <c r="C3073" s="1634" t="s">
        <v>1626</v>
      </c>
      <c r="D3073" s="1634" t="s">
        <v>1627</v>
      </c>
      <c r="E3073" s="1634" t="s">
        <v>1628</v>
      </c>
      <c r="F3073" s="1634" t="s">
        <v>1629</v>
      </c>
      <c r="G3073" s="1634" t="s">
        <v>1630</v>
      </c>
      <c r="H3073" s="1634" t="s">
        <v>1631</v>
      </c>
      <c r="I3073" s="1634" t="s">
        <v>1632</v>
      </c>
    </row>
    <row r="3074" spans="1:9" hidden="1" x14ac:dyDescent="0.2">
      <c r="A3074" s="2291" t="s">
        <v>8541</v>
      </c>
      <c r="B3074" s="1634" t="s">
        <v>8552</v>
      </c>
      <c r="C3074" s="1634" t="s">
        <v>4233</v>
      </c>
      <c r="D3074" s="1634" t="s">
        <v>959</v>
      </c>
      <c r="E3074" s="1634" t="s">
        <v>5596</v>
      </c>
      <c r="F3074" s="1634" t="s">
        <v>6046</v>
      </c>
      <c r="G3074" s="1634" t="s">
        <v>5597</v>
      </c>
      <c r="H3074" s="1634" t="s">
        <v>8553</v>
      </c>
      <c r="I3074" s="1634" t="s">
        <v>8554</v>
      </c>
    </row>
    <row r="3075" spans="1:9" hidden="1" x14ac:dyDescent="0.2">
      <c r="A3075" s="2291" t="s">
        <v>8542</v>
      </c>
      <c r="B3075" s="1634" t="s">
        <v>8556</v>
      </c>
      <c r="C3075" s="1634" t="s">
        <v>8557</v>
      </c>
      <c r="D3075" s="1634" t="s">
        <v>8558</v>
      </c>
      <c r="E3075" s="1634" t="s">
        <v>8559</v>
      </c>
      <c r="F3075" s="1634" t="s">
        <v>8560</v>
      </c>
      <c r="G3075" s="1634" t="s">
        <v>8561</v>
      </c>
      <c r="H3075" s="1634" t="s">
        <v>8562</v>
      </c>
      <c r="I3075" s="1634" t="s">
        <v>8563</v>
      </c>
    </row>
    <row r="3076" spans="1:9" hidden="1" x14ac:dyDescent="0.2">
      <c r="A3076" s="2291" t="s">
        <v>8543</v>
      </c>
      <c r="B3076" s="1634" t="s">
        <v>8565</v>
      </c>
      <c r="C3076" s="1634" t="s">
        <v>4235</v>
      </c>
      <c r="D3076" s="1634" t="s">
        <v>8566</v>
      </c>
      <c r="E3076" s="1634" t="s">
        <v>8567</v>
      </c>
      <c r="F3076" s="1634" t="s">
        <v>8568</v>
      </c>
      <c r="G3076" s="1634" t="s">
        <v>8569</v>
      </c>
      <c r="H3076" s="1634" t="s">
        <v>8570</v>
      </c>
      <c r="I3076" s="1634" t="s">
        <v>8571</v>
      </c>
    </row>
    <row r="3077" spans="1:9" hidden="1" x14ac:dyDescent="0.2">
      <c r="A3077" s="2291" t="s">
        <v>8544</v>
      </c>
      <c r="B3077" s="1634" t="s">
        <v>8573</v>
      </c>
      <c r="C3077" s="1634" t="s">
        <v>8574</v>
      </c>
      <c r="D3077" s="1634" t="s">
        <v>8575</v>
      </c>
      <c r="E3077" s="1634" t="s">
        <v>8576</v>
      </c>
      <c r="F3077" s="1634" t="s">
        <v>8577</v>
      </c>
      <c r="G3077" s="1634" t="s">
        <v>5598</v>
      </c>
      <c r="H3077" s="1634" t="s">
        <v>8578</v>
      </c>
      <c r="I3077" s="1634" t="s">
        <v>8579</v>
      </c>
    </row>
    <row r="3078" spans="1:9" hidden="1" x14ac:dyDescent="0.2">
      <c r="A3078" s="2291" t="s">
        <v>8545</v>
      </c>
      <c r="B3078" s="1634" t="s">
        <v>3934</v>
      </c>
      <c r="C3078" s="1634" t="s">
        <v>3935</v>
      </c>
      <c r="D3078" s="1634" t="s">
        <v>1635</v>
      </c>
      <c r="E3078" s="1634" t="s">
        <v>1636</v>
      </c>
      <c r="F3078" s="1634" t="s">
        <v>1637</v>
      </c>
      <c r="G3078" s="1634" t="s">
        <v>5599</v>
      </c>
      <c r="H3078" s="1634" t="s">
        <v>1638</v>
      </c>
      <c r="I3078" s="1634" t="s">
        <v>1639</v>
      </c>
    </row>
    <row r="3079" spans="1:9" hidden="1" x14ac:dyDescent="0.2">
      <c r="A3079" s="2291" t="s">
        <v>8546</v>
      </c>
      <c r="B3079" s="1634" t="s">
        <v>4238</v>
      </c>
      <c r="C3079" s="1634" t="s">
        <v>4239</v>
      </c>
      <c r="D3079" s="1634" t="s">
        <v>4240</v>
      </c>
      <c r="E3079" s="1634" t="s">
        <v>1641</v>
      </c>
      <c r="F3079" s="1634" t="s">
        <v>1642</v>
      </c>
      <c r="G3079" s="1634" t="s">
        <v>5550</v>
      </c>
      <c r="H3079" s="1634" t="s">
        <v>1643</v>
      </c>
      <c r="I3079" s="1634" t="s">
        <v>1644</v>
      </c>
    </row>
    <row r="3080" spans="1:9" hidden="1" x14ac:dyDescent="0.2">
      <c r="A3080" s="2291" t="s">
        <v>8547</v>
      </c>
      <c r="B3080" s="1634" t="s">
        <v>4983</v>
      </c>
      <c r="C3080" s="1634" t="s">
        <v>4984</v>
      </c>
      <c r="D3080" s="1634" t="s">
        <v>5131</v>
      </c>
      <c r="E3080" s="1634" t="s">
        <v>1646</v>
      </c>
      <c r="F3080" s="1634" t="s">
        <v>1647</v>
      </c>
      <c r="G3080" s="1634" t="s">
        <v>3593</v>
      </c>
      <c r="H3080" s="1634" t="s">
        <v>1648</v>
      </c>
      <c r="I3080" s="1634" t="s">
        <v>1649</v>
      </c>
    </row>
    <row r="3081" spans="1:9" hidden="1" x14ac:dyDescent="0.2">
      <c r="A3081" s="2291" t="s">
        <v>8548</v>
      </c>
      <c r="B3081" s="1634" t="s">
        <v>5135</v>
      </c>
      <c r="C3081" s="1634" t="s">
        <v>5136</v>
      </c>
      <c r="D3081" s="1634" t="s">
        <v>5137</v>
      </c>
      <c r="E3081" s="1634" t="s">
        <v>1651</v>
      </c>
      <c r="F3081" s="1634" t="s">
        <v>1652</v>
      </c>
      <c r="G3081" s="1634" t="s">
        <v>1653</v>
      </c>
      <c r="H3081" s="1634" t="s">
        <v>1654</v>
      </c>
      <c r="I3081" s="1634" t="s">
        <v>1655</v>
      </c>
    </row>
    <row r="3082" spans="1:9" hidden="1" x14ac:dyDescent="0.2">
      <c r="A3082" s="2291" t="s">
        <v>8549</v>
      </c>
      <c r="B3082" s="1634" t="s">
        <v>1002</v>
      </c>
      <c r="C3082" s="1634" t="s">
        <v>1003</v>
      </c>
      <c r="D3082" s="1634" t="s">
        <v>5343</v>
      </c>
      <c r="E3082" s="1634" t="s">
        <v>1657</v>
      </c>
      <c r="F3082" s="1634" t="s">
        <v>3594</v>
      </c>
      <c r="G3082" s="1634" t="s">
        <v>1658</v>
      </c>
      <c r="H3082" s="1634" t="s">
        <v>1659</v>
      </c>
      <c r="I3082" s="1634" t="s">
        <v>1660</v>
      </c>
    </row>
    <row r="3083" spans="1:9" hidden="1" x14ac:dyDescent="0.2">
      <c r="A3083" s="2291" t="s">
        <v>8550</v>
      </c>
      <c r="B3083" s="1634" t="s">
        <v>332</v>
      </c>
      <c r="C3083" s="1634" t="s">
        <v>333</v>
      </c>
      <c r="D3083" s="1634" t="s">
        <v>334</v>
      </c>
      <c r="E3083" s="1634" t="s">
        <v>1662</v>
      </c>
      <c r="F3083" s="1634" t="s">
        <v>1663</v>
      </c>
      <c r="G3083" s="1634" t="s">
        <v>1664</v>
      </c>
      <c r="H3083" s="1634" t="s">
        <v>1839</v>
      </c>
      <c r="I3083" s="1634" t="s">
        <v>1840</v>
      </c>
    </row>
    <row r="3084" spans="1:9" hidden="1" x14ac:dyDescent="0.2">
      <c r="A3084" s="2291" t="s">
        <v>8551</v>
      </c>
      <c r="B3084" s="1634" t="s">
        <v>336</v>
      </c>
      <c r="C3084" s="1634" t="s">
        <v>337</v>
      </c>
      <c r="D3084" s="1634" t="s">
        <v>338</v>
      </c>
      <c r="E3084" s="1634" t="s">
        <v>1842</v>
      </c>
      <c r="F3084" s="1634" t="s">
        <v>1843</v>
      </c>
      <c r="G3084" s="1634" t="s">
        <v>1844</v>
      </c>
      <c r="H3084" s="1634" t="s">
        <v>1845</v>
      </c>
      <c r="I3084" s="1634" t="s">
        <v>1846</v>
      </c>
    </row>
    <row r="3085" spans="1:9" hidden="1" x14ac:dyDescent="0.2">
      <c r="A3085" s="2291" t="s">
        <v>8555</v>
      </c>
      <c r="B3085" s="1634" t="s">
        <v>6479</v>
      </c>
      <c r="C3085" s="1634" t="s">
        <v>6480</v>
      </c>
      <c r="D3085" s="1634" t="s">
        <v>6481</v>
      </c>
      <c r="E3085" s="1634" t="s">
        <v>1848</v>
      </c>
      <c r="F3085" s="1634" t="s">
        <v>1849</v>
      </c>
      <c r="G3085" s="1634" t="s">
        <v>1850</v>
      </c>
      <c r="H3085" s="1634" t="s">
        <v>1851</v>
      </c>
      <c r="I3085" s="1634" t="s">
        <v>1852</v>
      </c>
    </row>
    <row r="3086" spans="1:9" hidden="1" x14ac:dyDescent="0.2">
      <c r="A3086" s="2291" t="s">
        <v>8564</v>
      </c>
      <c r="B3086" s="1634" t="s">
        <v>6483</v>
      </c>
      <c r="C3086" s="1634" t="s">
        <v>6484</v>
      </c>
      <c r="D3086" s="1634" t="s">
        <v>4055</v>
      </c>
      <c r="E3086" s="1634" t="s">
        <v>1854</v>
      </c>
      <c r="F3086" s="1634" t="s">
        <v>1855</v>
      </c>
      <c r="G3086" s="1634" t="s">
        <v>1856</v>
      </c>
      <c r="H3086" s="1634" t="s">
        <v>2968</v>
      </c>
      <c r="I3086" s="1634" t="s">
        <v>5275</v>
      </c>
    </row>
    <row r="3087" spans="1:9" hidden="1" x14ac:dyDescent="0.2">
      <c r="A3087" s="2291" t="s">
        <v>8572</v>
      </c>
      <c r="B3087" s="1634" t="s">
        <v>4057</v>
      </c>
      <c r="C3087" s="1634" t="s">
        <v>4058</v>
      </c>
      <c r="D3087" s="1634" t="s">
        <v>4059</v>
      </c>
      <c r="E3087" s="1634" t="s">
        <v>5277</v>
      </c>
      <c r="F3087" s="1634" t="s">
        <v>5278</v>
      </c>
      <c r="G3087" s="1634" t="s">
        <v>5279</v>
      </c>
      <c r="H3087" s="1634" t="s">
        <v>5280</v>
      </c>
      <c r="I3087" s="1634" t="s">
        <v>5281</v>
      </c>
    </row>
    <row r="3088" spans="1:9" hidden="1" x14ac:dyDescent="0.2">
      <c r="A3088" s="2291" t="s">
        <v>8580</v>
      </c>
      <c r="B3088" s="1634" t="s">
        <v>4061</v>
      </c>
      <c r="C3088" s="1634" t="s">
        <v>4062</v>
      </c>
      <c r="D3088" s="1634" t="s">
        <v>4063</v>
      </c>
      <c r="E3088" s="1634" t="s">
        <v>5283</v>
      </c>
      <c r="F3088" s="1634" t="s">
        <v>5284</v>
      </c>
      <c r="G3088" s="1634" t="s">
        <v>5285</v>
      </c>
      <c r="H3088" s="1634" t="s">
        <v>5286</v>
      </c>
      <c r="I3088" s="1634" t="s">
        <v>5287</v>
      </c>
    </row>
    <row r="3089" spans="1:21" hidden="1" x14ac:dyDescent="0.2">
      <c r="A3089" s="2291" t="s">
        <v>8581</v>
      </c>
      <c r="B3089" s="1634" t="s">
        <v>4067</v>
      </c>
      <c r="C3089" s="1634" t="s">
        <v>4068</v>
      </c>
      <c r="D3089" s="1634" t="s">
        <v>4069</v>
      </c>
      <c r="E3089" s="1634" t="s">
        <v>5289</v>
      </c>
      <c r="F3089" s="1634" t="s">
        <v>5290</v>
      </c>
      <c r="G3089" s="1634" t="s">
        <v>5291</v>
      </c>
      <c r="H3089" s="1634" t="s">
        <v>5292</v>
      </c>
      <c r="I3089" s="1634" t="s">
        <v>5293</v>
      </c>
    </row>
    <row r="3090" spans="1:21" hidden="1" x14ac:dyDescent="0.2">
      <c r="A3090" s="2291" t="s">
        <v>8582</v>
      </c>
      <c r="B3090" s="1634" t="s">
        <v>1077</v>
      </c>
      <c r="C3090" s="1634" t="s">
        <v>1078</v>
      </c>
      <c r="D3090" s="1634" t="s">
        <v>2255</v>
      </c>
      <c r="E3090" s="1634" t="s">
        <v>5295</v>
      </c>
      <c r="F3090" s="1634" t="s">
        <v>5296</v>
      </c>
      <c r="G3090" s="1634" t="s">
        <v>5297</v>
      </c>
      <c r="H3090" s="1634" t="s">
        <v>5298</v>
      </c>
      <c r="I3090" s="1634" t="s">
        <v>5299</v>
      </c>
    </row>
    <row r="3091" spans="1:21" hidden="1" x14ac:dyDescent="0.2">
      <c r="A3091" s="2291" t="s">
        <v>8583</v>
      </c>
      <c r="B3091" s="1634" t="s">
        <v>2248</v>
      </c>
      <c r="C3091" s="1634" t="s">
        <v>2249</v>
      </c>
      <c r="D3091" s="1634" t="s">
        <v>2250</v>
      </c>
      <c r="E3091" s="1634" t="s">
        <v>5301</v>
      </c>
      <c r="F3091" s="1634" t="s">
        <v>5302</v>
      </c>
      <c r="G3091" s="1634" t="s">
        <v>5303</v>
      </c>
      <c r="H3091" s="1634" t="s">
        <v>5304</v>
      </c>
      <c r="I3091" s="1634" t="s">
        <v>5305</v>
      </c>
    </row>
    <row r="3092" spans="1:21" hidden="1" x14ac:dyDescent="0.2">
      <c r="A3092" s="2291" t="s">
        <v>8584</v>
      </c>
      <c r="B3092" s="1634" t="s">
        <v>3838</v>
      </c>
      <c r="C3092" s="1634" t="s">
        <v>3839</v>
      </c>
      <c r="D3092" s="1634" t="s">
        <v>3840</v>
      </c>
      <c r="E3092" s="1634" t="s">
        <v>1030</v>
      </c>
      <c r="F3092" s="1634" t="s">
        <v>5307</v>
      </c>
      <c r="G3092" s="1634" t="s">
        <v>5308</v>
      </c>
      <c r="H3092" s="1634" t="s">
        <v>5309</v>
      </c>
      <c r="I3092" s="1634" t="s">
        <v>5310</v>
      </c>
    </row>
    <row r="3093" spans="1:21" hidden="1" x14ac:dyDescent="0.2">
      <c r="A3093" s="2291" t="s">
        <v>8585</v>
      </c>
      <c r="B3093" s="1634" t="s">
        <v>3844</v>
      </c>
      <c r="C3093" s="1634" t="s">
        <v>3845</v>
      </c>
      <c r="D3093" s="1634" t="s">
        <v>3846</v>
      </c>
      <c r="E3093" s="1634" t="s">
        <v>5312</v>
      </c>
      <c r="F3093" s="1634" t="s">
        <v>5313</v>
      </c>
      <c r="G3093" s="1634" t="s">
        <v>5314</v>
      </c>
      <c r="H3093" s="1634" t="s">
        <v>5315</v>
      </c>
      <c r="I3093" s="1634" t="s">
        <v>5316</v>
      </c>
    </row>
    <row r="3094" spans="1:21" hidden="1" x14ac:dyDescent="0.2">
      <c r="A3094" s="2291" t="s">
        <v>8586</v>
      </c>
      <c r="B3094" s="1634" t="s">
        <v>3850</v>
      </c>
      <c r="C3094" s="1634" t="s">
        <v>3851</v>
      </c>
      <c r="D3094" s="1634" t="s">
        <v>3852</v>
      </c>
      <c r="E3094" s="1634" t="s">
        <v>1031</v>
      </c>
      <c r="F3094" s="1634" t="s">
        <v>5318</v>
      </c>
      <c r="G3094" s="1634" t="s">
        <v>5319</v>
      </c>
      <c r="H3094" s="1634" t="s">
        <v>5320</v>
      </c>
      <c r="I3094" s="1634" t="s">
        <v>5321</v>
      </c>
    </row>
    <row r="3095" spans="1:21" hidden="1" x14ac:dyDescent="0.2">
      <c r="A3095" s="2291" t="s">
        <v>8587</v>
      </c>
      <c r="B3095" s="1634" t="s">
        <v>2601</v>
      </c>
      <c r="C3095" s="1634" t="s">
        <v>2602</v>
      </c>
      <c r="D3095" s="1634" t="s">
        <v>2603</v>
      </c>
      <c r="E3095" s="1634" t="s">
        <v>2504</v>
      </c>
      <c r="F3095" s="1634" t="s">
        <v>5323</v>
      </c>
      <c r="G3095" s="1634" t="s">
        <v>5324</v>
      </c>
      <c r="H3095" s="1634" t="s">
        <v>5325</v>
      </c>
      <c r="I3095" s="1634" t="s">
        <v>5326</v>
      </c>
    </row>
    <row r="3096" spans="1:21" hidden="1" x14ac:dyDescent="0.2">
      <c r="A3096" s="2291" t="s">
        <v>8588</v>
      </c>
      <c r="B3096" s="1634" t="s">
        <v>2607</v>
      </c>
      <c r="C3096" s="1634" t="s">
        <v>2608</v>
      </c>
      <c r="D3096" s="1634" t="s">
        <v>2609</v>
      </c>
      <c r="E3096" s="1634" t="s">
        <v>2505</v>
      </c>
      <c r="F3096" s="1634" t="s">
        <v>5328</v>
      </c>
      <c r="G3096" s="1634" t="s">
        <v>5329</v>
      </c>
      <c r="H3096" s="1634" t="s">
        <v>5330</v>
      </c>
      <c r="I3096" s="1634" t="s">
        <v>5331</v>
      </c>
    </row>
    <row r="3097" spans="1:21" hidden="1" x14ac:dyDescent="0.2">
      <c r="A3097" s="2291" t="s">
        <v>8589</v>
      </c>
      <c r="B3097" s="1634" t="s">
        <v>5892</v>
      </c>
      <c r="C3097" s="1634" t="s">
        <v>5893</v>
      </c>
      <c r="D3097" s="1634" t="s">
        <v>5894</v>
      </c>
      <c r="E3097" s="1634" t="s">
        <v>2506</v>
      </c>
      <c r="F3097" s="1634" t="s">
        <v>5333</v>
      </c>
      <c r="G3097" s="1634" t="s">
        <v>5334</v>
      </c>
      <c r="H3097" s="1634" t="s">
        <v>1391</v>
      </c>
      <c r="I3097" s="1634" t="s">
        <v>1392</v>
      </c>
    </row>
    <row r="3098" spans="1:21" hidden="1" x14ac:dyDescent="0.2">
      <c r="A3098" s="2291" t="s">
        <v>8590</v>
      </c>
      <c r="B3098" s="1634" t="s">
        <v>3599</v>
      </c>
      <c r="C3098" s="1634" t="s">
        <v>3600</v>
      </c>
      <c r="D3098" s="1634" t="s">
        <v>3601</v>
      </c>
      <c r="E3098" s="1634" t="s">
        <v>2507</v>
      </c>
      <c r="F3098" s="1634" t="s">
        <v>1394</v>
      </c>
      <c r="G3098" s="1634" t="s">
        <v>1395</v>
      </c>
      <c r="H3098" s="1634" t="s">
        <v>1396</v>
      </c>
      <c r="I3098" s="1634" t="s">
        <v>1397</v>
      </c>
    </row>
    <row r="3099" spans="1:21" hidden="1" x14ac:dyDescent="0.2">
      <c r="A3099" s="2291" t="s">
        <v>8591</v>
      </c>
      <c r="B3099" s="1634" t="s">
        <v>3605</v>
      </c>
      <c r="C3099" s="1634" t="s">
        <v>3606</v>
      </c>
      <c r="D3099" s="1634" t="s">
        <v>3607</v>
      </c>
      <c r="E3099" s="1634" t="s">
        <v>1399</v>
      </c>
      <c r="F3099" s="1634" t="s">
        <v>1400</v>
      </c>
      <c r="G3099" s="1634" t="s">
        <v>1401</v>
      </c>
      <c r="H3099" s="1634" t="s">
        <v>1402</v>
      </c>
      <c r="I3099" s="1634" t="s">
        <v>1403</v>
      </c>
    </row>
    <row r="3100" spans="1:21" hidden="1" x14ac:dyDescent="0.2">
      <c r="A3100" s="2291" t="s">
        <v>8592</v>
      </c>
      <c r="B3100" s="1634" t="s">
        <v>3611</v>
      </c>
      <c r="C3100" s="1634" t="s">
        <v>3612</v>
      </c>
      <c r="D3100" s="1634" t="s">
        <v>3613</v>
      </c>
      <c r="E3100" s="1634" t="s">
        <v>1405</v>
      </c>
      <c r="F3100" s="1634" t="s">
        <v>4681</v>
      </c>
      <c r="G3100" s="1634" t="s">
        <v>1406</v>
      </c>
      <c r="H3100" s="1634" t="s">
        <v>1407</v>
      </c>
      <c r="I3100" s="1634" t="s">
        <v>1408</v>
      </c>
    </row>
    <row r="3101" spans="1:21" hidden="1" x14ac:dyDescent="0.2">
      <c r="A3101" s="2291" t="s">
        <v>8593</v>
      </c>
      <c r="B3101" s="1634" t="s">
        <v>8595</v>
      </c>
    </row>
    <row r="3102" spans="1:21" hidden="1" x14ac:dyDescent="0.2">
      <c r="A3102" s="2291" t="s">
        <v>8594</v>
      </c>
      <c r="B3102" s="1634" t="s">
        <v>154</v>
      </c>
    </row>
    <row r="3104" spans="1:21" hidden="1" x14ac:dyDescent="0.2">
      <c r="A3104" s="3042" t="s">
        <v>8925</v>
      </c>
      <c r="B3104" s="3043"/>
      <c r="C3104" s="3043"/>
      <c r="D3104" s="3043"/>
      <c r="E3104" s="3043"/>
      <c r="F3104" s="3043"/>
      <c r="G3104" s="3043"/>
      <c r="H3104" s="3043"/>
      <c r="I3104" s="3043"/>
      <c r="J3104" s="3043"/>
      <c r="K3104" s="3043"/>
      <c r="L3104" s="3043"/>
      <c r="M3104" s="3043"/>
      <c r="N3104" s="3043"/>
      <c r="O3104" s="3043"/>
      <c r="P3104" s="3043"/>
      <c r="Q3104" s="3043"/>
      <c r="R3104" s="3043"/>
      <c r="S3104" s="3043"/>
      <c r="T3104" s="3043"/>
      <c r="U3104" s="3043"/>
    </row>
    <row r="3105" spans="1:5" hidden="1" x14ac:dyDescent="0.2">
      <c r="A3105" s="2291" t="s">
        <v>8926</v>
      </c>
      <c r="B3105" s="1634" t="s">
        <v>2718</v>
      </c>
      <c r="C3105" s="1634" t="s">
        <v>2719</v>
      </c>
    </row>
    <row r="3106" spans="1:5" hidden="1" x14ac:dyDescent="0.2">
      <c r="A3106" s="2291" t="s">
        <v>8927</v>
      </c>
      <c r="B3106" s="1634" t="s">
        <v>4030</v>
      </c>
      <c r="C3106" s="1634" t="s">
        <v>4031</v>
      </c>
    </row>
    <row r="3107" spans="1:5" hidden="1" x14ac:dyDescent="0.2">
      <c r="A3107" s="2291" t="s">
        <v>8928</v>
      </c>
      <c r="B3107" s="1634" t="s">
        <v>4036</v>
      </c>
    </row>
    <row r="3109" spans="1:5" hidden="1" x14ac:dyDescent="0.2">
      <c r="A3109" s="2291" t="s">
        <v>8929</v>
      </c>
      <c r="B3109" s="1634" t="s">
        <v>6670</v>
      </c>
    </row>
    <row r="3110" spans="1:5" hidden="1" x14ac:dyDescent="0.2">
      <c r="A3110" s="2291" t="s">
        <v>8930</v>
      </c>
      <c r="B3110" s="1634" t="s">
        <v>6675</v>
      </c>
    </row>
    <row r="3111" spans="1:5" hidden="1" x14ac:dyDescent="0.2">
      <c r="A3111" s="2291" t="s">
        <v>8931</v>
      </c>
      <c r="B3111" s="1634" t="s">
        <v>6681</v>
      </c>
    </row>
    <row r="3112" spans="1:5" hidden="1" x14ac:dyDescent="0.2">
      <c r="A3112" s="2291" t="s">
        <v>8932</v>
      </c>
      <c r="B3112" s="1634" t="s">
        <v>6686</v>
      </c>
    </row>
    <row r="3113" spans="1:5" hidden="1" x14ac:dyDescent="0.2">
      <c r="A3113" s="2291" t="s">
        <v>8933</v>
      </c>
      <c r="B3113" s="1634" t="s">
        <v>6692</v>
      </c>
    </row>
    <row r="3114" spans="1:5" hidden="1" x14ac:dyDescent="0.2">
      <c r="A3114" s="2291" t="s">
        <v>8934</v>
      </c>
      <c r="B3114" s="1634" t="s">
        <v>6695</v>
      </c>
    </row>
    <row r="3115" spans="1:5" hidden="1" x14ac:dyDescent="0.2">
      <c r="A3115" s="2291" t="s">
        <v>8935</v>
      </c>
      <c r="B3115" s="1634" t="s">
        <v>6698</v>
      </c>
    </row>
    <row r="3116" spans="1:5" hidden="1" x14ac:dyDescent="0.2">
      <c r="A3116" s="2291" t="s">
        <v>8936</v>
      </c>
      <c r="B3116" s="1634" t="s">
        <v>2664</v>
      </c>
    </row>
    <row r="3117" spans="1:5" hidden="1" x14ac:dyDescent="0.2">
      <c r="A3117" s="2291" t="s">
        <v>8937</v>
      </c>
      <c r="B3117" s="1634" t="s">
        <v>3863</v>
      </c>
    </row>
    <row r="3118" spans="1:5" hidden="1" x14ac:dyDescent="0.2">
      <c r="A3118" s="2291" t="s">
        <v>8938</v>
      </c>
      <c r="B3118" s="1634" t="s">
        <v>5011</v>
      </c>
    </row>
    <row r="3120" spans="1:5" hidden="1" x14ac:dyDescent="0.2">
      <c r="A3120" s="2291" t="s">
        <v>8939</v>
      </c>
      <c r="B3120" s="1634" t="s">
        <v>2494</v>
      </c>
      <c r="C3120" s="1634" t="s">
        <v>2495</v>
      </c>
      <c r="D3120" s="1634" t="s">
        <v>2496</v>
      </c>
      <c r="E3120" s="1634" t="s">
        <v>3866</v>
      </c>
    </row>
    <row r="3121" spans="1:9" hidden="1" x14ac:dyDescent="0.2">
      <c r="A3121" s="2291" t="s">
        <v>8940</v>
      </c>
      <c r="B3121" s="1634" t="s">
        <v>2432</v>
      </c>
      <c r="C3121" s="1634" t="s">
        <v>2433</v>
      </c>
      <c r="D3121" s="1634" t="s">
        <v>1066</v>
      </c>
      <c r="E3121" s="1634" t="s">
        <v>3869</v>
      </c>
    </row>
    <row r="3122" spans="1:9" hidden="1" x14ac:dyDescent="0.2">
      <c r="A3122" s="2291" t="s">
        <v>8941</v>
      </c>
      <c r="B3122" s="1634" t="s">
        <v>1070</v>
      </c>
      <c r="C3122" s="1634" t="s">
        <v>1071</v>
      </c>
      <c r="D3122" s="1634" t="s">
        <v>1072</v>
      </c>
      <c r="E3122" s="1634" t="s">
        <v>3872</v>
      </c>
    </row>
    <row r="3124" spans="1:9" hidden="1" x14ac:dyDescent="0.2">
      <c r="A3124" s="2291" t="s">
        <v>8942</v>
      </c>
      <c r="B3124" s="1634" t="s">
        <v>3878</v>
      </c>
    </row>
    <row r="3126" spans="1:9" hidden="1" x14ac:dyDescent="0.2">
      <c r="A3126" s="2291" t="s">
        <v>8943</v>
      </c>
      <c r="B3126" s="1634" t="s">
        <v>672</v>
      </c>
      <c r="C3126" s="1634" t="s">
        <v>673</v>
      </c>
      <c r="D3126" s="1634" t="s">
        <v>674</v>
      </c>
      <c r="E3126" s="1634" t="s">
        <v>5479</v>
      </c>
      <c r="F3126" s="1634" t="s">
        <v>353</v>
      </c>
      <c r="G3126" s="1634" t="s">
        <v>675</v>
      </c>
      <c r="H3126" s="1634" t="s">
        <v>2574</v>
      </c>
      <c r="I3126" s="1634" t="s">
        <v>676</v>
      </c>
    </row>
    <row r="3127" spans="1:9" hidden="1" x14ac:dyDescent="0.2">
      <c r="A3127" s="2291" t="s">
        <v>8944</v>
      </c>
      <c r="B3127" s="1634" t="s">
        <v>678</v>
      </c>
      <c r="C3127" s="1634" t="s">
        <v>679</v>
      </c>
      <c r="D3127" s="1634" t="s">
        <v>680</v>
      </c>
      <c r="E3127" s="1634" t="s">
        <v>6442</v>
      </c>
      <c r="F3127" s="1634" t="s">
        <v>681</v>
      </c>
      <c r="G3127" s="1634" t="s">
        <v>682</v>
      </c>
      <c r="H3127" s="1634" t="s">
        <v>683</v>
      </c>
      <c r="I3127" s="1634" t="s">
        <v>684</v>
      </c>
    </row>
    <row r="3128" spans="1:9" hidden="1" x14ac:dyDescent="0.2">
      <c r="A3128" s="2291" t="s">
        <v>8945</v>
      </c>
      <c r="B3128" s="1634" t="s">
        <v>686</v>
      </c>
      <c r="C3128" s="1634" t="s">
        <v>687</v>
      </c>
      <c r="D3128" s="1634" t="s">
        <v>688</v>
      </c>
      <c r="E3128" s="1634" t="s">
        <v>6445</v>
      </c>
      <c r="F3128" s="1634" t="s">
        <v>689</v>
      </c>
      <c r="G3128" s="1634" t="s">
        <v>3677</v>
      </c>
      <c r="H3128" s="1634" t="s">
        <v>2575</v>
      </c>
      <c r="I3128" s="1634" t="s">
        <v>3678</v>
      </c>
    </row>
    <row r="3129" spans="1:9" hidden="1" x14ac:dyDescent="0.2">
      <c r="A3129" s="2291" t="s">
        <v>8946</v>
      </c>
      <c r="B3129" s="1634" t="s">
        <v>3170</v>
      </c>
      <c r="C3129" s="1634" t="s">
        <v>2562</v>
      </c>
      <c r="D3129" s="1634" t="s">
        <v>2193</v>
      </c>
      <c r="E3129" s="1634" t="s">
        <v>6448</v>
      </c>
      <c r="F3129" s="1634" t="s">
        <v>140</v>
      </c>
      <c r="G3129" s="1634" t="s">
        <v>2925</v>
      </c>
      <c r="H3129" s="1634" t="s">
        <v>2926</v>
      </c>
      <c r="I3129" s="1634" t="s">
        <v>2194</v>
      </c>
    </row>
    <row r="3130" spans="1:9" hidden="1" x14ac:dyDescent="0.2">
      <c r="A3130" s="2291" t="s">
        <v>8947</v>
      </c>
      <c r="B3130" s="1634" t="s">
        <v>3499</v>
      </c>
      <c r="C3130" s="1634" t="s">
        <v>3394</v>
      </c>
      <c r="D3130" s="1634" t="s">
        <v>3395</v>
      </c>
      <c r="E3130" s="1634" t="s">
        <v>3396</v>
      </c>
      <c r="F3130" s="1634" t="s">
        <v>3398</v>
      </c>
      <c r="G3130" s="1634" t="s">
        <v>2384</v>
      </c>
      <c r="H3130" s="1634" t="s">
        <v>2227</v>
      </c>
      <c r="I3130" s="1634" t="s">
        <v>2385</v>
      </c>
    </row>
    <row r="3131" spans="1:9" hidden="1" x14ac:dyDescent="0.2">
      <c r="A3131" s="2291" t="s">
        <v>8948</v>
      </c>
      <c r="B3131" s="1634" t="s">
        <v>507</v>
      </c>
      <c r="C3131" s="1634" t="s">
        <v>508</v>
      </c>
      <c r="D3131" s="1634" t="s">
        <v>509</v>
      </c>
      <c r="E3131" s="1634" t="s">
        <v>6450</v>
      </c>
      <c r="F3131" s="1634" t="s">
        <v>510</v>
      </c>
      <c r="G3131" s="1634" t="s">
        <v>511</v>
      </c>
      <c r="H3131" s="1634" t="s">
        <v>512</v>
      </c>
      <c r="I3131" s="1634" t="s">
        <v>513</v>
      </c>
    </row>
    <row r="3132" spans="1:9" hidden="1" x14ac:dyDescent="0.2">
      <c r="A3132" s="2291" t="s">
        <v>8949</v>
      </c>
      <c r="B3132" s="1634" t="s">
        <v>1970</v>
      </c>
      <c r="C3132" s="1634" t="s">
        <v>1971</v>
      </c>
      <c r="D3132" s="1634" t="s">
        <v>1972</v>
      </c>
      <c r="E3132" s="1634" t="s">
        <v>6452</v>
      </c>
      <c r="F3132" s="1634" t="s">
        <v>2929</v>
      </c>
      <c r="G3132" s="1634" t="s">
        <v>2930</v>
      </c>
      <c r="H3132" s="1634" t="s">
        <v>1973</v>
      </c>
      <c r="I3132" s="1634" t="s">
        <v>1974</v>
      </c>
    </row>
    <row r="3133" spans="1:9" hidden="1" x14ac:dyDescent="0.2">
      <c r="A3133" s="2291" t="s">
        <v>8950</v>
      </c>
      <c r="B3133" s="1634" t="s">
        <v>3503</v>
      </c>
      <c r="C3133" s="1634" t="s">
        <v>3246</v>
      </c>
      <c r="D3133" s="1634" t="s">
        <v>3247</v>
      </c>
      <c r="E3133" s="1634" t="s">
        <v>4523</v>
      </c>
      <c r="F3133" s="1634" t="s">
        <v>3249</v>
      </c>
      <c r="G3133" s="1634" t="s">
        <v>3250</v>
      </c>
      <c r="H3133" s="1634" t="s">
        <v>3251</v>
      </c>
      <c r="I3133" s="1634" t="s">
        <v>3252</v>
      </c>
    </row>
    <row r="3134" spans="1:9" hidden="1" x14ac:dyDescent="0.2">
      <c r="A3134" s="2291" t="s">
        <v>8951</v>
      </c>
      <c r="B3134" s="1634" t="s">
        <v>6948</v>
      </c>
      <c r="C3134" s="1634" t="s">
        <v>5480</v>
      </c>
      <c r="D3134" s="1634" t="s">
        <v>2954</v>
      </c>
      <c r="E3134" s="1634" t="s">
        <v>3254</v>
      </c>
      <c r="F3134" s="1634" t="s">
        <v>3256</v>
      </c>
      <c r="G3134" s="1634" t="s">
        <v>3257</v>
      </c>
      <c r="H3134" s="1634" t="s">
        <v>700</v>
      </c>
      <c r="I3134" s="1634" t="s">
        <v>3258</v>
      </c>
    </row>
    <row r="3136" spans="1:9" hidden="1" x14ac:dyDescent="0.2">
      <c r="A3136" s="2291" t="s">
        <v>8952</v>
      </c>
      <c r="B3136" s="1634" t="s">
        <v>6950</v>
      </c>
      <c r="C3136" s="1634" t="s">
        <v>799</v>
      </c>
      <c r="D3136" s="1634" t="s">
        <v>473</v>
      </c>
      <c r="E3136" s="1634" t="s">
        <v>4525</v>
      </c>
      <c r="F3136" s="1634" t="s">
        <v>801</v>
      </c>
      <c r="G3136" s="1634" t="s">
        <v>802</v>
      </c>
      <c r="H3136" s="1634" t="s">
        <v>803</v>
      </c>
      <c r="I3136" s="1634" t="s">
        <v>804</v>
      </c>
    </row>
    <row r="3138" spans="1:9" hidden="1" x14ac:dyDescent="0.2">
      <c r="A3138" s="2291" t="s">
        <v>8953</v>
      </c>
      <c r="B3138" s="1634" t="s">
        <v>2353</v>
      </c>
      <c r="C3138" s="1634" t="s">
        <v>2354</v>
      </c>
      <c r="D3138" s="1634" t="s">
        <v>2355</v>
      </c>
      <c r="E3138" s="1634" t="s">
        <v>2356</v>
      </c>
      <c r="F3138" s="1634" t="s">
        <v>1872</v>
      </c>
      <c r="G3138" s="1634" t="s">
        <v>1585</v>
      </c>
      <c r="H3138" s="1634" t="s">
        <v>1873</v>
      </c>
      <c r="I3138" s="1634" t="s">
        <v>1874</v>
      </c>
    </row>
    <row r="3139" spans="1:9" hidden="1" x14ac:dyDescent="0.2">
      <c r="A3139" s="2291" t="s">
        <v>8954</v>
      </c>
      <c r="B3139" s="1634" t="s">
        <v>2359</v>
      </c>
      <c r="C3139" s="1634" t="s">
        <v>2360</v>
      </c>
      <c r="D3139" s="1634" t="s">
        <v>2361</v>
      </c>
      <c r="E3139" s="1634" t="s">
        <v>2362</v>
      </c>
      <c r="F3139" s="1634" t="s">
        <v>1877</v>
      </c>
      <c r="G3139" s="1634" t="s">
        <v>1878</v>
      </c>
      <c r="H3139" s="1634" t="s">
        <v>1879</v>
      </c>
      <c r="I3139" s="1634" t="s">
        <v>1880</v>
      </c>
    </row>
    <row r="3140" spans="1:9" hidden="1" x14ac:dyDescent="0.2">
      <c r="A3140" s="2291" t="s">
        <v>8955</v>
      </c>
      <c r="B3140" s="1634" t="s">
        <v>6701</v>
      </c>
      <c r="C3140" s="1634" t="s">
        <v>6702</v>
      </c>
      <c r="D3140" s="1634" t="s">
        <v>6703</v>
      </c>
      <c r="E3140" s="1634" t="s">
        <v>2964</v>
      </c>
      <c r="F3140" s="1634" t="s">
        <v>6666</v>
      </c>
      <c r="G3140" s="1634" t="s">
        <v>6667</v>
      </c>
      <c r="H3140" s="1634" t="s">
        <v>6668</v>
      </c>
      <c r="I3140" s="1634" t="s">
        <v>2124</v>
      </c>
    </row>
    <row r="3141" spans="1:9" hidden="1" x14ac:dyDescent="0.2">
      <c r="A3141" s="2291" t="s">
        <v>8956</v>
      </c>
      <c r="B3141" s="1634" t="s">
        <v>3693</v>
      </c>
      <c r="C3141" s="1634" t="s">
        <v>6204</v>
      </c>
      <c r="D3141" s="1634" t="s">
        <v>6205</v>
      </c>
      <c r="E3141" s="1634" t="s">
        <v>5575</v>
      </c>
      <c r="F3141" s="1634" t="s">
        <v>2127</v>
      </c>
      <c r="G3141" s="1634" t="s">
        <v>2128</v>
      </c>
      <c r="H3141" s="1634" t="s">
        <v>2129</v>
      </c>
      <c r="I3141" s="1634" t="s">
        <v>2130</v>
      </c>
    </row>
    <row r="3142" spans="1:9" hidden="1" x14ac:dyDescent="0.2">
      <c r="A3142" s="2291" t="s">
        <v>8957</v>
      </c>
      <c r="B3142" s="1634" t="s">
        <v>5578</v>
      </c>
      <c r="C3142" s="1634" t="s">
        <v>5579</v>
      </c>
      <c r="D3142" s="1634" t="s">
        <v>3644</v>
      </c>
      <c r="E3142" s="1634" t="s">
        <v>3645</v>
      </c>
      <c r="F3142" s="1634" t="s">
        <v>981</v>
      </c>
      <c r="G3142" s="1634" t="s">
        <v>982</v>
      </c>
      <c r="H3142" s="1634" t="s">
        <v>983</v>
      </c>
      <c r="I3142" s="1634" t="s">
        <v>984</v>
      </c>
    </row>
    <row r="3143" spans="1:9" hidden="1" x14ac:dyDescent="0.2">
      <c r="A3143" s="2291" t="s">
        <v>8958</v>
      </c>
      <c r="B3143" s="1634" t="s">
        <v>3648</v>
      </c>
      <c r="C3143" s="1634" t="s">
        <v>3649</v>
      </c>
      <c r="D3143" s="1634" t="s">
        <v>3650</v>
      </c>
      <c r="E3143" s="1634" t="s">
        <v>3651</v>
      </c>
      <c r="F3143" s="1634" t="s">
        <v>5219</v>
      </c>
      <c r="G3143" s="1634" t="s">
        <v>5220</v>
      </c>
      <c r="H3143" s="1634" t="s">
        <v>5221</v>
      </c>
      <c r="I3143" s="1634" t="s">
        <v>5222</v>
      </c>
    </row>
    <row r="3144" spans="1:9" hidden="1" x14ac:dyDescent="0.2">
      <c r="A3144" s="2291" t="s">
        <v>8959</v>
      </c>
      <c r="B3144" s="1634" t="s">
        <v>5668</v>
      </c>
      <c r="C3144" s="1634" t="s">
        <v>5669</v>
      </c>
      <c r="D3144" s="1634" t="s">
        <v>5670</v>
      </c>
      <c r="E3144" s="1634" t="s">
        <v>5671</v>
      </c>
      <c r="F3144" s="1634" t="s">
        <v>1586</v>
      </c>
      <c r="G3144" s="1634" t="s">
        <v>5225</v>
      </c>
      <c r="H3144" s="1634" t="s">
        <v>5226</v>
      </c>
      <c r="I3144" s="1634" t="s">
        <v>5227</v>
      </c>
    </row>
    <row r="3145" spans="1:9" hidden="1" x14ac:dyDescent="0.2">
      <c r="A3145" s="2291" t="s">
        <v>8960</v>
      </c>
      <c r="B3145" s="1634" t="s">
        <v>5674</v>
      </c>
      <c r="C3145" s="1634" t="s">
        <v>5675</v>
      </c>
      <c r="D3145" s="1634" t="s">
        <v>5676</v>
      </c>
      <c r="E3145" s="1634" t="s">
        <v>5677</v>
      </c>
      <c r="F3145" s="1634" t="s">
        <v>4402</v>
      </c>
      <c r="G3145" s="1634" t="s">
        <v>1598</v>
      </c>
      <c r="H3145" s="1634" t="s">
        <v>2830</v>
      </c>
      <c r="I3145" s="1634" t="s">
        <v>1599</v>
      </c>
    </row>
    <row r="3146" spans="1:9" hidden="1" x14ac:dyDescent="0.2">
      <c r="A3146" s="2291" t="s">
        <v>8961</v>
      </c>
      <c r="B3146" s="1634" t="s">
        <v>3420</v>
      </c>
      <c r="C3146" s="1634" t="s">
        <v>5679</v>
      </c>
      <c r="D3146" s="1634" t="s">
        <v>5680</v>
      </c>
      <c r="E3146" s="1634" t="s">
        <v>3431</v>
      </c>
      <c r="F3146" s="1634" t="s">
        <v>6052</v>
      </c>
      <c r="G3146" s="1634" t="s">
        <v>6053</v>
      </c>
      <c r="H3146" s="1634" t="s">
        <v>2649</v>
      </c>
      <c r="I3146" s="1634" t="s">
        <v>1600</v>
      </c>
    </row>
    <row r="3148" spans="1:9" hidden="1" x14ac:dyDescent="0.2">
      <c r="A3148" s="2291" t="s">
        <v>8962</v>
      </c>
      <c r="B3148" s="1634" t="s">
        <v>6488</v>
      </c>
      <c r="C3148" s="1634" t="s">
        <v>6489</v>
      </c>
      <c r="D3148" s="1634" t="s">
        <v>6490</v>
      </c>
      <c r="E3148" s="1634" t="s">
        <v>6491</v>
      </c>
      <c r="F3148" s="1634" t="s">
        <v>6058</v>
      </c>
      <c r="G3148" s="1634" t="s">
        <v>6059</v>
      </c>
      <c r="H3148" s="1634" t="s">
        <v>2651</v>
      </c>
      <c r="I3148" s="1634" t="s">
        <v>1602</v>
      </c>
    </row>
    <row r="3150" spans="1:9" hidden="1" x14ac:dyDescent="0.2">
      <c r="A3150" s="2291" t="s">
        <v>8963</v>
      </c>
      <c r="B3150" s="1634" t="s">
        <v>3669</v>
      </c>
    </row>
    <row r="3151" spans="1:9" hidden="1" x14ac:dyDescent="0.2">
      <c r="A3151" s="2291" t="s">
        <v>8964</v>
      </c>
      <c r="B3151" s="1634" t="s">
        <v>417</v>
      </c>
    </row>
    <row r="3152" spans="1:9" hidden="1" x14ac:dyDescent="0.2">
      <c r="A3152" s="2291" t="s">
        <v>8965</v>
      </c>
      <c r="B3152" s="1634" t="s">
        <v>594</v>
      </c>
    </row>
    <row r="3153" spans="1:8" hidden="1" x14ac:dyDescent="0.2">
      <c r="A3153" s="2291" t="s">
        <v>8966</v>
      </c>
      <c r="B3153" s="1634" t="s">
        <v>2016</v>
      </c>
    </row>
    <row r="3154" spans="1:8" hidden="1" x14ac:dyDescent="0.2">
      <c r="A3154" s="2291" t="s">
        <v>8967</v>
      </c>
      <c r="B3154" s="1634" t="s">
        <v>1886</v>
      </c>
    </row>
    <row r="3155" spans="1:8" hidden="1" x14ac:dyDescent="0.2">
      <c r="A3155" s="1634"/>
    </row>
    <row r="3156" spans="1:8" hidden="1" x14ac:dyDescent="0.2">
      <c r="A3156" s="2291" t="s">
        <v>8968</v>
      </c>
      <c r="B3156" s="1634" t="s">
        <v>6252</v>
      </c>
      <c r="C3156" s="1634" t="s">
        <v>1607</v>
      </c>
      <c r="D3156" s="1634" t="s">
        <v>1608</v>
      </c>
      <c r="E3156" s="1634" t="s">
        <v>2356</v>
      </c>
      <c r="F3156" s="1634" t="s">
        <v>1612</v>
      </c>
      <c r="G3156" s="1634" t="s">
        <v>1613</v>
      </c>
    </row>
    <row r="3157" spans="1:8" hidden="1" x14ac:dyDescent="0.2">
      <c r="A3157" s="2291" t="s">
        <v>8969</v>
      </c>
      <c r="B3157" s="1634" t="s">
        <v>6254</v>
      </c>
      <c r="C3157" s="1634" t="s">
        <v>1616</v>
      </c>
      <c r="D3157" s="1634" t="s">
        <v>694</v>
      </c>
      <c r="E3157" s="1634" t="s">
        <v>2362</v>
      </c>
      <c r="F3157" s="1634" t="s">
        <v>1620</v>
      </c>
      <c r="G3157" s="1634" t="s">
        <v>1621</v>
      </c>
    </row>
    <row r="3158" spans="1:8" hidden="1" x14ac:dyDescent="0.2">
      <c r="A3158" s="2291" t="s">
        <v>8970</v>
      </c>
      <c r="B3158" s="1634" t="s">
        <v>8971</v>
      </c>
      <c r="C3158" s="1634" t="s">
        <v>1625</v>
      </c>
      <c r="D3158" s="1634" t="s">
        <v>1626</v>
      </c>
      <c r="E3158" s="1634" t="s">
        <v>2964</v>
      </c>
      <c r="F3158" s="1634" t="s">
        <v>1630</v>
      </c>
      <c r="G3158" s="1634" t="s">
        <v>1631</v>
      </c>
    </row>
    <row r="3159" spans="1:8" hidden="1" x14ac:dyDescent="0.2">
      <c r="A3159" s="2291" t="s">
        <v>8972</v>
      </c>
      <c r="B3159" s="1634" t="s">
        <v>6256</v>
      </c>
      <c r="C3159" s="1634" t="s">
        <v>8552</v>
      </c>
      <c r="D3159" s="1634" t="s">
        <v>4233</v>
      </c>
      <c r="E3159" s="1634" t="s">
        <v>5575</v>
      </c>
      <c r="F3159" s="1634" t="s">
        <v>5597</v>
      </c>
      <c r="G3159" s="1634" t="s">
        <v>8553</v>
      </c>
    </row>
    <row r="3160" spans="1:8" hidden="1" x14ac:dyDescent="0.2">
      <c r="A3160" s="2291" t="s">
        <v>8973</v>
      </c>
      <c r="B3160" s="1634" t="s">
        <v>6258</v>
      </c>
      <c r="C3160" s="1634" t="s">
        <v>8556</v>
      </c>
      <c r="D3160" s="1634" t="s">
        <v>8557</v>
      </c>
      <c r="E3160" s="1634" t="s">
        <v>3645</v>
      </c>
      <c r="F3160" s="1634" t="s">
        <v>8561</v>
      </c>
      <c r="G3160" s="1634" t="s">
        <v>8562</v>
      </c>
    </row>
    <row r="3161" spans="1:8" hidden="1" x14ac:dyDescent="0.2">
      <c r="A3161" s="2291" t="s">
        <v>8974</v>
      </c>
      <c r="B3161" s="1634" t="s">
        <v>6260</v>
      </c>
      <c r="C3161" s="1634" t="s">
        <v>8565</v>
      </c>
      <c r="D3161" s="1634" t="s">
        <v>4235</v>
      </c>
      <c r="E3161" s="1634" t="s">
        <v>3651</v>
      </c>
      <c r="F3161" s="1634" t="s">
        <v>8569</v>
      </c>
      <c r="G3161" s="1634" t="s">
        <v>8570</v>
      </c>
    </row>
    <row r="3162" spans="1:8" hidden="1" x14ac:dyDescent="0.2">
      <c r="A3162" s="2291" t="s">
        <v>8975</v>
      </c>
      <c r="B3162" s="1634" t="s">
        <v>6262</v>
      </c>
      <c r="C3162" s="1634" t="s">
        <v>8573</v>
      </c>
      <c r="D3162" s="1634" t="s">
        <v>8574</v>
      </c>
      <c r="E3162" s="1634" t="s">
        <v>5671</v>
      </c>
      <c r="F3162" s="1634" t="s">
        <v>5598</v>
      </c>
      <c r="G3162" s="1634" t="s">
        <v>8578</v>
      </c>
    </row>
    <row r="3163" spans="1:8" hidden="1" x14ac:dyDescent="0.2">
      <c r="A3163" s="2291" t="s">
        <v>8976</v>
      </c>
      <c r="B3163" s="1634" t="s">
        <v>6769</v>
      </c>
      <c r="C3163" s="1634" t="s">
        <v>3934</v>
      </c>
      <c r="D3163" s="1634" t="s">
        <v>3935</v>
      </c>
      <c r="E3163" s="1634" t="s">
        <v>5677</v>
      </c>
      <c r="F3163" s="1634" t="s">
        <v>5599</v>
      </c>
      <c r="G3163" s="1634" t="s">
        <v>1638</v>
      </c>
    </row>
    <row r="3164" spans="1:8" hidden="1" x14ac:dyDescent="0.2">
      <c r="A3164" s="2291" t="s">
        <v>8977</v>
      </c>
      <c r="B3164" s="1634" t="s">
        <v>6536</v>
      </c>
      <c r="C3164" s="1634" t="s">
        <v>4238</v>
      </c>
      <c r="D3164" s="1634" t="s">
        <v>4239</v>
      </c>
      <c r="E3164" s="1634" t="s">
        <v>3431</v>
      </c>
      <c r="F3164" s="1634" t="s">
        <v>5550</v>
      </c>
      <c r="G3164" s="1634" t="s">
        <v>1643</v>
      </c>
    </row>
    <row r="3166" spans="1:8" hidden="1" x14ac:dyDescent="0.2">
      <c r="A3166" s="2291" t="s">
        <v>8978</v>
      </c>
      <c r="B3166" s="1634" t="s">
        <v>4982</v>
      </c>
      <c r="C3166" s="1634" t="s">
        <v>1649</v>
      </c>
    </row>
    <row r="3167" spans="1:8" hidden="1" x14ac:dyDescent="0.2">
      <c r="A3167" s="2291" t="s">
        <v>8979</v>
      </c>
      <c r="B3167" s="1634" t="s">
        <v>6547</v>
      </c>
      <c r="C3167" s="1634" t="s">
        <v>336</v>
      </c>
      <c r="D3167" s="1634" t="s">
        <v>337</v>
      </c>
      <c r="E3167" s="1634" t="s">
        <v>338</v>
      </c>
      <c r="F3167" s="1634" t="s">
        <v>1844</v>
      </c>
      <c r="G3167" s="1634" t="s">
        <v>1845</v>
      </c>
      <c r="H3167" s="1634" t="s">
        <v>1846</v>
      </c>
    </row>
    <row r="3169" spans="1:21" hidden="1" x14ac:dyDescent="0.2">
      <c r="A3169" s="2291" t="s">
        <v>8980</v>
      </c>
      <c r="B3169" s="1634" t="s">
        <v>4057</v>
      </c>
    </row>
    <row r="3171" spans="1:21" hidden="1" x14ac:dyDescent="0.2">
      <c r="A3171" s="3042" t="s">
        <v>8981</v>
      </c>
      <c r="B3171" s="3043"/>
      <c r="C3171" s="3043"/>
      <c r="D3171" s="3043"/>
      <c r="E3171" s="3043"/>
      <c r="F3171" s="3043"/>
      <c r="G3171" s="3043"/>
      <c r="H3171" s="3043"/>
      <c r="I3171" s="3043"/>
      <c r="J3171" s="3043"/>
      <c r="K3171" s="3043"/>
      <c r="L3171" s="3043"/>
      <c r="M3171" s="3043"/>
      <c r="N3171" s="3043"/>
      <c r="O3171" s="3043"/>
      <c r="P3171" s="3043"/>
      <c r="Q3171" s="3043"/>
      <c r="R3171" s="3043"/>
      <c r="S3171" s="3043"/>
      <c r="T3171" s="3043"/>
      <c r="U3171" s="3043"/>
    </row>
    <row r="3172" spans="1:21" hidden="1" x14ac:dyDescent="0.2">
      <c r="A3172" s="2291" t="s">
        <v>8596</v>
      </c>
      <c r="B3172" s="1634" t="s">
        <v>3681</v>
      </c>
      <c r="C3172" s="1634" t="s">
        <v>5457</v>
      </c>
    </row>
    <row r="3173" spans="1:21" hidden="1" x14ac:dyDescent="0.2">
      <c r="A3173" s="2291" t="s">
        <v>8597</v>
      </c>
      <c r="B3173" s="1634" t="s">
        <v>2714</v>
      </c>
      <c r="C3173" s="1634" t="s">
        <v>6609</v>
      </c>
    </row>
    <row r="3174" spans="1:21" hidden="1" x14ac:dyDescent="0.2">
      <c r="A3174" s="2291" t="s">
        <v>8598</v>
      </c>
      <c r="B3174" s="1634" t="s">
        <v>6613</v>
      </c>
    </row>
    <row r="3175" spans="1:21" hidden="1" x14ac:dyDescent="0.2">
      <c r="A3175" s="2291" t="s">
        <v>8599</v>
      </c>
      <c r="B3175" s="1634" t="s">
        <v>6621</v>
      </c>
    </row>
    <row r="3176" spans="1:21" hidden="1" x14ac:dyDescent="0.2">
      <c r="A3176" s="2291" t="s">
        <v>8600</v>
      </c>
      <c r="B3176" s="1634" t="s">
        <v>3132</v>
      </c>
    </row>
    <row r="3177" spans="1:21" hidden="1" x14ac:dyDescent="0.2">
      <c r="A3177" s="2291" t="s">
        <v>8601</v>
      </c>
      <c r="B3177" s="1634" t="s">
        <v>4047</v>
      </c>
    </row>
    <row r="3179" spans="1:21" hidden="1" x14ac:dyDescent="0.2">
      <c r="A3179" s="2291" t="s">
        <v>8602</v>
      </c>
      <c r="B3179" s="1634" t="s">
        <v>3106</v>
      </c>
      <c r="C3179" s="1634" t="s">
        <v>4042</v>
      </c>
    </row>
    <row r="3180" spans="1:21" hidden="1" x14ac:dyDescent="0.2">
      <c r="A3180" s="2291" t="s">
        <v>8603</v>
      </c>
      <c r="B3180" s="1634" t="s">
        <v>561</v>
      </c>
      <c r="C3180" s="1634" t="s">
        <v>6662</v>
      </c>
    </row>
    <row r="3181" spans="1:21" hidden="1" x14ac:dyDescent="0.2">
      <c r="A3181" s="2291" t="s">
        <v>8604</v>
      </c>
      <c r="B3181" s="1634" t="s">
        <v>2029</v>
      </c>
    </row>
    <row r="3182" spans="1:21" hidden="1" x14ac:dyDescent="0.2">
      <c r="A3182" s="2291" t="s">
        <v>8605</v>
      </c>
      <c r="B3182" s="1634" t="s">
        <v>2318</v>
      </c>
    </row>
    <row r="3183" spans="1:21" hidden="1" x14ac:dyDescent="0.2">
      <c r="A3183" s="2291" t="s">
        <v>8606</v>
      </c>
      <c r="B3183" s="1634" t="s">
        <v>2323</v>
      </c>
    </row>
    <row r="3184" spans="1:21" hidden="1" x14ac:dyDescent="0.2">
      <c r="A3184" s="2291" t="s">
        <v>8607</v>
      </c>
      <c r="B3184" s="1634" t="s">
        <v>2328</v>
      </c>
    </row>
    <row r="3185" spans="1:4" hidden="1" x14ac:dyDescent="0.2">
      <c r="A3185" s="2291" t="s">
        <v>8608</v>
      </c>
      <c r="B3185" s="1634" t="s">
        <v>5084</v>
      </c>
    </row>
    <row r="3186" spans="1:4" hidden="1" x14ac:dyDescent="0.2">
      <c r="A3186" s="2291" t="s">
        <v>8609</v>
      </c>
      <c r="B3186" s="1634" t="s">
        <v>1741</v>
      </c>
    </row>
    <row r="3187" spans="1:4" hidden="1" x14ac:dyDescent="0.2">
      <c r="A3187" s="2291" t="s">
        <v>8610</v>
      </c>
      <c r="B3187" s="1634" t="s">
        <v>1746</v>
      </c>
    </row>
    <row r="3188" spans="1:4" hidden="1" x14ac:dyDescent="0.2">
      <c r="A3188" s="2291" t="s">
        <v>8611</v>
      </c>
      <c r="B3188" s="1634" t="s">
        <v>1751</v>
      </c>
    </row>
    <row r="3189" spans="1:4" hidden="1" x14ac:dyDescent="0.2">
      <c r="A3189" s="2291" t="s">
        <v>8612</v>
      </c>
      <c r="B3189" s="1634" t="s">
        <v>6439</v>
      </c>
      <c r="C3189" s="1634" t="s">
        <v>1076</v>
      </c>
      <c r="D3189" s="1634" t="s">
        <v>4204</v>
      </c>
    </row>
    <row r="3190" spans="1:4" hidden="1" x14ac:dyDescent="0.2">
      <c r="A3190" s="2291" t="s">
        <v>8613</v>
      </c>
      <c r="B3190" s="1634" t="s">
        <v>1782</v>
      </c>
      <c r="C3190" s="1634" t="s">
        <v>1783</v>
      </c>
      <c r="D3190" s="1634" t="s">
        <v>1784</v>
      </c>
    </row>
    <row r="3191" spans="1:4" hidden="1" x14ac:dyDescent="0.2">
      <c r="A3191" s="2291" t="s">
        <v>8614</v>
      </c>
      <c r="B3191" s="1634" t="s">
        <v>5478</v>
      </c>
      <c r="C3191" s="1634" t="s">
        <v>2670</v>
      </c>
      <c r="D3191" s="1634" t="s">
        <v>2671</v>
      </c>
    </row>
    <row r="3192" spans="1:4" hidden="1" x14ac:dyDescent="0.2">
      <c r="A3192" s="2291" t="s">
        <v>8615</v>
      </c>
      <c r="B3192" s="1634" t="s">
        <v>665</v>
      </c>
      <c r="C3192" s="1634" t="s">
        <v>666</v>
      </c>
      <c r="D3192" s="1634" t="s">
        <v>351</v>
      </c>
    </row>
    <row r="3193" spans="1:4" hidden="1" x14ac:dyDescent="0.2">
      <c r="A3193" s="2291" t="s">
        <v>8616</v>
      </c>
      <c r="B3193" s="1634" t="s">
        <v>682</v>
      </c>
    </row>
    <row r="3194" spans="1:4" hidden="1" x14ac:dyDescent="0.2">
      <c r="A3194" s="2291" t="s">
        <v>8617</v>
      </c>
      <c r="B3194" s="1634" t="s">
        <v>3677</v>
      </c>
    </row>
    <row r="3195" spans="1:4" hidden="1" x14ac:dyDescent="0.2">
      <c r="A3195" s="2291" t="s">
        <v>8618</v>
      </c>
      <c r="B3195" s="1634" t="s">
        <v>2925</v>
      </c>
    </row>
    <row r="3196" spans="1:4" hidden="1" x14ac:dyDescent="0.2">
      <c r="A3196" s="2291" t="s">
        <v>8619</v>
      </c>
      <c r="B3196" s="1634" t="s">
        <v>2930</v>
      </c>
    </row>
    <row r="3197" spans="1:4" hidden="1" x14ac:dyDescent="0.2">
      <c r="A3197" s="2291" t="s">
        <v>8620</v>
      </c>
      <c r="B3197" s="1634" t="s">
        <v>3256</v>
      </c>
    </row>
    <row r="3198" spans="1:4" hidden="1" x14ac:dyDescent="0.2">
      <c r="A3198" s="2291" t="s">
        <v>8621</v>
      </c>
      <c r="B3198" s="1634" t="s">
        <v>809</v>
      </c>
    </row>
    <row r="3200" spans="1:4" hidden="1" x14ac:dyDescent="0.2">
      <c r="A3200" s="2291" t="s">
        <v>8622</v>
      </c>
      <c r="B3200" s="1634" t="s">
        <v>2714</v>
      </c>
    </row>
    <row r="3201" spans="1:2" hidden="1" x14ac:dyDescent="0.2">
      <c r="A3201" s="2291" t="s">
        <v>8623</v>
      </c>
      <c r="B3201" s="1634" t="s">
        <v>2721</v>
      </c>
    </row>
    <row r="3202" spans="1:2" hidden="1" x14ac:dyDescent="0.2">
      <c r="A3202" s="2291" t="s">
        <v>8624</v>
      </c>
      <c r="B3202" s="1634" t="s">
        <v>4027</v>
      </c>
    </row>
    <row r="3203" spans="1:2" hidden="1" x14ac:dyDescent="0.2">
      <c r="A3203" s="2291" t="s">
        <v>8625</v>
      </c>
      <c r="B3203" s="1634" t="s">
        <v>4033</v>
      </c>
    </row>
    <row r="3204" spans="1:2" hidden="1" x14ac:dyDescent="0.2">
      <c r="A3204" s="2291" t="s">
        <v>8626</v>
      </c>
      <c r="B3204" s="1634" t="s">
        <v>4040</v>
      </c>
    </row>
    <row r="3205" spans="1:2" hidden="1" x14ac:dyDescent="0.2">
      <c r="A3205" s="2291" t="s">
        <v>8627</v>
      </c>
      <c r="B3205" s="1634" t="s">
        <v>6972</v>
      </c>
    </row>
    <row r="3206" spans="1:2" hidden="1" x14ac:dyDescent="0.2">
      <c r="A3206" s="2291" t="s">
        <v>8628</v>
      </c>
      <c r="B3206" s="1634" t="s">
        <v>4173</v>
      </c>
    </row>
    <row r="3207" spans="1:2" hidden="1" x14ac:dyDescent="0.2">
      <c r="A3207" s="2291" t="s">
        <v>8629</v>
      </c>
      <c r="B3207" s="1634" t="s">
        <v>6672</v>
      </c>
    </row>
    <row r="3208" spans="1:2" hidden="1" x14ac:dyDescent="0.2">
      <c r="A3208" s="2291" t="s">
        <v>8630</v>
      </c>
      <c r="B3208" s="1634" t="s">
        <v>6677</v>
      </c>
    </row>
    <row r="3209" spans="1:2" hidden="1" x14ac:dyDescent="0.2">
      <c r="A3209" s="2291" t="s">
        <v>8631</v>
      </c>
      <c r="B3209" s="1634" t="s">
        <v>6694</v>
      </c>
    </row>
    <row r="3210" spans="1:2" hidden="1" x14ac:dyDescent="0.2">
      <c r="A3210" s="2291" t="s">
        <v>8632</v>
      </c>
      <c r="B3210" s="1634" t="s">
        <v>6697</v>
      </c>
    </row>
    <row r="3211" spans="1:2" hidden="1" x14ac:dyDescent="0.2">
      <c r="A3211" s="2291" t="s">
        <v>8633</v>
      </c>
      <c r="B3211" s="1634" t="s">
        <v>2660</v>
      </c>
    </row>
    <row r="3212" spans="1:2" hidden="1" x14ac:dyDescent="0.2">
      <c r="A3212" s="2291" t="s">
        <v>8634</v>
      </c>
      <c r="B3212" s="1634" t="s">
        <v>2663</v>
      </c>
    </row>
    <row r="3213" spans="1:2" hidden="1" x14ac:dyDescent="0.2">
      <c r="A3213" s="2291" t="s">
        <v>8635</v>
      </c>
      <c r="B3213" s="1634" t="s">
        <v>3859</v>
      </c>
    </row>
    <row r="3214" spans="1:2" hidden="1" x14ac:dyDescent="0.2">
      <c r="A3214" s="2291" t="s">
        <v>8636</v>
      </c>
      <c r="B3214" s="1634" t="s">
        <v>3052</v>
      </c>
    </row>
    <row r="3215" spans="1:2" hidden="1" x14ac:dyDescent="0.2">
      <c r="A3215" s="2291" t="s">
        <v>8637</v>
      </c>
      <c r="B3215" s="1634" t="s">
        <v>1727</v>
      </c>
    </row>
    <row r="3216" spans="1:2" hidden="1" x14ac:dyDescent="0.2">
      <c r="A3216" s="2291" t="s">
        <v>8638</v>
      </c>
      <c r="B3216" s="1634" t="s">
        <v>5817</v>
      </c>
    </row>
    <row r="3218" spans="1:6" hidden="1" x14ac:dyDescent="0.2">
      <c r="A3218" s="2291" t="s">
        <v>8639</v>
      </c>
      <c r="B3218" s="1634" t="s">
        <v>706</v>
      </c>
    </row>
    <row r="3219" spans="1:6" hidden="1" x14ac:dyDescent="0.2">
      <c r="A3219" s="2291" t="s">
        <v>8640</v>
      </c>
      <c r="B3219" s="1634" t="s">
        <v>2721</v>
      </c>
      <c r="C3219" s="1634" t="s">
        <v>863</v>
      </c>
      <c r="D3219" s="1634" t="s">
        <v>2725</v>
      </c>
    </row>
    <row r="3220" spans="1:6" hidden="1" x14ac:dyDescent="0.2">
      <c r="A3220" s="2291" t="s">
        <v>8641</v>
      </c>
      <c r="B3220" s="1634" t="s">
        <v>4033</v>
      </c>
      <c r="C3220" s="1634" t="s">
        <v>867</v>
      </c>
      <c r="D3220" s="1634" t="s">
        <v>4037</v>
      </c>
    </row>
    <row r="3221" spans="1:6" hidden="1" x14ac:dyDescent="0.2">
      <c r="A3221" s="2291" t="s">
        <v>8642</v>
      </c>
      <c r="B3221" s="1634" t="s">
        <v>6972</v>
      </c>
      <c r="C3221" s="1634" t="s">
        <v>871</v>
      </c>
      <c r="D3221" s="1634" t="s">
        <v>6974</v>
      </c>
    </row>
    <row r="3222" spans="1:6" hidden="1" x14ac:dyDescent="0.2">
      <c r="A3222" s="2291" t="s">
        <v>8643</v>
      </c>
      <c r="B3222" s="1634" t="s">
        <v>5424</v>
      </c>
      <c r="C3222" s="1634" t="s">
        <v>4712</v>
      </c>
      <c r="D3222" s="1634" t="s">
        <v>6464</v>
      </c>
      <c r="E3222" s="1634" t="s">
        <v>4047</v>
      </c>
      <c r="F3222" s="1634" t="s">
        <v>6690</v>
      </c>
    </row>
    <row r="3223" spans="1:6" hidden="1" x14ac:dyDescent="0.2">
      <c r="A3223" s="2291" t="s">
        <v>8644</v>
      </c>
      <c r="B3223" s="1634" t="s">
        <v>2154</v>
      </c>
      <c r="C3223" s="1634" t="s">
        <v>5476</v>
      </c>
      <c r="D3223" s="1634" t="s">
        <v>2913</v>
      </c>
      <c r="E3223" s="1634" t="s">
        <v>4100</v>
      </c>
      <c r="F3223" s="1634" t="s">
        <v>4101</v>
      </c>
    </row>
    <row r="3224" spans="1:6" hidden="1" x14ac:dyDescent="0.2">
      <c r="A3224" s="2291" t="s">
        <v>8645</v>
      </c>
      <c r="B3224" s="1634" t="s">
        <v>2161</v>
      </c>
      <c r="C3224" s="1634" t="s">
        <v>4716</v>
      </c>
      <c r="D3224" s="1634" t="s">
        <v>2915</v>
      </c>
      <c r="E3224" s="1634" t="s">
        <v>4105</v>
      </c>
      <c r="F3224" s="1634" t="s">
        <v>2318</v>
      </c>
    </row>
    <row r="3225" spans="1:6" hidden="1" x14ac:dyDescent="0.2">
      <c r="A3225" s="2291" t="s">
        <v>8646</v>
      </c>
      <c r="B3225" s="1634" t="s">
        <v>5084</v>
      </c>
    </row>
    <row r="3226" spans="1:6" hidden="1" x14ac:dyDescent="0.2">
      <c r="A3226" s="2291" t="s">
        <v>8647</v>
      </c>
      <c r="B3226" s="1634" t="s">
        <v>1746</v>
      </c>
    </row>
    <row r="3227" spans="1:6" hidden="1" x14ac:dyDescent="0.2">
      <c r="A3227" s="2291" t="s">
        <v>8648</v>
      </c>
      <c r="B3227" s="1634" t="s">
        <v>945</v>
      </c>
    </row>
    <row r="3228" spans="1:6" hidden="1" x14ac:dyDescent="0.2">
      <c r="A3228" s="2291" t="s">
        <v>8649</v>
      </c>
      <c r="B3228" s="1634" t="s">
        <v>1784</v>
      </c>
    </row>
    <row r="3229" spans="1:6" hidden="1" x14ac:dyDescent="0.2">
      <c r="A3229" s="2291" t="s">
        <v>8650</v>
      </c>
      <c r="B3229" s="1634" t="s">
        <v>351</v>
      </c>
    </row>
    <row r="3230" spans="1:6" hidden="1" x14ac:dyDescent="0.2">
      <c r="A3230" s="2291" t="s">
        <v>8651</v>
      </c>
      <c r="B3230" s="1634" t="s">
        <v>681</v>
      </c>
    </row>
    <row r="3231" spans="1:6" hidden="1" x14ac:dyDescent="0.2">
      <c r="A3231" s="2291" t="s">
        <v>8652</v>
      </c>
      <c r="B3231" s="1634" t="s">
        <v>140</v>
      </c>
    </row>
    <row r="3232" spans="1:6" hidden="1" x14ac:dyDescent="0.2">
      <c r="A3232" s="2291" t="s">
        <v>8653</v>
      </c>
      <c r="B3232" s="1634" t="s">
        <v>510</v>
      </c>
    </row>
    <row r="3233" spans="1:4" hidden="1" x14ac:dyDescent="0.2">
      <c r="A3233" s="2291" t="s">
        <v>8654</v>
      </c>
      <c r="B3233" s="1634" t="s">
        <v>3252</v>
      </c>
    </row>
    <row r="3234" spans="1:4" hidden="1" x14ac:dyDescent="0.2">
      <c r="A3234" s="2291" t="s">
        <v>8655</v>
      </c>
      <c r="B3234" s="1634" t="s">
        <v>802</v>
      </c>
    </row>
    <row r="3235" spans="1:4" hidden="1" x14ac:dyDescent="0.2">
      <c r="A3235" s="2291" t="s">
        <v>8656</v>
      </c>
      <c r="B3235" s="1634" t="s">
        <v>825</v>
      </c>
    </row>
    <row r="3238" spans="1:4" hidden="1" x14ac:dyDescent="0.2">
      <c r="A3238" s="2291" t="s">
        <v>8657</v>
      </c>
      <c r="B3238" s="1634" t="s">
        <v>4040</v>
      </c>
      <c r="C3238" s="1634" t="s">
        <v>6617</v>
      </c>
    </row>
    <row r="3239" spans="1:4" hidden="1" x14ac:dyDescent="0.2">
      <c r="A3239" s="2291" t="s">
        <v>8658</v>
      </c>
      <c r="B3239" s="1634" t="s">
        <v>6972</v>
      </c>
      <c r="C3239" s="1634" t="s">
        <v>6619</v>
      </c>
    </row>
    <row r="3240" spans="1:4" hidden="1" x14ac:dyDescent="0.2">
      <c r="A3240" s="2291" t="s">
        <v>8659</v>
      </c>
      <c r="B3240" s="1634" t="s">
        <v>5474</v>
      </c>
    </row>
    <row r="3241" spans="1:4" hidden="1" x14ac:dyDescent="0.2">
      <c r="A3241" s="2291" t="s">
        <v>8660</v>
      </c>
      <c r="B3241" s="1634" t="s">
        <v>4712</v>
      </c>
      <c r="C3241" s="1634" t="s">
        <v>6464</v>
      </c>
      <c r="D3241" s="1634" t="s">
        <v>4047</v>
      </c>
    </row>
    <row r="3242" spans="1:4" hidden="1" x14ac:dyDescent="0.2">
      <c r="A3242" s="2291" t="s">
        <v>8661</v>
      </c>
      <c r="B3242" s="1634" t="s">
        <v>4100</v>
      </c>
    </row>
    <row r="3243" spans="1:4" hidden="1" x14ac:dyDescent="0.2">
      <c r="A3243" s="2291" t="s">
        <v>8662</v>
      </c>
      <c r="B3243" s="1634" t="s">
        <v>2161</v>
      </c>
    </row>
    <row r="3244" spans="1:4" hidden="1" x14ac:dyDescent="0.2">
      <c r="A3244" s="2291" t="s">
        <v>8663</v>
      </c>
      <c r="B3244" s="1634" t="s">
        <v>2322</v>
      </c>
    </row>
    <row r="3245" spans="1:4" hidden="1" x14ac:dyDescent="0.2">
      <c r="A3245" s="2291" t="s">
        <v>8664</v>
      </c>
      <c r="B3245" s="1634" t="s">
        <v>6606</v>
      </c>
    </row>
    <row r="3246" spans="1:4" hidden="1" x14ac:dyDescent="0.2">
      <c r="A3246" s="2291" t="s">
        <v>8665</v>
      </c>
      <c r="B3246" s="1634" t="s">
        <v>1745</v>
      </c>
    </row>
    <row r="3247" spans="1:4" hidden="1" x14ac:dyDescent="0.2">
      <c r="A3247" s="2291" t="s">
        <v>8666</v>
      </c>
      <c r="B3247" s="1634" t="s">
        <v>2494</v>
      </c>
    </row>
    <row r="3248" spans="1:4" hidden="1" x14ac:dyDescent="0.2">
      <c r="A3248" s="2291" t="s">
        <v>8667</v>
      </c>
      <c r="B3248" s="1634" t="s">
        <v>1070</v>
      </c>
    </row>
    <row r="3249" spans="1:21" hidden="1" x14ac:dyDescent="0.2">
      <c r="A3249" s="2291" t="s">
        <v>8668</v>
      </c>
      <c r="B3249" s="1634" t="s">
        <v>1784</v>
      </c>
    </row>
    <row r="3251" spans="1:21" hidden="1" x14ac:dyDescent="0.2">
      <c r="A3251" s="3042" t="s">
        <v>8982</v>
      </c>
      <c r="B3251" s="3043"/>
      <c r="C3251" s="3043"/>
      <c r="D3251" s="3043"/>
      <c r="E3251" s="3043"/>
      <c r="F3251" s="3043"/>
      <c r="G3251" s="3043"/>
      <c r="H3251" s="3043"/>
      <c r="I3251" s="3043"/>
      <c r="J3251" s="3043"/>
      <c r="K3251" s="3043"/>
      <c r="L3251" s="3043"/>
      <c r="M3251" s="3043"/>
      <c r="N3251" s="3043"/>
      <c r="O3251" s="3043"/>
      <c r="P3251" s="3043"/>
      <c r="Q3251" s="3043"/>
      <c r="R3251" s="3043"/>
      <c r="S3251" s="3043"/>
      <c r="T3251" s="3043"/>
      <c r="U3251" s="3043"/>
    </row>
    <row r="3253" spans="1:21" hidden="1" x14ac:dyDescent="0.2">
      <c r="A3253" s="2291" t="s">
        <v>8983</v>
      </c>
      <c r="B3253" s="1634" t="s">
        <v>5694</v>
      </c>
    </row>
    <row r="3254" spans="1:21" hidden="1" x14ac:dyDescent="0.2">
      <c r="A3254" s="2291" t="s">
        <v>8984</v>
      </c>
      <c r="B3254" s="1634" t="s">
        <v>5696</v>
      </c>
    </row>
    <row r="3255" spans="1:21" hidden="1" x14ac:dyDescent="0.2">
      <c r="A3255" s="2291" t="s">
        <v>8985</v>
      </c>
      <c r="B3255" s="1634" t="s">
        <v>6673</v>
      </c>
    </row>
    <row r="3256" spans="1:21" hidden="1" x14ac:dyDescent="0.2">
      <c r="A3256" s="2291" t="s">
        <v>8986</v>
      </c>
      <c r="B3256" s="1634" t="s">
        <v>6684</v>
      </c>
    </row>
    <row r="3257" spans="1:21" hidden="1" x14ac:dyDescent="0.2">
      <c r="A3257" s="2291" t="s">
        <v>8987</v>
      </c>
      <c r="B3257" s="1634" t="s">
        <v>4096</v>
      </c>
    </row>
    <row r="3258" spans="1:21" hidden="1" x14ac:dyDescent="0.2">
      <c r="A3258" s="2291" t="s">
        <v>8988</v>
      </c>
      <c r="B3258" s="1634" t="s">
        <v>2318</v>
      </c>
    </row>
    <row r="3259" spans="1:21" hidden="1" x14ac:dyDescent="0.2">
      <c r="A3259" s="2291" t="s">
        <v>8989</v>
      </c>
      <c r="B3259" s="1634" t="s">
        <v>2328</v>
      </c>
    </row>
    <row r="3260" spans="1:21" hidden="1" x14ac:dyDescent="0.2">
      <c r="A3260" s="2291" t="s">
        <v>8990</v>
      </c>
      <c r="B3260" s="1634" t="s">
        <v>1741</v>
      </c>
    </row>
    <row r="3261" spans="1:21" hidden="1" x14ac:dyDescent="0.2">
      <c r="A3261" s="2291" t="s">
        <v>8991</v>
      </c>
      <c r="B3261" s="1634" t="s">
        <v>1728</v>
      </c>
    </row>
    <row r="3263" spans="1:21" hidden="1" x14ac:dyDescent="0.2">
      <c r="A3263" s="3045" t="s">
        <v>8992</v>
      </c>
      <c r="B3263" s="3046"/>
      <c r="C3263" s="3046"/>
      <c r="D3263" s="3046"/>
      <c r="E3263" s="3046"/>
      <c r="F3263" s="3046"/>
      <c r="G3263" s="3046"/>
      <c r="H3263" s="3046"/>
      <c r="I3263" s="3046"/>
      <c r="J3263" s="3046"/>
      <c r="K3263" s="3046"/>
      <c r="L3263" s="3046"/>
      <c r="M3263" s="3046"/>
      <c r="N3263" s="3046"/>
      <c r="O3263" s="3046"/>
      <c r="P3263" s="3046"/>
      <c r="Q3263" s="3046"/>
      <c r="R3263" s="3046"/>
      <c r="S3263" s="3046"/>
      <c r="T3263" s="3046"/>
      <c r="U3263" s="3046"/>
    </row>
    <row r="3264" spans="1:21" hidden="1" x14ac:dyDescent="0.2">
      <c r="A3264" s="2291" t="s">
        <v>8993</v>
      </c>
      <c r="B3264" s="1634" t="s">
        <v>711</v>
      </c>
      <c r="C3264" s="1634" t="s">
        <v>2714</v>
      </c>
      <c r="D3264" s="1634" t="s">
        <v>5471</v>
      </c>
      <c r="E3264" s="1634" t="s">
        <v>2715</v>
      </c>
      <c r="F3264" s="1634" t="s">
        <v>2716</v>
      </c>
      <c r="G3264" s="1634" t="s">
        <v>861</v>
      </c>
      <c r="H3264" s="1634" t="s">
        <v>6609</v>
      </c>
      <c r="I3264" s="1634" t="s">
        <v>2717</v>
      </c>
    </row>
    <row r="3265" spans="1:9" hidden="1" x14ac:dyDescent="0.2">
      <c r="A3265" s="2291" t="s">
        <v>8994</v>
      </c>
      <c r="B3265" s="1634" t="s">
        <v>3817</v>
      </c>
      <c r="C3265" s="1634" t="s">
        <v>2721</v>
      </c>
      <c r="D3265" s="1634" t="s">
        <v>2722</v>
      </c>
      <c r="E3265" s="1634" t="s">
        <v>2723</v>
      </c>
      <c r="F3265" s="1634" t="s">
        <v>5693</v>
      </c>
      <c r="G3265" s="1634" t="s">
        <v>863</v>
      </c>
      <c r="H3265" s="1634" t="s">
        <v>6611</v>
      </c>
      <c r="I3265" s="1634" t="s">
        <v>2724</v>
      </c>
    </row>
    <row r="3266" spans="1:9" hidden="1" x14ac:dyDescent="0.2">
      <c r="A3266" s="2291" t="s">
        <v>8995</v>
      </c>
      <c r="B3266" s="1634" t="s">
        <v>1060</v>
      </c>
      <c r="C3266" s="1634" t="s">
        <v>4027</v>
      </c>
      <c r="D3266" s="1634" t="s">
        <v>4028</v>
      </c>
      <c r="E3266" s="1634" t="s">
        <v>1061</v>
      </c>
      <c r="F3266" s="1634" t="s">
        <v>5694</v>
      </c>
      <c r="G3266" s="1634" t="s">
        <v>865</v>
      </c>
      <c r="H3266" s="1634" t="s">
        <v>6613</v>
      </c>
      <c r="I3266" s="1634" t="s">
        <v>4029</v>
      </c>
    </row>
    <row r="3267" spans="1:9" hidden="1" x14ac:dyDescent="0.2">
      <c r="A3267" s="2291" t="s">
        <v>8996</v>
      </c>
      <c r="B3267" s="1634" t="s">
        <v>5272</v>
      </c>
      <c r="C3267" s="1634" t="s">
        <v>4033</v>
      </c>
      <c r="D3267" s="1634" t="s">
        <v>4034</v>
      </c>
      <c r="E3267" s="1634" t="s">
        <v>3099</v>
      </c>
      <c r="F3267" s="1634" t="s">
        <v>4035</v>
      </c>
      <c r="G3267" s="1634" t="s">
        <v>867</v>
      </c>
      <c r="H3267" s="1634" t="s">
        <v>6615</v>
      </c>
      <c r="I3267" s="1634" t="s">
        <v>4036</v>
      </c>
    </row>
    <row r="3268" spans="1:9" hidden="1" x14ac:dyDescent="0.2">
      <c r="A3268" s="2291" t="s">
        <v>8997</v>
      </c>
      <c r="B3268" s="1634" t="s">
        <v>5695</v>
      </c>
      <c r="C3268" s="1634" t="s">
        <v>4040</v>
      </c>
      <c r="D3268" s="1634" t="s">
        <v>4041</v>
      </c>
      <c r="E3268" s="1634" t="s">
        <v>3106</v>
      </c>
      <c r="F3268" s="1634" t="s">
        <v>5696</v>
      </c>
      <c r="G3268" s="1634" t="s">
        <v>869</v>
      </c>
      <c r="H3268" s="1634" t="s">
        <v>6617</v>
      </c>
      <c r="I3268" s="1634" t="s">
        <v>4042</v>
      </c>
    </row>
    <row r="3269" spans="1:9" hidden="1" x14ac:dyDescent="0.2">
      <c r="A3269" s="2307" t="s">
        <v>8998</v>
      </c>
      <c r="B3269" s="2302" t="s">
        <v>5697</v>
      </c>
      <c r="C3269" s="2302" t="s">
        <v>6972</v>
      </c>
      <c r="D3269" s="2302" t="s">
        <v>5472</v>
      </c>
      <c r="E3269" s="2302" t="s">
        <v>553</v>
      </c>
      <c r="F3269" s="2302" t="s">
        <v>4704</v>
      </c>
      <c r="G3269" s="2302" t="s">
        <v>871</v>
      </c>
      <c r="H3269" s="2302" t="s">
        <v>6619</v>
      </c>
      <c r="I3269" s="2302" t="s">
        <v>6973</v>
      </c>
    </row>
    <row r="3270" spans="1:9" hidden="1" x14ac:dyDescent="0.2">
      <c r="A3270" s="2307" t="s">
        <v>8999</v>
      </c>
      <c r="B3270" s="2302" t="s">
        <v>4705</v>
      </c>
      <c r="C3270" s="2302" t="s">
        <v>4173</v>
      </c>
      <c r="D3270" s="2302" t="s">
        <v>4174</v>
      </c>
      <c r="E3270" s="2302" t="s">
        <v>561</v>
      </c>
      <c r="F3270" s="2302" t="s">
        <v>4706</v>
      </c>
      <c r="G3270" s="2302" t="s">
        <v>3008</v>
      </c>
      <c r="H3270" s="2302" t="s">
        <v>6621</v>
      </c>
      <c r="I3270" s="2302" t="s">
        <v>6662</v>
      </c>
    </row>
    <row r="3271" spans="1:9" hidden="1" x14ac:dyDescent="0.2">
      <c r="A3271" s="2307" t="s">
        <v>9662</v>
      </c>
      <c r="B3271" s="2302" t="s">
        <v>2021</v>
      </c>
      <c r="C3271" s="2302" t="s">
        <v>6672</v>
      </c>
      <c r="D3271" s="2302" t="s">
        <v>5473</v>
      </c>
      <c r="E3271" s="2302" t="s">
        <v>2022</v>
      </c>
      <c r="F3271" s="2302" t="s">
        <v>5474</v>
      </c>
      <c r="G3271" s="2302" t="s">
        <v>3010</v>
      </c>
      <c r="H3271" s="2302" t="s">
        <v>6623</v>
      </c>
      <c r="I3271" s="2302" t="s">
        <v>6673</v>
      </c>
    </row>
    <row r="3272" spans="1:9" hidden="1" x14ac:dyDescent="0.2">
      <c r="A3272" s="2307" t="s">
        <v>9663</v>
      </c>
      <c r="B3272" s="2302" t="s">
        <v>4707</v>
      </c>
      <c r="C3272" s="2302" t="s">
        <v>6677</v>
      </c>
      <c r="D3272" s="2302" t="s">
        <v>6678</v>
      </c>
      <c r="E3272" s="2302" t="s">
        <v>2029</v>
      </c>
      <c r="F3272" s="2302" t="s">
        <v>4708</v>
      </c>
      <c r="G3272" s="2302" t="s">
        <v>6460</v>
      </c>
      <c r="H3272" s="2302" t="s">
        <v>3132</v>
      </c>
      <c r="I3272" s="2302" t="s">
        <v>6679</v>
      </c>
    </row>
    <row r="3273" spans="1:9" hidden="1" x14ac:dyDescent="0.2">
      <c r="A3273" s="2307" t="s">
        <v>9664</v>
      </c>
      <c r="B3273" s="2302" t="s">
        <v>4709</v>
      </c>
      <c r="C3273" s="2302" t="s">
        <v>6683</v>
      </c>
      <c r="D3273" s="2302" t="s">
        <v>5475</v>
      </c>
      <c r="E3273" s="2302" t="s">
        <v>3423</v>
      </c>
      <c r="F3273" s="2302" t="s">
        <v>4710</v>
      </c>
      <c r="G3273" s="2302" t="s">
        <v>6462</v>
      </c>
      <c r="H3273" s="2302" t="s">
        <v>4045</v>
      </c>
      <c r="I3273" s="2302" t="s">
        <v>6684</v>
      </c>
    </row>
    <row r="3274" spans="1:9" hidden="1" x14ac:dyDescent="0.2">
      <c r="A3274" s="2307" t="s">
        <v>9665</v>
      </c>
      <c r="B3274" s="2302" t="s">
        <v>4711</v>
      </c>
      <c r="C3274" s="2302" t="s">
        <v>6688</v>
      </c>
      <c r="D3274" s="2302" t="s">
        <v>6689</v>
      </c>
      <c r="E3274" s="2302" t="s">
        <v>5424</v>
      </c>
      <c r="F3274" s="2302" t="s">
        <v>4712</v>
      </c>
      <c r="G3274" s="2302" t="s">
        <v>6464</v>
      </c>
      <c r="H3274" s="2302" t="s">
        <v>4047</v>
      </c>
      <c r="I3274" s="2302" t="s">
        <v>6690</v>
      </c>
    </row>
    <row r="3275" spans="1:9" hidden="1" x14ac:dyDescent="0.2">
      <c r="A3275" s="2307" t="s">
        <v>9666</v>
      </c>
      <c r="B3275" s="2302" t="s">
        <v>4713</v>
      </c>
      <c r="C3275" s="2302" t="s">
        <v>6694</v>
      </c>
      <c r="D3275" s="2302" t="s">
        <v>4094</v>
      </c>
      <c r="E3275" s="2302" t="s">
        <v>5430</v>
      </c>
      <c r="F3275" s="2302" t="s">
        <v>4714</v>
      </c>
      <c r="G3275" s="2302" t="s">
        <v>2911</v>
      </c>
      <c r="H3275" s="2302" t="s">
        <v>4095</v>
      </c>
      <c r="I3275" s="2302" t="s">
        <v>4096</v>
      </c>
    </row>
    <row r="3276" spans="1:9" hidden="1" x14ac:dyDescent="0.2">
      <c r="A3276" s="2307" t="s">
        <v>9667</v>
      </c>
      <c r="B3276" s="2302" t="s">
        <v>2153</v>
      </c>
      <c r="C3276" s="2302" t="s">
        <v>6697</v>
      </c>
      <c r="D3276" s="2302" t="s">
        <v>4099</v>
      </c>
      <c r="E3276" s="2302" t="s">
        <v>2154</v>
      </c>
      <c r="F3276" s="2302" t="s">
        <v>5476</v>
      </c>
      <c r="G3276" s="2302" t="s">
        <v>2913</v>
      </c>
      <c r="H3276" s="2302" t="s">
        <v>4100</v>
      </c>
      <c r="I3276" s="2302" t="s">
        <v>4101</v>
      </c>
    </row>
    <row r="3277" spans="1:9" hidden="1" x14ac:dyDescent="0.2">
      <c r="A3277" s="2307" t="s">
        <v>9668</v>
      </c>
      <c r="B3277" s="2302" t="s">
        <v>4715</v>
      </c>
      <c r="C3277" s="2302" t="s">
        <v>2660</v>
      </c>
      <c r="D3277" s="2302" t="s">
        <v>4104</v>
      </c>
      <c r="E3277" s="2302" t="s">
        <v>2161</v>
      </c>
      <c r="F3277" s="2302" t="s">
        <v>4716</v>
      </c>
      <c r="G3277" s="2302" t="s">
        <v>2915</v>
      </c>
      <c r="H3277" s="2302" t="s">
        <v>4105</v>
      </c>
      <c r="I3277" s="2302" t="s">
        <v>2318</v>
      </c>
    </row>
    <row r="3278" spans="1:9" hidden="1" x14ac:dyDescent="0.2">
      <c r="A3278" s="2307" t="s">
        <v>9669</v>
      </c>
      <c r="B3278" s="2302" t="s">
        <v>4717</v>
      </c>
      <c r="C3278" s="2302" t="s">
        <v>2663</v>
      </c>
      <c r="D3278" s="2302" t="s">
        <v>2321</v>
      </c>
      <c r="E3278" s="2302" t="s">
        <v>2168</v>
      </c>
      <c r="F3278" s="2302" t="s">
        <v>6426</v>
      </c>
      <c r="G3278" s="2302" t="s">
        <v>2917</v>
      </c>
      <c r="H3278" s="2302" t="s">
        <v>2322</v>
      </c>
      <c r="I3278" s="2302" t="s">
        <v>2323</v>
      </c>
    </row>
    <row r="3279" spans="1:9" hidden="1" x14ac:dyDescent="0.2">
      <c r="A3279" s="2307" t="s">
        <v>9670</v>
      </c>
      <c r="B3279" s="2302" t="s">
        <v>6427</v>
      </c>
      <c r="C3279" s="2302" t="s">
        <v>3859</v>
      </c>
      <c r="D3279" s="2302" t="s">
        <v>2326</v>
      </c>
      <c r="E3279" s="2302" t="s">
        <v>2174</v>
      </c>
      <c r="F3279" s="2302" t="s">
        <v>6428</v>
      </c>
      <c r="G3279" s="2302" t="s">
        <v>2919</v>
      </c>
      <c r="H3279" s="2302" t="s">
        <v>2327</v>
      </c>
      <c r="I3279" s="2302" t="s">
        <v>2328</v>
      </c>
    </row>
    <row r="3280" spans="1:9" hidden="1" x14ac:dyDescent="0.2">
      <c r="A3280" s="2307" t="s">
        <v>9671</v>
      </c>
      <c r="B3280" s="2302" t="s">
        <v>6429</v>
      </c>
      <c r="C3280" s="2302" t="s">
        <v>3862</v>
      </c>
      <c r="D3280" s="2302" t="s">
        <v>6605</v>
      </c>
      <c r="E3280" s="2302" t="s">
        <v>2181</v>
      </c>
      <c r="F3280" s="2302" t="s">
        <v>6430</v>
      </c>
      <c r="G3280" s="2302" t="s">
        <v>1575</v>
      </c>
      <c r="H3280" s="2302" t="s">
        <v>6606</v>
      </c>
      <c r="I3280" s="2302" t="s">
        <v>5084</v>
      </c>
    </row>
    <row r="3281" spans="1:21" hidden="1" x14ac:dyDescent="0.2">
      <c r="A3281" s="2307" t="s">
        <v>9672</v>
      </c>
      <c r="B3281" s="2302" t="s">
        <v>2187</v>
      </c>
      <c r="C3281" s="2302" t="s">
        <v>3052</v>
      </c>
      <c r="D3281" s="2302" t="s">
        <v>2</v>
      </c>
      <c r="E3281" s="2302" t="s">
        <v>2188</v>
      </c>
      <c r="F3281" s="2302" t="s">
        <v>2921</v>
      </c>
      <c r="G3281" s="2302" t="s">
        <v>4078</v>
      </c>
      <c r="H3281" s="2302" t="s">
        <v>3</v>
      </c>
      <c r="I3281" s="2302" t="s">
        <v>1741</v>
      </c>
    </row>
    <row r="3282" spans="1:21" hidden="1" x14ac:dyDescent="0.2">
      <c r="A3282" s="2307" t="s">
        <v>9673</v>
      </c>
      <c r="B3282" s="2302" t="s">
        <v>6431</v>
      </c>
      <c r="C3282" s="2302" t="s">
        <v>3054</v>
      </c>
      <c r="D3282" s="2302" t="s">
        <v>1744</v>
      </c>
      <c r="E3282" s="2302" t="s">
        <v>3092</v>
      </c>
      <c r="F3282" s="2302" t="s">
        <v>2923</v>
      </c>
      <c r="G3282" s="2302" t="s">
        <v>4080</v>
      </c>
      <c r="H3282" s="2302" t="s">
        <v>1745</v>
      </c>
      <c r="I3282" s="2302" t="s">
        <v>1746</v>
      </c>
    </row>
    <row r="3283" spans="1:21" hidden="1" x14ac:dyDescent="0.2">
      <c r="A3283" s="2307" t="s">
        <v>9674</v>
      </c>
      <c r="B3283" s="2302" t="s">
        <v>6432</v>
      </c>
      <c r="C3283" s="2302" t="s">
        <v>3056</v>
      </c>
      <c r="D3283" s="2302" t="s">
        <v>1749</v>
      </c>
      <c r="E3283" s="2302" t="s">
        <v>3535</v>
      </c>
      <c r="F3283" s="2302" t="s">
        <v>3301</v>
      </c>
      <c r="G3283" s="2302" t="s">
        <v>4082</v>
      </c>
      <c r="H3283" s="2302" t="s">
        <v>1750</v>
      </c>
      <c r="I3283" s="2302" t="s">
        <v>1751</v>
      </c>
    </row>
    <row r="3284" spans="1:21" hidden="1" x14ac:dyDescent="0.2">
      <c r="A3284" s="2307" t="s">
        <v>9675</v>
      </c>
      <c r="B3284" s="2302" t="s">
        <v>945</v>
      </c>
    </row>
    <row r="3285" spans="1:21" hidden="1" x14ac:dyDescent="0.2">
      <c r="A3285" s="2307" t="s">
        <v>9676</v>
      </c>
      <c r="B3285" s="2302" t="s">
        <v>2432</v>
      </c>
      <c r="C3285" s="2302"/>
    </row>
    <row r="3286" spans="1:21" hidden="1" x14ac:dyDescent="0.2">
      <c r="A3286" s="2307" t="s">
        <v>9677</v>
      </c>
      <c r="B3286" s="2302" t="s">
        <v>1070</v>
      </c>
      <c r="C3286" s="2302" t="s">
        <v>1071</v>
      </c>
      <c r="D3286" s="2302"/>
      <c r="E3286" s="2302"/>
      <c r="F3286" s="2302"/>
      <c r="G3286" s="2302"/>
      <c r="H3286" s="2302"/>
      <c r="I3286" s="2302"/>
    </row>
    <row r="3287" spans="1:21" hidden="1" x14ac:dyDescent="0.2">
      <c r="A3287" s="2307" t="s">
        <v>9678</v>
      </c>
      <c r="B3287" s="2302" t="s">
        <v>1784</v>
      </c>
      <c r="C3287" s="2302"/>
      <c r="D3287" s="2302"/>
      <c r="E3287" s="2302"/>
      <c r="F3287" s="2302"/>
      <c r="G3287" s="2302"/>
      <c r="H3287" s="2302"/>
      <c r="I3287" s="2302"/>
    </row>
    <row r="3288" spans="1:21" hidden="1" x14ac:dyDescent="0.2">
      <c r="A3288" s="2307" t="s">
        <v>9679</v>
      </c>
      <c r="B3288" s="2302" t="s">
        <v>666</v>
      </c>
      <c r="C3288" s="2302"/>
      <c r="D3288" s="2302"/>
      <c r="E3288" s="2302"/>
      <c r="F3288" s="2302"/>
      <c r="G3288" s="2302"/>
      <c r="H3288" s="2302"/>
      <c r="I3288" s="2302"/>
    </row>
    <row r="3290" spans="1:21" hidden="1" x14ac:dyDescent="0.2">
      <c r="A3290" s="3045" t="s">
        <v>9000</v>
      </c>
      <c r="B3290" s="3046"/>
      <c r="C3290" s="3046"/>
      <c r="D3290" s="3046"/>
      <c r="E3290" s="3046"/>
      <c r="F3290" s="3046"/>
      <c r="G3290" s="3046"/>
      <c r="H3290" s="3046"/>
      <c r="I3290" s="3046"/>
      <c r="J3290" s="3046"/>
      <c r="K3290" s="3046"/>
      <c r="L3290" s="3046"/>
      <c r="M3290" s="3046"/>
      <c r="N3290" s="3046"/>
      <c r="O3290" s="3046"/>
      <c r="P3290" s="3046"/>
      <c r="Q3290" s="3046"/>
      <c r="R3290" s="3046"/>
      <c r="S3290" s="3046"/>
      <c r="T3290" s="3046"/>
      <c r="U3290" s="3046"/>
    </row>
    <row r="3291" spans="1:21" hidden="1" x14ac:dyDescent="0.2">
      <c r="A3291" s="2291" t="s">
        <v>9001</v>
      </c>
      <c r="B3291" s="1634" t="s">
        <v>4027</v>
      </c>
      <c r="C3291" s="1634" t="s">
        <v>6613</v>
      </c>
    </row>
    <row r="3292" spans="1:21" hidden="1" x14ac:dyDescent="0.2">
      <c r="A3292" s="2291" t="s">
        <v>9002</v>
      </c>
      <c r="B3292" s="1634" t="s">
        <v>4040</v>
      </c>
    </row>
    <row r="3293" spans="1:21" hidden="1" x14ac:dyDescent="0.2">
      <c r="A3293" s="2291" t="s">
        <v>9003</v>
      </c>
      <c r="B3293" s="1634" t="s">
        <v>6621</v>
      </c>
    </row>
    <row r="3294" spans="1:21" hidden="1" x14ac:dyDescent="0.2">
      <c r="A3294" s="2291" t="s">
        <v>9004</v>
      </c>
      <c r="B3294" s="1634" t="s">
        <v>4045</v>
      </c>
    </row>
    <row r="3295" spans="1:21" hidden="1" x14ac:dyDescent="0.2">
      <c r="A3295" s="2291" t="s">
        <v>9005</v>
      </c>
      <c r="B3295" s="1634" t="s">
        <v>4047</v>
      </c>
    </row>
    <row r="3296" spans="1:21" hidden="1" x14ac:dyDescent="0.2">
      <c r="A3296" s="2291" t="s">
        <v>9006</v>
      </c>
      <c r="B3296" s="1634" t="s">
        <v>4095</v>
      </c>
    </row>
    <row r="3297" spans="1:21" hidden="1" x14ac:dyDescent="0.2">
      <c r="A3297" s="2291" t="s">
        <v>9007</v>
      </c>
      <c r="B3297" s="1634" t="s">
        <v>4100</v>
      </c>
    </row>
    <row r="3298" spans="1:21" hidden="1" x14ac:dyDescent="0.2">
      <c r="A3298" s="2291" t="s">
        <v>9008</v>
      </c>
      <c r="B3298" s="1634" t="s">
        <v>2322</v>
      </c>
    </row>
    <row r="3299" spans="1:21" hidden="1" x14ac:dyDescent="0.2">
      <c r="A3299" s="2291" t="s">
        <v>9009</v>
      </c>
      <c r="B3299" s="1634" t="s">
        <v>6606</v>
      </c>
    </row>
    <row r="3300" spans="1:21" hidden="1" x14ac:dyDescent="0.2">
      <c r="A3300" s="2291" t="s">
        <v>9010</v>
      </c>
      <c r="B3300" s="1634" t="s">
        <v>3</v>
      </c>
    </row>
    <row r="3301" spans="1:21" hidden="1" x14ac:dyDescent="0.2">
      <c r="A3301" s="2291" t="s">
        <v>9011</v>
      </c>
      <c r="B3301" s="1634" t="s">
        <v>1745</v>
      </c>
    </row>
    <row r="3302" spans="1:21" hidden="1" x14ac:dyDescent="0.2">
      <c r="A3302" s="2291" t="s">
        <v>9012</v>
      </c>
      <c r="B3302" s="1634" t="s">
        <v>1728</v>
      </c>
    </row>
    <row r="3303" spans="1:21" hidden="1" x14ac:dyDescent="0.2">
      <c r="A3303" s="2291" t="s">
        <v>9013</v>
      </c>
      <c r="B3303" s="1634" t="s">
        <v>2432</v>
      </c>
    </row>
    <row r="3304" spans="1:21" hidden="1" x14ac:dyDescent="0.2">
      <c r="A3304" s="2291" t="s">
        <v>9014</v>
      </c>
      <c r="B3304" s="1634" t="s">
        <v>4204</v>
      </c>
    </row>
    <row r="3305" spans="1:21" hidden="1" x14ac:dyDescent="0.2">
      <c r="A3305" s="2291" t="s">
        <v>9015</v>
      </c>
      <c r="B3305" s="1634" t="s">
        <v>351</v>
      </c>
    </row>
    <row r="3306" spans="1:21" hidden="1" x14ac:dyDescent="0.2">
      <c r="A3306" s="2291" t="s">
        <v>9016</v>
      </c>
      <c r="B3306" s="1634" t="s">
        <v>681</v>
      </c>
    </row>
    <row r="3307" spans="1:21" hidden="1" x14ac:dyDescent="0.2">
      <c r="A3307" s="2291" t="s">
        <v>9017</v>
      </c>
      <c r="B3307" s="1634" t="s">
        <v>140</v>
      </c>
    </row>
    <row r="3309" spans="1:21" hidden="1" x14ac:dyDescent="0.2">
      <c r="A3309" s="3045" t="s">
        <v>9018</v>
      </c>
      <c r="B3309" s="3047"/>
      <c r="C3309" s="3047"/>
      <c r="D3309" s="3047"/>
      <c r="E3309" s="3047"/>
      <c r="F3309" s="3047"/>
      <c r="G3309" s="3047"/>
      <c r="H3309" s="3047"/>
      <c r="I3309" s="3047"/>
      <c r="J3309" s="3047"/>
      <c r="K3309" s="3047"/>
      <c r="L3309" s="3047"/>
      <c r="M3309" s="3047"/>
      <c r="N3309" s="3047"/>
      <c r="O3309" s="3047"/>
      <c r="P3309" s="3047"/>
      <c r="Q3309" s="3047"/>
      <c r="R3309" s="3047"/>
      <c r="S3309" s="3047"/>
      <c r="T3309" s="3047"/>
      <c r="U3309" s="3047"/>
    </row>
    <row r="3310" spans="1:21" hidden="1" x14ac:dyDescent="0.2">
      <c r="A3310" s="2291" t="s">
        <v>9019</v>
      </c>
      <c r="B3310" s="1634" t="s">
        <v>3106</v>
      </c>
    </row>
    <row r="3311" spans="1:21" hidden="1" x14ac:dyDescent="0.2">
      <c r="A3311" s="2291" t="s">
        <v>9020</v>
      </c>
      <c r="B3311" s="1634" t="s">
        <v>4173</v>
      </c>
    </row>
    <row r="3312" spans="1:21" hidden="1" x14ac:dyDescent="0.2">
      <c r="A3312" s="2291" t="s">
        <v>9021</v>
      </c>
      <c r="B3312" s="1634" t="s">
        <v>4708</v>
      </c>
    </row>
    <row r="3313" spans="1:21" hidden="1" x14ac:dyDescent="0.2">
      <c r="A3313" s="2291" t="s">
        <v>9022</v>
      </c>
      <c r="B3313" s="1634" t="s">
        <v>4710</v>
      </c>
    </row>
    <row r="3314" spans="1:21" hidden="1" x14ac:dyDescent="0.2">
      <c r="A3314" s="2291" t="s">
        <v>9023</v>
      </c>
      <c r="B3314" s="1634" t="s">
        <v>4712</v>
      </c>
    </row>
    <row r="3315" spans="1:21" hidden="1" x14ac:dyDescent="0.2">
      <c r="A3315" s="2291" t="s">
        <v>9024</v>
      </c>
      <c r="B3315" s="1634" t="s">
        <v>4714</v>
      </c>
    </row>
    <row r="3316" spans="1:21" hidden="1" x14ac:dyDescent="0.2">
      <c r="A3316" s="2291" t="s">
        <v>9025</v>
      </c>
      <c r="B3316" s="1634" t="s">
        <v>5476</v>
      </c>
    </row>
    <row r="3317" spans="1:21" hidden="1" x14ac:dyDescent="0.2">
      <c r="A3317" s="2291" t="s">
        <v>9026</v>
      </c>
      <c r="B3317" s="1634" t="s">
        <v>4716</v>
      </c>
    </row>
    <row r="3318" spans="1:21" hidden="1" x14ac:dyDescent="0.2">
      <c r="A3318" s="2291" t="s">
        <v>9027</v>
      </c>
      <c r="B3318" s="1634" t="s">
        <v>2921</v>
      </c>
    </row>
    <row r="3319" spans="1:21" hidden="1" x14ac:dyDescent="0.2">
      <c r="A3319" s="2291" t="s">
        <v>9028</v>
      </c>
      <c r="B3319" s="1634" t="s">
        <v>3301</v>
      </c>
    </row>
    <row r="3320" spans="1:21" hidden="1" x14ac:dyDescent="0.2">
      <c r="A3320" s="2291" t="s">
        <v>9029</v>
      </c>
      <c r="B3320" s="1634" t="s">
        <v>5477</v>
      </c>
    </row>
    <row r="3321" spans="1:21" hidden="1" x14ac:dyDescent="0.2">
      <c r="A3321" s="2291" t="s">
        <v>9030</v>
      </c>
      <c r="B3321" s="1634" t="s">
        <v>6437</v>
      </c>
    </row>
    <row r="3322" spans="1:21" hidden="1" x14ac:dyDescent="0.2">
      <c r="A3322" s="2291" t="s">
        <v>9031</v>
      </c>
      <c r="B3322" s="1634" t="s">
        <v>1782</v>
      </c>
    </row>
    <row r="3323" spans="1:21" hidden="1" x14ac:dyDescent="0.2">
      <c r="A3323" s="2291" t="s">
        <v>9032</v>
      </c>
      <c r="B3323" s="1634" t="s">
        <v>3493</v>
      </c>
    </row>
    <row r="3324" spans="1:21" hidden="1" x14ac:dyDescent="0.2">
      <c r="A3324" s="2291" t="s">
        <v>9033</v>
      </c>
      <c r="B3324" s="1634" t="s">
        <v>3497</v>
      </c>
    </row>
    <row r="3325" spans="1:21" hidden="1" x14ac:dyDescent="0.2">
      <c r="A3325" s="2291" t="s">
        <v>9034</v>
      </c>
      <c r="B3325" s="1634" t="s">
        <v>3397</v>
      </c>
    </row>
    <row r="3327" spans="1:21" hidden="1" x14ac:dyDescent="0.2">
      <c r="A3327" s="3042" t="s">
        <v>9035</v>
      </c>
      <c r="B3327" s="3043"/>
      <c r="C3327" s="3043"/>
      <c r="D3327" s="3043"/>
      <c r="E3327" s="3043"/>
      <c r="F3327" s="3043"/>
      <c r="G3327" s="3043"/>
      <c r="H3327" s="3043"/>
      <c r="I3327" s="3043"/>
      <c r="J3327" s="3043"/>
      <c r="K3327" s="3043"/>
      <c r="L3327" s="3043"/>
      <c r="M3327" s="3043"/>
      <c r="N3327" s="3043"/>
      <c r="O3327" s="3043"/>
      <c r="P3327" s="3043"/>
      <c r="Q3327" s="3043"/>
      <c r="R3327" s="3043"/>
      <c r="S3327" s="3043"/>
      <c r="T3327" s="3043"/>
      <c r="U3327" s="3043"/>
    </row>
    <row r="3329" spans="1:6" hidden="1" x14ac:dyDescent="0.2">
      <c r="A3329" s="2291" t="s">
        <v>9036</v>
      </c>
      <c r="B3329" s="1634" t="s">
        <v>6672</v>
      </c>
    </row>
    <row r="3330" spans="1:6" hidden="1" x14ac:dyDescent="0.2">
      <c r="A3330" s="2291" t="s">
        <v>9037</v>
      </c>
      <c r="B3330" s="1634" t="s">
        <v>6683</v>
      </c>
    </row>
    <row r="3331" spans="1:6" hidden="1" x14ac:dyDescent="0.2">
      <c r="A3331" s="2291" t="s">
        <v>9038</v>
      </c>
      <c r="B3331" s="1634" t="s">
        <v>5471</v>
      </c>
      <c r="C3331" s="1634" t="s">
        <v>2715</v>
      </c>
      <c r="D3331" s="1634" t="s">
        <v>2716</v>
      </c>
      <c r="E3331" s="1634" t="s">
        <v>861</v>
      </c>
      <c r="F3331" s="1634" t="s">
        <v>6609</v>
      </c>
    </row>
    <row r="3332" spans="1:6" hidden="1" x14ac:dyDescent="0.2">
      <c r="A3332" s="2291" t="s">
        <v>9039</v>
      </c>
      <c r="B3332" s="1634" t="s">
        <v>2722</v>
      </c>
      <c r="C3332" s="1634" t="s">
        <v>2723</v>
      </c>
      <c r="D3332" s="1634" t="s">
        <v>5693</v>
      </c>
      <c r="E3332" s="1634" t="s">
        <v>863</v>
      </c>
      <c r="F3332" s="1634" t="s">
        <v>6611</v>
      </c>
    </row>
    <row r="3333" spans="1:6" hidden="1" x14ac:dyDescent="0.2">
      <c r="A3333" s="2291" t="s">
        <v>9040</v>
      </c>
      <c r="B3333" s="1634" t="s">
        <v>4028</v>
      </c>
      <c r="C3333" s="1634" t="s">
        <v>1061</v>
      </c>
      <c r="D3333" s="1634" t="s">
        <v>5694</v>
      </c>
      <c r="E3333" s="1634" t="s">
        <v>865</v>
      </c>
      <c r="F3333" s="1634" t="s">
        <v>6613</v>
      </c>
    </row>
    <row r="3334" spans="1:6" hidden="1" x14ac:dyDescent="0.2">
      <c r="A3334" s="2291" t="s">
        <v>9041</v>
      </c>
      <c r="B3334" s="1634" t="s">
        <v>4034</v>
      </c>
      <c r="C3334" s="1634" t="s">
        <v>3099</v>
      </c>
      <c r="D3334" s="1634" t="s">
        <v>4035</v>
      </c>
      <c r="E3334" s="1634" t="s">
        <v>867</v>
      </c>
      <c r="F3334" s="1634" t="s">
        <v>6615</v>
      </c>
    </row>
    <row r="3335" spans="1:6" hidden="1" x14ac:dyDescent="0.2">
      <c r="A3335" s="2291" t="s">
        <v>9042</v>
      </c>
      <c r="B3335" s="1634" t="s">
        <v>4041</v>
      </c>
      <c r="C3335" s="1634" t="s">
        <v>3106</v>
      </c>
      <c r="D3335" s="1634" t="s">
        <v>5696</v>
      </c>
      <c r="E3335" s="1634" t="s">
        <v>869</v>
      </c>
      <c r="F3335" s="1634" t="s">
        <v>6617</v>
      </c>
    </row>
    <row r="3336" spans="1:6" hidden="1" x14ac:dyDescent="0.2">
      <c r="A3336" s="2291" t="s">
        <v>9043</v>
      </c>
      <c r="B3336" s="1634" t="s">
        <v>5472</v>
      </c>
      <c r="C3336" s="1634" t="s">
        <v>553</v>
      </c>
      <c r="D3336" s="1634" t="s">
        <v>4704</v>
      </c>
      <c r="E3336" s="1634" t="s">
        <v>871</v>
      </c>
      <c r="F3336" s="1634" t="s">
        <v>6619</v>
      </c>
    </row>
    <row r="3337" spans="1:6" hidden="1" x14ac:dyDescent="0.2">
      <c r="A3337" s="2291" t="s">
        <v>9044</v>
      </c>
      <c r="B3337" s="1634" t="s">
        <v>4174</v>
      </c>
      <c r="C3337" s="1634" t="s">
        <v>561</v>
      </c>
      <c r="D3337" s="1634" t="s">
        <v>4706</v>
      </c>
      <c r="E3337" s="1634" t="s">
        <v>3008</v>
      </c>
      <c r="F3337" s="1634" t="s">
        <v>6621</v>
      </c>
    </row>
    <row r="3338" spans="1:6" hidden="1" x14ac:dyDescent="0.2">
      <c r="A3338" s="2291" t="s">
        <v>9045</v>
      </c>
      <c r="B3338" s="1634" t="s">
        <v>5473</v>
      </c>
      <c r="C3338" s="1634" t="s">
        <v>2022</v>
      </c>
      <c r="D3338" s="1634" t="s">
        <v>5474</v>
      </c>
      <c r="E3338" s="1634" t="s">
        <v>3010</v>
      </c>
      <c r="F3338" s="1634" t="s">
        <v>6623</v>
      </c>
    </row>
    <row r="3339" spans="1:6" hidden="1" x14ac:dyDescent="0.2">
      <c r="A3339" s="2291" t="s">
        <v>9046</v>
      </c>
      <c r="B3339" s="1634" t="s">
        <v>6678</v>
      </c>
      <c r="C3339" s="1634" t="s">
        <v>2029</v>
      </c>
      <c r="D3339" s="1634" t="s">
        <v>4708</v>
      </c>
      <c r="E3339" s="1634" t="s">
        <v>6460</v>
      </c>
      <c r="F3339" s="1634" t="s">
        <v>3132</v>
      </c>
    </row>
    <row r="3340" spans="1:6" hidden="1" x14ac:dyDescent="0.2">
      <c r="A3340" s="2291" t="s">
        <v>9047</v>
      </c>
      <c r="B3340" s="1634" t="s">
        <v>5475</v>
      </c>
      <c r="C3340" s="1634" t="s">
        <v>3423</v>
      </c>
      <c r="D3340" s="1634" t="s">
        <v>4710</v>
      </c>
      <c r="E3340" s="1634" t="s">
        <v>6462</v>
      </c>
      <c r="F3340" s="1634" t="s">
        <v>4045</v>
      </c>
    </row>
    <row r="3341" spans="1:6" hidden="1" x14ac:dyDescent="0.2">
      <c r="A3341" s="2291" t="s">
        <v>9048</v>
      </c>
      <c r="B3341" s="1634" t="s">
        <v>6689</v>
      </c>
      <c r="C3341" s="1634" t="s">
        <v>5424</v>
      </c>
      <c r="D3341" s="1634" t="s">
        <v>4712</v>
      </c>
      <c r="E3341" s="1634" t="s">
        <v>6464</v>
      </c>
      <c r="F3341" s="1634" t="s">
        <v>4047</v>
      </c>
    </row>
    <row r="3342" spans="1:6" hidden="1" x14ac:dyDescent="0.2">
      <c r="A3342" s="2291" t="s">
        <v>9049</v>
      </c>
      <c r="B3342" s="1634" t="s">
        <v>4094</v>
      </c>
      <c r="C3342" s="1634" t="s">
        <v>5430</v>
      </c>
      <c r="D3342" s="1634" t="s">
        <v>4714</v>
      </c>
      <c r="E3342" s="1634" t="s">
        <v>2911</v>
      </c>
      <c r="F3342" s="1634" t="s">
        <v>4095</v>
      </c>
    </row>
    <row r="3343" spans="1:6" hidden="1" x14ac:dyDescent="0.2">
      <c r="A3343" s="2291" t="s">
        <v>9050</v>
      </c>
      <c r="B3343" s="1634" t="s">
        <v>4099</v>
      </c>
      <c r="C3343" s="1634" t="s">
        <v>2154</v>
      </c>
      <c r="D3343" s="1634" t="s">
        <v>5476</v>
      </c>
      <c r="E3343" s="1634" t="s">
        <v>2913</v>
      </c>
      <c r="F3343" s="1634" t="s">
        <v>4100</v>
      </c>
    </row>
    <row r="3344" spans="1:6" hidden="1" x14ac:dyDescent="0.2">
      <c r="A3344" s="2291" t="s">
        <v>9051</v>
      </c>
      <c r="B3344" s="1634" t="s">
        <v>4104</v>
      </c>
      <c r="C3344" s="1634" t="s">
        <v>2161</v>
      </c>
      <c r="D3344" s="1634" t="s">
        <v>4716</v>
      </c>
      <c r="E3344" s="1634" t="s">
        <v>2915</v>
      </c>
      <c r="F3344" s="1634" t="s">
        <v>4105</v>
      </c>
    </row>
    <row r="3345" spans="1:7" hidden="1" x14ac:dyDescent="0.2">
      <c r="A3345" s="2291" t="s">
        <v>9052</v>
      </c>
      <c r="B3345" s="1634" t="s">
        <v>2321</v>
      </c>
      <c r="C3345" s="1634" t="s">
        <v>2168</v>
      </c>
      <c r="D3345" s="1634" t="s">
        <v>6426</v>
      </c>
      <c r="E3345" s="1634" t="s">
        <v>2917</v>
      </c>
      <c r="F3345" s="1634" t="s">
        <v>2322</v>
      </c>
    </row>
    <row r="3346" spans="1:7" hidden="1" x14ac:dyDescent="0.2">
      <c r="A3346" s="2291" t="s">
        <v>9053</v>
      </c>
      <c r="B3346" s="1634" t="s">
        <v>2326</v>
      </c>
      <c r="C3346" s="1634" t="s">
        <v>2174</v>
      </c>
      <c r="D3346" s="1634" t="s">
        <v>6428</v>
      </c>
      <c r="E3346" s="1634" t="s">
        <v>2919</v>
      </c>
      <c r="F3346" s="1634" t="s">
        <v>2327</v>
      </c>
    </row>
    <row r="3347" spans="1:7" hidden="1" x14ac:dyDescent="0.2">
      <c r="A3347" s="2291" t="s">
        <v>9054</v>
      </c>
      <c r="B3347" s="1634" t="s">
        <v>6605</v>
      </c>
      <c r="C3347" s="1634" t="s">
        <v>2181</v>
      </c>
      <c r="D3347" s="1634" t="s">
        <v>6430</v>
      </c>
      <c r="E3347" s="1634" t="s">
        <v>1575</v>
      </c>
      <c r="F3347" s="1634" t="s">
        <v>6606</v>
      </c>
    </row>
    <row r="3348" spans="1:7" hidden="1" x14ac:dyDescent="0.2">
      <c r="A3348" s="2291" t="s">
        <v>9055</v>
      </c>
      <c r="B3348" s="1634" t="s">
        <v>2</v>
      </c>
      <c r="C3348" s="1634" t="s">
        <v>2188</v>
      </c>
      <c r="D3348" s="1634" t="s">
        <v>2921</v>
      </c>
      <c r="E3348" s="1634" t="s">
        <v>4078</v>
      </c>
      <c r="F3348" s="1634" t="s">
        <v>3</v>
      </c>
    </row>
    <row r="3349" spans="1:7" hidden="1" x14ac:dyDescent="0.2">
      <c r="A3349" s="2291" t="s">
        <v>9056</v>
      </c>
      <c r="B3349" s="1634" t="s">
        <v>1744</v>
      </c>
      <c r="C3349" s="1634" t="s">
        <v>3092</v>
      </c>
      <c r="D3349" s="1634" t="s">
        <v>2923</v>
      </c>
      <c r="E3349" s="1634" t="s">
        <v>4080</v>
      </c>
      <c r="F3349" s="1634" t="s">
        <v>1745</v>
      </c>
    </row>
    <row r="3351" spans="1:7" hidden="1" x14ac:dyDescent="0.2">
      <c r="A3351" s="2291" t="s">
        <v>9057</v>
      </c>
      <c r="B3351" s="1634" t="s">
        <v>3170</v>
      </c>
    </row>
    <row r="3352" spans="1:7" hidden="1" x14ac:dyDescent="0.2">
      <c r="A3352" s="2291" t="s">
        <v>9058</v>
      </c>
      <c r="B3352" s="1634" t="s">
        <v>507</v>
      </c>
    </row>
    <row r="3353" spans="1:7" hidden="1" x14ac:dyDescent="0.2">
      <c r="A3353" s="2291" t="s">
        <v>9059</v>
      </c>
      <c r="B3353" s="1634" t="s">
        <v>5817</v>
      </c>
      <c r="C3353" s="1634" t="s">
        <v>2284</v>
      </c>
      <c r="D3353" s="1634" t="s">
        <v>6435</v>
      </c>
      <c r="E3353" s="1634" t="s">
        <v>2431</v>
      </c>
      <c r="F3353" s="1634" t="s">
        <v>2432</v>
      </c>
      <c r="G3353" s="1634" t="s">
        <v>2433</v>
      </c>
    </row>
    <row r="3354" spans="1:7" hidden="1" x14ac:dyDescent="0.2">
      <c r="A3354" s="2291" t="s">
        <v>9060</v>
      </c>
      <c r="B3354" s="1634" t="s">
        <v>1069</v>
      </c>
      <c r="C3354" s="1634" t="s">
        <v>270</v>
      </c>
      <c r="D3354" s="1634" t="s">
        <v>6437</v>
      </c>
      <c r="E3354" s="1634" t="s">
        <v>4088</v>
      </c>
      <c r="F3354" s="1634" t="s">
        <v>1070</v>
      </c>
      <c r="G3354" s="1634" t="s">
        <v>1071</v>
      </c>
    </row>
    <row r="3355" spans="1:7" hidden="1" x14ac:dyDescent="0.2">
      <c r="A3355" s="2291" t="s">
        <v>9061</v>
      </c>
      <c r="B3355" s="1634" t="s">
        <v>1075</v>
      </c>
      <c r="C3355" s="1634" t="s">
        <v>277</v>
      </c>
      <c r="D3355" s="1634" t="s">
        <v>6439</v>
      </c>
      <c r="E3355" s="1634" t="s">
        <v>1076</v>
      </c>
      <c r="F3355" s="1634" t="s">
        <v>4204</v>
      </c>
      <c r="G3355" s="1634" t="s">
        <v>4205</v>
      </c>
    </row>
    <row r="3356" spans="1:7" hidden="1" x14ac:dyDescent="0.2">
      <c r="A3356" s="2291" t="s">
        <v>9062</v>
      </c>
      <c r="B3356" s="1634" t="s">
        <v>1781</v>
      </c>
      <c r="C3356" s="1634" t="s">
        <v>2946</v>
      </c>
      <c r="D3356" s="1634" t="s">
        <v>1782</v>
      </c>
      <c r="E3356" s="1634" t="s">
        <v>1783</v>
      </c>
      <c r="F3356" s="1634" t="s">
        <v>1784</v>
      </c>
      <c r="G3356" s="1634" t="s">
        <v>3778</v>
      </c>
    </row>
    <row r="3357" spans="1:7" hidden="1" x14ac:dyDescent="0.2">
      <c r="A3357" s="2291" t="s">
        <v>9063</v>
      </c>
      <c r="B3357" s="1634" t="s">
        <v>2668</v>
      </c>
      <c r="C3357" s="1634" t="s">
        <v>2669</v>
      </c>
      <c r="D3357" s="1634" t="s">
        <v>5478</v>
      </c>
      <c r="E3357" s="1634" t="s">
        <v>2670</v>
      </c>
      <c r="F3357" s="1634" t="s">
        <v>2671</v>
      </c>
      <c r="G3357" s="1634" t="s">
        <v>2672</v>
      </c>
    </row>
    <row r="3358" spans="1:7" hidden="1" x14ac:dyDescent="0.2">
      <c r="A3358" s="2291" t="s">
        <v>9064</v>
      </c>
      <c r="B3358" s="1634" t="s">
        <v>663</v>
      </c>
      <c r="C3358" s="1634" t="s">
        <v>664</v>
      </c>
      <c r="D3358" s="1634" t="s">
        <v>665</v>
      </c>
      <c r="E3358" s="1634" t="s">
        <v>666</v>
      </c>
      <c r="F3358" s="1634" t="s">
        <v>351</v>
      </c>
      <c r="G3358" s="1634" t="s">
        <v>667</v>
      </c>
    </row>
    <row r="3359" spans="1:7" hidden="1" x14ac:dyDescent="0.2">
      <c r="A3359" s="2291" t="s">
        <v>9065</v>
      </c>
      <c r="B3359" s="1634" t="s">
        <v>673</v>
      </c>
      <c r="C3359" s="1634" t="s">
        <v>674</v>
      </c>
      <c r="D3359" s="1634" t="s">
        <v>5479</v>
      </c>
      <c r="E3359" s="1634" t="s">
        <v>3493</v>
      </c>
      <c r="F3359" s="1634" t="s">
        <v>353</v>
      </c>
      <c r="G3359" s="1634" t="s">
        <v>675</v>
      </c>
    </row>
    <row r="3360" spans="1:7" hidden="1" x14ac:dyDescent="0.2">
      <c r="A3360" s="2291" t="s">
        <v>9066</v>
      </c>
      <c r="B3360" s="1634" t="s">
        <v>679</v>
      </c>
      <c r="C3360" s="1634" t="s">
        <v>680</v>
      </c>
      <c r="D3360" s="1634" t="s">
        <v>6442</v>
      </c>
      <c r="E3360" s="1634" t="s">
        <v>3495</v>
      </c>
      <c r="F3360" s="1634" t="s">
        <v>681</v>
      </c>
      <c r="G3360" s="1634" t="s">
        <v>682</v>
      </c>
    </row>
    <row r="3361" spans="1:7" hidden="1" x14ac:dyDescent="0.2">
      <c r="A3361" s="2291" t="s">
        <v>9067</v>
      </c>
      <c r="B3361" s="1634" t="s">
        <v>687</v>
      </c>
      <c r="C3361" s="1634" t="s">
        <v>688</v>
      </c>
      <c r="D3361" s="1634" t="s">
        <v>6445</v>
      </c>
      <c r="E3361" s="1634" t="s">
        <v>3497</v>
      </c>
      <c r="F3361" s="1634" t="s">
        <v>689</v>
      </c>
      <c r="G3361" s="1634" t="s">
        <v>3677</v>
      </c>
    </row>
    <row r="3362" spans="1:7" hidden="1" x14ac:dyDescent="0.2">
      <c r="A3362" s="2291" t="s">
        <v>9068</v>
      </c>
      <c r="B3362" s="1634" t="s">
        <v>2562</v>
      </c>
      <c r="C3362" s="1634" t="s">
        <v>2193</v>
      </c>
      <c r="D3362" s="1634" t="s">
        <v>6448</v>
      </c>
      <c r="E3362" s="1634" t="s">
        <v>139</v>
      </c>
      <c r="F3362" s="1634" t="s">
        <v>140</v>
      </c>
      <c r="G3362" s="1634" t="s">
        <v>2925</v>
      </c>
    </row>
    <row r="3363" spans="1:7" hidden="1" x14ac:dyDescent="0.2">
      <c r="A3363" s="2291" t="s">
        <v>9069</v>
      </c>
      <c r="B3363" s="1634" t="s">
        <v>3394</v>
      </c>
      <c r="C3363" s="1634" t="s">
        <v>3395</v>
      </c>
      <c r="D3363" s="1634" t="s">
        <v>3396</v>
      </c>
      <c r="E3363" s="1634" t="s">
        <v>3397</v>
      </c>
      <c r="F3363" s="1634" t="s">
        <v>3398</v>
      </c>
      <c r="G3363" s="1634" t="s">
        <v>2384</v>
      </c>
    </row>
    <row r="3364" spans="1:7" hidden="1" x14ac:dyDescent="0.2">
      <c r="A3364" s="2291" t="s">
        <v>9070</v>
      </c>
      <c r="B3364" s="1634" t="s">
        <v>508</v>
      </c>
      <c r="C3364" s="1634" t="s">
        <v>509</v>
      </c>
      <c r="D3364" s="1634" t="s">
        <v>6450</v>
      </c>
      <c r="E3364" s="1634" t="s">
        <v>3501</v>
      </c>
      <c r="F3364" s="1634" t="s">
        <v>510</v>
      </c>
      <c r="G3364" s="1634" t="s">
        <v>511</v>
      </c>
    </row>
    <row r="3365" spans="1:7" hidden="1" x14ac:dyDescent="0.2">
      <c r="A3365" s="2291" t="s">
        <v>9071</v>
      </c>
      <c r="B3365" s="1634" t="s">
        <v>1971</v>
      </c>
      <c r="C3365" s="1634" t="s">
        <v>1972</v>
      </c>
      <c r="D3365" s="1634" t="s">
        <v>6452</v>
      </c>
      <c r="E3365" s="1634" t="s">
        <v>2928</v>
      </c>
      <c r="F3365" s="1634" t="s">
        <v>2929</v>
      </c>
      <c r="G3365" s="1634" t="s">
        <v>2930</v>
      </c>
    </row>
    <row r="3366" spans="1:7" hidden="1" x14ac:dyDescent="0.2">
      <c r="A3366" s="2291" t="s">
        <v>9072</v>
      </c>
      <c r="B3366" s="1634" t="s">
        <v>3246</v>
      </c>
      <c r="C3366" s="1634" t="s">
        <v>3247</v>
      </c>
      <c r="D3366" s="1634" t="s">
        <v>4523</v>
      </c>
      <c r="E3366" s="1634" t="s">
        <v>3248</v>
      </c>
      <c r="F3366" s="1634" t="s">
        <v>3249</v>
      </c>
      <c r="G3366" s="1634" t="s">
        <v>3250</v>
      </c>
    </row>
    <row r="3367" spans="1:7" hidden="1" x14ac:dyDescent="0.2">
      <c r="A3367" s="2291" t="s">
        <v>9073</v>
      </c>
      <c r="B3367" s="1634" t="s">
        <v>5480</v>
      </c>
      <c r="C3367" s="1634" t="s">
        <v>2954</v>
      </c>
      <c r="D3367" s="1634" t="s">
        <v>3254</v>
      </c>
      <c r="E3367" s="1634" t="s">
        <v>3255</v>
      </c>
      <c r="F3367" s="1634" t="s">
        <v>3256</v>
      </c>
      <c r="G3367" s="1634" t="s">
        <v>3257</v>
      </c>
    </row>
    <row r="3368" spans="1:7" hidden="1" x14ac:dyDescent="0.2">
      <c r="A3368" s="2291" t="s">
        <v>9074</v>
      </c>
      <c r="B3368" s="1634" t="s">
        <v>799</v>
      </c>
      <c r="C3368" s="1634" t="s">
        <v>473</v>
      </c>
      <c r="D3368" s="1634" t="s">
        <v>4525</v>
      </c>
      <c r="E3368" s="1634" t="s">
        <v>800</v>
      </c>
      <c r="F3368" s="1634" t="s">
        <v>801</v>
      </c>
      <c r="G3368" s="1634" t="s">
        <v>802</v>
      </c>
    </row>
    <row r="3369" spans="1:7" hidden="1" x14ac:dyDescent="0.2">
      <c r="A3369" s="2291" t="s">
        <v>9075</v>
      </c>
      <c r="B3369" s="1634" t="s">
        <v>807</v>
      </c>
      <c r="C3369" s="1634" t="s">
        <v>6470</v>
      </c>
      <c r="D3369" s="1634" t="s">
        <v>465</v>
      </c>
      <c r="E3369" s="1634" t="s">
        <v>808</v>
      </c>
      <c r="F3369" s="1634" t="s">
        <v>809</v>
      </c>
      <c r="G3369" s="1634" t="s">
        <v>810</v>
      </c>
    </row>
    <row r="3370" spans="1:7" hidden="1" x14ac:dyDescent="0.2">
      <c r="A3370" s="2291" t="s">
        <v>9076</v>
      </c>
      <c r="B3370" s="1634" t="s">
        <v>814</v>
      </c>
      <c r="C3370" s="1634" t="s">
        <v>6474</v>
      </c>
      <c r="D3370" s="1634" t="s">
        <v>5728</v>
      </c>
      <c r="E3370" s="1634" t="s">
        <v>815</v>
      </c>
      <c r="F3370" s="1634" t="s">
        <v>816</v>
      </c>
      <c r="G3370" s="1634" t="s">
        <v>817</v>
      </c>
    </row>
    <row r="3371" spans="1:7" hidden="1" x14ac:dyDescent="0.2">
      <c r="A3371" s="2291" t="s">
        <v>9077</v>
      </c>
      <c r="B3371" s="1634" t="s">
        <v>822</v>
      </c>
      <c r="C3371" s="1634" t="s">
        <v>4966</v>
      </c>
      <c r="D3371" s="1634" t="s">
        <v>823</v>
      </c>
      <c r="E3371" s="1634" t="s">
        <v>824</v>
      </c>
      <c r="F3371" s="1634" t="s">
        <v>825</v>
      </c>
      <c r="G3371" s="1634" t="s">
        <v>537</v>
      </c>
    </row>
    <row r="3373" spans="1:7" hidden="1" x14ac:dyDescent="0.2">
      <c r="A3373" s="2291" t="s">
        <v>9078</v>
      </c>
      <c r="B3373" s="1634" t="s">
        <v>5777</v>
      </c>
    </row>
    <row r="3374" spans="1:7" hidden="1" x14ac:dyDescent="0.2">
      <c r="A3374" s="2291" t="s">
        <v>9079</v>
      </c>
      <c r="B3374" s="1634" t="s">
        <v>4299</v>
      </c>
    </row>
    <row r="3375" spans="1:7" hidden="1" x14ac:dyDescent="0.2">
      <c r="A3375" s="2291" t="s">
        <v>9080</v>
      </c>
      <c r="B3375" s="1634" t="s">
        <v>5484</v>
      </c>
      <c r="C3375" s="1634" t="s">
        <v>2376</v>
      </c>
      <c r="D3375" s="1634" t="s">
        <v>6503</v>
      </c>
      <c r="E3375" s="1634" t="s">
        <v>1919</v>
      </c>
    </row>
    <row r="3376" spans="1:7" hidden="1" x14ac:dyDescent="0.2">
      <c r="A3376" s="2291" t="s">
        <v>9081</v>
      </c>
      <c r="B3376" s="1634" t="s">
        <v>986</v>
      </c>
      <c r="C3376" s="1634" t="s">
        <v>216</v>
      </c>
      <c r="D3376" s="1634" t="s">
        <v>5218</v>
      </c>
      <c r="E3376" s="1634" t="s">
        <v>987</v>
      </c>
    </row>
    <row r="3377" spans="1:5" hidden="1" x14ac:dyDescent="0.2">
      <c r="A3377" s="2291" t="s">
        <v>9082</v>
      </c>
      <c r="B3377" s="1634" t="s">
        <v>6180</v>
      </c>
      <c r="C3377" s="1634" t="s">
        <v>6384</v>
      </c>
      <c r="D3377" s="1634" t="s">
        <v>6181</v>
      </c>
      <c r="E3377" s="1634" t="s">
        <v>6182</v>
      </c>
    </row>
    <row r="3378" spans="1:5" hidden="1" x14ac:dyDescent="0.2">
      <c r="A3378" s="2291" t="s">
        <v>9083</v>
      </c>
      <c r="B3378" s="1634" t="s">
        <v>6631</v>
      </c>
      <c r="C3378" s="1634" t="s">
        <v>6389</v>
      </c>
      <c r="D3378" s="1634" t="s">
        <v>4819</v>
      </c>
      <c r="E3378" s="1634" t="s">
        <v>720</v>
      </c>
    </row>
    <row r="3379" spans="1:5" hidden="1" x14ac:dyDescent="0.2">
      <c r="A3379" s="2291" t="s">
        <v>9084</v>
      </c>
      <c r="B3379" s="1634" t="s">
        <v>2092</v>
      </c>
      <c r="C3379" s="1634" t="s">
        <v>6394</v>
      </c>
      <c r="D3379" s="1634" t="s">
        <v>4820</v>
      </c>
      <c r="E3379" s="1634" t="s">
        <v>2093</v>
      </c>
    </row>
    <row r="3380" spans="1:5" hidden="1" x14ac:dyDescent="0.2">
      <c r="A3380" s="2291" t="s">
        <v>9085</v>
      </c>
      <c r="B3380" s="1634" t="s">
        <v>5778</v>
      </c>
      <c r="C3380" s="1634" t="s">
        <v>6399</v>
      </c>
      <c r="D3380" s="1634" t="s">
        <v>4821</v>
      </c>
      <c r="E3380" s="1634" t="s">
        <v>5779</v>
      </c>
    </row>
    <row r="3381" spans="1:5" hidden="1" x14ac:dyDescent="0.2">
      <c r="A3381" s="2291" t="s">
        <v>9086</v>
      </c>
      <c r="B3381" s="1634" t="s">
        <v>4549</v>
      </c>
      <c r="C3381" s="1634" t="s">
        <v>6404</v>
      </c>
      <c r="D3381" s="1634" t="s">
        <v>2230</v>
      </c>
      <c r="E3381" s="1634" t="s">
        <v>2983</v>
      </c>
    </row>
    <row r="3382" spans="1:5" hidden="1" x14ac:dyDescent="0.2">
      <c r="A3382" s="2291" t="s">
        <v>9087</v>
      </c>
      <c r="B3382" s="1634" t="s">
        <v>1791</v>
      </c>
      <c r="C3382" s="1634" t="s">
        <v>6409</v>
      </c>
      <c r="D3382" s="1634" t="s">
        <v>4837</v>
      </c>
      <c r="E3382" s="1634" t="s">
        <v>1793</v>
      </c>
    </row>
    <row r="3383" spans="1:5" hidden="1" x14ac:dyDescent="0.2">
      <c r="A3383" s="2291" t="s">
        <v>9088</v>
      </c>
      <c r="B3383" s="1634" t="s">
        <v>1794</v>
      </c>
      <c r="C3383" s="1634" t="s">
        <v>5239</v>
      </c>
      <c r="D3383" s="1634" t="s">
        <v>2235</v>
      </c>
      <c r="E3383" s="1634" t="s">
        <v>1796</v>
      </c>
    </row>
    <row r="3384" spans="1:5" hidden="1" x14ac:dyDescent="0.2">
      <c r="A3384" s="2291" t="s">
        <v>9089</v>
      </c>
      <c r="B3384" s="1634" t="s">
        <v>1797</v>
      </c>
      <c r="C3384" s="1634" t="s">
        <v>5242</v>
      </c>
      <c r="D3384" s="1634" t="s">
        <v>1798</v>
      </c>
      <c r="E3384" s="1634" t="s">
        <v>1800</v>
      </c>
    </row>
    <row r="3385" spans="1:5" hidden="1" x14ac:dyDescent="0.2">
      <c r="A3385" s="2291" t="s">
        <v>9090</v>
      </c>
      <c r="B3385" s="1634" t="s">
        <v>3401</v>
      </c>
      <c r="C3385" s="1634" t="s">
        <v>1024</v>
      </c>
      <c r="D3385" s="1634" t="s">
        <v>3402</v>
      </c>
      <c r="E3385" s="1634" t="s">
        <v>3404</v>
      </c>
    </row>
    <row r="3386" spans="1:5" hidden="1" x14ac:dyDescent="0.2">
      <c r="A3386" s="2291" t="s">
        <v>9091</v>
      </c>
      <c r="B3386" s="1634" t="s">
        <v>5897</v>
      </c>
      <c r="C3386" s="1634" t="s">
        <v>6513</v>
      </c>
      <c r="D3386" s="1634" t="s">
        <v>4822</v>
      </c>
      <c r="E3386" s="1634" t="s">
        <v>5096</v>
      </c>
    </row>
    <row r="3387" spans="1:5" hidden="1" x14ac:dyDescent="0.2">
      <c r="A3387" s="2291" t="s">
        <v>9092</v>
      </c>
      <c r="B3387" s="1634" t="s">
        <v>5102</v>
      </c>
      <c r="C3387" s="1634" t="s">
        <v>2301</v>
      </c>
      <c r="D3387" s="1634" t="s">
        <v>5103</v>
      </c>
      <c r="E3387" s="1634" t="s">
        <v>5105</v>
      </c>
    </row>
    <row r="3388" spans="1:5" hidden="1" x14ac:dyDescent="0.2">
      <c r="A3388" s="2291" t="s">
        <v>9093</v>
      </c>
      <c r="B3388" s="1634" t="s">
        <v>525</v>
      </c>
      <c r="C3388" s="1634" t="s">
        <v>2304</v>
      </c>
      <c r="D3388" s="1634" t="s">
        <v>4823</v>
      </c>
      <c r="E3388" s="1634" t="s">
        <v>2394</v>
      </c>
    </row>
    <row r="3389" spans="1:5" hidden="1" x14ac:dyDescent="0.2">
      <c r="A3389" s="2291" t="s">
        <v>9094</v>
      </c>
      <c r="B3389" s="1634" t="s">
        <v>2400</v>
      </c>
      <c r="C3389" s="1634" t="s">
        <v>2420</v>
      </c>
      <c r="D3389" s="1634" t="s">
        <v>2401</v>
      </c>
      <c r="E3389" s="1634" t="s">
        <v>2402</v>
      </c>
    </row>
    <row r="3390" spans="1:5" hidden="1" x14ac:dyDescent="0.2">
      <c r="A3390" s="2291" t="s">
        <v>9095</v>
      </c>
      <c r="B3390" s="1634" t="s">
        <v>2409</v>
      </c>
      <c r="C3390" s="1634" t="s">
        <v>2410</v>
      </c>
      <c r="D3390" s="1634" t="s">
        <v>4824</v>
      </c>
      <c r="E3390" s="1634" t="s">
        <v>2412</v>
      </c>
    </row>
    <row r="3391" spans="1:5" hidden="1" x14ac:dyDescent="0.2">
      <c r="A3391" s="2291" t="s">
        <v>9096</v>
      </c>
      <c r="B3391" s="1634" t="s">
        <v>2629</v>
      </c>
      <c r="C3391" s="1634" t="s">
        <v>2630</v>
      </c>
      <c r="D3391" s="1634" t="s">
        <v>2631</v>
      </c>
      <c r="E3391" s="1634" t="s">
        <v>2633</v>
      </c>
    </row>
    <row r="3392" spans="1:5" hidden="1" x14ac:dyDescent="0.2">
      <c r="A3392" s="2291" t="s">
        <v>9097</v>
      </c>
      <c r="B3392" s="1634" t="s">
        <v>2640</v>
      </c>
      <c r="C3392" s="1634" t="s">
        <v>2641</v>
      </c>
      <c r="D3392" s="1634" t="s">
        <v>4825</v>
      </c>
      <c r="E3392" s="1634" t="s">
        <v>3965</v>
      </c>
    </row>
    <row r="3393" spans="1:21" hidden="1" x14ac:dyDescent="0.2">
      <c r="A3393" s="2291" t="s">
        <v>9098</v>
      </c>
      <c r="B3393" s="1634" t="s">
        <v>6584</v>
      </c>
      <c r="C3393" s="1634" t="s">
        <v>6585</v>
      </c>
      <c r="D3393" s="1634" t="s">
        <v>6586</v>
      </c>
      <c r="E3393" s="1634" t="s">
        <v>6588</v>
      </c>
    </row>
    <row r="3395" spans="1:21" hidden="1" x14ac:dyDescent="0.2">
      <c r="A3395" s="2291" t="s">
        <v>9099</v>
      </c>
      <c r="B3395" s="1634" t="s">
        <v>2448</v>
      </c>
    </row>
    <row r="3396" spans="1:21" hidden="1" x14ac:dyDescent="0.2">
      <c r="A3396" s="2291" t="s">
        <v>9100</v>
      </c>
      <c r="B3396" s="1634" t="s">
        <v>3673</v>
      </c>
    </row>
    <row r="3398" spans="1:21" hidden="1" x14ac:dyDescent="0.2">
      <c r="A3398" s="3042" t="s">
        <v>9680</v>
      </c>
      <c r="B3398" s="3043"/>
      <c r="C3398" s="3043"/>
      <c r="D3398" s="3043"/>
      <c r="E3398" s="3043"/>
      <c r="F3398" s="3043"/>
      <c r="G3398" s="3043"/>
      <c r="H3398" s="3043"/>
      <c r="I3398" s="3043"/>
      <c r="J3398" s="3043"/>
      <c r="K3398" s="3043"/>
      <c r="L3398" s="3043"/>
      <c r="M3398" s="3043"/>
      <c r="N3398" s="3043"/>
      <c r="O3398" s="3043"/>
      <c r="P3398" s="3043"/>
      <c r="Q3398" s="3043"/>
      <c r="R3398" s="3043"/>
      <c r="S3398" s="3043"/>
      <c r="T3398" s="3043"/>
      <c r="U3398" s="3043"/>
    </row>
    <row r="3399" spans="1:21" hidden="1" x14ac:dyDescent="0.2">
      <c r="A3399" s="2307" t="s">
        <v>9681</v>
      </c>
      <c r="B3399" s="2302" t="s">
        <v>9682</v>
      </c>
      <c r="C3399" s="2302"/>
      <c r="D3399" s="2302"/>
      <c r="E3399" s="2302"/>
      <c r="F3399" s="2302"/>
      <c r="G3399" s="2302"/>
      <c r="H3399" s="2302"/>
      <c r="I3399" s="2302"/>
    </row>
    <row r="3400" spans="1:21" hidden="1" x14ac:dyDescent="0.2">
      <c r="A3400" s="2307" t="s">
        <v>9683</v>
      </c>
      <c r="B3400" s="2302" t="s">
        <v>9684</v>
      </c>
      <c r="C3400" s="2302"/>
      <c r="D3400" s="2302"/>
      <c r="E3400" s="2302"/>
      <c r="F3400" s="2302"/>
      <c r="G3400" s="2302"/>
      <c r="H3400" s="2302"/>
      <c r="I3400" s="2302"/>
    </row>
    <row r="3401" spans="1:21" hidden="1" x14ac:dyDescent="0.2">
      <c r="A3401" s="2307" t="s">
        <v>9685</v>
      </c>
      <c r="B3401" s="2302" t="s">
        <v>3100</v>
      </c>
      <c r="C3401" s="2302"/>
      <c r="D3401" s="2302"/>
      <c r="E3401" s="2302"/>
      <c r="F3401" s="2302"/>
      <c r="G3401" s="2302"/>
      <c r="H3401" s="2302"/>
      <c r="I3401" s="2302"/>
    </row>
    <row r="3402" spans="1:21" hidden="1" x14ac:dyDescent="0.2">
      <c r="A3402" s="2307" t="s">
        <v>9686</v>
      </c>
      <c r="B3402" s="2302" t="s">
        <v>3107</v>
      </c>
      <c r="C3402" s="2302"/>
      <c r="D3402" s="2302"/>
      <c r="E3402" s="2302"/>
      <c r="F3402" s="2302"/>
      <c r="G3402" s="2302"/>
      <c r="H3402" s="2302"/>
      <c r="I3402" s="2302"/>
    </row>
    <row r="3403" spans="1:21" hidden="1" x14ac:dyDescent="0.2">
      <c r="A3403" s="2307" t="s">
        <v>9687</v>
      </c>
      <c r="B3403" s="2302" t="s">
        <v>5061</v>
      </c>
      <c r="C3403" s="2302"/>
      <c r="D3403" s="2302"/>
      <c r="E3403" s="2302"/>
      <c r="F3403" s="2302"/>
      <c r="G3403" s="2302"/>
      <c r="H3403" s="2302"/>
      <c r="I3403" s="2302"/>
    </row>
    <row r="3404" spans="1:21" hidden="1" x14ac:dyDescent="0.2">
      <c r="A3404" s="2307" t="s">
        <v>9688</v>
      </c>
      <c r="B3404" s="2302" t="s">
        <v>5424</v>
      </c>
      <c r="C3404" s="2302" t="s">
        <v>4712</v>
      </c>
      <c r="D3404" s="2302"/>
      <c r="E3404" s="2302"/>
      <c r="F3404" s="2302"/>
      <c r="G3404" s="2302"/>
      <c r="H3404" s="2302"/>
      <c r="I3404" s="2302"/>
    </row>
    <row r="3405" spans="1:21" hidden="1" x14ac:dyDescent="0.2">
      <c r="A3405" s="2307" t="s">
        <v>9689</v>
      </c>
      <c r="B3405" s="2302" t="s">
        <v>5430</v>
      </c>
      <c r="C3405" s="2302" t="s">
        <v>4714</v>
      </c>
      <c r="D3405" s="2302"/>
      <c r="E3405" s="2302"/>
      <c r="F3405" s="2302"/>
      <c r="G3405" s="2302"/>
      <c r="H3405" s="2302"/>
      <c r="I3405" s="2302"/>
    </row>
    <row r="3406" spans="1:21" hidden="1" x14ac:dyDescent="0.2">
      <c r="A3406" s="2307" t="s">
        <v>9690</v>
      </c>
      <c r="B3406" s="2302" t="s">
        <v>2154</v>
      </c>
      <c r="C3406" s="2302" t="s">
        <v>5476</v>
      </c>
      <c r="D3406" s="2302"/>
      <c r="E3406" s="2302"/>
      <c r="F3406" s="2302"/>
      <c r="G3406" s="2302"/>
      <c r="H3406" s="2302"/>
      <c r="I3406" s="2302"/>
    </row>
    <row r="3407" spans="1:21" hidden="1" x14ac:dyDescent="0.2">
      <c r="A3407" s="2307" t="s">
        <v>9691</v>
      </c>
      <c r="B3407" s="2302" t="s">
        <v>2175</v>
      </c>
      <c r="C3407" s="2302"/>
      <c r="D3407" s="2302"/>
      <c r="E3407" s="2302"/>
      <c r="F3407" s="2302"/>
      <c r="G3407" s="2302"/>
      <c r="H3407" s="2302"/>
      <c r="I3407" s="2302"/>
    </row>
    <row r="3408" spans="1:21" hidden="1" x14ac:dyDescent="0.2">
      <c r="A3408" s="2307" t="s">
        <v>9692</v>
      </c>
      <c r="B3408" s="2302" t="s">
        <v>2182</v>
      </c>
      <c r="C3408" s="2302"/>
      <c r="D3408" s="2302"/>
      <c r="E3408" s="2302"/>
      <c r="F3408" s="2302"/>
      <c r="G3408" s="2302"/>
      <c r="H3408" s="2302"/>
      <c r="I3408" s="2302"/>
    </row>
    <row r="3409" spans="1:9" hidden="1" x14ac:dyDescent="0.2">
      <c r="A3409" s="2307" t="s">
        <v>9693</v>
      </c>
      <c r="B3409" s="2302" t="s">
        <v>2189</v>
      </c>
      <c r="C3409" s="2302"/>
      <c r="D3409" s="2302"/>
      <c r="E3409" s="2302"/>
      <c r="F3409" s="2302"/>
      <c r="G3409" s="2302"/>
      <c r="H3409" s="2302"/>
      <c r="I3409" s="2302"/>
    </row>
    <row r="3410" spans="1:9" hidden="1" x14ac:dyDescent="0.2">
      <c r="A3410" s="2307" t="s">
        <v>9694</v>
      </c>
      <c r="B3410" s="2302" t="s">
        <v>3530</v>
      </c>
      <c r="C3410" s="2302"/>
      <c r="D3410" s="2302"/>
      <c r="E3410" s="2302"/>
      <c r="F3410" s="2302"/>
      <c r="G3410" s="2302"/>
      <c r="H3410" s="2302"/>
      <c r="I3410" s="2302"/>
    </row>
    <row r="3411" spans="1:9" hidden="1" x14ac:dyDescent="0.2">
      <c r="A3411" s="2307" t="s">
        <v>9695</v>
      </c>
      <c r="B3411" s="2302" t="s">
        <v>3536</v>
      </c>
      <c r="C3411" s="2302"/>
      <c r="D3411" s="2302"/>
      <c r="E3411" s="2302"/>
      <c r="F3411" s="2302"/>
      <c r="G3411" s="2302"/>
      <c r="H3411" s="2302"/>
      <c r="I3411" s="2302"/>
    </row>
    <row r="3412" spans="1:9" hidden="1" x14ac:dyDescent="0.2">
      <c r="A3412" s="2307" t="s">
        <v>9696</v>
      </c>
      <c r="B3412" s="2302" t="s">
        <v>3869</v>
      </c>
      <c r="C3412" s="2302"/>
      <c r="D3412" s="2302"/>
      <c r="E3412" s="2302"/>
      <c r="F3412" s="2302"/>
      <c r="G3412" s="2302"/>
      <c r="H3412" s="2302"/>
      <c r="I3412" s="2302"/>
    </row>
    <row r="3413" spans="1:9" hidden="1" x14ac:dyDescent="0.2">
      <c r="A3413" s="2307" t="s">
        <v>9697</v>
      </c>
      <c r="B3413" s="2302" t="s">
        <v>3872</v>
      </c>
      <c r="C3413" s="2302"/>
      <c r="D3413" s="2302"/>
      <c r="E3413" s="2302"/>
      <c r="F3413" s="2302"/>
      <c r="G3413" s="2302"/>
      <c r="H3413" s="2302"/>
      <c r="I3413" s="2302"/>
    </row>
    <row r="3414" spans="1:9" hidden="1" x14ac:dyDescent="0.2">
      <c r="A3414" s="2307" t="s">
        <v>9698</v>
      </c>
      <c r="B3414" s="2302" t="s">
        <v>278</v>
      </c>
      <c r="C3414" s="2302"/>
      <c r="D3414" s="2302"/>
      <c r="E3414" s="2302"/>
      <c r="F3414" s="2302"/>
      <c r="G3414" s="2302"/>
      <c r="H3414" s="2302"/>
      <c r="I3414" s="2302"/>
    </row>
    <row r="3415" spans="1:9" hidden="1" x14ac:dyDescent="0.2">
      <c r="A3415" s="2307" t="s">
        <v>9699</v>
      </c>
      <c r="B3415" s="2302" t="s">
        <v>2947</v>
      </c>
      <c r="C3415" s="2302"/>
      <c r="D3415" s="2302"/>
      <c r="E3415" s="2302"/>
      <c r="F3415" s="2302"/>
      <c r="G3415" s="2302"/>
      <c r="H3415" s="2302"/>
      <c r="I3415" s="2302"/>
    </row>
    <row r="3416" spans="1:9" hidden="1" x14ac:dyDescent="0.2">
      <c r="A3416" s="2307" t="s">
        <v>9700</v>
      </c>
      <c r="B3416" s="2302" t="s">
        <v>6031</v>
      </c>
      <c r="C3416" s="2302"/>
      <c r="D3416" s="2302"/>
      <c r="E3416" s="2302"/>
      <c r="F3416" s="2302"/>
      <c r="G3416" s="2302"/>
      <c r="H3416" s="2302"/>
      <c r="I3416" s="2302"/>
    </row>
    <row r="3417" spans="1:9" hidden="1" x14ac:dyDescent="0.2">
      <c r="A3417" s="2307" t="s">
        <v>9701</v>
      </c>
      <c r="B3417" s="2302" t="s">
        <v>3170</v>
      </c>
      <c r="C3417" s="2302" t="s">
        <v>140</v>
      </c>
      <c r="D3417" s="2302" t="s">
        <v>2925</v>
      </c>
      <c r="E3417" s="2302" t="s">
        <v>2926</v>
      </c>
      <c r="F3417" s="2302" t="s">
        <v>2194</v>
      </c>
      <c r="G3417" s="2302" t="s">
        <v>6794</v>
      </c>
      <c r="H3417" s="2302" t="s">
        <v>2684</v>
      </c>
      <c r="I3417" s="2302" t="s">
        <v>2685</v>
      </c>
    </row>
    <row r="3418" spans="1:9" hidden="1" x14ac:dyDescent="0.2">
      <c r="A3418" s="2307" t="s">
        <v>9702</v>
      </c>
      <c r="B3418" s="2302" t="s">
        <v>3499</v>
      </c>
      <c r="C3418" s="2302" t="s">
        <v>3398</v>
      </c>
      <c r="D3418" s="2302" t="s">
        <v>2384</v>
      </c>
      <c r="E3418" s="2302" t="s">
        <v>2227</v>
      </c>
      <c r="F3418" s="2302" t="s">
        <v>2385</v>
      </c>
      <c r="G3418" s="2302" t="s">
        <v>6032</v>
      </c>
      <c r="H3418" s="2302" t="s">
        <v>2687</v>
      </c>
      <c r="I3418" s="2302" t="s">
        <v>2688</v>
      </c>
    </row>
    <row r="3419" spans="1:9" hidden="1" x14ac:dyDescent="0.2">
      <c r="A3419" s="2307" t="s">
        <v>9703</v>
      </c>
      <c r="B3419" s="2302" t="s">
        <v>507</v>
      </c>
      <c r="C3419" s="2302" t="s">
        <v>510</v>
      </c>
      <c r="D3419" s="2302" t="s">
        <v>511</v>
      </c>
      <c r="E3419" s="2302" t="s">
        <v>512</v>
      </c>
      <c r="F3419" s="2302" t="s">
        <v>513</v>
      </c>
      <c r="G3419" s="2302" t="s">
        <v>4943</v>
      </c>
      <c r="H3419" s="2302" t="s">
        <v>2690</v>
      </c>
      <c r="I3419" s="2302" t="s">
        <v>2691</v>
      </c>
    </row>
    <row r="3420" spans="1:9" hidden="1" x14ac:dyDescent="0.2">
      <c r="A3420" s="2307" t="s">
        <v>9704</v>
      </c>
      <c r="B3420" s="2302" t="s">
        <v>1970</v>
      </c>
      <c r="C3420" s="2302" t="s">
        <v>2929</v>
      </c>
      <c r="D3420" s="2302" t="s">
        <v>2930</v>
      </c>
      <c r="E3420" s="2302" t="s">
        <v>1973</v>
      </c>
      <c r="F3420" s="2302" t="s">
        <v>1974</v>
      </c>
      <c r="G3420" s="2302" t="s">
        <v>6265</v>
      </c>
      <c r="H3420" s="2302" t="s">
        <v>3378</v>
      </c>
      <c r="I3420" s="2302" t="s">
        <v>7503</v>
      </c>
    </row>
    <row r="3421" spans="1:9" hidden="1" x14ac:dyDescent="0.2">
      <c r="A3421" s="2307" t="s">
        <v>9705</v>
      </c>
      <c r="B3421" s="2302" t="s">
        <v>3503</v>
      </c>
      <c r="C3421" s="2302" t="s">
        <v>3249</v>
      </c>
      <c r="D3421" s="2302" t="s">
        <v>3250</v>
      </c>
      <c r="E3421" s="2302" t="s">
        <v>3251</v>
      </c>
      <c r="F3421" s="2302" t="s">
        <v>3252</v>
      </c>
      <c r="G3421" s="2302" t="s">
        <v>3383</v>
      </c>
      <c r="H3421" s="2302" t="s">
        <v>3384</v>
      </c>
      <c r="I3421" s="2302" t="s">
        <v>7861</v>
      </c>
    </row>
    <row r="3422" spans="1:9" hidden="1" x14ac:dyDescent="0.2">
      <c r="A3422" s="2307" t="s">
        <v>9706</v>
      </c>
      <c r="B3422" s="2302" t="s">
        <v>6948</v>
      </c>
      <c r="C3422" s="2302" t="s">
        <v>3256</v>
      </c>
      <c r="D3422" s="2302" t="s">
        <v>3257</v>
      </c>
      <c r="E3422" s="2302" t="s">
        <v>700</v>
      </c>
      <c r="F3422" s="2302" t="s">
        <v>3258</v>
      </c>
      <c r="G3422" s="2302" t="s">
        <v>6266</v>
      </c>
      <c r="H3422" s="2302" t="s">
        <v>2955</v>
      </c>
      <c r="I3422" s="2302" t="s">
        <v>7864</v>
      </c>
    </row>
    <row r="3423" spans="1:9" hidden="1" x14ac:dyDescent="0.2">
      <c r="A3423" s="2307" t="s">
        <v>9707</v>
      </c>
      <c r="B3423" s="2302" t="s">
        <v>6950</v>
      </c>
      <c r="C3423" s="2302" t="s">
        <v>801</v>
      </c>
      <c r="D3423" s="2302" t="s">
        <v>802</v>
      </c>
      <c r="E3423" s="2302" t="s">
        <v>803</v>
      </c>
      <c r="F3423" s="2302" t="s">
        <v>804</v>
      </c>
      <c r="G3423" s="2302" t="s">
        <v>4334</v>
      </c>
      <c r="H3423" s="2302" t="s">
        <v>5809</v>
      </c>
      <c r="I3423" s="2302" t="s">
        <v>7867</v>
      </c>
    </row>
    <row r="3424" spans="1:9" hidden="1" x14ac:dyDescent="0.2">
      <c r="A3424" s="2307" t="s">
        <v>9708</v>
      </c>
      <c r="B3424" s="2302" t="s">
        <v>806</v>
      </c>
      <c r="C3424" s="2302" t="s">
        <v>809</v>
      </c>
      <c r="D3424" s="2302" t="s">
        <v>810</v>
      </c>
      <c r="E3424" s="2302" t="s">
        <v>1936</v>
      </c>
      <c r="F3424" s="2302" t="s">
        <v>811</v>
      </c>
      <c r="G3424" s="2302" t="s">
        <v>2218</v>
      </c>
      <c r="H3424" s="2302" t="s">
        <v>6471</v>
      </c>
      <c r="I3424" s="2302" t="s">
        <v>7870</v>
      </c>
    </row>
    <row r="3425" spans="1:9" hidden="1" x14ac:dyDescent="0.2">
      <c r="A3425" s="2307" t="s">
        <v>9709</v>
      </c>
      <c r="B3425" s="2302" t="s">
        <v>816</v>
      </c>
      <c r="C3425" s="2302" t="s">
        <v>817</v>
      </c>
      <c r="D3425" s="2302" t="s">
        <v>818</v>
      </c>
      <c r="E3425" s="2302" t="s">
        <v>819</v>
      </c>
      <c r="F3425" s="2302" t="s">
        <v>4345</v>
      </c>
      <c r="G3425" s="2302" t="s">
        <v>6475</v>
      </c>
      <c r="H3425" s="2302" t="s">
        <v>7873</v>
      </c>
    </row>
    <row r="3426" spans="1:9" hidden="1" x14ac:dyDescent="0.2">
      <c r="A3426" s="2307" t="s">
        <v>9710</v>
      </c>
      <c r="B3426" s="2302" t="s">
        <v>4791</v>
      </c>
      <c r="C3426" s="2302" t="s">
        <v>3472</v>
      </c>
      <c r="D3426" s="2302" t="s">
        <v>3360</v>
      </c>
      <c r="E3426" s="2302" t="s">
        <v>4792</v>
      </c>
      <c r="F3426" s="2302" t="s">
        <v>1811</v>
      </c>
      <c r="G3426" s="2302" t="s">
        <v>3473</v>
      </c>
      <c r="H3426" s="2302" t="s">
        <v>3474</v>
      </c>
      <c r="I3426" s="2302" t="s">
        <v>6050</v>
      </c>
    </row>
    <row r="3427" spans="1:9" hidden="1" x14ac:dyDescent="0.2">
      <c r="A3427" s="2307" t="s">
        <v>9711</v>
      </c>
      <c r="B3427" s="2302" t="s">
        <v>1918</v>
      </c>
      <c r="C3427" s="2302" t="s">
        <v>5484</v>
      </c>
      <c r="D3427" s="2302" t="s">
        <v>2376</v>
      </c>
      <c r="E3427" s="2302" t="s">
        <v>6503</v>
      </c>
      <c r="F3427" s="2302" t="s">
        <v>1813</v>
      </c>
      <c r="G3427" s="2302" t="s">
        <v>1919</v>
      </c>
      <c r="H3427" s="2302" t="s">
        <v>1920</v>
      </c>
      <c r="I3427" s="2302" t="s">
        <v>1921</v>
      </c>
    </row>
    <row r="3428" spans="1:9" hidden="1" x14ac:dyDescent="0.2">
      <c r="A3428" s="2307" t="s">
        <v>9712</v>
      </c>
      <c r="B3428" s="2302" t="s">
        <v>3458</v>
      </c>
      <c r="C3428" s="2302" t="s">
        <v>986</v>
      </c>
      <c r="D3428" s="2302" t="s">
        <v>216</v>
      </c>
      <c r="E3428" s="2302" t="s">
        <v>5218</v>
      </c>
      <c r="F3428" s="2302" t="s">
        <v>1815</v>
      </c>
      <c r="G3428" s="2302" t="s">
        <v>987</v>
      </c>
      <c r="H3428" s="2302" t="s">
        <v>1882</v>
      </c>
      <c r="I3428" s="2302" t="s">
        <v>1883</v>
      </c>
    </row>
    <row r="3429" spans="1:9" hidden="1" x14ac:dyDescent="0.2">
      <c r="A3429" s="2307" t="s">
        <v>9713</v>
      </c>
      <c r="B3429" s="2302" t="s">
        <v>1591</v>
      </c>
      <c r="C3429" s="2302" t="s">
        <v>6180</v>
      </c>
      <c r="D3429" s="2302" t="s">
        <v>6384</v>
      </c>
      <c r="E3429" s="2302" t="s">
        <v>6181</v>
      </c>
      <c r="F3429" s="2302" t="s">
        <v>406</v>
      </c>
      <c r="G3429" s="2302" t="s">
        <v>6182</v>
      </c>
      <c r="H3429" s="2302" t="s">
        <v>6183</v>
      </c>
      <c r="I3429" s="2302" t="s">
        <v>520</v>
      </c>
    </row>
    <row r="3430" spans="1:9" hidden="1" x14ac:dyDescent="0.2">
      <c r="A3430" s="2307" t="s">
        <v>9714</v>
      </c>
      <c r="B3430" s="2302" t="s">
        <v>523</v>
      </c>
      <c r="C3430" s="2302" t="s">
        <v>6631</v>
      </c>
      <c r="D3430" s="2302" t="s">
        <v>6389</v>
      </c>
      <c r="E3430" s="2302" t="s">
        <v>4819</v>
      </c>
      <c r="F3430" s="2302" t="s">
        <v>2624</v>
      </c>
      <c r="G3430" s="2302" t="s">
        <v>720</v>
      </c>
      <c r="H3430" s="2302" t="s">
        <v>721</v>
      </c>
      <c r="I3430" s="2302" t="s">
        <v>2088</v>
      </c>
    </row>
    <row r="3431" spans="1:9" hidden="1" x14ac:dyDescent="0.2">
      <c r="A3431" s="2307" t="s">
        <v>9715</v>
      </c>
      <c r="B3431" s="2302" t="s">
        <v>2092</v>
      </c>
      <c r="C3431" s="2302" t="s">
        <v>6394</v>
      </c>
      <c r="D3431" s="2302" t="s">
        <v>4820</v>
      </c>
      <c r="E3431" s="2302" t="s">
        <v>2626</v>
      </c>
      <c r="F3431" s="2302" t="s">
        <v>2093</v>
      </c>
      <c r="G3431" s="2302" t="s">
        <v>2094</v>
      </c>
      <c r="H3431" s="2302" t="s">
        <v>1555</v>
      </c>
      <c r="I3431" s="2302"/>
    </row>
    <row r="3432" spans="1:9" hidden="1" x14ac:dyDescent="0.2">
      <c r="A3432" s="2307" t="s">
        <v>9716</v>
      </c>
      <c r="B3432" s="2302" t="s">
        <v>1797</v>
      </c>
      <c r="C3432" s="2302" t="s">
        <v>5242</v>
      </c>
      <c r="D3432" s="2302" t="s">
        <v>1798</v>
      </c>
      <c r="E3432" s="2302" t="s">
        <v>1799</v>
      </c>
      <c r="F3432" s="2302"/>
      <c r="G3432" s="2302"/>
      <c r="H3432" s="2302"/>
      <c r="I3432" s="2302"/>
    </row>
    <row r="3433" spans="1:9" hidden="1" x14ac:dyDescent="0.2">
      <c r="A3433" s="2307" t="s">
        <v>9717</v>
      </c>
      <c r="B3433" s="2302" t="s">
        <v>3401</v>
      </c>
      <c r="C3433" s="2302" t="s">
        <v>1024</v>
      </c>
      <c r="D3433" s="2302" t="s">
        <v>3402</v>
      </c>
      <c r="E3433" s="2302" t="s">
        <v>3403</v>
      </c>
      <c r="F3433" s="2302"/>
      <c r="G3433" s="2302"/>
      <c r="H3433" s="2302"/>
      <c r="I3433" s="2302"/>
    </row>
    <row r="3434" spans="1:9" hidden="1" x14ac:dyDescent="0.2">
      <c r="A3434" s="2307" t="s">
        <v>9718</v>
      </c>
      <c r="B3434" s="2302" t="s">
        <v>5897</v>
      </c>
      <c r="C3434" s="2302" t="s">
        <v>6513</v>
      </c>
      <c r="D3434" s="2302" t="s">
        <v>4822</v>
      </c>
      <c r="E3434" s="2302" t="s">
        <v>5095</v>
      </c>
      <c r="F3434" s="2302"/>
      <c r="G3434" s="2302"/>
      <c r="H3434" s="2302"/>
      <c r="I3434" s="2302"/>
    </row>
    <row r="3435" spans="1:9" hidden="1" x14ac:dyDescent="0.2">
      <c r="A3435" s="2307" t="s">
        <v>9719</v>
      </c>
      <c r="B3435" s="2302" t="s">
        <v>5102</v>
      </c>
      <c r="C3435" s="2302" t="s">
        <v>2301</v>
      </c>
      <c r="D3435" s="2302" t="s">
        <v>5103</v>
      </c>
      <c r="E3435" s="2302" t="s">
        <v>5104</v>
      </c>
      <c r="F3435" s="2302"/>
      <c r="G3435" s="2302"/>
      <c r="H3435" s="2302"/>
      <c r="I3435" s="2302"/>
    </row>
    <row r="3436" spans="1:9" hidden="1" x14ac:dyDescent="0.2">
      <c r="A3436" s="2307" t="s">
        <v>9720</v>
      </c>
      <c r="B3436" s="2302" t="s">
        <v>525</v>
      </c>
      <c r="C3436" s="2302" t="s">
        <v>2304</v>
      </c>
      <c r="D3436" s="2302" t="s">
        <v>4823</v>
      </c>
      <c r="E3436" s="2302" t="s">
        <v>2393</v>
      </c>
      <c r="F3436" s="2302"/>
      <c r="G3436" s="2302"/>
      <c r="H3436" s="2302"/>
      <c r="I3436" s="2302"/>
    </row>
    <row r="3437" spans="1:9" hidden="1" x14ac:dyDescent="0.2">
      <c r="A3437" s="2307" t="s">
        <v>9721</v>
      </c>
      <c r="B3437" s="2302" t="s">
        <v>2400</v>
      </c>
      <c r="C3437" s="2302" t="s">
        <v>2420</v>
      </c>
      <c r="D3437" s="2302" t="s">
        <v>2401</v>
      </c>
      <c r="E3437" s="2302" t="s">
        <v>852</v>
      </c>
      <c r="F3437" s="2302"/>
      <c r="G3437" s="2302"/>
      <c r="H3437" s="2302"/>
      <c r="I3437" s="2302"/>
    </row>
    <row r="3438" spans="1:9" hidden="1" x14ac:dyDescent="0.2">
      <c r="A3438" s="2307" t="s">
        <v>9722</v>
      </c>
      <c r="B3438" s="2302" t="s">
        <v>2409</v>
      </c>
      <c r="C3438" s="2302" t="s">
        <v>2410</v>
      </c>
      <c r="D3438" s="2302" t="s">
        <v>4824</v>
      </c>
      <c r="E3438" s="2302" t="s">
        <v>2411</v>
      </c>
      <c r="F3438" s="2302"/>
      <c r="G3438" s="2302"/>
      <c r="H3438" s="2302"/>
      <c r="I3438" s="2302"/>
    </row>
    <row r="3439" spans="1:9" hidden="1" x14ac:dyDescent="0.2">
      <c r="A3439" s="2307" t="s">
        <v>9723</v>
      </c>
      <c r="B3439" s="2302" t="s">
        <v>2629</v>
      </c>
      <c r="C3439" s="2302" t="s">
        <v>2630</v>
      </c>
      <c r="D3439" s="2302" t="s">
        <v>2631</v>
      </c>
      <c r="E3439" s="2302" t="s">
        <v>2632</v>
      </c>
      <c r="F3439" s="2302"/>
      <c r="G3439" s="2302"/>
      <c r="H3439" s="2302"/>
      <c r="I3439" s="2302"/>
    </row>
    <row r="3440" spans="1:9" hidden="1" x14ac:dyDescent="0.2">
      <c r="A3440" s="2307" t="s">
        <v>9724</v>
      </c>
      <c r="B3440" s="2302" t="s">
        <v>2640</v>
      </c>
      <c r="C3440" s="2302" t="s">
        <v>2641</v>
      </c>
      <c r="D3440" s="2302" t="s">
        <v>4825</v>
      </c>
      <c r="E3440" s="2302" t="s">
        <v>2642</v>
      </c>
      <c r="F3440" s="2302"/>
      <c r="G3440" s="2302"/>
      <c r="H3440" s="2302"/>
      <c r="I3440" s="2302"/>
    </row>
    <row r="3441" spans="1:9" hidden="1" x14ac:dyDescent="0.2">
      <c r="A3441" s="2307" t="s">
        <v>9725</v>
      </c>
      <c r="B3441" s="2302" t="s">
        <v>6584</v>
      </c>
      <c r="C3441" s="2302" t="s">
        <v>6585</v>
      </c>
      <c r="D3441" s="2302" t="s">
        <v>6586</v>
      </c>
      <c r="E3441" s="2302" t="s">
        <v>6587</v>
      </c>
      <c r="F3441" s="2302"/>
      <c r="G3441" s="2302"/>
      <c r="H3441" s="2302"/>
      <c r="I3441" s="2302"/>
    </row>
    <row r="3442" spans="1:9" hidden="1" x14ac:dyDescent="0.2">
      <c r="A3442" s="2307" t="s">
        <v>9726</v>
      </c>
      <c r="B3442" s="2302" t="s">
        <v>6275</v>
      </c>
      <c r="C3442" s="2302" t="s">
        <v>5014</v>
      </c>
      <c r="D3442" s="2302"/>
      <c r="E3442" s="2302"/>
      <c r="F3442" s="2302"/>
      <c r="G3442" s="2302"/>
      <c r="H3442" s="2302"/>
      <c r="I3442" s="2302"/>
    </row>
    <row r="3443" spans="1:9" hidden="1" x14ac:dyDescent="0.2">
      <c r="A3443" s="2307" t="s">
        <v>9727</v>
      </c>
      <c r="B3443" s="2302" t="s">
        <v>2336</v>
      </c>
      <c r="C3443" s="2302" t="s">
        <v>2337</v>
      </c>
      <c r="D3443" s="2302" t="s">
        <v>2338</v>
      </c>
      <c r="E3443" s="2302"/>
      <c r="F3443" s="2302"/>
      <c r="G3443" s="2302"/>
      <c r="H3443" s="2302"/>
      <c r="I3443" s="2302"/>
    </row>
    <row r="3444" spans="1:9" hidden="1" x14ac:dyDescent="0.2">
      <c r="A3444" s="2307" t="s">
        <v>9728</v>
      </c>
      <c r="B3444" s="2302" t="s">
        <v>2342</v>
      </c>
      <c r="C3444" s="2302" t="s">
        <v>2343</v>
      </c>
      <c r="D3444" s="2302" t="s">
        <v>2344</v>
      </c>
      <c r="E3444" s="2302"/>
      <c r="F3444" s="2302"/>
      <c r="G3444" s="2302"/>
      <c r="H3444" s="2302"/>
      <c r="I3444" s="2302"/>
    </row>
    <row r="3445" spans="1:9" hidden="1" x14ac:dyDescent="0.2">
      <c r="A3445" s="2307" t="s">
        <v>9729</v>
      </c>
      <c r="B3445" s="2302" t="s">
        <v>2348</v>
      </c>
      <c r="C3445" s="2302" t="s">
        <v>2349</v>
      </c>
      <c r="D3445" s="2302" t="s">
        <v>2350</v>
      </c>
      <c r="E3445" s="2302"/>
      <c r="F3445" s="2302"/>
      <c r="G3445" s="2302"/>
      <c r="H3445" s="2302"/>
      <c r="I3445" s="2302"/>
    </row>
    <row r="3446" spans="1:9" hidden="1" x14ac:dyDescent="0.2">
      <c r="A3446" s="2307" t="s">
        <v>9730</v>
      </c>
      <c r="B3446" s="2302" t="s">
        <v>2354</v>
      </c>
      <c r="C3446" s="2302" t="s">
        <v>2355</v>
      </c>
      <c r="D3446" s="2302" t="s">
        <v>2356</v>
      </c>
      <c r="E3446" s="2302"/>
      <c r="F3446" s="2302"/>
      <c r="G3446" s="2302"/>
      <c r="H3446" s="2302"/>
      <c r="I3446" s="2302"/>
    </row>
    <row r="3447" spans="1:9" hidden="1" x14ac:dyDescent="0.2">
      <c r="A3447" s="2307" t="s">
        <v>9731</v>
      </c>
      <c r="B3447" s="2302" t="s">
        <v>2360</v>
      </c>
      <c r="C3447" s="2302" t="s">
        <v>2361</v>
      </c>
      <c r="D3447" s="2302" t="s">
        <v>2362</v>
      </c>
      <c r="E3447" s="2302"/>
      <c r="F3447" s="2302"/>
      <c r="G3447" s="2302"/>
      <c r="H3447" s="2302"/>
      <c r="I3447" s="2302"/>
    </row>
    <row r="3448" spans="1:9" hidden="1" x14ac:dyDescent="0.2">
      <c r="A3448" s="2307" t="s">
        <v>9732</v>
      </c>
      <c r="B3448" s="2302" t="s">
        <v>6702</v>
      </c>
      <c r="C3448" s="2302" t="s">
        <v>6703</v>
      </c>
      <c r="D3448" s="2302" t="s">
        <v>2964</v>
      </c>
      <c r="E3448" s="2302"/>
      <c r="F3448" s="2302"/>
      <c r="G3448" s="2302"/>
      <c r="H3448" s="2302"/>
      <c r="I3448" s="2302"/>
    </row>
    <row r="3449" spans="1:9" hidden="1" x14ac:dyDescent="0.2">
      <c r="A3449" s="2307" t="s">
        <v>9733</v>
      </c>
      <c r="B3449" s="2302" t="s">
        <v>6204</v>
      </c>
      <c r="C3449" s="2302" t="s">
        <v>6205</v>
      </c>
      <c r="D3449" s="2302" t="s">
        <v>5575</v>
      </c>
      <c r="E3449" s="2302"/>
      <c r="F3449" s="2302"/>
      <c r="G3449" s="2302"/>
      <c r="H3449" s="2302"/>
      <c r="I3449" s="2302"/>
    </row>
    <row r="3450" spans="1:9" hidden="1" x14ac:dyDescent="0.2">
      <c r="A3450" s="2307" t="s">
        <v>9734</v>
      </c>
      <c r="B3450" s="2302" t="s">
        <v>5579</v>
      </c>
      <c r="C3450" s="2302" t="s">
        <v>3644</v>
      </c>
      <c r="D3450" s="2302" t="s">
        <v>3645</v>
      </c>
      <c r="E3450" s="2302"/>
      <c r="F3450" s="2302"/>
      <c r="G3450" s="2302"/>
      <c r="H3450" s="2302"/>
      <c r="I3450" s="2302"/>
    </row>
    <row r="3451" spans="1:9" hidden="1" x14ac:dyDescent="0.2">
      <c r="A3451" s="2307" t="s">
        <v>9735</v>
      </c>
      <c r="B3451" s="2302" t="s">
        <v>3649</v>
      </c>
      <c r="C3451" s="2302" t="s">
        <v>3650</v>
      </c>
      <c r="D3451" s="2302" t="s">
        <v>3651</v>
      </c>
      <c r="E3451" s="2302"/>
      <c r="F3451" s="2302"/>
      <c r="G3451" s="2302"/>
      <c r="H3451" s="2302"/>
      <c r="I3451" s="2302"/>
    </row>
    <row r="3452" spans="1:9" hidden="1" x14ac:dyDescent="0.2">
      <c r="A3452" s="2307" t="s">
        <v>9736</v>
      </c>
      <c r="B3452" s="2302" t="s">
        <v>5669</v>
      </c>
      <c r="C3452" s="2302" t="s">
        <v>5670</v>
      </c>
      <c r="D3452" s="2302" t="s">
        <v>5671</v>
      </c>
      <c r="E3452" s="2302"/>
      <c r="F3452" s="2302"/>
      <c r="G3452" s="2302"/>
      <c r="H3452" s="2302"/>
      <c r="I3452" s="2302"/>
    </row>
    <row r="3453" spans="1:9" hidden="1" x14ac:dyDescent="0.2">
      <c r="A3453" s="2307" t="s">
        <v>9737</v>
      </c>
      <c r="B3453" s="2302" t="s">
        <v>5677</v>
      </c>
      <c r="C3453" s="2302"/>
      <c r="D3453" s="2302"/>
      <c r="E3453" s="2302"/>
      <c r="F3453" s="2302"/>
      <c r="G3453" s="2302"/>
      <c r="H3453" s="2302"/>
      <c r="I3453" s="2302"/>
    </row>
    <row r="3454" spans="1:9" hidden="1" x14ac:dyDescent="0.2">
      <c r="A3454" s="2307" t="s">
        <v>9738</v>
      </c>
      <c r="B3454" s="2302" t="s">
        <v>6056</v>
      </c>
      <c r="C3454" s="2302"/>
      <c r="D3454" s="2302"/>
      <c r="E3454" s="2302"/>
      <c r="F3454" s="2302"/>
      <c r="G3454" s="2302"/>
      <c r="H3454" s="2302"/>
      <c r="I3454" s="2302"/>
    </row>
    <row r="3457" spans="1:21" hidden="1" x14ac:dyDescent="0.2">
      <c r="A3457" s="3042" t="s">
        <v>9739</v>
      </c>
      <c r="B3457" s="3043"/>
      <c r="C3457" s="3043"/>
      <c r="D3457" s="3043"/>
      <c r="E3457" s="3043"/>
      <c r="F3457" s="3043"/>
      <c r="G3457" s="3043"/>
      <c r="H3457" s="3043"/>
      <c r="I3457" s="3043"/>
      <c r="J3457" s="3043"/>
      <c r="K3457" s="3043"/>
      <c r="L3457" s="3043"/>
      <c r="M3457" s="3043"/>
      <c r="N3457" s="3043"/>
      <c r="O3457" s="3043"/>
      <c r="P3457" s="3043"/>
      <c r="Q3457" s="3043"/>
      <c r="R3457" s="3043"/>
      <c r="S3457" s="3043"/>
      <c r="T3457" s="3043"/>
      <c r="U3457" s="3043"/>
    </row>
    <row r="3458" spans="1:21" hidden="1" x14ac:dyDescent="0.2">
      <c r="A3458" s="2307" t="s">
        <v>9740</v>
      </c>
      <c r="B3458" s="2302" t="s">
        <v>5692</v>
      </c>
      <c r="C3458" s="2302"/>
      <c r="D3458" s="2302"/>
      <c r="E3458" s="2302"/>
      <c r="F3458" s="2302"/>
      <c r="G3458" s="2302"/>
    </row>
    <row r="3459" spans="1:21" hidden="1" x14ac:dyDescent="0.2">
      <c r="A3459" s="2307" t="s">
        <v>9741</v>
      </c>
      <c r="B3459" s="2302" t="s">
        <v>5693</v>
      </c>
      <c r="C3459" s="2302"/>
      <c r="D3459" s="2302"/>
      <c r="E3459" s="2302"/>
      <c r="F3459" s="2302"/>
      <c r="G3459" s="2302"/>
    </row>
    <row r="3460" spans="1:21" hidden="1" x14ac:dyDescent="0.2">
      <c r="A3460" s="2307" t="s">
        <v>9742</v>
      </c>
      <c r="B3460" s="2302" t="s">
        <v>4705</v>
      </c>
      <c r="C3460" s="2302" t="s">
        <v>4173</v>
      </c>
      <c r="D3460" s="2302" t="s">
        <v>4174</v>
      </c>
      <c r="E3460" s="2302" t="s">
        <v>561</v>
      </c>
      <c r="F3460" s="2302" t="s">
        <v>4706</v>
      </c>
      <c r="G3460" s="2302" t="s">
        <v>3008</v>
      </c>
    </row>
    <row r="3461" spans="1:21" hidden="1" x14ac:dyDescent="0.2">
      <c r="A3461" s="2307" t="s">
        <v>9743</v>
      </c>
      <c r="B3461" s="2302" t="s">
        <v>2021</v>
      </c>
      <c r="C3461" s="2302" t="s">
        <v>6672</v>
      </c>
      <c r="D3461" s="2302" t="s">
        <v>5473</v>
      </c>
      <c r="E3461" s="2302" t="s">
        <v>2022</v>
      </c>
      <c r="F3461" s="2302" t="s">
        <v>5474</v>
      </c>
      <c r="G3461" s="2302" t="s">
        <v>3010</v>
      </c>
    </row>
    <row r="3462" spans="1:21" hidden="1" x14ac:dyDescent="0.2">
      <c r="A3462" s="2307" t="s">
        <v>9744</v>
      </c>
      <c r="B3462" s="2302" t="s">
        <v>4707</v>
      </c>
      <c r="C3462" s="2302" t="s">
        <v>6677</v>
      </c>
      <c r="D3462" s="2302" t="s">
        <v>6678</v>
      </c>
      <c r="E3462" s="2302" t="s">
        <v>2029</v>
      </c>
      <c r="F3462" s="2302" t="s">
        <v>4708</v>
      </c>
      <c r="G3462" s="2302" t="s">
        <v>6460</v>
      </c>
    </row>
    <row r="3463" spans="1:21" hidden="1" x14ac:dyDescent="0.2">
      <c r="A3463" s="2307" t="s">
        <v>9745</v>
      </c>
      <c r="B3463" s="2302" t="s">
        <v>4709</v>
      </c>
      <c r="C3463" s="2302" t="s">
        <v>6683</v>
      </c>
      <c r="D3463" s="2302" t="s">
        <v>5475</v>
      </c>
      <c r="E3463" s="2302" t="s">
        <v>3423</v>
      </c>
      <c r="F3463" s="2302" t="s">
        <v>4710</v>
      </c>
      <c r="G3463" s="2302" t="s">
        <v>6462</v>
      </c>
    </row>
    <row r="3464" spans="1:21" hidden="1" x14ac:dyDescent="0.2">
      <c r="A3464" s="2307" t="s">
        <v>9746</v>
      </c>
      <c r="B3464" s="2302" t="s">
        <v>4711</v>
      </c>
      <c r="C3464" s="2302" t="s">
        <v>6688</v>
      </c>
      <c r="D3464" s="2302" t="s">
        <v>6689</v>
      </c>
      <c r="E3464" s="2302" t="s">
        <v>5424</v>
      </c>
      <c r="F3464" s="2302" t="s">
        <v>4712</v>
      </c>
      <c r="G3464" s="2302" t="s">
        <v>6464</v>
      </c>
    </row>
    <row r="3465" spans="1:21" hidden="1" x14ac:dyDescent="0.2">
      <c r="A3465" s="2307" t="s">
        <v>9747</v>
      </c>
      <c r="B3465" s="2302" t="s">
        <v>4713</v>
      </c>
      <c r="C3465" s="2302" t="s">
        <v>6694</v>
      </c>
      <c r="D3465" s="2302" t="s">
        <v>4094</v>
      </c>
      <c r="E3465" s="2302" t="s">
        <v>5430</v>
      </c>
      <c r="F3465" s="2302" t="s">
        <v>4714</v>
      </c>
      <c r="G3465" s="2302" t="s">
        <v>2911</v>
      </c>
    </row>
    <row r="3466" spans="1:21" hidden="1" x14ac:dyDescent="0.2">
      <c r="A3466" s="2307" t="s">
        <v>9748</v>
      </c>
      <c r="B3466" s="2302" t="s">
        <v>2153</v>
      </c>
      <c r="C3466" s="2302" t="s">
        <v>6697</v>
      </c>
      <c r="D3466" s="2302" t="s">
        <v>4099</v>
      </c>
      <c r="E3466" s="2302" t="s">
        <v>2154</v>
      </c>
      <c r="F3466" s="2302" t="s">
        <v>5476</v>
      </c>
      <c r="G3466" s="2302" t="s">
        <v>2913</v>
      </c>
    </row>
    <row r="3467" spans="1:21" hidden="1" x14ac:dyDescent="0.2">
      <c r="A3467" s="2307" t="s">
        <v>9749</v>
      </c>
      <c r="B3467" s="2302" t="s">
        <v>4715</v>
      </c>
      <c r="C3467" s="2302" t="s">
        <v>2660</v>
      </c>
      <c r="D3467" s="2302" t="s">
        <v>4104</v>
      </c>
      <c r="E3467" s="2302" t="s">
        <v>2161</v>
      </c>
      <c r="F3467" s="2302" t="s">
        <v>4716</v>
      </c>
      <c r="G3467" s="2302" t="s">
        <v>2915</v>
      </c>
    </row>
    <row r="3468" spans="1:21" hidden="1" x14ac:dyDescent="0.2">
      <c r="A3468" s="2307" t="s">
        <v>9750</v>
      </c>
      <c r="B3468" s="2302" t="s">
        <v>4717</v>
      </c>
      <c r="C3468" s="2302" t="s">
        <v>2663</v>
      </c>
      <c r="D3468" s="2302" t="s">
        <v>2321</v>
      </c>
      <c r="E3468" s="2302" t="s">
        <v>2168</v>
      </c>
      <c r="F3468" s="2302" t="s">
        <v>6426</v>
      </c>
      <c r="G3468" s="2302" t="s">
        <v>2917</v>
      </c>
    </row>
    <row r="3469" spans="1:21" hidden="1" x14ac:dyDescent="0.2">
      <c r="A3469" s="2307" t="s">
        <v>9751</v>
      </c>
      <c r="B3469" s="2302" t="s">
        <v>6433</v>
      </c>
      <c r="C3469" s="2302" t="s">
        <v>6189</v>
      </c>
      <c r="D3469" s="2302" t="s">
        <v>3303</v>
      </c>
      <c r="E3469" s="2302" t="s">
        <v>4084</v>
      </c>
      <c r="F3469" s="2302"/>
      <c r="G3469" s="2302"/>
    </row>
    <row r="3470" spans="1:21" hidden="1" x14ac:dyDescent="0.2">
      <c r="A3470" s="2307" t="s">
        <v>9752</v>
      </c>
      <c r="B3470" s="2302" t="s">
        <v>2276</v>
      </c>
      <c r="C3470" s="2302" t="s">
        <v>2277</v>
      </c>
      <c r="D3470" s="2302" t="s">
        <v>5477</v>
      </c>
      <c r="E3470" s="2302" t="s">
        <v>4086</v>
      </c>
      <c r="F3470" s="2302"/>
      <c r="G3470" s="2302"/>
    </row>
    <row r="3471" spans="1:21" hidden="1" x14ac:dyDescent="0.2">
      <c r="A3471" s="2307" t="s">
        <v>9753</v>
      </c>
      <c r="B3471" s="2302" t="s">
        <v>6434</v>
      </c>
      <c r="C3471" s="2302" t="s">
        <v>2284</v>
      </c>
      <c r="D3471" s="2302" t="s">
        <v>6435</v>
      </c>
      <c r="E3471" s="2302" t="s">
        <v>2431</v>
      </c>
      <c r="F3471" s="2302"/>
      <c r="G3471" s="2302"/>
    </row>
    <row r="3472" spans="1:21" hidden="1" x14ac:dyDescent="0.2">
      <c r="A3472" s="2307" t="s">
        <v>9754</v>
      </c>
      <c r="B3472" s="2302" t="s">
        <v>6436</v>
      </c>
      <c r="C3472" s="2302" t="s">
        <v>270</v>
      </c>
      <c r="D3472" s="2302" t="s">
        <v>6437</v>
      </c>
      <c r="E3472" s="2302" t="s">
        <v>4088</v>
      </c>
      <c r="F3472" s="2302"/>
      <c r="G3472" s="2302"/>
    </row>
    <row r="3473" spans="1:21" hidden="1" x14ac:dyDescent="0.2">
      <c r="A3473" s="2307" t="s">
        <v>9755</v>
      </c>
      <c r="B3473" s="2302" t="s">
        <v>6438</v>
      </c>
      <c r="C3473" s="2302" t="s">
        <v>277</v>
      </c>
      <c r="D3473" s="2302" t="s">
        <v>6439</v>
      </c>
      <c r="E3473" s="2302" t="s">
        <v>1076</v>
      </c>
      <c r="F3473" s="2302"/>
      <c r="G3473" s="2302"/>
    </row>
    <row r="3474" spans="1:21" hidden="1" x14ac:dyDescent="0.2">
      <c r="A3474" s="2307" t="s">
        <v>9756</v>
      </c>
      <c r="B3474" s="2302" t="s">
        <v>2945</v>
      </c>
      <c r="C3474" s="2302" t="s">
        <v>2946</v>
      </c>
      <c r="D3474" s="2302" t="s">
        <v>1782</v>
      </c>
      <c r="E3474" s="2302" t="s">
        <v>1783</v>
      </c>
      <c r="F3474" s="2302"/>
      <c r="G3474" s="2302"/>
    </row>
    <row r="3475" spans="1:21" hidden="1" x14ac:dyDescent="0.2">
      <c r="A3475" s="2307" t="s">
        <v>9757</v>
      </c>
      <c r="B3475" s="2302" t="s">
        <v>2667</v>
      </c>
      <c r="C3475" s="2302" t="s">
        <v>2669</v>
      </c>
      <c r="D3475" s="2302" t="s">
        <v>5478</v>
      </c>
      <c r="E3475" s="2302" t="s">
        <v>2670</v>
      </c>
      <c r="F3475" s="2302"/>
      <c r="G3475" s="2302"/>
    </row>
    <row r="3476" spans="1:21" hidden="1" x14ac:dyDescent="0.2">
      <c r="A3476" s="2307" t="s">
        <v>9758</v>
      </c>
      <c r="B3476" s="2302" t="s">
        <v>661</v>
      </c>
      <c r="C3476" s="2302" t="s">
        <v>664</v>
      </c>
      <c r="D3476" s="2302" t="s">
        <v>665</v>
      </c>
      <c r="E3476" s="2302" t="s">
        <v>666</v>
      </c>
      <c r="F3476" s="2302"/>
      <c r="G3476" s="2302"/>
    </row>
    <row r="3477" spans="1:21" hidden="1" x14ac:dyDescent="0.2">
      <c r="A3477" s="2307" t="s">
        <v>9759</v>
      </c>
      <c r="B3477" s="2302" t="s">
        <v>671</v>
      </c>
      <c r="C3477" s="2302" t="s">
        <v>674</v>
      </c>
      <c r="D3477" s="2302" t="s">
        <v>5479</v>
      </c>
      <c r="E3477" s="2302" t="s">
        <v>3493</v>
      </c>
      <c r="F3477" s="2302"/>
      <c r="G3477" s="2302"/>
    </row>
    <row r="3478" spans="1:21" hidden="1" x14ac:dyDescent="0.2">
      <c r="A3478" s="2307" t="s">
        <v>9760</v>
      </c>
      <c r="B3478" s="2302" t="s">
        <v>680</v>
      </c>
      <c r="C3478" s="2302" t="s">
        <v>6442</v>
      </c>
      <c r="D3478" s="2302" t="s">
        <v>3495</v>
      </c>
      <c r="F3478" s="2302"/>
      <c r="G3478" s="2302"/>
    </row>
    <row r="3479" spans="1:21" hidden="1" x14ac:dyDescent="0.2">
      <c r="A3479" s="2307" t="s">
        <v>9761</v>
      </c>
      <c r="B3479" s="2302" t="s">
        <v>2193</v>
      </c>
      <c r="C3479" s="2302"/>
      <c r="D3479" s="2302"/>
      <c r="E3479" s="2302"/>
      <c r="F3479" s="2302"/>
      <c r="G3479" s="2302"/>
    </row>
    <row r="3484" spans="1:21" hidden="1" x14ac:dyDescent="0.2">
      <c r="A3484" s="3042" t="s">
        <v>9762</v>
      </c>
      <c r="B3484" s="3043"/>
      <c r="C3484" s="3043"/>
      <c r="D3484" s="3043"/>
      <c r="E3484" s="3043"/>
      <c r="F3484" s="3043"/>
      <c r="G3484" s="3043"/>
      <c r="H3484" s="3043"/>
      <c r="I3484" s="3043"/>
      <c r="J3484" s="3043"/>
      <c r="K3484" s="3043"/>
      <c r="L3484" s="3043"/>
      <c r="M3484" s="3043"/>
      <c r="N3484" s="3043"/>
      <c r="O3484" s="3043"/>
      <c r="P3484" s="3043"/>
      <c r="Q3484" s="3043"/>
      <c r="R3484" s="3043"/>
      <c r="S3484" s="3043"/>
      <c r="T3484" s="3043"/>
      <c r="U3484" s="3043"/>
    </row>
    <row r="3485" spans="1:21" hidden="1" x14ac:dyDescent="0.2">
      <c r="A3485" s="2307" t="s">
        <v>9763</v>
      </c>
      <c r="B3485" s="2302" t="s">
        <v>5457</v>
      </c>
      <c r="C3485" s="2302" t="s">
        <v>2615</v>
      </c>
      <c r="D3485" s="2302" t="s">
        <v>9682</v>
      </c>
    </row>
    <row r="3486" spans="1:21" hidden="1" x14ac:dyDescent="0.2">
      <c r="A3486" s="2307" t="s">
        <v>9764</v>
      </c>
      <c r="B3486" s="2302" t="s">
        <v>6609</v>
      </c>
      <c r="C3486" s="2302" t="s">
        <v>2719</v>
      </c>
      <c r="D3486" s="2302" t="s">
        <v>9684</v>
      </c>
    </row>
    <row r="3487" spans="1:21" hidden="1" x14ac:dyDescent="0.2">
      <c r="A3487" s="2307" t="s">
        <v>9765</v>
      </c>
      <c r="B3487" s="2302" t="s">
        <v>6611</v>
      </c>
      <c r="C3487" s="2302" t="s">
        <v>4025</v>
      </c>
      <c r="D3487" s="2302" t="s">
        <v>7849</v>
      </c>
    </row>
    <row r="3488" spans="1:21" hidden="1" x14ac:dyDescent="0.2">
      <c r="A3488" s="2307" t="s">
        <v>9766</v>
      </c>
      <c r="B3488" s="2302" t="s">
        <v>6613</v>
      </c>
      <c r="C3488" s="2302" t="s">
        <v>4031</v>
      </c>
      <c r="D3488" s="2302" t="s">
        <v>3802</v>
      </c>
    </row>
    <row r="3489" spans="1:4" hidden="1" x14ac:dyDescent="0.2">
      <c r="A3489" s="2307" t="s">
        <v>9767</v>
      </c>
      <c r="B3489" s="2302" t="s">
        <v>6617</v>
      </c>
      <c r="C3489" s="2302" t="s">
        <v>4044</v>
      </c>
      <c r="D3489" s="2302" t="s">
        <v>3806</v>
      </c>
    </row>
    <row r="3490" spans="1:4" hidden="1" x14ac:dyDescent="0.2">
      <c r="A3490" s="2307" t="s">
        <v>9768</v>
      </c>
      <c r="B3490" s="2302" t="s">
        <v>6619</v>
      </c>
      <c r="C3490" s="2302" t="s">
        <v>4171</v>
      </c>
      <c r="D3490" s="2302" t="s">
        <v>3808</v>
      </c>
    </row>
    <row r="3491" spans="1:4" hidden="1" x14ac:dyDescent="0.2">
      <c r="A3491" s="2307" t="s">
        <v>9769</v>
      </c>
      <c r="B3491" s="2302" t="s">
        <v>6623</v>
      </c>
      <c r="C3491" s="2302" t="s">
        <v>6675</v>
      </c>
      <c r="D3491" s="2302" t="s">
        <v>7850</v>
      </c>
    </row>
    <row r="3492" spans="1:4" hidden="1" x14ac:dyDescent="0.2">
      <c r="A3492" s="2307" t="s">
        <v>9770</v>
      </c>
      <c r="B3492" s="2302" t="s">
        <v>3132</v>
      </c>
      <c r="C3492" s="2302" t="s">
        <v>6681</v>
      </c>
      <c r="D3492" s="2302" t="s">
        <v>7851</v>
      </c>
    </row>
    <row r="3493" spans="1:4" hidden="1" x14ac:dyDescent="0.2">
      <c r="A3493" s="2307" t="s">
        <v>9771</v>
      </c>
      <c r="B3493" s="2302" t="s">
        <v>4047</v>
      </c>
      <c r="C3493" s="2302" t="s">
        <v>6692</v>
      </c>
      <c r="D3493" s="2302" t="s">
        <v>4850</v>
      </c>
    </row>
    <row r="3494" spans="1:4" hidden="1" x14ac:dyDescent="0.2">
      <c r="A3494" s="2307" t="s">
        <v>9772</v>
      </c>
      <c r="B3494" s="2302" t="s">
        <v>4100</v>
      </c>
      <c r="C3494" s="2302" t="s">
        <v>6698</v>
      </c>
      <c r="D3494" s="2302" t="s">
        <v>7854</v>
      </c>
    </row>
    <row r="3495" spans="1:4" hidden="1" x14ac:dyDescent="0.2">
      <c r="A3495" s="2307" t="s">
        <v>9773</v>
      </c>
      <c r="B3495" s="2302" t="s">
        <v>4105</v>
      </c>
      <c r="C3495" s="2302" t="s">
        <v>2661</v>
      </c>
      <c r="D3495" s="2302" t="s">
        <v>7855</v>
      </c>
    </row>
    <row r="3496" spans="1:4" hidden="1" x14ac:dyDescent="0.2">
      <c r="A3496" s="2307" t="s">
        <v>9774</v>
      </c>
      <c r="B3496" s="2302" t="s">
        <v>2327</v>
      </c>
      <c r="C3496" s="2302" t="s">
        <v>3860</v>
      </c>
      <c r="D3496" s="2302" t="s">
        <v>3813</v>
      </c>
    </row>
    <row r="3497" spans="1:4" hidden="1" x14ac:dyDescent="0.2">
      <c r="A3497" s="2307" t="s">
        <v>9775</v>
      </c>
      <c r="B3497" s="2302" t="s">
        <v>3</v>
      </c>
      <c r="C3497" s="2302" t="s">
        <v>5010</v>
      </c>
      <c r="D3497" s="2302" t="s">
        <v>1732</v>
      </c>
    </row>
    <row r="3498" spans="1:4" hidden="1" x14ac:dyDescent="0.2">
      <c r="A3498" s="2307" t="s">
        <v>9776</v>
      </c>
      <c r="B3498" s="2302" t="s">
        <v>1728</v>
      </c>
      <c r="C3498" s="2302" t="s">
        <v>5013</v>
      </c>
      <c r="D3498" s="2302" t="s">
        <v>1490</v>
      </c>
    </row>
    <row r="3499" spans="1:4" hidden="1" x14ac:dyDescent="0.2">
      <c r="A3499" s="2307" t="s">
        <v>9777</v>
      </c>
      <c r="B3499" s="2302" t="s">
        <v>2432</v>
      </c>
      <c r="C3499" s="2302" t="s">
        <v>3869</v>
      </c>
      <c r="D3499" s="2302" t="s">
        <v>1494</v>
      </c>
    </row>
    <row r="3500" spans="1:4" hidden="1" x14ac:dyDescent="0.2">
      <c r="A3500" s="2307" t="s">
        <v>9778</v>
      </c>
      <c r="B3500" s="2302" t="s">
        <v>1784</v>
      </c>
      <c r="C3500" s="2302" t="s">
        <v>3878</v>
      </c>
      <c r="D3500" s="2302" t="s">
        <v>233</v>
      </c>
    </row>
    <row r="3501" spans="1:4" hidden="1" x14ac:dyDescent="0.2">
      <c r="A3501" s="2307" t="s">
        <v>9779</v>
      </c>
      <c r="B3501" s="2302" t="s">
        <v>2671</v>
      </c>
      <c r="C3501" s="2302" t="s">
        <v>396</v>
      </c>
      <c r="D3501" s="2302" t="s">
        <v>236</v>
      </c>
    </row>
    <row r="3502" spans="1:4" hidden="1" x14ac:dyDescent="0.2">
      <c r="A3502" s="2307" t="s">
        <v>9780</v>
      </c>
      <c r="B3502" s="2302" t="s">
        <v>353</v>
      </c>
      <c r="C3502" s="2302" t="s">
        <v>676</v>
      </c>
      <c r="D3502" s="2302" t="s">
        <v>242</v>
      </c>
    </row>
    <row r="3503" spans="1:4" hidden="1" x14ac:dyDescent="0.2">
      <c r="A3503" s="2307" t="s">
        <v>9781</v>
      </c>
      <c r="B3503" s="2302" t="s">
        <v>681</v>
      </c>
      <c r="C3503" s="2302" t="s">
        <v>684</v>
      </c>
      <c r="D3503" s="2302" t="s">
        <v>245</v>
      </c>
    </row>
    <row r="3504" spans="1:4" hidden="1" x14ac:dyDescent="0.2">
      <c r="A3504" s="2307" t="s">
        <v>9782</v>
      </c>
      <c r="B3504" s="2302" t="s">
        <v>689</v>
      </c>
      <c r="C3504" s="2302" t="s">
        <v>3678</v>
      </c>
      <c r="D3504" s="2302" t="s">
        <v>2682</v>
      </c>
    </row>
    <row r="3505" spans="1:4" hidden="1" x14ac:dyDescent="0.2">
      <c r="A3505" s="2307" t="s">
        <v>9783</v>
      </c>
      <c r="B3505" s="2302" t="s">
        <v>140</v>
      </c>
      <c r="C3505" s="2302" t="s">
        <v>2194</v>
      </c>
      <c r="D3505" s="2302" t="s">
        <v>2685</v>
      </c>
    </row>
    <row r="3506" spans="1:4" hidden="1" x14ac:dyDescent="0.2">
      <c r="A3506" s="2307" t="s">
        <v>9784</v>
      </c>
      <c r="B3506" s="2302" t="s">
        <v>2929</v>
      </c>
      <c r="C3506" s="2302" t="s">
        <v>1974</v>
      </c>
      <c r="D3506" s="2302" t="s">
        <v>7503</v>
      </c>
    </row>
    <row r="3507" spans="1:4" hidden="1" x14ac:dyDescent="0.2">
      <c r="A3507" s="2307" t="s">
        <v>9785</v>
      </c>
      <c r="B3507" s="2302" t="s">
        <v>3249</v>
      </c>
      <c r="C3507" s="2302" t="s">
        <v>3252</v>
      </c>
      <c r="D3507" s="2302" t="s">
        <v>7861</v>
      </c>
    </row>
    <row r="3508" spans="1:4" hidden="1" x14ac:dyDescent="0.2">
      <c r="A3508" s="2307" t="s">
        <v>9786</v>
      </c>
      <c r="B3508" s="2302" t="s">
        <v>3256</v>
      </c>
      <c r="C3508" s="2302" t="s">
        <v>3258</v>
      </c>
      <c r="D3508" s="2302" t="s">
        <v>7864</v>
      </c>
    </row>
    <row r="3509" spans="1:4" hidden="1" x14ac:dyDescent="0.2">
      <c r="A3509" s="2307" t="s">
        <v>9787</v>
      </c>
      <c r="B3509" s="2302" t="s">
        <v>801</v>
      </c>
      <c r="C3509" s="2302" t="s">
        <v>804</v>
      </c>
      <c r="D3509" s="2302" t="s">
        <v>7867</v>
      </c>
    </row>
    <row r="3510" spans="1:4" hidden="1" x14ac:dyDescent="0.2">
      <c r="A3510" s="2307" t="s">
        <v>9788</v>
      </c>
      <c r="B3510" s="2302" t="s">
        <v>809</v>
      </c>
      <c r="C3510" s="2302" t="s">
        <v>811</v>
      </c>
      <c r="D3510" s="2302" t="s">
        <v>7870</v>
      </c>
    </row>
    <row r="3511" spans="1:4" hidden="1" x14ac:dyDescent="0.2">
      <c r="A3511" s="2307" t="s">
        <v>9789</v>
      </c>
      <c r="B3511" s="2302" t="s">
        <v>816</v>
      </c>
      <c r="C3511" s="2302" t="s">
        <v>819</v>
      </c>
      <c r="D3511" s="2302" t="s">
        <v>7873</v>
      </c>
    </row>
    <row r="3512" spans="1:4" hidden="1" x14ac:dyDescent="0.2">
      <c r="A3512" s="2307" t="s">
        <v>9790</v>
      </c>
      <c r="B3512" s="2302" t="s">
        <v>825</v>
      </c>
      <c r="C3512" s="2302" t="s">
        <v>539</v>
      </c>
      <c r="D3512" s="2302" t="s">
        <v>4968</v>
      </c>
    </row>
    <row r="3513" spans="1:4" hidden="1" x14ac:dyDescent="0.2">
      <c r="A3513" s="2307" t="s">
        <v>9791</v>
      </c>
      <c r="B3513" s="2302" t="s">
        <v>543</v>
      </c>
      <c r="C3513" s="2302" t="s">
        <v>546</v>
      </c>
      <c r="D3513" s="2302" t="s">
        <v>4621</v>
      </c>
    </row>
    <row r="3514" spans="1:4" hidden="1" x14ac:dyDescent="0.2">
      <c r="A3514" s="2307" t="s">
        <v>9792</v>
      </c>
      <c r="B3514" s="2302" t="s">
        <v>987</v>
      </c>
      <c r="C3514" s="2302" t="s">
        <v>1666</v>
      </c>
      <c r="D3514" s="2302" t="s">
        <v>9793</v>
      </c>
    </row>
    <row r="3515" spans="1:4" hidden="1" x14ac:dyDescent="0.2">
      <c r="A3515" s="2307" t="s">
        <v>9794</v>
      </c>
      <c r="B3515" s="2302" t="s">
        <v>5779</v>
      </c>
      <c r="C3515" s="2302" t="s">
        <v>5782</v>
      </c>
      <c r="D3515" s="2302" t="s">
        <v>9795</v>
      </c>
    </row>
    <row r="3516" spans="1:4" hidden="1" x14ac:dyDescent="0.2">
      <c r="A3516" s="2307" t="s">
        <v>9796</v>
      </c>
      <c r="B3516" s="2302" t="s">
        <v>5096</v>
      </c>
      <c r="C3516" s="2302" t="s">
        <v>5099</v>
      </c>
      <c r="D3516" s="2302" t="s">
        <v>9797</v>
      </c>
    </row>
    <row r="3517" spans="1:4" hidden="1" x14ac:dyDescent="0.2">
      <c r="A3517" s="2307" t="s">
        <v>9798</v>
      </c>
      <c r="B3517" s="2302" t="s">
        <v>2394</v>
      </c>
      <c r="C3517" s="2302" t="s">
        <v>2397</v>
      </c>
      <c r="D3517" s="2302" t="s">
        <v>9799</v>
      </c>
    </row>
    <row r="3518" spans="1:4" hidden="1" x14ac:dyDescent="0.2">
      <c r="A3518" s="2307" t="s">
        <v>9800</v>
      </c>
      <c r="B3518" s="2302" t="s">
        <v>2412</v>
      </c>
      <c r="C3518" s="2302" t="s">
        <v>2415</v>
      </c>
      <c r="D3518" s="2302" t="s">
        <v>9801</v>
      </c>
    </row>
    <row r="3519" spans="1:4" hidden="1" x14ac:dyDescent="0.2">
      <c r="A3519" s="2307" t="s">
        <v>9802</v>
      </c>
      <c r="B3519" s="2302" t="s">
        <v>3965</v>
      </c>
      <c r="C3519" s="2302" t="s">
        <v>6580</v>
      </c>
      <c r="D3519" s="2302" t="s">
        <v>4269</v>
      </c>
    </row>
    <row r="3520" spans="1:4" hidden="1" x14ac:dyDescent="0.2">
      <c r="A3520" s="2307" t="s">
        <v>9803</v>
      </c>
      <c r="B3520" s="2302" t="s">
        <v>5015</v>
      </c>
      <c r="C3520" s="2302" t="s">
        <v>5018</v>
      </c>
      <c r="D3520" s="2302" t="s">
        <v>4271</v>
      </c>
    </row>
    <row r="3521" spans="1:21" hidden="1" x14ac:dyDescent="0.2">
      <c r="A3521" s="2307" t="s">
        <v>9804</v>
      </c>
      <c r="B3521" s="2302" t="s">
        <v>5036</v>
      </c>
      <c r="C3521" s="2302" t="s">
        <v>2446</v>
      </c>
      <c r="D3521" s="2302" t="s">
        <v>2645</v>
      </c>
    </row>
    <row r="3522" spans="1:21" hidden="1" x14ac:dyDescent="0.2">
      <c r="A3522" s="2307" t="s">
        <v>9805</v>
      </c>
      <c r="B3522" s="2302" t="s">
        <v>1460</v>
      </c>
      <c r="C3522" s="2302"/>
      <c r="D3522" s="2302"/>
    </row>
    <row r="3524" spans="1:21" hidden="1" x14ac:dyDescent="0.2">
      <c r="A3524" s="3042" t="s">
        <v>9806</v>
      </c>
      <c r="B3524" s="3043"/>
      <c r="C3524" s="3043"/>
      <c r="D3524" s="3043"/>
      <c r="E3524" s="3043"/>
      <c r="F3524" s="3043"/>
      <c r="G3524" s="3043"/>
      <c r="H3524" s="3043"/>
      <c r="I3524" s="3043"/>
      <c r="J3524" s="3043"/>
      <c r="K3524" s="3043"/>
      <c r="L3524" s="3043"/>
      <c r="M3524" s="3043"/>
      <c r="N3524" s="3043"/>
      <c r="O3524" s="3043"/>
      <c r="P3524" s="3043"/>
      <c r="Q3524" s="3043"/>
      <c r="R3524" s="3043"/>
      <c r="S3524" s="3043"/>
      <c r="T3524" s="3043"/>
      <c r="U3524" s="3043"/>
    </row>
    <row r="3525" spans="1:21" hidden="1" x14ac:dyDescent="0.2">
      <c r="A3525" s="2307" t="s">
        <v>9807</v>
      </c>
      <c r="B3525" s="2302" t="s">
        <v>863</v>
      </c>
      <c r="C3525" s="2302"/>
      <c r="D3525" s="2302"/>
      <c r="E3525" s="2302"/>
      <c r="F3525" s="2302"/>
      <c r="G3525" s="2302"/>
      <c r="H3525" s="2302"/>
      <c r="I3525" s="2302"/>
    </row>
    <row r="3526" spans="1:21" hidden="1" x14ac:dyDescent="0.2">
      <c r="A3526" s="2307" t="s">
        <v>9808</v>
      </c>
      <c r="B3526" s="2302" t="s">
        <v>4040</v>
      </c>
      <c r="C3526" s="2302" t="s">
        <v>4041</v>
      </c>
      <c r="D3526" s="2302" t="s">
        <v>3106</v>
      </c>
      <c r="E3526" s="2302" t="s">
        <v>5696</v>
      </c>
      <c r="F3526" s="2302" t="s">
        <v>869</v>
      </c>
      <c r="G3526" s="2302" t="s">
        <v>6617</v>
      </c>
      <c r="H3526" s="2302" t="s">
        <v>4042</v>
      </c>
      <c r="I3526" s="2302" t="s">
        <v>4043</v>
      </c>
    </row>
    <row r="3527" spans="1:21" hidden="1" x14ac:dyDescent="0.2">
      <c r="A3527" s="2307" t="s">
        <v>9809</v>
      </c>
      <c r="B3527" s="2302" t="s">
        <v>6972</v>
      </c>
      <c r="C3527" s="2302" t="s">
        <v>5472</v>
      </c>
      <c r="D3527" s="2302" t="s">
        <v>553</v>
      </c>
      <c r="E3527" s="2302" t="s">
        <v>4704</v>
      </c>
      <c r="F3527" s="2302" t="s">
        <v>871</v>
      </c>
      <c r="G3527" s="2302" t="s">
        <v>6619</v>
      </c>
      <c r="H3527" s="2302" t="s">
        <v>6973</v>
      </c>
      <c r="I3527" s="2302" t="s">
        <v>6974</v>
      </c>
    </row>
    <row r="3528" spans="1:21" hidden="1" x14ac:dyDescent="0.2">
      <c r="A3528" s="2307" t="s">
        <v>9810</v>
      </c>
      <c r="B3528" s="2302" t="s">
        <v>4173</v>
      </c>
      <c r="C3528" s="2302" t="s">
        <v>4174</v>
      </c>
      <c r="D3528" s="2302" t="s">
        <v>561</v>
      </c>
      <c r="E3528" s="2302" t="s">
        <v>4706</v>
      </c>
      <c r="F3528" s="2302" t="s">
        <v>3008</v>
      </c>
      <c r="G3528" s="2302" t="s">
        <v>6621</v>
      </c>
      <c r="H3528" s="2302" t="s">
        <v>6662</v>
      </c>
      <c r="I3528" s="2302" t="s">
        <v>6663</v>
      </c>
    </row>
    <row r="3529" spans="1:21" hidden="1" x14ac:dyDescent="0.2">
      <c r="A3529" s="2307" t="s">
        <v>9811</v>
      </c>
      <c r="B3529" s="2302" t="s">
        <v>6672</v>
      </c>
      <c r="C3529" s="2302" t="s">
        <v>5473</v>
      </c>
      <c r="D3529" s="2302" t="s">
        <v>2022</v>
      </c>
      <c r="E3529" s="2302" t="s">
        <v>5474</v>
      </c>
      <c r="F3529" s="2302" t="s">
        <v>3010</v>
      </c>
      <c r="G3529" s="2302" t="s">
        <v>6623</v>
      </c>
      <c r="H3529" s="2302" t="s">
        <v>6673</v>
      </c>
      <c r="I3529" s="2302" t="s">
        <v>6674</v>
      </c>
    </row>
    <row r="3530" spans="1:21" hidden="1" x14ac:dyDescent="0.2">
      <c r="A3530" s="2307" t="s">
        <v>9812</v>
      </c>
      <c r="B3530" s="2302" t="s">
        <v>2029</v>
      </c>
      <c r="C3530" s="2302"/>
      <c r="D3530" s="2302"/>
      <c r="E3530" s="2302"/>
      <c r="F3530" s="2302"/>
      <c r="G3530" s="2302"/>
      <c r="H3530" s="2302"/>
      <c r="I3530" s="2302"/>
    </row>
    <row r="3531" spans="1:21" hidden="1" x14ac:dyDescent="0.2">
      <c r="A3531" s="2307" t="s">
        <v>9813</v>
      </c>
      <c r="B3531" s="2302" t="s">
        <v>6462</v>
      </c>
      <c r="C3531" s="2302"/>
      <c r="D3531" s="2302"/>
      <c r="E3531" s="2302"/>
      <c r="F3531" s="2302"/>
      <c r="G3531" s="2302"/>
      <c r="H3531" s="2302"/>
      <c r="I3531" s="2302"/>
    </row>
    <row r="3532" spans="1:21" hidden="1" x14ac:dyDescent="0.2">
      <c r="A3532" s="2307" t="s">
        <v>9814</v>
      </c>
      <c r="B3532" s="2302" t="s">
        <v>4047</v>
      </c>
      <c r="C3532" s="2302"/>
      <c r="D3532" s="2302"/>
      <c r="E3532" s="2302"/>
      <c r="F3532" s="2302"/>
      <c r="G3532" s="2302"/>
      <c r="H3532" s="2302"/>
      <c r="I3532" s="2302"/>
    </row>
    <row r="3533" spans="1:21" hidden="1" x14ac:dyDescent="0.2">
      <c r="A3533" s="2307" t="s">
        <v>9815</v>
      </c>
      <c r="B3533" s="2302" t="s">
        <v>4096</v>
      </c>
      <c r="C3533" s="2302"/>
      <c r="D3533" s="2302"/>
      <c r="E3533" s="2302"/>
      <c r="F3533" s="2302"/>
      <c r="G3533" s="2302"/>
      <c r="H3533" s="2302"/>
      <c r="I3533" s="2302"/>
    </row>
    <row r="3534" spans="1:21" hidden="1" x14ac:dyDescent="0.2">
      <c r="A3534" s="2307" t="s">
        <v>9816</v>
      </c>
      <c r="B3534" s="2302" t="s">
        <v>4102</v>
      </c>
      <c r="C3534" s="2302"/>
      <c r="D3534" s="2302"/>
      <c r="E3534" s="2302"/>
      <c r="F3534" s="2302"/>
      <c r="G3534" s="2302"/>
      <c r="H3534" s="2302"/>
      <c r="I3534" s="2302"/>
    </row>
    <row r="3535" spans="1:21" hidden="1" x14ac:dyDescent="0.2">
      <c r="A3535" s="2307" t="s">
        <v>9817</v>
      </c>
      <c r="B3535" s="2302" t="s">
        <v>2324</v>
      </c>
      <c r="C3535" s="2302"/>
      <c r="D3535" s="2302"/>
      <c r="E3535" s="2302"/>
      <c r="F3535" s="2302"/>
      <c r="G3535" s="2302"/>
      <c r="H3535" s="2302"/>
      <c r="I3535" s="2302"/>
    </row>
    <row r="3536" spans="1:21" hidden="1" x14ac:dyDescent="0.2">
      <c r="A3536" s="2307" t="s">
        <v>9818</v>
      </c>
      <c r="B3536" s="2302" t="s">
        <v>5085</v>
      </c>
      <c r="C3536" s="2302"/>
      <c r="D3536" s="2302"/>
      <c r="E3536" s="2302"/>
      <c r="F3536" s="2302"/>
      <c r="G3536" s="2302"/>
      <c r="H3536" s="2302"/>
      <c r="I3536" s="2302"/>
    </row>
    <row r="3537" spans="1:21" hidden="1" x14ac:dyDescent="0.2">
      <c r="A3537" s="2307" t="s">
        <v>9819</v>
      </c>
      <c r="B3537" s="2302" t="s">
        <v>1747</v>
      </c>
      <c r="C3537" s="2302"/>
      <c r="D3537" s="2302"/>
      <c r="E3537" s="2302"/>
      <c r="F3537" s="2302"/>
      <c r="G3537" s="2302"/>
      <c r="H3537" s="2302"/>
      <c r="I3537" s="2302"/>
    </row>
    <row r="3539" spans="1:21" hidden="1" x14ac:dyDescent="0.2">
      <c r="A3539" s="3042" t="s">
        <v>9820</v>
      </c>
      <c r="B3539" s="3043"/>
      <c r="C3539" s="3043"/>
      <c r="D3539" s="3043"/>
      <c r="E3539" s="3043"/>
      <c r="F3539" s="3043"/>
      <c r="G3539" s="3043"/>
      <c r="H3539" s="3043"/>
      <c r="I3539" s="3043"/>
      <c r="J3539" s="3043"/>
      <c r="K3539" s="3043"/>
      <c r="L3539" s="3043"/>
      <c r="M3539" s="3043"/>
      <c r="N3539" s="3043"/>
      <c r="O3539" s="3043"/>
      <c r="P3539" s="3043"/>
      <c r="Q3539" s="3043"/>
      <c r="R3539" s="3043"/>
      <c r="S3539" s="3043"/>
      <c r="T3539" s="3043"/>
      <c r="U3539" s="3043"/>
    </row>
    <row r="3540" spans="1:21" hidden="1" x14ac:dyDescent="0.2">
      <c r="A3540" s="2307" t="s">
        <v>9821</v>
      </c>
      <c r="B3540" s="2302" t="s">
        <v>5693</v>
      </c>
      <c r="C3540" s="2302"/>
      <c r="D3540" s="2302"/>
      <c r="E3540" s="2302"/>
      <c r="F3540" s="2302"/>
    </row>
    <row r="3541" spans="1:21" hidden="1" x14ac:dyDescent="0.2">
      <c r="A3541" s="2307" t="s">
        <v>9822</v>
      </c>
      <c r="B3541" s="2302" t="s">
        <v>4035</v>
      </c>
      <c r="C3541" s="2302"/>
      <c r="D3541" s="2302"/>
      <c r="E3541" s="2302"/>
      <c r="F3541" s="2302"/>
    </row>
    <row r="3542" spans="1:21" hidden="1" x14ac:dyDescent="0.2">
      <c r="A3542" s="2307" t="s">
        <v>9823</v>
      </c>
      <c r="B3542" s="2302" t="s">
        <v>5474</v>
      </c>
      <c r="C3542" s="2302"/>
      <c r="D3542" s="2302"/>
      <c r="E3542" s="2302"/>
      <c r="F3542" s="2302"/>
    </row>
    <row r="3543" spans="1:21" hidden="1" x14ac:dyDescent="0.2">
      <c r="A3543" s="2307" t="s">
        <v>9824</v>
      </c>
      <c r="B3543" s="2302" t="s">
        <v>6688</v>
      </c>
      <c r="C3543" s="2302" t="s">
        <v>6689</v>
      </c>
      <c r="D3543" s="2302" t="s">
        <v>5424</v>
      </c>
      <c r="E3543" s="2302" t="s">
        <v>4712</v>
      </c>
      <c r="F3543" s="2302" t="s">
        <v>6464</v>
      </c>
    </row>
    <row r="3544" spans="1:21" hidden="1" x14ac:dyDescent="0.2">
      <c r="A3544" s="2307" t="s">
        <v>9825</v>
      </c>
      <c r="B3544" s="2302" t="s">
        <v>6694</v>
      </c>
      <c r="C3544" s="2302" t="s">
        <v>4094</v>
      </c>
      <c r="D3544" s="2302" t="s">
        <v>5430</v>
      </c>
      <c r="E3544" s="2302" t="s">
        <v>4714</v>
      </c>
      <c r="F3544" s="2302" t="s">
        <v>2911</v>
      </c>
    </row>
    <row r="3545" spans="1:21" hidden="1" x14ac:dyDescent="0.2">
      <c r="A3545" s="2307" t="s">
        <v>9826</v>
      </c>
      <c r="B3545" s="2302" t="s">
        <v>6697</v>
      </c>
      <c r="C3545" s="2302" t="s">
        <v>4099</v>
      </c>
      <c r="D3545" s="2302" t="s">
        <v>2154</v>
      </c>
      <c r="E3545" s="2302" t="s">
        <v>5476</v>
      </c>
      <c r="F3545" s="2302" t="s">
        <v>2913</v>
      </c>
    </row>
    <row r="3546" spans="1:21" hidden="1" x14ac:dyDescent="0.2">
      <c r="A3546" s="2307" t="s">
        <v>9827</v>
      </c>
      <c r="B3546" s="2302" t="s">
        <v>2660</v>
      </c>
      <c r="C3546" s="2302" t="s">
        <v>4104</v>
      </c>
      <c r="D3546" s="2302" t="s">
        <v>2161</v>
      </c>
      <c r="E3546" s="2302" t="s">
        <v>4716</v>
      </c>
      <c r="F3546" s="2302" t="s">
        <v>2915</v>
      </c>
    </row>
    <row r="3547" spans="1:21" hidden="1" x14ac:dyDescent="0.2">
      <c r="A3547" s="2307" t="s">
        <v>9828</v>
      </c>
      <c r="B3547" s="2302" t="s">
        <v>2663</v>
      </c>
      <c r="C3547" s="2302" t="s">
        <v>2321</v>
      </c>
      <c r="D3547" s="2302" t="s">
        <v>2168</v>
      </c>
      <c r="E3547" s="2302" t="s">
        <v>6426</v>
      </c>
      <c r="F3547" s="2302" t="s">
        <v>2917</v>
      </c>
    </row>
    <row r="3548" spans="1:21" hidden="1" x14ac:dyDescent="0.2">
      <c r="A3548" s="2307" t="s">
        <v>9829</v>
      </c>
      <c r="B3548" s="2302" t="s">
        <v>4082</v>
      </c>
      <c r="C3548" s="2302"/>
      <c r="D3548" s="2302"/>
      <c r="E3548" s="2302"/>
      <c r="F3548" s="2302"/>
    </row>
    <row r="3549" spans="1:21" hidden="1" x14ac:dyDescent="0.2">
      <c r="A3549" s="2307" t="s">
        <v>9830</v>
      </c>
      <c r="B3549" s="2302" t="s">
        <v>4086</v>
      </c>
      <c r="C3549" s="2302"/>
      <c r="D3549" s="2302"/>
      <c r="E3549" s="2302"/>
      <c r="F3549" s="2302"/>
    </row>
    <row r="3550" spans="1:21" hidden="1" x14ac:dyDescent="0.2">
      <c r="A3550" s="2307" t="s">
        <v>9831</v>
      </c>
      <c r="B3550" s="2302" t="s">
        <v>4088</v>
      </c>
      <c r="C3550" s="2302"/>
      <c r="D3550" s="2302"/>
      <c r="E3550" s="2302"/>
      <c r="F3550" s="2302"/>
    </row>
    <row r="3551" spans="1:21" hidden="1" x14ac:dyDescent="0.2">
      <c r="A3551" s="2307" t="s">
        <v>9832</v>
      </c>
      <c r="B3551" s="2302" t="s">
        <v>1783</v>
      </c>
      <c r="C3551" s="2302"/>
      <c r="D3551" s="2302"/>
      <c r="E3551" s="2302"/>
      <c r="F3551" s="2302"/>
    </row>
    <row r="3552" spans="1:21" hidden="1" x14ac:dyDescent="0.2">
      <c r="A3552" s="2307" t="s">
        <v>9833</v>
      </c>
      <c r="B3552" s="2302" t="s">
        <v>666</v>
      </c>
      <c r="C3552" s="2302"/>
      <c r="D3552" s="2302"/>
      <c r="E3552" s="2302"/>
      <c r="F3552" s="2302"/>
    </row>
    <row r="3553" spans="1:2" hidden="1" x14ac:dyDescent="0.2">
      <c r="A3553" s="2307" t="s">
        <v>9834</v>
      </c>
      <c r="B3553" s="2302" t="s">
        <v>3497</v>
      </c>
    </row>
    <row r="3554" spans="1:2" hidden="1" x14ac:dyDescent="0.2">
      <c r="A3554" s="2307" t="s">
        <v>9835</v>
      </c>
      <c r="B3554" s="2302" t="s">
        <v>3397</v>
      </c>
    </row>
    <row r="3555" spans="1:2" hidden="1" x14ac:dyDescent="0.2">
      <c r="A3555" s="2307" t="s">
        <v>9836</v>
      </c>
      <c r="B3555" s="2302" t="s">
        <v>2928</v>
      </c>
    </row>
  </sheetData>
  <sheetProtection algorithmName="SHA-512" hashValue="y4vlqzrZaMN+PzBLt2gVUl1F/yywFu88J+atVORRqXuE/GjUAxUuSirlxZq9nIuRxWJ54UuHHb+LXObilc0SnQ==" saltValue="JuysrgauCmjgEXlL8WkBfg==" spinCount="100000" sheet="1" objects="1" scenarios="1" selectLockedCells="1" selectUnlockedCells="1"/>
  <dataConsolidate link="1"/>
  <customSheetViews>
    <customSheetView guid="{99B5278F-6EA9-4B1A-8623-27A4DF4AD5E4}" hiddenRows="1" hiddenColumns="1" state="hidden">
      <selection sqref="A1:IV65536"/>
      <pageMargins left="0.75" right="0.75" top="1" bottom="1" header="0.5" footer="0.5"/>
      <pageSetup paperSize="9" orientation="portrait" r:id="rId1"/>
      <headerFooter alignWithMargins="0"/>
    </customSheetView>
  </customSheetViews>
  <phoneticPr fontId="0" type="noConversion"/>
  <pageMargins left="0.75" right="0.75" top="1" bottom="1" header="0.5" footer="0.5"/>
  <pageSetup paperSize="9" orientation="portrait" r:id="rId2"/>
  <headerFooter alignWithMargins="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3"/>
  <dimension ref="A1:CG119"/>
  <sheetViews>
    <sheetView tabSelected="1" topLeftCell="A76" zoomScaleNormal="100" workbookViewId="0">
      <selection activeCell="B86" sqref="B86:AB86"/>
    </sheetView>
  </sheetViews>
  <sheetFormatPr defaultColWidth="0" defaultRowHeight="8.25" customHeight="1" zeroHeight="1" x14ac:dyDescent="0.2"/>
  <cols>
    <col min="1" max="1" width="0.7109375" style="28" customWidth="1"/>
    <col min="2" max="2" width="6.7109375" style="28" customWidth="1"/>
    <col min="3" max="3" width="4.7109375" style="28" customWidth="1"/>
    <col min="4" max="4" width="15.7109375" style="28" customWidth="1"/>
    <col min="5" max="5" width="13.28515625" style="28" customWidth="1"/>
    <col min="6" max="6" width="7.28515625" style="28" customWidth="1"/>
    <col min="7" max="7" width="12.42578125" style="28" customWidth="1"/>
    <col min="8" max="9" width="10.28515625" style="28" customWidth="1"/>
    <col min="10" max="10" width="9.28515625" style="28" customWidth="1"/>
    <col min="11" max="11" width="8.5703125" style="28" customWidth="1"/>
    <col min="12" max="12" width="5.28515625" style="28" customWidth="1"/>
    <col min="13" max="16" width="4.7109375" style="28" customWidth="1"/>
    <col min="17" max="17" width="22" style="28" customWidth="1"/>
    <col min="18" max="28" width="4.7109375" style="28" customWidth="1"/>
    <col min="29" max="30" width="10.28515625" style="28" customWidth="1"/>
    <col min="31" max="31" width="7" style="28" hidden="1" customWidth="1"/>
    <col min="32" max="33" width="4.7109375" style="28" hidden="1" customWidth="1"/>
    <col min="34" max="34" width="7" style="28" hidden="1" customWidth="1"/>
    <col min="35" max="36" width="4.7109375" style="28" hidden="1" customWidth="1"/>
    <col min="37" max="37" width="7" style="28" hidden="1" customWidth="1"/>
    <col min="38" max="42" width="4.7109375" style="28" hidden="1" customWidth="1"/>
    <col min="43" max="43" width="6.5703125" style="28" hidden="1" customWidth="1"/>
    <col min="44" max="56" width="4.7109375" style="28" hidden="1" customWidth="1"/>
    <col min="57" max="58" width="10.28515625" style="28" hidden="1" customWidth="1"/>
    <col min="59" max="59" width="4.7109375" style="28" hidden="1" customWidth="1"/>
    <col min="60" max="85" width="9.28515625" style="28" hidden="1" customWidth="1"/>
    <col min="86" max="16384" width="9.28515625" style="142" hidden="1"/>
  </cols>
  <sheetData>
    <row r="1" spans="1:42" ht="12.75" x14ac:dyDescent="0.2">
      <c r="A1" s="1" t="s">
        <v>527</v>
      </c>
      <c r="B1" s="4275" t="str">
        <f>_ref1</f>
      </c>
      <c r="C1" s="4275"/>
      <c r="D1" s="4275"/>
      <c r="E1" s="4275"/>
      <c r="F1" s="4275"/>
      <c r="G1" s="4275"/>
      <c r="H1" s="4275"/>
      <c r="I1" s="4275"/>
      <c r="J1" s="4275"/>
      <c r="K1" s="4275"/>
      <c r="L1" s="4275"/>
      <c r="M1" s="4275"/>
      <c r="N1" s="4275"/>
      <c r="O1" s="4275"/>
      <c r="P1" s="4275"/>
      <c r="Q1" s="4275"/>
      <c r="R1" s="4275"/>
      <c r="S1" s="4275"/>
      <c r="T1" s="4275"/>
      <c r="U1" s="4275"/>
      <c r="V1" s="4275"/>
      <c r="W1" s="4275"/>
      <c r="X1" s="4275"/>
      <c r="Y1" s="4275"/>
      <c r="Z1" s="4275"/>
      <c r="AA1" s="4269" t="str">
        <f>_YA1</f>
      </c>
      <c r="AB1" s="4269"/>
      <c r="AC1" s="3"/>
      <c r="AD1" s="3"/>
      <c r="AL1" s="1736" t="s">
        <v>10023</v>
      </c>
      <c r="AM1" s="28" t="str">
        <f>'p2'!G36</f>
      </c>
    </row>
    <row r="2" spans="1:42" ht="15" x14ac:dyDescent="0.2">
      <c r="A2" s="125">
        <v>1</v>
      </c>
      <c r="B2" s="4273" t="s">
        <v>6290</v>
      </c>
      <c r="C2" s="4273"/>
      <c r="D2" s="4273"/>
      <c r="E2" s="4273"/>
      <c r="F2" s="4273"/>
      <c r="G2" s="4273"/>
      <c r="H2" s="171"/>
      <c r="I2" s="171"/>
      <c r="J2" s="171"/>
      <c r="K2" s="171"/>
      <c r="L2" s="171"/>
      <c r="M2" s="171"/>
      <c r="N2" s="171"/>
      <c r="O2" s="171" t="str">
        <f>efile</f>
      </c>
      <c r="P2" s="171"/>
      <c r="Q2" s="171"/>
      <c r="R2" s="171"/>
      <c r="S2" s="171"/>
      <c r="T2" s="171"/>
      <c r="U2" s="171"/>
      <c r="V2" s="171"/>
      <c r="W2" s="171"/>
      <c r="X2" s="171"/>
      <c r="Y2" s="171"/>
      <c r="Z2" s="171"/>
      <c r="AA2" s="171"/>
      <c r="AB2" s="171"/>
      <c r="AC2" s="3"/>
      <c r="AD2" s="3"/>
      <c r="AE2" s="28">
        <f>IF('p2'!G15="n",0,1)</f>
      </c>
      <c r="AG2" s="28">
        <f>tr</f>
      </c>
      <c r="AI2" s="28" t="s">
        <v>1736</v>
      </c>
    </row>
    <row r="3" spans="1:42" ht="12.75" x14ac:dyDescent="0.2">
      <c r="A3" s="125">
        <v>0</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I3" s="28" t="s">
        <v>4457</v>
      </c>
    </row>
    <row r="4" spans="1:42" ht="15.75" customHeight="1" x14ac:dyDescent="0.2">
      <c r="A4" s="125">
        <v>1</v>
      </c>
      <c r="B4" s="4274" t="s">
        <v>2317</v>
      </c>
      <c r="C4" s="4274"/>
      <c r="D4" s="4274"/>
      <c r="E4" s="4274"/>
      <c r="F4" s="4274"/>
      <c r="G4" s="4274"/>
      <c r="H4" s="4274"/>
      <c r="I4" s="4274"/>
      <c r="J4" s="4274"/>
      <c r="K4" s="4274"/>
      <c r="L4" s="4274"/>
      <c r="M4" s="4274"/>
      <c r="N4" s="4274"/>
      <c r="O4" s="4274"/>
      <c r="P4" s="4274"/>
      <c r="Q4" s="4274"/>
      <c r="R4" s="4274"/>
      <c r="S4" s="4274"/>
      <c r="T4" s="4274"/>
      <c r="U4" s="4274"/>
      <c r="V4" s="4274"/>
      <c r="W4" s="4274"/>
      <c r="X4" s="4278" t="str">
        <f>ver</f>
        <v>TA2_e-CO_2025_Ver 1.1</v>
      </c>
      <c r="Y4" s="4278"/>
      <c r="Z4" s="4278"/>
      <c r="AA4" s="4278"/>
      <c r="AB4" s="4278"/>
      <c r="AC4" s="3"/>
      <c r="AD4" s="3"/>
    </row>
    <row r="5" spans="1:42" ht="21" customHeight="1" x14ac:dyDescent="0.2">
      <c r="A5" s="3">
        <v>1</v>
      </c>
      <c r="B5" s="4270" t="s">
        <v>5464</v>
      </c>
      <c r="C5" s="4271"/>
      <c r="D5" s="4271"/>
      <c r="E5" s="4271"/>
      <c r="F5" s="4271"/>
      <c r="G5" s="4271"/>
      <c r="H5" s="4271"/>
      <c r="I5" s="4271"/>
      <c r="J5" s="4271"/>
      <c r="K5" s="4271"/>
      <c r="L5" s="4271"/>
      <c r="M5" s="4271"/>
      <c r="N5" s="4271"/>
      <c r="O5" s="4271"/>
      <c r="P5" s="4271"/>
      <c r="Q5" s="4271"/>
      <c r="R5" s="4271"/>
      <c r="S5" s="4271"/>
      <c r="T5" s="4271"/>
      <c r="U5" s="4271"/>
      <c r="V5" s="4271"/>
      <c r="W5" s="4271"/>
      <c r="X5" s="4271"/>
      <c r="Y5" s="4271"/>
      <c r="Z5" s="4271"/>
      <c r="AA5" s="4271"/>
      <c r="AB5" s="4272"/>
      <c r="AC5" s="3"/>
      <c r="AD5" s="3"/>
      <c r="AP5" s="142">
        <f>COUNTA(B10:K83,B94:L117)</f>
      </c>
    </row>
    <row r="6" spans="1:42" ht="7.5" customHeight="1" x14ac:dyDescent="0.2">
      <c r="A6" s="3">
        <v>1</v>
      </c>
      <c r="B6" s="11"/>
      <c r="C6" s="3"/>
      <c r="D6" s="3"/>
      <c r="E6" s="3"/>
      <c r="F6" s="3"/>
      <c r="G6" s="3"/>
      <c r="H6" s="3"/>
      <c r="I6" s="3"/>
      <c r="J6" s="3"/>
      <c r="K6" s="3"/>
      <c r="L6" s="3"/>
      <c r="M6" s="3"/>
      <c r="N6" s="3"/>
      <c r="O6" s="3"/>
      <c r="P6" s="3"/>
      <c r="Q6" s="3"/>
      <c r="R6" s="3"/>
      <c r="S6" s="3"/>
      <c r="T6" s="3"/>
      <c r="U6" s="3"/>
      <c r="V6" s="3"/>
      <c r="W6" s="3"/>
      <c r="X6" s="3"/>
      <c r="Y6" s="3"/>
      <c r="Z6" s="3"/>
      <c r="AA6" s="3"/>
      <c r="AB6" s="6"/>
      <c r="AC6" s="3"/>
      <c r="AD6" s="3"/>
    </row>
    <row r="7" spans="1:42" ht="16.149999999999999" customHeight="1" x14ac:dyDescent="0.2">
      <c r="A7" s="3">
        <v>1</v>
      </c>
      <c r="B7" s="4246" t="s">
        <v>6318</v>
      </c>
      <c r="C7" s="4246"/>
      <c r="D7" s="4279" t="s">
        <v>6321</v>
      </c>
      <c r="E7" s="4227" t="s">
        <v>6311</v>
      </c>
      <c r="F7" s="4221" t="s">
        <v>9120</v>
      </c>
      <c r="G7" s="4222"/>
      <c r="H7" s="4222"/>
      <c r="I7" s="4222"/>
      <c r="J7" s="4222"/>
      <c r="K7" s="4222"/>
      <c r="L7" s="4223"/>
      <c r="M7" s="4276" t="s">
        <v>6213</v>
      </c>
      <c r="N7" s="4276"/>
      <c r="O7" s="4246" t="s">
        <v>6214</v>
      </c>
      <c r="P7" s="4246"/>
      <c r="Q7" s="4251" t="s">
        <v>5150</v>
      </c>
      <c r="R7" s="4253"/>
      <c r="S7" s="4224" t="s">
        <v>2727</v>
      </c>
      <c r="T7" s="4225"/>
      <c r="U7" s="4225"/>
      <c r="V7" s="4225"/>
      <c r="W7" s="4225"/>
      <c r="X7" s="4225"/>
      <c r="Y7" s="4225"/>
      <c r="Z7" s="4226"/>
      <c r="AA7" s="4276" t="s">
        <v>4720</v>
      </c>
      <c r="AB7" s="4276"/>
      <c r="AC7" s="4211" t="s">
        <v>10506</v>
      </c>
      <c r="AD7" s="4212"/>
    </row>
    <row r="8" spans="1:42" ht="36.75" customHeight="1" x14ac:dyDescent="0.2">
      <c r="A8" s="3">
        <v>1</v>
      </c>
      <c r="B8" s="4246"/>
      <c r="C8" s="4246"/>
      <c r="D8" s="4280"/>
      <c r="E8" s="4228"/>
      <c r="F8" s="4224" t="s">
        <v>4721</v>
      </c>
      <c r="G8" s="4225"/>
      <c r="H8" s="4225"/>
      <c r="I8" s="4225"/>
      <c r="J8" s="4225"/>
      <c r="K8" s="4225"/>
      <c r="L8" s="4226"/>
      <c r="M8" s="4276"/>
      <c r="N8" s="4276"/>
      <c r="O8" s="4246"/>
      <c r="P8" s="4246"/>
      <c r="Q8" s="4247"/>
      <c r="R8" s="4248"/>
      <c r="S8" s="4251" t="s">
        <v>3712</v>
      </c>
      <c r="T8" s="4253"/>
      <c r="U8" s="4251" t="s">
        <v>2105</v>
      </c>
      <c r="V8" s="4253"/>
      <c r="W8" s="4251" t="s">
        <v>2106</v>
      </c>
      <c r="X8" s="4253"/>
      <c r="Y8" s="4251" t="s">
        <v>591</v>
      </c>
      <c r="Z8" s="4253"/>
      <c r="AA8" s="4276"/>
      <c r="AB8" s="4276"/>
      <c r="AC8" s="4211"/>
      <c r="AD8" s="4212"/>
    </row>
    <row r="9" spans="1:42" ht="24.75" customHeight="1" x14ac:dyDescent="0.2">
      <c r="A9" s="3">
        <v>1</v>
      </c>
      <c r="B9" s="4246"/>
      <c r="C9" s="4246"/>
      <c r="D9" s="4281"/>
      <c r="E9" s="4229"/>
      <c r="F9" s="4224" t="s">
        <v>4449</v>
      </c>
      <c r="G9" s="4225"/>
      <c r="H9" s="4226"/>
      <c r="I9" s="4224" t="s">
        <v>657</v>
      </c>
      <c r="J9" s="4225"/>
      <c r="K9" s="4226"/>
      <c r="L9" s="1037" t="s">
        <v>3510</v>
      </c>
      <c r="M9" s="4277"/>
      <c r="N9" s="4276"/>
      <c r="O9" s="4246"/>
      <c r="P9" s="4246"/>
      <c r="Q9" s="4249"/>
      <c r="R9" s="4250"/>
      <c r="S9" s="4249"/>
      <c r="T9" s="4250"/>
      <c r="U9" s="4249"/>
      <c r="V9" s="4250"/>
      <c r="W9" s="4249"/>
      <c r="X9" s="4250"/>
      <c r="Y9" s="4249"/>
      <c r="Z9" s="4250"/>
      <c r="AA9" s="4276"/>
      <c r="AB9" s="4276"/>
      <c r="AC9" s="4211"/>
      <c r="AD9" s="4212"/>
      <c r="AL9" s="28" t="s">
        <v>5385</v>
      </c>
    </row>
    <row r="10" spans="1:42" ht="18" customHeight="1" x14ac:dyDescent="0.2">
      <c r="A10" s="3">
        <f>IF(AH10=0,0,1)</f>
      </c>
      <c r="B10" s="4219"/>
      <c r="C10" s="4219"/>
      <c r="D10" s="1079"/>
      <c r="E10" s="1289" t="s">
        <v>10798</v>
      </c>
      <c r="F10" s="4213"/>
      <c r="G10" s="4213"/>
      <c r="H10" s="4213"/>
      <c r="I10" s="4216"/>
      <c r="J10" s="4217"/>
      <c r="K10" s="4218"/>
      <c r="L10" s="1038" t="s">
        <v>4457</v>
      </c>
      <c r="M10" s="4219"/>
      <c r="N10" s="4219"/>
      <c r="O10" s="4219"/>
      <c r="P10" s="4219"/>
      <c r="Q10" s="4214">
        <v>0</v>
      </c>
      <c r="R10" s="4214"/>
      <c r="S10" s="4214">
        <v>0</v>
      </c>
      <c r="T10" s="4214"/>
      <c r="U10" s="4214">
        <v>0</v>
      </c>
      <c r="V10" s="4214"/>
      <c r="W10" s="4214">
        <v>0</v>
      </c>
      <c r="X10" s="4214"/>
      <c r="Y10" s="4214">
        <v>0</v>
      </c>
      <c r="Z10" s="4214"/>
      <c r="AA10" s="4215"/>
      <c r="AB10" s="4215"/>
      <c r="AC10" s="572" t="str">
        <f>IF(AH10&lt;&gt;AL10,"All details!","")</f>
        <v/>
      </c>
      <c r="AD10" s="572"/>
      <c r="AE10" s="28">
        <f>IF(AC10="",0,1)</f>
      </c>
      <c r="AH10" s="30">
        <f t="shared" ref="AH10:AH41" si="0">IF(tr=1,COUNTA(B10,E10,F10,I10,Q10,S10,U10,W10,Y10,AA10),COUNTA(B10,E10,F10,I10,M10,O10,Q10,S10,U10,W10,Y10,AA10))</f>
      </c>
      <c r="AK10" s="30"/>
      <c r="AL10" s="28">
        <f>IF(tr=1,10,12)</f>
      </c>
    </row>
    <row r="11" spans="1:42" ht="18" customHeight="1" x14ac:dyDescent="0.2">
      <c r="A11" s="3">
        <f t="shared" ref="A11:A83" si="1">IF(AH11=0,0,1)</f>
      </c>
      <c r="B11" s="4219"/>
      <c r="C11" s="4219"/>
      <c r="D11" s="1079"/>
      <c r="E11" s="1289"/>
      <c r="F11" s="4213"/>
      <c r="G11" s="4213"/>
      <c r="H11" s="4213"/>
      <c r="I11" s="4216"/>
      <c r="J11" s="4217"/>
      <c r="K11" s="4218"/>
      <c r="L11" s="1038" t="s">
        <v>4457</v>
      </c>
      <c r="M11" s="4219"/>
      <c r="N11" s="4219"/>
      <c r="O11" s="4219"/>
      <c r="P11" s="4219"/>
      <c r="Q11" s="4214"/>
      <c r="R11" s="4214"/>
      <c r="S11" s="4214"/>
      <c r="T11" s="4214"/>
      <c r="U11" s="4214"/>
      <c r="V11" s="4214"/>
      <c r="W11" s="4214"/>
      <c r="X11" s="4214"/>
      <c r="Y11" s="4214"/>
      <c r="Z11" s="4214"/>
      <c r="AA11" s="4215"/>
      <c r="AB11" s="4215"/>
      <c r="AC11" s="572" t="str">
        <f t="shared" ref="AC11:AC83" si="2">IF(AH11=0,"",IF(AH11&lt;&gt;AL11,"All details!",""))</f>
        <v/>
      </c>
      <c r="AD11" s="572"/>
      <c r="AE11" s="28">
        <f t="shared" ref="AE11:AE83" si="3">IF(AC11="",0,1)</f>
      </c>
      <c r="AH11" s="30">
        <f t="shared" si="0"/>
        <v>12</v>
      </c>
      <c r="AK11" s="30"/>
      <c r="AL11" s="28">
        <f t="shared" ref="AL11:AL42" si="4">IF(AH11=0,0,IF(tr=1,10,12))</f>
      </c>
    </row>
    <row r="12" spans="1:42" ht="18" customHeight="1" x14ac:dyDescent="0.2">
      <c r="A12" s="3">
        <f t="shared" si="1"/>
        <v>1</v>
      </c>
      <c r="B12" s="4219"/>
      <c r="C12" s="4219"/>
      <c r="D12" s="1079"/>
      <c r="E12" s="1289"/>
      <c r="F12" s="4213"/>
      <c r="G12" s="4213"/>
      <c r="H12" s="4213"/>
      <c r="I12" s="4216"/>
      <c r="J12" s="4217"/>
      <c r="K12" s="4218"/>
      <c r="L12" s="1038" t="s">
        <v>4457</v>
      </c>
      <c r="M12" s="4219"/>
      <c r="N12" s="4219"/>
      <c r="O12" s="4219"/>
      <c r="P12" s="4219"/>
      <c r="Q12" s="4214"/>
      <c r="R12" s="4214"/>
      <c r="S12" s="4214"/>
      <c r="T12" s="4214"/>
      <c r="U12" s="4214"/>
      <c r="V12" s="4214"/>
      <c r="W12" s="4214"/>
      <c r="X12" s="4214"/>
      <c r="Y12" s="4214"/>
      <c r="Z12" s="4214"/>
      <c r="AA12" s="4215"/>
      <c r="AB12" s="4215"/>
      <c r="AC12" s="572" t="str">
        <f t="shared" si="2"/>
        <v/>
      </c>
      <c r="AD12" s="572"/>
      <c r="AE12" s="28">
        <f t="shared" si="3"/>
        <v>0</v>
      </c>
      <c r="AH12" s="30">
        <f t="shared" si="0"/>
        <v>12</v>
      </c>
      <c r="AK12" s="30"/>
      <c r="AL12" s="28">
        <f t="shared" si="4"/>
        <v>12</v>
      </c>
    </row>
    <row r="13" spans="1:42" ht="18" customHeight="1" x14ac:dyDescent="0.2">
      <c r="A13" s="3">
        <f t="shared" si="1"/>
        <v>0</v>
      </c>
      <c r="B13" s="4219"/>
      <c r="C13" s="4219"/>
      <c r="D13" s="1079"/>
      <c r="E13" s="1289"/>
      <c r="F13" s="4213"/>
      <c r="G13" s="4213"/>
      <c r="H13" s="4213"/>
      <c r="I13" s="4216"/>
      <c r="J13" s="4217"/>
      <c r="K13" s="4218"/>
      <c r="L13" s="1038" t="s">
        <v>4457</v>
      </c>
      <c r="M13" s="4219"/>
      <c r="N13" s="4219"/>
      <c r="O13" s="4219"/>
      <c r="P13" s="4219"/>
      <c r="Q13" s="4214"/>
      <c r="R13" s="4214"/>
      <c r="S13" s="4214"/>
      <c r="T13" s="4214"/>
      <c r="U13" s="4214"/>
      <c r="V13" s="4214"/>
      <c r="W13" s="4214"/>
      <c r="X13" s="4214"/>
      <c r="Y13" s="4214"/>
      <c r="Z13" s="4214"/>
      <c r="AA13" s="4215"/>
      <c r="AB13" s="4215"/>
      <c r="AC13" s="572" t="str">
        <f t="shared" si="2"/>
        <v/>
      </c>
      <c r="AD13" s="572"/>
      <c r="AE13" s="28">
        <f t="shared" si="3"/>
        <v>0</v>
      </c>
      <c r="AH13" s="30">
        <f t="shared" si="0"/>
        <v>0</v>
      </c>
      <c r="AK13" s="30"/>
      <c r="AL13" s="28">
        <f t="shared" si="4"/>
        <v>0</v>
      </c>
    </row>
    <row r="14" spans="1:42" ht="18" customHeight="1" x14ac:dyDescent="0.2">
      <c r="A14" s="3">
        <f t="shared" si="1"/>
        <v>0</v>
      </c>
      <c r="B14" s="4219"/>
      <c r="C14" s="4219"/>
      <c r="D14" s="1079"/>
      <c r="E14" s="1289"/>
      <c r="F14" s="4213"/>
      <c r="G14" s="4213"/>
      <c r="H14" s="4213"/>
      <c r="I14" s="4216"/>
      <c r="J14" s="4217"/>
      <c r="K14" s="4218"/>
      <c r="L14" s="1038" t="s">
        <v>4457</v>
      </c>
      <c r="M14" s="4219"/>
      <c r="N14" s="4219"/>
      <c r="O14" s="4219"/>
      <c r="P14" s="4219"/>
      <c r="Q14" s="4214"/>
      <c r="R14" s="4214"/>
      <c r="S14" s="4214"/>
      <c r="T14" s="4214"/>
      <c r="U14" s="4214"/>
      <c r="V14" s="4214"/>
      <c r="W14" s="4214"/>
      <c r="X14" s="4214"/>
      <c r="Y14" s="4214"/>
      <c r="Z14" s="4214"/>
      <c r="AA14" s="4215"/>
      <c r="AB14" s="4215"/>
      <c r="AC14" s="572" t="str">
        <f t="shared" si="2"/>
        <v/>
      </c>
      <c r="AD14" s="572"/>
      <c r="AE14" s="28">
        <f t="shared" si="3"/>
        <v>0</v>
      </c>
      <c r="AH14" s="30">
        <f t="shared" si="0"/>
        <v>0</v>
      </c>
      <c r="AK14" s="30"/>
      <c r="AL14" s="28">
        <f t="shared" si="4"/>
        <v>0</v>
      </c>
    </row>
    <row r="15" spans="1:42" ht="18" customHeight="1" x14ac:dyDescent="0.2">
      <c r="A15" s="3">
        <f t="shared" si="1"/>
        <v>0</v>
      </c>
      <c r="B15" s="4219"/>
      <c r="C15" s="4219"/>
      <c r="D15" s="1079"/>
      <c r="E15" s="1289"/>
      <c r="F15" s="4213"/>
      <c r="G15" s="4213"/>
      <c r="H15" s="4213"/>
      <c r="I15" s="4216"/>
      <c r="J15" s="4217"/>
      <c r="K15" s="4218"/>
      <c r="L15" s="1038" t="s">
        <v>4457</v>
      </c>
      <c r="M15" s="4219"/>
      <c r="N15" s="4219"/>
      <c r="O15" s="4219"/>
      <c r="P15" s="4219"/>
      <c r="Q15" s="4214"/>
      <c r="R15" s="4214"/>
      <c r="S15" s="4214"/>
      <c r="T15" s="4214"/>
      <c r="U15" s="4214"/>
      <c r="V15" s="4214"/>
      <c r="W15" s="4214"/>
      <c r="X15" s="4214"/>
      <c r="Y15" s="4214"/>
      <c r="Z15" s="4214"/>
      <c r="AA15" s="4215"/>
      <c r="AB15" s="4215"/>
      <c r="AC15" s="572" t="str">
        <f t="shared" si="2"/>
        <v/>
      </c>
      <c r="AD15" s="572"/>
      <c r="AE15" s="28">
        <f t="shared" si="3"/>
        <v>0</v>
      </c>
      <c r="AH15" s="30">
        <f t="shared" si="0"/>
        <v>0</v>
      </c>
      <c r="AK15" s="30"/>
      <c r="AL15" s="28">
        <f t="shared" si="4"/>
        <v>0</v>
      </c>
    </row>
    <row r="16" spans="1:42" ht="18" customHeight="1" x14ac:dyDescent="0.2">
      <c r="A16" s="3">
        <f t="shared" si="1"/>
        <v>0</v>
      </c>
      <c r="B16" s="4219"/>
      <c r="C16" s="4219"/>
      <c r="D16" s="1079"/>
      <c r="E16" s="1289"/>
      <c r="F16" s="4213"/>
      <c r="G16" s="4213"/>
      <c r="H16" s="4213"/>
      <c r="I16" s="4216"/>
      <c r="J16" s="4217"/>
      <c r="K16" s="4218"/>
      <c r="L16" s="1038" t="s">
        <v>4457</v>
      </c>
      <c r="M16" s="4219"/>
      <c r="N16" s="4219"/>
      <c r="O16" s="4219"/>
      <c r="P16" s="4219"/>
      <c r="Q16" s="4214"/>
      <c r="R16" s="4214"/>
      <c r="S16" s="4214"/>
      <c r="T16" s="4214"/>
      <c r="U16" s="4214"/>
      <c r="V16" s="4214"/>
      <c r="W16" s="4214"/>
      <c r="X16" s="4214"/>
      <c r="Y16" s="4214"/>
      <c r="Z16" s="4214"/>
      <c r="AA16" s="4215"/>
      <c r="AB16" s="4215"/>
      <c r="AC16" s="572" t="str">
        <f t="shared" si="2"/>
        <v/>
      </c>
      <c r="AD16" s="572"/>
      <c r="AE16" s="28">
        <f t="shared" si="3"/>
        <v>0</v>
      </c>
      <c r="AH16" s="30">
        <f t="shared" si="0"/>
        <v>0</v>
      </c>
      <c r="AK16" s="30"/>
      <c r="AL16" s="28">
        <f t="shared" si="4"/>
        <v>0</v>
      </c>
    </row>
    <row r="17" spans="1:38" ht="18" customHeight="1" x14ac:dyDescent="0.2">
      <c r="A17" s="3">
        <f t="shared" si="1"/>
        <v>0</v>
      </c>
      <c r="B17" s="4219"/>
      <c r="C17" s="4219"/>
      <c r="D17" s="1079"/>
      <c r="E17" s="1289"/>
      <c r="F17" s="4213"/>
      <c r="G17" s="4213"/>
      <c r="H17" s="4213"/>
      <c r="I17" s="4216"/>
      <c r="J17" s="4217"/>
      <c r="K17" s="4218"/>
      <c r="L17" s="1038" t="s">
        <v>4457</v>
      </c>
      <c r="M17" s="4219"/>
      <c r="N17" s="4219"/>
      <c r="O17" s="4219"/>
      <c r="P17" s="4219"/>
      <c r="Q17" s="4214"/>
      <c r="R17" s="4214"/>
      <c r="S17" s="4214"/>
      <c r="T17" s="4214"/>
      <c r="U17" s="4214"/>
      <c r="V17" s="4214"/>
      <c r="W17" s="4214"/>
      <c r="X17" s="4214"/>
      <c r="Y17" s="4214"/>
      <c r="Z17" s="4214"/>
      <c r="AA17" s="4215"/>
      <c r="AB17" s="4215"/>
      <c r="AC17" s="572" t="str">
        <f t="shared" si="2"/>
        <v/>
      </c>
      <c r="AD17" s="572"/>
      <c r="AE17" s="28">
        <f t="shared" si="3"/>
        <v>0</v>
      </c>
      <c r="AH17" s="30">
        <f t="shared" si="0"/>
        <v>0</v>
      </c>
      <c r="AK17" s="30"/>
      <c r="AL17" s="28">
        <f t="shared" si="4"/>
        <v>0</v>
      </c>
    </row>
    <row r="18" spans="1:38" ht="18" customHeight="1" x14ac:dyDescent="0.2">
      <c r="A18" s="3">
        <f t="shared" si="1"/>
        <v>0</v>
      </c>
      <c r="B18" s="4219"/>
      <c r="C18" s="4219"/>
      <c r="D18" s="1079"/>
      <c r="E18" s="1289"/>
      <c r="F18" s="4213"/>
      <c r="G18" s="4213"/>
      <c r="H18" s="4213"/>
      <c r="I18" s="4216"/>
      <c r="J18" s="4217"/>
      <c r="K18" s="4218"/>
      <c r="L18" s="1038" t="s">
        <v>4457</v>
      </c>
      <c r="M18" s="4219"/>
      <c r="N18" s="4219"/>
      <c r="O18" s="4219"/>
      <c r="P18" s="4219"/>
      <c r="Q18" s="4214"/>
      <c r="R18" s="4214"/>
      <c r="S18" s="4214"/>
      <c r="T18" s="4214"/>
      <c r="U18" s="4214"/>
      <c r="V18" s="4214"/>
      <c r="W18" s="4214"/>
      <c r="X18" s="4214"/>
      <c r="Y18" s="4214"/>
      <c r="Z18" s="4214"/>
      <c r="AA18" s="4215"/>
      <c r="AB18" s="4215"/>
      <c r="AC18" s="572" t="str">
        <f t="shared" si="2"/>
        <v/>
      </c>
      <c r="AD18" s="572"/>
      <c r="AE18" s="28">
        <f t="shared" si="3"/>
        <v>0</v>
      </c>
      <c r="AH18" s="30">
        <f t="shared" si="0"/>
        <v>0</v>
      </c>
      <c r="AK18" s="30"/>
      <c r="AL18" s="28">
        <f t="shared" si="4"/>
        <v>0</v>
      </c>
    </row>
    <row r="19" spans="1:38" ht="18" customHeight="1" x14ac:dyDescent="0.2">
      <c r="A19" s="3">
        <f t="shared" si="1"/>
        <v>0</v>
      </c>
      <c r="B19" s="4219"/>
      <c r="C19" s="4219"/>
      <c r="D19" s="1079"/>
      <c r="E19" s="1289"/>
      <c r="F19" s="4213"/>
      <c r="G19" s="4213"/>
      <c r="H19" s="4213"/>
      <c r="I19" s="4216"/>
      <c r="J19" s="4217"/>
      <c r="K19" s="4218"/>
      <c r="L19" s="1038" t="s">
        <v>4457</v>
      </c>
      <c r="M19" s="4219"/>
      <c r="N19" s="4219"/>
      <c r="O19" s="4219"/>
      <c r="P19" s="4219"/>
      <c r="Q19" s="4214"/>
      <c r="R19" s="4214"/>
      <c r="S19" s="4214"/>
      <c r="T19" s="4214"/>
      <c r="U19" s="4214"/>
      <c r="V19" s="4214"/>
      <c r="W19" s="4214"/>
      <c r="X19" s="4214"/>
      <c r="Y19" s="4214"/>
      <c r="Z19" s="4214"/>
      <c r="AA19" s="4215"/>
      <c r="AB19" s="4215"/>
      <c r="AC19" s="572" t="str">
        <f t="shared" si="2"/>
        <v/>
      </c>
      <c r="AD19" s="572"/>
      <c r="AE19" s="28">
        <f t="shared" si="3"/>
        <v>0</v>
      </c>
      <c r="AH19" s="30">
        <f t="shared" si="0"/>
        <v>0</v>
      </c>
      <c r="AK19" s="30"/>
      <c r="AL19" s="28">
        <f t="shared" si="4"/>
        <v>0</v>
      </c>
    </row>
    <row r="20" spans="1:38" ht="18" customHeight="1" x14ac:dyDescent="0.2">
      <c r="A20" s="3">
        <f t="shared" si="1"/>
        <v>0</v>
      </c>
      <c r="B20" s="4219"/>
      <c r="C20" s="4219"/>
      <c r="D20" s="1079"/>
      <c r="E20" s="1289"/>
      <c r="F20" s="4213"/>
      <c r="G20" s="4213"/>
      <c r="H20" s="4213"/>
      <c r="I20" s="4216"/>
      <c r="J20" s="4217"/>
      <c r="K20" s="4218"/>
      <c r="L20" s="1038" t="s">
        <v>4457</v>
      </c>
      <c r="M20" s="4219"/>
      <c r="N20" s="4219"/>
      <c r="O20" s="4219"/>
      <c r="P20" s="4219"/>
      <c r="Q20" s="4214"/>
      <c r="R20" s="4214"/>
      <c r="S20" s="4214"/>
      <c r="T20" s="4214"/>
      <c r="U20" s="4214"/>
      <c r="V20" s="4214"/>
      <c r="W20" s="4214"/>
      <c r="X20" s="4214"/>
      <c r="Y20" s="4214"/>
      <c r="Z20" s="4214"/>
      <c r="AA20" s="4215"/>
      <c r="AB20" s="4215"/>
      <c r="AC20" s="572" t="str">
        <f t="shared" si="2"/>
        <v/>
      </c>
      <c r="AD20" s="572"/>
      <c r="AE20" s="28">
        <f t="shared" si="3"/>
        <v>0</v>
      </c>
      <c r="AH20" s="30">
        <f t="shared" si="0"/>
        <v>0</v>
      </c>
      <c r="AK20" s="30"/>
      <c r="AL20" s="28">
        <f t="shared" si="4"/>
        <v>0</v>
      </c>
    </row>
    <row r="21" spans="1:38" ht="18" customHeight="1" x14ac:dyDescent="0.2">
      <c r="A21" s="3"/>
      <c r="B21" s="4219"/>
      <c r="C21" s="4219"/>
      <c r="D21" s="1079"/>
      <c r="E21" s="1289"/>
      <c r="F21" s="4213"/>
      <c r="G21" s="4213"/>
      <c r="H21" s="4213"/>
      <c r="I21" s="4216"/>
      <c r="J21" s="4217"/>
      <c r="K21" s="4218"/>
      <c r="L21" s="1038" t="s">
        <v>4457</v>
      </c>
      <c r="M21" s="4219"/>
      <c r="N21" s="4219"/>
      <c r="O21" s="4219"/>
      <c r="P21" s="4219"/>
      <c r="Q21" s="4214"/>
      <c r="R21" s="4214"/>
      <c r="S21" s="4214"/>
      <c r="T21" s="4214"/>
      <c r="U21" s="4214"/>
      <c r="V21" s="4214"/>
      <c r="W21" s="4214"/>
      <c r="X21" s="4214"/>
      <c r="Y21" s="4214"/>
      <c r="Z21" s="4214"/>
      <c r="AA21" s="4215"/>
      <c r="AB21" s="4215"/>
      <c r="AC21" s="572" t="str">
        <f t="shared" si="2"/>
        <v/>
      </c>
      <c r="AD21" s="572"/>
      <c r="AE21" s="28">
        <f t="shared" ref="AE21:AE45" si="5">IF(AC21="",0,1)</f>
      </c>
      <c r="AH21" s="30">
        <f t="shared" si="0"/>
        <v>0</v>
      </c>
      <c r="AK21" s="30"/>
      <c r="AL21" s="28">
        <f t="shared" si="4"/>
        <v>0</v>
      </c>
    </row>
    <row r="22" spans="1:38" ht="18" customHeight="1" x14ac:dyDescent="0.2">
      <c r="A22" s="3"/>
      <c r="B22" s="4219"/>
      <c r="C22" s="4219"/>
      <c r="D22" s="1079"/>
      <c r="E22" s="1289"/>
      <c r="F22" s="4213"/>
      <c r="G22" s="4213"/>
      <c r="H22" s="4213"/>
      <c r="I22" s="4216"/>
      <c r="J22" s="4217"/>
      <c r="K22" s="4218"/>
      <c r="L22" s="1038" t="s">
        <v>4457</v>
      </c>
      <c r="M22" s="4219"/>
      <c r="N22" s="4219"/>
      <c r="O22" s="4219"/>
      <c r="P22" s="4219"/>
      <c r="Q22" s="4214"/>
      <c r="R22" s="4214"/>
      <c r="S22" s="4214"/>
      <c r="T22" s="4214"/>
      <c r="U22" s="4214"/>
      <c r="V22" s="4214"/>
      <c r="W22" s="4214"/>
      <c r="X22" s="4214"/>
      <c r="Y22" s="4214"/>
      <c r="Z22" s="4214"/>
      <c r="AA22" s="4215"/>
      <c r="AB22" s="4215"/>
      <c r="AC22" s="572" t="str">
        <f t="shared" si="2"/>
        <v/>
      </c>
      <c r="AD22" s="572"/>
      <c r="AE22" s="28">
        <f t="shared" si="5"/>
        <v>0</v>
      </c>
      <c r="AH22" s="30">
        <f t="shared" si="0"/>
        <v>0</v>
      </c>
      <c r="AK22" s="30"/>
      <c r="AL22" s="28">
        <f t="shared" si="4"/>
        <v>0</v>
      </c>
    </row>
    <row r="23" spans="1:38" ht="18" customHeight="1" x14ac:dyDescent="0.2">
      <c r="A23" s="3"/>
      <c r="B23" s="4219"/>
      <c r="C23" s="4219"/>
      <c r="D23" s="1079"/>
      <c r="E23" s="1289"/>
      <c r="F23" s="4213"/>
      <c r="G23" s="4213"/>
      <c r="H23" s="4213"/>
      <c r="I23" s="4216"/>
      <c r="J23" s="4217"/>
      <c r="K23" s="4218"/>
      <c r="L23" s="1038" t="s">
        <v>4457</v>
      </c>
      <c r="M23" s="4219"/>
      <c r="N23" s="4219"/>
      <c r="O23" s="4219"/>
      <c r="P23" s="4219"/>
      <c r="Q23" s="4214"/>
      <c r="R23" s="4214"/>
      <c r="S23" s="4214"/>
      <c r="T23" s="4214"/>
      <c r="U23" s="4214"/>
      <c r="V23" s="4214"/>
      <c r="W23" s="4214"/>
      <c r="X23" s="4214"/>
      <c r="Y23" s="4214"/>
      <c r="Z23" s="4214"/>
      <c r="AA23" s="4215"/>
      <c r="AB23" s="4215"/>
      <c r="AC23" s="572" t="str">
        <f t="shared" si="2"/>
        <v/>
      </c>
      <c r="AD23" s="572"/>
      <c r="AE23" s="28">
        <f t="shared" si="5"/>
        <v>0</v>
      </c>
      <c r="AH23" s="30">
        <f t="shared" si="0"/>
        <v>0</v>
      </c>
      <c r="AK23" s="30"/>
      <c r="AL23" s="28">
        <f t="shared" si="4"/>
        <v>0</v>
      </c>
    </row>
    <row r="24" spans="1:38" ht="18" customHeight="1" x14ac:dyDescent="0.2">
      <c r="A24" s="3"/>
      <c r="B24" s="4219"/>
      <c r="C24" s="4219"/>
      <c r="D24" s="1079"/>
      <c r="E24" s="1289"/>
      <c r="F24" s="4213"/>
      <c r="G24" s="4213"/>
      <c r="H24" s="4213"/>
      <c r="I24" s="4216"/>
      <c r="J24" s="4217"/>
      <c r="K24" s="4218"/>
      <c r="L24" s="1038" t="s">
        <v>4457</v>
      </c>
      <c r="M24" s="4219"/>
      <c r="N24" s="4219"/>
      <c r="O24" s="4219"/>
      <c r="P24" s="4219"/>
      <c r="Q24" s="4214"/>
      <c r="R24" s="4214"/>
      <c r="S24" s="4214"/>
      <c r="T24" s="4214"/>
      <c r="U24" s="4214"/>
      <c r="V24" s="4214"/>
      <c r="W24" s="4214"/>
      <c r="X24" s="4214"/>
      <c r="Y24" s="4214"/>
      <c r="Z24" s="4214"/>
      <c r="AA24" s="4215"/>
      <c r="AB24" s="4215"/>
      <c r="AC24" s="572" t="str">
        <f t="shared" si="2"/>
        <v/>
      </c>
      <c r="AD24" s="572"/>
      <c r="AE24" s="28">
        <f t="shared" si="5"/>
        <v>0</v>
      </c>
      <c r="AH24" s="30">
        <f t="shared" si="0"/>
        <v>0</v>
      </c>
      <c r="AK24" s="30"/>
      <c r="AL24" s="28">
        <f t="shared" si="4"/>
        <v>0</v>
      </c>
    </row>
    <row r="25" spans="1:38" ht="18" customHeight="1" x14ac:dyDescent="0.2">
      <c r="A25" s="3"/>
      <c r="B25" s="4219"/>
      <c r="C25" s="4219"/>
      <c r="D25" s="1079"/>
      <c r="E25" s="1289"/>
      <c r="F25" s="4213"/>
      <c r="G25" s="4213"/>
      <c r="H25" s="4213"/>
      <c r="I25" s="4216"/>
      <c r="J25" s="4217"/>
      <c r="K25" s="4218"/>
      <c r="L25" s="1038" t="s">
        <v>4457</v>
      </c>
      <c r="M25" s="4219"/>
      <c r="N25" s="4219"/>
      <c r="O25" s="4219"/>
      <c r="P25" s="4219"/>
      <c r="Q25" s="4214"/>
      <c r="R25" s="4214"/>
      <c r="S25" s="4214"/>
      <c r="T25" s="4214"/>
      <c r="U25" s="4214"/>
      <c r="V25" s="4214"/>
      <c r="W25" s="4214"/>
      <c r="X25" s="4214"/>
      <c r="Y25" s="4214"/>
      <c r="Z25" s="4214"/>
      <c r="AA25" s="4215"/>
      <c r="AB25" s="4215"/>
      <c r="AC25" s="572" t="str">
        <f t="shared" si="2"/>
        <v/>
      </c>
      <c r="AD25" s="572"/>
      <c r="AE25" s="28">
        <f t="shared" si="5"/>
        <v>0</v>
      </c>
      <c r="AH25" s="30">
        <f t="shared" si="0"/>
        <v>0</v>
      </c>
      <c r="AK25" s="30"/>
      <c r="AL25" s="28">
        <f t="shared" si="4"/>
        <v>0</v>
      </c>
    </row>
    <row r="26" spans="1:38" ht="18" customHeight="1" x14ac:dyDescent="0.2">
      <c r="A26" s="3"/>
      <c r="B26" s="4219"/>
      <c r="C26" s="4219"/>
      <c r="D26" s="1079"/>
      <c r="E26" s="1289"/>
      <c r="F26" s="4213"/>
      <c r="G26" s="4213"/>
      <c r="H26" s="4213"/>
      <c r="I26" s="4216"/>
      <c r="J26" s="4217"/>
      <c r="K26" s="4218"/>
      <c r="L26" s="1038" t="s">
        <v>4457</v>
      </c>
      <c r="M26" s="4219"/>
      <c r="N26" s="4219"/>
      <c r="O26" s="4219"/>
      <c r="P26" s="4219"/>
      <c r="Q26" s="4214"/>
      <c r="R26" s="4214"/>
      <c r="S26" s="4214"/>
      <c r="T26" s="4214"/>
      <c r="U26" s="4214"/>
      <c r="V26" s="4214"/>
      <c r="W26" s="4214"/>
      <c r="X26" s="4214"/>
      <c r="Y26" s="4214"/>
      <c r="Z26" s="4214"/>
      <c r="AA26" s="4215"/>
      <c r="AB26" s="4215"/>
      <c r="AC26" s="572" t="str">
        <f t="shared" si="2"/>
        <v/>
      </c>
      <c r="AD26" s="572"/>
      <c r="AE26" s="28">
        <f t="shared" si="5"/>
        <v>0</v>
      </c>
      <c r="AH26" s="30">
        <f t="shared" si="0"/>
        <v>0</v>
      </c>
      <c r="AK26" s="30"/>
      <c r="AL26" s="28">
        <f t="shared" si="4"/>
        <v>0</v>
      </c>
    </row>
    <row r="27" spans="1:38" ht="18" customHeight="1" x14ac:dyDescent="0.2">
      <c r="A27" s="3"/>
      <c r="B27" s="4219"/>
      <c r="C27" s="4219"/>
      <c r="D27" s="1079"/>
      <c r="E27" s="1289"/>
      <c r="F27" s="4213"/>
      <c r="G27" s="4213"/>
      <c r="H27" s="4213"/>
      <c r="I27" s="4216"/>
      <c r="J27" s="4217"/>
      <c r="K27" s="4218"/>
      <c r="L27" s="1038" t="s">
        <v>4457</v>
      </c>
      <c r="M27" s="4219"/>
      <c r="N27" s="4219"/>
      <c r="O27" s="4219"/>
      <c r="P27" s="4219"/>
      <c r="Q27" s="4214"/>
      <c r="R27" s="4214"/>
      <c r="S27" s="4214"/>
      <c r="T27" s="4214"/>
      <c r="U27" s="4214"/>
      <c r="V27" s="4214"/>
      <c r="W27" s="4214"/>
      <c r="X27" s="4214"/>
      <c r="Y27" s="4214"/>
      <c r="Z27" s="4214"/>
      <c r="AA27" s="4215"/>
      <c r="AB27" s="4215"/>
      <c r="AC27" s="572" t="str">
        <f t="shared" si="2"/>
        <v/>
      </c>
      <c r="AD27" s="572"/>
      <c r="AE27" s="28">
        <f t="shared" si="5"/>
        <v>0</v>
      </c>
      <c r="AH27" s="30">
        <f t="shared" si="0"/>
        <v>0</v>
      </c>
      <c r="AK27" s="30"/>
      <c r="AL27" s="28">
        <f t="shared" si="4"/>
        <v>0</v>
      </c>
    </row>
    <row r="28" spans="1:38" ht="18" customHeight="1" x14ac:dyDescent="0.2">
      <c r="A28" s="3"/>
      <c r="B28" s="4219"/>
      <c r="C28" s="4219"/>
      <c r="D28" s="1079"/>
      <c r="E28" s="1289"/>
      <c r="F28" s="4213"/>
      <c r="G28" s="4213"/>
      <c r="H28" s="4213"/>
      <c r="I28" s="4216"/>
      <c r="J28" s="4217"/>
      <c r="K28" s="4218"/>
      <c r="L28" s="1038" t="s">
        <v>4457</v>
      </c>
      <c r="M28" s="4219"/>
      <c r="N28" s="4219"/>
      <c r="O28" s="4219"/>
      <c r="P28" s="4219"/>
      <c r="Q28" s="4214"/>
      <c r="R28" s="4214"/>
      <c r="S28" s="4214"/>
      <c r="T28" s="4214"/>
      <c r="U28" s="4214"/>
      <c r="V28" s="4214"/>
      <c r="W28" s="4214"/>
      <c r="X28" s="4214"/>
      <c r="Y28" s="4214"/>
      <c r="Z28" s="4214"/>
      <c r="AA28" s="4215"/>
      <c r="AB28" s="4215"/>
      <c r="AC28" s="572" t="str">
        <f t="shared" si="2"/>
        <v/>
      </c>
      <c r="AD28" s="572"/>
      <c r="AE28" s="28">
        <f t="shared" si="5"/>
        <v>0</v>
      </c>
      <c r="AH28" s="30">
        <f t="shared" si="0"/>
        <v>0</v>
      </c>
      <c r="AK28" s="30"/>
      <c r="AL28" s="28">
        <f t="shared" si="4"/>
        <v>0</v>
      </c>
    </row>
    <row r="29" spans="1:38" ht="18" customHeight="1" x14ac:dyDescent="0.2">
      <c r="A29" s="3"/>
      <c r="B29" s="4219"/>
      <c r="C29" s="4219"/>
      <c r="D29" s="1079"/>
      <c r="E29" s="1289"/>
      <c r="F29" s="4213"/>
      <c r="G29" s="4213"/>
      <c r="H29" s="4213"/>
      <c r="I29" s="4216"/>
      <c r="J29" s="4217"/>
      <c r="K29" s="4218"/>
      <c r="L29" s="1038" t="s">
        <v>4457</v>
      </c>
      <c r="M29" s="4219"/>
      <c r="N29" s="4219"/>
      <c r="O29" s="4219"/>
      <c r="P29" s="4219"/>
      <c r="Q29" s="4214"/>
      <c r="R29" s="4214"/>
      <c r="S29" s="4214"/>
      <c r="T29" s="4214"/>
      <c r="U29" s="4214"/>
      <c r="V29" s="4214"/>
      <c r="W29" s="4214"/>
      <c r="X29" s="4214"/>
      <c r="Y29" s="4214"/>
      <c r="Z29" s="4214"/>
      <c r="AA29" s="4215"/>
      <c r="AB29" s="4215"/>
      <c r="AC29" s="572" t="str">
        <f t="shared" si="2"/>
        <v/>
      </c>
      <c r="AD29" s="572"/>
      <c r="AE29" s="28">
        <f t="shared" si="5"/>
        <v>0</v>
      </c>
      <c r="AH29" s="30">
        <f t="shared" si="0"/>
        <v>0</v>
      </c>
      <c r="AK29" s="30"/>
      <c r="AL29" s="28">
        <f t="shared" si="4"/>
        <v>0</v>
      </c>
    </row>
    <row r="30" spans="1:38" ht="18" customHeight="1" x14ac:dyDescent="0.2">
      <c r="A30" s="3"/>
      <c r="B30" s="4219"/>
      <c r="C30" s="4219"/>
      <c r="D30" s="1079"/>
      <c r="E30" s="1289"/>
      <c r="F30" s="4213"/>
      <c r="G30" s="4213"/>
      <c r="H30" s="4213"/>
      <c r="I30" s="4216"/>
      <c r="J30" s="4217"/>
      <c r="K30" s="4218"/>
      <c r="L30" s="1038" t="s">
        <v>4457</v>
      </c>
      <c r="M30" s="4219"/>
      <c r="N30" s="4219"/>
      <c r="O30" s="4219"/>
      <c r="P30" s="4219"/>
      <c r="Q30" s="4214"/>
      <c r="R30" s="4214"/>
      <c r="S30" s="4214"/>
      <c r="T30" s="4214"/>
      <c r="U30" s="4214"/>
      <c r="V30" s="4214"/>
      <c r="W30" s="4214"/>
      <c r="X30" s="4214"/>
      <c r="Y30" s="4214"/>
      <c r="Z30" s="4214"/>
      <c r="AA30" s="4215"/>
      <c r="AB30" s="4215"/>
      <c r="AC30" s="572" t="str">
        <f t="shared" si="2"/>
        <v/>
      </c>
      <c r="AD30" s="572"/>
      <c r="AE30" s="28">
        <f t="shared" si="5"/>
        <v>0</v>
      </c>
      <c r="AH30" s="30">
        <f t="shared" si="0"/>
        <v>0</v>
      </c>
      <c r="AK30" s="30"/>
      <c r="AL30" s="28">
        <f t="shared" si="4"/>
        <v>0</v>
      </c>
    </row>
    <row r="31" spans="1:38" ht="18" customHeight="1" x14ac:dyDescent="0.2">
      <c r="A31" s="3"/>
      <c r="B31" s="4219"/>
      <c r="C31" s="4219"/>
      <c r="D31" s="1079"/>
      <c r="E31" s="1289"/>
      <c r="F31" s="4213"/>
      <c r="G31" s="4213"/>
      <c r="H31" s="4213"/>
      <c r="I31" s="4216"/>
      <c r="J31" s="4217"/>
      <c r="K31" s="4218"/>
      <c r="L31" s="1038" t="s">
        <v>4457</v>
      </c>
      <c r="M31" s="4219"/>
      <c r="N31" s="4219"/>
      <c r="O31" s="4219"/>
      <c r="P31" s="4219"/>
      <c r="Q31" s="4214"/>
      <c r="R31" s="4214"/>
      <c r="S31" s="4214"/>
      <c r="T31" s="4214"/>
      <c r="U31" s="4214"/>
      <c r="V31" s="4214"/>
      <c r="W31" s="4214"/>
      <c r="X31" s="4214"/>
      <c r="Y31" s="4214"/>
      <c r="Z31" s="4214"/>
      <c r="AA31" s="4215"/>
      <c r="AB31" s="4215"/>
      <c r="AC31" s="572" t="str">
        <f t="shared" si="2"/>
        <v/>
      </c>
      <c r="AD31" s="572"/>
      <c r="AE31" s="28">
        <f t="shared" si="5"/>
        <v>0</v>
      </c>
      <c r="AH31" s="30">
        <f t="shared" si="0"/>
        <v>0</v>
      </c>
      <c r="AK31" s="30"/>
      <c r="AL31" s="28">
        <f t="shared" si="4"/>
        <v>0</v>
      </c>
    </row>
    <row r="32" spans="1:38" ht="18" customHeight="1" x14ac:dyDescent="0.2">
      <c r="A32" s="3"/>
      <c r="B32" s="4219"/>
      <c r="C32" s="4219"/>
      <c r="D32" s="1079"/>
      <c r="E32" s="1289"/>
      <c r="F32" s="4213"/>
      <c r="G32" s="4213"/>
      <c r="H32" s="4213"/>
      <c r="I32" s="4216"/>
      <c r="J32" s="4217"/>
      <c r="K32" s="4218"/>
      <c r="L32" s="1038" t="s">
        <v>4457</v>
      </c>
      <c r="M32" s="4219"/>
      <c r="N32" s="4219"/>
      <c r="O32" s="4219"/>
      <c r="P32" s="4219"/>
      <c r="Q32" s="4214"/>
      <c r="R32" s="4214"/>
      <c r="S32" s="4214"/>
      <c r="T32" s="4214"/>
      <c r="U32" s="4214"/>
      <c r="V32" s="4214"/>
      <c r="W32" s="4214"/>
      <c r="X32" s="4214"/>
      <c r="Y32" s="4214"/>
      <c r="Z32" s="4214"/>
      <c r="AA32" s="4215"/>
      <c r="AB32" s="4215"/>
      <c r="AC32" s="572" t="str">
        <f t="shared" si="2"/>
        <v/>
      </c>
      <c r="AD32" s="572"/>
      <c r="AE32" s="28">
        <f t="shared" si="5"/>
        <v>0</v>
      </c>
      <c r="AH32" s="30">
        <f t="shared" si="0"/>
        <v>0</v>
      </c>
      <c r="AK32" s="30"/>
      <c r="AL32" s="28">
        <f t="shared" si="4"/>
        <v>0</v>
      </c>
    </row>
    <row r="33" spans="1:38" ht="18" customHeight="1" x14ac:dyDescent="0.2">
      <c r="A33" s="3"/>
      <c r="B33" s="4219"/>
      <c r="C33" s="4219"/>
      <c r="D33" s="1079"/>
      <c r="E33" s="1289"/>
      <c r="F33" s="4213"/>
      <c r="G33" s="4213"/>
      <c r="H33" s="4213"/>
      <c r="I33" s="4216"/>
      <c r="J33" s="4217"/>
      <c r="K33" s="4218"/>
      <c r="L33" s="1038" t="s">
        <v>4457</v>
      </c>
      <c r="M33" s="4219"/>
      <c r="N33" s="4219"/>
      <c r="O33" s="4219"/>
      <c r="P33" s="4219"/>
      <c r="Q33" s="4214"/>
      <c r="R33" s="4214"/>
      <c r="S33" s="4214"/>
      <c r="T33" s="4214"/>
      <c r="U33" s="4214"/>
      <c r="V33" s="4214"/>
      <c r="W33" s="4214"/>
      <c r="X33" s="4214"/>
      <c r="Y33" s="4214"/>
      <c r="Z33" s="4214"/>
      <c r="AA33" s="4215"/>
      <c r="AB33" s="4215"/>
      <c r="AC33" s="572" t="str">
        <f t="shared" si="2"/>
        <v/>
      </c>
      <c r="AD33" s="572"/>
      <c r="AE33" s="28">
        <f t="shared" si="5"/>
        <v>0</v>
      </c>
      <c r="AH33" s="30">
        <f t="shared" si="0"/>
        <v>0</v>
      </c>
      <c r="AK33" s="30"/>
      <c r="AL33" s="28">
        <f t="shared" si="4"/>
        <v>0</v>
      </c>
    </row>
    <row r="34" spans="1:38" ht="18" customHeight="1" x14ac:dyDescent="0.2">
      <c r="A34" s="3"/>
      <c r="B34" s="4219"/>
      <c r="C34" s="4219"/>
      <c r="D34" s="1079"/>
      <c r="E34" s="1289"/>
      <c r="F34" s="4213"/>
      <c r="G34" s="4213"/>
      <c r="H34" s="4213"/>
      <c r="I34" s="4216"/>
      <c r="J34" s="4217"/>
      <c r="K34" s="4218"/>
      <c r="L34" s="1038" t="s">
        <v>4457</v>
      </c>
      <c r="M34" s="4219"/>
      <c r="N34" s="4219"/>
      <c r="O34" s="4219"/>
      <c r="P34" s="4219"/>
      <c r="Q34" s="4214"/>
      <c r="R34" s="4214"/>
      <c r="S34" s="4214"/>
      <c r="T34" s="4214"/>
      <c r="U34" s="4214"/>
      <c r="V34" s="4214"/>
      <c r="W34" s="4214"/>
      <c r="X34" s="4214"/>
      <c r="Y34" s="4214"/>
      <c r="Z34" s="4214"/>
      <c r="AA34" s="4215"/>
      <c r="AB34" s="4215"/>
      <c r="AC34" s="572" t="str">
        <f t="shared" si="2"/>
        <v/>
      </c>
      <c r="AD34" s="572"/>
      <c r="AE34" s="28">
        <f t="shared" si="5"/>
        <v>0</v>
      </c>
      <c r="AH34" s="30">
        <f t="shared" si="0"/>
        <v>0</v>
      </c>
      <c r="AK34" s="30"/>
      <c r="AL34" s="28">
        <f t="shared" si="4"/>
        <v>0</v>
      </c>
    </row>
    <row r="35" spans="1:38" ht="18" customHeight="1" x14ac:dyDescent="0.2">
      <c r="A35" s="3"/>
      <c r="B35" s="4219"/>
      <c r="C35" s="4219"/>
      <c r="D35" s="1079"/>
      <c r="E35" s="1289"/>
      <c r="F35" s="4213"/>
      <c r="G35" s="4213"/>
      <c r="H35" s="4213"/>
      <c r="I35" s="4216"/>
      <c r="J35" s="4217"/>
      <c r="K35" s="4218"/>
      <c r="L35" s="1038" t="s">
        <v>4457</v>
      </c>
      <c r="M35" s="4219"/>
      <c r="N35" s="4219"/>
      <c r="O35" s="4219"/>
      <c r="P35" s="4219"/>
      <c r="Q35" s="4214"/>
      <c r="R35" s="4214"/>
      <c r="S35" s="4214"/>
      <c r="T35" s="4214"/>
      <c r="U35" s="4214"/>
      <c r="V35" s="4214"/>
      <c r="W35" s="4214"/>
      <c r="X35" s="4214"/>
      <c r="Y35" s="4214"/>
      <c r="Z35" s="4214"/>
      <c r="AA35" s="4215"/>
      <c r="AB35" s="4215"/>
      <c r="AC35" s="572" t="str">
        <f t="shared" si="2"/>
        <v/>
      </c>
      <c r="AD35" s="572"/>
      <c r="AE35" s="28">
        <f t="shared" si="5"/>
        <v>0</v>
      </c>
      <c r="AH35" s="30">
        <f t="shared" si="0"/>
        <v>0</v>
      </c>
      <c r="AK35" s="30"/>
      <c r="AL35" s="28">
        <f t="shared" si="4"/>
        <v>0</v>
      </c>
    </row>
    <row r="36" spans="1:38" ht="18" customHeight="1" x14ac:dyDescent="0.2">
      <c r="A36" s="3"/>
      <c r="B36" s="4219"/>
      <c r="C36" s="4219"/>
      <c r="D36" s="1079"/>
      <c r="E36" s="1289"/>
      <c r="F36" s="4213"/>
      <c r="G36" s="4213"/>
      <c r="H36" s="4213"/>
      <c r="I36" s="4216"/>
      <c r="J36" s="4217"/>
      <c r="K36" s="4218"/>
      <c r="L36" s="1038" t="s">
        <v>4457</v>
      </c>
      <c r="M36" s="4219"/>
      <c r="N36" s="4219"/>
      <c r="O36" s="4219"/>
      <c r="P36" s="4219"/>
      <c r="Q36" s="4214"/>
      <c r="R36" s="4214"/>
      <c r="S36" s="4214"/>
      <c r="T36" s="4214"/>
      <c r="U36" s="4214"/>
      <c r="V36" s="4214"/>
      <c r="W36" s="4214"/>
      <c r="X36" s="4214"/>
      <c r="Y36" s="4214"/>
      <c r="Z36" s="4214"/>
      <c r="AA36" s="4215"/>
      <c r="AB36" s="4215"/>
      <c r="AC36" s="572" t="str">
        <f t="shared" si="2"/>
        <v/>
      </c>
      <c r="AD36" s="572"/>
      <c r="AE36" s="28">
        <f t="shared" si="5"/>
        <v>0</v>
      </c>
      <c r="AH36" s="30">
        <f t="shared" si="0"/>
        <v>0</v>
      </c>
      <c r="AK36" s="30"/>
      <c r="AL36" s="28">
        <f t="shared" si="4"/>
        <v>0</v>
      </c>
    </row>
    <row r="37" spans="1:38" ht="18" customHeight="1" x14ac:dyDescent="0.2">
      <c r="A37" s="3"/>
      <c r="B37" s="4219"/>
      <c r="C37" s="4219"/>
      <c r="D37" s="1079"/>
      <c r="E37" s="1289"/>
      <c r="F37" s="4213"/>
      <c r="G37" s="4213"/>
      <c r="H37" s="4213"/>
      <c r="I37" s="4216"/>
      <c r="J37" s="4217"/>
      <c r="K37" s="4218"/>
      <c r="L37" s="1038" t="s">
        <v>4457</v>
      </c>
      <c r="M37" s="4219"/>
      <c r="N37" s="4219"/>
      <c r="O37" s="4219"/>
      <c r="P37" s="4219"/>
      <c r="Q37" s="4214"/>
      <c r="R37" s="4214"/>
      <c r="S37" s="4214"/>
      <c r="T37" s="4214"/>
      <c r="U37" s="4214"/>
      <c r="V37" s="4214"/>
      <c r="W37" s="4214"/>
      <c r="X37" s="4214"/>
      <c r="Y37" s="4214"/>
      <c r="Z37" s="4214"/>
      <c r="AA37" s="4215"/>
      <c r="AB37" s="4215"/>
      <c r="AC37" s="572" t="str">
        <f t="shared" si="2"/>
        <v/>
      </c>
      <c r="AD37" s="572"/>
      <c r="AE37" s="28">
        <f t="shared" si="5"/>
        <v>0</v>
      </c>
      <c r="AH37" s="30">
        <f t="shared" si="0"/>
        <v>0</v>
      </c>
      <c r="AK37" s="30"/>
      <c r="AL37" s="28">
        <f t="shared" si="4"/>
        <v>0</v>
      </c>
    </row>
    <row r="38" spans="1:38" ht="18" customHeight="1" x14ac:dyDescent="0.2">
      <c r="A38" s="3"/>
      <c r="B38" s="4219"/>
      <c r="C38" s="4219"/>
      <c r="D38" s="1079"/>
      <c r="E38" s="1289"/>
      <c r="F38" s="4213"/>
      <c r="G38" s="4213"/>
      <c r="H38" s="4213"/>
      <c r="I38" s="4216"/>
      <c r="J38" s="4217"/>
      <c r="K38" s="4218"/>
      <c r="L38" s="1038" t="s">
        <v>4457</v>
      </c>
      <c r="M38" s="4219"/>
      <c r="N38" s="4219"/>
      <c r="O38" s="4219"/>
      <c r="P38" s="4219"/>
      <c r="Q38" s="4214"/>
      <c r="R38" s="4214"/>
      <c r="S38" s="4214"/>
      <c r="T38" s="4214"/>
      <c r="U38" s="4214"/>
      <c r="V38" s="4214"/>
      <c r="W38" s="4214"/>
      <c r="X38" s="4214"/>
      <c r="Y38" s="4214"/>
      <c r="Z38" s="4214"/>
      <c r="AA38" s="4215"/>
      <c r="AB38" s="4215"/>
      <c r="AC38" s="572" t="str">
        <f t="shared" si="2"/>
        <v/>
      </c>
      <c r="AD38" s="572"/>
      <c r="AE38" s="28">
        <f t="shared" si="5"/>
        <v>0</v>
      </c>
      <c r="AH38" s="30">
        <f t="shared" si="0"/>
        <v>0</v>
      </c>
      <c r="AK38" s="30"/>
      <c r="AL38" s="28">
        <f t="shared" si="4"/>
        <v>0</v>
      </c>
    </row>
    <row r="39" spans="1:38" ht="18" customHeight="1" x14ac:dyDescent="0.2">
      <c r="A39" s="3"/>
      <c r="B39" s="4219"/>
      <c r="C39" s="4219"/>
      <c r="D39" s="1079"/>
      <c r="E39" s="1289"/>
      <c r="F39" s="4213"/>
      <c r="G39" s="4213"/>
      <c r="H39" s="4213"/>
      <c r="I39" s="4216"/>
      <c r="J39" s="4217"/>
      <c r="K39" s="4218"/>
      <c r="L39" s="1038" t="s">
        <v>4457</v>
      </c>
      <c r="M39" s="4219"/>
      <c r="N39" s="4219"/>
      <c r="O39" s="4219"/>
      <c r="P39" s="4219"/>
      <c r="Q39" s="4214"/>
      <c r="R39" s="4214"/>
      <c r="S39" s="4214"/>
      <c r="T39" s="4214"/>
      <c r="U39" s="4214"/>
      <c r="V39" s="4214"/>
      <c r="W39" s="4214"/>
      <c r="X39" s="4214"/>
      <c r="Y39" s="4214"/>
      <c r="Z39" s="4214"/>
      <c r="AA39" s="4215"/>
      <c r="AB39" s="4215"/>
      <c r="AC39" s="572" t="str">
        <f t="shared" si="2"/>
        <v/>
      </c>
      <c r="AD39" s="572"/>
      <c r="AE39" s="28">
        <f t="shared" si="5"/>
        <v>0</v>
      </c>
      <c r="AH39" s="30">
        <f t="shared" si="0"/>
        <v>0</v>
      </c>
      <c r="AK39" s="30"/>
      <c r="AL39" s="28">
        <f t="shared" si="4"/>
        <v>0</v>
      </c>
    </row>
    <row r="40" spans="1:38" ht="18" customHeight="1" x14ac:dyDescent="0.2">
      <c r="A40" s="3"/>
      <c r="B40" s="4219"/>
      <c r="C40" s="4219"/>
      <c r="D40" s="1079"/>
      <c r="E40" s="1289"/>
      <c r="F40" s="4213"/>
      <c r="G40" s="4213"/>
      <c r="H40" s="4213"/>
      <c r="I40" s="4216"/>
      <c r="J40" s="4217"/>
      <c r="K40" s="4218"/>
      <c r="L40" s="1038" t="s">
        <v>4457</v>
      </c>
      <c r="M40" s="4219"/>
      <c r="N40" s="4219"/>
      <c r="O40" s="4219"/>
      <c r="P40" s="4219"/>
      <c r="Q40" s="4214"/>
      <c r="R40" s="4214"/>
      <c r="S40" s="4214"/>
      <c r="T40" s="4214"/>
      <c r="U40" s="4214"/>
      <c r="V40" s="4214"/>
      <c r="W40" s="4214"/>
      <c r="X40" s="4214"/>
      <c r="Y40" s="4214"/>
      <c r="Z40" s="4214"/>
      <c r="AA40" s="4215"/>
      <c r="AB40" s="4215"/>
      <c r="AC40" s="572" t="str">
        <f t="shared" si="2"/>
        <v/>
      </c>
      <c r="AD40" s="572"/>
      <c r="AE40" s="28">
        <f t="shared" si="5"/>
        <v>0</v>
      </c>
      <c r="AH40" s="30">
        <f t="shared" si="0"/>
        <v>0</v>
      </c>
      <c r="AK40" s="30"/>
      <c r="AL40" s="28">
        <f t="shared" si="4"/>
        <v>0</v>
      </c>
    </row>
    <row r="41" spans="1:38" ht="18" customHeight="1" x14ac:dyDescent="0.2">
      <c r="A41" s="3"/>
      <c r="B41" s="4219"/>
      <c r="C41" s="4219"/>
      <c r="D41" s="1079"/>
      <c r="E41" s="1289"/>
      <c r="F41" s="4213"/>
      <c r="G41" s="4213"/>
      <c r="H41" s="4213"/>
      <c r="I41" s="4216"/>
      <c r="J41" s="4217"/>
      <c r="K41" s="4218"/>
      <c r="L41" s="1038" t="s">
        <v>4457</v>
      </c>
      <c r="M41" s="4219"/>
      <c r="N41" s="4219"/>
      <c r="O41" s="4219"/>
      <c r="P41" s="4219"/>
      <c r="Q41" s="4214"/>
      <c r="R41" s="4214"/>
      <c r="S41" s="4214"/>
      <c r="T41" s="4214"/>
      <c r="U41" s="4214"/>
      <c r="V41" s="4214"/>
      <c r="W41" s="4214"/>
      <c r="X41" s="4214"/>
      <c r="Y41" s="4214"/>
      <c r="Z41" s="4214"/>
      <c r="AA41" s="4215"/>
      <c r="AB41" s="4215"/>
      <c r="AC41" s="572" t="str">
        <f t="shared" si="2"/>
        <v/>
      </c>
      <c r="AD41" s="572"/>
      <c r="AE41" s="28">
        <f t="shared" si="5"/>
        <v>0</v>
      </c>
      <c r="AH41" s="30">
        <f t="shared" si="0"/>
        <v>0</v>
      </c>
      <c r="AK41" s="30"/>
      <c r="AL41" s="28">
        <f t="shared" si="4"/>
        <v>0</v>
      </c>
    </row>
    <row r="42" spans="1:38" ht="18" customHeight="1" x14ac:dyDescent="0.2">
      <c r="A42" s="3"/>
      <c r="B42" s="4219"/>
      <c r="C42" s="4219"/>
      <c r="D42" s="1079"/>
      <c r="E42" s="1289"/>
      <c r="F42" s="4213"/>
      <c r="G42" s="4213"/>
      <c r="H42" s="4213"/>
      <c r="I42" s="4216"/>
      <c r="J42" s="4217"/>
      <c r="K42" s="4218"/>
      <c r="L42" s="1038" t="s">
        <v>4457</v>
      </c>
      <c r="M42" s="4219"/>
      <c r="N42" s="4219"/>
      <c r="O42" s="4219"/>
      <c r="P42" s="4219"/>
      <c r="Q42" s="4214"/>
      <c r="R42" s="4214"/>
      <c r="S42" s="4214"/>
      <c r="T42" s="4214"/>
      <c r="U42" s="4214"/>
      <c r="V42" s="4214"/>
      <c r="W42" s="4214"/>
      <c r="X42" s="4214"/>
      <c r="Y42" s="4214"/>
      <c r="Z42" s="4214"/>
      <c r="AA42" s="4215"/>
      <c r="AB42" s="4215"/>
      <c r="AC42" s="572" t="str">
        <f t="shared" si="2"/>
        <v/>
      </c>
      <c r="AD42" s="572"/>
      <c r="AE42" s="28">
        <f t="shared" si="5"/>
        <v>0</v>
      </c>
      <c r="AH42" s="30">
        <f t="shared" ref="AH42:AH73" si="6">IF(tr=1,COUNTA(B42,E42,F42,I42,Q42,S42,U42,W42,Y42,AA42),COUNTA(B42,E42,F42,I42,M42,O42,Q42,S42,U42,W42,Y42,AA42))</f>
      </c>
      <c r="AK42" s="30"/>
      <c r="AL42" s="28">
        <f t="shared" si="4"/>
        <v>0</v>
      </c>
    </row>
    <row r="43" spans="1:38" ht="18" customHeight="1" x14ac:dyDescent="0.2">
      <c r="A43" s="3"/>
      <c r="B43" s="4219"/>
      <c r="C43" s="4219"/>
      <c r="D43" s="1079"/>
      <c r="E43" s="1289"/>
      <c r="F43" s="4213"/>
      <c r="G43" s="4213"/>
      <c r="H43" s="4213"/>
      <c r="I43" s="4216"/>
      <c r="J43" s="4217"/>
      <c r="K43" s="4218"/>
      <c r="L43" s="1038" t="s">
        <v>4457</v>
      </c>
      <c r="M43" s="4219"/>
      <c r="N43" s="4219"/>
      <c r="O43" s="4219"/>
      <c r="P43" s="4219"/>
      <c r="Q43" s="4214"/>
      <c r="R43" s="4214"/>
      <c r="S43" s="4214"/>
      <c r="T43" s="4214"/>
      <c r="U43" s="4214"/>
      <c r="V43" s="4214"/>
      <c r="W43" s="4214"/>
      <c r="X43" s="4214"/>
      <c r="Y43" s="4214"/>
      <c r="Z43" s="4214"/>
      <c r="AA43" s="4215"/>
      <c r="AB43" s="4215"/>
      <c r="AC43" s="572" t="str">
        <f t="shared" si="2"/>
        <v/>
      </c>
      <c r="AD43" s="572"/>
      <c r="AE43" s="28">
        <f t="shared" si="5"/>
        <v>0</v>
      </c>
      <c r="AH43" s="30">
        <f t="shared" si="6"/>
        <v>0</v>
      </c>
      <c r="AK43" s="30"/>
      <c r="AL43" s="28">
        <f t="shared" ref="AL43:AL74" si="7">IF(AH43=0,0,IF(tr=1,10,12))</f>
      </c>
    </row>
    <row r="44" spans="1:38" ht="18" customHeight="1" x14ac:dyDescent="0.2">
      <c r="A44" s="3"/>
      <c r="B44" s="4219"/>
      <c r="C44" s="4219"/>
      <c r="D44" s="1079"/>
      <c r="E44" s="1289"/>
      <c r="F44" s="4213"/>
      <c r="G44" s="4213"/>
      <c r="H44" s="4213"/>
      <c r="I44" s="4216"/>
      <c r="J44" s="4217"/>
      <c r="K44" s="4218"/>
      <c r="L44" s="1038" t="s">
        <v>4457</v>
      </c>
      <c r="M44" s="4219"/>
      <c r="N44" s="4219"/>
      <c r="O44" s="4219"/>
      <c r="P44" s="4219"/>
      <c r="Q44" s="4214"/>
      <c r="R44" s="4214"/>
      <c r="S44" s="4214"/>
      <c r="T44" s="4214"/>
      <c r="U44" s="4214"/>
      <c r="V44" s="4214"/>
      <c r="W44" s="4214"/>
      <c r="X44" s="4214"/>
      <c r="Y44" s="4214"/>
      <c r="Z44" s="4214"/>
      <c r="AA44" s="4215"/>
      <c r="AB44" s="4215"/>
      <c r="AC44" s="572" t="str">
        <f t="shared" si="2"/>
        <v/>
      </c>
      <c r="AD44" s="572"/>
      <c r="AE44" s="28">
        <f t="shared" si="5"/>
        <v>0</v>
      </c>
      <c r="AH44" s="30">
        <f t="shared" si="6"/>
        <v>0</v>
      </c>
      <c r="AK44" s="30"/>
      <c r="AL44" s="28">
        <f t="shared" si="7"/>
        <v>0</v>
      </c>
    </row>
    <row r="45" spans="1:38" ht="18" customHeight="1" x14ac:dyDescent="0.2">
      <c r="A45" s="3"/>
      <c r="B45" s="4219"/>
      <c r="C45" s="4219"/>
      <c r="D45" s="1079"/>
      <c r="E45" s="1289"/>
      <c r="F45" s="4213"/>
      <c r="G45" s="4213"/>
      <c r="H45" s="4213"/>
      <c r="I45" s="4216"/>
      <c r="J45" s="4217"/>
      <c r="K45" s="4218"/>
      <c r="L45" s="1038" t="s">
        <v>4457</v>
      </c>
      <c r="M45" s="4219"/>
      <c r="N45" s="4219"/>
      <c r="O45" s="4219"/>
      <c r="P45" s="4219"/>
      <c r="Q45" s="4214"/>
      <c r="R45" s="4214"/>
      <c r="S45" s="4214"/>
      <c r="T45" s="4214"/>
      <c r="U45" s="4214"/>
      <c r="V45" s="4214"/>
      <c r="W45" s="4214"/>
      <c r="X45" s="4214"/>
      <c r="Y45" s="4214"/>
      <c r="Z45" s="4214"/>
      <c r="AA45" s="4215"/>
      <c r="AB45" s="4215"/>
      <c r="AC45" s="572" t="str">
        <f t="shared" si="2"/>
        <v/>
      </c>
      <c r="AD45" s="572"/>
      <c r="AE45" s="28">
        <f t="shared" si="5"/>
        <v>0</v>
      </c>
      <c r="AH45" s="30">
        <f t="shared" si="6"/>
        <v>0</v>
      </c>
      <c r="AK45" s="30"/>
      <c r="AL45" s="28">
        <f t="shared" si="7"/>
        <v>0</v>
      </c>
    </row>
    <row r="46" spans="1:38" ht="18" customHeight="1" x14ac:dyDescent="0.2">
      <c r="A46" s="3">
        <f t="shared" si="1"/>
        <v>0</v>
      </c>
      <c r="B46" s="4219"/>
      <c r="C46" s="4219"/>
      <c r="D46" s="1079"/>
      <c r="E46" s="1289"/>
      <c r="F46" s="4213"/>
      <c r="G46" s="4213"/>
      <c r="H46" s="4213"/>
      <c r="I46" s="4216"/>
      <c r="J46" s="4217"/>
      <c r="K46" s="4218"/>
      <c r="L46" s="1038" t="s">
        <v>4457</v>
      </c>
      <c r="M46" s="4219"/>
      <c r="N46" s="4219"/>
      <c r="O46" s="4219"/>
      <c r="P46" s="4219"/>
      <c r="Q46" s="4214"/>
      <c r="R46" s="4214"/>
      <c r="S46" s="4214"/>
      <c r="T46" s="4214"/>
      <c r="U46" s="4214"/>
      <c r="V46" s="4214"/>
      <c r="W46" s="4214"/>
      <c r="X46" s="4214"/>
      <c r="Y46" s="4214"/>
      <c r="Z46" s="4214"/>
      <c r="AA46" s="4215"/>
      <c r="AB46" s="4215"/>
      <c r="AC46" s="572" t="str">
        <f t="shared" si="2"/>
        <v/>
      </c>
      <c r="AD46" s="572"/>
      <c r="AE46" s="28">
        <f t="shared" si="3"/>
        <v>0</v>
      </c>
      <c r="AH46" s="30">
        <f t="shared" si="6"/>
        <v>0</v>
      </c>
      <c r="AK46" s="30"/>
      <c r="AL46" s="28">
        <f t="shared" si="7"/>
        <v>0</v>
      </c>
    </row>
    <row r="47" spans="1:38" ht="18" customHeight="1" x14ac:dyDescent="0.2">
      <c r="A47" s="3">
        <f t="shared" si="1"/>
        <v>0</v>
      </c>
      <c r="B47" s="4219"/>
      <c r="C47" s="4219"/>
      <c r="D47" s="1079"/>
      <c r="E47" s="1289"/>
      <c r="F47" s="4213"/>
      <c r="G47" s="4213"/>
      <c r="H47" s="4213"/>
      <c r="I47" s="4216"/>
      <c r="J47" s="4217"/>
      <c r="K47" s="4218"/>
      <c r="L47" s="1038" t="s">
        <v>4457</v>
      </c>
      <c r="M47" s="4219"/>
      <c r="N47" s="4219"/>
      <c r="O47" s="4219"/>
      <c r="P47" s="4219"/>
      <c r="Q47" s="4214"/>
      <c r="R47" s="4214"/>
      <c r="S47" s="4214"/>
      <c r="T47" s="4214"/>
      <c r="U47" s="4214"/>
      <c r="V47" s="4214"/>
      <c r="W47" s="4214"/>
      <c r="X47" s="4214"/>
      <c r="Y47" s="4214"/>
      <c r="Z47" s="4214"/>
      <c r="AA47" s="4215"/>
      <c r="AB47" s="4215"/>
      <c r="AC47" s="572" t="str">
        <f t="shared" si="2"/>
        <v/>
      </c>
      <c r="AD47" s="572"/>
      <c r="AE47" s="28">
        <f t="shared" si="3"/>
        <v>0</v>
      </c>
      <c r="AH47" s="30">
        <f t="shared" si="6"/>
        <v>0</v>
      </c>
      <c r="AK47" s="30"/>
      <c r="AL47" s="28">
        <f t="shared" si="7"/>
        <v>0</v>
      </c>
    </row>
    <row r="48" spans="1:38" ht="18" customHeight="1" x14ac:dyDescent="0.2">
      <c r="A48" s="3">
        <f t="shared" si="1"/>
        <v>0</v>
      </c>
      <c r="B48" s="4219"/>
      <c r="C48" s="4219"/>
      <c r="D48" s="1079"/>
      <c r="E48" s="1289"/>
      <c r="F48" s="4213"/>
      <c r="G48" s="4213"/>
      <c r="H48" s="4213"/>
      <c r="I48" s="4216"/>
      <c r="J48" s="4217"/>
      <c r="K48" s="4218"/>
      <c r="L48" s="1038" t="s">
        <v>4457</v>
      </c>
      <c r="M48" s="4219"/>
      <c r="N48" s="4219"/>
      <c r="O48" s="4219"/>
      <c r="P48" s="4219"/>
      <c r="Q48" s="4214"/>
      <c r="R48" s="4214"/>
      <c r="S48" s="4214"/>
      <c r="T48" s="4214"/>
      <c r="U48" s="4214"/>
      <c r="V48" s="4214"/>
      <c r="W48" s="4214"/>
      <c r="X48" s="4214"/>
      <c r="Y48" s="4214"/>
      <c r="Z48" s="4214"/>
      <c r="AA48" s="4215"/>
      <c r="AB48" s="4215"/>
      <c r="AC48" s="572" t="str">
        <f t="shared" si="2"/>
        <v/>
      </c>
      <c r="AD48" s="572"/>
      <c r="AE48" s="28">
        <f t="shared" si="3"/>
        <v>0</v>
      </c>
      <c r="AH48" s="30">
        <f t="shared" si="6"/>
        <v>0</v>
      </c>
      <c r="AK48" s="30"/>
      <c r="AL48" s="28">
        <f t="shared" si="7"/>
        <v>0</v>
      </c>
    </row>
    <row r="49" spans="1:38" ht="18" customHeight="1" x14ac:dyDescent="0.2">
      <c r="A49" s="3">
        <f t="shared" si="1"/>
        <v>0</v>
      </c>
      <c r="B49" s="4219"/>
      <c r="C49" s="4219"/>
      <c r="D49" s="1079"/>
      <c r="E49" s="1289"/>
      <c r="F49" s="4213"/>
      <c r="G49" s="4213"/>
      <c r="H49" s="4213"/>
      <c r="I49" s="4216"/>
      <c r="J49" s="4217"/>
      <c r="K49" s="4218"/>
      <c r="L49" s="1038" t="s">
        <v>4457</v>
      </c>
      <c r="M49" s="4219"/>
      <c r="N49" s="4219"/>
      <c r="O49" s="4219"/>
      <c r="P49" s="4219"/>
      <c r="Q49" s="4214"/>
      <c r="R49" s="4214"/>
      <c r="S49" s="4214"/>
      <c r="T49" s="4214"/>
      <c r="U49" s="4214"/>
      <c r="V49" s="4214"/>
      <c r="W49" s="4214"/>
      <c r="X49" s="4214"/>
      <c r="Y49" s="4214"/>
      <c r="Z49" s="4214"/>
      <c r="AA49" s="4215"/>
      <c r="AB49" s="4215"/>
      <c r="AC49" s="572" t="str">
        <f t="shared" si="2"/>
        <v/>
      </c>
      <c r="AD49" s="572"/>
      <c r="AE49" s="28">
        <f t="shared" si="3"/>
        <v>0</v>
      </c>
      <c r="AH49" s="30">
        <f t="shared" si="6"/>
        <v>0</v>
      </c>
      <c r="AK49" s="30"/>
      <c r="AL49" s="28">
        <f t="shared" si="7"/>
        <v>0</v>
      </c>
    </row>
    <row r="50" spans="1:38" ht="18" customHeight="1" x14ac:dyDescent="0.2">
      <c r="A50" s="3">
        <f t="shared" si="1"/>
        <v>0</v>
      </c>
      <c r="B50" s="4219"/>
      <c r="C50" s="4219"/>
      <c r="D50" s="1079"/>
      <c r="E50" s="1289"/>
      <c r="F50" s="4213"/>
      <c r="G50" s="4213"/>
      <c r="H50" s="4213"/>
      <c r="I50" s="4216"/>
      <c r="J50" s="4217"/>
      <c r="K50" s="4218"/>
      <c r="L50" s="1038" t="s">
        <v>4457</v>
      </c>
      <c r="M50" s="4219"/>
      <c r="N50" s="4219"/>
      <c r="O50" s="4219"/>
      <c r="P50" s="4219"/>
      <c r="Q50" s="4214"/>
      <c r="R50" s="4214"/>
      <c r="S50" s="4214"/>
      <c r="T50" s="4214"/>
      <c r="U50" s="4214"/>
      <c r="V50" s="4214"/>
      <c r="W50" s="4214"/>
      <c r="X50" s="4214"/>
      <c r="Y50" s="4214"/>
      <c r="Z50" s="4214"/>
      <c r="AA50" s="4215"/>
      <c r="AB50" s="4215"/>
      <c r="AC50" s="572" t="str">
        <f t="shared" si="2"/>
        <v/>
      </c>
      <c r="AD50" s="572"/>
      <c r="AE50" s="28">
        <f t="shared" si="3"/>
        <v>0</v>
      </c>
      <c r="AH50" s="30">
        <f t="shared" si="6"/>
        <v>0</v>
      </c>
      <c r="AK50" s="30"/>
      <c r="AL50" s="28">
        <f t="shared" si="7"/>
        <v>0</v>
      </c>
    </row>
    <row r="51" spans="1:38" ht="18" customHeight="1" x14ac:dyDescent="0.2">
      <c r="A51" s="3">
        <f t="shared" si="1"/>
        <v>0</v>
      </c>
      <c r="B51" s="4219"/>
      <c r="C51" s="4219"/>
      <c r="D51" s="1079"/>
      <c r="E51" s="1289"/>
      <c r="F51" s="4213"/>
      <c r="G51" s="4213"/>
      <c r="H51" s="4213"/>
      <c r="I51" s="4216"/>
      <c r="J51" s="4217"/>
      <c r="K51" s="4218"/>
      <c r="L51" s="1038" t="s">
        <v>4457</v>
      </c>
      <c r="M51" s="4219"/>
      <c r="N51" s="4219"/>
      <c r="O51" s="4219"/>
      <c r="P51" s="4219"/>
      <c r="Q51" s="4214"/>
      <c r="R51" s="4214"/>
      <c r="S51" s="4214"/>
      <c r="T51" s="4214"/>
      <c r="U51" s="4214"/>
      <c r="V51" s="4214"/>
      <c r="W51" s="4214"/>
      <c r="X51" s="4214"/>
      <c r="Y51" s="4214"/>
      <c r="Z51" s="4214"/>
      <c r="AA51" s="4215"/>
      <c r="AB51" s="4215"/>
      <c r="AC51" s="572" t="str">
        <f t="shared" si="2"/>
        <v/>
      </c>
      <c r="AD51" s="572"/>
      <c r="AE51" s="28">
        <f t="shared" si="3"/>
        <v>0</v>
      </c>
      <c r="AH51" s="30">
        <f t="shared" si="6"/>
        <v>0</v>
      </c>
      <c r="AK51" s="30"/>
      <c r="AL51" s="28">
        <f t="shared" si="7"/>
        <v>0</v>
      </c>
    </row>
    <row r="52" spans="1:38" ht="18" customHeight="1" x14ac:dyDescent="0.2">
      <c r="A52" s="3">
        <f t="shared" si="1"/>
        <v>0</v>
      </c>
      <c r="B52" s="4219"/>
      <c r="C52" s="4219"/>
      <c r="D52" s="1079"/>
      <c r="E52" s="1289"/>
      <c r="F52" s="4213"/>
      <c r="G52" s="4213"/>
      <c r="H52" s="4213"/>
      <c r="I52" s="4216"/>
      <c r="J52" s="4217"/>
      <c r="K52" s="4218"/>
      <c r="L52" s="1038" t="s">
        <v>4457</v>
      </c>
      <c r="M52" s="4219"/>
      <c r="N52" s="4219"/>
      <c r="O52" s="4219"/>
      <c r="P52" s="4219"/>
      <c r="Q52" s="4214"/>
      <c r="R52" s="4214"/>
      <c r="S52" s="4214"/>
      <c r="T52" s="4214"/>
      <c r="U52" s="4214"/>
      <c r="V52" s="4214"/>
      <c r="W52" s="4214"/>
      <c r="X52" s="4214"/>
      <c r="Y52" s="4214"/>
      <c r="Z52" s="4214"/>
      <c r="AA52" s="4215"/>
      <c r="AB52" s="4215"/>
      <c r="AC52" s="572" t="str">
        <f t="shared" si="2"/>
        <v/>
      </c>
      <c r="AD52" s="572"/>
      <c r="AE52" s="28">
        <f t="shared" si="3"/>
        <v>0</v>
      </c>
      <c r="AH52" s="30">
        <f t="shared" si="6"/>
        <v>0</v>
      </c>
      <c r="AK52" s="30"/>
      <c r="AL52" s="28">
        <f t="shared" si="7"/>
        <v>0</v>
      </c>
    </row>
    <row r="53" spans="1:38" ht="18" customHeight="1" x14ac:dyDescent="0.2">
      <c r="A53" s="3">
        <f t="shared" si="1"/>
        <v>0</v>
      </c>
      <c r="B53" s="4219"/>
      <c r="C53" s="4219"/>
      <c r="D53" s="1079"/>
      <c r="E53" s="1289"/>
      <c r="F53" s="4213"/>
      <c r="G53" s="4213"/>
      <c r="H53" s="4213"/>
      <c r="I53" s="4216"/>
      <c r="J53" s="4217"/>
      <c r="K53" s="4218"/>
      <c r="L53" s="1038" t="s">
        <v>4457</v>
      </c>
      <c r="M53" s="4219"/>
      <c r="N53" s="4219"/>
      <c r="O53" s="4219"/>
      <c r="P53" s="4219"/>
      <c r="Q53" s="4214"/>
      <c r="R53" s="4214"/>
      <c r="S53" s="4214"/>
      <c r="T53" s="4214"/>
      <c r="U53" s="4214"/>
      <c r="V53" s="4214"/>
      <c r="W53" s="4214"/>
      <c r="X53" s="4214"/>
      <c r="Y53" s="4214"/>
      <c r="Z53" s="4214"/>
      <c r="AA53" s="4215"/>
      <c r="AB53" s="4215"/>
      <c r="AC53" s="572" t="str">
        <f t="shared" si="2"/>
        <v/>
      </c>
      <c r="AD53" s="572"/>
      <c r="AE53" s="28">
        <f t="shared" si="3"/>
        <v>0</v>
      </c>
      <c r="AH53" s="30">
        <f t="shared" si="6"/>
        <v>0</v>
      </c>
      <c r="AK53" s="30"/>
      <c r="AL53" s="28">
        <f t="shared" si="7"/>
        <v>0</v>
      </c>
    </row>
    <row r="54" spans="1:38" ht="18" customHeight="1" x14ac:dyDescent="0.2">
      <c r="A54" s="3">
        <f t="shared" si="1"/>
        <v>0</v>
      </c>
      <c r="B54" s="4219"/>
      <c r="C54" s="4219"/>
      <c r="D54" s="1079"/>
      <c r="E54" s="1289"/>
      <c r="F54" s="4213"/>
      <c r="G54" s="4213"/>
      <c r="H54" s="4213"/>
      <c r="I54" s="4216"/>
      <c r="J54" s="4217"/>
      <c r="K54" s="4218"/>
      <c r="L54" s="1038" t="s">
        <v>4457</v>
      </c>
      <c r="M54" s="4219"/>
      <c r="N54" s="4219"/>
      <c r="O54" s="4219"/>
      <c r="P54" s="4219"/>
      <c r="Q54" s="4214"/>
      <c r="R54" s="4214"/>
      <c r="S54" s="4214"/>
      <c r="T54" s="4214"/>
      <c r="U54" s="4214"/>
      <c r="V54" s="4214"/>
      <c r="W54" s="4214"/>
      <c r="X54" s="4214"/>
      <c r="Y54" s="4214"/>
      <c r="Z54" s="4214"/>
      <c r="AA54" s="4215"/>
      <c r="AB54" s="4215"/>
      <c r="AC54" s="572" t="str">
        <f t="shared" si="2"/>
        <v/>
      </c>
      <c r="AD54" s="572"/>
      <c r="AE54" s="28">
        <f t="shared" si="3"/>
        <v>0</v>
      </c>
      <c r="AH54" s="30">
        <f t="shared" si="6"/>
        <v>0</v>
      </c>
      <c r="AK54" s="30"/>
      <c r="AL54" s="28">
        <f t="shared" si="7"/>
        <v>0</v>
      </c>
    </row>
    <row r="55" spans="1:38" ht="18" customHeight="1" x14ac:dyDescent="0.2">
      <c r="A55" s="3">
        <f t="shared" si="1"/>
        <v>0</v>
      </c>
      <c r="B55" s="4219"/>
      <c r="C55" s="4219"/>
      <c r="D55" s="1079"/>
      <c r="E55" s="1289"/>
      <c r="F55" s="4213"/>
      <c r="G55" s="4213"/>
      <c r="H55" s="4213"/>
      <c r="I55" s="4216"/>
      <c r="J55" s="4217"/>
      <c r="K55" s="4218"/>
      <c r="L55" s="1038" t="s">
        <v>4457</v>
      </c>
      <c r="M55" s="4219"/>
      <c r="N55" s="4219"/>
      <c r="O55" s="4219"/>
      <c r="P55" s="4219"/>
      <c r="Q55" s="4214"/>
      <c r="R55" s="4214"/>
      <c r="S55" s="4214"/>
      <c r="T55" s="4214"/>
      <c r="U55" s="4214"/>
      <c r="V55" s="4214"/>
      <c r="W55" s="4214"/>
      <c r="X55" s="4214"/>
      <c r="Y55" s="4214"/>
      <c r="Z55" s="4214"/>
      <c r="AA55" s="4215"/>
      <c r="AB55" s="4215"/>
      <c r="AC55" s="572" t="str">
        <f t="shared" si="2"/>
        <v/>
      </c>
      <c r="AD55" s="572"/>
      <c r="AE55" s="28">
        <f t="shared" si="3"/>
        <v>0</v>
      </c>
      <c r="AH55" s="30">
        <f t="shared" si="6"/>
        <v>0</v>
      </c>
      <c r="AK55" s="30"/>
      <c r="AL55" s="28">
        <f t="shared" si="7"/>
        <v>0</v>
      </c>
    </row>
    <row r="56" spans="1:38" ht="18" customHeight="1" x14ac:dyDescent="0.2">
      <c r="A56" s="3">
        <f t="shared" si="1"/>
        <v>0</v>
      </c>
      <c r="B56" s="4219"/>
      <c r="C56" s="4219"/>
      <c r="D56" s="1079"/>
      <c r="E56" s="1289"/>
      <c r="F56" s="4213"/>
      <c r="G56" s="4213"/>
      <c r="H56" s="4213"/>
      <c r="I56" s="4216"/>
      <c r="J56" s="4217"/>
      <c r="K56" s="4218"/>
      <c r="L56" s="1038" t="s">
        <v>4457</v>
      </c>
      <c r="M56" s="4219"/>
      <c r="N56" s="4219"/>
      <c r="O56" s="4219"/>
      <c r="P56" s="4219"/>
      <c r="Q56" s="4214"/>
      <c r="R56" s="4214"/>
      <c r="S56" s="4214"/>
      <c r="T56" s="4214"/>
      <c r="U56" s="4214"/>
      <c r="V56" s="4214"/>
      <c r="W56" s="4214"/>
      <c r="X56" s="4214"/>
      <c r="Y56" s="4214"/>
      <c r="Z56" s="4214"/>
      <c r="AA56" s="4215"/>
      <c r="AB56" s="4215"/>
      <c r="AC56" s="572" t="str">
        <f t="shared" si="2"/>
        <v/>
      </c>
      <c r="AD56" s="572"/>
      <c r="AE56" s="28">
        <f t="shared" si="3"/>
        <v>0</v>
      </c>
      <c r="AH56" s="30">
        <f t="shared" si="6"/>
        <v>0</v>
      </c>
      <c r="AK56" s="30"/>
      <c r="AL56" s="28">
        <f t="shared" si="7"/>
        <v>0</v>
      </c>
    </row>
    <row r="57" spans="1:38" ht="18" customHeight="1" x14ac:dyDescent="0.2">
      <c r="A57" s="3">
        <f t="shared" si="1"/>
        <v>0</v>
      </c>
      <c r="B57" s="4219"/>
      <c r="C57" s="4219"/>
      <c r="D57" s="1079"/>
      <c r="E57" s="1289"/>
      <c r="F57" s="4213"/>
      <c r="G57" s="4213"/>
      <c r="H57" s="4213"/>
      <c r="I57" s="4216"/>
      <c r="J57" s="4217"/>
      <c r="K57" s="4218"/>
      <c r="L57" s="1038" t="s">
        <v>4457</v>
      </c>
      <c r="M57" s="4219"/>
      <c r="N57" s="4219"/>
      <c r="O57" s="4219"/>
      <c r="P57" s="4219"/>
      <c r="Q57" s="4214"/>
      <c r="R57" s="4214"/>
      <c r="S57" s="4214"/>
      <c r="T57" s="4214"/>
      <c r="U57" s="4214"/>
      <c r="V57" s="4214"/>
      <c r="W57" s="4214"/>
      <c r="X57" s="4214"/>
      <c r="Y57" s="4214"/>
      <c r="Z57" s="4214"/>
      <c r="AA57" s="4215"/>
      <c r="AB57" s="4215"/>
      <c r="AC57" s="572" t="str">
        <f t="shared" si="2"/>
        <v/>
      </c>
      <c r="AD57" s="572"/>
      <c r="AE57" s="28">
        <f t="shared" si="3"/>
        <v>0</v>
      </c>
      <c r="AH57" s="30">
        <f t="shared" si="6"/>
        <v>0</v>
      </c>
      <c r="AK57" s="30"/>
      <c r="AL57" s="28">
        <f t="shared" si="7"/>
        <v>0</v>
      </c>
    </row>
    <row r="58" spans="1:38" ht="18" customHeight="1" x14ac:dyDescent="0.2">
      <c r="A58" s="3">
        <f t="shared" si="1"/>
        <v>0</v>
      </c>
      <c r="B58" s="4219"/>
      <c r="C58" s="4219"/>
      <c r="D58" s="1079"/>
      <c r="E58" s="1289"/>
      <c r="F58" s="4213"/>
      <c r="G58" s="4213"/>
      <c r="H58" s="4213"/>
      <c r="I58" s="4216"/>
      <c r="J58" s="4217"/>
      <c r="K58" s="4218"/>
      <c r="L58" s="1038" t="s">
        <v>4457</v>
      </c>
      <c r="M58" s="4219"/>
      <c r="N58" s="4219"/>
      <c r="O58" s="4219"/>
      <c r="P58" s="4219"/>
      <c r="Q58" s="4214"/>
      <c r="R58" s="4214"/>
      <c r="S58" s="4214"/>
      <c r="T58" s="4214"/>
      <c r="U58" s="4214"/>
      <c r="V58" s="4214"/>
      <c r="W58" s="4214"/>
      <c r="X58" s="4214"/>
      <c r="Y58" s="4214"/>
      <c r="Z58" s="4214"/>
      <c r="AA58" s="4215"/>
      <c r="AB58" s="4215"/>
      <c r="AC58" s="572" t="str">
        <f t="shared" si="2"/>
        <v/>
      </c>
      <c r="AD58" s="572"/>
      <c r="AE58" s="28">
        <f t="shared" si="3"/>
        <v>0</v>
      </c>
      <c r="AH58" s="30">
        <f t="shared" si="6"/>
        <v>0</v>
      </c>
      <c r="AK58" s="30"/>
      <c r="AL58" s="28">
        <f t="shared" si="7"/>
        <v>0</v>
      </c>
    </row>
    <row r="59" spans="1:38" ht="18" customHeight="1" x14ac:dyDescent="0.2">
      <c r="A59" s="3">
        <f t="shared" si="1"/>
        <v>0</v>
      </c>
      <c r="B59" s="4219"/>
      <c r="C59" s="4219"/>
      <c r="D59" s="1079"/>
      <c r="E59" s="1289"/>
      <c r="F59" s="4213"/>
      <c r="G59" s="4213"/>
      <c r="H59" s="4213"/>
      <c r="I59" s="4216"/>
      <c r="J59" s="4217"/>
      <c r="K59" s="4218"/>
      <c r="L59" s="1038" t="s">
        <v>4457</v>
      </c>
      <c r="M59" s="4219"/>
      <c r="N59" s="4219"/>
      <c r="O59" s="4219"/>
      <c r="P59" s="4219"/>
      <c r="Q59" s="4214"/>
      <c r="R59" s="4214"/>
      <c r="S59" s="4214"/>
      <c r="T59" s="4214"/>
      <c r="U59" s="4214"/>
      <c r="V59" s="4214"/>
      <c r="W59" s="4214"/>
      <c r="X59" s="4214"/>
      <c r="Y59" s="4214"/>
      <c r="Z59" s="4214"/>
      <c r="AA59" s="4215"/>
      <c r="AB59" s="4215"/>
      <c r="AC59" s="572" t="str">
        <f t="shared" si="2"/>
        <v/>
      </c>
      <c r="AD59" s="572"/>
      <c r="AE59" s="28">
        <f t="shared" si="3"/>
        <v>0</v>
      </c>
      <c r="AH59" s="30">
        <f t="shared" si="6"/>
        <v>0</v>
      </c>
      <c r="AK59" s="30"/>
      <c r="AL59" s="28">
        <f t="shared" si="7"/>
        <v>0</v>
      </c>
    </row>
    <row r="60" spans="1:38" ht="18" customHeight="1" x14ac:dyDescent="0.2">
      <c r="A60" s="3">
        <f t="shared" si="1"/>
        <v>0</v>
      </c>
      <c r="B60" s="4219"/>
      <c r="C60" s="4219"/>
      <c r="D60" s="1079"/>
      <c r="E60" s="1289"/>
      <c r="F60" s="4213"/>
      <c r="G60" s="4213"/>
      <c r="H60" s="4213"/>
      <c r="I60" s="4216"/>
      <c r="J60" s="4217"/>
      <c r="K60" s="4218"/>
      <c r="L60" s="1038" t="s">
        <v>4457</v>
      </c>
      <c r="M60" s="4219"/>
      <c r="N60" s="4219"/>
      <c r="O60" s="4219"/>
      <c r="P60" s="4219"/>
      <c r="Q60" s="4214"/>
      <c r="R60" s="4214"/>
      <c r="S60" s="4214"/>
      <c r="T60" s="4214"/>
      <c r="U60" s="4214"/>
      <c r="V60" s="4214"/>
      <c r="W60" s="4214"/>
      <c r="X60" s="4214"/>
      <c r="Y60" s="4214"/>
      <c r="Z60" s="4214"/>
      <c r="AA60" s="4215"/>
      <c r="AB60" s="4215"/>
      <c r="AC60" s="572" t="str">
        <f t="shared" si="2"/>
        <v/>
      </c>
      <c r="AD60" s="572"/>
      <c r="AE60" s="28">
        <f t="shared" si="3"/>
        <v>0</v>
      </c>
      <c r="AH60" s="30">
        <f t="shared" si="6"/>
        <v>0</v>
      </c>
      <c r="AK60" s="30"/>
      <c r="AL60" s="28">
        <f t="shared" si="7"/>
        <v>0</v>
      </c>
    </row>
    <row r="61" spans="1:38" ht="18" customHeight="1" x14ac:dyDescent="0.2">
      <c r="A61" s="3">
        <f t="shared" si="1"/>
        <v>0</v>
      </c>
      <c r="B61" s="4219"/>
      <c r="C61" s="4219"/>
      <c r="D61" s="1079"/>
      <c r="E61" s="1289"/>
      <c r="F61" s="4213"/>
      <c r="G61" s="4213"/>
      <c r="H61" s="4213"/>
      <c r="I61" s="4216"/>
      <c r="J61" s="4217"/>
      <c r="K61" s="4218"/>
      <c r="L61" s="1038" t="s">
        <v>4457</v>
      </c>
      <c r="M61" s="4219"/>
      <c r="N61" s="4219"/>
      <c r="O61" s="4219"/>
      <c r="P61" s="4219"/>
      <c r="Q61" s="4214"/>
      <c r="R61" s="4214"/>
      <c r="S61" s="4214"/>
      <c r="T61" s="4214"/>
      <c r="U61" s="4214"/>
      <c r="V61" s="4214"/>
      <c r="W61" s="4214"/>
      <c r="X61" s="4214"/>
      <c r="Y61" s="4214"/>
      <c r="Z61" s="4214"/>
      <c r="AA61" s="4215"/>
      <c r="AB61" s="4215"/>
      <c r="AC61" s="572" t="str">
        <f t="shared" si="2"/>
        <v/>
      </c>
      <c r="AD61" s="572"/>
      <c r="AE61" s="28">
        <f t="shared" si="3"/>
        <v>0</v>
      </c>
      <c r="AH61" s="30">
        <f t="shared" si="6"/>
        <v>0</v>
      </c>
      <c r="AK61" s="30"/>
      <c r="AL61" s="28">
        <f t="shared" si="7"/>
        <v>0</v>
      </c>
    </row>
    <row r="62" spans="1:38" ht="18" customHeight="1" x14ac:dyDescent="0.2">
      <c r="A62" s="3">
        <f t="shared" si="1"/>
        <v>0</v>
      </c>
      <c r="B62" s="4219"/>
      <c r="C62" s="4219"/>
      <c r="D62" s="1079"/>
      <c r="E62" s="1289"/>
      <c r="F62" s="4213"/>
      <c r="G62" s="4213"/>
      <c r="H62" s="4213"/>
      <c r="I62" s="4216"/>
      <c r="J62" s="4217"/>
      <c r="K62" s="4218"/>
      <c r="L62" s="1038" t="s">
        <v>4457</v>
      </c>
      <c r="M62" s="4219"/>
      <c r="N62" s="4219"/>
      <c r="O62" s="4219"/>
      <c r="P62" s="4219"/>
      <c r="Q62" s="4214"/>
      <c r="R62" s="4214"/>
      <c r="S62" s="4214"/>
      <c r="T62" s="4214"/>
      <c r="U62" s="4214"/>
      <c r="V62" s="4214"/>
      <c r="W62" s="4214"/>
      <c r="X62" s="4214"/>
      <c r="Y62" s="4214"/>
      <c r="Z62" s="4214"/>
      <c r="AA62" s="4215"/>
      <c r="AB62" s="4215"/>
      <c r="AC62" s="572" t="str">
        <f t="shared" si="2"/>
        <v/>
      </c>
      <c r="AD62" s="572"/>
      <c r="AE62" s="28">
        <f t="shared" si="3"/>
        <v>0</v>
      </c>
      <c r="AH62" s="30">
        <f t="shared" si="6"/>
        <v>0</v>
      </c>
      <c r="AK62" s="30"/>
      <c r="AL62" s="28">
        <f t="shared" si="7"/>
        <v>0</v>
      </c>
    </row>
    <row r="63" spans="1:38" ht="18" customHeight="1" x14ac:dyDescent="0.2">
      <c r="A63" s="3">
        <f t="shared" si="1"/>
        <v>0</v>
      </c>
      <c r="B63" s="4219"/>
      <c r="C63" s="4219"/>
      <c r="D63" s="1079"/>
      <c r="E63" s="1289"/>
      <c r="F63" s="4213"/>
      <c r="G63" s="4213"/>
      <c r="H63" s="4213"/>
      <c r="I63" s="4216"/>
      <c r="J63" s="4217"/>
      <c r="K63" s="4218"/>
      <c r="L63" s="1038" t="s">
        <v>4457</v>
      </c>
      <c r="M63" s="4219"/>
      <c r="N63" s="4219"/>
      <c r="O63" s="4219"/>
      <c r="P63" s="4219"/>
      <c r="Q63" s="4214"/>
      <c r="R63" s="4214"/>
      <c r="S63" s="4214"/>
      <c r="T63" s="4214"/>
      <c r="U63" s="4214"/>
      <c r="V63" s="4214"/>
      <c r="W63" s="4214"/>
      <c r="X63" s="4214"/>
      <c r="Y63" s="4214"/>
      <c r="Z63" s="4214"/>
      <c r="AA63" s="4215"/>
      <c r="AB63" s="4215"/>
      <c r="AC63" s="572" t="str">
        <f t="shared" si="2"/>
        <v/>
      </c>
      <c r="AD63" s="572"/>
      <c r="AE63" s="28">
        <f t="shared" si="3"/>
        <v>0</v>
      </c>
      <c r="AH63" s="30">
        <f t="shared" si="6"/>
        <v>0</v>
      </c>
      <c r="AK63" s="30"/>
      <c r="AL63" s="28">
        <f t="shared" si="7"/>
        <v>0</v>
      </c>
    </row>
    <row r="64" spans="1:38" ht="18" customHeight="1" x14ac:dyDescent="0.2">
      <c r="A64" s="3">
        <f t="shared" si="1"/>
        <v>0</v>
      </c>
      <c r="B64" s="4219"/>
      <c r="C64" s="4219"/>
      <c r="D64" s="1079"/>
      <c r="E64" s="1289"/>
      <c r="F64" s="4213"/>
      <c r="G64" s="4213"/>
      <c r="H64" s="4213"/>
      <c r="I64" s="4216"/>
      <c r="J64" s="4217"/>
      <c r="K64" s="4218"/>
      <c r="L64" s="1038" t="s">
        <v>4457</v>
      </c>
      <c r="M64" s="4219"/>
      <c r="N64" s="4219"/>
      <c r="O64" s="4219"/>
      <c r="P64" s="4219"/>
      <c r="Q64" s="4214"/>
      <c r="R64" s="4214"/>
      <c r="S64" s="4214"/>
      <c r="T64" s="4214"/>
      <c r="U64" s="4214"/>
      <c r="V64" s="4214"/>
      <c r="W64" s="4214"/>
      <c r="X64" s="4214"/>
      <c r="Y64" s="4214"/>
      <c r="Z64" s="4214"/>
      <c r="AA64" s="4215"/>
      <c r="AB64" s="4215"/>
      <c r="AC64" s="572" t="str">
        <f t="shared" si="2"/>
        <v/>
      </c>
      <c r="AD64" s="572"/>
      <c r="AE64" s="28">
        <f t="shared" si="3"/>
        <v>0</v>
      </c>
      <c r="AH64" s="30">
        <f t="shared" si="6"/>
        <v>0</v>
      </c>
      <c r="AK64" s="30"/>
      <c r="AL64" s="28">
        <f t="shared" si="7"/>
        <v>0</v>
      </c>
    </row>
    <row r="65" spans="1:38" ht="18" customHeight="1" x14ac:dyDescent="0.2">
      <c r="A65" s="3">
        <f t="shared" si="1"/>
        <v>0</v>
      </c>
      <c r="B65" s="4219"/>
      <c r="C65" s="4219"/>
      <c r="D65" s="1079"/>
      <c r="E65" s="1289"/>
      <c r="F65" s="4213"/>
      <c r="G65" s="4213"/>
      <c r="H65" s="4213"/>
      <c r="I65" s="4216"/>
      <c r="J65" s="4217"/>
      <c r="K65" s="4218"/>
      <c r="L65" s="1038" t="s">
        <v>4457</v>
      </c>
      <c r="M65" s="4219"/>
      <c r="N65" s="4219"/>
      <c r="O65" s="4219"/>
      <c r="P65" s="4219"/>
      <c r="Q65" s="4214"/>
      <c r="R65" s="4214"/>
      <c r="S65" s="4214"/>
      <c r="T65" s="4214"/>
      <c r="U65" s="4214"/>
      <c r="V65" s="4214"/>
      <c r="W65" s="4214"/>
      <c r="X65" s="4214"/>
      <c r="Y65" s="4214"/>
      <c r="Z65" s="4214"/>
      <c r="AA65" s="4215"/>
      <c r="AB65" s="4215"/>
      <c r="AC65" s="572" t="str">
        <f t="shared" si="2"/>
        <v/>
      </c>
      <c r="AD65" s="572"/>
      <c r="AE65" s="28">
        <f t="shared" si="3"/>
        <v>0</v>
      </c>
      <c r="AH65" s="30">
        <f t="shared" si="6"/>
        <v>0</v>
      </c>
      <c r="AK65" s="30"/>
      <c r="AL65" s="28">
        <f t="shared" si="7"/>
        <v>0</v>
      </c>
    </row>
    <row r="66" spans="1:38" ht="18" customHeight="1" x14ac:dyDescent="0.2">
      <c r="A66" s="3">
        <f t="shared" si="1"/>
        <v>0</v>
      </c>
      <c r="B66" s="4219"/>
      <c r="C66" s="4219"/>
      <c r="D66" s="1079"/>
      <c r="E66" s="1289"/>
      <c r="F66" s="4213"/>
      <c r="G66" s="4213"/>
      <c r="H66" s="4213"/>
      <c r="I66" s="4216"/>
      <c r="J66" s="4217"/>
      <c r="K66" s="4218"/>
      <c r="L66" s="1038" t="s">
        <v>4457</v>
      </c>
      <c r="M66" s="4219"/>
      <c r="N66" s="4219"/>
      <c r="O66" s="4219"/>
      <c r="P66" s="4219"/>
      <c r="Q66" s="4214"/>
      <c r="R66" s="4214"/>
      <c r="S66" s="4214"/>
      <c r="T66" s="4214"/>
      <c r="U66" s="4214"/>
      <c r="V66" s="4214"/>
      <c r="W66" s="4214"/>
      <c r="X66" s="4214"/>
      <c r="Y66" s="4214"/>
      <c r="Z66" s="4214"/>
      <c r="AA66" s="4215"/>
      <c r="AB66" s="4215"/>
      <c r="AC66" s="572" t="str">
        <f t="shared" si="2"/>
        <v/>
      </c>
      <c r="AD66" s="572"/>
      <c r="AE66" s="28">
        <f t="shared" si="3"/>
        <v>0</v>
      </c>
      <c r="AH66" s="30">
        <f t="shared" si="6"/>
        <v>0</v>
      </c>
      <c r="AK66" s="30"/>
      <c r="AL66" s="28">
        <f t="shared" si="7"/>
        <v>0</v>
      </c>
    </row>
    <row r="67" spans="1:38" ht="18" customHeight="1" x14ac:dyDescent="0.2">
      <c r="A67" s="3">
        <f t="shared" si="1"/>
        <v>0</v>
      </c>
      <c r="B67" s="4219"/>
      <c r="C67" s="4219"/>
      <c r="D67" s="1079"/>
      <c r="E67" s="1289"/>
      <c r="F67" s="4213"/>
      <c r="G67" s="4213"/>
      <c r="H67" s="4213"/>
      <c r="I67" s="4216"/>
      <c r="J67" s="4217"/>
      <c r="K67" s="4218"/>
      <c r="L67" s="1038" t="s">
        <v>4457</v>
      </c>
      <c r="M67" s="4219"/>
      <c r="N67" s="4219"/>
      <c r="O67" s="4219"/>
      <c r="P67" s="4219"/>
      <c r="Q67" s="4214"/>
      <c r="R67" s="4214"/>
      <c r="S67" s="4214"/>
      <c r="T67" s="4214"/>
      <c r="U67" s="4214"/>
      <c r="V67" s="4214"/>
      <c r="W67" s="4214"/>
      <c r="X67" s="4214"/>
      <c r="Y67" s="4214"/>
      <c r="Z67" s="4214"/>
      <c r="AA67" s="4215"/>
      <c r="AB67" s="4215"/>
      <c r="AC67" s="572" t="str">
        <f t="shared" si="2"/>
        <v/>
      </c>
      <c r="AD67" s="572"/>
      <c r="AE67" s="28">
        <f t="shared" si="3"/>
        <v>0</v>
      </c>
      <c r="AH67" s="30">
        <f t="shared" si="6"/>
        <v>0</v>
      </c>
      <c r="AK67" s="30"/>
      <c r="AL67" s="28">
        <f t="shared" si="7"/>
        <v>0</v>
      </c>
    </row>
    <row r="68" spans="1:38" ht="18" customHeight="1" x14ac:dyDescent="0.2">
      <c r="A68" s="3">
        <f t="shared" si="1"/>
        <v>0</v>
      </c>
      <c r="B68" s="4219"/>
      <c r="C68" s="4219"/>
      <c r="D68" s="1079"/>
      <c r="E68" s="1289"/>
      <c r="F68" s="4213"/>
      <c r="G68" s="4213"/>
      <c r="H68" s="4213"/>
      <c r="I68" s="4216"/>
      <c r="J68" s="4217"/>
      <c r="K68" s="4218"/>
      <c r="L68" s="1038" t="s">
        <v>4457</v>
      </c>
      <c r="M68" s="4219"/>
      <c r="N68" s="4219"/>
      <c r="O68" s="4219"/>
      <c r="P68" s="4219"/>
      <c r="Q68" s="4214"/>
      <c r="R68" s="4214"/>
      <c r="S68" s="4214"/>
      <c r="T68" s="4214"/>
      <c r="U68" s="4214"/>
      <c r="V68" s="4214"/>
      <c r="W68" s="4214"/>
      <c r="X68" s="4214"/>
      <c r="Y68" s="4214"/>
      <c r="Z68" s="4214"/>
      <c r="AA68" s="4215"/>
      <c r="AB68" s="4215"/>
      <c r="AC68" s="572" t="str">
        <f t="shared" si="2"/>
        <v/>
      </c>
      <c r="AD68" s="572"/>
      <c r="AE68" s="28">
        <f t="shared" si="3"/>
        <v>0</v>
      </c>
      <c r="AH68" s="30">
        <f t="shared" si="6"/>
        <v>0</v>
      </c>
      <c r="AK68" s="30"/>
      <c r="AL68" s="28">
        <f t="shared" si="7"/>
        <v>0</v>
      </c>
    </row>
    <row r="69" spans="1:38" ht="18" customHeight="1" x14ac:dyDescent="0.2">
      <c r="A69" s="3">
        <f t="shared" si="1"/>
        <v>0</v>
      </c>
      <c r="B69" s="4219"/>
      <c r="C69" s="4219"/>
      <c r="D69" s="1079"/>
      <c r="E69" s="1289"/>
      <c r="F69" s="4213"/>
      <c r="G69" s="4213"/>
      <c r="H69" s="4213"/>
      <c r="I69" s="4216"/>
      <c r="J69" s="4217"/>
      <c r="K69" s="4218"/>
      <c r="L69" s="1038" t="s">
        <v>4457</v>
      </c>
      <c r="M69" s="4219"/>
      <c r="N69" s="4219"/>
      <c r="O69" s="4219"/>
      <c r="P69" s="4219"/>
      <c r="Q69" s="4214"/>
      <c r="R69" s="4214"/>
      <c r="S69" s="4214"/>
      <c r="T69" s="4214"/>
      <c r="U69" s="4214"/>
      <c r="V69" s="4214"/>
      <c r="W69" s="4214"/>
      <c r="X69" s="4214"/>
      <c r="Y69" s="4214"/>
      <c r="Z69" s="4214"/>
      <c r="AA69" s="4215"/>
      <c r="AB69" s="4215"/>
      <c r="AC69" s="572" t="str">
        <f t="shared" si="2"/>
        <v/>
      </c>
      <c r="AD69" s="572"/>
      <c r="AE69" s="28">
        <f t="shared" si="3"/>
        <v>0</v>
      </c>
      <c r="AH69" s="30">
        <f t="shared" si="6"/>
        <v>0</v>
      </c>
      <c r="AK69" s="30"/>
      <c r="AL69" s="28">
        <f t="shared" si="7"/>
        <v>0</v>
      </c>
    </row>
    <row r="70" spans="1:38" ht="18" customHeight="1" x14ac:dyDescent="0.2">
      <c r="A70" s="3">
        <f t="shared" si="1"/>
        <v>0</v>
      </c>
      <c r="B70" s="4219"/>
      <c r="C70" s="4219"/>
      <c r="D70" s="1079"/>
      <c r="E70" s="1289"/>
      <c r="F70" s="4213"/>
      <c r="G70" s="4213"/>
      <c r="H70" s="4213"/>
      <c r="I70" s="4216"/>
      <c r="J70" s="4217"/>
      <c r="K70" s="4218"/>
      <c r="L70" s="1038" t="s">
        <v>4457</v>
      </c>
      <c r="M70" s="4219"/>
      <c r="N70" s="4219"/>
      <c r="O70" s="4219"/>
      <c r="P70" s="4219"/>
      <c r="Q70" s="4214"/>
      <c r="R70" s="4214"/>
      <c r="S70" s="4214"/>
      <c r="T70" s="4214"/>
      <c r="U70" s="4214"/>
      <c r="V70" s="4214"/>
      <c r="W70" s="4214"/>
      <c r="X70" s="4214"/>
      <c r="Y70" s="4214"/>
      <c r="Z70" s="4214"/>
      <c r="AA70" s="4215"/>
      <c r="AB70" s="4215"/>
      <c r="AC70" s="572" t="str">
        <f t="shared" si="2"/>
        <v/>
      </c>
      <c r="AD70" s="572"/>
      <c r="AE70" s="28">
        <f t="shared" si="3"/>
        <v>0</v>
      </c>
      <c r="AH70" s="30">
        <f t="shared" si="6"/>
        <v>0</v>
      </c>
      <c r="AK70" s="30"/>
      <c r="AL70" s="28">
        <f t="shared" si="7"/>
        <v>0</v>
      </c>
    </row>
    <row r="71" spans="1:38" ht="18" customHeight="1" x14ac:dyDescent="0.2">
      <c r="A71" s="3">
        <f t="shared" si="1"/>
        <v>0</v>
      </c>
      <c r="B71" s="4219"/>
      <c r="C71" s="4219"/>
      <c r="D71" s="1079"/>
      <c r="E71" s="1289"/>
      <c r="F71" s="4213"/>
      <c r="G71" s="4213"/>
      <c r="H71" s="4213"/>
      <c r="I71" s="4216"/>
      <c r="J71" s="4217"/>
      <c r="K71" s="4218"/>
      <c r="L71" s="1038" t="s">
        <v>4457</v>
      </c>
      <c r="M71" s="4219"/>
      <c r="N71" s="4219"/>
      <c r="O71" s="4219"/>
      <c r="P71" s="4219"/>
      <c r="Q71" s="4214"/>
      <c r="R71" s="4214"/>
      <c r="S71" s="4214"/>
      <c r="T71" s="4214"/>
      <c r="U71" s="4214"/>
      <c r="V71" s="4214"/>
      <c r="W71" s="4214"/>
      <c r="X71" s="4214"/>
      <c r="Y71" s="4214"/>
      <c r="Z71" s="4214"/>
      <c r="AA71" s="4215"/>
      <c r="AB71" s="4215"/>
      <c r="AC71" s="572" t="str">
        <f t="shared" si="2"/>
        <v/>
      </c>
      <c r="AD71" s="572"/>
      <c r="AE71" s="28">
        <f t="shared" si="3"/>
        <v>0</v>
      </c>
      <c r="AH71" s="30">
        <f t="shared" si="6"/>
        <v>0</v>
      </c>
      <c r="AK71" s="30"/>
      <c r="AL71" s="28">
        <f t="shared" si="7"/>
        <v>0</v>
      </c>
    </row>
    <row r="72" spans="1:38" ht="18" customHeight="1" x14ac:dyDescent="0.2">
      <c r="A72" s="3">
        <f t="shared" si="1"/>
        <v>0</v>
      </c>
      <c r="B72" s="4219"/>
      <c r="C72" s="4219"/>
      <c r="D72" s="1079"/>
      <c r="E72" s="1289"/>
      <c r="F72" s="4213"/>
      <c r="G72" s="4213"/>
      <c r="H72" s="4213"/>
      <c r="I72" s="4216"/>
      <c r="J72" s="4217"/>
      <c r="K72" s="4218"/>
      <c r="L72" s="1038" t="s">
        <v>4457</v>
      </c>
      <c r="M72" s="4219"/>
      <c r="N72" s="4219"/>
      <c r="O72" s="4219"/>
      <c r="P72" s="4219"/>
      <c r="Q72" s="4214"/>
      <c r="R72" s="4214"/>
      <c r="S72" s="4214"/>
      <c r="T72" s="4214"/>
      <c r="U72" s="4214"/>
      <c r="V72" s="4214"/>
      <c r="W72" s="4214"/>
      <c r="X72" s="4214"/>
      <c r="Y72" s="4214"/>
      <c r="Z72" s="4214"/>
      <c r="AA72" s="4215"/>
      <c r="AB72" s="4215"/>
      <c r="AC72" s="572" t="str">
        <f t="shared" si="2"/>
        <v/>
      </c>
      <c r="AD72" s="572"/>
      <c r="AE72" s="28">
        <f t="shared" si="3"/>
        <v>0</v>
      </c>
      <c r="AH72" s="30">
        <f t="shared" si="6"/>
        <v>0</v>
      </c>
      <c r="AK72" s="30"/>
      <c r="AL72" s="28">
        <f t="shared" si="7"/>
        <v>0</v>
      </c>
    </row>
    <row r="73" spans="1:38" ht="18" customHeight="1" x14ac:dyDescent="0.2">
      <c r="A73" s="3">
        <f t="shared" si="1"/>
        <v>0</v>
      </c>
      <c r="B73" s="4219"/>
      <c r="C73" s="4219"/>
      <c r="D73" s="1079"/>
      <c r="E73" s="1289"/>
      <c r="F73" s="4213"/>
      <c r="G73" s="4213"/>
      <c r="H73" s="4213"/>
      <c r="I73" s="4216"/>
      <c r="J73" s="4217"/>
      <c r="K73" s="4218"/>
      <c r="L73" s="1038" t="s">
        <v>4457</v>
      </c>
      <c r="M73" s="4219"/>
      <c r="N73" s="4219"/>
      <c r="O73" s="4219"/>
      <c r="P73" s="4219"/>
      <c r="Q73" s="4214"/>
      <c r="R73" s="4214"/>
      <c r="S73" s="4214"/>
      <c r="T73" s="4214"/>
      <c r="U73" s="4214"/>
      <c r="V73" s="4214"/>
      <c r="W73" s="4214"/>
      <c r="X73" s="4214"/>
      <c r="Y73" s="4214"/>
      <c r="Z73" s="4214"/>
      <c r="AA73" s="4215"/>
      <c r="AB73" s="4215"/>
      <c r="AC73" s="572" t="str">
        <f t="shared" si="2"/>
        <v/>
      </c>
      <c r="AD73" s="572"/>
      <c r="AE73" s="28">
        <f t="shared" si="3"/>
        <v>0</v>
      </c>
      <c r="AH73" s="30">
        <f t="shared" si="6"/>
        <v>0</v>
      </c>
      <c r="AK73" s="30"/>
      <c r="AL73" s="28">
        <f t="shared" si="7"/>
        <v>0</v>
      </c>
    </row>
    <row r="74" spans="1:38" ht="18" customHeight="1" x14ac:dyDescent="0.2">
      <c r="A74" s="3">
        <f t="shared" si="1"/>
        <v>0</v>
      </c>
      <c r="B74" s="4219"/>
      <c r="C74" s="4219"/>
      <c r="D74" s="1079"/>
      <c r="E74" s="1289"/>
      <c r="F74" s="4213"/>
      <c r="G74" s="4213"/>
      <c r="H74" s="4213"/>
      <c r="I74" s="4216"/>
      <c r="J74" s="4217"/>
      <c r="K74" s="4218"/>
      <c r="L74" s="1038" t="s">
        <v>4457</v>
      </c>
      <c r="M74" s="4219"/>
      <c r="N74" s="4219"/>
      <c r="O74" s="4219"/>
      <c r="P74" s="4219"/>
      <c r="Q74" s="4214"/>
      <c r="R74" s="4214"/>
      <c r="S74" s="4214"/>
      <c r="T74" s="4214"/>
      <c r="U74" s="4214"/>
      <c r="V74" s="4214"/>
      <c r="W74" s="4214"/>
      <c r="X74" s="4214"/>
      <c r="Y74" s="4214"/>
      <c r="Z74" s="4214"/>
      <c r="AA74" s="4215"/>
      <c r="AB74" s="4215"/>
      <c r="AC74" s="572" t="str">
        <f t="shared" si="2"/>
        <v/>
      </c>
      <c r="AD74" s="572"/>
      <c r="AE74" s="28">
        <f t="shared" si="3"/>
        <v>0</v>
      </c>
      <c r="AH74" s="30">
        <f t="shared" ref="AH74:AH83" si="8">IF(tr=1,COUNTA(B74,E74,F74,I74,Q74,S74,U74,W74,Y74,AA74),COUNTA(B74,E74,F74,I74,M74,O74,Q74,S74,U74,W74,Y74,AA74))</f>
      </c>
      <c r="AK74" s="30"/>
      <c r="AL74" s="28">
        <f t="shared" si="7"/>
        <v>0</v>
      </c>
    </row>
    <row r="75" spans="1:38" ht="18" customHeight="1" x14ac:dyDescent="0.2">
      <c r="A75" s="3">
        <f t="shared" si="1"/>
        <v>0</v>
      </c>
      <c r="B75" s="4219"/>
      <c r="C75" s="4219"/>
      <c r="D75" s="1079"/>
      <c r="E75" s="1289"/>
      <c r="F75" s="4213"/>
      <c r="G75" s="4213"/>
      <c r="H75" s="4213"/>
      <c r="I75" s="4216"/>
      <c r="J75" s="4217"/>
      <c r="K75" s="4218"/>
      <c r="L75" s="1038" t="s">
        <v>4457</v>
      </c>
      <c r="M75" s="4219"/>
      <c r="N75" s="4219"/>
      <c r="O75" s="4219"/>
      <c r="P75" s="4219"/>
      <c r="Q75" s="4214"/>
      <c r="R75" s="4214"/>
      <c r="S75" s="4214"/>
      <c r="T75" s="4214"/>
      <c r="U75" s="4214"/>
      <c r="V75" s="4214"/>
      <c r="W75" s="4214"/>
      <c r="X75" s="4214"/>
      <c r="Y75" s="4214"/>
      <c r="Z75" s="4214"/>
      <c r="AA75" s="4215"/>
      <c r="AB75" s="4215"/>
      <c r="AC75" s="572" t="str">
        <f t="shared" si="2"/>
        <v/>
      </c>
      <c r="AD75" s="572"/>
      <c r="AE75" s="28">
        <f t="shared" si="3"/>
        <v>0</v>
      </c>
      <c r="AH75" s="30">
        <f t="shared" si="8"/>
        <v>0</v>
      </c>
      <c r="AK75" s="30"/>
      <c r="AL75" s="28">
        <f t="shared" ref="AL75:AL83" si="9">IF(AH75=0,0,IF(tr=1,10,12))</f>
      </c>
    </row>
    <row r="76" spans="1:38" ht="18" customHeight="1" x14ac:dyDescent="0.2">
      <c r="A76" s="3">
        <f t="shared" si="1"/>
        <v>0</v>
      </c>
      <c r="B76" s="4219"/>
      <c r="C76" s="4219"/>
      <c r="D76" s="1079"/>
      <c r="E76" s="1289"/>
      <c r="F76" s="4213"/>
      <c r="G76" s="4213"/>
      <c r="H76" s="4213"/>
      <c r="I76" s="4216"/>
      <c r="J76" s="4217"/>
      <c r="K76" s="4218"/>
      <c r="L76" s="1038" t="s">
        <v>4457</v>
      </c>
      <c r="M76" s="4219"/>
      <c r="N76" s="4219"/>
      <c r="O76" s="4219"/>
      <c r="P76" s="4219"/>
      <c r="Q76" s="4214"/>
      <c r="R76" s="4214"/>
      <c r="S76" s="4214"/>
      <c r="T76" s="4214"/>
      <c r="U76" s="4214"/>
      <c r="V76" s="4214"/>
      <c r="W76" s="4214"/>
      <c r="X76" s="4214"/>
      <c r="Y76" s="4214"/>
      <c r="Z76" s="4214"/>
      <c r="AA76" s="4215"/>
      <c r="AB76" s="4215"/>
      <c r="AC76" s="572" t="str">
        <f t="shared" si="2"/>
        <v/>
      </c>
      <c r="AD76" s="572"/>
      <c r="AE76" s="28">
        <f t="shared" si="3"/>
        <v>0</v>
      </c>
      <c r="AH76" s="30">
        <f t="shared" si="8"/>
        <v>0</v>
      </c>
      <c r="AK76" s="30"/>
      <c r="AL76" s="28">
        <f t="shared" si="9"/>
        <v>0</v>
      </c>
    </row>
    <row r="77" spans="1:38" ht="18" customHeight="1" x14ac:dyDescent="0.2">
      <c r="A77" s="3">
        <f t="shared" si="1"/>
        <v>0</v>
      </c>
      <c r="B77" s="4219"/>
      <c r="C77" s="4219"/>
      <c r="D77" s="1079"/>
      <c r="E77" s="1289"/>
      <c r="F77" s="4213"/>
      <c r="G77" s="4213"/>
      <c r="H77" s="4213"/>
      <c r="I77" s="4216"/>
      <c r="J77" s="4217"/>
      <c r="K77" s="4218"/>
      <c r="L77" s="1038" t="s">
        <v>4457</v>
      </c>
      <c r="M77" s="4219"/>
      <c r="N77" s="4219"/>
      <c r="O77" s="4219"/>
      <c r="P77" s="4219"/>
      <c r="Q77" s="4214"/>
      <c r="R77" s="4214"/>
      <c r="S77" s="4214"/>
      <c r="T77" s="4214"/>
      <c r="U77" s="4214"/>
      <c r="V77" s="4214"/>
      <c r="W77" s="4214"/>
      <c r="X77" s="4214"/>
      <c r="Y77" s="4214"/>
      <c r="Z77" s="4214"/>
      <c r="AA77" s="4215"/>
      <c r="AB77" s="4215"/>
      <c r="AC77" s="572" t="str">
        <f t="shared" si="2"/>
        <v/>
      </c>
      <c r="AD77" s="572"/>
      <c r="AE77" s="28">
        <f t="shared" si="3"/>
        <v>0</v>
      </c>
      <c r="AH77" s="30">
        <f t="shared" si="8"/>
        <v>0</v>
      </c>
      <c r="AK77" s="30"/>
      <c r="AL77" s="28">
        <f t="shared" si="9"/>
        <v>0</v>
      </c>
    </row>
    <row r="78" spans="1:38" ht="18" customHeight="1" x14ac:dyDescent="0.2">
      <c r="A78" s="3">
        <f t="shared" si="1"/>
        <v>0</v>
      </c>
      <c r="B78" s="4219"/>
      <c r="C78" s="4219"/>
      <c r="D78" s="1079"/>
      <c r="E78" s="1289"/>
      <c r="F78" s="4213"/>
      <c r="G78" s="4213"/>
      <c r="H78" s="4213"/>
      <c r="I78" s="4216"/>
      <c r="J78" s="4217"/>
      <c r="K78" s="4218"/>
      <c r="L78" s="1038" t="s">
        <v>4457</v>
      </c>
      <c r="M78" s="4219"/>
      <c r="N78" s="4219"/>
      <c r="O78" s="4219"/>
      <c r="P78" s="4219"/>
      <c r="Q78" s="4214"/>
      <c r="R78" s="4214"/>
      <c r="S78" s="4214"/>
      <c r="T78" s="4214"/>
      <c r="U78" s="4214"/>
      <c r="V78" s="4214"/>
      <c r="W78" s="4214"/>
      <c r="X78" s="4214"/>
      <c r="Y78" s="4214"/>
      <c r="Z78" s="4214"/>
      <c r="AA78" s="4215"/>
      <c r="AB78" s="4215"/>
      <c r="AC78" s="572" t="str">
        <f t="shared" si="2"/>
        <v/>
      </c>
      <c r="AD78" s="572"/>
      <c r="AE78" s="28">
        <f t="shared" si="3"/>
        <v>0</v>
      </c>
      <c r="AH78" s="30">
        <f t="shared" si="8"/>
        <v>0</v>
      </c>
      <c r="AK78" s="30"/>
      <c r="AL78" s="28">
        <f t="shared" si="9"/>
        <v>0</v>
      </c>
    </row>
    <row r="79" spans="1:38" ht="18" customHeight="1" x14ac:dyDescent="0.2">
      <c r="A79" s="3">
        <f t="shared" si="1"/>
        <v>0</v>
      </c>
      <c r="B79" s="4219"/>
      <c r="C79" s="4219"/>
      <c r="D79" s="1079"/>
      <c r="E79" s="1289"/>
      <c r="F79" s="4213"/>
      <c r="G79" s="4213"/>
      <c r="H79" s="4213"/>
      <c r="I79" s="4216"/>
      <c r="J79" s="4217"/>
      <c r="K79" s="4218"/>
      <c r="L79" s="1038" t="s">
        <v>4457</v>
      </c>
      <c r="M79" s="4219"/>
      <c r="N79" s="4219"/>
      <c r="O79" s="4219"/>
      <c r="P79" s="4219"/>
      <c r="Q79" s="4214"/>
      <c r="R79" s="4214"/>
      <c r="S79" s="4214"/>
      <c r="T79" s="4214"/>
      <c r="U79" s="4214"/>
      <c r="V79" s="4214"/>
      <c r="W79" s="4214"/>
      <c r="X79" s="4214"/>
      <c r="Y79" s="4214"/>
      <c r="Z79" s="4214"/>
      <c r="AA79" s="4215"/>
      <c r="AB79" s="4215"/>
      <c r="AC79" s="572" t="str">
        <f t="shared" si="2"/>
        <v/>
      </c>
      <c r="AD79" s="572"/>
      <c r="AE79" s="28">
        <f t="shared" si="3"/>
        <v>0</v>
      </c>
      <c r="AH79" s="30">
        <f t="shared" si="8"/>
        <v>0</v>
      </c>
      <c r="AK79" s="30"/>
      <c r="AL79" s="28">
        <f t="shared" si="9"/>
        <v>0</v>
      </c>
    </row>
    <row r="80" spans="1:38" ht="18" customHeight="1" x14ac:dyDescent="0.2">
      <c r="A80" s="3">
        <f t="shared" si="1"/>
        <v>0</v>
      </c>
      <c r="B80" s="4219"/>
      <c r="C80" s="4219"/>
      <c r="D80" s="1079"/>
      <c r="E80" s="1289"/>
      <c r="F80" s="4213"/>
      <c r="G80" s="4213"/>
      <c r="H80" s="4213"/>
      <c r="I80" s="4216"/>
      <c r="J80" s="4217"/>
      <c r="K80" s="4218"/>
      <c r="L80" s="1038" t="s">
        <v>4457</v>
      </c>
      <c r="M80" s="4219"/>
      <c r="N80" s="4219"/>
      <c r="O80" s="4219"/>
      <c r="P80" s="4219"/>
      <c r="Q80" s="4214"/>
      <c r="R80" s="4214"/>
      <c r="S80" s="4214"/>
      <c r="T80" s="4214"/>
      <c r="U80" s="4214"/>
      <c r="V80" s="4214"/>
      <c r="W80" s="4214"/>
      <c r="X80" s="4214"/>
      <c r="Y80" s="4214"/>
      <c r="Z80" s="4214"/>
      <c r="AA80" s="4215"/>
      <c r="AB80" s="4215"/>
      <c r="AC80" s="572" t="str">
        <f t="shared" si="2"/>
        <v/>
      </c>
      <c r="AD80" s="572"/>
      <c r="AE80" s="28">
        <f t="shared" si="3"/>
        <v>0</v>
      </c>
      <c r="AH80" s="30">
        <f t="shared" si="8"/>
        <v>0</v>
      </c>
      <c r="AK80" s="30"/>
      <c r="AL80" s="28">
        <f t="shared" si="9"/>
        <v>0</v>
      </c>
    </row>
    <row r="81" spans="1:70" ht="18" customHeight="1" x14ac:dyDescent="0.2">
      <c r="A81" s="3">
        <f t="shared" si="1"/>
        <v>0</v>
      </c>
      <c r="B81" s="4219"/>
      <c r="C81" s="4219"/>
      <c r="D81" s="1079"/>
      <c r="E81" s="1289"/>
      <c r="F81" s="4213"/>
      <c r="G81" s="4213"/>
      <c r="H81" s="4213"/>
      <c r="I81" s="4216"/>
      <c r="J81" s="4217"/>
      <c r="K81" s="4218"/>
      <c r="L81" s="1038" t="s">
        <v>4457</v>
      </c>
      <c r="M81" s="4219"/>
      <c r="N81" s="4219"/>
      <c r="O81" s="4219"/>
      <c r="P81" s="4219"/>
      <c r="Q81" s="4214"/>
      <c r="R81" s="4214"/>
      <c r="S81" s="4214"/>
      <c r="T81" s="4214"/>
      <c r="U81" s="4214"/>
      <c r="V81" s="4214"/>
      <c r="W81" s="4214"/>
      <c r="X81" s="4214"/>
      <c r="Y81" s="4214"/>
      <c r="Z81" s="4214"/>
      <c r="AA81" s="4215"/>
      <c r="AB81" s="4215"/>
      <c r="AC81" s="572" t="str">
        <f t="shared" si="2"/>
        <v/>
      </c>
      <c r="AD81" s="572"/>
      <c r="AE81" s="28">
        <f t="shared" si="3"/>
        <v>0</v>
      </c>
      <c r="AH81" s="30">
        <f t="shared" si="8"/>
        <v>0</v>
      </c>
      <c r="AK81" s="30"/>
      <c r="AL81" s="28">
        <f t="shared" si="9"/>
        <v>0</v>
      </c>
    </row>
    <row r="82" spans="1:70" ht="18" customHeight="1" x14ac:dyDescent="0.2">
      <c r="A82" s="3">
        <f t="shared" si="1"/>
        <v>0</v>
      </c>
      <c r="B82" s="4219"/>
      <c r="C82" s="4219"/>
      <c r="D82" s="1079"/>
      <c r="E82" s="1289"/>
      <c r="F82" s="4213"/>
      <c r="G82" s="4213"/>
      <c r="H82" s="4213"/>
      <c r="I82" s="4216"/>
      <c r="J82" s="4217"/>
      <c r="K82" s="4218"/>
      <c r="L82" s="1038" t="s">
        <v>4457</v>
      </c>
      <c r="M82" s="4219"/>
      <c r="N82" s="4219"/>
      <c r="O82" s="4219"/>
      <c r="P82" s="4219"/>
      <c r="Q82" s="4214"/>
      <c r="R82" s="4214"/>
      <c r="S82" s="4214"/>
      <c r="T82" s="4214"/>
      <c r="U82" s="4214"/>
      <c r="V82" s="4214"/>
      <c r="W82" s="4214"/>
      <c r="X82" s="4214"/>
      <c r="Y82" s="4214"/>
      <c r="Z82" s="4214"/>
      <c r="AA82" s="4215"/>
      <c r="AB82" s="4215"/>
      <c r="AC82" s="572" t="str">
        <f t="shared" si="2"/>
        <v/>
      </c>
      <c r="AD82" s="572"/>
      <c r="AE82" s="28">
        <f t="shared" si="3"/>
        <v>0</v>
      </c>
      <c r="AH82" s="30">
        <f t="shared" si="8"/>
        <v>0</v>
      </c>
      <c r="AK82" s="30"/>
      <c r="AL82" s="28">
        <f t="shared" si="9"/>
        <v>0</v>
      </c>
    </row>
    <row r="83" spans="1:70" ht="18" customHeight="1" x14ac:dyDescent="0.2">
      <c r="A83" s="3">
        <f t="shared" si="1"/>
        <v>0</v>
      </c>
      <c r="B83" s="4219"/>
      <c r="C83" s="4219"/>
      <c r="D83" s="1079"/>
      <c r="E83" s="1289"/>
      <c r="F83" s="4213"/>
      <c r="G83" s="4213"/>
      <c r="H83" s="4213"/>
      <c r="I83" s="4216"/>
      <c r="J83" s="4217"/>
      <c r="K83" s="4218"/>
      <c r="L83" s="1038" t="s">
        <v>4457</v>
      </c>
      <c r="M83" s="4219"/>
      <c r="N83" s="4219"/>
      <c r="O83" s="4219"/>
      <c r="P83" s="4219"/>
      <c r="Q83" s="4214"/>
      <c r="R83" s="4214"/>
      <c r="S83" s="4214"/>
      <c r="T83" s="4214"/>
      <c r="U83" s="4214"/>
      <c r="V83" s="4214"/>
      <c r="W83" s="4214"/>
      <c r="X83" s="4214"/>
      <c r="Y83" s="4214"/>
      <c r="Z83" s="4214"/>
      <c r="AA83" s="4215"/>
      <c r="AB83" s="4215"/>
      <c r="AC83" s="572" t="str">
        <f t="shared" si="2"/>
        <v/>
      </c>
      <c r="AD83" s="572"/>
      <c r="AE83" s="28">
        <f t="shared" si="3"/>
        <v>0</v>
      </c>
      <c r="AH83" s="30">
        <f t="shared" si="8"/>
        <v>0</v>
      </c>
      <c r="AK83" s="30"/>
      <c r="AL83" s="28">
        <f t="shared" si="9"/>
        <v>0</v>
      </c>
    </row>
    <row r="84" spans="1:70" ht="18" customHeight="1" x14ac:dyDescent="0.2">
      <c r="A84" s="3">
        <v>1</v>
      </c>
      <c r="B84" s="4236" t="s">
        <v>5593</v>
      </c>
      <c r="C84" s="4236"/>
      <c r="D84" s="4236"/>
      <c r="E84" s="4236"/>
      <c r="F84" s="4236"/>
      <c r="G84" s="4236"/>
      <c r="H84" s="4236"/>
      <c r="I84" s="4236"/>
      <c r="J84" s="4236"/>
      <c r="K84" s="4236"/>
      <c r="L84" s="4236"/>
      <c r="M84" s="4267">
        <f>SUM(M10:N83)</f>
      </c>
      <c r="N84" s="4267"/>
      <c r="O84" s="4268"/>
      <c r="P84" s="4268"/>
      <c r="Q84" s="4260">
        <f>SUM(Q10:R83)</f>
      </c>
      <c r="R84" s="4260"/>
      <c r="S84" s="4260">
        <f>SUM(S10:T83)</f>
      </c>
      <c r="T84" s="4260"/>
      <c r="U84" s="4260">
        <f>SUM(U10:V83)</f>
      </c>
      <c r="V84" s="4260"/>
      <c r="W84" s="4260">
        <f>SUM(W10:X83)</f>
      </c>
      <c r="X84" s="4260"/>
      <c r="Y84" s="4260">
        <f>SUM(Y10:Z83)</f>
      </c>
      <c r="Z84" s="4260"/>
      <c r="AA84" s="4260">
        <f>SUM(AA10:AB83)</f>
      </c>
      <c r="AB84" s="4260"/>
      <c r="AC84" s="20"/>
      <c r="AD84" s="20"/>
      <c r="BE84" s="84">
        <f>SUM(S84:Z84)</f>
      </c>
      <c r="BR84" s="84">
        <f>Q84</f>
      </c>
    </row>
    <row r="85" spans="1:70" ht="14.25" customHeight="1" x14ac:dyDescent="0.2">
      <c r="A85" s="3">
        <v>1</v>
      </c>
      <c r="B85" s="11"/>
      <c r="C85" s="3"/>
      <c r="D85" s="3"/>
      <c r="E85" s="3"/>
      <c r="F85" s="3"/>
      <c r="G85" s="3"/>
      <c r="H85" s="3"/>
      <c r="I85" s="3"/>
      <c r="J85" s="3"/>
      <c r="K85" s="3"/>
      <c r="L85" s="3"/>
      <c r="M85" s="3"/>
      <c r="N85" s="3"/>
      <c r="O85" s="3"/>
      <c r="P85" s="3"/>
      <c r="Q85" s="1083"/>
      <c r="R85" s="1083"/>
      <c r="S85" s="1083"/>
      <c r="T85" s="1083"/>
      <c r="U85" s="1083"/>
      <c r="V85" s="1083"/>
      <c r="W85" s="1083"/>
      <c r="X85" s="1083"/>
      <c r="Y85" s="1083"/>
      <c r="Z85" s="1083"/>
      <c r="AA85" s="4266"/>
      <c r="AB85" s="4266"/>
      <c r="AC85" s="20"/>
      <c r="AD85" s="20"/>
      <c r="BE85" s="32">
        <f>'p6'!GL73</f>
      </c>
      <c r="BR85" s="28">
        <f>'p6'!K93</f>
      </c>
    </row>
    <row r="86" spans="1:70" ht="18.75" customHeight="1" x14ac:dyDescent="0.2">
      <c r="A86" s="3">
        <v>1</v>
      </c>
      <c r="B86" s="4264" t="str">
        <f>IF(AM1="y","",IF(BR84&lt;&gt;BR85,BR86,IF(BE84&lt;&gt;BE85,BE86,"")))</f>
        <v/>
      </c>
      <c r="C86" s="4265"/>
      <c r="D86" s="4265"/>
      <c r="E86" s="4265"/>
      <c r="F86" s="4265"/>
      <c r="G86" s="4265"/>
      <c r="H86" s="4265"/>
      <c r="I86" s="4265"/>
      <c r="J86" s="4265"/>
      <c r="K86" s="4265"/>
      <c r="L86" s="4265"/>
      <c r="M86" s="4265"/>
      <c r="N86" s="4265"/>
      <c r="O86" s="4265"/>
      <c r="P86" s="4265"/>
      <c r="Q86" s="4265"/>
      <c r="R86" s="4265"/>
      <c r="S86" s="4265"/>
      <c r="T86" s="4265"/>
      <c r="U86" s="4265"/>
      <c r="V86" s="4265"/>
      <c r="W86" s="4265"/>
      <c r="X86" s="4265"/>
      <c r="Y86" s="4265"/>
      <c r="Z86" s="4265"/>
      <c r="AA86" s="4265"/>
      <c r="AB86" s="4265"/>
      <c r="AC86" s="20"/>
      <c r="AD86" s="20"/>
      <c r="AF86" s="28">
        <f>AG86+AH86</f>
      </c>
      <c r="AG86" s="32">
        <f>'p6'!W104</f>
      </c>
      <c r="AH86" s="28">
        <f>AI86*-1</f>
      </c>
      <c r="AI86" s="28">
        <f>'p6'!S39</f>
      </c>
      <c r="AL86" s="142"/>
      <c r="AM86" s="142"/>
      <c r="AN86" s="142"/>
      <c r="AO86" s="142"/>
      <c r="AP86" s="142"/>
      <c r="AQ86" s="142"/>
      <c r="AR86" s="142"/>
      <c r="AS86" s="142"/>
      <c r="AT86" s="142"/>
      <c r="AU86" s="142"/>
      <c r="AV86" s="142"/>
      <c r="AW86" s="142"/>
      <c r="AX86" s="142"/>
      <c r="AY86" s="142"/>
      <c r="AZ86" s="142"/>
      <c r="BA86" s="142"/>
      <c r="BB86" s="142"/>
      <c r="BC86" s="142"/>
      <c r="BD86" s="142"/>
      <c r="BE86" s="28" t="s">
        <v>3920</v>
      </c>
      <c r="BR86" s="28" t="s">
        <v>3921</v>
      </c>
    </row>
    <row r="87" spans="1:70" ht="6.75" customHeight="1" x14ac:dyDescent="0.2">
      <c r="A87" s="3">
        <v>1</v>
      </c>
      <c r="B87" s="11"/>
      <c r="C87" s="3"/>
      <c r="D87" s="3"/>
      <c r="E87" s="3"/>
      <c r="F87" s="3"/>
      <c r="G87" s="3"/>
      <c r="H87" s="3"/>
      <c r="I87" s="3"/>
      <c r="J87" s="3"/>
      <c r="K87" s="3"/>
      <c r="L87" s="3"/>
      <c r="M87" s="3"/>
      <c r="N87" s="3"/>
      <c r="O87" s="3"/>
      <c r="P87" s="3"/>
      <c r="Q87" s="3"/>
      <c r="R87" s="3"/>
      <c r="S87" s="3"/>
      <c r="T87" s="3"/>
      <c r="U87" s="3"/>
      <c r="V87" s="3"/>
      <c r="W87" s="3"/>
      <c r="X87" s="3"/>
      <c r="Y87" s="3"/>
      <c r="Z87" s="3"/>
      <c r="AA87" s="3"/>
      <c r="AB87" s="3"/>
      <c r="AC87" s="20"/>
      <c r="AD87" s="20"/>
    </row>
    <row r="88" spans="1:70" ht="22.5" customHeight="1" x14ac:dyDescent="0.2">
      <c r="A88" s="3">
        <v>1</v>
      </c>
      <c r="B88" s="4236" t="s">
        <v>5386</v>
      </c>
      <c r="C88" s="4236"/>
      <c r="D88" s="4236"/>
      <c r="E88" s="4236"/>
      <c r="F88" s="4236"/>
      <c r="G88" s="4236"/>
      <c r="H88" s="4236"/>
      <c r="I88" s="4236"/>
      <c r="J88" s="4236"/>
      <c r="K88" s="4236"/>
      <c r="L88" s="4236"/>
      <c r="M88" s="4236"/>
      <c r="N88" s="4236"/>
      <c r="O88" s="4236"/>
      <c r="P88" s="4236"/>
      <c r="Q88" s="4236"/>
      <c r="R88" s="4236"/>
      <c r="S88" s="4236"/>
      <c r="T88" s="4236"/>
      <c r="U88" s="4236"/>
      <c r="V88" s="4236"/>
      <c r="W88" s="4236"/>
      <c r="X88" s="4236"/>
      <c r="Y88" s="4236"/>
      <c r="Z88" s="4236"/>
      <c r="AA88" s="4236"/>
      <c r="AB88" s="3"/>
      <c r="AC88" s="20"/>
      <c r="AD88" s="20"/>
    </row>
    <row r="89" spans="1:70" ht="6.75" customHeight="1" x14ac:dyDescent="0.2">
      <c r="A89" s="3">
        <v>1</v>
      </c>
      <c r="B89" s="11"/>
      <c r="C89" s="3"/>
      <c r="D89" s="3"/>
      <c r="E89" s="3"/>
      <c r="F89" s="3"/>
      <c r="G89" s="3"/>
      <c r="H89" s="3"/>
      <c r="I89" s="3"/>
      <c r="J89" s="3"/>
      <c r="K89" s="3"/>
      <c r="L89" s="3"/>
      <c r="M89" s="3"/>
      <c r="N89" s="3"/>
      <c r="O89" s="3"/>
      <c r="P89" s="3"/>
      <c r="Q89" s="3"/>
      <c r="R89" s="3"/>
      <c r="S89" s="3"/>
      <c r="T89" s="3"/>
      <c r="U89" s="3"/>
      <c r="V89" s="3"/>
      <c r="W89" s="3"/>
      <c r="X89" s="3"/>
      <c r="Y89" s="3"/>
      <c r="Z89" s="3"/>
      <c r="AA89" s="3"/>
      <c r="AB89" s="3"/>
      <c r="AC89" s="20"/>
      <c r="AD89" s="20"/>
    </row>
    <row r="90" spans="1:70" ht="16.149999999999999" customHeight="1" x14ac:dyDescent="0.2">
      <c r="A90" s="3">
        <v>1</v>
      </c>
      <c r="B90" s="4256" t="s">
        <v>6320</v>
      </c>
      <c r="C90" s="4256"/>
      <c r="D90" s="4256"/>
      <c r="E90" s="4256"/>
      <c r="F90" s="4256"/>
      <c r="G90" s="4256"/>
      <c r="H90" s="4256"/>
      <c r="I90" s="4256"/>
      <c r="J90" s="4256"/>
      <c r="K90" s="4256"/>
      <c r="L90" s="4256"/>
      <c r="M90" s="4256"/>
      <c r="N90" s="4256"/>
      <c r="O90" s="4256"/>
      <c r="P90" s="4256"/>
      <c r="Q90" s="4256"/>
      <c r="R90" s="4256"/>
      <c r="S90" s="4257" t="s">
        <v>6150</v>
      </c>
      <c r="T90" s="4258"/>
      <c r="U90" s="4258"/>
      <c r="V90" s="4258"/>
      <c r="W90" s="4258"/>
      <c r="X90" s="4258"/>
      <c r="Y90" s="4258"/>
      <c r="Z90" s="4258"/>
      <c r="AA90" s="4259"/>
      <c r="AB90" s="564"/>
      <c r="AC90" s="20"/>
      <c r="AD90" s="20"/>
    </row>
    <row r="91" spans="1:70" ht="16.149999999999999" customHeight="1" x14ac:dyDescent="0.2">
      <c r="A91" s="3">
        <v>1</v>
      </c>
      <c r="B91" s="4247" t="s">
        <v>6318</v>
      </c>
      <c r="C91" s="4248"/>
      <c r="D91" s="4227" t="s">
        <v>6311</v>
      </c>
      <c r="E91" s="4240" t="s">
        <v>10511</v>
      </c>
      <c r="F91" s="4241"/>
      <c r="G91" s="4241"/>
      <c r="H91" s="4241"/>
      <c r="I91" s="4241"/>
      <c r="J91" s="4242"/>
      <c r="K91" s="4251" t="s">
        <v>4449</v>
      </c>
      <c r="L91" s="4252"/>
      <c r="M91" s="4253"/>
      <c r="N91" s="4246" t="s">
        <v>657</v>
      </c>
      <c r="O91" s="4246"/>
      <c r="P91" s="4246"/>
      <c r="Q91" s="4018"/>
      <c r="R91" s="4261" t="s">
        <v>3510</v>
      </c>
      <c r="S91" s="4251" t="s">
        <v>5527</v>
      </c>
      <c r="T91" s="4252"/>
      <c r="U91" s="4253"/>
      <c r="V91" s="4251" t="s">
        <v>6207</v>
      </c>
      <c r="W91" s="4252"/>
      <c r="X91" s="4253"/>
      <c r="Y91" s="4251" t="s">
        <v>5486</v>
      </c>
      <c r="Z91" s="4252"/>
      <c r="AA91" s="4253"/>
      <c r="AB91" s="3"/>
      <c r="AC91" s="3"/>
      <c r="AD91" s="20"/>
      <c r="AH91" s="1760" t="s">
        <v>10223</v>
      </c>
      <c r="AI91" s="28">
        <f>tr</f>
      </c>
    </row>
    <row r="92" spans="1:70" ht="40.5" customHeight="1" x14ac:dyDescent="0.2">
      <c r="A92" s="3">
        <v>1</v>
      </c>
      <c r="B92" s="4247"/>
      <c r="C92" s="4248"/>
      <c r="D92" s="4228"/>
      <c r="E92" s="4243"/>
      <c r="F92" s="4244"/>
      <c r="G92" s="4244"/>
      <c r="H92" s="4244"/>
      <c r="I92" s="4244"/>
      <c r="J92" s="4245"/>
      <c r="K92" s="4247"/>
      <c r="L92" s="4254"/>
      <c r="M92" s="4248"/>
      <c r="N92" s="4246"/>
      <c r="O92" s="4246"/>
      <c r="P92" s="4246"/>
      <c r="Q92" s="4019" t="s">
        <v>10503</v>
      </c>
      <c r="R92" s="4262"/>
      <c r="S92" s="4247"/>
      <c r="T92" s="4254"/>
      <c r="U92" s="4248"/>
      <c r="V92" s="4247"/>
      <c r="W92" s="4254"/>
      <c r="X92" s="4248"/>
      <c r="Y92" s="4247"/>
      <c r="Z92" s="4254"/>
      <c r="AA92" s="4248"/>
      <c r="AB92" s="3"/>
      <c r="AC92" s="3"/>
      <c r="AD92" s="20"/>
      <c r="AH92" s="1760" t="s">
        <v>10224</v>
      </c>
      <c r="AI92" s="28">
        <f>IF('p2'!G36="y",1,0)</f>
      </c>
      <c r="AT92" s="1736" t="s">
        <v>10505</v>
      </c>
      <c r="AV92" s="1736"/>
    </row>
    <row r="93" spans="1:70" ht="19.5" customHeight="1" x14ac:dyDescent="0.2">
      <c r="A93" s="3">
        <v>1</v>
      </c>
      <c r="B93" s="4249"/>
      <c r="C93" s="4250"/>
      <c r="D93" s="4229"/>
      <c r="E93" s="4246" t="s">
        <v>6319</v>
      </c>
      <c r="F93" s="4246"/>
      <c r="G93" s="4246" t="s">
        <v>6322</v>
      </c>
      <c r="H93" s="4246"/>
      <c r="I93" s="4246" t="s">
        <v>6323</v>
      </c>
      <c r="J93" s="4246"/>
      <c r="K93" s="4249"/>
      <c r="L93" s="4255"/>
      <c r="M93" s="4250"/>
      <c r="N93" s="4246"/>
      <c r="O93" s="4246"/>
      <c r="P93" s="4246"/>
      <c r="Q93" s="4020"/>
      <c r="R93" s="4263"/>
      <c r="S93" s="4249"/>
      <c r="T93" s="4255"/>
      <c r="U93" s="4250"/>
      <c r="V93" s="4249"/>
      <c r="W93" s="4255"/>
      <c r="X93" s="4250"/>
      <c r="Y93" s="4249"/>
      <c r="Z93" s="4255"/>
      <c r="AA93" s="4250"/>
      <c r="AB93" s="3"/>
      <c r="AC93" s="3"/>
      <c r="AD93" s="20"/>
      <c r="AI93" s="28">
        <f>SUM(AI91:AI92)</f>
      </c>
      <c r="AQ93" s="1760" t="s">
        <v>10041</v>
      </c>
    </row>
    <row r="94" spans="1:70" ht="18" customHeight="1" x14ac:dyDescent="0.2">
      <c r="A94" s="3">
        <f>IF(AH94=0,0,1)</f>
      </c>
      <c r="B94" s="4231"/>
      <c r="C94" s="4232"/>
      <c r="D94" s="1289" t="s">
        <v>10798</v>
      </c>
      <c r="E94" s="4230"/>
      <c r="F94" s="4230"/>
      <c r="G94" s="4216"/>
      <c r="H94" s="4218"/>
      <c r="I94" s="4216"/>
      <c r="J94" s="4218"/>
      <c r="K94" s="4220"/>
      <c r="L94" s="4220"/>
      <c r="M94" s="4220"/>
      <c r="N94" s="4220"/>
      <c r="O94" s="4220"/>
      <c r="P94" s="4220"/>
      <c r="Q94" s="1267"/>
      <c r="R94" s="1038" t="s">
        <v>4457</v>
      </c>
      <c r="S94" s="4233"/>
      <c r="T94" s="4234"/>
      <c r="U94" s="4235"/>
      <c r="V94" s="4233"/>
      <c r="W94" s="4234"/>
      <c r="X94" s="4235"/>
      <c r="Y94" s="4233">
        <v>0</v>
      </c>
      <c r="Z94" s="4234"/>
      <c r="AA94" s="4235"/>
      <c r="AB94" s="572" t="str">
        <f>IF(AND(AQ94=1,OR(B94="",B94=$AT$92)),"TIN required!",IF(AND((COUNTA(B94:D94)&lt;&gt;2)), "All details required!",IF(AND($AI$93=0,COUNTA(S94:AA94)&lt;&gt;3),"All details required!",IF(OR(ISBLANK(K94)=TRUE,ISBLANK(N94)=TRUE,ISBLANK(Q94)=TRUE),"All details required!",IF(AND(AQ94=0,OR(B94="",B94=$AT$92),$AI$93=0,OR(COUNTA(S94:AA94)&lt;&gt;3,COUNTA(E94:Q94)&lt;&gt;6)),"All details required!",IF(AND(AQ94=0,OR(B94="",B94=$AT$92),$AI$93=1,COUNTA(E94:Q94)&lt;&gt;6),"All details required!",IF(AND(AH94&gt;0,ISBLANK(R94)=TRUE),"All details required!", "")))))))</f>
        <v/>
      </c>
      <c r="AC94" s="3"/>
      <c r="AD94" s="20"/>
      <c r="AE94" s="28">
        <f>IF(AB94="",0,1)</f>
      </c>
      <c r="AH94" s="4022">
        <f>COUNTA(B94,E94,J94,#REF!,U94,X94,#REF!)</f>
      </c>
      <c r="AK94" s="30">
        <f>IF($AI$93&gt;0,COUNTA(B94:Q94),COUNTA(B94:Q94,S94:AA94))</f>
      </c>
      <c r="AL94" s="28">
        <f>IF($AI$93&gt;0,5+AM94,7+AM94)</f>
      </c>
      <c r="AM94" s="28">
        <f>IF(OR(B94 = $AT$92, B94 = ""), 3, 0)</f>
      </c>
      <c r="AQ94" s="28">
        <f t="shared" ref="AQ94:AQ117" si="10">IF(ISERROR(VLOOKUP(D94,eu_countries,1,FALSE))=TRUE,0,1)</f>
      </c>
      <c r="BE94" s="74">
        <f>DATE(ya-101,1,1)</f>
      </c>
      <c r="BF94" s="74">
        <f>DATE(ya-14,12,31)</f>
      </c>
    </row>
    <row r="95" spans="1:70" ht="18" customHeight="1" x14ac:dyDescent="0.2">
      <c r="A95" s="3">
        <f>IF(AH95=0,0,1)</f>
      </c>
      <c r="B95" s="4231"/>
      <c r="C95" s="4232"/>
      <c r="D95" s="1289"/>
      <c r="E95" s="4230"/>
      <c r="F95" s="4230"/>
      <c r="G95" s="4216"/>
      <c r="H95" s="4218"/>
      <c r="I95" s="4216"/>
      <c r="J95" s="4218"/>
      <c r="K95" s="4220"/>
      <c r="L95" s="4220"/>
      <c r="M95" s="4220"/>
      <c r="N95" s="4220"/>
      <c r="O95" s="4220"/>
      <c r="P95" s="4220"/>
      <c r="Q95" s="1267"/>
      <c r="R95" s="1038" t="s">
        <v>4457</v>
      </c>
      <c r="S95" s="4233"/>
      <c r="T95" s="4234"/>
      <c r="U95" s="4235"/>
      <c r="V95" s="4233"/>
      <c r="W95" s="4234"/>
      <c r="X95" s="4235"/>
      <c r="Y95" s="4233"/>
      <c r="Z95" s="4234"/>
      <c r="AA95" s="4235"/>
      <c r="AB95" s="572" t="str">
        <f>IF(COUNTA(S95:AA95)+COUNTA(B95:Q95)=0,"",IF(AND(AQ95=1,OR(B95="",B95=$AT$92)),"TIN required!",IF(AND((COUNTA(B95:D95)&lt;&gt;2)),"All details required!",IF(AND($AI$93=0,COUNTA(S95:AA95)&lt;&gt;3),"All details required!",IF(OR(ISBLANK(K95)=TRUE,ISBLANK(N95)=TRUE,ISBLANK(Q95)=TRUE),"All details required!",IF(AND(AQ95=0,OR(B95="",B95=$AT$92),$AI$93=0,OR(COUNTA(S95:AA95)&lt;&gt;3,COUNTA(E95:Q95)&lt;&gt;6)),"All details required!",IF(AND(AQ95=0,OR(B95="",B95=$AT$92),$AI$93=1,COUNTA(E95:Q95)&lt;&gt;6),"All details required!",IF(AND(AH95&gt;0,ISBLANK(R95)=TRUE),"All details required!",""))))))))</f>
        <v/>
      </c>
      <c r="AC95" s="3"/>
      <c r="AD95" s="20"/>
      <c r="AE95" s="28">
        <f>IF(AB95="",0,1)</f>
      </c>
      <c r="AH95" s="4022">
        <f>COUNTA(B95,E95,J95,R95,#REF!,U95,X95)</f>
      </c>
      <c r="AK95" s="30">
        <f t="shared" ref="AK95:AK117" si="11">IF($AI$93&gt;0,COUNTA(B95:Q95),COUNTA(B95:Q95,S95:AA95))</f>
      </c>
      <c r="AL95" s="28">
        <f>IF(AK95=0,0,IF($AI$93&gt;0,5+AM95,8+AM95))</f>
      </c>
      <c r="AM95" s="28">
        <f t="shared" ref="AM95:AM117" si="12">IF(OR(B95 = $AT$92, B95 = ""), 3, 0)</f>
      </c>
      <c r="AQ95" s="28">
        <f t="shared" si="10"/>
        <v>1</v>
      </c>
    </row>
    <row r="96" spans="1:70" ht="18" customHeight="1" x14ac:dyDescent="0.2">
      <c r="A96" s="3">
        <f t="shared" ref="A96:A117" si="13">IF(AH96=0,0,1)</f>
      </c>
      <c r="B96" s="4231"/>
      <c r="C96" s="4232"/>
      <c r="D96" s="1289"/>
      <c r="E96" s="4230"/>
      <c r="F96" s="4230"/>
      <c r="G96" s="4216"/>
      <c r="H96" s="4218"/>
      <c r="I96" s="4216"/>
      <c r="J96" s="4218"/>
      <c r="K96" s="4220"/>
      <c r="L96" s="4220"/>
      <c r="M96" s="4220"/>
      <c r="N96" s="4220"/>
      <c r="O96" s="4220"/>
      <c r="P96" s="4220"/>
      <c r="Q96" s="1267"/>
      <c r="R96" s="1038" t="s">
        <v>4457</v>
      </c>
      <c r="S96" s="4233"/>
      <c r="T96" s="4234"/>
      <c r="U96" s="4235"/>
      <c r="V96" s="4233"/>
      <c r="W96" s="4234"/>
      <c r="X96" s="4235"/>
      <c r="Y96" s="4233"/>
      <c r="Z96" s="4234"/>
      <c r="AA96" s="4235"/>
      <c r="AB96" s="572" t="str">
        <f t="shared" ref="AB96:AB117" si="14">IF(COUNTA(S96:AA96)+COUNTA(B96:Q96)=0,"",IF(AND(AQ96=1,OR(B96="",B96=$AT$92)),"TIN required!",IF(AND((COUNTA(B96:D96)&lt;&gt;2)),"All details required!",IF(AND($AI$93=0,COUNTA(S96:AA96)&lt;&gt;3),"All details required!",IF(OR(ISBLANK(K96)=TRUE,ISBLANK(N96)=TRUE,ISBLANK(Q96)=TRUE),"All details required!",IF(AND(AQ96=0,OR(B96="",B96=$AT$92),$AI$93=0,OR(COUNTA(S96:AA96)&lt;&gt;3,COUNTA(E96:Q96)&lt;&gt;6)),"All details required!",IF(AND(AQ96=0,OR(B96="",B96=$AT$92),$AI$93=1,COUNTA(E96:Q96)&lt;&gt;6),"All details required!",IF(AND(AH96&gt;0,ISBLANK(R96)=TRUE),"All details required!",""))))))))</f>
        <v/>
      </c>
      <c r="AC96" s="3"/>
      <c r="AD96" s="20"/>
      <c r="AE96" s="28">
        <f t="shared" ref="AE96:AE117" si="15">IF(AB96="",0,1)</f>
      </c>
      <c r="AH96" s="4022">
        <f>COUNTA(B96,E96,J96,R96,#REF!,U96,X96)</f>
      </c>
      <c r="AK96" s="30">
        <f t="shared" si="11"/>
        <v>0</v>
      </c>
      <c r="AL96" s="28">
        <f t="shared" ref="AL96:AL117" si="16">IF(AK96=0,0,IF($AI$93&gt;0,5+AM96,8+AM96))</f>
      </c>
      <c r="AM96" s="28">
        <f t="shared" si="12"/>
        <v>3</v>
      </c>
      <c r="AQ96" s="28">
        <f t="shared" si="10"/>
        <v>0</v>
      </c>
    </row>
    <row r="97" spans="1:43" ht="18" customHeight="1" x14ac:dyDescent="0.2">
      <c r="A97" s="3">
        <f t="shared" si="13"/>
        <v>1</v>
      </c>
      <c r="B97" s="4231"/>
      <c r="C97" s="4232"/>
      <c r="D97" s="1289"/>
      <c r="E97" s="4230"/>
      <c r="F97" s="4230"/>
      <c r="G97" s="4216"/>
      <c r="H97" s="4218"/>
      <c r="I97" s="4216"/>
      <c r="J97" s="4218"/>
      <c r="K97" s="4220"/>
      <c r="L97" s="4220"/>
      <c r="M97" s="4220"/>
      <c r="N97" s="4220"/>
      <c r="O97" s="4220"/>
      <c r="P97" s="4220"/>
      <c r="Q97" s="1267"/>
      <c r="R97" s="1038" t="s">
        <v>4457</v>
      </c>
      <c r="S97" s="4233"/>
      <c r="T97" s="4234"/>
      <c r="U97" s="4235"/>
      <c r="V97" s="4233"/>
      <c r="W97" s="4234"/>
      <c r="X97" s="4235"/>
      <c r="Y97" s="4233"/>
      <c r="Z97" s="4234"/>
      <c r="AA97" s="4235"/>
      <c r="AB97" s="572" t="str">
        <f t="shared" si="14"/>
        <v/>
      </c>
      <c r="AC97" s="3"/>
      <c r="AD97" s="20"/>
      <c r="AE97" s="28">
        <f t="shared" si="15"/>
        <v>0</v>
      </c>
      <c r="AH97" s="4022">
        <f>COUNTA(B97,E97,J97,R97,#REF!,U97,X97)</f>
      </c>
      <c r="AK97" s="30">
        <f t="shared" si="11"/>
        <v>0</v>
      </c>
      <c r="AL97" s="28">
        <f t="shared" si="16"/>
        <v>0</v>
      </c>
      <c r="AM97" s="28">
        <f t="shared" si="12"/>
        <v>3</v>
      </c>
      <c r="AQ97" s="28">
        <f t="shared" si="10"/>
        <v>0</v>
      </c>
    </row>
    <row r="98" spans="1:43" ht="18" customHeight="1" x14ac:dyDescent="0.2">
      <c r="A98" s="3">
        <f t="shared" si="13"/>
        <v>1</v>
      </c>
      <c r="B98" s="4231"/>
      <c r="C98" s="4232"/>
      <c r="D98" s="1289"/>
      <c r="E98" s="4230"/>
      <c r="F98" s="4230"/>
      <c r="G98" s="4216"/>
      <c r="H98" s="4218"/>
      <c r="I98" s="4216"/>
      <c r="J98" s="4218"/>
      <c r="K98" s="4220"/>
      <c r="L98" s="4220"/>
      <c r="M98" s="4220"/>
      <c r="N98" s="4220"/>
      <c r="O98" s="4220"/>
      <c r="P98" s="4220"/>
      <c r="Q98" s="1267"/>
      <c r="R98" s="1038" t="s">
        <v>4457</v>
      </c>
      <c r="S98" s="4233"/>
      <c r="T98" s="4234"/>
      <c r="U98" s="4235"/>
      <c r="V98" s="4233"/>
      <c r="W98" s="4234"/>
      <c r="X98" s="4235"/>
      <c r="Y98" s="4233"/>
      <c r="Z98" s="4234"/>
      <c r="AA98" s="4235"/>
      <c r="AB98" s="572" t="str">
        <f t="shared" si="14"/>
        <v/>
      </c>
      <c r="AC98" s="3"/>
      <c r="AD98" s="20"/>
      <c r="AE98" s="28">
        <f t="shared" si="15"/>
        <v>0</v>
      </c>
      <c r="AH98" s="4022">
        <f>COUNTA(B98,E98,J98,R98,#REF!,U98,X98)</f>
      </c>
      <c r="AK98" s="30">
        <f t="shared" si="11"/>
        <v>0</v>
      </c>
      <c r="AL98" s="28">
        <f t="shared" si="16"/>
        <v>0</v>
      </c>
      <c r="AM98" s="28">
        <f t="shared" si="12"/>
        <v>3</v>
      </c>
      <c r="AQ98" s="28">
        <f t="shared" si="10"/>
        <v>0</v>
      </c>
    </row>
    <row r="99" spans="1:43" ht="18" customHeight="1" x14ac:dyDescent="0.2">
      <c r="A99" s="3">
        <f t="shared" si="13"/>
        <v>1</v>
      </c>
      <c r="B99" s="4231"/>
      <c r="C99" s="4232"/>
      <c r="D99" s="1289"/>
      <c r="E99" s="4230"/>
      <c r="F99" s="4230"/>
      <c r="G99" s="4216"/>
      <c r="H99" s="4218"/>
      <c r="I99" s="4216"/>
      <c r="J99" s="4218"/>
      <c r="K99" s="4220"/>
      <c r="L99" s="4220"/>
      <c r="M99" s="4220"/>
      <c r="N99" s="4220"/>
      <c r="O99" s="4220"/>
      <c r="P99" s="4220"/>
      <c r="Q99" s="1267"/>
      <c r="R99" s="1038" t="s">
        <v>4457</v>
      </c>
      <c r="S99" s="4233"/>
      <c r="T99" s="4234"/>
      <c r="U99" s="4235"/>
      <c r="V99" s="4233"/>
      <c r="W99" s="4234"/>
      <c r="X99" s="4235"/>
      <c r="Y99" s="4233"/>
      <c r="Z99" s="4234"/>
      <c r="AA99" s="4235"/>
      <c r="AB99" s="572" t="str">
        <f t="shared" si="14"/>
        <v/>
      </c>
      <c r="AC99" s="3"/>
      <c r="AD99" s="20"/>
      <c r="AE99" s="28">
        <f t="shared" si="15"/>
        <v>0</v>
      </c>
      <c r="AH99" s="4022">
        <f>COUNTA(B99,E99,J99,R99,#REF!,U99,X99)</f>
      </c>
      <c r="AK99" s="30">
        <f t="shared" si="11"/>
        <v>0</v>
      </c>
      <c r="AL99" s="28">
        <f t="shared" si="16"/>
        <v>0</v>
      </c>
      <c r="AM99" s="28">
        <f t="shared" si="12"/>
        <v>3</v>
      </c>
      <c r="AQ99" s="28">
        <f t="shared" si="10"/>
        <v>0</v>
      </c>
    </row>
    <row r="100" spans="1:43" ht="18" customHeight="1" x14ac:dyDescent="0.2">
      <c r="A100" s="3">
        <f t="shared" si="13"/>
        <v>1</v>
      </c>
      <c r="B100" s="4231"/>
      <c r="C100" s="4232"/>
      <c r="D100" s="1289"/>
      <c r="E100" s="4230"/>
      <c r="F100" s="4230"/>
      <c r="G100" s="4216"/>
      <c r="H100" s="4218"/>
      <c r="I100" s="4216"/>
      <c r="J100" s="4218"/>
      <c r="K100" s="4220"/>
      <c r="L100" s="4220"/>
      <c r="M100" s="4220"/>
      <c r="N100" s="4220"/>
      <c r="O100" s="4220"/>
      <c r="P100" s="4220"/>
      <c r="Q100" s="1267"/>
      <c r="R100" s="1038" t="s">
        <v>4457</v>
      </c>
      <c r="S100" s="4233"/>
      <c r="T100" s="4234"/>
      <c r="U100" s="4235"/>
      <c r="V100" s="4233"/>
      <c r="W100" s="4234"/>
      <c r="X100" s="4235"/>
      <c r="Y100" s="4233"/>
      <c r="Z100" s="4234"/>
      <c r="AA100" s="4235"/>
      <c r="AB100" s="572" t="str">
        <f t="shared" si="14"/>
        <v/>
      </c>
      <c r="AC100" s="3"/>
      <c r="AD100" s="20"/>
      <c r="AE100" s="28">
        <f t="shared" si="15"/>
        <v>0</v>
      </c>
      <c r="AH100" s="4022">
        <f>COUNTA(B100,E100,J100,R100,#REF!,U100,X100)</f>
      </c>
      <c r="AK100" s="30">
        <f t="shared" si="11"/>
        <v>0</v>
      </c>
      <c r="AL100" s="28">
        <f t="shared" si="16"/>
        <v>0</v>
      </c>
      <c r="AM100" s="28">
        <f t="shared" si="12"/>
        <v>3</v>
      </c>
      <c r="AQ100" s="28">
        <f t="shared" si="10"/>
        <v>0</v>
      </c>
    </row>
    <row r="101" spans="1:43" ht="18" customHeight="1" x14ac:dyDescent="0.2">
      <c r="A101" s="3">
        <f t="shared" si="13"/>
        <v>1</v>
      </c>
      <c r="B101" s="4231"/>
      <c r="C101" s="4232"/>
      <c r="D101" s="1289"/>
      <c r="E101" s="4230"/>
      <c r="F101" s="4230"/>
      <c r="G101" s="4216"/>
      <c r="H101" s="4218"/>
      <c r="I101" s="4216"/>
      <c r="J101" s="4218"/>
      <c r="K101" s="4220"/>
      <c r="L101" s="4220"/>
      <c r="M101" s="4220"/>
      <c r="N101" s="4220"/>
      <c r="O101" s="4220"/>
      <c r="P101" s="4220"/>
      <c r="Q101" s="1267"/>
      <c r="R101" s="1038" t="s">
        <v>4457</v>
      </c>
      <c r="S101" s="4233"/>
      <c r="T101" s="4234"/>
      <c r="U101" s="4235"/>
      <c r="V101" s="4233"/>
      <c r="W101" s="4234"/>
      <c r="X101" s="4235"/>
      <c r="Y101" s="4233"/>
      <c r="Z101" s="4234"/>
      <c r="AA101" s="4235"/>
      <c r="AB101" s="572" t="str">
        <f t="shared" si="14"/>
        <v/>
      </c>
      <c r="AC101" s="3"/>
      <c r="AD101" s="20"/>
      <c r="AE101" s="28">
        <f t="shared" si="15"/>
        <v>0</v>
      </c>
      <c r="AH101" s="4022">
        <f>COUNTA(B101,E101,J101,R101,#REF!,U101,X101)</f>
      </c>
      <c r="AK101" s="30">
        <f t="shared" si="11"/>
        <v>0</v>
      </c>
      <c r="AL101" s="28">
        <f t="shared" si="16"/>
        <v>0</v>
      </c>
      <c r="AM101" s="28">
        <f t="shared" si="12"/>
        <v>3</v>
      </c>
      <c r="AQ101" s="28">
        <f t="shared" si="10"/>
        <v>0</v>
      </c>
    </row>
    <row r="102" spans="1:43" ht="18" customHeight="1" x14ac:dyDescent="0.2">
      <c r="A102" s="3">
        <f t="shared" si="13"/>
        <v>1</v>
      </c>
      <c r="B102" s="4231"/>
      <c r="C102" s="4232"/>
      <c r="D102" s="1289"/>
      <c r="E102" s="4230"/>
      <c r="F102" s="4230"/>
      <c r="G102" s="4216"/>
      <c r="H102" s="4218"/>
      <c r="I102" s="4216"/>
      <c r="J102" s="4218"/>
      <c r="K102" s="4220"/>
      <c r="L102" s="4220"/>
      <c r="M102" s="4220"/>
      <c r="N102" s="4220"/>
      <c r="O102" s="4220"/>
      <c r="P102" s="4220"/>
      <c r="Q102" s="1267"/>
      <c r="R102" s="1038" t="s">
        <v>4457</v>
      </c>
      <c r="S102" s="4233"/>
      <c r="T102" s="4234"/>
      <c r="U102" s="4235"/>
      <c r="V102" s="4233"/>
      <c r="W102" s="4234"/>
      <c r="X102" s="4235"/>
      <c r="Y102" s="4233"/>
      <c r="Z102" s="4234"/>
      <c r="AA102" s="4235"/>
      <c r="AB102" s="572" t="str">
        <f t="shared" si="14"/>
        <v/>
      </c>
      <c r="AC102" s="3"/>
      <c r="AD102" s="20"/>
      <c r="AE102" s="28">
        <f t="shared" si="15"/>
        <v>0</v>
      </c>
      <c r="AH102" s="4022">
        <f>COUNTA(B102,E102,J102,R102,#REF!,U102,X102)</f>
      </c>
      <c r="AK102" s="30">
        <f t="shared" si="11"/>
        <v>0</v>
      </c>
      <c r="AL102" s="28">
        <f t="shared" si="16"/>
        <v>0</v>
      </c>
      <c r="AM102" s="28">
        <f t="shared" si="12"/>
        <v>3</v>
      </c>
      <c r="AQ102" s="28">
        <f t="shared" si="10"/>
        <v>0</v>
      </c>
    </row>
    <row r="103" spans="1:43" ht="18" customHeight="1" x14ac:dyDescent="0.2">
      <c r="A103" s="3">
        <f t="shared" si="13"/>
        <v>1</v>
      </c>
      <c r="B103" s="4231"/>
      <c r="C103" s="4232"/>
      <c r="D103" s="1289"/>
      <c r="E103" s="4230"/>
      <c r="F103" s="4230"/>
      <c r="G103" s="4216"/>
      <c r="H103" s="4218"/>
      <c r="I103" s="4216"/>
      <c r="J103" s="4218"/>
      <c r="K103" s="4220"/>
      <c r="L103" s="4220"/>
      <c r="M103" s="4220"/>
      <c r="N103" s="4220"/>
      <c r="O103" s="4220"/>
      <c r="P103" s="4220"/>
      <c r="Q103" s="1267"/>
      <c r="R103" s="1038" t="s">
        <v>4457</v>
      </c>
      <c r="S103" s="4233"/>
      <c r="T103" s="4234"/>
      <c r="U103" s="4235"/>
      <c r="V103" s="4233"/>
      <c r="W103" s="4234"/>
      <c r="X103" s="4235"/>
      <c r="Y103" s="4233"/>
      <c r="Z103" s="4234"/>
      <c r="AA103" s="4235"/>
      <c r="AB103" s="572" t="str">
        <f t="shared" si="14"/>
        <v/>
      </c>
      <c r="AC103" s="3"/>
      <c r="AD103" s="20"/>
      <c r="AE103" s="28">
        <f t="shared" si="15"/>
        <v>0</v>
      </c>
      <c r="AH103" s="4022">
        <f>COUNTA(B103,E103,J103,R103,#REF!,U103,X103)</f>
      </c>
      <c r="AK103" s="30">
        <f t="shared" si="11"/>
        <v>0</v>
      </c>
      <c r="AL103" s="28">
        <f t="shared" si="16"/>
        <v>0</v>
      </c>
      <c r="AM103" s="28">
        <f t="shared" si="12"/>
        <v>3</v>
      </c>
      <c r="AQ103" s="28">
        <f t="shared" si="10"/>
        <v>0</v>
      </c>
    </row>
    <row r="104" spans="1:43" ht="18" customHeight="1" x14ac:dyDescent="0.2">
      <c r="A104" s="3">
        <f t="shared" si="13"/>
        <v>1</v>
      </c>
      <c r="B104" s="4231"/>
      <c r="C104" s="4232"/>
      <c r="D104" s="1289"/>
      <c r="E104" s="4230"/>
      <c r="F104" s="4230"/>
      <c r="G104" s="4216"/>
      <c r="H104" s="4218"/>
      <c r="I104" s="4216"/>
      <c r="J104" s="4218"/>
      <c r="K104" s="4220"/>
      <c r="L104" s="4220"/>
      <c r="M104" s="4220"/>
      <c r="N104" s="4220"/>
      <c r="O104" s="4220"/>
      <c r="P104" s="4220"/>
      <c r="Q104" s="1267"/>
      <c r="R104" s="1038" t="s">
        <v>4457</v>
      </c>
      <c r="S104" s="4233"/>
      <c r="T104" s="4234"/>
      <c r="U104" s="4235"/>
      <c r="V104" s="4233"/>
      <c r="W104" s="4234"/>
      <c r="X104" s="4235"/>
      <c r="Y104" s="4233"/>
      <c r="Z104" s="4234"/>
      <c r="AA104" s="4235"/>
      <c r="AB104" s="572" t="str">
        <f t="shared" si="14"/>
        <v/>
      </c>
      <c r="AC104" s="3"/>
      <c r="AD104" s="20"/>
      <c r="AE104" s="28">
        <f t="shared" si="15"/>
        <v>0</v>
      </c>
      <c r="AH104" s="4022">
        <f>COUNTA(B104,E104,J104,R104,#REF!,U104,X104)</f>
      </c>
      <c r="AK104" s="30">
        <f t="shared" si="11"/>
        <v>0</v>
      </c>
      <c r="AL104" s="28">
        <f t="shared" si="16"/>
        <v>0</v>
      </c>
      <c r="AM104" s="28">
        <f t="shared" si="12"/>
        <v>3</v>
      </c>
      <c r="AQ104" s="28">
        <f t="shared" si="10"/>
        <v>0</v>
      </c>
    </row>
    <row r="105" spans="1:43" ht="18" customHeight="1" x14ac:dyDescent="0.2">
      <c r="A105" s="3">
        <f t="shared" si="13"/>
        <v>1</v>
      </c>
      <c r="B105" s="4231"/>
      <c r="C105" s="4232"/>
      <c r="D105" s="1289"/>
      <c r="E105" s="4230"/>
      <c r="F105" s="4230"/>
      <c r="G105" s="4216"/>
      <c r="H105" s="4218"/>
      <c r="I105" s="4216"/>
      <c r="J105" s="4218"/>
      <c r="K105" s="4220"/>
      <c r="L105" s="4220"/>
      <c r="M105" s="4220"/>
      <c r="N105" s="4220"/>
      <c r="O105" s="4220"/>
      <c r="P105" s="4220"/>
      <c r="Q105" s="1267"/>
      <c r="R105" s="1038" t="s">
        <v>4457</v>
      </c>
      <c r="S105" s="4233"/>
      <c r="T105" s="4234"/>
      <c r="U105" s="4235"/>
      <c r="V105" s="4233"/>
      <c r="W105" s="4234"/>
      <c r="X105" s="4235"/>
      <c r="Y105" s="4233"/>
      <c r="Z105" s="4234"/>
      <c r="AA105" s="4235"/>
      <c r="AB105" s="572" t="str">
        <f t="shared" si="14"/>
        <v/>
      </c>
      <c r="AC105" s="3"/>
      <c r="AD105" s="20"/>
      <c r="AE105" s="28">
        <f t="shared" si="15"/>
        <v>0</v>
      </c>
      <c r="AH105" s="4022">
        <f>COUNTA(B105,E105,J105,R105,#REF!,U105,X105)</f>
      </c>
      <c r="AK105" s="30">
        <f t="shared" si="11"/>
        <v>0</v>
      </c>
      <c r="AL105" s="28">
        <f t="shared" si="16"/>
        <v>0</v>
      </c>
      <c r="AM105" s="28">
        <f t="shared" si="12"/>
        <v>3</v>
      </c>
      <c r="AQ105" s="28">
        <f t="shared" si="10"/>
        <v>0</v>
      </c>
    </row>
    <row r="106" spans="1:43" ht="18" customHeight="1" x14ac:dyDescent="0.2">
      <c r="A106" s="3">
        <f t="shared" si="13"/>
        <v>1</v>
      </c>
      <c r="B106" s="4231"/>
      <c r="C106" s="4232"/>
      <c r="D106" s="1289"/>
      <c r="E106" s="4230"/>
      <c r="F106" s="4230"/>
      <c r="G106" s="4216"/>
      <c r="H106" s="4218"/>
      <c r="I106" s="4216"/>
      <c r="J106" s="4218"/>
      <c r="K106" s="4220"/>
      <c r="L106" s="4220"/>
      <c r="M106" s="4220"/>
      <c r="N106" s="4220"/>
      <c r="O106" s="4220"/>
      <c r="P106" s="4220"/>
      <c r="Q106" s="1267"/>
      <c r="R106" s="1038" t="s">
        <v>4457</v>
      </c>
      <c r="S106" s="4233"/>
      <c r="T106" s="4234"/>
      <c r="U106" s="4235"/>
      <c r="V106" s="4233"/>
      <c r="W106" s="4234"/>
      <c r="X106" s="4235"/>
      <c r="Y106" s="4233"/>
      <c r="Z106" s="4234"/>
      <c r="AA106" s="4235"/>
      <c r="AB106" s="572" t="str">
        <f t="shared" si="14"/>
        <v/>
      </c>
      <c r="AC106" s="3"/>
      <c r="AD106" s="20"/>
      <c r="AE106" s="28">
        <f t="shared" si="15"/>
        <v>0</v>
      </c>
      <c r="AH106" s="4022">
        <f>COUNTA(B106,E106,J106,R106,#REF!,U106,X106)</f>
      </c>
      <c r="AK106" s="30">
        <f t="shared" si="11"/>
        <v>0</v>
      </c>
      <c r="AL106" s="28">
        <f t="shared" si="16"/>
        <v>0</v>
      </c>
      <c r="AM106" s="28">
        <f t="shared" si="12"/>
        <v>3</v>
      </c>
      <c r="AQ106" s="28">
        <f t="shared" si="10"/>
        <v>0</v>
      </c>
    </row>
    <row r="107" spans="1:43" ht="18" customHeight="1" x14ac:dyDescent="0.2">
      <c r="A107" s="3">
        <f t="shared" si="13"/>
        <v>1</v>
      </c>
      <c r="B107" s="4231"/>
      <c r="C107" s="4232"/>
      <c r="D107" s="1289"/>
      <c r="E107" s="4230"/>
      <c r="F107" s="4230"/>
      <c r="G107" s="4216"/>
      <c r="H107" s="4218"/>
      <c r="I107" s="4216"/>
      <c r="J107" s="4218"/>
      <c r="K107" s="4220"/>
      <c r="L107" s="4220"/>
      <c r="M107" s="4220"/>
      <c r="N107" s="4220"/>
      <c r="O107" s="4220"/>
      <c r="P107" s="4220"/>
      <c r="Q107" s="1267"/>
      <c r="R107" s="1038" t="s">
        <v>4457</v>
      </c>
      <c r="S107" s="4233"/>
      <c r="T107" s="4234"/>
      <c r="U107" s="4235"/>
      <c r="V107" s="4233"/>
      <c r="W107" s="4234"/>
      <c r="X107" s="4235"/>
      <c r="Y107" s="4233"/>
      <c r="Z107" s="4234"/>
      <c r="AA107" s="4235"/>
      <c r="AB107" s="572" t="str">
        <f t="shared" si="14"/>
        <v/>
      </c>
      <c r="AC107" s="3"/>
      <c r="AD107" s="20"/>
      <c r="AE107" s="28">
        <f t="shared" si="15"/>
        <v>0</v>
      </c>
      <c r="AH107" s="4022">
        <f>COUNTA(B107,E107,J107,R107,#REF!,U107,X107)</f>
      </c>
      <c r="AK107" s="30">
        <f t="shared" si="11"/>
        <v>0</v>
      </c>
      <c r="AL107" s="28">
        <f t="shared" si="16"/>
        <v>0</v>
      </c>
      <c r="AM107" s="28">
        <f t="shared" si="12"/>
        <v>3</v>
      </c>
      <c r="AQ107" s="28">
        <f t="shared" si="10"/>
        <v>0</v>
      </c>
    </row>
    <row r="108" spans="1:43" ht="18" customHeight="1" x14ac:dyDescent="0.2">
      <c r="A108" s="3">
        <f t="shared" si="13"/>
        <v>1</v>
      </c>
      <c r="B108" s="4231"/>
      <c r="C108" s="4232"/>
      <c r="D108" s="1289"/>
      <c r="E108" s="4230"/>
      <c r="F108" s="4230"/>
      <c r="G108" s="4216"/>
      <c r="H108" s="4218"/>
      <c r="I108" s="4216"/>
      <c r="J108" s="4218"/>
      <c r="K108" s="4220"/>
      <c r="L108" s="4220"/>
      <c r="M108" s="4220"/>
      <c r="N108" s="4220"/>
      <c r="O108" s="4220"/>
      <c r="P108" s="4220"/>
      <c r="Q108" s="1267"/>
      <c r="R108" s="1038" t="s">
        <v>4457</v>
      </c>
      <c r="S108" s="4233"/>
      <c r="T108" s="4234"/>
      <c r="U108" s="4235"/>
      <c r="V108" s="4233"/>
      <c r="W108" s="4234"/>
      <c r="X108" s="4235"/>
      <c r="Y108" s="4233"/>
      <c r="Z108" s="4234"/>
      <c r="AA108" s="4235"/>
      <c r="AB108" s="572" t="str">
        <f t="shared" si="14"/>
        <v/>
      </c>
      <c r="AC108" s="3"/>
      <c r="AD108" s="20"/>
      <c r="AE108" s="28">
        <f t="shared" si="15"/>
        <v>0</v>
      </c>
      <c r="AH108" s="4022">
        <f>COUNTA(B108,E108,J108,R108,#REF!,U108,X108)</f>
      </c>
      <c r="AK108" s="30">
        <f t="shared" si="11"/>
        <v>0</v>
      </c>
      <c r="AL108" s="28">
        <f t="shared" si="16"/>
        <v>0</v>
      </c>
      <c r="AM108" s="28">
        <f t="shared" si="12"/>
        <v>3</v>
      </c>
      <c r="AQ108" s="28">
        <f t="shared" si="10"/>
        <v>0</v>
      </c>
    </row>
    <row r="109" spans="1:43" ht="18" customHeight="1" x14ac:dyDescent="0.2">
      <c r="A109" s="3">
        <f t="shared" si="13"/>
        <v>1</v>
      </c>
      <c r="B109" s="4231"/>
      <c r="C109" s="4232"/>
      <c r="D109" s="1289"/>
      <c r="E109" s="4230"/>
      <c r="F109" s="4230"/>
      <c r="G109" s="4216"/>
      <c r="H109" s="4218"/>
      <c r="I109" s="4216"/>
      <c r="J109" s="4218"/>
      <c r="K109" s="4220"/>
      <c r="L109" s="4220"/>
      <c r="M109" s="4220"/>
      <c r="N109" s="4220"/>
      <c r="O109" s="4220"/>
      <c r="P109" s="4220"/>
      <c r="Q109" s="1267"/>
      <c r="R109" s="1038" t="s">
        <v>4457</v>
      </c>
      <c r="S109" s="4233"/>
      <c r="T109" s="4234"/>
      <c r="U109" s="4235"/>
      <c r="V109" s="4233"/>
      <c r="W109" s="4234"/>
      <c r="X109" s="4235"/>
      <c r="Y109" s="4233"/>
      <c r="Z109" s="4234"/>
      <c r="AA109" s="4235"/>
      <c r="AB109" s="572" t="str">
        <f t="shared" si="14"/>
        <v/>
      </c>
      <c r="AC109" s="3"/>
      <c r="AD109" s="20"/>
      <c r="AE109" s="28">
        <f t="shared" si="15"/>
        <v>0</v>
      </c>
      <c r="AH109" s="4022">
        <f>COUNTA(B109,E109,J109,R109,#REF!,U109,X109)</f>
      </c>
      <c r="AK109" s="30">
        <f t="shared" si="11"/>
        <v>0</v>
      </c>
      <c r="AL109" s="28">
        <f t="shared" si="16"/>
        <v>0</v>
      </c>
      <c r="AM109" s="28">
        <f t="shared" si="12"/>
        <v>3</v>
      </c>
      <c r="AQ109" s="28">
        <f t="shared" si="10"/>
        <v>0</v>
      </c>
    </row>
    <row r="110" spans="1:43" ht="18" customHeight="1" x14ac:dyDescent="0.2">
      <c r="A110" s="3">
        <f t="shared" si="13"/>
        <v>1</v>
      </c>
      <c r="B110" s="4231"/>
      <c r="C110" s="4232"/>
      <c r="D110" s="1289"/>
      <c r="E110" s="4230"/>
      <c r="F110" s="4230"/>
      <c r="G110" s="4216"/>
      <c r="H110" s="4218"/>
      <c r="I110" s="4216"/>
      <c r="J110" s="4218"/>
      <c r="K110" s="4220"/>
      <c r="L110" s="4220"/>
      <c r="M110" s="4220"/>
      <c r="N110" s="4220"/>
      <c r="O110" s="4220"/>
      <c r="P110" s="4220"/>
      <c r="Q110" s="1267"/>
      <c r="R110" s="1038" t="s">
        <v>4457</v>
      </c>
      <c r="S110" s="4233"/>
      <c r="T110" s="4234"/>
      <c r="U110" s="4235"/>
      <c r="V110" s="4233"/>
      <c r="W110" s="4234"/>
      <c r="X110" s="4235"/>
      <c r="Y110" s="4233"/>
      <c r="Z110" s="4234"/>
      <c r="AA110" s="4235"/>
      <c r="AB110" s="572" t="str">
        <f t="shared" si="14"/>
        <v/>
      </c>
      <c r="AC110" s="3"/>
      <c r="AD110" s="20"/>
      <c r="AE110" s="28">
        <f t="shared" si="15"/>
        <v>0</v>
      </c>
      <c r="AH110" s="4022">
        <f>COUNTA(B110,E110,J110,R110,#REF!,U110,X110)</f>
      </c>
      <c r="AK110" s="30">
        <f t="shared" si="11"/>
        <v>0</v>
      </c>
      <c r="AL110" s="28">
        <f t="shared" si="16"/>
        <v>0</v>
      </c>
      <c r="AM110" s="28">
        <f t="shared" si="12"/>
        <v>3</v>
      </c>
      <c r="AQ110" s="28">
        <f t="shared" si="10"/>
        <v>0</v>
      </c>
    </row>
    <row r="111" spans="1:43" ht="18" customHeight="1" x14ac:dyDescent="0.2">
      <c r="A111" s="3">
        <f t="shared" si="13"/>
        <v>1</v>
      </c>
      <c r="B111" s="4231"/>
      <c r="C111" s="4232"/>
      <c r="D111" s="1289"/>
      <c r="E111" s="4230"/>
      <c r="F111" s="4230"/>
      <c r="G111" s="4216"/>
      <c r="H111" s="4218"/>
      <c r="I111" s="4216"/>
      <c r="J111" s="4218"/>
      <c r="K111" s="4220"/>
      <c r="L111" s="4220"/>
      <c r="M111" s="4220"/>
      <c r="N111" s="4220"/>
      <c r="O111" s="4220"/>
      <c r="P111" s="4220"/>
      <c r="Q111" s="1267"/>
      <c r="R111" s="1038" t="s">
        <v>4457</v>
      </c>
      <c r="S111" s="4233"/>
      <c r="T111" s="4234"/>
      <c r="U111" s="4235"/>
      <c r="V111" s="4233"/>
      <c r="W111" s="4234"/>
      <c r="X111" s="4235"/>
      <c r="Y111" s="4233"/>
      <c r="Z111" s="4234"/>
      <c r="AA111" s="4235"/>
      <c r="AB111" s="572" t="str">
        <f t="shared" si="14"/>
        <v/>
      </c>
      <c r="AC111" s="3"/>
      <c r="AD111" s="20"/>
      <c r="AE111" s="28">
        <f t="shared" si="15"/>
        <v>0</v>
      </c>
      <c r="AH111" s="4022">
        <f>COUNTA(B111,E111,J111,R111,#REF!,U111,X111)</f>
      </c>
      <c r="AK111" s="30">
        <f t="shared" si="11"/>
        <v>0</v>
      </c>
      <c r="AL111" s="28">
        <f t="shared" si="16"/>
        <v>0</v>
      </c>
      <c r="AM111" s="28">
        <f t="shared" si="12"/>
        <v>3</v>
      </c>
      <c r="AQ111" s="28">
        <f t="shared" si="10"/>
        <v>0</v>
      </c>
    </row>
    <row r="112" spans="1:43" ht="18" customHeight="1" x14ac:dyDescent="0.2">
      <c r="A112" s="3">
        <f t="shared" si="13"/>
        <v>1</v>
      </c>
      <c r="B112" s="4231"/>
      <c r="C112" s="4232"/>
      <c r="D112" s="1289"/>
      <c r="E112" s="4230"/>
      <c r="F112" s="4230"/>
      <c r="G112" s="4216"/>
      <c r="H112" s="4218"/>
      <c r="I112" s="4216"/>
      <c r="J112" s="4218"/>
      <c r="K112" s="4220"/>
      <c r="L112" s="4220"/>
      <c r="M112" s="4220"/>
      <c r="N112" s="4220"/>
      <c r="O112" s="4220"/>
      <c r="P112" s="4220"/>
      <c r="Q112" s="1267"/>
      <c r="R112" s="1038" t="s">
        <v>4457</v>
      </c>
      <c r="S112" s="4233"/>
      <c r="T112" s="4234"/>
      <c r="U112" s="4235"/>
      <c r="V112" s="4233"/>
      <c r="W112" s="4234"/>
      <c r="X112" s="4235"/>
      <c r="Y112" s="4233"/>
      <c r="Z112" s="4234"/>
      <c r="AA112" s="4235"/>
      <c r="AB112" s="572" t="str">
        <f t="shared" si="14"/>
        <v/>
      </c>
      <c r="AC112" s="3"/>
      <c r="AD112" s="20"/>
      <c r="AE112" s="28">
        <f t="shared" si="15"/>
        <v>0</v>
      </c>
      <c r="AH112" s="4022">
        <f>COUNTA(B112,E112,J112,R112,#REF!,U112,X112)</f>
      </c>
      <c r="AK112" s="30">
        <f t="shared" si="11"/>
        <v>0</v>
      </c>
      <c r="AL112" s="28">
        <f t="shared" si="16"/>
        <v>0</v>
      </c>
      <c r="AM112" s="28">
        <f t="shared" si="12"/>
        <v>3</v>
      </c>
      <c r="AQ112" s="28">
        <f t="shared" si="10"/>
        <v>0</v>
      </c>
    </row>
    <row r="113" spans="1:43" ht="18" customHeight="1" x14ac:dyDescent="0.2">
      <c r="A113" s="3">
        <f t="shared" si="13"/>
        <v>1</v>
      </c>
      <c r="B113" s="4231"/>
      <c r="C113" s="4232"/>
      <c r="D113" s="1289"/>
      <c r="E113" s="4230"/>
      <c r="F113" s="4230"/>
      <c r="G113" s="4216"/>
      <c r="H113" s="4218"/>
      <c r="I113" s="4216"/>
      <c r="J113" s="4218"/>
      <c r="K113" s="4220"/>
      <c r="L113" s="4220"/>
      <c r="M113" s="4220"/>
      <c r="N113" s="4220"/>
      <c r="O113" s="4220"/>
      <c r="P113" s="4220"/>
      <c r="Q113" s="1267"/>
      <c r="R113" s="1038" t="s">
        <v>4457</v>
      </c>
      <c r="S113" s="4233"/>
      <c r="T113" s="4234"/>
      <c r="U113" s="4235"/>
      <c r="V113" s="4233"/>
      <c r="W113" s="4234"/>
      <c r="X113" s="4235"/>
      <c r="Y113" s="4233"/>
      <c r="Z113" s="4234"/>
      <c r="AA113" s="4235"/>
      <c r="AB113" s="572" t="str">
        <f t="shared" si="14"/>
        <v/>
      </c>
      <c r="AC113" s="3"/>
      <c r="AD113" s="20"/>
      <c r="AE113" s="28">
        <f t="shared" si="15"/>
        <v>0</v>
      </c>
      <c r="AH113" s="4022">
        <f>COUNTA(B113,E113,J113,R113,#REF!,U113,X113)</f>
      </c>
      <c r="AK113" s="30">
        <f t="shared" si="11"/>
        <v>0</v>
      </c>
      <c r="AL113" s="28">
        <f t="shared" si="16"/>
        <v>0</v>
      </c>
      <c r="AM113" s="28">
        <f t="shared" si="12"/>
        <v>3</v>
      </c>
      <c r="AQ113" s="28">
        <f t="shared" si="10"/>
        <v>0</v>
      </c>
    </row>
    <row r="114" spans="1:43" ht="18" customHeight="1" x14ac:dyDescent="0.2">
      <c r="A114" s="3">
        <f t="shared" si="13"/>
        <v>1</v>
      </c>
      <c r="B114" s="4231"/>
      <c r="C114" s="4232"/>
      <c r="D114" s="1289"/>
      <c r="E114" s="4230"/>
      <c r="F114" s="4230"/>
      <c r="G114" s="4216"/>
      <c r="H114" s="4218"/>
      <c r="I114" s="4216"/>
      <c r="J114" s="4218"/>
      <c r="K114" s="4220"/>
      <c r="L114" s="4220"/>
      <c r="M114" s="4220"/>
      <c r="N114" s="4220"/>
      <c r="O114" s="4220"/>
      <c r="P114" s="4220"/>
      <c r="Q114" s="1267"/>
      <c r="R114" s="1038" t="s">
        <v>4457</v>
      </c>
      <c r="S114" s="4233"/>
      <c r="T114" s="4234"/>
      <c r="U114" s="4235"/>
      <c r="V114" s="4233"/>
      <c r="W114" s="4234"/>
      <c r="X114" s="4235"/>
      <c r="Y114" s="4233"/>
      <c r="Z114" s="4234"/>
      <c r="AA114" s="4235"/>
      <c r="AB114" s="572" t="str">
        <f t="shared" si="14"/>
        <v/>
      </c>
      <c r="AC114" s="3"/>
      <c r="AD114" s="20"/>
      <c r="AE114" s="28">
        <f t="shared" si="15"/>
        <v>0</v>
      </c>
      <c r="AH114" s="4022">
        <f>COUNTA(B114,E114,J114,R114,#REF!,U114,X114)</f>
      </c>
      <c r="AK114" s="30">
        <f t="shared" si="11"/>
        <v>0</v>
      </c>
      <c r="AL114" s="28">
        <f t="shared" si="16"/>
        <v>0</v>
      </c>
      <c r="AM114" s="28">
        <f t="shared" si="12"/>
        <v>3</v>
      </c>
      <c r="AQ114" s="28">
        <f t="shared" si="10"/>
        <v>0</v>
      </c>
    </row>
    <row r="115" spans="1:43" ht="18" customHeight="1" x14ac:dyDescent="0.2">
      <c r="A115" s="3">
        <f t="shared" si="13"/>
        <v>1</v>
      </c>
      <c r="B115" s="4231"/>
      <c r="C115" s="4232"/>
      <c r="D115" s="1289"/>
      <c r="E115" s="4230"/>
      <c r="F115" s="4230"/>
      <c r="G115" s="4216"/>
      <c r="H115" s="4218"/>
      <c r="I115" s="4216"/>
      <c r="J115" s="4218"/>
      <c r="K115" s="4220"/>
      <c r="L115" s="4220"/>
      <c r="M115" s="4220"/>
      <c r="N115" s="4220"/>
      <c r="O115" s="4220"/>
      <c r="P115" s="4220"/>
      <c r="Q115" s="1267"/>
      <c r="R115" s="1038" t="s">
        <v>4457</v>
      </c>
      <c r="S115" s="4233"/>
      <c r="T115" s="4234"/>
      <c r="U115" s="4235"/>
      <c r="V115" s="4233"/>
      <c r="W115" s="4234"/>
      <c r="X115" s="4235"/>
      <c r="Y115" s="4233"/>
      <c r="Z115" s="4234"/>
      <c r="AA115" s="4235"/>
      <c r="AB115" s="572" t="str">
        <f t="shared" si="14"/>
        <v/>
      </c>
      <c r="AC115" s="3"/>
      <c r="AD115" s="20"/>
      <c r="AE115" s="28">
        <f t="shared" si="15"/>
        <v>0</v>
      </c>
      <c r="AH115" s="4022">
        <f>COUNTA(B115,E115,J115,R115,#REF!,U115,X115)</f>
      </c>
      <c r="AK115" s="30">
        <f t="shared" si="11"/>
        <v>0</v>
      </c>
      <c r="AL115" s="28">
        <f t="shared" si="16"/>
        <v>0</v>
      </c>
      <c r="AM115" s="28">
        <f t="shared" si="12"/>
        <v>3</v>
      </c>
      <c r="AQ115" s="28">
        <f t="shared" si="10"/>
        <v>0</v>
      </c>
    </row>
    <row r="116" spans="1:43" ht="18" customHeight="1" x14ac:dyDescent="0.2">
      <c r="A116" s="3">
        <f t="shared" si="13"/>
        <v>1</v>
      </c>
      <c r="B116" s="4231"/>
      <c r="C116" s="4232"/>
      <c r="D116" s="1289"/>
      <c r="E116" s="4230"/>
      <c r="F116" s="4230"/>
      <c r="G116" s="4216"/>
      <c r="H116" s="4218"/>
      <c r="I116" s="4216"/>
      <c r="J116" s="4218"/>
      <c r="K116" s="4220"/>
      <c r="L116" s="4220"/>
      <c r="M116" s="4220"/>
      <c r="N116" s="4220"/>
      <c r="O116" s="4220"/>
      <c r="P116" s="4220"/>
      <c r="Q116" s="1267"/>
      <c r="R116" s="1038" t="s">
        <v>4457</v>
      </c>
      <c r="S116" s="4233"/>
      <c r="T116" s="4234"/>
      <c r="U116" s="4235"/>
      <c r="V116" s="4233"/>
      <c r="W116" s="4234"/>
      <c r="X116" s="4235"/>
      <c r="Y116" s="4233"/>
      <c r="Z116" s="4234"/>
      <c r="AA116" s="4235"/>
      <c r="AB116" s="572" t="str">
        <f t="shared" si="14"/>
        <v/>
      </c>
      <c r="AC116" s="3"/>
      <c r="AD116" s="20"/>
      <c r="AE116" s="28">
        <f t="shared" si="15"/>
        <v>0</v>
      </c>
      <c r="AH116" s="4022">
        <f>COUNTA(B116,E116,J116,R116,#REF!,U116,X116)</f>
      </c>
      <c r="AK116" s="30">
        <f t="shared" si="11"/>
        <v>0</v>
      </c>
      <c r="AL116" s="28">
        <f t="shared" si="16"/>
        <v>0</v>
      </c>
      <c r="AM116" s="28">
        <f t="shared" si="12"/>
        <v>3</v>
      </c>
      <c r="AQ116" s="28">
        <f t="shared" si="10"/>
        <v>0</v>
      </c>
    </row>
    <row r="117" spans="1:43" ht="18" customHeight="1" x14ac:dyDescent="0.2">
      <c r="A117" s="3">
        <f t="shared" si="13"/>
        <v>1</v>
      </c>
      <c r="B117" s="4231"/>
      <c r="C117" s="4232"/>
      <c r="D117" s="1289"/>
      <c r="E117" s="4230"/>
      <c r="F117" s="4230"/>
      <c r="G117" s="4216"/>
      <c r="H117" s="4218"/>
      <c r="I117" s="4216"/>
      <c r="J117" s="4218"/>
      <c r="K117" s="4220"/>
      <c r="L117" s="4220"/>
      <c r="M117" s="4220"/>
      <c r="N117" s="4220"/>
      <c r="O117" s="4220"/>
      <c r="P117" s="4220"/>
      <c r="Q117" s="1267"/>
      <c r="R117" s="1038" t="s">
        <v>4457</v>
      </c>
      <c r="S117" s="4233"/>
      <c r="T117" s="4234"/>
      <c r="U117" s="4235"/>
      <c r="V117" s="4233"/>
      <c r="W117" s="4234"/>
      <c r="X117" s="4235"/>
      <c r="Y117" s="4233"/>
      <c r="Z117" s="4234"/>
      <c r="AA117" s="4235"/>
      <c r="AB117" s="572" t="str">
        <f t="shared" si="14"/>
        <v/>
      </c>
      <c r="AC117" s="3"/>
      <c r="AD117" s="20"/>
      <c r="AE117" s="28">
        <f t="shared" si="15"/>
        <v>0</v>
      </c>
      <c r="AH117" s="4022">
        <f>COUNTA(B117,E117,J117,R117,#REF!,U117,X117)</f>
      </c>
      <c r="AK117" s="30">
        <f t="shared" si="11"/>
        <v>0</v>
      </c>
      <c r="AL117" s="28">
        <f t="shared" si="16"/>
        <v>0</v>
      </c>
      <c r="AM117" s="28">
        <f t="shared" si="12"/>
        <v>3</v>
      </c>
      <c r="AQ117" s="28">
        <f t="shared" si="10"/>
        <v>0</v>
      </c>
    </row>
    <row r="118" spans="1:43" ht="18" customHeight="1" x14ac:dyDescent="0.2">
      <c r="A118" s="3">
        <f>IF(AH118=0,0,1)</f>
      </c>
      <c r="B118" s="4236" t="s">
        <v>5593</v>
      </c>
      <c r="C118" s="4236"/>
      <c r="D118" s="4236"/>
      <c r="E118" s="4236"/>
      <c r="F118" s="4236"/>
      <c r="G118" s="4236"/>
      <c r="H118" s="4236"/>
      <c r="I118" s="4236"/>
      <c r="J118" s="4236"/>
      <c r="K118" s="4236"/>
      <c r="L118" s="4236"/>
      <c r="M118" s="4236"/>
      <c r="N118" s="4236"/>
      <c r="O118" s="4236"/>
      <c r="P118" s="4236"/>
      <c r="Q118" s="4236"/>
      <c r="R118" s="3"/>
      <c r="S118" s="4237">
        <f>SUM(S94:U117)</f>
      </c>
      <c r="T118" s="4238"/>
      <c r="U118" s="4239"/>
      <c r="V118" s="4237">
        <f>SUM(V94:X117)</f>
      </c>
      <c r="W118" s="4238"/>
      <c r="X118" s="4239"/>
      <c r="Y118" s="4237">
        <f>SUM(Y94:AA117)</f>
      </c>
      <c r="Z118" s="4238"/>
      <c r="AA118" s="4239"/>
      <c r="AB118" s="3"/>
      <c r="AC118" s="3"/>
      <c r="AD118" s="3"/>
      <c r="AH118" s="28">
        <f>COUNTA(B118,E118,J118,S118,V118,Y118)</f>
      </c>
    </row>
    <row r="119" spans="1:43" ht="9"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28">
        <f>SUM(AE10:AE118)</f>
      </c>
      <c r="AF119" s="28">
        <f>IF(AK119=0,100,IF(AE119&gt;0,100,1))</f>
      </c>
      <c r="AK119" s="28">
        <f>SUM(AL10:AL117)</f>
      </c>
    </row>
  </sheetData>
  <sheetProtection algorithmName="SHA-512" hashValue="9VAmH+EVX3c86jGC9/5p4IQHlPQBKoPYbRkskHf1LD+gNGaXNuYeDAtUy6YSNx4OB3xgRg+lu+02/XziWjR4YA==" saltValue="Ef9xT8GcFxXBYF689OsBIA==" spinCount="100000" sheet="1" objects="1" scenarios="1"/>
  <customSheetViews>
    <customSheetView guid="{99B5278F-6EA9-4B1A-8623-27A4DF4AD5E4}" hiddenRows="1" hiddenColumns="1" topLeftCell="A53">
      <selection activeCell="B1" sqref="B1:Z1"/>
      <rowBreaks count="1" manualBreakCount="1">
        <brk id="61" min="1" max="28" man="1"/>
      </rowBreaks>
      <pageMargins left="0.21" right="3.937007874015748E-2" top="0.26" bottom="0.03" header="7.874015748031496E-2" footer="0.11811023622047245"/>
      <pageSetup paperSize="9" scale="80" orientation="landscape" horizontalDpi="300" verticalDpi="300" r:id="rId1"/>
      <headerFooter alignWithMargins="0">
        <oddFooter>&amp;LIRD Malta&amp;RPage 7</oddFooter>
      </headerFooter>
    </customSheetView>
  </customSheetViews>
  <mergeCells count="1083">
    <mergeCell ref="Y44:Z44"/>
    <mergeCell ref="AA44:AB44"/>
    <mergeCell ref="B45:C45"/>
    <mergeCell ref="I45:K45"/>
    <mergeCell ref="M45:N45"/>
    <mergeCell ref="O45:P45"/>
    <mergeCell ref="Q45:R45"/>
    <mergeCell ref="S45:T45"/>
    <mergeCell ref="U45:V45"/>
    <mergeCell ref="W45:X45"/>
    <mergeCell ref="Y45:Z45"/>
    <mergeCell ref="AA45:AB45"/>
    <mergeCell ref="B44:C44"/>
    <mergeCell ref="I44:K44"/>
    <mergeCell ref="M44:N44"/>
    <mergeCell ref="O44:P44"/>
    <mergeCell ref="Q44:R44"/>
    <mergeCell ref="S44:T44"/>
    <mergeCell ref="U44:V44"/>
    <mergeCell ref="W44:X44"/>
    <mergeCell ref="F44:H44"/>
    <mergeCell ref="F45:H45"/>
    <mergeCell ref="Y42:Z42"/>
    <mergeCell ref="AA42:AB42"/>
    <mergeCell ref="B43:C43"/>
    <mergeCell ref="I43:K43"/>
    <mergeCell ref="M43:N43"/>
    <mergeCell ref="O43:P43"/>
    <mergeCell ref="Q43:R43"/>
    <mergeCell ref="S43:T43"/>
    <mergeCell ref="U43:V43"/>
    <mergeCell ref="W43:X43"/>
    <mergeCell ref="Y43:Z43"/>
    <mergeCell ref="AA43:AB43"/>
    <mergeCell ref="B42:C42"/>
    <mergeCell ref="I42:K42"/>
    <mergeCell ref="M42:N42"/>
    <mergeCell ref="O42:P42"/>
    <mergeCell ref="Q42:R42"/>
    <mergeCell ref="S42:T42"/>
    <mergeCell ref="U42:V42"/>
    <mergeCell ref="W42:X42"/>
    <mergeCell ref="F42:H42"/>
    <mergeCell ref="F43:H43"/>
    <mergeCell ref="Y40:Z40"/>
    <mergeCell ref="AA40:AB40"/>
    <mergeCell ref="B41:C41"/>
    <mergeCell ref="I41:K41"/>
    <mergeCell ref="M41:N41"/>
    <mergeCell ref="O41:P41"/>
    <mergeCell ref="Q41:R41"/>
    <mergeCell ref="S41:T41"/>
    <mergeCell ref="U41:V41"/>
    <mergeCell ref="W41:X41"/>
    <mergeCell ref="Y41:Z41"/>
    <mergeCell ref="AA41:AB41"/>
    <mergeCell ref="B40:C40"/>
    <mergeCell ref="I40:K40"/>
    <mergeCell ref="M40:N40"/>
    <mergeCell ref="O40:P40"/>
    <mergeCell ref="Q40:R40"/>
    <mergeCell ref="S40:T40"/>
    <mergeCell ref="U40:V40"/>
    <mergeCell ref="W40:X40"/>
    <mergeCell ref="F40:H40"/>
    <mergeCell ref="F41:H41"/>
    <mergeCell ref="Y38:Z38"/>
    <mergeCell ref="AA38:AB38"/>
    <mergeCell ref="B39:C39"/>
    <mergeCell ref="I39:K39"/>
    <mergeCell ref="M39:N39"/>
    <mergeCell ref="O39:P39"/>
    <mergeCell ref="Q39:R39"/>
    <mergeCell ref="S39:T39"/>
    <mergeCell ref="U39:V39"/>
    <mergeCell ref="W39:X39"/>
    <mergeCell ref="Y39:Z39"/>
    <mergeCell ref="AA39:AB39"/>
    <mergeCell ref="B38:C38"/>
    <mergeCell ref="I38:K38"/>
    <mergeCell ref="M38:N38"/>
    <mergeCell ref="O38:P38"/>
    <mergeCell ref="Q38:R38"/>
    <mergeCell ref="S38:T38"/>
    <mergeCell ref="U38:V38"/>
    <mergeCell ref="W38:X38"/>
    <mergeCell ref="F38:H38"/>
    <mergeCell ref="F39:H39"/>
    <mergeCell ref="Y36:Z36"/>
    <mergeCell ref="AA36:AB36"/>
    <mergeCell ref="B37:C37"/>
    <mergeCell ref="I37:K37"/>
    <mergeCell ref="M37:N37"/>
    <mergeCell ref="O37:P37"/>
    <mergeCell ref="Q37:R37"/>
    <mergeCell ref="S37:T37"/>
    <mergeCell ref="U37:V37"/>
    <mergeCell ref="W37:X37"/>
    <mergeCell ref="Y37:Z37"/>
    <mergeCell ref="AA37:AB37"/>
    <mergeCell ref="B36:C36"/>
    <mergeCell ref="I36:K36"/>
    <mergeCell ref="M36:N36"/>
    <mergeCell ref="O36:P36"/>
    <mergeCell ref="Q36:R36"/>
    <mergeCell ref="S36:T36"/>
    <mergeCell ref="U36:V36"/>
    <mergeCell ref="W36:X36"/>
    <mergeCell ref="F36:H36"/>
    <mergeCell ref="F37:H37"/>
    <mergeCell ref="Y34:Z34"/>
    <mergeCell ref="AA34:AB34"/>
    <mergeCell ref="B35:C35"/>
    <mergeCell ref="I35:K35"/>
    <mergeCell ref="M35:N35"/>
    <mergeCell ref="O35:P35"/>
    <mergeCell ref="Q35:R35"/>
    <mergeCell ref="S35:T35"/>
    <mergeCell ref="U35:V35"/>
    <mergeCell ref="W35:X35"/>
    <mergeCell ref="Y35:Z35"/>
    <mergeCell ref="AA35:AB35"/>
    <mergeCell ref="B34:C34"/>
    <mergeCell ref="I34:K34"/>
    <mergeCell ref="M34:N34"/>
    <mergeCell ref="O34:P34"/>
    <mergeCell ref="Q34:R34"/>
    <mergeCell ref="S34:T34"/>
    <mergeCell ref="U34:V34"/>
    <mergeCell ref="W34:X34"/>
    <mergeCell ref="F34:H34"/>
    <mergeCell ref="F35:H35"/>
    <mergeCell ref="Y32:Z32"/>
    <mergeCell ref="AA32:AB32"/>
    <mergeCell ref="B33:C33"/>
    <mergeCell ref="I33:K33"/>
    <mergeCell ref="M33:N33"/>
    <mergeCell ref="O33:P33"/>
    <mergeCell ref="Q33:R33"/>
    <mergeCell ref="S33:T33"/>
    <mergeCell ref="U33:V33"/>
    <mergeCell ref="W33:X33"/>
    <mergeCell ref="Y33:Z33"/>
    <mergeCell ref="AA33:AB33"/>
    <mergeCell ref="B32:C32"/>
    <mergeCell ref="I32:K32"/>
    <mergeCell ref="M32:N32"/>
    <mergeCell ref="O32:P32"/>
    <mergeCell ref="Q32:R32"/>
    <mergeCell ref="S32:T32"/>
    <mergeCell ref="U32:V32"/>
    <mergeCell ref="W32:X32"/>
    <mergeCell ref="F32:H32"/>
    <mergeCell ref="F33:H33"/>
    <mergeCell ref="Y30:Z30"/>
    <mergeCell ref="AA30:AB30"/>
    <mergeCell ref="B31:C31"/>
    <mergeCell ref="I31:K31"/>
    <mergeCell ref="M31:N31"/>
    <mergeCell ref="O31:P31"/>
    <mergeCell ref="Q31:R31"/>
    <mergeCell ref="S31:T31"/>
    <mergeCell ref="U31:V31"/>
    <mergeCell ref="W31:X31"/>
    <mergeCell ref="Y31:Z31"/>
    <mergeCell ref="AA31:AB31"/>
    <mergeCell ref="B30:C30"/>
    <mergeCell ref="I30:K30"/>
    <mergeCell ref="M30:N30"/>
    <mergeCell ref="O30:P30"/>
    <mergeCell ref="Q30:R30"/>
    <mergeCell ref="S30:T30"/>
    <mergeCell ref="U30:V30"/>
    <mergeCell ref="W30:X30"/>
    <mergeCell ref="F30:H30"/>
    <mergeCell ref="F31:H31"/>
    <mergeCell ref="Y28:Z28"/>
    <mergeCell ref="AA28:AB28"/>
    <mergeCell ref="B29:C29"/>
    <mergeCell ref="I29:K29"/>
    <mergeCell ref="M29:N29"/>
    <mergeCell ref="O29:P29"/>
    <mergeCell ref="Q29:R29"/>
    <mergeCell ref="S29:T29"/>
    <mergeCell ref="U29:V29"/>
    <mergeCell ref="W29:X29"/>
    <mergeCell ref="Y29:Z29"/>
    <mergeCell ref="AA29:AB29"/>
    <mergeCell ref="B28:C28"/>
    <mergeCell ref="I28:K28"/>
    <mergeCell ref="M28:N28"/>
    <mergeCell ref="O28:P28"/>
    <mergeCell ref="Q28:R28"/>
    <mergeCell ref="S28:T28"/>
    <mergeCell ref="U28:V28"/>
    <mergeCell ref="W28:X28"/>
    <mergeCell ref="O24:P24"/>
    <mergeCell ref="Q24:R24"/>
    <mergeCell ref="S24:T24"/>
    <mergeCell ref="U24:V24"/>
    <mergeCell ref="W24:X24"/>
    <mergeCell ref="Y26:Z26"/>
    <mergeCell ref="AA26:AB26"/>
    <mergeCell ref="B27:C27"/>
    <mergeCell ref="I27:K27"/>
    <mergeCell ref="M27:N27"/>
    <mergeCell ref="O27:P27"/>
    <mergeCell ref="Q27:R27"/>
    <mergeCell ref="S27:T27"/>
    <mergeCell ref="U27:V27"/>
    <mergeCell ref="W27:X27"/>
    <mergeCell ref="Y27:Z27"/>
    <mergeCell ref="AA27:AB27"/>
    <mergeCell ref="B26:C26"/>
    <mergeCell ref="I26:K26"/>
    <mergeCell ref="M26:N26"/>
    <mergeCell ref="O26:P26"/>
    <mergeCell ref="Q26:R26"/>
    <mergeCell ref="S26:T26"/>
    <mergeCell ref="U26:V26"/>
    <mergeCell ref="W26:X26"/>
    <mergeCell ref="W12:X12"/>
    <mergeCell ref="U12:V12"/>
    <mergeCell ref="W14:X14"/>
    <mergeCell ref="S14:T14"/>
    <mergeCell ref="Y22:Z22"/>
    <mergeCell ref="AA22:AB22"/>
    <mergeCell ref="B23:C23"/>
    <mergeCell ref="I23:K23"/>
    <mergeCell ref="M23:N23"/>
    <mergeCell ref="O23:P23"/>
    <mergeCell ref="Q23:R23"/>
    <mergeCell ref="S23:T23"/>
    <mergeCell ref="U23:V23"/>
    <mergeCell ref="W23:X23"/>
    <mergeCell ref="Y23:Z23"/>
    <mergeCell ref="AA23:AB23"/>
    <mergeCell ref="B22:C22"/>
    <mergeCell ref="I22:K22"/>
    <mergeCell ref="M22:N22"/>
    <mergeCell ref="O22:P22"/>
    <mergeCell ref="Q22:R22"/>
    <mergeCell ref="S22:T22"/>
    <mergeCell ref="U22:V22"/>
    <mergeCell ref="W22:X22"/>
    <mergeCell ref="Y15:Z15"/>
    <mergeCell ref="AA18:AB18"/>
    <mergeCell ref="Y18:Z18"/>
    <mergeCell ref="AA15:AB15"/>
    <mergeCell ref="AA17:AB17"/>
    <mergeCell ref="AA16:AB16"/>
    <mergeCell ref="Y14:Z14"/>
    <mergeCell ref="U18:V18"/>
    <mergeCell ref="AA10:AB10"/>
    <mergeCell ref="Y10:Z10"/>
    <mergeCell ref="W8:X9"/>
    <mergeCell ref="X4:AB4"/>
    <mergeCell ref="D7:D9"/>
    <mergeCell ref="Q10:R10"/>
    <mergeCell ref="S10:T10"/>
    <mergeCell ref="Q11:R11"/>
    <mergeCell ref="U10:V10"/>
    <mergeCell ref="S8:T9"/>
    <mergeCell ref="O7:P9"/>
    <mergeCell ref="S7:Z7"/>
    <mergeCell ref="W10:X10"/>
    <mergeCell ref="W11:X11"/>
    <mergeCell ref="S11:T11"/>
    <mergeCell ref="U11:V11"/>
    <mergeCell ref="I11:K11"/>
    <mergeCell ref="I10:K10"/>
    <mergeCell ref="O11:P11"/>
    <mergeCell ref="AA1:AB1"/>
    <mergeCell ref="B5:AB5"/>
    <mergeCell ref="B2:G2"/>
    <mergeCell ref="B4:W4"/>
    <mergeCell ref="B1:Z1"/>
    <mergeCell ref="AA14:AB14"/>
    <mergeCell ref="Y13:Z13"/>
    <mergeCell ref="Y12:Z12"/>
    <mergeCell ref="B7:C9"/>
    <mergeCell ref="M7:N9"/>
    <mergeCell ref="AA7:AB9"/>
    <mergeCell ref="Y8:Z9"/>
    <mergeCell ref="Q7:R9"/>
    <mergeCell ref="U8:V9"/>
    <mergeCell ref="AA11:AB11"/>
    <mergeCell ref="AA12:AB12"/>
    <mergeCell ref="W13:X13"/>
    <mergeCell ref="AA13:AB13"/>
    <mergeCell ref="S12:T12"/>
    <mergeCell ref="B11:C11"/>
    <mergeCell ref="M10:N10"/>
    <mergeCell ref="I12:K12"/>
    <mergeCell ref="M12:N12"/>
    <mergeCell ref="B10:C10"/>
    <mergeCell ref="M11:N11"/>
    <mergeCell ref="B14:C14"/>
    <mergeCell ref="B12:C12"/>
    <mergeCell ref="B13:C13"/>
    <mergeCell ref="Q12:R12"/>
    <mergeCell ref="O10:P10"/>
    <mergeCell ref="Y11:Z11"/>
    <mergeCell ref="I9:K9"/>
    <mergeCell ref="U17:V17"/>
    <mergeCell ref="I16:K16"/>
    <mergeCell ref="M13:N13"/>
    <mergeCell ref="I13:K13"/>
    <mergeCell ref="W15:X15"/>
    <mergeCell ref="U15:V15"/>
    <mergeCell ref="U16:V16"/>
    <mergeCell ref="S13:T13"/>
    <mergeCell ref="U13:V13"/>
    <mergeCell ref="I14:K14"/>
    <mergeCell ref="M18:N18"/>
    <mergeCell ref="Q15:R15"/>
    <mergeCell ref="S16:T16"/>
    <mergeCell ref="S15:T15"/>
    <mergeCell ref="Q13:R13"/>
    <mergeCell ref="M14:N14"/>
    <mergeCell ref="Q18:R18"/>
    <mergeCell ref="S18:T18"/>
    <mergeCell ref="S17:T17"/>
    <mergeCell ref="U14:V14"/>
    <mergeCell ref="I49:K49"/>
    <mergeCell ref="B46:C46"/>
    <mergeCell ref="B20:C20"/>
    <mergeCell ref="B17:C17"/>
    <mergeCell ref="I48:K48"/>
    <mergeCell ref="I47:K47"/>
    <mergeCell ref="I46:K46"/>
    <mergeCell ref="B48:C48"/>
    <mergeCell ref="B47:C47"/>
    <mergeCell ref="I19:K19"/>
    <mergeCell ref="B18:C18"/>
    <mergeCell ref="B19:C19"/>
    <mergeCell ref="I20:K20"/>
    <mergeCell ref="I18:K18"/>
    <mergeCell ref="B49:C49"/>
    <mergeCell ref="I21:K21"/>
    <mergeCell ref="M21:N21"/>
    <mergeCell ref="B21:C21"/>
    <mergeCell ref="M47:N47"/>
    <mergeCell ref="F46:H46"/>
    <mergeCell ref="F47:H47"/>
    <mergeCell ref="F48:H48"/>
    <mergeCell ref="F49:H49"/>
    <mergeCell ref="B25:C25"/>
    <mergeCell ref="I25:K25"/>
    <mergeCell ref="M25:N25"/>
    <mergeCell ref="B24:C24"/>
    <mergeCell ref="I24:K24"/>
    <mergeCell ref="M24:N24"/>
    <mergeCell ref="O12:P12"/>
    <mergeCell ref="O15:P15"/>
    <mergeCell ref="O13:P13"/>
    <mergeCell ref="O14:P14"/>
    <mergeCell ref="Q16:R16"/>
    <mergeCell ref="Q14:R14"/>
    <mergeCell ref="O18:P18"/>
    <mergeCell ref="B15:C15"/>
    <mergeCell ref="M17:N17"/>
    <mergeCell ref="M15:N15"/>
    <mergeCell ref="Y20:Z20"/>
    <mergeCell ref="AA19:AB19"/>
    <mergeCell ref="W19:X19"/>
    <mergeCell ref="Y19:Z19"/>
    <mergeCell ref="M19:N19"/>
    <mergeCell ref="M20:N20"/>
    <mergeCell ref="AA20:AB20"/>
    <mergeCell ref="U20:V20"/>
    <mergeCell ref="Q19:R19"/>
    <mergeCell ref="Q20:R20"/>
    <mergeCell ref="S20:T20"/>
    <mergeCell ref="U19:V19"/>
    <mergeCell ref="S19:T19"/>
    <mergeCell ref="B16:C16"/>
    <mergeCell ref="I15:K15"/>
    <mergeCell ref="I17:K17"/>
    <mergeCell ref="M16:N16"/>
    <mergeCell ref="W18:X18"/>
    <mergeCell ref="Y16:Z16"/>
    <mergeCell ref="Y17:Z17"/>
    <mergeCell ref="W17:X17"/>
    <mergeCell ref="W16:X16"/>
    <mergeCell ref="O19:P19"/>
    <mergeCell ref="O20:P20"/>
    <mergeCell ref="M46:N46"/>
    <mergeCell ref="O46:P46"/>
    <mergeCell ref="Q46:R46"/>
    <mergeCell ref="W20:X20"/>
    <mergeCell ref="S46:T46"/>
    <mergeCell ref="W46:X46"/>
    <mergeCell ref="U46:V46"/>
    <mergeCell ref="AA46:AB46"/>
    <mergeCell ref="Y46:Z46"/>
    <mergeCell ref="Y49:Z49"/>
    <mergeCell ref="S49:T49"/>
    <mergeCell ref="O21:P21"/>
    <mergeCell ref="Q17:R17"/>
    <mergeCell ref="O17:P17"/>
    <mergeCell ref="O16:P16"/>
    <mergeCell ref="Q21:R21"/>
    <mergeCell ref="S21:T21"/>
    <mergeCell ref="U21:V21"/>
    <mergeCell ref="W21:X21"/>
    <mergeCell ref="Y21:Z21"/>
    <mergeCell ref="AA21:AB21"/>
    <mergeCell ref="Y24:Z24"/>
    <mergeCell ref="AA24:AB24"/>
    <mergeCell ref="O25:P25"/>
    <mergeCell ref="Q25:R25"/>
    <mergeCell ref="S25:T25"/>
    <mergeCell ref="U25:V25"/>
    <mergeCell ref="W25:X25"/>
    <mergeCell ref="Y25:Z25"/>
    <mergeCell ref="AA25:AB25"/>
    <mergeCell ref="W50:X50"/>
    <mergeCell ref="S51:T51"/>
    <mergeCell ref="U51:V51"/>
    <mergeCell ref="AA48:AB48"/>
    <mergeCell ref="Y48:Z48"/>
    <mergeCell ref="M48:N48"/>
    <mergeCell ref="O48:P48"/>
    <mergeCell ref="S48:T48"/>
    <mergeCell ref="Q48:R48"/>
    <mergeCell ref="M49:N49"/>
    <mergeCell ref="W49:X49"/>
    <mergeCell ref="O51:P51"/>
    <mergeCell ref="AA49:AB49"/>
    <mergeCell ref="O47:P47"/>
    <mergeCell ref="Y47:Z47"/>
    <mergeCell ref="AA47:AB47"/>
    <mergeCell ref="U47:V47"/>
    <mergeCell ref="S47:T47"/>
    <mergeCell ref="W47:X47"/>
    <mergeCell ref="Q47:R47"/>
    <mergeCell ref="O49:P49"/>
    <mergeCell ref="W48:X48"/>
    <mergeCell ref="U48:V48"/>
    <mergeCell ref="U49:V49"/>
    <mergeCell ref="Q49:R49"/>
    <mergeCell ref="W53:X53"/>
    <mergeCell ref="S53:T53"/>
    <mergeCell ref="I52:K52"/>
    <mergeCell ref="B60:C60"/>
    <mergeCell ref="B59:C59"/>
    <mergeCell ref="I58:K58"/>
    <mergeCell ref="B58:C58"/>
    <mergeCell ref="I59:K59"/>
    <mergeCell ref="I56:K56"/>
    <mergeCell ref="I57:K57"/>
    <mergeCell ref="O57:P57"/>
    <mergeCell ref="M57:N57"/>
    <mergeCell ref="M60:N60"/>
    <mergeCell ref="O56:P56"/>
    <mergeCell ref="O58:P58"/>
    <mergeCell ref="AA50:AB50"/>
    <mergeCell ref="AA51:AB51"/>
    <mergeCell ref="M50:N50"/>
    <mergeCell ref="M51:N51"/>
    <mergeCell ref="O50:P50"/>
    <mergeCell ref="U52:V52"/>
    <mergeCell ref="M52:N52"/>
    <mergeCell ref="O52:P52"/>
    <mergeCell ref="S52:T52"/>
    <mergeCell ref="Q51:R51"/>
    <mergeCell ref="Q52:R52"/>
    <mergeCell ref="U50:V50"/>
    <mergeCell ref="Q50:R50"/>
    <mergeCell ref="Y51:Z51"/>
    <mergeCell ref="W51:X51"/>
    <mergeCell ref="Y50:Z50"/>
    <mergeCell ref="S50:T50"/>
    <mergeCell ref="B50:C50"/>
    <mergeCell ref="B57:C57"/>
    <mergeCell ref="B53:C53"/>
    <mergeCell ref="I54:K54"/>
    <mergeCell ref="B56:C56"/>
    <mergeCell ref="B54:C54"/>
    <mergeCell ref="B55:C55"/>
    <mergeCell ref="I55:K55"/>
    <mergeCell ref="I50:K50"/>
    <mergeCell ref="I53:K53"/>
    <mergeCell ref="I51:K51"/>
    <mergeCell ref="AA56:AB56"/>
    <mergeCell ref="S56:T56"/>
    <mergeCell ref="Q57:R57"/>
    <mergeCell ref="B51:C51"/>
    <mergeCell ref="B52:C52"/>
    <mergeCell ref="AA54:AB54"/>
    <mergeCell ref="Y54:Z54"/>
    <mergeCell ref="W52:X52"/>
    <mergeCell ref="AA52:AB52"/>
    <mergeCell ref="AA53:AB53"/>
    <mergeCell ref="Y52:Z52"/>
    <mergeCell ref="Y53:Z53"/>
    <mergeCell ref="M54:N54"/>
    <mergeCell ref="O53:P53"/>
    <mergeCell ref="M53:N53"/>
    <mergeCell ref="Q53:R53"/>
    <mergeCell ref="U54:V54"/>
    <mergeCell ref="U53:V53"/>
    <mergeCell ref="S54:T54"/>
    <mergeCell ref="Q54:R54"/>
    <mergeCell ref="W54:X54"/>
    <mergeCell ref="AA55:AB55"/>
    <mergeCell ref="Y55:Z55"/>
    <mergeCell ref="Y56:Z56"/>
    <mergeCell ref="W55:X55"/>
    <mergeCell ref="W59:X59"/>
    <mergeCell ref="W58:X58"/>
    <mergeCell ref="W57:X57"/>
    <mergeCell ref="U55:V55"/>
    <mergeCell ref="S57:T57"/>
    <mergeCell ref="Q56:R56"/>
    <mergeCell ref="Q58:R58"/>
    <mergeCell ref="Q59:R59"/>
    <mergeCell ref="W56:X56"/>
    <mergeCell ref="Y58:Z58"/>
    <mergeCell ref="Y57:Z57"/>
    <mergeCell ref="S58:T58"/>
    <mergeCell ref="Q55:R55"/>
    <mergeCell ref="S55:T55"/>
    <mergeCell ref="AA59:AB59"/>
    <mergeCell ref="AA57:AB57"/>
    <mergeCell ref="AA58:AB58"/>
    <mergeCell ref="Q63:R63"/>
    <mergeCell ref="U62:V62"/>
    <mergeCell ref="I63:K63"/>
    <mergeCell ref="O54:P54"/>
    <mergeCell ref="M56:N56"/>
    <mergeCell ref="M55:N55"/>
    <mergeCell ref="O55:P55"/>
    <mergeCell ref="U57:V57"/>
    <mergeCell ref="U59:V59"/>
    <mergeCell ref="U56:V56"/>
    <mergeCell ref="U58:V58"/>
    <mergeCell ref="S59:T59"/>
    <mergeCell ref="M58:N58"/>
    <mergeCell ref="O59:P59"/>
    <mergeCell ref="M59:N59"/>
    <mergeCell ref="Y59:Z59"/>
    <mergeCell ref="M61:N61"/>
    <mergeCell ref="Q61:R61"/>
    <mergeCell ref="B65:C65"/>
    <mergeCell ref="O66:P66"/>
    <mergeCell ref="O65:P65"/>
    <mergeCell ref="B66:C66"/>
    <mergeCell ref="I67:K67"/>
    <mergeCell ref="O67:P67"/>
    <mergeCell ref="I66:K66"/>
    <mergeCell ref="U63:V63"/>
    <mergeCell ref="M64:N64"/>
    <mergeCell ref="I62:K62"/>
    <mergeCell ref="M62:N62"/>
    <mergeCell ref="M63:N63"/>
    <mergeCell ref="AA65:AB65"/>
    <mergeCell ref="Y65:Z65"/>
    <mergeCell ref="W65:X65"/>
    <mergeCell ref="AA66:AB66"/>
    <mergeCell ref="W66:X66"/>
    <mergeCell ref="Y66:Z66"/>
    <mergeCell ref="AA63:AB63"/>
    <mergeCell ref="AA64:AB64"/>
    <mergeCell ref="W62:X62"/>
    <mergeCell ref="AA62:AB62"/>
    <mergeCell ref="Y63:Z63"/>
    <mergeCell ref="W63:X63"/>
    <mergeCell ref="W64:X64"/>
    <mergeCell ref="Y64:Z64"/>
    <mergeCell ref="Y62:Z62"/>
    <mergeCell ref="AA67:AB67"/>
    <mergeCell ref="W67:X67"/>
    <mergeCell ref="Y67:Z67"/>
    <mergeCell ref="M67:N67"/>
    <mergeCell ref="S62:T62"/>
    <mergeCell ref="Y72:Z72"/>
    <mergeCell ref="W72:X72"/>
    <mergeCell ref="U72:V72"/>
    <mergeCell ref="F67:H67"/>
    <mergeCell ref="B69:C69"/>
    <mergeCell ref="Q71:R71"/>
    <mergeCell ref="O71:P71"/>
    <mergeCell ref="I69:K69"/>
    <mergeCell ref="B70:C70"/>
    <mergeCell ref="O69:P69"/>
    <mergeCell ref="Q69:R69"/>
    <mergeCell ref="F69:H69"/>
    <mergeCell ref="B68:C68"/>
    <mergeCell ref="S66:T66"/>
    <mergeCell ref="U69:V69"/>
    <mergeCell ref="S72:T72"/>
    <mergeCell ref="AA60:AB60"/>
    <mergeCell ref="W60:X60"/>
    <mergeCell ref="I64:K64"/>
    <mergeCell ref="Q64:R64"/>
    <mergeCell ref="B62:C62"/>
    <mergeCell ref="S61:T61"/>
    <mergeCell ref="O64:P64"/>
    <mergeCell ref="Q62:R62"/>
    <mergeCell ref="B64:C64"/>
    <mergeCell ref="S64:T64"/>
    <mergeCell ref="U64:V64"/>
    <mergeCell ref="B63:C63"/>
    <mergeCell ref="I61:K61"/>
    <mergeCell ref="B61:C61"/>
    <mergeCell ref="W61:X61"/>
    <mergeCell ref="B67:C67"/>
    <mergeCell ref="U67:V67"/>
    <mergeCell ref="U68:V68"/>
    <mergeCell ref="S67:T67"/>
    <mergeCell ref="S65:T65"/>
    <mergeCell ref="U66:V66"/>
    <mergeCell ref="Q66:R66"/>
    <mergeCell ref="U70:V70"/>
    <mergeCell ref="O70:P70"/>
    <mergeCell ref="Q68:R68"/>
    <mergeCell ref="Q67:R67"/>
    <mergeCell ref="I72:K72"/>
    <mergeCell ref="I70:K70"/>
    <mergeCell ref="M69:N69"/>
    <mergeCell ref="M66:N66"/>
    <mergeCell ref="M65:N65"/>
    <mergeCell ref="I65:K65"/>
    <mergeCell ref="W73:X73"/>
    <mergeCell ref="U73:V73"/>
    <mergeCell ref="Q65:R65"/>
    <mergeCell ref="F68:H68"/>
    <mergeCell ref="Y71:Z71"/>
    <mergeCell ref="S69:T69"/>
    <mergeCell ref="S70:T70"/>
    <mergeCell ref="S71:T71"/>
    <mergeCell ref="M71:N71"/>
    <mergeCell ref="I68:K68"/>
    <mergeCell ref="M68:N68"/>
    <mergeCell ref="W70:X70"/>
    <mergeCell ref="U71:V71"/>
    <mergeCell ref="S73:T73"/>
    <mergeCell ref="M73:N73"/>
    <mergeCell ref="O73:P73"/>
    <mergeCell ref="I73:K73"/>
    <mergeCell ref="Q73:R73"/>
    <mergeCell ref="AA73:AB73"/>
    <mergeCell ref="Y73:Z73"/>
    <mergeCell ref="AA68:AB68"/>
    <mergeCell ref="O68:P68"/>
    <mergeCell ref="AA71:AB71"/>
    <mergeCell ref="W68:X68"/>
    <mergeCell ref="AA70:AB70"/>
    <mergeCell ref="W69:X69"/>
    <mergeCell ref="Y69:Z69"/>
    <mergeCell ref="Y68:Z68"/>
    <mergeCell ref="Y70:Z70"/>
    <mergeCell ref="W71:X71"/>
    <mergeCell ref="AA69:AB69"/>
    <mergeCell ref="F72:H72"/>
    <mergeCell ref="F73:H73"/>
    <mergeCell ref="S68:T68"/>
    <mergeCell ref="AA72:AB72"/>
    <mergeCell ref="B73:C73"/>
    <mergeCell ref="B74:C74"/>
    <mergeCell ref="B75:C75"/>
    <mergeCell ref="I75:K75"/>
    <mergeCell ref="S74:T74"/>
    <mergeCell ref="Q74:R74"/>
    <mergeCell ref="O75:P75"/>
    <mergeCell ref="M75:N75"/>
    <mergeCell ref="Q75:R75"/>
    <mergeCell ref="M76:N76"/>
    <mergeCell ref="Q70:R70"/>
    <mergeCell ref="B72:C72"/>
    <mergeCell ref="Q72:R72"/>
    <mergeCell ref="I71:K71"/>
    <mergeCell ref="B71:C71"/>
    <mergeCell ref="O72:P72"/>
    <mergeCell ref="M72:N72"/>
    <mergeCell ref="M70:N70"/>
    <mergeCell ref="F70:H70"/>
    <mergeCell ref="F71:H71"/>
    <mergeCell ref="B76:C76"/>
    <mergeCell ref="F74:H74"/>
    <mergeCell ref="F75:H75"/>
    <mergeCell ref="B82:C82"/>
    <mergeCell ref="B83:C83"/>
    <mergeCell ref="F82:H82"/>
    <mergeCell ref="AA78:AB78"/>
    <mergeCell ref="Y77:Z77"/>
    <mergeCell ref="F81:H81"/>
    <mergeCell ref="W76:X76"/>
    <mergeCell ref="U79:V79"/>
    <mergeCell ref="W78:X78"/>
    <mergeCell ref="S76:T76"/>
    <mergeCell ref="S75:T75"/>
    <mergeCell ref="M74:N74"/>
    <mergeCell ref="O74:P74"/>
    <mergeCell ref="I74:K74"/>
    <mergeCell ref="I81:K81"/>
    <mergeCell ref="I80:K80"/>
    <mergeCell ref="Q79:R79"/>
    <mergeCell ref="S79:T79"/>
    <mergeCell ref="M79:N79"/>
    <mergeCell ref="O79:P79"/>
    <mergeCell ref="U80:V80"/>
    <mergeCell ref="AA79:AB79"/>
    <mergeCell ref="Y79:Z79"/>
    <mergeCell ref="W79:X79"/>
    <mergeCell ref="Y80:Z80"/>
    <mergeCell ref="W80:X80"/>
    <mergeCell ref="AA75:AB75"/>
    <mergeCell ref="U75:V75"/>
    <mergeCell ref="U74:V74"/>
    <mergeCell ref="AA74:AB74"/>
    <mergeCell ref="W74:X74"/>
    <mergeCell ref="Y74:Z74"/>
    <mergeCell ref="F80:H80"/>
    <mergeCell ref="M78:N78"/>
    <mergeCell ref="Y91:AA93"/>
    <mergeCell ref="B80:C80"/>
    <mergeCell ref="I77:K77"/>
    <mergeCell ref="O78:P78"/>
    <mergeCell ref="B81:C81"/>
    <mergeCell ref="B79:C79"/>
    <mergeCell ref="F76:H76"/>
    <mergeCell ref="F77:H77"/>
    <mergeCell ref="F78:H78"/>
    <mergeCell ref="F79:H79"/>
    <mergeCell ref="B77:C77"/>
    <mergeCell ref="AA80:AB80"/>
    <mergeCell ref="U78:V78"/>
    <mergeCell ref="Y78:Z78"/>
    <mergeCell ref="Q78:R78"/>
    <mergeCell ref="O76:P76"/>
    <mergeCell ref="I76:K76"/>
    <mergeCell ref="Y76:Z76"/>
    <mergeCell ref="U76:V76"/>
    <mergeCell ref="AA76:AB76"/>
    <mergeCell ref="Q80:R80"/>
    <mergeCell ref="Q81:R81"/>
    <mergeCell ref="S81:T81"/>
    <mergeCell ref="B78:C78"/>
    <mergeCell ref="O77:P77"/>
    <mergeCell ref="M77:N77"/>
    <mergeCell ref="I78:K78"/>
    <mergeCell ref="O81:P81"/>
    <mergeCell ref="O80:P80"/>
    <mergeCell ref="U77:V77"/>
    <mergeCell ref="AA82:AB82"/>
    <mergeCell ref="U82:V82"/>
    <mergeCell ref="Q84:R84"/>
    <mergeCell ref="Y75:Z75"/>
    <mergeCell ref="W75:X75"/>
    <mergeCell ref="Y81:Z81"/>
    <mergeCell ref="S80:T80"/>
    <mergeCell ref="W81:X81"/>
    <mergeCell ref="AA81:AB81"/>
    <mergeCell ref="U81:V81"/>
    <mergeCell ref="Q76:R76"/>
    <mergeCell ref="AA77:AB77"/>
    <mergeCell ref="S77:T77"/>
    <mergeCell ref="Q77:R77"/>
    <mergeCell ref="I83:K83"/>
    <mergeCell ref="I82:K82"/>
    <mergeCell ref="S83:T83"/>
    <mergeCell ref="Q82:R82"/>
    <mergeCell ref="M83:N83"/>
    <mergeCell ref="Y84:Z84"/>
    <mergeCell ref="S84:T84"/>
    <mergeCell ref="W82:X82"/>
    <mergeCell ref="O82:P82"/>
    <mergeCell ref="W84:X84"/>
    <mergeCell ref="O84:P84"/>
    <mergeCell ref="Q83:R83"/>
    <mergeCell ref="S78:T78"/>
    <mergeCell ref="I79:K79"/>
    <mergeCell ref="W77:X77"/>
    <mergeCell ref="M80:N80"/>
    <mergeCell ref="M81:N81"/>
    <mergeCell ref="Y94:AA94"/>
    <mergeCell ref="K94:M94"/>
    <mergeCell ref="G93:H93"/>
    <mergeCell ref="B88:AA88"/>
    <mergeCell ref="B90:R90"/>
    <mergeCell ref="S90:AA90"/>
    <mergeCell ref="F83:H83"/>
    <mergeCell ref="Y82:Z82"/>
    <mergeCell ref="S82:T82"/>
    <mergeCell ref="U84:V84"/>
    <mergeCell ref="M82:N82"/>
    <mergeCell ref="O83:P83"/>
    <mergeCell ref="Y95:AA95"/>
    <mergeCell ref="S91:U93"/>
    <mergeCell ref="R91:R93"/>
    <mergeCell ref="N91:P93"/>
    <mergeCell ref="K91:M93"/>
    <mergeCell ref="E93:F93"/>
    <mergeCell ref="V94:X94"/>
    <mergeCell ref="D91:D93"/>
    <mergeCell ref="B86:AB86"/>
    <mergeCell ref="B84:L84"/>
    <mergeCell ref="U83:V83"/>
    <mergeCell ref="W83:X83"/>
    <mergeCell ref="AA85:AB85"/>
    <mergeCell ref="Y83:Z83"/>
    <mergeCell ref="AA84:AB84"/>
    <mergeCell ref="AA83:AB83"/>
    <mergeCell ref="M84:N84"/>
    <mergeCell ref="N94:P94"/>
    <mergeCell ref="S95:U95"/>
    <mergeCell ref="E95:F95"/>
    <mergeCell ref="V95:X95"/>
    <mergeCell ref="K97:M97"/>
    <mergeCell ref="G95:H95"/>
    <mergeCell ref="E91:J92"/>
    <mergeCell ref="I93:J93"/>
    <mergeCell ref="B91:C93"/>
    <mergeCell ref="B94:C94"/>
    <mergeCell ref="I97:J97"/>
    <mergeCell ref="E98:F98"/>
    <mergeCell ref="E97:F97"/>
    <mergeCell ref="V97:X97"/>
    <mergeCell ref="S97:U97"/>
    <mergeCell ref="N97:P97"/>
    <mergeCell ref="K98:M98"/>
    <mergeCell ref="V98:X98"/>
    <mergeCell ref="S94:U94"/>
    <mergeCell ref="I98:J98"/>
    <mergeCell ref="B95:C95"/>
    <mergeCell ref="K95:M95"/>
    <mergeCell ref="N95:P95"/>
    <mergeCell ref="I95:J95"/>
    <mergeCell ref="G94:H94"/>
    <mergeCell ref="E94:F94"/>
    <mergeCell ref="K96:M96"/>
    <mergeCell ref="V96:X96"/>
    <mergeCell ref="I94:J94"/>
    <mergeCell ref="G96:H96"/>
    <mergeCell ref="I96:J96"/>
    <mergeCell ref="V91:X93"/>
    <mergeCell ref="Y99:AA99"/>
    <mergeCell ref="N98:P98"/>
    <mergeCell ref="G102:H102"/>
    <mergeCell ref="K100:M100"/>
    <mergeCell ref="K99:M99"/>
    <mergeCell ref="I99:J99"/>
    <mergeCell ref="I100:J100"/>
    <mergeCell ref="K101:M101"/>
    <mergeCell ref="Y98:AA98"/>
    <mergeCell ref="N100:P100"/>
    <mergeCell ref="S100:U100"/>
    <mergeCell ref="S99:U99"/>
    <mergeCell ref="S98:U98"/>
    <mergeCell ref="Y100:AA100"/>
    <mergeCell ref="B99:C99"/>
    <mergeCell ref="G97:H97"/>
    <mergeCell ref="Y96:AA96"/>
    <mergeCell ref="S96:U96"/>
    <mergeCell ref="Y97:AA97"/>
    <mergeCell ref="B96:C96"/>
    <mergeCell ref="N96:P96"/>
    <mergeCell ref="E96:F96"/>
    <mergeCell ref="K104:M104"/>
    <mergeCell ref="N104:P104"/>
    <mergeCell ref="E102:F102"/>
    <mergeCell ref="G100:H100"/>
    <mergeCell ref="E100:F100"/>
    <mergeCell ref="E101:F101"/>
    <mergeCell ref="G101:H101"/>
    <mergeCell ref="B97:C97"/>
    <mergeCell ref="B98:C98"/>
    <mergeCell ref="E99:F99"/>
    <mergeCell ref="G98:H98"/>
    <mergeCell ref="G99:H99"/>
    <mergeCell ref="B102:C102"/>
    <mergeCell ref="B101:C101"/>
    <mergeCell ref="B100:C100"/>
    <mergeCell ref="N99:P99"/>
    <mergeCell ref="V99:X99"/>
    <mergeCell ref="V100:X100"/>
    <mergeCell ref="B103:C103"/>
    <mergeCell ref="B104:C104"/>
    <mergeCell ref="E104:F104"/>
    <mergeCell ref="E103:F103"/>
    <mergeCell ref="K107:M107"/>
    <mergeCell ref="Y107:AA107"/>
    <mergeCell ref="K110:M110"/>
    <mergeCell ref="N106:P106"/>
    <mergeCell ref="S106:U106"/>
    <mergeCell ref="Y106:AA106"/>
    <mergeCell ref="G103:H103"/>
    <mergeCell ref="Y101:AA101"/>
    <mergeCell ref="V101:X101"/>
    <mergeCell ref="Y102:AA102"/>
    <mergeCell ref="S103:U103"/>
    <mergeCell ref="V102:X102"/>
    <mergeCell ref="Y103:AA103"/>
    <mergeCell ref="N102:P102"/>
    <mergeCell ref="S102:U102"/>
    <mergeCell ref="V103:X103"/>
    <mergeCell ref="K102:M102"/>
    <mergeCell ref="I102:J102"/>
    <mergeCell ref="I101:J101"/>
    <mergeCell ref="S101:U101"/>
    <mergeCell ref="K103:M103"/>
    <mergeCell ref="N103:P103"/>
    <mergeCell ref="I103:J103"/>
    <mergeCell ref="N101:P101"/>
    <mergeCell ref="Y104:AA104"/>
    <mergeCell ref="S105:U105"/>
    <mergeCell ref="Y105:AA105"/>
    <mergeCell ref="V105:X105"/>
    <mergeCell ref="S104:U104"/>
    <mergeCell ref="V104:X104"/>
    <mergeCell ref="K105:M105"/>
    <mergeCell ref="N105:P105"/>
    <mergeCell ref="B118:Q118"/>
    <mergeCell ref="N114:P114"/>
    <mergeCell ref="K112:M112"/>
    <mergeCell ref="N117:P117"/>
    <mergeCell ref="S115:U115"/>
    <mergeCell ref="N116:P116"/>
    <mergeCell ref="I112:J112"/>
    <mergeCell ref="Y118:AA118"/>
    <mergeCell ref="V118:X118"/>
    <mergeCell ref="S118:U118"/>
    <mergeCell ref="Y111:AA111"/>
    <mergeCell ref="S109:U109"/>
    <mergeCell ref="V106:X106"/>
    <mergeCell ref="Y109:AA109"/>
    <mergeCell ref="V107:X107"/>
    <mergeCell ref="S108:U108"/>
    <mergeCell ref="N109:P109"/>
    <mergeCell ref="K111:M111"/>
    <mergeCell ref="V109:X109"/>
    <mergeCell ref="S110:U110"/>
    <mergeCell ref="N110:P110"/>
    <mergeCell ref="K109:M109"/>
    <mergeCell ref="N111:P111"/>
    <mergeCell ref="V111:X111"/>
    <mergeCell ref="S111:U111"/>
    <mergeCell ref="Y110:AA110"/>
    <mergeCell ref="V110:X110"/>
    <mergeCell ref="N107:P107"/>
    <mergeCell ref="N108:P108"/>
    <mergeCell ref="V108:X108"/>
    <mergeCell ref="Y108:AA108"/>
    <mergeCell ref="S107:U107"/>
    <mergeCell ref="Y113:AA113"/>
    <mergeCell ref="V113:X113"/>
    <mergeCell ref="N112:P112"/>
    <mergeCell ref="V112:X112"/>
    <mergeCell ref="N113:P113"/>
    <mergeCell ref="Y117:AA117"/>
    <mergeCell ref="V117:X117"/>
    <mergeCell ref="S113:U113"/>
    <mergeCell ref="Y112:AA112"/>
    <mergeCell ref="S112:U112"/>
    <mergeCell ref="Y116:AA116"/>
    <mergeCell ref="V114:X114"/>
    <mergeCell ref="V116:X116"/>
    <mergeCell ref="S114:U114"/>
    <mergeCell ref="S116:U116"/>
    <mergeCell ref="Y115:AA115"/>
    <mergeCell ref="V115:X115"/>
    <mergeCell ref="Y114:AA114"/>
    <mergeCell ref="S117:U117"/>
    <mergeCell ref="B105:C105"/>
    <mergeCell ref="E116:F116"/>
    <mergeCell ref="B107:C107"/>
    <mergeCell ref="B115:C115"/>
    <mergeCell ref="E115:F115"/>
    <mergeCell ref="B111:C111"/>
    <mergeCell ref="B106:C106"/>
    <mergeCell ref="E114:F114"/>
    <mergeCell ref="E113:F113"/>
    <mergeCell ref="B108:C108"/>
    <mergeCell ref="B109:C109"/>
    <mergeCell ref="E109:F109"/>
    <mergeCell ref="B112:C112"/>
    <mergeCell ref="E112:F112"/>
    <mergeCell ref="B110:C110"/>
    <mergeCell ref="B114:C114"/>
    <mergeCell ref="B113:C113"/>
    <mergeCell ref="E106:F106"/>
    <mergeCell ref="E108:F108"/>
    <mergeCell ref="E107:F107"/>
    <mergeCell ref="E105:F105"/>
    <mergeCell ref="I111:J111"/>
    <mergeCell ref="G110:H110"/>
    <mergeCell ref="E110:F110"/>
    <mergeCell ref="E111:F111"/>
    <mergeCell ref="I104:J104"/>
    <mergeCell ref="I108:J108"/>
    <mergeCell ref="G108:H108"/>
    <mergeCell ref="I107:J107"/>
    <mergeCell ref="G105:H105"/>
    <mergeCell ref="G104:H104"/>
    <mergeCell ref="G107:H107"/>
    <mergeCell ref="I105:J105"/>
    <mergeCell ref="I106:J106"/>
    <mergeCell ref="G106:H106"/>
    <mergeCell ref="K108:M108"/>
    <mergeCell ref="K106:M106"/>
    <mergeCell ref="B117:C117"/>
    <mergeCell ref="E117:F117"/>
    <mergeCell ref="I115:J115"/>
    <mergeCell ref="G116:H116"/>
    <mergeCell ref="G115:H115"/>
    <mergeCell ref="I117:J117"/>
    <mergeCell ref="I116:J116"/>
    <mergeCell ref="G117:H117"/>
    <mergeCell ref="K117:M117"/>
    <mergeCell ref="K116:M116"/>
    <mergeCell ref="B116:C116"/>
    <mergeCell ref="G114:H114"/>
    <mergeCell ref="G109:H109"/>
    <mergeCell ref="I109:J109"/>
    <mergeCell ref="I113:J113"/>
    <mergeCell ref="K115:M115"/>
    <mergeCell ref="F66:H66"/>
    <mergeCell ref="I110:J110"/>
    <mergeCell ref="K114:M114"/>
    <mergeCell ref="I114:J114"/>
    <mergeCell ref="G112:H112"/>
    <mergeCell ref="G113:H113"/>
    <mergeCell ref="G111:H111"/>
    <mergeCell ref="N115:P115"/>
    <mergeCell ref="K113:M113"/>
    <mergeCell ref="F7:L7"/>
    <mergeCell ref="F8:L8"/>
    <mergeCell ref="F9:H9"/>
    <mergeCell ref="E7:E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AC7:AD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29:H29"/>
    <mergeCell ref="U65:V65"/>
    <mergeCell ref="AA61:AB61"/>
    <mergeCell ref="Y61:Z61"/>
    <mergeCell ref="I60:K60"/>
    <mergeCell ref="U61:V61"/>
    <mergeCell ref="O61:P61"/>
    <mergeCell ref="S60:T60"/>
    <mergeCell ref="Q60:R60"/>
    <mergeCell ref="O60:P60"/>
    <mergeCell ref="U60:V60"/>
    <mergeCell ref="Y60:Z60"/>
    <mergeCell ref="O63:P63"/>
    <mergeCell ref="O62:P62"/>
    <mergeCell ref="S63:T63"/>
  </mergeCells>
  <phoneticPr fontId="110" type="noConversion"/>
  <conditionalFormatting sqref="D91 S91:AA93">
    <cfRule type="expression" dxfId="11" priority="8" stopIfTrue="1">
      <formula>$AG$2=1</formula>
    </cfRule>
  </conditionalFormatting>
  <conditionalFormatting sqref="E7">
    <cfRule type="expression" dxfId="10" priority="3" stopIfTrue="1">
      <formula>$AG$2=1</formula>
    </cfRule>
  </conditionalFormatting>
  <conditionalFormatting sqref="M7:P9 AA7:AB9 S8 U8">
    <cfRule type="expression" dxfId="9" priority="11" stopIfTrue="1">
      <formula>$AG$2=1</formula>
    </cfRule>
  </conditionalFormatting>
  <conditionalFormatting sqref="M10:P83">
    <cfRule type="expression" dxfId="8" priority="12" stopIfTrue="1">
      <formula>tr=1</formula>
    </cfRule>
  </conditionalFormatting>
  <conditionalFormatting sqref="O2:AB2">
    <cfRule type="expression" dxfId="7" priority="10" stopIfTrue="1">
      <formula>fisc&gt;0</formula>
    </cfRule>
  </conditionalFormatting>
  <conditionalFormatting sqref="R95:R117">
    <cfRule type="expression" dxfId="6" priority="7" stopIfTrue="1">
      <formula>$AG$2=1</formula>
    </cfRule>
  </conditionalFormatting>
  <conditionalFormatting sqref="S94:AA117">
    <cfRule type="expression" dxfId="5" priority="1">
      <formula>$AI$93&gt;0</formula>
    </cfRule>
  </conditionalFormatting>
  <dataValidations count="20">
    <dataValidation type="list" allowBlank="1" showInputMessage="1" showErrorMessage="1" errorTitle="Choose item from Dropdown list! " sqref="R94:R117 L10:L83" xr:uid="{00000000-0002-0000-7800-000000000000}">
      <formula1>$AI$2:$AI$3</formula1>
    </dataValidation>
    <dataValidation operator="greaterThanOrEqual" allowBlank="1" showInputMessage="1" showErrorMessage="1" errorTitle="Tax Registration Number" error="Please enter the correct number!" sqref="O10:O83" xr:uid="{00000000-0002-0000-7800-000001000000}"/>
    <dataValidation type="whole" operator="greaterThanOrEqual" allowBlank="1" showInputMessage="1" showErrorMessage="1" errorTitle="Wages and salaries" error="Please enter a positive value!" sqref="S94:U117" xr:uid="{00000000-0002-0000-7800-000002000000}">
      <formula1>0</formula1>
    </dataValidation>
    <dataValidation type="textLength" operator="greaterThanOrEqual" allowBlank="1" showInputMessage="1" showErrorMessage="1" errorTitle="Name and surname" error="Please enter the correct details!" sqref="G11:H83 F10:F83" xr:uid="{00000000-0002-0000-7800-000003000000}">
      <formula1>2</formula1>
    </dataValidation>
    <dataValidation type="textLength" errorStyle="warning" operator="greaterThanOrEqual" allowBlank="1" showInputMessage="1" showErrorMessage="1" errorTitle="Name and surname" error="Please enter the correct details!" sqref="I10:K83" xr:uid="{00000000-0002-0000-7800-000005000000}">
      <formula1>2</formula1>
    </dataValidation>
    <dataValidation type="whole" operator="greaterThanOrEqual" allowBlank="1" showInputMessage="1" showErrorMessage="1" errorTitle="Number of Shares" error="Please enter a positive value!" sqref="M10:N83" xr:uid="{00000000-0002-0000-7800-000006000000}">
      <formula1>0</formula1>
    </dataValidation>
    <dataValidation type="whole" operator="greaterThanOrEqual" allowBlank="1" showInputMessage="1" showErrorMessage="1" errorTitle="Gross Dividends" error="Please enter a positive value!" sqref="Q10:Z83" xr:uid="{00000000-0002-0000-7800-000007000000}">
      <formula1>0</formula1>
    </dataValidation>
    <dataValidation operator="greaterThanOrEqual" allowBlank="1" showInputMessage="1" showErrorMessage="1" sqref="AA10:AB83" xr:uid="{00000000-0002-0000-7800-000008000000}"/>
    <dataValidation type="list" operator="greaterThanOrEqual" allowBlank="1" showInputMessage="1" showErrorMessage="1" sqref="D94:D117 E10:E83" xr:uid="{00000000-0002-0000-7800-000009000000}">
      <formula1>ms</formula1>
    </dataValidation>
    <dataValidation type="textLength" operator="greaterThanOrEqual" allowBlank="1" showInputMessage="1" showErrorMessage="1" errorTitle="Tax Identification Number" error="Please enter the correct number!" sqref="B10:C83" xr:uid="{00000000-0002-0000-7800-00000A000000}">
      <formula1>4</formula1>
    </dataValidation>
    <dataValidation type="textLength" operator="greaterThanOrEqual" allowBlank="1" showInputMessage="1" showErrorMessage="1" errorTitle="City of birth" error="Please enter the correct place!" sqref="G94:H117" xr:uid="{00000000-0002-0000-7800-00000B000000}">
      <formula1>2</formula1>
    </dataValidation>
    <dataValidation type="textLength" operator="greaterThanOrEqual" allowBlank="1" showInputMessage="1" showErrorMessage="1" errorTitle="Country of birth" error="Please enter the correct country!" sqref="I94:J117" xr:uid="{00000000-0002-0000-7800-00000C000000}">
      <formula1>2</formula1>
    </dataValidation>
    <dataValidation type="textLength" operator="greaterThanOrEqual" allowBlank="1" showInputMessage="1" showErrorMessage="1" errorTitle="Surname" error="Please enter the correct surname!" sqref="K94:M117" xr:uid="{00000000-0002-0000-7800-00000D000000}">
      <formula1>1</formula1>
    </dataValidation>
    <dataValidation type="textLength" operator="greaterThanOrEqual" allowBlank="1" showInputMessage="1" showErrorMessage="1" errorTitle="Name" error="Please enter the correct name!" sqref="Q94:Q117" xr:uid="{00000000-0002-0000-7800-00000E000000}">
      <formula1>3</formula1>
    </dataValidation>
    <dataValidation type="whole" operator="greaterThanOrEqual" allowBlank="1" showInputMessage="1" showErrorMessage="1" errorTitle="Director's fees" error="Please enter a positive value!" sqref="Y94:AA117" xr:uid="{00000000-0002-0000-7800-00000F000000}">
      <formula1>0</formula1>
    </dataValidation>
    <dataValidation type="whole" operator="greaterThanOrEqual" allowBlank="1" showInputMessage="1" showErrorMessage="1" errorTitle="Social Security" error="Please enter a positive value!" sqref="V94:X117" xr:uid="{00000000-0002-0000-7800-000010000000}">
      <formula1>0</formula1>
    </dataValidation>
    <dataValidation type="date" allowBlank="1" showInputMessage="1" showErrorMessage="1" errorTitle="Date of Birth" error="Please enter the correct date of birth!" promptTitle="format" prompt="dd/mm/yyyy" sqref="E94:F117" xr:uid="{00000000-0002-0000-7800-000011000000}">
      <formula1>$BE$94</formula1>
      <formula2>$BF$94</formula2>
    </dataValidation>
    <dataValidation type="list" operator="greaterThanOrEqual" allowBlank="1" showInputMessage="1" showErrorMessage="1" errorTitle="Tax Identification Number" error="Please enter the correct number!" sqref="B94:C117" xr:uid="{45B15277-4162-4882-85E9-4C67E041D481}">
      <formula1>noav</formula1>
    </dataValidation>
    <dataValidation type="textLength" operator="greaterThanOrEqual" allowBlank="1" showInputMessage="1" showErrorMessage="1" errorTitle="Name" error="Please enter the correct name!" sqref="N94:P117" xr:uid="{2C5A729B-8654-4055-9724-2E547D731D55}">
      <formula1>1</formula1>
    </dataValidation>
    <dataValidation type="textLength" errorStyle="warning" operator="equal" allowBlank="1" showInputMessage="1" showErrorMessage="1" errorTitle="SR Number" error="Please enter the correct 18 digit number!" sqref="D10:D83" xr:uid="{506794F2-2092-4929-BADF-A5BF612785FC}">
      <formula1>9</formula1>
    </dataValidation>
  </dataValidations>
  <hyperlinks>
    <hyperlink ref="B2" location="Index!A1" display="Index!A1" xr:uid="{00000000-0004-0000-7800-000000000000}"/>
  </hyperlinks>
  <pageMargins left="0.19685039370078741" right="3.937007874015748E-2" top="0.27559055118110237" bottom="3.937007874015748E-2" header="7.874015748031496E-2" footer="0.11811023622047245"/>
  <pageSetup paperSize="9" scale="80" orientation="landscape" horizontalDpi="300" verticalDpi="300" r:id="rId2"/>
  <headerFooter alignWithMargins="0">
    <oddFooter>&amp;LCfR - Malta&amp;RPage 7</oddFooter>
  </headerFooter>
  <rowBreaks count="1" manualBreakCount="1">
    <brk id="86" min="1" max="28" man="1"/>
  </rowBreaks>
  <legacyDrawing r:id="rId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43"/>
  <dimension ref="A1:AA53"/>
  <sheetViews>
    <sheetView showGridLines="0" topLeftCell="A26" workbookViewId="0">
      <selection sqref="A1:V1"/>
    </sheetView>
  </sheetViews>
  <sheetFormatPr defaultColWidth="0" defaultRowHeight="12.75" customHeight="1" zeroHeight="1" x14ac:dyDescent="0.2"/>
  <cols>
    <col min="1" max="1" width="3.7109375" style="28" customWidth="1"/>
    <col min="2" max="2" width="3.42578125" style="28" customWidth="1"/>
    <col min="3" max="8" width="3.7109375" style="28" customWidth="1"/>
    <col min="9" max="9" width="5.28515625" style="28" customWidth="1"/>
    <col min="10" max="22" width="3.7109375" style="28" customWidth="1"/>
    <col min="23" max="23" width="9" style="28" customWidth="1"/>
    <col min="24" max="24" width="1" style="28" customWidth="1"/>
    <col min="25" max="25" width="3.7109375" style="28" hidden="1" customWidth="1"/>
    <col min="26" max="26" width="9.28515625" style="28" hidden="1" customWidth="1"/>
    <col min="27" max="27" width="10.28515625" style="28" hidden="1" customWidth="1"/>
    <col min="28" max="79" width="9.28515625" style="28" hidden="1" customWidth="1"/>
    <col min="80" max="16384" width="9.28515625" style="28" hidden="1"/>
  </cols>
  <sheetData>
    <row r="1" spans="1:23" x14ac:dyDescent="0.2">
      <c r="A1" s="4275" t="str">
        <f>_ref1</f>
      </c>
      <c r="B1" s="4275"/>
      <c r="C1" s="4275"/>
      <c r="D1" s="4275"/>
      <c r="E1" s="4275"/>
      <c r="F1" s="4275"/>
      <c r="G1" s="4275"/>
      <c r="H1" s="4275"/>
      <c r="I1" s="4275"/>
      <c r="J1" s="4275"/>
      <c r="K1" s="4275"/>
      <c r="L1" s="4275"/>
      <c r="M1" s="4275"/>
      <c r="N1" s="4275"/>
      <c r="O1" s="4275"/>
      <c r="P1" s="4275"/>
      <c r="Q1" s="4275"/>
      <c r="R1" s="4275"/>
      <c r="S1" s="4275"/>
      <c r="T1" s="4275"/>
      <c r="U1" s="4275"/>
      <c r="V1" s="4275"/>
      <c r="W1" s="2" t="str">
        <f>_YA1</f>
      </c>
    </row>
    <row r="2" spans="1:23" x14ac:dyDescent="0.2">
      <c r="A2" s="4273" t="s">
        <v>6290</v>
      </c>
      <c r="B2" s="4273"/>
      <c r="C2" s="4273"/>
      <c r="D2" s="4273"/>
      <c r="E2" s="4273"/>
      <c r="F2" s="4273"/>
      <c r="G2" s="8"/>
      <c r="H2" s="8"/>
      <c r="I2" s="8"/>
      <c r="J2" s="8"/>
      <c r="K2" s="8"/>
      <c r="L2" s="8"/>
      <c r="M2" s="8"/>
      <c r="N2" s="8"/>
      <c r="O2" s="8"/>
      <c r="P2" s="8"/>
      <c r="Q2" s="8" t="str">
        <f>efile</f>
      </c>
      <c r="R2" s="8"/>
      <c r="S2" s="8"/>
      <c r="T2" s="8"/>
      <c r="U2" s="8"/>
      <c r="V2" s="3"/>
      <c r="W2" s="2"/>
    </row>
    <row r="3" spans="1:23" ht="15" x14ac:dyDescent="0.2">
      <c r="A3" s="4792" t="s">
        <v>3066</v>
      </c>
      <c r="B3" s="4793"/>
      <c r="C3" s="4793"/>
      <c r="D3" s="4793"/>
      <c r="E3" s="4793"/>
      <c r="F3" s="4793"/>
      <c r="G3" s="4793"/>
      <c r="H3" s="4793"/>
      <c r="I3" s="4793"/>
      <c r="J3" s="4793"/>
      <c r="K3" s="4793"/>
      <c r="L3" s="4793"/>
      <c r="M3" s="4793"/>
      <c r="N3" s="4793"/>
      <c r="O3" s="4793"/>
      <c r="P3" s="4793"/>
      <c r="Q3" s="4793"/>
      <c r="R3" s="4793"/>
      <c r="S3" s="4793"/>
      <c r="T3" s="4793"/>
      <c r="U3" s="4793"/>
      <c r="V3" s="4793"/>
      <c r="W3" s="4794"/>
    </row>
    <row r="4" spans="1:23" x14ac:dyDescent="0.2">
      <c r="A4" s="5625" t="s">
        <v>6831</v>
      </c>
      <c r="B4" s="5626"/>
      <c r="C4" s="5626"/>
      <c r="D4" s="5626"/>
      <c r="E4" s="5626"/>
      <c r="F4" s="5626"/>
      <c r="G4" s="5626"/>
      <c r="H4" s="5626"/>
      <c r="I4" s="5626"/>
      <c r="J4" s="5626"/>
      <c r="K4" s="5626"/>
      <c r="L4" s="5626"/>
      <c r="M4" s="5626"/>
      <c r="N4" s="5626"/>
      <c r="O4" s="5626"/>
      <c r="P4" s="5626"/>
      <c r="Q4" s="5626"/>
      <c r="R4" s="5626"/>
      <c r="S4" s="5626"/>
      <c r="T4" s="5626"/>
      <c r="U4" s="5626"/>
      <c r="V4" s="5626"/>
      <c r="W4" s="5627"/>
    </row>
    <row r="5" spans="1:23" x14ac:dyDescent="0.2">
      <c r="A5" s="5625"/>
      <c r="B5" s="5626"/>
      <c r="C5" s="5626"/>
      <c r="D5" s="5626"/>
      <c r="E5" s="5626"/>
      <c r="F5" s="5626"/>
      <c r="G5" s="5626"/>
      <c r="H5" s="5626"/>
      <c r="I5" s="5626"/>
      <c r="J5" s="5626"/>
      <c r="K5" s="5626"/>
      <c r="L5" s="5626"/>
      <c r="M5" s="5626"/>
      <c r="N5" s="5626"/>
      <c r="O5" s="5626"/>
      <c r="P5" s="5626"/>
      <c r="Q5" s="5626"/>
      <c r="R5" s="5626"/>
      <c r="S5" s="5626"/>
      <c r="T5" s="5626"/>
      <c r="U5" s="5626"/>
      <c r="V5" s="5626"/>
      <c r="W5" s="5627"/>
    </row>
    <row r="6" spans="1:23" x14ac:dyDescent="0.2">
      <c r="A6" s="5628"/>
      <c r="B6" s="5629"/>
      <c r="C6" s="5629"/>
      <c r="D6" s="5629"/>
      <c r="E6" s="5629"/>
      <c r="F6" s="5629"/>
      <c r="G6" s="5629"/>
      <c r="H6" s="5629"/>
      <c r="I6" s="5629"/>
      <c r="J6" s="5629"/>
      <c r="K6" s="5629"/>
      <c r="L6" s="5629"/>
      <c r="M6" s="5629"/>
      <c r="N6" s="5629"/>
      <c r="O6" s="5629"/>
      <c r="P6" s="5629"/>
      <c r="Q6" s="5629"/>
      <c r="R6" s="5629"/>
      <c r="S6" s="5629"/>
      <c r="T6" s="5629"/>
      <c r="U6" s="5629"/>
      <c r="V6" s="5629"/>
      <c r="W6" s="5630"/>
    </row>
    <row r="7" spans="1:23" ht="16.149999999999999" customHeight="1" x14ac:dyDescent="0.2">
      <c r="A7" s="5631"/>
      <c r="B7" s="5632"/>
      <c r="C7" s="5632"/>
      <c r="D7" s="5632"/>
      <c r="E7" s="5632"/>
      <c r="F7" s="5632"/>
      <c r="G7" s="5632"/>
      <c r="H7" s="5632"/>
      <c r="I7" s="5632"/>
      <c r="J7" s="5632"/>
      <c r="K7" s="5632"/>
      <c r="L7" s="5632"/>
      <c r="M7" s="5632"/>
      <c r="N7" s="5632"/>
      <c r="O7" s="5632"/>
      <c r="P7" s="5632"/>
      <c r="Q7" s="5632"/>
      <c r="R7" s="5632"/>
      <c r="S7" s="5632"/>
      <c r="T7" s="5632"/>
      <c r="U7" s="5632"/>
      <c r="V7" s="5632"/>
      <c r="W7" s="5633"/>
    </row>
    <row r="8" spans="1:23" ht="16.149999999999999" customHeight="1" x14ac:dyDescent="0.2">
      <c r="A8" s="5631"/>
      <c r="B8" s="5632"/>
      <c r="C8" s="5632"/>
      <c r="D8" s="5632"/>
      <c r="E8" s="5632"/>
      <c r="F8" s="5632"/>
      <c r="G8" s="5632"/>
      <c r="H8" s="5632"/>
      <c r="I8" s="5632"/>
      <c r="J8" s="5632"/>
      <c r="K8" s="5632"/>
      <c r="L8" s="5632"/>
      <c r="M8" s="5632"/>
      <c r="N8" s="5632"/>
      <c r="O8" s="5632"/>
      <c r="P8" s="5632"/>
      <c r="Q8" s="5632"/>
      <c r="R8" s="5632"/>
      <c r="S8" s="5632"/>
      <c r="T8" s="5632"/>
      <c r="U8" s="5632"/>
      <c r="V8" s="5632"/>
      <c r="W8" s="5633"/>
    </row>
    <row r="9" spans="1:23" ht="16.149999999999999" customHeight="1" x14ac:dyDescent="0.2">
      <c r="A9" s="5631"/>
      <c r="B9" s="5632"/>
      <c r="C9" s="5632"/>
      <c r="D9" s="5632"/>
      <c r="E9" s="5632"/>
      <c r="F9" s="5632"/>
      <c r="G9" s="5632"/>
      <c r="H9" s="5632"/>
      <c r="I9" s="5632"/>
      <c r="J9" s="5632"/>
      <c r="K9" s="5632"/>
      <c r="L9" s="5632"/>
      <c r="M9" s="5632"/>
      <c r="N9" s="5632"/>
      <c r="O9" s="5632"/>
      <c r="P9" s="5632"/>
      <c r="Q9" s="5632"/>
      <c r="R9" s="5632"/>
      <c r="S9" s="5632"/>
      <c r="T9" s="5632"/>
      <c r="U9" s="5632"/>
      <c r="V9" s="5632"/>
      <c r="W9" s="5633"/>
    </row>
    <row r="10" spans="1:23" ht="16.149999999999999" customHeight="1" x14ac:dyDescent="0.2">
      <c r="A10" s="5631"/>
      <c r="B10" s="5632"/>
      <c r="C10" s="5632"/>
      <c r="D10" s="5632"/>
      <c r="E10" s="5632"/>
      <c r="F10" s="5632"/>
      <c r="G10" s="5632"/>
      <c r="H10" s="5632"/>
      <c r="I10" s="5632"/>
      <c r="J10" s="5632"/>
      <c r="K10" s="5632"/>
      <c r="L10" s="5632"/>
      <c r="M10" s="5632"/>
      <c r="N10" s="5632"/>
      <c r="O10" s="5632"/>
      <c r="P10" s="5632"/>
      <c r="Q10" s="5632"/>
      <c r="R10" s="5632"/>
      <c r="S10" s="5632"/>
      <c r="T10" s="5632"/>
      <c r="U10" s="5632"/>
      <c r="V10" s="5632"/>
      <c r="W10" s="5633"/>
    </row>
    <row r="11" spans="1:23" ht="16.149999999999999" customHeight="1" x14ac:dyDescent="0.2">
      <c r="A11" s="5631"/>
      <c r="B11" s="5632"/>
      <c r="C11" s="5632"/>
      <c r="D11" s="5632"/>
      <c r="E11" s="5632"/>
      <c r="F11" s="5632"/>
      <c r="G11" s="5632"/>
      <c r="H11" s="5632"/>
      <c r="I11" s="5632"/>
      <c r="J11" s="5632"/>
      <c r="K11" s="5632"/>
      <c r="L11" s="5632"/>
      <c r="M11" s="5632"/>
      <c r="N11" s="5632"/>
      <c r="O11" s="5632"/>
      <c r="P11" s="5632"/>
      <c r="Q11" s="5632"/>
      <c r="R11" s="5632"/>
      <c r="S11" s="5632"/>
      <c r="T11" s="5632"/>
      <c r="U11" s="5632"/>
      <c r="V11" s="5632"/>
      <c r="W11" s="5633"/>
    </row>
    <row r="12" spans="1:23" ht="16.149999999999999" customHeight="1" x14ac:dyDescent="0.2">
      <c r="A12" s="5631"/>
      <c r="B12" s="5632"/>
      <c r="C12" s="5632"/>
      <c r="D12" s="5632"/>
      <c r="E12" s="5632"/>
      <c r="F12" s="5632"/>
      <c r="G12" s="5632"/>
      <c r="H12" s="5632"/>
      <c r="I12" s="5632"/>
      <c r="J12" s="5632"/>
      <c r="K12" s="5632"/>
      <c r="L12" s="5632"/>
      <c r="M12" s="5632"/>
      <c r="N12" s="5632"/>
      <c r="O12" s="5632"/>
      <c r="P12" s="5632"/>
      <c r="Q12" s="5632"/>
      <c r="R12" s="5632"/>
      <c r="S12" s="5632"/>
      <c r="T12" s="5632"/>
      <c r="U12" s="5632"/>
      <c r="V12" s="5632"/>
      <c r="W12" s="5633"/>
    </row>
    <row r="13" spans="1:23" ht="16.149999999999999" customHeight="1" x14ac:dyDescent="0.2">
      <c r="A13" s="5631"/>
      <c r="B13" s="5632"/>
      <c r="C13" s="5632"/>
      <c r="D13" s="5632"/>
      <c r="E13" s="5632"/>
      <c r="F13" s="5632"/>
      <c r="G13" s="5632"/>
      <c r="H13" s="5632"/>
      <c r="I13" s="5632"/>
      <c r="J13" s="5632"/>
      <c r="K13" s="5632"/>
      <c r="L13" s="5632"/>
      <c r="M13" s="5632"/>
      <c r="N13" s="5632"/>
      <c r="O13" s="5632"/>
      <c r="P13" s="5632"/>
      <c r="Q13" s="5632"/>
      <c r="R13" s="5632"/>
      <c r="S13" s="5632"/>
      <c r="T13" s="5632"/>
      <c r="U13" s="5632"/>
      <c r="V13" s="5632"/>
      <c r="W13" s="5633"/>
    </row>
    <row r="14" spans="1:23" ht="16.149999999999999" customHeight="1" x14ac:dyDescent="0.2">
      <c r="A14" s="5631"/>
      <c r="B14" s="5632"/>
      <c r="C14" s="5632"/>
      <c r="D14" s="5632"/>
      <c r="E14" s="5632"/>
      <c r="F14" s="5632"/>
      <c r="G14" s="5632"/>
      <c r="H14" s="5632"/>
      <c r="I14" s="5632"/>
      <c r="J14" s="5632"/>
      <c r="K14" s="5632"/>
      <c r="L14" s="5632"/>
      <c r="M14" s="5632"/>
      <c r="N14" s="5632"/>
      <c r="O14" s="5632"/>
      <c r="P14" s="5632"/>
      <c r="Q14" s="5632"/>
      <c r="R14" s="5632"/>
      <c r="S14" s="5632"/>
      <c r="T14" s="5632"/>
      <c r="U14" s="5632"/>
      <c r="V14" s="5632"/>
      <c r="W14" s="5633"/>
    </row>
    <row r="15" spans="1:23" ht="16.149999999999999" customHeight="1" x14ac:dyDescent="0.2">
      <c r="A15" s="5631"/>
      <c r="B15" s="5632"/>
      <c r="C15" s="5632"/>
      <c r="D15" s="5632"/>
      <c r="E15" s="5632"/>
      <c r="F15" s="5632"/>
      <c r="G15" s="5632"/>
      <c r="H15" s="5632"/>
      <c r="I15" s="5632"/>
      <c r="J15" s="5632"/>
      <c r="K15" s="5632"/>
      <c r="L15" s="5632"/>
      <c r="M15" s="5632"/>
      <c r="N15" s="5632"/>
      <c r="O15" s="5632"/>
      <c r="P15" s="5632"/>
      <c r="Q15" s="5632"/>
      <c r="R15" s="5632"/>
      <c r="S15" s="5632"/>
      <c r="T15" s="5632"/>
      <c r="U15" s="5632"/>
      <c r="V15" s="5632"/>
      <c r="W15" s="5633"/>
    </row>
    <row r="16" spans="1:23" ht="16.149999999999999" customHeight="1" x14ac:dyDescent="0.2">
      <c r="A16" s="5631"/>
      <c r="B16" s="5632"/>
      <c r="C16" s="5632"/>
      <c r="D16" s="5632"/>
      <c r="E16" s="5632"/>
      <c r="F16" s="5632"/>
      <c r="G16" s="5632"/>
      <c r="H16" s="5632"/>
      <c r="I16" s="5632"/>
      <c r="J16" s="5632"/>
      <c r="K16" s="5632"/>
      <c r="L16" s="5632"/>
      <c r="M16" s="5632"/>
      <c r="N16" s="5632"/>
      <c r="O16" s="5632"/>
      <c r="P16" s="5632"/>
      <c r="Q16" s="5632"/>
      <c r="R16" s="5632"/>
      <c r="S16" s="5632"/>
      <c r="T16" s="5632"/>
      <c r="U16" s="5632"/>
      <c r="V16" s="5632"/>
      <c r="W16" s="5633"/>
    </row>
    <row r="17" spans="1:23" ht="16.149999999999999" customHeight="1" x14ac:dyDescent="0.2">
      <c r="A17" s="5631"/>
      <c r="B17" s="5632"/>
      <c r="C17" s="5632"/>
      <c r="D17" s="5632"/>
      <c r="E17" s="5632"/>
      <c r="F17" s="5632"/>
      <c r="G17" s="5632"/>
      <c r="H17" s="5632"/>
      <c r="I17" s="5632"/>
      <c r="J17" s="5632"/>
      <c r="K17" s="5632"/>
      <c r="L17" s="5632"/>
      <c r="M17" s="5632"/>
      <c r="N17" s="5632"/>
      <c r="O17" s="5632"/>
      <c r="P17" s="5632"/>
      <c r="Q17" s="5632"/>
      <c r="R17" s="5632"/>
      <c r="S17" s="5632"/>
      <c r="T17" s="5632"/>
      <c r="U17" s="5632"/>
      <c r="V17" s="5632"/>
      <c r="W17" s="5633"/>
    </row>
    <row r="18" spans="1:23" ht="16.149999999999999" customHeight="1" x14ac:dyDescent="0.2">
      <c r="A18" s="5631"/>
      <c r="B18" s="5632"/>
      <c r="C18" s="5632"/>
      <c r="D18" s="5632"/>
      <c r="E18" s="5632"/>
      <c r="F18" s="5632"/>
      <c r="G18" s="5632"/>
      <c r="H18" s="5632"/>
      <c r="I18" s="5632"/>
      <c r="J18" s="5632"/>
      <c r="K18" s="5632"/>
      <c r="L18" s="5632"/>
      <c r="M18" s="5632"/>
      <c r="N18" s="5632"/>
      <c r="O18" s="5632"/>
      <c r="P18" s="5632"/>
      <c r="Q18" s="5632"/>
      <c r="R18" s="5632"/>
      <c r="S18" s="5632"/>
      <c r="T18" s="5632"/>
      <c r="U18" s="5632"/>
      <c r="V18" s="5632"/>
      <c r="W18" s="5633"/>
    </row>
    <row r="19" spans="1:23" ht="16.149999999999999" customHeight="1" x14ac:dyDescent="0.2">
      <c r="A19" s="5631"/>
      <c r="B19" s="5632"/>
      <c r="C19" s="5632"/>
      <c r="D19" s="5632"/>
      <c r="E19" s="5632"/>
      <c r="F19" s="5632"/>
      <c r="G19" s="5632"/>
      <c r="H19" s="5632"/>
      <c r="I19" s="5632"/>
      <c r="J19" s="5632"/>
      <c r="K19" s="5632"/>
      <c r="L19" s="5632"/>
      <c r="M19" s="5632"/>
      <c r="N19" s="5632"/>
      <c r="O19" s="5632"/>
      <c r="P19" s="5632"/>
      <c r="Q19" s="5632"/>
      <c r="R19" s="5632"/>
      <c r="S19" s="5632"/>
      <c r="T19" s="5632"/>
      <c r="U19" s="5632"/>
      <c r="V19" s="5632"/>
      <c r="W19" s="5633"/>
    </row>
    <row r="20" spans="1:23" ht="16.149999999999999" customHeight="1" x14ac:dyDescent="0.2">
      <c r="A20" s="5631"/>
      <c r="B20" s="5632"/>
      <c r="C20" s="5632"/>
      <c r="D20" s="5632"/>
      <c r="E20" s="5632"/>
      <c r="F20" s="5632"/>
      <c r="G20" s="5632"/>
      <c r="H20" s="5632"/>
      <c r="I20" s="5632"/>
      <c r="J20" s="5632"/>
      <c r="K20" s="5632"/>
      <c r="L20" s="5632"/>
      <c r="M20" s="5632"/>
      <c r="N20" s="5632"/>
      <c r="O20" s="5632"/>
      <c r="P20" s="5632"/>
      <c r="Q20" s="5632"/>
      <c r="R20" s="5632"/>
      <c r="S20" s="5632"/>
      <c r="T20" s="5632"/>
      <c r="U20" s="5632"/>
      <c r="V20" s="5632"/>
      <c r="W20" s="5633"/>
    </row>
    <row r="21" spans="1:23" ht="16.149999999999999" customHeight="1" x14ac:dyDescent="0.2">
      <c r="A21" s="5631"/>
      <c r="B21" s="5632"/>
      <c r="C21" s="5632"/>
      <c r="D21" s="5632"/>
      <c r="E21" s="5632"/>
      <c r="F21" s="5632"/>
      <c r="G21" s="5632"/>
      <c r="H21" s="5632"/>
      <c r="I21" s="5632"/>
      <c r="J21" s="5632"/>
      <c r="K21" s="5632"/>
      <c r="L21" s="5632"/>
      <c r="M21" s="5632"/>
      <c r="N21" s="5632"/>
      <c r="O21" s="5632"/>
      <c r="P21" s="5632"/>
      <c r="Q21" s="5632"/>
      <c r="R21" s="5632"/>
      <c r="S21" s="5632"/>
      <c r="T21" s="5632"/>
      <c r="U21" s="5632"/>
      <c r="V21" s="5632"/>
      <c r="W21" s="5633"/>
    </row>
    <row r="22" spans="1:23" ht="16.149999999999999" customHeight="1" x14ac:dyDescent="0.2">
      <c r="A22" s="5631"/>
      <c r="B22" s="5632"/>
      <c r="C22" s="5632"/>
      <c r="D22" s="5632"/>
      <c r="E22" s="5632"/>
      <c r="F22" s="5632"/>
      <c r="G22" s="5632"/>
      <c r="H22" s="5632"/>
      <c r="I22" s="5632"/>
      <c r="J22" s="5632"/>
      <c r="K22" s="5632"/>
      <c r="L22" s="5632"/>
      <c r="M22" s="5632"/>
      <c r="N22" s="5632"/>
      <c r="O22" s="5632"/>
      <c r="P22" s="5632"/>
      <c r="Q22" s="5632"/>
      <c r="R22" s="5632"/>
      <c r="S22" s="5632"/>
      <c r="T22" s="5632"/>
      <c r="U22" s="5632"/>
      <c r="V22" s="5632"/>
      <c r="W22" s="5633"/>
    </row>
    <row r="23" spans="1:23" ht="16.149999999999999" customHeight="1" x14ac:dyDescent="0.2">
      <c r="A23" s="5631"/>
      <c r="B23" s="5632"/>
      <c r="C23" s="5632"/>
      <c r="D23" s="5632"/>
      <c r="E23" s="5632"/>
      <c r="F23" s="5632"/>
      <c r="G23" s="5632"/>
      <c r="H23" s="5632"/>
      <c r="I23" s="5632"/>
      <c r="J23" s="5632"/>
      <c r="K23" s="5632"/>
      <c r="L23" s="5632"/>
      <c r="M23" s="5632"/>
      <c r="N23" s="5632"/>
      <c r="O23" s="5632"/>
      <c r="P23" s="5632"/>
      <c r="Q23" s="5632"/>
      <c r="R23" s="5632"/>
      <c r="S23" s="5632"/>
      <c r="T23" s="5632"/>
      <c r="U23" s="5632"/>
      <c r="V23" s="5632"/>
      <c r="W23" s="5633"/>
    </row>
    <row r="24" spans="1:23" ht="16.149999999999999" customHeight="1" x14ac:dyDescent="0.2">
      <c r="A24" s="5631"/>
      <c r="B24" s="5632"/>
      <c r="C24" s="5632"/>
      <c r="D24" s="5632"/>
      <c r="E24" s="5632"/>
      <c r="F24" s="5632"/>
      <c r="G24" s="5632"/>
      <c r="H24" s="5632"/>
      <c r="I24" s="5632"/>
      <c r="J24" s="5632"/>
      <c r="K24" s="5632"/>
      <c r="L24" s="5632"/>
      <c r="M24" s="5632"/>
      <c r="N24" s="5632"/>
      <c r="O24" s="5632"/>
      <c r="P24" s="5632"/>
      <c r="Q24" s="5632"/>
      <c r="R24" s="5632"/>
      <c r="S24" s="5632"/>
      <c r="T24" s="5632"/>
      <c r="U24" s="5632"/>
      <c r="V24" s="5632"/>
      <c r="W24" s="5633"/>
    </row>
    <row r="25" spans="1:23" ht="16.149999999999999" customHeight="1" x14ac:dyDescent="0.2">
      <c r="A25" s="5631"/>
      <c r="B25" s="5632"/>
      <c r="C25" s="5632"/>
      <c r="D25" s="5632"/>
      <c r="E25" s="5632"/>
      <c r="F25" s="5632"/>
      <c r="G25" s="5632"/>
      <c r="H25" s="5632"/>
      <c r="I25" s="5632"/>
      <c r="J25" s="5632"/>
      <c r="K25" s="5632"/>
      <c r="L25" s="5632"/>
      <c r="M25" s="5632"/>
      <c r="N25" s="5632"/>
      <c r="O25" s="5632"/>
      <c r="P25" s="5632"/>
      <c r="Q25" s="5632"/>
      <c r="R25" s="5632"/>
      <c r="S25" s="5632"/>
      <c r="T25" s="5632"/>
      <c r="U25" s="5632"/>
      <c r="V25" s="5632"/>
      <c r="W25" s="5633"/>
    </row>
    <row r="26" spans="1:23" ht="16.149999999999999" customHeight="1" x14ac:dyDescent="0.2">
      <c r="A26" s="5631"/>
      <c r="B26" s="5632"/>
      <c r="C26" s="5632"/>
      <c r="D26" s="5632"/>
      <c r="E26" s="5632"/>
      <c r="F26" s="5632"/>
      <c r="G26" s="5632"/>
      <c r="H26" s="5632"/>
      <c r="I26" s="5632"/>
      <c r="J26" s="5632"/>
      <c r="K26" s="5632"/>
      <c r="L26" s="5632"/>
      <c r="M26" s="5632"/>
      <c r="N26" s="5632"/>
      <c r="O26" s="5632"/>
      <c r="P26" s="5632"/>
      <c r="Q26" s="5632"/>
      <c r="R26" s="5632"/>
      <c r="S26" s="5632"/>
      <c r="T26" s="5632"/>
      <c r="U26" s="5632"/>
      <c r="V26" s="5632"/>
      <c r="W26" s="5633"/>
    </row>
    <row r="27" spans="1:23" ht="16.149999999999999" customHeight="1" x14ac:dyDescent="0.2">
      <c r="A27" s="5631"/>
      <c r="B27" s="5632"/>
      <c r="C27" s="5632"/>
      <c r="D27" s="5632"/>
      <c r="E27" s="5632"/>
      <c r="F27" s="5632"/>
      <c r="G27" s="5632"/>
      <c r="H27" s="5632"/>
      <c r="I27" s="5632"/>
      <c r="J27" s="5632"/>
      <c r="K27" s="5632"/>
      <c r="L27" s="5632"/>
      <c r="M27" s="5632"/>
      <c r="N27" s="5632"/>
      <c r="O27" s="5632"/>
      <c r="P27" s="5632"/>
      <c r="Q27" s="5632"/>
      <c r="R27" s="5632"/>
      <c r="S27" s="5632"/>
      <c r="T27" s="5632"/>
      <c r="U27" s="5632"/>
      <c r="V27" s="5632"/>
      <c r="W27" s="5633"/>
    </row>
    <row r="28" spans="1:23" ht="14.25" x14ac:dyDescent="0.2">
      <c r="A28" s="168"/>
      <c r="B28" s="169"/>
      <c r="C28" s="169"/>
      <c r="D28" s="169"/>
      <c r="E28" s="169"/>
      <c r="F28" s="169"/>
      <c r="G28" s="169"/>
      <c r="H28" s="169"/>
      <c r="I28" s="169"/>
      <c r="J28" s="169"/>
      <c r="K28" s="169"/>
      <c r="L28" s="169"/>
      <c r="M28" s="169"/>
      <c r="N28" s="169"/>
      <c r="O28" s="169"/>
      <c r="P28" s="169"/>
      <c r="Q28" s="169"/>
      <c r="R28" s="169"/>
      <c r="S28" s="169"/>
      <c r="T28" s="169"/>
      <c r="U28" s="169"/>
      <c r="V28" s="169"/>
      <c r="W28" s="170"/>
    </row>
    <row r="29" spans="1:23" ht="15" x14ac:dyDescent="0.2">
      <c r="A29" s="4792" t="s">
        <v>6832</v>
      </c>
      <c r="B29" s="4793"/>
      <c r="C29" s="4793"/>
      <c r="D29" s="4793"/>
      <c r="E29" s="4793"/>
      <c r="F29" s="4793"/>
      <c r="G29" s="4793"/>
      <c r="H29" s="4793"/>
      <c r="I29" s="4793"/>
      <c r="J29" s="4793"/>
      <c r="K29" s="4793"/>
      <c r="L29" s="4793"/>
      <c r="M29" s="4793"/>
      <c r="N29" s="4793"/>
      <c r="O29" s="4793"/>
      <c r="P29" s="4793"/>
      <c r="Q29" s="4793"/>
      <c r="R29" s="4793"/>
      <c r="S29" s="4793"/>
      <c r="T29" s="4793"/>
      <c r="U29" s="4793"/>
      <c r="V29" s="4793"/>
      <c r="W29" s="4794"/>
    </row>
    <row r="30" spans="1:23" ht="6" customHeight="1" x14ac:dyDescent="0.2">
      <c r="A30" s="1039"/>
      <c r="B30" s="118"/>
      <c r="C30" s="118"/>
      <c r="D30" s="118"/>
      <c r="E30" s="118"/>
      <c r="F30" s="118"/>
      <c r="G30" s="118"/>
      <c r="H30" s="118"/>
      <c r="I30" s="118"/>
      <c r="J30" s="118"/>
      <c r="K30" s="118"/>
      <c r="L30" s="118"/>
      <c r="M30" s="118"/>
      <c r="N30" s="118"/>
      <c r="O30" s="118"/>
      <c r="P30" s="118"/>
      <c r="Q30" s="118"/>
      <c r="R30" s="118"/>
      <c r="S30" s="118"/>
      <c r="T30" s="118"/>
      <c r="U30" s="118"/>
      <c r="V30" s="118"/>
      <c r="W30" s="1040"/>
    </row>
    <row r="31" spans="1:23" ht="29.25" customHeight="1" x14ac:dyDescent="0.2">
      <c r="A31" s="5694" t="s">
        <v>4670</v>
      </c>
      <c r="B31" s="5695"/>
      <c r="C31" s="5695"/>
      <c r="D31" s="5695"/>
      <c r="E31" s="5695"/>
      <c r="F31" s="5695"/>
      <c r="G31" s="5695"/>
      <c r="H31" s="5695"/>
      <c r="I31" s="5695"/>
      <c r="J31" s="5695"/>
      <c r="K31" s="5695"/>
      <c r="L31" s="5695"/>
      <c r="M31" s="5695"/>
      <c r="N31" s="5695"/>
      <c r="O31" s="5695"/>
      <c r="P31" s="5695"/>
      <c r="Q31" s="5695"/>
      <c r="R31" s="5695"/>
      <c r="S31" s="5695"/>
      <c r="T31" s="5695"/>
      <c r="U31" s="5695"/>
      <c r="V31" s="5695"/>
      <c r="W31" s="5696"/>
    </row>
    <row r="32" spans="1:23" ht="24" customHeight="1" x14ac:dyDescent="0.2">
      <c r="A32" s="5688" t="str">
        <f>IF(NM="","",NM)</f>
      </c>
      <c r="B32" s="5689"/>
      <c r="C32" s="5689"/>
      <c r="D32" s="5689"/>
      <c r="E32" s="5689"/>
      <c r="F32" s="5689"/>
      <c r="G32" s="5689"/>
      <c r="H32" s="5689"/>
      <c r="I32" s="5689"/>
      <c r="J32" s="5689"/>
      <c r="K32" s="5689"/>
      <c r="L32" s="5689"/>
      <c r="M32" s="5689"/>
      <c r="N32" s="5689"/>
      <c r="O32" s="5689"/>
      <c r="P32" s="5689"/>
      <c r="Q32" s="5689"/>
      <c r="R32" s="5689"/>
      <c r="S32" s="5689"/>
      <c r="T32" s="5689"/>
      <c r="U32" s="5689"/>
      <c r="V32" s="5689"/>
      <c r="W32" s="5690"/>
    </row>
    <row r="33" spans="1:27" x14ac:dyDescent="0.2">
      <c r="A33" s="5691"/>
      <c r="B33" s="5692"/>
      <c r="C33" s="5692"/>
      <c r="D33" s="5692"/>
      <c r="E33" s="5692"/>
      <c r="F33" s="5692"/>
      <c r="G33" s="5692"/>
      <c r="H33" s="5692"/>
      <c r="I33" s="5692"/>
      <c r="J33" s="5692"/>
      <c r="K33" s="5692"/>
      <c r="L33" s="5692"/>
      <c r="M33" s="5692"/>
      <c r="N33" s="5692"/>
      <c r="O33" s="5692"/>
      <c r="P33" s="5692"/>
      <c r="Q33" s="5692"/>
      <c r="R33" s="5692"/>
      <c r="S33" s="5692"/>
      <c r="T33" s="5692"/>
      <c r="U33" s="5692"/>
      <c r="V33" s="5692"/>
      <c r="W33" s="5693"/>
    </row>
    <row r="34" spans="1:27" ht="6" customHeight="1" x14ac:dyDescent="0.2">
      <c r="A34" s="1041"/>
      <c r="B34" s="1042"/>
      <c r="C34" s="153"/>
      <c r="D34" s="153"/>
      <c r="E34" s="153"/>
      <c r="F34" s="153"/>
      <c r="G34" s="153"/>
      <c r="H34" s="153"/>
      <c r="I34" s="153"/>
      <c r="J34" s="153"/>
      <c r="K34" s="153"/>
      <c r="L34" s="153"/>
      <c r="M34" s="153"/>
      <c r="N34" s="153"/>
      <c r="O34" s="153"/>
      <c r="P34" s="153"/>
      <c r="Q34" s="153"/>
      <c r="R34" s="153"/>
      <c r="S34" s="153"/>
      <c r="T34" s="153"/>
      <c r="U34" s="153"/>
      <c r="V34" s="153"/>
      <c r="W34" s="154"/>
    </row>
    <row r="35" spans="1:27" x14ac:dyDescent="0.2">
      <c r="A35" s="158" t="s">
        <v>6047</v>
      </c>
      <c r="B35" s="153"/>
      <c r="C35" s="153"/>
      <c r="D35" s="153"/>
      <c r="E35" s="153"/>
      <c r="F35" s="153"/>
      <c r="G35" s="153"/>
      <c r="H35" s="153"/>
      <c r="I35" s="153"/>
      <c r="J35" s="153"/>
      <c r="K35" s="153"/>
      <c r="L35" s="153"/>
      <c r="M35" s="153"/>
      <c r="N35" s="153"/>
      <c r="O35" s="153"/>
      <c r="P35" s="153"/>
      <c r="Q35" s="153"/>
      <c r="R35" s="153"/>
      <c r="S35" s="153"/>
      <c r="T35" s="153"/>
      <c r="U35" s="153"/>
      <c r="V35" s="153"/>
      <c r="W35" s="154"/>
    </row>
    <row r="36" spans="1:27" x14ac:dyDescent="0.2">
      <c r="A36" s="5685" t="s">
        <v>6376</v>
      </c>
      <c r="B36" s="5685"/>
      <c r="C36" s="5685"/>
      <c r="D36" s="5685"/>
      <c r="E36" s="5685"/>
      <c r="F36" s="5685"/>
      <c r="G36" s="5685"/>
      <c r="H36" s="5685"/>
      <c r="I36" s="5685"/>
      <c r="J36" s="5033" t="s">
        <v>6377</v>
      </c>
      <c r="K36" s="5686"/>
      <c r="L36" s="5686"/>
      <c r="M36" s="5686"/>
      <c r="N36" s="5034"/>
      <c r="O36" s="5687" t="s">
        <v>6522</v>
      </c>
      <c r="P36" s="5687"/>
      <c r="Q36" s="5687"/>
      <c r="R36" s="5687"/>
      <c r="S36" s="5687"/>
      <c r="T36" s="5687"/>
      <c r="U36" s="5682" t="s">
        <v>6523</v>
      </c>
      <c r="V36" s="5683"/>
      <c r="W36" s="5684"/>
      <c r="AA36" s="74">
        <f>DATE(ya-2,1,1)</f>
      </c>
    </row>
    <row r="37" spans="1:27" ht="14.25" x14ac:dyDescent="0.2">
      <c r="A37" s="5676"/>
      <c r="B37" s="5676"/>
      <c r="C37" s="5676"/>
      <c r="D37" s="5676"/>
      <c r="E37" s="5676"/>
      <c r="F37" s="5676"/>
      <c r="G37" s="5676"/>
      <c r="H37" s="5676"/>
      <c r="I37" s="5677"/>
      <c r="J37" s="5676" t="s">
        <v>10804</v>
      </c>
      <c r="K37" s="5676"/>
      <c r="L37" s="5676"/>
      <c r="M37" s="5676"/>
      <c r="N37" s="5677"/>
      <c r="O37" s="155"/>
      <c r="P37" s="156"/>
      <c r="Q37" s="156"/>
      <c r="R37" s="156"/>
      <c r="S37" s="156"/>
      <c r="T37" s="165"/>
      <c r="U37" s="5640"/>
      <c r="V37" s="5641"/>
      <c r="W37" s="5642"/>
      <c r="X37" s="29">
        <f>IF(ISBLANK(A37),1,0)</f>
      </c>
      <c r="AA37" s="74">
        <f ca="1">TODAY()</f>
      </c>
    </row>
    <row r="38" spans="1:27" x14ac:dyDescent="0.2">
      <c r="A38" s="5678"/>
      <c r="B38" s="5678"/>
      <c r="C38" s="5678"/>
      <c r="D38" s="5678"/>
      <c r="E38" s="5678"/>
      <c r="F38" s="5678"/>
      <c r="G38" s="5678"/>
      <c r="H38" s="5678"/>
      <c r="I38" s="5679"/>
      <c r="J38" s="5678"/>
      <c r="K38" s="5678"/>
      <c r="L38" s="5678"/>
      <c r="M38" s="5678"/>
      <c r="N38" s="5679"/>
      <c r="O38" s="1043"/>
      <c r="P38" s="1044"/>
      <c r="Q38" s="1044"/>
      <c r="R38" s="1044"/>
      <c r="S38" s="1044"/>
      <c r="T38" s="1044"/>
      <c r="U38" s="5643"/>
      <c r="V38" s="5644"/>
      <c r="W38" s="5645"/>
      <c r="X38" s="29">
        <f>IF(ISBLANK(J37),1,0)</f>
      </c>
    </row>
    <row r="39" spans="1:27" x14ac:dyDescent="0.2">
      <c r="A39" s="5680"/>
      <c r="B39" s="5680"/>
      <c r="C39" s="5680"/>
      <c r="D39" s="5680"/>
      <c r="E39" s="5680"/>
      <c r="F39" s="5680"/>
      <c r="G39" s="5680"/>
      <c r="H39" s="5680"/>
      <c r="I39" s="5681"/>
      <c r="J39" s="5680"/>
      <c r="K39" s="5680"/>
      <c r="L39" s="5680"/>
      <c r="M39" s="5680"/>
      <c r="N39" s="5681"/>
      <c r="O39" s="1045"/>
      <c r="P39" s="1046"/>
      <c r="Q39" s="1046"/>
      <c r="R39" s="1046"/>
      <c r="S39" s="1046"/>
      <c r="T39" s="1046"/>
      <c r="U39" s="5673" t="s">
        <v>2818</v>
      </c>
      <c r="V39" s="5674"/>
      <c r="W39" s="5675"/>
      <c r="X39" s="29">
        <f>IF(ISBLANK(U37),1,0)</f>
      </c>
    </row>
    <row r="40" spans="1:27" ht="4.5" customHeight="1" x14ac:dyDescent="0.2">
      <c r="A40" s="16"/>
      <c r="B40" s="17"/>
      <c r="C40" s="17"/>
      <c r="D40" s="17"/>
      <c r="E40" s="17"/>
      <c r="F40" s="17"/>
      <c r="G40" s="17"/>
      <c r="H40" s="17"/>
      <c r="I40" s="17"/>
      <c r="J40" s="17"/>
      <c r="K40" s="17"/>
      <c r="L40" s="17"/>
      <c r="M40" s="17"/>
      <c r="N40" s="157"/>
      <c r="O40" s="17"/>
      <c r="P40" s="17"/>
      <c r="Q40" s="17"/>
      <c r="R40" s="17"/>
      <c r="S40" s="17"/>
      <c r="T40" s="17"/>
      <c r="U40" s="17"/>
      <c r="V40" s="17"/>
      <c r="W40" s="144"/>
      <c r="X40" s="29"/>
    </row>
    <row r="41" spans="1:27" x14ac:dyDescent="0.2">
      <c r="A41" s="5637" t="s">
        <v>6524</v>
      </c>
      <c r="B41" s="5638"/>
      <c r="C41" s="5638"/>
      <c r="D41" s="5638"/>
      <c r="E41" s="5638"/>
      <c r="F41" s="5638"/>
      <c r="G41" s="5638"/>
      <c r="H41" s="5638"/>
      <c r="I41" s="5638"/>
      <c r="J41" s="5638"/>
      <c r="K41" s="5638"/>
      <c r="L41" s="5638"/>
      <c r="M41" s="5638"/>
      <c r="N41" s="5638"/>
      <c r="O41" s="5638"/>
      <c r="P41" s="5638"/>
      <c r="Q41" s="5638"/>
      <c r="R41" s="5638"/>
      <c r="S41" s="5638"/>
      <c r="T41" s="5638"/>
      <c r="U41" s="5638"/>
      <c r="V41" s="5638"/>
      <c r="W41" s="5639"/>
    </row>
    <row r="42" spans="1:27" x14ac:dyDescent="0.2">
      <c r="A42" s="5661" t="s">
        <v>6525</v>
      </c>
      <c r="B42" s="5662"/>
      <c r="C42" s="5662"/>
      <c r="D42" s="5662"/>
      <c r="E42" s="5662"/>
      <c r="F42" s="5662"/>
      <c r="G42" s="5662"/>
      <c r="H42" s="5662"/>
      <c r="I42" s="5663"/>
      <c r="J42" s="5658" t="s">
        <v>3152</v>
      </c>
      <c r="K42" s="5659"/>
      <c r="L42" s="5659"/>
      <c r="M42" s="5659"/>
      <c r="N42" s="5659"/>
      <c r="O42" s="5659"/>
      <c r="P42" s="5659"/>
      <c r="Q42" s="5659"/>
      <c r="R42" s="5659"/>
      <c r="S42" s="5659"/>
      <c r="T42" s="5659"/>
      <c r="U42" s="5659"/>
      <c r="V42" s="5659"/>
      <c r="W42" s="5660"/>
    </row>
    <row r="43" spans="1:27" x14ac:dyDescent="0.2">
      <c r="A43" s="5664"/>
      <c r="B43" s="5665"/>
      <c r="C43" s="5665"/>
      <c r="D43" s="5665"/>
      <c r="E43" s="5665"/>
      <c r="F43" s="5665"/>
      <c r="G43" s="5665"/>
      <c r="H43" s="5665"/>
      <c r="I43" s="5666"/>
      <c r="J43" s="5646"/>
      <c r="K43" s="5647"/>
      <c r="L43" s="5647"/>
      <c r="M43" s="5647"/>
      <c r="N43" s="5647"/>
      <c r="O43" s="5647"/>
      <c r="P43" s="5647"/>
      <c r="Q43" s="5647"/>
      <c r="R43" s="5647"/>
      <c r="S43" s="5647"/>
      <c r="T43" s="5647"/>
      <c r="U43" s="5647"/>
      <c r="V43" s="5647"/>
      <c r="W43" s="5648"/>
    </row>
    <row r="44" spans="1:27" x14ac:dyDescent="0.2">
      <c r="A44" s="5667"/>
      <c r="B44" s="5668"/>
      <c r="C44" s="5668"/>
      <c r="D44" s="5668"/>
      <c r="E44" s="5668"/>
      <c r="F44" s="5668"/>
      <c r="G44" s="5668"/>
      <c r="H44" s="5668"/>
      <c r="I44" s="5669"/>
      <c r="J44" s="5649"/>
      <c r="K44" s="5650"/>
      <c r="L44" s="5650"/>
      <c r="M44" s="5650"/>
      <c r="N44" s="5650"/>
      <c r="O44" s="5650"/>
      <c r="P44" s="5650"/>
      <c r="Q44" s="5650"/>
      <c r="R44" s="5650"/>
      <c r="S44" s="5650"/>
      <c r="T44" s="5650"/>
      <c r="U44" s="5650"/>
      <c r="V44" s="5650"/>
      <c r="W44" s="5651"/>
      <c r="X44" s="29">
        <f>IF(ISBLANK(A43),1,0)</f>
      </c>
    </row>
    <row r="45" spans="1:27" x14ac:dyDescent="0.2">
      <c r="A45" s="5670"/>
      <c r="B45" s="5671"/>
      <c r="C45" s="5671"/>
      <c r="D45" s="5671"/>
      <c r="E45" s="5671"/>
      <c r="F45" s="5671"/>
      <c r="G45" s="5671"/>
      <c r="H45" s="5671"/>
      <c r="I45" s="5672"/>
      <c r="J45" s="5652"/>
      <c r="K45" s="5653"/>
      <c r="L45" s="5653"/>
      <c r="M45" s="5653"/>
      <c r="N45" s="5653"/>
      <c r="O45" s="5653"/>
      <c r="P45" s="5653"/>
      <c r="Q45" s="5653"/>
      <c r="R45" s="5653"/>
      <c r="S45" s="5653"/>
      <c r="T45" s="5653"/>
      <c r="U45" s="5653"/>
      <c r="V45" s="5653"/>
      <c r="W45" s="5654"/>
    </row>
    <row r="46" spans="1:27" x14ac:dyDescent="0.2">
      <c r="A46" s="158"/>
      <c r="B46" s="153"/>
      <c r="C46" s="153"/>
      <c r="D46" s="153"/>
      <c r="E46" s="153"/>
      <c r="F46" s="153"/>
      <c r="G46" s="153"/>
      <c r="H46" s="153"/>
      <c r="I46" s="153"/>
      <c r="J46" s="153"/>
      <c r="K46" s="153"/>
      <c r="L46" s="153"/>
      <c r="M46" s="153"/>
      <c r="N46" s="153"/>
      <c r="O46" s="153"/>
      <c r="P46" s="153"/>
      <c r="Q46" s="153"/>
      <c r="R46" s="153"/>
      <c r="S46" s="153"/>
      <c r="T46" s="153"/>
      <c r="U46" s="153"/>
      <c r="V46" s="153"/>
      <c r="W46" s="154"/>
    </row>
    <row r="47" spans="1:27" x14ac:dyDescent="0.2">
      <c r="A47" s="5655" t="s">
        <v>5194</v>
      </c>
      <c r="B47" s="5656"/>
      <c r="C47" s="5656"/>
      <c r="D47" s="5656"/>
      <c r="E47" s="5656"/>
      <c r="F47" s="5656"/>
      <c r="G47" s="5656"/>
      <c r="H47" s="5656"/>
      <c r="I47" s="5656"/>
      <c r="J47" s="5656"/>
      <c r="K47" s="5656"/>
      <c r="L47" s="5656"/>
      <c r="M47" s="5656"/>
      <c r="N47" s="5656"/>
      <c r="O47" s="5656"/>
      <c r="P47" s="5656"/>
      <c r="Q47" s="5656"/>
      <c r="R47" s="5656"/>
      <c r="S47" s="5656"/>
      <c r="T47" s="5656"/>
      <c r="U47" s="5656"/>
      <c r="V47" s="5656"/>
      <c r="W47" s="5657"/>
    </row>
    <row r="48" spans="1:27" ht="25.5" customHeight="1" x14ac:dyDescent="0.2">
      <c r="A48" s="5655"/>
      <c r="B48" s="5656"/>
      <c r="C48" s="5656"/>
      <c r="D48" s="5656"/>
      <c r="E48" s="5656"/>
      <c r="F48" s="5656"/>
      <c r="G48" s="5656"/>
      <c r="H48" s="5656"/>
      <c r="I48" s="5656"/>
      <c r="J48" s="5656"/>
      <c r="K48" s="5656"/>
      <c r="L48" s="5656"/>
      <c r="M48" s="5656"/>
      <c r="N48" s="5656"/>
      <c r="O48" s="5656"/>
      <c r="P48" s="5656"/>
      <c r="Q48" s="5656"/>
      <c r="R48" s="5656"/>
      <c r="S48" s="5656"/>
      <c r="T48" s="5656"/>
      <c r="U48" s="5656"/>
      <c r="V48" s="5656"/>
      <c r="W48" s="5657"/>
    </row>
    <row r="49" spans="1:24" x14ac:dyDescent="0.2">
      <c r="A49" s="5634" t="s">
        <v>5199</v>
      </c>
      <c r="B49" s="5635"/>
      <c r="C49" s="5635"/>
      <c r="D49" s="5635"/>
      <c r="E49" s="5635"/>
      <c r="F49" s="5635"/>
      <c r="G49" s="5635"/>
      <c r="H49" s="5635"/>
      <c r="I49" s="5635"/>
      <c r="J49" s="5635"/>
      <c r="K49" s="5635"/>
      <c r="L49" s="5635"/>
      <c r="M49" s="5635"/>
      <c r="N49" s="5635"/>
      <c r="O49" s="5635"/>
      <c r="P49" s="5635"/>
      <c r="Q49" s="5635"/>
      <c r="R49" s="5635"/>
      <c r="S49" s="5635"/>
      <c r="T49" s="5635"/>
      <c r="U49" s="5635"/>
      <c r="V49" s="5635"/>
      <c r="W49" s="5636"/>
    </row>
    <row r="50" spans="1:24" x14ac:dyDescent="0.2">
      <c r="A50" s="5634"/>
      <c r="B50" s="5635"/>
      <c r="C50" s="5635"/>
      <c r="D50" s="5635"/>
      <c r="E50" s="5635"/>
      <c r="F50" s="5635"/>
      <c r="G50" s="5635"/>
      <c r="H50" s="5635"/>
      <c r="I50" s="5635"/>
      <c r="J50" s="5635"/>
      <c r="K50" s="5635"/>
      <c r="L50" s="5635"/>
      <c r="M50" s="5635"/>
      <c r="N50" s="5635"/>
      <c r="O50" s="5635"/>
      <c r="P50" s="5635"/>
      <c r="Q50" s="5635"/>
      <c r="R50" s="5635"/>
      <c r="S50" s="5635"/>
      <c r="T50" s="5635"/>
      <c r="U50" s="5635"/>
      <c r="V50" s="5635"/>
      <c r="W50" s="5636"/>
    </row>
    <row r="51" spans="1:24" x14ac:dyDescent="0.2">
      <c r="A51" s="159"/>
      <c r="B51" s="160"/>
      <c r="C51" s="160"/>
      <c r="D51" s="160"/>
      <c r="E51" s="160"/>
      <c r="F51" s="160"/>
      <c r="G51" s="160"/>
      <c r="H51" s="160"/>
      <c r="I51" s="160"/>
      <c r="J51" s="160"/>
      <c r="K51" s="160"/>
      <c r="L51" s="160"/>
      <c r="M51" s="160"/>
      <c r="N51" s="160"/>
      <c r="O51" s="160"/>
      <c r="P51" s="160"/>
      <c r="Q51" s="160"/>
      <c r="R51" s="160"/>
      <c r="S51" s="160"/>
      <c r="T51" s="160"/>
      <c r="U51" s="160"/>
      <c r="V51" s="160"/>
      <c r="W51" s="161"/>
      <c r="X51" s="29">
        <f>X44+X38+X37+X39</f>
      </c>
    </row>
    <row r="52" spans="1:24" ht="5.25" customHeight="1" x14ac:dyDescent="0.2">
      <c r="X52" s="29">
        <f>IF(X51&lt;&gt;0,100,1)</f>
      </c>
    </row>
    <row r="53" spans="1:24" x14ac:dyDescent="0.2"/>
  </sheetData>
  <sheetProtection algorithmName="SHA-512" hashValue="ww0gwSUnbRlEnQ+25k/kxSvnIyVHqrd64TfrEIdiCQF1LO7wDpTT8rwcgfu+tbjiIEjtwxrg07F2o17i85xPLg==" saltValue="BmS9miCwrm4eJcCY9wph1w==" spinCount="100000" sheet="1" objects="1" scenarios="1"/>
  <customSheetViews>
    <customSheetView guid="{99B5278F-6EA9-4B1A-8623-27A4DF4AD5E4}" showGridLines="0" hiddenRows="1" hiddenColumns="1">
      <selection activeCell="A7" sqref="A7:W7"/>
      <pageMargins left="0.47" right="0.75" top="0.28999999999999998" bottom="1" header="0.23" footer="0.5"/>
      <pageSetup paperSize="9" orientation="portrait" horizontalDpi="300" verticalDpi="300" r:id="rId1"/>
      <headerFooter alignWithMargins="0">
        <oddFooter>&amp;LIRD - Malta&amp;RPage 8</oddFooter>
      </headerFooter>
    </customSheetView>
  </customSheetViews>
  <mergeCells count="43">
    <mergeCell ref="A20:W20"/>
    <mergeCell ref="U36:W36"/>
    <mergeCell ref="A36:I36"/>
    <mergeCell ref="J36:N36"/>
    <mergeCell ref="O36:T36"/>
    <mergeCell ref="A26:W26"/>
    <mergeCell ref="A22:W22"/>
    <mergeCell ref="A27:W27"/>
    <mergeCell ref="A24:W24"/>
    <mergeCell ref="A32:W33"/>
    <mergeCell ref="A31:W31"/>
    <mergeCell ref="A29:W29"/>
    <mergeCell ref="A21:W21"/>
    <mergeCell ref="A25:W25"/>
    <mergeCell ref="A23:W23"/>
    <mergeCell ref="A14:W14"/>
    <mergeCell ref="A19:W19"/>
    <mergeCell ref="A18:W18"/>
    <mergeCell ref="A16:W16"/>
    <mergeCell ref="A17:W17"/>
    <mergeCell ref="A15:W15"/>
    <mergeCell ref="A49:W50"/>
    <mergeCell ref="A41:W41"/>
    <mergeCell ref="U37:W38"/>
    <mergeCell ref="J43:W45"/>
    <mergeCell ref="A47:W48"/>
    <mergeCell ref="J42:W42"/>
    <mergeCell ref="A42:I42"/>
    <mergeCell ref="A43:I45"/>
    <mergeCell ref="U39:W39"/>
    <mergeCell ref="A37:I39"/>
    <mergeCell ref="J37:N39"/>
    <mergeCell ref="A1:V1"/>
    <mergeCell ref="A2:F2"/>
    <mergeCell ref="A3:W3"/>
    <mergeCell ref="A4:W6"/>
    <mergeCell ref="A13:W13"/>
    <mergeCell ref="A12:W12"/>
    <mergeCell ref="A11:W11"/>
    <mergeCell ref="A8:W8"/>
    <mergeCell ref="A7:W7"/>
    <mergeCell ref="A9:W9"/>
    <mergeCell ref="A10:W10"/>
  </mergeCells>
  <phoneticPr fontId="0" type="noConversion"/>
  <conditionalFormatting sqref="A36:I36">
    <cfRule type="expression" dxfId="4" priority="2966" stopIfTrue="1">
      <formula>$A$37=$X$1</formula>
    </cfRule>
  </conditionalFormatting>
  <conditionalFormatting sqref="A42:I42">
    <cfRule type="expression" dxfId="3" priority="2" stopIfTrue="1">
      <formula>$A$43=$X$1</formula>
    </cfRule>
  </conditionalFormatting>
  <conditionalFormatting sqref="J36:N36">
    <cfRule type="expression" dxfId="2" priority="4" stopIfTrue="1">
      <formula>$J$37=$X$1</formula>
    </cfRule>
  </conditionalFormatting>
  <conditionalFormatting sqref="Q2:W2">
    <cfRule type="expression" dxfId="1" priority="6" stopIfTrue="1">
      <formula>fisc&gt;0</formula>
    </cfRule>
  </conditionalFormatting>
  <conditionalFormatting sqref="U36:W36">
    <cfRule type="expression" dxfId="0" priority="5" stopIfTrue="1">
      <formula>$U$37=$X$1</formula>
    </cfRule>
  </conditionalFormatting>
  <dataValidations count="3">
    <dataValidation type="textLength" operator="equal" allowBlank="1" showInputMessage="1" showErrorMessage="1" sqref="U39" xr:uid="{00000000-0002-0000-7900-000000000000}">
      <formula1>10</formula1>
    </dataValidation>
    <dataValidation type="date" allowBlank="1" showInputMessage="1" showErrorMessage="1" errorTitle="Date" error="Please enter a valid date in the format_x000a_dd/mm/yyyy!" sqref="U37:W38" xr:uid="{00000000-0002-0000-7900-000001000000}">
      <formula1>AA36</formula1>
      <formula2>AA37</formula2>
    </dataValidation>
    <dataValidation type="textLength" operator="lessThanOrEqual" allowBlank="1" showInputMessage="1" showErrorMessage="1" errorTitle="Text length" error="Restricted to 100 characters per line!" sqref="A7:W27" xr:uid="{00000000-0002-0000-7900-000002000000}">
      <formula1>100</formula1>
    </dataValidation>
  </dataValidations>
  <hyperlinks>
    <hyperlink ref="A2" location="Index!A1" display="Index!A1" xr:uid="{00000000-0004-0000-7900-000000000000}"/>
    <hyperlink ref="A2:F2" location="Index!b52" display="Index!b52" xr:uid="{00000000-0004-0000-7900-000001000000}"/>
  </hyperlinks>
  <printOptions horizontalCentered="1"/>
  <pageMargins left="0.23622047244094491" right="0.23622047244094491" top="0.27559055118110237" bottom="0.98425196850393704" header="0.23622047244094491" footer="0.51181102362204722"/>
  <pageSetup paperSize="9" orientation="portrait" r:id="rId2"/>
  <headerFooter alignWithMargins="0">
    <oddFooter>&amp;LCfR - Malta&amp;RPage 8</oddFooter>
  </headerFooter>
  <legacyDrawing r:id="rId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07"/>
  <dimension ref="A1:AB43"/>
  <sheetViews>
    <sheetView topLeftCell="J1" workbookViewId="0">
      <selection activeCell="AB2" sqref="AB2"/>
    </sheetView>
  </sheetViews>
  <sheetFormatPr defaultRowHeight="12.75" x14ac:dyDescent="0.2"/>
  <cols>
    <col min="1" max="1" width="24.42578125" hidden="1" customWidth="1"/>
    <col min="2" max="9" width="0" hidden="1" customWidth="1"/>
    <col min="12" max="12" width="18.5703125" bestFit="1" customWidth="1"/>
    <col min="13" max="13" width="24.42578125" bestFit="1" customWidth="1"/>
    <col min="15" max="15" width="10.7109375" customWidth="1"/>
    <col min="16" max="16" width="10.42578125" bestFit="1" customWidth="1"/>
    <col min="17" max="17" width="10.7109375" style="2864" bestFit="1" customWidth="1"/>
    <col min="18" max="18" width="13" style="2394" bestFit="1" customWidth="1"/>
    <col min="19" max="19" width="10.42578125" customWidth="1"/>
    <col min="21" max="23" width="0" hidden="1" customWidth="1"/>
    <col min="27" max="27" width="48.42578125" bestFit="1" customWidth="1"/>
    <col min="257" max="257" width="24.42578125" bestFit="1" customWidth="1"/>
    <col min="268" max="268" width="18.5703125" bestFit="1" customWidth="1"/>
    <col min="269" max="269" width="24.42578125" bestFit="1" customWidth="1"/>
    <col min="272" max="272" width="9.7109375" bestFit="1" customWidth="1"/>
    <col min="274" max="274" width="10.42578125" bestFit="1" customWidth="1"/>
    <col min="513" max="513" width="24.42578125" bestFit="1" customWidth="1"/>
    <col min="524" max="524" width="18.5703125" bestFit="1" customWidth="1"/>
    <col min="525" max="525" width="24.42578125" bestFit="1" customWidth="1"/>
    <col min="528" max="528" width="9.7109375" bestFit="1" customWidth="1"/>
    <col min="530" max="530" width="10.42578125" bestFit="1" customWidth="1"/>
    <col min="769" max="769" width="24.42578125" bestFit="1" customWidth="1"/>
    <col min="780" max="780" width="18.5703125" bestFit="1" customWidth="1"/>
    <col min="781" max="781" width="24.42578125" bestFit="1" customWidth="1"/>
    <col min="784" max="784" width="9.7109375" bestFit="1" customWidth="1"/>
    <col min="786" max="786" width="10.42578125" bestFit="1" customWidth="1"/>
    <col min="1025" max="1025" width="24.42578125" bestFit="1" customWidth="1"/>
    <col min="1036" max="1036" width="18.5703125" bestFit="1" customWidth="1"/>
    <col min="1037" max="1037" width="24.42578125" bestFit="1" customWidth="1"/>
    <col min="1040" max="1040" width="9.7109375" bestFit="1" customWidth="1"/>
    <col min="1042" max="1042" width="10.42578125" bestFit="1" customWidth="1"/>
    <col min="1281" max="1281" width="24.42578125" bestFit="1" customWidth="1"/>
    <col min="1292" max="1292" width="18.5703125" bestFit="1" customWidth="1"/>
    <col min="1293" max="1293" width="24.42578125" bestFit="1" customWidth="1"/>
    <col min="1296" max="1296" width="9.7109375" bestFit="1" customWidth="1"/>
    <col min="1298" max="1298" width="10.42578125" bestFit="1" customWidth="1"/>
    <col min="1537" max="1537" width="24.42578125" bestFit="1" customWidth="1"/>
    <col min="1548" max="1548" width="18.5703125" bestFit="1" customWidth="1"/>
    <col min="1549" max="1549" width="24.42578125" bestFit="1" customWidth="1"/>
    <col min="1552" max="1552" width="9.7109375" bestFit="1" customWidth="1"/>
    <col min="1554" max="1554" width="10.42578125" bestFit="1" customWidth="1"/>
    <col min="1793" max="1793" width="24.42578125" bestFit="1" customWidth="1"/>
    <col min="1804" max="1804" width="18.5703125" bestFit="1" customWidth="1"/>
    <col min="1805" max="1805" width="24.42578125" bestFit="1" customWidth="1"/>
    <col min="1808" max="1808" width="9.7109375" bestFit="1" customWidth="1"/>
    <col min="1810" max="1810" width="10.42578125" bestFit="1" customWidth="1"/>
    <col min="2049" max="2049" width="24.42578125" bestFit="1" customWidth="1"/>
    <col min="2060" max="2060" width="18.5703125" bestFit="1" customWidth="1"/>
    <col min="2061" max="2061" width="24.42578125" bestFit="1" customWidth="1"/>
    <col min="2064" max="2064" width="9.7109375" bestFit="1" customWidth="1"/>
    <col min="2066" max="2066" width="10.42578125" bestFit="1" customWidth="1"/>
    <col min="2305" max="2305" width="24.42578125" bestFit="1" customWidth="1"/>
    <col min="2316" max="2316" width="18.5703125" bestFit="1" customWidth="1"/>
    <col min="2317" max="2317" width="24.42578125" bestFit="1" customWidth="1"/>
    <col min="2320" max="2320" width="9.7109375" bestFit="1" customWidth="1"/>
    <col min="2322" max="2322" width="10.42578125" bestFit="1" customWidth="1"/>
    <col min="2561" max="2561" width="24.42578125" bestFit="1" customWidth="1"/>
    <col min="2572" max="2572" width="18.5703125" bestFit="1" customWidth="1"/>
    <col min="2573" max="2573" width="24.42578125" bestFit="1" customWidth="1"/>
    <col min="2576" max="2576" width="9.7109375" bestFit="1" customWidth="1"/>
    <col min="2578" max="2578" width="10.42578125" bestFit="1" customWidth="1"/>
    <col min="2817" max="2817" width="24.42578125" bestFit="1" customWidth="1"/>
    <col min="2828" max="2828" width="18.5703125" bestFit="1" customWidth="1"/>
    <col min="2829" max="2829" width="24.42578125" bestFit="1" customWidth="1"/>
    <col min="2832" max="2832" width="9.7109375" bestFit="1" customWidth="1"/>
    <col min="2834" max="2834" width="10.42578125" bestFit="1" customWidth="1"/>
    <col min="3073" max="3073" width="24.42578125" bestFit="1" customWidth="1"/>
    <col min="3084" max="3084" width="18.5703125" bestFit="1" customWidth="1"/>
    <col min="3085" max="3085" width="24.42578125" bestFit="1" customWidth="1"/>
    <col min="3088" max="3088" width="9.7109375" bestFit="1" customWidth="1"/>
    <col min="3090" max="3090" width="10.42578125" bestFit="1" customWidth="1"/>
    <col min="3329" max="3329" width="24.42578125" bestFit="1" customWidth="1"/>
    <col min="3340" max="3340" width="18.5703125" bestFit="1" customWidth="1"/>
    <col min="3341" max="3341" width="24.42578125" bestFit="1" customWidth="1"/>
    <col min="3344" max="3344" width="9.7109375" bestFit="1" customWidth="1"/>
    <col min="3346" max="3346" width="10.42578125" bestFit="1" customWidth="1"/>
    <col min="3585" max="3585" width="24.42578125" bestFit="1" customWidth="1"/>
    <col min="3596" max="3596" width="18.5703125" bestFit="1" customWidth="1"/>
    <col min="3597" max="3597" width="24.42578125" bestFit="1" customWidth="1"/>
    <col min="3600" max="3600" width="9.7109375" bestFit="1" customWidth="1"/>
    <col min="3602" max="3602" width="10.42578125" bestFit="1" customWidth="1"/>
    <col min="3841" max="3841" width="24.42578125" bestFit="1" customWidth="1"/>
    <col min="3852" max="3852" width="18.5703125" bestFit="1" customWidth="1"/>
    <col min="3853" max="3853" width="24.42578125" bestFit="1" customWidth="1"/>
    <col min="3856" max="3856" width="9.7109375" bestFit="1" customWidth="1"/>
    <col min="3858" max="3858" width="10.42578125" bestFit="1" customWidth="1"/>
    <col min="4097" max="4097" width="24.42578125" bestFit="1" customWidth="1"/>
    <col min="4108" max="4108" width="18.5703125" bestFit="1" customWidth="1"/>
    <col min="4109" max="4109" width="24.42578125" bestFit="1" customWidth="1"/>
    <col min="4112" max="4112" width="9.7109375" bestFit="1" customWidth="1"/>
    <col min="4114" max="4114" width="10.42578125" bestFit="1" customWidth="1"/>
    <col min="4353" max="4353" width="24.42578125" bestFit="1" customWidth="1"/>
    <col min="4364" max="4364" width="18.5703125" bestFit="1" customWidth="1"/>
    <col min="4365" max="4365" width="24.42578125" bestFit="1" customWidth="1"/>
    <col min="4368" max="4368" width="9.7109375" bestFit="1" customWidth="1"/>
    <col min="4370" max="4370" width="10.42578125" bestFit="1" customWidth="1"/>
    <col min="4609" max="4609" width="24.42578125" bestFit="1" customWidth="1"/>
    <col min="4620" max="4620" width="18.5703125" bestFit="1" customWidth="1"/>
    <col min="4621" max="4621" width="24.42578125" bestFit="1" customWidth="1"/>
    <col min="4624" max="4624" width="9.7109375" bestFit="1" customWidth="1"/>
    <col min="4626" max="4626" width="10.42578125" bestFit="1" customWidth="1"/>
    <col min="4865" max="4865" width="24.42578125" bestFit="1" customWidth="1"/>
    <col min="4876" max="4876" width="18.5703125" bestFit="1" customWidth="1"/>
    <col min="4877" max="4877" width="24.42578125" bestFit="1" customWidth="1"/>
    <col min="4880" max="4880" width="9.7109375" bestFit="1" customWidth="1"/>
    <col min="4882" max="4882" width="10.42578125" bestFit="1" customWidth="1"/>
    <col min="5121" max="5121" width="24.42578125" bestFit="1" customWidth="1"/>
    <col min="5132" max="5132" width="18.5703125" bestFit="1" customWidth="1"/>
    <col min="5133" max="5133" width="24.42578125" bestFit="1" customWidth="1"/>
    <col min="5136" max="5136" width="9.7109375" bestFit="1" customWidth="1"/>
    <col min="5138" max="5138" width="10.42578125" bestFit="1" customWidth="1"/>
    <col min="5377" max="5377" width="24.42578125" bestFit="1" customWidth="1"/>
    <col min="5388" max="5388" width="18.5703125" bestFit="1" customWidth="1"/>
    <col min="5389" max="5389" width="24.42578125" bestFit="1" customWidth="1"/>
    <col min="5392" max="5392" width="9.7109375" bestFit="1" customWidth="1"/>
    <col min="5394" max="5394" width="10.42578125" bestFit="1" customWidth="1"/>
    <col min="5633" max="5633" width="24.42578125" bestFit="1" customWidth="1"/>
    <col min="5644" max="5644" width="18.5703125" bestFit="1" customWidth="1"/>
    <col min="5645" max="5645" width="24.42578125" bestFit="1" customWidth="1"/>
    <col min="5648" max="5648" width="9.7109375" bestFit="1" customWidth="1"/>
    <col min="5650" max="5650" width="10.42578125" bestFit="1" customWidth="1"/>
    <col min="5889" max="5889" width="24.42578125" bestFit="1" customWidth="1"/>
    <col min="5900" max="5900" width="18.5703125" bestFit="1" customWidth="1"/>
    <col min="5901" max="5901" width="24.42578125" bestFit="1" customWidth="1"/>
    <col min="5904" max="5904" width="9.7109375" bestFit="1" customWidth="1"/>
    <col min="5906" max="5906" width="10.42578125" bestFit="1" customWidth="1"/>
    <col min="6145" max="6145" width="24.42578125" bestFit="1" customWidth="1"/>
    <col min="6156" max="6156" width="18.5703125" bestFit="1" customWidth="1"/>
    <col min="6157" max="6157" width="24.42578125" bestFit="1" customWidth="1"/>
    <col min="6160" max="6160" width="9.7109375" bestFit="1" customWidth="1"/>
    <col min="6162" max="6162" width="10.42578125" bestFit="1" customWidth="1"/>
    <col min="6401" max="6401" width="24.42578125" bestFit="1" customWidth="1"/>
    <col min="6412" max="6412" width="18.5703125" bestFit="1" customWidth="1"/>
    <col min="6413" max="6413" width="24.42578125" bestFit="1" customWidth="1"/>
    <col min="6416" max="6416" width="9.7109375" bestFit="1" customWidth="1"/>
    <col min="6418" max="6418" width="10.42578125" bestFit="1" customWidth="1"/>
    <col min="6657" max="6657" width="24.42578125" bestFit="1" customWidth="1"/>
    <col min="6668" max="6668" width="18.5703125" bestFit="1" customWidth="1"/>
    <col min="6669" max="6669" width="24.42578125" bestFit="1" customWidth="1"/>
    <col min="6672" max="6672" width="9.7109375" bestFit="1" customWidth="1"/>
    <col min="6674" max="6674" width="10.42578125" bestFit="1" customWidth="1"/>
    <col min="6913" max="6913" width="24.42578125" bestFit="1" customWidth="1"/>
    <col min="6924" max="6924" width="18.5703125" bestFit="1" customWidth="1"/>
    <col min="6925" max="6925" width="24.42578125" bestFit="1" customWidth="1"/>
    <col min="6928" max="6928" width="9.7109375" bestFit="1" customWidth="1"/>
    <col min="6930" max="6930" width="10.42578125" bestFit="1" customWidth="1"/>
    <col min="7169" max="7169" width="24.42578125" bestFit="1" customWidth="1"/>
    <col min="7180" max="7180" width="18.5703125" bestFit="1" customWidth="1"/>
    <col min="7181" max="7181" width="24.42578125" bestFit="1" customWidth="1"/>
    <col min="7184" max="7184" width="9.7109375" bestFit="1" customWidth="1"/>
    <col min="7186" max="7186" width="10.42578125" bestFit="1" customWidth="1"/>
    <col min="7425" max="7425" width="24.42578125" bestFit="1" customWidth="1"/>
    <col min="7436" max="7436" width="18.5703125" bestFit="1" customWidth="1"/>
    <col min="7437" max="7437" width="24.42578125" bestFit="1" customWidth="1"/>
    <col min="7440" max="7440" width="9.7109375" bestFit="1" customWidth="1"/>
    <col min="7442" max="7442" width="10.42578125" bestFit="1" customWidth="1"/>
    <col min="7681" max="7681" width="24.42578125" bestFit="1" customWidth="1"/>
    <col min="7692" max="7692" width="18.5703125" bestFit="1" customWidth="1"/>
    <col min="7693" max="7693" width="24.42578125" bestFit="1" customWidth="1"/>
    <col min="7696" max="7696" width="9.7109375" bestFit="1" customWidth="1"/>
    <col min="7698" max="7698" width="10.42578125" bestFit="1" customWidth="1"/>
    <col min="7937" max="7937" width="24.42578125" bestFit="1" customWidth="1"/>
    <col min="7948" max="7948" width="18.5703125" bestFit="1" customWidth="1"/>
    <col min="7949" max="7949" width="24.42578125" bestFit="1" customWidth="1"/>
    <col min="7952" max="7952" width="9.7109375" bestFit="1" customWidth="1"/>
    <col min="7954" max="7954" width="10.42578125" bestFit="1" customWidth="1"/>
    <col min="8193" max="8193" width="24.42578125" bestFit="1" customWidth="1"/>
    <col min="8204" max="8204" width="18.5703125" bestFit="1" customWidth="1"/>
    <col min="8205" max="8205" width="24.42578125" bestFit="1" customWidth="1"/>
    <col min="8208" max="8208" width="9.7109375" bestFit="1" customWidth="1"/>
    <col min="8210" max="8210" width="10.42578125" bestFit="1" customWidth="1"/>
    <col min="8449" max="8449" width="24.42578125" bestFit="1" customWidth="1"/>
    <col min="8460" max="8460" width="18.5703125" bestFit="1" customWidth="1"/>
    <col min="8461" max="8461" width="24.42578125" bestFit="1" customWidth="1"/>
    <col min="8464" max="8464" width="9.7109375" bestFit="1" customWidth="1"/>
    <col min="8466" max="8466" width="10.42578125" bestFit="1" customWidth="1"/>
    <col min="8705" max="8705" width="24.42578125" bestFit="1" customWidth="1"/>
    <col min="8716" max="8716" width="18.5703125" bestFit="1" customWidth="1"/>
    <col min="8717" max="8717" width="24.42578125" bestFit="1" customWidth="1"/>
    <col min="8720" max="8720" width="9.7109375" bestFit="1" customWidth="1"/>
    <col min="8722" max="8722" width="10.42578125" bestFit="1" customWidth="1"/>
    <col min="8961" max="8961" width="24.42578125" bestFit="1" customWidth="1"/>
    <col min="8972" max="8972" width="18.5703125" bestFit="1" customWidth="1"/>
    <col min="8973" max="8973" width="24.42578125" bestFit="1" customWidth="1"/>
    <col min="8976" max="8976" width="9.7109375" bestFit="1" customWidth="1"/>
    <col min="8978" max="8978" width="10.42578125" bestFit="1" customWidth="1"/>
    <col min="9217" max="9217" width="24.42578125" bestFit="1" customWidth="1"/>
    <col min="9228" max="9228" width="18.5703125" bestFit="1" customWidth="1"/>
    <col min="9229" max="9229" width="24.42578125" bestFit="1" customWidth="1"/>
    <col min="9232" max="9232" width="9.7109375" bestFit="1" customWidth="1"/>
    <col min="9234" max="9234" width="10.42578125" bestFit="1" customWidth="1"/>
    <col min="9473" max="9473" width="24.42578125" bestFit="1" customWidth="1"/>
    <col min="9484" max="9484" width="18.5703125" bestFit="1" customWidth="1"/>
    <col min="9485" max="9485" width="24.42578125" bestFit="1" customWidth="1"/>
    <col min="9488" max="9488" width="9.7109375" bestFit="1" customWidth="1"/>
    <col min="9490" max="9490" width="10.42578125" bestFit="1" customWidth="1"/>
    <col min="9729" max="9729" width="24.42578125" bestFit="1" customWidth="1"/>
    <col min="9740" max="9740" width="18.5703125" bestFit="1" customWidth="1"/>
    <col min="9741" max="9741" width="24.42578125" bestFit="1" customWidth="1"/>
    <col min="9744" max="9744" width="9.7109375" bestFit="1" customWidth="1"/>
    <col min="9746" max="9746" width="10.42578125" bestFit="1" customWidth="1"/>
    <col min="9985" max="9985" width="24.42578125" bestFit="1" customWidth="1"/>
    <col min="9996" max="9996" width="18.5703125" bestFit="1" customWidth="1"/>
    <col min="9997" max="9997" width="24.42578125" bestFit="1" customWidth="1"/>
    <col min="10000" max="10000" width="9.7109375" bestFit="1" customWidth="1"/>
    <col min="10002" max="10002" width="10.42578125" bestFit="1" customWidth="1"/>
    <col min="10241" max="10241" width="24.42578125" bestFit="1" customWidth="1"/>
    <col min="10252" max="10252" width="18.5703125" bestFit="1" customWidth="1"/>
    <col min="10253" max="10253" width="24.42578125" bestFit="1" customWidth="1"/>
    <col min="10256" max="10256" width="9.7109375" bestFit="1" customWidth="1"/>
    <col min="10258" max="10258" width="10.42578125" bestFit="1" customWidth="1"/>
    <col min="10497" max="10497" width="24.42578125" bestFit="1" customWidth="1"/>
    <col min="10508" max="10508" width="18.5703125" bestFit="1" customWidth="1"/>
    <col min="10509" max="10509" width="24.42578125" bestFit="1" customWidth="1"/>
    <col min="10512" max="10512" width="9.7109375" bestFit="1" customWidth="1"/>
    <col min="10514" max="10514" width="10.42578125" bestFit="1" customWidth="1"/>
    <col min="10753" max="10753" width="24.42578125" bestFit="1" customWidth="1"/>
    <col min="10764" max="10764" width="18.5703125" bestFit="1" customWidth="1"/>
    <col min="10765" max="10765" width="24.42578125" bestFit="1" customWidth="1"/>
    <col min="10768" max="10768" width="9.7109375" bestFit="1" customWidth="1"/>
    <col min="10770" max="10770" width="10.42578125" bestFit="1" customWidth="1"/>
    <col min="11009" max="11009" width="24.42578125" bestFit="1" customWidth="1"/>
    <col min="11020" max="11020" width="18.5703125" bestFit="1" customWidth="1"/>
    <col min="11021" max="11021" width="24.42578125" bestFit="1" customWidth="1"/>
    <col min="11024" max="11024" width="9.7109375" bestFit="1" customWidth="1"/>
    <col min="11026" max="11026" width="10.42578125" bestFit="1" customWidth="1"/>
    <col min="11265" max="11265" width="24.42578125" bestFit="1" customWidth="1"/>
    <col min="11276" max="11276" width="18.5703125" bestFit="1" customWidth="1"/>
    <col min="11277" max="11277" width="24.42578125" bestFit="1" customWidth="1"/>
    <col min="11280" max="11280" width="9.7109375" bestFit="1" customWidth="1"/>
    <col min="11282" max="11282" width="10.42578125" bestFit="1" customWidth="1"/>
    <col min="11521" max="11521" width="24.42578125" bestFit="1" customWidth="1"/>
    <col min="11532" max="11532" width="18.5703125" bestFit="1" customWidth="1"/>
    <col min="11533" max="11533" width="24.42578125" bestFit="1" customWidth="1"/>
    <col min="11536" max="11536" width="9.7109375" bestFit="1" customWidth="1"/>
    <col min="11538" max="11538" width="10.42578125" bestFit="1" customWidth="1"/>
    <col min="11777" max="11777" width="24.42578125" bestFit="1" customWidth="1"/>
    <col min="11788" max="11788" width="18.5703125" bestFit="1" customWidth="1"/>
    <col min="11789" max="11789" width="24.42578125" bestFit="1" customWidth="1"/>
    <col min="11792" max="11792" width="9.7109375" bestFit="1" customWidth="1"/>
    <col min="11794" max="11794" width="10.42578125" bestFit="1" customWidth="1"/>
    <col min="12033" max="12033" width="24.42578125" bestFit="1" customWidth="1"/>
    <col min="12044" max="12044" width="18.5703125" bestFit="1" customWidth="1"/>
    <col min="12045" max="12045" width="24.42578125" bestFit="1" customWidth="1"/>
    <col min="12048" max="12048" width="9.7109375" bestFit="1" customWidth="1"/>
    <col min="12050" max="12050" width="10.42578125" bestFit="1" customWidth="1"/>
    <col min="12289" max="12289" width="24.42578125" bestFit="1" customWidth="1"/>
    <col min="12300" max="12300" width="18.5703125" bestFit="1" customWidth="1"/>
    <col min="12301" max="12301" width="24.42578125" bestFit="1" customWidth="1"/>
    <col min="12304" max="12304" width="9.7109375" bestFit="1" customWidth="1"/>
    <col min="12306" max="12306" width="10.42578125" bestFit="1" customWidth="1"/>
    <col min="12545" max="12545" width="24.42578125" bestFit="1" customWidth="1"/>
    <col min="12556" max="12556" width="18.5703125" bestFit="1" customWidth="1"/>
    <col min="12557" max="12557" width="24.42578125" bestFit="1" customWidth="1"/>
    <col min="12560" max="12560" width="9.7109375" bestFit="1" customWidth="1"/>
    <col min="12562" max="12562" width="10.42578125" bestFit="1" customWidth="1"/>
    <col min="12801" max="12801" width="24.42578125" bestFit="1" customWidth="1"/>
    <col min="12812" max="12812" width="18.5703125" bestFit="1" customWidth="1"/>
    <col min="12813" max="12813" width="24.42578125" bestFit="1" customWidth="1"/>
    <col min="12816" max="12816" width="9.7109375" bestFit="1" customWidth="1"/>
    <col min="12818" max="12818" width="10.42578125" bestFit="1" customWidth="1"/>
    <col min="13057" max="13057" width="24.42578125" bestFit="1" customWidth="1"/>
    <col min="13068" max="13068" width="18.5703125" bestFit="1" customWidth="1"/>
    <col min="13069" max="13069" width="24.42578125" bestFit="1" customWidth="1"/>
    <col min="13072" max="13072" width="9.7109375" bestFit="1" customWidth="1"/>
    <col min="13074" max="13074" width="10.42578125" bestFit="1" customWidth="1"/>
    <col min="13313" max="13313" width="24.42578125" bestFit="1" customWidth="1"/>
    <col min="13324" max="13324" width="18.5703125" bestFit="1" customWidth="1"/>
    <col min="13325" max="13325" width="24.42578125" bestFit="1" customWidth="1"/>
    <col min="13328" max="13328" width="9.7109375" bestFit="1" customWidth="1"/>
    <col min="13330" max="13330" width="10.42578125" bestFit="1" customWidth="1"/>
    <col min="13569" max="13569" width="24.42578125" bestFit="1" customWidth="1"/>
    <col min="13580" max="13580" width="18.5703125" bestFit="1" customWidth="1"/>
    <col min="13581" max="13581" width="24.42578125" bestFit="1" customWidth="1"/>
    <col min="13584" max="13584" width="9.7109375" bestFit="1" customWidth="1"/>
    <col min="13586" max="13586" width="10.42578125" bestFit="1" customWidth="1"/>
    <col min="13825" max="13825" width="24.42578125" bestFit="1" customWidth="1"/>
    <col min="13836" max="13836" width="18.5703125" bestFit="1" customWidth="1"/>
    <col min="13837" max="13837" width="24.42578125" bestFit="1" customWidth="1"/>
    <col min="13840" max="13840" width="9.7109375" bestFit="1" customWidth="1"/>
    <col min="13842" max="13842" width="10.42578125" bestFit="1" customWidth="1"/>
    <col min="14081" max="14081" width="24.42578125" bestFit="1" customWidth="1"/>
    <col min="14092" max="14092" width="18.5703125" bestFit="1" customWidth="1"/>
    <col min="14093" max="14093" width="24.42578125" bestFit="1" customWidth="1"/>
    <col min="14096" max="14096" width="9.7109375" bestFit="1" customWidth="1"/>
    <col min="14098" max="14098" width="10.42578125" bestFit="1" customWidth="1"/>
    <col min="14337" max="14337" width="24.42578125" bestFit="1" customWidth="1"/>
    <col min="14348" max="14348" width="18.5703125" bestFit="1" customWidth="1"/>
    <col min="14349" max="14349" width="24.42578125" bestFit="1" customWidth="1"/>
    <col min="14352" max="14352" width="9.7109375" bestFit="1" customWidth="1"/>
    <col min="14354" max="14354" width="10.42578125" bestFit="1" customWidth="1"/>
    <col min="14593" max="14593" width="24.42578125" bestFit="1" customWidth="1"/>
    <col min="14604" max="14604" width="18.5703125" bestFit="1" customWidth="1"/>
    <col min="14605" max="14605" width="24.42578125" bestFit="1" customWidth="1"/>
    <col min="14608" max="14608" width="9.7109375" bestFit="1" customWidth="1"/>
    <col min="14610" max="14610" width="10.42578125" bestFit="1" customWidth="1"/>
    <col min="14849" max="14849" width="24.42578125" bestFit="1" customWidth="1"/>
    <col min="14860" max="14860" width="18.5703125" bestFit="1" customWidth="1"/>
    <col min="14861" max="14861" width="24.42578125" bestFit="1" customWidth="1"/>
    <col min="14864" max="14864" width="9.7109375" bestFit="1" customWidth="1"/>
    <col min="14866" max="14866" width="10.42578125" bestFit="1" customWidth="1"/>
    <col min="15105" max="15105" width="24.42578125" bestFit="1" customWidth="1"/>
    <col min="15116" max="15116" width="18.5703125" bestFit="1" customWidth="1"/>
    <col min="15117" max="15117" width="24.42578125" bestFit="1" customWidth="1"/>
    <col min="15120" max="15120" width="9.7109375" bestFit="1" customWidth="1"/>
    <col min="15122" max="15122" width="10.42578125" bestFit="1" customWidth="1"/>
    <col min="15361" max="15361" width="24.42578125" bestFit="1" customWidth="1"/>
    <col min="15372" max="15372" width="18.5703125" bestFit="1" customWidth="1"/>
    <col min="15373" max="15373" width="24.42578125" bestFit="1" customWidth="1"/>
    <col min="15376" max="15376" width="9.7109375" bestFit="1" customWidth="1"/>
    <col min="15378" max="15378" width="10.42578125" bestFit="1" customWidth="1"/>
    <col min="15617" max="15617" width="24.42578125" bestFit="1" customWidth="1"/>
    <col min="15628" max="15628" width="18.5703125" bestFit="1" customWidth="1"/>
    <col min="15629" max="15629" width="24.42578125" bestFit="1" customWidth="1"/>
    <col min="15632" max="15632" width="9.7109375" bestFit="1" customWidth="1"/>
    <col min="15634" max="15634" width="10.42578125" bestFit="1" customWidth="1"/>
    <col min="15873" max="15873" width="24.42578125" bestFit="1" customWidth="1"/>
    <col min="15884" max="15884" width="18.5703125" bestFit="1" customWidth="1"/>
    <col min="15885" max="15885" width="24.42578125" bestFit="1" customWidth="1"/>
    <col min="15888" max="15888" width="9.7109375" bestFit="1" customWidth="1"/>
    <col min="15890" max="15890" width="10.42578125" bestFit="1" customWidth="1"/>
    <col min="16129" max="16129" width="24.42578125" bestFit="1" customWidth="1"/>
    <col min="16140" max="16140" width="18.5703125" bestFit="1" customWidth="1"/>
    <col min="16141" max="16141" width="24.42578125" bestFit="1" customWidth="1"/>
    <col min="16144" max="16144" width="9.7109375" bestFit="1" customWidth="1"/>
    <col min="16146" max="16146" width="10.42578125" bestFit="1" customWidth="1"/>
  </cols>
  <sheetData>
    <row r="1" spans="1:28" ht="23.25" x14ac:dyDescent="0.35">
      <c r="A1" s="5697" t="s">
        <v>7999</v>
      </c>
      <c r="B1" s="5697"/>
      <c r="C1" s="5697"/>
      <c r="D1" s="5697"/>
      <c r="E1" s="5697"/>
      <c r="F1" s="5697"/>
      <c r="G1" s="5697"/>
      <c r="H1" s="5697"/>
      <c r="I1" s="5697"/>
      <c r="L1" s="2548">
        <v>2024</v>
      </c>
      <c r="M1" s="5700" t="s">
        <v>7999</v>
      </c>
      <c r="N1" s="5700"/>
      <c r="O1" s="5700"/>
      <c r="P1" s="5700"/>
      <c r="Q1" s="5700"/>
      <c r="R1" s="5700"/>
      <c r="S1" s="5700"/>
      <c r="T1" s="5700"/>
      <c r="U1" s="5700"/>
      <c r="AA1" s="2751" t="s">
        <v>8342</v>
      </c>
      <c r="AB1" s="2752">
        <v>9.0200000000000002E-2</v>
      </c>
    </row>
    <row r="2" spans="1:28" x14ac:dyDescent="0.2">
      <c r="C2" s="2395">
        <v>2016</v>
      </c>
      <c r="O2" s="5698" t="s">
        <v>8200</v>
      </c>
      <c r="P2" s="5699"/>
      <c r="Q2" s="5699"/>
      <c r="R2" s="2545" t="s">
        <v>8000</v>
      </c>
      <c r="S2" s="2174"/>
    </row>
    <row r="3" spans="1:28" ht="15.75" x14ac:dyDescent="0.25">
      <c r="A3" s="2396"/>
      <c r="B3" s="2397"/>
      <c r="O3" s="2546" t="s">
        <v>8001</v>
      </c>
      <c r="P3" s="2546" t="s">
        <v>8002</v>
      </c>
      <c r="Q3" s="2865" t="s">
        <v>3305</v>
      </c>
      <c r="R3" s="2545" t="s">
        <v>8003</v>
      </c>
      <c r="S3" s="2398"/>
      <c r="AA3" s="2751"/>
      <c r="AB3" s="2752"/>
    </row>
    <row r="4" spans="1:28" x14ac:dyDescent="0.2">
      <c r="A4" s="2399" t="s">
        <v>8004</v>
      </c>
      <c r="B4" s="2399" t="s">
        <v>8005</v>
      </c>
      <c r="C4" s="2400">
        <v>1.1069031128404672</v>
      </c>
      <c r="L4" s="1736"/>
      <c r="O4" s="2546"/>
      <c r="P4" s="3572" t="s">
        <v>491</v>
      </c>
      <c r="Q4" s="2865"/>
      <c r="R4" s="3573" t="s">
        <v>8199</v>
      </c>
    </row>
    <row r="5" spans="1:28" x14ac:dyDescent="0.2">
      <c r="A5" s="2401" t="s">
        <v>8006</v>
      </c>
      <c r="B5" s="2401" t="s">
        <v>8007</v>
      </c>
      <c r="C5" s="2402">
        <v>120.1966536964981</v>
      </c>
      <c r="L5" t="s">
        <v>4145</v>
      </c>
      <c r="M5" s="2539" t="s">
        <v>4145</v>
      </c>
      <c r="N5" s="1634" t="s">
        <v>8008</v>
      </c>
      <c r="O5" s="2302">
        <v>3.9755553571428619</v>
      </c>
      <c r="P5" s="2302"/>
      <c r="R5" s="2543">
        <f>IF(Q5&gt;0,ROUND(Q5*1.02,2),IF(O5&gt;0,ROUND(O5*1.02,2),ROUND(P5*1.02,2)))</f>
      </c>
      <c r="S5" s="2547">
        <f>R5</f>
      </c>
      <c r="U5" t="e">
        <f t="shared" ref="U5:U28" si="0">VLOOKUP(N5,kambju,2,FALSE)</f>
      </c>
      <c r="V5" s="2862" t="s">
        <v>8005</v>
      </c>
      <c r="W5" s="3565">
        <v>1.1194745098039212</v>
      </c>
    </row>
    <row r="6" spans="1:28" x14ac:dyDescent="0.2">
      <c r="A6" s="2403" t="s">
        <v>8009</v>
      </c>
      <c r="B6" s="2403" t="s">
        <v>8010</v>
      </c>
      <c r="C6" s="2400">
        <v>1.4658789883268466</v>
      </c>
      <c r="L6" s="1736" t="s">
        <v>1822</v>
      </c>
      <c r="M6" s="1957" t="s">
        <v>1822</v>
      </c>
      <c r="N6" t="s">
        <v>8014</v>
      </c>
      <c r="O6" s="1634">
        <v>1.6397070312499999</v>
      </c>
      <c r="P6" s="1634">
        <v>1.6397070312499999</v>
      </c>
      <c r="Q6" s="3777"/>
      <c r="R6" s="2543">
        <f t="shared" ref="R6:R11" si="1">IF(Q6&gt;0,ROUND(Q6*1.02,2),IF(O6&gt;0,ROUND(O6*1.02,2),ROUND(P6*1.02,2)))</f>
      </c>
      <c r="S6" s="2547">
        <f t="shared" ref="S6:S28" si="2">R6</f>
      </c>
      <c r="U6">
        <f t="shared" si="0"/>
        <v>1.610881176470587</v>
      </c>
      <c r="V6" s="2862" t="s">
        <v>8007</v>
      </c>
      <c r="W6" s="3566">
        <v>122.00576470588237</v>
      </c>
    </row>
    <row r="7" spans="1:28" x14ac:dyDescent="0.2">
      <c r="A7" s="2399" t="s">
        <v>8011</v>
      </c>
      <c r="B7" s="2399" t="s">
        <v>8012</v>
      </c>
      <c r="C7" s="2400">
        <v>1.0901552529182883</v>
      </c>
      <c r="L7" s="1736" t="s">
        <v>1824</v>
      </c>
      <c r="M7" s="1957" t="s">
        <v>1824</v>
      </c>
      <c r="N7" t="s">
        <v>8010</v>
      </c>
      <c r="O7" s="1634">
        <v>1.482110546875</v>
      </c>
      <c r="P7" s="1634">
        <v>1.482110546875</v>
      </c>
      <c r="Q7" s="3777"/>
      <c r="R7" s="2543">
        <f t="shared" si="1"/>
        <v>1.51</v>
      </c>
      <c r="S7" s="2547">
        <f t="shared" si="2"/>
        <v>1.51</v>
      </c>
      <c r="U7">
        <f t="shared" si="0"/>
        <v>1.4854772549019608</v>
      </c>
      <c r="V7" s="2862" t="s">
        <v>8030</v>
      </c>
      <c r="W7" s="3567"/>
    </row>
    <row r="8" spans="1:28" x14ac:dyDescent="0.2">
      <c r="A8" s="2403" t="s">
        <v>8013</v>
      </c>
      <c r="B8" s="2403" t="s">
        <v>8014</v>
      </c>
      <c r="C8" s="2400">
        <v>1.4882821011673153</v>
      </c>
      <c r="L8" s="1736" t="s">
        <v>3175</v>
      </c>
      <c r="M8" s="2544" t="s">
        <v>8015</v>
      </c>
      <c r="N8" t="s">
        <v>8018</v>
      </c>
      <c r="O8" s="1634">
        <v>7.7874699218750001</v>
      </c>
      <c r="P8" s="1634">
        <v>7.7874699218750001</v>
      </c>
      <c r="Q8" s="3777"/>
      <c r="R8" s="2543">
        <f t="shared" si="1"/>
        <v>7.94</v>
      </c>
      <c r="S8" s="2547">
        <f t="shared" si="2"/>
        <v>7.94</v>
      </c>
      <c r="U8">
        <f t="shared" si="0"/>
        <v>7.7354913725490153</v>
      </c>
      <c r="V8" s="2862" t="s">
        <v>8048</v>
      </c>
      <c r="W8" s="3568">
        <v>25.67045098039214</v>
      </c>
    </row>
    <row r="9" spans="1:28" x14ac:dyDescent="0.2">
      <c r="A9" s="2404" t="s">
        <v>8016</v>
      </c>
      <c r="B9" s="2404" t="s">
        <v>8017</v>
      </c>
      <c r="C9" s="2400">
        <v>3.3432536964980524</v>
      </c>
      <c r="L9" s="1736" t="s">
        <v>7335</v>
      </c>
      <c r="M9" s="1957" t="s">
        <v>7335</v>
      </c>
      <c r="N9" t="s">
        <v>8048</v>
      </c>
      <c r="O9" s="1634">
        <v>25.119796874999999</v>
      </c>
      <c r="P9" s="1634">
        <v>25.119796874999999</v>
      </c>
      <c r="Q9" s="3777"/>
      <c r="R9" s="2543">
        <f t="shared" si="1"/>
        <v>25.62</v>
      </c>
      <c r="S9" s="2547">
        <f t="shared" si="2"/>
        <v>25.62</v>
      </c>
      <c r="U9">
        <f t="shared" si="0"/>
        <v>25.67045098039214</v>
      </c>
      <c r="V9" s="2862" t="s">
        <v>8026</v>
      </c>
      <c r="W9" s="3565">
        <v>7.466063921568626</v>
      </c>
    </row>
    <row r="10" spans="1:28" x14ac:dyDescent="0.2">
      <c r="A10" s="2404" t="s">
        <v>8015</v>
      </c>
      <c r="B10" s="2404" t="s">
        <v>8018</v>
      </c>
      <c r="C10" s="2400">
        <v>7.3522214007782098</v>
      </c>
      <c r="L10" s="1736" t="s">
        <v>2214</v>
      </c>
      <c r="M10" s="2544" t="s">
        <v>8019</v>
      </c>
      <c r="N10" t="s">
        <v>8026</v>
      </c>
      <c r="O10" s="1634">
        <v>7.458913671875</v>
      </c>
      <c r="P10" s="1634">
        <v>7.458913671875</v>
      </c>
      <c r="Q10" s="3777"/>
      <c r="R10" s="2543">
        <f t="shared" si="1"/>
        <v>7.61</v>
      </c>
      <c r="S10" s="2547">
        <f t="shared" si="2"/>
        <v>7.61</v>
      </c>
      <c r="U10">
        <f t="shared" si="0"/>
        <v>7.466063921568626</v>
      </c>
      <c r="V10" s="2862" t="s">
        <v>8050</v>
      </c>
      <c r="W10" s="3567"/>
    </row>
    <row r="11" spans="1:28" x14ac:dyDescent="0.2">
      <c r="A11" s="2404" t="s">
        <v>8020</v>
      </c>
      <c r="B11" s="2404" t="s">
        <v>8021</v>
      </c>
      <c r="C11" s="2400">
        <v>8.5921902723735375</v>
      </c>
      <c r="L11" t="s">
        <v>4146</v>
      </c>
      <c r="M11" s="2539" t="s">
        <v>4146</v>
      </c>
      <c r="N11" s="1634" t="s">
        <v>8022</v>
      </c>
      <c r="O11" s="2302">
        <v>48.992064682539684</v>
      </c>
      <c r="P11" s="2302"/>
      <c r="R11" s="2543">
        <f t="shared" si="1"/>
        <v>49.97</v>
      </c>
      <c r="S11" s="2547">
        <f t="shared" si="2"/>
        <v>49.97</v>
      </c>
      <c r="U11" t="e">
        <f t="shared" si="0"/>
        <v>#N/A</v>
      </c>
      <c r="V11" s="2862" t="s">
        <v>8024</v>
      </c>
      <c r="W11" s="3569">
        <v>0.87777058823529408</v>
      </c>
    </row>
    <row r="12" spans="1:28" x14ac:dyDescent="0.2">
      <c r="A12" s="2399" t="s">
        <v>8023</v>
      </c>
      <c r="B12" s="2399" t="s">
        <v>8024</v>
      </c>
      <c r="C12" s="2405">
        <v>0.81948307392996134</v>
      </c>
      <c r="L12" s="1736" t="s">
        <v>4591</v>
      </c>
      <c r="M12" s="1957" t="s">
        <v>4591</v>
      </c>
      <c r="N12" t="s">
        <v>8025</v>
      </c>
      <c r="O12" s="1634">
        <v>1</v>
      </c>
      <c r="P12" s="1634">
        <v>1</v>
      </c>
      <c r="Q12" s="3777"/>
      <c r="R12" s="2543">
        <v>1</v>
      </c>
      <c r="S12" s="2547">
        <f t="shared" si="2"/>
        <v>1</v>
      </c>
      <c r="U12" t="e">
        <f t="shared" si="0"/>
        <v>#N/A</v>
      </c>
      <c r="V12" s="2862" t="s">
        <v>8042</v>
      </c>
      <c r="W12" s="3566">
        <v>325.29674509803925</v>
      </c>
    </row>
    <row r="13" spans="1:28" x14ac:dyDescent="0.2">
      <c r="A13" s="2404" t="s">
        <v>8019</v>
      </c>
      <c r="B13" s="2404" t="s">
        <v>8026</v>
      </c>
      <c r="C13" s="2406">
        <v>7.4451887159533126</v>
      </c>
      <c r="L13" s="1736" t="s">
        <v>4592</v>
      </c>
      <c r="M13" s="1957" t="s">
        <v>4592</v>
      </c>
      <c r="N13" t="s">
        <v>8021</v>
      </c>
      <c r="O13" s="1634">
        <v>8.4453632812499997</v>
      </c>
      <c r="P13" s="1634">
        <v>8.4453632812499997</v>
      </c>
      <c r="Q13" s="3777"/>
      <c r="R13" s="2543">
        <f t="shared" ref="R13:R28" si="3">IF(Q13&gt;0,ROUND(Q13*1.02,2),IF(O13&gt;0,ROUND(O13*1.02,2),ROUND(P13*1.02,2)))</f>
      </c>
      <c r="S13" s="2547">
        <f t="shared" si="2"/>
        <v>8.61</v>
      </c>
      <c r="U13" t="e">
        <f t="shared" si="0"/>
        <v>#N/A</v>
      </c>
      <c r="V13" s="2862" t="s">
        <v>8052</v>
      </c>
      <c r="W13" s="3567"/>
    </row>
    <row r="14" spans="1:28" x14ac:dyDescent="0.2">
      <c r="A14" s="2404" t="s">
        <v>8027</v>
      </c>
      <c r="B14" s="2404" t="s">
        <v>8028</v>
      </c>
      <c r="C14" s="2406">
        <v>9.4689007782101271</v>
      </c>
      <c r="L14" t="s">
        <v>4147</v>
      </c>
      <c r="M14" s="2539" t="s">
        <v>4147</v>
      </c>
      <c r="N14" t="s">
        <v>8042</v>
      </c>
      <c r="O14" s="1634">
        <v>395.30386718749997</v>
      </c>
      <c r="P14" s="1634">
        <v>395.30386718749997</v>
      </c>
      <c r="Q14" s="3777"/>
      <c r="R14" s="2543">
        <f t="shared" si="3"/>
        <v>403.21</v>
      </c>
      <c r="S14" s="2547">
        <f t="shared" si="2"/>
        <v>403.21</v>
      </c>
      <c r="U14">
        <f t="shared" si="0"/>
        <v>325.29674509803925</v>
      </c>
      <c r="V14" s="2862" t="s">
        <v>8034</v>
      </c>
      <c r="W14" s="3565"/>
    </row>
    <row r="15" spans="1:28" x14ac:dyDescent="0.2">
      <c r="A15" s="2404" t="s">
        <v>8029</v>
      </c>
      <c r="B15" s="2404" t="s">
        <v>8030</v>
      </c>
      <c r="C15" s="2407" t="s">
        <v>8031</v>
      </c>
      <c r="L15" s="1736" t="s">
        <v>4594</v>
      </c>
      <c r="M15" s="1957" t="s">
        <v>4594</v>
      </c>
      <c r="N15" s="1634" t="s">
        <v>8032</v>
      </c>
      <c r="O15" s="2302"/>
      <c r="P15" s="1634">
        <v>90.556253515625002</v>
      </c>
      <c r="Q15" s="3777"/>
      <c r="R15" s="2543">
        <f t="shared" si="3"/>
        <v>92.37</v>
      </c>
      <c r="S15" s="2547">
        <f t="shared" si="2"/>
        <v>92.37</v>
      </c>
      <c r="U15">
        <f t="shared" si="0"/>
        <v>78.836139999999958</v>
      </c>
      <c r="V15" s="2862" t="s">
        <v>8761</v>
      </c>
      <c r="W15" s="3567"/>
    </row>
    <row r="16" spans="1:28" x14ac:dyDescent="0.2">
      <c r="A16" s="2404" t="s">
        <v>8033</v>
      </c>
      <c r="B16" s="2404" t="s">
        <v>8034</v>
      </c>
      <c r="C16" s="2407" t="s">
        <v>8031</v>
      </c>
      <c r="L16" s="1736" t="s">
        <v>656</v>
      </c>
      <c r="M16" s="1957" t="s">
        <v>656</v>
      </c>
      <c r="N16" t="s">
        <v>8007</v>
      </c>
      <c r="O16" s="1634">
        <v>163.85191406249999</v>
      </c>
      <c r="P16" s="1634">
        <v>163.85191406249999</v>
      </c>
      <c r="Q16" s="3777"/>
      <c r="R16" s="2543">
        <f t="shared" si="3"/>
        <v>167.13</v>
      </c>
      <c r="S16" s="2547">
        <f t="shared" si="2"/>
        <v>167.13</v>
      </c>
      <c r="U16">
        <f t="shared" si="0"/>
        <v>122.00576470588237</v>
      </c>
      <c r="V16" s="2862" t="s">
        <v>8045</v>
      </c>
      <c r="W16" s="3565">
        <v>4.2976188235294108</v>
      </c>
    </row>
    <row r="17" spans="1:23" x14ac:dyDescent="0.2">
      <c r="A17" s="2404" t="s">
        <v>8035</v>
      </c>
      <c r="B17" s="2404" t="s">
        <v>8036</v>
      </c>
      <c r="C17" s="2405" t="s">
        <v>8031</v>
      </c>
      <c r="L17" s="1736" t="s">
        <v>658</v>
      </c>
      <c r="M17" s="1957" t="s">
        <v>658</v>
      </c>
      <c r="N17" s="1634" t="s">
        <v>8037</v>
      </c>
      <c r="O17" s="2302">
        <v>5.2272226190476232</v>
      </c>
      <c r="P17" s="2302"/>
      <c r="R17" s="2543">
        <f>IF(O17&gt;0,ROUND(O17*1.02,2),IF(#REF!&gt;0,ROUND(#REF!*1.02,2),ROUND(P17*1.02,2)))</f>
      </c>
      <c r="S17" s="2547">
        <f t="shared" si="2"/>
        <v>5.33</v>
      </c>
      <c r="U17" t="e">
        <f t="shared" si="0"/>
        <v>#N/A</v>
      </c>
      <c r="V17" s="2862" t="s">
        <v>8028</v>
      </c>
      <c r="W17" s="3565">
        <v>10.58908078431373</v>
      </c>
    </row>
    <row r="18" spans="1:23" x14ac:dyDescent="0.2">
      <c r="A18" s="2404" t="s">
        <v>8038</v>
      </c>
      <c r="B18" s="2404" t="s">
        <v>8039</v>
      </c>
      <c r="C18" s="2405" t="s">
        <v>8031</v>
      </c>
      <c r="L18" s="1736" t="s">
        <v>398</v>
      </c>
      <c r="M18" s="1957" t="s">
        <v>398</v>
      </c>
      <c r="N18" s="1634" t="s">
        <v>8040</v>
      </c>
      <c r="O18" s="2302"/>
      <c r="P18" s="1634">
        <v>1.788048828125</v>
      </c>
      <c r="Q18" s="3777"/>
      <c r="R18" s="2543">
        <f t="shared" si="3"/>
        <v>1.82</v>
      </c>
      <c r="S18" s="2547">
        <f t="shared" si="2"/>
        <v>1.82</v>
      </c>
      <c r="U18">
        <f t="shared" si="0"/>
        <v>1.6998301960784319</v>
      </c>
      <c r="V18" s="2862" t="s">
        <v>8036</v>
      </c>
      <c r="W18" s="3567"/>
    </row>
    <row r="19" spans="1:23" x14ac:dyDescent="0.2">
      <c r="A19" s="2404" t="s">
        <v>8041</v>
      </c>
      <c r="B19" s="2404" t="s">
        <v>8042</v>
      </c>
      <c r="C19" s="2408">
        <v>311.43789883268488</v>
      </c>
      <c r="L19" s="1736" t="s">
        <v>399</v>
      </c>
      <c r="M19" s="1957" t="s">
        <v>8198</v>
      </c>
      <c r="N19" s="1634" t="s">
        <v>8043</v>
      </c>
      <c r="O19" s="2302"/>
      <c r="P19" s="1634">
        <v>11.629028125</v>
      </c>
      <c r="Q19" s="3777"/>
      <c r="R19" s="2543">
        <f t="shared" si="3"/>
        <v>11.86</v>
      </c>
      <c r="S19" s="2547">
        <f t="shared" si="2"/>
        <v>11.86</v>
      </c>
      <c r="U19">
        <f t="shared" si="0"/>
        <v>9.8510858823529404</v>
      </c>
      <c r="V19" s="2862" t="s">
        <v>8039</v>
      </c>
      <c r="W19" s="3567"/>
    </row>
    <row r="20" spans="1:23" x14ac:dyDescent="0.2">
      <c r="A20" s="2404" t="s">
        <v>8044</v>
      </c>
      <c r="B20" s="2404" t="s">
        <v>8045</v>
      </c>
      <c r="C20" s="2406">
        <v>4.3632073929961095</v>
      </c>
      <c r="L20" t="s">
        <v>4148</v>
      </c>
      <c r="M20" s="2539" t="s">
        <v>4148</v>
      </c>
      <c r="N20" s="1634" t="s">
        <v>8046</v>
      </c>
      <c r="O20" s="2302"/>
      <c r="P20" s="2302"/>
      <c r="Q20" s="2864">
        <v>4.0613049999999999</v>
      </c>
      <c r="R20" s="2543">
        <f t="shared" si="3"/>
        <v>4.1399999999999997</v>
      </c>
      <c r="S20" s="2547">
        <f t="shared" si="2"/>
        <v>4.1399999999999997</v>
      </c>
      <c r="U20" t="e">
        <f t="shared" si="0"/>
        <v>#N/A</v>
      </c>
      <c r="V20" s="2862" t="s">
        <v>8012</v>
      </c>
      <c r="W20" s="3565">
        <v>1.1124490196078429</v>
      </c>
    </row>
    <row r="21" spans="1:23" x14ac:dyDescent="0.2">
      <c r="A21" s="2404" t="s">
        <v>8047</v>
      </c>
      <c r="B21" s="2404" t="s">
        <v>8048</v>
      </c>
      <c r="C21" s="2409">
        <v>27.034287937743159</v>
      </c>
      <c r="L21" t="s">
        <v>4149</v>
      </c>
      <c r="M21" s="2539" t="s">
        <v>4149</v>
      </c>
      <c r="N21" t="s">
        <v>8045</v>
      </c>
      <c r="O21" s="1634">
        <v>4.3057957031249998</v>
      </c>
      <c r="P21" s="1634">
        <v>4.3057957031249998</v>
      </c>
      <c r="Q21" s="3777"/>
      <c r="R21" s="2543">
        <f t="shared" si="3"/>
        <v>4.3899999999999997</v>
      </c>
      <c r="S21" s="2547">
        <f t="shared" si="2"/>
        <v>4.3899999999999997</v>
      </c>
      <c r="U21">
        <f t="shared" si="0"/>
        <v>4.2976188235294108</v>
      </c>
      <c r="V21" s="2862" t="s">
        <v>8762</v>
      </c>
      <c r="W21" s="3566">
        <v>137.28156862745098</v>
      </c>
    </row>
    <row r="22" spans="1:23" x14ac:dyDescent="0.2">
      <c r="A22" s="2404" t="s">
        <v>8049</v>
      </c>
      <c r="B22" s="2404" t="s">
        <v>8050</v>
      </c>
      <c r="C22" s="2407" t="s">
        <v>8031</v>
      </c>
      <c r="L22" s="1736" t="s">
        <v>948</v>
      </c>
      <c r="M22" s="1957" t="s">
        <v>948</v>
      </c>
      <c r="N22" t="s">
        <v>8028</v>
      </c>
      <c r="O22" s="1634">
        <v>11.432519140625001</v>
      </c>
      <c r="P22" s="1634">
        <v>11.432519140625001</v>
      </c>
      <c r="R22" s="2543">
        <f t="shared" si="3"/>
        <v>11.66</v>
      </c>
      <c r="S22" s="2547">
        <f t="shared" si="2"/>
        <v>11.66</v>
      </c>
      <c r="U22">
        <f t="shared" si="0"/>
        <v>10.58908078431373</v>
      </c>
      <c r="V22" s="2862" t="s">
        <v>8043</v>
      </c>
      <c r="W22" s="3565">
        <v>9.8510858823529404</v>
      </c>
    </row>
    <row r="23" spans="1:23" x14ac:dyDescent="0.2">
      <c r="A23" s="2404" t="s">
        <v>8051</v>
      </c>
      <c r="B23" s="2404" t="s">
        <v>8052</v>
      </c>
      <c r="C23" s="2407" t="s">
        <v>8031</v>
      </c>
      <c r="L23" s="1736" t="s">
        <v>949</v>
      </c>
      <c r="M23" s="1957" t="s">
        <v>949</v>
      </c>
      <c r="N23" t="s">
        <v>8012</v>
      </c>
      <c r="O23" s="1634">
        <v>0.95262578124999997</v>
      </c>
      <c r="P23" s="1634">
        <v>0.95262578124999997</v>
      </c>
      <c r="R23" s="2543">
        <f t="shared" si="3"/>
        <v>0.97</v>
      </c>
      <c r="S23" s="2547">
        <f t="shared" si="2"/>
        <v>0.97</v>
      </c>
      <c r="U23">
        <f t="shared" si="0"/>
        <v>1.1124490196078429</v>
      </c>
      <c r="V23" s="2862" t="s">
        <v>8056</v>
      </c>
      <c r="W23" s="3565">
        <v>1.9558000000000071</v>
      </c>
    </row>
    <row r="24" spans="1:23" x14ac:dyDescent="0.2">
      <c r="A24" s="2404" t="s">
        <v>8053</v>
      </c>
      <c r="B24" s="2404" t="s">
        <v>8054</v>
      </c>
      <c r="C24" s="2406">
        <v>4.4904260700389056</v>
      </c>
      <c r="L24" s="1736" t="s">
        <v>950</v>
      </c>
      <c r="M24" s="1736" t="s">
        <v>8016</v>
      </c>
      <c r="N24" t="s">
        <v>8017</v>
      </c>
      <c r="O24" s="1634">
        <v>35.573397656250002</v>
      </c>
      <c r="P24" s="1634">
        <v>35.573397656250002</v>
      </c>
      <c r="R24" s="2543">
        <f t="shared" si="3"/>
        <v>36.28</v>
      </c>
      <c r="S24" s="2547">
        <f t="shared" si="2"/>
        <v>36.28</v>
      </c>
      <c r="U24">
        <f t="shared" si="0"/>
        <v>6.3577694117646999</v>
      </c>
      <c r="V24" s="2862" t="s">
        <v>8058</v>
      </c>
      <c r="W24" s="3565">
        <v>7.4179647058823539</v>
      </c>
    </row>
    <row r="25" spans="1:23" x14ac:dyDescent="0.2">
      <c r="A25" s="2404" t="s">
        <v>8055</v>
      </c>
      <c r="B25" s="2404" t="s">
        <v>8056</v>
      </c>
      <c r="C25" s="2406">
        <v>1.9558000000000071</v>
      </c>
      <c r="L25" s="1736" t="s">
        <v>3334</v>
      </c>
      <c r="M25" s="1736" t="s">
        <v>8023</v>
      </c>
      <c r="N25" t="s">
        <v>8024</v>
      </c>
      <c r="O25" s="1634">
        <v>0.84661660156250096</v>
      </c>
      <c r="P25" s="1634">
        <v>0.84661660156250096</v>
      </c>
      <c r="R25" s="2543">
        <f t="shared" si="3"/>
        <v>0.86</v>
      </c>
      <c r="S25" s="2547">
        <f t="shared" si="2"/>
        <v>0.86</v>
      </c>
      <c r="U25">
        <f t="shared" si="0"/>
        <v>0.87777058823529408</v>
      </c>
      <c r="V25" s="2862" t="s">
        <v>8763</v>
      </c>
      <c r="W25" s="3565">
        <v>4.7453470588235263</v>
      </c>
    </row>
    <row r="26" spans="1:23" x14ac:dyDescent="0.2">
      <c r="A26" s="2404" t="s">
        <v>8057</v>
      </c>
      <c r="B26" s="2404" t="s">
        <v>8058</v>
      </c>
      <c r="C26" s="2406">
        <v>7.5332906614786008</v>
      </c>
      <c r="L26" s="1736" t="s">
        <v>5742</v>
      </c>
      <c r="M26" s="1736" t="s">
        <v>8004</v>
      </c>
      <c r="N26" t="s">
        <v>8005</v>
      </c>
      <c r="O26" s="1634">
        <v>1.08238046875</v>
      </c>
      <c r="P26" s="1634">
        <v>1.08238046875</v>
      </c>
      <c r="R26" s="2543">
        <f t="shared" si="3"/>
        <v>1.1000000000000001</v>
      </c>
      <c r="S26" s="2547">
        <f t="shared" si="2"/>
        <v>1.1000000000000001</v>
      </c>
      <c r="U26">
        <f t="shared" si="0"/>
        <v>1.1194745098039212</v>
      </c>
      <c r="V26" s="2863" t="s">
        <v>9954</v>
      </c>
      <c r="W26" s="3565">
        <v>72.455338039215675</v>
      </c>
    </row>
    <row r="27" spans="1:23" x14ac:dyDescent="0.2">
      <c r="L27" s="3571" t="s">
        <v>9243</v>
      </c>
      <c r="M27" s="1736" t="s">
        <v>9243</v>
      </c>
      <c r="N27" s="1634" t="s">
        <v>8346</v>
      </c>
      <c r="O27" s="1634"/>
      <c r="P27" s="1634">
        <v>19.831380859374999</v>
      </c>
      <c r="R27" s="3804">
        <f t="shared" si="3"/>
        <v>20.23</v>
      </c>
      <c r="S27" s="1634">
        <f t="shared" si="2"/>
        <v>20.23</v>
      </c>
      <c r="T27" s="1634"/>
      <c r="U27">
        <f t="shared" si="0"/>
        <v>21.556542352941179</v>
      </c>
      <c r="V27" s="2862" t="s">
        <v>8017</v>
      </c>
      <c r="W27" s="3565">
        <v>6.3577694117646999</v>
      </c>
    </row>
    <row r="28" spans="1:23" x14ac:dyDescent="0.2">
      <c r="L28" s="3571" t="s">
        <v>8348</v>
      </c>
      <c r="M28" s="1736" t="s">
        <v>8348</v>
      </c>
      <c r="N28" s="1634" t="s">
        <v>8347</v>
      </c>
      <c r="O28" s="1634">
        <v>19.829733593749999</v>
      </c>
      <c r="P28" s="1634">
        <v>19.829733593749999</v>
      </c>
      <c r="R28" s="3804">
        <f t="shared" si="3"/>
        <v>20.23</v>
      </c>
      <c r="S28" s="1634">
        <f t="shared" si="2"/>
        <v>20.23</v>
      </c>
      <c r="T28" s="1634"/>
      <c r="U28">
        <f t="shared" si="0"/>
        <v>16.175676470588233</v>
      </c>
      <c r="V28" s="2862" t="s">
        <v>8014</v>
      </c>
      <c r="W28" s="3565">
        <v>1.610881176470587</v>
      </c>
    </row>
    <row r="29" spans="1:23" x14ac:dyDescent="0.2">
      <c r="L29" s="3571" t="s">
        <v>8053</v>
      </c>
      <c r="M29" s="3571" t="s">
        <v>8053</v>
      </c>
      <c r="N29" t="s">
        <v>8054</v>
      </c>
      <c r="O29" s="1634">
        <v>4.9746347656249998</v>
      </c>
      <c r="P29" s="1634">
        <v>4.9746347656249998</v>
      </c>
      <c r="R29" s="3804">
        <f>IF(Q29&gt;0,ROUND(Q29*1.02,2),IF(O29&gt;0,ROUND(O29*1.02,2),ROUND(P29*1.02,2)))</f>
      </c>
      <c r="S29" s="1634">
        <f>R29</f>
      </c>
      <c r="T29" s="1634"/>
      <c r="U29" t="e">
        <f>VLOOKUP(N29,kambju,2,FALSE)</f>
      </c>
      <c r="V29" s="2862" t="s">
        <v>8010</v>
      </c>
      <c r="W29" s="3565">
        <v>1.4854772549019608</v>
      </c>
    </row>
    <row r="30" spans="1:23" x14ac:dyDescent="0.2">
      <c r="L30" s="3571" t="s">
        <v>8055</v>
      </c>
      <c r="M30" s="3571" t="s">
        <v>8055</v>
      </c>
      <c r="N30" t="s">
        <v>8056</v>
      </c>
      <c r="O30" s="1634">
        <v>1.95580000000001</v>
      </c>
      <c r="P30" s="1634">
        <v>1.95580000000001</v>
      </c>
      <c r="R30" s="3804">
        <f>IF(Q30&gt;0,ROUND(Q30*1.02,2),IF(O30&gt;0,ROUND(O30*1.02,2),ROUND(P30*1.02,2)))</f>
      </c>
      <c r="S30" s="1634">
        <f>R30</f>
      </c>
      <c r="T30" s="1634"/>
      <c r="U30">
        <f>VLOOKUP(N30,kambju,2,FALSE)</f>
      </c>
      <c r="V30" s="2862" t="s">
        <v>8018</v>
      </c>
      <c r="W30" s="3565">
        <v>7.7354913725490153</v>
      </c>
    </row>
    <row r="31" spans="1:23" x14ac:dyDescent="0.2">
      <c r="L31" s="3571"/>
      <c r="M31" s="3571"/>
      <c r="O31" s="1634"/>
      <c r="P31" s="1634"/>
      <c r="R31" s="3804"/>
      <c r="S31" s="1634"/>
      <c r="T31" s="1634"/>
      <c r="V31" s="2862"/>
      <c r="W31" s="3565"/>
    </row>
    <row r="32" spans="1:23" ht="12.75" customHeight="1" x14ac:dyDescent="0.2">
      <c r="L32" s="2053"/>
      <c r="M32" s="2053"/>
      <c r="N32" s="1634"/>
      <c r="O32" s="1634"/>
      <c r="P32" s="1634"/>
      <c r="Q32" s="3777"/>
      <c r="R32" s="3804"/>
      <c r="S32" s="1634"/>
      <c r="T32" s="1634"/>
      <c r="V32" s="2862"/>
      <c r="W32" s="3566"/>
    </row>
    <row r="33" spans="12:23" ht="13.5" customHeight="1" x14ac:dyDescent="0.2">
      <c r="L33" s="3571" t="s">
        <v>10212</v>
      </c>
      <c r="M33" s="3571" t="s">
        <v>10213</v>
      </c>
      <c r="N33" s="1634" t="s">
        <v>10214</v>
      </c>
      <c r="P33" s="1634"/>
      <c r="Q33" s="2864">
        <v>4.0060750000000001</v>
      </c>
      <c r="R33" s="3804">
        <f>IF(Q33&gt;0,ROUND(Q33*1.02,2),IF(O33&gt;0,ROUND(O33*1.02,2),ROUND(P33*1.02,2)))</f>
      </c>
      <c r="S33" s="3804">
        <f>R33</f>
      </c>
      <c r="T33" s="1634"/>
      <c r="V33" s="2862" t="s">
        <v>8764</v>
      </c>
      <c r="W33" s="3566">
        <v>1305.3173333333334</v>
      </c>
    </row>
    <row r="34" spans="12:23" x14ac:dyDescent="0.2">
      <c r="L34" s="3571" t="s">
        <v>10216</v>
      </c>
      <c r="M34" s="3571" t="s">
        <v>10216</v>
      </c>
      <c r="N34" s="1634" t="s">
        <v>10215</v>
      </c>
      <c r="Q34" s="2302">
        <v>3.9422999999999999</v>
      </c>
      <c r="R34" s="3804">
        <f>IF(Q34&gt;0,ROUND(Q34*1.02,2),IF(O34&gt;0,ROUND(O34*1.02,2),ROUND(P34*1.02,2)))</f>
      </c>
      <c r="S34" s="3804">
        <f>R34</f>
      </c>
      <c r="T34" s="1634"/>
      <c r="V34" s="2862" t="s">
        <v>9955</v>
      </c>
      <c r="W34" s="3565">
        <v>4.6374172549019601</v>
      </c>
    </row>
    <row r="35" spans="12:23" x14ac:dyDescent="0.2">
      <c r="L35" s="3571" t="s">
        <v>10217</v>
      </c>
      <c r="M35" s="3571" t="s">
        <v>10217</v>
      </c>
      <c r="N35" s="1634" t="s">
        <v>10218</v>
      </c>
      <c r="Q35" s="2302">
        <v>85414.633600000001</v>
      </c>
      <c r="R35" s="3804">
        <f>IF(Q35&gt;0,ROUND(Q35*1.02,2),IF(O35&gt;0,ROUND(O35*1.02,2),ROUND(P35*1.02,2)))</f>
      </c>
      <c r="S35" s="3804">
        <f>R35</f>
      </c>
      <c r="T35" s="1634"/>
      <c r="V35" s="2862" t="s">
        <v>8040</v>
      </c>
      <c r="W35" s="3565">
        <v>1.6998301960784319</v>
      </c>
    </row>
    <row r="36" spans="12:23" x14ac:dyDescent="0.2">
      <c r="L36" s="3571" t="s">
        <v>10220</v>
      </c>
      <c r="M36" s="3571" t="s">
        <v>10220</v>
      </c>
      <c r="N36" s="1634" t="s">
        <v>9957</v>
      </c>
      <c r="P36">
        <v>38.18108203125</v>
      </c>
      <c r="Q36" s="3777"/>
      <c r="R36" s="3804">
        <f>IF(Q36&gt;0,ROUND(Q36*1.02,2),IF(O36&gt;0,ROUND(O36*1.02,2),ROUND(P36*1.02,2)))</f>
      </c>
      <c r="S36" s="3804">
        <f>R36</f>
      </c>
      <c r="V36" s="2862" t="s">
        <v>9956</v>
      </c>
      <c r="W36" s="3570">
        <v>57.985054901960794</v>
      </c>
    </row>
    <row r="37" spans="12:23" x14ac:dyDescent="0.2">
      <c r="L37" s="3571" t="s">
        <v>10537</v>
      </c>
      <c r="M37" s="3571" t="s">
        <v>10537</v>
      </c>
      <c r="N37" s="1634" t="s">
        <v>8766</v>
      </c>
      <c r="P37">
        <v>5.8282828125000004</v>
      </c>
      <c r="Q37" s="3777"/>
      <c r="R37" s="3804">
        <f>IF(Q37&gt;0,ROUND(Q37*1.02,2),IF(O37&gt;0,ROUND(O37*1.02,2),ROUND(P37*1.02,2)))</f>
      </c>
      <c r="S37" s="3804">
        <f>R37</f>
      </c>
      <c r="V37" s="2862" t="s">
        <v>8765</v>
      </c>
      <c r="W37" s="3565">
        <v>1.5272827450980386</v>
      </c>
    </row>
    <row r="38" spans="12:23" x14ac:dyDescent="0.2">
      <c r="L38" s="3571" t="s">
        <v>10771</v>
      </c>
      <c r="M38" s="3571" t="s">
        <v>10771</v>
      </c>
      <c r="N38" s="1634" t="s">
        <v>10772</v>
      </c>
      <c r="Q38" s="2864">
        <v>1593.1588999999999</v>
      </c>
      <c r="R38" s="3804">
        <f t="shared" ref="R38" si="4">IF(Q38&gt;0,ROUND(Q38*1.02,2),IF(O38&gt;0,ROUND(O38*1.02,2),ROUND(P38*1.02,2)))</f>
      </c>
      <c r="S38" s="3804">
        <f t="shared" ref="S38" si="5">R38</f>
      </c>
      <c r="V38" s="2862" t="s">
        <v>9957</v>
      </c>
      <c r="W38" s="3568">
        <v>34.756949019607845</v>
      </c>
    </row>
    <row r="39" spans="12:23" x14ac:dyDescent="0.2">
      <c r="R39" s="3804"/>
      <c r="S39" s="3804"/>
      <c r="V39" s="2862" t="s">
        <v>8347</v>
      </c>
      <c r="W39" s="3565">
        <v>16.175676470588233</v>
      </c>
    </row>
    <row r="40" spans="12:23" x14ac:dyDescent="0.2">
      <c r="V40" s="2862" t="s">
        <v>8766</v>
      </c>
      <c r="W40" s="3565">
        <v>4.4134333333333347</v>
      </c>
    </row>
    <row r="41" spans="12:23" x14ac:dyDescent="0.2">
      <c r="V41" s="2862" t="s">
        <v>8346</v>
      </c>
      <c r="W41" s="3565">
        <v>21.556542352941179</v>
      </c>
    </row>
    <row r="42" spans="12:23" x14ac:dyDescent="0.2">
      <c r="V42" s="2862" t="s">
        <v>8032</v>
      </c>
      <c r="W42" s="3565">
        <v>78.836139999999958</v>
      </c>
    </row>
    <row r="43" spans="12:23" x14ac:dyDescent="0.2">
      <c r="V43" s="2862" t="s">
        <v>8767</v>
      </c>
      <c r="W43" s="3565">
        <v>3.9900643137254925</v>
      </c>
    </row>
  </sheetData>
  <sheetProtection algorithmName="SHA-512" hashValue="p98QqM9ly0h8DjEa17QzT8RyLc0ucLyR4DxQbc4ds60rmEwcs7y8Sgzgluyyv48+kg47AQG0rQe29kflUbQurQ==" saltValue="pbPjbs6NW88iQekJ31yV9A==" spinCount="100000" sheet="1" objects="1" scenarios="1"/>
  <mergeCells count="3">
    <mergeCell ref="A1:I1"/>
    <mergeCell ref="O2:Q2"/>
    <mergeCell ref="M1:U1"/>
  </mergeCells>
  <pageMargins left="0.7" right="0.7" top="0.75" bottom="0.75" header="0.3" footer="0.3"/>
  <pageSetup paperSize="9" orientation="portrait" r:id="rId1"/>
  <drawing r:id="rId2"/>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08"/>
  <dimension ref="A1:AE79"/>
  <sheetViews>
    <sheetView topLeftCell="D66" workbookViewId="0">
      <selection activeCell="D66" sqref="A1:XFD1048576"/>
    </sheetView>
  </sheetViews>
  <sheetFormatPr defaultColWidth="9.28515625" defaultRowHeight="12.75" x14ac:dyDescent="0.2"/>
  <cols>
    <col min="1" max="2" width="9.28515625" style="2313"/>
    <col min="3" max="3" width="47.42578125" style="2313" bestFit="1" customWidth="1"/>
    <col min="4" max="7" width="9.28515625" style="2314"/>
    <col min="8" max="12" width="9.28515625" style="2313"/>
    <col min="13" max="13" width="24.7109375" style="2313" customWidth="1"/>
    <col min="14" max="14" width="9.28515625" style="2329"/>
    <col min="15" max="16" width="9.28515625" style="2313"/>
    <col min="17" max="17" width="9.28515625" style="2329"/>
    <col min="18" max="18" width="9.28515625" style="2313"/>
    <col min="19" max="19" width="12.5703125" style="2313" customWidth="1"/>
    <col min="20" max="20" width="9.28515625" style="2329"/>
    <col min="21" max="22" width="9.28515625" style="2313"/>
    <col min="23" max="23" width="9.28515625" style="2329"/>
    <col min="24" max="25" width="9.28515625" style="2313"/>
    <col min="26" max="26" width="9.28515625" style="2329"/>
    <col min="27" max="28" width="9.28515625" style="2313"/>
    <col min="29" max="29" width="9.28515625" style="2329"/>
    <col min="30" max="16384" width="9.28515625" style="2313"/>
  </cols>
  <sheetData>
    <row r="1" spans="1:31" ht="13.5" thickBot="1" x14ac:dyDescent="0.25">
      <c r="A1" s="2311" t="s">
        <v>7644</v>
      </c>
      <c r="B1" s="2312">
        <f>ya</f>
      </c>
      <c r="L1" s="2315"/>
      <c r="M1" s="2316"/>
      <c r="N1" s="2317"/>
      <c r="O1" s="2316"/>
      <c r="P1" s="2316"/>
      <c r="Q1" s="2317"/>
      <c r="R1" s="2316"/>
      <c r="S1" s="2316"/>
      <c r="T1" s="5703" t="s">
        <v>7650</v>
      </c>
      <c r="U1" s="5703"/>
      <c r="V1" s="5703"/>
      <c r="W1" s="5703"/>
      <c r="X1" s="5703"/>
      <c r="Y1" s="5703"/>
      <c r="Z1" s="5703" t="s">
        <v>7651</v>
      </c>
      <c r="AA1" s="5703"/>
      <c r="AB1" s="5703"/>
      <c r="AC1" s="5703"/>
      <c r="AD1" s="5703"/>
      <c r="AE1" s="5704"/>
    </row>
    <row r="2" spans="1:31" x14ac:dyDescent="0.2">
      <c r="L2" s="2318"/>
      <c r="N2" s="5708" t="s">
        <v>5806</v>
      </c>
      <c r="O2" s="5703"/>
      <c r="P2" s="5704"/>
      <c r="Q2" s="5708" t="s">
        <v>363</v>
      </c>
      <c r="R2" s="5703"/>
      <c r="S2" s="5704"/>
      <c r="T2" s="5701" t="s">
        <v>5806</v>
      </c>
      <c r="U2" s="5702"/>
      <c r="V2" s="5702"/>
      <c r="W2" s="5701" t="s">
        <v>363</v>
      </c>
      <c r="X2" s="5702"/>
      <c r="Y2" s="5702"/>
      <c r="Z2" s="5702" t="s">
        <v>5806</v>
      </c>
      <c r="AA2" s="5702"/>
      <c r="AB2" s="5702"/>
      <c r="AC2" s="5701" t="s">
        <v>363</v>
      </c>
      <c r="AD2" s="5702"/>
      <c r="AE2" s="5705"/>
    </row>
    <row r="3" spans="1:31" x14ac:dyDescent="0.2">
      <c r="B3" s="1887" t="s">
        <v>970</v>
      </c>
      <c r="C3" s="1887" t="s">
        <v>3331</v>
      </c>
      <c r="D3" s="2319" t="s">
        <v>5806</v>
      </c>
      <c r="E3" s="2319" t="s">
        <v>363</v>
      </c>
      <c r="F3" s="2319" t="s">
        <v>2372</v>
      </c>
      <c r="G3" s="2319" t="s">
        <v>5590</v>
      </c>
      <c r="L3" s="2320" t="s">
        <v>951</v>
      </c>
      <c r="M3" s="1887" t="s">
        <v>7682</v>
      </c>
      <c r="N3" s="2321" t="s">
        <v>5392</v>
      </c>
      <c r="O3" s="2322" t="s">
        <v>7648</v>
      </c>
      <c r="P3" s="2323" t="s">
        <v>7649</v>
      </c>
      <c r="Q3" s="2321" t="s">
        <v>5392</v>
      </c>
      <c r="R3" s="2322" t="s">
        <v>7648</v>
      </c>
      <c r="S3" s="2323" t="s">
        <v>7649</v>
      </c>
      <c r="T3" s="2324" t="s">
        <v>5392</v>
      </c>
      <c r="U3" s="2322" t="s">
        <v>7648</v>
      </c>
      <c r="V3" s="2322" t="s">
        <v>7649</v>
      </c>
      <c r="W3" s="2324" t="s">
        <v>5392</v>
      </c>
      <c r="X3" s="2322" t="s">
        <v>7648</v>
      </c>
      <c r="Y3" s="2322" t="s">
        <v>7649</v>
      </c>
      <c r="Z3" s="2325" t="s">
        <v>5392</v>
      </c>
      <c r="AA3" s="2322" t="s">
        <v>7648</v>
      </c>
      <c r="AB3" s="2322" t="s">
        <v>7649</v>
      </c>
      <c r="AC3" s="2324" t="s">
        <v>5392</v>
      </c>
      <c r="AD3" s="2322" t="s">
        <v>7648</v>
      </c>
      <c r="AE3" s="2323" t="s">
        <v>7649</v>
      </c>
    </row>
    <row r="4" spans="1:31" x14ac:dyDescent="0.2">
      <c r="C4" s="2326" t="s">
        <v>7646</v>
      </c>
      <c r="D4" s="2314">
        <f>'p5'!D9</f>
      </c>
      <c r="E4" s="2314">
        <f>'p5'!F9</f>
      </c>
      <c r="F4" s="2314">
        <f>'p5'!H9</f>
      </c>
      <c r="L4" s="2318"/>
      <c r="N4" s="2327">
        <f>'TRA35'!T3</f>
      </c>
      <c r="O4" s="2313">
        <f>'TRA35'!V3</f>
      </c>
      <c r="P4" s="2328">
        <f>'TRA35'!W3</f>
      </c>
      <c r="Q4" s="2327">
        <f>'TRA35'!U3</f>
      </c>
      <c r="R4" s="2313">
        <f>'TRA35'!X3</f>
      </c>
      <c r="S4" s="2328">
        <f>'TRA35'!Y3</f>
      </c>
      <c r="T4" s="2329">
        <f>IF(N4=0,0,IF(N4&gt;0.344,0,N4))</f>
      </c>
      <c r="U4" s="2313">
        <f>IF(T4&gt;0,O4,0)</f>
      </c>
      <c r="V4" s="2330">
        <f>IF(T4&gt;0,P4,0)</f>
      </c>
      <c r="W4" s="2329">
        <f>IF(Q4&gt;0.344,0,Q4)</f>
      </c>
      <c r="X4" s="2313">
        <f>IF(W4&gt;0,R4,0)</f>
      </c>
      <c r="Y4" s="2330">
        <f>IF(W4&gt;0,S4,0)</f>
      </c>
      <c r="Z4" s="2331">
        <f>IF(N4&gt;0.344,N4,0)</f>
      </c>
      <c r="AA4" s="2313">
        <f t="shared" ref="AA4:AB6" si="0">IF(Z4&gt;0,O4,0)</f>
      </c>
      <c r="AB4" s="2330">
        <f t="shared" si="0"/>
        <v>0</v>
      </c>
      <c r="AC4" s="2329">
        <f>IF(Q4&gt;0.344,Q4,0)</f>
      </c>
      <c r="AD4" s="2313">
        <f t="shared" ref="AD4:AE6" si="1">IF(AC4&gt;0,R4,0)</f>
      </c>
      <c r="AE4" s="2328">
        <f t="shared" si="1"/>
        <v>0</v>
      </c>
    </row>
    <row r="5" spans="1:31" x14ac:dyDescent="0.2">
      <c r="C5" s="1887" t="s">
        <v>7647</v>
      </c>
      <c r="D5" s="2314">
        <f>'p5'!D14*-1</f>
      </c>
      <c r="E5" s="2314">
        <f>'p5'!F14*-1</f>
      </c>
      <c r="F5" s="2314">
        <f>'p5'!H14*-1</f>
      </c>
      <c r="L5" s="2318"/>
      <c r="N5" s="2327">
        <f>'TRA35'!T4</f>
      </c>
      <c r="O5" s="2313">
        <f>'TRA35'!V4</f>
      </c>
      <c r="P5" s="2328">
        <f>'TRA35'!W4</f>
      </c>
      <c r="Q5" s="2327">
        <f>'TRA35'!U4</f>
      </c>
      <c r="R5" s="2313">
        <f>'TRA35'!X4</f>
      </c>
      <c r="S5" s="2328">
        <f>'TRA35'!Y4</f>
      </c>
      <c r="T5" s="2329">
        <f t="shared" ref="T5:T24" si="2">IF(N5=0,0,IF(N5&gt;0.344,0,N5))</f>
      </c>
      <c r="U5" s="2313">
        <f t="shared" ref="U5:U24" si="3">IF(T5&gt;0,O5,0)</f>
      </c>
      <c r="V5" s="2330">
        <f t="shared" ref="V5:V24" si="4">IF(T5&gt;0,P5,0)</f>
      </c>
      <c r="W5" s="2329">
        <f t="shared" ref="W5:W24" si="5">IF(Q5&gt;0.344,0,Q5)</f>
      </c>
      <c r="X5" s="2313">
        <f t="shared" ref="X5:X24" si="6">IF(W5&gt;0,R5,0)</f>
      </c>
      <c r="Y5" s="2330">
        <f t="shared" ref="Y5:Y24" si="7">IF(W5&gt;0,S5,0)</f>
      </c>
      <c r="Z5" s="2331">
        <f t="shared" ref="Z5:Z24" si="8">IF(N5&gt;0.344,N5,0)</f>
      </c>
      <c r="AA5" s="2313">
        <f t="shared" si="0"/>
        <v>0</v>
      </c>
      <c r="AB5" s="2330">
        <f t="shared" si="0"/>
        <v>0</v>
      </c>
      <c r="AC5" s="2329">
        <f t="shared" ref="AC5:AC24" si="9">IF(Q5&gt;0.344,Q5,0)</f>
      </c>
      <c r="AD5" s="2313">
        <f t="shared" si="1"/>
        <v>0</v>
      </c>
      <c r="AE5" s="2328">
        <f t="shared" si="1"/>
        <v>0</v>
      </c>
    </row>
    <row r="6" spans="1:31" x14ac:dyDescent="0.2">
      <c r="C6" s="1887" t="s">
        <v>7653</v>
      </c>
      <c r="D6" s="2314">
        <f>U30</f>
      </c>
      <c r="E6" s="2314">
        <f>X30</f>
      </c>
      <c r="L6" s="2318"/>
      <c r="N6" s="2327">
        <f>'TRA35'!T5</f>
      </c>
      <c r="O6" s="2313">
        <f>'TRA35'!V5</f>
      </c>
      <c r="P6" s="2328">
        <f>'TRA35'!W5</f>
      </c>
      <c r="Q6" s="2327">
        <f>'TRA35'!U5</f>
      </c>
      <c r="R6" s="2313">
        <f>'TRA35'!X5</f>
      </c>
      <c r="S6" s="2328">
        <f>'TRA35'!Y5</f>
      </c>
      <c r="T6" s="2329">
        <f t="shared" si="2"/>
        <v>0</v>
      </c>
      <c r="U6" s="2313">
        <f t="shared" si="3"/>
        <v>0</v>
      </c>
      <c r="V6" s="2330">
        <f t="shared" si="4"/>
        <v>0</v>
      </c>
      <c r="W6" s="2329">
        <f t="shared" si="5"/>
        <v>0</v>
      </c>
      <c r="X6" s="2313">
        <f t="shared" si="6"/>
        <v>0</v>
      </c>
      <c r="Y6" s="2330">
        <f t="shared" si="7"/>
        <v>0</v>
      </c>
      <c r="Z6" s="2331">
        <f t="shared" si="8"/>
        <v>0</v>
      </c>
      <c r="AA6" s="2313">
        <f t="shared" si="0"/>
        <v>0</v>
      </c>
      <c r="AB6" s="2330">
        <f t="shared" si="0"/>
        <v>0</v>
      </c>
      <c r="AC6" s="2329">
        <f t="shared" si="9"/>
        <v>0</v>
      </c>
      <c r="AD6" s="2313">
        <f t="shared" si="1"/>
        <v>0</v>
      </c>
      <c r="AE6" s="2328">
        <f t="shared" si="1"/>
        <v>0</v>
      </c>
    </row>
    <row r="7" spans="1:31" x14ac:dyDescent="0.2">
      <c r="C7" s="1887" t="s">
        <v>7654</v>
      </c>
      <c r="D7" s="2314">
        <f>D4+D5+D6</f>
      </c>
      <c r="E7" s="2314">
        <f>E4+E5+E6</f>
      </c>
      <c r="F7" s="2314">
        <f>F4+F5+F6</f>
      </c>
      <c r="L7" s="2318"/>
      <c r="N7" s="2327"/>
      <c r="P7" s="2328"/>
      <c r="Q7" s="2327"/>
      <c r="S7" s="2328"/>
      <c r="T7" s="2313"/>
      <c r="V7" s="2330"/>
      <c r="W7" s="2313"/>
      <c r="Y7" s="2330"/>
      <c r="Z7" s="2332"/>
      <c r="AB7" s="2330"/>
      <c r="AC7" s="2313"/>
      <c r="AE7" s="2328"/>
    </row>
    <row r="8" spans="1:31" x14ac:dyDescent="0.2">
      <c r="C8" s="1887" t="s">
        <v>7656</v>
      </c>
      <c r="L8" s="2318"/>
      <c r="N8" s="2327"/>
      <c r="P8" s="2328"/>
      <c r="Q8" s="2327"/>
      <c r="S8" s="2328"/>
      <c r="T8" s="2313"/>
      <c r="V8" s="2330"/>
      <c r="W8" s="2313"/>
      <c r="Y8" s="2330"/>
      <c r="Z8" s="2332"/>
      <c r="AB8" s="2330"/>
      <c r="AC8" s="2313"/>
      <c r="AE8" s="2328"/>
    </row>
    <row r="9" spans="1:31" x14ac:dyDescent="0.2">
      <c r="C9" s="1887" t="s">
        <v>7660</v>
      </c>
      <c r="D9" s="2314">
        <f>V30</f>
      </c>
      <c r="E9" s="2314">
        <f>Y30</f>
      </c>
      <c r="L9" s="2318"/>
      <c r="N9" s="2327"/>
      <c r="P9" s="2328"/>
      <c r="Q9" s="2327"/>
      <c r="S9" s="2328"/>
      <c r="T9" s="2313"/>
      <c r="V9" s="2330"/>
      <c r="W9" s="2313"/>
      <c r="Y9" s="2330"/>
      <c r="Z9" s="2332"/>
      <c r="AB9" s="2330"/>
      <c r="AC9" s="2313"/>
      <c r="AE9" s="2328"/>
    </row>
    <row r="10" spans="1:31" x14ac:dyDescent="0.2">
      <c r="C10" s="2333" t="s">
        <v>7655</v>
      </c>
      <c r="D10" s="2334">
        <f>IF(D7-D9&gt;2,1,0)</f>
      </c>
      <c r="E10" s="2334">
        <f>IF(E7-E9&gt;2,1,0)</f>
      </c>
      <c r="F10" s="2334">
        <f>IF(F7&gt;0,1,0)</f>
      </c>
      <c r="L10" s="2318"/>
      <c r="N10" s="2327"/>
      <c r="P10" s="2328"/>
      <c r="Q10" s="2327"/>
      <c r="S10" s="2328"/>
      <c r="T10" s="2313"/>
      <c r="V10" s="2330"/>
      <c r="W10" s="2313"/>
      <c r="Y10" s="2330"/>
      <c r="Z10" s="2332"/>
      <c r="AB10" s="2330"/>
      <c r="AC10" s="2313"/>
      <c r="AE10" s="2328"/>
    </row>
    <row r="11" spans="1:31" x14ac:dyDescent="0.2">
      <c r="L11" s="2318"/>
      <c r="N11" s="2327"/>
      <c r="P11" s="2328"/>
      <c r="Q11" s="2327"/>
      <c r="S11" s="2328"/>
      <c r="T11" s="2313"/>
      <c r="V11" s="2330"/>
      <c r="W11" s="2313"/>
      <c r="Y11" s="2330"/>
      <c r="Z11" s="2332"/>
      <c r="AB11" s="2330"/>
      <c r="AC11" s="2313"/>
      <c r="AE11" s="2328"/>
    </row>
    <row r="12" spans="1:31" x14ac:dyDescent="0.2">
      <c r="L12" s="2318"/>
      <c r="N12" s="2327"/>
      <c r="P12" s="2328"/>
      <c r="Q12" s="2327"/>
      <c r="S12" s="2328"/>
      <c r="T12" s="2313"/>
      <c r="V12" s="2330"/>
      <c r="W12" s="2313"/>
      <c r="Y12" s="2330"/>
      <c r="Z12" s="2332"/>
      <c r="AB12" s="2330"/>
      <c r="AC12" s="2313"/>
      <c r="AE12" s="2328"/>
    </row>
    <row r="13" spans="1:31" x14ac:dyDescent="0.2">
      <c r="B13" s="1887" t="s">
        <v>970</v>
      </c>
      <c r="C13" s="2326" t="s">
        <v>7645</v>
      </c>
      <c r="D13" s="2314">
        <f>'p5'!D10</f>
      </c>
      <c r="E13" s="2314">
        <f>'p5'!F10</f>
      </c>
      <c r="F13" s="2314">
        <f>'p5'!H10</f>
      </c>
      <c r="L13" s="2318"/>
      <c r="N13" s="2327"/>
      <c r="P13" s="2328"/>
      <c r="Q13" s="2327"/>
      <c r="S13" s="2328"/>
      <c r="T13" s="2313"/>
      <c r="V13" s="2330"/>
      <c r="W13" s="2313"/>
      <c r="Y13" s="2330"/>
      <c r="Z13" s="2332"/>
      <c r="AB13" s="2330"/>
      <c r="AC13" s="2313"/>
      <c r="AE13" s="2328"/>
    </row>
    <row r="14" spans="1:31" x14ac:dyDescent="0.2">
      <c r="C14" s="1887" t="s">
        <v>7657</v>
      </c>
      <c r="D14" s="2314">
        <f>'p5'!D15*-1</f>
      </c>
      <c r="E14" s="2314">
        <f>'p5'!F15*-1</f>
      </c>
      <c r="F14" s="2314">
        <f>'p5'!H15*-1</f>
      </c>
      <c r="L14" s="2318"/>
      <c r="N14" s="2327">
        <f>'TRA35'!T13</f>
      </c>
      <c r="O14" s="2313">
        <f>'TRA35'!V13</f>
      </c>
      <c r="P14" s="2328">
        <f>'TRA35'!W13</f>
      </c>
      <c r="Q14" s="2327">
        <f>'TRA35'!U13</f>
      </c>
      <c r="R14" s="2313">
        <f>'TRA35'!X13</f>
      </c>
      <c r="S14" s="2328">
        <f>'TRA35'!Y13</f>
      </c>
      <c r="T14" s="2329">
        <f t="shared" si="2"/>
        <v>0</v>
      </c>
      <c r="U14" s="2313">
        <f t="shared" si="3"/>
        <v>0</v>
      </c>
      <c r="V14" s="2330">
        <f t="shared" si="4"/>
        <v>0</v>
      </c>
      <c r="W14" s="2329">
        <f t="shared" si="5"/>
        <v>0</v>
      </c>
      <c r="X14" s="2313">
        <f t="shared" si="6"/>
        <v>0</v>
      </c>
      <c r="Y14" s="2330">
        <f t="shared" si="7"/>
        <v>0</v>
      </c>
      <c r="Z14" s="2331">
        <f t="shared" si="8"/>
        <v>0</v>
      </c>
      <c r="AA14" s="2313">
        <f>IF(Z14&gt;0,O14,0)</f>
      </c>
      <c r="AB14" s="2330">
        <f>IF(AA14&gt;0,P14,0)</f>
      </c>
      <c r="AC14" s="2329">
        <f t="shared" si="9"/>
        <v>0</v>
      </c>
      <c r="AD14" s="2313">
        <f>IF(AC14&gt;0,R14,0)</f>
      </c>
      <c r="AE14" s="2328">
        <f>IF(AD14&gt;0,S14,0)</f>
      </c>
    </row>
    <row r="15" spans="1:31" x14ac:dyDescent="0.2">
      <c r="C15" s="1887" t="s">
        <v>7653</v>
      </c>
      <c r="D15" s="2314">
        <f>AA30</f>
      </c>
      <c r="E15" s="2314">
        <f>AD30</f>
      </c>
      <c r="L15" s="2318"/>
      <c r="N15" s="2327"/>
      <c r="P15" s="2328"/>
      <c r="Q15" s="2327"/>
      <c r="S15" s="2328"/>
      <c r="T15" s="2313"/>
      <c r="V15" s="2330"/>
      <c r="W15" s="2313"/>
      <c r="Y15" s="2330"/>
      <c r="Z15" s="2332"/>
      <c r="AB15" s="2330"/>
      <c r="AC15" s="2313"/>
      <c r="AE15" s="2328"/>
    </row>
    <row r="16" spans="1:31" x14ac:dyDescent="0.2">
      <c r="C16" s="1887" t="s">
        <v>7654</v>
      </c>
      <c r="D16" s="2314">
        <f>D13+D14+D15</f>
      </c>
      <c r="E16" s="2314">
        <f>E13+E14+E15</f>
      </c>
      <c r="F16" s="2314">
        <f>F13+F14+F15</f>
      </c>
      <c r="L16" s="2318"/>
      <c r="N16" s="2327">
        <f>'TRA35'!T15</f>
      </c>
      <c r="O16" s="2313">
        <f>'TRA35'!V15</f>
      </c>
      <c r="P16" s="2328">
        <f>'TRA35'!W15</f>
      </c>
      <c r="Q16" s="2327">
        <f>'TRA35'!U15</f>
      </c>
      <c r="R16" s="2313">
        <f>'TRA35'!X15</f>
      </c>
      <c r="S16" s="2328">
        <f>'TRA35'!Y15</f>
      </c>
      <c r="T16" s="2329">
        <f t="shared" si="2"/>
        <v>0</v>
      </c>
      <c r="U16" s="2313">
        <f t="shared" si="3"/>
        <v>0</v>
      </c>
      <c r="V16" s="2330">
        <f t="shared" si="4"/>
        <v>0</v>
      </c>
      <c r="W16" s="2329">
        <f t="shared" si="5"/>
        <v>0</v>
      </c>
      <c r="X16" s="2313">
        <f t="shared" si="6"/>
        <v>0</v>
      </c>
      <c r="Y16" s="2330">
        <f t="shared" si="7"/>
        <v>0</v>
      </c>
      <c r="Z16" s="2331">
        <f t="shared" si="8"/>
        <v>0</v>
      </c>
      <c r="AA16" s="2313">
        <f t="shared" ref="AA16:AA24" si="10">IF(Z16&gt;0,O16,0)</f>
      </c>
      <c r="AB16" s="2330">
        <f t="shared" ref="AB16:AB24" si="11">IF(AA16&gt;0,P16,0)</f>
      </c>
      <c r="AC16" s="2329">
        <f t="shared" si="9"/>
        <v>0</v>
      </c>
      <c r="AD16" s="2313">
        <f t="shared" ref="AD16:AD24" si="12">IF(AC16&gt;0,R16,0)</f>
      </c>
      <c r="AE16" s="2328">
        <f t="shared" ref="AE16:AE24" si="13">IF(AD16&gt;0,S16,0)</f>
      </c>
    </row>
    <row r="17" spans="1:31" x14ac:dyDescent="0.2">
      <c r="C17" s="1887" t="s">
        <v>7658</v>
      </c>
      <c r="L17" s="2318"/>
      <c r="N17" s="2327">
        <f>'TRA35'!T16</f>
      </c>
      <c r="O17" s="2313">
        <f>'TRA35'!V16</f>
      </c>
      <c r="P17" s="2328">
        <f>'TRA35'!W16</f>
      </c>
      <c r="Q17" s="2327">
        <f>'TRA35'!U16</f>
      </c>
      <c r="R17" s="2313">
        <f>'TRA35'!X16</f>
      </c>
      <c r="S17" s="2328">
        <f>'TRA35'!Y16</f>
      </c>
      <c r="T17" s="2329">
        <f t="shared" si="2"/>
        <v>0</v>
      </c>
      <c r="U17" s="2313">
        <f t="shared" si="3"/>
        <v>0</v>
      </c>
      <c r="V17" s="2330">
        <f t="shared" si="4"/>
        <v>0</v>
      </c>
      <c r="W17" s="2329">
        <f t="shared" si="5"/>
        <v>0</v>
      </c>
      <c r="X17" s="2313">
        <f t="shared" si="6"/>
        <v>0</v>
      </c>
      <c r="Y17" s="2330">
        <f t="shared" si="7"/>
        <v>0</v>
      </c>
      <c r="Z17" s="2331">
        <f t="shared" si="8"/>
        <v>0</v>
      </c>
      <c r="AA17" s="2313">
        <f t="shared" si="10"/>
        <v>0</v>
      </c>
      <c r="AB17" s="2330">
        <f t="shared" si="11"/>
        <v>0</v>
      </c>
      <c r="AC17" s="2329">
        <f t="shared" si="9"/>
        <v>0</v>
      </c>
      <c r="AD17" s="2313">
        <f t="shared" si="12"/>
        <v>0</v>
      </c>
      <c r="AE17" s="2328">
        <f t="shared" si="13"/>
        <v>0</v>
      </c>
    </row>
    <row r="18" spans="1:31" x14ac:dyDescent="0.2">
      <c r="C18" s="1887" t="s">
        <v>7660</v>
      </c>
      <c r="D18" s="2314">
        <f>AB30</f>
      </c>
      <c r="E18" s="2314">
        <f>AE30</f>
      </c>
      <c r="L18" s="2318"/>
      <c r="N18" s="2327">
        <f>'TRA35'!T17</f>
      </c>
      <c r="O18" s="2313">
        <f>'TRA35'!V17</f>
      </c>
      <c r="P18" s="2328">
        <f>'TRA35'!W17</f>
      </c>
      <c r="Q18" s="2327">
        <f>'TRA35'!U17</f>
      </c>
      <c r="R18" s="2313">
        <f>'TRA35'!X17</f>
      </c>
      <c r="S18" s="2328">
        <f>'TRA35'!Y17</f>
      </c>
      <c r="T18" s="2329">
        <f t="shared" si="2"/>
        <v>0</v>
      </c>
      <c r="U18" s="2313">
        <f t="shared" si="3"/>
        <v>0</v>
      </c>
      <c r="V18" s="2330">
        <f t="shared" si="4"/>
        <v>0</v>
      </c>
      <c r="W18" s="2329">
        <f t="shared" si="5"/>
        <v>0</v>
      </c>
      <c r="X18" s="2313">
        <f t="shared" si="6"/>
        <v>0</v>
      </c>
      <c r="Y18" s="2330">
        <f t="shared" si="7"/>
        <v>0</v>
      </c>
      <c r="Z18" s="2331">
        <f t="shared" si="8"/>
        <v>0</v>
      </c>
      <c r="AA18" s="2313">
        <f t="shared" si="10"/>
        <v>0</v>
      </c>
      <c r="AB18" s="2330">
        <f t="shared" si="11"/>
        <v>0</v>
      </c>
      <c r="AC18" s="2329">
        <f t="shared" si="9"/>
        <v>0</v>
      </c>
      <c r="AD18" s="2313">
        <f t="shared" si="12"/>
        <v>0</v>
      </c>
      <c r="AE18" s="2328">
        <f t="shared" si="13"/>
        <v>0</v>
      </c>
    </row>
    <row r="19" spans="1:31" x14ac:dyDescent="0.2">
      <c r="C19" s="2333" t="s">
        <v>7659</v>
      </c>
      <c r="D19" s="2334">
        <f>IF(D16-D18&gt;2,1,0)</f>
      </c>
      <c r="E19" s="2334">
        <f>IF(E16-E18&gt;2,1,0)</f>
      </c>
      <c r="F19" s="2334">
        <f>IF(F16&gt;0,1,0)</f>
      </c>
      <c r="G19" s="2008">
        <f>SUM(D19:F19)</f>
      </c>
      <c r="L19" s="2318"/>
      <c r="N19" s="2327">
        <f>'TRA35'!T18</f>
      </c>
      <c r="O19" s="2313">
        <f>'TRA35'!V18</f>
      </c>
      <c r="P19" s="2328">
        <f>'TRA35'!W18</f>
      </c>
      <c r="Q19" s="2327">
        <f>'TRA35'!U18</f>
      </c>
      <c r="R19" s="2313">
        <f>'TRA35'!X18</f>
      </c>
      <c r="S19" s="2328">
        <f>'TRA35'!Y18</f>
      </c>
      <c r="T19" s="2329">
        <f t="shared" si="2"/>
        <v>0</v>
      </c>
      <c r="U19" s="2313">
        <f t="shared" si="3"/>
        <v>0</v>
      </c>
      <c r="V19" s="2330">
        <f t="shared" si="4"/>
        <v>0</v>
      </c>
      <c r="W19" s="2329">
        <f t="shared" si="5"/>
        <v>0</v>
      </c>
      <c r="X19" s="2313">
        <f t="shared" si="6"/>
        <v>0</v>
      </c>
      <c r="Y19" s="2330">
        <f t="shared" si="7"/>
        <v>0</v>
      </c>
      <c r="Z19" s="2331">
        <f t="shared" si="8"/>
        <v>0</v>
      </c>
      <c r="AA19" s="2313">
        <f t="shared" si="10"/>
        <v>0</v>
      </c>
      <c r="AB19" s="2330">
        <f t="shared" si="11"/>
        <v>0</v>
      </c>
      <c r="AC19" s="2329">
        <f t="shared" si="9"/>
        <v>0</v>
      </c>
      <c r="AD19" s="2313">
        <f t="shared" si="12"/>
        <v>0</v>
      </c>
      <c r="AE19" s="2328">
        <f t="shared" si="13"/>
        <v>0</v>
      </c>
    </row>
    <row r="20" spans="1:31" x14ac:dyDescent="0.2">
      <c r="L20" s="2318"/>
      <c r="N20" s="2327">
        <f>'TRA35'!T19</f>
      </c>
      <c r="O20" s="2313">
        <f>'TRA35'!V19</f>
      </c>
      <c r="P20" s="2328">
        <f>'TRA35'!W19</f>
      </c>
      <c r="Q20" s="2327">
        <f>'TRA35'!U19</f>
      </c>
      <c r="R20" s="2313">
        <f>'TRA35'!X19</f>
      </c>
      <c r="S20" s="2328">
        <f>'TRA35'!Y19</f>
      </c>
      <c r="T20" s="2329">
        <f t="shared" si="2"/>
        <v>0</v>
      </c>
      <c r="U20" s="2313">
        <f t="shared" si="3"/>
        <v>0</v>
      </c>
      <c r="V20" s="2330">
        <f t="shared" si="4"/>
        <v>0</v>
      </c>
      <c r="W20" s="2329">
        <f t="shared" si="5"/>
        <v>0</v>
      </c>
      <c r="X20" s="2313">
        <f t="shared" si="6"/>
        <v>0</v>
      </c>
      <c r="Y20" s="2330">
        <f t="shared" si="7"/>
        <v>0</v>
      </c>
      <c r="Z20" s="2331">
        <f t="shared" si="8"/>
        <v>0</v>
      </c>
      <c r="AA20" s="2313">
        <f t="shared" si="10"/>
        <v>0</v>
      </c>
      <c r="AB20" s="2330">
        <f t="shared" si="11"/>
        <v>0</v>
      </c>
      <c r="AC20" s="2329">
        <f t="shared" si="9"/>
        <v>0</v>
      </c>
      <c r="AD20" s="2313">
        <f t="shared" si="12"/>
        <v>0</v>
      </c>
      <c r="AE20" s="2328">
        <f t="shared" si="13"/>
        <v>0</v>
      </c>
    </row>
    <row r="21" spans="1:31" ht="15.75" x14ac:dyDescent="0.25">
      <c r="C21" s="2335" t="s">
        <v>7681</v>
      </c>
      <c r="L21" s="2318"/>
      <c r="N21" s="2327">
        <f>'TRA35'!T24</f>
      </c>
      <c r="O21" s="2313">
        <f>'TRA35'!V24</f>
      </c>
      <c r="P21" s="2328">
        <f>'TRA35'!W24</f>
      </c>
      <c r="Q21" s="2327">
        <f>'TRA35'!U24</f>
      </c>
      <c r="R21" s="2313">
        <f>'TRA35'!X24</f>
      </c>
      <c r="S21" s="2328">
        <f>'TRA35'!Y24</f>
      </c>
      <c r="T21" s="2329">
        <f t="shared" si="2"/>
        <v>0</v>
      </c>
      <c r="U21" s="2313">
        <f t="shared" si="3"/>
        <v>0</v>
      </c>
      <c r="V21" s="2330">
        <f t="shared" si="4"/>
        <v>0</v>
      </c>
      <c r="W21" s="2329">
        <f t="shared" si="5"/>
        <v>0</v>
      </c>
      <c r="X21" s="2313">
        <f t="shared" si="6"/>
        <v>0</v>
      </c>
      <c r="Y21" s="2330">
        <f t="shared" si="7"/>
        <v>0</v>
      </c>
      <c r="Z21" s="2331">
        <f t="shared" si="8"/>
        <v>0</v>
      </c>
      <c r="AA21" s="2313">
        <f t="shared" si="10"/>
        <v>0</v>
      </c>
      <c r="AB21" s="2330">
        <f t="shared" si="11"/>
        <v>0</v>
      </c>
      <c r="AC21" s="2329">
        <f t="shared" si="9"/>
        <v>0</v>
      </c>
      <c r="AD21" s="2313">
        <f t="shared" si="12"/>
        <v>0</v>
      </c>
      <c r="AE21" s="2328">
        <f t="shared" si="13"/>
        <v>0</v>
      </c>
    </row>
    <row r="22" spans="1:31" x14ac:dyDescent="0.2">
      <c r="L22" s="2318"/>
      <c r="N22" s="2327">
        <f>'TRA35'!T31</f>
      </c>
      <c r="O22" s="2313">
        <f>'TRA35'!V31</f>
      </c>
      <c r="P22" s="2328">
        <f>'TRA35'!W31</f>
      </c>
      <c r="Q22" s="2327">
        <f>'TRA35'!U31</f>
      </c>
      <c r="R22" s="2313">
        <f>'TRA35'!X31</f>
      </c>
      <c r="S22" s="2328">
        <f>'TRA35'!Y31</f>
      </c>
      <c r="T22" s="2329">
        <f t="shared" si="2"/>
        <v>0</v>
      </c>
      <c r="U22" s="2313">
        <f t="shared" si="3"/>
        <v>0</v>
      </c>
      <c r="V22" s="2330">
        <f t="shared" si="4"/>
        <v>0</v>
      </c>
      <c r="W22" s="2329">
        <f t="shared" si="5"/>
        <v>0</v>
      </c>
      <c r="X22" s="2313">
        <f t="shared" si="6"/>
        <v>0</v>
      </c>
      <c r="Y22" s="2330">
        <f t="shared" si="7"/>
        <v>0</v>
      </c>
      <c r="Z22" s="2331">
        <f t="shared" si="8"/>
        <v>0</v>
      </c>
      <c r="AA22" s="2313">
        <f t="shared" si="10"/>
        <v>0</v>
      </c>
      <c r="AB22" s="2330">
        <f t="shared" si="11"/>
        <v>0</v>
      </c>
      <c r="AC22" s="2329">
        <f t="shared" si="9"/>
        <v>0</v>
      </c>
      <c r="AD22" s="2313">
        <f t="shared" si="12"/>
        <v>0</v>
      </c>
      <c r="AE22" s="2328">
        <f t="shared" si="13"/>
        <v>0</v>
      </c>
    </row>
    <row r="23" spans="1:31" x14ac:dyDescent="0.2">
      <c r="A23" s="1887" t="s">
        <v>6302</v>
      </c>
      <c r="C23" s="2336" t="s">
        <v>7660</v>
      </c>
      <c r="G23" s="2337" t="s">
        <v>5590</v>
      </c>
      <c r="L23" s="2318"/>
      <c r="N23" s="2327">
        <f>'TRA35'!T32</f>
      </c>
      <c r="O23" s="2313">
        <f>'TRA35'!V32</f>
      </c>
      <c r="P23" s="2328">
        <f>'TRA35'!W32</f>
      </c>
      <c r="Q23" s="2327">
        <f>'TRA35'!U32</f>
      </c>
      <c r="R23" s="2313">
        <f>'TRA35'!X32</f>
      </c>
      <c r="S23" s="2328">
        <f>'TRA35'!Y32</f>
      </c>
      <c r="T23" s="2329">
        <f t="shared" si="2"/>
        <v>0</v>
      </c>
      <c r="U23" s="2313">
        <f t="shared" si="3"/>
        <v>0</v>
      </c>
      <c r="V23" s="2330">
        <f t="shared" si="4"/>
        <v>0</v>
      </c>
      <c r="W23" s="2329">
        <f t="shared" si="5"/>
        <v>0</v>
      </c>
      <c r="X23" s="2313">
        <f t="shared" si="6"/>
        <v>0</v>
      </c>
      <c r="Y23" s="2330">
        <f t="shared" si="7"/>
        <v>0</v>
      </c>
      <c r="Z23" s="2331">
        <f t="shared" si="8"/>
        <v>0</v>
      </c>
      <c r="AA23" s="2313">
        <f t="shared" si="10"/>
        <v>0</v>
      </c>
      <c r="AB23" s="2330">
        <f t="shared" si="11"/>
        <v>0</v>
      </c>
      <c r="AC23" s="2329">
        <f t="shared" si="9"/>
        <v>0</v>
      </c>
      <c r="AD23" s="2313">
        <f t="shared" si="12"/>
        <v>0</v>
      </c>
      <c r="AE23" s="2328">
        <f t="shared" si="13"/>
        <v>0</v>
      </c>
    </row>
    <row r="24" spans="1:31" x14ac:dyDescent="0.2">
      <c r="B24" s="1887" t="s">
        <v>2665</v>
      </c>
      <c r="C24" s="1887" t="s">
        <v>7662</v>
      </c>
      <c r="D24" s="2314">
        <f>TRA62_IPA!E20</f>
      </c>
      <c r="G24" s="2314">
        <f>D24+E24</f>
      </c>
      <c r="L24" s="2318"/>
      <c r="N24" s="2327">
        <f>'TRA35'!T48</f>
      </c>
      <c r="O24" s="2313">
        <f>'TRA35'!V48</f>
      </c>
      <c r="P24" s="2328">
        <f>'TRA35'!W48</f>
      </c>
      <c r="Q24" s="2327">
        <f>'TRA35'!U48</f>
      </c>
      <c r="R24" s="2313">
        <f>'TRA35'!X48</f>
      </c>
      <c r="S24" s="2328">
        <f>'TRA35'!Y48</f>
      </c>
      <c r="T24" s="2329">
        <f t="shared" si="2"/>
        <v>0</v>
      </c>
      <c r="U24" s="2313">
        <f t="shared" si="3"/>
        <v>0</v>
      </c>
      <c r="V24" s="2330">
        <f t="shared" si="4"/>
        <v>0</v>
      </c>
      <c r="W24" s="2329">
        <f t="shared" si="5"/>
        <v>0</v>
      </c>
      <c r="X24" s="2313">
        <f t="shared" si="6"/>
        <v>0</v>
      </c>
      <c r="Y24" s="2330">
        <f t="shared" si="7"/>
        <v>0</v>
      </c>
      <c r="Z24" s="2331">
        <f t="shared" si="8"/>
        <v>0</v>
      </c>
      <c r="AA24" s="2313">
        <f t="shared" si="10"/>
        <v>0</v>
      </c>
      <c r="AB24" s="2330">
        <f t="shared" si="11"/>
        <v>0</v>
      </c>
      <c r="AC24" s="2329">
        <f t="shared" si="9"/>
        <v>0</v>
      </c>
      <c r="AD24" s="2313">
        <f t="shared" si="12"/>
        <v>0</v>
      </c>
      <c r="AE24" s="2328">
        <f t="shared" si="13"/>
        <v>0</v>
      </c>
    </row>
    <row r="25" spans="1:31" x14ac:dyDescent="0.2">
      <c r="C25" s="1887" t="s">
        <v>7663</v>
      </c>
      <c r="D25" s="2314">
        <f>TRA62_IPA!E30</f>
      </c>
      <c r="G25" s="2314">
        <f>D25+E25</f>
      </c>
      <c r="L25" s="2318"/>
      <c r="N25" s="2327"/>
      <c r="P25" s="2328"/>
      <c r="Q25" s="2327"/>
      <c r="S25" s="2328"/>
      <c r="V25" s="2330"/>
      <c r="Y25" s="2330"/>
      <c r="Z25" s="2331"/>
      <c r="AB25" s="2330"/>
      <c r="AE25" s="2328"/>
    </row>
    <row r="26" spans="1:31" x14ac:dyDescent="0.2">
      <c r="B26" s="1887" t="s">
        <v>1037</v>
      </c>
      <c r="C26" s="1887" t="s">
        <v>7664</v>
      </c>
      <c r="E26" s="2314">
        <f>TRA63_MTA_FIA!N37+TRA63_MTA_FIA!N48</f>
      </c>
      <c r="G26" s="2314">
        <f>D26+E26</f>
      </c>
      <c r="L26" s="2318"/>
      <c r="N26" s="2327"/>
      <c r="P26" s="2328"/>
      <c r="Q26" s="2327"/>
      <c r="S26" s="2328"/>
      <c r="V26" s="2330"/>
      <c r="Y26" s="2330"/>
      <c r="Z26" s="2331"/>
      <c r="AB26" s="2330"/>
      <c r="AE26" s="2328"/>
    </row>
    <row r="27" spans="1:31" x14ac:dyDescent="0.2">
      <c r="C27" s="1887" t="s">
        <v>5590</v>
      </c>
      <c r="G27" s="2338">
        <f>SUM(G24:G26)</f>
      </c>
      <c r="L27" s="2318"/>
      <c r="N27" s="2327"/>
      <c r="P27" s="2328"/>
      <c r="Q27" s="2327"/>
      <c r="S27" s="2328"/>
      <c r="V27" s="2330"/>
      <c r="Y27" s="2330"/>
      <c r="Z27" s="2331"/>
      <c r="AB27" s="2330"/>
      <c r="AE27" s="2328"/>
    </row>
    <row r="28" spans="1:31" x14ac:dyDescent="0.2">
      <c r="L28" s="2318"/>
      <c r="N28" s="2327"/>
      <c r="P28" s="2328"/>
      <c r="Q28" s="2327"/>
      <c r="S28" s="2328"/>
      <c r="V28" s="2330"/>
      <c r="Y28" s="2330"/>
      <c r="Z28" s="2331"/>
      <c r="AB28" s="2330"/>
      <c r="AE28" s="2328"/>
    </row>
    <row r="29" spans="1:31" ht="13.5" thickBot="1" x14ac:dyDescent="0.25">
      <c r="B29" s="1887" t="s">
        <v>951</v>
      </c>
      <c r="C29" s="1887" t="s">
        <v>7661</v>
      </c>
      <c r="D29" s="2314">
        <f>D18+D9</f>
      </c>
      <c r="E29" s="2314">
        <f>E18+E9</f>
      </c>
      <c r="G29" s="2314">
        <f>D29+E29</f>
      </c>
      <c r="L29" s="2318"/>
      <c r="N29" s="2339"/>
      <c r="O29" s="2340"/>
      <c r="P29" s="2341"/>
      <c r="Q29" s="2339"/>
      <c r="R29" s="2340"/>
      <c r="S29" s="2341"/>
      <c r="T29" s="2342"/>
      <c r="U29" s="2343"/>
      <c r="V29" s="2344"/>
      <c r="W29" s="2342"/>
      <c r="X29" s="2343"/>
      <c r="Y29" s="2344"/>
      <c r="Z29" s="2345"/>
      <c r="AA29" s="2343"/>
      <c r="AB29" s="2344"/>
      <c r="AC29" s="2342"/>
      <c r="AD29" s="2343"/>
      <c r="AE29" s="2346"/>
    </row>
    <row r="30" spans="1:31" x14ac:dyDescent="0.2">
      <c r="C30" s="2347" t="s">
        <v>7665</v>
      </c>
      <c r="G30" s="2348">
        <f>IF(G29&lt;&gt;G27,1,0)</f>
      </c>
      <c r="L30" s="2318"/>
      <c r="N30" s="2349"/>
      <c r="O30" s="2350"/>
      <c r="P30" s="2350"/>
      <c r="Q30" s="2351"/>
      <c r="R30" s="2350"/>
      <c r="S30" s="2352"/>
      <c r="T30" s="1887" t="s">
        <v>7652</v>
      </c>
      <c r="U30" s="2313">
        <f t="shared" ref="U30:AE30" si="14">SUM(U4:U29)</f>
      </c>
      <c r="V30" s="2313">
        <f t="shared" si="14"/>
        <v>0</v>
      </c>
      <c r="W30" s="2313"/>
      <c r="X30" s="2313">
        <f t="shared" si="14"/>
        <v>0</v>
      </c>
      <c r="Y30" s="2313">
        <f t="shared" si="14"/>
        <v>0</v>
      </c>
      <c r="Z30" s="2313"/>
      <c r="AA30" s="2313">
        <f t="shared" si="14"/>
        <v>0</v>
      </c>
      <c r="AB30" s="2313">
        <f t="shared" si="14"/>
        <v>0</v>
      </c>
      <c r="AC30" s="2313"/>
      <c r="AD30" s="2313">
        <f t="shared" si="14"/>
        <v>0</v>
      </c>
      <c r="AE30" s="2328">
        <f t="shared" si="14"/>
        <v>0</v>
      </c>
    </row>
    <row r="31" spans="1:31" x14ac:dyDescent="0.2">
      <c r="L31" s="2318"/>
      <c r="N31" s="2353"/>
      <c r="O31" s="1948"/>
      <c r="P31" s="1948"/>
      <c r="Q31" s="2354"/>
      <c r="R31" s="1948"/>
      <c r="S31" s="2355"/>
      <c r="AE31" s="2328"/>
    </row>
    <row r="32" spans="1:31" x14ac:dyDescent="0.2">
      <c r="L32" s="2318"/>
      <c r="N32" s="2353"/>
      <c r="O32" s="1948"/>
      <c r="P32" s="1948"/>
      <c r="Q32" s="2354"/>
      <c r="R32" s="1948"/>
      <c r="S32" s="2355"/>
      <c r="AE32" s="2328"/>
    </row>
    <row r="33" spans="1:31" x14ac:dyDescent="0.2">
      <c r="A33" s="1887" t="s">
        <v>4694</v>
      </c>
      <c r="C33" s="2336" t="s">
        <v>7677</v>
      </c>
      <c r="D33" s="2314">
        <f>D7-D9</f>
      </c>
      <c r="E33" s="2314">
        <f>E7-E9</f>
      </c>
      <c r="F33" s="2314">
        <f>F7</f>
      </c>
      <c r="G33" s="2314">
        <f>SUM(D33:F33)</f>
      </c>
      <c r="L33" s="2318"/>
      <c r="N33" s="2353"/>
      <c r="O33" s="1948">
        <f>SUM(O4:O29)</f>
      </c>
      <c r="P33" s="1948">
        <f>SUM(P4:P29)</f>
      </c>
      <c r="Q33" s="1948"/>
      <c r="R33" s="1948">
        <f>SUM(R4:R29)</f>
      </c>
      <c r="S33" s="2355">
        <f>SUM(S4:S29)</f>
      </c>
      <c r="AE33" s="2328"/>
    </row>
    <row r="34" spans="1:31" x14ac:dyDescent="0.2">
      <c r="C34" s="1887" t="s">
        <v>7679</v>
      </c>
      <c r="D34" s="2314">
        <f>Q49</f>
      </c>
      <c r="E34" s="2314">
        <f>Q74</f>
      </c>
      <c r="F34" s="2314">
        <f>F33</f>
      </c>
      <c r="G34" s="2314">
        <f>SUM(D34:F34)</f>
      </c>
      <c r="L34" s="2318"/>
      <c r="N34" s="2353" t="s">
        <v>951</v>
      </c>
      <c r="O34" s="1948">
        <f>'TRA35'!K50</f>
      </c>
      <c r="P34" s="1948">
        <f>'TRA35'!L50</f>
      </c>
      <c r="Q34" s="1948"/>
      <c r="R34" s="1948">
        <f>'TRA35'!K51</f>
      </c>
      <c r="S34" s="2355">
        <f>'TRA35'!L51</f>
      </c>
      <c r="AE34" s="2328"/>
    </row>
    <row r="35" spans="1:31" x14ac:dyDescent="0.2">
      <c r="C35" s="2347" t="s">
        <v>7665</v>
      </c>
      <c r="G35" s="2348">
        <f>IF(G33=G34,0,1)</f>
      </c>
      <c r="L35" s="2318"/>
      <c r="N35" s="2353"/>
      <c r="O35" s="1948">
        <f>ROUND(O33-O34,0)</f>
      </c>
      <c r="P35" s="1948">
        <f>ROUND(P33-P34,0)</f>
      </c>
      <c r="Q35" s="1948"/>
      <c r="R35" s="1948">
        <f>ROUND(R33-R34,0)</f>
      </c>
      <c r="S35" s="2355">
        <f>ROUND(S33-S34,0)</f>
      </c>
      <c r="AE35" s="2328"/>
    </row>
    <row r="36" spans="1:31" ht="13.5" thickBot="1" x14ac:dyDescent="0.25">
      <c r="L36" s="2356"/>
      <c r="M36" s="2340"/>
      <c r="N36" s="2357" t="str">
        <f>IF(O36&lt;&gt;0,"ERROR!!!!","OK")</f>
      </c>
      <c r="O36" s="2358">
        <f>SUM(O35:S35)</f>
      </c>
      <c r="P36" s="2358"/>
      <c r="Q36" s="2359"/>
      <c r="R36" s="2358"/>
      <c r="S36" s="2360"/>
      <c r="T36" s="2361"/>
      <c r="U36" s="2340"/>
      <c r="V36" s="2340"/>
      <c r="W36" s="2361"/>
      <c r="X36" s="2340"/>
      <c r="Y36" s="2340"/>
      <c r="Z36" s="2361"/>
      <c r="AA36" s="2340"/>
      <c r="AB36" s="2340"/>
      <c r="AC36" s="2361"/>
      <c r="AD36" s="2340"/>
      <c r="AE36" s="2341"/>
    </row>
    <row r="38" spans="1:31" x14ac:dyDescent="0.2">
      <c r="A38" s="1887" t="s">
        <v>412</v>
      </c>
      <c r="C38" s="2336" t="s">
        <v>7678</v>
      </c>
      <c r="D38" s="2314">
        <f>D16-D18</f>
      </c>
      <c r="E38" s="2314">
        <f>E16-E18</f>
      </c>
      <c r="F38" s="2314">
        <f>F16</f>
      </c>
      <c r="G38" s="2314">
        <f>SUM(D38:F38)</f>
      </c>
    </row>
    <row r="39" spans="1:31" x14ac:dyDescent="0.2">
      <c r="C39" s="1887" t="s">
        <v>7680</v>
      </c>
      <c r="D39" s="2314">
        <f>R49</f>
      </c>
      <c r="E39" s="2314">
        <f>R74</f>
      </c>
      <c r="F39" s="2314">
        <f>F38</f>
      </c>
      <c r="G39" s="2314">
        <f>SUM(D39:F39)</f>
      </c>
      <c r="L39" s="1887" t="s">
        <v>7666</v>
      </c>
    </row>
    <row r="40" spans="1:31" x14ac:dyDescent="0.2">
      <c r="C40" s="2347" t="s">
        <v>7665</v>
      </c>
      <c r="G40" s="2348">
        <f>IF(G38=G39,0,1)</f>
      </c>
    </row>
    <row r="41" spans="1:31" ht="38.25" x14ac:dyDescent="0.2">
      <c r="L41" s="2362" t="s">
        <v>7667</v>
      </c>
      <c r="M41" s="2363" t="s">
        <v>5806</v>
      </c>
      <c r="N41" s="2362" t="s">
        <v>7668</v>
      </c>
      <c r="O41" s="2362" t="s">
        <v>7669</v>
      </c>
      <c r="Q41" s="2364" t="s">
        <v>7673</v>
      </c>
      <c r="R41" s="1887" t="s">
        <v>7674</v>
      </c>
    </row>
    <row r="42" spans="1:31" x14ac:dyDescent="0.2">
      <c r="M42" s="5706" t="s">
        <v>7670</v>
      </c>
      <c r="N42" s="2329">
        <f>TRA62_IPA!C21</f>
      </c>
      <c r="O42" s="2313">
        <f>TRA62_IPA!E21</f>
      </c>
      <c r="Q42" s="2313">
        <f>IF(N42=0.35,0,O42)</f>
      </c>
      <c r="R42" s="2313">
        <f>IF(N42=0.35,O42,0)</f>
      </c>
    </row>
    <row r="43" spans="1:31" x14ac:dyDescent="0.2">
      <c r="M43" s="5706"/>
      <c r="N43" s="2329">
        <f>TRA62_IPA!C22</f>
      </c>
      <c r="O43" s="2313">
        <f>TRA62_IPA!E22</f>
      </c>
      <c r="Q43" s="2313">
        <f t="shared" ref="Q43:Q53" si="15">IF(N43=0.35,0,O43)</f>
      </c>
      <c r="R43" s="2313">
        <f t="shared" ref="R43:R53" si="16">IF(N43=0.35,O43,0)</f>
      </c>
    </row>
    <row r="44" spans="1:31" x14ac:dyDescent="0.2">
      <c r="M44" s="5706"/>
      <c r="N44" s="2329">
        <f>TRA62_IPA!C23</f>
      </c>
      <c r="O44" s="2313">
        <f>TRA62_IPA!E23</f>
      </c>
      <c r="Q44" s="2313">
        <f t="shared" si="15"/>
        <v>0</v>
      </c>
      <c r="R44" s="2313">
        <f t="shared" si="16"/>
        <v>0</v>
      </c>
    </row>
    <row r="45" spans="1:31" x14ac:dyDescent="0.2">
      <c r="Q45" s="2313"/>
    </row>
    <row r="46" spans="1:31" x14ac:dyDescent="0.2">
      <c r="M46" s="5706" t="s">
        <v>7671</v>
      </c>
      <c r="N46" s="2329">
        <f>TRA62_IPA!C31</f>
      </c>
      <c r="O46" s="2313">
        <f>TRA62_IPA!E31</f>
      </c>
      <c r="Q46" s="2313">
        <f t="shared" si="15"/>
        <v>0</v>
      </c>
      <c r="R46" s="2313">
        <f t="shared" si="16"/>
        <v>0</v>
      </c>
    </row>
    <row r="47" spans="1:31" x14ac:dyDescent="0.2">
      <c r="M47" s="5706"/>
      <c r="N47" s="2329">
        <f>TRA62_IPA!C32</f>
      </c>
      <c r="O47" s="2313">
        <f>TRA62_IPA!E32</f>
      </c>
      <c r="Q47" s="2313">
        <f t="shared" si="15"/>
        <v>0</v>
      </c>
      <c r="R47" s="2313">
        <f t="shared" si="16"/>
        <v>0</v>
      </c>
    </row>
    <row r="48" spans="1:31" x14ac:dyDescent="0.2">
      <c r="M48" s="5706"/>
      <c r="N48" s="2329">
        <f>TRA62_IPA!C33</f>
      </c>
      <c r="O48" s="2313">
        <f>TRA62_IPA!E33</f>
      </c>
      <c r="Q48" s="2313">
        <f t="shared" si="15"/>
        <v>0</v>
      </c>
      <c r="R48" s="2313">
        <f t="shared" si="16"/>
        <v>0</v>
      </c>
    </row>
    <row r="49" spans="12:19" x14ac:dyDescent="0.2">
      <c r="M49" s="1887" t="s">
        <v>5590</v>
      </c>
      <c r="Q49" s="2365">
        <f>SUM(Q42:Q48)</f>
      </c>
      <c r="R49" s="2365">
        <f>SUM(R42:R48)</f>
      </c>
    </row>
    <row r="50" spans="12:19" x14ac:dyDescent="0.2">
      <c r="M50" s="2366" t="s">
        <v>7672</v>
      </c>
      <c r="N50" s="2367">
        <f>TRA62_IPA!C42</f>
      </c>
      <c r="O50" s="2366">
        <f>TRA62_IPA!E42</f>
      </c>
      <c r="P50" s="2366"/>
      <c r="Q50" s="2366">
        <f t="shared" si="15"/>
        <v>0</v>
      </c>
      <c r="R50" s="2366">
        <f t="shared" si="16"/>
        <v>0</v>
      </c>
    </row>
    <row r="51" spans="12:19" x14ac:dyDescent="0.2">
      <c r="M51" s="5707" t="s">
        <v>7676</v>
      </c>
      <c r="N51" s="2367">
        <f>TRA62_IPA!C43</f>
      </c>
      <c r="O51" s="2366">
        <f>TRA62_IPA!E43</f>
      </c>
      <c r="P51" s="2366"/>
      <c r="Q51" s="2366">
        <f t="shared" si="15"/>
        <v>0</v>
      </c>
      <c r="R51" s="2366">
        <f t="shared" si="16"/>
        <v>0</v>
      </c>
    </row>
    <row r="52" spans="12:19" x14ac:dyDescent="0.2">
      <c r="M52" s="5707"/>
      <c r="N52" s="2367">
        <f>TRA62_IPA!C44</f>
      </c>
      <c r="O52" s="2366">
        <f>TRA62_IPA!E44</f>
      </c>
      <c r="P52" s="2366"/>
      <c r="Q52" s="2366">
        <f t="shared" si="15"/>
        <v>0</v>
      </c>
      <c r="R52" s="2366">
        <f t="shared" si="16"/>
        <v>0</v>
      </c>
    </row>
    <row r="53" spans="12:19" x14ac:dyDescent="0.2">
      <c r="M53" s="5707"/>
      <c r="N53" s="2367">
        <f>TRA62_IPA!C45</f>
      </c>
      <c r="O53" s="2366">
        <f>TRA62_IPA!E45</f>
      </c>
      <c r="P53" s="2366"/>
      <c r="Q53" s="2366">
        <f t="shared" si="15"/>
        <v>0</v>
      </c>
      <c r="R53" s="2366">
        <f t="shared" si="16"/>
        <v>0</v>
      </c>
    </row>
    <row r="54" spans="12:19" ht="13.5" thickBot="1" x14ac:dyDescent="0.25"/>
    <row r="55" spans="12:19" ht="25.5" x14ac:dyDescent="0.2">
      <c r="L55" s="2362" t="s">
        <v>7675</v>
      </c>
      <c r="M55" s="2363" t="s">
        <v>363</v>
      </c>
      <c r="N55" s="2329">
        <f>TRA63_MTA_FIA!H30/100</f>
      </c>
      <c r="O55" s="2313">
        <f>TRA63_MTA_FIA!N30</f>
      </c>
      <c r="Q55" s="2313">
        <f>IF(N55&lt;0.35,O55,0)</f>
      </c>
      <c r="R55" s="2313">
        <f>IF(N55=0.35,O55,0)</f>
      </c>
      <c r="S55" s="2368">
        <f>IF(AND(N55&gt;0.35,O55&gt;0),O55,0)</f>
      </c>
    </row>
    <row r="56" spans="12:19" x14ac:dyDescent="0.2">
      <c r="N56" s="2329">
        <f>TRA63_MTA_FIA!H31/100</f>
      </c>
      <c r="O56" s="2313">
        <f>TRA63_MTA_FIA!N31</f>
      </c>
      <c r="Q56" s="2313">
        <f t="shared" ref="Q56:Q72" si="17">IF(N56&lt;0.35,O56,0)</f>
      </c>
      <c r="R56" s="2313">
        <f t="shared" ref="R56:R72" si="18">IF(N56=0.35,O56,0)</f>
      </c>
      <c r="S56" s="2369">
        <f t="shared" ref="S56:S72" si="19">IF(AND(N56&gt;0.35,O56&gt;0),O56,0)</f>
      </c>
    </row>
    <row r="57" spans="12:19" x14ac:dyDescent="0.2">
      <c r="N57" s="2329">
        <f>TRA63_MTA_FIA!H32/100</f>
      </c>
      <c r="O57" s="2313">
        <f>TRA63_MTA_FIA!N32</f>
      </c>
      <c r="Q57" s="2313">
        <f t="shared" si="17"/>
        <v>0</v>
      </c>
      <c r="R57" s="2313">
        <f t="shared" si="18"/>
        <v>0</v>
      </c>
      <c r="S57" s="2369">
        <f t="shared" si="19"/>
        <v>0</v>
      </c>
    </row>
    <row r="58" spans="12:19" x14ac:dyDescent="0.2">
      <c r="N58" s="2329">
        <f>TRA63_MTA_FIA!H33/100</f>
      </c>
      <c r="O58" s="2313">
        <f>TRA63_MTA_FIA!N33</f>
      </c>
      <c r="Q58" s="2313">
        <f t="shared" si="17"/>
        <v>0</v>
      </c>
      <c r="R58" s="2313">
        <f t="shared" si="18"/>
        <v>0</v>
      </c>
      <c r="S58" s="2369">
        <f t="shared" si="19"/>
        <v>0</v>
      </c>
    </row>
    <row r="59" spans="12:19" x14ac:dyDescent="0.2">
      <c r="N59" s="2329">
        <f>TRA63_MTA_FIA!H34/100</f>
      </c>
      <c r="O59" s="2313">
        <f>TRA63_MTA_FIA!N34</f>
      </c>
      <c r="Q59" s="2313">
        <f t="shared" si="17"/>
        <v>0</v>
      </c>
      <c r="R59" s="2313">
        <f t="shared" si="18"/>
        <v>0</v>
      </c>
      <c r="S59" s="2369">
        <f t="shared" si="19"/>
        <v>0</v>
      </c>
    </row>
    <row r="60" spans="12:19" x14ac:dyDescent="0.2">
      <c r="N60" s="2329">
        <f>TRA63_MTA_FIA!H35/100</f>
      </c>
      <c r="O60" s="2313">
        <f>TRA63_MTA_FIA!N35</f>
      </c>
      <c r="Q60" s="2313">
        <f t="shared" si="17"/>
        <v>0</v>
      </c>
      <c r="R60" s="2313">
        <f t="shared" si="18"/>
        <v>0</v>
      </c>
      <c r="S60" s="2369">
        <f t="shared" si="19"/>
        <v>0</v>
      </c>
    </row>
    <row r="61" spans="12:19" x14ac:dyDescent="0.2">
      <c r="N61" s="2329">
        <f>TRA63_MTA_FIA!H36/100</f>
      </c>
      <c r="O61" s="2313">
        <f>TRA63_MTA_FIA!N36</f>
      </c>
      <c r="Q61" s="2313">
        <f t="shared" si="17"/>
        <v>0</v>
      </c>
      <c r="R61" s="2313">
        <f>IF(N61=0.35,O61,0)</f>
      </c>
      <c r="S61" s="2369">
        <f t="shared" si="19"/>
        <v>0</v>
      </c>
    </row>
    <row r="62" spans="12:19" x14ac:dyDescent="0.2">
      <c r="Q62" s="2313"/>
      <c r="S62" s="2369"/>
    </row>
    <row r="63" spans="12:19" x14ac:dyDescent="0.2">
      <c r="N63" s="2329">
        <f>TRA63_MTA_FIA!H38/100</f>
      </c>
      <c r="O63" s="2313">
        <f>TRA63_MTA_FIA!N38</f>
      </c>
      <c r="Q63" s="2313">
        <f t="shared" si="17"/>
        <v>0</v>
      </c>
      <c r="R63" s="2313">
        <f t="shared" si="18"/>
        <v>0</v>
      </c>
      <c r="S63" s="2369">
        <f t="shared" si="19"/>
        <v>0</v>
      </c>
    </row>
    <row r="64" spans="12:19" x14ac:dyDescent="0.2">
      <c r="N64" s="2329">
        <f>TRA63_MTA_FIA!H39/100</f>
      </c>
      <c r="O64" s="2313">
        <f>TRA63_MTA_FIA!N39</f>
      </c>
      <c r="Q64" s="2313">
        <f t="shared" si="17"/>
        <v>0</v>
      </c>
      <c r="R64" s="2313">
        <f t="shared" si="18"/>
        <v>0</v>
      </c>
      <c r="S64" s="2369">
        <f t="shared" si="19"/>
        <v>0</v>
      </c>
    </row>
    <row r="65" spans="12:21" x14ac:dyDescent="0.2">
      <c r="N65" s="2329">
        <f>TRA63_MTA_FIA!H40/100</f>
      </c>
      <c r="O65" s="2313">
        <f>TRA63_MTA_FIA!N40</f>
      </c>
      <c r="Q65" s="2313">
        <f t="shared" si="17"/>
        <v>0</v>
      </c>
      <c r="R65" s="2313">
        <f t="shared" si="18"/>
        <v>0</v>
      </c>
      <c r="S65" s="2369">
        <f t="shared" si="19"/>
        <v>0</v>
      </c>
    </row>
    <row r="66" spans="12:21" x14ac:dyDescent="0.2">
      <c r="N66" s="2329">
        <f>TRA63_MTA_FIA!H41/100</f>
      </c>
      <c r="O66" s="2313">
        <f>TRA63_MTA_FIA!N41</f>
      </c>
      <c r="Q66" s="2313">
        <f t="shared" si="17"/>
        <v>0</v>
      </c>
      <c r="R66" s="2313">
        <f t="shared" si="18"/>
        <v>0</v>
      </c>
      <c r="S66" s="2369">
        <f t="shared" si="19"/>
        <v>0</v>
      </c>
    </row>
    <row r="67" spans="12:21" x14ac:dyDescent="0.2">
      <c r="N67" s="2329">
        <f>TRA63_MTA_FIA!H42/100</f>
      </c>
      <c r="O67" s="2313">
        <f>TRA63_MTA_FIA!N42</f>
      </c>
      <c r="Q67" s="2313">
        <f t="shared" si="17"/>
        <v>0</v>
      </c>
      <c r="R67" s="2313">
        <f t="shared" si="18"/>
        <v>0</v>
      </c>
      <c r="S67" s="2369">
        <f t="shared" si="19"/>
        <v>0</v>
      </c>
    </row>
    <row r="68" spans="12:21" x14ac:dyDescent="0.2">
      <c r="N68" s="2329">
        <f>TRA63_MTA_FIA!H43/100</f>
      </c>
      <c r="O68" s="2313">
        <f>TRA63_MTA_FIA!N43</f>
      </c>
      <c r="Q68" s="2313">
        <f t="shared" si="17"/>
        <v>0</v>
      </c>
      <c r="R68" s="2313">
        <f t="shared" si="18"/>
        <v>0</v>
      </c>
      <c r="S68" s="2369">
        <f t="shared" si="19"/>
        <v>0</v>
      </c>
    </row>
    <row r="69" spans="12:21" x14ac:dyDescent="0.2">
      <c r="N69" s="2329">
        <f>TRA63_MTA_FIA!H44/100</f>
      </c>
      <c r="O69" s="2313">
        <f>TRA63_MTA_FIA!N44</f>
      </c>
      <c r="Q69" s="2313">
        <f t="shared" si="17"/>
        <v>0</v>
      </c>
      <c r="R69" s="2313">
        <f t="shared" si="18"/>
        <v>0</v>
      </c>
      <c r="S69" s="2369">
        <f t="shared" si="19"/>
        <v>0</v>
      </c>
    </row>
    <row r="70" spans="12:21" x14ac:dyDescent="0.2">
      <c r="N70" s="2329">
        <f>TRA63_MTA_FIA!H45/100</f>
      </c>
      <c r="O70" s="2313">
        <f>TRA63_MTA_FIA!N45</f>
      </c>
      <c r="Q70" s="2313">
        <f t="shared" si="17"/>
        <v>0</v>
      </c>
      <c r="R70" s="2313">
        <f t="shared" si="18"/>
        <v>0</v>
      </c>
      <c r="S70" s="2369">
        <f t="shared" si="19"/>
        <v>0</v>
      </c>
    </row>
    <row r="71" spans="12:21" x14ac:dyDescent="0.2">
      <c r="N71" s="2329">
        <f>TRA63_MTA_FIA!H46/100</f>
      </c>
      <c r="O71" s="2313">
        <f>TRA63_MTA_FIA!N46</f>
      </c>
      <c r="Q71" s="2313">
        <f t="shared" si="17"/>
        <v>0</v>
      </c>
      <c r="R71" s="2313">
        <f t="shared" si="18"/>
        <v>0</v>
      </c>
      <c r="S71" s="2369">
        <f t="shared" si="19"/>
        <v>0</v>
      </c>
    </row>
    <row r="72" spans="12:21" x14ac:dyDescent="0.2">
      <c r="N72" s="2329">
        <f>TRA63_MTA_FIA!H47/100</f>
      </c>
      <c r="O72" s="2313">
        <f>TRA63_MTA_FIA!N47</f>
      </c>
      <c r="Q72" s="2313">
        <f t="shared" si="17"/>
        <v>0</v>
      </c>
      <c r="R72" s="2313">
        <f t="shared" si="18"/>
        <v>0</v>
      </c>
      <c r="S72" s="2369">
        <f t="shared" si="19"/>
        <v>0</v>
      </c>
      <c r="T72" s="2329">
        <f>SUM(S55:S72)</f>
      </c>
    </row>
    <row r="73" spans="12:21" ht="21" thickBot="1" x14ac:dyDescent="0.35">
      <c r="S73" s="2370" t="str">
        <f>IF(T72&gt;0,"To be checked!!","")</f>
        <v/>
      </c>
    </row>
    <row r="74" spans="12:21" x14ac:dyDescent="0.2">
      <c r="Q74" s="2313">
        <f>SUM(Q55:Q73)</f>
      </c>
      <c r="R74" s="2313">
        <f>SUM(R55:R73)</f>
      </c>
    </row>
    <row r="75" spans="12:21" x14ac:dyDescent="0.2">
      <c r="O75" s="2329"/>
      <c r="P75" s="2329"/>
      <c r="R75" s="2329"/>
      <c r="S75" s="2329"/>
      <c r="U75" s="2329"/>
    </row>
    <row r="76" spans="12:21" ht="25.5" x14ac:dyDescent="0.2">
      <c r="L76" s="2362" t="s">
        <v>7675</v>
      </c>
      <c r="M76" s="2363" t="s">
        <v>2372</v>
      </c>
      <c r="O76" s="2313">
        <f>TRA63_MTA_FIA!N16</f>
      </c>
    </row>
    <row r="77" spans="12:21" x14ac:dyDescent="0.2">
      <c r="O77" s="2313">
        <f>TRA63_MTA_FIA!N17</f>
      </c>
    </row>
    <row r="78" spans="12:21" x14ac:dyDescent="0.2">
      <c r="O78" s="2313">
        <f>TRA63_MTA_FIA!N18</f>
      </c>
    </row>
    <row r="79" spans="12:21" x14ac:dyDescent="0.2">
      <c r="O79" s="2313">
        <f>TRA63_MTA_FIA!N19</f>
      </c>
    </row>
  </sheetData>
  <sheetProtection algorithmName="SHA-512" hashValue="U5wRjzzQNck9DLjIhXlHaoM0amCGT5axM6Jq6hinzpuiZ049VM1MfP9K5nZZ/PhtLTOzCr6G7exG+rTFlFsUug==" saltValue="aXVzmvIAC5tYjbxZGg82OA==" spinCount="100000" sheet="1" objects="1" scenarios="1"/>
  <mergeCells count="11">
    <mergeCell ref="M42:M44"/>
    <mergeCell ref="M46:M48"/>
    <mergeCell ref="M51:M53"/>
    <mergeCell ref="N2:P2"/>
    <mergeCell ref="Q2:S2"/>
    <mergeCell ref="T2:V2"/>
    <mergeCell ref="W2:Y2"/>
    <mergeCell ref="T1:Y1"/>
    <mergeCell ref="Z1:AE1"/>
    <mergeCell ref="Z2:AB2"/>
    <mergeCell ref="AC2:AE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90089BE2445A488B5ED9DCBE061487" ma:contentTypeVersion="5" ma:contentTypeDescription="Create a new document." ma:contentTypeScope="" ma:versionID="7f685d3cde34c5f9e1ae9fc60f7981b8">
  <xsd:schema xmlns:xsd="http://www.w3.org/2001/XMLSchema" xmlns:xs="http://www.w3.org/2001/XMLSchema" xmlns:p="http://schemas.microsoft.com/office/2006/metadata/properties" xmlns:ns3="a832915a-c44f-4ec3-ac7c-b32a57a650d4" xmlns:ns4="f27651b4-4ed6-4e2f-8a6b-559ea2f17546" targetNamespace="http://schemas.microsoft.com/office/2006/metadata/properties" ma:root="true" ma:fieldsID="60e58987ca56e8b99f74a939fedbd27a" ns3:_="" ns4:_="">
    <xsd:import namespace="a832915a-c44f-4ec3-ac7c-b32a57a650d4"/>
    <xsd:import namespace="f27651b4-4ed6-4e2f-8a6b-559ea2f1754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32915a-c44f-4ec3-ac7c-b32a57a650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7651b4-4ed6-4e2f-8a6b-559ea2f1754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2285C5-980A-40E2-9901-508DE24858F6}">
  <ds:schemaRefs>
    <ds:schemaRef ds:uri="http://schemas.openxmlformats.org/package/2006/metadata/core-properties"/>
    <ds:schemaRef ds:uri="http://schemas.microsoft.com/office/infopath/2007/PartnerControls"/>
    <ds:schemaRef ds:uri="http://purl.org/dc/dcmitype/"/>
    <ds:schemaRef ds:uri="http://www.w3.org/XML/1998/namespace"/>
    <ds:schemaRef ds:uri="http://schemas.microsoft.com/office/2006/documentManagement/types"/>
    <ds:schemaRef ds:uri="http://purl.org/dc/elements/1.1/"/>
    <ds:schemaRef ds:uri="http://purl.org/dc/terms/"/>
    <ds:schemaRef ds:uri="a832915a-c44f-4ec3-ac7c-b32a57a650d4"/>
    <ds:schemaRef ds:uri="f27651b4-4ed6-4e2f-8a6b-559ea2f17546"/>
    <ds:schemaRef ds:uri="http://schemas.microsoft.com/office/2006/metadata/properties"/>
  </ds:schemaRefs>
</ds:datastoreItem>
</file>

<file path=customXml/itemProps2.xml><?xml version="1.0" encoding="utf-8"?>
<ds:datastoreItem xmlns:ds="http://schemas.openxmlformats.org/officeDocument/2006/customXml" ds:itemID="{A5967338-7D7A-49D2-AD8A-23DE31172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32915a-c44f-4ec3-ac7c-b32a57a650d4"/>
    <ds:schemaRef ds:uri="f27651b4-4ed6-4e2f-8a6b-559ea2f17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8247F8-B209-4C3C-9FB6-3F3F8D1993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135</vt:i4>
      </vt:variant>
      <vt:variant>
        <vt:lpstr>Named Ranges</vt:lpstr>
      </vt:variant>
      <vt:variant>
        <vt:i4>220</vt:i4>
      </vt:variant>
    </vt:vector>
  </HeadingPairs>
  <TitlesOfParts>
    <vt:vector size="355" baseType="lpstr">
      <vt:lpstr>Notes</vt:lpstr>
      <vt:lpstr>p1</vt:lpstr>
      <vt:lpstr>Index</vt:lpstr>
      <vt:lpstr>B_Sheet</vt:lpstr>
      <vt:lpstr>B_Sheet_Summary</vt:lpstr>
      <vt:lpstr>IRDAddin</vt:lpstr>
      <vt:lpstr>Consolidation</vt:lpstr>
      <vt:lpstr>Income</vt:lpstr>
      <vt:lpstr>Income_Summary</vt:lpstr>
      <vt:lpstr>TRA1</vt:lpstr>
      <vt:lpstr>TRA2</vt:lpstr>
      <vt:lpstr>TRA3</vt:lpstr>
      <vt:lpstr>TRA4</vt:lpstr>
      <vt:lpstr>TRA5</vt:lpstr>
      <vt:lpstr>TRA6</vt:lpstr>
      <vt:lpstr>TRA7</vt:lpstr>
      <vt:lpstr>TRA8</vt:lpstr>
      <vt:lpstr>TRA9_14</vt:lpstr>
      <vt:lpstr>TRA15</vt:lpstr>
      <vt:lpstr>TRA16</vt:lpstr>
      <vt:lpstr>TRA17</vt:lpstr>
      <vt:lpstr>TRA18</vt:lpstr>
      <vt:lpstr>TRA19</vt:lpstr>
      <vt:lpstr>TRA20</vt:lpstr>
      <vt:lpstr>TRA23_24</vt:lpstr>
      <vt:lpstr>TRA27_28</vt:lpstr>
      <vt:lpstr>TRA29</vt:lpstr>
      <vt:lpstr>TRA30</vt:lpstr>
      <vt:lpstr>TRA31</vt:lpstr>
      <vt:lpstr>TRA33</vt:lpstr>
      <vt:lpstr>TRA34</vt:lpstr>
      <vt:lpstr>TRA35</vt:lpstr>
      <vt:lpstr>TRA36</vt:lpstr>
      <vt:lpstr>TRA37</vt:lpstr>
      <vt:lpstr>TRA39</vt:lpstr>
      <vt:lpstr>TRA40</vt:lpstr>
      <vt:lpstr>TRA41</vt:lpstr>
      <vt:lpstr>TRA42</vt:lpstr>
      <vt:lpstr>TRA49</vt:lpstr>
      <vt:lpstr>TRA52</vt:lpstr>
      <vt:lpstr>TRA53</vt:lpstr>
      <vt:lpstr>TRA54</vt:lpstr>
      <vt:lpstr>TRA55</vt:lpstr>
      <vt:lpstr>TRA56</vt:lpstr>
      <vt:lpstr>TRA57</vt:lpstr>
      <vt:lpstr>TRA58</vt:lpstr>
      <vt:lpstr>TRA60</vt:lpstr>
      <vt:lpstr>TRA61_FTA</vt:lpstr>
      <vt:lpstr>TRA62_IPA</vt:lpstr>
      <vt:lpstr>TRA62A_IPA</vt:lpstr>
      <vt:lpstr>TRA63_MTA_FIA</vt:lpstr>
      <vt:lpstr>TRA65</vt:lpstr>
      <vt:lpstr>TRA66</vt:lpstr>
      <vt:lpstr>TRA67</vt:lpstr>
      <vt:lpstr>TRA68</vt:lpstr>
      <vt:lpstr>TRA69</vt:lpstr>
      <vt:lpstr>TRA70</vt:lpstr>
      <vt:lpstr>TRA71</vt:lpstr>
      <vt:lpstr>TRA72</vt:lpstr>
      <vt:lpstr>TRA73</vt:lpstr>
      <vt:lpstr>TRA74</vt:lpstr>
      <vt:lpstr>Sheet1</vt:lpstr>
      <vt:lpstr>TRA75</vt:lpstr>
      <vt:lpstr>TRA76</vt:lpstr>
      <vt:lpstr>TRA77</vt:lpstr>
      <vt:lpstr>TRA78</vt:lpstr>
      <vt:lpstr>TRA79</vt:lpstr>
      <vt:lpstr>TRA80</vt:lpstr>
      <vt:lpstr>TRA81</vt:lpstr>
      <vt:lpstr>TRA82</vt:lpstr>
      <vt:lpstr>TRA83</vt:lpstr>
      <vt:lpstr>TRA84</vt:lpstr>
      <vt:lpstr>TRA85</vt:lpstr>
      <vt:lpstr>TRA86</vt:lpstr>
      <vt:lpstr>TRA87</vt:lpstr>
      <vt:lpstr>TRA88</vt:lpstr>
      <vt:lpstr>TRA89</vt:lpstr>
      <vt:lpstr>TRA90</vt:lpstr>
      <vt:lpstr>TRA91</vt:lpstr>
      <vt:lpstr>TRA92</vt:lpstr>
      <vt:lpstr>TRA93</vt:lpstr>
      <vt:lpstr>TRA94</vt:lpstr>
      <vt:lpstr>TRA95</vt:lpstr>
      <vt:lpstr>TRA96</vt:lpstr>
      <vt:lpstr>TRA97</vt:lpstr>
      <vt:lpstr>TRA98</vt:lpstr>
      <vt:lpstr>TRA99</vt:lpstr>
      <vt:lpstr>TRA100</vt:lpstr>
      <vt:lpstr>TRA100A</vt:lpstr>
      <vt:lpstr>TRA101</vt:lpstr>
      <vt:lpstr>TRA102</vt:lpstr>
      <vt:lpstr>TRA103</vt:lpstr>
      <vt:lpstr>TRA104</vt:lpstr>
      <vt:lpstr>TRA105</vt:lpstr>
      <vt:lpstr>TRA106</vt:lpstr>
      <vt:lpstr>TRA107</vt:lpstr>
      <vt:lpstr>TRA108</vt:lpstr>
      <vt:lpstr>TRA109</vt:lpstr>
      <vt:lpstr>TRA110</vt:lpstr>
      <vt:lpstr>TRA111</vt:lpstr>
      <vt:lpstr>TRA112</vt:lpstr>
      <vt:lpstr>TRA113</vt:lpstr>
      <vt:lpstr>TRA114</vt:lpstr>
      <vt:lpstr>TRA115</vt:lpstr>
      <vt:lpstr>TRA116</vt:lpstr>
      <vt:lpstr>TRA117</vt:lpstr>
      <vt:lpstr>TRA118</vt:lpstr>
      <vt:lpstr>TRA119</vt:lpstr>
      <vt:lpstr>TRA120</vt:lpstr>
      <vt:lpstr>TRA121</vt:lpstr>
      <vt:lpstr>TRA122</vt:lpstr>
      <vt:lpstr>TRA123</vt:lpstr>
      <vt:lpstr>TRA124</vt:lpstr>
      <vt:lpstr>TRA125</vt:lpstr>
      <vt:lpstr>TRA126</vt:lpstr>
      <vt:lpstr>TRA127</vt:lpstr>
      <vt:lpstr>TRA128</vt:lpstr>
      <vt:lpstr>TRA129</vt:lpstr>
      <vt:lpstr>TRA130</vt:lpstr>
      <vt:lpstr>TRA131</vt:lpstr>
      <vt:lpstr>TRA132</vt:lpstr>
      <vt:lpstr>TRA133</vt:lpstr>
      <vt:lpstr>TRA134</vt:lpstr>
      <vt:lpstr>TRA135</vt:lpstr>
      <vt:lpstr>TRA136</vt:lpstr>
      <vt:lpstr>p2</vt:lpstr>
      <vt:lpstr>p3</vt:lpstr>
      <vt:lpstr>p4</vt:lpstr>
      <vt:lpstr>p5</vt:lpstr>
      <vt:lpstr>p6</vt:lpstr>
      <vt:lpstr>exportmap</vt:lpstr>
      <vt:lpstr>p7</vt:lpstr>
      <vt:lpstr>p8</vt:lpstr>
      <vt:lpstr>Exchange Rates</vt:lpstr>
      <vt:lpstr>Tax Account Checks</vt:lpstr>
      <vt:lpstr>__max1</vt:lpstr>
      <vt:lpstr>_cis1</vt:lpstr>
      <vt:lpstr>_COM2</vt:lpstr>
      <vt:lpstr>_COM3</vt:lpstr>
      <vt:lpstr>_dts1</vt:lpstr>
      <vt:lpstr>_FTA1</vt:lpstr>
      <vt:lpstr>_FTA3</vt:lpstr>
      <vt:lpstr>'TRA90'!_ftn1</vt:lpstr>
      <vt:lpstr>'TRA90'!_ftnref1</vt:lpstr>
      <vt:lpstr>_INC2</vt:lpstr>
      <vt:lpstr>_max1</vt:lpstr>
      <vt:lpstr>_nm1</vt:lpstr>
      <vt:lpstr>_ref1</vt:lpstr>
      <vt:lpstr>_reo1</vt:lpstr>
      <vt:lpstr>_UA2</vt:lpstr>
      <vt:lpstr>_ver1</vt:lpstr>
      <vt:lpstr>_YA1</vt:lpstr>
      <vt:lpstr>ab</vt:lpstr>
      <vt:lpstr>activity</vt:lpstr>
      <vt:lpstr>adet</vt:lpstr>
      <vt:lpstr>assets</vt:lpstr>
      <vt:lpstr>assets_bpa</vt:lpstr>
      <vt:lpstr>blanks</vt:lpstr>
      <vt:lpstr>BS</vt:lpstr>
      <vt:lpstr>bs_date_day</vt:lpstr>
      <vt:lpstr>bs_date_month</vt:lpstr>
      <vt:lpstr>cbmer</vt:lpstr>
      <vt:lpstr>cis</vt:lpstr>
      <vt:lpstr>ck</vt:lpstr>
      <vt:lpstr>cnt</vt:lpstr>
      <vt:lpstr>COM</vt:lpstr>
      <vt:lpstr>conv</vt:lpstr>
      <vt:lpstr>B_Sheet!Criteria</vt:lpstr>
      <vt:lpstr>Income!Criteria</vt:lpstr>
      <vt:lpstr>'p7'!Criteria</vt:lpstr>
      <vt:lpstr>ctry_list</vt:lpstr>
      <vt:lpstr>cur</vt:lpstr>
      <vt:lpstr>curr</vt:lpstr>
      <vt:lpstr>cv</vt:lpstr>
      <vt:lpstr>dat</vt:lpstr>
      <vt:lpstr>date_from</vt:lpstr>
      <vt:lpstr>date_month</vt:lpstr>
      <vt:lpstr>date_to</vt:lpstr>
      <vt:lpstr>dis</vt:lpstr>
      <vt:lpstr>dts</vt:lpstr>
      <vt:lpstr>efile</vt:lpstr>
      <vt:lpstr>engagement_1</vt:lpstr>
      <vt:lpstr>ER_ya</vt:lpstr>
      <vt:lpstr>er_ya1</vt:lpstr>
      <vt:lpstr>eu_countries</vt:lpstr>
      <vt:lpstr>EUR</vt:lpstr>
      <vt:lpstr>fi</vt:lpstr>
      <vt:lpstr>fisc</vt:lpstr>
      <vt:lpstr>FO</vt:lpstr>
      <vt:lpstr>ft</vt:lpstr>
      <vt:lpstr>FTA</vt:lpstr>
      <vt:lpstr>FU</vt:lpstr>
      <vt:lpstr>fwt12a</vt:lpstr>
      <vt:lpstr>FWT5A</vt:lpstr>
      <vt:lpstr>ip</vt:lpstr>
      <vt:lpstr>ipc</vt:lpstr>
      <vt:lpstr>kambju</vt:lpstr>
      <vt:lpstr>LATE</vt:lpstr>
      <vt:lpstr>LC</vt:lpstr>
      <vt:lpstr>ls</vt:lpstr>
      <vt:lpstr>man</vt:lpstr>
      <vt:lpstr>markedascomplete</vt:lpstr>
      <vt:lpstr>max</vt:lpstr>
      <vt:lpstr>md</vt:lpstr>
      <vt:lpstr>min</vt:lpstr>
      <vt:lpstr>mo</vt:lpstr>
      <vt:lpstr>more36</vt:lpstr>
      <vt:lpstr>ms</vt:lpstr>
      <vt:lpstr>ms_1</vt:lpstr>
      <vt:lpstr>mt</vt:lpstr>
      <vt:lpstr>mtc</vt:lpstr>
      <vt:lpstr>MTCA</vt:lpstr>
      <vt:lpstr>mult</vt:lpstr>
      <vt:lpstr>n</vt:lpstr>
      <vt:lpstr>nd</vt:lpstr>
      <vt:lpstr>neg</vt:lpstr>
      <vt:lpstr>NM</vt:lpstr>
      <vt:lpstr>noav</vt:lpstr>
      <vt:lpstr>nob</vt:lpstr>
      <vt:lpstr>nofs</vt:lpstr>
      <vt:lpstr>notifd</vt:lpstr>
      <vt:lpstr>pere</vt:lpstr>
      <vt:lpstr>PL_income</vt:lpstr>
      <vt:lpstr>poyc</vt:lpstr>
      <vt:lpstr>poyc_1</vt:lpstr>
      <vt:lpstr>pr</vt:lpstr>
      <vt:lpstr>B_Sheet!Print_Area</vt:lpstr>
      <vt:lpstr>Income!Print_Area</vt:lpstr>
      <vt:lpstr>'p1'!Print_Area</vt:lpstr>
      <vt:lpstr>'p2'!Print_Area</vt:lpstr>
      <vt:lpstr>'p3'!Print_Area</vt:lpstr>
      <vt:lpstr>'p4'!Print_Area</vt:lpstr>
      <vt:lpstr>'p5'!Print_Area</vt:lpstr>
      <vt:lpstr>'p6'!Print_Area</vt:lpstr>
      <vt:lpstr>'p7'!Print_Area</vt:lpstr>
      <vt:lpstr>'p8'!Print_Area</vt:lpstr>
      <vt:lpstr>'TRA1'!Print_Area</vt:lpstr>
      <vt:lpstr>'TRA100'!Print_Area</vt:lpstr>
      <vt:lpstr>TRA100A!Print_Area</vt:lpstr>
      <vt:lpstr>'TRA110'!Print_Area</vt:lpstr>
      <vt:lpstr>'TRA16'!Print_Area</vt:lpstr>
      <vt:lpstr>'TRA17'!Print_Area</vt:lpstr>
      <vt:lpstr>'TRA19'!Print_Area</vt:lpstr>
      <vt:lpstr>'TRA2'!Print_Area</vt:lpstr>
      <vt:lpstr>TRA23_24!Print_Area</vt:lpstr>
      <vt:lpstr>TRA27_28!Print_Area</vt:lpstr>
      <vt:lpstr>'TRA29'!Print_Area</vt:lpstr>
      <vt:lpstr>'TRA3'!Print_Area</vt:lpstr>
      <vt:lpstr>'TRA30'!Print_Area</vt:lpstr>
      <vt:lpstr>'TRA31'!Print_Area</vt:lpstr>
      <vt:lpstr>'TRA33'!Print_Area</vt:lpstr>
      <vt:lpstr>'TRA34'!Print_Area</vt:lpstr>
      <vt:lpstr>'TRA35'!Print_Area</vt:lpstr>
      <vt:lpstr>'TRA36'!Print_Area</vt:lpstr>
      <vt:lpstr>'TRA37'!Print_Area</vt:lpstr>
      <vt:lpstr>'TRA39'!Print_Area</vt:lpstr>
      <vt:lpstr>'TRA4'!Print_Area</vt:lpstr>
      <vt:lpstr>'TRA40'!Print_Area</vt:lpstr>
      <vt:lpstr>'TRA41'!Print_Area</vt:lpstr>
      <vt:lpstr>'TRA42'!Print_Area</vt:lpstr>
      <vt:lpstr>'TRA49'!Print_Area</vt:lpstr>
      <vt:lpstr>'TRA5'!Print_Area</vt:lpstr>
      <vt:lpstr>'TRA52'!Print_Area</vt:lpstr>
      <vt:lpstr>'TRA53'!Print_Area</vt:lpstr>
      <vt:lpstr>'TRA54'!Print_Area</vt:lpstr>
      <vt:lpstr>'TRA56'!Print_Area</vt:lpstr>
      <vt:lpstr>'TRA57'!Print_Area</vt:lpstr>
      <vt:lpstr>'TRA58'!Print_Area</vt:lpstr>
      <vt:lpstr>'TRA6'!Print_Area</vt:lpstr>
      <vt:lpstr>'TRA60'!Print_Area</vt:lpstr>
      <vt:lpstr>TRA62_IPA!Print_Area</vt:lpstr>
      <vt:lpstr>TRA62A_IPA!Print_Area</vt:lpstr>
      <vt:lpstr>TRA63_MTA_FIA!Print_Area</vt:lpstr>
      <vt:lpstr>'TRA65'!Print_Area</vt:lpstr>
      <vt:lpstr>'TRA66'!Print_Area</vt:lpstr>
      <vt:lpstr>'TRA67'!Print_Area</vt:lpstr>
      <vt:lpstr>'TRA68'!Print_Area</vt:lpstr>
      <vt:lpstr>'TRA69'!Print_Area</vt:lpstr>
      <vt:lpstr>'TRA7'!Print_Area</vt:lpstr>
      <vt:lpstr>'TRA70'!Print_Area</vt:lpstr>
      <vt:lpstr>'TRA71'!Print_Area</vt:lpstr>
      <vt:lpstr>'TRA72'!Print_Area</vt:lpstr>
      <vt:lpstr>'TRA73'!Print_Area</vt:lpstr>
      <vt:lpstr>'TRA74'!Print_Area</vt:lpstr>
      <vt:lpstr>'TRA75'!Print_Area</vt:lpstr>
      <vt:lpstr>'TRA76'!Print_Area</vt:lpstr>
      <vt:lpstr>'TRA77'!Print_Area</vt:lpstr>
      <vt:lpstr>'TRA78'!Print_Area</vt:lpstr>
      <vt:lpstr>'TRA8'!Print_Area</vt:lpstr>
      <vt:lpstr>'TRA81'!Print_Area</vt:lpstr>
      <vt:lpstr>'TRA82'!Print_Area</vt:lpstr>
      <vt:lpstr>'TRA83'!Print_Area</vt:lpstr>
      <vt:lpstr>'TRA84'!Print_Area</vt:lpstr>
      <vt:lpstr>'TRA85'!Print_Area</vt:lpstr>
      <vt:lpstr>'TRA86'!Print_Area</vt:lpstr>
      <vt:lpstr>'TRA87'!Print_Area</vt:lpstr>
      <vt:lpstr>'TRA88'!Print_Area</vt:lpstr>
      <vt:lpstr>'TRA89'!Print_Area</vt:lpstr>
      <vt:lpstr>TRA9_14!Print_Area</vt:lpstr>
      <vt:lpstr>'TRA90'!Print_Area</vt:lpstr>
      <vt:lpstr>'TRA91'!Print_Area</vt:lpstr>
      <vt:lpstr>'TRA92'!Print_Area</vt:lpstr>
      <vt:lpstr>'TRA93'!Print_Area</vt:lpstr>
      <vt:lpstr>'TRA94'!Print_Area</vt:lpstr>
      <vt:lpstr>'TRA95'!Print_Area</vt:lpstr>
      <vt:lpstr>'TRA96'!Print_Area</vt:lpstr>
      <vt:lpstr>'TRA98'!Print_Area</vt:lpstr>
      <vt:lpstr>'TRA99'!Print_Area</vt:lpstr>
      <vt:lpstr>B_Sheet!Print_Titles</vt:lpstr>
      <vt:lpstr>Income!Print_Titles</vt:lpstr>
      <vt:lpstr>'p7'!Print_Titles</vt:lpstr>
      <vt:lpstr>'TRA100'!Print_Titles</vt:lpstr>
      <vt:lpstr>TRA100A!Print_Titles</vt:lpstr>
      <vt:lpstr>'TRA110'!Print_Titles</vt:lpstr>
      <vt:lpstr>'TRA16'!Print_Titles</vt:lpstr>
      <vt:lpstr>'TRA39'!Print_Titles</vt:lpstr>
      <vt:lpstr>'TRA5'!Print_Titles</vt:lpstr>
      <vt:lpstr>'TRA86'!Print_Titles</vt:lpstr>
      <vt:lpstr>TRA9_14!Print_Titles</vt:lpstr>
      <vt:lpstr>rafind</vt:lpstr>
      <vt:lpstr>re</vt:lpstr>
      <vt:lpstr>ref</vt:lpstr>
      <vt:lpstr>reg</vt:lpstr>
      <vt:lpstr>regc</vt:lpstr>
      <vt:lpstr>reo</vt:lpstr>
      <vt:lpstr>res</vt:lpstr>
      <vt:lpstr>tableA</vt:lpstr>
      <vt:lpstr>TableB</vt:lpstr>
      <vt:lpstr>tableb1</vt:lpstr>
      <vt:lpstr>TableC</vt:lpstr>
      <vt:lpstr>TABLEC1</vt:lpstr>
      <vt:lpstr>TableD</vt:lpstr>
      <vt:lpstr>TableE</vt:lpstr>
      <vt:lpstr>test</vt:lpstr>
      <vt:lpstr>TIFD_cg</vt:lpstr>
      <vt:lpstr>tifd_codes</vt:lpstr>
      <vt:lpstr>TIFD_Income</vt:lpstr>
      <vt:lpstr>tl</vt:lpstr>
      <vt:lpstr>tle</vt:lpstr>
      <vt:lpstr>tle_2</vt:lpstr>
      <vt:lpstr>tle_3</vt:lpstr>
      <vt:lpstr>to_day</vt:lpstr>
      <vt:lpstr>to_month</vt:lpstr>
      <vt:lpstr>TpRef</vt:lpstr>
      <vt:lpstr>tr</vt:lpstr>
      <vt:lpstr>tra86_cell_count</vt:lpstr>
      <vt:lpstr>unt</vt:lpstr>
      <vt:lpstr>ver</vt:lpstr>
      <vt:lpstr>vl</vt:lpstr>
      <vt:lpstr>warn</vt:lpstr>
      <vt:lpstr>warn1</vt:lpstr>
      <vt:lpstr>y</vt:lpstr>
      <vt:lpstr>ya</vt:lpstr>
      <vt:lpstr>yn</vt:lpstr>
      <vt:lpstr>Yofa</vt:lpstr>
    </vt:vector>
  </TitlesOfParts>
  <Company>IRD - Malta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Tax Return 2014</dc:title>
  <dc:subject>Return and attachments</dc:subject>
  <dc:creator/>
  <cp:lastModifiedBy/>
  <cp:lastPrinted>2026-04-10T12:10:39Z</cp:lastPrinted>
  <dcterms:created xsi:type="dcterms:W3CDTF">2002-08-01T05:52:58Z</dcterms:created>
  <dcterms:modified xsi:type="dcterms:W3CDTF">2026-04-10T12:17:56Z</dcterms:modified>
  <cp:category>TA2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0x010100DF90089BE2445A488B5ED9DCBE061487</vt:lpwstr>
  </property>
</Properties>
</file>